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drawings/drawing2.xml" ContentType="application/vnd.openxmlformats-officedocument.drawing+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drawings/drawing3.xml" ContentType="application/vnd.openxmlformats-officedocument.drawing+xml"/>
  <Override PartName="/xl/comments22.xml" ContentType="application/vnd.openxmlformats-officedocument.spreadsheetml.comments+xml"/>
  <Override PartName="/xl/comments23.xml" ContentType="application/vnd.openxmlformats-officedocument.spreadsheetml.comments+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codeName="Denne_projektmappe" defaultThemeVersion="124226"/>
  <mc:AlternateContent xmlns:mc="http://schemas.openxmlformats.org/markup-compatibility/2006">
    <mc:Choice Requires="x15">
      <x15ac:absPath xmlns:x15ac="http://schemas.microsoft.com/office/spreadsheetml/2010/11/ac" url="/Users/Jonathan/Documents/GitHub/Bachelor_Git/TIMES-DE/SubRES_TMPL/"/>
    </mc:Choice>
  </mc:AlternateContent>
  <xr:revisionPtr revIDLastSave="0" documentId="13_ncr:1_{843492E1-6FC0-6948-AAA9-BA3F734938C6}" xr6:coauthVersionLast="47" xr6:coauthVersionMax="47" xr10:uidLastSave="{00000000-0000-0000-0000-000000000000}"/>
  <bookViews>
    <workbookView xWindow="0" yWindow="0" windowWidth="25600" windowHeight="16000" tabRatio="764" firstSheet="9" activeTab="13" xr2:uid="{00000000-000D-0000-FFFF-FFFF00000000}"/>
  </bookViews>
  <sheets>
    <sheet name="LOG" sheetId="35" r:id="rId1"/>
    <sheet name="Intro" sheetId="48" r:id="rId2"/>
    <sheet name="READ THIS" sheetId="21" r:id="rId3"/>
    <sheet name="Notes" sheetId="75" r:id="rId4"/>
    <sheet name="IND_Construction_new" sheetId="94" r:id="rId5"/>
    <sheet name="IND_Utilities_new" sheetId="93" r:id="rId6"/>
    <sheet name="IND_Vehicles_new" sheetId="92" r:id="rId7"/>
    <sheet name="IND_PaperPulp_new" sheetId="91" r:id="rId8"/>
    <sheet name="IND_Wood_new" sheetId="89" r:id="rId9"/>
    <sheet name="IND_Other_new" sheetId="88" r:id="rId10"/>
    <sheet name="IND_Mining_new" sheetId="87" r:id="rId11"/>
    <sheet name="IND_IronSteel_new" sheetId="85" r:id="rId12"/>
    <sheet name="IND_Aluminium_new" sheetId="84" r:id="rId13"/>
    <sheet name="IND_Machinery_new" sheetId="83" r:id="rId14"/>
    <sheet name="IND_Food_new" sheetId="82" r:id="rId15"/>
    <sheet name="IND_CHEM_new" sheetId="81" r:id="rId16"/>
    <sheet name="IND_G&amp;C_new" sheetId="74" r:id="rId17"/>
    <sheet name="Carbon Capture Storage" sheetId="73" r:id="rId18"/>
    <sheet name="Transport" sheetId="106" r:id="rId19"/>
    <sheet name="Oil-fired boiler_NEW" sheetId="55" r:id="rId20"/>
    <sheet name="Natural gas boiler_New" sheetId="56" r:id="rId21"/>
    <sheet name="Biomass boiler" sheetId="72" r:id="rId22"/>
    <sheet name="Coal boiler" sheetId="79" r:id="rId23"/>
    <sheet name="Trad. Heat pump 80C" sheetId="63" r:id="rId24"/>
    <sheet name="Heat driven Heat pump 80C" sheetId="65" r:id="rId25"/>
    <sheet name="High Temp abs. Heat pump 150C" sheetId="62" r:id="rId26"/>
    <sheet name="Booster Heat pump 150C" sheetId="64" r:id="rId27"/>
    <sheet name="MVR" sheetId="66" r:id="rId28"/>
    <sheet name="Hotdisc" sheetId="68" r:id="rId29"/>
    <sheet name="Dielectric heating" sheetId="69" r:id="rId30"/>
    <sheet name="Infrared" sheetId="70" r:id="rId31"/>
    <sheet name="Electric boiler" sheetId="71" r:id="rId32"/>
    <sheet name="Direct electric heating" sheetId="57" r:id="rId33"/>
    <sheet name="DH substation" sheetId="5" r:id="rId34"/>
    <sheet name="DH network" sheetId="19" r:id="rId35"/>
    <sheet name="Electrical grid" sheetId="20" r:id="rId36"/>
    <sheet name="Solar heating" sheetId="13" r:id="rId37"/>
    <sheet name="Oil-fired boiler" sheetId="86" r:id="rId38"/>
    <sheet name="Natural gas boiler" sheetId="4" r:id="rId39"/>
    <sheet name="DHB Wood-Chips" sheetId="34" r:id="rId40"/>
    <sheet name="Biomass boiler, automatic" sheetId="6" r:id="rId41"/>
    <sheet name="Biomass boiler, manual" sheetId="7" r:id="rId42"/>
    <sheet name="Wood stove" sheetId="8" r:id="rId43"/>
    <sheet name="Heat pump, air-to-air" sheetId="9" r:id="rId44"/>
    <sheet name="Heat pump, air-to-water" sheetId="10" r:id="rId45"/>
    <sheet name="Heat pump, ground source" sheetId="11" r:id="rId46"/>
    <sheet name="HP, gas absorption,air-to-water" sheetId="28" r:id="rId47"/>
    <sheet name="HP, gas absorpt,brine-to-water" sheetId="29" r:id="rId48"/>
    <sheet name="Heat pump, gas engine air-water" sheetId="30" r:id="rId49"/>
    <sheet name="Heat pump, gas engine Brine-wat" sheetId="24" r:id="rId50"/>
    <sheet name="Heat pump, gas adsorption" sheetId="27" r:id="rId51"/>
    <sheet name="Heat pump, ventilation" sheetId="12" r:id="rId52"/>
    <sheet name="Electric heating" sheetId="14" r:id="rId53"/>
    <sheet name="Micro CHP, natural gas FC" sheetId="15" r:id="rId54"/>
    <sheet name="Micro CHP, hydrogen FC" sheetId="16" r:id="rId55"/>
    <sheet name="Micro CHP - Stirling engine" sheetId="17" r:id="rId56"/>
    <sheet name="Micro CHP - Gas engine" sheetId="18" r:id="rId57"/>
    <sheet name="HX_TechData" sheetId="99" r:id="rId58"/>
    <sheet name="HP_TechData" sheetId="100" r:id="rId59"/>
    <sheet name="HP_DATA" sheetId="101" r:id="rId60"/>
    <sheet name="HX_Data" sheetId="102" r:id="rId61"/>
    <sheet name="COP DH_LDC" sheetId="103" r:id="rId62"/>
  </sheets>
  <externalReferences>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0</definedName>
    <definedName name="_AtRisk_SimSetting_ReportsList" hidden="1">0</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61" hidden="1">'COP DH_LDC'!$A$1:$L$452</definedName>
    <definedName name="_ftn1" localSheetId="55">'Micro CHP - Stirling engine'!$B$91</definedName>
    <definedName name="_ftnref1" localSheetId="55">'Micro CHP - Stirling engine'!#REF!</definedName>
    <definedName name="_Order1" hidden="1">255</definedName>
    <definedName name="_Order2" hidden="1">255</definedName>
    <definedName name="_Sort" hidden="1">#REF!</definedName>
    <definedName name="_Toc305146851" localSheetId="40">'Biomass boiler, automatic'!$B$3</definedName>
    <definedName name="_Toc305146851" localSheetId="39">'DHB Wood-Chips'!$B$3</definedName>
    <definedName name="A4chosenYear">#REF!</definedName>
    <definedName name="A4colActive">#REF!</definedName>
    <definedName name="A4colCount">#REF!</definedName>
    <definedName name="A4filePath">#REF!</definedName>
    <definedName name="A4firstRow">#REF!</definedName>
    <definedName name="A4resultCol">#REF!</definedName>
    <definedName name="A4rowActive">[1]A4results!$X$7</definedName>
    <definedName name="A4rowCount">#REF!</definedName>
    <definedName name="A4sensitivity">#REF!</definedName>
    <definedName name="A4yearTable">#REF!</definedName>
    <definedName name="BG_valg">'[1]Biogas ENS'!$T$201</definedName>
    <definedName name="BiomassLargeCHP">[2]TechnologyData!$A$14:$M$41</definedName>
    <definedName name="BPslut">[2]Plants!$J$2</definedName>
    <definedName name="chosenLUC">[1]Cockpit!$B$8</definedName>
    <definedName name="chosenYear">[1]Cockpit!$B$5</definedName>
    <definedName name="DHareas" localSheetId="61">'COP DH_LDC'!$A$1:$G$439</definedName>
    <definedName name="dkkPerEUR">'[3]Centrale data'!$C$34</definedName>
    <definedName name="dkkPerUSD">[1]Supplementary!$C$38</definedName>
    <definedName name="E_waste">#REF!</definedName>
    <definedName name="Eksportstigning">[2]Plants!$J$6</definedName>
    <definedName name="ElBoiler">[2]TechnologyData!$O$72:$AA$99</definedName>
    <definedName name="ElPriceMix">[2]Subsidy!#REF!</definedName>
    <definedName name="EmissionOil">[4]Sheet1!$B$17</definedName>
    <definedName name="Euro" localSheetId="21">[5]IND_ELC!$E$2</definedName>
    <definedName name="Euro" localSheetId="26">[5]IND_ELC!$E$2</definedName>
    <definedName name="Euro" localSheetId="17">[5]IND_ELC!$E$2</definedName>
    <definedName name="Euro" localSheetId="22">[5]IND_ELC!$E$2</definedName>
    <definedName name="Euro" localSheetId="61">#REF!</definedName>
    <definedName name="Euro" localSheetId="29">[5]IND_ELC!$E$2</definedName>
    <definedName name="Euro" localSheetId="32">[5]IND_ELC!$E$2</definedName>
    <definedName name="Euro" localSheetId="31">[5]IND_ELC!$E$2</definedName>
    <definedName name="Euro" localSheetId="24">[5]IND_ELC!$E$2</definedName>
    <definedName name="Euro" localSheetId="25">[5]IND_ELC!$E$2</definedName>
    <definedName name="Euro" localSheetId="28">[5]IND_ELC!$E$2</definedName>
    <definedName name="Euro" localSheetId="59">#REF!</definedName>
    <definedName name="Euro" localSheetId="60">#REF!</definedName>
    <definedName name="Euro" localSheetId="30">[5]IND_ELC!$E$2</definedName>
    <definedName name="Euro" localSheetId="27">[5]IND_ELC!$E$2</definedName>
    <definedName name="Euro" localSheetId="20">[5]IND_ELC!$E$2</definedName>
    <definedName name="Euro" localSheetId="19">[5]IND_ELC!$E$2</definedName>
    <definedName name="Euro" localSheetId="23">[5]IND_ELC!$E$2</definedName>
    <definedName name="Euro">[6]IND_ELC!$E$2</definedName>
    <definedName name="Fastprisår">[7]Forside!$B$5</definedName>
    <definedName name="FID_1">[8]AGR_Fuels!$A$2</definedName>
    <definedName name="FIXWINOFF">'[9]O&amp;M waste and WIN '!$K$13</definedName>
    <definedName name="FIXWINON">'[9]O&amp;M waste and WIN '!$K$14</definedName>
    <definedName name="FIXWSTBO">'[10]O&amp;M waste and WIN '!$E$5</definedName>
    <definedName name="FIXWSTBP" localSheetId="21">'[11]O&amp;M waste '!$C$4</definedName>
    <definedName name="FIXWSTBP" localSheetId="26">'[11]O&amp;M waste '!$C$4</definedName>
    <definedName name="FIXWSTBP" localSheetId="17">'[11]O&amp;M waste '!$C$4</definedName>
    <definedName name="FIXWSTBP" localSheetId="22">'[11]O&amp;M waste '!$C$4</definedName>
    <definedName name="FIXWSTBP" localSheetId="29">'[11]O&amp;M waste '!$C$4</definedName>
    <definedName name="FIXWSTBP" localSheetId="32">'[11]O&amp;M waste '!$C$4</definedName>
    <definedName name="FIXWSTBP" localSheetId="31">'[11]O&amp;M waste '!$C$4</definedName>
    <definedName name="FIXWSTBP" localSheetId="24">'[11]O&amp;M waste '!$C$4</definedName>
    <definedName name="FIXWSTBP" localSheetId="25">'[11]O&amp;M waste '!$C$4</definedName>
    <definedName name="FIXWSTBP" localSheetId="28">'[11]O&amp;M waste '!$C$4</definedName>
    <definedName name="FIXWSTBP" localSheetId="30">'[11]O&amp;M waste '!$C$4</definedName>
    <definedName name="FIXWSTBP" localSheetId="27">'[11]O&amp;M waste '!$C$4</definedName>
    <definedName name="FIXWSTBP" localSheetId="20">'[11]O&amp;M waste '!$C$4</definedName>
    <definedName name="FIXWSTBP" localSheetId="19">'[11]O&amp;M waste '!$C$4</definedName>
    <definedName name="FIXWSTBP" localSheetId="23">'[11]O&amp;M waste '!$C$4</definedName>
    <definedName name="FIXWSTBP">'[12]O&amp;M waste '!$C$4</definedName>
    <definedName name="HeatPump_Large">[2]TechnologyData!$O$101:$AA$128</definedName>
    <definedName name="HTML_CodePage" hidden="1">1252</definedName>
    <definedName name="HTML_Control" hidden="1">{"'Ark1'!$A$8:$M$33"}</definedName>
    <definedName name="HTML_Control_1_1_1" hidden="1">{"'Ark1'!$A$8:$M$33"}</definedName>
    <definedName name="HTML_Control_1_1_1_1" hidden="1">{"'Ark1'!$A$8:$M$33"}</definedName>
    <definedName name="HTML_Control_1_1_2" hidden="1">{"'Ark1'!$A$8:$M$33"}</definedName>
    <definedName name="HTML_Control_1_2" hidden="1">{"'Ark1'!$A$8:$M$33"}</definedName>
    <definedName name="HTML_Control_1_2_1" hidden="1">{"'Ark1'!$A$8:$M$33"}</definedName>
    <definedName name="HTML_Control_1_2_1_1" hidden="1">{"'Ark1'!$A$8:$M$33"}</definedName>
    <definedName name="HTML_Control_1_2_2" hidden="1">{"'Ark1'!$A$8:$M$33"}</definedName>
    <definedName name="HTML_Control_1_3" hidden="1">{"'Ark1'!$A$8:$M$33"}</definedName>
    <definedName name="HTML_Control_1_4" hidden="1">{"'Ark1'!$A$8:$M$33"}</definedName>
    <definedName name="HTML_Control_2" hidden="1">{"'Ark1'!$A$8:$M$33"}</definedName>
    <definedName name="HTML_Control_2_1" hidden="1">{"'Ark1'!$A$8:$M$33"}</definedName>
    <definedName name="HTML_Control_2_1_1" hidden="1">{"'Ark1'!$A$8:$M$33"}</definedName>
    <definedName name="HTML_Control_2_1_1_1" hidden="1">{"'Ark1'!$A$8:$M$33"}</definedName>
    <definedName name="HTML_Control_2_1_1_1_1" hidden="1">{"'Ark1'!$A$8:$M$33"}</definedName>
    <definedName name="HTML_Control_2_1_1_1_1_1" hidden="1">{"'Ark1'!$A$8:$M$33"}</definedName>
    <definedName name="HTML_Control_2_1_1_1_1_1_1" hidden="1">{"'Ark1'!$A$8:$M$33"}</definedName>
    <definedName name="HTML_Control_2_1_1_1_1_1_1_1" hidden="1">{"'Ark1'!$A$8:$M$33"}</definedName>
    <definedName name="HTML_Control_2_1_1_1_1_1_1_2" hidden="1">{"'Ark1'!$A$8:$M$33"}</definedName>
    <definedName name="HTML_Control_2_1_1_1_1_1_1_3" hidden="1">{"'Ark1'!$A$8:$M$33"}</definedName>
    <definedName name="HTML_Control_2_1_1_1_1_1_1_4" hidden="1">{"'Ark1'!$A$8:$M$33"}</definedName>
    <definedName name="HTML_Control_2_1_1_1_1_1_1_5" hidden="1">{"'Ark1'!$A$8:$M$33"}</definedName>
    <definedName name="HTML_Control_2_1_1_1_1_1_2" hidden="1">{"'Ark1'!$A$8:$M$33"}</definedName>
    <definedName name="HTML_Control_2_1_1_1_1_1_3" hidden="1">{"'Ark1'!$A$8:$M$33"}</definedName>
    <definedName name="HTML_Control_2_1_1_1_1_1_4" hidden="1">{"'Ark1'!$A$8:$M$33"}</definedName>
    <definedName name="HTML_Control_2_1_1_1_1_1_5" hidden="1">{"'Ark1'!$A$8:$M$33"}</definedName>
    <definedName name="HTML_Control_2_1_1_1_1_2" hidden="1">{"'Ark1'!$A$8:$M$33"}</definedName>
    <definedName name="HTML_Control_2_1_1_1_1_2_1" hidden="1">{"'Ark1'!$A$8:$M$33"}</definedName>
    <definedName name="HTML_Control_2_1_1_1_1_2_1_1" hidden="1">{"'Ark1'!$A$8:$M$33"}</definedName>
    <definedName name="HTML_Control_2_1_1_1_1_2_1_2" hidden="1">{"'Ark1'!$A$8:$M$33"}</definedName>
    <definedName name="HTML_Control_2_1_1_1_1_2_1_3" hidden="1">{"'Ark1'!$A$8:$M$33"}</definedName>
    <definedName name="HTML_Control_2_1_1_1_1_2_1_4" hidden="1">{"'Ark1'!$A$8:$M$33"}</definedName>
    <definedName name="HTML_Control_2_1_1_1_1_2_1_5" hidden="1">{"'Ark1'!$A$8:$M$33"}</definedName>
    <definedName name="HTML_Control_2_1_1_1_1_2_2" hidden="1">{"'Ark1'!$A$8:$M$33"}</definedName>
    <definedName name="HTML_Control_2_1_1_1_1_2_3" hidden="1">{"'Ark1'!$A$8:$M$33"}</definedName>
    <definedName name="HTML_Control_2_1_1_1_1_2_4" hidden="1">{"'Ark1'!$A$8:$M$33"}</definedName>
    <definedName name="HTML_Control_2_1_1_1_1_2_5" hidden="1">{"'Ark1'!$A$8:$M$33"}</definedName>
    <definedName name="HTML_Control_2_1_1_1_1_3" hidden="1">{"'Ark1'!$A$8:$M$33"}</definedName>
    <definedName name="HTML_Control_2_1_1_1_1_3_1" hidden="1">{"'Ark1'!$A$8:$M$33"}</definedName>
    <definedName name="HTML_Control_2_1_1_1_1_3_2" hidden="1">{"'Ark1'!$A$8:$M$33"}</definedName>
    <definedName name="HTML_Control_2_1_1_1_1_3_3" hidden="1">{"'Ark1'!$A$8:$M$33"}</definedName>
    <definedName name="HTML_Control_2_1_1_1_1_3_4" hidden="1">{"'Ark1'!$A$8:$M$33"}</definedName>
    <definedName name="HTML_Control_2_1_1_1_1_3_5" hidden="1">{"'Ark1'!$A$8:$M$33"}</definedName>
    <definedName name="HTML_Control_2_1_1_1_1_4" hidden="1">{"'Ark1'!$A$8:$M$33"}</definedName>
    <definedName name="HTML_Control_2_1_1_1_1_5" hidden="1">{"'Ark1'!$A$8:$M$33"}</definedName>
    <definedName name="HTML_Control_2_1_1_1_2" hidden="1">{"'Ark1'!$A$8:$M$33"}</definedName>
    <definedName name="HTML_Control_2_1_1_1_2_1" hidden="1">{"'Ark1'!$A$8:$M$33"}</definedName>
    <definedName name="HTML_Control_2_1_1_1_2_1_1" hidden="1">{"'Ark1'!$A$8:$M$33"}</definedName>
    <definedName name="HTML_Control_2_1_1_1_2_1_2" hidden="1">{"'Ark1'!$A$8:$M$33"}</definedName>
    <definedName name="HTML_Control_2_1_1_1_2_1_3" hidden="1">{"'Ark1'!$A$8:$M$33"}</definedName>
    <definedName name="HTML_Control_2_1_1_1_2_1_4" hidden="1">{"'Ark1'!$A$8:$M$33"}</definedName>
    <definedName name="HTML_Control_2_1_1_1_2_1_5" hidden="1">{"'Ark1'!$A$8:$M$33"}</definedName>
    <definedName name="HTML_Control_2_1_1_1_2_2" hidden="1">{"'Ark1'!$A$8:$M$33"}</definedName>
    <definedName name="HTML_Control_2_1_1_1_2_3" hidden="1">{"'Ark1'!$A$8:$M$33"}</definedName>
    <definedName name="HTML_Control_2_1_1_1_2_4" hidden="1">{"'Ark1'!$A$8:$M$33"}</definedName>
    <definedName name="HTML_Control_2_1_1_1_2_5" hidden="1">{"'Ark1'!$A$8:$M$33"}</definedName>
    <definedName name="HTML_Control_2_1_1_1_3" hidden="1">{"'Ark1'!$A$8:$M$33"}</definedName>
    <definedName name="HTML_Control_2_1_1_1_3_1" hidden="1">{"'Ark1'!$A$8:$M$33"}</definedName>
    <definedName name="HTML_Control_2_1_1_1_3_1_1" hidden="1">{"'Ark1'!$A$8:$M$33"}</definedName>
    <definedName name="HTML_Control_2_1_1_1_3_1_2" hidden="1">{"'Ark1'!$A$8:$M$33"}</definedName>
    <definedName name="HTML_Control_2_1_1_1_3_1_3" hidden="1">{"'Ark1'!$A$8:$M$33"}</definedName>
    <definedName name="HTML_Control_2_1_1_1_3_1_4" hidden="1">{"'Ark1'!$A$8:$M$33"}</definedName>
    <definedName name="HTML_Control_2_1_1_1_3_1_5" hidden="1">{"'Ark1'!$A$8:$M$33"}</definedName>
    <definedName name="HTML_Control_2_1_1_1_3_2" hidden="1">{"'Ark1'!$A$8:$M$33"}</definedName>
    <definedName name="HTML_Control_2_1_1_1_3_3" hidden="1">{"'Ark1'!$A$8:$M$33"}</definedName>
    <definedName name="HTML_Control_2_1_1_1_3_4" hidden="1">{"'Ark1'!$A$8:$M$33"}</definedName>
    <definedName name="HTML_Control_2_1_1_1_3_5" hidden="1">{"'Ark1'!$A$8:$M$33"}</definedName>
    <definedName name="HTML_Control_2_1_1_1_4" hidden="1">{"'Ark1'!$A$8:$M$33"}</definedName>
    <definedName name="HTML_Control_2_1_1_1_4_1" hidden="1">{"'Ark1'!$A$8:$M$33"}</definedName>
    <definedName name="HTML_Control_2_1_1_1_4_2" hidden="1">{"'Ark1'!$A$8:$M$33"}</definedName>
    <definedName name="HTML_Control_2_1_1_1_4_3" hidden="1">{"'Ark1'!$A$8:$M$33"}</definedName>
    <definedName name="HTML_Control_2_1_1_1_4_4" hidden="1">{"'Ark1'!$A$8:$M$33"}</definedName>
    <definedName name="HTML_Control_2_1_1_1_4_5" hidden="1">{"'Ark1'!$A$8:$M$33"}</definedName>
    <definedName name="HTML_Control_2_1_1_1_5" hidden="1">{"'Ark1'!$A$8:$M$33"}</definedName>
    <definedName name="HTML_Control_2_1_1_2" hidden="1">{"'Ark1'!$A$8:$M$33"}</definedName>
    <definedName name="HTML_Control_2_1_1_2_1" hidden="1">{"'Ark1'!$A$8:$M$33"}</definedName>
    <definedName name="HTML_Control_2_1_1_2_1_1" hidden="1">{"'Ark1'!$A$8:$M$33"}</definedName>
    <definedName name="HTML_Control_2_1_1_2_1_1_1" hidden="1">{"'Ark1'!$A$8:$M$33"}</definedName>
    <definedName name="HTML_Control_2_1_1_2_1_1_1_1" hidden="1">{"'Ark1'!$A$8:$M$33"}</definedName>
    <definedName name="HTML_Control_2_1_1_2_1_1_1_2" hidden="1">{"'Ark1'!$A$8:$M$33"}</definedName>
    <definedName name="HTML_Control_2_1_1_2_1_1_1_3" hidden="1">{"'Ark1'!$A$8:$M$33"}</definedName>
    <definedName name="HTML_Control_2_1_1_2_1_1_1_4" hidden="1">{"'Ark1'!$A$8:$M$33"}</definedName>
    <definedName name="HTML_Control_2_1_1_2_1_1_1_5" hidden="1">{"'Ark1'!$A$8:$M$33"}</definedName>
    <definedName name="HTML_Control_2_1_1_2_1_1_2" hidden="1">{"'Ark1'!$A$8:$M$33"}</definedName>
    <definedName name="HTML_Control_2_1_1_2_1_1_3" hidden="1">{"'Ark1'!$A$8:$M$33"}</definedName>
    <definedName name="HTML_Control_2_1_1_2_1_1_4" hidden="1">{"'Ark1'!$A$8:$M$33"}</definedName>
    <definedName name="HTML_Control_2_1_1_2_1_1_5" hidden="1">{"'Ark1'!$A$8:$M$33"}</definedName>
    <definedName name="HTML_Control_2_1_1_2_1_2" hidden="1">{"'Ark1'!$A$8:$M$33"}</definedName>
    <definedName name="HTML_Control_2_1_1_2_1_2_1" hidden="1">{"'Ark1'!$A$8:$M$33"}</definedName>
    <definedName name="HTML_Control_2_1_1_2_1_2_1_1" hidden="1">{"'Ark1'!$A$8:$M$33"}</definedName>
    <definedName name="HTML_Control_2_1_1_2_1_2_1_2" hidden="1">{"'Ark1'!$A$8:$M$33"}</definedName>
    <definedName name="HTML_Control_2_1_1_2_1_2_1_3" hidden="1">{"'Ark1'!$A$8:$M$33"}</definedName>
    <definedName name="HTML_Control_2_1_1_2_1_2_1_4" hidden="1">{"'Ark1'!$A$8:$M$33"}</definedName>
    <definedName name="HTML_Control_2_1_1_2_1_2_1_5" hidden="1">{"'Ark1'!$A$8:$M$33"}</definedName>
    <definedName name="HTML_Control_2_1_1_2_1_2_2" hidden="1">{"'Ark1'!$A$8:$M$33"}</definedName>
    <definedName name="HTML_Control_2_1_1_2_1_2_3" hidden="1">{"'Ark1'!$A$8:$M$33"}</definedName>
    <definedName name="HTML_Control_2_1_1_2_1_2_4" hidden="1">{"'Ark1'!$A$8:$M$33"}</definedName>
    <definedName name="HTML_Control_2_1_1_2_1_2_5" hidden="1">{"'Ark1'!$A$8:$M$33"}</definedName>
    <definedName name="HTML_Control_2_1_1_2_1_3" hidden="1">{"'Ark1'!$A$8:$M$33"}</definedName>
    <definedName name="HTML_Control_2_1_1_2_1_3_1" hidden="1">{"'Ark1'!$A$8:$M$33"}</definedName>
    <definedName name="HTML_Control_2_1_1_2_1_3_2" hidden="1">{"'Ark1'!$A$8:$M$33"}</definedName>
    <definedName name="HTML_Control_2_1_1_2_1_3_3" hidden="1">{"'Ark1'!$A$8:$M$33"}</definedName>
    <definedName name="HTML_Control_2_1_1_2_1_3_4" hidden="1">{"'Ark1'!$A$8:$M$33"}</definedName>
    <definedName name="HTML_Control_2_1_1_2_1_3_5" hidden="1">{"'Ark1'!$A$8:$M$33"}</definedName>
    <definedName name="HTML_Control_2_1_1_2_1_4" hidden="1">{"'Ark1'!$A$8:$M$33"}</definedName>
    <definedName name="HTML_Control_2_1_1_2_1_5" hidden="1">{"'Ark1'!$A$8:$M$33"}</definedName>
    <definedName name="HTML_Control_2_1_1_2_2" hidden="1">{"'Ark1'!$A$8:$M$33"}</definedName>
    <definedName name="HTML_Control_2_1_1_2_2_1" hidden="1">{"'Ark1'!$A$8:$M$33"}</definedName>
    <definedName name="HTML_Control_2_1_1_2_2_1_1" hidden="1">{"'Ark1'!$A$8:$M$33"}</definedName>
    <definedName name="HTML_Control_2_1_1_2_2_1_2" hidden="1">{"'Ark1'!$A$8:$M$33"}</definedName>
    <definedName name="HTML_Control_2_1_1_2_2_1_3" hidden="1">{"'Ark1'!$A$8:$M$33"}</definedName>
    <definedName name="HTML_Control_2_1_1_2_2_1_4" hidden="1">{"'Ark1'!$A$8:$M$33"}</definedName>
    <definedName name="HTML_Control_2_1_1_2_2_1_5" hidden="1">{"'Ark1'!$A$8:$M$33"}</definedName>
    <definedName name="HTML_Control_2_1_1_2_2_2" hidden="1">{"'Ark1'!$A$8:$M$33"}</definedName>
    <definedName name="HTML_Control_2_1_1_2_2_3" hidden="1">{"'Ark1'!$A$8:$M$33"}</definedName>
    <definedName name="HTML_Control_2_1_1_2_2_4" hidden="1">{"'Ark1'!$A$8:$M$33"}</definedName>
    <definedName name="HTML_Control_2_1_1_2_2_5" hidden="1">{"'Ark1'!$A$8:$M$33"}</definedName>
    <definedName name="HTML_Control_2_1_1_2_3" hidden="1">{"'Ark1'!$A$8:$M$33"}</definedName>
    <definedName name="HTML_Control_2_1_1_2_3_1" hidden="1">{"'Ark1'!$A$8:$M$33"}</definedName>
    <definedName name="HTML_Control_2_1_1_2_3_1_1" hidden="1">{"'Ark1'!$A$8:$M$33"}</definedName>
    <definedName name="HTML_Control_2_1_1_2_3_1_2" hidden="1">{"'Ark1'!$A$8:$M$33"}</definedName>
    <definedName name="HTML_Control_2_1_1_2_3_1_3" hidden="1">{"'Ark1'!$A$8:$M$33"}</definedName>
    <definedName name="HTML_Control_2_1_1_2_3_1_4" hidden="1">{"'Ark1'!$A$8:$M$33"}</definedName>
    <definedName name="HTML_Control_2_1_1_2_3_1_5" hidden="1">{"'Ark1'!$A$8:$M$33"}</definedName>
    <definedName name="HTML_Control_2_1_1_2_3_2" hidden="1">{"'Ark1'!$A$8:$M$33"}</definedName>
    <definedName name="HTML_Control_2_1_1_2_3_3" hidden="1">{"'Ark1'!$A$8:$M$33"}</definedName>
    <definedName name="HTML_Control_2_1_1_2_3_4" hidden="1">{"'Ark1'!$A$8:$M$33"}</definedName>
    <definedName name="HTML_Control_2_1_1_2_3_5" hidden="1">{"'Ark1'!$A$8:$M$33"}</definedName>
    <definedName name="HTML_Control_2_1_1_2_4" hidden="1">{"'Ark1'!$A$8:$M$33"}</definedName>
    <definedName name="HTML_Control_2_1_1_2_4_1" hidden="1">{"'Ark1'!$A$8:$M$33"}</definedName>
    <definedName name="HTML_Control_2_1_1_2_4_2" hidden="1">{"'Ark1'!$A$8:$M$33"}</definedName>
    <definedName name="HTML_Control_2_1_1_2_4_3" hidden="1">{"'Ark1'!$A$8:$M$33"}</definedName>
    <definedName name="HTML_Control_2_1_1_2_4_4" hidden="1">{"'Ark1'!$A$8:$M$33"}</definedName>
    <definedName name="HTML_Control_2_1_1_2_4_5" hidden="1">{"'Ark1'!$A$8:$M$33"}</definedName>
    <definedName name="HTML_Control_2_1_1_2_5" hidden="1">{"'Ark1'!$A$8:$M$33"}</definedName>
    <definedName name="HTML_Control_2_1_1_3" hidden="1">{"'Ark1'!$A$8:$M$33"}</definedName>
    <definedName name="HTML_Control_2_1_1_3_1" hidden="1">{"'Ark1'!$A$8:$M$33"}</definedName>
    <definedName name="HTML_Control_2_1_1_3_1_1" hidden="1">{"'Ark1'!$A$8:$M$33"}</definedName>
    <definedName name="HTML_Control_2_1_1_3_1_1_1" hidden="1">{"'Ark1'!$A$8:$M$33"}</definedName>
    <definedName name="HTML_Control_2_1_1_3_1_1_2" hidden="1">{"'Ark1'!$A$8:$M$33"}</definedName>
    <definedName name="HTML_Control_2_1_1_3_1_1_3" hidden="1">{"'Ark1'!$A$8:$M$33"}</definedName>
    <definedName name="HTML_Control_2_1_1_3_1_1_4" hidden="1">{"'Ark1'!$A$8:$M$33"}</definedName>
    <definedName name="HTML_Control_2_1_1_3_1_1_5" hidden="1">{"'Ark1'!$A$8:$M$33"}</definedName>
    <definedName name="HTML_Control_2_1_1_3_1_2" hidden="1">{"'Ark1'!$A$8:$M$33"}</definedName>
    <definedName name="HTML_Control_2_1_1_3_1_3" hidden="1">{"'Ark1'!$A$8:$M$33"}</definedName>
    <definedName name="HTML_Control_2_1_1_3_1_4" hidden="1">{"'Ark1'!$A$8:$M$33"}</definedName>
    <definedName name="HTML_Control_2_1_1_3_1_5" hidden="1">{"'Ark1'!$A$8:$M$33"}</definedName>
    <definedName name="HTML_Control_2_1_1_3_2" hidden="1">{"'Ark1'!$A$8:$M$33"}</definedName>
    <definedName name="HTML_Control_2_1_1_3_2_1" hidden="1">{"'Ark1'!$A$8:$M$33"}</definedName>
    <definedName name="HTML_Control_2_1_1_3_2_1_1" hidden="1">{"'Ark1'!$A$8:$M$33"}</definedName>
    <definedName name="HTML_Control_2_1_1_3_2_1_2" hidden="1">{"'Ark1'!$A$8:$M$33"}</definedName>
    <definedName name="HTML_Control_2_1_1_3_2_1_3" hidden="1">{"'Ark1'!$A$8:$M$33"}</definedName>
    <definedName name="HTML_Control_2_1_1_3_2_1_4" hidden="1">{"'Ark1'!$A$8:$M$33"}</definedName>
    <definedName name="HTML_Control_2_1_1_3_2_1_5" hidden="1">{"'Ark1'!$A$8:$M$33"}</definedName>
    <definedName name="HTML_Control_2_1_1_3_2_2" hidden="1">{"'Ark1'!$A$8:$M$33"}</definedName>
    <definedName name="HTML_Control_2_1_1_3_2_3" hidden="1">{"'Ark1'!$A$8:$M$33"}</definedName>
    <definedName name="HTML_Control_2_1_1_3_2_4" hidden="1">{"'Ark1'!$A$8:$M$33"}</definedName>
    <definedName name="HTML_Control_2_1_1_3_2_5" hidden="1">{"'Ark1'!$A$8:$M$33"}</definedName>
    <definedName name="HTML_Control_2_1_1_3_3" hidden="1">{"'Ark1'!$A$8:$M$33"}</definedName>
    <definedName name="HTML_Control_2_1_1_3_3_1" hidden="1">{"'Ark1'!$A$8:$M$33"}</definedName>
    <definedName name="HTML_Control_2_1_1_3_3_2" hidden="1">{"'Ark1'!$A$8:$M$33"}</definedName>
    <definedName name="HTML_Control_2_1_1_3_3_3" hidden="1">{"'Ark1'!$A$8:$M$33"}</definedName>
    <definedName name="HTML_Control_2_1_1_3_3_4" hidden="1">{"'Ark1'!$A$8:$M$33"}</definedName>
    <definedName name="HTML_Control_2_1_1_3_3_5" hidden="1">{"'Ark1'!$A$8:$M$33"}</definedName>
    <definedName name="HTML_Control_2_1_1_3_4" hidden="1">{"'Ark1'!$A$8:$M$33"}</definedName>
    <definedName name="HTML_Control_2_1_1_3_5" hidden="1">{"'Ark1'!$A$8:$M$33"}</definedName>
    <definedName name="HTML_Control_2_1_1_4" hidden="1">{"'Ark1'!$A$8:$M$33"}</definedName>
    <definedName name="HTML_Control_2_1_1_4_1" hidden="1">{"'Ark1'!$A$8:$M$33"}</definedName>
    <definedName name="HTML_Control_2_1_1_4_1_1" hidden="1">{"'Ark1'!$A$8:$M$33"}</definedName>
    <definedName name="HTML_Control_2_1_1_4_1_2" hidden="1">{"'Ark1'!$A$8:$M$33"}</definedName>
    <definedName name="HTML_Control_2_1_1_4_1_3" hidden="1">{"'Ark1'!$A$8:$M$33"}</definedName>
    <definedName name="HTML_Control_2_1_1_4_1_4" hidden="1">{"'Ark1'!$A$8:$M$33"}</definedName>
    <definedName name="HTML_Control_2_1_1_4_1_5" hidden="1">{"'Ark1'!$A$8:$M$33"}</definedName>
    <definedName name="HTML_Control_2_1_1_4_2" hidden="1">{"'Ark1'!$A$8:$M$33"}</definedName>
    <definedName name="HTML_Control_2_1_1_4_3" hidden="1">{"'Ark1'!$A$8:$M$33"}</definedName>
    <definedName name="HTML_Control_2_1_1_4_4" hidden="1">{"'Ark1'!$A$8:$M$33"}</definedName>
    <definedName name="HTML_Control_2_1_1_4_5" hidden="1">{"'Ark1'!$A$8:$M$33"}</definedName>
    <definedName name="HTML_Control_2_1_1_5" hidden="1">{"'Ark1'!$A$8:$M$33"}</definedName>
    <definedName name="HTML_Control_2_1_1_5_1" hidden="1">{"'Ark1'!$A$8:$M$33"}</definedName>
    <definedName name="HTML_Control_2_1_1_5_1_1" hidden="1">{"'Ark1'!$A$8:$M$33"}</definedName>
    <definedName name="HTML_Control_2_1_1_5_1_2" hidden="1">{"'Ark1'!$A$8:$M$33"}</definedName>
    <definedName name="HTML_Control_2_1_1_5_1_3" hidden="1">{"'Ark1'!$A$8:$M$33"}</definedName>
    <definedName name="HTML_Control_2_1_1_5_1_4" hidden="1">{"'Ark1'!$A$8:$M$33"}</definedName>
    <definedName name="HTML_Control_2_1_1_5_1_5" hidden="1">{"'Ark1'!$A$8:$M$33"}</definedName>
    <definedName name="HTML_Control_2_1_1_5_2" hidden="1">{"'Ark1'!$A$8:$M$33"}</definedName>
    <definedName name="HTML_Control_2_1_1_5_3" hidden="1">{"'Ark1'!$A$8:$M$33"}</definedName>
    <definedName name="HTML_Control_2_1_1_5_4" hidden="1">{"'Ark1'!$A$8:$M$33"}</definedName>
    <definedName name="HTML_Control_2_1_1_5_5" hidden="1">{"'Ark1'!$A$8:$M$33"}</definedName>
    <definedName name="HTML_Control_2_1_2" hidden="1">{"'Ark1'!$A$8:$M$33"}</definedName>
    <definedName name="HTML_Control_2_1_2_1" hidden="1">{"'Ark1'!$A$8:$M$33"}</definedName>
    <definedName name="HTML_Control_2_1_2_1_1" hidden="1">{"'Ark1'!$A$8:$M$33"}</definedName>
    <definedName name="HTML_Control_2_1_2_1_1_1" hidden="1">{"'Ark1'!$A$8:$M$33"}</definedName>
    <definedName name="HTML_Control_2_1_2_1_1_1_1" hidden="1">{"'Ark1'!$A$8:$M$33"}</definedName>
    <definedName name="HTML_Control_2_1_2_1_1_1_2" hidden="1">{"'Ark1'!$A$8:$M$33"}</definedName>
    <definedName name="HTML_Control_2_1_2_1_1_1_3" hidden="1">{"'Ark1'!$A$8:$M$33"}</definedName>
    <definedName name="HTML_Control_2_1_2_1_1_1_4" hidden="1">{"'Ark1'!$A$8:$M$33"}</definedName>
    <definedName name="HTML_Control_2_1_2_1_1_1_5" hidden="1">{"'Ark1'!$A$8:$M$33"}</definedName>
    <definedName name="HTML_Control_2_1_2_1_1_2" hidden="1">{"'Ark1'!$A$8:$M$33"}</definedName>
    <definedName name="HTML_Control_2_1_2_1_1_3" hidden="1">{"'Ark1'!$A$8:$M$33"}</definedName>
    <definedName name="HTML_Control_2_1_2_1_1_4" hidden="1">{"'Ark1'!$A$8:$M$33"}</definedName>
    <definedName name="HTML_Control_2_1_2_1_1_5" hidden="1">{"'Ark1'!$A$8:$M$33"}</definedName>
    <definedName name="HTML_Control_2_1_2_1_2" hidden="1">{"'Ark1'!$A$8:$M$33"}</definedName>
    <definedName name="HTML_Control_2_1_2_1_2_1" hidden="1">{"'Ark1'!$A$8:$M$33"}</definedName>
    <definedName name="HTML_Control_2_1_2_1_2_1_1" hidden="1">{"'Ark1'!$A$8:$M$33"}</definedName>
    <definedName name="HTML_Control_2_1_2_1_2_1_2" hidden="1">{"'Ark1'!$A$8:$M$33"}</definedName>
    <definedName name="HTML_Control_2_1_2_1_2_1_3" hidden="1">{"'Ark1'!$A$8:$M$33"}</definedName>
    <definedName name="HTML_Control_2_1_2_1_2_1_4" hidden="1">{"'Ark1'!$A$8:$M$33"}</definedName>
    <definedName name="HTML_Control_2_1_2_1_2_1_5" hidden="1">{"'Ark1'!$A$8:$M$33"}</definedName>
    <definedName name="HTML_Control_2_1_2_1_2_2" hidden="1">{"'Ark1'!$A$8:$M$33"}</definedName>
    <definedName name="HTML_Control_2_1_2_1_2_3" hidden="1">{"'Ark1'!$A$8:$M$33"}</definedName>
    <definedName name="HTML_Control_2_1_2_1_2_4" hidden="1">{"'Ark1'!$A$8:$M$33"}</definedName>
    <definedName name="HTML_Control_2_1_2_1_2_5" hidden="1">{"'Ark1'!$A$8:$M$33"}</definedName>
    <definedName name="HTML_Control_2_1_2_1_3" hidden="1">{"'Ark1'!$A$8:$M$33"}</definedName>
    <definedName name="HTML_Control_2_1_2_1_3_1" hidden="1">{"'Ark1'!$A$8:$M$33"}</definedName>
    <definedName name="HTML_Control_2_1_2_1_3_2" hidden="1">{"'Ark1'!$A$8:$M$33"}</definedName>
    <definedName name="HTML_Control_2_1_2_1_3_3" hidden="1">{"'Ark1'!$A$8:$M$33"}</definedName>
    <definedName name="HTML_Control_2_1_2_1_3_4" hidden="1">{"'Ark1'!$A$8:$M$33"}</definedName>
    <definedName name="HTML_Control_2_1_2_1_3_5" hidden="1">{"'Ark1'!$A$8:$M$33"}</definedName>
    <definedName name="HTML_Control_2_1_2_1_4" hidden="1">{"'Ark1'!$A$8:$M$33"}</definedName>
    <definedName name="HTML_Control_2_1_2_1_5" hidden="1">{"'Ark1'!$A$8:$M$33"}</definedName>
    <definedName name="HTML_Control_2_1_2_2" hidden="1">{"'Ark1'!$A$8:$M$33"}</definedName>
    <definedName name="HTML_Control_2_1_2_2_1" hidden="1">{"'Ark1'!$A$8:$M$33"}</definedName>
    <definedName name="HTML_Control_2_1_2_2_1_1" hidden="1">{"'Ark1'!$A$8:$M$33"}</definedName>
    <definedName name="HTML_Control_2_1_2_2_1_2" hidden="1">{"'Ark1'!$A$8:$M$33"}</definedName>
    <definedName name="HTML_Control_2_1_2_2_1_3" hidden="1">{"'Ark1'!$A$8:$M$33"}</definedName>
    <definedName name="HTML_Control_2_1_2_2_1_4" hidden="1">{"'Ark1'!$A$8:$M$33"}</definedName>
    <definedName name="HTML_Control_2_1_2_2_1_5" hidden="1">{"'Ark1'!$A$8:$M$33"}</definedName>
    <definedName name="HTML_Control_2_1_2_2_2" hidden="1">{"'Ark1'!$A$8:$M$33"}</definedName>
    <definedName name="HTML_Control_2_1_2_2_3" hidden="1">{"'Ark1'!$A$8:$M$33"}</definedName>
    <definedName name="HTML_Control_2_1_2_2_4" hidden="1">{"'Ark1'!$A$8:$M$33"}</definedName>
    <definedName name="HTML_Control_2_1_2_2_5" hidden="1">{"'Ark1'!$A$8:$M$33"}</definedName>
    <definedName name="HTML_Control_2_1_2_3" hidden="1">{"'Ark1'!$A$8:$M$33"}</definedName>
    <definedName name="HTML_Control_2_1_2_3_1" hidden="1">{"'Ark1'!$A$8:$M$33"}</definedName>
    <definedName name="HTML_Control_2_1_2_3_1_1" hidden="1">{"'Ark1'!$A$8:$M$33"}</definedName>
    <definedName name="HTML_Control_2_1_2_3_1_2" hidden="1">{"'Ark1'!$A$8:$M$33"}</definedName>
    <definedName name="HTML_Control_2_1_2_3_1_3" hidden="1">{"'Ark1'!$A$8:$M$33"}</definedName>
    <definedName name="HTML_Control_2_1_2_3_1_4" hidden="1">{"'Ark1'!$A$8:$M$33"}</definedName>
    <definedName name="HTML_Control_2_1_2_3_1_5" hidden="1">{"'Ark1'!$A$8:$M$33"}</definedName>
    <definedName name="HTML_Control_2_1_2_3_2" hidden="1">{"'Ark1'!$A$8:$M$33"}</definedName>
    <definedName name="HTML_Control_2_1_2_3_3" hidden="1">{"'Ark1'!$A$8:$M$33"}</definedName>
    <definedName name="HTML_Control_2_1_2_3_4" hidden="1">{"'Ark1'!$A$8:$M$33"}</definedName>
    <definedName name="HTML_Control_2_1_2_3_5" hidden="1">{"'Ark1'!$A$8:$M$33"}</definedName>
    <definedName name="HTML_Control_2_1_2_4" hidden="1">{"'Ark1'!$A$8:$M$33"}</definedName>
    <definedName name="HTML_Control_2_1_2_4_1" hidden="1">{"'Ark1'!$A$8:$M$33"}</definedName>
    <definedName name="HTML_Control_2_1_2_4_2" hidden="1">{"'Ark1'!$A$8:$M$33"}</definedName>
    <definedName name="HTML_Control_2_1_2_4_3" hidden="1">{"'Ark1'!$A$8:$M$33"}</definedName>
    <definedName name="HTML_Control_2_1_2_4_4" hidden="1">{"'Ark1'!$A$8:$M$33"}</definedName>
    <definedName name="HTML_Control_2_1_2_4_5" hidden="1">{"'Ark1'!$A$8:$M$33"}</definedName>
    <definedName name="HTML_Control_2_1_2_5" hidden="1">{"'Ark1'!$A$8:$M$33"}</definedName>
    <definedName name="HTML_Control_2_1_3" hidden="1">{"'Ark1'!$A$8:$M$33"}</definedName>
    <definedName name="HTML_Control_2_1_3_1" hidden="1">{"'Ark1'!$A$8:$M$33"}</definedName>
    <definedName name="HTML_Control_2_1_3_1_1" hidden="1">{"'Ark1'!$A$8:$M$33"}</definedName>
    <definedName name="HTML_Control_2_1_3_1_1_1" hidden="1">{"'Ark1'!$A$8:$M$33"}</definedName>
    <definedName name="HTML_Control_2_1_3_1_1_1_1" hidden="1">{"'Ark1'!$A$8:$M$33"}</definedName>
    <definedName name="HTML_Control_2_1_3_1_1_1_2" hidden="1">{"'Ark1'!$A$8:$M$33"}</definedName>
    <definedName name="HTML_Control_2_1_3_1_1_1_3" hidden="1">{"'Ark1'!$A$8:$M$33"}</definedName>
    <definedName name="HTML_Control_2_1_3_1_1_1_4" hidden="1">{"'Ark1'!$A$8:$M$33"}</definedName>
    <definedName name="HTML_Control_2_1_3_1_1_1_5" hidden="1">{"'Ark1'!$A$8:$M$33"}</definedName>
    <definedName name="HTML_Control_2_1_3_1_1_2" hidden="1">{"'Ark1'!$A$8:$M$33"}</definedName>
    <definedName name="HTML_Control_2_1_3_1_1_3" hidden="1">{"'Ark1'!$A$8:$M$33"}</definedName>
    <definedName name="HTML_Control_2_1_3_1_1_4" hidden="1">{"'Ark1'!$A$8:$M$33"}</definedName>
    <definedName name="HTML_Control_2_1_3_1_1_5" hidden="1">{"'Ark1'!$A$8:$M$33"}</definedName>
    <definedName name="HTML_Control_2_1_3_1_2" hidden="1">{"'Ark1'!$A$8:$M$33"}</definedName>
    <definedName name="HTML_Control_2_1_3_1_2_1" hidden="1">{"'Ark1'!$A$8:$M$33"}</definedName>
    <definedName name="HTML_Control_2_1_3_1_2_1_1" hidden="1">{"'Ark1'!$A$8:$M$33"}</definedName>
    <definedName name="HTML_Control_2_1_3_1_2_1_2" hidden="1">{"'Ark1'!$A$8:$M$33"}</definedName>
    <definedName name="HTML_Control_2_1_3_1_2_1_3" hidden="1">{"'Ark1'!$A$8:$M$33"}</definedName>
    <definedName name="HTML_Control_2_1_3_1_2_1_4" hidden="1">{"'Ark1'!$A$8:$M$33"}</definedName>
    <definedName name="HTML_Control_2_1_3_1_2_1_5" hidden="1">{"'Ark1'!$A$8:$M$33"}</definedName>
    <definedName name="HTML_Control_2_1_3_1_2_2" hidden="1">{"'Ark1'!$A$8:$M$33"}</definedName>
    <definedName name="HTML_Control_2_1_3_1_2_3" hidden="1">{"'Ark1'!$A$8:$M$33"}</definedName>
    <definedName name="HTML_Control_2_1_3_1_2_4" hidden="1">{"'Ark1'!$A$8:$M$33"}</definedName>
    <definedName name="HTML_Control_2_1_3_1_2_5" hidden="1">{"'Ark1'!$A$8:$M$33"}</definedName>
    <definedName name="HTML_Control_2_1_3_1_3" hidden="1">{"'Ark1'!$A$8:$M$33"}</definedName>
    <definedName name="HTML_Control_2_1_3_1_3_1" hidden="1">{"'Ark1'!$A$8:$M$33"}</definedName>
    <definedName name="HTML_Control_2_1_3_1_3_2" hidden="1">{"'Ark1'!$A$8:$M$33"}</definedName>
    <definedName name="HTML_Control_2_1_3_1_3_3" hidden="1">{"'Ark1'!$A$8:$M$33"}</definedName>
    <definedName name="HTML_Control_2_1_3_1_3_4" hidden="1">{"'Ark1'!$A$8:$M$33"}</definedName>
    <definedName name="HTML_Control_2_1_3_1_3_5" hidden="1">{"'Ark1'!$A$8:$M$33"}</definedName>
    <definedName name="HTML_Control_2_1_3_1_4" hidden="1">{"'Ark1'!$A$8:$M$33"}</definedName>
    <definedName name="HTML_Control_2_1_3_1_5" hidden="1">{"'Ark1'!$A$8:$M$33"}</definedName>
    <definedName name="HTML_Control_2_1_3_2" hidden="1">{"'Ark1'!$A$8:$M$33"}</definedName>
    <definedName name="HTML_Control_2_1_3_2_1" hidden="1">{"'Ark1'!$A$8:$M$33"}</definedName>
    <definedName name="HTML_Control_2_1_3_2_1_1" hidden="1">{"'Ark1'!$A$8:$M$33"}</definedName>
    <definedName name="HTML_Control_2_1_3_2_1_2" hidden="1">{"'Ark1'!$A$8:$M$33"}</definedName>
    <definedName name="HTML_Control_2_1_3_2_1_3" hidden="1">{"'Ark1'!$A$8:$M$33"}</definedName>
    <definedName name="HTML_Control_2_1_3_2_1_4" hidden="1">{"'Ark1'!$A$8:$M$33"}</definedName>
    <definedName name="HTML_Control_2_1_3_2_1_5" hidden="1">{"'Ark1'!$A$8:$M$33"}</definedName>
    <definedName name="HTML_Control_2_1_3_2_2" hidden="1">{"'Ark1'!$A$8:$M$33"}</definedName>
    <definedName name="HTML_Control_2_1_3_2_3" hidden="1">{"'Ark1'!$A$8:$M$33"}</definedName>
    <definedName name="HTML_Control_2_1_3_2_4" hidden="1">{"'Ark1'!$A$8:$M$33"}</definedName>
    <definedName name="HTML_Control_2_1_3_2_5" hidden="1">{"'Ark1'!$A$8:$M$33"}</definedName>
    <definedName name="HTML_Control_2_1_3_3" hidden="1">{"'Ark1'!$A$8:$M$33"}</definedName>
    <definedName name="HTML_Control_2_1_3_3_1" hidden="1">{"'Ark1'!$A$8:$M$33"}</definedName>
    <definedName name="HTML_Control_2_1_3_3_1_1" hidden="1">{"'Ark1'!$A$8:$M$33"}</definedName>
    <definedName name="HTML_Control_2_1_3_3_1_2" hidden="1">{"'Ark1'!$A$8:$M$33"}</definedName>
    <definedName name="HTML_Control_2_1_3_3_1_3" hidden="1">{"'Ark1'!$A$8:$M$33"}</definedName>
    <definedName name="HTML_Control_2_1_3_3_1_4" hidden="1">{"'Ark1'!$A$8:$M$33"}</definedName>
    <definedName name="HTML_Control_2_1_3_3_1_5" hidden="1">{"'Ark1'!$A$8:$M$33"}</definedName>
    <definedName name="HTML_Control_2_1_3_3_2" hidden="1">{"'Ark1'!$A$8:$M$33"}</definedName>
    <definedName name="HTML_Control_2_1_3_3_3" hidden="1">{"'Ark1'!$A$8:$M$33"}</definedName>
    <definedName name="HTML_Control_2_1_3_3_4" hidden="1">{"'Ark1'!$A$8:$M$33"}</definedName>
    <definedName name="HTML_Control_2_1_3_3_5" hidden="1">{"'Ark1'!$A$8:$M$33"}</definedName>
    <definedName name="HTML_Control_2_1_3_4" hidden="1">{"'Ark1'!$A$8:$M$33"}</definedName>
    <definedName name="HTML_Control_2_1_3_4_1" hidden="1">{"'Ark1'!$A$8:$M$33"}</definedName>
    <definedName name="HTML_Control_2_1_3_4_2" hidden="1">{"'Ark1'!$A$8:$M$33"}</definedName>
    <definedName name="HTML_Control_2_1_3_4_3" hidden="1">{"'Ark1'!$A$8:$M$33"}</definedName>
    <definedName name="HTML_Control_2_1_3_4_4" hidden="1">{"'Ark1'!$A$8:$M$33"}</definedName>
    <definedName name="HTML_Control_2_1_3_4_5" hidden="1">{"'Ark1'!$A$8:$M$33"}</definedName>
    <definedName name="HTML_Control_2_1_3_5" hidden="1">{"'Ark1'!$A$8:$M$33"}</definedName>
    <definedName name="HTML_Control_2_1_4" hidden="1">{"'Ark1'!$A$8:$M$33"}</definedName>
    <definedName name="HTML_Control_2_1_4_1" hidden="1">{"'Ark1'!$A$8:$M$33"}</definedName>
    <definedName name="HTML_Control_2_1_4_1_1" hidden="1">{"'Ark1'!$A$8:$M$33"}</definedName>
    <definedName name="HTML_Control_2_1_4_1_1_1" hidden="1">{"'Ark1'!$A$8:$M$33"}</definedName>
    <definedName name="HTML_Control_2_1_4_1_1_2" hidden="1">{"'Ark1'!$A$8:$M$33"}</definedName>
    <definedName name="HTML_Control_2_1_4_1_1_3" hidden="1">{"'Ark1'!$A$8:$M$33"}</definedName>
    <definedName name="HTML_Control_2_1_4_1_1_4" hidden="1">{"'Ark1'!$A$8:$M$33"}</definedName>
    <definedName name="HTML_Control_2_1_4_1_1_5" hidden="1">{"'Ark1'!$A$8:$M$33"}</definedName>
    <definedName name="HTML_Control_2_1_4_1_2" hidden="1">{"'Ark1'!$A$8:$M$33"}</definedName>
    <definedName name="HTML_Control_2_1_4_1_3" hidden="1">{"'Ark1'!$A$8:$M$33"}</definedName>
    <definedName name="HTML_Control_2_1_4_1_4" hidden="1">{"'Ark1'!$A$8:$M$33"}</definedName>
    <definedName name="HTML_Control_2_1_4_1_5" hidden="1">{"'Ark1'!$A$8:$M$33"}</definedName>
    <definedName name="HTML_Control_2_1_4_2" hidden="1">{"'Ark1'!$A$8:$M$33"}</definedName>
    <definedName name="HTML_Control_2_1_4_2_1" hidden="1">{"'Ark1'!$A$8:$M$33"}</definedName>
    <definedName name="HTML_Control_2_1_4_2_1_1" hidden="1">{"'Ark1'!$A$8:$M$33"}</definedName>
    <definedName name="HTML_Control_2_1_4_2_1_2" hidden="1">{"'Ark1'!$A$8:$M$33"}</definedName>
    <definedName name="HTML_Control_2_1_4_2_1_3" hidden="1">{"'Ark1'!$A$8:$M$33"}</definedName>
    <definedName name="HTML_Control_2_1_4_2_1_4" hidden="1">{"'Ark1'!$A$8:$M$33"}</definedName>
    <definedName name="HTML_Control_2_1_4_2_1_5" hidden="1">{"'Ark1'!$A$8:$M$33"}</definedName>
    <definedName name="HTML_Control_2_1_4_2_2" hidden="1">{"'Ark1'!$A$8:$M$33"}</definedName>
    <definedName name="HTML_Control_2_1_4_2_3" hidden="1">{"'Ark1'!$A$8:$M$33"}</definedName>
    <definedName name="HTML_Control_2_1_4_2_4" hidden="1">{"'Ark1'!$A$8:$M$33"}</definedName>
    <definedName name="HTML_Control_2_1_4_2_5" hidden="1">{"'Ark1'!$A$8:$M$33"}</definedName>
    <definedName name="HTML_Control_2_1_4_3" hidden="1">{"'Ark1'!$A$8:$M$33"}</definedName>
    <definedName name="HTML_Control_2_1_4_3_1" hidden="1">{"'Ark1'!$A$8:$M$33"}</definedName>
    <definedName name="HTML_Control_2_1_4_3_2" hidden="1">{"'Ark1'!$A$8:$M$33"}</definedName>
    <definedName name="HTML_Control_2_1_4_3_3" hidden="1">{"'Ark1'!$A$8:$M$33"}</definedName>
    <definedName name="HTML_Control_2_1_4_3_4" hidden="1">{"'Ark1'!$A$8:$M$33"}</definedName>
    <definedName name="HTML_Control_2_1_4_3_5" hidden="1">{"'Ark1'!$A$8:$M$33"}</definedName>
    <definedName name="HTML_Control_2_1_4_4" hidden="1">{"'Ark1'!$A$8:$M$33"}</definedName>
    <definedName name="HTML_Control_2_1_4_5" hidden="1">{"'Ark1'!$A$8:$M$33"}</definedName>
    <definedName name="HTML_Control_2_1_5" hidden="1">{"'Ark1'!$A$8:$M$33"}</definedName>
    <definedName name="HTML_Control_2_1_5_1" hidden="1">{"'Ark1'!$A$8:$M$33"}</definedName>
    <definedName name="HTML_Control_2_1_5_1_1" hidden="1">{"'Ark1'!$A$8:$M$33"}</definedName>
    <definedName name="HTML_Control_2_1_5_1_2" hidden="1">{"'Ark1'!$A$8:$M$33"}</definedName>
    <definedName name="HTML_Control_2_1_5_1_3" hidden="1">{"'Ark1'!$A$8:$M$33"}</definedName>
    <definedName name="HTML_Control_2_1_5_1_4" hidden="1">{"'Ark1'!$A$8:$M$33"}</definedName>
    <definedName name="HTML_Control_2_1_5_1_5" hidden="1">{"'Ark1'!$A$8:$M$33"}</definedName>
    <definedName name="HTML_Control_2_1_5_2" hidden="1">{"'Ark1'!$A$8:$M$33"}</definedName>
    <definedName name="HTML_Control_2_1_5_3" hidden="1">{"'Ark1'!$A$8:$M$33"}</definedName>
    <definedName name="HTML_Control_2_1_5_4" hidden="1">{"'Ark1'!$A$8:$M$33"}</definedName>
    <definedName name="HTML_Control_2_1_5_5" hidden="1">{"'Ark1'!$A$8:$M$33"}</definedName>
    <definedName name="HTML_Control_2_2" hidden="1">{"'Ark1'!$A$8:$M$33"}</definedName>
    <definedName name="HTML_Control_2_2_1" hidden="1">{"'Ark1'!$A$8:$M$33"}</definedName>
    <definedName name="HTML_Control_2_2_1_1" hidden="1">{"'Ark1'!$A$8:$M$33"}</definedName>
    <definedName name="HTML_Control_2_2_1_1_1" hidden="1">{"'Ark1'!$A$8:$M$33"}</definedName>
    <definedName name="HTML_Control_2_2_1_1_1_1" hidden="1">{"'Ark1'!$A$8:$M$33"}</definedName>
    <definedName name="HTML_Control_2_2_1_1_1_1_1" hidden="1">{"'Ark1'!$A$8:$M$33"}</definedName>
    <definedName name="HTML_Control_2_2_1_1_1_1_2" hidden="1">{"'Ark1'!$A$8:$M$33"}</definedName>
    <definedName name="HTML_Control_2_2_1_1_1_1_3" hidden="1">{"'Ark1'!$A$8:$M$33"}</definedName>
    <definedName name="HTML_Control_2_2_1_1_1_1_4" hidden="1">{"'Ark1'!$A$8:$M$33"}</definedName>
    <definedName name="HTML_Control_2_2_1_1_1_1_5" hidden="1">{"'Ark1'!$A$8:$M$33"}</definedName>
    <definedName name="HTML_Control_2_2_1_1_1_2" hidden="1">{"'Ark1'!$A$8:$M$33"}</definedName>
    <definedName name="HTML_Control_2_2_1_1_1_3" hidden="1">{"'Ark1'!$A$8:$M$33"}</definedName>
    <definedName name="HTML_Control_2_2_1_1_1_4" hidden="1">{"'Ark1'!$A$8:$M$33"}</definedName>
    <definedName name="HTML_Control_2_2_1_1_1_5" hidden="1">{"'Ark1'!$A$8:$M$33"}</definedName>
    <definedName name="HTML_Control_2_2_1_1_2" hidden="1">{"'Ark1'!$A$8:$M$33"}</definedName>
    <definedName name="HTML_Control_2_2_1_1_2_1" hidden="1">{"'Ark1'!$A$8:$M$33"}</definedName>
    <definedName name="HTML_Control_2_2_1_1_2_1_1" hidden="1">{"'Ark1'!$A$8:$M$33"}</definedName>
    <definedName name="HTML_Control_2_2_1_1_2_1_2" hidden="1">{"'Ark1'!$A$8:$M$33"}</definedName>
    <definedName name="HTML_Control_2_2_1_1_2_1_3" hidden="1">{"'Ark1'!$A$8:$M$33"}</definedName>
    <definedName name="HTML_Control_2_2_1_1_2_1_4" hidden="1">{"'Ark1'!$A$8:$M$33"}</definedName>
    <definedName name="HTML_Control_2_2_1_1_2_1_5" hidden="1">{"'Ark1'!$A$8:$M$33"}</definedName>
    <definedName name="HTML_Control_2_2_1_1_2_2" hidden="1">{"'Ark1'!$A$8:$M$33"}</definedName>
    <definedName name="HTML_Control_2_2_1_1_2_3" hidden="1">{"'Ark1'!$A$8:$M$33"}</definedName>
    <definedName name="HTML_Control_2_2_1_1_2_4" hidden="1">{"'Ark1'!$A$8:$M$33"}</definedName>
    <definedName name="HTML_Control_2_2_1_1_2_5" hidden="1">{"'Ark1'!$A$8:$M$33"}</definedName>
    <definedName name="HTML_Control_2_2_1_1_3" hidden="1">{"'Ark1'!$A$8:$M$33"}</definedName>
    <definedName name="HTML_Control_2_2_1_1_3_1" hidden="1">{"'Ark1'!$A$8:$M$33"}</definedName>
    <definedName name="HTML_Control_2_2_1_1_3_2" hidden="1">{"'Ark1'!$A$8:$M$33"}</definedName>
    <definedName name="HTML_Control_2_2_1_1_3_3" hidden="1">{"'Ark1'!$A$8:$M$33"}</definedName>
    <definedName name="HTML_Control_2_2_1_1_3_4" hidden="1">{"'Ark1'!$A$8:$M$33"}</definedName>
    <definedName name="HTML_Control_2_2_1_1_3_5" hidden="1">{"'Ark1'!$A$8:$M$33"}</definedName>
    <definedName name="HTML_Control_2_2_1_1_4" hidden="1">{"'Ark1'!$A$8:$M$33"}</definedName>
    <definedName name="HTML_Control_2_2_1_1_5" hidden="1">{"'Ark1'!$A$8:$M$33"}</definedName>
    <definedName name="HTML_Control_2_2_1_2" hidden="1">{"'Ark1'!$A$8:$M$33"}</definedName>
    <definedName name="HTML_Control_2_2_1_2_1" hidden="1">{"'Ark1'!$A$8:$M$33"}</definedName>
    <definedName name="HTML_Control_2_2_1_2_1_1" hidden="1">{"'Ark1'!$A$8:$M$33"}</definedName>
    <definedName name="HTML_Control_2_2_1_2_1_2" hidden="1">{"'Ark1'!$A$8:$M$33"}</definedName>
    <definedName name="HTML_Control_2_2_1_2_1_3" hidden="1">{"'Ark1'!$A$8:$M$33"}</definedName>
    <definedName name="HTML_Control_2_2_1_2_1_4" hidden="1">{"'Ark1'!$A$8:$M$33"}</definedName>
    <definedName name="HTML_Control_2_2_1_2_1_5" hidden="1">{"'Ark1'!$A$8:$M$33"}</definedName>
    <definedName name="HTML_Control_2_2_1_2_2" hidden="1">{"'Ark1'!$A$8:$M$33"}</definedName>
    <definedName name="HTML_Control_2_2_1_2_3" hidden="1">{"'Ark1'!$A$8:$M$33"}</definedName>
    <definedName name="HTML_Control_2_2_1_2_4" hidden="1">{"'Ark1'!$A$8:$M$33"}</definedName>
    <definedName name="HTML_Control_2_2_1_2_5" hidden="1">{"'Ark1'!$A$8:$M$33"}</definedName>
    <definedName name="HTML_Control_2_2_1_3" hidden="1">{"'Ark1'!$A$8:$M$33"}</definedName>
    <definedName name="HTML_Control_2_2_1_3_1" hidden="1">{"'Ark1'!$A$8:$M$33"}</definedName>
    <definedName name="HTML_Control_2_2_1_3_1_1" hidden="1">{"'Ark1'!$A$8:$M$33"}</definedName>
    <definedName name="HTML_Control_2_2_1_3_1_2" hidden="1">{"'Ark1'!$A$8:$M$33"}</definedName>
    <definedName name="HTML_Control_2_2_1_3_1_3" hidden="1">{"'Ark1'!$A$8:$M$33"}</definedName>
    <definedName name="HTML_Control_2_2_1_3_1_4" hidden="1">{"'Ark1'!$A$8:$M$33"}</definedName>
    <definedName name="HTML_Control_2_2_1_3_1_5" hidden="1">{"'Ark1'!$A$8:$M$33"}</definedName>
    <definedName name="HTML_Control_2_2_1_3_2" hidden="1">{"'Ark1'!$A$8:$M$33"}</definedName>
    <definedName name="HTML_Control_2_2_1_3_3" hidden="1">{"'Ark1'!$A$8:$M$33"}</definedName>
    <definedName name="HTML_Control_2_2_1_3_4" hidden="1">{"'Ark1'!$A$8:$M$33"}</definedName>
    <definedName name="HTML_Control_2_2_1_3_5" hidden="1">{"'Ark1'!$A$8:$M$33"}</definedName>
    <definedName name="HTML_Control_2_2_1_4" hidden="1">{"'Ark1'!$A$8:$M$33"}</definedName>
    <definedName name="HTML_Control_2_2_1_4_1" hidden="1">{"'Ark1'!$A$8:$M$33"}</definedName>
    <definedName name="HTML_Control_2_2_1_4_2" hidden="1">{"'Ark1'!$A$8:$M$33"}</definedName>
    <definedName name="HTML_Control_2_2_1_4_3" hidden="1">{"'Ark1'!$A$8:$M$33"}</definedName>
    <definedName name="HTML_Control_2_2_1_4_4" hidden="1">{"'Ark1'!$A$8:$M$33"}</definedName>
    <definedName name="HTML_Control_2_2_1_4_5" hidden="1">{"'Ark1'!$A$8:$M$33"}</definedName>
    <definedName name="HTML_Control_2_2_1_5" hidden="1">{"'Ark1'!$A$8:$M$33"}</definedName>
    <definedName name="HTML_Control_2_2_2" hidden="1">{"'Ark1'!$A$8:$M$33"}</definedName>
    <definedName name="HTML_Control_2_2_2_1" hidden="1">{"'Ark1'!$A$8:$M$33"}</definedName>
    <definedName name="HTML_Control_2_2_2_1_1" hidden="1">{"'Ark1'!$A$8:$M$33"}</definedName>
    <definedName name="HTML_Control_2_2_2_1_1_1" hidden="1">{"'Ark1'!$A$8:$M$33"}</definedName>
    <definedName name="HTML_Control_2_2_2_1_1_1_1" hidden="1">{"'Ark1'!$A$8:$M$33"}</definedName>
    <definedName name="HTML_Control_2_2_2_1_1_1_2" hidden="1">{"'Ark1'!$A$8:$M$33"}</definedName>
    <definedName name="HTML_Control_2_2_2_1_1_1_3" hidden="1">{"'Ark1'!$A$8:$M$33"}</definedName>
    <definedName name="HTML_Control_2_2_2_1_1_1_4" hidden="1">{"'Ark1'!$A$8:$M$33"}</definedName>
    <definedName name="HTML_Control_2_2_2_1_1_1_5" hidden="1">{"'Ark1'!$A$8:$M$33"}</definedName>
    <definedName name="HTML_Control_2_2_2_1_1_2" hidden="1">{"'Ark1'!$A$8:$M$33"}</definedName>
    <definedName name="HTML_Control_2_2_2_1_1_3" hidden="1">{"'Ark1'!$A$8:$M$33"}</definedName>
    <definedName name="HTML_Control_2_2_2_1_1_4" hidden="1">{"'Ark1'!$A$8:$M$33"}</definedName>
    <definedName name="HTML_Control_2_2_2_1_1_5" hidden="1">{"'Ark1'!$A$8:$M$33"}</definedName>
    <definedName name="HTML_Control_2_2_2_1_2" hidden="1">{"'Ark1'!$A$8:$M$33"}</definedName>
    <definedName name="HTML_Control_2_2_2_1_2_1" hidden="1">{"'Ark1'!$A$8:$M$33"}</definedName>
    <definedName name="HTML_Control_2_2_2_1_2_1_1" hidden="1">{"'Ark1'!$A$8:$M$33"}</definedName>
    <definedName name="HTML_Control_2_2_2_1_2_1_2" hidden="1">{"'Ark1'!$A$8:$M$33"}</definedName>
    <definedName name="HTML_Control_2_2_2_1_2_1_3" hidden="1">{"'Ark1'!$A$8:$M$33"}</definedName>
    <definedName name="HTML_Control_2_2_2_1_2_1_4" hidden="1">{"'Ark1'!$A$8:$M$33"}</definedName>
    <definedName name="HTML_Control_2_2_2_1_2_1_5" hidden="1">{"'Ark1'!$A$8:$M$33"}</definedName>
    <definedName name="HTML_Control_2_2_2_1_2_2" hidden="1">{"'Ark1'!$A$8:$M$33"}</definedName>
    <definedName name="HTML_Control_2_2_2_1_2_3" hidden="1">{"'Ark1'!$A$8:$M$33"}</definedName>
    <definedName name="HTML_Control_2_2_2_1_2_4" hidden="1">{"'Ark1'!$A$8:$M$33"}</definedName>
    <definedName name="HTML_Control_2_2_2_1_2_5" hidden="1">{"'Ark1'!$A$8:$M$33"}</definedName>
    <definedName name="HTML_Control_2_2_2_1_3" hidden="1">{"'Ark1'!$A$8:$M$33"}</definedName>
    <definedName name="HTML_Control_2_2_2_1_3_1" hidden="1">{"'Ark1'!$A$8:$M$33"}</definedName>
    <definedName name="HTML_Control_2_2_2_1_3_2" hidden="1">{"'Ark1'!$A$8:$M$33"}</definedName>
    <definedName name="HTML_Control_2_2_2_1_3_3" hidden="1">{"'Ark1'!$A$8:$M$33"}</definedName>
    <definedName name="HTML_Control_2_2_2_1_3_4" hidden="1">{"'Ark1'!$A$8:$M$33"}</definedName>
    <definedName name="HTML_Control_2_2_2_1_3_5" hidden="1">{"'Ark1'!$A$8:$M$33"}</definedName>
    <definedName name="HTML_Control_2_2_2_1_4" hidden="1">{"'Ark1'!$A$8:$M$33"}</definedName>
    <definedName name="HTML_Control_2_2_2_1_5" hidden="1">{"'Ark1'!$A$8:$M$33"}</definedName>
    <definedName name="HTML_Control_2_2_2_2" hidden="1">{"'Ark1'!$A$8:$M$33"}</definedName>
    <definedName name="HTML_Control_2_2_2_2_1" hidden="1">{"'Ark1'!$A$8:$M$33"}</definedName>
    <definedName name="HTML_Control_2_2_2_2_1_1" hidden="1">{"'Ark1'!$A$8:$M$33"}</definedName>
    <definedName name="HTML_Control_2_2_2_2_1_2" hidden="1">{"'Ark1'!$A$8:$M$33"}</definedName>
    <definedName name="HTML_Control_2_2_2_2_1_3" hidden="1">{"'Ark1'!$A$8:$M$33"}</definedName>
    <definedName name="HTML_Control_2_2_2_2_1_4" hidden="1">{"'Ark1'!$A$8:$M$33"}</definedName>
    <definedName name="HTML_Control_2_2_2_2_1_5" hidden="1">{"'Ark1'!$A$8:$M$33"}</definedName>
    <definedName name="HTML_Control_2_2_2_2_2" hidden="1">{"'Ark1'!$A$8:$M$33"}</definedName>
    <definedName name="HTML_Control_2_2_2_2_3" hidden="1">{"'Ark1'!$A$8:$M$33"}</definedName>
    <definedName name="HTML_Control_2_2_2_2_4" hidden="1">{"'Ark1'!$A$8:$M$33"}</definedName>
    <definedName name="HTML_Control_2_2_2_2_5" hidden="1">{"'Ark1'!$A$8:$M$33"}</definedName>
    <definedName name="HTML_Control_2_2_2_3" hidden="1">{"'Ark1'!$A$8:$M$33"}</definedName>
    <definedName name="HTML_Control_2_2_2_3_1" hidden="1">{"'Ark1'!$A$8:$M$33"}</definedName>
    <definedName name="HTML_Control_2_2_2_3_1_1" hidden="1">{"'Ark1'!$A$8:$M$33"}</definedName>
    <definedName name="HTML_Control_2_2_2_3_1_2" hidden="1">{"'Ark1'!$A$8:$M$33"}</definedName>
    <definedName name="HTML_Control_2_2_2_3_1_3" hidden="1">{"'Ark1'!$A$8:$M$33"}</definedName>
    <definedName name="HTML_Control_2_2_2_3_1_4" hidden="1">{"'Ark1'!$A$8:$M$33"}</definedName>
    <definedName name="HTML_Control_2_2_2_3_1_5" hidden="1">{"'Ark1'!$A$8:$M$33"}</definedName>
    <definedName name="HTML_Control_2_2_2_3_2" hidden="1">{"'Ark1'!$A$8:$M$33"}</definedName>
    <definedName name="HTML_Control_2_2_2_3_3" hidden="1">{"'Ark1'!$A$8:$M$33"}</definedName>
    <definedName name="HTML_Control_2_2_2_3_4" hidden="1">{"'Ark1'!$A$8:$M$33"}</definedName>
    <definedName name="HTML_Control_2_2_2_3_5" hidden="1">{"'Ark1'!$A$8:$M$33"}</definedName>
    <definedName name="HTML_Control_2_2_2_4" hidden="1">{"'Ark1'!$A$8:$M$33"}</definedName>
    <definedName name="HTML_Control_2_2_2_4_1" hidden="1">{"'Ark1'!$A$8:$M$33"}</definedName>
    <definedName name="HTML_Control_2_2_2_4_2" hidden="1">{"'Ark1'!$A$8:$M$33"}</definedName>
    <definedName name="HTML_Control_2_2_2_4_3" hidden="1">{"'Ark1'!$A$8:$M$33"}</definedName>
    <definedName name="HTML_Control_2_2_2_4_4" hidden="1">{"'Ark1'!$A$8:$M$33"}</definedName>
    <definedName name="HTML_Control_2_2_2_4_5" hidden="1">{"'Ark1'!$A$8:$M$33"}</definedName>
    <definedName name="HTML_Control_2_2_2_5" hidden="1">{"'Ark1'!$A$8:$M$33"}</definedName>
    <definedName name="HTML_Control_2_2_3" hidden="1">{"'Ark1'!$A$8:$M$33"}</definedName>
    <definedName name="HTML_Control_2_2_3_1" hidden="1">{"'Ark1'!$A$8:$M$33"}</definedName>
    <definedName name="HTML_Control_2_2_3_1_1" hidden="1">{"'Ark1'!$A$8:$M$33"}</definedName>
    <definedName name="HTML_Control_2_2_3_1_1_1" hidden="1">{"'Ark1'!$A$8:$M$33"}</definedName>
    <definedName name="HTML_Control_2_2_3_1_1_2" hidden="1">{"'Ark1'!$A$8:$M$33"}</definedName>
    <definedName name="HTML_Control_2_2_3_1_1_3" hidden="1">{"'Ark1'!$A$8:$M$33"}</definedName>
    <definedName name="HTML_Control_2_2_3_1_1_4" hidden="1">{"'Ark1'!$A$8:$M$33"}</definedName>
    <definedName name="HTML_Control_2_2_3_1_1_5" hidden="1">{"'Ark1'!$A$8:$M$33"}</definedName>
    <definedName name="HTML_Control_2_2_3_1_2" hidden="1">{"'Ark1'!$A$8:$M$33"}</definedName>
    <definedName name="HTML_Control_2_2_3_1_3" hidden="1">{"'Ark1'!$A$8:$M$33"}</definedName>
    <definedName name="HTML_Control_2_2_3_1_4" hidden="1">{"'Ark1'!$A$8:$M$33"}</definedName>
    <definedName name="HTML_Control_2_2_3_1_5" hidden="1">{"'Ark1'!$A$8:$M$33"}</definedName>
    <definedName name="HTML_Control_2_2_3_2" hidden="1">{"'Ark1'!$A$8:$M$33"}</definedName>
    <definedName name="HTML_Control_2_2_3_2_1" hidden="1">{"'Ark1'!$A$8:$M$33"}</definedName>
    <definedName name="HTML_Control_2_2_3_2_1_1" hidden="1">{"'Ark1'!$A$8:$M$33"}</definedName>
    <definedName name="HTML_Control_2_2_3_2_1_2" hidden="1">{"'Ark1'!$A$8:$M$33"}</definedName>
    <definedName name="HTML_Control_2_2_3_2_1_3" hidden="1">{"'Ark1'!$A$8:$M$33"}</definedName>
    <definedName name="HTML_Control_2_2_3_2_1_4" hidden="1">{"'Ark1'!$A$8:$M$33"}</definedName>
    <definedName name="HTML_Control_2_2_3_2_1_5" hidden="1">{"'Ark1'!$A$8:$M$33"}</definedName>
    <definedName name="HTML_Control_2_2_3_2_2" hidden="1">{"'Ark1'!$A$8:$M$33"}</definedName>
    <definedName name="HTML_Control_2_2_3_2_3" hidden="1">{"'Ark1'!$A$8:$M$33"}</definedName>
    <definedName name="HTML_Control_2_2_3_2_4" hidden="1">{"'Ark1'!$A$8:$M$33"}</definedName>
    <definedName name="HTML_Control_2_2_3_2_5" hidden="1">{"'Ark1'!$A$8:$M$33"}</definedName>
    <definedName name="HTML_Control_2_2_3_3" hidden="1">{"'Ark1'!$A$8:$M$33"}</definedName>
    <definedName name="HTML_Control_2_2_3_3_1" hidden="1">{"'Ark1'!$A$8:$M$33"}</definedName>
    <definedName name="HTML_Control_2_2_3_3_2" hidden="1">{"'Ark1'!$A$8:$M$33"}</definedName>
    <definedName name="HTML_Control_2_2_3_3_3" hidden="1">{"'Ark1'!$A$8:$M$33"}</definedName>
    <definedName name="HTML_Control_2_2_3_3_4" hidden="1">{"'Ark1'!$A$8:$M$33"}</definedName>
    <definedName name="HTML_Control_2_2_3_3_5" hidden="1">{"'Ark1'!$A$8:$M$33"}</definedName>
    <definedName name="HTML_Control_2_2_3_4" hidden="1">{"'Ark1'!$A$8:$M$33"}</definedName>
    <definedName name="HTML_Control_2_2_3_5" hidden="1">{"'Ark1'!$A$8:$M$33"}</definedName>
    <definedName name="HTML_Control_2_2_4" hidden="1">{"'Ark1'!$A$8:$M$33"}</definedName>
    <definedName name="HTML_Control_2_2_4_1" hidden="1">{"'Ark1'!$A$8:$M$33"}</definedName>
    <definedName name="HTML_Control_2_2_4_1_1" hidden="1">{"'Ark1'!$A$8:$M$33"}</definedName>
    <definedName name="HTML_Control_2_2_4_1_2" hidden="1">{"'Ark1'!$A$8:$M$33"}</definedName>
    <definedName name="HTML_Control_2_2_4_1_3" hidden="1">{"'Ark1'!$A$8:$M$33"}</definedName>
    <definedName name="HTML_Control_2_2_4_1_4" hidden="1">{"'Ark1'!$A$8:$M$33"}</definedName>
    <definedName name="HTML_Control_2_2_4_1_5" hidden="1">{"'Ark1'!$A$8:$M$33"}</definedName>
    <definedName name="HTML_Control_2_2_4_2" hidden="1">{"'Ark1'!$A$8:$M$33"}</definedName>
    <definedName name="HTML_Control_2_2_4_3" hidden="1">{"'Ark1'!$A$8:$M$33"}</definedName>
    <definedName name="HTML_Control_2_2_4_4" hidden="1">{"'Ark1'!$A$8:$M$33"}</definedName>
    <definedName name="HTML_Control_2_2_4_5" hidden="1">{"'Ark1'!$A$8:$M$33"}</definedName>
    <definedName name="HTML_Control_2_2_5" hidden="1">{"'Ark1'!$A$8:$M$33"}</definedName>
    <definedName name="HTML_Control_2_2_5_1" hidden="1">{"'Ark1'!$A$8:$M$33"}</definedName>
    <definedName name="HTML_Control_2_2_5_1_1" hidden="1">{"'Ark1'!$A$8:$M$33"}</definedName>
    <definedName name="HTML_Control_2_2_5_1_2" hidden="1">{"'Ark1'!$A$8:$M$33"}</definedName>
    <definedName name="HTML_Control_2_2_5_1_3" hidden="1">{"'Ark1'!$A$8:$M$33"}</definedName>
    <definedName name="HTML_Control_2_2_5_1_4" hidden="1">{"'Ark1'!$A$8:$M$33"}</definedName>
    <definedName name="HTML_Control_2_2_5_1_5" hidden="1">{"'Ark1'!$A$8:$M$33"}</definedName>
    <definedName name="HTML_Control_2_2_5_2" hidden="1">{"'Ark1'!$A$8:$M$33"}</definedName>
    <definedName name="HTML_Control_2_2_5_3" hidden="1">{"'Ark1'!$A$8:$M$33"}</definedName>
    <definedName name="HTML_Control_2_2_5_4" hidden="1">{"'Ark1'!$A$8:$M$33"}</definedName>
    <definedName name="HTML_Control_2_2_5_5" hidden="1">{"'Ark1'!$A$8:$M$33"}</definedName>
    <definedName name="HTML_Control_2_3" hidden="1">{"'Ark1'!$A$8:$M$33"}</definedName>
    <definedName name="HTML_Control_2_3_1" hidden="1">{"'Ark1'!$A$8:$M$33"}</definedName>
    <definedName name="HTML_Control_2_3_1_1" hidden="1">{"'Ark1'!$A$8:$M$33"}</definedName>
    <definedName name="HTML_Control_2_3_1_1_1" hidden="1">{"'Ark1'!$A$8:$M$33"}</definedName>
    <definedName name="HTML_Control_2_3_1_1_1_1" hidden="1">{"'Ark1'!$A$8:$M$33"}</definedName>
    <definedName name="HTML_Control_2_3_1_1_1_2" hidden="1">{"'Ark1'!$A$8:$M$33"}</definedName>
    <definedName name="HTML_Control_2_3_1_1_1_3" hidden="1">{"'Ark1'!$A$8:$M$33"}</definedName>
    <definedName name="HTML_Control_2_3_1_1_1_4" hidden="1">{"'Ark1'!$A$8:$M$33"}</definedName>
    <definedName name="HTML_Control_2_3_1_1_1_5" hidden="1">{"'Ark1'!$A$8:$M$33"}</definedName>
    <definedName name="HTML_Control_2_3_1_1_2" hidden="1">{"'Ark1'!$A$8:$M$33"}</definedName>
    <definedName name="HTML_Control_2_3_1_1_3" hidden="1">{"'Ark1'!$A$8:$M$33"}</definedName>
    <definedName name="HTML_Control_2_3_1_1_4" hidden="1">{"'Ark1'!$A$8:$M$33"}</definedName>
    <definedName name="HTML_Control_2_3_1_1_5" hidden="1">{"'Ark1'!$A$8:$M$33"}</definedName>
    <definedName name="HTML_Control_2_3_1_2" hidden="1">{"'Ark1'!$A$8:$M$33"}</definedName>
    <definedName name="HTML_Control_2_3_1_2_1" hidden="1">{"'Ark1'!$A$8:$M$33"}</definedName>
    <definedName name="HTML_Control_2_3_1_2_1_1" hidden="1">{"'Ark1'!$A$8:$M$33"}</definedName>
    <definedName name="HTML_Control_2_3_1_2_1_2" hidden="1">{"'Ark1'!$A$8:$M$33"}</definedName>
    <definedName name="HTML_Control_2_3_1_2_1_3" hidden="1">{"'Ark1'!$A$8:$M$33"}</definedName>
    <definedName name="HTML_Control_2_3_1_2_1_4" hidden="1">{"'Ark1'!$A$8:$M$33"}</definedName>
    <definedName name="HTML_Control_2_3_1_2_1_5" hidden="1">{"'Ark1'!$A$8:$M$33"}</definedName>
    <definedName name="HTML_Control_2_3_1_2_2" hidden="1">{"'Ark1'!$A$8:$M$33"}</definedName>
    <definedName name="HTML_Control_2_3_1_2_3" hidden="1">{"'Ark1'!$A$8:$M$33"}</definedName>
    <definedName name="HTML_Control_2_3_1_2_4" hidden="1">{"'Ark1'!$A$8:$M$33"}</definedName>
    <definedName name="HTML_Control_2_3_1_2_5" hidden="1">{"'Ark1'!$A$8:$M$33"}</definedName>
    <definedName name="HTML_Control_2_3_1_3" hidden="1">{"'Ark1'!$A$8:$M$33"}</definedName>
    <definedName name="HTML_Control_2_3_1_3_1" hidden="1">{"'Ark1'!$A$8:$M$33"}</definedName>
    <definedName name="HTML_Control_2_3_1_3_2" hidden="1">{"'Ark1'!$A$8:$M$33"}</definedName>
    <definedName name="HTML_Control_2_3_1_3_3" hidden="1">{"'Ark1'!$A$8:$M$33"}</definedName>
    <definedName name="HTML_Control_2_3_1_3_4" hidden="1">{"'Ark1'!$A$8:$M$33"}</definedName>
    <definedName name="HTML_Control_2_3_1_3_5" hidden="1">{"'Ark1'!$A$8:$M$33"}</definedName>
    <definedName name="HTML_Control_2_3_1_4" hidden="1">{"'Ark1'!$A$8:$M$33"}</definedName>
    <definedName name="HTML_Control_2_3_1_5" hidden="1">{"'Ark1'!$A$8:$M$33"}</definedName>
    <definedName name="HTML_Control_2_3_2" hidden="1">{"'Ark1'!$A$8:$M$33"}</definedName>
    <definedName name="HTML_Control_2_3_2_1" hidden="1">{"'Ark1'!$A$8:$M$33"}</definedName>
    <definedName name="HTML_Control_2_3_2_1_1" hidden="1">{"'Ark1'!$A$8:$M$33"}</definedName>
    <definedName name="HTML_Control_2_3_2_1_2" hidden="1">{"'Ark1'!$A$8:$M$33"}</definedName>
    <definedName name="HTML_Control_2_3_2_1_3" hidden="1">{"'Ark1'!$A$8:$M$33"}</definedName>
    <definedName name="HTML_Control_2_3_2_1_4" hidden="1">{"'Ark1'!$A$8:$M$33"}</definedName>
    <definedName name="HTML_Control_2_3_2_1_5" hidden="1">{"'Ark1'!$A$8:$M$33"}</definedName>
    <definedName name="HTML_Control_2_3_2_2" hidden="1">{"'Ark1'!$A$8:$M$33"}</definedName>
    <definedName name="HTML_Control_2_3_2_3" hidden="1">{"'Ark1'!$A$8:$M$33"}</definedName>
    <definedName name="HTML_Control_2_3_2_4" hidden="1">{"'Ark1'!$A$8:$M$33"}</definedName>
    <definedName name="HTML_Control_2_3_2_5" hidden="1">{"'Ark1'!$A$8:$M$33"}</definedName>
    <definedName name="HTML_Control_2_3_3" hidden="1">{"'Ark1'!$A$8:$M$33"}</definedName>
    <definedName name="HTML_Control_2_3_3_1" hidden="1">{"'Ark1'!$A$8:$M$33"}</definedName>
    <definedName name="HTML_Control_2_3_3_1_1" hidden="1">{"'Ark1'!$A$8:$M$33"}</definedName>
    <definedName name="HTML_Control_2_3_3_1_2" hidden="1">{"'Ark1'!$A$8:$M$33"}</definedName>
    <definedName name="HTML_Control_2_3_3_1_3" hidden="1">{"'Ark1'!$A$8:$M$33"}</definedName>
    <definedName name="HTML_Control_2_3_3_1_4" hidden="1">{"'Ark1'!$A$8:$M$33"}</definedName>
    <definedName name="HTML_Control_2_3_3_1_5" hidden="1">{"'Ark1'!$A$8:$M$33"}</definedName>
    <definedName name="HTML_Control_2_3_3_2" hidden="1">{"'Ark1'!$A$8:$M$33"}</definedName>
    <definedName name="HTML_Control_2_3_3_3" hidden="1">{"'Ark1'!$A$8:$M$33"}</definedName>
    <definedName name="HTML_Control_2_3_3_4" hidden="1">{"'Ark1'!$A$8:$M$33"}</definedName>
    <definedName name="HTML_Control_2_3_3_5" hidden="1">{"'Ark1'!$A$8:$M$33"}</definedName>
    <definedName name="HTML_Control_2_3_4" hidden="1">{"'Ark1'!$A$8:$M$33"}</definedName>
    <definedName name="HTML_Control_2_3_4_1" hidden="1">{"'Ark1'!$A$8:$M$33"}</definedName>
    <definedName name="HTML_Control_2_3_4_2" hidden="1">{"'Ark1'!$A$8:$M$33"}</definedName>
    <definedName name="HTML_Control_2_3_4_3" hidden="1">{"'Ark1'!$A$8:$M$33"}</definedName>
    <definedName name="HTML_Control_2_3_4_4" hidden="1">{"'Ark1'!$A$8:$M$33"}</definedName>
    <definedName name="HTML_Control_2_3_4_5" hidden="1">{"'Ark1'!$A$8:$M$33"}</definedName>
    <definedName name="HTML_Control_2_3_5" hidden="1">{"'Ark1'!$A$8:$M$33"}</definedName>
    <definedName name="HTML_Control_2_4" hidden="1">{"'Ark1'!$A$8:$M$33"}</definedName>
    <definedName name="HTML_Control_2_4_1" hidden="1">{"'Ark1'!$A$8:$M$33"}</definedName>
    <definedName name="HTML_Control_2_4_1_1" hidden="1">{"'Ark1'!$A$8:$M$33"}</definedName>
    <definedName name="HTML_Control_2_4_1_1_1" hidden="1">{"'Ark1'!$A$8:$M$33"}</definedName>
    <definedName name="HTML_Control_2_4_1_1_1_1" hidden="1">{"'Ark1'!$A$8:$M$33"}</definedName>
    <definedName name="HTML_Control_2_4_1_1_1_2" hidden="1">{"'Ark1'!$A$8:$M$33"}</definedName>
    <definedName name="HTML_Control_2_4_1_1_1_3" hidden="1">{"'Ark1'!$A$8:$M$33"}</definedName>
    <definedName name="HTML_Control_2_4_1_1_1_4" hidden="1">{"'Ark1'!$A$8:$M$33"}</definedName>
    <definedName name="HTML_Control_2_4_1_1_1_5" hidden="1">{"'Ark1'!$A$8:$M$33"}</definedName>
    <definedName name="HTML_Control_2_4_1_1_2" hidden="1">{"'Ark1'!$A$8:$M$33"}</definedName>
    <definedName name="HTML_Control_2_4_1_1_3" hidden="1">{"'Ark1'!$A$8:$M$33"}</definedName>
    <definedName name="HTML_Control_2_4_1_1_4" hidden="1">{"'Ark1'!$A$8:$M$33"}</definedName>
    <definedName name="HTML_Control_2_4_1_1_5" hidden="1">{"'Ark1'!$A$8:$M$33"}</definedName>
    <definedName name="HTML_Control_2_4_1_2" hidden="1">{"'Ark1'!$A$8:$M$33"}</definedName>
    <definedName name="HTML_Control_2_4_1_2_1" hidden="1">{"'Ark1'!$A$8:$M$33"}</definedName>
    <definedName name="HTML_Control_2_4_1_2_1_1" hidden="1">{"'Ark1'!$A$8:$M$33"}</definedName>
    <definedName name="HTML_Control_2_4_1_2_1_2" hidden="1">{"'Ark1'!$A$8:$M$33"}</definedName>
    <definedName name="HTML_Control_2_4_1_2_1_3" hidden="1">{"'Ark1'!$A$8:$M$33"}</definedName>
    <definedName name="HTML_Control_2_4_1_2_1_4" hidden="1">{"'Ark1'!$A$8:$M$33"}</definedName>
    <definedName name="HTML_Control_2_4_1_2_1_5" hidden="1">{"'Ark1'!$A$8:$M$33"}</definedName>
    <definedName name="HTML_Control_2_4_1_2_2" hidden="1">{"'Ark1'!$A$8:$M$33"}</definedName>
    <definedName name="HTML_Control_2_4_1_2_3" hidden="1">{"'Ark1'!$A$8:$M$33"}</definedName>
    <definedName name="HTML_Control_2_4_1_2_4" hidden="1">{"'Ark1'!$A$8:$M$33"}</definedName>
    <definedName name="HTML_Control_2_4_1_2_5" hidden="1">{"'Ark1'!$A$8:$M$33"}</definedName>
    <definedName name="HTML_Control_2_4_1_3" hidden="1">{"'Ark1'!$A$8:$M$33"}</definedName>
    <definedName name="HTML_Control_2_4_1_3_1" hidden="1">{"'Ark1'!$A$8:$M$33"}</definedName>
    <definedName name="HTML_Control_2_4_1_3_2" hidden="1">{"'Ark1'!$A$8:$M$33"}</definedName>
    <definedName name="HTML_Control_2_4_1_3_3" hidden="1">{"'Ark1'!$A$8:$M$33"}</definedName>
    <definedName name="HTML_Control_2_4_1_3_4" hidden="1">{"'Ark1'!$A$8:$M$33"}</definedName>
    <definedName name="HTML_Control_2_4_1_3_5" hidden="1">{"'Ark1'!$A$8:$M$33"}</definedName>
    <definedName name="HTML_Control_2_4_1_4" hidden="1">{"'Ark1'!$A$8:$M$33"}</definedName>
    <definedName name="HTML_Control_2_4_1_5" hidden="1">{"'Ark1'!$A$8:$M$33"}</definedName>
    <definedName name="HTML_Control_2_4_2" hidden="1">{"'Ark1'!$A$8:$M$33"}</definedName>
    <definedName name="HTML_Control_2_4_2_1" hidden="1">{"'Ark1'!$A$8:$M$33"}</definedName>
    <definedName name="HTML_Control_2_4_2_1_1" hidden="1">{"'Ark1'!$A$8:$M$33"}</definedName>
    <definedName name="HTML_Control_2_4_2_1_2" hidden="1">{"'Ark1'!$A$8:$M$33"}</definedName>
    <definedName name="HTML_Control_2_4_2_1_3" hidden="1">{"'Ark1'!$A$8:$M$33"}</definedName>
    <definedName name="HTML_Control_2_4_2_1_4" hidden="1">{"'Ark1'!$A$8:$M$33"}</definedName>
    <definedName name="HTML_Control_2_4_2_1_5" hidden="1">{"'Ark1'!$A$8:$M$33"}</definedName>
    <definedName name="HTML_Control_2_4_2_2" hidden="1">{"'Ark1'!$A$8:$M$33"}</definedName>
    <definedName name="HTML_Control_2_4_2_3" hidden="1">{"'Ark1'!$A$8:$M$33"}</definedName>
    <definedName name="HTML_Control_2_4_2_4" hidden="1">{"'Ark1'!$A$8:$M$33"}</definedName>
    <definedName name="HTML_Control_2_4_2_5" hidden="1">{"'Ark1'!$A$8:$M$33"}</definedName>
    <definedName name="HTML_Control_2_4_3" hidden="1">{"'Ark1'!$A$8:$M$33"}</definedName>
    <definedName name="HTML_Control_2_4_3_1" hidden="1">{"'Ark1'!$A$8:$M$33"}</definedName>
    <definedName name="HTML_Control_2_4_3_1_1" hidden="1">{"'Ark1'!$A$8:$M$33"}</definedName>
    <definedName name="HTML_Control_2_4_3_1_2" hidden="1">{"'Ark1'!$A$8:$M$33"}</definedName>
    <definedName name="HTML_Control_2_4_3_1_3" hidden="1">{"'Ark1'!$A$8:$M$33"}</definedName>
    <definedName name="HTML_Control_2_4_3_1_4" hidden="1">{"'Ark1'!$A$8:$M$33"}</definedName>
    <definedName name="HTML_Control_2_4_3_1_5" hidden="1">{"'Ark1'!$A$8:$M$33"}</definedName>
    <definedName name="HTML_Control_2_4_3_2" hidden="1">{"'Ark1'!$A$8:$M$33"}</definedName>
    <definedName name="HTML_Control_2_4_3_3" hidden="1">{"'Ark1'!$A$8:$M$33"}</definedName>
    <definedName name="HTML_Control_2_4_3_4" hidden="1">{"'Ark1'!$A$8:$M$33"}</definedName>
    <definedName name="HTML_Control_2_4_3_5" hidden="1">{"'Ark1'!$A$8:$M$33"}</definedName>
    <definedName name="HTML_Control_2_4_4" hidden="1">{"'Ark1'!$A$8:$M$33"}</definedName>
    <definedName name="HTML_Control_2_4_4_1" hidden="1">{"'Ark1'!$A$8:$M$33"}</definedName>
    <definedName name="HTML_Control_2_4_4_2" hidden="1">{"'Ark1'!$A$8:$M$33"}</definedName>
    <definedName name="HTML_Control_2_4_4_3" hidden="1">{"'Ark1'!$A$8:$M$33"}</definedName>
    <definedName name="HTML_Control_2_4_4_4" hidden="1">{"'Ark1'!$A$8:$M$33"}</definedName>
    <definedName name="HTML_Control_2_4_4_5" hidden="1">{"'Ark1'!$A$8:$M$33"}</definedName>
    <definedName name="HTML_Control_2_4_5" hidden="1">{"'Ark1'!$A$8:$M$33"}</definedName>
    <definedName name="HTML_Control_2_5" hidden="1">{"'Ark1'!$A$8:$M$33"}</definedName>
    <definedName name="HTML_Control_2_5_1" hidden="1">{"'Ark1'!$A$8:$M$33"}</definedName>
    <definedName name="HTML_Control_2_5_1_1" hidden="1">{"'Ark1'!$A$8:$M$33"}</definedName>
    <definedName name="HTML_Control_2_5_1_1_1" hidden="1">{"'Ark1'!$A$8:$M$33"}</definedName>
    <definedName name="HTML_Control_2_5_1_1_2" hidden="1">{"'Ark1'!$A$8:$M$33"}</definedName>
    <definedName name="HTML_Control_2_5_1_1_3" hidden="1">{"'Ark1'!$A$8:$M$33"}</definedName>
    <definedName name="HTML_Control_2_5_1_1_4" hidden="1">{"'Ark1'!$A$8:$M$33"}</definedName>
    <definedName name="HTML_Control_2_5_1_1_5" hidden="1">{"'Ark1'!$A$8:$M$33"}</definedName>
    <definedName name="HTML_Control_2_5_1_2" hidden="1">{"'Ark1'!$A$8:$M$33"}</definedName>
    <definedName name="HTML_Control_2_5_1_3" hidden="1">{"'Ark1'!$A$8:$M$33"}</definedName>
    <definedName name="HTML_Control_2_5_1_4" hidden="1">{"'Ark1'!$A$8:$M$33"}</definedName>
    <definedName name="HTML_Control_2_5_1_5" hidden="1">{"'Ark1'!$A$8:$M$33"}</definedName>
    <definedName name="HTML_Control_2_5_2" hidden="1">{"'Ark1'!$A$8:$M$33"}</definedName>
    <definedName name="HTML_Control_2_5_2_1" hidden="1">{"'Ark1'!$A$8:$M$33"}</definedName>
    <definedName name="HTML_Control_2_5_2_1_1" hidden="1">{"'Ark1'!$A$8:$M$33"}</definedName>
    <definedName name="HTML_Control_2_5_2_1_2" hidden="1">{"'Ark1'!$A$8:$M$33"}</definedName>
    <definedName name="HTML_Control_2_5_2_1_3" hidden="1">{"'Ark1'!$A$8:$M$33"}</definedName>
    <definedName name="HTML_Control_2_5_2_1_4" hidden="1">{"'Ark1'!$A$8:$M$33"}</definedName>
    <definedName name="HTML_Control_2_5_2_1_5" hidden="1">{"'Ark1'!$A$8:$M$33"}</definedName>
    <definedName name="HTML_Control_2_5_2_2" hidden="1">{"'Ark1'!$A$8:$M$33"}</definedName>
    <definedName name="HTML_Control_2_5_2_3" hidden="1">{"'Ark1'!$A$8:$M$33"}</definedName>
    <definedName name="HTML_Control_2_5_2_4" hidden="1">{"'Ark1'!$A$8:$M$33"}</definedName>
    <definedName name="HTML_Control_2_5_2_5" hidden="1">{"'Ark1'!$A$8:$M$33"}</definedName>
    <definedName name="HTML_Control_2_5_3" hidden="1">{"'Ark1'!$A$8:$M$33"}</definedName>
    <definedName name="HTML_Control_2_5_3_1" hidden="1">{"'Ark1'!$A$8:$M$33"}</definedName>
    <definedName name="HTML_Control_2_5_3_2" hidden="1">{"'Ark1'!$A$8:$M$33"}</definedName>
    <definedName name="HTML_Control_2_5_3_3" hidden="1">{"'Ark1'!$A$8:$M$33"}</definedName>
    <definedName name="HTML_Control_2_5_3_4" hidden="1">{"'Ark1'!$A$8:$M$33"}</definedName>
    <definedName name="HTML_Control_2_5_3_5" hidden="1">{"'Ark1'!$A$8:$M$33"}</definedName>
    <definedName name="HTML_Control_2_5_4" hidden="1">{"'Ark1'!$A$8:$M$33"}</definedName>
    <definedName name="HTML_Control_2_5_5" hidden="1">{"'Ark1'!$A$8:$M$33"}</definedName>
    <definedName name="HTML_Control_3" hidden="1">{"'Ark1'!$A$8:$M$33"}</definedName>
    <definedName name="HTML_Control_3_1" hidden="1">{"'Ark1'!$A$8:$M$33"}</definedName>
    <definedName name="HTML_Control_3_1_1" hidden="1">{"'Ark1'!$A$8:$M$33"}</definedName>
    <definedName name="HTML_Control_3_1_1_1" hidden="1">{"'Ark1'!$A$8:$M$33"}</definedName>
    <definedName name="HTML_Control_3_1_1_1_1" hidden="1">{"'Ark1'!$A$8:$M$33"}</definedName>
    <definedName name="HTML_Control_3_1_1_1_1_1" hidden="1">{"'Ark1'!$A$8:$M$33"}</definedName>
    <definedName name="HTML_Control_3_1_1_1_1_1_1" hidden="1">{"'Ark1'!$A$8:$M$33"}</definedName>
    <definedName name="HTML_Control_3_1_1_1_1_1_1_1" hidden="1">{"'Ark1'!$A$8:$M$33"}</definedName>
    <definedName name="HTML_Control_3_1_1_1_1_1_1_2" hidden="1">{"'Ark1'!$A$8:$M$33"}</definedName>
    <definedName name="HTML_Control_3_1_1_1_1_1_1_3" hidden="1">{"'Ark1'!$A$8:$M$33"}</definedName>
    <definedName name="HTML_Control_3_1_1_1_1_1_1_4" hidden="1">{"'Ark1'!$A$8:$M$33"}</definedName>
    <definedName name="HTML_Control_3_1_1_1_1_1_1_5" hidden="1">{"'Ark1'!$A$8:$M$33"}</definedName>
    <definedName name="HTML_Control_3_1_1_1_1_1_2" hidden="1">{"'Ark1'!$A$8:$M$33"}</definedName>
    <definedName name="HTML_Control_3_1_1_1_1_1_3" hidden="1">{"'Ark1'!$A$8:$M$33"}</definedName>
    <definedName name="HTML_Control_3_1_1_1_1_1_4" hidden="1">{"'Ark1'!$A$8:$M$33"}</definedName>
    <definedName name="HTML_Control_3_1_1_1_1_1_5" hidden="1">{"'Ark1'!$A$8:$M$33"}</definedName>
    <definedName name="HTML_Control_3_1_1_1_1_2" hidden="1">{"'Ark1'!$A$8:$M$33"}</definedName>
    <definedName name="HTML_Control_3_1_1_1_1_2_1" hidden="1">{"'Ark1'!$A$8:$M$33"}</definedName>
    <definedName name="HTML_Control_3_1_1_1_1_2_1_1" hidden="1">{"'Ark1'!$A$8:$M$33"}</definedName>
    <definedName name="HTML_Control_3_1_1_1_1_2_1_2" hidden="1">{"'Ark1'!$A$8:$M$33"}</definedName>
    <definedName name="HTML_Control_3_1_1_1_1_2_1_3" hidden="1">{"'Ark1'!$A$8:$M$33"}</definedName>
    <definedName name="HTML_Control_3_1_1_1_1_2_1_4" hidden="1">{"'Ark1'!$A$8:$M$33"}</definedName>
    <definedName name="HTML_Control_3_1_1_1_1_2_1_5" hidden="1">{"'Ark1'!$A$8:$M$33"}</definedName>
    <definedName name="HTML_Control_3_1_1_1_1_2_2" hidden="1">{"'Ark1'!$A$8:$M$33"}</definedName>
    <definedName name="HTML_Control_3_1_1_1_1_2_3" hidden="1">{"'Ark1'!$A$8:$M$33"}</definedName>
    <definedName name="HTML_Control_3_1_1_1_1_2_4" hidden="1">{"'Ark1'!$A$8:$M$33"}</definedName>
    <definedName name="HTML_Control_3_1_1_1_1_2_5" hidden="1">{"'Ark1'!$A$8:$M$33"}</definedName>
    <definedName name="HTML_Control_3_1_1_1_1_3" hidden="1">{"'Ark1'!$A$8:$M$33"}</definedName>
    <definedName name="HTML_Control_3_1_1_1_1_3_1" hidden="1">{"'Ark1'!$A$8:$M$33"}</definedName>
    <definedName name="HTML_Control_3_1_1_1_1_3_2" hidden="1">{"'Ark1'!$A$8:$M$33"}</definedName>
    <definedName name="HTML_Control_3_1_1_1_1_3_3" hidden="1">{"'Ark1'!$A$8:$M$33"}</definedName>
    <definedName name="HTML_Control_3_1_1_1_1_3_4" hidden="1">{"'Ark1'!$A$8:$M$33"}</definedName>
    <definedName name="HTML_Control_3_1_1_1_1_3_5" hidden="1">{"'Ark1'!$A$8:$M$33"}</definedName>
    <definedName name="HTML_Control_3_1_1_1_1_4" hidden="1">{"'Ark1'!$A$8:$M$33"}</definedName>
    <definedName name="HTML_Control_3_1_1_1_1_5" hidden="1">{"'Ark1'!$A$8:$M$33"}</definedName>
    <definedName name="HTML_Control_3_1_1_1_2" hidden="1">{"'Ark1'!$A$8:$M$33"}</definedName>
    <definedName name="HTML_Control_3_1_1_1_2_1" hidden="1">{"'Ark1'!$A$8:$M$33"}</definedName>
    <definedName name="HTML_Control_3_1_1_1_2_1_1" hidden="1">{"'Ark1'!$A$8:$M$33"}</definedName>
    <definedName name="HTML_Control_3_1_1_1_2_1_2" hidden="1">{"'Ark1'!$A$8:$M$33"}</definedName>
    <definedName name="HTML_Control_3_1_1_1_2_1_3" hidden="1">{"'Ark1'!$A$8:$M$33"}</definedName>
    <definedName name="HTML_Control_3_1_1_1_2_1_4" hidden="1">{"'Ark1'!$A$8:$M$33"}</definedName>
    <definedName name="HTML_Control_3_1_1_1_2_1_5" hidden="1">{"'Ark1'!$A$8:$M$33"}</definedName>
    <definedName name="HTML_Control_3_1_1_1_2_2" hidden="1">{"'Ark1'!$A$8:$M$33"}</definedName>
    <definedName name="HTML_Control_3_1_1_1_2_3" hidden="1">{"'Ark1'!$A$8:$M$33"}</definedName>
    <definedName name="HTML_Control_3_1_1_1_2_4" hidden="1">{"'Ark1'!$A$8:$M$33"}</definedName>
    <definedName name="HTML_Control_3_1_1_1_2_5" hidden="1">{"'Ark1'!$A$8:$M$33"}</definedName>
    <definedName name="HTML_Control_3_1_1_1_3" hidden="1">{"'Ark1'!$A$8:$M$33"}</definedName>
    <definedName name="HTML_Control_3_1_1_1_3_1" hidden="1">{"'Ark1'!$A$8:$M$33"}</definedName>
    <definedName name="HTML_Control_3_1_1_1_3_1_1" hidden="1">{"'Ark1'!$A$8:$M$33"}</definedName>
    <definedName name="HTML_Control_3_1_1_1_3_1_2" hidden="1">{"'Ark1'!$A$8:$M$33"}</definedName>
    <definedName name="HTML_Control_3_1_1_1_3_1_3" hidden="1">{"'Ark1'!$A$8:$M$33"}</definedName>
    <definedName name="HTML_Control_3_1_1_1_3_1_4" hidden="1">{"'Ark1'!$A$8:$M$33"}</definedName>
    <definedName name="HTML_Control_3_1_1_1_3_1_5" hidden="1">{"'Ark1'!$A$8:$M$33"}</definedName>
    <definedName name="HTML_Control_3_1_1_1_3_2" hidden="1">{"'Ark1'!$A$8:$M$33"}</definedName>
    <definedName name="HTML_Control_3_1_1_1_3_3" hidden="1">{"'Ark1'!$A$8:$M$33"}</definedName>
    <definedName name="HTML_Control_3_1_1_1_3_4" hidden="1">{"'Ark1'!$A$8:$M$33"}</definedName>
    <definedName name="HTML_Control_3_1_1_1_3_5" hidden="1">{"'Ark1'!$A$8:$M$33"}</definedName>
    <definedName name="HTML_Control_3_1_1_1_4" hidden="1">{"'Ark1'!$A$8:$M$33"}</definedName>
    <definedName name="HTML_Control_3_1_1_1_4_1" hidden="1">{"'Ark1'!$A$8:$M$33"}</definedName>
    <definedName name="HTML_Control_3_1_1_1_4_2" hidden="1">{"'Ark1'!$A$8:$M$33"}</definedName>
    <definedName name="HTML_Control_3_1_1_1_4_3" hidden="1">{"'Ark1'!$A$8:$M$33"}</definedName>
    <definedName name="HTML_Control_3_1_1_1_4_4" hidden="1">{"'Ark1'!$A$8:$M$33"}</definedName>
    <definedName name="HTML_Control_3_1_1_1_4_5" hidden="1">{"'Ark1'!$A$8:$M$33"}</definedName>
    <definedName name="HTML_Control_3_1_1_1_5" hidden="1">{"'Ark1'!$A$8:$M$33"}</definedName>
    <definedName name="HTML_Control_3_1_1_2" hidden="1">{"'Ark1'!$A$8:$M$33"}</definedName>
    <definedName name="HTML_Control_3_1_1_2_1" hidden="1">{"'Ark1'!$A$8:$M$33"}</definedName>
    <definedName name="HTML_Control_3_1_1_2_1_1" hidden="1">{"'Ark1'!$A$8:$M$33"}</definedName>
    <definedName name="HTML_Control_3_1_1_2_1_1_1" hidden="1">{"'Ark1'!$A$8:$M$33"}</definedName>
    <definedName name="HTML_Control_3_1_1_2_1_1_1_1" hidden="1">{"'Ark1'!$A$8:$M$33"}</definedName>
    <definedName name="HTML_Control_3_1_1_2_1_1_1_2" hidden="1">{"'Ark1'!$A$8:$M$33"}</definedName>
    <definedName name="HTML_Control_3_1_1_2_1_1_1_3" hidden="1">{"'Ark1'!$A$8:$M$33"}</definedName>
    <definedName name="HTML_Control_3_1_1_2_1_1_1_4" hidden="1">{"'Ark1'!$A$8:$M$33"}</definedName>
    <definedName name="HTML_Control_3_1_1_2_1_1_1_5" hidden="1">{"'Ark1'!$A$8:$M$33"}</definedName>
    <definedName name="HTML_Control_3_1_1_2_1_1_2" hidden="1">{"'Ark1'!$A$8:$M$33"}</definedName>
    <definedName name="HTML_Control_3_1_1_2_1_1_3" hidden="1">{"'Ark1'!$A$8:$M$33"}</definedName>
    <definedName name="HTML_Control_3_1_1_2_1_1_4" hidden="1">{"'Ark1'!$A$8:$M$33"}</definedName>
    <definedName name="HTML_Control_3_1_1_2_1_1_5" hidden="1">{"'Ark1'!$A$8:$M$33"}</definedName>
    <definedName name="HTML_Control_3_1_1_2_1_2" hidden="1">{"'Ark1'!$A$8:$M$33"}</definedName>
    <definedName name="HTML_Control_3_1_1_2_1_2_1" hidden="1">{"'Ark1'!$A$8:$M$33"}</definedName>
    <definedName name="HTML_Control_3_1_1_2_1_2_1_1" hidden="1">{"'Ark1'!$A$8:$M$33"}</definedName>
    <definedName name="HTML_Control_3_1_1_2_1_2_1_2" hidden="1">{"'Ark1'!$A$8:$M$33"}</definedName>
    <definedName name="HTML_Control_3_1_1_2_1_2_1_3" hidden="1">{"'Ark1'!$A$8:$M$33"}</definedName>
    <definedName name="HTML_Control_3_1_1_2_1_2_1_4" hidden="1">{"'Ark1'!$A$8:$M$33"}</definedName>
    <definedName name="HTML_Control_3_1_1_2_1_2_1_5" hidden="1">{"'Ark1'!$A$8:$M$33"}</definedName>
    <definedName name="HTML_Control_3_1_1_2_1_2_2" hidden="1">{"'Ark1'!$A$8:$M$33"}</definedName>
    <definedName name="HTML_Control_3_1_1_2_1_2_3" hidden="1">{"'Ark1'!$A$8:$M$33"}</definedName>
    <definedName name="HTML_Control_3_1_1_2_1_2_4" hidden="1">{"'Ark1'!$A$8:$M$33"}</definedName>
    <definedName name="HTML_Control_3_1_1_2_1_2_5" hidden="1">{"'Ark1'!$A$8:$M$33"}</definedName>
    <definedName name="HTML_Control_3_1_1_2_1_3" hidden="1">{"'Ark1'!$A$8:$M$33"}</definedName>
    <definedName name="HTML_Control_3_1_1_2_1_3_1" hidden="1">{"'Ark1'!$A$8:$M$33"}</definedName>
    <definedName name="HTML_Control_3_1_1_2_1_3_2" hidden="1">{"'Ark1'!$A$8:$M$33"}</definedName>
    <definedName name="HTML_Control_3_1_1_2_1_3_3" hidden="1">{"'Ark1'!$A$8:$M$33"}</definedName>
    <definedName name="HTML_Control_3_1_1_2_1_3_4" hidden="1">{"'Ark1'!$A$8:$M$33"}</definedName>
    <definedName name="HTML_Control_3_1_1_2_1_3_5" hidden="1">{"'Ark1'!$A$8:$M$33"}</definedName>
    <definedName name="HTML_Control_3_1_1_2_1_4" hidden="1">{"'Ark1'!$A$8:$M$33"}</definedName>
    <definedName name="HTML_Control_3_1_1_2_1_5" hidden="1">{"'Ark1'!$A$8:$M$33"}</definedName>
    <definedName name="HTML_Control_3_1_1_2_2" hidden="1">{"'Ark1'!$A$8:$M$33"}</definedName>
    <definedName name="HTML_Control_3_1_1_2_2_1" hidden="1">{"'Ark1'!$A$8:$M$33"}</definedName>
    <definedName name="HTML_Control_3_1_1_2_2_1_1" hidden="1">{"'Ark1'!$A$8:$M$33"}</definedName>
    <definedName name="HTML_Control_3_1_1_2_2_1_2" hidden="1">{"'Ark1'!$A$8:$M$33"}</definedName>
    <definedName name="HTML_Control_3_1_1_2_2_1_3" hidden="1">{"'Ark1'!$A$8:$M$33"}</definedName>
    <definedName name="HTML_Control_3_1_1_2_2_1_4" hidden="1">{"'Ark1'!$A$8:$M$33"}</definedName>
    <definedName name="HTML_Control_3_1_1_2_2_1_5" hidden="1">{"'Ark1'!$A$8:$M$33"}</definedName>
    <definedName name="HTML_Control_3_1_1_2_2_2" hidden="1">{"'Ark1'!$A$8:$M$33"}</definedName>
    <definedName name="HTML_Control_3_1_1_2_2_3" hidden="1">{"'Ark1'!$A$8:$M$33"}</definedName>
    <definedName name="HTML_Control_3_1_1_2_2_4" hidden="1">{"'Ark1'!$A$8:$M$33"}</definedName>
    <definedName name="HTML_Control_3_1_1_2_2_5" hidden="1">{"'Ark1'!$A$8:$M$33"}</definedName>
    <definedName name="HTML_Control_3_1_1_2_3" hidden="1">{"'Ark1'!$A$8:$M$33"}</definedName>
    <definedName name="HTML_Control_3_1_1_2_3_1" hidden="1">{"'Ark1'!$A$8:$M$33"}</definedName>
    <definedName name="HTML_Control_3_1_1_2_3_1_1" hidden="1">{"'Ark1'!$A$8:$M$33"}</definedName>
    <definedName name="HTML_Control_3_1_1_2_3_1_2" hidden="1">{"'Ark1'!$A$8:$M$33"}</definedName>
    <definedName name="HTML_Control_3_1_1_2_3_1_3" hidden="1">{"'Ark1'!$A$8:$M$33"}</definedName>
    <definedName name="HTML_Control_3_1_1_2_3_1_4" hidden="1">{"'Ark1'!$A$8:$M$33"}</definedName>
    <definedName name="HTML_Control_3_1_1_2_3_1_5" hidden="1">{"'Ark1'!$A$8:$M$33"}</definedName>
    <definedName name="HTML_Control_3_1_1_2_3_2" hidden="1">{"'Ark1'!$A$8:$M$33"}</definedName>
    <definedName name="HTML_Control_3_1_1_2_3_3" hidden="1">{"'Ark1'!$A$8:$M$33"}</definedName>
    <definedName name="HTML_Control_3_1_1_2_3_4" hidden="1">{"'Ark1'!$A$8:$M$33"}</definedName>
    <definedName name="HTML_Control_3_1_1_2_3_5" hidden="1">{"'Ark1'!$A$8:$M$33"}</definedName>
    <definedName name="HTML_Control_3_1_1_2_4" hidden="1">{"'Ark1'!$A$8:$M$33"}</definedName>
    <definedName name="HTML_Control_3_1_1_2_4_1" hidden="1">{"'Ark1'!$A$8:$M$33"}</definedName>
    <definedName name="HTML_Control_3_1_1_2_4_2" hidden="1">{"'Ark1'!$A$8:$M$33"}</definedName>
    <definedName name="HTML_Control_3_1_1_2_4_3" hidden="1">{"'Ark1'!$A$8:$M$33"}</definedName>
    <definedName name="HTML_Control_3_1_1_2_4_4" hidden="1">{"'Ark1'!$A$8:$M$33"}</definedName>
    <definedName name="HTML_Control_3_1_1_2_4_5" hidden="1">{"'Ark1'!$A$8:$M$33"}</definedName>
    <definedName name="HTML_Control_3_1_1_2_5" hidden="1">{"'Ark1'!$A$8:$M$33"}</definedName>
    <definedName name="HTML_Control_3_1_1_3" hidden="1">{"'Ark1'!$A$8:$M$33"}</definedName>
    <definedName name="HTML_Control_3_1_1_3_1" hidden="1">{"'Ark1'!$A$8:$M$33"}</definedName>
    <definedName name="HTML_Control_3_1_1_3_1_1" hidden="1">{"'Ark1'!$A$8:$M$33"}</definedName>
    <definedName name="HTML_Control_3_1_1_3_1_1_1" hidden="1">{"'Ark1'!$A$8:$M$33"}</definedName>
    <definedName name="HTML_Control_3_1_1_3_1_1_2" hidden="1">{"'Ark1'!$A$8:$M$33"}</definedName>
    <definedName name="HTML_Control_3_1_1_3_1_1_3" hidden="1">{"'Ark1'!$A$8:$M$33"}</definedName>
    <definedName name="HTML_Control_3_1_1_3_1_1_4" hidden="1">{"'Ark1'!$A$8:$M$33"}</definedName>
    <definedName name="HTML_Control_3_1_1_3_1_1_5" hidden="1">{"'Ark1'!$A$8:$M$33"}</definedName>
    <definedName name="HTML_Control_3_1_1_3_1_2" hidden="1">{"'Ark1'!$A$8:$M$33"}</definedName>
    <definedName name="HTML_Control_3_1_1_3_1_3" hidden="1">{"'Ark1'!$A$8:$M$33"}</definedName>
    <definedName name="HTML_Control_3_1_1_3_1_4" hidden="1">{"'Ark1'!$A$8:$M$33"}</definedName>
    <definedName name="HTML_Control_3_1_1_3_1_5" hidden="1">{"'Ark1'!$A$8:$M$33"}</definedName>
    <definedName name="HTML_Control_3_1_1_3_2" hidden="1">{"'Ark1'!$A$8:$M$33"}</definedName>
    <definedName name="HTML_Control_3_1_1_3_2_1" hidden="1">{"'Ark1'!$A$8:$M$33"}</definedName>
    <definedName name="HTML_Control_3_1_1_3_2_1_1" hidden="1">{"'Ark1'!$A$8:$M$33"}</definedName>
    <definedName name="HTML_Control_3_1_1_3_2_1_2" hidden="1">{"'Ark1'!$A$8:$M$33"}</definedName>
    <definedName name="HTML_Control_3_1_1_3_2_1_3" hidden="1">{"'Ark1'!$A$8:$M$33"}</definedName>
    <definedName name="HTML_Control_3_1_1_3_2_1_4" hidden="1">{"'Ark1'!$A$8:$M$33"}</definedName>
    <definedName name="HTML_Control_3_1_1_3_2_1_5" hidden="1">{"'Ark1'!$A$8:$M$33"}</definedName>
    <definedName name="HTML_Control_3_1_1_3_2_2" hidden="1">{"'Ark1'!$A$8:$M$33"}</definedName>
    <definedName name="HTML_Control_3_1_1_3_2_3" hidden="1">{"'Ark1'!$A$8:$M$33"}</definedName>
    <definedName name="HTML_Control_3_1_1_3_2_4" hidden="1">{"'Ark1'!$A$8:$M$33"}</definedName>
    <definedName name="HTML_Control_3_1_1_3_2_5" hidden="1">{"'Ark1'!$A$8:$M$33"}</definedName>
    <definedName name="HTML_Control_3_1_1_3_3" hidden="1">{"'Ark1'!$A$8:$M$33"}</definedName>
    <definedName name="HTML_Control_3_1_1_3_3_1" hidden="1">{"'Ark1'!$A$8:$M$33"}</definedName>
    <definedName name="HTML_Control_3_1_1_3_3_2" hidden="1">{"'Ark1'!$A$8:$M$33"}</definedName>
    <definedName name="HTML_Control_3_1_1_3_3_3" hidden="1">{"'Ark1'!$A$8:$M$33"}</definedName>
    <definedName name="HTML_Control_3_1_1_3_3_4" hidden="1">{"'Ark1'!$A$8:$M$33"}</definedName>
    <definedName name="HTML_Control_3_1_1_3_3_5" hidden="1">{"'Ark1'!$A$8:$M$33"}</definedName>
    <definedName name="HTML_Control_3_1_1_3_4" hidden="1">{"'Ark1'!$A$8:$M$33"}</definedName>
    <definedName name="HTML_Control_3_1_1_3_5" hidden="1">{"'Ark1'!$A$8:$M$33"}</definedName>
    <definedName name="HTML_Control_3_1_1_4" hidden="1">{"'Ark1'!$A$8:$M$33"}</definedName>
    <definedName name="HTML_Control_3_1_1_4_1" hidden="1">{"'Ark1'!$A$8:$M$33"}</definedName>
    <definedName name="HTML_Control_3_1_1_4_1_1" hidden="1">{"'Ark1'!$A$8:$M$33"}</definedName>
    <definedName name="HTML_Control_3_1_1_4_1_2" hidden="1">{"'Ark1'!$A$8:$M$33"}</definedName>
    <definedName name="HTML_Control_3_1_1_4_1_3" hidden="1">{"'Ark1'!$A$8:$M$33"}</definedName>
    <definedName name="HTML_Control_3_1_1_4_1_4" hidden="1">{"'Ark1'!$A$8:$M$33"}</definedName>
    <definedName name="HTML_Control_3_1_1_4_1_5" hidden="1">{"'Ark1'!$A$8:$M$33"}</definedName>
    <definedName name="HTML_Control_3_1_1_4_2" hidden="1">{"'Ark1'!$A$8:$M$33"}</definedName>
    <definedName name="HTML_Control_3_1_1_4_3" hidden="1">{"'Ark1'!$A$8:$M$33"}</definedName>
    <definedName name="HTML_Control_3_1_1_4_4" hidden="1">{"'Ark1'!$A$8:$M$33"}</definedName>
    <definedName name="HTML_Control_3_1_1_4_5" hidden="1">{"'Ark1'!$A$8:$M$33"}</definedName>
    <definedName name="HTML_Control_3_1_1_5" hidden="1">{"'Ark1'!$A$8:$M$33"}</definedName>
    <definedName name="HTML_Control_3_1_1_5_1" hidden="1">{"'Ark1'!$A$8:$M$33"}</definedName>
    <definedName name="HTML_Control_3_1_1_5_1_1" hidden="1">{"'Ark1'!$A$8:$M$33"}</definedName>
    <definedName name="HTML_Control_3_1_1_5_1_2" hidden="1">{"'Ark1'!$A$8:$M$33"}</definedName>
    <definedName name="HTML_Control_3_1_1_5_1_3" hidden="1">{"'Ark1'!$A$8:$M$33"}</definedName>
    <definedName name="HTML_Control_3_1_1_5_1_4" hidden="1">{"'Ark1'!$A$8:$M$33"}</definedName>
    <definedName name="HTML_Control_3_1_1_5_1_5" hidden="1">{"'Ark1'!$A$8:$M$33"}</definedName>
    <definedName name="HTML_Control_3_1_1_5_2" hidden="1">{"'Ark1'!$A$8:$M$33"}</definedName>
    <definedName name="HTML_Control_3_1_1_5_3" hidden="1">{"'Ark1'!$A$8:$M$33"}</definedName>
    <definedName name="HTML_Control_3_1_1_5_4" hidden="1">{"'Ark1'!$A$8:$M$33"}</definedName>
    <definedName name="HTML_Control_3_1_1_5_5" hidden="1">{"'Ark1'!$A$8:$M$33"}</definedName>
    <definedName name="HTML_Control_3_1_2" hidden="1">{"'Ark1'!$A$8:$M$33"}</definedName>
    <definedName name="HTML_Control_3_1_2_1" hidden="1">{"'Ark1'!$A$8:$M$33"}</definedName>
    <definedName name="HTML_Control_3_1_2_1_1" hidden="1">{"'Ark1'!$A$8:$M$33"}</definedName>
    <definedName name="HTML_Control_3_1_2_1_1_1" hidden="1">{"'Ark1'!$A$8:$M$33"}</definedName>
    <definedName name="HTML_Control_3_1_2_1_1_1_1" hidden="1">{"'Ark1'!$A$8:$M$33"}</definedName>
    <definedName name="HTML_Control_3_1_2_1_1_1_2" hidden="1">{"'Ark1'!$A$8:$M$33"}</definedName>
    <definedName name="HTML_Control_3_1_2_1_1_1_3" hidden="1">{"'Ark1'!$A$8:$M$33"}</definedName>
    <definedName name="HTML_Control_3_1_2_1_1_1_4" hidden="1">{"'Ark1'!$A$8:$M$33"}</definedName>
    <definedName name="HTML_Control_3_1_2_1_1_1_5" hidden="1">{"'Ark1'!$A$8:$M$33"}</definedName>
    <definedName name="HTML_Control_3_1_2_1_1_2" hidden="1">{"'Ark1'!$A$8:$M$33"}</definedName>
    <definedName name="HTML_Control_3_1_2_1_1_3" hidden="1">{"'Ark1'!$A$8:$M$33"}</definedName>
    <definedName name="HTML_Control_3_1_2_1_1_4" hidden="1">{"'Ark1'!$A$8:$M$33"}</definedName>
    <definedName name="HTML_Control_3_1_2_1_1_5" hidden="1">{"'Ark1'!$A$8:$M$33"}</definedName>
    <definedName name="HTML_Control_3_1_2_1_2" hidden="1">{"'Ark1'!$A$8:$M$33"}</definedName>
    <definedName name="HTML_Control_3_1_2_1_2_1" hidden="1">{"'Ark1'!$A$8:$M$33"}</definedName>
    <definedName name="HTML_Control_3_1_2_1_2_1_1" hidden="1">{"'Ark1'!$A$8:$M$33"}</definedName>
    <definedName name="HTML_Control_3_1_2_1_2_1_2" hidden="1">{"'Ark1'!$A$8:$M$33"}</definedName>
    <definedName name="HTML_Control_3_1_2_1_2_1_3" hidden="1">{"'Ark1'!$A$8:$M$33"}</definedName>
    <definedName name="HTML_Control_3_1_2_1_2_1_4" hidden="1">{"'Ark1'!$A$8:$M$33"}</definedName>
    <definedName name="HTML_Control_3_1_2_1_2_1_5" hidden="1">{"'Ark1'!$A$8:$M$33"}</definedName>
    <definedName name="HTML_Control_3_1_2_1_2_2" hidden="1">{"'Ark1'!$A$8:$M$33"}</definedName>
    <definedName name="HTML_Control_3_1_2_1_2_3" hidden="1">{"'Ark1'!$A$8:$M$33"}</definedName>
    <definedName name="HTML_Control_3_1_2_1_2_4" hidden="1">{"'Ark1'!$A$8:$M$33"}</definedName>
    <definedName name="HTML_Control_3_1_2_1_2_5" hidden="1">{"'Ark1'!$A$8:$M$33"}</definedName>
    <definedName name="HTML_Control_3_1_2_1_3" hidden="1">{"'Ark1'!$A$8:$M$33"}</definedName>
    <definedName name="HTML_Control_3_1_2_1_3_1" hidden="1">{"'Ark1'!$A$8:$M$33"}</definedName>
    <definedName name="HTML_Control_3_1_2_1_3_2" hidden="1">{"'Ark1'!$A$8:$M$33"}</definedName>
    <definedName name="HTML_Control_3_1_2_1_3_3" hidden="1">{"'Ark1'!$A$8:$M$33"}</definedName>
    <definedName name="HTML_Control_3_1_2_1_3_4" hidden="1">{"'Ark1'!$A$8:$M$33"}</definedName>
    <definedName name="HTML_Control_3_1_2_1_3_5" hidden="1">{"'Ark1'!$A$8:$M$33"}</definedName>
    <definedName name="HTML_Control_3_1_2_1_4" hidden="1">{"'Ark1'!$A$8:$M$33"}</definedName>
    <definedName name="HTML_Control_3_1_2_1_5" hidden="1">{"'Ark1'!$A$8:$M$33"}</definedName>
    <definedName name="HTML_Control_3_1_2_2" hidden="1">{"'Ark1'!$A$8:$M$33"}</definedName>
    <definedName name="HTML_Control_3_1_2_2_1" hidden="1">{"'Ark1'!$A$8:$M$33"}</definedName>
    <definedName name="HTML_Control_3_1_2_2_1_1" hidden="1">{"'Ark1'!$A$8:$M$33"}</definedName>
    <definedName name="HTML_Control_3_1_2_2_1_2" hidden="1">{"'Ark1'!$A$8:$M$33"}</definedName>
    <definedName name="HTML_Control_3_1_2_2_1_3" hidden="1">{"'Ark1'!$A$8:$M$33"}</definedName>
    <definedName name="HTML_Control_3_1_2_2_1_4" hidden="1">{"'Ark1'!$A$8:$M$33"}</definedName>
    <definedName name="HTML_Control_3_1_2_2_1_5" hidden="1">{"'Ark1'!$A$8:$M$33"}</definedName>
    <definedName name="HTML_Control_3_1_2_2_2" hidden="1">{"'Ark1'!$A$8:$M$33"}</definedName>
    <definedName name="HTML_Control_3_1_2_2_3" hidden="1">{"'Ark1'!$A$8:$M$33"}</definedName>
    <definedName name="HTML_Control_3_1_2_2_4" hidden="1">{"'Ark1'!$A$8:$M$33"}</definedName>
    <definedName name="HTML_Control_3_1_2_2_5" hidden="1">{"'Ark1'!$A$8:$M$33"}</definedName>
    <definedName name="HTML_Control_3_1_2_3" hidden="1">{"'Ark1'!$A$8:$M$33"}</definedName>
    <definedName name="HTML_Control_3_1_2_3_1" hidden="1">{"'Ark1'!$A$8:$M$33"}</definedName>
    <definedName name="HTML_Control_3_1_2_3_1_1" hidden="1">{"'Ark1'!$A$8:$M$33"}</definedName>
    <definedName name="HTML_Control_3_1_2_3_1_2" hidden="1">{"'Ark1'!$A$8:$M$33"}</definedName>
    <definedName name="HTML_Control_3_1_2_3_1_3" hidden="1">{"'Ark1'!$A$8:$M$33"}</definedName>
    <definedName name="HTML_Control_3_1_2_3_1_4" hidden="1">{"'Ark1'!$A$8:$M$33"}</definedName>
    <definedName name="HTML_Control_3_1_2_3_1_5" hidden="1">{"'Ark1'!$A$8:$M$33"}</definedName>
    <definedName name="HTML_Control_3_1_2_3_2" hidden="1">{"'Ark1'!$A$8:$M$33"}</definedName>
    <definedName name="HTML_Control_3_1_2_3_3" hidden="1">{"'Ark1'!$A$8:$M$33"}</definedName>
    <definedName name="HTML_Control_3_1_2_3_4" hidden="1">{"'Ark1'!$A$8:$M$33"}</definedName>
    <definedName name="HTML_Control_3_1_2_3_5" hidden="1">{"'Ark1'!$A$8:$M$33"}</definedName>
    <definedName name="HTML_Control_3_1_2_4" hidden="1">{"'Ark1'!$A$8:$M$33"}</definedName>
    <definedName name="HTML_Control_3_1_2_4_1" hidden="1">{"'Ark1'!$A$8:$M$33"}</definedName>
    <definedName name="HTML_Control_3_1_2_4_2" hidden="1">{"'Ark1'!$A$8:$M$33"}</definedName>
    <definedName name="HTML_Control_3_1_2_4_3" hidden="1">{"'Ark1'!$A$8:$M$33"}</definedName>
    <definedName name="HTML_Control_3_1_2_4_4" hidden="1">{"'Ark1'!$A$8:$M$33"}</definedName>
    <definedName name="HTML_Control_3_1_2_4_5" hidden="1">{"'Ark1'!$A$8:$M$33"}</definedName>
    <definedName name="HTML_Control_3_1_2_5" hidden="1">{"'Ark1'!$A$8:$M$33"}</definedName>
    <definedName name="HTML_Control_3_1_3" hidden="1">{"'Ark1'!$A$8:$M$33"}</definedName>
    <definedName name="HTML_Control_3_1_3_1" hidden="1">{"'Ark1'!$A$8:$M$33"}</definedName>
    <definedName name="HTML_Control_3_1_3_1_1" hidden="1">{"'Ark1'!$A$8:$M$33"}</definedName>
    <definedName name="HTML_Control_3_1_3_1_1_1" hidden="1">{"'Ark1'!$A$8:$M$33"}</definedName>
    <definedName name="HTML_Control_3_1_3_1_1_1_1" hidden="1">{"'Ark1'!$A$8:$M$33"}</definedName>
    <definedName name="HTML_Control_3_1_3_1_1_1_2" hidden="1">{"'Ark1'!$A$8:$M$33"}</definedName>
    <definedName name="HTML_Control_3_1_3_1_1_1_3" hidden="1">{"'Ark1'!$A$8:$M$33"}</definedName>
    <definedName name="HTML_Control_3_1_3_1_1_1_4" hidden="1">{"'Ark1'!$A$8:$M$33"}</definedName>
    <definedName name="HTML_Control_3_1_3_1_1_1_5" hidden="1">{"'Ark1'!$A$8:$M$33"}</definedName>
    <definedName name="HTML_Control_3_1_3_1_1_2" hidden="1">{"'Ark1'!$A$8:$M$33"}</definedName>
    <definedName name="HTML_Control_3_1_3_1_1_3" hidden="1">{"'Ark1'!$A$8:$M$33"}</definedName>
    <definedName name="HTML_Control_3_1_3_1_1_4" hidden="1">{"'Ark1'!$A$8:$M$33"}</definedName>
    <definedName name="HTML_Control_3_1_3_1_1_5" hidden="1">{"'Ark1'!$A$8:$M$33"}</definedName>
    <definedName name="HTML_Control_3_1_3_1_2" hidden="1">{"'Ark1'!$A$8:$M$33"}</definedName>
    <definedName name="HTML_Control_3_1_3_1_2_1" hidden="1">{"'Ark1'!$A$8:$M$33"}</definedName>
    <definedName name="HTML_Control_3_1_3_1_2_1_1" hidden="1">{"'Ark1'!$A$8:$M$33"}</definedName>
    <definedName name="HTML_Control_3_1_3_1_2_1_2" hidden="1">{"'Ark1'!$A$8:$M$33"}</definedName>
    <definedName name="HTML_Control_3_1_3_1_2_1_3" hidden="1">{"'Ark1'!$A$8:$M$33"}</definedName>
    <definedName name="HTML_Control_3_1_3_1_2_1_4" hidden="1">{"'Ark1'!$A$8:$M$33"}</definedName>
    <definedName name="HTML_Control_3_1_3_1_2_1_5" hidden="1">{"'Ark1'!$A$8:$M$33"}</definedName>
    <definedName name="HTML_Control_3_1_3_1_2_2" hidden="1">{"'Ark1'!$A$8:$M$33"}</definedName>
    <definedName name="HTML_Control_3_1_3_1_2_3" hidden="1">{"'Ark1'!$A$8:$M$33"}</definedName>
    <definedName name="HTML_Control_3_1_3_1_2_4" hidden="1">{"'Ark1'!$A$8:$M$33"}</definedName>
    <definedName name="HTML_Control_3_1_3_1_2_5" hidden="1">{"'Ark1'!$A$8:$M$33"}</definedName>
    <definedName name="HTML_Control_3_1_3_1_3" hidden="1">{"'Ark1'!$A$8:$M$33"}</definedName>
    <definedName name="HTML_Control_3_1_3_1_3_1" hidden="1">{"'Ark1'!$A$8:$M$33"}</definedName>
    <definedName name="HTML_Control_3_1_3_1_3_2" hidden="1">{"'Ark1'!$A$8:$M$33"}</definedName>
    <definedName name="HTML_Control_3_1_3_1_3_3" hidden="1">{"'Ark1'!$A$8:$M$33"}</definedName>
    <definedName name="HTML_Control_3_1_3_1_3_4" hidden="1">{"'Ark1'!$A$8:$M$33"}</definedName>
    <definedName name="HTML_Control_3_1_3_1_3_5" hidden="1">{"'Ark1'!$A$8:$M$33"}</definedName>
    <definedName name="HTML_Control_3_1_3_1_4" hidden="1">{"'Ark1'!$A$8:$M$33"}</definedName>
    <definedName name="HTML_Control_3_1_3_1_5" hidden="1">{"'Ark1'!$A$8:$M$33"}</definedName>
    <definedName name="HTML_Control_3_1_3_2" hidden="1">{"'Ark1'!$A$8:$M$33"}</definedName>
    <definedName name="HTML_Control_3_1_3_2_1" hidden="1">{"'Ark1'!$A$8:$M$33"}</definedName>
    <definedName name="HTML_Control_3_1_3_2_1_1" hidden="1">{"'Ark1'!$A$8:$M$33"}</definedName>
    <definedName name="HTML_Control_3_1_3_2_1_2" hidden="1">{"'Ark1'!$A$8:$M$33"}</definedName>
    <definedName name="HTML_Control_3_1_3_2_1_3" hidden="1">{"'Ark1'!$A$8:$M$33"}</definedName>
    <definedName name="HTML_Control_3_1_3_2_1_4" hidden="1">{"'Ark1'!$A$8:$M$33"}</definedName>
    <definedName name="HTML_Control_3_1_3_2_1_5" hidden="1">{"'Ark1'!$A$8:$M$33"}</definedName>
    <definedName name="HTML_Control_3_1_3_2_2" hidden="1">{"'Ark1'!$A$8:$M$33"}</definedName>
    <definedName name="HTML_Control_3_1_3_2_3" hidden="1">{"'Ark1'!$A$8:$M$33"}</definedName>
    <definedName name="HTML_Control_3_1_3_2_4" hidden="1">{"'Ark1'!$A$8:$M$33"}</definedName>
    <definedName name="HTML_Control_3_1_3_2_5" hidden="1">{"'Ark1'!$A$8:$M$33"}</definedName>
    <definedName name="HTML_Control_3_1_3_3" hidden="1">{"'Ark1'!$A$8:$M$33"}</definedName>
    <definedName name="HTML_Control_3_1_3_3_1" hidden="1">{"'Ark1'!$A$8:$M$33"}</definedName>
    <definedName name="HTML_Control_3_1_3_3_1_1" hidden="1">{"'Ark1'!$A$8:$M$33"}</definedName>
    <definedName name="HTML_Control_3_1_3_3_1_2" hidden="1">{"'Ark1'!$A$8:$M$33"}</definedName>
    <definedName name="HTML_Control_3_1_3_3_1_3" hidden="1">{"'Ark1'!$A$8:$M$33"}</definedName>
    <definedName name="HTML_Control_3_1_3_3_1_4" hidden="1">{"'Ark1'!$A$8:$M$33"}</definedName>
    <definedName name="HTML_Control_3_1_3_3_1_5" hidden="1">{"'Ark1'!$A$8:$M$33"}</definedName>
    <definedName name="HTML_Control_3_1_3_3_2" hidden="1">{"'Ark1'!$A$8:$M$33"}</definedName>
    <definedName name="HTML_Control_3_1_3_3_3" hidden="1">{"'Ark1'!$A$8:$M$33"}</definedName>
    <definedName name="HTML_Control_3_1_3_3_4" hidden="1">{"'Ark1'!$A$8:$M$33"}</definedName>
    <definedName name="HTML_Control_3_1_3_3_5" hidden="1">{"'Ark1'!$A$8:$M$33"}</definedName>
    <definedName name="HTML_Control_3_1_3_4" hidden="1">{"'Ark1'!$A$8:$M$33"}</definedName>
    <definedName name="HTML_Control_3_1_3_4_1" hidden="1">{"'Ark1'!$A$8:$M$33"}</definedName>
    <definedName name="HTML_Control_3_1_3_4_2" hidden="1">{"'Ark1'!$A$8:$M$33"}</definedName>
    <definedName name="HTML_Control_3_1_3_4_3" hidden="1">{"'Ark1'!$A$8:$M$33"}</definedName>
    <definedName name="HTML_Control_3_1_3_4_4" hidden="1">{"'Ark1'!$A$8:$M$33"}</definedName>
    <definedName name="HTML_Control_3_1_3_4_5" hidden="1">{"'Ark1'!$A$8:$M$33"}</definedName>
    <definedName name="HTML_Control_3_1_3_5" hidden="1">{"'Ark1'!$A$8:$M$33"}</definedName>
    <definedName name="HTML_Control_3_1_4" hidden="1">{"'Ark1'!$A$8:$M$33"}</definedName>
    <definedName name="HTML_Control_3_1_4_1" hidden="1">{"'Ark1'!$A$8:$M$33"}</definedName>
    <definedName name="HTML_Control_3_1_4_1_1" hidden="1">{"'Ark1'!$A$8:$M$33"}</definedName>
    <definedName name="HTML_Control_3_1_4_1_1_1" hidden="1">{"'Ark1'!$A$8:$M$33"}</definedName>
    <definedName name="HTML_Control_3_1_4_1_1_2" hidden="1">{"'Ark1'!$A$8:$M$33"}</definedName>
    <definedName name="HTML_Control_3_1_4_1_1_3" hidden="1">{"'Ark1'!$A$8:$M$33"}</definedName>
    <definedName name="HTML_Control_3_1_4_1_1_4" hidden="1">{"'Ark1'!$A$8:$M$33"}</definedName>
    <definedName name="HTML_Control_3_1_4_1_1_5" hidden="1">{"'Ark1'!$A$8:$M$33"}</definedName>
    <definedName name="HTML_Control_3_1_4_1_2" hidden="1">{"'Ark1'!$A$8:$M$33"}</definedName>
    <definedName name="HTML_Control_3_1_4_1_3" hidden="1">{"'Ark1'!$A$8:$M$33"}</definedName>
    <definedName name="HTML_Control_3_1_4_1_4" hidden="1">{"'Ark1'!$A$8:$M$33"}</definedName>
    <definedName name="HTML_Control_3_1_4_1_5" hidden="1">{"'Ark1'!$A$8:$M$33"}</definedName>
    <definedName name="HTML_Control_3_1_4_2" hidden="1">{"'Ark1'!$A$8:$M$33"}</definedName>
    <definedName name="HTML_Control_3_1_4_2_1" hidden="1">{"'Ark1'!$A$8:$M$33"}</definedName>
    <definedName name="HTML_Control_3_1_4_2_1_1" hidden="1">{"'Ark1'!$A$8:$M$33"}</definedName>
    <definedName name="HTML_Control_3_1_4_2_1_2" hidden="1">{"'Ark1'!$A$8:$M$33"}</definedName>
    <definedName name="HTML_Control_3_1_4_2_1_3" hidden="1">{"'Ark1'!$A$8:$M$33"}</definedName>
    <definedName name="HTML_Control_3_1_4_2_1_4" hidden="1">{"'Ark1'!$A$8:$M$33"}</definedName>
    <definedName name="HTML_Control_3_1_4_2_1_5" hidden="1">{"'Ark1'!$A$8:$M$33"}</definedName>
    <definedName name="HTML_Control_3_1_4_2_2" hidden="1">{"'Ark1'!$A$8:$M$33"}</definedName>
    <definedName name="HTML_Control_3_1_4_2_3" hidden="1">{"'Ark1'!$A$8:$M$33"}</definedName>
    <definedName name="HTML_Control_3_1_4_2_4" hidden="1">{"'Ark1'!$A$8:$M$33"}</definedName>
    <definedName name="HTML_Control_3_1_4_2_5" hidden="1">{"'Ark1'!$A$8:$M$33"}</definedName>
    <definedName name="HTML_Control_3_1_4_3" hidden="1">{"'Ark1'!$A$8:$M$33"}</definedName>
    <definedName name="HTML_Control_3_1_4_3_1" hidden="1">{"'Ark1'!$A$8:$M$33"}</definedName>
    <definedName name="HTML_Control_3_1_4_3_2" hidden="1">{"'Ark1'!$A$8:$M$33"}</definedName>
    <definedName name="HTML_Control_3_1_4_3_3" hidden="1">{"'Ark1'!$A$8:$M$33"}</definedName>
    <definedName name="HTML_Control_3_1_4_3_4" hidden="1">{"'Ark1'!$A$8:$M$33"}</definedName>
    <definedName name="HTML_Control_3_1_4_3_5" hidden="1">{"'Ark1'!$A$8:$M$33"}</definedName>
    <definedName name="HTML_Control_3_1_4_4" hidden="1">{"'Ark1'!$A$8:$M$33"}</definedName>
    <definedName name="HTML_Control_3_1_4_5" hidden="1">{"'Ark1'!$A$8:$M$33"}</definedName>
    <definedName name="HTML_Control_3_1_5" hidden="1">{"'Ark1'!$A$8:$M$33"}</definedName>
    <definedName name="HTML_Control_3_1_5_1" hidden="1">{"'Ark1'!$A$8:$M$33"}</definedName>
    <definedName name="HTML_Control_3_1_5_1_1" hidden="1">{"'Ark1'!$A$8:$M$33"}</definedName>
    <definedName name="HTML_Control_3_1_5_1_2" hidden="1">{"'Ark1'!$A$8:$M$33"}</definedName>
    <definedName name="HTML_Control_3_1_5_1_3" hidden="1">{"'Ark1'!$A$8:$M$33"}</definedName>
    <definedName name="HTML_Control_3_1_5_1_4" hidden="1">{"'Ark1'!$A$8:$M$33"}</definedName>
    <definedName name="HTML_Control_3_1_5_1_5" hidden="1">{"'Ark1'!$A$8:$M$33"}</definedName>
    <definedName name="HTML_Control_3_1_5_2" hidden="1">{"'Ark1'!$A$8:$M$33"}</definedName>
    <definedName name="HTML_Control_3_1_5_3" hidden="1">{"'Ark1'!$A$8:$M$33"}</definedName>
    <definedName name="HTML_Control_3_1_5_4" hidden="1">{"'Ark1'!$A$8:$M$33"}</definedName>
    <definedName name="HTML_Control_3_1_5_5" hidden="1">{"'Ark1'!$A$8:$M$33"}</definedName>
    <definedName name="HTML_Control_3_2" hidden="1">{"'Ark1'!$A$8:$M$33"}</definedName>
    <definedName name="HTML_Control_3_2_1" hidden="1">{"'Ark1'!$A$8:$M$33"}</definedName>
    <definedName name="HTML_Control_3_2_1_1" hidden="1">{"'Ark1'!$A$8:$M$33"}</definedName>
    <definedName name="HTML_Control_3_2_1_1_1" hidden="1">{"'Ark1'!$A$8:$M$33"}</definedName>
    <definedName name="HTML_Control_3_2_1_1_1_1" hidden="1">{"'Ark1'!$A$8:$M$33"}</definedName>
    <definedName name="HTML_Control_3_2_1_1_1_1_1" hidden="1">{"'Ark1'!$A$8:$M$33"}</definedName>
    <definedName name="HTML_Control_3_2_1_1_1_1_2" hidden="1">{"'Ark1'!$A$8:$M$33"}</definedName>
    <definedName name="HTML_Control_3_2_1_1_1_1_3" hidden="1">{"'Ark1'!$A$8:$M$33"}</definedName>
    <definedName name="HTML_Control_3_2_1_1_1_1_4" hidden="1">{"'Ark1'!$A$8:$M$33"}</definedName>
    <definedName name="HTML_Control_3_2_1_1_1_1_5" hidden="1">{"'Ark1'!$A$8:$M$33"}</definedName>
    <definedName name="HTML_Control_3_2_1_1_1_2" hidden="1">{"'Ark1'!$A$8:$M$33"}</definedName>
    <definedName name="HTML_Control_3_2_1_1_1_3" hidden="1">{"'Ark1'!$A$8:$M$33"}</definedName>
    <definedName name="HTML_Control_3_2_1_1_1_4" hidden="1">{"'Ark1'!$A$8:$M$33"}</definedName>
    <definedName name="HTML_Control_3_2_1_1_1_5" hidden="1">{"'Ark1'!$A$8:$M$33"}</definedName>
    <definedName name="HTML_Control_3_2_1_1_2" hidden="1">{"'Ark1'!$A$8:$M$33"}</definedName>
    <definedName name="HTML_Control_3_2_1_1_2_1" hidden="1">{"'Ark1'!$A$8:$M$33"}</definedName>
    <definedName name="HTML_Control_3_2_1_1_2_1_1" hidden="1">{"'Ark1'!$A$8:$M$33"}</definedName>
    <definedName name="HTML_Control_3_2_1_1_2_1_2" hidden="1">{"'Ark1'!$A$8:$M$33"}</definedName>
    <definedName name="HTML_Control_3_2_1_1_2_1_3" hidden="1">{"'Ark1'!$A$8:$M$33"}</definedName>
    <definedName name="HTML_Control_3_2_1_1_2_1_4" hidden="1">{"'Ark1'!$A$8:$M$33"}</definedName>
    <definedName name="HTML_Control_3_2_1_1_2_1_5" hidden="1">{"'Ark1'!$A$8:$M$33"}</definedName>
    <definedName name="HTML_Control_3_2_1_1_2_2" hidden="1">{"'Ark1'!$A$8:$M$33"}</definedName>
    <definedName name="HTML_Control_3_2_1_1_2_3" hidden="1">{"'Ark1'!$A$8:$M$33"}</definedName>
    <definedName name="HTML_Control_3_2_1_1_2_4" hidden="1">{"'Ark1'!$A$8:$M$33"}</definedName>
    <definedName name="HTML_Control_3_2_1_1_2_5" hidden="1">{"'Ark1'!$A$8:$M$33"}</definedName>
    <definedName name="HTML_Control_3_2_1_1_3" hidden="1">{"'Ark1'!$A$8:$M$33"}</definedName>
    <definedName name="HTML_Control_3_2_1_1_3_1" hidden="1">{"'Ark1'!$A$8:$M$33"}</definedName>
    <definedName name="HTML_Control_3_2_1_1_3_2" hidden="1">{"'Ark1'!$A$8:$M$33"}</definedName>
    <definedName name="HTML_Control_3_2_1_1_3_3" hidden="1">{"'Ark1'!$A$8:$M$33"}</definedName>
    <definedName name="HTML_Control_3_2_1_1_3_4" hidden="1">{"'Ark1'!$A$8:$M$33"}</definedName>
    <definedName name="HTML_Control_3_2_1_1_3_5" hidden="1">{"'Ark1'!$A$8:$M$33"}</definedName>
    <definedName name="HTML_Control_3_2_1_1_4" hidden="1">{"'Ark1'!$A$8:$M$33"}</definedName>
    <definedName name="HTML_Control_3_2_1_1_5" hidden="1">{"'Ark1'!$A$8:$M$33"}</definedName>
    <definedName name="HTML_Control_3_2_1_2" hidden="1">{"'Ark1'!$A$8:$M$33"}</definedName>
    <definedName name="HTML_Control_3_2_1_2_1" hidden="1">{"'Ark1'!$A$8:$M$33"}</definedName>
    <definedName name="HTML_Control_3_2_1_2_1_1" hidden="1">{"'Ark1'!$A$8:$M$33"}</definedName>
    <definedName name="HTML_Control_3_2_1_2_1_2" hidden="1">{"'Ark1'!$A$8:$M$33"}</definedName>
    <definedName name="HTML_Control_3_2_1_2_1_3" hidden="1">{"'Ark1'!$A$8:$M$33"}</definedName>
    <definedName name="HTML_Control_3_2_1_2_1_4" hidden="1">{"'Ark1'!$A$8:$M$33"}</definedName>
    <definedName name="HTML_Control_3_2_1_2_1_5" hidden="1">{"'Ark1'!$A$8:$M$33"}</definedName>
    <definedName name="HTML_Control_3_2_1_2_2" hidden="1">{"'Ark1'!$A$8:$M$33"}</definedName>
    <definedName name="HTML_Control_3_2_1_2_3" hidden="1">{"'Ark1'!$A$8:$M$33"}</definedName>
    <definedName name="HTML_Control_3_2_1_2_4" hidden="1">{"'Ark1'!$A$8:$M$33"}</definedName>
    <definedName name="HTML_Control_3_2_1_2_5" hidden="1">{"'Ark1'!$A$8:$M$33"}</definedName>
    <definedName name="HTML_Control_3_2_1_3" hidden="1">{"'Ark1'!$A$8:$M$33"}</definedName>
    <definedName name="HTML_Control_3_2_1_3_1" hidden="1">{"'Ark1'!$A$8:$M$33"}</definedName>
    <definedName name="HTML_Control_3_2_1_3_1_1" hidden="1">{"'Ark1'!$A$8:$M$33"}</definedName>
    <definedName name="HTML_Control_3_2_1_3_1_2" hidden="1">{"'Ark1'!$A$8:$M$33"}</definedName>
    <definedName name="HTML_Control_3_2_1_3_1_3" hidden="1">{"'Ark1'!$A$8:$M$33"}</definedName>
    <definedName name="HTML_Control_3_2_1_3_1_4" hidden="1">{"'Ark1'!$A$8:$M$33"}</definedName>
    <definedName name="HTML_Control_3_2_1_3_1_5" hidden="1">{"'Ark1'!$A$8:$M$33"}</definedName>
    <definedName name="HTML_Control_3_2_1_3_2" hidden="1">{"'Ark1'!$A$8:$M$33"}</definedName>
    <definedName name="HTML_Control_3_2_1_3_3" hidden="1">{"'Ark1'!$A$8:$M$33"}</definedName>
    <definedName name="HTML_Control_3_2_1_3_4" hidden="1">{"'Ark1'!$A$8:$M$33"}</definedName>
    <definedName name="HTML_Control_3_2_1_3_5" hidden="1">{"'Ark1'!$A$8:$M$33"}</definedName>
    <definedName name="HTML_Control_3_2_1_4" hidden="1">{"'Ark1'!$A$8:$M$33"}</definedName>
    <definedName name="HTML_Control_3_2_1_4_1" hidden="1">{"'Ark1'!$A$8:$M$33"}</definedName>
    <definedName name="HTML_Control_3_2_1_4_2" hidden="1">{"'Ark1'!$A$8:$M$33"}</definedName>
    <definedName name="HTML_Control_3_2_1_4_3" hidden="1">{"'Ark1'!$A$8:$M$33"}</definedName>
    <definedName name="HTML_Control_3_2_1_4_4" hidden="1">{"'Ark1'!$A$8:$M$33"}</definedName>
    <definedName name="HTML_Control_3_2_1_4_5" hidden="1">{"'Ark1'!$A$8:$M$33"}</definedName>
    <definedName name="HTML_Control_3_2_1_5" hidden="1">{"'Ark1'!$A$8:$M$33"}</definedName>
    <definedName name="HTML_Control_3_2_2" hidden="1">{"'Ark1'!$A$8:$M$33"}</definedName>
    <definedName name="HTML_Control_3_2_2_1" hidden="1">{"'Ark1'!$A$8:$M$33"}</definedName>
    <definedName name="HTML_Control_3_2_2_1_1" hidden="1">{"'Ark1'!$A$8:$M$33"}</definedName>
    <definedName name="HTML_Control_3_2_2_1_1_1" hidden="1">{"'Ark1'!$A$8:$M$33"}</definedName>
    <definedName name="HTML_Control_3_2_2_1_1_1_1" hidden="1">{"'Ark1'!$A$8:$M$33"}</definedName>
    <definedName name="HTML_Control_3_2_2_1_1_1_2" hidden="1">{"'Ark1'!$A$8:$M$33"}</definedName>
    <definedName name="HTML_Control_3_2_2_1_1_1_3" hidden="1">{"'Ark1'!$A$8:$M$33"}</definedName>
    <definedName name="HTML_Control_3_2_2_1_1_1_4" hidden="1">{"'Ark1'!$A$8:$M$33"}</definedName>
    <definedName name="HTML_Control_3_2_2_1_1_1_5" hidden="1">{"'Ark1'!$A$8:$M$33"}</definedName>
    <definedName name="HTML_Control_3_2_2_1_1_2" hidden="1">{"'Ark1'!$A$8:$M$33"}</definedName>
    <definedName name="HTML_Control_3_2_2_1_1_3" hidden="1">{"'Ark1'!$A$8:$M$33"}</definedName>
    <definedName name="HTML_Control_3_2_2_1_1_4" hidden="1">{"'Ark1'!$A$8:$M$33"}</definedName>
    <definedName name="HTML_Control_3_2_2_1_1_5" hidden="1">{"'Ark1'!$A$8:$M$33"}</definedName>
    <definedName name="HTML_Control_3_2_2_1_2" hidden="1">{"'Ark1'!$A$8:$M$33"}</definedName>
    <definedName name="HTML_Control_3_2_2_1_2_1" hidden="1">{"'Ark1'!$A$8:$M$33"}</definedName>
    <definedName name="HTML_Control_3_2_2_1_2_1_1" hidden="1">{"'Ark1'!$A$8:$M$33"}</definedName>
    <definedName name="HTML_Control_3_2_2_1_2_1_2" hidden="1">{"'Ark1'!$A$8:$M$33"}</definedName>
    <definedName name="HTML_Control_3_2_2_1_2_1_3" hidden="1">{"'Ark1'!$A$8:$M$33"}</definedName>
    <definedName name="HTML_Control_3_2_2_1_2_1_4" hidden="1">{"'Ark1'!$A$8:$M$33"}</definedName>
    <definedName name="HTML_Control_3_2_2_1_2_1_5" hidden="1">{"'Ark1'!$A$8:$M$33"}</definedName>
    <definedName name="HTML_Control_3_2_2_1_2_2" hidden="1">{"'Ark1'!$A$8:$M$33"}</definedName>
    <definedName name="HTML_Control_3_2_2_1_2_3" hidden="1">{"'Ark1'!$A$8:$M$33"}</definedName>
    <definedName name="HTML_Control_3_2_2_1_2_4" hidden="1">{"'Ark1'!$A$8:$M$33"}</definedName>
    <definedName name="HTML_Control_3_2_2_1_2_5" hidden="1">{"'Ark1'!$A$8:$M$33"}</definedName>
    <definedName name="HTML_Control_3_2_2_1_3" hidden="1">{"'Ark1'!$A$8:$M$33"}</definedName>
    <definedName name="HTML_Control_3_2_2_1_3_1" hidden="1">{"'Ark1'!$A$8:$M$33"}</definedName>
    <definedName name="HTML_Control_3_2_2_1_3_2" hidden="1">{"'Ark1'!$A$8:$M$33"}</definedName>
    <definedName name="HTML_Control_3_2_2_1_3_3" hidden="1">{"'Ark1'!$A$8:$M$33"}</definedName>
    <definedName name="HTML_Control_3_2_2_1_3_4" hidden="1">{"'Ark1'!$A$8:$M$33"}</definedName>
    <definedName name="HTML_Control_3_2_2_1_3_5" hidden="1">{"'Ark1'!$A$8:$M$33"}</definedName>
    <definedName name="HTML_Control_3_2_2_1_4" hidden="1">{"'Ark1'!$A$8:$M$33"}</definedName>
    <definedName name="HTML_Control_3_2_2_1_5" hidden="1">{"'Ark1'!$A$8:$M$33"}</definedName>
    <definedName name="HTML_Control_3_2_2_2" hidden="1">{"'Ark1'!$A$8:$M$33"}</definedName>
    <definedName name="HTML_Control_3_2_2_2_1" hidden="1">{"'Ark1'!$A$8:$M$33"}</definedName>
    <definedName name="HTML_Control_3_2_2_2_1_1" hidden="1">{"'Ark1'!$A$8:$M$33"}</definedName>
    <definedName name="HTML_Control_3_2_2_2_1_2" hidden="1">{"'Ark1'!$A$8:$M$33"}</definedName>
    <definedName name="HTML_Control_3_2_2_2_1_3" hidden="1">{"'Ark1'!$A$8:$M$33"}</definedName>
    <definedName name="HTML_Control_3_2_2_2_1_4" hidden="1">{"'Ark1'!$A$8:$M$33"}</definedName>
    <definedName name="HTML_Control_3_2_2_2_1_5" hidden="1">{"'Ark1'!$A$8:$M$33"}</definedName>
    <definedName name="HTML_Control_3_2_2_2_2" hidden="1">{"'Ark1'!$A$8:$M$33"}</definedName>
    <definedName name="HTML_Control_3_2_2_2_3" hidden="1">{"'Ark1'!$A$8:$M$33"}</definedName>
    <definedName name="HTML_Control_3_2_2_2_4" hidden="1">{"'Ark1'!$A$8:$M$33"}</definedName>
    <definedName name="HTML_Control_3_2_2_2_5" hidden="1">{"'Ark1'!$A$8:$M$33"}</definedName>
    <definedName name="HTML_Control_3_2_2_3" hidden="1">{"'Ark1'!$A$8:$M$33"}</definedName>
    <definedName name="HTML_Control_3_2_2_3_1" hidden="1">{"'Ark1'!$A$8:$M$33"}</definedName>
    <definedName name="HTML_Control_3_2_2_3_1_1" hidden="1">{"'Ark1'!$A$8:$M$33"}</definedName>
    <definedName name="HTML_Control_3_2_2_3_1_2" hidden="1">{"'Ark1'!$A$8:$M$33"}</definedName>
    <definedName name="HTML_Control_3_2_2_3_1_3" hidden="1">{"'Ark1'!$A$8:$M$33"}</definedName>
    <definedName name="HTML_Control_3_2_2_3_1_4" hidden="1">{"'Ark1'!$A$8:$M$33"}</definedName>
    <definedName name="HTML_Control_3_2_2_3_1_5" hidden="1">{"'Ark1'!$A$8:$M$33"}</definedName>
    <definedName name="HTML_Control_3_2_2_3_2" hidden="1">{"'Ark1'!$A$8:$M$33"}</definedName>
    <definedName name="HTML_Control_3_2_2_3_3" hidden="1">{"'Ark1'!$A$8:$M$33"}</definedName>
    <definedName name="HTML_Control_3_2_2_3_4" hidden="1">{"'Ark1'!$A$8:$M$33"}</definedName>
    <definedName name="HTML_Control_3_2_2_3_5" hidden="1">{"'Ark1'!$A$8:$M$33"}</definedName>
    <definedName name="HTML_Control_3_2_2_4" hidden="1">{"'Ark1'!$A$8:$M$33"}</definedName>
    <definedName name="HTML_Control_3_2_2_4_1" hidden="1">{"'Ark1'!$A$8:$M$33"}</definedName>
    <definedName name="HTML_Control_3_2_2_4_2" hidden="1">{"'Ark1'!$A$8:$M$33"}</definedName>
    <definedName name="HTML_Control_3_2_2_4_3" hidden="1">{"'Ark1'!$A$8:$M$33"}</definedName>
    <definedName name="HTML_Control_3_2_2_4_4" hidden="1">{"'Ark1'!$A$8:$M$33"}</definedName>
    <definedName name="HTML_Control_3_2_2_4_5" hidden="1">{"'Ark1'!$A$8:$M$33"}</definedName>
    <definedName name="HTML_Control_3_2_2_5" hidden="1">{"'Ark1'!$A$8:$M$33"}</definedName>
    <definedName name="HTML_Control_3_2_3" hidden="1">{"'Ark1'!$A$8:$M$33"}</definedName>
    <definedName name="HTML_Control_3_2_3_1" hidden="1">{"'Ark1'!$A$8:$M$33"}</definedName>
    <definedName name="HTML_Control_3_2_3_1_1" hidden="1">{"'Ark1'!$A$8:$M$33"}</definedName>
    <definedName name="HTML_Control_3_2_3_1_1_1" hidden="1">{"'Ark1'!$A$8:$M$33"}</definedName>
    <definedName name="HTML_Control_3_2_3_1_1_2" hidden="1">{"'Ark1'!$A$8:$M$33"}</definedName>
    <definedName name="HTML_Control_3_2_3_1_1_3" hidden="1">{"'Ark1'!$A$8:$M$33"}</definedName>
    <definedName name="HTML_Control_3_2_3_1_1_4" hidden="1">{"'Ark1'!$A$8:$M$33"}</definedName>
    <definedName name="HTML_Control_3_2_3_1_1_5" hidden="1">{"'Ark1'!$A$8:$M$33"}</definedName>
    <definedName name="HTML_Control_3_2_3_1_2" hidden="1">{"'Ark1'!$A$8:$M$33"}</definedName>
    <definedName name="HTML_Control_3_2_3_1_3" hidden="1">{"'Ark1'!$A$8:$M$33"}</definedName>
    <definedName name="HTML_Control_3_2_3_1_4" hidden="1">{"'Ark1'!$A$8:$M$33"}</definedName>
    <definedName name="HTML_Control_3_2_3_1_5" hidden="1">{"'Ark1'!$A$8:$M$33"}</definedName>
    <definedName name="HTML_Control_3_2_3_2" hidden="1">{"'Ark1'!$A$8:$M$33"}</definedName>
    <definedName name="HTML_Control_3_2_3_2_1" hidden="1">{"'Ark1'!$A$8:$M$33"}</definedName>
    <definedName name="HTML_Control_3_2_3_2_1_1" hidden="1">{"'Ark1'!$A$8:$M$33"}</definedName>
    <definedName name="HTML_Control_3_2_3_2_1_2" hidden="1">{"'Ark1'!$A$8:$M$33"}</definedName>
    <definedName name="HTML_Control_3_2_3_2_1_3" hidden="1">{"'Ark1'!$A$8:$M$33"}</definedName>
    <definedName name="HTML_Control_3_2_3_2_1_4" hidden="1">{"'Ark1'!$A$8:$M$33"}</definedName>
    <definedName name="HTML_Control_3_2_3_2_1_5" hidden="1">{"'Ark1'!$A$8:$M$33"}</definedName>
    <definedName name="HTML_Control_3_2_3_2_2" hidden="1">{"'Ark1'!$A$8:$M$33"}</definedName>
    <definedName name="HTML_Control_3_2_3_2_3" hidden="1">{"'Ark1'!$A$8:$M$33"}</definedName>
    <definedName name="HTML_Control_3_2_3_2_4" hidden="1">{"'Ark1'!$A$8:$M$33"}</definedName>
    <definedName name="HTML_Control_3_2_3_2_5" hidden="1">{"'Ark1'!$A$8:$M$33"}</definedName>
    <definedName name="HTML_Control_3_2_3_3" hidden="1">{"'Ark1'!$A$8:$M$33"}</definedName>
    <definedName name="HTML_Control_3_2_3_3_1" hidden="1">{"'Ark1'!$A$8:$M$33"}</definedName>
    <definedName name="HTML_Control_3_2_3_3_2" hidden="1">{"'Ark1'!$A$8:$M$33"}</definedName>
    <definedName name="HTML_Control_3_2_3_3_3" hidden="1">{"'Ark1'!$A$8:$M$33"}</definedName>
    <definedName name="HTML_Control_3_2_3_3_4" hidden="1">{"'Ark1'!$A$8:$M$33"}</definedName>
    <definedName name="HTML_Control_3_2_3_3_5" hidden="1">{"'Ark1'!$A$8:$M$33"}</definedName>
    <definedName name="HTML_Control_3_2_3_4" hidden="1">{"'Ark1'!$A$8:$M$33"}</definedName>
    <definedName name="HTML_Control_3_2_3_5" hidden="1">{"'Ark1'!$A$8:$M$33"}</definedName>
    <definedName name="HTML_Control_3_2_4" hidden="1">{"'Ark1'!$A$8:$M$33"}</definedName>
    <definedName name="HTML_Control_3_2_4_1" hidden="1">{"'Ark1'!$A$8:$M$33"}</definedName>
    <definedName name="HTML_Control_3_2_4_1_1" hidden="1">{"'Ark1'!$A$8:$M$33"}</definedName>
    <definedName name="HTML_Control_3_2_4_1_2" hidden="1">{"'Ark1'!$A$8:$M$33"}</definedName>
    <definedName name="HTML_Control_3_2_4_1_3" hidden="1">{"'Ark1'!$A$8:$M$33"}</definedName>
    <definedName name="HTML_Control_3_2_4_1_4" hidden="1">{"'Ark1'!$A$8:$M$33"}</definedName>
    <definedName name="HTML_Control_3_2_4_1_5" hidden="1">{"'Ark1'!$A$8:$M$33"}</definedName>
    <definedName name="HTML_Control_3_2_4_2" hidden="1">{"'Ark1'!$A$8:$M$33"}</definedName>
    <definedName name="HTML_Control_3_2_4_3" hidden="1">{"'Ark1'!$A$8:$M$33"}</definedName>
    <definedName name="HTML_Control_3_2_4_4" hidden="1">{"'Ark1'!$A$8:$M$33"}</definedName>
    <definedName name="HTML_Control_3_2_4_5" hidden="1">{"'Ark1'!$A$8:$M$33"}</definedName>
    <definedName name="HTML_Control_3_2_5" hidden="1">{"'Ark1'!$A$8:$M$33"}</definedName>
    <definedName name="HTML_Control_3_2_5_1" hidden="1">{"'Ark1'!$A$8:$M$33"}</definedName>
    <definedName name="HTML_Control_3_2_5_1_1" hidden="1">{"'Ark1'!$A$8:$M$33"}</definedName>
    <definedName name="HTML_Control_3_2_5_1_2" hidden="1">{"'Ark1'!$A$8:$M$33"}</definedName>
    <definedName name="HTML_Control_3_2_5_1_3" hidden="1">{"'Ark1'!$A$8:$M$33"}</definedName>
    <definedName name="HTML_Control_3_2_5_1_4" hidden="1">{"'Ark1'!$A$8:$M$33"}</definedName>
    <definedName name="HTML_Control_3_2_5_1_5" hidden="1">{"'Ark1'!$A$8:$M$33"}</definedName>
    <definedName name="HTML_Control_3_2_5_2" hidden="1">{"'Ark1'!$A$8:$M$33"}</definedName>
    <definedName name="HTML_Control_3_2_5_3" hidden="1">{"'Ark1'!$A$8:$M$33"}</definedName>
    <definedName name="HTML_Control_3_2_5_4" hidden="1">{"'Ark1'!$A$8:$M$33"}</definedName>
    <definedName name="HTML_Control_3_2_5_5" hidden="1">{"'Ark1'!$A$8:$M$33"}</definedName>
    <definedName name="HTML_Control_3_3" hidden="1">{"'Ark1'!$A$8:$M$33"}</definedName>
    <definedName name="HTML_Control_3_3_1" hidden="1">{"'Ark1'!$A$8:$M$33"}</definedName>
    <definedName name="HTML_Control_3_3_1_1" hidden="1">{"'Ark1'!$A$8:$M$33"}</definedName>
    <definedName name="HTML_Control_3_3_1_1_1" hidden="1">{"'Ark1'!$A$8:$M$33"}</definedName>
    <definedName name="HTML_Control_3_3_1_1_1_1" hidden="1">{"'Ark1'!$A$8:$M$33"}</definedName>
    <definedName name="HTML_Control_3_3_1_1_1_2" hidden="1">{"'Ark1'!$A$8:$M$33"}</definedName>
    <definedName name="HTML_Control_3_3_1_1_1_3" hidden="1">{"'Ark1'!$A$8:$M$33"}</definedName>
    <definedName name="HTML_Control_3_3_1_1_1_4" hidden="1">{"'Ark1'!$A$8:$M$33"}</definedName>
    <definedName name="HTML_Control_3_3_1_1_1_5" hidden="1">{"'Ark1'!$A$8:$M$33"}</definedName>
    <definedName name="HTML_Control_3_3_1_1_2" hidden="1">{"'Ark1'!$A$8:$M$33"}</definedName>
    <definedName name="HTML_Control_3_3_1_1_3" hidden="1">{"'Ark1'!$A$8:$M$33"}</definedName>
    <definedName name="HTML_Control_3_3_1_1_4" hidden="1">{"'Ark1'!$A$8:$M$33"}</definedName>
    <definedName name="HTML_Control_3_3_1_1_5" hidden="1">{"'Ark1'!$A$8:$M$33"}</definedName>
    <definedName name="HTML_Control_3_3_1_2" hidden="1">{"'Ark1'!$A$8:$M$33"}</definedName>
    <definedName name="HTML_Control_3_3_1_2_1" hidden="1">{"'Ark1'!$A$8:$M$33"}</definedName>
    <definedName name="HTML_Control_3_3_1_2_1_1" hidden="1">{"'Ark1'!$A$8:$M$33"}</definedName>
    <definedName name="HTML_Control_3_3_1_2_1_2" hidden="1">{"'Ark1'!$A$8:$M$33"}</definedName>
    <definedName name="HTML_Control_3_3_1_2_1_3" hidden="1">{"'Ark1'!$A$8:$M$33"}</definedName>
    <definedName name="HTML_Control_3_3_1_2_1_4" hidden="1">{"'Ark1'!$A$8:$M$33"}</definedName>
    <definedName name="HTML_Control_3_3_1_2_1_5" hidden="1">{"'Ark1'!$A$8:$M$33"}</definedName>
    <definedName name="HTML_Control_3_3_1_2_2" hidden="1">{"'Ark1'!$A$8:$M$33"}</definedName>
    <definedName name="HTML_Control_3_3_1_2_3" hidden="1">{"'Ark1'!$A$8:$M$33"}</definedName>
    <definedName name="HTML_Control_3_3_1_2_4" hidden="1">{"'Ark1'!$A$8:$M$33"}</definedName>
    <definedName name="HTML_Control_3_3_1_2_5" hidden="1">{"'Ark1'!$A$8:$M$33"}</definedName>
    <definedName name="HTML_Control_3_3_1_3" hidden="1">{"'Ark1'!$A$8:$M$33"}</definedName>
    <definedName name="HTML_Control_3_3_1_3_1" hidden="1">{"'Ark1'!$A$8:$M$33"}</definedName>
    <definedName name="HTML_Control_3_3_1_3_2" hidden="1">{"'Ark1'!$A$8:$M$33"}</definedName>
    <definedName name="HTML_Control_3_3_1_3_3" hidden="1">{"'Ark1'!$A$8:$M$33"}</definedName>
    <definedName name="HTML_Control_3_3_1_3_4" hidden="1">{"'Ark1'!$A$8:$M$33"}</definedName>
    <definedName name="HTML_Control_3_3_1_3_5" hidden="1">{"'Ark1'!$A$8:$M$33"}</definedName>
    <definedName name="HTML_Control_3_3_1_4" hidden="1">{"'Ark1'!$A$8:$M$33"}</definedName>
    <definedName name="HTML_Control_3_3_1_5" hidden="1">{"'Ark1'!$A$8:$M$33"}</definedName>
    <definedName name="HTML_Control_3_3_2" hidden="1">{"'Ark1'!$A$8:$M$33"}</definedName>
    <definedName name="HTML_Control_3_3_2_1" hidden="1">{"'Ark1'!$A$8:$M$33"}</definedName>
    <definedName name="HTML_Control_3_3_2_1_1" hidden="1">{"'Ark1'!$A$8:$M$33"}</definedName>
    <definedName name="HTML_Control_3_3_2_1_2" hidden="1">{"'Ark1'!$A$8:$M$33"}</definedName>
    <definedName name="HTML_Control_3_3_2_1_3" hidden="1">{"'Ark1'!$A$8:$M$33"}</definedName>
    <definedName name="HTML_Control_3_3_2_1_4" hidden="1">{"'Ark1'!$A$8:$M$33"}</definedName>
    <definedName name="HTML_Control_3_3_2_1_5" hidden="1">{"'Ark1'!$A$8:$M$33"}</definedName>
    <definedName name="HTML_Control_3_3_2_2" hidden="1">{"'Ark1'!$A$8:$M$33"}</definedName>
    <definedName name="HTML_Control_3_3_2_3" hidden="1">{"'Ark1'!$A$8:$M$33"}</definedName>
    <definedName name="HTML_Control_3_3_2_4" hidden="1">{"'Ark1'!$A$8:$M$33"}</definedName>
    <definedName name="HTML_Control_3_3_2_5" hidden="1">{"'Ark1'!$A$8:$M$33"}</definedName>
    <definedName name="HTML_Control_3_3_3" hidden="1">{"'Ark1'!$A$8:$M$33"}</definedName>
    <definedName name="HTML_Control_3_3_3_1" hidden="1">{"'Ark1'!$A$8:$M$33"}</definedName>
    <definedName name="HTML_Control_3_3_3_1_1" hidden="1">{"'Ark1'!$A$8:$M$33"}</definedName>
    <definedName name="HTML_Control_3_3_3_1_2" hidden="1">{"'Ark1'!$A$8:$M$33"}</definedName>
    <definedName name="HTML_Control_3_3_3_1_3" hidden="1">{"'Ark1'!$A$8:$M$33"}</definedName>
    <definedName name="HTML_Control_3_3_3_1_4" hidden="1">{"'Ark1'!$A$8:$M$33"}</definedName>
    <definedName name="HTML_Control_3_3_3_1_5" hidden="1">{"'Ark1'!$A$8:$M$33"}</definedName>
    <definedName name="HTML_Control_3_3_3_2" hidden="1">{"'Ark1'!$A$8:$M$33"}</definedName>
    <definedName name="HTML_Control_3_3_3_3" hidden="1">{"'Ark1'!$A$8:$M$33"}</definedName>
    <definedName name="HTML_Control_3_3_3_4" hidden="1">{"'Ark1'!$A$8:$M$33"}</definedName>
    <definedName name="HTML_Control_3_3_3_5" hidden="1">{"'Ark1'!$A$8:$M$33"}</definedName>
    <definedName name="HTML_Control_3_3_4" hidden="1">{"'Ark1'!$A$8:$M$33"}</definedName>
    <definedName name="HTML_Control_3_3_4_1" hidden="1">{"'Ark1'!$A$8:$M$33"}</definedName>
    <definedName name="HTML_Control_3_3_4_2" hidden="1">{"'Ark1'!$A$8:$M$33"}</definedName>
    <definedName name="HTML_Control_3_3_4_3" hidden="1">{"'Ark1'!$A$8:$M$33"}</definedName>
    <definedName name="HTML_Control_3_3_4_4" hidden="1">{"'Ark1'!$A$8:$M$33"}</definedName>
    <definedName name="HTML_Control_3_3_4_5" hidden="1">{"'Ark1'!$A$8:$M$33"}</definedName>
    <definedName name="HTML_Control_3_3_5" hidden="1">{"'Ark1'!$A$8:$M$33"}</definedName>
    <definedName name="HTML_Control_3_4" hidden="1">{"'Ark1'!$A$8:$M$33"}</definedName>
    <definedName name="HTML_Control_3_4_1" hidden="1">{"'Ark1'!$A$8:$M$33"}</definedName>
    <definedName name="HTML_Control_3_4_1_1" hidden="1">{"'Ark1'!$A$8:$M$33"}</definedName>
    <definedName name="HTML_Control_3_4_1_1_1" hidden="1">{"'Ark1'!$A$8:$M$33"}</definedName>
    <definedName name="HTML_Control_3_4_1_1_1_1" hidden="1">{"'Ark1'!$A$8:$M$33"}</definedName>
    <definedName name="HTML_Control_3_4_1_1_1_2" hidden="1">{"'Ark1'!$A$8:$M$33"}</definedName>
    <definedName name="HTML_Control_3_4_1_1_1_3" hidden="1">{"'Ark1'!$A$8:$M$33"}</definedName>
    <definedName name="HTML_Control_3_4_1_1_1_4" hidden="1">{"'Ark1'!$A$8:$M$33"}</definedName>
    <definedName name="HTML_Control_3_4_1_1_1_5" hidden="1">{"'Ark1'!$A$8:$M$33"}</definedName>
    <definedName name="HTML_Control_3_4_1_1_2" hidden="1">{"'Ark1'!$A$8:$M$33"}</definedName>
    <definedName name="HTML_Control_3_4_1_1_3" hidden="1">{"'Ark1'!$A$8:$M$33"}</definedName>
    <definedName name="HTML_Control_3_4_1_1_4" hidden="1">{"'Ark1'!$A$8:$M$33"}</definedName>
    <definedName name="HTML_Control_3_4_1_1_5" hidden="1">{"'Ark1'!$A$8:$M$33"}</definedName>
    <definedName name="HTML_Control_3_4_1_2" hidden="1">{"'Ark1'!$A$8:$M$33"}</definedName>
    <definedName name="HTML_Control_3_4_1_2_1" hidden="1">{"'Ark1'!$A$8:$M$33"}</definedName>
    <definedName name="HTML_Control_3_4_1_2_1_1" hidden="1">{"'Ark1'!$A$8:$M$33"}</definedName>
    <definedName name="HTML_Control_3_4_1_2_1_2" hidden="1">{"'Ark1'!$A$8:$M$33"}</definedName>
    <definedName name="HTML_Control_3_4_1_2_1_3" hidden="1">{"'Ark1'!$A$8:$M$33"}</definedName>
    <definedName name="HTML_Control_3_4_1_2_1_4" hidden="1">{"'Ark1'!$A$8:$M$33"}</definedName>
    <definedName name="HTML_Control_3_4_1_2_1_5" hidden="1">{"'Ark1'!$A$8:$M$33"}</definedName>
    <definedName name="HTML_Control_3_4_1_2_2" hidden="1">{"'Ark1'!$A$8:$M$33"}</definedName>
    <definedName name="HTML_Control_3_4_1_2_3" hidden="1">{"'Ark1'!$A$8:$M$33"}</definedName>
    <definedName name="HTML_Control_3_4_1_2_4" hidden="1">{"'Ark1'!$A$8:$M$33"}</definedName>
    <definedName name="HTML_Control_3_4_1_2_5" hidden="1">{"'Ark1'!$A$8:$M$33"}</definedName>
    <definedName name="HTML_Control_3_4_1_3" hidden="1">{"'Ark1'!$A$8:$M$33"}</definedName>
    <definedName name="HTML_Control_3_4_1_3_1" hidden="1">{"'Ark1'!$A$8:$M$33"}</definedName>
    <definedName name="HTML_Control_3_4_1_3_2" hidden="1">{"'Ark1'!$A$8:$M$33"}</definedName>
    <definedName name="HTML_Control_3_4_1_3_3" hidden="1">{"'Ark1'!$A$8:$M$33"}</definedName>
    <definedName name="HTML_Control_3_4_1_3_4" hidden="1">{"'Ark1'!$A$8:$M$33"}</definedName>
    <definedName name="HTML_Control_3_4_1_3_5" hidden="1">{"'Ark1'!$A$8:$M$33"}</definedName>
    <definedName name="HTML_Control_3_4_1_4" hidden="1">{"'Ark1'!$A$8:$M$33"}</definedName>
    <definedName name="HTML_Control_3_4_1_5" hidden="1">{"'Ark1'!$A$8:$M$33"}</definedName>
    <definedName name="HTML_Control_3_4_2" hidden="1">{"'Ark1'!$A$8:$M$33"}</definedName>
    <definedName name="HTML_Control_3_4_2_1" hidden="1">{"'Ark1'!$A$8:$M$33"}</definedName>
    <definedName name="HTML_Control_3_4_2_1_1" hidden="1">{"'Ark1'!$A$8:$M$33"}</definedName>
    <definedName name="HTML_Control_3_4_2_1_2" hidden="1">{"'Ark1'!$A$8:$M$33"}</definedName>
    <definedName name="HTML_Control_3_4_2_1_3" hidden="1">{"'Ark1'!$A$8:$M$33"}</definedName>
    <definedName name="HTML_Control_3_4_2_1_4" hidden="1">{"'Ark1'!$A$8:$M$33"}</definedName>
    <definedName name="HTML_Control_3_4_2_1_5" hidden="1">{"'Ark1'!$A$8:$M$33"}</definedName>
    <definedName name="HTML_Control_3_4_2_2" hidden="1">{"'Ark1'!$A$8:$M$33"}</definedName>
    <definedName name="HTML_Control_3_4_2_3" hidden="1">{"'Ark1'!$A$8:$M$33"}</definedName>
    <definedName name="HTML_Control_3_4_2_4" hidden="1">{"'Ark1'!$A$8:$M$33"}</definedName>
    <definedName name="HTML_Control_3_4_2_5" hidden="1">{"'Ark1'!$A$8:$M$33"}</definedName>
    <definedName name="HTML_Control_3_4_3" hidden="1">{"'Ark1'!$A$8:$M$33"}</definedName>
    <definedName name="HTML_Control_3_4_3_1" hidden="1">{"'Ark1'!$A$8:$M$33"}</definedName>
    <definedName name="HTML_Control_3_4_3_1_1" hidden="1">{"'Ark1'!$A$8:$M$33"}</definedName>
    <definedName name="HTML_Control_3_4_3_1_2" hidden="1">{"'Ark1'!$A$8:$M$33"}</definedName>
    <definedName name="HTML_Control_3_4_3_1_3" hidden="1">{"'Ark1'!$A$8:$M$33"}</definedName>
    <definedName name="HTML_Control_3_4_3_1_4" hidden="1">{"'Ark1'!$A$8:$M$33"}</definedName>
    <definedName name="HTML_Control_3_4_3_1_5" hidden="1">{"'Ark1'!$A$8:$M$33"}</definedName>
    <definedName name="HTML_Control_3_4_3_2" hidden="1">{"'Ark1'!$A$8:$M$33"}</definedName>
    <definedName name="HTML_Control_3_4_3_3" hidden="1">{"'Ark1'!$A$8:$M$33"}</definedName>
    <definedName name="HTML_Control_3_4_3_4" hidden="1">{"'Ark1'!$A$8:$M$33"}</definedName>
    <definedName name="HTML_Control_3_4_3_5" hidden="1">{"'Ark1'!$A$8:$M$33"}</definedName>
    <definedName name="HTML_Control_3_4_4" hidden="1">{"'Ark1'!$A$8:$M$33"}</definedName>
    <definedName name="HTML_Control_3_4_4_1" hidden="1">{"'Ark1'!$A$8:$M$33"}</definedName>
    <definedName name="HTML_Control_3_4_4_2" hidden="1">{"'Ark1'!$A$8:$M$33"}</definedName>
    <definedName name="HTML_Control_3_4_4_3" hidden="1">{"'Ark1'!$A$8:$M$33"}</definedName>
    <definedName name="HTML_Control_3_4_4_4" hidden="1">{"'Ark1'!$A$8:$M$33"}</definedName>
    <definedName name="HTML_Control_3_4_4_5" hidden="1">{"'Ark1'!$A$8:$M$33"}</definedName>
    <definedName name="HTML_Control_3_4_5" hidden="1">{"'Ark1'!$A$8:$M$33"}</definedName>
    <definedName name="HTML_Control_3_5" hidden="1">{"'Ark1'!$A$8:$M$33"}</definedName>
    <definedName name="HTML_Control_3_5_1" hidden="1">{"'Ark1'!$A$8:$M$33"}</definedName>
    <definedName name="HTML_Control_3_5_1_1" hidden="1">{"'Ark1'!$A$8:$M$33"}</definedName>
    <definedName name="HTML_Control_3_5_1_1_1" hidden="1">{"'Ark1'!$A$8:$M$33"}</definedName>
    <definedName name="HTML_Control_3_5_1_1_2" hidden="1">{"'Ark1'!$A$8:$M$33"}</definedName>
    <definedName name="HTML_Control_3_5_1_1_3" hidden="1">{"'Ark1'!$A$8:$M$33"}</definedName>
    <definedName name="HTML_Control_3_5_1_1_4" hidden="1">{"'Ark1'!$A$8:$M$33"}</definedName>
    <definedName name="HTML_Control_3_5_1_1_5" hidden="1">{"'Ark1'!$A$8:$M$33"}</definedName>
    <definedName name="HTML_Control_3_5_1_2" hidden="1">{"'Ark1'!$A$8:$M$33"}</definedName>
    <definedName name="HTML_Control_3_5_1_3" hidden="1">{"'Ark1'!$A$8:$M$33"}</definedName>
    <definedName name="HTML_Control_3_5_1_4" hidden="1">{"'Ark1'!$A$8:$M$33"}</definedName>
    <definedName name="HTML_Control_3_5_1_5" hidden="1">{"'Ark1'!$A$8:$M$33"}</definedName>
    <definedName name="HTML_Control_3_5_2" hidden="1">{"'Ark1'!$A$8:$M$33"}</definedName>
    <definedName name="HTML_Control_3_5_2_1" hidden="1">{"'Ark1'!$A$8:$M$33"}</definedName>
    <definedName name="HTML_Control_3_5_2_1_1" hidden="1">{"'Ark1'!$A$8:$M$33"}</definedName>
    <definedName name="HTML_Control_3_5_2_1_2" hidden="1">{"'Ark1'!$A$8:$M$33"}</definedName>
    <definedName name="HTML_Control_3_5_2_1_3" hidden="1">{"'Ark1'!$A$8:$M$33"}</definedName>
    <definedName name="HTML_Control_3_5_2_1_4" hidden="1">{"'Ark1'!$A$8:$M$33"}</definedName>
    <definedName name="HTML_Control_3_5_2_1_5" hidden="1">{"'Ark1'!$A$8:$M$33"}</definedName>
    <definedName name="HTML_Control_3_5_2_2" hidden="1">{"'Ark1'!$A$8:$M$33"}</definedName>
    <definedName name="HTML_Control_3_5_2_3" hidden="1">{"'Ark1'!$A$8:$M$33"}</definedName>
    <definedName name="HTML_Control_3_5_2_4" hidden="1">{"'Ark1'!$A$8:$M$33"}</definedName>
    <definedName name="HTML_Control_3_5_2_5" hidden="1">{"'Ark1'!$A$8:$M$33"}</definedName>
    <definedName name="HTML_Control_3_5_3" hidden="1">{"'Ark1'!$A$8:$M$33"}</definedName>
    <definedName name="HTML_Control_3_5_3_1" hidden="1">{"'Ark1'!$A$8:$M$33"}</definedName>
    <definedName name="HTML_Control_3_5_3_2" hidden="1">{"'Ark1'!$A$8:$M$33"}</definedName>
    <definedName name="HTML_Control_3_5_3_3" hidden="1">{"'Ark1'!$A$8:$M$33"}</definedName>
    <definedName name="HTML_Control_3_5_3_4" hidden="1">{"'Ark1'!$A$8:$M$33"}</definedName>
    <definedName name="HTML_Control_3_5_3_5" hidden="1">{"'Ark1'!$A$8:$M$33"}</definedName>
    <definedName name="HTML_Control_3_5_4" hidden="1">{"'Ark1'!$A$8:$M$33"}</definedName>
    <definedName name="HTML_Control_3_5_5" hidden="1">{"'Ark1'!$A$8:$M$33"}</definedName>
    <definedName name="HTML_Control_4" hidden="1">{"'Ark1'!$A$8:$M$33"}</definedName>
    <definedName name="HTML_Control_4_1" hidden="1">{"'Ark1'!$A$8:$M$33"}</definedName>
    <definedName name="HTML_Control_4_1_1" hidden="1">{"'Ark1'!$A$8:$M$33"}</definedName>
    <definedName name="HTML_Control_4_1_1_1" hidden="1">{"'Ark1'!$A$8:$M$33"}</definedName>
    <definedName name="HTML_Control_4_1_1_1_1" hidden="1">{"'Ark1'!$A$8:$M$33"}</definedName>
    <definedName name="HTML_Control_4_1_1_1_1_1" hidden="1">{"'Ark1'!$A$8:$M$33"}</definedName>
    <definedName name="HTML_Control_4_1_1_1_1_1_1" hidden="1">{"'Ark1'!$A$8:$M$33"}</definedName>
    <definedName name="HTML_Control_4_1_1_1_1_1_2" hidden="1">{"'Ark1'!$A$8:$M$33"}</definedName>
    <definedName name="HTML_Control_4_1_1_1_1_1_3" hidden="1">{"'Ark1'!$A$8:$M$33"}</definedName>
    <definedName name="HTML_Control_4_1_1_1_1_1_4" hidden="1">{"'Ark1'!$A$8:$M$33"}</definedName>
    <definedName name="HTML_Control_4_1_1_1_1_1_5" hidden="1">{"'Ark1'!$A$8:$M$33"}</definedName>
    <definedName name="HTML_Control_4_1_1_1_1_2" hidden="1">{"'Ark1'!$A$8:$M$33"}</definedName>
    <definedName name="HTML_Control_4_1_1_1_1_3" hidden="1">{"'Ark1'!$A$8:$M$33"}</definedName>
    <definedName name="HTML_Control_4_1_1_1_1_4" hidden="1">{"'Ark1'!$A$8:$M$33"}</definedName>
    <definedName name="HTML_Control_4_1_1_1_1_5" hidden="1">{"'Ark1'!$A$8:$M$33"}</definedName>
    <definedName name="HTML_Control_4_1_1_1_2" hidden="1">{"'Ark1'!$A$8:$M$33"}</definedName>
    <definedName name="HTML_Control_4_1_1_1_2_1" hidden="1">{"'Ark1'!$A$8:$M$33"}</definedName>
    <definedName name="HTML_Control_4_1_1_1_2_1_1" hidden="1">{"'Ark1'!$A$8:$M$33"}</definedName>
    <definedName name="HTML_Control_4_1_1_1_2_1_2" hidden="1">{"'Ark1'!$A$8:$M$33"}</definedName>
    <definedName name="HTML_Control_4_1_1_1_2_1_3" hidden="1">{"'Ark1'!$A$8:$M$33"}</definedName>
    <definedName name="HTML_Control_4_1_1_1_2_1_4" hidden="1">{"'Ark1'!$A$8:$M$33"}</definedName>
    <definedName name="HTML_Control_4_1_1_1_2_1_5" hidden="1">{"'Ark1'!$A$8:$M$33"}</definedName>
    <definedName name="HTML_Control_4_1_1_1_2_2" hidden="1">{"'Ark1'!$A$8:$M$33"}</definedName>
    <definedName name="HTML_Control_4_1_1_1_2_3" hidden="1">{"'Ark1'!$A$8:$M$33"}</definedName>
    <definedName name="HTML_Control_4_1_1_1_2_4" hidden="1">{"'Ark1'!$A$8:$M$33"}</definedName>
    <definedName name="HTML_Control_4_1_1_1_2_5" hidden="1">{"'Ark1'!$A$8:$M$33"}</definedName>
    <definedName name="HTML_Control_4_1_1_1_3" hidden="1">{"'Ark1'!$A$8:$M$33"}</definedName>
    <definedName name="HTML_Control_4_1_1_1_3_1" hidden="1">{"'Ark1'!$A$8:$M$33"}</definedName>
    <definedName name="HTML_Control_4_1_1_1_3_2" hidden="1">{"'Ark1'!$A$8:$M$33"}</definedName>
    <definedName name="HTML_Control_4_1_1_1_3_3" hidden="1">{"'Ark1'!$A$8:$M$33"}</definedName>
    <definedName name="HTML_Control_4_1_1_1_3_4" hidden="1">{"'Ark1'!$A$8:$M$33"}</definedName>
    <definedName name="HTML_Control_4_1_1_1_3_5" hidden="1">{"'Ark1'!$A$8:$M$33"}</definedName>
    <definedName name="HTML_Control_4_1_1_1_4" hidden="1">{"'Ark1'!$A$8:$M$33"}</definedName>
    <definedName name="HTML_Control_4_1_1_1_5" hidden="1">{"'Ark1'!$A$8:$M$33"}</definedName>
    <definedName name="HTML_Control_4_1_1_2" hidden="1">{"'Ark1'!$A$8:$M$33"}</definedName>
    <definedName name="HTML_Control_4_1_1_2_1" hidden="1">{"'Ark1'!$A$8:$M$33"}</definedName>
    <definedName name="HTML_Control_4_1_1_2_1_1" hidden="1">{"'Ark1'!$A$8:$M$33"}</definedName>
    <definedName name="HTML_Control_4_1_1_2_1_2" hidden="1">{"'Ark1'!$A$8:$M$33"}</definedName>
    <definedName name="HTML_Control_4_1_1_2_1_3" hidden="1">{"'Ark1'!$A$8:$M$33"}</definedName>
    <definedName name="HTML_Control_4_1_1_2_1_4" hidden="1">{"'Ark1'!$A$8:$M$33"}</definedName>
    <definedName name="HTML_Control_4_1_1_2_1_5" hidden="1">{"'Ark1'!$A$8:$M$33"}</definedName>
    <definedName name="HTML_Control_4_1_1_2_2" hidden="1">{"'Ark1'!$A$8:$M$33"}</definedName>
    <definedName name="HTML_Control_4_1_1_2_3" hidden="1">{"'Ark1'!$A$8:$M$33"}</definedName>
    <definedName name="HTML_Control_4_1_1_2_4" hidden="1">{"'Ark1'!$A$8:$M$33"}</definedName>
    <definedName name="HTML_Control_4_1_1_2_5" hidden="1">{"'Ark1'!$A$8:$M$33"}</definedName>
    <definedName name="HTML_Control_4_1_1_3" hidden="1">{"'Ark1'!$A$8:$M$33"}</definedName>
    <definedName name="HTML_Control_4_1_1_3_1" hidden="1">{"'Ark1'!$A$8:$M$33"}</definedName>
    <definedName name="HTML_Control_4_1_1_3_1_1" hidden="1">{"'Ark1'!$A$8:$M$33"}</definedName>
    <definedName name="HTML_Control_4_1_1_3_1_2" hidden="1">{"'Ark1'!$A$8:$M$33"}</definedName>
    <definedName name="HTML_Control_4_1_1_3_1_3" hidden="1">{"'Ark1'!$A$8:$M$33"}</definedName>
    <definedName name="HTML_Control_4_1_1_3_1_4" hidden="1">{"'Ark1'!$A$8:$M$33"}</definedName>
    <definedName name="HTML_Control_4_1_1_3_1_5" hidden="1">{"'Ark1'!$A$8:$M$33"}</definedName>
    <definedName name="HTML_Control_4_1_1_3_2" hidden="1">{"'Ark1'!$A$8:$M$33"}</definedName>
    <definedName name="HTML_Control_4_1_1_3_3" hidden="1">{"'Ark1'!$A$8:$M$33"}</definedName>
    <definedName name="HTML_Control_4_1_1_3_4" hidden="1">{"'Ark1'!$A$8:$M$33"}</definedName>
    <definedName name="HTML_Control_4_1_1_3_5" hidden="1">{"'Ark1'!$A$8:$M$33"}</definedName>
    <definedName name="HTML_Control_4_1_1_4" hidden="1">{"'Ark1'!$A$8:$M$33"}</definedName>
    <definedName name="HTML_Control_4_1_1_4_1" hidden="1">{"'Ark1'!$A$8:$M$33"}</definedName>
    <definedName name="HTML_Control_4_1_1_4_2" hidden="1">{"'Ark1'!$A$8:$M$33"}</definedName>
    <definedName name="HTML_Control_4_1_1_4_3" hidden="1">{"'Ark1'!$A$8:$M$33"}</definedName>
    <definedName name="HTML_Control_4_1_1_4_4" hidden="1">{"'Ark1'!$A$8:$M$33"}</definedName>
    <definedName name="HTML_Control_4_1_1_4_5" hidden="1">{"'Ark1'!$A$8:$M$33"}</definedName>
    <definedName name="HTML_Control_4_1_1_5" hidden="1">{"'Ark1'!$A$8:$M$33"}</definedName>
    <definedName name="HTML_Control_4_1_2" hidden="1">{"'Ark1'!$A$8:$M$33"}</definedName>
    <definedName name="HTML_Control_4_1_2_1" hidden="1">{"'Ark1'!$A$8:$M$33"}</definedName>
    <definedName name="HTML_Control_4_1_2_1_1" hidden="1">{"'Ark1'!$A$8:$M$33"}</definedName>
    <definedName name="HTML_Control_4_1_2_1_1_1" hidden="1">{"'Ark1'!$A$8:$M$33"}</definedName>
    <definedName name="HTML_Control_4_1_2_1_1_1_1" hidden="1">{"'Ark1'!$A$8:$M$33"}</definedName>
    <definedName name="HTML_Control_4_1_2_1_1_1_2" hidden="1">{"'Ark1'!$A$8:$M$33"}</definedName>
    <definedName name="HTML_Control_4_1_2_1_1_1_3" hidden="1">{"'Ark1'!$A$8:$M$33"}</definedName>
    <definedName name="HTML_Control_4_1_2_1_1_1_4" hidden="1">{"'Ark1'!$A$8:$M$33"}</definedName>
    <definedName name="HTML_Control_4_1_2_1_1_1_5" hidden="1">{"'Ark1'!$A$8:$M$33"}</definedName>
    <definedName name="HTML_Control_4_1_2_1_1_2" hidden="1">{"'Ark1'!$A$8:$M$33"}</definedName>
    <definedName name="HTML_Control_4_1_2_1_1_3" hidden="1">{"'Ark1'!$A$8:$M$33"}</definedName>
    <definedName name="HTML_Control_4_1_2_1_1_4" hidden="1">{"'Ark1'!$A$8:$M$33"}</definedName>
    <definedName name="HTML_Control_4_1_2_1_1_5" hidden="1">{"'Ark1'!$A$8:$M$33"}</definedName>
    <definedName name="HTML_Control_4_1_2_1_2" hidden="1">{"'Ark1'!$A$8:$M$33"}</definedName>
    <definedName name="HTML_Control_4_1_2_1_2_1" hidden="1">{"'Ark1'!$A$8:$M$33"}</definedName>
    <definedName name="HTML_Control_4_1_2_1_2_1_1" hidden="1">{"'Ark1'!$A$8:$M$33"}</definedName>
    <definedName name="HTML_Control_4_1_2_1_2_1_2" hidden="1">{"'Ark1'!$A$8:$M$33"}</definedName>
    <definedName name="HTML_Control_4_1_2_1_2_1_3" hidden="1">{"'Ark1'!$A$8:$M$33"}</definedName>
    <definedName name="HTML_Control_4_1_2_1_2_1_4" hidden="1">{"'Ark1'!$A$8:$M$33"}</definedName>
    <definedName name="HTML_Control_4_1_2_1_2_1_5" hidden="1">{"'Ark1'!$A$8:$M$33"}</definedName>
    <definedName name="HTML_Control_4_1_2_1_2_2" hidden="1">{"'Ark1'!$A$8:$M$33"}</definedName>
    <definedName name="HTML_Control_4_1_2_1_2_3" hidden="1">{"'Ark1'!$A$8:$M$33"}</definedName>
    <definedName name="HTML_Control_4_1_2_1_2_4" hidden="1">{"'Ark1'!$A$8:$M$33"}</definedName>
    <definedName name="HTML_Control_4_1_2_1_2_5" hidden="1">{"'Ark1'!$A$8:$M$33"}</definedName>
    <definedName name="HTML_Control_4_1_2_1_3" hidden="1">{"'Ark1'!$A$8:$M$33"}</definedName>
    <definedName name="HTML_Control_4_1_2_1_3_1" hidden="1">{"'Ark1'!$A$8:$M$33"}</definedName>
    <definedName name="HTML_Control_4_1_2_1_3_2" hidden="1">{"'Ark1'!$A$8:$M$33"}</definedName>
    <definedName name="HTML_Control_4_1_2_1_3_3" hidden="1">{"'Ark1'!$A$8:$M$33"}</definedName>
    <definedName name="HTML_Control_4_1_2_1_3_4" hidden="1">{"'Ark1'!$A$8:$M$33"}</definedName>
    <definedName name="HTML_Control_4_1_2_1_3_5" hidden="1">{"'Ark1'!$A$8:$M$33"}</definedName>
    <definedName name="HTML_Control_4_1_2_1_4" hidden="1">{"'Ark1'!$A$8:$M$33"}</definedName>
    <definedName name="HTML_Control_4_1_2_1_5" hidden="1">{"'Ark1'!$A$8:$M$33"}</definedName>
    <definedName name="HTML_Control_4_1_2_2" hidden="1">{"'Ark1'!$A$8:$M$33"}</definedName>
    <definedName name="HTML_Control_4_1_2_2_1" hidden="1">{"'Ark1'!$A$8:$M$33"}</definedName>
    <definedName name="HTML_Control_4_1_2_2_1_1" hidden="1">{"'Ark1'!$A$8:$M$33"}</definedName>
    <definedName name="HTML_Control_4_1_2_2_1_2" hidden="1">{"'Ark1'!$A$8:$M$33"}</definedName>
    <definedName name="HTML_Control_4_1_2_2_1_3" hidden="1">{"'Ark1'!$A$8:$M$33"}</definedName>
    <definedName name="HTML_Control_4_1_2_2_1_4" hidden="1">{"'Ark1'!$A$8:$M$33"}</definedName>
    <definedName name="HTML_Control_4_1_2_2_1_5" hidden="1">{"'Ark1'!$A$8:$M$33"}</definedName>
    <definedName name="HTML_Control_4_1_2_2_2" hidden="1">{"'Ark1'!$A$8:$M$33"}</definedName>
    <definedName name="HTML_Control_4_1_2_2_3" hidden="1">{"'Ark1'!$A$8:$M$33"}</definedName>
    <definedName name="HTML_Control_4_1_2_2_4" hidden="1">{"'Ark1'!$A$8:$M$33"}</definedName>
    <definedName name="HTML_Control_4_1_2_2_5" hidden="1">{"'Ark1'!$A$8:$M$33"}</definedName>
    <definedName name="HTML_Control_4_1_2_3" hidden="1">{"'Ark1'!$A$8:$M$33"}</definedName>
    <definedName name="HTML_Control_4_1_2_3_1" hidden="1">{"'Ark1'!$A$8:$M$33"}</definedName>
    <definedName name="HTML_Control_4_1_2_3_1_1" hidden="1">{"'Ark1'!$A$8:$M$33"}</definedName>
    <definedName name="HTML_Control_4_1_2_3_1_2" hidden="1">{"'Ark1'!$A$8:$M$33"}</definedName>
    <definedName name="HTML_Control_4_1_2_3_1_3" hidden="1">{"'Ark1'!$A$8:$M$33"}</definedName>
    <definedName name="HTML_Control_4_1_2_3_1_4" hidden="1">{"'Ark1'!$A$8:$M$33"}</definedName>
    <definedName name="HTML_Control_4_1_2_3_1_5" hidden="1">{"'Ark1'!$A$8:$M$33"}</definedName>
    <definedName name="HTML_Control_4_1_2_3_2" hidden="1">{"'Ark1'!$A$8:$M$33"}</definedName>
    <definedName name="HTML_Control_4_1_2_3_3" hidden="1">{"'Ark1'!$A$8:$M$33"}</definedName>
    <definedName name="HTML_Control_4_1_2_3_4" hidden="1">{"'Ark1'!$A$8:$M$33"}</definedName>
    <definedName name="HTML_Control_4_1_2_3_5" hidden="1">{"'Ark1'!$A$8:$M$33"}</definedName>
    <definedName name="HTML_Control_4_1_2_4" hidden="1">{"'Ark1'!$A$8:$M$33"}</definedName>
    <definedName name="HTML_Control_4_1_2_4_1" hidden="1">{"'Ark1'!$A$8:$M$33"}</definedName>
    <definedName name="HTML_Control_4_1_2_4_2" hidden="1">{"'Ark1'!$A$8:$M$33"}</definedName>
    <definedName name="HTML_Control_4_1_2_4_3" hidden="1">{"'Ark1'!$A$8:$M$33"}</definedName>
    <definedName name="HTML_Control_4_1_2_4_4" hidden="1">{"'Ark1'!$A$8:$M$33"}</definedName>
    <definedName name="HTML_Control_4_1_2_4_5" hidden="1">{"'Ark1'!$A$8:$M$33"}</definedName>
    <definedName name="HTML_Control_4_1_2_5" hidden="1">{"'Ark1'!$A$8:$M$33"}</definedName>
    <definedName name="HTML_Control_4_1_3" hidden="1">{"'Ark1'!$A$8:$M$33"}</definedName>
    <definedName name="HTML_Control_4_1_3_1" hidden="1">{"'Ark1'!$A$8:$M$33"}</definedName>
    <definedName name="HTML_Control_4_1_3_1_1" hidden="1">{"'Ark1'!$A$8:$M$33"}</definedName>
    <definedName name="HTML_Control_4_1_3_1_1_1" hidden="1">{"'Ark1'!$A$8:$M$33"}</definedName>
    <definedName name="HTML_Control_4_1_3_1_1_2" hidden="1">{"'Ark1'!$A$8:$M$33"}</definedName>
    <definedName name="HTML_Control_4_1_3_1_1_3" hidden="1">{"'Ark1'!$A$8:$M$33"}</definedName>
    <definedName name="HTML_Control_4_1_3_1_1_4" hidden="1">{"'Ark1'!$A$8:$M$33"}</definedName>
    <definedName name="HTML_Control_4_1_3_1_1_5" hidden="1">{"'Ark1'!$A$8:$M$33"}</definedName>
    <definedName name="HTML_Control_4_1_3_1_2" hidden="1">{"'Ark1'!$A$8:$M$33"}</definedName>
    <definedName name="HTML_Control_4_1_3_1_3" hidden="1">{"'Ark1'!$A$8:$M$33"}</definedName>
    <definedName name="HTML_Control_4_1_3_1_4" hidden="1">{"'Ark1'!$A$8:$M$33"}</definedName>
    <definedName name="HTML_Control_4_1_3_1_5" hidden="1">{"'Ark1'!$A$8:$M$33"}</definedName>
    <definedName name="HTML_Control_4_1_3_2" hidden="1">{"'Ark1'!$A$8:$M$33"}</definedName>
    <definedName name="HTML_Control_4_1_3_2_1" hidden="1">{"'Ark1'!$A$8:$M$33"}</definedName>
    <definedName name="HTML_Control_4_1_3_2_1_1" hidden="1">{"'Ark1'!$A$8:$M$33"}</definedName>
    <definedName name="HTML_Control_4_1_3_2_1_2" hidden="1">{"'Ark1'!$A$8:$M$33"}</definedName>
    <definedName name="HTML_Control_4_1_3_2_1_3" hidden="1">{"'Ark1'!$A$8:$M$33"}</definedName>
    <definedName name="HTML_Control_4_1_3_2_1_4" hidden="1">{"'Ark1'!$A$8:$M$33"}</definedName>
    <definedName name="HTML_Control_4_1_3_2_1_5" hidden="1">{"'Ark1'!$A$8:$M$33"}</definedName>
    <definedName name="HTML_Control_4_1_3_2_2" hidden="1">{"'Ark1'!$A$8:$M$33"}</definedName>
    <definedName name="HTML_Control_4_1_3_2_3" hidden="1">{"'Ark1'!$A$8:$M$33"}</definedName>
    <definedName name="HTML_Control_4_1_3_2_4" hidden="1">{"'Ark1'!$A$8:$M$33"}</definedName>
    <definedName name="HTML_Control_4_1_3_2_5" hidden="1">{"'Ark1'!$A$8:$M$33"}</definedName>
    <definedName name="HTML_Control_4_1_3_3" hidden="1">{"'Ark1'!$A$8:$M$33"}</definedName>
    <definedName name="HTML_Control_4_1_3_3_1" hidden="1">{"'Ark1'!$A$8:$M$33"}</definedName>
    <definedName name="HTML_Control_4_1_3_3_2" hidden="1">{"'Ark1'!$A$8:$M$33"}</definedName>
    <definedName name="HTML_Control_4_1_3_3_3" hidden="1">{"'Ark1'!$A$8:$M$33"}</definedName>
    <definedName name="HTML_Control_4_1_3_3_4" hidden="1">{"'Ark1'!$A$8:$M$33"}</definedName>
    <definedName name="HTML_Control_4_1_3_3_5" hidden="1">{"'Ark1'!$A$8:$M$33"}</definedName>
    <definedName name="HTML_Control_4_1_3_4" hidden="1">{"'Ark1'!$A$8:$M$33"}</definedName>
    <definedName name="HTML_Control_4_1_3_5" hidden="1">{"'Ark1'!$A$8:$M$33"}</definedName>
    <definedName name="HTML_Control_4_1_4" hidden="1">{"'Ark1'!$A$8:$M$33"}</definedName>
    <definedName name="HTML_Control_4_1_4_1" hidden="1">{"'Ark1'!$A$8:$M$33"}</definedName>
    <definedName name="HTML_Control_4_1_4_1_1" hidden="1">{"'Ark1'!$A$8:$M$33"}</definedName>
    <definedName name="HTML_Control_4_1_4_1_2" hidden="1">{"'Ark1'!$A$8:$M$33"}</definedName>
    <definedName name="HTML_Control_4_1_4_1_3" hidden="1">{"'Ark1'!$A$8:$M$33"}</definedName>
    <definedName name="HTML_Control_4_1_4_1_4" hidden="1">{"'Ark1'!$A$8:$M$33"}</definedName>
    <definedName name="HTML_Control_4_1_4_1_5" hidden="1">{"'Ark1'!$A$8:$M$33"}</definedName>
    <definedName name="HTML_Control_4_1_4_2" hidden="1">{"'Ark1'!$A$8:$M$33"}</definedName>
    <definedName name="HTML_Control_4_1_4_3" hidden="1">{"'Ark1'!$A$8:$M$33"}</definedName>
    <definedName name="HTML_Control_4_1_4_4" hidden="1">{"'Ark1'!$A$8:$M$33"}</definedName>
    <definedName name="HTML_Control_4_1_4_5" hidden="1">{"'Ark1'!$A$8:$M$33"}</definedName>
    <definedName name="HTML_Control_4_1_5" hidden="1">{"'Ark1'!$A$8:$M$33"}</definedName>
    <definedName name="HTML_Control_4_1_5_1" hidden="1">{"'Ark1'!$A$8:$M$33"}</definedName>
    <definedName name="HTML_Control_4_1_5_1_1" hidden="1">{"'Ark1'!$A$8:$M$33"}</definedName>
    <definedName name="HTML_Control_4_1_5_1_2" hidden="1">{"'Ark1'!$A$8:$M$33"}</definedName>
    <definedName name="HTML_Control_4_1_5_1_3" hidden="1">{"'Ark1'!$A$8:$M$33"}</definedName>
    <definedName name="HTML_Control_4_1_5_1_4" hidden="1">{"'Ark1'!$A$8:$M$33"}</definedName>
    <definedName name="HTML_Control_4_1_5_1_5" hidden="1">{"'Ark1'!$A$8:$M$33"}</definedName>
    <definedName name="HTML_Control_4_1_5_2" hidden="1">{"'Ark1'!$A$8:$M$33"}</definedName>
    <definedName name="HTML_Control_4_1_5_3" hidden="1">{"'Ark1'!$A$8:$M$33"}</definedName>
    <definedName name="HTML_Control_4_1_5_4" hidden="1">{"'Ark1'!$A$8:$M$33"}</definedName>
    <definedName name="HTML_Control_4_1_5_5" hidden="1">{"'Ark1'!$A$8:$M$33"}</definedName>
    <definedName name="HTML_Control_4_2" hidden="1">{"'Ark1'!$A$8:$M$33"}</definedName>
    <definedName name="HTML_Control_4_2_1" hidden="1">{"'Ark1'!$A$8:$M$33"}</definedName>
    <definedName name="HTML_Control_4_2_1_1" hidden="1">{"'Ark1'!$A$8:$M$33"}</definedName>
    <definedName name="HTML_Control_4_2_1_1_1" hidden="1">{"'Ark1'!$A$8:$M$33"}</definedName>
    <definedName name="HTML_Control_4_2_1_1_1_1" hidden="1">{"'Ark1'!$A$8:$M$33"}</definedName>
    <definedName name="HTML_Control_4_2_1_1_1_2" hidden="1">{"'Ark1'!$A$8:$M$33"}</definedName>
    <definedName name="HTML_Control_4_2_1_1_1_3" hidden="1">{"'Ark1'!$A$8:$M$33"}</definedName>
    <definedName name="HTML_Control_4_2_1_1_1_4" hidden="1">{"'Ark1'!$A$8:$M$33"}</definedName>
    <definedName name="HTML_Control_4_2_1_1_1_5" hidden="1">{"'Ark1'!$A$8:$M$33"}</definedName>
    <definedName name="HTML_Control_4_2_1_1_2" hidden="1">{"'Ark1'!$A$8:$M$33"}</definedName>
    <definedName name="HTML_Control_4_2_1_1_3" hidden="1">{"'Ark1'!$A$8:$M$33"}</definedName>
    <definedName name="HTML_Control_4_2_1_1_4" hidden="1">{"'Ark1'!$A$8:$M$33"}</definedName>
    <definedName name="HTML_Control_4_2_1_1_5" hidden="1">{"'Ark1'!$A$8:$M$33"}</definedName>
    <definedName name="HTML_Control_4_2_1_2" hidden="1">{"'Ark1'!$A$8:$M$33"}</definedName>
    <definedName name="HTML_Control_4_2_1_2_1" hidden="1">{"'Ark1'!$A$8:$M$33"}</definedName>
    <definedName name="HTML_Control_4_2_1_2_1_1" hidden="1">{"'Ark1'!$A$8:$M$33"}</definedName>
    <definedName name="HTML_Control_4_2_1_2_1_2" hidden="1">{"'Ark1'!$A$8:$M$33"}</definedName>
    <definedName name="HTML_Control_4_2_1_2_1_3" hidden="1">{"'Ark1'!$A$8:$M$33"}</definedName>
    <definedName name="HTML_Control_4_2_1_2_1_4" hidden="1">{"'Ark1'!$A$8:$M$33"}</definedName>
    <definedName name="HTML_Control_4_2_1_2_1_5" hidden="1">{"'Ark1'!$A$8:$M$33"}</definedName>
    <definedName name="HTML_Control_4_2_1_2_2" hidden="1">{"'Ark1'!$A$8:$M$33"}</definedName>
    <definedName name="HTML_Control_4_2_1_2_3" hidden="1">{"'Ark1'!$A$8:$M$33"}</definedName>
    <definedName name="HTML_Control_4_2_1_2_4" hidden="1">{"'Ark1'!$A$8:$M$33"}</definedName>
    <definedName name="HTML_Control_4_2_1_2_5" hidden="1">{"'Ark1'!$A$8:$M$33"}</definedName>
    <definedName name="HTML_Control_4_2_1_3" hidden="1">{"'Ark1'!$A$8:$M$33"}</definedName>
    <definedName name="HTML_Control_4_2_1_3_1" hidden="1">{"'Ark1'!$A$8:$M$33"}</definedName>
    <definedName name="HTML_Control_4_2_1_3_2" hidden="1">{"'Ark1'!$A$8:$M$33"}</definedName>
    <definedName name="HTML_Control_4_2_1_3_3" hidden="1">{"'Ark1'!$A$8:$M$33"}</definedName>
    <definedName name="HTML_Control_4_2_1_3_4" hidden="1">{"'Ark1'!$A$8:$M$33"}</definedName>
    <definedName name="HTML_Control_4_2_1_3_5" hidden="1">{"'Ark1'!$A$8:$M$33"}</definedName>
    <definedName name="HTML_Control_4_2_1_4" hidden="1">{"'Ark1'!$A$8:$M$33"}</definedName>
    <definedName name="HTML_Control_4_2_1_5" hidden="1">{"'Ark1'!$A$8:$M$33"}</definedName>
    <definedName name="HTML_Control_4_2_2" hidden="1">{"'Ark1'!$A$8:$M$33"}</definedName>
    <definedName name="HTML_Control_4_2_2_1" hidden="1">{"'Ark1'!$A$8:$M$33"}</definedName>
    <definedName name="HTML_Control_4_2_2_1_1" hidden="1">{"'Ark1'!$A$8:$M$33"}</definedName>
    <definedName name="HTML_Control_4_2_2_1_2" hidden="1">{"'Ark1'!$A$8:$M$33"}</definedName>
    <definedName name="HTML_Control_4_2_2_1_3" hidden="1">{"'Ark1'!$A$8:$M$33"}</definedName>
    <definedName name="HTML_Control_4_2_2_1_4" hidden="1">{"'Ark1'!$A$8:$M$33"}</definedName>
    <definedName name="HTML_Control_4_2_2_1_5" hidden="1">{"'Ark1'!$A$8:$M$33"}</definedName>
    <definedName name="HTML_Control_4_2_2_2" hidden="1">{"'Ark1'!$A$8:$M$33"}</definedName>
    <definedName name="HTML_Control_4_2_2_3" hidden="1">{"'Ark1'!$A$8:$M$33"}</definedName>
    <definedName name="HTML_Control_4_2_2_4" hidden="1">{"'Ark1'!$A$8:$M$33"}</definedName>
    <definedName name="HTML_Control_4_2_2_5" hidden="1">{"'Ark1'!$A$8:$M$33"}</definedName>
    <definedName name="HTML_Control_4_2_3" hidden="1">{"'Ark1'!$A$8:$M$33"}</definedName>
    <definedName name="HTML_Control_4_2_3_1" hidden="1">{"'Ark1'!$A$8:$M$33"}</definedName>
    <definedName name="HTML_Control_4_2_3_1_1" hidden="1">{"'Ark1'!$A$8:$M$33"}</definedName>
    <definedName name="HTML_Control_4_2_3_1_2" hidden="1">{"'Ark1'!$A$8:$M$33"}</definedName>
    <definedName name="HTML_Control_4_2_3_1_3" hidden="1">{"'Ark1'!$A$8:$M$33"}</definedName>
    <definedName name="HTML_Control_4_2_3_1_4" hidden="1">{"'Ark1'!$A$8:$M$33"}</definedName>
    <definedName name="HTML_Control_4_2_3_1_5" hidden="1">{"'Ark1'!$A$8:$M$33"}</definedName>
    <definedName name="HTML_Control_4_2_3_2" hidden="1">{"'Ark1'!$A$8:$M$33"}</definedName>
    <definedName name="HTML_Control_4_2_3_3" hidden="1">{"'Ark1'!$A$8:$M$33"}</definedName>
    <definedName name="HTML_Control_4_2_3_4" hidden="1">{"'Ark1'!$A$8:$M$33"}</definedName>
    <definedName name="HTML_Control_4_2_3_5" hidden="1">{"'Ark1'!$A$8:$M$33"}</definedName>
    <definedName name="HTML_Control_4_2_4" hidden="1">{"'Ark1'!$A$8:$M$33"}</definedName>
    <definedName name="HTML_Control_4_2_4_1" hidden="1">{"'Ark1'!$A$8:$M$33"}</definedName>
    <definedName name="HTML_Control_4_2_4_2" hidden="1">{"'Ark1'!$A$8:$M$33"}</definedName>
    <definedName name="HTML_Control_4_2_4_3" hidden="1">{"'Ark1'!$A$8:$M$33"}</definedName>
    <definedName name="HTML_Control_4_2_4_4" hidden="1">{"'Ark1'!$A$8:$M$33"}</definedName>
    <definedName name="HTML_Control_4_2_4_5" hidden="1">{"'Ark1'!$A$8:$M$33"}</definedName>
    <definedName name="HTML_Control_4_2_5" hidden="1">{"'Ark1'!$A$8:$M$33"}</definedName>
    <definedName name="HTML_Control_4_3" hidden="1">{"'Ark1'!$A$8:$M$33"}</definedName>
    <definedName name="HTML_Control_4_3_1" hidden="1">{"'Ark1'!$A$8:$M$33"}</definedName>
    <definedName name="HTML_Control_4_3_1_1" hidden="1">{"'Ark1'!$A$8:$M$33"}</definedName>
    <definedName name="HTML_Control_4_3_1_1_1" hidden="1">{"'Ark1'!$A$8:$M$33"}</definedName>
    <definedName name="HTML_Control_4_3_1_1_1_1" hidden="1">{"'Ark1'!$A$8:$M$33"}</definedName>
    <definedName name="HTML_Control_4_3_1_1_1_2" hidden="1">{"'Ark1'!$A$8:$M$33"}</definedName>
    <definedName name="HTML_Control_4_3_1_1_1_3" hidden="1">{"'Ark1'!$A$8:$M$33"}</definedName>
    <definedName name="HTML_Control_4_3_1_1_1_4" hidden="1">{"'Ark1'!$A$8:$M$33"}</definedName>
    <definedName name="HTML_Control_4_3_1_1_1_5" hidden="1">{"'Ark1'!$A$8:$M$33"}</definedName>
    <definedName name="HTML_Control_4_3_1_1_2" hidden="1">{"'Ark1'!$A$8:$M$33"}</definedName>
    <definedName name="HTML_Control_4_3_1_1_3" hidden="1">{"'Ark1'!$A$8:$M$33"}</definedName>
    <definedName name="HTML_Control_4_3_1_1_4" hidden="1">{"'Ark1'!$A$8:$M$33"}</definedName>
    <definedName name="HTML_Control_4_3_1_1_5" hidden="1">{"'Ark1'!$A$8:$M$33"}</definedName>
    <definedName name="HTML_Control_4_3_1_2" hidden="1">{"'Ark1'!$A$8:$M$33"}</definedName>
    <definedName name="HTML_Control_4_3_1_2_1" hidden="1">{"'Ark1'!$A$8:$M$33"}</definedName>
    <definedName name="HTML_Control_4_3_1_2_1_1" hidden="1">{"'Ark1'!$A$8:$M$33"}</definedName>
    <definedName name="HTML_Control_4_3_1_2_1_2" hidden="1">{"'Ark1'!$A$8:$M$33"}</definedName>
    <definedName name="HTML_Control_4_3_1_2_1_3" hidden="1">{"'Ark1'!$A$8:$M$33"}</definedName>
    <definedName name="HTML_Control_4_3_1_2_1_4" hidden="1">{"'Ark1'!$A$8:$M$33"}</definedName>
    <definedName name="HTML_Control_4_3_1_2_1_5" hidden="1">{"'Ark1'!$A$8:$M$33"}</definedName>
    <definedName name="HTML_Control_4_3_1_2_2" hidden="1">{"'Ark1'!$A$8:$M$33"}</definedName>
    <definedName name="HTML_Control_4_3_1_2_3" hidden="1">{"'Ark1'!$A$8:$M$33"}</definedName>
    <definedName name="HTML_Control_4_3_1_2_4" hidden="1">{"'Ark1'!$A$8:$M$33"}</definedName>
    <definedName name="HTML_Control_4_3_1_2_5" hidden="1">{"'Ark1'!$A$8:$M$33"}</definedName>
    <definedName name="HTML_Control_4_3_1_3" hidden="1">{"'Ark1'!$A$8:$M$33"}</definedName>
    <definedName name="HTML_Control_4_3_1_3_1" hidden="1">{"'Ark1'!$A$8:$M$33"}</definedName>
    <definedName name="HTML_Control_4_3_1_3_2" hidden="1">{"'Ark1'!$A$8:$M$33"}</definedName>
    <definedName name="HTML_Control_4_3_1_3_3" hidden="1">{"'Ark1'!$A$8:$M$33"}</definedName>
    <definedName name="HTML_Control_4_3_1_3_4" hidden="1">{"'Ark1'!$A$8:$M$33"}</definedName>
    <definedName name="HTML_Control_4_3_1_3_5" hidden="1">{"'Ark1'!$A$8:$M$33"}</definedName>
    <definedName name="HTML_Control_4_3_1_4" hidden="1">{"'Ark1'!$A$8:$M$33"}</definedName>
    <definedName name="HTML_Control_4_3_1_5" hidden="1">{"'Ark1'!$A$8:$M$33"}</definedName>
    <definedName name="HTML_Control_4_3_2" hidden="1">{"'Ark1'!$A$8:$M$33"}</definedName>
    <definedName name="HTML_Control_4_3_2_1" hidden="1">{"'Ark1'!$A$8:$M$33"}</definedName>
    <definedName name="HTML_Control_4_3_2_1_1" hidden="1">{"'Ark1'!$A$8:$M$33"}</definedName>
    <definedName name="HTML_Control_4_3_2_1_2" hidden="1">{"'Ark1'!$A$8:$M$33"}</definedName>
    <definedName name="HTML_Control_4_3_2_1_3" hidden="1">{"'Ark1'!$A$8:$M$33"}</definedName>
    <definedName name="HTML_Control_4_3_2_1_4" hidden="1">{"'Ark1'!$A$8:$M$33"}</definedName>
    <definedName name="HTML_Control_4_3_2_1_5" hidden="1">{"'Ark1'!$A$8:$M$33"}</definedName>
    <definedName name="HTML_Control_4_3_2_2" hidden="1">{"'Ark1'!$A$8:$M$33"}</definedName>
    <definedName name="HTML_Control_4_3_2_3" hidden="1">{"'Ark1'!$A$8:$M$33"}</definedName>
    <definedName name="HTML_Control_4_3_2_4" hidden="1">{"'Ark1'!$A$8:$M$33"}</definedName>
    <definedName name="HTML_Control_4_3_2_5" hidden="1">{"'Ark1'!$A$8:$M$33"}</definedName>
    <definedName name="HTML_Control_4_3_3" hidden="1">{"'Ark1'!$A$8:$M$33"}</definedName>
    <definedName name="HTML_Control_4_3_3_1" hidden="1">{"'Ark1'!$A$8:$M$33"}</definedName>
    <definedName name="HTML_Control_4_3_3_1_1" hidden="1">{"'Ark1'!$A$8:$M$33"}</definedName>
    <definedName name="HTML_Control_4_3_3_1_2" hidden="1">{"'Ark1'!$A$8:$M$33"}</definedName>
    <definedName name="HTML_Control_4_3_3_1_3" hidden="1">{"'Ark1'!$A$8:$M$33"}</definedName>
    <definedName name="HTML_Control_4_3_3_1_4" hidden="1">{"'Ark1'!$A$8:$M$33"}</definedName>
    <definedName name="HTML_Control_4_3_3_1_5" hidden="1">{"'Ark1'!$A$8:$M$33"}</definedName>
    <definedName name="HTML_Control_4_3_3_2" hidden="1">{"'Ark1'!$A$8:$M$33"}</definedName>
    <definedName name="HTML_Control_4_3_3_3" hidden="1">{"'Ark1'!$A$8:$M$33"}</definedName>
    <definedName name="HTML_Control_4_3_3_4" hidden="1">{"'Ark1'!$A$8:$M$33"}</definedName>
    <definedName name="HTML_Control_4_3_3_5" hidden="1">{"'Ark1'!$A$8:$M$33"}</definedName>
    <definedName name="HTML_Control_4_3_4" hidden="1">{"'Ark1'!$A$8:$M$33"}</definedName>
    <definedName name="HTML_Control_4_3_4_1" hidden="1">{"'Ark1'!$A$8:$M$33"}</definedName>
    <definedName name="HTML_Control_4_3_4_2" hidden="1">{"'Ark1'!$A$8:$M$33"}</definedName>
    <definedName name="HTML_Control_4_3_4_3" hidden="1">{"'Ark1'!$A$8:$M$33"}</definedName>
    <definedName name="HTML_Control_4_3_4_4" hidden="1">{"'Ark1'!$A$8:$M$33"}</definedName>
    <definedName name="HTML_Control_4_3_4_5" hidden="1">{"'Ark1'!$A$8:$M$33"}</definedName>
    <definedName name="HTML_Control_4_3_5" hidden="1">{"'Ark1'!$A$8:$M$33"}</definedName>
    <definedName name="HTML_Control_4_4" hidden="1">{"'Ark1'!$A$8:$M$33"}</definedName>
    <definedName name="HTML_Control_4_4_1" hidden="1">{"'Ark1'!$A$8:$M$33"}</definedName>
    <definedName name="HTML_Control_4_4_1_1" hidden="1">{"'Ark1'!$A$8:$M$33"}</definedName>
    <definedName name="HTML_Control_4_4_1_1_1" hidden="1">{"'Ark1'!$A$8:$M$33"}</definedName>
    <definedName name="HTML_Control_4_4_1_1_2" hidden="1">{"'Ark1'!$A$8:$M$33"}</definedName>
    <definedName name="HTML_Control_4_4_1_1_3" hidden="1">{"'Ark1'!$A$8:$M$33"}</definedName>
    <definedName name="HTML_Control_4_4_1_1_4" hidden="1">{"'Ark1'!$A$8:$M$33"}</definedName>
    <definedName name="HTML_Control_4_4_1_1_5" hidden="1">{"'Ark1'!$A$8:$M$33"}</definedName>
    <definedName name="HTML_Control_4_4_1_2" hidden="1">{"'Ark1'!$A$8:$M$33"}</definedName>
    <definedName name="HTML_Control_4_4_1_3" hidden="1">{"'Ark1'!$A$8:$M$33"}</definedName>
    <definedName name="HTML_Control_4_4_1_4" hidden="1">{"'Ark1'!$A$8:$M$33"}</definedName>
    <definedName name="HTML_Control_4_4_1_5" hidden="1">{"'Ark1'!$A$8:$M$33"}</definedName>
    <definedName name="HTML_Control_4_4_2" hidden="1">{"'Ark1'!$A$8:$M$33"}</definedName>
    <definedName name="HTML_Control_4_4_2_1" hidden="1">{"'Ark1'!$A$8:$M$33"}</definedName>
    <definedName name="HTML_Control_4_4_2_1_1" hidden="1">{"'Ark1'!$A$8:$M$33"}</definedName>
    <definedName name="HTML_Control_4_4_2_1_2" hidden="1">{"'Ark1'!$A$8:$M$33"}</definedName>
    <definedName name="HTML_Control_4_4_2_1_3" hidden="1">{"'Ark1'!$A$8:$M$33"}</definedName>
    <definedName name="HTML_Control_4_4_2_1_4" hidden="1">{"'Ark1'!$A$8:$M$33"}</definedName>
    <definedName name="HTML_Control_4_4_2_1_5" hidden="1">{"'Ark1'!$A$8:$M$33"}</definedName>
    <definedName name="HTML_Control_4_4_2_2" hidden="1">{"'Ark1'!$A$8:$M$33"}</definedName>
    <definedName name="HTML_Control_4_4_2_3" hidden="1">{"'Ark1'!$A$8:$M$33"}</definedName>
    <definedName name="HTML_Control_4_4_2_4" hidden="1">{"'Ark1'!$A$8:$M$33"}</definedName>
    <definedName name="HTML_Control_4_4_2_5" hidden="1">{"'Ark1'!$A$8:$M$33"}</definedName>
    <definedName name="HTML_Control_4_4_3" hidden="1">{"'Ark1'!$A$8:$M$33"}</definedName>
    <definedName name="HTML_Control_4_4_3_1" hidden="1">{"'Ark1'!$A$8:$M$33"}</definedName>
    <definedName name="HTML_Control_4_4_3_2" hidden="1">{"'Ark1'!$A$8:$M$33"}</definedName>
    <definedName name="HTML_Control_4_4_3_3" hidden="1">{"'Ark1'!$A$8:$M$33"}</definedName>
    <definedName name="HTML_Control_4_4_3_4" hidden="1">{"'Ark1'!$A$8:$M$33"}</definedName>
    <definedName name="HTML_Control_4_4_3_5" hidden="1">{"'Ark1'!$A$8:$M$33"}</definedName>
    <definedName name="HTML_Control_4_4_4" hidden="1">{"'Ark1'!$A$8:$M$33"}</definedName>
    <definedName name="HTML_Control_4_4_5" hidden="1">{"'Ark1'!$A$8:$M$33"}</definedName>
    <definedName name="HTML_Control_4_5" hidden="1">{"'Ark1'!$A$8:$M$33"}</definedName>
    <definedName name="HTML_Control_4_5_1" hidden="1">{"'Ark1'!$A$8:$M$33"}</definedName>
    <definedName name="HTML_Control_4_5_1_1" hidden="1">{"'Ark1'!$A$8:$M$33"}</definedName>
    <definedName name="HTML_Control_4_5_1_2" hidden="1">{"'Ark1'!$A$8:$M$33"}</definedName>
    <definedName name="HTML_Control_4_5_1_3" hidden="1">{"'Ark1'!$A$8:$M$33"}</definedName>
    <definedName name="HTML_Control_4_5_1_4" hidden="1">{"'Ark1'!$A$8:$M$33"}</definedName>
    <definedName name="HTML_Control_4_5_1_5" hidden="1">{"'Ark1'!$A$8:$M$33"}</definedName>
    <definedName name="HTML_Control_4_5_2" hidden="1">{"'Ark1'!$A$8:$M$33"}</definedName>
    <definedName name="HTML_Control_4_5_3" hidden="1">{"'Ark1'!$A$8:$M$33"}</definedName>
    <definedName name="HTML_Control_4_5_4" hidden="1">{"'Ark1'!$A$8:$M$33"}</definedName>
    <definedName name="HTML_Control_4_5_5" hidden="1">{"'Ark1'!$A$8:$M$33"}</definedName>
    <definedName name="HTML_Control_5" hidden="1">{"'Ark1'!$A$8:$M$33"}</definedName>
    <definedName name="HTML_Control_5_1" hidden="1">{"'Ark1'!$A$8:$M$33"}</definedName>
    <definedName name="HTML_Control_5_1_1" hidden="1">{"'Ark1'!$A$8:$M$33"}</definedName>
    <definedName name="HTML_Control_5_1_1_1" hidden="1">{"'Ark1'!$A$8:$M$33"}</definedName>
    <definedName name="HTML_Control_5_1_1_1_1" hidden="1">{"'Ark1'!$A$8:$M$33"}</definedName>
    <definedName name="HTML_Control_5_1_1_1_1_1" hidden="1">{"'Ark1'!$A$8:$M$33"}</definedName>
    <definedName name="HTML_Control_5_1_1_1_1_2" hidden="1">{"'Ark1'!$A$8:$M$33"}</definedName>
    <definedName name="HTML_Control_5_1_1_1_1_3" hidden="1">{"'Ark1'!$A$8:$M$33"}</definedName>
    <definedName name="HTML_Control_5_1_1_1_1_4" hidden="1">{"'Ark1'!$A$8:$M$33"}</definedName>
    <definedName name="HTML_Control_5_1_1_1_1_5" hidden="1">{"'Ark1'!$A$8:$M$33"}</definedName>
    <definedName name="HTML_Control_5_1_1_1_2" hidden="1">{"'Ark1'!$A$8:$M$33"}</definedName>
    <definedName name="HTML_Control_5_1_1_1_3" hidden="1">{"'Ark1'!$A$8:$M$33"}</definedName>
    <definedName name="HTML_Control_5_1_1_1_4" hidden="1">{"'Ark1'!$A$8:$M$33"}</definedName>
    <definedName name="HTML_Control_5_1_1_1_5" hidden="1">{"'Ark1'!$A$8:$M$33"}</definedName>
    <definedName name="HTML_Control_5_1_1_2" hidden="1">{"'Ark1'!$A$8:$M$33"}</definedName>
    <definedName name="HTML_Control_5_1_1_2_1" hidden="1">{"'Ark1'!$A$8:$M$33"}</definedName>
    <definedName name="HTML_Control_5_1_1_2_1_1" hidden="1">{"'Ark1'!$A$8:$M$33"}</definedName>
    <definedName name="HTML_Control_5_1_1_2_1_2" hidden="1">{"'Ark1'!$A$8:$M$33"}</definedName>
    <definedName name="HTML_Control_5_1_1_2_1_3" hidden="1">{"'Ark1'!$A$8:$M$33"}</definedName>
    <definedName name="HTML_Control_5_1_1_2_1_4" hidden="1">{"'Ark1'!$A$8:$M$33"}</definedName>
    <definedName name="HTML_Control_5_1_1_2_1_5" hidden="1">{"'Ark1'!$A$8:$M$33"}</definedName>
    <definedName name="HTML_Control_5_1_1_2_2" hidden="1">{"'Ark1'!$A$8:$M$33"}</definedName>
    <definedName name="HTML_Control_5_1_1_2_3" hidden="1">{"'Ark1'!$A$8:$M$33"}</definedName>
    <definedName name="HTML_Control_5_1_1_2_4" hidden="1">{"'Ark1'!$A$8:$M$33"}</definedName>
    <definedName name="HTML_Control_5_1_1_2_5" hidden="1">{"'Ark1'!$A$8:$M$33"}</definedName>
    <definedName name="HTML_Control_5_1_1_3" hidden="1">{"'Ark1'!$A$8:$M$33"}</definedName>
    <definedName name="HTML_Control_5_1_1_3_1" hidden="1">{"'Ark1'!$A$8:$M$33"}</definedName>
    <definedName name="HTML_Control_5_1_1_3_2" hidden="1">{"'Ark1'!$A$8:$M$33"}</definedName>
    <definedName name="HTML_Control_5_1_1_3_3" hidden="1">{"'Ark1'!$A$8:$M$33"}</definedName>
    <definedName name="HTML_Control_5_1_1_3_4" hidden="1">{"'Ark1'!$A$8:$M$33"}</definedName>
    <definedName name="HTML_Control_5_1_1_3_5" hidden="1">{"'Ark1'!$A$8:$M$33"}</definedName>
    <definedName name="HTML_Control_5_1_1_4" hidden="1">{"'Ark1'!$A$8:$M$33"}</definedName>
    <definedName name="HTML_Control_5_1_1_5" hidden="1">{"'Ark1'!$A$8:$M$33"}</definedName>
    <definedName name="HTML_Control_5_1_2" hidden="1">{"'Ark1'!$A$8:$M$33"}</definedName>
    <definedName name="HTML_Control_5_1_2_1" hidden="1">{"'Ark1'!$A$8:$M$33"}</definedName>
    <definedName name="HTML_Control_5_1_2_1_1" hidden="1">{"'Ark1'!$A$8:$M$33"}</definedName>
    <definedName name="HTML_Control_5_1_2_1_2" hidden="1">{"'Ark1'!$A$8:$M$33"}</definedName>
    <definedName name="HTML_Control_5_1_2_1_3" hidden="1">{"'Ark1'!$A$8:$M$33"}</definedName>
    <definedName name="HTML_Control_5_1_2_1_4" hidden="1">{"'Ark1'!$A$8:$M$33"}</definedName>
    <definedName name="HTML_Control_5_1_2_1_5" hidden="1">{"'Ark1'!$A$8:$M$33"}</definedName>
    <definedName name="HTML_Control_5_1_2_2" hidden="1">{"'Ark1'!$A$8:$M$33"}</definedName>
    <definedName name="HTML_Control_5_1_2_3" hidden="1">{"'Ark1'!$A$8:$M$33"}</definedName>
    <definedName name="HTML_Control_5_1_2_4" hidden="1">{"'Ark1'!$A$8:$M$33"}</definedName>
    <definedName name="HTML_Control_5_1_2_5" hidden="1">{"'Ark1'!$A$8:$M$33"}</definedName>
    <definedName name="HTML_Control_5_1_3" hidden="1">{"'Ark1'!$A$8:$M$33"}</definedName>
    <definedName name="HTML_Control_5_1_3_1" hidden="1">{"'Ark1'!$A$8:$M$33"}</definedName>
    <definedName name="HTML_Control_5_1_3_1_1" hidden="1">{"'Ark1'!$A$8:$M$33"}</definedName>
    <definedName name="HTML_Control_5_1_3_1_2" hidden="1">{"'Ark1'!$A$8:$M$33"}</definedName>
    <definedName name="HTML_Control_5_1_3_1_3" hidden="1">{"'Ark1'!$A$8:$M$33"}</definedName>
    <definedName name="HTML_Control_5_1_3_1_4" hidden="1">{"'Ark1'!$A$8:$M$33"}</definedName>
    <definedName name="HTML_Control_5_1_3_1_5" hidden="1">{"'Ark1'!$A$8:$M$33"}</definedName>
    <definedName name="HTML_Control_5_1_3_2" hidden="1">{"'Ark1'!$A$8:$M$33"}</definedName>
    <definedName name="HTML_Control_5_1_3_3" hidden="1">{"'Ark1'!$A$8:$M$33"}</definedName>
    <definedName name="HTML_Control_5_1_3_4" hidden="1">{"'Ark1'!$A$8:$M$33"}</definedName>
    <definedName name="HTML_Control_5_1_3_5" hidden="1">{"'Ark1'!$A$8:$M$33"}</definedName>
    <definedName name="HTML_Control_5_1_4" hidden="1">{"'Ark1'!$A$8:$M$33"}</definedName>
    <definedName name="HTML_Control_5_1_4_1" hidden="1">{"'Ark1'!$A$8:$M$33"}</definedName>
    <definedName name="HTML_Control_5_1_4_2" hidden="1">{"'Ark1'!$A$8:$M$33"}</definedName>
    <definedName name="HTML_Control_5_1_4_3" hidden="1">{"'Ark1'!$A$8:$M$33"}</definedName>
    <definedName name="HTML_Control_5_1_4_4" hidden="1">{"'Ark1'!$A$8:$M$33"}</definedName>
    <definedName name="HTML_Control_5_1_4_5" hidden="1">{"'Ark1'!$A$8:$M$33"}</definedName>
    <definedName name="HTML_Control_5_1_5" hidden="1">{"'Ark1'!$A$8:$M$33"}</definedName>
    <definedName name="HTML_Control_5_2" hidden="1">{"'Ark1'!$A$8:$M$33"}</definedName>
    <definedName name="HTML_Control_5_2_1" hidden="1">{"'Ark1'!$A$8:$M$33"}</definedName>
    <definedName name="HTML_Control_5_2_1_1" hidden="1">{"'Ark1'!$A$8:$M$33"}</definedName>
    <definedName name="HTML_Control_5_2_1_1_1" hidden="1">{"'Ark1'!$A$8:$M$33"}</definedName>
    <definedName name="HTML_Control_5_2_1_1_1_1" hidden="1">{"'Ark1'!$A$8:$M$33"}</definedName>
    <definedName name="HTML_Control_5_2_1_1_1_2" hidden="1">{"'Ark1'!$A$8:$M$33"}</definedName>
    <definedName name="HTML_Control_5_2_1_1_1_3" hidden="1">{"'Ark1'!$A$8:$M$33"}</definedName>
    <definedName name="HTML_Control_5_2_1_1_1_4" hidden="1">{"'Ark1'!$A$8:$M$33"}</definedName>
    <definedName name="HTML_Control_5_2_1_1_1_5" hidden="1">{"'Ark1'!$A$8:$M$33"}</definedName>
    <definedName name="HTML_Control_5_2_1_1_2" hidden="1">{"'Ark1'!$A$8:$M$33"}</definedName>
    <definedName name="HTML_Control_5_2_1_1_3" hidden="1">{"'Ark1'!$A$8:$M$33"}</definedName>
    <definedName name="HTML_Control_5_2_1_1_4" hidden="1">{"'Ark1'!$A$8:$M$33"}</definedName>
    <definedName name="HTML_Control_5_2_1_1_5" hidden="1">{"'Ark1'!$A$8:$M$33"}</definedName>
    <definedName name="HTML_Control_5_2_1_2" hidden="1">{"'Ark1'!$A$8:$M$33"}</definedName>
    <definedName name="HTML_Control_5_2_1_2_1" hidden="1">{"'Ark1'!$A$8:$M$33"}</definedName>
    <definedName name="HTML_Control_5_2_1_2_1_1" hidden="1">{"'Ark1'!$A$8:$M$33"}</definedName>
    <definedName name="HTML_Control_5_2_1_2_1_2" hidden="1">{"'Ark1'!$A$8:$M$33"}</definedName>
    <definedName name="HTML_Control_5_2_1_2_1_3" hidden="1">{"'Ark1'!$A$8:$M$33"}</definedName>
    <definedName name="HTML_Control_5_2_1_2_1_4" hidden="1">{"'Ark1'!$A$8:$M$33"}</definedName>
    <definedName name="HTML_Control_5_2_1_2_1_5" hidden="1">{"'Ark1'!$A$8:$M$33"}</definedName>
    <definedName name="HTML_Control_5_2_1_2_2" hidden="1">{"'Ark1'!$A$8:$M$33"}</definedName>
    <definedName name="HTML_Control_5_2_1_2_3" hidden="1">{"'Ark1'!$A$8:$M$33"}</definedName>
    <definedName name="HTML_Control_5_2_1_2_4" hidden="1">{"'Ark1'!$A$8:$M$33"}</definedName>
    <definedName name="HTML_Control_5_2_1_2_5" hidden="1">{"'Ark1'!$A$8:$M$33"}</definedName>
    <definedName name="HTML_Control_5_2_1_3" hidden="1">{"'Ark1'!$A$8:$M$33"}</definedName>
    <definedName name="HTML_Control_5_2_1_3_1" hidden="1">{"'Ark1'!$A$8:$M$33"}</definedName>
    <definedName name="HTML_Control_5_2_1_3_2" hidden="1">{"'Ark1'!$A$8:$M$33"}</definedName>
    <definedName name="HTML_Control_5_2_1_3_3" hidden="1">{"'Ark1'!$A$8:$M$33"}</definedName>
    <definedName name="HTML_Control_5_2_1_3_4" hidden="1">{"'Ark1'!$A$8:$M$33"}</definedName>
    <definedName name="HTML_Control_5_2_1_3_5" hidden="1">{"'Ark1'!$A$8:$M$33"}</definedName>
    <definedName name="HTML_Control_5_2_1_4" hidden="1">{"'Ark1'!$A$8:$M$33"}</definedName>
    <definedName name="HTML_Control_5_2_1_5" hidden="1">{"'Ark1'!$A$8:$M$33"}</definedName>
    <definedName name="HTML_Control_5_2_2" hidden="1">{"'Ark1'!$A$8:$M$33"}</definedName>
    <definedName name="HTML_Control_5_2_2_1" hidden="1">{"'Ark1'!$A$8:$M$33"}</definedName>
    <definedName name="HTML_Control_5_2_2_1_1" hidden="1">{"'Ark1'!$A$8:$M$33"}</definedName>
    <definedName name="HTML_Control_5_2_2_1_2" hidden="1">{"'Ark1'!$A$8:$M$33"}</definedName>
    <definedName name="HTML_Control_5_2_2_1_3" hidden="1">{"'Ark1'!$A$8:$M$33"}</definedName>
    <definedName name="HTML_Control_5_2_2_1_4" hidden="1">{"'Ark1'!$A$8:$M$33"}</definedName>
    <definedName name="HTML_Control_5_2_2_1_5" hidden="1">{"'Ark1'!$A$8:$M$33"}</definedName>
    <definedName name="HTML_Control_5_2_2_2" hidden="1">{"'Ark1'!$A$8:$M$33"}</definedName>
    <definedName name="HTML_Control_5_2_2_3" hidden="1">{"'Ark1'!$A$8:$M$33"}</definedName>
    <definedName name="HTML_Control_5_2_2_4" hidden="1">{"'Ark1'!$A$8:$M$33"}</definedName>
    <definedName name="HTML_Control_5_2_2_5" hidden="1">{"'Ark1'!$A$8:$M$33"}</definedName>
    <definedName name="HTML_Control_5_2_3" hidden="1">{"'Ark1'!$A$8:$M$33"}</definedName>
    <definedName name="HTML_Control_5_2_3_1" hidden="1">{"'Ark1'!$A$8:$M$33"}</definedName>
    <definedName name="HTML_Control_5_2_3_1_1" hidden="1">{"'Ark1'!$A$8:$M$33"}</definedName>
    <definedName name="HTML_Control_5_2_3_1_2" hidden="1">{"'Ark1'!$A$8:$M$33"}</definedName>
    <definedName name="HTML_Control_5_2_3_1_3" hidden="1">{"'Ark1'!$A$8:$M$33"}</definedName>
    <definedName name="HTML_Control_5_2_3_1_4" hidden="1">{"'Ark1'!$A$8:$M$33"}</definedName>
    <definedName name="HTML_Control_5_2_3_1_5" hidden="1">{"'Ark1'!$A$8:$M$33"}</definedName>
    <definedName name="HTML_Control_5_2_3_2" hidden="1">{"'Ark1'!$A$8:$M$33"}</definedName>
    <definedName name="HTML_Control_5_2_3_3" hidden="1">{"'Ark1'!$A$8:$M$33"}</definedName>
    <definedName name="HTML_Control_5_2_3_4" hidden="1">{"'Ark1'!$A$8:$M$33"}</definedName>
    <definedName name="HTML_Control_5_2_3_5" hidden="1">{"'Ark1'!$A$8:$M$33"}</definedName>
    <definedName name="HTML_Control_5_2_4" hidden="1">{"'Ark1'!$A$8:$M$33"}</definedName>
    <definedName name="HTML_Control_5_2_4_1" hidden="1">{"'Ark1'!$A$8:$M$33"}</definedName>
    <definedName name="HTML_Control_5_2_4_2" hidden="1">{"'Ark1'!$A$8:$M$33"}</definedName>
    <definedName name="HTML_Control_5_2_4_3" hidden="1">{"'Ark1'!$A$8:$M$33"}</definedName>
    <definedName name="HTML_Control_5_2_4_4" hidden="1">{"'Ark1'!$A$8:$M$33"}</definedName>
    <definedName name="HTML_Control_5_2_4_5" hidden="1">{"'Ark1'!$A$8:$M$33"}</definedName>
    <definedName name="HTML_Control_5_2_5" hidden="1">{"'Ark1'!$A$8:$M$33"}</definedName>
    <definedName name="HTML_Control_5_3" hidden="1">{"'Ark1'!$A$8:$M$33"}</definedName>
    <definedName name="HTML_Control_5_3_1" hidden="1">{"'Ark1'!$A$8:$M$33"}</definedName>
    <definedName name="HTML_Control_5_3_1_1" hidden="1">{"'Ark1'!$A$8:$M$33"}</definedName>
    <definedName name="HTML_Control_5_3_1_1_1" hidden="1">{"'Ark1'!$A$8:$M$33"}</definedName>
    <definedName name="HTML_Control_5_3_1_1_2" hidden="1">{"'Ark1'!$A$8:$M$33"}</definedName>
    <definedName name="HTML_Control_5_3_1_1_3" hidden="1">{"'Ark1'!$A$8:$M$33"}</definedName>
    <definedName name="HTML_Control_5_3_1_1_4" hidden="1">{"'Ark1'!$A$8:$M$33"}</definedName>
    <definedName name="HTML_Control_5_3_1_1_5" hidden="1">{"'Ark1'!$A$8:$M$33"}</definedName>
    <definedName name="HTML_Control_5_3_1_2" hidden="1">{"'Ark1'!$A$8:$M$33"}</definedName>
    <definedName name="HTML_Control_5_3_1_3" hidden="1">{"'Ark1'!$A$8:$M$33"}</definedName>
    <definedName name="HTML_Control_5_3_1_4" hidden="1">{"'Ark1'!$A$8:$M$33"}</definedName>
    <definedName name="HTML_Control_5_3_1_5" hidden="1">{"'Ark1'!$A$8:$M$33"}</definedName>
    <definedName name="HTML_Control_5_3_2" hidden="1">{"'Ark1'!$A$8:$M$33"}</definedName>
    <definedName name="HTML_Control_5_3_2_1" hidden="1">{"'Ark1'!$A$8:$M$33"}</definedName>
    <definedName name="HTML_Control_5_3_2_1_1" hidden="1">{"'Ark1'!$A$8:$M$33"}</definedName>
    <definedName name="HTML_Control_5_3_2_1_2" hidden="1">{"'Ark1'!$A$8:$M$33"}</definedName>
    <definedName name="HTML_Control_5_3_2_1_3" hidden="1">{"'Ark1'!$A$8:$M$33"}</definedName>
    <definedName name="HTML_Control_5_3_2_1_4" hidden="1">{"'Ark1'!$A$8:$M$33"}</definedName>
    <definedName name="HTML_Control_5_3_2_1_5" hidden="1">{"'Ark1'!$A$8:$M$33"}</definedName>
    <definedName name="HTML_Control_5_3_2_2" hidden="1">{"'Ark1'!$A$8:$M$33"}</definedName>
    <definedName name="HTML_Control_5_3_2_3" hidden="1">{"'Ark1'!$A$8:$M$33"}</definedName>
    <definedName name="HTML_Control_5_3_2_4" hidden="1">{"'Ark1'!$A$8:$M$33"}</definedName>
    <definedName name="HTML_Control_5_3_2_5" hidden="1">{"'Ark1'!$A$8:$M$33"}</definedName>
    <definedName name="HTML_Control_5_3_3" hidden="1">{"'Ark1'!$A$8:$M$33"}</definedName>
    <definedName name="HTML_Control_5_3_3_1" hidden="1">{"'Ark1'!$A$8:$M$33"}</definedName>
    <definedName name="HTML_Control_5_3_3_2" hidden="1">{"'Ark1'!$A$8:$M$33"}</definedName>
    <definedName name="HTML_Control_5_3_3_3" hidden="1">{"'Ark1'!$A$8:$M$33"}</definedName>
    <definedName name="HTML_Control_5_3_3_4" hidden="1">{"'Ark1'!$A$8:$M$33"}</definedName>
    <definedName name="HTML_Control_5_3_3_5" hidden="1">{"'Ark1'!$A$8:$M$33"}</definedName>
    <definedName name="HTML_Control_5_3_4" hidden="1">{"'Ark1'!$A$8:$M$33"}</definedName>
    <definedName name="HTML_Control_5_3_5" hidden="1">{"'Ark1'!$A$8:$M$33"}</definedName>
    <definedName name="HTML_Control_5_4" hidden="1">{"'Ark1'!$A$8:$M$33"}</definedName>
    <definedName name="HTML_Control_5_4_1" hidden="1">{"'Ark1'!$A$8:$M$33"}</definedName>
    <definedName name="HTML_Control_5_4_1_1" hidden="1">{"'Ark1'!$A$8:$M$33"}</definedName>
    <definedName name="HTML_Control_5_4_1_2" hidden="1">{"'Ark1'!$A$8:$M$33"}</definedName>
    <definedName name="HTML_Control_5_4_1_3" hidden="1">{"'Ark1'!$A$8:$M$33"}</definedName>
    <definedName name="HTML_Control_5_4_1_4" hidden="1">{"'Ark1'!$A$8:$M$33"}</definedName>
    <definedName name="HTML_Control_5_4_1_5" hidden="1">{"'Ark1'!$A$8:$M$33"}</definedName>
    <definedName name="HTML_Control_5_4_2" hidden="1">{"'Ark1'!$A$8:$M$33"}</definedName>
    <definedName name="HTML_Control_5_4_3" hidden="1">{"'Ark1'!$A$8:$M$33"}</definedName>
    <definedName name="HTML_Control_5_4_4" hidden="1">{"'Ark1'!$A$8:$M$33"}</definedName>
    <definedName name="HTML_Control_5_4_5" hidden="1">{"'Ark1'!$A$8:$M$33"}</definedName>
    <definedName name="HTML_Control_5_5" hidden="1">{"'Ark1'!$A$8:$M$33"}</definedName>
    <definedName name="HTML_Control_5_5_1" hidden="1">{"'Ark1'!$A$8:$M$33"}</definedName>
    <definedName name="HTML_Control_5_5_1_1" hidden="1">{"'Ark1'!$A$8:$M$33"}</definedName>
    <definedName name="HTML_Control_5_5_1_2" hidden="1">{"'Ark1'!$A$8:$M$33"}</definedName>
    <definedName name="HTML_Control_5_5_1_3" hidden="1">{"'Ark1'!$A$8:$M$33"}</definedName>
    <definedName name="HTML_Control_5_5_1_4" hidden="1">{"'Ark1'!$A$8:$M$33"}</definedName>
    <definedName name="HTML_Control_5_5_1_5" hidden="1">{"'Ark1'!$A$8:$M$33"}</definedName>
    <definedName name="HTML_Control_5_5_2" hidden="1">{"'Ark1'!$A$8:$M$33"}</definedName>
    <definedName name="HTML_Control_5_5_3" hidden="1">{"'Ark1'!$A$8:$M$33"}</definedName>
    <definedName name="HTML_Control_5_5_4" hidden="1">{"'Ark1'!$A$8:$M$33"}</definedName>
    <definedName name="HTML_Control_5_5_5" hidden="1">{"'Ark1'!$A$8:$M$33"}</definedName>
    <definedName name="HTML_Description" hidden="1">""</definedName>
    <definedName name="HTML_Email" hidden="1">""</definedName>
    <definedName name="HTML_Header" hidden="1">"Ark1"</definedName>
    <definedName name="HTML_LastUpdate" hidden="1">"21-06-02"</definedName>
    <definedName name="HTML_LineAfter" hidden="1">FALSE</definedName>
    <definedName name="HTML_LineBefore" hidden="1">FALSE</definedName>
    <definedName name="HTML_Name" hidden="1">"Bjarne Ruby"</definedName>
    <definedName name="HTML_OBDlg2" hidden="1">TRUE</definedName>
    <definedName name="HTML_OBDlg4" hidden="1">TRUE</definedName>
    <definedName name="HTML_OS" hidden="1">0</definedName>
    <definedName name="HTML_PathFile" hidden="1">"L:\Nmr\Indicators\MinHTML.htm"</definedName>
    <definedName name="HTML_Title" hidden="1">"Data"</definedName>
    <definedName name="Inflation">[2]General!#REF!</definedName>
    <definedName name="LastPSOYear">[2]Plants!$H$2</definedName>
    <definedName name="MWhGJ">#REF!</definedName>
    <definedName name="Nettarif">[2]TechnologyData!$F$11</definedName>
    <definedName name="NGCC_SmallBP">[2]TechnologyData!$A$72:$M$99</definedName>
    <definedName name="nhydro">[2]General!#REF!</definedName>
    <definedName name="NyeNGCC">[2]Plants!$J$5</definedName>
    <definedName name="OffshoreWindPark">[2]TechnologyData!$O$43:$AA$70</definedName>
    <definedName name="OnshoreWindPark">[2]TechnologyData!$O$14:$AA$41</definedName>
    <definedName name="Pal_Workbook_GUID" hidden="1">"72JZWYL6P959RFW66W1IKY6K"</definedName>
    <definedName name="priceYear">[1]Supplementary!$C$40</definedName>
    <definedName name="Real_interest_rate">[13]TechnologyData!$B$37</definedName>
    <definedName name="referencer">#REF!</definedName>
    <definedName name="RefurbishedCoalBioCHP">[2]TechnologyData!$A$43:$M$70</definedName>
    <definedName name="RenovCKV">[2]Plants!$J$4</definedName>
    <definedName name="rfdfd">#REF!</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rSØK">'[3]Centrale data'!$C$32</definedName>
    <definedName name="Series_Agriculture">OFFSET([14]TimeSeries!$I$6,0,0,COUNTA([14]TimeSeries!$A$6:$A$8759))</definedName>
    <definedName name="Series_Chemical">OFFSET([14]TimeSeries!$K$6,0,0,COUNTA([14]TimeSeries!$A$6:$A$8759))</definedName>
    <definedName name="Series_Construction">OFFSET([14]TimeSeries!$S$6,0,0,COUNTA([14]TimeSeries!$A$6:$A$8759))</definedName>
    <definedName name="Series_Food">OFFSET([14]TimeSeries!$J$6,0,0,COUNTA([14]TimeSeries!$A$6:$A$8759))</definedName>
    <definedName name="Series_Glas_Concrete">OFFSET([14]TimeSeries!$L$6,0,0,COUNTA([14]TimeSeries!$A$6:$A$8759))</definedName>
    <definedName name="Series_Metal">OFFSET([14]TimeSeries!$M$6,0,0,COUNTA([14]TimeSeries!$A$6:$A$8759))</definedName>
    <definedName name="Series_Motor_Vehicles">OFFSET([14]TimeSeries!$O$6,0,0,COUNTA([14]TimeSeries!$A$6:$A$8759))</definedName>
    <definedName name="Series_Oth_Commodity">OFFSET([14]TimeSeries!$N$6,0,0,COUNTA([14]TimeSeries!$A$6:$A$8759))</definedName>
    <definedName name="Series_Oth_Utilities">OFFSET([14]TimeSeries!$T$6,0,0,COUNTA([14]TimeSeries!$A$6:$A$8759))</definedName>
    <definedName name="Series_Private_Service">OFFSET([14]TimeSeries!$Q$6,0,0,COUNTA([14]TimeSeries!$A$6:$A$8759))</definedName>
    <definedName name="Series_Public_Service">OFFSET([14]TimeSeries!$R$6,0,0,COUNTA([14]TimeSeries!$A$6:$A$8759))</definedName>
    <definedName name="Series_PV">OFFSET([14]TimeSeries!$D$6,0,0,COUNTA([14]TimeSeries!$A$6:$A$8759))</definedName>
    <definedName name="Series_Wholesale_Retail">OFFSET([14]TimeSeries!$P$6,0,0,COUNTA([14]TimeSeries!$A$6:$A$8759))</definedName>
    <definedName name="Series_Wind_OfS_DKE">OFFSET([14]TimeSeries!$G$6,0,0,COUNTA([14]TimeSeries!$A$6:$A$8759))</definedName>
    <definedName name="Series_Wind_OfS_DKW">OFFSET([14]TimeSeries!$H$6,0,0,COUNTA([14]TimeSeries!$A$6:$A$8759))</definedName>
    <definedName name="Series_Wind_OnS_DKE">OFFSET([14]TimeSeries!$E$6,0,0,COUNTA([14]TimeSeries!$A$6:$A$8759))</definedName>
    <definedName name="Series_Wind_OnS_DKW">OFFSET([14]TimeSeries!$F$6,0,0,COUNTA([14]TimeSeries!$A$6:$A$8759))</definedName>
    <definedName name="TS_Duration">OFFSET([14]TimeSeries!$C$6,0,0,COUNTA([14]TimeSeries!$A$6:$A$8759))</definedName>
    <definedName name="TS_Name">OFFSET([14]TimeSeries!$A$6,0,0,COUNTA([14]TimeSeries!$A$6:$A$8759))</definedName>
    <definedName name="VARWINOFF">'[9]O&amp;M waste and WIN '!$L$13</definedName>
    <definedName name="VARWINON">'[9]O&amp;M waste and WIN '!$L$14</definedName>
    <definedName name="VARWSTBO" localSheetId="21">'[11]O&amp;M waste '!$D$5</definedName>
    <definedName name="VARWSTBO" localSheetId="26">'[11]O&amp;M waste '!$D$5</definedName>
    <definedName name="VARWSTBO" localSheetId="17">'[11]O&amp;M waste '!$D$5</definedName>
    <definedName name="VARWSTBO" localSheetId="22">'[11]O&amp;M waste '!$D$5</definedName>
    <definedName name="VARWSTBO" localSheetId="29">'[11]O&amp;M waste '!$D$5</definedName>
    <definedName name="VARWSTBO" localSheetId="32">'[11]O&amp;M waste '!$D$5</definedName>
    <definedName name="VARWSTBO" localSheetId="31">'[11]O&amp;M waste '!$D$5</definedName>
    <definedName name="VARWSTBO" localSheetId="24">'[11]O&amp;M waste '!$D$5</definedName>
    <definedName name="VARWSTBO" localSheetId="25">'[11]O&amp;M waste '!$D$5</definedName>
    <definedName name="VARWSTBO" localSheetId="28">'[11]O&amp;M waste '!$D$5</definedName>
    <definedName name="VARWSTBO" localSheetId="30">'[11]O&amp;M waste '!$D$5</definedName>
    <definedName name="VARWSTBO" localSheetId="27">'[11]O&amp;M waste '!$D$5</definedName>
    <definedName name="VARWSTBO" localSheetId="20">'[11]O&amp;M waste '!$D$5</definedName>
    <definedName name="VARWSTBO" localSheetId="19">'[11]O&amp;M waste '!$D$5</definedName>
    <definedName name="VARWSTBO" localSheetId="23">'[11]O&amp;M waste '!$D$5</definedName>
    <definedName name="VARWSTBO">'[12]O&amp;M waste '!$D$5</definedName>
    <definedName name="VARWSTBP" localSheetId="21">'[11]O&amp;M waste '!$D$4</definedName>
    <definedName name="VARWSTBP" localSheetId="26">'[11]O&amp;M waste '!$D$4</definedName>
    <definedName name="VARWSTBP" localSheetId="17">'[11]O&amp;M waste '!$D$4</definedName>
    <definedName name="VARWSTBP" localSheetId="22">'[11]O&amp;M waste '!$D$4</definedName>
    <definedName name="VARWSTBP" localSheetId="29">'[11]O&amp;M waste '!$D$4</definedName>
    <definedName name="VARWSTBP" localSheetId="32">'[11]O&amp;M waste '!$D$4</definedName>
    <definedName name="VARWSTBP" localSheetId="31">'[11]O&amp;M waste '!$D$4</definedName>
    <definedName name="VARWSTBP" localSheetId="24">'[11]O&amp;M waste '!$D$4</definedName>
    <definedName name="VARWSTBP" localSheetId="25">'[11]O&amp;M waste '!$D$4</definedName>
    <definedName name="VARWSTBP" localSheetId="28">'[11]O&amp;M waste '!$D$4</definedName>
    <definedName name="VARWSTBP" localSheetId="30">'[11]O&amp;M waste '!$D$4</definedName>
    <definedName name="VARWSTBP" localSheetId="27">'[11]O&amp;M waste '!$D$4</definedName>
    <definedName name="VARWSTBP" localSheetId="20">'[11]O&amp;M waste '!$D$4</definedName>
    <definedName name="VARWSTBP" localSheetId="19">'[11]O&amp;M waste '!$D$4</definedName>
    <definedName name="VARWSTBP" localSheetId="23">'[11]O&amp;M waste '!$D$4</definedName>
    <definedName name="VARWSTBP">'[12]O&amp;M waste '!$D$4</definedName>
    <definedName name="vehicleproductionemissions">[4]Sheet1!$B$14</definedName>
    <definedName name="WasteCHP">[2]TechnologyData!$A$101:$M$129</definedName>
    <definedName name="Wood_SmallBP">[2]TechnologyData!$A$131:$M$158</definedName>
    <definedName name="x">[15]AGR_Fuels!$A$2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165" i="84" l="1"/>
  <c r="T190" i="93"/>
  <c r="T190" i="92"/>
  <c r="T190" i="91"/>
  <c r="T190" i="89"/>
  <c r="T190" i="88"/>
  <c r="T190" i="87"/>
  <c r="T190" i="85"/>
  <c r="T190" i="83"/>
  <c r="T190" i="82"/>
  <c r="T190" i="81"/>
  <c r="T190" i="74"/>
  <c r="T190" i="94"/>
  <c r="S190" i="93"/>
  <c r="S190" i="92"/>
  <c r="S190" i="91"/>
  <c r="S190" i="89"/>
  <c r="S190" i="88"/>
  <c r="S190" i="87"/>
  <c r="S190" i="85"/>
  <c r="S190" i="84"/>
  <c r="S190" i="83"/>
  <c r="S190" i="82"/>
  <c r="S190" i="81"/>
  <c r="S190" i="74"/>
  <c r="S190" i="94"/>
  <c r="S189" i="93"/>
  <c r="S189" i="92"/>
  <c r="S189" i="91"/>
  <c r="S189" i="89"/>
  <c r="S189" i="88"/>
  <c r="S189" i="87"/>
  <c r="S189" i="85"/>
  <c r="S189" i="84"/>
  <c r="S189" i="83"/>
  <c r="S189" i="82"/>
  <c r="S189" i="81"/>
  <c r="S189" i="74"/>
  <c r="S189" i="94"/>
  <c r="R190" i="93"/>
  <c r="R190" i="92"/>
  <c r="R190" i="91"/>
  <c r="R190" i="89"/>
  <c r="R190" i="88"/>
  <c r="R190" i="87"/>
  <c r="R190" i="85"/>
  <c r="R190" i="84"/>
  <c r="R190" i="83"/>
  <c r="R190" i="82"/>
  <c r="R190" i="81"/>
  <c r="R190" i="74"/>
  <c r="R190" i="94"/>
  <c r="R189" i="93"/>
  <c r="R189" i="92"/>
  <c r="R189" i="91"/>
  <c r="R189" i="89"/>
  <c r="R189" i="88"/>
  <c r="R189" i="87"/>
  <c r="R189" i="85"/>
  <c r="R189" i="84"/>
  <c r="R189" i="83"/>
  <c r="R189" i="82"/>
  <c r="R189" i="81"/>
  <c r="R189" i="74"/>
  <c r="R189" i="94"/>
  <c r="O190" i="93"/>
  <c r="O190" i="92"/>
  <c r="O190" i="91"/>
  <c r="O190" i="89"/>
  <c r="O190" i="88"/>
  <c r="O190" i="87"/>
  <c r="O190" i="85"/>
  <c r="O190" i="84"/>
  <c r="O190" i="83"/>
  <c r="O190" i="82"/>
  <c r="O190" i="81"/>
  <c r="O190" i="74"/>
  <c r="O190" i="94"/>
  <c r="O189" i="93"/>
  <c r="O189" i="92"/>
  <c r="O189" i="91"/>
  <c r="O189" i="89"/>
  <c r="O189" i="88"/>
  <c r="O189" i="87"/>
  <c r="O189" i="85"/>
  <c r="O189" i="84"/>
  <c r="O189" i="83"/>
  <c r="O189" i="82"/>
  <c r="O189" i="81"/>
  <c r="O189" i="74"/>
  <c r="O189" i="94"/>
  <c r="N190" i="93"/>
  <c r="N190" i="92"/>
  <c r="N190" i="91"/>
  <c r="N190" i="89"/>
  <c r="N190" i="88"/>
  <c r="N190" i="87"/>
  <c r="N190" i="85"/>
  <c r="N190" i="84"/>
  <c r="N190" i="83"/>
  <c r="N190" i="82"/>
  <c r="N190" i="81"/>
  <c r="N190" i="74"/>
  <c r="N190" i="94"/>
  <c r="N189" i="93"/>
  <c r="N189" i="92"/>
  <c r="N189" i="91"/>
  <c r="N189" i="89"/>
  <c r="N189" i="88"/>
  <c r="N189" i="87"/>
  <c r="N189" i="85"/>
  <c r="N189" i="84"/>
  <c r="N189" i="83"/>
  <c r="N189" i="82"/>
  <c r="N189" i="81"/>
  <c r="N189" i="74"/>
  <c r="N189" i="94"/>
  <c r="L190" i="93"/>
  <c r="L190" i="92"/>
  <c r="L190" i="91"/>
  <c r="L190" i="89"/>
  <c r="L190" i="88"/>
  <c r="L190" i="87"/>
  <c r="L190" i="85"/>
  <c r="L190" i="84"/>
  <c r="L190" i="83"/>
  <c r="L190" i="82"/>
  <c r="L190" i="81"/>
  <c r="L190" i="74"/>
  <c r="L190" i="94"/>
  <c r="L189" i="93"/>
  <c r="L189" i="92"/>
  <c r="L189" i="91"/>
  <c r="L189" i="89"/>
  <c r="L189" i="88"/>
  <c r="L189" i="87"/>
  <c r="L189" i="85"/>
  <c r="L189" i="84"/>
  <c r="L189" i="83"/>
  <c r="L189" i="82"/>
  <c r="L189" i="81"/>
  <c r="L189" i="74"/>
  <c r="L189" i="94"/>
  <c r="K190" i="93"/>
  <c r="K190" i="92"/>
  <c r="K190" i="91"/>
  <c r="K190" i="89"/>
  <c r="K190" i="88"/>
  <c r="K190" i="87"/>
  <c r="K190" i="85"/>
  <c r="K190" i="84"/>
  <c r="K190" i="83"/>
  <c r="K190" i="82"/>
  <c r="K190" i="81"/>
  <c r="K190" i="74"/>
  <c r="K190" i="94"/>
  <c r="K189" i="93"/>
  <c r="K189" i="92"/>
  <c r="K189" i="91"/>
  <c r="K189" i="89"/>
  <c r="K189" i="88"/>
  <c r="K189" i="87"/>
  <c r="K189" i="85"/>
  <c r="K189" i="84"/>
  <c r="K189" i="83"/>
  <c r="K189" i="82"/>
  <c r="K189" i="81"/>
  <c r="K189" i="74"/>
  <c r="K189" i="94"/>
  <c r="J190" i="93"/>
  <c r="J190" i="92"/>
  <c r="J190" i="91"/>
  <c r="J190" i="89"/>
  <c r="J190" i="88"/>
  <c r="J190" i="87"/>
  <c r="J190" i="85"/>
  <c r="J190" i="84"/>
  <c r="J190" i="83"/>
  <c r="J190" i="82"/>
  <c r="J190" i="81"/>
  <c r="J190" i="74"/>
  <c r="J190" i="94"/>
  <c r="J189" i="93"/>
  <c r="J189" i="92"/>
  <c r="J189" i="91"/>
  <c r="J189" i="89"/>
  <c r="J189" i="88"/>
  <c r="J189" i="87"/>
  <c r="J189" i="85"/>
  <c r="J189" i="84"/>
  <c r="J189" i="83"/>
  <c r="J189" i="82"/>
  <c r="J189" i="81"/>
  <c r="J189" i="74"/>
  <c r="J189" i="94"/>
  <c r="H218" i="85"/>
  <c r="AJ21" i="93"/>
  <c r="AJ21" i="92"/>
  <c r="AJ21" i="94"/>
  <c r="AI21" i="93"/>
  <c r="H218" i="93" s="1"/>
  <c r="AI21" i="92"/>
  <c r="H218" i="92" s="1"/>
  <c r="AI21" i="94"/>
  <c r="H218" i="94" s="1"/>
  <c r="H218" i="91"/>
  <c r="H218" i="87"/>
  <c r="AI13" i="84"/>
  <c r="AJ13" i="92"/>
  <c r="AI20" i="94"/>
  <c r="AI19" i="94"/>
  <c r="AI18" i="94"/>
  <c r="AI17" i="94"/>
  <c r="AI16" i="94"/>
  <c r="AI15" i="94"/>
  <c r="AI14" i="94"/>
  <c r="AI13" i="94"/>
  <c r="AI20" i="93"/>
  <c r="AI19" i="93"/>
  <c r="AI18" i="93"/>
  <c r="AI17" i="93"/>
  <c r="AI16" i="93"/>
  <c r="AI15" i="93"/>
  <c r="AI14" i="93"/>
  <c r="AI13" i="93"/>
  <c r="AI15" i="92"/>
  <c r="AI14" i="92"/>
  <c r="AI13" i="92"/>
  <c r="AI13" i="81"/>
  <c r="L162" i="84"/>
  <c r="L109" i="84"/>
  <c r="L163" i="84"/>
  <c r="L136" i="84"/>
  <c r="L122" i="84"/>
  <c r="L144" i="84"/>
  <c r="L170" i="84"/>
  <c r="L137" i="84"/>
  <c r="L150" i="84"/>
  <c r="L151" i="84"/>
  <c r="L108" i="84"/>
  <c r="L173" i="84"/>
  <c r="L172" i="84"/>
  <c r="L164" i="84"/>
  <c r="L106" i="84"/>
  <c r="L91" i="84"/>
  <c r="L130" i="84"/>
  <c r="L138" i="84"/>
  <c r="L103" i="84"/>
  <c r="L81" i="83"/>
  <c r="L178" i="84"/>
  <c r="L96" i="84"/>
  <c r="L171" i="84"/>
  <c r="L107" i="84"/>
  <c r="L146" i="84"/>
  <c r="L116" i="84"/>
  <c r="L120" i="84"/>
  <c r="L90" i="84"/>
  <c r="L179" i="84"/>
  <c r="L158" i="84"/>
  <c r="L177" i="84"/>
  <c r="L129" i="84"/>
  <c r="L98" i="84"/>
  <c r="L140" i="84"/>
  <c r="L85" i="83"/>
  <c r="L102" i="84"/>
  <c r="L97" i="84"/>
  <c r="L114" i="84"/>
  <c r="L89" i="84"/>
  <c r="L168" i="84"/>
  <c r="L124" i="84"/>
  <c r="T27" i="84"/>
  <c r="L135" i="84"/>
  <c r="L88" i="84"/>
  <c r="L169" i="84"/>
  <c r="L92" i="84"/>
  <c r="L83" i="83"/>
  <c r="L156" i="84"/>
  <c r="L87" i="84"/>
  <c r="L121" i="84"/>
  <c r="L157" i="84"/>
  <c r="L115" i="84"/>
  <c r="L123" i="84"/>
  <c r="L110" i="84"/>
  <c r="L104" i="84"/>
  <c r="L82" i="83"/>
  <c r="L84" i="83"/>
  <c r="L152" i="84"/>
  <c r="L139" i="84"/>
  <c r="L105" i="84"/>
  <c r="L125" i="84"/>
  <c r="L145" i="84"/>
  <c r="L131" i="84"/>
  <c r="E218" i="92" l="1"/>
  <c r="E291" i="92" s="1"/>
  <c r="E218" i="93"/>
  <c r="E291" i="93" s="1"/>
  <c r="E218" i="94"/>
  <c r="E291" i="94" s="1"/>
  <c r="O213" i="93"/>
  <c r="O212" i="93"/>
  <c r="O211" i="93"/>
  <c r="O210" i="93"/>
  <c r="O209" i="93"/>
  <c r="O208" i="93"/>
  <c r="O207" i="93"/>
  <c r="O206" i="93"/>
  <c r="O205" i="93"/>
  <c r="O204" i="93"/>
  <c r="O213" i="92"/>
  <c r="O212" i="92"/>
  <c r="O211" i="92"/>
  <c r="O210" i="92"/>
  <c r="O209" i="92"/>
  <c r="O208" i="92"/>
  <c r="O207" i="92"/>
  <c r="O206" i="92"/>
  <c r="O205" i="92"/>
  <c r="O204" i="92"/>
  <c r="O213" i="91"/>
  <c r="O212" i="91"/>
  <c r="O211" i="91"/>
  <c r="O210" i="91"/>
  <c r="O209" i="91"/>
  <c r="O208" i="91"/>
  <c r="O207" i="91"/>
  <c r="O206" i="91"/>
  <c r="O205" i="91"/>
  <c r="O204" i="91"/>
  <c r="O213" i="89"/>
  <c r="O212" i="89"/>
  <c r="O211" i="89"/>
  <c r="O210" i="89"/>
  <c r="O209" i="89"/>
  <c r="O208" i="89"/>
  <c r="O207" i="89"/>
  <c r="O206" i="89"/>
  <c r="O205" i="89"/>
  <c r="O204" i="89"/>
  <c r="O213" i="88"/>
  <c r="O212" i="88"/>
  <c r="O211" i="88"/>
  <c r="O210" i="88"/>
  <c r="O209" i="88"/>
  <c r="O208" i="88"/>
  <c r="O207" i="88"/>
  <c r="O206" i="88"/>
  <c r="O205" i="88"/>
  <c r="O204" i="88"/>
  <c r="O213" i="87"/>
  <c r="O212" i="87"/>
  <c r="O211" i="87"/>
  <c r="O210" i="87"/>
  <c r="O209" i="87"/>
  <c r="O208" i="87"/>
  <c r="O207" i="87"/>
  <c r="O206" i="87"/>
  <c r="O205" i="87"/>
  <c r="O204" i="87"/>
  <c r="O213" i="85"/>
  <c r="O212" i="85"/>
  <c r="O211" i="85"/>
  <c r="O210" i="85"/>
  <c r="O209" i="85"/>
  <c r="O208" i="85"/>
  <c r="O207" i="85"/>
  <c r="O206" i="85"/>
  <c r="O205" i="85"/>
  <c r="O204" i="85"/>
  <c r="O213" i="84"/>
  <c r="O212" i="84"/>
  <c r="O211" i="84"/>
  <c r="O210" i="84"/>
  <c r="O209" i="84"/>
  <c r="O208" i="84"/>
  <c r="O207" i="84"/>
  <c r="O206" i="84"/>
  <c r="O205" i="84"/>
  <c r="O204" i="84"/>
  <c r="O213" i="83"/>
  <c r="O212" i="83"/>
  <c r="O211" i="83"/>
  <c r="O210" i="83"/>
  <c r="O209" i="83"/>
  <c r="O208" i="83"/>
  <c r="O207" i="83"/>
  <c r="O206" i="83"/>
  <c r="O205" i="83"/>
  <c r="O204" i="83"/>
  <c r="O213" i="82"/>
  <c r="O212" i="82"/>
  <c r="O211" i="82"/>
  <c r="O210" i="82"/>
  <c r="O209" i="82"/>
  <c r="O208" i="82"/>
  <c r="O207" i="82"/>
  <c r="O206" i="82"/>
  <c r="O205" i="82"/>
  <c r="O204" i="82"/>
  <c r="O213" i="81"/>
  <c r="O212" i="81"/>
  <c r="O211" i="81"/>
  <c r="O210" i="81"/>
  <c r="O209" i="81"/>
  <c r="O208" i="81"/>
  <c r="O207" i="81"/>
  <c r="O206" i="81"/>
  <c r="O205" i="81"/>
  <c r="O204" i="81"/>
  <c r="O213" i="74"/>
  <c r="O212" i="74"/>
  <c r="O211" i="74"/>
  <c r="O210" i="74"/>
  <c r="O209" i="74"/>
  <c r="O208" i="74"/>
  <c r="O207" i="74"/>
  <c r="O206" i="74"/>
  <c r="O205" i="74"/>
  <c r="O204" i="74"/>
  <c r="O213" i="94"/>
  <c r="O212" i="94"/>
  <c r="O211" i="94"/>
  <c r="O210" i="94"/>
  <c r="O209" i="94"/>
  <c r="O208" i="94"/>
  <c r="O207" i="94"/>
  <c r="O206" i="94"/>
  <c r="O205" i="94"/>
  <c r="O204" i="94"/>
  <c r="O203" i="93"/>
  <c r="O203" i="92"/>
  <c r="O203" i="91"/>
  <c r="O203" i="89"/>
  <c r="O203" i="88"/>
  <c r="O203" i="87"/>
  <c r="O203" i="85"/>
  <c r="O203" i="84"/>
  <c r="O203" i="83"/>
  <c r="O203" i="82"/>
  <c r="O203" i="81"/>
  <c r="O203" i="74"/>
  <c r="O203" i="94"/>
  <c r="AT14" i="106"/>
  <c r="AT15" i="106"/>
  <c r="AT16" i="106"/>
  <c r="AT17" i="106"/>
  <c r="AT18" i="106"/>
  <c r="AT19" i="106"/>
  <c r="AT20" i="106"/>
  <c r="AT21" i="106"/>
  <c r="AT22" i="106"/>
  <c r="AT23" i="106"/>
  <c r="AT24" i="106"/>
  <c r="AT25" i="106"/>
  <c r="AT26" i="106"/>
  <c r="AT27" i="106"/>
  <c r="AT28" i="106"/>
  <c r="AT29" i="106"/>
  <c r="AT30" i="106"/>
  <c r="AT31" i="106"/>
  <c r="AT32" i="106"/>
  <c r="AT33" i="106"/>
  <c r="AT34" i="106"/>
  <c r="AT35" i="106"/>
  <c r="AT36" i="106"/>
  <c r="AT37" i="106"/>
  <c r="AT38" i="106"/>
  <c r="AT39" i="106"/>
  <c r="AT40" i="106"/>
  <c r="AT41" i="106"/>
  <c r="AT42" i="106"/>
  <c r="AT43" i="106"/>
  <c r="AT44" i="106"/>
  <c r="AT45" i="106"/>
  <c r="AT46" i="106"/>
  <c r="AT47" i="106"/>
  <c r="AT48" i="106"/>
  <c r="AT49" i="106"/>
  <c r="AT50" i="106"/>
  <c r="AT51" i="106"/>
  <c r="AT52" i="106"/>
  <c r="AT53" i="106"/>
  <c r="AT54" i="106"/>
  <c r="AT55" i="106"/>
  <c r="AT56" i="106"/>
  <c r="AT57" i="106"/>
  <c r="AT58" i="106"/>
  <c r="AT59" i="106"/>
  <c r="AT60" i="106"/>
  <c r="AT61" i="106"/>
  <c r="AT62" i="106"/>
  <c r="AT63" i="106"/>
  <c r="AT64" i="106"/>
  <c r="AT65" i="106"/>
  <c r="AT66" i="106"/>
  <c r="AT67" i="106"/>
  <c r="AT68" i="106"/>
  <c r="AT69" i="106"/>
  <c r="AT70" i="106"/>
  <c r="AT71" i="106"/>
  <c r="AT72" i="106"/>
  <c r="AT73" i="106"/>
  <c r="AT74" i="106"/>
  <c r="AT75" i="106"/>
  <c r="AT76" i="106"/>
  <c r="AT77" i="106"/>
  <c r="AT78" i="106"/>
  <c r="AT79" i="106"/>
  <c r="AT80" i="106"/>
  <c r="AT81" i="106"/>
  <c r="AT82" i="106"/>
  <c r="AT83" i="106"/>
  <c r="AT84" i="106"/>
  <c r="AT85" i="106"/>
  <c r="AT86" i="106"/>
  <c r="AT87" i="106"/>
  <c r="AT88" i="106"/>
  <c r="AT89" i="106"/>
  <c r="AT90" i="106"/>
  <c r="AT91" i="106"/>
  <c r="AT92" i="106"/>
  <c r="AT93" i="106"/>
  <c r="AT94" i="106"/>
  <c r="AT95" i="106"/>
  <c r="AT96" i="106"/>
  <c r="AT97" i="106"/>
  <c r="AT98" i="106"/>
  <c r="AT99" i="106"/>
  <c r="AT100" i="106"/>
  <c r="AT101" i="106"/>
  <c r="AT102" i="106"/>
  <c r="AT103" i="106"/>
  <c r="AT104" i="106"/>
  <c r="AT105" i="106"/>
  <c r="AT106" i="106"/>
  <c r="AT107" i="106"/>
  <c r="AT108" i="106"/>
  <c r="AT109" i="106"/>
  <c r="AT110" i="106"/>
  <c r="AT111" i="106"/>
  <c r="AT112" i="106"/>
  <c r="AT113" i="106"/>
  <c r="AT114" i="106"/>
  <c r="AT115" i="106"/>
  <c r="AT116" i="106"/>
  <c r="AT117" i="106"/>
  <c r="AT118" i="106"/>
  <c r="AT119" i="106"/>
  <c r="AT120" i="106"/>
  <c r="AT121" i="106"/>
  <c r="AT122" i="106"/>
  <c r="AT123" i="106"/>
  <c r="AT124" i="106"/>
  <c r="AT125" i="106"/>
  <c r="AT126" i="106"/>
  <c r="AT127" i="106"/>
  <c r="AT128" i="106"/>
  <c r="AT129" i="106"/>
  <c r="AT130" i="106"/>
  <c r="AT131" i="106"/>
  <c r="AT132" i="106"/>
  <c r="AT133" i="106"/>
  <c r="AT134" i="106"/>
  <c r="AT135" i="106"/>
  <c r="AT136" i="106"/>
  <c r="AT137" i="106"/>
  <c r="AT138" i="106"/>
  <c r="AT139" i="106"/>
  <c r="AT140" i="106"/>
  <c r="AT141" i="106"/>
  <c r="AT142" i="106"/>
  <c r="AT143" i="106"/>
  <c r="AT144" i="106"/>
  <c r="AT145" i="106"/>
  <c r="AT146" i="106"/>
  <c r="AT147" i="106"/>
  <c r="AT148" i="106"/>
  <c r="AT149" i="106"/>
  <c r="AT150" i="106"/>
  <c r="AT151" i="106"/>
  <c r="AT152" i="106"/>
  <c r="AT153" i="106"/>
  <c r="AT154" i="106"/>
  <c r="AT155" i="106"/>
  <c r="AT156" i="106"/>
  <c r="AT157" i="106"/>
  <c r="AT158" i="106"/>
  <c r="AT159" i="106"/>
  <c r="AT160" i="106"/>
  <c r="AT161" i="106"/>
  <c r="AT162" i="106"/>
  <c r="AT163" i="106"/>
  <c r="AT164" i="106"/>
  <c r="AT165" i="106"/>
  <c r="AT166" i="106"/>
  <c r="AT167" i="106"/>
  <c r="AT168" i="106"/>
  <c r="AT169" i="106"/>
  <c r="AT170" i="106"/>
  <c r="AT171" i="106"/>
  <c r="AT172" i="106"/>
  <c r="AT173" i="106"/>
  <c r="AT174" i="106"/>
  <c r="AT175" i="106"/>
  <c r="AT176" i="106"/>
  <c r="AT177" i="106"/>
  <c r="AT178" i="106"/>
  <c r="AT179" i="106"/>
  <c r="AT180" i="106"/>
  <c r="AT181" i="106"/>
  <c r="AT182" i="106"/>
  <c r="AT183" i="106"/>
  <c r="AT184" i="106"/>
  <c r="AT185" i="106"/>
  <c r="AT186" i="106"/>
  <c r="AT187" i="106"/>
  <c r="AT188" i="106"/>
  <c r="AT189" i="106"/>
  <c r="AT190" i="106"/>
  <c r="AT191" i="106"/>
  <c r="AT192" i="106"/>
  <c r="AT193" i="106"/>
  <c r="AT194" i="106"/>
  <c r="AT195" i="106"/>
  <c r="AT196" i="106"/>
  <c r="AT197" i="106"/>
  <c r="AT198" i="106"/>
  <c r="AT199" i="106"/>
  <c r="AT200" i="106"/>
  <c r="AT201" i="106"/>
  <c r="AT202" i="106"/>
  <c r="AT203" i="106"/>
  <c r="AT204" i="106"/>
  <c r="AT205" i="106"/>
  <c r="AT206" i="106"/>
  <c r="AT207" i="106"/>
  <c r="AT208" i="106"/>
  <c r="AT209" i="106"/>
  <c r="AT210" i="106"/>
  <c r="AT211" i="106"/>
  <c r="AT212" i="106"/>
  <c r="AT213" i="106"/>
  <c r="AT214" i="106"/>
  <c r="AT215" i="106"/>
  <c r="AT216" i="106"/>
  <c r="AT217" i="106"/>
  <c r="AT218" i="106"/>
  <c r="AT219" i="106"/>
  <c r="AT220" i="106"/>
  <c r="AT221" i="106"/>
  <c r="AT222" i="106"/>
  <c r="AT223" i="106"/>
  <c r="AT224" i="106"/>
  <c r="AT225" i="106"/>
  <c r="AT226" i="106"/>
  <c r="AT227" i="106"/>
  <c r="AT228" i="106"/>
  <c r="AT229" i="106"/>
  <c r="AT230" i="106"/>
  <c r="AT231" i="106"/>
  <c r="AT232" i="106"/>
  <c r="AT233" i="106"/>
  <c r="AT234" i="106"/>
  <c r="AT235" i="106"/>
  <c r="AT236" i="106"/>
  <c r="AT237" i="106"/>
  <c r="AT238" i="106"/>
  <c r="AT239" i="106"/>
  <c r="AT240" i="106"/>
  <c r="AT241" i="106"/>
  <c r="AT242" i="106"/>
  <c r="AT243" i="106"/>
  <c r="AT244" i="106"/>
  <c r="AT245" i="106"/>
  <c r="AT246" i="106"/>
  <c r="AT247" i="106"/>
  <c r="AT248" i="106"/>
  <c r="AT249" i="106"/>
  <c r="AT250" i="106"/>
  <c r="AT251" i="106"/>
  <c r="AT252" i="106"/>
  <c r="AT253" i="106"/>
  <c r="AT254" i="106"/>
  <c r="AT255" i="106"/>
  <c r="AT256" i="106"/>
  <c r="AT257" i="106"/>
  <c r="AT258" i="106"/>
  <c r="AT259" i="106"/>
  <c r="AT260" i="106"/>
  <c r="AT261" i="106"/>
  <c r="AT262" i="106"/>
  <c r="AT263" i="106"/>
  <c r="AT264" i="106"/>
  <c r="AT13" i="106"/>
  <c r="D218" i="93" l="1"/>
  <c r="D218" i="92"/>
  <c r="D218" i="94"/>
  <c r="AO13" i="106"/>
  <c r="AQ13" i="106"/>
  <c r="AO114" i="106" l="1"/>
  <c r="AO113" i="106"/>
  <c r="AO112" i="106"/>
  <c r="AO111" i="106"/>
  <c r="AO110" i="106"/>
  <c r="H87" i="94"/>
  <c r="H210" i="93"/>
  <c r="E210" i="93" s="1"/>
  <c r="H206" i="93"/>
  <c r="D291" i="93" s="1"/>
  <c r="O202" i="93"/>
  <c r="H202" i="93"/>
  <c r="E202" i="93" s="1"/>
  <c r="O202" i="92"/>
  <c r="O202" i="91"/>
  <c r="O202" i="89"/>
  <c r="O202" i="88"/>
  <c r="O202" i="87"/>
  <c r="O202" i="85"/>
  <c r="O202" i="84"/>
  <c r="O202" i="83"/>
  <c r="O202" i="82"/>
  <c r="O202" i="81"/>
  <c r="O202" i="74"/>
  <c r="H210" i="94"/>
  <c r="E210" i="94" s="1"/>
  <c r="H206" i="94"/>
  <c r="D291" i="94" s="1"/>
  <c r="O202" i="94"/>
  <c r="H202" i="94"/>
  <c r="E202" i="94" s="1"/>
  <c r="D202" i="94" s="1"/>
  <c r="AQ229" i="106"/>
  <c r="AQ193" i="106"/>
  <c r="AQ157" i="106"/>
  <c r="AQ120" i="106"/>
  <c r="AQ85" i="106"/>
  <c r="AQ49" i="106"/>
  <c r="AQ14" i="106"/>
  <c r="AQ15" i="106" s="1"/>
  <c r="AQ16" i="106" s="1"/>
  <c r="AQ17" i="106" s="1"/>
  <c r="AQ18" i="106" s="1"/>
  <c r="AQ19" i="106" s="1"/>
  <c r="AQ20" i="106" s="1"/>
  <c r="AQ21" i="106" s="1"/>
  <c r="AQ22" i="106" s="1"/>
  <c r="AQ23" i="106" s="1"/>
  <c r="AQ24" i="106" s="1"/>
  <c r="AQ25" i="106" s="1"/>
  <c r="AQ26" i="106" s="1"/>
  <c r="AQ27" i="106" s="1"/>
  <c r="AQ28" i="106" s="1"/>
  <c r="AQ29" i="106" s="1"/>
  <c r="AQ30" i="106" s="1"/>
  <c r="AQ31" i="106" s="1"/>
  <c r="AQ32" i="106" s="1"/>
  <c r="AQ33" i="106" s="1"/>
  <c r="AQ34" i="106" s="1"/>
  <c r="AQ35" i="106" s="1"/>
  <c r="AQ36" i="106" s="1"/>
  <c r="AQ37" i="106" s="1"/>
  <c r="AW13" i="106"/>
  <c r="AW15" i="106" s="1"/>
  <c r="AW20" i="106" s="1"/>
  <c r="AS13" i="106"/>
  <c r="AO14" i="106"/>
  <c r="AO15" i="106"/>
  <c r="AS15" i="106" s="1"/>
  <c r="AO16" i="106"/>
  <c r="AO17" i="106"/>
  <c r="AS17" i="106" s="1"/>
  <c r="AO18" i="106"/>
  <c r="AO19" i="106"/>
  <c r="AS19" i="106" s="1"/>
  <c r="AO20" i="106"/>
  <c r="AS20" i="106" s="1"/>
  <c r="AO21" i="106"/>
  <c r="AS21" i="106" s="1"/>
  <c r="AO22" i="106"/>
  <c r="AS22" i="106" s="1"/>
  <c r="AO23" i="106"/>
  <c r="AS23" i="106" s="1"/>
  <c r="AO24" i="106"/>
  <c r="AO25" i="106"/>
  <c r="AO26" i="106"/>
  <c r="AO27" i="106"/>
  <c r="AS27" i="106" s="1"/>
  <c r="AO28" i="106"/>
  <c r="AO29" i="106"/>
  <c r="AO30" i="106"/>
  <c r="AO31" i="106"/>
  <c r="AO32" i="106"/>
  <c r="AO33" i="106"/>
  <c r="AS33" i="106" s="1"/>
  <c r="AO34" i="106"/>
  <c r="AO35" i="106"/>
  <c r="AS35" i="106" s="1"/>
  <c r="AO36" i="106"/>
  <c r="AS36" i="106" s="1"/>
  <c r="AO37" i="106"/>
  <c r="AS37" i="106" s="1"/>
  <c r="AO38" i="106"/>
  <c r="AS38" i="106" s="1"/>
  <c r="AO39" i="106"/>
  <c r="AO40" i="106"/>
  <c r="AO41" i="106"/>
  <c r="AO42" i="106"/>
  <c r="AO43" i="106"/>
  <c r="AS43" i="106" s="1"/>
  <c r="AO44" i="106"/>
  <c r="AO45" i="106"/>
  <c r="AS45" i="106" s="1"/>
  <c r="AO46" i="106"/>
  <c r="AO47" i="106"/>
  <c r="AS47" i="106" s="1"/>
  <c r="AO48" i="106"/>
  <c r="AS48" i="106" s="1"/>
  <c r="AO49" i="106"/>
  <c r="AO50" i="106"/>
  <c r="AO51" i="106"/>
  <c r="AO52" i="106"/>
  <c r="AO53" i="106"/>
  <c r="AO54" i="106"/>
  <c r="AO55" i="106"/>
  <c r="AO56" i="106"/>
  <c r="AO57" i="106"/>
  <c r="AO58" i="106"/>
  <c r="AO59" i="106"/>
  <c r="AO60" i="106"/>
  <c r="AO61" i="106"/>
  <c r="AO62" i="106"/>
  <c r="AO63" i="106"/>
  <c r="AO64" i="106"/>
  <c r="AO65" i="106"/>
  <c r="AO66" i="106"/>
  <c r="AO67" i="106"/>
  <c r="AO68" i="106"/>
  <c r="AO69" i="106"/>
  <c r="AO70" i="106"/>
  <c r="AO71" i="106"/>
  <c r="AO72" i="106"/>
  <c r="AO73" i="106"/>
  <c r="AO74" i="106"/>
  <c r="AO75" i="106"/>
  <c r="AO76" i="106"/>
  <c r="AO77" i="106"/>
  <c r="AS77" i="106" s="1"/>
  <c r="AO78" i="106"/>
  <c r="AO79" i="106"/>
  <c r="AO80" i="106"/>
  <c r="AO81" i="106"/>
  <c r="AO82" i="106"/>
  <c r="AO83" i="106"/>
  <c r="AO84" i="106"/>
  <c r="AO85" i="106"/>
  <c r="AO86" i="106"/>
  <c r="AO87" i="106"/>
  <c r="AO88" i="106"/>
  <c r="AO89" i="106"/>
  <c r="AO90" i="106"/>
  <c r="AO91" i="106"/>
  <c r="AO92" i="106"/>
  <c r="AO93" i="106"/>
  <c r="AO94" i="106"/>
  <c r="AO95" i="106"/>
  <c r="AO96" i="106"/>
  <c r="AO97" i="106"/>
  <c r="AO98" i="106"/>
  <c r="AO99" i="106"/>
  <c r="AO100" i="106"/>
  <c r="AO101" i="106"/>
  <c r="AO102" i="106"/>
  <c r="AO103" i="106"/>
  <c r="AO104" i="106"/>
  <c r="AO105" i="106"/>
  <c r="AO106" i="106"/>
  <c r="AO107" i="106"/>
  <c r="AO108" i="106"/>
  <c r="AO109" i="106"/>
  <c r="AO115" i="106"/>
  <c r="AO116" i="106"/>
  <c r="AO117" i="106"/>
  <c r="AO118" i="106"/>
  <c r="AS118" i="106" s="1"/>
  <c r="L208" i="94" s="1"/>
  <c r="AO119" i="106"/>
  <c r="AO120" i="106"/>
  <c r="AO121" i="106"/>
  <c r="AO122" i="106"/>
  <c r="AO123" i="106"/>
  <c r="AO124" i="106"/>
  <c r="AO125" i="106"/>
  <c r="AO126" i="106"/>
  <c r="AO127" i="106"/>
  <c r="AO128" i="106"/>
  <c r="AO129" i="106"/>
  <c r="AO130" i="106"/>
  <c r="AO131" i="106"/>
  <c r="AO132" i="106"/>
  <c r="AO133" i="106"/>
  <c r="AO134" i="106"/>
  <c r="AO135" i="106"/>
  <c r="AO136" i="106"/>
  <c r="AO137" i="106"/>
  <c r="AO138" i="106"/>
  <c r="AO139" i="106"/>
  <c r="AO140" i="106"/>
  <c r="AO141" i="106"/>
  <c r="AO142" i="106"/>
  <c r="AO143" i="106"/>
  <c r="AO144" i="106"/>
  <c r="AO145" i="106"/>
  <c r="AO146" i="106"/>
  <c r="AO147" i="106"/>
  <c r="AO148" i="106"/>
  <c r="AO149" i="106"/>
  <c r="AO150" i="106"/>
  <c r="AO151" i="106"/>
  <c r="AO152" i="106"/>
  <c r="AO153" i="106"/>
  <c r="AO154" i="106"/>
  <c r="AO155" i="106"/>
  <c r="AO156" i="106"/>
  <c r="AO157" i="106"/>
  <c r="AS157" i="106" s="1"/>
  <c r="AO158" i="106"/>
  <c r="AO159" i="106"/>
  <c r="AO160" i="106"/>
  <c r="AO161" i="106"/>
  <c r="AO162" i="106"/>
  <c r="AS162" i="106" s="1"/>
  <c r="AO163" i="106"/>
  <c r="AO164" i="106"/>
  <c r="AO165" i="106"/>
  <c r="AO166" i="106"/>
  <c r="AO167" i="106"/>
  <c r="AO168" i="106"/>
  <c r="AO169" i="106"/>
  <c r="AO170" i="106"/>
  <c r="AO171" i="106"/>
  <c r="AO172" i="106"/>
  <c r="AO173" i="106"/>
  <c r="AO174" i="106"/>
  <c r="AO175" i="106"/>
  <c r="AO176" i="106"/>
  <c r="AO177" i="106"/>
  <c r="AO178" i="106"/>
  <c r="AO179" i="106"/>
  <c r="AO180" i="106"/>
  <c r="AO181" i="106"/>
  <c r="AO182" i="106"/>
  <c r="AO183" i="106"/>
  <c r="AO184" i="106"/>
  <c r="AO185" i="106"/>
  <c r="AS185" i="106" s="1"/>
  <c r="AO186" i="106"/>
  <c r="AO187" i="106"/>
  <c r="AO188" i="106"/>
  <c r="AO189" i="106"/>
  <c r="AO190" i="106"/>
  <c r="AS190" i="106" s="1"/>
  <c r="AO191" i="106"/>
  <c r="AO192" i="106"/>
  <c r="AO193" i="106"/>
  <c r="AO194" i="106"/>
  <c r="AO195" i="106"/>
  <c r="AO196" i="106"/>
  <c r="AS196" i="106" s="1"/>
  <c r="AO197" i="106"/>
  <c r="AS197" i="106" s="1"/>
  <c r="AO198" i="106"/>
  <c r="AO199" i="106"/>
  <c r="AO200" i="106"/>
  <c r="AO201" i="106"/>
  <c r="AO202" i="106"/>
  <c r="AO203" i="106"/>
  <c r="AO204" i="106"/>
  <c r="AO205" i="106"/>
  <c r="AO206" i="106"/>
  <c r="AO207" i="106"/>
  <c r="AO208" i="106"/>
  <c r="AO209" i="106"/>
  <c r="AO210" i="106"/>
  <c r="AO211" i="106"/>
  <c r="AO212" i="106"/>
  <c r="AO213" i="106"/>
  <c r="AO214" i="106"/>
  <c r="AO215" i="106"/>
  <c r="AO216" i="106"/>
  <c r="AO217" i="106"/>
  <c r="AO218" i="106"/>
  <c r="AO219" i="106"/>
  <c r="AO220" i="106"/>
  <c r="AO221" i="106"/>
  <c r="AS221" i="106" s="1"/>
  <c r="AO222" i="106"/>
  <c r="AO223" i="106"/>
  <c r="AO224" i="106"/>
  <c r="AS224" i="106" s="1"/>
  <c r="AO225" i="106"/>
  <c r="AS225" i="106" s="1"/>
  <c r="AO226" i="106"/>
  <c r="AO227" i="106"/>
  <c r="AO228" i="106"/>
  <c r="AO229" i="106"/>
  <c r="AO230" i="106"/>
  <c r="AO231" i="106"/>
  <c r="AO232" i="106"/>
  <c r="AO233" i="106"/>
  <c r="AO234" i="106"/>
  <c r="AO235" i="106"/>
  <c r="AO236" i="106"/>
  <c r="AO237" i="106"/>
  <c r="AO238" i="106"/>
  <c r="AO239" i="106"/>
  <c r="AO240" i="106"/>
  <c r="AO241" i="106"/>
  <c r="AO242" i="106"/>
  <c r="AO243" i="106"/>
  <c r="AO244" i="106"/>
  <c r="AO245" i="106"/>
  <c r="AO246" i="106"/>
  <c r="AO247" i="106"/>
  <c r="AO248" i="106"/>
  <c r="AO249" i="106"/>
  <c r="AO250" i="106"/>
  <c r="AO251" i="106"/>
  <c r="AO252" i="106"/>
  <c r="AO253" i="106"/>
  <c r="AO254" i="106"/>
  <c r="AO255" i="106"/>
  <c r="AO256" i="106"/>
  <c r="AO257" i="106"/>
  <c r="AO258" i="106"/>
  <c r="AO259" i="106"/>
  <c r="AO260" i="106"/>
  <c r="AO261" i="106"/>
  <c r="AO262" i="106"/>
  <c r="AO263" i="106"/>
  <c r="AO264" i="106"/>
  <c r="E206" i="93" l="1"/>
  <c r="D206" i="93" s="1"/>
  <c r="D288" i="93" s="1"/>
  <c r="E206" i="94"/>
  <c r="D206" i="94" s="1"/>
  <c r="D288" i="94" s="1"/>
  <c r="D210" i="94"/>
  <c r="D289" i="94" s="1"/>
  <c r="AS125" i="106"/>
  <c r="AS257" i="106"/>
  <c r="AS93" i="106"/>
  <c r="AS92" i="106"/>
  <c r="AS255" i="106"/>
  <c r="AS108" i="106"/>
  <c r="AS107" i="106"/>
  <c r="AS264" i="106"/>
  <c r="AS236" i="106"/>
  <c r="AS263" i="106"/>
  <c r="AS235" i="106"/>
  <c r="AS261" i="106"/>
  <c r="AS233" i="106"/>
  <c r="AS259" i="106"/>
  <c r="AS231" i="106"/>
  <c r="AS258" i="106"/>
  <c r="AS230" i="106"/>
  <c r="AS82" i="106"/>
  <c r="AS53" i="106"/>
  <c r="AS81" i="106"/>
  <c r="AS253" i="106"/>
  <c r="AS169" i="106"/>
  <c r="AS79" i="106"/>
  <c r="AS51" i="106"/>
  <c r="AS251" i="106"/>
  <c r="AS78" i="106"/>
  <c r="AS50" i="106"/>
  <c r="AS248" i="106"/>
  <c r="AS192" i="106"/>
  <c r="AS164" i="106"/>
  <c r="AS247" i="106"/>
  <c r="AS191" i="106"/>
  <c r="AS163" i="106"/>
  <c r="AS252" i="106"/>
  <c r="AS246" i="106"/>
  <c r="AS158" i="106"/>
  <c r="AS177" i="106"/>
  <c r="AS227" i="106"/>
  <c r="AS199" i="106"/>
  <c r="AS171" i="106"/>
  <c r="AS115" i="106"/>
  <c r="AS226" i="106"/>
  <c r="AS198" i="106"/>
  <c r="AS170" i="106"/>
  <c r="AS168" i="106"/>
  <c r="AS223" i="106"/>
  <c r="AS195" i="106"/>
  <c r="AS167" i="106"/>
  <c r="AS106" i="106"/>
  <c r="AS250" i="106"/>
  <c r="AS222" i="106"/>
  <c r="AS194" i="106"/>
  <c r="AS166" i="106"/>
  <c r="AS213" i="106"/>
  <c r="AS165" i="106"/>
  <c r="AS186" i="106"/>
  <c r="AS193" i="106"/>
  <c r="AS184" i="106"/>
  <c r="AS91" i="106"/>
  <c r="AS141" i="106"/>
  <c r="AS80" i="106"/>
  <c r="AS52" i="106"/>
  <c r="AS139" i="106"/>
  <c r="AS76" i="106"/>
  <c r="AS154" i="106"/>
  <c r="AS245" i="106"/>
  <c r="AS189" i="106"/>
  <c r="AS161" i="106"/>
  <c r="AS133" i="106"/>
  <c r="AS72" i="106"/>
  <c r="AS244" i="106"/>
  <c r="AS188" i="106"/>
  <c r="AS160" i="106"/>
  <c r="AS132" i="106"/>
  <c r="AS99" i="106"/>
  <c r="AS138" i="106"/>
  <c r="AS134" i="106"/>
  <c r="AS101" i="106"/>
  <c r="AS243" i="106"/>
  <c r="AS187" i="106"/>
  <c r="AS159" i="106"/>
  <c r="AS131" i="106"/>
  <c r="AS98" i="106"/>
  <c r="AS97" i="106"/>
  <c r="AS102" i="106"/>
  <c r="AS212" i="106"/>
  <c r="AS67" i="106"/>
  <c r="AS105" i="106"/>
  <c r="AS61" i="106"/>
  <c r="AS104" i="106"/>
  <c r="AS136" i="106"/>
  <c r="AS103" i="106"/>
  <c r="AS239" i="106"/>
  <c r="AS211" i="106"/>
  <c r="AS183" i="106"/>
  <c r="AS155" i="106"/>
  <c r="AS127" i="106"/>
  <c r="AS94" i="106"/>
  <c r="AS238" i="106"/>
  <c r="AS210" i="106"/>
  <c r="AS182" i="106"/>
  <c r="AS126" i="106"/>
  <c r="AS65" i="106"/>
  <c r="AS237" i="106"/>
  <c r="AS209" i="106"/>
  <c r="AS181" i="106"/>
  <c r="AS153" i="106"/>
  <c r="AS64" i="106"/>
  <c r="AS176" i="106"/>
  <c r="AS88" i="106"/>
  <c r="L204" i="94" s="1"/>
  <c r="AS119" i="106"/>
  <c r="AS86" i="106"/>
  <c r="AS228" i="106"/>
  <c r="AS172" i="106"/>
  <c r="AS204" i="106"/>
  <c r="AS218" i="106"/>
  <c r="AS73" i="106"/>
  <c r="AS200" i="106"/>
  <c r="AS217" i="106"/>
  <c r="AS216" i="106"/>
  <c r="AS71" i="106"/>
  <c r="AS206" i="106"/>
  <c r="AS215" i="106"/>
  <c r="AS70" i="106"/>
  <c r="AS42" i="106"/>
  <c r="AS14" i="106"/>
  <c r="AS69" i="106"/>
  <c r="AS41" i="106"/>
  <c r="AS178" i="106"/>
  <c r="AS214" i="106"/>
  <c r="AS208" i="106"/>
  <c r="AS180" i="106"/>
  <c r="AS152" i="106"/>
  <c r="AS124" i="106"/>
  <c r="AS207" i="106"/>
  <c r="AS179" i="106"/>
  <c r="AS151" i="106"/>
  <c r="AS123" i="106"/>
  <c r="AS90" i="106"/>
  <c r="L205" i="94" s="1"/>
  <c r="AS62" i="106"/>
  <c r="AS34" i="106"/>
  <c r="AS54" i="106"/>
  <c r="AS205" i="106"/>
  <c r="AS150" i="106"/>
  <c r="AS147" i="106"/>
  <c r="AS58" i="106"/>
  <c r="AS89" i="106"/>
  <c r="AS57" i="106"/>
  <c r="AS29" i="106"/>
  <c r="AS66" i="106"/>
  <c r="AS149" i="106"/>
  <c r="AS60" i="106"/>
  <c r="AS32" i="106"/>
  <c r="AS59" i="106"/>
  <c r="AS63" i="106"/>
  <c r="AS203" i="106"/>
  <c r="AS175" i="106"/>
  <c r="AS30" i="106"/>
  <c r="AS202" i="106"/>
  <c r="AS174" i="106"/>
  <c r="AS146" i="106"/>
  <c r="AS262" i="106"/>
  <c r="L208" i="89" s="1"/>
  <c r="AS201" i="106"/>
  <c r="AS173" i="106"/>
  <c r="AS145" i="106"/>
  <c r="AS117" i="106"/>
  <c r="AS84" i="106"/>
  <c r="AS56" i="106"/>
  <c r="AS28" i="106"/>
  <c r="AS220" i="106"/>
  <c r="AS75" i="106"/>
  <c r="AS83" i="106"/>
  <c r="AS55" i="106"/>
  <c r="AS68" i="106"/>
  <c r="AS219" i="106"/>
  <c r="AS135" i="106"/>
  <c r="AS74" i="106"/>
  <c r="AS46" i="106"/>
  <c r="AS18" i="106"/>
  <c r="L209" i="92"/>
  <c r="L209" i="74"/>
  <c r="L209" i="81"/>
  <c r="L209" i="91"/>
  <c r="L209" i="89"/>
  <c r="L209" i="88"/>
  <c r="L209" i="87"/>
  <c r="L209" i="85"/>
  <c r="L209" i="84"/>
  <c r="L209" i="83"/>
  <c r="L209" i="82"/>
  <c r="L209" i="93"/>
  <c r="L207" i="93"/>
  <c r="L207" i="82"/>
  <c r="L207" i="81"/>
  <c r="L206" i="93"/>
  <c r="L207" i="92"/>
  <c r="L206" i="82"/>
  <c r="L206" i="81"/>
  <c r="L207" i="74"/>
  <c r="L206" i="92"/>
  <c r="L206" i="83"/>
  <c r="L207" i="91"/>
  <c r="L206" i="74"/>
  <c r="L207" i="89"/>
  <c r="L206" i="91"/>
  <c r="L206" i="89"/>
  <c r="L207" i="88"/>
  <c r="L206" i="88"/>
  <c r="L207" i="87"/>
  <c r="L206" i="84"/>
  <c r="L207" i="85"/>
  <c r="L206" i="87"/>
  <c r="L206" i="85"/>
  <c r="L207" i="84"/>
  <c r="L207" i="83"/>
  <c r="L213" i="88"/>
  <c r="L213" i="87"/>
  <c r="L213" i="85"/>
  <c r="L213" i="84"/>
  <c r="L213" i="83"/>
  <c r="L213" i="82"/>
  <c r="L213" i="93"/>
  <c r="L213" i="92"/>
  <c r="L213" i="81"/>
  <c r="L213" i="74"/>
  <c r="L213" i="91"/>
  <c r="L213" i="89"/>
  <c r="L208" i="81"/>
  <c r="L208" i="88"/>
  <c r="L208" i="92"/>
  <c r="L208" i="91"/>
  <c r="L208" i="93"/>
  <c r="L208" i="82"/>
  <c r="L208" i="87"/>
  <c r="L208" i="84"/>
  <c r="L208" i="83"/>
  <c r="AQ38" i="106"/>
  <c r="AQ39" i="106" s="1"/>
  <c r="AQ40" i="106" s="1"/>
  <c r="AQ41" i="106" s="1"/>
  <c r="AQ42" i="106" s="1"/>
  <c r="AQ43" i="106" s="1"/>
  <c r="L207" i="94"/>
  <c r="L206" i="94"/>
  <c r="L210" i="91"/>
  <c r="L211" i="89"/>
  <c r="L211" i="88"/>
  <c r="L210" i="89"/>
  <c r="L210" i="88"/>
  <c r="L211" i="84"/>
  <c r="L211" i="87"/>
  <c r="L211" i="85"/>
  <c r="L210" i="87"/>
  <c r="L210" i="85"/>
  <c r="L211" i="83"/>
  <c r="L210" i="84"/>
  <c r="L210" i="83"/>
  <c r="L210" i="74"/>
  <c r="L211" i="82"/>
  <c r="L211" i="93"/>
  <c r="L211" i="92"/>
  <c r="L210" i="82"/>
  <c r="L211" i="81"/>
  <c r="L211" i="91"/>
  <c r="L210" i="93"/>
  <c r="L211" i="74"/>
  <c r="L210" i="92"/>
  <c r="L210" i="81"/>
  <c r="AS128" i="106"/>
  <c r="AS156" i="106"/>
  <c r="AS240" i="106"/>
  <c r="AS95" i="106"/>
  <c r="AS241" i="106"/>
  <c r="AS40" i="106"/>
  <c r="AS129" i="106"/>
  <c r="AS39" i="106"/>
  <c r="AS130" i="106"/>
  <c r="AS242" i="106"/>
  <c r="AS96" i="106"/>
  <c r="AS16" i="106"/>
  <c r="AS44" i="106"/>
  <c r="AS100" i="106"/>
  <c r="AS137" i="106"/>
  <c r="AS249" i="106"/>
  <c r="AS110" i="106"/>
  <c r="AS49" i="106"/>
  <c r="AS111" i="106"/>
  <c r="AS112" i="106"/>
  <c r="L212" i="94" s="1"/>
  <c r="AS24" i="106"/>
  <c r="AS142" i="106"/>
  <c r="AS254" i="106"/>
  <c r="AS113" i="106"/>
  <c r="AS114" i="106"/>
  <c r="L213" i="94" s="1"/>
  <c r="AS25" i="106"/>
  <c r="AS143" i="106"/>
  <c r="AS26" i="106"/>
  <c r="AS116" i="106"/>
  <c r="AS144" i="106"/>
  <c r="AS256" i="106"/>
  <c r="AS140" i="106"/>
  <c r="AS229" i="106"/>
  <c r="AS85" i="106"/>
  <c r="L203" i="94" s="1"/>
  <c r="L202" i="94" s="1"/>
  <c r="AS109" i="106"/>
  <c r="AS120" i="106"/>
  <c r="L209" i="94" s="1"/>
  <c r="AS148" i="106"/>
  <c r="AS232" i="106"/>
  <c r="AS260" i="106"/>
  <c r="AS121" i="106"/>
  <c r="AS31" i="106"/>
  <c r="AS87" i="106"/>
  <c r="AS122" i="106"/>
  <c r="AS234" i="106"/>
  <c r="D210" i="93"/>
  <c r="D289" i="93" s="1"/>
  <c r="D202" i="93"/>
  <c r="AQ50" i="106"/>
  <c r="AQ51" i="106" s="1"/>
  <c r="AQ52" i="106" s="1"/>
  <c r="AQ53" i="106" s="1"/>
  <c r="AQ54" i="106" s="1"/>
  <c r="AQ55" i="106" s="1"/>
  <c r="AQ56" i="106" s="1"/>
  <c r="AQ57" i="106" s="1"/>
  <c r="AQ58" i="106" s="1"/>
  <c r="AQ59" i="106" s="1"/>
  <c r="AQ60" i="106" s="1"/>
  <c r="AQ61" i="106" s="1"/>
  <c r="AQ62" i="106" s="1"/>
  <c r="AQ63" i="106" s="1"/>
  <c r="AQ64" i="106" s="1"/>
  <c r="AQ65" i="106" s="1"/>
  <c r="AQ66" i="106" s="1"/>
  <c r="AQ67" i="106" s="1"/>
  <c r="AQ68" i="106" s="1"/>
  <c r="AQ69" i="106" s="1"/>
  <c r="AQ70" i="106" s="1"/>
  <c r="AQ71" i="106" s="1"/>
  <c r="AQ72" i="106" s="1"/>
  <c r="AQ73" i="106" s="1"/>
  <c r="AQ74" i="106" s="1"/>
  <c r="AQ75" i="106" s="1"/>
  <c r="AQ76" i="106" s="1"/>
  <c r="AQ77" i="106" s="1"/>
  <c r="AQ78" i="106" s="1"/>
  <c r="AQ79" i="106" s="1"/>
  <c r="AQ80" i="106" s="1"/>
  <c r="AQ81" i="106" s="1"/>
  <c r="AQ82" i="106" s="1"/>
  <c r="AQ83" i="106" s="1"/>
  <c r="AQ84" i="106" s="1"/>
  <c r="AQ86" i="106" s="1"/>
  <c r="AQ87" i="106" s="1"/>
  <c r="AQ88" i="106" s="1"/>
  <c r="AQ89" i="106" s="1"/>
  <c r="AQ90" i="106" s="1"/>
  <c r="AQ91" i="106" s="1"/>
  <c r="AQ92" i="106" s="1"/>
  <c r="AQ93" i="106" s="1"/>
  <c r="AQ94" i="106" s="1"/>
  <c r="AQ95" i="106" s="1"/>
  <c r="AQ96" i="106" s="1"/>
  <c r="AQ97" i="106" s="1"/>
  <c r="AQ98" i="106" s="1"/>
  <c r="AQ99" i="106" s="1"/>
  <c r="AQ100" i="106" s="1"/>
  <c r="AQ101" i="106" s="1"/>
  <c r="AQ102" i="106" s="1"/>
  <c r="AQ103" i="106" s="1"/>
  <c r="AQ104" i="106" s="1"/>
  <c r="AQ105" i="106" s="1"/>
  <c r="AQ106" i="106" s="1"/>
  <c r="AQ107" i="106" s="1"/>
  <c r="AQ108" i="106" s="1"/>
  <c r="AQ109" i="106" s="1"/>
  <c r="L208" i="74" l="1"/>
  <c r="L208" i="85"/>
  <c r="L205" i="84"/>
  <c r="L205" i="83"/>
  <c r="L205" i="85"/>
  <c r="L205" i="82"/>
  <c r="L205" i="93"/>
  <c r="L205" i="81"/>
  <c r="L205" i="92"/>
  <c r="L205" i="74"/>
  <c r="L205" i="91"/>
  <c r="L205" i="89"/>
  <c r="L205" i="88"/>
  <c r="L205" i="87"/>
  <c r="L204" i="85"/>
  <c r="L204" i="84"/>
  <c r="L204" i="83"/>
  <c r="L204" i="82"/>
  <c r="L204" i="93"/>
  <c r="L204" i="81"/>
  <c r="L204" i="92"/>
  <c r="L204" i="74"/>
  <c r="L204" i="91"/>
  <c r="L204" i="87"/>
  <c r="L204" i="89"/>
  <c r="L204" i="88"/>
  <c r="AQ44" i="106"/>
  <c r="AQ45" i="106" s="1"/>
  <c r="AQ46" i="106" s="1"/>
  <c r="AQ47" i="106" s="1"/>
  <c r="AQ48" i="106" s="1"/>
  <c r="L203" i="85"/>
  <c r="L202" i="85" s="1"/>
  <c r="L203" i="84"/>
  <c r="L202" i="84" s="1"/>
  <c r="L203" i="83"/>
  <c r="L202" i="83" s="1"/>
  <c r="L203" i="88"/>
  <c r="L202" i="88" s="1"/>
  <c r="L203" i="82"/>
  <c r="L202" i="82" s="1"/>
  <c r="L203" i="93"/>
  <c r="L202" i="93" s="1"/>
  <c r="L203" i="81"/>
  <c r="L202" i="81" s="1"/>
  <c r="L203" i="92"/>
  <c r="L202" i="92" s="1"/>
  <c r="L203" i="87"/>
  <c r="L202" i="87" s="1"/>
  <c r="L203" i="74"/>
  <c r="L202" i="74" s="1"/>
  <c r="L203" i="91"/>
  <c r="L202" i="91" s="1"/>
  <c r="L203" i="89"/>
  <c r="L202" i="89" s="1"/>
  <c r="L212" i="88"/>
  <c r="L212" i="87"/>
  <c r="L212" i="85"/>
  <c r="L212" i="84"/>
  <c r="L212" i="83"/>
  <c r="L212" i="82"/>
  <c r="L212" i="89"/>
  <c r="L212" i="93"/>
  <c r="L212" i="92"/>
  <c r="L212" i="81"/>
  <c r="L212" i="74"/>
  <c r="L212" i="91"/>
  <c r="AQ110" i="106"/>
  <c r="AQ111" i="106" s="1"/>
  <c r="AQ112" i="106" s="1"/>
  <c r="AQ113" i="106" s="1"/>
  <c r="AQ114" i="106" s="1"/>
  <c r="AQ115" i="106" s="1"/>
  <c r="L210" i="94"/>
  <c r="L211" i="94"/>
  <c r="J64" i="93"/>
  <c r="J65" i="93"/>
  <c r="J66" i="93"/>
  <c r="J67" i="93"/>
  <c r="J68" i="93"/>
  <c r="J69" i="93"/>
  <c r="J70" i="93"/>
  <c r="J71" i="93"/>
  <c r="J72" i="93"/>
  <c r="J73" i="93"/>
  <c r="J74" i="93"/>
  <c r="J75" i="93"/>
  <c r="J76" i="93"/>
  <c r="J77" i="93"/>
  <c r="J78" i="93"/>
  <c r="J79" i="93"/>
  <c r="J80" i="93"/>
  <c r="J81" i="93"/>
  <c r="J82" i="93"/>
  <c r="J83" i="93"/>
  <c r="J84" i="93"/>
  <c r="J85" i="93"/>
  <c r="J86" i="93"/>
  <c r="J87" i="93"/>
  <c r="J88" i="93"/>
  <c r="J89" i="93"/>
  <c r="J90" i="93"/>
  <c r="J91" i="93"/>
  <c r="J92" i="93"/>
  <c r="J93" i="93"/>
  <c r="J94" i="93"/>
  <c r="J95" i="93"/>
  <c r="J96" i="93"/>
  <c r="J97" i="93"/>
  <c r="J98" i="93"/>
  <c r="J99" i="93"/>
  <c r="J100" i="93"/>
  <c r="J101" i="93"/>
  <c r="J102" i="93"/>
  <c r="J103" i="93"/>
  <c r="J104" i="93"/>
  <c r="J105" i="93"/>
  <c r="J106" i="93"/>
  <c r="J107" i="93"/>
  <c r="J108" i="93"/>
  <c r="J109" i="93"/>
  <c r="J110" i="93"/>
  <c r="J111" i="93"/>
  <c r="J112" i="93"/>
  <c r="J113" i="93"/>
  <c r="J114" i="93"/>
  <c r="J115" i="93"/>
  <c r="J116" i="93"/>
  <c r="J117" i="93"/>
  <c r="J118" i="93"/>
  <c r="J119" i="93"/>
  <c r="J120" i="93"/>
  <c r="J121" i="93"/>
  <c r="J122" i="93"/>
  <c r="J123" i="93"/>
  <c r="J124" i="93"/>
  <c r="J125" i="93"/>
  <c r="J126" i="93"/>
  <c r="J127" i="93"/>
  <c r="J128" i="93"/>
  <c r="J129" i="93"/>
  <c r="J130" i="93"/>
  <c r="J131" i="93"/>
  <c r="J132" i="93"/>
  <c r="J133" i="93"/>
  <c r="J134" i="93"/>
  <c r="J135" i="93"/>
  <c r="J136" i="93"/>
  <c r="J137" i="93"/>
  <c r="J138" i="93"/>
  <c r="K138" i="93" s="1"/>
  <c r="J139" i="93"/>
  <c r="J140" i="93"/>
  <c r="J141" i="93"/>
  <c r="K141" i="93" s="1"/>
  <c r="J142" i="93"/>
  <c r="J143" i="93"/>
  <c r="J144" i="93"/>
  <c r="K144" i="93" s="1"/>
  <c r="J145" i="93"/>
  <c r="J146" i="93"/>
  <c r="J147" i="93"/>
  <c r="K147" i="93" s="1"/>
  <c r="J148" i="93"/>
  <c r="J149" i="93"/>
  <c r="J150" i="93"/>
  <c r="K150" i="93" s="1"/>
  <c r="J151" i="93"/>
  <c r="J152" i="93"/>
  <c r="J153" i="93"/>
  <c r="K153" i="93" s="1"/>
  <c r="J154" i="93"/>
  <c r="J155" i="93"/>
  <c r="J156" i="93"/>
  <c r="K156" i="93" s="1"/>
  <c r="J157" i="93"/>
  <c r="J158" i="93"/>
  <c r="J159" i="93"/>
  <c r="K159" i="93" s="1"/>
  <c r="J160" i="93"/>
  <c r="J161" i="93"/>
  <c r="J162" i="93"/>
  <c r="K162" i="93" s="1"/>
  <c r="J163" i="93"/>
  <c r="J164" i="93"/>
  <c r="J165" i="93"/>
  <c r="K165" i="93" s="1"/>
  <c r="J166" i="93"/>
  <c r="J167" i="93"/>
  <c r="J168" i="93"/>
  <c r="J169" i="93"/>
  <c r="J170" i="93"/>
  <c r="J171" i="93"/>
  <c r="J172" i="93"/>
  <c r="J173" i="93"/>
  <c r="J174" i="93"/>
  <c r="J175" i="93"/>
  <c r="J176" i="93"/>
  <c r="J177" i="93"/>
  <c r="J178" i="93"/>
  <c r="J179" i="93"/>
  <c r="J180" i="93"/>
  <c r="J181" i="93"/>
  <c r="J182" i="93"/>
  <c r="J183" i="93"/>
  <c r="J184" i="93"/>
  <c r="J185" i="93"/>
  <c r="J186" i="93"/>
  <c r="J64" i="92"/>
  <c r="J65" i="92"/>
  <c r="J66" i="92"/>
  <c r="J67" i="92"/>
  <c r="J68" i="92"/>
  <c r="J69" i="92"/>
  <c r="J70" i="92"/>
  <c r="J71" i="92"/>
  <c r="J72" i="92"/>
  <c r="J73" i="92"/>
  <c r="J74" i="92"/>
  <c r="J75" i="92"/>
  <c r="J76" i="92"/>
  <c r="J77" i="92"/>
  <c r="J78" i="92"/>
  <c r="J79" i="92"/>
  <c r="J80" i="92"/>
  <c r="J81" i="92"/>
  <c r="J82" i="92"/>
  <c r="J83" i="92"/>
  <c r="J84" i="92"/>
  <c r="J85" i="92"/>
  <c r="J86" i="92"/>
  <c r="J87" i="92"/>
  <c r="J88" i="92"/>
  <c r="J89" i="92"/>
  <c r="J90" i="92"/>
  <c r="J91" i="92"/>
  <c r="J92" i="92"/>
  <c r="J93" i="92"/>
  <c r="J94" i="92"/>
  <c r="J95" i="92"/>
  <c r="J96" i="92"/>
  <c r="J97" i="92"/>
  <c r="J98" i="92"/>
  <c r="J99" i="92"/>
  <c r="J100" i="92"/>
  <c r="J101" i="92"/>
  <c r="J102" i="92"/>
  <c r="J103" i="92"/>
  <c r="J104" i="92"/>
  <c r="J105" i="92"/>
  <c r="J106" i="92"/>
  <c r="J107" i="92"/>
  <c r="J108" i="92"/>
  <c r="J109" i="92"/>
  <c r="J110" i="92"/>
  <c r="J111" i="92"/>
  <c r="J112" i="92"/>
  <c r="J113" i="92"/>
  <c r="J114" i="92"/>
  <c r="J115" i="92"/>
  <c r="J116" i="92"/>
  <c r="J117" i="92"/>
  <c r="J118" i="92"/>
  <c r="J119" i="92"/>
  <c r="J120" i="92"/>
  <c r="J121" i="92"/>
  <c r="J122" i="92"/>
  <c r="J123" i="92"/>
  <c r="J124" i="92"/>
  <c r="J125" i="92"/>
  <c r="J126" i="92"/>
  <c r="J127" i="92"/>
  <c r="J128" i="92"/>
  <c r="J129" i="92"/>
  <c r="J130" i="92"/>
  <c r="J131" i="92"/>
  <c r="J132" i="92"/>
  <c r="J133" i="92"/>
  <c r="J134" i="92"/>
  <c r="J135" i="92"/>
  <c r="J136" i="92"/>
  <c r="J137" i="92"/>
  <c r="J138" i="92"/>
  <c r="K138" i="92" s="1"/>
  <c r="J139" i="92"/>
  <c r="J140" i="92"/>
  <c r="J141" i="92"/>
  <c r="K141" i="92" s="1"/>
  <c r="J142" i="92"/>
  <c r="J143" i="92"/>
  <c r="J144" i="92"/>
  <c r="K144" i="92" s="1"/>
  <c r="J145" i="92"/>
  <c r="J146" i="92"/>
  <c r="J147" i="92"/>
  <c r="K147" i="92" s="1"/>
  <c r="J148" i="92"/>
  <c r="J149" i="92"/>
  <c r="J150" i="92"/>
  <c r="K150" i="92" s="1"/>
  <c r="J151" i="92"/>
  <c r="J152" i="92"/>
  <c r="J153" i="92"/>
  <c r="K153" i="92" s="1"/>
  <c r="J154" i="92"/>
  <c r="J155" i="92"/>
  <c r="J156" i="92"/>
  <c r="K156" i="92" s="1"/>
  <c r="J157" i="92"/>
  <c r="J158" i="92"/>
  <c r="J159" i="92"/>
  <c r="K159" i="92" s="1"/>
  <c r="J160" i="92"/>
  <c r="J161" i="92"/>
  <c r="J162" i="92"/>
  <c r="K162" i="92" s="1"/>
  <c r="J163" i="92"/>
  <c r="J164" i="92"/>
  <c r="J165" i="92"/>
  <c r="K165" i="92" s="1"/>
  <c r="J166" i="92"/>
  <c r="J167" i="92"/>
  <c r="J168" i="92"/>
  <c r="J169" i="92"/>
  <c r="J170" i="92"/>
  <c r="J171" i="92"/>
  <c r="J172" i="92"/>
  <c r="J173" i="92"/>
  <c r="J174" i="92"/>
  <c r="J175" i="92"/>
  <c r="J176" i="92"/>
  <c r="J177" i="92"/>
  <c r="J178" i="92"/>
  <c r="J179" i="92"/>
  <c r="J180" i="92"/>
  <c r="J181" i="92"/>
  <c r="J182" i="92"/>
  <c r="J183" i="92"/>
  <c r="J184" i="92"/>
  <c r="J185" i="92"/>
  <c r="J186" i="92"/>
  <c r="J64" i="91"/>
  <c r="J65" i="91"/>
  <c r="J66" i="91"/>
  <c r="J67" i="91"/>
  <c r="J68" i="91"/>
  <c r="J69" i="91"/>
  <c r="J70" i="91"/>
  <c r="J71" i="91"/>
  <c r="J72" i="91"/>
  <c r="J73" i="91"/>
  <c r="J74" i="91"/>
  <c r="J75" i="91"/>
  <c r="J76" i="91"/>
  <c r="J77" i="91"/>
  <c r="J78" i="91"/>
  <c r="J79" i="91"/>
  <c r="J80" i="91"/>
  <c r="J81" i="91"/>
  <c r="J82" i="91"/>
  <c r="J83" i="91"/>
  <c r="J84" i="91"/>
  <c r="J85" i="91"/>
  <c r="J86" i="91"/>
  <c r="J87" i="91"/>
  <c r="J88" i="91"/>
  <c r="J89" i="91"/>
  <c r="J90" i="91"/>
  <c r="J91" i="91"/>
  <c r="J92" i="91"/>
  <c r="J93" i="91"/>
  <c r="J94" i="91"/>
  <c r="J95" i="91"/>
  <c r="J96" i="91"/>
  <c r="J97" i="91"/>
  <c r="J98" i="91"/>
  <c r="J99" i="91"/>
  <c r="J100" i="91"/>
  <c r="J101" i="91"/>
  <c r="J102" i="91"/>
  <c r="J103" i="91"/>
  <c r="J104" i="91"/>
  <c r="J105" i="91"/>
  <c r="J106" i="91"/>
  <c r="J107" i="91"/>
  <c r="J108" i="91"/>
  <c r="J109" i="91"/>
  <c r="J110" i="91"/>
  <c r="J111" i="91"/>
  <c r="J112" i="91"/>
  <c r="J113" i="91"/>
  <c r="J114" i="91"/>
  <c r="J115" i="91"/>
  <c r="J116" i="91"/>
  <c r="J117" i="91"/>
  <c r="J118" i="91"/>
  <c r="J119" i="91"/>
  <c r="J120" i="91"/>
  <c r="J121" i="91"/>
  <c r="J122" i="91"/>
  <c r="J123" i="91"/>
  <c r="J124" i="91"/>
  <c r="J125" i="91"/>
  <c r="J126" i="91"/>
  <c r="J127" i="91"/>
  <c r="J128" i="91"/>
  <c r="J129" i="91"/>
  <c r="J130" i="91"/>
  <c r="J131" i="91"/>
  <c r="J132" i="91"/>
  <c r="J133" i="91"/>
  <c r="J134" i="91"/>
  <c r="J135" i="91"/>
  <c r="J136" i="91"/>
  <c r="J137" i="91"/>
  <c r="J138" i="91"/>
  <c r="K138" i="91" s="1"/>
  <c r="J139" i="91"/>
  <c r="J140" i="91"/>
  <c r="J141" i="91"/>
  <c r="K141" i="91" s="1"/>
  <c r="J142" i="91"/>
  <c r="J143" i="91"/>
  <c r="J144" i="91"/>
  <c r="K144" i="91" s="1"/>
  <c r="J145" i="91"/>
  <c r="J146" i="91"/>
  <c r="J147" i="91"/>
  <c r="K147" i="91" s="1"/>
  <c r="J148" i="91"/>
  <c r="J149" i="91"/>
  <c r="J150" i="91"/>
  <c r="K150" i="91" s="1"/>
  <c r="J151" i="91"/>
  <c r="J152" i="91"/>
  <c r="J153" i="91"/>
  <c r="K153" i="91" s="1"/>
  <c r="J154" i="91"/>
  <c r="J155" i="91"/>
  <c r="J156" i="91"/>
  <c r="K156" i="91" s="1"/>
  <c r="J157" i="91"/>
  <c r="J158" i="91"/>
  <c r="J159" i="91"/>
  <c r="K159" i="91" s="1"/>
  <c r="J160" i="91"/>
  <c r="J161" i="91"/>
  <c r="J162" i="91"/>
  <c r="K162" i="91" s="1"/>
  <c r="J163" i="91"/>
  <c r="J164" i="91"/>
  <c r="J165" i="91"/>
  <c r="K165" i="91" s="1"/>
  <c r="J166" i="91"/>
  <c r="J167" i="91"/>
  <c r="J168" i="91"/>
  <c r="J169" i="91"/>
  <c r="J170" i="91"/>
  <c r="J171" i="91"/>
  <c r="J172" i="91"/>
  <c r="J173" i="91"/>
  <c r="J174" i="91"/>
  <c r="J175" i="91"/>
  <c r="J176" i="91"/>
  <c r="J177" i="91"/>
  <c r="J178" i="91"/>
  <c r="J179" i="91"/>
  <c r="J180" i="91"/>
  <c r="J181" i="91"/>
  <c r="J182" i="91"/>
  <c r="J183" i="91"/>
  <c r="J184" i="91"/>
  <c r="J185" i="91"/>
  <c r="J186" i="91"/>
  <c r="J64" i="89"/>
  <c r="J65" i="89"/>
  <c r="J66" i="89"/>
  <c r="J67" i="89"/>
  <c r="J68" i="89"/>
  <c r="J69" i="89"/>
  <c r="J70" i="89"/>
  <c r="J71" i="89"/>
  <c r="J72" i="89"/>
  <c r="J73" i="89"/>
  <c r="J74" i="89"/>
  <c r="J75" i="89"/>
  <c r="J76" i="89"/>
  <c r="J77" i="89"/>
  <c r="J78" i="89"/>
  <c r="J79" i="89"/>
  <c r="J80" i="89"/>
  <c r="J81" i="89"/>
  <c r="J82" i="89"/>
  <c r="J83" i="89"/>
  <c r="J84" i="89"/>
  <c r="J85" i="89"/>
  <c r="J86" i="89"/>
  <c r="J87" i="89"/>
  <c r="J88" i="89"/>
  <c r="J89" i="89"/>
  <c r="J90" i="89"/>
  <c r="J91" i="89"/>
  <c r="J92" i="89"/>
  <c r="J93" i="89"/>
  <c r="J94" i="89"/>
  <c r="J95" i="89"/>
  <c r="J96" i="89"/>
  <c r="J97" i="89"/>
  <c r="J98" i="89"/>
  <c r="J99" i="89"/>
  <c r="J100" i="89"/>
  <c r="J101" i="89"/>
  <c r="J102" i="89"/>
  <c r="J103" i="89"/>
  <c r="J104" i="89"/>
  <c r="J105" i="89"/>
  <c r="J106" i="89"/>
  <c r="J107" i="89"/>
  <c r="J108" i="89"/>
  <c r="J109" i="89"/>
  <c r="J110" i="89"/>
  <c r="J111" i="89"/>
  <c r="J112" i="89"/>
  <c r="J113" i="89"/>
  <c r="J114" i="89"/>
  <c r="J115" i="89"/>
  <c r="J116" i="89"/>
  <c r="J117" i="89"/>
  <c r="J118" i="89"/>
  <c r="J119" i="89"/>
  <c r="J120" i="89"/>
  <c r="J121" i="89"/>
  <c r="J122" i="89"/>
  <c r="J123" i="89"/>
  <c r="J124" i="89"/>
  <c r="J125" i="89"/>
  <c r="J126" i="89"/>
  <c r="J127" i="89"/>
  <c r="J128" i="89"/>
  <c r="J129" i="89"/>
  <c r="J130" i="89"/>
  <c r="J131" i="89"/>
  <c r="J132" i="89"/>
  <c r="J133" i="89"/>
  <c r="J134" i="89"/>
  <c r="J135" i="89"/>
  <c r="J136" i="89"/>
  <c r="J137" i="89"/>
  <c r="J138" i="89"/>
  <c r="K138" i="89" s="1"/>
  <c r="J139" i="89"/>
  <c r="J140" i="89"/>
  <c r="J141" i="89"/>
  <c r="K141" i="89" s="1"/>
  <c r="J142" i="89"/>
  <c r="J143" i="89"/>
  <c r="J144" i="89"/>
  <c r="K144" i="89" s="1"/>
  <c r="J145" i="89"/>
  <c r="J146" i="89"/>
  <c r="J147" i="89"/>
  <c r="K147" i="89" s="1"/>
  <c r="J148" i="89"/>
  <c r="J149" i="89"/>
  <c r="J150" i="89"/>
  <c r="K150" i="89" s="1"/>
  <c r="J151" i="89"/>
  <c r="J152" i="89"/>
  <c r="J153" i="89"/>
  <c r="K153" i="89" s="1"/>
  <c r="J154" i="89"/>
  <c r="J155" i="89"/>
  <c r="J156" i="89"/>
  <c r="K156" i="89" s="1"/>
  <c r="J157" i="89"/>
  <c r="J158" i="89"/>
  <c r="J159" i="89"/>
  <c r="K159" i="89" s="1"/>
  <c r="J160" i="89"/>
  <c r="J161" i="89"/>
  <c r="J162" i="89"/>
  <c r="K162" i="89" s="1"/>
  <c r="J163" i="89"/>
  <c r="J164" i="89"/>
  <c r="J165" i="89"/>
  <c r="K165" i="89" s="1"/>
  <c r="J166" i="89"/>
  <c r="J167" i="89"/>
  <c r="J168" i="89"/>
  <c r="J169" i="89"/>
  <c r="J170" i="89"/>
  <c r="J171" i="89"/>
  <c r="J172" i="89"/>
  <c r="J173" i="89"/>
  <c r="J174" i="89"/>
  <c r="J175" i="89"/>
  <c r="J176" i="89"/>
  <c r="J177" i="89"/>
  <c r="J178" i="89"/>
  <c r="J179" i="89"/>
  <c r="J180" i="89"/>
  <c r="J181" i="89"/>
  <c r="J182" i="89"/>
  <c r="J183" i="89"/>
  <c r="J184" i="89"/>
  <c r="J185" i="89"/>
  <c r="J186" i="89"/>
  <c r="J64" i="88"/>
  <c r="J65" i="88"/>
  <c r="J66" i="88"/>
  <c r="J67" i="88"/>
  <c r="J68" i="88"/>
  <c r="J69" i="88"/>
  <c r="J70" i="88"/>
  <c r="J71" i="88"/>
  <c r="J72" i="88"/>
  <c r="J73" i="88"/>
  <c r="J74" i="88"/>
  <c r="J75" i="88"/>
  <c r="J76" i="88"/>
  <c r="J77" i="88"/>
  <c r="J78" i="88"/>
  <c r="J79" i="88"/>
  <c r="J80" i="88"/>
  <c r="J81" i="88"/>
  <c r="J82" i="88"/>
  <c r="J83" i="88"/>
  <c r="J84" i="88"/>
  <c r="J85" i="88"/>
  <c r="J86" i="88"/>
  <c r="J87" i="88"/>
  <c r="J88" i="88"/>
  <c r="J89" i="88"/>
  <c r="J90" i="88"/>
  <c r="J91" i="88"/>
  <c r="J92" i="88"/>
  <c r="J93" i="88"/>
  <c r="J94" i="88"/>
  <c r="J95" i="88"/>
  <c r="J96" i="88"/>
  <c r="J97" i="88"/>
  <c r="J98" i="88"/>
  <c r="J99" i="88"/>
  <c r="J100" i="88"/>
  <c r="J101" i="88"/>
  <c r="J102" i="88"/>
  <c r="J103" i="88"/>
  <c r="J104" i="88"/>
  <c r="J105" i="88"/>
  <c r="J106" i="88"/>
  <c r="J107" i="88"/>
  <c r="J108" i="88"/>
  <c r="J109" i="88"/>
  <c r="J110" i="88"/>
  <c r="J111" i="88"/>
  <c r="J112" i="88"/>
  <c r="J113" i="88"/>
  <c r="J114" i="88"/>
  <c r="J115" i="88"/>
  <c r="J116" i="88"/>
  <c r="J117" i="88"/>
  <c r="J118" i="88"/>
  <c r="J119" i="88"/>
  <c r="J120" i="88"/>
  <c r="J121" i="88"/>
  <c r="J122" i="88"/>
  <c r="J123" i="88"/>
  <c r="J124" i="88"/>
  <c r="J125" i="88"/>
  <c r="J126" i="88"/>
  <c r="J127" i="88"/>
  <c r="J128" i="88"/>
  <c r="J129" i="88"/>
  <c r="J130" i="88"/>
  <c r="J131" i="88"/>
  <c r="J132" i="88"/>
  <c r="J133" i="88"/>
  <c r="J134" i="88"/>
  <c r="J135" i="88"/>
  <c r="J136" i="88"/>
  <c r="J137" i="88"/>
  <c r="J138" i="88"/>
  <c r="K138" i="88" s="1"/>
  <c r="J139" i="88"/>
  <c r="J140" i="88"/>
  <c r="J141" i="88"/>
  <c r="K141" i="88" s="1"/>
  <c r="J142" i="88"/>
  <c r="J143" i="88"/>
  <c r="J144" i="88"/>
  <c r="K144" i="88" s="1"/>
  <c r="J145" i="88"/>
  <c r="J146" i="88"/>
  <c r="J147" i="88"/>
  <c r="K147" i="88" s="1"/>
  <c r="J148" i="88"/>
  <c r="J149" i="88"/>
  <c r="J150" i="88"/>
  <c r="K150" i="88" s="1"/>
  <c r="J151" i="88"/>
  <c r="J152" i="88"/>
  <c r="J153" i="88"/>
  <c r="K153" i="88" s="1"/>
  <c r="J154" i="88"/>
  <c r="J155" i="88"/>
  <c r="J156" i="88"/>
  <c r="K156" i="88" s="1"/>
  <c r="J157" i="88"/>
  <c r="J158" i="88"/>
  <c r="J159" i="88"/>
  <c r="K159" i="88" s="1"/>
  <c r="J160" i="88"/>
  <c r="J161" i="88"/>
  <c r="J162" i="88"/>
  <c r="K162" i="88" s="1"/>
  <c r="J163" i="88"/>
  <c r="J164" i="88"/>
  <c r="J165" i="88"/>
  <c r="K165" i="88" s="1"/>
  <c r="J166" i="88"/>
  <c r="J167" i="88"/>
  <c r="J168" i="88"/>
  <c r="J169" i="88"/>
  <c r="J170" i="88"/>
  <c r="J171" i="88"/>
  <c r="J172" i="88"/>
  <c r="J173" i="88"/>
  <c r="J174" i="88"/>
  <c r="J175" i="88"/>
  <c r="J176" i="88"/>
  <c r="J177" i="88"/>
  <c r="J178" i="88"/>
  <c r="J179" i="88"/>
  <c r="J180" i="88"/>
  <c r="J181" i="88"/>
  <c r="J182" i="88"/>
  <c r="J183" i="88"/>
  <c r="J184" i="88"/>
  <c r="J185" i="88"/>
  <c r="J186" i="88"/>
  <c r="J64" i="87"/>
  <c r="J65" i="87"/>
  <c r="J66" i="87"/>
  <c r="J67" i="87"/>
  <c r="J68" i="87"/>
  <c r="J69" i="87"/>
  <c r="J70" i="87"/>
  <c r="J71" i="87"/>
  <c r="J72" i="87"/>
  <c r="J73" i="87"/>
  <c r="J74" i="87"/>
  <c r="J75" i="87"/>
  <c r="J76" i="87"/>
  <c r="J77" i="87"/>
  <c r="J78" i="87"/>
  <c r="J79" i="87"/>
  <c r="J80" i="87"/>
  <c r="J81" i="87"/>
  <c r="J82" i="87"/>
  <c r="J83" i="87"/>
  <c r="J84" i="87"/>
  <c r="J85" i="87"/>
  <c r="J86" i="87"/>
  <c r="J87" i="87"/>
  <c r="J88" i="87"/>
  <c r="J89" i="87"/>
  <c r="J90" i="87"/>
  <c r="J91" i="87"/>
  <c r="J92" i="87"/>
  <c r="J93" i="87"/>
  <c r="J94" i="87"/>
  <c r="J95" i="87"/>
  <c r="J96" i="87"/>
  <c r="J97" i="87"/>
  <c r="J98" i="87"/>
  <c r="J99" i="87"/>
  <c r="J100" i="87"/>
  <c r="J101" i="87"/>
  <c r="J102" i="87"/>
  <c r="J103" i="87"/>
  <c r="J104" i="87"/>
  <c r="J105" i="87"/>
  <c r="J106" i="87"/>
  <c r="J107" i="87"/>
  <c r="J108" i="87"/>
  <c r="J109" i="87"/>
  <c r="J110" i="87"/>
  <c r="J111" i="87"/>
  <c r="J112" i="87"/>
  <c r="J113" i="87"/>
  <c r="J114" i="87"/>
  <c r="J115" i="87"/>
  <c r="J116" i="87"/>
  <c r="J117" i="87"/>
  <c r="J118" i="87"/>
  <c r="J119" i="87"/>
  <c r="J120" i="87"/>
  <c r="J121" i="87"/>
  <c r="J122" i="87"/>
  <c r="J123" i="87"/>
  <c r="J124" i="87"/>
  <c r="J125" i="87"/>
  <c r="J126" i="87"/>
  <c r="J127" i="87"/>
  <c r="J128" i="87"/>
  <c r="J129" i="87"/>
  <c r="J130" i="87"/>
  <c r="J131" i="87"/>
  <c r="J132" i="87"/>
  <c r="J133" i="87"/>
  <c r="J134" i="87"/>
  <c r="J135" i="87"/>
  <c r="J136" i="87"/>
  <c r="J137" i="87"/>
  <c r="J138" i="87"/>
  <c r="K138" i="87" s="1"/>
  <c r="J139" i="87"/>
  <c r="J140" i="87"/>
  <c r="J141" i="87"/>
  <c r="K141" i="87" s="1"/>
  <c r="J142" i="87"/>
  <c r="J143" i="87"/>
  <c r="J144" i="87"/>
  <c r="K144" i="87" s="1"/>
  <c r="J145" i="87"/>
  <c r="J146" i="87"/>
  <c r="J147" i="87"/>
  <c r="K147" i="87" s="1"/>
  <c r="J148" i="87"/>
  <c r="J149" i="87"/>
  <c r="J150" i="87"/>
  <c r="K150" i="87" s="1"/>
  <c r="J151" i="87"/>
  <c r="J152" i="87"/>
  <c r="J153" i="87"/>
  <c r="K153" i="87" s="1"/>
  <c r="J154" i="87"/>
  <c r="J155" i="87"/>
  <c r="J156" i="87"/>
  <c r="K156" i="87" s="1"/>
  <c r="J157" i="87"/>
  <c r="J158" i="87"/>
  <c r="J159" i="87"/>
  <c r="K159" i="87" s="1"/>
  <c r="J160" i="87"/>
  <c r="J161" i="87"/>
  <c r="J162" i="87"/>
  <c r="K162" i="87" s="1"/>
  <c r="J163" i="87"/>
  <c r="J164" i="87"/>
  <c r="J165" i="87"/>
  <c r="K165" i="87" s="1"/>
  <c r="J166" i="87"/>
  <c r="J167" i="87"/>
  <c r="J168" i="87"/>
  <c r="J169" i="87"/>
  <c r="J170" i="87"/>
  <c r="J171" i="87"/>
  <c r="J172" i="87"/>
  <c r="J173" i="87"/>
  <c r="J174" i="87"/>
  <c r="J175" i="87"/>
  <c r="J176" i="87"/>
  <c r="J177" i="87"/>
  <c r="J178" i="87"/>
  <c r="J179" i="87"/>
  <c r="J180" i="87"/>
  <c r="J181" i="87"/>
  <c r="J182" i="87"/>
  <c r="J183" i="87"/>
  <c r="J184" i="87"/>
  <c r="J185" i="87"/>
  <c r="J186" i="87"/>
  <c r="J64" i="85"/>
  <c r="J65" i="85"/>
  <c r="J66" i="85"/>
  <c r="J67" i="85"/>
  <c r="J68" i="85"/>
  <c r="J69" i="85"/>
  <c r="J70" i="85"/>
  <c r="J71" i="85"/>
  <c r="J72" i="85"/>
  <c r="J73" i="85"/>
  <c r="J74" i="85"/>
  <c r="J75" i="85"/>
  <c r="J76" i="85"/>
  <c r="J77" i="85"/>
  <c r="J78" i="85"/>
  <c r="J79" i="85"/>
  <c r="J80" i="85"/>
  <c r="J81" i="85"/>
  <c r="J82" i="85"/>
  <c r="J83" i="85"/>
  <c r="J84" i="85"/>
  <c r="J85" i="85"/>
  <c r="J86" i="85"/>
  <c r="J87" i="85"/>
  <c r="J88" i="85"/>
  <c r="J89" i="85"/>
  <c r="J90" i="85"/>
  <c r="J91" i="85"/>
  <c r="J92" i="85"/>
  <c r="J93" i="85"/>
  <c r="J94" i="85"/>
  <c r="J95" i="85"/>
  <c r="J96" i="85"/>
  <c r="J97" i="85"/>
  <c r="J98" i="85"/>
  <c r="J99" i="85"/>
  <c r="J100" i="85"/>
  <c r="J101" i="85"/>
  <c r="J102" i="85"/>
  <c r="J103" i="85"/>
  <c r="J104" i="85"/>
  <c r="J105" i="85"/>
  <c r="J106" i="85"/>
  <c r="J107" i="85"/>
  <c r="J108" i="85"/>
  <c r="J109" i="85"/>
  <c r="J110" i="85"/>
  <c r="J111" i="85"/>
  <c r="J112" i="85"/>
  <c r="J113" i="85"/>
  <c r="J114" i="85"/>
  <c r="J115" i="85"/>
  <c r="J116" i="85"/>
  <c r="J117" i="85"/>
  <c r="J118" i="85"/>
  <c r="J119" i="85"/>
  <c r="J120" i="85"/>
  <c r="J121" i="85"/>
  <c r="J122" i="85"/>
  <c r="J123" i="85"/>
  <c r="J124" i="85"/>
  <c r="J125" i="85"/>
  <c r="J126" i="85"/>
  <c r="J127" i="85"/>
  <c r="J128" i="85"/>
  <c r="J129" i="85"/>
  <c r="J130" i="85"/>
  <c r="J131" i="85"/>
  <c r="J132" i="85"/>
  <c r="J133" i="85"/>
  <c r="J134" i="85"/>
  <c r="J135" i="85"/>
  <c r="J136" i="85"/>
  <c r="J137" i="85"/>
  <c r="J138" i="85"/>
  <c r="K138" i="85" s="1"/>
  <c r="J139" i="85"/>
  <c r="J140" i="85"/>
  <c r="J141" i="85"/>
  <c r="K141" i="85" s="1"/>
  <c r="J142" i="85"/>
  <c r="J143" i="85"/>
  <c r="J144" i="85"/>
  <c r="K144" i="85" s="1"/>
  <c r="J145" i="85"/>
  <c r="J146" i="85"/>
  <c r="J147" i="85"/>
  <c r="K147" i="85" s="1"/>
  <c r="J148" i="85"/>
  <c r="J149" i="85"/>
  <c r="J150" i="85"/>
  <c r="K150" i="85" s="1"/>
  <c r="J151" i="85"/>
  <c r="J152" i="85"/>
  <c r="J153" i="85"/>
  <c r="K153" i="85" s="1"/>
  <c r="J154" i="85"/>
  <c r="J155" i="85"/>
  <c r="J156" i="85"/>
  <c r="K156" i="85" s="1"/>
  <c r="J157" i="85"/>
  <c r="J158" i="85"/>
  <c r="J159" i="85"/>
  <c r="K159" i="85" s="1"/>
  <c r="J160" i="85"/>
  <c r="J161" i="85"/>
  <c r="J162" i="85"/>
  <c r="K162" i="85" s="1"/>
  <c r="J163" i="85"/>
  <c r="J164" i="85"/>
  <c r="J165" i="85"/>
  <c r="K165" i="85" s="1"/>
  <c r="J166" i="85"/>
  <c r="J167" i="85"/>
  <c r="J168" i="85"/>
  <c r="J169" i="85"/>
  <c r="J170" i="85"/>
  <c r="J171" i="85"/>
  <c r="J172" i="85"/>
  <c r="J173" i="85"/>
  <c r="J174" i="85"/>
  <c r="J175" i="85"/>
  <c r="J176" i="85"/>
  <c r="J177" i="85"/>
  <c r="J178" i="85"/>
  <c r="J179" i="85"/>
  <c r="J180" i="85"/>
  <c r="J181" i="85"/>
  <c r="J182" i="85"/>
  <c r="J183" i="85"/>
  <c r="J184" i="85"/>
  <c r="J185" i="85"/>
  <c r="J186" i="85"/>
  <c r="J64" i="84"/>
  <c r="J65" i="84"/>
  <c r="J66" i="84"/>
  <c r="J67" i="84"/>
  <c r="J68" i="84"/>
  <c r="J69" i="84"/>
  <c r="J70" i="84"/>
  <c r="J71" i="84"/>
  <c r="J72" i="84"/>
  <c r="J73" i="84"/>
  <c r="J74" i="84"/>
  <c r="J75" i="84"/>
  <c r="J76" i="84"/>
  <c r="J77" i="84"/>
  <c r="J78" i="84"/>
  <c r="J79" i="84"/>
  <c r="J80" i="84"/>
  <c r="J81" i="84"/>
  <c r="J82" i="84"/>
  <c r="J83" i="84"/>
  <c r="J84" i="84"/>
  <c r="J85" i="84"/>
  <c r="J86" i="84"/>
  <c r="J87" i="84"/>
  <c r="J88" i="84"/>
  <c r="J89" i="84"/>
  <c r="J90" i="84"/>
  <c r="J91" i="84"/>
  <c r="J92" i="84"/>
  <c r="J93" i="84"/>
  <c r="J94" i="84"/>
  <c r="J95" i="84"/>
  <c r="J96" i="84"/>
  <c r="J97" i="84"/>
  <c r="J98" i="84"/>
  <c r="J99" i="84"/>
  <c r="J100" i="84"/>
  <c r="J101" i="84"/>
  <c r="J102" i="84"/>
  <c r="J103" i="84"/>
  <c r="J104" i="84"/>
  <c r="J105" i="84"/>
  <c r="J106" i="84"/>
  <c r="J107" i="84"/>
  <c r="J108" i="84"/>
  <c r="J109" i="84"/>
  <c r="J110" i="84"/>
  <c r="J111" i="84"/>
  <c r="J112" i="84"/>
  <c r="J113" i="84"/>
  <c r="J114" i="84"/>
  <c r="J115" i="84"/>
  <c r="J116" i="84"/>
  <c r="J117" i="84"/>
  <c r="J118" i="84"/>
  <c r="J119" i="84"/>
  <c r="J120" i="84"/>
  <c r="J121" i="84"/>
  <c r="J122" i="84"/>
  <c r="J123" i="84"/>
  <c r="J124" i="84"/>
  <c r="J125" i="84"/>
  <c r="J126" i="84"/>
  <c r="J127" i="84"/>
  <c r="J128" i="84"/>
  <c r="J129" i="84"/>
  <c r="J130" i="84"/>
  <c r="J131" i="84"/>
  <c r="J132" i="84"/>
  <c r="J133" i="84"/>
  <c r="J134" i="84"/>
  <c r="J135" i="84"/>
  <c r="J136" i="84"/>
  <c r="J137" i="84"/>
  <c r="J138" i="84"/>
  <c r="J139" i="84"/>
  <c r="J140" i="84"/>
  <c r="J141" i="84"/>
  <c r="J142" i="84"/>
  <c r="J143" i="84"/>
  <c r="J144" i="84"/>
  <c r="J145" i="84"/>
  <c r="J146" i="84"/>
  <c r="J147" i="84"/>
  <c r="J148" i="84"/>
  <c r="J149" i="84"/>
  <c r="J150" i="84"/>
  <c r="J151" i="84"/>
  <c r="J152" i="84"/>
  <c r="J153" i="84"/>
  <c r="J154" i="84"/>
  <c r="J155" i="84"/>
  <c r="J156" i="84"/>
  <c r="J157" i="84"/>
  <c r="J158" i="84"/>
  <c r="J159" i="84"/>
  <c r="J160" i="84"/>
  <c r="J161" i="84"/>
  <c r="J162" i="84"/>
  <c r="J163" i="84"/>
  <c r="J164" i="84"/>
  <c r="J165" i="84"/>
  <c r="J166" i="84"/>
  <c r="J167" i="84"/>
  <c r="J168" i="84"/>
  <c r="J169" i="84"/>
  <c r="J170" i="84"/>
  <c r="J171" i="84"/>
  <c r="J172" i="84"/>
  <c r="J173" i="84"/>
  <c r="J174" i="84"/>
  <c r="J175" i="84"/>
  <c r="J176" i="84"/>
  <c r="J177" i="84"/>
  <c r="J178" i="84"/>
  <c r="J179" i="84"/>
  <c r="J180" i="84"/>
  <c r="J181" i="84"/>
  <c r="J182" i="84"/>
  <c r="J183" i="84"/>
  <c r="J184" i="84"/>
  <c r="J185" i="84"/>
  <c r="J186" i="84"/>
  <c r="J64" i="83"/>
  <c r="J65" i="83"/>
  <c r="J66" i="83"/>
  <c r="J67" i="83"/>
  <c r="J68" i="83"/>
  <c r="J69" i="83"/>
  <c r="J70" i="83"/>
  <c r="J71" i="83"/>
  <c r="J72" i="83"/>
  <c r="J73" i="83"/>
  <c r="J74" i="83"/>
  <c r="J75" i="83"/>
  <c r="J76" i="83"/>
  <c r="J77" i="83"/>
  <c r="J78" i="83"/>
  <c r="J79" i="83"/>
  <c r="J80" i="83"/>
  <c r="J81" i="83"/>
  <c r="J82" i="83"/>
  <c r="J83" i="83"/>
  <c r="J84" i="83"/>
  <c r="J85" i="83"/>
  <c r="J86" i="83"/>
  <c r="J87" i="83"/>
  <c r="J88" i="83"/>
  <c r="J89" i="83"/>
  <c r="J90" i="83"/>
  <c r="J91" i="83"/>
  <c r="J92" i="83"/>
  <c r="J93" i="83"/>
  <c r="J94" i="83"/>
  <c r="J95" i="83"/>
  <c r="J96" i="83"/>
  <c r="J97" i="83"/>
  <c r="J98" i="83"/>
  <c r="J99" i="83"/>
  <c r="J100" i="83"/>
  <c r="J101" i="83"/>
  <c r="J102" i="83"/>
  <c r="J103" i="83"/>
  <c r="J104" i="83"/>
  <c r="J105" i="83"/>
  <c r="J106" i="83"/>
  <c r="J107" i="83"/>
  <c r="J108" i="83"/>
  <c r="J109" i="83"/>
  <c r="J110" i="83"/>
  <c r="J111" i="83"/>
  <c r="J112" i="83"/>
  <c r="J113" i="83"/>
  <c r="J114" i="83"/>
  <c r="J115" i="83"/>
  <c r="J116" i="83"/>
  <c r="J117" i="83"/>
  <c r="J118" i="83"/>
  <c r="J119" i="83"/>
  <c r="J120" i="83"/>
  <c r="J121" i="83"/>
  <c r="J122" i="83"/>
  <c r="J123" i="83"/>
  <c r="J124" i="83"/>
  <c r="J125" i="83"/>
  <c r="J126" i="83"/>
  <c r="J127" i="83"/>
  <c r="J128" i="83"/>
  <c r="J129" i="83"/>
  <c r="J130" i="83"/>
  <c r="J131" i="83"/>
  <c r="J132" i="83"/>
  <c r="J133" i="83"/>
  <c r="J134" i="83"/>
  <c r="J135" i="83"/>
  <c r="J136" i="83"/>
  <c r="J137" i="83"/>
  <c r="J138" i="83"/>
  <c r="K138" i="83" s="1"/>
  <c r="J139" i="83"/>
  <c r="J140" i="83"/>
  <c r="J141" i="83"/>
  <c r="K141" i="83" s="1"/>
  <c r="J142" i="83"/>
  <c r="J143" i="83"/>
  <c r="J144" i="83"/>
  <c r="K144" i="83" s="1"/>
  <c r="J145" i="83"/>
  <c r="J146" i="83"/>
  <c r="J147" i="83"/>
  <c r="K147" i="83" s="1"/>
  <c r="J148" i="83"/>
  <c r="J149" i="83"/>
  <c r="J150" i="83"/>
  <c r="K150" i="83" s="1"/>
  <c r="J151" i="83"/>
  <c r="J152" i="83"/>
  <c r="J153" i="83"/>
  <c r="K153" i="83" s="1"/>
  <c r="J154" i="83"/>
  <c r="J155" i="83"/>
  <c r="J156" i="83"/>
  <c r="K156" i="83" s="1"/>
  <c r="J157" i="83"/>
  <c r="J158" i="83"/>
  <c r="J159" i="83"/>
  <c r="K159" i="83" s="1"/>
  <c r="J160" i="83"/>
  <c r="J161" i="83"/>
  <c r="J162" i="83"/>
  <c r="K162" i="83" s="1"/>
  <c r="J163" i="83"/>
  <c r="J164" i="83"/>
  <c r="J165" i="83"/>
  <c r="K165" i="83" s="1"/>
  <c r="J166" i="83"/>
  <c r="J167" i="83"/>
  <c r="J168" i="83"/>
  <c r="J169" i="83"/>
  <c r="J170" i="83"/>
  <c r="J171" i="83"/>
  <c r="J172" i="83"/>
  <c r="J173" i="83"/>
  <c r="J174" i="83"/>
  <c r="J175" i="83"/>
  <c r="J176" i="83"/>
  <c r="J177" i="83"/>
  <c r="J178" i="83"/>
  <c r="J179" i="83"/>
  <c r="J180" i="83"/>
  <c r="J181" i="83"/>
  <c r="J182" i="83"/>
  <c r="J183" i="83"/>
  <c r="J184" i="83"/>
  <c r="J185" i="83"/>
  <c r="J186" i="83"/>
  <c r="J64" i="82"/>
  <c r="J65" i="82"/>
  <c r="J66" i="82"/>
  <c r="J67" i="82"/>
  <c r="J68" i="82"/>
  <c r="J69" i="82"/>
  <c r="J70" i="82"/>
  <c r="J71" i="82"/>
  <c r="J72" i="82"/>
  <c r="J73" i="82"/>
  <c r="J74" i="82"/>
  <c r="J75" i="82"/>
  <c r="J76" i="82"/>
  <c r="J77" i="82"/>
  <c r="J78" i="82"/>
  <c r="J79" i="82"/>
  <c r="J80" i="82"/>
  <c r="J81" i="82"/>
  <c r="J82" i="82"/>
  <c r="J83" i="82"/>
  <c r="J84" i="82"/>
  <c r="J85" i="82"/>
  <c r="J86" i="82"/>
  <c r="J87" i="82"/>
  <c r="J88" i="82"/>
  <c r="J89" i="82"/>
  <c r="J90" i="82"/>
  <c r="J91" i="82"/>
  <c r="J92" i="82"/>
  <c r="J93" i="82"/>
  <c r="J94" i="82"/>
  <c r="J95" i="82"/>
  <c r="J96" i="82"/>
  <c r="J97" i="82"/>
  <c r="J98" i="82"/>
  <c r="J99" i="82"/>
  <c r="J100" i="82"/>
  <c r="J101" i="82"/>
  <c r="J102" i="82"/>
  <c r="J103" i="82"/>
  <c r="J104" i="82"/>
  <c r="J105" i="82"/>
  <c r="J106" i="82"/>
  <c r="J107" i="82"/>
  <c r="J108" i="82"/>
  <c r="J109" i="82"/>
  <c r="J110" i="82"/>
  <c r="J111" i="82"/>
  <c r="J112" i="82"/>
  <c r="J113" i="82"/>
  <c r="J114" i="82"/>
  <c r="J115" i="82"/>
  <c r="J116" i="82"/>
  <c r="J117" i="82"/>
  <c r="J118" i="82"/>
  <c r="J119" i="82"/>
  <c r="J120" i="82"/>
  <c r="J121" i="82"/>
  <c r="J122" i="82"/>
  <c r="J123" i="82"/>
  <c r="J124" i="82"/>
  <c r="J125" i="82"/>
  <c r="J126" i="82"/>
  <c r="J127" i="82"/>
  <c r="J128" i="82"/>
  <c r="J129" i="82"/>
  <c r="J130" i="82"/>
  <c r="J131" i="82"/>
  <c r="J132" i="82"/>
  <c r="J133" i="82"/>
  <c r="J134" i="82"/>
  <c r="J135" i="82"/>
  <c r="J136" i="82"/>
  <c r="J137" i="82"/>
  <c r="J138" i="82"/>
  <c r="K138" i="82" s="1"/>
  <c r="J139" i="82"/>
  <c r="J140" i="82"/>
  <c r="J141" i="82"/>
  <c r="K141" i="82" s="1"/>
  <c r="J142" i="82"/>
  <c r="J143" i="82"/>
  <c r="J144" i="82"/>
  <c r="K144" i="82" s="1"/>
  <c r="J145" i="82"/>
  <c r="J146" i="82"/>
  <c r="J147" i="82"/>
  <c r="K147" i="82" s="1"/>
  <c r="J148" i="82"/>
  <c r="J149" i="82"/>
  <c r="J150" i="82"/>
  <c r="K150" i="82" s="1"/>
  <c r="J151" i="82"/>
  <c r="J152" i="82"/>
  <c r="J153" i="82"/>
  <c r="K153" i="82" s="1"/>
  <c r="J154" i="82"/>
  <c r="J155" i="82"/>
  <c r="J156" i="82"/>
  <c r="K156" i="82" s="1"/>
  <c r="J157" i="82"/>
  <c r="J158" i="82"/>
  <c r="J159" i="82"/>
  <c r="K159" i="82" s="1"/>
  <c r="J160" i="82"/>
  <c r="J161" i="82"/>
  <c r="J162" i="82"/>
  <c r="K162" i="82" s="1"/>
  <c r="J163" i="82"/>
  <c r="J164" i="82"/>
  <c r="J165" i="82"/>
  <c r="K165" i="82" s="1"/>
  <c r="J166" i="82"/>
  <c r="J167" i="82"/>
  <c r="J168" i="82"/>
  <c r="J169" i="82"/>
  <c r="J170" i="82"/>
  <c r="J171" i="82"/>
  <c r="J172" i="82"/>
  <c r="J173" i="82"/>
  <c r="J174" i="82"/>
  <c r="J175" i="82"/>
  <c r="J176" i="82"/>
  <c r="J177" i="82"/>
  <c r="J178" i="82"/>
  <c r="J179" i="82"/>
  <c r="J180" i="82"/>
  <c r="J181" i="82"/>
  <c r="J182" i="82"/>
  <c r="J183" i="82"/>
  <c r="J184" i="82"/>
  <c r="J185" i="82"/>
  <c r="J186" i="82"/>
  <c r="J64" i="81"/>
  <c r="J65" i="81"/>
  <c r="J66" i="81"/>
  <c r="J67" i="81"/>
  <c r="J68" i="81"/>
  <c r="J69" i="81"/>
  <c r="J70" i="81"/>
  <c r="J71" i="81"/>
  <c r="J72" i="81"/>
  <c r="J73" i="81"/>
  <c r="J74" i="81"/>
  <c r="J75" i="81"/>
  <c r="J76" i="81"/>
  <c r="J77" i="81"/>
  <c r="J78" i="81"/>
  <c r="J79" i="81"/>
  <c r="J80" i="81"/>
  <c r="J81" i="81"/>
  <c r="J82" i="81"/>
  <c r="J83" i="81"/>
  <c r="J84" i="81"/>
  <c r="J85" i="81"/>
  <c r="J86" i="81"/>
  <c r="J87" i="81"/>
  <c r="J88" i="81"/>
  <c r="J89" i="81"/>
  <c r="J90" i="81"/>
  <c r="J91" i="81"/>
  <c r="J92" i="81"/>
  <c r="J93" i="81"/>
  <c r="J94" i="81"/>
  <c r="J95" i="81"/>
  <c r="J96" i="81"/>
  <c r="J97" i="81"/>
  <c r="J98" i="81"/>
  <c r="J99" i="81"/>
  <c r="J100" i="81"/>
  <c r="J101" i="81"/>
  <c r="J102" i="81"/>
  <c r="J103" i="81"/>
  <c r="J104" i="81"/>
  <c r="J105" i="81"/>
  <c r="J106" i="81"/>
  <c r="J107" i="81"/>
  <c r="J108" i="81"/>
  <c r="J109" i="81"/>
  <c r="J110" i="81"/>
  <c r="J111" i="81"/>
  <c r="J112" i="81"/>
  <c r="J113" i="81"/>
  <c r="J114" i="81"/>
  <c r="J115" i="81"/>
  <c r="J116" i="81"/>
  <c r="J117" i="81"/>
  <c r="J118" i="81"/>
  <c r="J119" i="81"/>
  <c r="J120" i="81"/>
  <c r="J121" i="81"/>
  <c r="J122" i="81"/>
  <c r="J123" i="81"/>
  <c r="J124" i="81"/>
  <c r="J125" i="81"/>
  <c r="J126" i="81"/>
  <c r="J127" i="81"/>
  <c r="J128" i="81"/>
  <c r="J129" i="81"/>
  <c r="J130" i="81"/>
  <c r="J131" i="81"/>
  <c r="J132" i="81"/>
  <c r="J133" i="81"/>
  <c r="J134" i="81"/>
  <c r="J135" i="81"/>
  <c r="J136" i="81"/>
  <c r="J137" i="81"/>
  <c r="J138" i="81"/>
  <c r="K138" i="81" s="1"/>
  <c r="J139" i="81"/>
  <c r="J140" i="81"/>
  <c r="J141" i="81"/>
  <c r="K141" i="81" s="1"/>
  <c r="J142" i="81"/>
  <c r="J143" i="81"/>
  <c r="J144" i="81"/>
  <c r="K144" i="81" s="1"/>
  <c r="J145" i="81"/>
  <c r="J146" i="81"/>
  <c r="J147" i="81"/>
  <c r="K147" i="81" s="1"/>
  <c r="J148" i="81"/>
  <c r="J149" i="81"/>
  <c r="J150" i="81"/>
  <c r="K150" i="81" s="1"/>
  <c r="J151" i="81"/>
  <c r="J152" i="81"/>
  <c r="J153" i="81"/>
  <c r="K153" i="81" s="1"/>
  <c r="J154" i="81"/>
  <c r="J155" i="81"/>
  <c r="J156" i="81"/>
  <c r="K156" i="81" s="1"/>
  <c r="J157" i="81"/>
  <c r="J158" i="81"/>
  <c r="J159" i="81"/>
  <c r="K159" i="81" s="1"/>
  <c r="J160" i="81"/>
  <c r="J161" i="81"/>
  <c r="J162" i="81"/>
  <c r="K162" i="81" s="1"/>
  <c r="J163" i="81"/>
  <c r="J164" i="81"/>
  <c r="J165" i="81"/>
  <c r="K165" i="81" s="1"/>
  <c r="J166" i="81"/>
  <c r="J167" i="81"/>
  <c r="J168" i="81"/>
  <c r="J169" i="81"/>
  <c r="J170" i="81"/>
  <c r="J171" i="81"/>
  <c r="J172" i="81"/>
  <c r="J173" i="81"/>
  <c r="J174" i="81"/>
  <c r="J175" i="81"/>
  <c r="J176" i="81"/>
  <c r="J177" i="81"/>
  <c r="J178" i="81"/>
  <c r="J179" i="81"/>
  <c r="J180" i="81"/>
  <c r="J181" i="81"/>
  <c r="J182" i="81"/>
  <c r="J183" i="81"/>
  <c r="J184" i="81"/>
  <c r="J185" i="81"/>
  <c r="J186" i="81"/>
  <c r="J64" i="74"/>
  <c r="J65" i="74"/>
  <c r="J66" i="74"/>
  <c r="J67" i="74"/>
  <c r="J68" i="74"/>
  <c r="J69" i="74"/>
  <c r="J70" i="74"/>
  <c r="J71" i="74"/>
  <c r="J72" i="74"/>
  <c r="J73" i="74"/>
  <c r="J74" i="74"/>
  <c r="J75" i="74"/>
  <c r="J76" i="74"/>
  <c r="J77" i="74"/>
  <c r="J78" i="74"/>
  <c r="J79" i="74"/>
  <c r="J80" i="74"/>
  <c r="J81" i="74"/>
  <c r="J82" i="74"/>
  <c r="J83" i="74"/>
  <c r="J84" i="74"/>
  <c r="J85" i="74"/>
  <c r="J86" i="74"/>
  <c r="J87" i="74"/>
  <c r="J88" i="74"/>
  <c r="J89" i="74"/>
  <c r="J90" i="74"/>
  <c r="J91" i="74"/>
  <c r="J92" i="74"/>
  <c r="J93" i="74"/>
  <c r="J94" i="74"/>
  <c r="J95" i="74"/>
  <c r="J96" i="74"/>
  <c r="J97" i="74"/>
  <c r="J98" i="74"/>
  <c r="J99" i="74"/>
  <c r="J100" i="74"/>
  <c r="J101" i="74"/>
  <c r="J102" i="74"/>
  <c r="J103" i="74"/>
  <c r="J104" i="74"/>
  <c r="J105" i="74"/>
  <c r="J106" i="74"/>
  <c r="J107" i="74"/>
  <c r="J108" i="74"/>
  <c r="J109" i="74"/>
  <c r="J110" i="74"/>
  <c r="J111" i="74"/>
  <c r="J112" i="74"/>
  <c r="J113" i="74"/>
  <c r="J114" i="74"/>
  <c r="J115" i="74"/>
  <c r="J116" i="74"/>
  <c r="J117" i="74"/>
  <c r="J118" i="74"/>
  <c r="J119" i="74"/>
  <c r="J120" i="74"/>
  <c r="J121" i="74"/>
  <c r="J122" i="74"/>
  <c r="J123" i="74"/>
  <c r="J124" i="74"/>
  <c r="J125" i="74"/>
  <c r="J126" i="74"/>
  <c r="J127" i="74"/>
  <c r="J128" i="74"/>
  <c r="J129" i="74"/>
  <c r="J130" i="74"/>
  <c r="J131" i="74"/>
  <c r="J132" i="74"/>
  <c r="J133" i="74"/>
  <c r="J134" i="74"/>
  <c r="J135" i="74"/>
  <c r="J136" i="74"/>
  <c r="J137" i="74"/>
  <c r="J138" i="74"/>
  <c r="K138" i="74" s="1"/>
  <c r="J139" i="74"/>
  <c r="J140" i="74"/>
  <c r="J141" i="74"/>
  <c r="K141" i="74" s="1"/>
  <c r="J142" i="74"/>
  <c r="J143" i="74"/>
  <c r="J144" i="74"/>
  <c r="K144" i="74" s="1"/>
  <c r="J145" i="74"/>
  <c r="J146" i="74"/>
  <c r="J147" i="74"/>
  <c r="K147" i="74" s="1"/>
  <c r="J148" i="74"/>
  <c r="J149" i="74"/>
  <c r="J150" i="74"/>
  <c r="K150" i="74" s="1"/>
  <c r="J151" i="74"/>
  <c r="J152" i="74"/>
  <c r="J153" i="74"/>
  <c r="K153" i="74" s="1"/>
  <c r="J154" i="74"/>
  <c r="J155" i="74"/>
  <c r="J156" i="74"/>
  <c r="K156" i="74" s="1"/>
  <c r="J157" i="74"/>
  <c r="J158" i="74"/>
  <c r="J159" i="74"/>
  <c r="K159" i="74" s="1"/>
  <c r="J160" i="74"/>
  <c r="J161" i="74"/>
  <c r="J162" i="74"/>
  <c r="K162" i="74" s="1"/>
  <c r="J163" i="74"/>
  <c r="J164" i="74"/>
  <c r="J165" i="74"/>
  <c r="K165" i="74" s="1"/>
  <c r="J166" i="74"/>
  <c r="J167" i="74"/>
  <c r="J168" i="74"/>
  <c r="J169" i="74"/>
  <c r="J170" i="74"/>
  <c r="J171" i="74"/>
  <c r="J172" i="74"/>
  <c r="J173" i="74"/>
  <c r="J174" i="74"/>
  <c r="J175" i="74"/>
  <c r="J176" i="74"/>
  <c r="J177" i="74"/>
  <c r="J178" i="74"/>
  <c r="J179" i="74"/>
  <c r="J180" i="74"/>
  <c r="J181" i="74"/>
  <c r="J182" i="74"/>
  <c r="J183" i="74"/>
  <c r="J184" i="74"/>
  <c r="J185" i="74"/>
  <c r="J186" i="74"/>
  <c r="J64" i="94"/>
  <c r="J65" i="94"/>
  <c r="J66" i="94"/>
  <c r="J67" i="94"/>
  <c r="J68" i="94"/>
  <c r="J69" i="94"/>
  <c r="J70" i="94"/>
  <c r="J71" i="94"/>
  <c r="J72" i="94"/>
  <c r="J73" i="94"/>
  <c r="J74" i="94"/>
  <c r="J75" i="94"/>
  <c r="J76" i="94"/>
  <c r="J77" i="94"/>
  <c r="J78" i="94"/>
  <c r="J79" i="94"/>
  <c r="J80" i="94"/>
  <c r="J81" i="94"/>
  <c r="J82" i="94"/>
  <c r="J83" i="94"/>
  <c r="J84" i="94"/>
  <c r="J85" i="94"/>
  <c r="J86" i="94"/>
  <c r="J87" i="94"/>
  <c r="J88" i="94"/>
  <c r="J89" i="94"/>
  <c r="J90" i="94"/>
  <c r="J91" i="94"/>
  <c r="J92" i="94"/>
  <c r="J93" i="94"/>
  <c r="J94" i="94"/>
  <c r="J95" i="94"/>
  <c r="J96" i="94"/>
  <c r="J97" i="94"/>
  <c r="J98" i="94"/>
  <c r="J99" i="94"/>
  <c r="J100" i="94"/>
  <c r="J101" i="94"/>
  <c r="J102" i="94"/>
  <c r="J103" i="94"/>
  <c r="J104" i="94"/>
  <c r="J105" i="94"/>
  <c r="J106" i="94"/>
  <c r="J107" i="94"/>
  <c r="J108" i="94"/>
  <c r="J109" i="94"/>
  <c r="J110" i="94"/>
  <c r="J111" i="94"/>
  <c r="J112" i="94"/>
  <c r="J113" i="94"/>
  <c r="J114" i="94"/>
  <c r="J115" i="94"/>
  <c r="J116" i="94"/>
  <c r="J117" i="94"/>
  <c r="J118" i="94"/>
  <c r="J119" i="94"/>
  <c r="J120" i="94"/>
  <c r="J121" i="94"/>
  <c r="J122" i="94"/>
  <c r="J123" i="94"/>
  <c r="J124" i="94"/>
  <c r="J125" i="94"/>
  <c r="J126" i="94"/>
  <c r="J127" i="94"/>
  <c r="J128" i="94"/>
  <c r="J129" i="94"/>
  <c r="J130" i="94"/>
  <c r="J131" i="94"/>
  <c r="J132" i="94"/>
  <c r="J133" i="94"/>
  <c r="J134" i="94"/>
  <c r="J135" i="94"/>
  <c r="J136" i="94"/>
  <c r="J137" i="94"/>
  <c r="J138" i="94"/>
  <c r="K138" i="94" s="1"/>
  <c r="J139" i="94"/>
  <c r="J140" i="94"/>
  <c r="J141" i="94"/>
  <c r="K141" i="94" s="1"/>
  <c r="J142" i="94"/>
  <c r="J143" i="94"/>
  <c r="J144" i="94"/>
  <c r="K144" i="94" s="1"/>
  <c r="J145" i="94"/>
  <c r="J146" i="94"/>
  <c r="J147" i="94"/>
  <c r="K147" i="94" s="1"/>
  <c r="J148" i="94"/>
  <c r="J149" i="94"/>
  <c r="J150" i="94"/>
  <c r="K150" i="94" s="1"/>
  <c r="J151" i="94"/>
  <c r="J152" i="94"/>
  <c r="J153" i="94"/>
  <c r="K153" i="94" s="1"/>
  <c r="J154" i="94"/>
  <c r="J155" i="94"/>
  <c r="J156" i="94"/>
  <c r="K156" i="94" s="1"/>
  <c r="J157" i="94"/>
  <c r="J158" i="94"/>
  <c r="J159" i="94"/>
  <c r="K159" i="94" s="1"/>
  <c r="J160" i="94"/>
  <c r="J161" i="94"/>
  <c r="J162" i="94"/>
  <c r="K162" i="94" s="1"/>
  <c r="J163" i="94"/>
  <c r="J164" i="94"/>
  <c r="J165" i="94"/>
  <c r="K165" i="94" s="1"/>
  <c r="J166" i="94"/>
  <c r="J167" i="94"/>
  <c r="J168" i="94"/>
  <c r="J169" i="94"/>
  <c r="J170" i="94"/>
  <c r="J171" i="94"/>
  <c r="J172" i="94"/>
  <c r="J173" i="94"/>
  <c r="J174" i="94"/>
  <c r="J175" i="94"/>
  <c r="J176" i="94"/>
  <c r="J177" i="94"/>
  <c r="J178" i="94"/>
  <c r="J179" i="94"/>
  <c r="J180" i="94"/>
  <c r="J181" i="94"/>
  <c r="J182" i="94"/>
  <c r="J183" i="94"/>
  <c r="J184" i="94"/>
  <c r="J185" i="94"/>
  <c r="J186" i="94"/>
  <c r="J63" i="93"/>
  <c r="J63" i="92"/>
  <c r="J63" i="91"/>
  <c r="J63" i="89"/>
  <c r="J63" i="88"/>
  <c r="J63" i="87"/>
  <c r="J63" i="85"/>
  <c r="J63" i="84"/>
  <c r="J63" i="83"/>
  <c r="J63" i="82"/>
  <c r="J63" i="81"/>
  <c r="J63" i="74"/>
  <c r="J63" i="94"/>
  <c r="J21" i="93"/>
  <c r="J23" i="93"/>
  <c r="J25" i="93"/>
  <c r="J27" i="93"/>
  <c r="J29" i="93"/>
  <c r="J31" i="93"/>
  <c r="J33" i="93"/>
  <c r="J35" i="93"/>
  <c r="J37" i="93"/>
  <c r="J39" i="93"/>
  <c r="J41" i="93"/>
  <c r="J43" i="93"/>
  <c r="J45" i="93"/>
  <c r="J47" i="93"/>
  <c r="J49" i="93"/>
  <c r="J51" i="93"/>
  <c r="J53" i="93"/>
  <c r="J55" i="93"/>
  <c r="J57" i="93"/>
  <c r="J59" i="93"/>
  <c r="J61" i="93"/>
  <c r="J21" i="92"/>
  <c r="J23" i="92"/>
  <c r="J25" i="92"/>
  <c r="J27" i="92"/>
  <c r="J29" i="92"/>
  <c r="J31" i="92"/>
  <c r="J33" i="92"/>
  <c r="J35" i="92"/>
  <c r="J37" i="92"/>
  <c r="J39" i="92"/>
  <c r="J41" i="92"/>
  <c r="J43" i="92"/>
  <c r="J45" i="92"/>
  <c r="J47" i="92"/>
  <c r="J49" i="92"/>
  <c r="J51" i="92"/>
  <c r="J53" i="92"/>
  <c r="J55" i="92"/>
  <c r="J57" i="92"/>
  <c r="J59" i="92"/>
  <c r="J61" i="92"/>
  <c r="J21" i="91"/>
  <c r="J23" i="91"/>
  <c r="J25" i="91"/>
  <c r="J27" i="91"/>
  <c r="J29" i="91"/>
  <c r="J31" i="91"/>
  <c r="J33" i="91"/>
  <c r="J35" i="91"/>
  <c r="J37" i="91"/>
  <c r="J39" i="91"/>
  <c r="J41" i="91"/>
  <c r="J43" i="91"/>
  <c r="J45" i="91"/>
  <c r="J47" i="91"/>
  <c r="J49" i="91"/>
  <c r="J51" i="91"/>
  <c r="J53" i="91"/>
  <c r="J55" i="91"/>
  <c r="J57" i="91"/>
  <c r="J59" i="91"/>
  <c r="J61" i="91"/>
  <c r="J21" i="89"/>
  <c r="J23" i="89"/>
  <c r="J25" i="89"/>
  <c r="J27" i="89"/>
  <c r="J29" i="89"/>
  <c r="J31" i="89"/>
  <c r="J33" i="89"/>
  <c r="J35" i="89"/>
  <c r="J37" i="89"/>
  <c r="J39" i="89"/>
  <c r="J41" i="89"/>
  <c r="J43" i="89"/>
  <c r="J45" i="89"/>
  <c r="J47" i="89"/>
  <c r="J49" i="89"/>
  <c r="J51" i="89"/>
  <c r="J53" i="89"/>
  <c r="J55" i="89"/>
  <c r="J57" i="89"/>
  <c r="J59" i="89"/>
  <c r="J61" i="89"/>
  <c r="J21" i="88"/>
  <c r="J23" i="88"/>
  <c r="J25" i="88"/>
  <c r="J27" i="88"/>
  <c r="J29" i="88"/>
  <c r="J31" i="88"/>
  <c r="J33" i="88"/>
  <c r="J35" i="88"/>
  <c r="J37" i="88"/>
  <c r="J39" i="88"/>
  <c r="J41" i="88"/>
  <c r="J43" i="88"/>
  <c r="J45" i="88"/>
  <c r="J47" i="88"/>
  <c r="J49" i="88"/>
  <c r="J51" i="88"/>
  <c r="J53" i="88"/>
  <c r="J55" i="88"/>
  <c r="J57" i="88"/>
  <c r="J59" i="88"/>
  <c r="J61" i="88"/>
  <c r="J21" i="87"/>
  <c r="J23" i="87"/>
  <c r="J25" i="87"/>
  <c r="J27" i="87"/>
  <c r="J29" i="87"/>
  <c r="J31" i="87"/>
  <c r="J33" i="87"/>
  <c r="J35" i="87"/>
  <c r="J37" i="87"/>
  <c r="J39" i="87"/>
  <c r="J41" i="87"/>
  <c r="J43" i="87"/>
  <c r="J45" i="87"/>
  <c r="J47" i="87"/>
  <c r="J49" i="87"/>
  <c r="J51" i="87"/>
  <c r="J53" i="87"/>
  <c r="J55" i="87"/>
  <c r="J57" i="87"/>
  <c r="J59" i="87"/>
  <c r="J61" i="87"/>
  <c r="J21" i="85"/>
  <c r="J23" i="85"/>
  <c r="J25" i="85"/>
  <c r="J27" i="85"/>
  <c r="J29" i="85"/>
  <c r="J31" i="85"/>
  <c r="J33" i="85"/>
  <c r="J35" i="85"/>
  <c r="J37" i="85"/>
  <c r="J39" i="85"/>
  <c r="J41" i="85"/>
  <c r="J43" i="85"/>
  <c r="J45" i="85"/>
  <c r="J47" i="85"/>
  <c r="J49" i="85"/>
  <c r="J51" i="85"/>
  <c r="J53" i="85"/>
  <c r="J55" i="85"/>
  <c r="J57" i="85"/>
  <c r="J59" i="85"/>
  <c r="J61" i="85"/>
  <c r="J21" i="84"/>
  <c r="J23" i="84"/>
  <c r="J25" i="84"/>
  <c r="J27" i="84"/>
  <c r="J29" i="84"/>
  <c r="J31" i="84"/>
  <c r="J33" i="84"/>
  <c r="J35" i="84"/>
  <c r="J37" i="84"/>
  <c r="J39" i="84"/>
  <c r="J41" i="84"/>
  <c r="J43" i="84"/>
  <c r="J45" i="84"/>
  <c r="J47" i="84"/>
  <c r="J49" i="84"/>
  <c r="J51" i="84"/>
  <c r="J53" i="84"/>
  <c r="J55" i="84"/>
  <c r="J57" i="84"/>
  <c r="J59" i="84"/>
  <c r="J61" i="84"/>
  <c r="J21" i="83"/>
  <c r="J23" i="83"/>
  <c r="J25" i="83"/>
  <c r="J27" i="83"/>
  <c r="J29" i="83"/>
  <c r="J31" i="83"/>
  <c r="J33" i="83"/>
  <c r="J35" i="83"/>
  <c r="J37" i="83"/>
  <c r="J39" i="83"/>
  <c r="J41" i="83"/>
  <c r="J43" i="83"/>
  <c r="J45" i="83"/>
  <c r="J47" i="83"/>
  <c r="J49" i="83"/>
  <c r="J51" i="83"/>
  <c r="J53" i="83"/>
  <c r="J55" i="83"/>
  <c r="J57" i="83"/>
  <c r="J59" i="83"/>
  <c r="J61" i="83"/>
  <c r="J21" i="82"/>
  <c r="J23" i="82"/>
  <c r="J25" i="82"/>
  <c r="J27" i="82"/>
  <c r="J29" i="82"/>
  <c r="J31" i="82"/>
  <c r="J33" i="82"/>
  <c r="J35" i="82"/>
  <c r="J37" i="82"/>
  <c r="J39" i="82"/>
  <c r="J41" i="82"/>
  <c r="J43" i="82"/>
  <c r="J45" i="82"/>
  <c r="J47" i="82"/>
  <c r="J49" i="82"/>
  <c r="J51" i="82"/>
  <c r="J53" i="82"/>
  <c r="J55" i="82"/>
  <c r="J57" i="82"/>
  <c r="J59" i="82"/>
  <c r="J61" i="82"/>
  <c r="J21" i="81"/>
  <c r="J23" i="81"/>
  <c r="J25" i="81"/>
  <c r="J27" i="81"/>
  <c r="J29" i="81"/>
  <c r="J31" i="81"/>
  <c r="J33" i="81"/>
  <c r="J35" i="81"/>
  <c r="J37" i="81"/>
  <c r="J39" i="81"/>
  <c r="J41" i="81"/>
  <c r="J43" i="81"/>
  <c r="J45" i="81"/>
  <c r="J47" i="81"/>
  <c r="J49" i="81"/>
  <c r="J51" i="81"/>
  <c r="J53" i="81"/>
  <c r="J55" i="81"/>
  <c r="J57" i="81"/>
  <c r="J59" i="81"/>
  <c r="J61" i="81"/>
  <c r="J21" i="74"/>
  <c r="J23" i="74"/>
  <c r="J25" i="74"/>
  <c r="J27" i="74"/>
  <c r="J29" i="74"/>
  <c r="J31" i="74"/>
  <c r="J33" i="74"/>
  <c r="J35" i="74"/>
  <c r="J37" i="74"/>
  <c r="J39" i="74"/>
  <c r="J41" i="74"/>
  <c r="J43" i="74"/>
  <c r="J45" i="74"/>
  <c r="J47" i="74"/>
  <c r="J49" i="74"/>
  <c r="J51" i="74"/>
  <c r="J53" i="74"/>
  <c r="J55" i="74"/>
  <c r="J57" i="74"/>
  <c r="J59" i="74"/>
  <c r="J61" i="74"/>
  <c r="J21" i="94"/>
  <c r="J23" i="94"/>
  <c r="J25" i="94"/>
  <c r="J27" i="94"/>
  <c r="J29" i="94"/>
  <c r="J31" i="94"/>
  <c r="J33" i="94"/>
  <c r="J35" i="94"/>
  <c r="J37" i="94"/>
  <c r="J39" i="94"/>
  <c r="J41" i="94"/>
  <c r="J43" i="94"/>
  <c r="J45" i="94"/>
  <c r="J47" i="94"/>
  <c r="J49" i="94"/>
  <c r="J51" i="94"/>
  <c r="J53" i="94"/>
  <c r="J55" i="94"/>
  <c r="J57" i="94"/>
  <c r="J59" i="94"/>
  <c r="J61" i="94"/>
  <c r="J19" i="93"/>
  <c r="J19" i="92"/>
  <c r="J19" i="91"/>
  <c r="J19" i="89"/>
  <c r="J19" i="88"/>
  <c r="J19" i="87"/>
  <c r="J19" i="85"/>
  <c r="J19" i="84"/>
  <c r="J19" i="83"/>
  <c r="J19" i="82"/>
  <c r="J19" i="81"/>
  <c r="J19" i="74"/>
  <c r="J19" i="94"/>
  <c r="J17" i="93"/>
  <c r="J17" i="92"/>
  <c r="J17" i="91"/>
  <c r="J17" i="89"/>
  <c r="J17" i="88"/>
  <c r="J17" i="87"/>
  <c r="J17" i="85"/>
  <c r="J17" i="84"/>
  <c r="J17" i="83"/>
  <c r="J17" i="82"/>
  <c r="J17" i="81"/>
  <c r="J17" i="74"/>
  <c r="J17" i="94"/>
  <c r="J15" i="93"/>
  <c r="J15" i="92"/>
  <c r="J15" i="91"/>
  <c r="J15" i="89"/>
  <c r="J15" i="88"/>
  <c r="J15" i="87"/>
  <c r="J15" i="85"/>
  <c r="J15" i="84"/>
  <c r="J15" i="83"/>
  <c r="J15" i="82"/>
  <c r="J15" i="81"/>
  <c r="J15" i="74"/>
  <c r="J15" i="94"/>
  <c r="J13" i="93"/>
  <c r="J13" i="92"/>
  <c r="J13" i="91"/>
  <c r="J13" i="89"/>
  <c r="J13" i="88"/>
  <c r="J13" i="87"/>
  <c r="J13" i="85"/>
  <c r="J13" i="84"/>
  <c r="J13" i="83"/>
  <c r="J13" i="82"/>
  <c r="J13" i="81"/>
  <c r="J13" i="74"/>
  <c r="J13" i="94"/>
  <c r="J11" i="93"/>
  <c r="J11" i="92"/>
  <c r="J11" i="91"/>
  <c r="J11" i="89"/>
  <c r="J11" i="88"/>
  <c r="J11" i="87"/>
  <c r="J11" i="85"/>
  <c r="J11" i="84"/>
  <c r="J11" i="83"/>
  <c r="J11" i="82"/>
  <c r="J11" i="81"/>
  <c r="J11" i="74"/>
  <c r="J11" i="94"/>
  <c r="J9" i="93"/>
  <c r="J9" i="92"/>
  <c r="J9" i="91"/>
  <c r="J9" i="89"/>
  <c r="J9" i="88"/>
  <c r="J9" i="87"/>
  <c r="J9" i="85"/>
  <c r="J9" i="84"/>
  <c r="J9" i="83"/>
  <c r="J9" i="82"/>
  <c r="J9" i="81"/>
  <c r="J9" i="74"/>
  <c r="J9" i="94"/>
  <c r="AQ116" i="106" l="1"/>
  <c r="AQ117" i="106" s="1"/>
  <c r="AQ118" i="106" s="1"/>
  <c r="AQ119" i="106" s="1"/>
  <c r="AQ121" i="106" s="1"/>
  <c r="AQ122" i="106" s="1"/>
  <c r="AQ123" i="106" s="1"/>
  <c r="AQ124" i="106" s="1"/>
  <c r="AQ125" i="106" s="1"/>
  <c r="AQ126" i="106" s="1"/>
  <c r="AQ127" i="106" s="1"/>
  <c r="AQ128" i="106" s="1"/>
  <c r="AQ129" i="106" s="1"/>
  <c r="AQ130" i="106" s="1"/>
  <c r="AQ131" i="106" s="1"/>
  <c r="AQ132" i="106" s="1"/>
  <c r="AQ133" i="106" s="1"/>
  <c r="AQ134" i="106" s="1"/>
  <c r="AQ135" i="106" s="1"/>
  <c r="AQ136" i="106" s="1"/>
  <c r="AQ137" i="106" s="1"/>
  <c r="AQ138" i="106" s="1"/>
  <c r="AQ139" i="106" s="1"/>
  <c r="AQ140" i="106" s="1"/>
  <c r="AQ141" i="106" s="1"/>
  <c r="AQ142" i="106" s="1"/>
  <c r="AQ143" i="106" s="1"/>
  <c r="AQ144" i="106" s="1"/>
  <c r="AQ145" i="106" s="1"/>
  <c r="AQ146" i="106" s="1"/>
  <c r="AQ147" i="106" s="1"/>
  <c r="AQ148" i="106" s="1"/>
  <c r="AQ149" i="106" s="1"/>
  <c r="AQ150" i="106" s="1"/>
  <c r="AQ151" i="106" s="1"/>
  <c r="AQ152" i="106" s="1"/>
  <c r="AQ153" i="106" s="1"/>
  <c r="AQ154" i="106" s="1"/>
  <c r="AQ155" i="106" s="1"/>
  <c r="AQ156" i="106" s="1"/>
  <c r="AQ158" i="106" s="1"/>
  <c r="AQ159" i="106" s="1"/>
  <c r="AQ160" i="106" s="1"/>
  <c r="AQ161" i="106" s="1"/>
  <c r="AQ162" i="106" s="1"/>
  <c r="AQ163" i="106" s="1"/>
  <c r="AQ164" i="106" s="1"/>
  <c r="AQ165" i="106" s="1"/>
  <c r="AQ166" i="106" s="1"/>
  <c r="AQ167" i="106" s="1"/>
  <c r="AQ168" i="106" s="1"/>
  <c r="AQ169" i="106" s="1"/>
  <c r="AQ170" i="106" s="1"/>
  <c r="AQ171" i="106" s="1"/>
  <c r="AQ172" i="106" s="1"/>
  <c r="AQ173" i="106" s="1"/>
  <c r="AQ174" i="106" s="1"/>
  <c r="AQ175" i="106" s="1"/>
  <c r="AQ176" i="106" s="1"/>
  <c r="AQ177" i="106" s="1"/>
  <c r="AQ178" i="106" s="1"/>
  <c r="AQ179" i="106" s="1"/>
  <c r="AQ180" i="106" s="1"/>
  <c r="AQ181" i="106" s="1"/>
  <c r="AQ182" i="106" s="1"/>
  <c r="AQ183" i="106" s="1"/>
  <c r="AQ184" i="106" s="1"/>
  <c r="AQ185" i="106" s="1"/>
  <c r="AQ186" i="106" s="1"/>
  <c r="AQ187" i="106" s="1"/>
  <c r="AQ188" i="106" s="1"/>
  <c r="AQ189" i="106" s="1"/>
  <c r="AQ190" i="106" s="1"/>
  <c r="AQ191" i="106" s="1"/>
  <c r="AQ192" i="106" s="1"/>
  <c r="AQ194" i="106" s="1"/>
  <c r="AQ195" i="106" s="1"/>
  <c r="AQ196" i="106" s="1"/>
  <c r="AQ197" i="106" s="1"/>
  <c r="AQ198" i="106" s="1"/>
  <c r="AQ199" i="106" s="1"/>
  <c r="AQ200" i="106" s="1"/>
  <c r="AQ201" i="106" s="1"/>
  <c r="AQ202" i="106" s="1"/>
  <c r="AQ203" i="106" s="1"/>
  <c r="AQ204" i="106" s="1"/>
  <c r="AQ205" i="106" s="1"/>
  <c r="AQ206" i="106" s="1"/>
  <c r="AQ207" i="106" s="1"/>
  <c r="AQ208" i="106" s="1"/>
  <c r="AQ209" i="106" s="1"/>
  <c r="AQ210" i="106" s="1"/>
  <c r="AQ211" i="106" s="1"/>
  <c r="AQ212" i="106" s="1"/>
  <c r="AQ213" i="106" s="1"/>
  <c r="AQ214" i="106" s="1"/>
  <c r="AQ215" i="106" s="1"/>
  <c r="AQ216" i="106" s="1"/>
  <c r="AQ217" i="106" s="1"/>
  <c r="AQ218" i="106" s="1"/>
  <c r="AQ219" i="106" s="1"/>
  <c r="AQ220" i="106" s="1"/>
  <c r="AQ221" i="106" s="1"/>
  <c r="AQ222" i="106" s="1"/>
  <c r="AQ223" i="106" s="1"/>
  <c r="AQ224" i="106" s="1"/>
  <c r="AQ225" i="106" s="1"/>
  <c r="AQ226" i="106" s="1"/>
  <c r="AQ227" i="106" s="1"/>
  <c r="AQ228" i="106" s="1"/>
  <c r="AQ230" i="106" s="1"/>
  <c r="AQ231" i="106" s="1"/>
  <c r="AQ232" i="106" s="1"/>
  <c r="AQ233" i="106" s="1"/>
  <c r="AQ234" i="106" s="1"/>
  <c r="AQ235" i="106" s="1"/>
  <c r="AQ236" i="106" s="1"/>
  <c r="AQ237" i="106" s="1"/>
  <c r="AQ238" i="106" s="1"/>
  <c r="AQ239" i="106" s="1"/>
  <c r="AQ240" i="106" s="1"/>
  <c r="AQ241" i="106" s="1"/>
  <c r="AQ242" i="106" s="1"/>
  <c r="AQ243" i="106" s="1"/>
  <c r="AQ244" i="106" s="1"/>
  <c r="AQ245" i="106" s="1"/>
  <c r="AQ246" i="106" s="1"/>
  <c r="AQ247" i="106" s="1"/>
  <c r="AQ248" i="106" s="1"/>
  <c r="AQ249" i="106" s="1"/>
  <c r="AQ250" i="106" s="1"/>
  <c r="AQ251" i="106" s="1"/>
  <c r="AQ252" i="106" s="1"/>
  <c r="AQ253" i="106" s="1"/>
  <c r="P68" i="13"/>
  <c r="AQ254" i="106" l="1"/>
  <c r="AQ255" i="106" s="1"/>
  <c r="AQ256" i="106" s="1"/>
  <c r="AQ257" i="106" s="1"/>
  <c r="AQ258" i="106" s="1"/>
  <c r="AQ259" i="106" s="1"/>
  <c r="G59" i="13"/>
  <c r="F58" i="13"/>
  <c r="E58" i="13"/>
  <c r="D58" i="13"/>
  <c r="C58" i="13"/>
  <c r="C59" i="13"/>
  <c r="C60" i="13"/>
  <c r="O68" i="13"/>
  <c r="C87" i="13"/>
  <c r="C86" i="13"/>
  <c r="AQ260" i="106" l="1"/>
  <c r="AQ261" i="106" s="1"/>
  <c r="AQ262" i="106" s="1"/>
  <c r="AQ263" i="106" s="1"/>
  <c r="AQ264" i="106" s="1"/>
  <c r="P40" i="13"/>
  <c r="AB47" i="74"/>
  <c r="AB125" i="74"/>
  <c r="AB161" i="74"/>
  <c r="AB130" i="74"/>
  <c r="AB109" i="74"/>
  <c r="AB117" i="74"/>
  <c r="AB124" i="74"/>
  <c r="AB57" i="74"/>
  <c r="AB65" i="74"/>
  <c r="AB170" i="74"/>
  <c r="AB138" i="74"/>
  <c r="AB108" i="74"/>
  <c r="AB143" i="74"/>
  <c r="AB72" i="74"/>
  <c r="AB166" i="74"/>
  <c r="AB176" i="74"/>
  <c r="AB84" i="74"/>
  <c r="AB67" i="74"/>
  <c r="AB172" i="74"/>
  <c r="AB64" i="74"/>
  <c r="AB112" i="74"/>
  <c r="AB78" i="74"/>
  <c r="AB87" i="74"/>
  <c r="AB113" i="74"/>
  <c r="AB105" i="74"/>
  <c r="AB102" i="74"/>
  <c r="AB83" i="74"/>
  <c r="AB9" i="74"/>
  <c r="AB86" i="74"/>
  <c r="AB51" i="74"/>
  <c r="AB116" i="74"/>
  <c r="AB15" i="74"/>
  <c r="AB96" i="74"/>
  <c r="AB137" i="74"/>
  <c r="AB70" i="74"/>
  <c r="AB139" i="74"/>
  <c r="AB171" i="74"/>
  <c r="AB118" i="74"/>
  <c r="AB123" i="74"/>
  <c r="AB106" i="74"/>
  <c r="AB134" i="74"/>
  <c r="AB155" i="74"/>
  <c r="AB152" i="74"/>
  <c r="AB146" i="74"/>
  <c r="AB69" i="74"/>
  <c r="AB164" i="74"/>
  <c r="AB163" i="74"/>
  <c r="AB158" i="74"/>
  <c r="AB11" i="74"/>
  <c r="AB156" i="74"/>
  <c r="AB128" i="74"/>
  <c r="AB168" i="74"/>
  <c r="AB169" i="74"/>
  <c r="AB122" i="74"/>
  <c r="AB111" i="74"/>
  <c r="AB131" i="74"/>
  <c r="AB13" i="74"/>
  <c r="AB136" i="74"/>
  <c r="AB31" i="74"/>
  <c r="AB55" i="74"/>
  <c r="AB98" i="74"/>
  <c r="AB142" i="74"/>
  <c r="AB74" i="74"/>
  <c r="AB104" i="74"/>
  <c r="AB39" i="74"/>
  <c r="AB150" i="74"/>
  <c r="AB154" i="74"/>
  <c r="AB101" i="74"/>
  <c r="AB73" i="74"/>
  <c r="AB66" i="74"/>
  <c r="AB41" i="74"/>
  <c r="AB167" i="74"/>
  <c r="AB157" i="74"/>
  <c r="AB53" i="74"/>
  <c r="AB100" i="74"/>
  <c r="AB97" i="74"/>
  <c r="AB79" i="74"/>
  <c r="AB81" i="74"/>
  <c r="AB120" i="74"/>
  <c r="AB177" i="74"/>
  <c r="AB107" i="74"/>
  <c r="AB17" i="74"/>
  <c r="AB49" i="74"/>
  <c r="AB133" i="74"/>
  <c r="AB135" i="74"/>
  <c r="AB119" i="74"/>
  <c r="AB89" i="74"/>
  <c r="AB151" i="74"/>
  <c r="AB99" i="74"/>
  <c r="AB144" i="74"/>
  <c r="AB132" i="74"/>
  <c r="AB88" i="74"/>
  <c r="AB80" i="74"/>
  <c r="AB75" i="74"/>
  <c r="AB45" i="74"/>
  <c r="AB43" i="74"/>
  <c r="AB175" i="74"/>
  <c r="AB82" i="74"/>
  <c r="AB71" i="74"/>
  <c r="AB21" i="74"/>
  <c r="AB110" i="74"/>
  <c r="AB103" i="74"/>
  <c r="AB121" i="74"/>
  <c r="AB159" i="74"/>
  <c r="AB126" i="74"/>
  <c r="AB93" i="74"/>
  <c r="AB115" i="74"/>
  <c r="AB160" i="74"/>
  <c r="AB77" i="74"/>
  <c r="AB76" i="74"/>
  <c r="AB173" i="74"/>
  <c r="AB180" i="74"/>
  <c r="AB174" i="74"/>
  <c r="AB165" i="74"/>
  <c r="AB91" i="74"/>
  <c r="AB129" i="74"/>
  <c r="AB63" i="74"/>
  <c r="AB94" i="74"/>
  <c r="AB127" i="74"/>
  <c r="AB27" i="74"/>
  <c r="AB153" i="74"/>
  <c r="AB59" i="74"/>
  <c r="AB35" i="74"/>
  <c r="AB92" i="74"/>
  <c r="AB147" i="74"/>
  <c r="AB23" i="74"/>
  <c r="AB114" i="74"/>
  <c r="AB140" i="74"/>
  <c r="AB29" i="74"/>
  <c r="AB162" i="74"/>
  <c r="AB25" i="74"/>
  <c r="AB141" i="74"/>
  <c r="AB90" i="74"/>
  <c r="AB148" i="74"/>
  <c r="AB19" i="74"/>
  <c r="AB85" i="74"/>
  <c r="AB68" i="74"/>
  <c r="AB149" i="74"/>
  <c r="AB95" i="74"/>
  <c r="AB33" i="74"/>
  <c r="AB61" i="74"/>
  <c r="AB37" i="74"/>
  <c r="F4" i="103" l="1"/>
  <c r="G4" i="103"/>
  <c r="H4" i="103"/>
  <c r="I4" i="103"/>
  <c r="J4" i="103"/>
  <c r="K4" i="103"/>
  <c r="L4" i="103"/>
  <c r="F5" i="103"/>
  <c r="G5" i="103"/>
  <c r="H5" i="103"/>
  <c r="I5" i="103"/>
  <c r="J5" i="103"/>
  <c r="K5" i="103"/>
  <c r="L5" i="103"/>
  <c r="G18" i="103"/>
  <c r="G37" i="103"/>
  <c r="G38" i="103"/>
  <c r="G82" i="103"/>
  <c r="G6" i="103"/>
  <c r="G7" i="103"/>
  <c r="G8" i="103"/>
  <c r="G10" i="103"/>
  <c r="G12" i="103"/>
  <c r="G14" i="103"/>
  <c r="G15" i="103"/>
  <c r="G16" i="103"/>
  <c r="G20" i="103"/>
  <c r="G21" i="103"/>
  <c r="G22" i="103"/>
  <c r="G23" i="103"/>
  <c r="G24" i="103"/>
  <c r="G27" i="103"/>
  <c r="G29" i="103"/>
  <c r="G30" i="103"/>
  <c r="G31" i="103"/>
  <c r="G32" i="103"/>
  <c r="G33" i="103"/>
  <c r="G34" i="103"/>
  <c r="G35" i="103"/>
  <c r="G36" i="103"/>
  <c r="G40" i="103"/>
  <c r="G41" i="103"/>
  <c r="G42" i="103"/>
  <c r="G44" i="103"/>
  <c r="G46" i="103"/>
  <c r="G52" i="103"/>
  <c r="G53" i="103"/>
  <c r="G59" i="103"/>
  <c r="G61" i="103"/>
  <c r="G62" i="103"/>
  <c r="G63" i="103"/>
  <c r="G65" i="103"/>
  <c r="G68" i="103"/>
  <c r="G69" i="103"/>
  <c r="G70" i="103"/>
  <c r="G72" i="103"/>
  <c r="G74" i="103"/>
  <c r="G77" i="103"/>
  <c r="G79" i="103"/>
  <c r="G80" i="103"/>
  <c r="G81" i="103"/>
  <c r="G83" i="103"/>
  <c r="G84" i="103"/>
  <c r="G88" i="103"/>
  <c r="G89" i="103"/>
  <c r="G90" i="103"/>
  <c r="G91" i="103"/>
  <c r="G93" i="103"/>
  <c r="G94" i="103"/>
  <c r="G96" i="103"/>
  <c r="G97" i="103"/>
  <c r="G106" i="103"/>
  <c r="G109" i="103"/>
  <c r="G110" i="103"/>
  <c r="G114" i="103"/>
  <c r="G117" i="103"/>
  <c r="G120" i="103"/>
  <c r="G121" i="103"/>
  <c r="G122" i="103"/>
  <c r="G123" i="103"/>
  <c r="G124" i="103"/>
  <c r="G126" i="103"/>
  <c r="G127" i="103"/>
  <c r="G128" i="103"/>
  <c r="G129" i="103"/>
  <c r="G131" i="103"/>
  <c r="G133" i="103"/>
  <c r="G134" i="103"/>
  <c r="G136" i="103"/>
  <c r="G138" i="103"/>
  <c r="G139" i="103"/>
  <c r="G140" i="103"/>
  <c r="G142" i="103"/>
  <c r="G143" i="103"/>
  <c r="G144" i="103"/>
  <c r="G145" i="103"/>
  <c r="G148" i="103"/>
  <c r="G151" i="103"/>
  <c r="G152" i="103"/>
  <c r="G153" i="103"/>
  <c r="G154" i="103"/>
  <c r="G155" i="103"/>
  <c r="G159" i="103"/>
  <c r="G161" i="103"/>
  <c r="G162" i="103"/>
  <c r="G163" i="103"/>
  <c r="G164" i="103"/>
  <c r="G165" i="103"/>
  <c r="G166" i="103"/>
  <c r="G170" i="103"/>
  <c r="G171" i="103"/>
  <c r="G173" i="103"/>
  <c r="G174" i="103"/>
  <c r="G175" i="103"/>
  <c r="G176" i="103"/>
  <c r="G177" i="103"/>
  <c r="G178" i="103"/>
  <c r="G180" i="103"/>
  <c r="G181" i="103"/>
  <c r="G183" i="103"/>
  <c r="G188" i="103"/>
  <c r="G192" i="103"/>
  <c r="G193" i="103"/>
  <c r="G195" i="103"/>
  <c r="G196" i="103"/>
  <c r="G197" i="103"/>
  <c r="G200" i="103"/>
  <c r="G202" i="103"/>
  <c r="G203" i="103"/>
  <c r="G207" i="103"/>
  <c r="G208" i="103"/>
  <c r="G215" i="103"/>
  <c r="G216" i="103"/>
  <c r="G220" i="103"/>
  <c r="G221" i="103"/>
  <c r="G222" i="103"/>
  <c r="G223" i="103"/>
  <c r="G227" i="103"/>
  <c r="G229" i="103"/>
  <c r="G230" i="103"/>
  <c r="G233" i="103"/>
  <c r="G235" i="103"/>
  <c r="G237" i="103"/>
  <c r="G238" i="103"/>
  <c r="G241" i="103"/>
  <c r="G245" i="103"/>
  <c r="G246" i="103"/>
  <c r="G248" i="103"/>
  <c r="G250" i="103"/>
  <c r="G251" i="103"/>
  <c r="G252" i="103"/>
  <c r="G255" i="103"/>
  <c r="G256" i="103"/>
  <c r="G257" i="103"/>
  <c r="G258" i="103"/>
  <c r="G262" i="103"/>
  <c r="G263" i="103"/>
  <c r="G264" i="103"/>
  <c r="G265" i="103"/>
  <c r="G269" i="103"/>
  <c r="G270" i="103"/>
  <c r="G271" i="103"/>
  <c r="G272" i="103"/>
  <c r="G273" i="103"/>
  <c r="G277" i="103"/>
  <c r="G278" i="103"/>
  <c r="G279" i="103"/>
  <c r="G280" i="103"/>
  <c r="G282" i="103"/>
  <c r="G284" i="103"/>
  <c r="G285" i="103"/>
  <c r="G290" i="103"/>
  <c r="G291" i="103"/>
  <c r="G292" i="103"/>
  <c r="G293" i="103"/>
  <c r="G294" i="103"/>
  <c r="G297" i="103"/>
  <c r="G298" i="103"/>
  <c r="G299" i="103"/>
  <c r="G300" i="103"/>
  <c r="G301" i="103"/>
  <c r="G302" i="103"/>
  <c r="G303" i="103"/>
  <c r="G304" i="103"/>
  <c r="G305" i="103"/>
  <c r="G308" i="103"/>
  <c r="G309" i="103"/>
  <c r="G313" i="103"/>
  <c r="G316" i="103"/>
  <c r="G317" i="103"/>
  <c r="G318" i="103"/>
  <c r="G320" i="103"/>
  <c r="G321" i="103"/>
  <c r="G323" i="103"/>
  <c r="G324" i="103"/>
  <c r="G325" i="103"/>
  <c r="G327" i="103"/>
  <c r="G329" i="103"/>
  <c r="G332" i="103"/>
  <c r="G333" i="103"/>
  <c r="G339" i="103"/>
  <c r="G340" i="103"/>
  <c r="G341" i="103"/>
  <c r="G342" i="103"/>
  <c r="G343" i="103"/>
  <c r="G345" i="103"/>
  <c r="G346" i="103"/>
  <c r="G347" i="103"/>
  <c r="G349" i="103"/>
  <c r="G350" i="103"/>
  <c r="G351" i="103"/>
  <c r="G353" i="103"/>
  <c r="G355" i="103"/>
  <c r="G356" i="103"/>
  <c r="G358" i="103"/>
  <c r="G359" i="103"/>
  <c r="G361" i="103"/>
  <c r="G363" i="103"/>
  <c r="G364" i="103"/>
  <c r="G365" i="103"/>
  <c r="G366" i="103"/>
  <c r="G367" i="103"/>
  <c r="G368" i="103"/>
  <c r="G370" i="103"/>
  <c r="G371" i="103"/>
  <c r="G372" i="103"/>
  <c r="G373" i="103"/>
  <c r="G374" i="103"/>
  <c r="G375" i="103"/>
  <c r="G376" i="103"/>
  <c r="G379" i="103"/>
  <c r="G380" i="103"/>
  <c r="G381" i="103"/>
  <c r="G383" i="103"/>
  <c r="G384" i="103"/>
  <c r="G385" i="103"/>
  <c r="G389" i="103"/>
  <c r="G392" i="103"/>
  <c r="G393" i="103"/>
  <c r="G394" i="103"/>
  <c r="G397" i="103"/>
  <c r="G398" i="103"/>
  <c r="G400" i="103"/>
  <c r="G401" i="103"/>
  <c r="G402" i="103"/>
  <c r="G403" i="103"/>
  <c r="G404" i="103"/>
  <c r="G405" i="103"/>
  <c r="G406" i="103"/>
  <c r="G408" i="103"/>
  <c r="G411" i="103"/>
  <c r="G412" i="103"/>
  <c r="G415" i="103"/>
  <c r="G416" i="103"/>
  <c r="G418" i="103"/>
  <c r="G420" i="103"/>
  <c r="G422" i="103"/>
  <c r="G425" i="103"/>
  <c r="G426" i="103"/>
  <c r="G427" i="103"/>
  <c r="G429" i="103"/>
  <c r="G430" i="103"/>
  <c r="G431" i="103"/>
  <c r="G434" i="103"/>
  <c r="G435" i="103"/>
  <c r="G437" i="103"/>
  <c r="G438" i="103"/>
  <c r="G439" i="103"/>
  <c r="AE5" i="103"/>
  <c r="I18" i="103"/>
  <c r="I37" i="103"/>
  <c r="I38" i="103"/>
  <c r="I82" i="103"/>
  <c r="I6" i="103"/>
  <c r="I7" i="103"/>
  <c r="I8" i="103"/>
  <c r="I10" i="103"/>
  <c r="I12" i="103"/>
  <c r="I14" i="103"/>
  <c r="I15" i="103"/>
  <c r="I16" i="103"/>
  <c r="I20" i="103"/>
  <c r="I21" i="103"/>
  <c r="I22" i="103"/>
  <c r="I23" i="103"/>
  <c r="I24" i="103"/>
  <c r="I27" i="103"/>
  <c r="I29" i="103"/>
  <c r="I30" i="103"/>
  <c r="I31" i="103"/>
  <c r="I32" i="103"/>
  <c r="I33" i="103"/>
  <c r="I34" i="103"/>
  <c r="I35" i="103"/>
  <c r="I36" i="103"/>
  <c r="I40" i="103"/>
  <c r="I41" i="103"/>
  <c r="I42" i="103"/>
  <c r="I44" i="103"/>
  <c r="I46" i="103"/>
  <c r="I52" i="103"/>
  <c r="I53" i="103"/>
  <c r="I59" i="103"/>
  <c r="I61" i="103"/>
  <c r="I62" i="103"/>
  <c r="I63" i="103"/>
  <c r="I65" i="103"/>
  <c r="I68" i="103"/>
  <c r="I69" i="103"/>
  <c r="I70" i="103"/>
  <c r="I72" i="103"/>
  <c r="I74" i="103"/>
  <c r="I77" i="103"/>
  <c r="I79" i="103"/>
  <c r="I80" i="103"/>
  <c r="I81" i="103"/>
  <c r="I83" i="103"/>
  <c r="I84" i="103"/>
  <c r="I88" i="103"/>
  <c r="I89" i="103"/>
  <c r="I90" i="103"/>
  <c r="I91" i="103"/>
  <c r="I93" i="103"/>
  <c r="I94" i="103"/>
  <c r="I96" i="103"/>
  <c r="I97" i="103"/>
  <c r="I106" i="103"/>
  <c r="I109" i="103"/>
  <c r="I110" i="103"/>
  <c r="I114" i="103"/>
  <c r="I117" i="103"/>
  <c r="I120" i="103"/>
  <c r="I121" i="103"/>
  <c r="I122" i="103"/>
  <c r="I123" i="103"/>
  <c r="I124" i="103"/>
  <c r="I126" i="103"/>
  <c r="I127" i="103"/>
  <c r="I128" i="103"/>
  <c r="I129" i="103"/>
  <c r="I131" i="103"/>
  <c r="I133" i="103"/>
  <c r="I134" i="103"/>
  <c r="I136" i="103"/>
  <c r="I138" i="103"/>
  <c r="I139" i="103"/>
  <c r="I140" i="103"/>
  <c r="I142" i="103"/>
  <c r="I143" i="103"/>
  <c r="I144" i="103"/>
  <c r="I145" i="103"/>
  <c r="I148" i="103"/>
  <c r="I151" i="103"/>
  <c r="I152" i="103"/>
  <c r="I153" i="103"/>
  <c r="I154" i="103"/>
  <c r="I155" i="103"/>
  <c r="I159" i="103"/>
  <c r="I161" i="103"/>
  <c r="I162" i="103"/>
  <c r="I163" i="103"/>
  <c r="I164" i="103"/>
  <c r="I165" i="103"/>
  <c r="I166" i="103"/>
  <c r="I170" i="103"/>
  <c r="I171" i="103"/>
  <c r="I173" i="103"/>
  <c r="I174" i="103"/>
  <c r="I175" i="103"/>
  <c r="I176" i="103"/>
  <c r="I177" i="103"/>
  <c r="I178" i="103"/>
  <c r="I180" i="103"/>
  <c r="I181" i="103"/>
  <c r="I183" i="103"/>
  <c r="I188" i="103"/>
  <c r="I192" i="103"/>
  <c r="I193" i="103"/>
  <c r="I195" i="103"/>
  <c r="I196" i="103"/>
  <c r="I197" i="103"/>
  <c r="I200" i="103"/>
  <c r="I202" i="103"/>
  <c r="I203" i="103"/>
  <c r="I207" i="103"/>
  <c r="I208" i="103"/>
  <c r="I215" i="103"/>
  <c r="I216" i="103"/>
  <c r="I220" i="103"/>
  <c r="I221" i="103"/>
  <c r="I222" i="103"/>
  <c r="I223" i="103"/>
  <c r="I227" i="103"/>
  <c r="I229" i="103"/>
  <c r="I230" i="103"/>
  <c r="I233" i="103"/>
  <c r="I235" i="103"/>
  <c r="I237" i="103"/>
  <c r="I238" i="103"/>
  <c r="I241" i="103"/>
  <c r="I245" i="103"/>
  <c r="I246" i="103"/>
  <c r="I248" i="103"/>
  <c r="I250" i="103"/>
  <c r="I251" i="103"/>
  <c r="I252" i="103"/>
  <c r="I255" i="103"/>
  <c r="I256" i="103"/>
  <c r="I257" i="103"/>
  <c r="I258" i="103"/>
  <c r="I262" i="103"/>
  <c r="I263" i="103"/>
  <c r="I264" i="103"/>
  <c r="I265" i="103"/>
  <c r="I269" i="103"/>
  <c r="I270" i="103"/>
  <c r="I271" i="103"/>
  <c r="I272" i="103"/>
  <c r="I273" i="103"/>
  <c r="I277" i="103"/>
  <c r="I278" i="103"/>
  <c r="I279" i="103"/>
  <c r="I280" i="103"/>
  <c r="I282" i="103"/>
  <c r="I284" i="103"/>
  <c r="I285" i="103"/>
  <c r="I290" i="103"/>
  <c r="I291" i="103"/>
  <c r="I292" i="103"/>
  <c r="I293" i="103"/>
  <c r="I294" i="103"/>
  <c r="I297" i="103"/>
  <c r="I298" i="103"/>
  <c r="I299" i="103"/>
  <c r="I300" i="103"/>
  <c r="I301" i="103"/>
  <c r="I302" i="103"/>
  <c r="I303" i="103"/>
  <c r="I304" i="103"/>
  <c r="I305" i="103"/>
  <c r="I308" i="103"/>
  <c r="I309" i="103"/>
  <c r="I313" i="103"/>
  <c r="I316" i="103"/>
  <c r="I317" i="103"/>
  <c r="I318" i="103"/>
  <c r="I320" i="103"/>
  <c r="I321" i="103"/>
  <c r="I323" i="103"/>
  <c r="I324" i="103"/>
  <c r="I325" i="103"/>
  <c r="I327" i="103"/>
  <c r="I329" i="103"/>
  <c r="I332" i="103"/>
  <c r="I333" i="103"/>
  <c r="I339" i="103"/>
  <c r="I340" i="103"/>
  <c r="I341" i="103"/>
  <c r="I342" i="103"/>
  <c r="I343" i="103"/>
  <c r="I345" i="103"/>
  <c r="I346" i="103"/>
  <c r="I347" i="103"/>
  <c r="I349" i="103"/>
  <c r="I350" i="103"/>
  <c r="I351" i="103"/>
  <c r="I353" i="103"/>
  <c r="I355" i="103"/>
  <c r="I356" i="103"/>
  <c r="I358" i="103"/>
  <c r="I359" i="103"/>
  <c r="I361" i="103"/>
  <c r="I363" i="103"/>
  <c r="I364" i="103"/>
  <c r="I365" i="103"/>
  <c r="I366" i="103"/>
  <c r="I367" i="103"/>
  <c r="I368" i="103"/>
  <c r="I370" i="103"/>
  <c r="I371" i="103"/>
  <c r="I372" i="103"/>
  <c r="I373" i="103"/>
  <c r="I374" i="103"/>
  <c r="I375" i="103"/>
  <c r="I376" i="103"/>
  <c r="I379" i="103"/>
  <c r="I380" i="103"/>
  <c r="I381" i="103"/>
  <c r="I383" i="103"/>
  <c r="I384" i="103"/>
  <c r="I385" i="103"/>
  <c r="I389" i="103"/>
  <c r="I392" i="103"/>
  <c r="I393" i="103"/>
  <c r="I394" i="103"/>
  <c r="I397" i="103"/>
  <c r="I398" i="103"/>
  <c r="I400" i="103"/>
  <c r="I401" i="103"/>
  <c r="I402" i="103"/>
  <c r="I403" i="103"/>
  <c r="I404" i="103"/>
  <c r="I405" i="103"/>
  <c r="I406" i="103"/>
  <c r="I408" i="103"/>
  <c r="I411" i="103"/>
  <c r="I412" i="103"/>
  <c r="I415" i="103"/>
  <c r="I416" i="103"/>
  <c r="I418" i="103"/>
  <c r="I420" i="103"/>
  <c r="I422" i="103"/>
  <c r="I425" i="103"/>
  <c r="I426" i="103"/>
  <c r="I427" i="103"/>
  <c r="I429" i="103"/>
  <c r="I430" i="103"/>
  <c r="I431" i="103"/>
  <c r="I434" i="103"/>
  <c r="I435" i="103"/>
  <c r="I437" i="103"/>
  <c r="I438" i="103"/>
  <c r="I439" i="103"/>
  <c r="AI5" i="103"/>
  <c r="AG5" i="103"/>
  <c r="AC5" i="103"/>
  <c r="H18" i="103"/>
  <c r="H37" i="103"/>
  <c r="H38" i="103"/>
  <c r="H82" i="103"/>
  <c r="H6" i="103"/>
  <c r="H7" i="103"/>
  <c r="H8" i="103"/>
  <c r="H10" i="103"/>
  <c r="H12" i="103"/>
  <c r="H14" i="103"/>
  <c r="H15" i="103"/>
  <c r="H16" i="103"/>
  <c r="H20" i="103"/>
  <c r="H21" i="103"/>
  <c r="H22" i="103"/>
  <c r="H23" i="103"/>
  <c r="H24" i="103"/>
  <c r="H27" i="103"/>
  <c r="H29" i="103"/>
  <c r="H30" i="103"/>
  <c r="H31" i="103"/>
  <c r="H32" i="103"/>
  <c r="H33" i="103"/>
  <c r="H34" i="103"/>
  <c r="H35" i="103"/>
  <c r="H36" i="103"/>
  <c r="H40" i="103"/>
  <c r="H41" i="103"/>
  <c r="H42" i="103"/>
  <c r="H44" i="103"/>
  <c r="H46" i="103"/>
  <c r="H52" i="103"/>
  <c r="H53" i="103"/>
  <c r="H59" i="103"/>
  <c r="H61" i="103"/>
  <c r="H62" i="103"/>
  <c r="H63" i="103"/>
  <c r="H65" i="103"/>
  <c r="H68" i="103"/>
  <c r="H69" i="103"/>
  <c r="H70" i="103"/>
  <c r="H72" i="103"/>
  <c r="H74" i="103"/>
  <c r="H77" i="103"/>
  <c r="H79" i="103"/>
  <c r="H80" i="103"/>
  <c r="H81" i="103"/>
  <c r="H83" i="103"/>
  <c r="H84" i="103"/>
  <c r="H88" i="103"/>
  <c r="H89" i="103"/>
  <c r="H90" i="103"/>
  <c r="H91" i="103"/>
  <c r="H93" i="103"/>
  <c r="H94" i="103"/>
  <c r="H96" i="103"/>
  <c r="H97" i="103"/>
  <c r="H106" i="103"/>
  <c r="H109" i="103"/>
  <c r="H110" i="103"/>
  <c r="H114" i="103"/>
  <c r="H117" i="103"/>
  <c r="H120" i="103"/>
  <c r="H121" i="103"/>
  <c r="H122" i="103"/>
  <c r="H123" i="103"/>
  <c r="H124" i="103"/>
  <c r="H126" i="103"/>
  <c r="H127" i="103"/>
  <c r="H128" i="103"/>
  <c r="H129" i="103"/>
  <c r="H131" i="103"/>
  <c r="H133" i="103"/>
  <c r="H134" i="103"/>
  <c r="H136" i="103"/>
  <c r="H138" i="103"/>
  <c r="H139" i="103"/>
  <c r="H140" i="103"/>
  <c r="H142" i="103"/>
  <c r="H143" i="103"/>
  <c r="H144" i="103"/>
  <c r="H145" i="103"/>
  <c r="H148" i="103"/>
  <c r="H151" i="103"/>
  <c r="H152" i="103"/>
  <c r="H153" i="103"/>
  <c r="H154" i="103"/>
  <c r="H155" i="103"/>
  <c r="H159" i="103"/>
  <c r="H161" i="103"/>
  <c r="H162" i="103"/>
  <c r="H163" i="103"/>
  <c r="H164" i="103"/>
  <c r="H165" i="103"/>
  <c r="H166" i="103"/>
  <c r="H170" i="103"/>
  <c r="H171" i="103"/>
  <c r="H173" i="103"/>
  <c r="H174" i="103"/>
  <c r="H175" i="103"/>
  <c r="H176" i="103"/>
  <c r="H177" i="103"/>
  <c r="H178" i="103"/>
  <c r="H180" i="103"/>
  <c r="H181" i="103"/>
  <c r="H183" i="103"/>
  <c r="H188" i="103"/>
  <c r="H192" i="103"/>
  <c r="H193" i="103"/>
  <c r="H195" i="103"/>
  <c r="H196" i="103"/>
  <c r="H197" i="103"/>
  <c r="H200" i="103"/>
  <c r="H202" i="103"/>
  <c r="H203" i="103"/>
  <c r="H207" i="103"/>
  <c r="H208" i="103"/>
  <c r="H215" i="103"/>
  <c r="H216" i="103"/>
  <c r="H220" i="103"/>
  <c r="H221" i="103"/>
  <c r="H222" i="103"/>
  <c r="H223" i="103"/>
  <c r="H227" i="103"/>
  <c r="H229" i="103"/>
  <c r="H230" i="103"/>
  <c r="H233" i="103"/>
  <c r="H235" i="103"/>
  <c r="H237" i="103"/>
  <c r="H238" i="103"/>
  <c r="H241" i="103"/>
  <c r="H245" i="103"/>
  <c r="H246" i="103"/>
  <c r="H248" i="103"/>
  <c r="H250" i="103"/>
  <c r="H251" i="103"/>
  <c r="H252" i="103"/>
  <c r="H255" i="103"/>
  <c r="H256" i="103"/>
  <c r="H257" i="103"/>
  <c r="H258" i="103"/>
  <c r="H262" i="103"/>
  <c r="H263" i="103"/>
  <c r="H264" i="103"/>
  <c r="H265" i="103"/>
  <c r="H269" i="103"/>
  <c r="H270" i="103"/>
  <c r="H271" i="103"/>
  <c r="H272" i="103"/>
  <c r="H273" i="103"/>
  <c r="H277" i="103"/>
  <c r="H278" i="103"/>
  <c r="H279" i="103"/>
  <c r="H280" i="103"/>
  <c r="H282" i="103"/>
  <c r="H284" i="103"/>
  <c r="H285" i="103"/>
  <c r="H290" i="103"/>
  <c r="H291" i="103"/>
  <c r="H292" i="103"/>
  <c r="H293" i="103"/>
  <c r="H294" i="103"/>
  <c r="H297" i="103"/>
  <c r="H298" i="103"/>
  <c r="H299" i="103"/>
  <c r="H300" i="103"/>
  <c r="H301" i="103"/>
  <c r="H302" i="103"/>
  <c r="H303" i="103"/>
  <c r="H304" i="103"/>
  <c r="H305" i="103"/>
  <c r="H308" i="103"/>
  <c r="H309" i="103"/>
  <c r="H313" i="103"/>
  <c r="H316" i="103"/>
  <c r="H317" i="103"/>
  <c r="H318" i="103"/>
  <c r="H320" i="103"/>
  <c r="H321" i="103"/>
  <c r="H323" i="103"/>
  <c r="H324" i="103"/>
  <c r="H325" i="103"/>
  <c r="H327" i="103"/>
  <c r="H329" i="103"/>
  <c r="H332" i="103"/>
  <c r="H333" i="103"/>
  <c r="H339" i="103"/>
  <c r="H340" i="103"/>
  <c r="H341" i="103"/>
  <c r="H342" i="103"/>
  <c r="H343" i="103"/>
  <c r="H345" i="103"/>
  <c r="H346" i="103"/>
  <c r="H347" i="103"/>
  <c r="H349" i="103"/>
  <c r="H350" i="103"/>
  <c r="H351" i="103"/>
  <c r="H353" i="103"/>
  <c r="H355" i="103"/>
  <c r="H356" i="103"/>
  <c r="H358" i="103"/>
  <c r="H359" i="103"/>
  <c r="H361" i="103"/>
  <c r="H363" i="103"/>
  <c r="H364" i="103"/>
  <c r="H365" i="103"/>
  <c r="H366" i="103"/>
  <c r="H367" i="103"/>
  <c r="H368" i="103"/>
  <c r="H370" i="103"/>
  <c r="H371" i="103"/>
  <c r="H372" i="103"/>
  <c r="H373" i="103"/>
  <c r="H374" i="103"/>
  <c r="H375" i="103"/>
  <c r="H376" i="103"/>
  <c r="H379" i="103"/>
  <c r="H380" i="103"/>
  <c r="H381" i="103"/>
  <c r="H383" i="103"/>
  <c r="H384" i="103"/>
  <c r="H385" i="103"/>
  <c r="H389" i="103"/>
  <c r="H392" i="103"/>
  <c r="H393" i="103"/>
  <c r="H394" i="103"/>
  <c r="H397" i="103"/>
  <c r="H398" i="103"/>
  <c r="H400" i="103"/>
  <c r="H401" i="103"/>
  <c r="H402" i="103"/>
  <c r="H403" i="103"/>
  <c r="H404" i="103"/>
  <c r="H405" i="103"/>
  <c r="H406" i="103"/>
  <c r="H408" i="103"/>
  <c r="H411" i="103"/>
  <c r="H412" i="103"/>
  <c r="H415" i="103"/>
  <c r="H416" i="103"/>
  <c r="H418" i="103"/>
  <c r="H420" i="103"/>
  <c r="H422" i="103"/>
  <c r="H425" i="103"/>
  <c r="H426" i="103"/>
  <c r="H427" i="103"/>
  <c r="H429" i="103"/>
  <c r="H430" i="103"/>
  <c r="H431" i="103"/>
  <c r="H434" i="103"/>
  <c r="H435" i="103"/>
  <c r="H437" i="103"/>
  <c r="H438" i="103"/>
  <c r="H439" i="103"/>
  <c r="AF5" i="103"/>
  <c r="J18" i="103"/>
  <c r="J37" i="103"/>
  <c r="J38" i="103"/>
  <c r="J82" i="103"/>
  <c r="J6" i="103"/>
  <c r="J7" i="103"/>
  <c r="J8" i="103"/>
  <c r="J10" i="103"/>
  <c r="J12" i="103"/>
  <c r="J14" i="103"/>
  <c r="J15" i="103"/>
  <c r="J16" i="103"/>
  <c r="J20" i="103"/>
  <c r="J21" i="103"/>
  <c r="J22" i="103"/>
  <c r="J23" i="103"/>
  <c r="J24" i="103"/>
  <c r="J27" i="103"/>
  <c r="J29" i="103"/>
  <c r="J30" i="103"/>
  <c r="J31" i="103"/>
  <c r="J32" i="103"/>
  <c r="J33" i="103"/>
  <c r="J34" i="103"/>
  <c r="J35" i="103"/>
  <c r="J36" i="103"/>
  <c r="J40" i="103"/>
  <c r="J41" i="103"/>
  <c r="J42" i="103"/>
  <c r="J44" i="103"/>
  <c r="J46" i="103"/>
  <c r="J52" i="103"/>
  <c r="J53" i="103"/>
  <c r="J59" i="103"/>
  <c r="J61" i="103"/>
  <c r="J62" i="103"/>
  <c r="J63" i="103"/>
  <c r="J65" i="103"/>
  <c r="J68" i="103"/>
  <c r="J69" i="103"/>
  <c r="J70" i="103"/>
  <c r="J72" i="103"/>
  <c r="J74" i="103"/>
  <c r="J77" i="103"/>
  <c r="J79" i="103"/>
  <c r="J80" i="103"/>
  <c r="J81" i="103"/>
  <c r="J83" i="103"/>
  <c r="J84" i="103"/>
  <c r="J88" i="103"/>
  <c r="J89" i="103"/>
  <c r="J90" i="103"/>
  <c r="J91" i="103"/>
  <c r="J93" i="103"/>
  <c r="J94" i="103"/>
  <c r="J96" i="103"/>
  <c r="J97" i="103"/>
  <c r="J106" i="103"/>
  <c r="J109" i="103"/>
  <c r="J110" i="103"/>
  <c r="J114" i="103"/>
  <c r="J117" i="103"/>
  <c r="J120" i="103"/>
  <c r="J121" i="103"/>
  <c r="J122" i="103"/>
  <c r="J123" i="103"/>
  <c r="J124" i="103"/>
  <c r="J126" i="103"/>
  <c r="J127" i="103"/>
  <c r="J128" i="103"/>
  <c r="J129" i="103"/>
  <c r="J131" i="103"/>
  <c r="J133" i="103"/>
  <c r="J134" i="103"/>
  <c r="J136" i="103"/>
  <c r="J138" i="103"/>
  <c r="J139" i="103"/>
  <c r="J140" i="103"/>
  <c r="J142" i="103"/>
  <c r="J143" i="103"/>
  <c r="J144" i="103"/>
  <c r="J145" i="103"/>
  <c r="J148" i="103"/>
  <c r="J151" i="103"/>
  <c r="J152" i="103"/>
  <c r="J153" i="103"/>
  <c r="J154" i="103"/>
  <c r="J155" i="103"/>
  <c r="J159" i="103"/>
  <c r="J161" i="103"/>
  <c r="J162" i="103"/>
  <c r="J163" i="103"/>
  <c r="J164" i="103"/>
  <c r="J165" i="103"/>
  <c r="J166" i="103"/>
  <c r="J170" i="103"/>
  <c r="J171" i="103"/>
  <c r="J173" i="103"/>
  <c r="J174" i="103"/>
  <c r="J175" i="103"/>
  <c r="J176" i="103"/>
  <c r="J177" i="103"/>
  <c r="J178" i="103"/>
  <c r="J180" i="103"/>
  <c r="J181" i="103"/>
  <c r="J183" i="103"/>
  <c r="J188" i="103"/>
  <c r="J192" i="103"/>
  <c r="J193" i="103"/>
  <c r="J195" i="103"/>
  <c r="J196" i="103"/>
  <c r="J197" i="103"/>
  <c r="J200" i="103"/>
  <c r="J202" i="103"/>
  <c r="J203" i="103"/>
  <c r="J207" i="103"/>
  <c r="J208" i="103"/>
  <c r="J215" i="103"/>
  <c r="J216" i="103"/>
  <c r="J220" i="103"/>
  <c r="J221" i="103"/>
  <c r="J222" i="103"/>
  <c r="J223" i="103"/>
  <c r="J227" i="103"/>
  <c r="J229" i="103"/>
  <c r="J230" i="103"/>
  <c r="J233" i="103"/>
  <c r="J235" i="103"/>
  <c r="J237" i="103"/>
  <c r="J238" i="103"/>
  <c r="J241" i="103"/>
  <c r="J245" i="103"/>
  <c r="J246" i="103"/>
  <c r="J248" i="103"/>
  <c r="J250" i="103"/>
  <c r="J251" i="103"/>
  <c r="J252" i="103"/>
  <c r="J255" i="103"/>
  <c r="J256" i="103"/>
  <c r="J257" i="103"/>
  <c r="J258" i="103"/>
  <c r="J262" i="103"/>
  <c r="J263" i="103"/>
  <c r="J264" i="103"/>
  <c r="J265" i="103"/>
  <c r="J269" i="103"/>
  <c r="J270" i="103"/>
  <c r="J271" i="103"/>
  <c r="J272" i="103"/>
  <c r="J273" i="103"/>
  <c r="J277" i="103"/>
  <c r="J278" i="103"/>
  <c r="J279" i="103"/>
  <c r="J280" i="103"/>
  <c r="J282" i="103"/>
  <c r="J284" i="103"/>
  <c r="J285" i="103"/>
  <c r="J290" i="103"/>
  <c r="J291" i="103"/>
  <c r="J292" i="103"/>
  <c r="J293" i="103"/>
  <c r="J294" i="103"/>
  <c r="J297" i="103"/>
  <c r="J298" i="103"/>
  <c r="J299" i="103"/>
  <c r="J300" i="103"/>
  <c r="J301" i="103"/>
  <c r="J302" i="103"/>
  <c r="J303" i="103"/>
  <c r="J304" i="103"/>
  <c r="J305" i="103"/>
  <c r="J308" i="103"/>
  <c r="J309" i="103"/>
  <c r="J313" i="103"/>
  <c r="J316" i="103"/>
  <c r="J317" i="103"/>
  <c r="J318" i="103"/>
  <c r="J320" i="103"/>
  <c r="J321" i="103"/>
  <c r="J323" i="103"/>
  <c r="J324" i="103"/>
  <c r="J325" i="103"/>
  <c r="J327" i="103"/>
  <c r="J329" i="103"/>
  <c r="J332" i="103"/>
  <c r="J333" i="103"/>
  <c r="J339" i="103"/>
  <c r="J340" i="103"/>
  <c r="J341" i="103"/>
  <c r="J342" i="103"/>
  <c r="J343" i="103"/>
  <c r="J345" i="103"/>
  <c r="J346" i="103"/>
  <c r="J347" i="103"/>
  <c r="J349" i="103"/>
  <c r="J350" i="103"/>
  <c r="J351" i="103"/>
  <c r="J353" i="103"/>
  <c r="J355" i="103"/>
  <c r="J356" i="103"/>
  <c r="J358" i="103"/>
  <c r="J359" i="103"/>
  <c r="J361" i="103"/>
  <c r="J363" i="103"/>
  <c r="J364" i="103"/>
  <c r="J365" i="103"/>
  <c r="J366" i="103"/>
  <c r="J367" i="103"/>
  <c r="J368" i="103"/>
  <c r="J370" i="103"/>
  <c r="J371" i="103"/>
  <c r="J372" i="103"/>
  <c r="J373" i="103"/>
  <c r="J374" i="103"/>
  <c r="J375" i="103"/>
  <c r="J376" i="103"/>
  <c r="J379" i="103"/>
  <c r="J380" i="103"/>
  <c r="J381" i="103"/>
  <c r="J383" i="103"/>
  <c r="J384" i="103"/>
  <c r="J385" i="103"/>
  <c r="J389" i="103"/>
  <c r="J392" i="103"/>
  <c r="J393" i="103"/>
  <c r="J394" i="103"/>
  <c r="J397" i="103"/>
  <c r="J398" i="103"/>
  <c r="J400" i="103"/>
  <c r="J401" i="103"/>
  <c r="J402" i="103"/>
  <c r="J403" i="103"/>
  <c r="J404" i="103"/>
  <c r="J405" i="103"/>
  <c r="J406" i="103"/>
  <c r="J408" i="103"/>
  <c r="J411" i="103"/>
  <c r="J412" i="103"/>
  <c r="J415" i="103"/>
  <c r="J416" i="103"/>
  <c r="J418" i="103"/>
  <c r="J420" i="103"/>
  <c r="J422" i="103"/>
  <c r="J425" i="103"/>
  <c r="J426" i="103"/>
  <c r="J427" i="103"/>
  <c r="J429" i="103"/>
  <c r="J430" i="103"/>
  <c r="J431" i="103"/>
  <c r="J434" i="103"/>
  <c r="J435" i="103"/>
  <c r="J437" i="103"/>
  <c r="J438" i="103"/>
  <c r="J439" i="103"/>
  <c r="AJ5" i="103"/>
  <c r="AH5" i="103"/>
  <c r="AD5" i="103"/>
  <c r="AW5" i="103"/>
  <c r="AX5" i="103"/>
  <c r="AY5" i="103"/>
  <c r="AZ5" i="103"/>
  <c r="BA5" i="103"/>
  <c r="BB5" i="103"/>
  <c r="BC5" i="103"/>
  <c r="BD5" i="103"/>
  <c r="BI5" i="103"/>
  <c r="BM5" i="103"/>
  <c r="F6" i="103"/>
  <c r="K6" i="103"/>
  <c r="L6" i="103"/>
  <c r="AE6" i="103"/>
  <c r="AI6" i="103"/>
  <c r="AG6" i="103"/>
  <c r="AC6" i="103"/>
  <c r="AF6" i="103"/>
  <c r="AJ6" i="103"/>
  <c r="AH6" i="103"/>
  <c r="AD6" i="103"/>
  <c r="AW6" i="103"/>
  <c r="AX6" i="103"/>
  <c r="AY6" i="103"/>
  <c r="AZ6" i="103"/>
  <c r="BA6" i="103"/>
  <c r="BB6" i="103"/>
  <c r="BC6" i="103"/>
  <c r="BD6" i="103"/>
  <c r="BI6" i="103"/>
  <c r="BM6" i="103"/>
  <c r="F7" i="103"/>
  <c r="K7" i="103"/>
  <c r="L7" i="103"/>
  <c r="AE7" i="103"/>
  <c r="AI7" i="103"/>
  <c r="AG7" i="103"/>
  <c r="AC7" i="103"/>
  <c r="AF7" i="103"/>
  <c r="AJ7" i="103"/>
  <c r="AH7" i="103"/>
  <c r="AD7" i="103"/>
  <c r="AW7" i="103"/>
  <c r="AX7" i="103"/>
  <c r="AY7" i="103"/>
  <c r="AZ7" i="103"/>
  <c r="BA7" i="103"/>
  <c r="BB7" i="103"/>
  <c r="BC7" i="103"/>
  <c r="BD7" i="103"/>
  <c r="BI7" i="103"/>
  <c r="BM7" i="103"/>
  <c r="BV7" i="103"/>
  <c r="BW7" i="103"/>
  <c r="BX7" i="103"/>
  <c r="BY7" i="103"/>
  <c r="CB7" i="103"/>
  <c r="F8" i="103"/>
  <c r="K8" i="103"/>
  <c r="L8" i="103"/>
  <c r="AE8" i="103"/>
  <c r="AI8" i="103"/>
  <c r="AG8" i="103"/>
  <c r="AC8" i="103"/>
  <c r="AF8" i="103"/>
  <c r="AJ8" i="103"/>
  <c r="AH8" i="103"/>
  <c r="AD8" i="103"/>
  <c r="AW8" i="103"/>
  <c r="AX8" i="103"/>
  <c r="AY8" i="103"/>
  <c r="AZ8" i="103"/>
  <c r="BA8" i="103"/>
  <c r="BB8" i="103"/>
  <c r="BC8" i="103"/>
  <c r="BD8" i="103"/>
  <c r="BV19" i="103"/>
  <c r="BW19" i="103"/>
  <c r="BX19" i="103"/>
  <c r="BY19" i="103"/>
  <c r="CB19" i="103"/>
  <c r="BI8" i="103"/>
  <c r="BV8" i="103"/>
  <c r="BW8" i="103"/>
  <c r="BX8" i="103"/>
  <c r="BY8" i="103"/>
  <c r="CB8" i="103"/>
  <c r="CC8" i="103"/>
  <c r="CD8" i="103"/>
  <c r="BV9" i="103"/>
  <c r="BW9" i="103"/>
  <c r="BX9" i="103"/>
  <c r="BY9" i="103"/>
  <c r="CB9" i="103"/>
  <c r="F10" i="103"/>
  <c r="K10" i="103"/>
  <c r="L10" i="103"/>
  <c r="BV10" i="103"/>
  <c r="BW10" i="103"/>
  <c r="BX10" i="103"/>
  <c r="BY10" i="103"/>
  <c r="CB10" i="103"/>
  <c r="CC10" i="103"/>
  <c r="CD10" i="103"/>
  <c r="AC11" i="103"/>
  <c r="AD11" i="103"/>
  <c r="AE11" i="103"/>
  <c r="AF11" i="103"/>
  <c r="BV11" i="103"/>
  <c r="BW11" i="103"/>
  <c r="BX11" i="103"/>
  <c r="BY11" i="103"/>
  <c r="CB11" i="103"/>
  <c r="F12" i="103"/>
  <c r="K12" i="103"/>
  <c r="L12" i="103"/>
  <c r="AC12" i="103"/>
  <c r="AD12" i="103"/>
  <c r="AE12" i="103"/>
  <c r="AF12" i="103"/>
  <c r="AW12" i="103"/>
  <c r="AX12" i="103"/>
  <c r="AY12" i="103"/>
  <c r="AZ12" i="103"/>
  <c r="BA12" i="103"/>
  <c r="BB12" i="103"/>
  <c r="BC12" i="103"/>
  <c r="BD12" i="103"/>
  <c r="BV12" i="103"/>
  <c r="BW12" i="103"/>
  <c r="BX12" i="103"/>
  <c r="BY12" i="103"/>
  <c r="CB12" i="103"/>
  <c r="CC12" i="103"/>
  <c r="CD12" i="103"/>
  <c r="AC13" i="103"/>
  <c r="AD13" i="103"/>
  <c r="AE13" i="103"/>
  <c r="AF13" i="103"/>
  <c r="AW13" i="103"/>
  <c r="AX13" i="103"/>
  <c r="AY13" i="103"/>
  <c r="AZ13" i="103"/>
  <c r="BA13" i="103"/>
  <c r="BB13" i="103"/>
  <c r="BC13" i="103"/>
  <c r="BD13" i="103"/>
  <c r="BV13" i="103"/>
  <c r="BW13" i="103"/>
  <c r="BX13" i="103"/>
  <c r="BY13" i="103"/>
  <c r="CB13" i="103"/>
  <c r="F14" i="103"/>
  <c r="K14" i="103"/>
  <c r="L14" i="103"/>
  <c r="AC14" i="103"/>
  <c r="AD14" i="103"/>
  <c r="AE14" i="103"/>
  <c r="AF14" i="103"/>
  <c r="AW14" i="103"/>
  <c r="AX14" i="103"/>
  <c r="AY14" i="103"/>
  <c r="AZ14" i="103"/>
  <c r="BA14" i="103"/>
  <c r="BB14" i="103"/>
  <c r="BC14" i="103"/>
  <c r="BD14" i="103"/>
  <c r="BV14" i="103"/>
  <c r="BW14" i="103"/>
  <c r="BX14" i="103"/>
  <c r="BY14" i="103"/>
  <c r="CB14" i="103"/>
  <c r="CC14" i="103"/>
  <c r="CD14" i="103"/>
  <c r="F15" i="103"/>
  <c r="K15" i="103"/>
  <c r="L15" i="103"/>
  <c r="AW15" i="103"/>
  <c r="AX15" i="103"/>
  <c r="AY15" i="103"/>
  <c r="AZ15" i="103"/>
  <c r="BA15" i="103"/>
  <c r="BB15" i="103"/>
  <c r="BC15" i="103"/>
  <c r="BD15" i="103"/>
  <c r="BV15" i="103"/>
  <c r="BW15" i="103"/>
  <c r="BX15" i="103"/>
  <c r="BY15" i="103"/>
  <c r="CB15" i="103"/>
  <c r="F16" i="103"/>
  <c r="K16" i="103"/>
  <c r="L16" i="103"/>
  <c r="BV16" i="103"/>
  <c r="BW16" i="103"/>
  <c r="BX16" i="103"/>
  <c r="BY16" i="103"/>
  <c r="CB16" i="103"/>
  <c r="CC16" i="103"/>
  <c r="CD16" i="103"/>
  <c r="BV17" i="103"/>
  <c r="BW17" i="103"/>
  <c r="BX17" i="103"/>
  <c r="BY17" i="103"/>
  <c r="CB17" i="103"/>
  <c r="F18" i="103"/>
  <c r="K18" i="103"/>
  <c r="L18" i="103"/>
  <c r="AC18" i="103"/>
  <c r="AD18" i="103"/>
  <c r="AE18" i="103"/>
  <c r="AF18" i="103"/>
  <c r="AW18" i="103"/>
  <c r="AX18" i="103"/>
  <c r="AY18" i="103"/>
  <c r="AZ18" i="103"/>
  <c r="BV18" i="103"/>
  <c r="BW18" i="103"/>
  <c r="BX18" i="103"/>
  <c r="BY18" i="103"/>
  <c r="CB18" i="103"/>
  <c r="CC18" i="103"/>
  <c r="CD18" i="103"/>
  <c r="AC19" i="103"/>
  <c r="AD19" i="103"/>
  <c r="AE19" i="103"/>
  <c r="AF19" i="103"/>
  <c r="AW19" i="103"/>
  <c r="AX19" i="103"/>
  <c r="AY19" i="103"/>
  <c r="AZ19" i="103"/>
  <c r="F20" i="103"/>
  <c r="K20" i="103"/>
  <c r="L20" i="103"/>
  <c r="AC20" i="103"/>
  <c r="AD20" i="103"/>
  <c r="AE20" i="103"/>
  <c r="AF20" i="103"/>
  <c r="AW20" i="103"/>
  <c r="AX20" i="103"/>
  <c r="AY20" i="103"/>
  <c r="AZ20" i="103"/>
  <c r="BV20" i="103"/>
  <c r="BW20" i="103"/>
  <c r="BX20" i="103"/>
  <c r="BY20" i="103"/>
  <c r="CB20" i="103"/>
  <c r="CC20" i="103"/>
  <c r="CD20" i="103"/>
  <c r="F21" i="103"/>
  <c r="K21" i="103"/>
  <c r="L21" i="103"/>
  <c r="AC21" i="103"/>
  <c r="AD21" i="103"/>
  <c r="AE21" i="103"/>
  <c r="AF21" i="103"/>
  <c r="AW21" i="103"/>
  <c r="AX21" i="103"/>
  <c r="AY21" i="103"/>
  <c r="AZ21" i="103"/>
  <c r="BV21" i="103"/>
  <c r="BW21" i="103"/>
  <c r="BX21" i="103"/>
  <c r="BY21" i="103"/>
  <c r="CB21" i="103"/>
  <c r="F22" i="103"/>
  <c r="K22" i="103"/>
  <c r="L22" i="103"/>
  <c r="BV22" i="103"/>
  <c r="BW22" i="103"/>
  <c r="BX22" i="103"/>
  <c r="BY22" i="103"/>
  <c r="CB22" i="103"/>
  <c r="CC22" i="103"/>
  <c r="CD22" i="103"/>
  <c r="F23" i="103"/>
  <c r="K23" i="103"/>
  <c r="L23" i="103"/>
  <c r="F24" i="103"/>
  <c r="K24" i="103"/>
  <c r="L24" i="103"/>
  <c r="AW25" i="103"/>
  <c r="AX25" i="103"/>
  <c r="AY25" i="103"/>
  <c r="AZ25" i="103"/>
  <c r="BR25" i="103"/>
  <c r="BS25" i="103"/>
  <c r="BT25" i="103"/>
  <c r="BU25" i="103"/>
  <c r="BV25" i="103"/>
  <c r="AW26" i="103"/>
  <c r="AX26" i="103"/>
  <c r="AY26" i="103"/>
  <c r="AZ26" i="103"/>
  <c r="F27" i="103"/>
  <c r="K27" i="103"/>
  <c r="L27" i="103"/>
  <c r="AW27" i="103"/>
  <c r="AX27" i="103"/>
  <c r="AY27" i="103"/>
  <c r="AZ27" i="103"/>
  <c r="AD28" i="103"/>
  <c r="AE28" i="103"/>
  <c r="AH28" i="103"/>
  <c r="AI28" i="103"/>
  <c r="AW28" i="103"/>
  <c r="AX28" i="103"/>
  <c r="AY28" i="103"/>
  <c r="AZ28" i="103"/>
  <c r="F29" i="103"/>
  <c r="K29" i="103"/>
  <c r="L29" i="103"/>
  <c r="AD29" i="103"/>
  <c r="AE29" i="103"/>
  <c r="AH29" i="103"/>
  <c r="AI29" i="103"/>
  <c r="F30" i="103"/>
  <c r="K30" i="103"/>
  <c r="L30" i="103"/>
  <c r="AD30" i="103"/>
  <c r="AE30" i="103"/>
  <c r="AH30" i="103"/>
  <c r="AI30" i="103"/>
  <c r="F31" i="103"/>
  <c r="K31" i="103"/>
  <c r="L31" i="103"/>
  <c r="BR31" i="103"/>
  <c r="BS31" i="103"/>
  <c r="BT31" i="103"/>
  <c r="BU31" i="103"/>
  <c r="F32" i="103"/>
  <c r="K32" i="103"/>
  <c r="F33" i="103"/>
  <c r="K33" i="103"/>
  <c r="L33" i="103"/>
  <c r="AB33" i="103"/>
  <c r="AC33" i="103"/>
  <c r="AD33" i="103"/>
  <c r="AE33" i="103"/>
  <c r="F34" i="103"/>
  <c r="K34" i="103"/>
  <c r="L34" i="103"/>
  <c r="AB34" i="103"/>
  <c r="AC34" i="103"/>
  <c r="AD34" i="103"/>
  <c r="AE34" i="103"/>
  <c r="F35" i="103"/>
  <c r="K35" i="103"/>
  <c r="L35" i="103"/>
  <c r="AB35" i="103"/>
  <c r="AC35" i="103"/>
  <c r="AD35" i="103"/>
  <c r="AE35" i="103"/>
  <c r="AX35" i="103"/>
  <c r="AY35" i="103"/>
  <c r="BB35" i="103"/>
  <c r="BC35" i="103"/>
  <c r="F36" i="103"/>
  <c r="K36" i="103"/>
  <c r="AX36" i="103"/>
  <c r="AY36" i="103"/>
  <c r="BB36" i="103"/>
  <c r="BC36" i="103"/>
  <c r="BR36" i="103"/>
  <c r="BS36" i="103"/>
  <c r="BT36" i="103"/>
  <c r="BU36" i="103"/>
  <c r="F37" i="103"/>
  <c r="K37" i="103"/>
  <c r="L37" i="103"/>
  <c r="AX37" i="103"/>
  <c r="AY37" i="103"/>
  <c r="BB37" i="103"/>
  <c r="BC37" i="103"/>
  <c r="F38" i="103"/>
  <c r="K38" i="103"/>
  <c r="L38" i="103"/>
  <c r="AB39" i="103"/>
  <c r="AC39" i="103"/>
  <c r="AD39" i="103"/>
  <c r="AE39" i="103"/>
  <c r="F40" i="103"/>
  <c r="K40" i="103"/>
  <c r="L40" i="103"/>
  <c r="AB40" i="103"/>
  <c r="AC40" i="103"/>
  <c r="AD40" i="103"/>
  <c r="AE40" i="103"/>
  <c r="AV40" i="103"/>
  <c r="AW40" i="103"/>
  <c r="AX40" i="103"/>
  <c r="AY40" i="103"/>
  <c r="AZ40" i="103"/>
  <c r="BA40" i="103"/>
  <c r="BB40" i="103"/>
  <c r="BC40" i="103"/>
  <c r="F41" i="103"/>
  <c r="K41" i="103"/>
  <c r="AB41" i="103"/>
  <c r="AC41" i="103"/>
  <c r="AD41" i="103"/>
  <c r="AE41" i="103"/>
  <c r="AV41" i="103"/>
  <c r="AW41" i="103"/>
  <c r="AX41" i="103"/>
  <c r="AY41" i="103"/>
  <c r="AZ41" i="103"/>
  <c r="BA41" i="103"/>
  <c r="BB41" i="103"/>
  <c r="BC41" i="103"/>
  <c r="F42" i="103"/>
  <c r="K42" i="103"/>
  <c r="L42" i="103"/>
  <c r="AV42" i="103"/>
  <c r="AW42" i="103"/>
  <c r="AX42" i="103"/>
  <c r="AY42" i="103"/>
  <c r="AZ42" i="103"/>
  <c r="BA42" i="103"/>
  <c r="BB42" i="103"/>
  <c r="BC42" i="103"/>
  <c r="F44" i="103"/>
  <c r="K44" i="103"/>
  <c r="L44" i="103"/>
  <c r="AC44" i="103"/>
  <c r="AE45" i="103"/>
  <c r="AV45" i="103"/>
  <c r="AW45" i="103"/>
  <c r="AX45" i="103"/>
  <c r="AY45" i="103"/>
  <c r="F46" i="103"/>
  <c r="K46" i="103"/>
  <c r="L46" i="103"/>
  <c r="AE46" i="103"/>
  <c r="AV46" i="103"/>
  <c r="AW46" i="103"/>
  <c r="AX46" i="103"/>
  <c r="AY46" i="103"/>
  <c r="AE47" i="103"/>
  <c r="AV47" i="103"/>
  <c r="AW47" i="103"/>
  <c r="AX47" i="103"/>
  <c r="AY47" i="103"/>
  <c r="AE48" i="103"/>
  <c r="AE49" i="103"/>
  <c r="AE50" i="103"/>
  <c r="AE51" i="103"/>
  <c r="AV51" i="103"/>
  <c r="AW51" i="103"/>
  <c r="AX51" i="103"/>
  <c r="AY51" i="103"/>
  <c r="F52" i="103"/>
  <c r="K52" i="103"/>
  <c r="L52" i="103"/>
  <c r="AE52" i="103"/>
  <c r="AV52" i="103"/>
  <c r="AW52" i="103"/>
  <c r="AX52" i="103"/>
  <c r="AY52" i="103"/>
  <c r="F53" i="103"/>
  <c r="K53" i="103"/>
  <c r="L53" i="103"/>
  <c r="AE53" i="103"/>
  <c r="AV53" i="103"/>
  <c r="AW53" i="103"/>
  <c r="AX53" i="103"/>
  <c r="AY53" i="103"/>
  <c r="AE54" i="103"/>
  <c r="AE55" i="103"/>
  <c r="AE56" i="103"/>
  <c r="AV56" i="103"/>
  <c r="AC57" i="103"/>
  <c r="AY57" i="103"/>
  <c r="AZ57" i="103"/>
  <c r="BA57" i="103"/>
  <c r="BB57" i="103"/>
  <c r="BH57" i="103"/>
  <c r="BI57" i="103"/>
  <c r="BJ57" i="103"/>
  <c r="BK57" i="103"/>
  <c r="AE58" i="103"/>
  <c r="AY58" i="103"/>
  <c r="AZ58" i="103"/>
  <c r="BA58" i="103"/>
  <c r="BB58" i="103"/>
  <c r="BH58" i="103"/>
  <c r="BI58" i="103"/>
  <c r="BJ58" i="103"/>
  <c r="BK58" i="103"/>
  <c r="F59" i="103"/>
  <c r="K59" i="103"/>
  <c r="L59" i="103"/>
  <c r="AE59" i="103"/>
  <c r="AY59" i="103"/>
  <c r="AZ59" i="103"/>
  <c r="BA59" i="103"/>
  <c r="BB59" i="103"/>
  <c r="BH59" i="103"/>
  <c r="BI59" i="103"/>
  <c r="BJ59" i="103"/>
  <c r="BK59" i="103"/>
  <c r="AE60" i="103"/>
  <c r="AY60" i="103"/>
  <c r="AZ60" i="103"/>
  <c r="BA60" i="103"/>
  <c r="BB60" i="103"/>
  <c r="BH60" i="103"/>
  <c r="BI60" i="103"/>
  <c r="BJ60" i="103"/>
  <c r="BK60" i="103"/>
  <c r="F61" i="103"/>
  <c r="K61" i="103"/>
  <c r="L61" i="103"/>
  <c r="AE61" i="103"/>
  <c r="AY61" i="103"/>
  <c r="AZ61" i="103"/>
  <c r="BA61" i="103"/>
  <c r="BB61" i="103"/>
  <c r="BH61" i="103"/>
  <c r="BI61" i="103"/>
  <c r="BJ61" i="103"/>
  <c r="BK61" i="103"/>
  <c r="F62" i="103"/>
  <c r="K62" i="103"/>
  <c r="L62" i="103"/>
  <c r="AE62" i="103"/>
  <c r="AY62" i="103"/>
  <c r="AZ62" i="103"/>
  <c r="BA62" i="103"/>
  <c r="BB62" i="103"/>
  <c r="BH62" i="103"/>
  <c r="BI62" i="103"/>
  <c r="BJ62" i="103"/>
  <c r="BK62" i="103"/>
  <c r="F63" i="103"/>
  <c r="K63" i="103"/>
  <c r="L63" i="103"/>
  <c r="AE63" i="103"/>
  <c r="AY63" i="103"/>
  <c r="AZ63" i="103"/>
  <c r="BA63" i="103"/>
  <c r="BB63" i="103"/>
  <c r="BH63" i="103"/>
  <c r="BI63" i="103"/>
  <c r="BJ63" i="103"/>
  <c r="BK63" i="103"/>
  <c r="AE64" i="103"/>
  <c r="AY64" i="103"/>
  <c r="AZ64" i="103"/>
  <c r="BA64" i="103"/>
  <c r="BB64" i="103"/>
  <c r="BH64" i="103"/>
  <c r="BI64" i="103"/>
  <c r="BJ64" i="103"/>
  <c r="BK64" i="103"/>
  <c r="F65" i="103"/>
  <c r="K65" i="103"/>
  <c r="L65" i="103"/>
  <c r="AE65" i="103"/>
  <c r="AY65" i="103"/>
  <c r="AZ65" i="103"/>
  <c r="BA65" i="103"/>
  <c r="BB65" i="103"/>
  <c r="BH65" i="103"/>
  <c r="BI65" i="103"/>
  <c r="BJ65" i="103"/>
  <c r="BK65" i="103"/>
  <c r="AE66" i="103"/>
  <c r="AY66" i="103"/>
  <c r="AZ66" i="103"/>
  <c r="BA66" i="103"/>
  <c r="BB66" i="103"/>
  <c r="BH66" i="103"/>
  <c r="BI66" i="103"/>
  <c r="BJ66" i="103"/>
  <c r="BK66" i="103"/>
  <c r="AE67" i="103"/>
  <c r="AY67" i="103"/>
  <c r="AZ67" i="103"/>
  <c r="BA67" i="103"/>
  <c r="BB67" i="103"/>
  <c r="BH67" i="103"/>
  <c r="BI67" i="103"/>
  <c r="BJ67" i="103"/>
  <c r="BK67" i="103"/>
  <c r="F68" i="103"/>
  <c r="K68" i="103"/>
  <c r="L68" i="103"/>
  <c r="AE68" i="103"/>
  <c r="AY68" i="103"/>
  <c r="AZ68" i="103"/>
  <c r="BA68" i="103"/>
  <c r="BB68" i="103"/>
  <c r="BH68" i="103"/>
  <c r="BI68" i="103"/>
  <c r="BJ68" i="103"/>
  <c r="BK68" i="103"/>
  <c r="F69" i="103"/>
  <c r="K69" i="103"/>
  <c r="L69" i="103"/>
  <c r="AE69" i="103"/>
  <c r="AY69" i="103"/>
  <c r="AZ69" i="103"/>
  <c r="BA69" i="103"/>
  <c r="BB69" i="103"/>
  <c r="BH69" i="103"/>
  <c r="BI69" i="103"/>
  <c r="BJ69" i="103"/>
  <c r="BK69" i="103"/>
  <c r="F70" i="103"/>
  <c r="K70" i="103"/>
  <c r="L70" i="103"/>
  <c r="AY70" i="103"/>
  <c r="AZ70" i="103"/>
  <c r="BA70" i="103"/>
  <c r="BB70" i="103"/>
  <c r="BH70" i="103"/>
  <c r="BI70" i="103"/>
  <c r="BJ70" i="103"/>
  <c r="BK70" i="103"/>
  <c r="AY71" i="103"/>
  <c r="AZ71" i="103"/>
  <c r="BA71" i="103"/>
  <c r="BB71" i="103"/>
  <c r="BH71" i="103"/>
  <c r="BI71" i="103"/>
  <c r="BJ71" i="103"/>
  <c r="BK71" i="103"/>
  <c r="F72" i="103"/>
  <c r="K72" i="103"/>
  <c r="AY72" i="103"/>
  <c r="AZ72" i="103"/>
  <c r="BA72" i="103"/>
  <c r="BB72" i="103"/>
  <c r="BH72" i="103"/>
  <c r="BI72" i="103"/>
  <c r="BJ72" i="103"/>
  <c r="BK72" i="103"/>
  <c r="F74" i="103"/>
  <c r="K74" i="103"/>
  <c r="L74" i="103"/>
  <c r="BE74" i="103"/>
  <c r="BH75" i="103"/>
  <c r="BI75" i="103"/>
  <c r="BJ75" i="103"/>
  <c r="BK75" i="103"/>
  <c r="BH76" i="103"/>
  <c r="BI76" i="103"/>
  <c r="BJ76" i="103"/>
  <c r="BK76" i="103"/>
  <c r="F77" i="103"/>
  <c r="K77" i="103"/>
  <c r="BH77" i="103"/>
  <c r="BI77" i="103"/>
  <c r="BJ77" i="103"/>
  <c r="BK77" i="103"/>
  <c r="BH78" i="103"/>
  <c r="BI78" i="103"/>
  <c r="BJ78" i="103"/>
  <c r="BK78" i="103"/>
  <c r="F79" i="103"/>
  <c r="K79" i="103"/>
  <c r="L79" i="103"/>
  <c r="F80" i="103"/>
  <c r="K80" i="103"/>
  <c r="L80" i="103"/>
  <c r="F81" i="103"/>
  <c r="K81" i="103"/>
  <c r="L81" i="103"/>
  <c r="F82" i="103"/>
  <c r="K82" i="103"/>
  <c r="L82" i="103"/>
  <c r="F83" i="103"/>
  <c r="K83" i="103"/>
  <c r="L83" i="103"/>
  <c r="F84" i="103"/>
  <c r="K84" i="103"/>
  <c r="L84" i="103"/>
  <c r="F88" i="103"/>
  <c r="K88" i="103"/>
  <c r="L88" i="103"/>
  <c r="F89" i="103"/>
  <c r="K89" i="103"/>
  <c r="L89" i="103"/>
  <c r="F90" i="103"/>
  <c r="K90" i="103"/>
  <c r="L90" i="103"/>
  <c r="F91" i="103"/>
  <c r="K91" i="103"/>
  <c r="L91" i="103"/>
  <c r="F93" i="103"/>
  <c r="K93" i="103"/>
  <c r="F94" i="103"/>
  <c r="K94" i="103"/>
  <c r="F96" i="103"/>
  <c r="K96" i="103"/>
  <c r="L96" i="103"/>
  <c r="F97" i="103"/>
  <c r="K97" i="103"/>
  <c r="L97" i="103"/>
  <c r="F106" i="103"/>
  <c r="K106" i="103"/>
  <c r="L106" i="103"/>
  <c r="F109" i="103"/>
  <c r="K109" i="103"/>
  <c r="L109" i="103"/>
  <c r="F110" i="103"/>
  <c r="K110" i="103"/>
  <c r="L110" i="103"/>
  <c r="F114" i="103"/>
  <c r="K114" i="103"/>
  <c r="L114" i="103"/>
  <c r="F117" i="103"/>
  <c r="K117" i="103"/>
  <c r="L117" i="103"/>
  <c r="F120" i="103"/>
  <c r="K120" i="103"/>
  <c r="L120" i="103"/>
  <c r="F121" i="103"/>
  <c r="K121" i="103"/>
  <c r="L121" i="103"/>
  <c r="F122" i="103"/>
  <c r="K122" i="103"/>
  <c r="L122" i="103"/>
  <c r="F123" i="103"/>
  <c r="K123" i="103"/>
  <c r="L123" i="103"/>
  <c r="F124" i="103"/>
  <c r="K124" i="103"/>
  <c r="L124" i="103"/>
  <c r="F126" i="103"/>
  <c r="K126" i="103"/>
  <c r="L126" i="103"/>
  <c r="F127" i="103"/>
  <c r="K127" i="103"/>
  <c r="L127" i="103"/>
  <c r="F128" i="103"/>
  <c r="K128" i="103"/>
  <c r="L128" i="103"/>
  <c r="F129" i="103"/>
  <c r="K129" i="103"/>
  <c r="L129" i="103"/>
  <c r="F131" i="103"/>
  <c r="K131" i="103"/>
  <c r="L131" i="103"/>
  <c r="F133" i="103"/>
  <c r="K133" i="103"/>
  <c r="L133" i="103"/>
  <c r="F134" i="103"/>
  <c r="K134" i="103"/>
  <c r="L134" i="103"/>
  <c r="F136" i="103"/>
  <c r="K136" i="103"/>
  <c r="L136" i="103"/>
  <c r="F138" i="103"/>
  <c r="K138" i="103"/>
  <c r="F139" i="103"/>
  <c r="K139" i="103"/>
  <c r="L139" i="103"/>
  <c r="F140" i="103"/>
  <c r="K140" i="103"/>
  <c r="L140" i="103"/>
  <c r="F142" i="103"/>
  <c r="K142" i="103"/>
  <c r="L142" i="103"/>
  <c r="F143" i="103"/>
  <c r="K143" i="103"/>
  <c r="F144" i="103"/>
  <c r="K144" i="103"/>
  <c r="L144" i="103"/>
  <c r="F145" i="103"/>
  <c r="K145" i="103"/>
  <c r="L145" i="103"/>
  <c r="F148" i="103"/>
  <c r="K148" i="103"/>
  <c r="L148" i="103"/>
  <c r="F151" i="103"/>
  <c r="K151" i="103"/>
  <c r="L151" i="103"/>
  <c r="F152" i="103"/>
  <c r="K152" i="103"/>
  <c r="L152" i="103"/>
  <c r="F153" i="103"/>
  <c r="K153" i="103"/>
  <c r="L153" i="103"/>
  <c r="F154" i="103"/>
  <c r="K154" i="103"/>
  <c r="L154" i="103"/>
  <c r="F155" i="103"/>
  <c r="K155" i="103"/>
  <c r="L155" i="103"/>
  <c r="F159" i="103"/>
  <c r="K159" i="103"/>
  <c r="L159" i="103"/>
  <c r="F161" i="103"/>
  <c r="K161" i="103"/>
  <c r="L161" i="103"/>
  <c r="F162" i="103"/>
  <c r="K162" i="103"/>
  <c r="F163" i="103"/>
  <c r="K163" i="103"/>
  <c r="F164" i="103"/>
  <c r="K164" i="103"/>
  <c r="F165" i="103"/>
  <c r="K165" i="103"/>
  <c r="L165" i="103"/>
  <c r="F166" i="103"/>
  <c r="K166" i="103"/>
  <c r="L166" i="103"/>
  <c r="F170" i="103"/>
  <c r="K170" i="103"/>
  <c r="L170" i="103"/>
  <c r="F171" i="103"/>
  <c r="K171" i="103"/>
  <c r="L171" i="103"/>
  <c r="F173" i="103"/>
  <c r="K173" i="103"/>
  <c r="L173" i="103"/>
  <c r="F174" i="103"/>
  <c r="K174" i="103"/>
  <c r="L174" i="103"/>
  <c r="F175" i="103"/>
  <c r="K175" i="103"/>
  <c r="L175" i="103"/>
  <c r="F176" i="103"/>
  <c r="K176" i="103"/>
  <c r="L176" i="103"/>
  <c r="F177" i="103"/>
  <c r="K177" i="103"/>
  <c r="L177" i="103"/>
  <c r="F178" i="103"/>
  <c r="K178" i="103"/>
  <c r="L178" i="103"/>
  <c r="F180" i="103"/>
  <c r="K180" i="103"/>
  <c r="L180" i="103"/>
  <c r="F181" i="103"/>
  <c r="K181" i="103"/>
  <c r="L181" i="103"/>
  <c r="F183" i="103"/>
  <c r="K183" i="103"/>
  <c r="L183" i="103"/>
  <c r="F188" i="103"/>
  <c r="K188" i="103"/>
  <c r="L188" i="103"/>
  <c r="F192" i="103"/>
  <c r="K192" i="103"/>
  <c r="L192" i="103"/>
  <c r="F193" i="103"/>
  <c r="K193" i="103"/>
  <c r="L193" i="103"/>
  <c r="F195" i="103"/>
  <c r="K195" i="103"/>
  <c r="F196" i="103"/>
  <c r="K196" i="103"/>
  <c r="L196" i="103"/>
  <c r="F197" i="103"/>
  <c r="K197" i="103"/>
  <c r="F200" i="103"/>
  <c r="K200" i="103"/>
  <c r="L200" i="103"/>
  <c r="F202" i="103"/>
  <c r="K202" i="103"/>
  <c r="L202" i="103"/>
  <c r="F203" i="103"/>
  <c r="K203" i="103"/>
  <c r="F207" i="103"/>
  <c r="K207" i="103"/>
  <c r="L207" i="103"/>
  <c r="F208" i="103"/>
  <c r="K208" i="103"/>
  <c r="L208" i="103"/>
  <c r="F215" i="103"/>
  <c r="K215" i="103"/>
  <c r="F216" i="103"/>
  <c r="K216" i="103"/>
  <c r="L216" i="103"/>
  <c r="F220" i="103"/>
  <c r="K220" i="103"/>
  <c r="L220" i="103"/>
  <c r="F221" i="103"/>
  <c r="K221" i="103"/>
  <c r="L221" i="103"/>
  <c r="F222" i="103"/>
  <c r="K222" i="103"/>
  <c r="L222" i="103"/>
  <c r="F223" i="103"/>
  <c r="K223" i="103"/>
  <c r="L223" i="103"/>
  <c r="F227" i="103"/>
  <c r="K227" i="103"/>
  <c r="L227" i="103"/>
  <c r="F229" i="103"/>
  <c r="K229" i="103"/>
  <c r="L229" i="103"/>
  <c r="F230" i="103"/>
  <c r="K230" i="103"/>
  <c r="L230" i="103"/>
  <c r="F233" i="103"/>
  <c r="K233" i="103"/>
  <c r="L233" i="103"/>
  <c r="F235" i="103"/>
  <c r="K235" i="103"/>
  <c r="L235" i="103"/>
  <c r="F237" i="103"/>
  <c r="K237" i="103"/>
  <c r="L237" i="103"/>
  <c r="F238" i="103"/>
  <c r="K238" i="103"/>
  <c r="F241" i="103"/>
  <c r="K241" i="103"/>
  <c r="L241" i="103"/>
  <c r="F245" i="103"/>
  <c r="K245" i="103"/>
  <c r="L245" i="103"/>
  <c r="F246" i="103"/>
  <c r="K246" i="103"/>
  <c r="F248" i="103"/>
  <c r="K248" i="103"/>
  <c r="L248" i="103"/>
  <c r="F250" i="103"/>
  <c r="K250" i="103"/>
  <c r="L250" i="103"/>
  <c r="F251" i="103"/>
  <c r="K251" i="103"/>
  <c r="L251" i="103"/>
  <c r="F252" i="103"/>
  <c r="K252" i="103"/>
  <c r="L252" i="103"/>
  <c r="F255" i="103"/>
  <c r="K255" i="103"/>
  <c r="F256" i="103"/>
  <c r="K256" i="103"/>
  <c r="L256" i="103"/>
  <c r="F257" i="103"/>
  <c r="K257" i="103"/>
  <c r="F258" i="103"/>
  <c r="K258" i="103"/>
  <c r="L258" i="103"/>
  <c r="F262" i="103"/>
  <c r="K262" i="103"/>
  <c r="L262" i="103"/>
  <c r="F263" i="103"/>
  <c r="K263" i="103"/>
  <c r="L263" i="103"/>
  <c r="F264" i="103"/>
  <c r="K264" i="103"/>
  <c r="L264" i="103"/>
  <c r="F265" i="103"/>
  <c r="K265" i="103"/>
  <c r="L265" i="103"/>
  <c r="F269" i="103"/>
  <c r="K269" i="103"/>
  <c r="L269" i="103"/>
  <c r="F270" i="103"/>
  <c r="K270" i="103"/>
  <c r="L270" i="103"/>
  <c r="F271" i="103"/>
  <c r="K271" i="103"/>
  <c r="L271" i="103"/>
  <c r="F272" i="103"/>
  <c r="K272" i="103"/>
  <c r="L272" i="103"/>
  <c r="F273" i="103"/>
  <c r="K273" i="103"/>
  <c r="L273" i="103"/>
  <c r="F277" i="103"/>
  <c r="K277" i="103"/>
  <c r="L277" i="103"/>
  <c r="F278" i="103"/>
  <c r="K278" i="103"/>
  <c r="L278" i="103"/>
  <c r="F279" i="103"/>
  <c r="K279" i="103"/>
  <c r="L279" i="103"/>
  <c r="F280" i="103"/>
  <c r="K280" i="103"/>
  <c r="L280" i="103"/>
  <c r="F282" i="103"/>
  <c r="K282" i="103"/>
  <c r="L282" i="103"/>
  <c r="F284" i="103"/>
  <c r="K284" i="103"/>
  <c r="L284" i="103"/>
  <c r="F285" i="103"/>
  <c r="K285" i="103"/>
  <c r="F290" i="103"/>
  <c r="K290" i="103"/>
  <c r="L290" i="103"/>
  <c r="F291" i="103"/>
  <c r="K291" i="103"/>
  <c r="L291" i="103"/>
  <c r="F292" i="103"/>
  <c r="K292" i="103"/>
  <c r="L292" i="103"/>
  <c r="F293" i="103"/>
  <c r="K293" i="103"/>
  <c r="L293" i="103"/>
  <c r="F294" i="103"/>
  <c r="K294" i="103"/>
  <c r="L294" i="103"/>
  <c r="F297" i="103"/>
  <c r="K297" i="103"/>
  <c r="L297" i="103"/>
  <c r="F298" i="103"/>
  <c r="K298" i="103"/>
  <c r="L298" i="103"/>
  <c r="F299" i="103"/>
  <c r="K299" i="103"/>
  <c r="L299" i="103"/>
  <c r="F300" i="103"/>
  <c r="K300" i="103"/>
  <c r="L300" i="103"/>
  <c r="F301" i="103"/>
  <c r="K301" i="103"/>
  <c r="L301" i="103"/>
  <c r="F302" i="103"/>
  <c r="K302" i="103"/>
  <c r="L302" i="103"/>
  <c r="F303" i="103"/>
  <c r="K303" i="103"/>
  <c r="L303" i="103"/>
  <c r="F304" i="103"/>
  <c r="K304" i="103"/>
  <c r="L304" i="103"/>
  <c r="F305" i="103"/>
  <c r="K305" i="103"/>
  <c r="L305" i="103"/>
  <c r="F308" i="103"/>
  <c r="K308" i="103"/>
  <c r="L308" i="103"/>
  <c r="F309" i="103"/>
  <c r="K309" i="103"/>
  <c r="L309" i="103"/>
  <c r="F313" i="103"/>
  <c r="K313" i="103"/>
  <c r="L313" i="103"/>
  <c r="F316" i="103"/>
  <c r="K316" i="103"/>
  <c r="L316" i="103"/>
  <c r="F317" i="103"/>
  <c r="K317" i="103"/>
  <c r="L317" i="103"/>
  <c r="F318" i="103"/>
  <c r="K318" i="103"/>
  <c r="L318" i="103"/>
  <c r="F320" i="103"/>
  <c r="K320" i="103"/>
  <c r="L320" i="103"/>
  <c r="F321" i="103"/>
  <c r="K321" i="103"/>
  <c r="L321" i="103"/>
  <c r="F323" i="103"/>
  <c r="K323" i="103"/>
  <c r="L323" i="103"/>
  <c r="F324" i="103"/>
  <c r="K324" i="103"/>
  <c r="L324" i="103"/>
  <c r="F325" i="103"/>
  <c r="K325" i="103"/>
  <c r="F327" i="103"/>
  <c r="K327" i="103"/>
  <c r="L327" i="103"/>
  <c r="F329" i="103"/>
  <c r="K329" i="103"/>
  <c r="L329" i="103"/>
  <c r="F332" i="103"/>
  <c r="K332" i="103"/>
  <c r="L332" i="103"/>
  <c r="F333" i="103"/>
  <c r="K333" i="103"/>
  <c r="L333" i="103"/>
  <c r="F339" i="103"/>
  <c r="K339" i="103"/>
  <c r="L339" i="103"/>
  <c r="F340" i="103"/>
  <c r="K340" i="103"/>
  <c r="L340" i="103"/>
  <c r="F341" i="103"/>
  <c r="K341" i="103"/>
  <c r="L341" i="103"/>
  <c r="F342" i="103"/>
  <c r="K342" i="103"/>
  <c r="F343" i="103"/>
  <c r="K343" i="103"/>
  <c r="L343" i="103"/>
  <c r="F345" i="103"/>
  <c r="K345" i="103"/>
  <c r="L345" i="103"/>
  <c r="F346" i="103"/>
  <c r="K346" i="103"/>
  <c r="L346" i="103"/>
  <c r="F347" i="103"/>
  <c r="K347" i="103"/>
  <c r="L347" i="103"/>
  <c r="F349" i="103"/>
  <c r="K349" i="103"/>
  <c r="L349" i="103"/>
  <c r="F350" i="103"/>
  <c r="K350" i="103"/>
  <c r="L350" i="103"/>
  <c r="F351" i="103"/>
  <c r="K351" i="103"/>
  <c r="F353" i="103"/>
  <c r="K353" i="103"/>
  <c r="L353" i="103"/>
  <c r="F355" i="103"/>
  <c r="K355" i="103"/>
  <c r="L355" i="103"/>
  <c r="F356" i="103"/>
  <c r="K356" i="103"/>
  <c r="F358" i="103"/>
  <c r="K358" i="103"/>
  <c r="L358" i="103"/>
  <c r="F359" i="103"/>
  <c r="K359" i="103"/>
  <c r="L359" i="103"/>
  <c r="F361" i="103"/>
  <c r="K361" i="103"/>
  <c r="L361" i="103"/>
  <c r="F363" i="103"/>
  <c r="K363" i="103"/>
  <c r="F364" i="103"/>
  <c r="K364" i="103"/>
  <c r="L364" i="103"/>
  <c r="F365" i="103"/>
  <c r="K365" i="103"/>
  <c r="L365" i="103"/>
  <c r="F366" i="103"/>
  <c r="K366" i="103"/>
  <c r="L366" i="103"/>
  <c r="F367" i="103"/>
  <c r="K367" i="103"/>
  <c r="L367" i="103"/>
  <c r="F368" i="103"/>
  <c r="K368" i="103"/>
  <c r="L368" i="103"/>
  <c r="F370" i="103"/>
  <c r="K370" i="103"/>
  <c r="F371" i="103"/>
  <c r="K371" i="103"/>
  <c r="L371" i="103"/>
  <c r="F372" i="103"/>
  <c r="K372" i="103"/>
  <c r="F373" i="103"/>
  <c r="K373" i="103"/>
  <c r="L373" i="103"/>
  <c r="F374" i="103"/>
  <c r="K374" i="103"/>
  <c r="L374" i="103"/>
  <c r="F375" i="103"/>
  <c r="K375" i="103"/>
  <c r="L375" i="103"/>
  <c r="F376" i="103"/>
  <c r="K376" i="103"/>
  <c r="L376" i="103"/>
  <c r="F379" i="103"/>
  <c r="K379" i="103"/>
  <c r="F380" i="103"/>
  <c r="K380" i="103"/>
  <c r="L380" i="103"/>
  <c r="F381" i="103"/>
  <c r="K381" i="103"/>
  <c r="L381" i="103"/>
  <c r="F383" i="103"/>
  <c r="K383" i="103"/>
  <c r="L383" i="103"/>
  <c r="F384" i="103"/>
  <c r="K384" i="103"/>
  <c r="L384" i="103"/>
  <c r="F385" i="103"/>
  <c r="K385" i="103"/>
  <c r="L385" i="103"/>
  <c r="F389" i="103"/>
  <c r="K389" i="103"/>
  <c r="L389" i="103"/>
  <c r="F392" i="103"/>
  <c r="K392" i="103"/>
  <c r="L392" i="103"/>
  <c r="F393" i="103"/>
  <c r="K393" i="103"/>
  <c r="F394" i="103"/>
  <c r="K394" i="103"/>
  <c r="L394" i="103"/>
  <c r="F397" i="103"/>
  <c r="K397" i="103"/>
  <c r="F398" i="103"/>
  <c r="K398" i="103"/>
  <c r="L398" i="103"/>
  <c r="F400" i="103"/>
  <c r="K400" i="103"/>
  <c r="L400" i="103"/>
  <c r="F401" i="103"/>
  <c r="K401" i="103"/>
  <c r="L401" i="103"/>
  <c r="F402" i="103"/>
  <c r="K402" i="103"/>
  <c r="L402" i="103"/>
  <c r="F403" i="103"/>
  <c r="K403" i="103"/>
  <c r="L403" i="103"/>
  <c r="F404" i="103"/>
  <c r="K404" i="103"/>
  <c r="L404" i="103"/>
  <c r="F405" i="103"/>
  <c r="K405" i="103"/>
  <c r="L405" i="103"/>
  <c r="F406" i="103"/>
  <c r="K406" i="103"/>
  <c r="L406" i="103"/>
  <c r="F408" i="103"/>
  <c r="K408" i="103"/>
  <c r="L408" i="103"/>
  <c r="F411" i="103"/>
  <c r="K411" i="103"/>
  <c r="L411" i="103"/>
  <c r="F412" i="103"/>
  <c r="K412" i="103"/>
  <c r="L412" i="103"/>
  <c r="F415" i="103"/>
  <c r="K415" i="103"/>
  <c r="L415" i="103"/>
  <c r="F416" i="103"/>
  <c r="K416" i="103"/>
  <c r="L416" i="103"/>
  <c r="F418" i="103"/>
  <c r="K418" i="103"/>
  <c r="L418" i="103"/>
  <c r="F420" i="103"/>
  <c r="K420" i="103"/>
  <c r="L420" i="103"/>
  <c r="F422" i="103"/>
  <c r="K422" i="103"/>
  <c r="L422" i="103"/>
  <c r="F425" i="103"/>
  <c r="K425" i="103"/>
  <c r="L425" i="103"/>
  <c r="F426" i="103"/>
  <c r="K426" i="103"/>
  <c r="L426" i="103"/>
  <c r="F427" i="103"/>
  <c r="K427" i="103"/>
  <c r="L427" i="103"/>
  <c r="F429" i="103"/>
  <c r="K429" i="103"/>
  <c r="L429" i="103"/>
  <c r="F430" i="103"/>
  <c r="K430" i="103"/>
  <c r="L430" i="103"/>
  <c r="F431" i="103"/>
  <c r="K431" i="103"/>
  <c r="L431" i="103"/>
  <c r="F434" i="103"/>
  <c r="K434" i="103"/>
  <c r="L434" i="103"/>
  <c r="F435" i="103"/>
  <c r="K435" i="103"/>
  <c r="L435" i="103"/>
  <c r="F437" i="103"/>
  <c r="K437" i="103"/>
  <c r="L437" i="103"/>
  <c r="F438" i="103"/>
  <c r="K438" i="103"/>
  <c r="L438" i="103"/>
  <c r="F439" i="103"/>
  <c r="K439" i="103"/>
  <c r="L439" i="103"/>
  <c r="I444" i="103"/>
  <c r="D6" i="102"/>
  <c r="F6" i="102"/>
  <c r="G6" i="102"/>
  <c r="H6" i="102"/>
  <c r="I6" i="102"/>
  <c r="M6" i="102"/>
  <c r="D7" i="102"/>
  <c r="F7" i="102"/>
  <c r="G7" i="102"/>
  <c r="H7" i="102"/>
  <c r="I7" i="102"/>
  <c r="M7" i="102"/>
  <c r="D8" i="102"/>
  <c r="F8" i="102"/>
  <c r="G8" i="102"/>
  <c r="H8" i="102"/>
  <c r="I8" i="102"/>
  <c r="M8" i="102"/>
  <c r="D9" i="102"/>
  <c r="F9" i="102"/>
  <c r="G9" i="102"/>
  <c r="H9" i="102"/>
  <c r="I9" i="102"/>
  <c r="M9" i="102"/>
  <c r="D6" i="101"/>
  <c r="E6" i="101"/>
  <c r="F6" i="101"/>
  <c r="G6" i="101"/>
  <c r="H6" i="101"/>
  <c r="L6" i="101"/>
  <c r="D7" i="101"/>
  <c r="E7" i="101"/>
  <c r="F7" i="101"/>
  <c r="G7" i="101"/>
  <c r="H7" i="101"/>
  <c r="L7" i="101"/>
  <c r="D8" i="101"/>
  <c r="E8" i="101"/>
  <c r="F8" i="101"/>
  <c r="G8" i="101"/>
  <c r="H8" i="101"/>
  <c r="L8" i="101"/>
  <c r="D9" i="101"/>
  <c r="E9" i="101"/>
  <c r="F9" i="101"/>
  <c r="G9" i="101"/>
  <c r="H9" i="101"/>
  <c r="L9" i="101"/>
  <c r="D10" i="101"/>
  <c r="E10" i="101"/>
  <c r="F10" i="101"/>
  <c r="G10" i="101"/>
  <c r="H10" i="101"/>
  <c r="L10" i="101"/>
  <c r="D11" i="101"/>
  <c r="E11" i="101"/>
  <c r="F11" i="101"/>
  <c r="G11" i="101"/>
  <c r="H11" i="101"/>
  <c r="L11" i="101"/>
  <c r="D12" i="101"/>
  <c r="E12" i="101"/>
  <c r="F12" i="101"/>
  <c r="G12" i="101"/>
  <c r="H12" i="101"/>
  <c r="L12" i="101"/>
  <c r="D13" i="101"/>
  <c r="E13" i="101"/>
  <c r="F13" i="101"/>
  <c r="G13" i="101"/>
  <c r="H13" i="101"/>
  <c r="L13" i="101"/>
  <c r="Z12" i="100"/>
  <c r="Z13" i="100"/>
  <c r="Z15" i="100"/>
  <c r="B6" i="100"/>
  <c r="D6" i="100"/>
  <c r="E6" i="100"/>
  <c r="F6" i="100"/>
  <c r="G6" i="100"/>
  <c r="H6" i="100"/>
  <c r="I6" i="100"/>
  <c r="J6" i="100"/>
  <c r="M6" i="100"/>
  <c r="D7" i="100"/>
  <c r="E7" i="100"/>
  <c r="F7" i="100"/>
  <c r="G7" i="100"/>
  <c r="H7" i="100"/>
  <c r="D8" i="100"/>
  <c r="E8" i="100"/>
  <c r="F8" i="100"/>
  <c r="G8" i="100"/>
  <c r="H8" i="100"/>
  <c r="D9" i="100"/>
  <c r="E9" i="100"/>
  <c r="F9" i="100"/>
  <c r="G9" i="100"/>
  <c r="H9" i="100"/>
  <c r="AJ19" i="91"/>
  <c r="AI19" i="91"/>
  <c r="AI20" i="91" s="1"/>
  <c r="I156" i="91" s="1"/>
  <c r="AJ18" i="91"/>
  <c r="AI18" i="91"/>
  <c r="AJ17" i="91"/>
  <c r="AI17" i="91"/>
  <c r="AJ16" i="91"/>
  <c r="AI16" i="91"/>
  <c r="AJ15" i="91"/>
  <c r="AI15" i="91"/>
  <c r="H183" i="91" s="1"/>
  <c r="AJ14" i="91"/>
  <c r="AI14" i="91"/>
  <c r="H156" i="91" s="1"/>
  <c r="AJ13" i="91"/>
  <c r="AI13" i="91"/>
  <c r="H168" i="91" s="1"/>
  <c r="AJ12" i="91"/>
  <c r="AJ19" i="89"/>
  <c r="AI19" i="89"/>
  <c r="AI20" i="89" s="1"/>
  <c r="I154" i="89" s="1"/>
  <c r="AJ18" i="89"/>
  <c r="AI18" i="89"/>
  <c r="AJ17" i="89"/>
  <c r="AI17" i="89"/>
  <c r="H198" i="89" s="1"/>
  <c r="E198" i="89" s="1"/>
  <c r="D198" i="89" s="1"/>
  <c r="D286" i="89" s="1"/>
  <c r="AJ16" i="89"/>
  <c r="AI16" i="89"/>
  <c r="AJ15" i="89"/>
  <c r="AI15" i="89"/>
  <c r="H27" i="89" s="1"/>
  <c r="AJ14" i="89"/>
  <c r="AI14" i="89"/>
  <c r="H13" i="89" s="1"/>
  <c r="AJ13" i="89"/>
  <c r="AI13" i="89"/>
  <c r="H162" i="89" s="1"/>
  <c r="AJ12" i="89"/>
  <c r="E299" i="89" s="1"/>
  <c r="AJ19" i="88"/>
  <c r="AI19" i="88"/>
  <c r="AI20" i="88" s="1"/>
  <c r="I177" i="88" s="1"/>
  <c r="AJ18" i="88"/>
  <c r="AI18" i="88"/>
  <c r="AJ17" i="88"/>
  <c r="AI17" i="88"/>
  <c r="AJ16" i="88"/>
  <c r="AI16" i="88"/>
  <c r="AJ15" i="88"/>
  <c r="AI15" i="88"/>
  <c r="H183" i="88" s="1"/>
  <c r="AJ14" i="88"/>
  <c r="AI14" i="88"/>
  <c r="H35" i="88" s="1"/>
  <c r="AJ13" i="88"/>
  <c r="AI13" i="88"/>
  <c r="H168" i="88" s="1"/>
  <c r="AJ12" i="88"/>
  <c r="E298" i="88" s="1"/>
  <c r="AJ19" i="87"/>
  <c r="AI19" i="87"/>
  <c r="AI20" i="87" s="1"/>
  <c r="I141" i="87" s="1"/>
  <c r="AJ18" i="87"/>
  <c r="AI18" i="87"/>
  <c r="AJ17" i="87"/>
  <c r="AI17" i="87"/>
  <c r="AJ16" i="87"/>
  <c r="AI16" i="87"/>
  <c r="AJ15" i="87"/>
  <c r="AI15" i="87"/>
  <c r="H191" i="87" s="1"/>
  <c r="AJ14" i="87"/>
  <c r="AI14" i="87"/>
  <c r="H11" i="87" s="1"/>
  <c r="AJ13" i="87"/>
  <c r="AI13" i="87"/>
  <c r="H120" i="87" s="1"/>
  <c r="AJ12" i="87"/>
  <c r="AJ19" i="85"/>
  <c r="AI19" i="85"/>
  <c r="AI20" i="85" s="1"/>
  <c r="I177" i="85" s="1"/>
  <c r="AJ18" i="85"/>
  <c r="AI18" i="85"/>
  <c r="AJ17" i="85"/>
  <c r="AI17" i="85"/>
  <c r="AJ16" i="85"/>
  <c r="AI16" i="85"/>
  <c r="AJ15" i="85"/>
  <c r="AI15" i="85"/>
  <c r="H183" i="85" s="1"/>
  <c r="AJ14" i="85"/>
  <c r="AI14" i="85"/>
  <c r="H66" i="85" s="1"/>
  <c r="AJ13" i="85"/>
  <c r="AI13" i="85"/>
  <c r="H162" i="85" s="1"/>
  <c r="AJ12" i="85"/>
  <c r="E299" i="85" s="1"/>
  <c r="AJ19" i="84"/>
  <c r="AI19" i="84"/>
  <c r="AI20" i="84" s="1"/>
  <c r="AJ18" i="84"/>
  <c r="AI18" i="84"/>
  <c r="AJ17" i="84"/>
  <c r="AI17" i="84"/>
  <c r="AJ16" i="84"/>
  <c r="AI16" i="84"/>
  <c r="AJ15" i="84"/>
  <c r="AI15" i="84"/>
  <c r="H183" i="84" s="1"/>
  <c r="AJ14" i="84"/>
  <c r="AI14" i="84"/>
  <c r="H75" i="84" s="1"/>
  <c r="AJ13" i="84"/>
  <c r="AJ12" i="84"/>
  <c r="E299" i="84" s="1"/>
  <c r="AJ19" i="83"/>
  <c r="AI19" i="83"/>
  <c r="AI20" i="83" s="1"/>
  <c r="I174" i="83" s="1"/>
  <c r="AJ18" i="83"/>
  <c r="AI18" i="83"/>
  <c r="AJ17" i="83"/>
  <c r="AI17" i="83"/>
  <c r="AJ16" i="83"/>
  <c r="AI16" i="83"/>
  <c r="AJ15" i="83"/>
  <c r="AI15" i="83"/>
  <c r="H183" i="83" s="1"/>
  <c r="AJ14" i="83"/>
  <c r="AI14" i="83"/>
  <c r="H177" i="83" s="1"/>
  <c r="AJ13" i="83"/>
  <c r="AI13" i="83"/>
  <c r="AJ12" i="83"/>
  <c r="AJ19" i="82"/>
  <c r="AI19" i="82"/>
  <c r="AI20" i="82" s="1"/>
  <c r="G44" i="82" s="1"/>
  <c r="AJ18" i="82"/>
  <c r="AI18" i="82"/>
  <c r="AJ17" i="82"/>
  <c r="AI17" i="82"/>
  <c r="AJ16" i="82"/>
  <c r="AI16" i="82"/>
  <c r="AJ15" i="82"/>
  <c r="AI15" i="82"/>
  <c r="H183" i="82" s="1"/>
  <c r="AJ14" i="82"/>
  <c r="AI14" i="82"/>
  <c r="H9" i="82" s="1"/>
  <c r="E9" i="82" s="1"/>
  <c r="D9" i="82" s="1"/>
  <c r="AJ13" i="82"/>
  <c r="AI13" i="82"/>
  <c r="H168" i="82" s="1"/>
  <c r="E168" i="82" s="1"/>
  <c r="D168" i="82" s="1"/>
  <c r="D273" i="82" s="1"/>
  <c r="AJ12" i="82"/>
  <c r="AJ19" i="81"/>
  <c r="AI19" i="81"/>
  <c r="AI20" i="81" s="1"/>
  <c r="AJ18" i="81"/>
  <c r="AI18" i="81"/>
  <c r="AJ17" i="81"/>
  <c r="AI17" i="81"/>
  <c r="AJ16" i="81"/>
  <c r="AI16" i="81"/>
  <c r="AJ15" i="81"/>
  <c r="AI15" i="81"/>
  <c r="H183" i="81" s="1"/>
  <c r="AJ14" i="81"/>
  <c r="AI14" i="81"/>
  <c r="H9" i="81" s="1"/>
  <c r="AJ13" i="81"/>
  <c r="AJ12" i="81"/>
  <c r="E301" i="81" s="1"/>
  <c r="AJ19" i="74"/>
  <c r="AI19" i="74"/>
  <c r="AI20" i="74" s="1"/>
  <c r="I170" i="74" s="1"/>
  <c r="AJ18" i="74"/>
  <c r="AI18" i="74"/>
  <c r="AJ17" i="74"/>
  <c r="AI17" i="74"/>
  <c r="AJ16" i="74"/>
  <c r="AI16" i="74"/>
  <c r="AJ15" i="74"/>
  <c r="AI15" i="74"/>
  <c r="H183" i="74" s="1"/>
  <c r="AJ14" i="74"/>
  <c r="AI14" i="74"/>
  <c r="H144" i="74" s="1"/>
  <c r="AJ13" i="74"/>
  <c r="AI13" i="74"/>
  <c r="H87" i="74" s="1"/>
  <c r="AJ12" i="74"/>
  <c r="D296" i="74" s="1"/>
  <c r="X6" i="74" s="1"/>
  <c r="P192" i="94"/>
  <c r="L192" i="94"/>
  <c r="P191" i="94"/>
  <c r="L191" i="94"/>
  <c r="P188" i="94"/>
  <c r="P190" i="94" s="1"/>
  <c r="P187" i="94"/>
  <c r="P189" i="94" s="1"/>
  <c r="AJ20" i="94"/>
  <c r="T2" i="94"/>
  <c r="S2" i="94"/>
  <c r="P192" i="93"/>
  <c r="L192" i="93"/>
  <c r="P191" i="93"/>
  <c r="L191" i="93"/>
  <c r="P188" i="93"/>
  <c r="P190" i="93" s="1"/>
  <c r="P187" i="93"/>
  <c r="P189" i="93" s="1"/>
  <c r="H214" i="93"/>
  <c r="T2" i="93"/>
  <c r="S2" i="93"/>
  <c r="P192" i="92"/>
  <c r="L192" i="92"/>
  <c r="P191" i="92"/>
  <c r="L191" i="92"/>
  <c r="P188" i="92"/>
  <c r="P190" i="92" s="1"/>
  <c r="P187" i="92"/>
  <c r="P189" i="92" s="1"/>
  <c r="T2" i="92"/>
  <c r="S2" i="92"/>
  <c r="H126" i="94"/>
  <c r="H214" i="94"/>
  <c r="E301" i="94"/>
  <c r="E300" i="94"/>
  <c r="E296" i="94"/>
  <c r="E299" i="94"/>
  <c r="D298" i="94"/>
  <c r="Z6" i="94" s="1"/>
  <c r="D299" i="94"/>
  <c r="AA6" i="94" s="1"/>
  <c r="E298" i="94"/>
  <c r="E297" i="94"/>
  <c r="H194" i="94"/>
  <c r="H37" i="94"/>
  <c r="H135" i="93"/>
  <c r="E135" i="93" s="1"/>
  <c r="E301" i="93"/>
  <c r="E300" i="93"/>
  <c r="E296" i="93"/>
  <c r="D296" i="93"/>
  <c r="X6" i="93" s="1"/>
  <c r="E299" i="93"/>
  <c r="D298" i="93"/>
  <c r="Z6" i="93" s="1"/>
  <c r="E298" i="93"/>
  <c r="H126" i="93"/>
  <c r="E126" i="93" s="1"/>
  <c r="E301" i="92"/>
  <c r="AI17" i="92"/>
  <c r="C114" i="13"/>
  <c r="D114" i="13"/>
  <c r="E114" i="13"/>
  <c r="F114" i="13"/>
  <c r="H177" i="94"/>
  <c r="E177" i="94" s="1"/>
  <c r="P192" i="91"/>
  <c r="L192" i="91"/>
  <c r="P191" i="91"/>
  <c r="L191" i="91"/>
  <c r="P188" i="91"/>
  <c r="P190" i="91" s="1"/>
  <c r="P187" i="91"/>
  <c r="P189" i="91" s="1"/>
  <c r="T2" i="91"/>
  <c r="S2" i="91"/>
  <c r="P192" i="89"/>
  <c r="L192" i="89"/>
  <c r="P191" i="89"/>
  <c r="L191" i="89"/>
  <c r="P188" i="89"/>
  <c r="P190" i="89" s="1"/>
  <c r="P187" i="89"/>
  <c r="P189" i="89" s="1"/>
  <c r="T2" i="89"/>
  <c r="S2" i="89"/>
  <c r="P192" i="88"/>
  <c r="L192" i="88"/>
  <c r="P191" i="88"/>
  <c r="L191" i="88"/>
  <c r="P188" i="88"/>
  <c r="P190" i="88" s="1"/>
  <c r="P187" i="88"/>
  <c r="P189" i="88" s="1"/>
  <c r="T2" i="88"/>
  <c r="S2" i="88"/>
  <c r="P192" i="87"/>
  <c r="L192" i="87"/>
  <c r="P191" i="87"/>
  <c r="L191" i="87"/>
  <c r="P188" i="87"/>
  <c r="P190" i="87" s="1"/>
  <c r="P187" i="87"/>
  <c r="P189" i="87" s="1"/>
  <c r="T2" i="87"/>
  <c r="S2" i="87"/>
  <c r="F113" i="86"/>
  <c r="Q96" i="86"/>
  <c r="E113" i="86"/>
  <c r="D113" i="86"/>
  <c r="C113" i="86"/>
  <c r="F112" i="86"/>
  <c r="E112" i="86"/>
  <c r="D112" i="86"/>
  <c r="P94" i="86"/>
  <c r="C112" i="86"/>
  <c r="P93" i="86"/>
  <c r="G111" i="86"/>
  <c r="G103" i="86"/>
  <c r="F110" i="86"/>
  <c r="F111" i="86"/>
  <c r="E110" i="86"/>
  <c r="O95" i="86"/>
  <c r="D110" i="86"/>
  <c r="D111" i="86"/>
  <c r="C110" i="86"/>
  <c r="C111" i="86"/>
  <c r="H103" i="86"/>
  <c r="F103" i="86"/>
  <c r="E103" i="86"/>
  <c r="D103" i="86"/>
  <c r="C103" i="86"/>
  <c r="X96" i="86"/>
  <c r="W96" i="86"/>
  <c r="V96" i="86"/>
  <c r="U96" i="86"/>
  <c r="T96" i="86"/>
  <c r="P96" i="86"/>
  <c r="N96" i="86"/>
  <c r="L96" i="86"/>
  <c r="J96" i="86"/>
  <c r="X95" i="86"/>
  <c r="W95" i="86"/>
  <c r="V95" i="86"/>
  <c r="U95" i="86"/>
  <c r="T95" i="86"/>
  <c r="Q95" i="86"/>
  <c r="P95" i="86"/>
  <c r="N95" i="86"/>
  <c r="L95" i="86"/>
  <c r="J95" i="86"/>
  <c r="X94" i="86"/>
  <c r="W94" i="86"/>
  <c r="V94" i="86"/>
  <c r="U94" i="86"/>
  <c r="T94" i="86"/>
  <c r="Q94" i="86"/>
  <c r="N94" i="86"/>
  <c r="L94" i="86"/>
  <c r="J94" i="86"/>
  <c r="X93" i="86"/>
  <c r="W93" i="86"/>
  <c r="V93" i="86"/>
  <c r="U93" i="86"/>
  <c r="T93" i="86"/>
  <c r="Q93" i="86"/>
  <c r="N93" i="86"/>
  <c r="L93" i="86"/>
  <c r="K93" i="86"/>
  <c r="J93" i="86"/>
  <c r="J88" i="86"/>
  <c r="J87" i="86"/>
  <c r="F86" i="86"/>
  <c r="E86" i="86"/>
  <c r="Q68" i="86"/>
  <c r="D86" i="86"/>
  <c r="C86" i="86"/>
  <c r="F85" i="86"/>
  <c r="E85" i="86"/>
  <c r="D85" i="86"/>
  <c r="C85" i="86"/>
  <c r="P66" i="86"/>
  <c r="G84" i="86"/>
  <c r="D83" i="86"/>
  <c r="D84" i="86"/>
  <c r="H76" i="86"/>
  <c r="G76" i="86"/>
  <c r="F76" i="86"/>
  <c r="F83" i="86"/>
  <c r="E76" i="86"/>
  <c r="E83" i="86"/>
  <c r="D76" i="86"/>
  <c r="C76" i="86"/>
  <c r="C83" i="86"/>
  <c r="X69" i="86"/>
  <c r="W69" i="86"/>
  <c r="V69" i="86"/>
  <c r="U69" i="86"/>
  <c r="T69" i="86"/>
  <c r="Q69" i="86"/>
  <c r="P69" i="86"/>
  <c r="N69" i="86"/>
  <c r="L69" i="86"/>
  <c r="J69" i="86"/>
  <c r="X68" i="86"/>
  <c r="W68" i="86"/>
  <c r="V68" i="86"/>
  <c r="U68" i="86"/>
  <c r="T68" i="86"/>
  <c r="P68" i="86"/>
  <c r="N68" i="86"/>
  <c r="L68" i="86"/>
  <c r="J68" i="86"/>
  <c r="X67" i="86"/>
  <c r="W67" i="86"/>
  <c r="V67" i="86"/>
  <c r="U67" i="86"/>
  <c r="T67" i="86"/>
  <c r="Q67" i="86"/>
  <c r="P67" i="86"/>
  <c r="N67" i="86"/>
  <c r="L67" i="86"/>
  <c r="J67" i="86"/>
  <c r="X66" i="86"/>
  <c r="W66" i="86"/>
  <c r="V66" i="86"/>
  <c r="U66" i="86"/>
  <c r="T66" i="86"/>
  <c r="Q66" i="86"/>
  <c r="N66" i="86"/>
  <c r="L66" i="86"/>
  <c r="K66" i="86"/>
  <c r="J66" i="86"/>
  <c r="J61" i="86"/>
  <c r="J60" i="86"/>
  <c r="F59" i="86"/>
  <c r="E59" i="86"/>
  <c r="Q41" i="86"/>
  <c r="D59" i="86"/>
  <c r="C59" i="86"/>
  <c r="F58" i="86"/>
  <c r="E58" i="86"/>
  <c r="D58" i="86"/>
  <c r="C58" i="86"/>
  <c r="C57" i="86"/>
  <c r="F56" i="86"/>
  <c r="O42" i="86"/>
  <c r="C56" i="86"/>
  <c r="H49" i="86"/>
  <c r="G49" i="86"/>
  <c r="F49" i="86"/>
  <c r="E49" i="86"/>
  <c r="E56" i="86"/>
  <c r="D49" i="86"/>
  <c r="D56" i="86"/>
  <c r="C49" i="86"/>
  <c r="X42" i="86"/>
  <c r="W42" i="86"/>
  <c r="V42" i="86"/>
  <c r="U42" i="86"/>
  <c r="T42" i="86"/>
  <c r="Q42" i="86"/>
  <c r="P42" i="86"/>
  <c r="N42" i="86"/>
  <c r="L42" i="86"/>
  <c r="J42" i="86"/>
  <c r="X41" i="86"/>
  <c r="W41" i="86"/>
  <c r="V41" i="86"/>
  <c r="U41" i="86"/>
  <c r="T41" i="86"/>
  <c r="P41" i="86"/>
  <c r="N41" i="86"/>
  <c r="L41" i="86"/>
  <c r="J41" i="86"/>
  <c r="X40" i="86"/>
  <c r="W40" i="86"/>
  <c r="V40" i="86"/>
  <c r="U40" i="86"/>
  <c r="T40" i="86"/>
  <c r="Q40" i="86"/>
  <c r="P40" i="86"/>
  <c r="N40" i="86"/>
  <c r="L40" i="86"/>
  <c r="J40" i="86"/>
  <c r="X39" i="86"/>
  <c r="W39" i="86"/>
  <c r="V39" i="86"/>
  <c r="U39" i="86"/>
  <c r="T39" i="86"/>
  <c r="Q39" i="86"/>
  <c r="P39" i="86"/>
  <c r="O39" i="86"/>
  <c r="N39" i="86"/>
  <c r="L39" i="86"/>
  <c r="K39" i="86"/>
  <c r="J39" i="86"/>
  <c r="J34" i="86"/>
  <c r="J33" i="86"/>
  <c r="F32" i="86"/>
  <c r="E32" i="86"/>
  <c r="D32" i="86"/>
  <c r="C32" i="86"/>
  <c r="F31" i="86"/>
  <c r="P15" i="86"/>
  <c r="E31" i="86"/>
  <c r="D31" i="86"/>
  <c r="P13" i="86"/>
  <c r="C31" i="86"/>
  <c r="P12" i="86"/>
  <c r="F30" i="86"/>
  <c r="E30" i="86"/>
  <c r="D30" i="86"/>
  <c r="C30" i="86"/>
  <c r="F29" i="86"/>
  <c r="O15" i="86"/>
  <c r="D29" i="86"/>
  <c r="O13" i="86"/>
  <c r="C29" i="86"/>
  <c r="O12" i="86"/>
  <c r="H22" i="86"/>
  <c r="G22" i="86"/>
  <c r="F22" i="86"/>
  <c r="E22" i="86"/>
  <c r="E29" i="86"/>
  <c r="O14" i="86"/>
  <c r="D22" i="86"/>
  <c r="C22" i="86"/>
  <c r="X15" i="86"/>
  <c r="W15" i="86"/>
  <c r="V15" i="86"/>
  <c r="U15" i="86"/>
  <c r="T15" i="86"/>
  <c r="Q15" i="86"/>
  <c r="N15" i="86"/>
  <c r="L15" i="86"/>
  <c r="J15" i="86"/>
  <c r="X14" i="86"/>
  <c r="W14" i="86"/>
  <c r="V14" i="86"/>
  <c r="U14" i="86"/>
  <c r="T14" i="86"/>
  <c r="Q14" i="86"/>
  <c r="P14" i="86"/>
  <c r="N14" i="86"/>
  <c r="L14" i="86"/>
  <c r="J14" i="86"/>
  <c r="X13" i="86"/>
  <c r="W13" i="86"/>
  <c r="V13" i="86"/>
  <c r="U13" i="86"/>
  <c r="T13" i="86"/>
  <c r="Q13" i="86"/>
  <c r="N13" i="86"/>
  <c r="L13" i="86"/>
  <c r="J13" i="86"/>
  <c r="X12" i="86"/>
  <c r="W12" i="86"/>
  <c r="V12" i="86"/>
  <c r="U12" i="86"/>
  <c r="T12" i="86"/>
  <c r="Q12" i="86"/>
  <c r="N12" i="86"/>
  <c r="L12" i="86"/>
  <c r="K12" i="86"/>
  <c r="J12" i="86"/>
  <c r="J7" i="86"/>
  <c r="J6" i="86"/>
  <c r="I181" i="91"/>
  <c r="I177" i="91"/>
  <c r="I143" i="91"/>
  <c r="I131" i="91"/>
  <c r="I163" i="91"/>
  <c r="I168" i="91"/>
  <c r="I144" i="91"/>
  <c r="I151" i="91"/>
  <c r="I149" i="91"/>
  <c r="I160" i="91"/>
  <c r="I128" i="91"/>
  <c r="I127" i="91"/>
  <c r="I173" i="91"/>
  <c r="I171" i="91"/>
  <c r="I174" i="91"/>
  <c r="I126" i="91"/>
  <c r="I100" i="91"/>
  <c r="I120" i="91"/>
  <c r="I136" i="91"/>
  <c r="I108" i="91"/>
  <c r="I88" i="91"/>
  <c r="I137" i="91"/>
  <c r="I138" i="91"/>
  <c r="I90" i="91"/>
  <c r="I74" i="91"/>
  <c r="I72" i="91"/>
  <c r="I95" i="91"/>
  <c r="I147" i="91"/>
  <c r="I139" i="91"/>
  <c r="I87" i="91"/>
  <c r="I75" i="91"/>
  <c r="G56" i="91"/>
  <c r="I76" i="91"/>
  <c r="G10" i="91"/>
  <c r="I85" i="91"/>
  <c r="G22" i="91"/>
  <c r="G32" i="91"/>
  <c r="G14" i="91"/>
  <c r="I96" i="91"/>
  <c r="I73" i="91"/>
  <c r="I80" i="91"/>
  <c r="I78" i="91"/>
  <c r="G46" i="91"/>
  <c r="G18" i="91"/>
  <c r="G36" i="91"/>
  <c r="I66" i="91"/>
  <c r="I174" i="89"/>
  <c r="I140" i="89"/>
  <c r="I128" i="89"/>
  <c r="I167" i="89"/>
  <c r="I153" i="89"/>
  <c r="I143" i="89"/>
  <c r="I175" i="89"/>
  <c r="I168" i="89"/>
  <c r="I146" i="89"/>
  <c r="I132" i="89"/>
  <c r="I171" i="89"/>
  <c r="I159" i="89"/>
  <c r="I148" i="89"/>
  <c r="I145" i="89"/>
  <c r="I130" i="89"/>
  <c r="I116" i="89"/>
  <c r="I104" i="89"/>
  <c r="I124" i="89"/>
  <c r="I117" i="89"/>
  <c r="I107" i="89"/>
  <c r="I127" i="89"/>
  <c r="I106" i="89"/>
  <c r="I94" i="89"/>
  <c r="I86" i="89"/>
  <c r="I133" i="89"/>
  <c r="I121" i="89"/>
  <c r="I96" i="89"/>
  <c r="I111" i="89"/>
  <c r="I64" i="89"/>
  <c r="I136" i="89"/>
  <c r="I89" i="89"/>
  <c r="I120" i="89"/>
  <c r="I67" i="89"/>
  <c r="G62" i="89"/>
  <c r="I135" i="89"/>
  <c r="I108" i="89"/>
  <c r="I87" i="89"/>
  <c r="I122" i="89"/>
  <c r="I113" i="89"/>
  <c r="I109" i="89"/>
  <c r="I77" i="89"/>
  <c r="I65" i="89"/>
  <c r="G56" i="89"/>
  <c r="G10" i="89"/>
  <c r="I68" i="89"/>
  <c r="G38" i="89"/>
  <c r="G26" i="89"/>
  <c r="G36" i="89"/>
  <c r="G52" i="89"/>
  <c r="G34" i="89"/>
  <c r="G28" i="89"/>
  <c r="G22" i="89"/>
  <c r="I66" i="89"/>
  <c r="H214" i="89"/>
  <c r="D297" i="89"/>
  <c r="Y6" i="89" s="1"/>
  <c r="E296" i="89"/>
  <c r="D296" i="89"/>
  <c r="X6" i="89" s="1"/>
  <c r="D299" i="89"/>
  <c r="AA6" i="89" s="1"/>
  <c r="E298" i="89"/>
  <c r="E297" i="89"/>
  <c r="H198" i="88"/>
  <c r="E198" i="88" s="1"/>
  <c r="D198" i="88" s="1"/>
  <c r="D286" i="88" s="1"/>
  <c r="E301" i="88"/>
  <c r="E296" i="88"/>
  <c r="D296" i="88"/>
  <c r="X6" i="88" s="1"/>
  <c r="E299" i="88"/>
  <c r="D299" i="88"/>
  <c r="AA6" i="88" s="1"/>
  <c r="E297" i="88"/>
  <c r="E300" i="87"/>
  <c r="D298" i="87"/>
  <c r="Z6" i="87" s="1"/>
  <c r="O40" i="86"/>
  <c r="D57" i="86"/>
  <c r="E57" i="86"/>
  <c r="O41" i="86"/>
  <c r="E84" i="86"/>
  <c r="O68" i="86"/>
  <c r="O69" i="86"/>
  <c r="F84" i="86"/>
  <c r="C84" i="86"/>
  <c r="O66" i="86"/>
  <c r="O93" i="86"/>
  <c r="O96" i="86"/>
  <c r="F57" i="86"/>
  <c r="O94" i="86"/>
  <c r="O67" i="86"/>
  <c r="E111" i="86"/>
  <c r="H171" i="91"/>
  <c r="H192" i="91"/>
  <c r="H144" i="91"/>
  <c r="H188" i="91"/>
  <c r="H190" i="91" s="1"/>
  <c r="H96" i="91"/>
  <c r="H90" i="91"/>
  <c r="H129" i="91"/>
  <c r="H138" i="91"/>
  <c r="H61" i="91"/>
  <c r="H35" i="91"/>
  <c r="H75" i="91"/>
  <c r="H25" i="91"/>
  <c r="H37" i="91"/>
  <c r="H57" i="91"/>
  <c r="H49" i="91"/>
  <c r="H33" i="91"/>
  <c r="H23" i="91"/>
  <c r="H66" i="91"/>
  <c r="H111" i="91"/>
  <c r="H105" i="91"/>
  <c r="H29" i="91"/>
  <c r="H59" i="89"/>
  <c r="H33" i="89"/>
  <c r="E33" i="89" s="1"/>
  <c r="I176" i="88"/>
  <c r="I162" i="88"/>
  <c r="I181" i="88"/>
  <c r="I165" i="88"/>
  <c r="I155" i="88"/>
  <c r="I143" i="88"/>
  <c r="I129" i="88"/>
  <c r="I182" i="88"/>
  <c r="I175" i="88"/>
  <c r="I170" i="88"/>
  <c r="I158" i="88"/>
  <c r="I156" i="88"/>
  <c r="I154" i="88"/>
  <c r="I142" i="88"/>
  <c r="I130" i="88"/>
  <c r="I171" i="88"/>
  <c r="I125" i="88"/>
  <c r="I123" i="88"/>
  <c r="I111" i="88"/>
  <c r="I101" i="88"/>
  <c r="I159" i="88"/>
  <c r="I135" i="88"/>
  <c r="I133" i="88"/>
  <c r="I127" i="88"/>
  <c r="I121" i="88"/>
  <c r="I109" i="88"/>
  <c r="I145" i="88"/>
  <c r="I144" i="88"/>
  <c r="I137" i="88"/>
  <c r="I116" i="88"/>
  <c r="I102" i="88"/>
  <c r="I92" i="88"/>
  <c r="I90" i="88"/>
  <c r="I180" i="88"/>
  <c r="I157" i="88"/>
  <c r="I150" i="88"/>
  <c r="I149" i="88"/>
  <c r="I146" i="88"/>
  <c r="I140" i="88"/>
  <c r="I124" i="88"/>
  <c r="I100" i="88"/>
  <c r="I152" i="88"/>
  <c r="I119" i="88"/>
  <c r="I117" i="88"/>
  <c r="I105" i="88"/>
  <c r="I95" i="88"/>
  <c r="I93" i="88"/>
  <c r="I83" i="88"/>
  <c r="I173" i="88"/>
  <c r="I115" i="88"/>
  <c r="I120" i="88"/>
  <c r="I110" i="88"/>
  <c r="G62" i="88"/>
  <c r="G46" i="88"/>
  <c r="I94" i="88"/>
  <c r="I72" i="88"/>
  <c r="G36" i="88"/>
  <c r="G28" i="88"/>
  <c r="G16" i="88"/>
  <c r="G58" i="88"/>
  <c r="G26" i="88"/>
  <c r="I108" i="88"/>
  <c r="I77" i="88"/>
  <c r="I75" i="88"/>
  <c r="I65" i="88"/>
  <c r="G56" i="88"/>
  <c r="G40" i="88"/>
  <c r="G10" i="88"/>
  <c r="I96" i="88"/>
  <c r="I82" i="88"/>
  <c r="I73" i="88"/>
  <c r="G22" i="88"/>
  <c r="I122" i="88"/>
  <c r="I78" i="88"/>
  <c r="G60" i="88"/>
  <c r="I98" i="88"/>
  <c r="I76" i="88"/>
  <c r="I64" i="88"/>
  <c r="G42" i="88"/>
  <c r="G14" i="88"/>
  <c r="G12" i="88"/>
  <c r="G24" i="88"/>
  <c r="G32" i="88"/>
  <c r="I86" i="88"/>
  <c r="G20" i="88"/>
  <c r="H180" i="88"/>
  <c r="E180" i="88" s="1"/>
  <c r="D180" i="88" s="1"/>
  <c r="D277" i="88" s="1"/>
  <c r="H159" i="88"/>
  <c r="H191" i="88"/>
  <c r="E191" i="88" s="1"/>
  <c r="H174" i="88"/>
  <c r="H187" i="88"/>
  <c r="H141" i="88"/>
  <c r="E141" i="88" s="1"/>
  <c r="H132" i="88"/>
  <c r="H111" i="88"/>
  <c r="E111" i="88" s="1"/>
  <c r="D111" i="88" s="1"/>
  <c r="D254" i="88" s="1"/>
  <c r="H126" i="88"/>
  <c r="H105" i="88"/>
  <c r="E105" i="88" s="1"/>
  <c r="D105" i="88" s="1"/>
  <c r="D252" i="88" s="1"/>
  <c r="H93" i="88"/>
  <c r="E93" i="88" s="1"/>
  <c r="H39" i="88"/>
  <c r="E39" i="88" s="1"/>
  <c r="H84" i="88"/>
  <c r="H41" i="88"/>
  <c r="H99" i="88"/>
  <c r="E99" i="88" s="1"/>
  <c r="H51" i="88"/>
  <c r="E51" i="88" s="1"/>
  <c r="H31" i="88"/>
  <c r="H43" i="88"/>
  <c r="H19" i="88"/>
  <c r="H17" i="88"/>
  <c r="H78" i="88"/>
  <c r="E78" i="88" s="1"/>
  <c r="D78" i="88" s="1"/>
  <c r="D243" i="88" s="1"/>
  <c r="H55" i="88"/>
  <c r="H27" i="88"/>
  <c r="E27" i="88" s="1"/>
  <c r="H15" i="88"/>
  <c r="E15" i="88" s="1"/>
  <c r="H33" i="88"/>
  <c r="E33" i="88" s="1"/>
  <c r="D33" i="88" s="1"/>
  <c r="D233" i="88" s="1"/>
  <c r="H13" i="88"/>
  <c r="H75" i="88"/>
  <c r="H162" i="87"/>
  <c r="E162" i="87" s="1"/>
  <c r="H168" i="87"/>
  <c r="E168" i="87" s="1"/>
  <c r="D168" i="87" s="1"/>
  <c r="D273" i="87" s="1"/>
  <c r="H114" i="87"/>
  <c r="E114" i="87" s="1"/>
  <c r="D114" i="87" s="1"/>
  <c r="D255" i="87" s="1"/>
  <c r="H72" i="87"/>
  <c r="E72" i="87" s="1"/>
  <c r="D72" i="87" s="1"/>
  <c r="D241" i="87" s="1"/>
  <c r="H87" i="87"/>
  <c r="E87" i="87" s="1"/>
  <c r="H63" i="87"/>
  <c r="E63" i="87" s="1"/>
  <c r="D63" i="87" s="1"/>
  <c r="D238" i="87" s="1"/>
  <c r="H180" i="87"/>
  <c r="E180" i="87" s="1"/>
  <c r="H159" i="87"/>
  <c r="E159" i="87" s="1"/>
  <c r="I179" i="87"/>
  <c r="I169" i="87"/>
  <c r="I176" i="87"/>
  <c r="I162" i="87"/>
  <c r="I152" i="87"/>
  <c r="I150" i="87"/>
  <c r="I181" i="87"/>
  <c r="I172" i="87"/>
  <c r="I160" i="87"/>
  <c r="I177" i="87"/>
  <c r="I167" i="87"/>
  <c r="I155" i="87"/>
  <c r="I143" i="87"/>
  <c r="I129" i="87"/>
  <c r="I182" i="87"/>
  <c r="I170" i="87"/>
  <c r="I168" i="87"/>
  <c r="I158" i="87"/>
  <c r="I156" i="87"/>
  <c r="I146" i="87"/>
  <c r="I144" i="87"/>
  <c r="I132" i="87"/>
  <c r="I178" i="87"/>
  <c r="I166" i="87"/>
  <c r="I130" i="87"/>
  <c r="I157" i="87"/>
  <c r="I118" i="87"/>
  <c r="I106" i="87"/>
  <c r="I171" i="87"/>
  <c r="I161" i="87"/>
  <c r="I123" i="87"/>
  <c r="I135" i="87"/>
  <c r="I133" i="87"/>
  <c r="I127" i="87"/>
  <c r="I145" i="87"/>
  <c r="I138" i="87"/>
  <c r="I137" i="87"/>
  <c r="I136" i="87"/>
  <c r="I114" i="87"/>
  <c r="I104" i="87"/>
  <c r="I102" i="87"/>
  <c r="I90" i="87"/>
  <c r="I180" i="87"/>
  <c r="I159" i="87"/>
  <c r="I149" i="87"/>
  <c r="I126" i="87"/>
  <c r="I124" i="87"/>
  <c r="I112" i="87"/>
  <c r="I173" i="87"/>
  <c r="I122" i="87"/>
  <c r="I120" i="87"/>
  <c r="I110" i="87"/>
  <c r="I108" i="87"/>
  <c r="I96" i="87"/>
  <c r="I86" i="87"/>
  <c r="I84" i="87"/>
  <c r="I85" i="87"/>
  <c r="I76" i="87"/>
  <c r="I64" i="87"/>
  <c r="I101" i="87"/>
  <c r="I100" i="87"/>
  <c r="I71" i="87"/>
  <c r="I69" i="87"/>
  <c r="I119" i="87"/>
  <c r="I94" i="87"/>
  <c r="I79" i="87"/>
  <c r="I67" i="87"/>
  <c r="I88" i="87"/>
  <c r="I72" i="87"/>
  <c r="G44" i="87"/>
  <c r="G36" i="87"/>
  <c r="G28" i="87"/>
  <c r="I93" i="87"/>
  <c r="I83" i="87"/>
  <c r="I82" i="87"/>
  <c r="I70" i="87"/>
  <c r="I103" i="87"/>
  <c r="I77" i="87"/>
  <c r="I75" i="87"/>
  <c r="I117" i="87"/>
  <c r="I97" i="87"/>
  <c r="I81" i="87"/>
  <c r="I73" i="87"/>
  <c r="I121" i="87"/>
  <c r="I91" i="87"/>
  <c r="I78" i="87"/>
  <c r="I66" i="87"/>
  <c r="G60" i="87"/>
  <c r="G52" i="87"/>
  <c r="G18" i="87"/>
  <c r="G32" i="87"/>
  <c r="G26" i="87"/>
  <c r="G54" i="87"/>
  <c r="G10" i="87"/>
  <c r="G58" i="87"/>
  <c r="G30" i="87"/>
  <c r="G24" i="87"/>
  <c r="G20" i="87"/>
  <c r="G46" i="87"/>
  <c r="G40" i="87"/>
  <c r="G34" i="87"/>
  <c r="G22" i="87"/>
  <c r="G14" i="87"/>
  <c r="G12" i="87"/>
  <c r="G16" i="87"/>
  <c r="E132" i="88"/>
  <c r="D132" i="88" s="1"/>
  <c r="D261" i="88" s="1"/>
  <c r="E174" i="88"/>
  <c r="D174" i="88" s="1"/>
  <c r="D275" i="88" s="1"/>
  <c r="P192" i="85"/>
  <c r="L192" i="85"/>
  <c r="P191" i="85"/>
  <c r="L191" i="85"/>
  <c r="P188" i="85"/>
  <c r="P190" i="85" s="1"/>
  <c r="P187" i="85"/>
  <c r="P189" i="85" s="1"/>
  <c r="T2" i="85"/>
  <c r="S2" i="85"/>
  <c r="P192" i="84"/>
  <c r="L192" i="84"/>
  <c r="P191" i="84"/>
  <c r="L191" i="84"/>
  <c r="P188" i="84"/>
  <c r="P190" i="84" s="1"/>
  <c r="P187" i="84"/>
  <c r="P189" i="84" s="1"/>
  <c r="T2" i="84"/>
  <c r="S2" i="84"/>
  <c r="P192" i="83"/>
  <c r="L192" i="83"/>
  <c r="P191" i="83"/>
  <c r="L191" i="83"/>
  <c r="P188" i="83"/>
  <c r="P190" i="83" s="1"/>
  <c r="P187" i="83"/>
  <c r="P189" i="83" s="1"/>
  <c r="I77" i="83"/>
  <c r="T2" i="83"/>
  <c r="S2" i="83"/>
  <c r="P192" i="82"/>
  <c r="L192" i="82"/>
  <c r="P191" i="82"/>
  <c r="L191" i="82"/>
  <c r="P188" i="82"/>
  <c r="P190" i="82" s="1"/>
  <c r="P187" i="82"/>
  <c r="P189" i="82" s="1"/>
  <c r="T2" i="82"/>
  <c r="S2" i="82"/>
  <c r="P192" i="81"/>
  <c r="L192" i="81"/>
  <c r="P191" i="81"/>
  <c r="L191" i="81"/>
  <c r="P188" i="81"/>
  <c r="P190" i="81" s="1"/>
  <c r="P187" i="81"/>
  <c r="P189" i="81" s="1"/>
  <c r="H214" i="81"/>
  <c r="T2" i="81"/>
  <c r="S2" i="81"/>
  <c r="AD49" i="73"/>
  <c r="AD47" i="73"/>
  <c r="AD44" i="73"/>
  <c r="AC49" i="73"/>
  <c r="AC47" i="73"/>
  <c r="AC44" i="73"/>
  <c r="AB49" i="73"/>
  <c r="AB47" i="73"/>
  <c r="AB44" i="73"/>
  <c r="X39" i="73"/>
  <c r="Y47" i="73"/>
  <c r="X40" i="73"/>
  <c r="Y49" i="73"/>
  <c r="X38" i="73"/>
  <c r="Y44" i="73"/>
  <c r="X50" i="73"/>
  <c r="X48" i="73"/>
  <c r="X45" i="73"/>
  <c r="Y38" i="73"/>
  <c r="AG46" i="73"/>
  <c r="X23" i="73"/>
  <c r="Y23" i="73"/>
  <c r="X24" i="73"/>
  <c r="Y24" i="73"/>
  <c r="X22" i="73"/>
  <c r="Y22" i="73"/>
  <c r="W40" i="73"/>
  <c r="W39" i="73"/>
  <c r="W38" i="73"/>
  <c r="V40" i="73"/>
  <c r="V39" i="73"/>
  <c r="V38" i="73"/>
  <c r="U40" i="73"/>
  <c r="U39" i="73"/>
  <c r="U38" i="73"/>
  <c r="T40" i="73"/>
  <c r="T39" i="73"/>
  <c r="T38" i="73"/>
  <c r="R39" i="73"/>
  <c r="R40" i="73"/>
  <c r="R38" i="73"/>
  <c r="Q39" i="73"/>
  <c r="Q40" i="73"/>
  <c r="Q38" i="73"/>
  <c r="AD33" i="73"/>
  <c r="AC33" i="73"/>
  <c r="AB33" i="73"/>
  <c r="AD31" i="73"/>
  <c r="AC31" i="73"/>
  <c r="AB31" i="73"/>
  <c r="Y33" i="73"/>
  <c r="Y31" i="73"/>
  <c r="Y28" i="73"/>
  <c r="X34" i="73"/>
  <c r="X32" i="73"/>
  <c r="AD28" i="73"/>
  <c r="AC28" i="73"/>
  <c r="X29" i="73"/>
  <c r="AB28" i="73"/>
  <c r="W24" i="73"/>
  <c r="W23" i="73"/>
  <c r="V24" i="73"/>
  <c r="V23" i="73"/>
  <c r="V22" i="73"/>
  <c r="U24" i="73"/>
  <c r="U23" i="73"/>
  <c r="U22" i="73"/>
  <c r="T24" i="73"/>
  <c r="T23" i="73"/>
  <c r="S23" i="73"/>
  <c r="S24" i="73"/>
  <c r="Q23" i="73"/>
  <c r="Q24" i="73"/>
  <c r="Q22" i="73"/>
  <c r="R24" i="73"/>
  <c r="R23" i="73"/>
  <c r="R22" i="73"/>
  <c r="P17" i="73"/>
  <c r="P18" i="73"/>
  <c r="H194" i="85"/>
  <c r="E194" i="85" s="1"/>
  <c r="E301" i="85"/>
  <c r="D297" i="85"/>
  <c r="Y6" i="85" s="1"/>
  <c r="E296" i="85"/>
  <c r="D300" i="85"/>
  <c r="AB6" i="85" s="1"/>
  <c r="D296" i="85"/>
  <c r="X6" i="85" s="1"/>
  <c r="D299" i="85"/>
  <c r="AA6" i="85" s="1"/>
  <c r="D298" i="85"/>
  <c r="Z6" i="85" s="1"/>
  <c r="E298" i="85"/>
  <c r="E301" i="84"/>
  <c r="D297" i="84"/>
  <c r="Y6" i="84" s="1"/>
  <c r="E300" i="84"/>
  <c r="E296" i="84"/>
  <c r="D300" i="84"/>
  <c r="AB6" i="84" s="1"/>
  <c r="D296" i="84"/>
  <c r="X6" i="84" s="1"/>
  <c r="D299" i="84"/>
  <c r="AA6" i="84" s="1"/>
  <c r="E297" i="84"/>
  <c r="E298" i="84"/>
  <c r="G18" i="83"/>
  <c r="H194" i="83"/>
  <c r="H198" i="83"/>
  <c r="G56" i="83"/>
  <c r="I68" i="83"/>
  <c r="I78" i="83"/>
  <c r="I66" i="83"/>
  <c r="I111" i="83"/>
  <c r="H214" i="83"/>
  <c r="G22" i="83"/>
  <c r="G28" i="83"/>
  <c r="I101" i="83"/>
  <c r="G60" i="83"/>
  <c r="I65" i="83"/>
  <c r="I75" i="83"/>
  <c r="G54" i="83"/>
  <c r="G14" i="83"/>
  <c r="G30" i="83"/>
  <c r="I179" i="83"/>
  <c r="I157" i="83"/>
  <c r="I176" i="83"/>
  <c r="I172" i="83"/>
  <c r="I165" i="83"/>
  <c r="I155" i="83"/>
  <c r="I143" i="83"/>
  <c r="I141" i="83"/>
  <c r="I131" i="83"/>
  <c r="I182" i="83"/>
  <c r="I175" i="83"/>
  <c r="I163" i="83"/>
  <c r="I170" i="83"/>
  <c r="I168" i="83"/>
  <c r="I158" i="83"/>
  <c r="I144" i="83"/>
  <c r="I178" i="83"/>
  <c r="I142" i="83"/>
  <c r="I130" i="83"/>
  <c r="I125" i="83"/>
  <c r="I164" i="83"/>
  <c r="I162" i="83"/>
  <c r="I133" i="83"/>
  <c r="I128" i="83"/>
  <c r="I121" i="83"/>
  <c r="I147" i="83"/>
  <c r="I145" i="83"/>
  <c r="I139" i="83"/>
  <c r="I138" i="83"/>
  <c r="I137" i="83"/>
  <c r="I136" i="83"/>
  <c r="I132" i="83"/>
  <c r="I116" i="83"/>
  <c r="I114" i="83"/>
  <c r="I151" i="83"/>
  <c r="I150" i="83"/>
  <c r="I148" i="83"/>
  <c r="I140" i="83"/>
  <c r="I126" i="83"/>
  <c r="I100" i="83"/>
  <c r="I88" i="83"/>
  <c r="I180" i="83"/>
  <c r="I152" i="83"/>
  <c r="I119" i="83"/>
  <c r="I107" i="83"/>
  <c r="I95" i="83"/>
  <c r="I115" i="83"/>
  <c r="I103" i="83"/>
  <c r="I122" i="83"/>
  <c r="I120" i="83"/>
  <c r="I110" i="83"/>
  <c r="I108" i="83"/>
  <c r="I98" i="83"/>
  <c r="I86" i="83"/>
  <c r="I84" i="83"/>
  <c r="I99" i="83"/>
  <c r="I87" i="83"/>
  <c r="I73" i="83"/>
  <c r="I104" i="83"/>
  <c r="I118" i="83"/>
  <c r="I94" i="83"/>
  <c r="I83" i="83"/>
  <c r="I71" i="83"/>
  <c r="G32" i="83"/>
  <c r="G24" i="83"/>
  <c r="G20" i="83"/>
  <c r="I79" i="83"/>
  <c r="I67" i="83"/>
  <c r="I74" i="83"/>
  <c r="I72" i="83"/>
  <c r="G44" i="83"/>
  <c r="I106" i="83"/>
  <c r="I82" i="83"/>
  <c r="I70" i="83"/>
  <c r="G58" i="83"/>
  <c r="G26" i="83"/>
  <c r="G46" i="83"/>
  <c r="G50" i="83"/>
  <c r="I64" i="83"/>
  <c r="G48" i="83"/>
  <c r="G34" i="83"/>
  <c r="I63" i="83"/>
  <c r="E301" i="82"/>
  <c r="E300" i="82"/>
  <c r="E296" i="82"/>
  <c r="E299" i="82"/>
  <c r="D299" i="82"/>
  <c r="AA6" i="82" s="1"/>
  <c r="D298" i="82"/>
  <c r="Z6" i="82" s="1"/>
  <c r="E298" i="82"/>
  <c r="E297" i="82"/>
  <c r="H198" i="81"/>
  <c r="E198" i="81" s="1"/>
  <c r="D297" i="81"/>
  <c r="Y6" i="81" s="1"/>
  <c r="E300" i="81"/>
  <c r="D300" i="81"/>
  <c r="AB6" i="81" s="1"/>
  <c r="D299" i="81"/>
  <c r="AA6" i="81" s="1"/>
  <c r="E298" i="81"/>
  <c r="D298" i="81"/>
  <c r="Z6" i="81" s="1"/>
  <c r="E297" i="81"/>
  <c r="Y40" i="73"/>
  <c r="Y39" i="73"/>
  <c r="AG30" i="73"/>
  <c r="S40" i="73"/>
  <c r="S38" i="73"/>
  <c r="S39" i="73"/>
  <c r="S22" i="73"/>
  <c r="T22" i="73"/>
  <c r="H114" i="85"/>
  <c r="E114" i="85" s="1"/>
  <c r="H120" i="85"/>
  <c r="E120" i="85" s="1"/>
  <c r="D120" i="85" s="1"/>
  <c r="D257" i="85" s="1"/>
  <c r="H72" i="85"/>
  <c r="E72" i="85" s="1"/>
  <c r="D72" i="85" s="1"/>
  <c r="D241" i="85" s="1"/>
  <c r="H135" i="85"/>
  <c r="E135" i="85" s="1"/>
  <c r="H63" i="85"/>
  <c r="H168" i="85"/>
  <c r="E168" i="85" s="1"/>
  <c r="I179" i="85"/>
  <c r="I176" i="85"/>
  <c r="I174" i="85"/>
  <c r="I162" i="85"/>
  <c r="I152" i="85"/>
  <c r="I150" i="85"/>
  <c r="I181" i="85"/>
  <c r="I172" i="85"/>
  <c r="I160" i="85"/>
  <c r="I148" i="85"/>
  <c r="I167" i="85"/>
  <c r="I165" i="85"/>
  <c r="I155" i="85"/>
  <c r="I153" i="85"/>
  <c r="I143" i="85"/>
  <c r="I141" i="85"/>
  <c r="I131" i="85"/>
  <c r="I182" i="85"/>
  <c r="I175" i="85"/>
  <c r="I163" i="85"/>
  <c r="I139" i="85"/>
  <c r="I166" i="85"/>
  <c r="I154" i="85"/>
  <c r="I142" i="85"/>
  <c r="I130" i="85"/>
  <c r="I157" i="85"/>
  <c r="I126" i="85"/>
  <c r="I124" i="85"/>
  <c r="I112" i="85"/>
  <c r="I119" i="85"/>
  <c r="I117" i="85"/>
  <c r="I105" i="85"/>
  <c r="I95" i="85"/>
  <c r="I93" i="85"/>
  <c r="I83" i="85"/>
  <c r="I170" i="85"/>
  <c r="I145" i="85"/>
  <c r="I115" i="85"/>
  <c r="I180" i="85"/>
  <c r="I168" i="85"/>
  <c r="I128" i="85"/>
  <c r="I122" i="85"/>
  <c r="I120" i="85"/>
  <c r="I98" i="85"/>
  <c r="I96" i="85"/>
  <c r="I156" i="85"/>
  <c r="I146" i="85"/>
  <c r="I135" i="85"/>
  <c r="I133" i="85"/>
  <c r="I127" i="85"/>
  <c r="I118" i="85"/>
  <c r="I106" i="85"/>
  <c r="I109" i="85"/>
  <c r="I97" i="85"/>
  <c r="I102" i="85"/>
  <c r="I92" i="85"/>
  <c r="I80" i="85"/>
  <c r="I78" i="85"/>
  <c r="I68" i="85"/>
  <c r="I66" i="85"/>
  <c r="G60" i="85"/>
  <c r="G52" i="85"/>
  <c r="I134" i="85"/>
  <c r="I86" i="85"/>
  <c r="I64" i="85"/>
  <c r="I169" i="85"/>
  <c r="I94" i="85"/>
  <c r="I81" i="85"/>
  <c r="I71" i="85"/>
  <c r="I69" i="85"/>
  <c r="G32" i="85"/>
  <c r="G24" i="85"/>
  <c r="I137" i="85"/>
  <c r="I111" i="85"/>
  <c r="I99" i="85"/>
  <c r="I67" i="85"/>
  <c r="G62" i="85"/>
  <c r="G54" i="85"/>
  <c r="G46" i="85"/>
  <c r="G18" i="85"/>
  <c r="I147" i="85"/>
  <c r="I116" i="85"/>
  <c r="I104" i="85"/>
  <c r="I90" i="85"/>
  <c r="I136" i="85"/>
  <c r="I173" i="85"/>
  <c r="I75" i="85"/>
  <c r="I65" i="85"/>
  <c r="I63" i="85"/>
  <c r="G48" i="85"/>
  <c r="G40" i="85"/>
  <c r="I171" i="85"/>
  <c r="I101" i="85"/>
  <c r="I74" i="85"/>
  <c r="I72" i="85"/>
  <c r="I125" i="85"/>
  <c r="I123" i="85"/>
  <c r="I113" i="85"/>
  <c r="G42" i="85"/>
  <c r="G22" i="85"/>
  <c r="G16" i="85"/>
  <c r="G44" i="85"/>
  <c r="G28" i="85"/>
  <c r="I73" i="85"/>
  <c r="G26" i="85"/>
  <c r="I87" i="85"/>
  <c r="G30" i="85"/>
  <c r="G36" i="85"/>
  <c r="G14" i="85"/>
  <c r="I91" i="85"/>
  <c r="G50" i="85"/>
  <c r="G34" i="85"/>
  <c r="G12" i="85"/>
  <c r="H135" i="84"/>
  <c r="E135" i="84" s="1"/>
  <c r="H162" i="84"/>
  <c r="E162" i="84" s="1"/>
  <c r="D271" i="84" s="1"/>
  <c r="H168" i="84"/>
  <c r="H114" i="84"/>
  <c r="E114" i="84" s="1"/>
  <c r="D114" i="84" s="1"/>
  <c r="D255" i="84" s="1"/>
  <c r="H120" i="84"/>
  <c r="E120" i="84" s="1"/>
  <c r="H87" i="84"/>
  <c r="H72" i="84"/>
  <c r="E72" i="84" s="1"/>
  <c r="D72" i="84" s="1"/>
  <c r="D241" i="84" s="1"/>
  <c r="H63" i="84"/>
  <c r="E63" i="84" s="1"/>
  <c r="D63" i="84" s="1"/>
  <c r="D238" i="84" s="1"/>
  <c r="H171" i="84"/>
  <c r="E171" i="84" s="1"/>
  <c r="H177" i="84"/>
  <c r="E177" i="84" s="1"/>
  <c r="D177" i="84" s="1"/>
  <c r="D276" i="84" s="1"/>
  <c r="H156" i="84"/>
  <c r="E156" i="84" s="1"/>
  <c r="D156" i="84" s="1"/>
  <c r="D269" i="84" s="1"/>
  <c r="H144" i="84"/>
  <c r="E144" i="84" s="1"/>
  <c r="D144" i="84" s="1"/>
  <c r="D265" i="84" s="1"/>
  <c r="H188" i="84"/>
  <c r="H129" i="84"/>
  <c r="E129" i="84" s="1"/>
  <c r="D129" i="84" s="1"/>
  <c r="D260" i="84" s="1"/>
  <c r="H81" i="84"/>
  <c r="E81" i="84" s="1"/>
  <c r="D81" i="84" s="1"/>
  <c r="D244" i="84" s="1"/>
  <c r="H138" i="84"/>
  <c r="E138" i="84" s="1"/>
  <c r="H90" i="84"/>
  <c r="E90" i="84" s="1"/>
  <c r="H69" i="84"/>
  <c r="E69" i="84" s="1"/>
  <c r="D69" i="84" s="1"/>
  <c r="D240" i="84" s="1"/>
  <c r="H108" i="84"/>
  <c r="E108" i="84" s="1"/>
  <c r="D108" i="84" s="1"/>
  <c r="D253" i="84" s="1"/>
  <c r="H102" i="84"/>
  <c r="E102" i="84" s="1"/>
  <c r="D102" i="84" s="1"/>
  <c r="D251" i="84" s="1"/>
  <c r="H35" i="84"/>
  <c r="H96" i="84"/>
  <c r="E96" i="84" s="1"/>
  <c r="D96" i="84" s="1"/>
  <c r="D249" i="84" s="1"/>
  <c r="H25" i="84"/>
  <c r="H66" i="84"/>
  <c r="E66" i="84" s="1"/>
  <c r="H9" i="84"/>
  <c r="E9" i="84" s="1"/>
  <c r="H13" i="84"/>
  <c r="H23" i="84"/>
  <c r="H49" i="84"/>
  <c r="H21" i="84"/>
  <c r="E21" i="84" s="1"/>
  <c r="D21" i="84" s="1"/>
  <c r="D231" i="84" s="1"/>
  <c r="H11" i="84"/>
  <c r="H33" i="84"/>
  <c r="H153" i="83"/>
  <c r="H132" i="83"/>
  <c r="H111" i="83"/>
  <c r="H168" i="83"/>
  <c r="H87" i="83"/>
  <c r="H162" i="83"/>
  <c r="H135" i="83"/>
  <c r="H114" i="83"/>
  <c r="H120" i="83"/>
  <c r="H72" i="83"/>
  <c r="H63" i="83"/>
  <c r="H192" i="83"/>
  <c r="H165" i="83"/>
  <c r="H156" i="83"/>
  <c r="H123" i="83"/>
  <c r="H138" i="83"/>
  <c r="H90" i="83"/>
  <c r="H150" i="83"/>
  <c r="H117" i="83"/>
  <c r="H129" i="83"/>
  <c r="H37" i="83"/>
  <c r="H81" i="83"/>
  <c r="H69" i="83"/>
  <c r="H23" i="83"/>
  <c r="H96" i="83"/>
  <c r="H47" i="83"/>
  <c r="H11" i="83"/>
  <c r="H61" i="83"/>
  <c r="H45" i="83"/>
  <c r="H25" i="83"/>
  <c r="H59" i="83"/>
  <c r="H33" i="83"/>
  <c r="H35" i="83"/>
  <c r="H13" i="83"/>
  <c r="H21" i="83"/>
  <c r="H171" i="82"/>
  <c r="E171" i="82" s="1"/>
  <c r="D171" i="82" s="1"/>
  <c r="D274" i="82" s="1"/>
  <c r="H192" i="82"/>
  <c r="H165" i="82"/>
  <c r="E165" i="82" s="1"/>
  <c r="D165" i="82" s="1"/>
  <c r="D272" i="82" s="1"/>
  <c r="H156" i="82"/>
  <c r="E156" i="82" s="1"/>
  <c r="D156" i="82" s="1"/>
  <c r="D269" i="82" s="1"/>
  <c r="H144" i="82"/>
  <c r="H117" i="82"/>
  <c r="E117" i="82" s="1"/>
  <c r="D117" i="82" s="1"/>
  <c r="D256" i="82" s="1"/>
  <c r="H188" i="82"/>
  <c r="H150" i="82"/>
  <c r="E150" i="82" s="1"/>
  <c r="D150" i="82" s="1"/>
  <c r="D267" i="82" s="1"/>
  <c r="H108" i="82"/>
  <c r="E108" i="82" s="1"/>
  <c r="D108" i="82" s="1"/>
  <c r="D253" i="82" s="1"/>
  <c r="H96" i="82"/>
  <c r="E96" i="82" s="1"/>
  <c r="D96" i="82" s="1"/>
  <c r="D249" i="82" s="1"/>
  <c r="H123" i="82"/>
  <c r="E123" i="82" s="1"/>
  <c r="D123" i="82" s="1"/>
  <c r="D258" i="82" s="1"/>
  <c r="H66" i="82"/>
  <c r="H57" i="82"/>
  <c r="E57" i="82" s="1"/>
  <c r="D57" i="82" s="1"/>
  <c r="D237" i="82" s="1"/>
  <c r="H37" i="82"/>
  <c r="H102" i="82"/>
  <c r="E102" i="82" s="1"/>
  <c r="H81" i="82"/>
  <c r="E81" i="82" s="1"/>
  <c r="H69" i="82"/>
  <c r="E69" i="82" s="1"/>
  <c r="D69" i="82" s="1"/>
  <c r="D240" i="82" s="1"/>
  <c r="H59" i="82"/>
  <c r="H49" i="82"/>
  <c r="H13" i="82"/>
  <c r="H61" i="82"/>
  <c r="H25" i="82"/>
  <c r="H47" i="82"/>
  <c r="H35" i="82"/>
  <c r="H21" i="82"/>
  <c r="H23" i="82"/>
  <c r="H90" i="82"/>
  <c r="E90" i="82" s="1"/>
  <c r="D90" i="82" s="1"/>
  <c r="D247" i="82" s="1"/>
  <c r="H45" i="82"/>
  <c r="H33" i="82"/>
  <c r="E33" i="82" s="1"/>
  <c r="I150" i="82"/>
  <c r="I172" i="82"/>
  <c r="I154" i="82"/>
  <c r="I146" i="82"/>
  <c r="I130" i="82"/>
  <c r="I168" i="82"/>
  <c r="I100" i="82"/>
  <c r="I73" i="82"/>
  <c r="I88" i="82"/>
  <c r="I64" i="82"/>
  <c r="I79" i="82"/>
  <c r="G54" i="82"/>
  <c r="G12" i="82"/>
  <c r="G58" i="82"/>
  <c r="G16" i="82"/>
  <c r="H162" i="82"/>
  <c r="E162" i="82" s="1"/>
  <c r="D162" i="82" s="1"/>
  <c r="D271" i="82" s="1"/>
  <c r="H120" i="82"/>
  <c r="H135" i="82"/>
  <c r="E135" i="82" s="1"/>
  <c r="H114" i="82"/>
  <c r="H72" i="82"/>
  <c r="H63" i="82"/>
  <c r="H180" i="82"/>
  <c r="H159" i="82"/>
  <c r="E159" i="82" s="1"/>
  <c r="H191" i="82"/>
  <c r="E191" i="82" s="1"/>
  <c r="D191" i="82" s="1"/>
  <c r="D283" i="82" s="1"/>
  <c r="H174" i="82"/>
  <c r="E174" i="82" s="1"/>
  <c r="D174" i="82" s="1"/>
  <c r="D275" i="82" s="1"/>
  <c r="H187" i="82"/>
  <c r="H189" i="82" s="1"/>
  <c r="H153" i="82"/>
  <c r="H126" i="82"/>
  <c r="E126" i="82" s="1"/>
  <c r="H141" i="82"/>
  <c r="E141" i="82" s="1"/>
  <c r="D141" i="82" s="1"/>
  <c r="D264" i="82" s="1"/>
  <c r="H105" i="82"/>
  <c r="H132" i="82"/>
  <c r="H111" i="82"/>
  <c r="E111" i="82" s="1"/>
  <c r="D111" i="82" s="1"/>
  <c r="D254" i="82" s="1"/>
  <c r="H99" i="82"/>
  <c r="E99" i="82" s="1"/>
  <c r="H147" i="82"/>
  <c r="E147" i="82" s="1"/>
  <c r="H78" i="82"/>
  <c r="E78" i="82" s="1"/>
  <c r="D78" i="82" s="1"/>
  <c r="D243" i="82" s="1"/>
  <c r="H29" i="82"/>
  <c r="H39" i="82"/>
  <c r="E39" i="82" s="1"/>
  <c r="D39" i="82" s="1"/>
  <c r="D234" i="82" s="1"/>
  <c r="H27" i="82"/>
  <c r="H17" i="82"/>
  <c r="H84" i="82"/>
  <c r="E84" i="82" s="1"/>
  <c r="H51" i="82"/>
  <c r="H93" i="82"/>
  <c r="E93" i="82" s="1"/>
  <c r="D93" i="82" s="1"/>
  <c r="D248" i="82" s="1"/>
  <c r="H19" i="82"/>
  <c r="H55" i="82"/>
  <c r="H43" i="82"/>
  <c r="H31" i="82"/>
  <c r="H53" i="82"/>
  <c r="H41" i="82"/>
  <c r="H15" i="82"/>
  <c r="E15" i="82" s="1"/>
  <c r="H171" i="81"/>
  <c r="H156" i="81"/>
  <c r="E156" i="81" s="1"/>
  <c r="D156" i="81" s="1"/>
  <c r="D269" i="81" s="1"/>
  <c r="H144" i="81"/>
  <c r="E144" i="81" s="1"/>
  <c r="D144" i="81" s="1"/>
  <c r="D265" i="81" s="1"/>
  <c r="H188" i="81"/>
  <c r="H150" i="81"/>
  <c r="E150" i="81" s="1"/>
  <c r="D150" i="81" s="1"/>
  <c r="D267" i="81" s="1"/>
  <c r="H192" i="81"/>
  <c r="E192" i="81" s="1"/>
  <c r="H129" i="81"/>
  <c r="E129" i="81" s="1"/>
  <c r="D129" i="81" s="1"/>
  <c r="D260" i="81" s="1"/>
  <c r="H102" i="81"/>
  <c r="E102" i="81" s="1"/>
  <c r="D102" i="81" s="1"/>
  <c r="D251" i="81" s="1"/>
  <c r="H165" i="81"/>
  <c r="E165" i="81" s="1"/>
  <c r="H117" i="81"/>
  <c r="E117" i="81" s="1"/>
  <c r="D117" i="81" s="1"/>
  <c r="D256" i="81" s="1"/>
  <c r="H81" i="81"/>
  <c r="E81" i="81" s="1"/>
  <c r="H57" i="81"/>
  <c r="E57" i="81" s="1"/>
  <c r="H37" i="81"/>
  <c r="H49" i="81"/>
  <c r="H61" i="81"/>
  <c r="H96" i="81"/>
  <c r="E96" i="81" s="1"/>
  <c r="D96" i="81" s="1"/>
  <c r="D249" i="81" s="1"/>
  <c r="H90" i="81"/>
  <c r="E90" i="81" s="1"/>
  <c r="H75" i="81"/>
  <c r="E75" i="81" s="1"/>
  <c r="H59" i="81"/>
  <c r="H47" i="81"/>
  <c r="H23" i="81"/>
  <c r="H13" i="81"/>
  <c r="H35" i="81"/>
  <c r="H25" i="81"/>
  <c r="H45" i="81"/>
  <c r="E45" i="81" s="1"/>
  <c r="H33" i="81"/>
  <c r="E33" i="81" s="1"/>
  <c r="H11" i="81"/>
  <c r="H66" i="81"/>
  <c r="E66" i="81" s="1"/>
  <c r="D66" i="81" s="1"/>
  <c r="D239" i="81" s="1"/>
  <c r="H21" i="81"/>
  <c r="E21" i="81" s="1"/>
  <c r="D21" i="81" s="1"/>
  <c r="D231" i="81" s="1"/>
  <c r="H162" i="81"/>
  <c r="E162" i="81" s="1"/>
  <c r="H168" i="81"/>
  <c r="H135" i="81"/>
  <c r="H114" i="81"/>
  <c r="E114" i="81" s="1"/>
  <c r="D114" i="81" s="1"/>
  <c r="D255" i="81" s="1"/>
  <c r="H87" i="81"/>
  <c r="E87" i="81" s="1"/>
  <c r="D87" i="81" s="1"/>
  <c r="D246" i="81" s="1"/>
  <c r="H120" i="81"/>
  <c r="E120" i="81" s="1"/>
  <c r="H72" i="81"/>
  <c r="E72" i="81" s="1"/>
  <c r="H63" i="81"/>
  <c r="E63" i="81" s="1"/>
  <c r="D63" i="81" s="1"/>
  <c r="D238" i="81" s="1"/>
  <c r="H180" i="81"/>
  <c r="E180" i="81" s="1"/>
  <c r="H147" i="81"/>
  <c r="E147" i="81" s="1"/>
  <c r="D147" i="81" s="1"/>
  <c r="D266" i="81" s="1"/>
  <c r="H191" i="81"/>
  <c r="E191" i="81" s="1"/>
  <c r="H174" i="81"/>
  <c r="E174" i="81" s="1"/>
  <c r="H132" i="81"/>
  <c r="H187" i="81"/>
  <c r="H126" i="81"/>
  <c r="E126" i="81" s="1"/>
  <c r="H105" i="81"/>
  <c r="E105" i="81" s="1"/>
  <c r="H111" i="81"/>
  <c r="E111" i="81" s="1"/>
  <c r="D111" i="81" s="1"/>
  <c r="D254" i="81" s="1"/>
  <c r="H29" i="81"/>
  <c r="H41" i="81"/>
  <c r="H51" i="81"/>
  <c r="E51" i="81" s="1"/>
  <c r="D51" i="81" s="1"/>
  <c r="D236" i="81" s="1"/>
  <c r="H53" i="81"/>
  <c r="H43" i="81"/>
  <c r="H31" i="81"/>
  <c r="H19" i="81"/>
  <c r="H55" i="81"/>
  <c r="H17" i="81"/>
  <c r="H15" i="81"/>
  <c r="E15" i="81" s="1"/>
  <c r="W22" i="73"/>
  <c r="H177" i="74"/>
  <c r="E177" i="74" s="1"/>
  <c r="I177" i="74"/>
  <c r="I176" i="74"/>
  <c r="I175" i="74"/>
  <c r="I174" i="74"/>
  <c r="I173" i="74"/>
  <c r="I172" i="74"/>
  <c r="I171" i="74"/>
  <c r="H171" i="74"/>
  <c r="E171" i="74" s="1"/>
  <c r="D171" i="74" s="1"/>
  <c r="D274" i="74" s="1"/>
  <c r="I169" i="74"/>
  <c r="I168" i="74"/>
  <c r="H168" i="74"/>
  <c r="E168" i="74" s="1"/>
  <c r="P90" i="79"/>
  <c r="AE90" i="79"/>
  <c r="P11" i="79"/>
  <c r="AE11" i="79"/>
  <c r="AR93" i="79"/>
  <c r="AP93" i="79"/>
  <c r="AN93" i="79"/>
  <c r="AL93" i="79"/>
  <c r="AJ93" i="79"/>
  <c r="F113" i="79"/>
  <c r="E113" i="79"/>
  <c r="D113" i="79"/>
  <c r="C113" i="79"/>
  <c r="F112" i="79"/>
  <c r="E112" i="79"/>
  <c r="D112" i="79"/>
  <c r="C112" i="79"/>
  <c r="E111" i="79"/>
  <c r="F110" i="79"/>
  <c r="E110" i="79"/>
  <c r="D110" i="79"/>
  <c r="C110" i="79"/>
  <c r="F108" i="79"/>
  <c r="E108" i="79"/>
  <c r="D108" i="79"/>
  <c r="C108" i="79"/>
  <c r="J94" i="79"/>
  <c r="I94" i="79"/>
  <c r="H94" i="79"/>
  <c r="G94" i="79"/>
  <c r="F94" i="79"/>
  <c r="E94" i="79"/>
  <c r="D94" i="79"/>
  <c r="C94" i="79"/>
  <c r="J93" i="79"/>
  <c r="H93" i="79"/>
  <c r="F93" i="79"/>
  <c r="E93" i="79"/>
  <c r="D93" i="79"/>
  <c r="C93" i="79"/>
  <c r="I91" i="79"/>
  <c r="H91" i="79"/>
  <c r="G91" i="79"/>
  <c r="F91" i="79"/>
  <c r="E91" i="79"/>
  <c r="D91" i="79"/>
  <c r="C91" i="79"/>
  <c r="J90" i="79"/>
  <c r="J91" i="79"/>
  <c r="H90" i="79"/>
  <c r="F34" i="79"/>
  <c r="E34" i="79"/>
  <c r="D34" i="79"/>
  <c r="C34" i="79"/>
  <c r="F33" i="79"/>
  <c r="E33" i="79"/>
  <c r="D33" i="79"/>
  <c r="C33" i="79"/>
  <c r="E32" i="79"/>
  <c r="F31" i="79"/>
  <c r="E31" i="79"/>
  <c r="D31" i="79"/>
  <c r="C31" i="79"/>
  <c r="J15" i="79"/>
  <c r="I15" i="79"/>
  <c r="H15" i="79"/>
  <c r="G15" i="79"/>
  <c r="F15" i="79"/>
  <c r="E15" i="79"/>
  <c r="D15" i="79"/>
  <c r="C15" i="79"/>
  <c r="J14" i="79"/>
  <c r="H14" i="79"/>
  <c r="F14" i="79"/>
  <c r="E14" i="79"/>
  <c r="D14" i="79"/>
  <c r="C14" i="79"/>
  <c r="I12" i="79"/>
  <c r="H12" i="79"/>
  <c r="G12" i="79"/>
  <c r="F12" i="79"/>
  <c r="E12" i="79"/>
  <c r="D12" i="79"/>
  <c r="C12" i="79"/>
  <c r="J11" i="79"/>
  <c r="J12" i="79"/>
  <c r="H11" i="79"/>
  <c r="E63" i="85"/>
  <c r="D63" i="85" s="1"/>
  <c r="D238" i="85" s="1"/>
  <c r="E153" i="82"/>
  <c r="T18" i="73"/>
  <c r="F128" i="79"/>
  <c r="W121" i="79"/>
  <c r="F127" i="79"/>
  <c r="V121" i="79"/>
  <c r="D127" i="79"/>
  <c r="V119" i="79"/>
  <c r="C127" i="79"/>
  <c r="V118" i="79"/>
  <c r="F125" i="79"/>
  <c r="F126" i="79"/>
  <c r="E125" i="79"/>
  <c r="E126" i="79"/>
  <c r="D125" i="79"/>
  <c r="D126" i="79"/>
  <c r="C125" i="79"/>
  <c r="C126" i="79"/>
  <c r="AD121" i="79"/>
  <c r="AC121" i="79"/>
  <c r="AB121" i="79"/>
  <c r="AA121" i="79"/>
  <c r="Z121" i="79"/>
  <c r="U121" i="79"/>
  <c r="T121" i="79"/>
  <c r="P121" i="79"/>
  <c r="O121" i="79"/>
  <c r="R121" i="79"/>
  <c r="AD120" i="79"/>
  <c r="AC120" i="79"/>
  <c r="AB120" i="79"/>
  <c r="AA120" i="79"/>
  <c r="Z120" i="79"/>
  <c r="U120" i="79"/>
  <c r="T120" i="79"/>
  <c r="P120" i="79"/>
  <c r="O120" i="79"/>
  <c r="R120" i="79"/>
  <c r="AD119" i="79"/>
  <c r="AC119" i="79"/>
  <c r="AB119" i="79"/>
  <c r="AA119" i="79"/>
  <c r="Z119" i="79"/>
  <c r="U119" i="79"/>
  <c r="T119" i="79"/>
  <c r="P119" i="79"/>
  <c r="O119" i="79"/>
  <c r="R119" i="79"/>
  <c r="AD118" i="79"/>
  <c r="AC118" i="79"/>
  <c r="AB118" i="79"/>
  <c r="AA118" i="79"/>
  <c r="Z118" i="79"/>
  <c r="T118" i="79"/>
  <c r="P118" i="79"/>
  <c r="Q118" i="79"/>
  <c r="O118" i="79"/>
  <c r="R118" i="79"/>
  <c r="D128" i="79"/>
  <c r="W119" i="79"/>
  <c r="P113" i="79"/>
  <c r="E128" i="79"/>
  <c r="W120" i="79"/>
  <c r="E127" i="79"/>
  <c r="V120" i="79"/>
  <c r="B81" i="79"/>
  <c r="F48" i="79"/>
  <c r="V42" i="79"/>
  <c r="E48" i="79"/>
  <c r="V41" i="79"/>
  <c r="D48" i="79"/>
  <c r="V40" i="79"/>
  <c r="C48" i="79"/>
  <c r="V39" i="79"/>
  <c r="D47" i="79"/>
  <c r="F46" i="79"/>
  <c r="F47" i="79"/>
  <c r="E46" i="79"/>
  <c r="U41" i="79"/>
  <c r="D46" i="79"/>
  <c r="U40" i="79"/>
  <c r="C46" i="79"/>
  <c r="U39" i="79"/>
  <c r="AD42" i="79"/>
  <c r="AC42" i="79"/>
  <c r="AB42" i="79"/>
  <c r="AA42" i="79"/>
  <c r="Z42" i="79"/>
  <c r="T42" i="79"/>
  <c r="P42" i="79"/>
  <c r="AD41" i="79"/>
  <c r="AC41" i="79"/>
  <c r="AB41" i="79"/>
  <c r="AA41" i="79"/>
  <c r="Z41" i="79"/>
  <c r="T41" i="79"/>
  <c r="P41" i="79"/>
  <c r="O41" i="79"/>
  <c r="R41" i="79"/>
  <c r="AD40" i="79"/>
  <c r="AC40" i="79"/>
  <c r="AB40" i="79"/>
  <c r="AA40" i="79"/>
  <c r="Z40" i="79"/>
  <c r="T40" i="79"/>
  <c r="P40" i="79"/>
  <c r="O40" i="79"/>
  <c r="R40" i="79"/>
  <c r="AD39" i="79"/>
  <c r="AC39" i="79"/>
  <c r="AB39" i="79"/>
  <c r="AA39" i="79"/>
  <c r="Z39" i="79"/>
  <c r="T39" i="79"/>
  <c r="P39" i="79"/>
  <c r="Q39" i="79"/>
  <c r="F49" i="79"/>
  <c r="W42" i="79"/>
  <c r="D49" i="79"/>
  <c r="W40" i="79"/>
  <c r="P34" i="79"/>
  <c r="E49" i="79"/>
  <c r="W41" i="79"/>
  <c r="O42" i="79"/>
  <c r="R42" i="79"/>
  <c r="O39" i="79"/>
  <c r="R39" i="79"/>
  <c r="B2" i="79"/>
  <c r="C16" i="73"/>
  <c r="C47" i="73"/>
  <c r="A13" i="73"/>
  <c r="A12" i="73"/>
  <c r="A11" i="73"/>
  <c r="A14" i="73"/>
  <c r="K119" i="73"/>
  <c r="J119" i="73"/>
  <c r="I119" i="73"/>
  <c r="H119" i="73"/>
  <c r="G119" i="73"/>
  <c r="G129" i="73"/>
  <c r="F119" i="73"/>
  <c r="F129" i="73"/>
  <c r="V125" i="73"/>
  <c r="E119" i="73"/>
  <c r="E129" i="73"/>
  <c r="V124" i="73"/>
  <c r="D119" i="73"/>
  <c r="D129" i="73"/>
  <c r="V123" i="73"/>
  <c r="C119" i="73"/>
  <c r="C129" i="73"/>
  <c r="V122" i="73"/>
  <c r="P94" i="73"/>
  <c r="P99" i="73"/>
  <c r="P98" i="73"/>
  <c r="P97" i="73"/>
  <c r="Q99" i="73"/>
  <c r="Q98" i="73"/>
  <c r="R99" i="73"/>
  <c r="R98" i="73"/>
  <c r="S99" i="73"/>
  <c r="S98" i="73"/>
  <c r="T99" i="73"/>
  <c r="T98" i="73"/>
  <c r="G130" i="73"/>
  <c r="F130" i="73"/>
  <c r="E130" i="73"/>
  <c r="W124" i="73"/>
  <c r="D130" i="73"/>
  <c r="W123" i="73"/>
  <c r="C130" i="73"/>
  <c r="W122" i="73"/>
  <c r="G127" i="73"/>
  <c r="F127" i="73"/>
  <c r="F128" i="73"/>
  <c r="E127" i="73"/>
  <c r="U124" i="73"/>
  <c r="D127" i="73"/>
  <c r="D128" i="73"/>
  <c r="C127" i="73"/>
  <c r="C128" i="73"/>
  <c r="AD126" i="73"/>
  <c r="AC126" i="73"/>
  <c r="AB126" i="73"/>
  <c r="AA126" i="73"/>
  <c r="Z126" i="73"/>
  <c r="W126" i="73"/>
  <c r="V126" i="73"/>
  <c r="T126" i="73"/>
  <c r="P126" i="73"/>
  <c r="O126" i="73"/>
  <c r="R126" i="73"/>
  <c r="AD125" i="73"/>
  <c r="AC125" i="73"/>
  <c r="AB125" i="73"/>
  <c r="AA125" i="73"/>
  <c r="Z125" i="73"/>
  <c r="W125" i="73"/>
  <c r="T125" i="73"/>
  <c r="P125" i="73"/>
  <c r="O125" i="73"/>
  <c r="R125" i="73"/>
  <c r="AD124" i="73"/>
  <c r="AC124" i="73"/>
  <c r="AB124" i="73"/>
  <c r="AA124" i="73"/>
  <c r="Z124" i="73"/>
  <c r="T124" i="73"/>
  <c r="P124" i="73"/>
  <c r="O124" i="73"/>
  <c r="R124" i="73"/>
  <c r="AD123" i="73"/>
  <c r="AC123" i="73"/>
  <c r="AB123" i="73"/>
  <c r="AA123" i="73"/>
  <c r="Z123" i="73"/>
  <c r="T123" i="73"/>
  <c r="P123" i="73"/>
  <c r="O123" i="73"/>
  <c r="R123" i="73"/>
  <c r="AD122" i="73"/>
  <c r="AC122" i="73"/>
  <c r="AB122" i="73"/>
  <c r="AA122" i="73"/>
  <c r="Z122" i="73"/>
  <c r="P122" i="73"/>
  <c r="Q122" i="73"/>
  <c r="O122" i="73"/>
  <c r="R122" i="73"/>
  <c r="P117" i="73"/>
  <c r="P116" i="73"/>
  <c r="P104" i="73"/>
  <c r="P103" i="73"/>
  <c r="T122" i="73"/>
  <c r="S17" i="73"/>
  <c r="D50" i="73"/>
  <c r="E50" i="73"/>
  <c r="F50" i="73"/>
  <c r="G50" i="73"/>
  <c r="C50" i="73"/>
  <c r="T13" i="73"/>
  <c r="T12" i="73"/>
  <c r="Q13" i="73"/>
  <c r="Q12" i="73"/>
  <c r="R13" i="73"/>
  <c r="R12" i="73"/>
  <c r="S13" i="73"/>
  <c r="S12" i="73"/>
  <c r="D47" i="73"/>
  <c r="E47" i="73"/>
  <c r="F47" i="73"/>
  <c r="G47" i="73"/>
  <c r="T17" i="73"/>
  <c r="V17" i="73"/>
  <c r="C47" i="79"/>
  <c r="E47" i="79"/>
  <c r="U118" i="79"/>
  <c r="U42" i="79"/>
  <c r="U123" i="73"/>
  <c r="P102" i="73"/>
  <c r="U122" i="73"/>
  <c r="U125" i="73"/>
  <c r="E128" i="73"/>
  <c r="U126" i="73"/>
  <c r="P8" i="73"/>
  <c r="P13" i="73"/>
  <c r="P112" i="79"/>
  <c r="C128" i="79"/>
  <c r="W118" i="79"/>
  <c r="C49" i="79"/>
  <c r="W39" i="79"/>
  <c r="P33" i="79"/>
  <c r="P16" i="73"/>
  <c r="P12" i="73"/>
  <c r="P11" i="73"/>
  <c r="E301" i="74"/>
  <c r="K39" i="73"/>
  <c r="J39" i="73"/>
  <c r="I39" i="73"/>
  <c r="H39" i="73"/>
  <c r="G39" i="73"/>
  <c r="G49" i="73"/>
  <c r="F39" i="73"/>
  <c r="F49" i="73"/>
  <c r="E39" i="73"/>
  <c r="E49" i="73"/>
  <c r="D39" i="73"/>
  <c r="D49" i="73"/>
  <c r="C39" i="73"/>
  <c r="C49" i="73"/>
  <c r="U17" i="73"/>
  <c r="O39" i="63"/>
  <c r="O42" i="63"/>
  <c r="O41" i="63"/>
  <c r="O40" i="63"/>
  <c r="F192" i="63"/>
  <c r="E192" i="63"/>
  <c r="V185" i="63"/>
  <c r="D192" i="63"/>
  <c r="C192" i="63"/>
  <c r="V183" i="63"/>
  <c r="F190" i="63"/>
  <c r="F191" i="63"/>
  <c r="E190" i="63"/>
  <c r="E191" i="63"/>
  <c r="D190" i="63"/>
  <c r="D191" i="63"/>
  <c r="C190" i="63"/>
  <c r="C191" i="63"/>
  <c r="AD186" i="63"/>
  <c r="AC186" i="63"/>
  <c r="AB186" i="63"/>
  <c r="AA186" i="63"/>
  <c r="Z186" i="63"/>
  <c r="V186" i="63"/>
  <c r="U186" i="63"/>
  <c r="T186" i="63"/>
  <c r="P186" i="63"/>
  <c r="AD185" i="63"/>
  <c r="AC185" i="63"/>
  <c r="AB185" i="63"/>
  <c r="AA185" i="63"/>
  <c r="Z185" i="63"/>
  <c r="T185" i="63"/>
  <c r="P185" i="63"/>
  <c r="AD184" i="63"/>
  <c r="AC184" i="63"/>
  <c r="AB184" i="63"/>
  <c r="AA184" i="63"/>
  <c r="Z184" i="63"/>
  <c r="V184" i="63"/>
  <c r="U184" i="63"/>
  <c r="T184" i="63"/>
  <c r="P184" i="63"/>
  <c r="AD183" i="63"/>
  <c r="AC183" i="63"/>
  <c r="AB183" i="63"/>
  <c r="AA183" i="63"/>
  <c r="Z183" i="63"/>
  <c r="T183" i="63"/>
  <c r="P183" i="63"/>
  <c r="Q183" i="63"/>
  <c r="F183" i="63"/>
  <c r="E183" i="63"/>
  <c r="D183" i="63"/>
  <c r="C183" i="63"/>
  <c r="E179" i="63"/>
  <c r="P178" i="63"/>
  <c r="F178" i="63"/>
  <c r="F177" i="63"/>
  <c r="E178" i="63"/>
  <c r="D178" i="63"/>
  <c r="C178" i="63"/>
  <c r="D177" i="63"/>
  <c r="D193" i="63"/>
  <c r="W184" i="63"/>
  <c r="C177" i="63"/>
  <c r="C193" i="63"/>
  <c r="W183" i="63"/>
  <c r="AR163" i="63"/>
  <c r="AP163" i="63"/>
  <c r="AN163" i="63"/>
  <c r="AL163" i="63"/>
  <c r="AJ163" i="63"/>
  <c r="AC163" i="63"/>
  <c r="AA163" i="63"/>
  <c r="Y163" i="63"/>
  <c r="W163" i="63"/>
  <c r="U163" i="63"/>
  <c r="AR158" i="63"/>
  <c r="AP158" i="63"/>
  <c r="AN158" i="63"/>
  <c r="AL158" i="63"/>
  <c r="AJ158" i="63"/>
  <c r="C156" i="63"/>
  <c r="O183" i="63"/>
  <c r="R183" i="63"/>
  <c r="AE155" i="63"/>
  <c r="P155" i="63"/>
  <c r="H155" i="63"/>
  <c r="H156" i="63"/>
  <c r="G155" i="63"/>
  <c r="G156" i="63"/>
  <c r="D155" i="63"/>
  <c r="D156" i="63"/>
  <c r="O184" i="63"/>
  <c r="R184" i="63"/>
  <c r="F120" i="63"/>
  <c r="E120" i="63"/>
  <c r="V113" i="63"/>
  <c r="D120" i="63"/>
  <c r="C120" i="63"/>
  <c r="V111" i="63"/>
  <c r="F118" i="63"/>
  <c r="F119" i="63"/>
  <c r="E118" i="63"/>
  <c r="E119" i="63"/>
  <c r="D118" i="63"/>
  <c r="D119" i="63"/>
  <c r="C118" i="63"/>
  <c r="C119" i="63"/>
  <c r="AD114" i="63"/>
  <c r="AC114" i="63"/>
  <c r="AB114" i="63"/>
  <c r="AA114" i="63"/>
  <c r="Z114" i="63"/>
  <c r="V114" i="63"/>
  <c r="U114" i="63"/>
  <c r="T114" i="63"/>
  <c r="P114" i="63"/>
  <c r="AD113" i="63"/>
  <c r="AC113" i="63"/>
  <c r="AB113" i="63"/>
  <c r="AA113" i="63"/>
  <c r="Z113" i="63"/>
  <c r="T113" i="63"/>
  <c r="P113" i="63"/>
  <c r="O113" i="63"/>
  <c r="R113" i="63"/>
  <c r="AD112" i="63"/>
  <c r="AC112" i="63"/>
  <c r="AB112" i="63"/>
  <c r="AA112" i="63"/>
  <c r="Z112" i="63"/>
  <c r="V112" i="63"/>
  <c r="U112" i="63"/>
  <c r="T112" i="63"/>
  <c r="P112" i="63"/>
  <c r="AD111" i="63"/>
  <c r="AC111" i="63"/>
  <c r="AB111" i="63"/>
  <c r="AA111" i="63"/>
  <c r="Z111" i="63"/>
  <c r="T111" i="63"/>
  <c r="P111" i="63"/>
  <c r="Q111" i="63"/>
  <c r="F111" i="63"/>
  <c r="E111" i="63"/>
  <c r="D111" i="63"/>
  <c r="C111" i="63"/>
  <c r="E107" i="63"/>
  <c r="P106" i="63"/>
  <c r="F106" i="63"/>
  <c r="F105" i="63"/>
  <c r="E106" i="63"/>
  <c r="D106" i="63"/>
  <c r="C106" i="63"/>
  <c r="D105" i="63"/>
  <c r="D121" i="63"/>
  <c r="W112" i="63"/>
  <c r="C105" i="63"/>
  <c r="C121" i="63"/>
  <c r="W111" i="63"/>
  <c r="AR91" i="63"/>
  <c r="AP91" i="63"/>
  <c r="AN91" i="63"/>
  <c r="AL91" i="63"/>
  <c r="AJ91" i="63"/>
  <c r="AC91" i="63"/>
  <c r="AA91" i="63"/>
  <c r="Y91" i="63"/>
  <c r="W91" i="63"/>
  <c r="U91" i="63"/>
  <c r="AN86" i="63"/>
  <c r="AL86" i="63"/>
  <c r="AJ86" i="63"/>
  <c r="AC86" i="63"/>
  <c r="AR86" i="63"/>
  <c r="AA86" i="63"/>
  <c r="AP86" i="63"/>
  <c r="Y86" i="63"/>
  <c r="W86" i="63"/>
  <c r="U86" i="63"/>
  <c r="G84" i="63"/>
  <c r="F84" i="63"/>
  <c r="O114" i="63"/>
  <c r="R114" i="63"/>
  <c r="E84" i="63"/>
  <c r="D84" i="63"/>
  <c r="O112" i="63"/>
  <c r="R112" i="63"/>
  <c r="C84" i="63"/>
  <c r="O111" i="63"/>
  <c r="R111" i="63"/>
  <c r="P83" i="63"/>
  <c r="AE83" i="63"/>
  <c r="J83" i="63"/>
  <c r="J84" i="63"/>
  <c r="I83" i="63"/>
  <c r="I84" i="63"/>
  <c r="H83" i="63"/>
  <c r="H84" i="63"/>
  <c r="G83" i="63"/>
  <c r="F193" i="63"/>
  <c r="W186" i="63"/>
  <c r="E177" i="63"/>
  <c r="E193" i="63"/>
  <c r="W185" i="63"/>
  <c r="E155" i="63"/>
  <c r="P177" i="63"/>
  <c r="U183" i="63"/>
  <c r="U185" i="63"/>
  <c r="F121" i="63"/>
  <c r="W114" i="63"/>
  <c r="E105" i="63"/>
  <c r="E121" i="63"/>
  <c r="W113" i="63"/>
  <c r="P105" i="63"/>
  <c r="U111" i="63"/>
  <c r="U113" i="63"/>
  <c r="P11" i="56"/>
  <c r="P90" i="55"/>
  <c r="I148" i="74"/>
  <c r="I93" i="74"/>
  <c r="I133" i="74"/>
  <c r="I65" i="74"/>
  <c r="I78" i="74"/>
  <c r="I86" i="74"/>
  <c r="I94" i="74"/>
  <c r="I102" i="74"/>
  <c r="I110" i="74"/>
  <c r="I126" i="74"/>
  <c r="I134" i="74"/>
  <c r="I142" i="74"/>
  <c r="I166" i="74"/>
  <c r="I64" i="74"/>
  <c r="I72" i="74"/>
  <c r="I96" i="74"/>
  <c r="I112" i="74"/>
  <c r="I128" i="74"/>
  <c r="I160" i="74"/>
  <c r="I98" i="74"/>
  <c r="I130" i="74"/>
  <c r="I91" i="74"/>
  <c r="I115" i="74"/>
  <c r="I139" i="74"/>
  <c r="I67" i="74"/>
  <c r="I76" i="74"/>
  <c r="I84" i="74"/>
  <c r="I92" i="74"/>
  <c r="I108" i="74"/>
  <c r="I124" i="74"/>
  <c r="I140" i="74"/>
  <c r="I66" i="74"/>
  <c r="I101" i="74"/>
  <c r="I141" i="74"/>
  <c r="I149" i="74"/>
  <c r="I79" i="74"/>
  <c r="I95" i="74"/>
  <c r="I103" i="74"/>
  <c r="I111" i="74"/>
  <c r="I119" i="74"/>
  <c r="I127" i="74"/>
  <c r="I143" i="74"/>
  <c r="I151" i="74"/>
  <c r="I159" i="74"/>
  <c r="I88" i="74"/>
  <c r="I104" i="74"/>
  <c r="I120" i="74"/>
  <c r="I136" i="74"/>
  <c r="I152" i="74"/>
  <c r="I70" i="74"/>
  <c r="I114" i="74"/>
  <c r="I162" i="74"/>
  <c r="I83" i="74"/>
  <c r="I99" i="74"/>
  <c r="I123" i="74"/>
  <c r="I100" i="74"/>
  <c r="I164" i="74"/>
  <c r="I85" i="74"/>
  <c r="I75" i="74"/>
  <c r="I117" i="74"/>
  <c r="I73" i="74"/>
  <c r="I81" i="74"/>
  <c r="I89" i="74"/>
  <c r="I97" i="74"/>
  <c r="I113" i="74"/>
  <c r="I121" i="74"/>
  <c r="I129" i="74"/>
  <c r="I153" i="74"/>
  <c r="I161" i="74"/>
  <c r="I69" i="74"/>
  <c r="G62" i="74"/>
  <c r="I74" i="74"/>
  <c r="I82" i="74"/>
  <c r="I90" i="74"/>
  <c r="I106" i="74"/>
  <c r="I122" i="74"/>
  <c r="I154" i="74"/>
  <c r="G60" i="74"/>
  <c r="I131" i="74"/>
  <c r="G58" i="74"/>
  <c r="I116" i="74"/>
  <c r="I156" i="74"/>
  <c r="I157" i="74"/>
  <c r="G54" i="74"/>
  <c r="G38" i="74"/>
  <c r="G22" i="74"/>
  <c r="G52" i="74"/>
  <c r="G20" i="74"/>
  <c r="G44" i="74"/>
  <c r="G56" i="74"/>
  <c r="G34" i="74"/>
  <c r="G18" i="74"/>
  <c r="G32" i="74"/>
  <c r="G16" i="74"/>
  <c r="G46" i="74"/>
  <c r="G28" i="74"/>
  <c r="G42" i="74"/>
  <c r="G48" i="74"/>
  <c r="G30" i="74"/>
  <c r="G26" i="74"/>
  <c r="G12" i="74"/>
  <c r="F155" i="63"/>
  <c r="E156" i="63"/>
  <c r="O185" i="63"/>
  <c r="R185" i="63"/>
  <c r="J155" i="63"/>
  <c r="J156" i="63"/>
  <c r="I155" i="63"/>
  <c r="I156" i="63"/>
  <c r="F156" i="63"/>
  <c r="O186" i="63"/>
  <c r="R186" i="63"/>
  <c r="S2" i="74"/>
  <c r="H35" i="74"/>
  <c r="H49" i="74"/>
  <c r="H59" i="74"/>
  <c r="H47" i="74"/>
  <c r="H23" i="74"/>
  <c r="H61" i="74"/>
  <c r="H13" i="74"/>
  <c r="H11" i="74"/>
  <c r="H123" i="74"/>
  <c r="E123" i="74" s="1"/>
  <c r="H138" i="74"/>
  <c r="E138" i="74" s="1"/>
  <c r="H165" i="74"/>
  <c r="H150" i="74"/>
  <c r="E150" i="74" s="1"/>
  <c r="H156" i="74"/>
  <c r="E156" i="74" s="1"/>
  <c r="H129" i="74"/>
  <c r="H162" i="74"/>
  <c r="E162" i="74" s="1"/>
  <c r="H120" i="74"/>
  <c r="E120" i="74" s="1"/>
  <c r="H114" i="74"/>
  <c r="E114" i="74" s="1"/>
  <c r="H72" i="74"/>
  <c r="E72" i="74" s="1"/>
  <c r="H63" i="74"/>
  <c r="E63" i="74" s="1"/>
  <c r="H117" i="74"/>
  <c r="E117" i="74" s="1"/>
  <c r="H108" i="74"/>
  <c r="E108" i="74" s="1"/>
  <c r="H102" i="74"/>
  <c r="E102" i="74" s="1"/>
  <c r="D102" i="74" s="1"/>
  <c r="D251" i="74" s="1"/>
  <c r="H96" i="74"/>
  <c r="E96" i="74" s="1"/>
  <c r="H75" i="74"/>
  <c r="E75" i="74" s="1"/>
  <c r="H81" i="74"/>
  <c r="E81" i="74" s="1"/>
  <c r="H33" i="74"/>
  <c r="E33" i="74" s="1"/>
  <c r="H57" i="74"/>
  <c r="E57" i="74" s="1"/>
  <c r="H9" i="74"/>
  <c r="E9" i="74" s="1"/>
  <c r="H21" i="74"/>
  <c r="E21" i="74" s="1"/>
  <c r="H45" i="74"/>
  <c r="E45" i="74" s="1"/>
  <c r="T2" i="74"/>
  <c r="R4" i="63"/>
  <c r="X4" i="63" a="1"/>
  <c r="X4" i="63"/>
  <c r="C46" i="63"/>
  <c r="D46" i="63"/>
  <c r="E46" i="63"/>
  <c r="F46" i="63"/>
  <c r="E300" i="74"/>
  <c r="D300" i="74"/>
  <c r="AB6" i="74" s="1"/>
  <c r="D299" i="74"/>
  <c r="AA6" i="74" s="1"/>
  <c r="E298" i="74"/>
  <c r="D298" i="74"/>
  <c r="Z6" i="74" s="1"/>
  <c r="E297" i="74"/>
  <c r="D297" i="74"/>
  <c r="Y6" i="74" s="1"/>
  <c r="E296" i="74"/>
  <c r="P192" i="74"/>
  <c r="L192" i="74"/>
  <c r="P191" i="74"/>
  <c r="L191" i="74"/>
  <c r="P188" i="74"/>
  <c r="P190" i="74" s="1"/>
  <c r="P187" i="74"/>
  <c r="P189" i="74" s="1"/>
  <c r="H214" i="74"/>
  <c r="H194" i="74"/>
  <c r="E194" i="74" s="1"/>
  <c r="H188" i="74"/>
  <c r="H55" i="74"/>
  <c r="H31" i="74"/>
  <c r="H43" i="74"/>
  <c r="H53" i="74"/>
  <c r="H29" i="74"/>
  <c r="H19" i="74"/>
  <c r="H41" i="74"/>
  <c r="H17" i="74"/>
  <c r="H141" i="74"/>
  <c r="E141" i="74" s="1"/>
  <c r="D141" i="74" s="1"/>
  <c r="D264" i="74" s="1"/>
  <c r="H153" i="74"/>
  <c r="H132" i="74"/>
  <c r="E132" i="74" s="1"/>
  <c r="D132" i="74" s="1"/>
  <c r="D261" i="74" s="1"/>
  <c r="H159" i="74"/>
  <c r="H147" i="74"/>
  <c r="H126" i="74"/>
  <c r="E126" i="74" s="1"/>
  <c r="H105" i="74"/>
  <c r="E105" i="74" s="1"/>
  <c r="H111" i="74"/>
  <c r="E111" i="74" s="1"/>
  <c r="H93" i="74"/>
  <c r="E93" i="74" s="1"/>
  <c r="D93" i="74" s="1"/>
  <c r="D248" i="74" s="1"/>
  <c r="H99" i="74"/>
  <c r="E99" i="74" s="1"/>
  <c r="D99" i="74" s="1"/>
  <c r="D250" i="74" s="1"/>
  <c r="H84" i="74"/>
  <c r="H78" i="74"/>
  <c r="E78" i="74" s="1"/>
  <c r="H39" i="74"/>
  <c r="E39" i="74" s="1"/>
  <c r="D39" i="74" s="1"/>
  <c r="D234" i="74" s="1"/>
  <c r="H15" i="74"/>
  <c r="E15" i="74" s="1"/>
  <c r="H51" i="74"/>
  <c r="H27" i="74"/>
  <c r="H187" i="74"/>
  <c r="H189" i="74" s="1"/>
  <c r="H192" i="74"/>
  <c r="E192" i="74" s="1"/>
  <c r="H191" i="74"/>
  <c r="E191" i="74" s="1"/>
  <c r="F289" i="73"/>
  <c r="V286" i="73"/>
  <c r="D289" i="73"/>
  <c r="V284" i="73"/>
  <c r="C289" i="73"/>
  <c r="V283" i="73"/>
  <c r="AD286" i="73"/>
  <c r="AC286" i="73"/>
  <c r="AB286" i="73"/>
  <c r="AA286" i="73"/>
  <c r="Z286" i="73"/>
  <c r="T286" i="73"/>
  <c r="P286" i="73"/>
  <c r="O286" i="73"/>
  <c r="R286" i="73"/>
  <c r="AD285" i="73"/>
  <c r="AC285" i="73"/>
  <c r="AB285" i="73"/>
  <c r="AA285" i="73"/>
  <c r="Z285" i="73"/>
  <c r="T285" i="73"/>
  <c r="P285" i="73"/>
  <c r="O285" i="73"/>
  <c r="R285" i="73"/>
  <c r="AD284" i="73"/>
  <c r="AC284" i="73"/>
  <c r="AB284" i="73"/>
  <c r="AA284" i="73"/>
  <c r="Z284" i="73"/>
  <c r="T284" i="73"/>
  <c r="P284" i="73"/>
  <c r="O284" i="73"/>
  <c r="R284" i="73"/>
  <c r="AD283" i="73"/>
  <c r="AC283" i="73"/>
  <c r="AB283" i="73"/>
  <c r="AA283" i="73"/>
  <c r="Z283" i="73"/>
  <c r="T283" i="73"/>
  <c r="P283" i="73"/>
  <c r="Q283" i="73"/>
  <c r="O283" i="73"/>
  <c r="R283" i="73"/>
  <c r="F275" i="73"/>
  <c r="F274" i="73"/>
  <c r="F290" i="73"/>
  <c r="W286" i="73"/>
  <c r="E275" i="73"/>
  <c r="E274" i="73"/>
  <c r="E290" i="73"/>
  <c r="W285" i="73"/>
  <c r="D275" i="73"/>
  <c r="D274" i="73"/>
  <c r="D290" i="73"/>
  <c r="W284" i="73"/>
  <c r="C275" i="73"/>
  <c r="C274" i="73"/>
  <c r="E273" i="73"/>
  <c r="E289" i="73"/>
  <c r="V285" i="73"/>
  <c r="F272" i="73"/>
  <c r="E272" i="73"/>
  <c r="D272" i="73"/>
  <c r="C272" i="73"/>
  <c r="F270" i="73"/>
  <c r="F287" i="73"/>
  <c r="E270" i="73"/>
  <c r="E287" i="73"/>
  <c r="D270" i="73"/>
  <c r="D287" i="73"/>
  <c r="C270" i="73"/>
  <c r="C287" i="73"/>
  <c r="C288" i="73"/>
  <c r="AR255" i="73"/>
  <c r="AP255" i="73"/>
  <c r="AN255" i="73"/>
  <c r="AL255" i="73"/>
  <c r="AJ258" i="73"/>
  <c r="P255" i="73"/>
  <c r="AE255" i="73"/>
  <c r="F210" i="73"/>
  <c r="V207" i="73"/>
  <c r="D210" i="73"/>
  <c r="V205" i="73"/>
  <c r="C210" i="73"/>
  <c r="V204" i="73"/>
  <c r="AD207" i="73"/>
  <c r="AC207" i="73"/>
  <c r="AB207" i="73"/>
  <c r="AA207" i="73"/>
  <c r="Z207" i="73"/>
  <c r="T207" i="73"/>
  <c r="P207" i="73"/>
  <c r="AD206" i="73"/>
  <c r="AC206" i="73"/>
  <c r="AB206" i="73"/>
  <c r="AA206" i="73"/>
  <c r="Z206" i="73"/>
  <c r="T206" i="73"/>
  <c r="P206" i="73"/>
  <c r="AD205" i="73"/>
  <c r="AC205" i="73"/>
  <c r="AB205" i="73"/>
  <c r="AA205" i="73"/>
  <c r="Z205" i="73"/>
  <c r="T205" i="73"/>
  <c r="P205" i="73"/>
  <c r="AD204" i="73"/>
  <c r="AC204" i="73"/>
  <c r="AB204" i="73"/>
  <c r="AA204" i="73"/>
  <c r="Z204" i="73"/>
  <c r="T204" i="73"/>
  <c r="P204" i="73"/>
  <c r="Q204" i="73"/>
  <c r="F196" i="73"/>
  <c r="F195" i="73"/>
  <c r="F211" i="73"/>
  <c r="W207" i="73"/>
  <c r="E196" i="73"/>
  <c r="E195" i="73"/>
  <c r="E211" i="73"/>
  <c r="W206" i="73"/>
  <c r="D196" i="73"/>
  <c r="D195" i="73"/>
  <c r="D211" i="73"/>
  <c r="W205" i="73"/>
  <c r="C196" i="73"/>
  <c r="P199" i="73"/>
  <c r="E194" i="73"/>
  <c r="E210" i="73"/>
  <c r="V206" i="73"/>
  <c r="F193" i="73"/>
  <c r="E193" i="73"/>
  <c r="D193" i="73"/>
  <c r="C193" i="73"/>
  <c r="F191" i="73"/>
  <c r="F208" i="73"/>
  <c r="U207" i="73"/>
  <c r="D191" i="73"/>
  <c r="D208" i="73"/>
  <c r="U205" i="73"/>
  <c r="C191" i="73"/>
  <c r="C208" i="73"/>
  <c r="AR176" i="73"/>
  <c r="AP176" i="73"/>
  <c r="AN176" i="73"/>
  <c r="AL176" i="73"/>
  <c r="AJ179" i="73"/>
  <c r="F174" i="73"/>
  <c r="O207" i="73"/>
  <c r="R207" i="73"/>
  <c r="E174" i="73"/>
  <c r="O206" i="73"/>
  <c r="R206" i="73"/>
  <c r="D174" i="73"/>
  <c r="O205" i="73"/>
  <c r="R205" i="73"/>
  <c r="C174" i="73"/>
  <c r="O204" i="73"/>
  <c r="R204" i="73"/>
  <c r="P176" i="73"/>
  <c r="AE176" i="73"/>
  <c r="J173" i="73"/>
  <c r="J174" i="73"/>
  <c r="I173" i="73"/>
  <c r="I174" i="73"/>
  <c r="H173" i="73"/>
  <c r="H174" i="73"/>
  <c r="G173" i="73"/>
  <c r="G174" i="73"/>
  <c r="B82" i="73"/>
  <c r="D48" i="73"/>
  <c r="C48" i="73"/>
  <c r="B2" i="73"/>
  <c r="D288" i="73"/>
  <c r="U284" i="73"/>
  <c r="C195" i="73"/>
  <c r="E191" i="73"/>
  <c r="E208" i="73"/>
  <c r="E209" i="73"/>
  <c r="P278" i="73"/>
  <c r="C290" i="73"/>
  <c r="W283" i="73"/>
  <c r="P277" i="73"/>
  <c r="C209" i="73"/>
  <c r="U204" i="73"/>
  <c r="E48" i="73"/>
  <c r="E288" i="73"/>
  <c r="U285" i="73"/>
  <c r="F288" i="73"/>
  <c r="U286" i="73"/>
  <c r="F48" i="73"/>
  <c r="D209" i="73"/>
  <c r="F209" i="73"/>
  <c r="U283" i="73"/>
  <c r="AR254" i="72"/>
  <c r="AP254" i="72"/>
  <c r="AN254" i="72"/>
  <c r="AL254" i="72"/>
  <c r="AJ254" i="72"/>
  <c r="AE251" i="72"/>
  <c r="F274" i="72"/>
  <c r="F273" i="72"/>
  <c r="F289" i="72"/>
  <c r="W282" i="72"/>
  <c r="E274" i="72"/>
  <c r="E273" i="72"/>
  <c r="E289" i="72"/>
  <c r="W281" i="72"/>
  <c r="D274" i="72"/>
  <c r="D273" i="72"/>
  <c r="D289" i="72"/>
  <c r="W280" i="72"/>
  <c r="C274" i="72"/>
  <c r="C273" i="72"/>
  <c r="C289" i="72"/>
  <c r="W279" i="72"/>
  <c r="E272" i="72"/>
  <c r="E288" i="72"/>
  <c r="V281" i="72"/>
  <c r="F271" i="72"/>
  <c r="E271" i="72"/>
  <c r="D271" i="72"/>
  <c r="C271" i="72"/>
  <c r="F269" i="72"/>
  <c r="E269" i="72"/>
  <c r="D269" i="72"/>
  <c r="D286" i="72"/>
  <c r="C269" i="72"/>
  <c r="F288" i="72"/>
  <c r="D288" i="72"/>
  <c r="V280" i="72"/>
  <c r="C288" i="72"/>
  <c r="V279" i="72"/>
  <c r="AD282" i="72"/>
  <c r="AC282" i="72"/>
  <c r="AB282" i="72"/>
  <c r="AA282" i="72"/>
  <c r="Z282" i="72"/>
  <c r="V282" i="72"/>
  <c r="T282" i="72"/>
  <c r="P282" i="72"/>
  <c r="AD281" i="72"/>
  <c r="AC281" i="72"/>
  <c r="AB281" i="72"/>
  <c r="AA281" i="72"/>
  <c r="Z281" i="72"/>
  <c r="T281" i="72"/>
  <c r="P281" i="72"/>
  <c r="AD280" i="72"/>
  <c r="AC280" i="72"/>
  <c r="AB280" i="72"/>
  <c r="AA280" i="72"/>
  <c r="Z280" i="72"/>
  <c r="T280" i="72"/>
  <c r="P280" i="72"/>
  <c r="AD279" i="72"/>
  <c r="AC279" i="72"/>
  <c r="AB279" i="72"/>
  <c r="AA279" i="72"/>
  <c r="Z279" i="72"/>
  <c r="T279" i="72"/>
  <c r="P279" i="72"/>
  <c r="Q279" i="72"/>
  <c r="P274" i="72"/>
  <c r="E286" i="72"/>
  <c r="C286" i="72"/>
  <c r="C287" i="72"/>
  <c r="O282" i="72"/>
  <c r="R282" i="72"/>
  <c r="O281" i="72"/>
  <c r="R281" i="72"/>
  <c r="O280" i="72"/>
  <c r="R280" i="72"/>
  <c r="O279" i="72"/>
  <c r="R279" i="72"/>
  <c r="P251" i="72"/>
  <c r="AR175" i="72"/>
  <c r="AP175" i="72"/>
  <c r="AN175" i="72"/>
  <c r="AL175" i="72"/>
  <c r="AJ175" i="72"/>
  <c r="F195" i="72"/>
  <c r="F194" i="72"/>
  <c r="F210" i="72"/>
  <c r="W203" i="72"/>
  <c r="E195" i="72"/>
  <c r="E194" i="72"/>
  <c r="E210" i="72"/>
  <c r="W202" i="72"/>
  <c r="D195" i="72"/>
  <c r="D194" i="72"/>
  <c r="D210" i="72"/>
  <c r="W201" i="72"/>
  <c r="C195" i="72"/>
  <c r="C194" i="72"/>
  <c r="E193" i="72"/>
  <c r="E209" i="72"/>
  <c r="V202" i="72"/>
  <c r="F192" i="72"/>
  <c r="E192" i="72"/>
  <c r="D192" i="72"/>
  <c r="C192" i="72"/>
  <c r="F190" i="72"/>
  <c r="E190" i="72"/>
  <c r="E207" i="72"/>
  <c r="D190" i="72"/>
  <c r="C190" i="72"/>
  <c r="F173" i="72"/>
  <c r="O203" i="72"/>
  <c r="R203" i="72"/>
  <c r="E173" i="72"/>
  <c r="D173" i="72"/>
  <c r="O201" i="72"/>
  <c r="R201" i="72"/>
  <c r="C173" i="72"/>
  <c r="O200" i="72"/>
  <c r="R200" i="72"/>
  <c r="J172" i="72"/>
  <c r="J173" i="72"/>
  <c r="I172" i="72"/>
  <c r="I173" i="72"/>
  <c r="H172" i="72"/>
  <c r="H173" i="72"/>
  <c r="G172" i="72"/>
  <c r="G173" i="72"/>
  <c r="F209" i="72"/>
  <c r="D209" i="72"/>
  <c r="V201" i="72"/>
  <c r="C209" i="72"/>
  <c r="V200" i="72"/>
  <c r="F207" i="72"/>
  <c r="F208" i="72"/>
  <c r="D207" i="72"/>
  <c r="D208" i="72"/>
  <c r="C207" i="72"/>
  <c r="C208" i="72"/>
  <c r="AD203" i="72"/>
  <c r="AC203" i="72"/>
  <c r="AB203" i="72"/>
  <c r="AA203" i="72"/>
  <c r="Z203" i="72"/>
  <c r="V203" i="72"/>
  <c r="T203" i="72"/>
  <c r="P203" i="72"/>
  <c r="AD202" i="72"/>
  <c r="AC202" i="72"/>
  <c r="AB202" i="72"/>
  <c r="AA202" i="72"/>
  <c r="Z202" i="72"/>
  <c r="T202" i="72"/>
  <c r="P202" i="72"/>
  <c r="O202" i="72"/>
  <c r="R202" i="72"/>
  <c r="AD201" i="72"/>
  <c r="AC201" i="72"/>
  <c r="AB201" i="72"/>
  <c r="AA201" i="72"/>
  <c r="Z201" i="72"/>
  <c r="T201" i="72"/>
  <c r="P201" i="72"/>
  <c r="AD200" i="72"/>
  <c r="AC200" i="72"/>
  <c r="AB200" i="72"/>
  <c r="AA200" i="72"/>
  <c r="Z200" i="72"/>
  <c r="T200" i="72"/>
  <c r="P200" i="72"/>
  <c r="Q200" i="72"/>
  <c r="P195" i="72"/>
  <c r="C210" i="72"/>
  <c r="W200" i="72"/>
  <c r="P172" i="72"/>
  <c r="AE172" i="72"/>
  <c r="F113" i="72"/>
  <c r="F112" i="72"/>
  <c r="F128" i="72"/>
  <c r="W121" i="72"/>
  <c r="E113" i="72"/>
  <c r="E112" i="72"/>
  <c r="E128" i="72"/>
  <c r="W120" i="72"/>
  <c r="D113" i="72"/>
  <c r="D112" i="72"/>
  <c r="D128" i="72"/>
  <c r="W119" i="72"/>
  <c r="C113" i="72"/>
  <c r="C112" i="72"/>
  <c r="P112" i="72"/>
  <c r="E111" i="72"/>
  <c r="E127" i="72"/>
  <c r="V120" i="72"/>
  <c r="F110" i="72"/>
  <c r="E110" i="72"/>
  <c r="D110" i="72"/>
  <c r="C110" i="72"/>
  <c r="F34" i="72"/>
  <c r="E34" i="72"/>
  <c r="D34" i="72"/>
  <c r="D33" i="72"/>
  <c r="D49" i="72"/>
  <c r="W40" i="72"/>
  <c r="C34" i="72"/>
  <c r="P34" i="72"/>
  <c r="F33" i="72"/>
  <c r="E33" i="72"/>
  <c r="E49" i="72"/>
  <c r="W41" i="72"/>
  <c r="E32" i="72"/>
  <c r="F31" i="72"/>
  <c r="E31" i="72"/>
  <c r="D31" i="72"/>
  <c r="C31" i="72"/>
  <c r="E29" i="72"/>
  <c r="F12" i="72"/>
  <c r="O42" i="72"/>
  <c r="R42" i="72"/>
  <c r="E12" i="72"/>
  <c r="D12" i="72"/>
  <c r="C12" i="72"/>
  <c r="O39" i="72"/>
  <c r="R39" i="72"/>
  <c r="J11" i="72"/>
  <c r="J12" i="72"/>
  <c r="I11" i="72"/>
  <c r="I12" i="72"/>
  <c r="H11" i="72"/>
  <c r="H12" i="72"/>
  <c r="G11" i="72"/>
  <c r="G12" i="72"/>
  <c r="F127" i="72"/>
  <c r="V121" i="72"/>
  <c r="D127" i="72"/>
  <c r="C127" i="72"/>
  <c r="V118" i="72"/>
  <c r="F125" i="72"/>
  <c r="F126" i="72"/>
  <c r="E125" i="72"/>
  <c r="E126" i="72"/>
  <c r="D125" i="72"/>
  <c r="D126" i="72"/>
  <c r="C125" i="72"/>
  <c r="C126" i="72"/>
  <c r="AD121" i="72"/>
  <c r="AC121" i="72"/>
  <c r="AB121" i="72"/>
  <c r="AA121" i="72"/>
  <c r="Z121" i="72"/>
  <c r="T121" i="72"/>
  <c r="P121" i="72"/>
  <c r="O121" i="72"/>
  <c r="R121" i="72"/>
  <c r="AD120" i="72"/>
  <c r="AC120" i="72"/>
  <c r="AB120" i="72"/>
  <c r="AA120" i="72"/>
  <c r="Z120" i="72"/>
  <c r="T120" i="72"/>
  <c r="P120" i="72"/>
  <c r="O120" i="72"/>
  <c r="R120" i="72"/>
  <c r="AD119" i="72"/>
  <c r="AC119" i="72"/>
  <c r="AB119" i="72"/>
  <c r="AA119" i="72"/>
  <c r="Z119" i="72"/>
  <c r="V119" i="72"/>
  <c r="T119" i="72"/>
  <c r="P119" i="72"/>
  <c r="O119" i="72"/>
  <c r="R119" i="72"/>
  <c r="AD118" i="72"/>
  <c r="AC118" i="72"/>
  <c r="AB118" i="72"/>
  <c r="AA118" i="72"/>
  <c r="Z118" i="72"/>
  <c r="T118" i="72"/>
  <c r="P118" i="72"/>
  <c r="Q118" i="72"/>
  <c r="O118" i="72"/>
  <c r="R118" i="72"/>
  <c r="P113" i="72"/>
  <c r="P90" i="72"/>
  <c r="AE90" i="72"/>
  <c r="B81" i="72"/>
  <c r="F48" i="72"/>
  <c r="E48" i="72"/>
  <c r="D48" i="72"/>
  <c r="V40" i="72"/>
  <c r="C48" i="72"/>
  <c r="C47" i="72"/>
  <c r="F46" i="72"/>
  <c r="U42" i="72"/>
  <c r="E46" i="72"/>
  <c r="E47" i="72"/>
  <c r="D46" i="72"/>
  <c r="D47" i="72"/>
  <c r="C46" i="72"/>
  <c r="U39" i="72"/>
  <c r="AD42" i="72"/>
  <c r="AC42" i="72"/>
  <c r="AB42" i="72"/>
  <c r="AA42" i="72"/>
  <c r="Z42" i="72"/>
  <c r="V42" i="72"/>
  <c r="T42" i="72"/>
  <c r="P42" i="72"/>
  <c r="AD41" i="72"/>
  <c r="AC41" i="72"/>
  <c r="AB41" i="72"/>
  <c r="AA41" i="72"/>
  <c r="Z41" i="72"/>
  <c r="V41" i="72"/>
  <c r="T41" i="72"/>
  <c r="P41" i="72"/>
  <c r="O41" i="72"/>
  <c r="R41" i="72"/>
  <c r="AD40" i="72"/>
  <c r="AC40" i="72"/>
  <c r="AB40" i="72"/>
  <c r="AA40" i="72"/>
  <c r="Z40" i="72"/>
  <c r="U40" i="72"/>
  <c r="T40" i="72"/>
  <c r="R40" i="72"/>
  <c r="P40" i="72"/>
  <c r="O40" i="72"/>
  <c r="AD39" i="72"/>
  <c r="AC39" i="72"/>
  <c r="AB39" i="72"/>
  <c r="AA39" i="72"/>
  <c r="Z39" i="72"/>
  <c r="V39" i="72"/>
  <c r="T39" i="72"/>
  <c r="P39" i="72"/>
  <c r="Q39" i="72"/>
  <c r="F49" i="72"/>
  <c r="W42" i="72"/>
  <c r="P11" i="72"/>
  <c r="AE11" i="72"/>
  <c r="B2" i="72"/>
  <c r="B81" i="71"/>
  <c r="AH97" i="71"/>
  <c r="AH96" i="71"/>
  <c r="AH95" i="71"/>
  <c r="AH94" i="71"/>
  <c r="AR93" i="71"/>
  <c r="AQ93" i="71"/>
  <c r="AP93" i="71"/>
  <c r="AO93" i="71"/>
  <c r="AN93" i="71"/>
  <c r="AM93" i="71"/>
  <c r="AL93" i="71"/>
  <c r="AK93" i="71"/>
  <c r="AJ93" i="71"/>
  <c r="AI93" i="71"/>
  <c r="AH93" i="71"/>
  <c r="AH91" i="71"/>
  <c r="AR90" i="71"/>
  <c r="AQ90" i="71"/>
  <c r="AP90" i="71"/>
  <c r="AO90" i="71"/>
  <c r="AN90" i="71"/>
  <c r="AM90" i="71"/>
  <c r="AL90" i="71"/>
  <c r="AK90" i="71"/>
  <c r="AJ90" i="71"/>
  <c r="AI90" i="71"/>
  <c r="AH90" i="71"/>
  <c r="AE90" i="71"/>
  <c r="AD121" i="71"/>
  <c r="AC121" i="71"/>
  <c r="AB121" i="71"/>
  <c r="AA121" i="71"/>
  <c r="Z121" i="71"/>
  <c r="W121" i="71"/>
  <c r="V121" i="71"/>
  <c r="U121" i="71"/>
  <c r="T121" i="71"/>
  <c r="P121" i="71"/>
  <c r="O121" i="71"/>
  <c r="R121" i="71"/>
  <c r="AD120" i="71"/>
  <c r="AC120" i="71"/>
  <c r="AB120" i="71"/>
  <c r="AA120" i="71"/>
  <c r="Z120" i="71"/>
  <c r="W120" i="71"/>
  <c r="V120" i="71"/>
  <c r="U120" i="71"/>
  <c r="T120" i="71"/>
  <c r="R120" i="71"/>
  <c r="P120" i="71"/>
  <c r="O120" i="71"/>
  <c r="AD119" i="71"/>
  <c r="AC119" i="71"/>
  <c r="AB119" i="71"/>
  <c r="AA119" i="71"/>
  <c r="Z119" i="71"/>
  <c r="W119" i="71"/>
  <c r="V119" i="71"/>
  <c r="U119" i="71"/>
  <c r="T119" i="71"/>
  <c r="P119" i="71"/>
  <c r="O119" i="71"/>
  <c r="R119" i="71"/>
  <c r="AD118" i="71"/>
  <c r="AC118" i="71"/>
  <c r="AB118" i="71"/>
  <c r="AA118" i="71"/>
  <c r="Z118" i="71"/>
  <c r="W118" i="71"/>
  <c r="V118" i="71"/>
  <c r="U118" i="71"/>
  <c r="T118" i="71"/>
  <c r="R118" i="71"/>
  <c r="P118" i="71"/>
  <c r="Q118" i="71"/>
  <c r="O118" i="71"/>
  <c r="P113" i="71"/>
  <c r="P112" i="71"/>
  <c r="P90" i="71"/>
  <c r="F128" i="71"/>
  <c r="E128" i="71"/>
  <c r="D128" i="71"/>
  <c r="C128" i="71"/>
  <c r="F127" i="71"/>
  <c r="E127" i="71"/>
  <c r="D127" i="71"/>
  <c r="C127" i="71"/>
  <c r="F126" i="71"/>
  <c r="D126" i="71"/>
  <c r="F125" i="71"/>
  <c r="E125" i="71"/>
  <c r="E126" i="71"/>
  <c r="D125" i="71"/>
  <c r="C125" i="71"/>
  <c r="C126" i="71"/>
  <c r="F118" i="71"/>
  <c r="E118" i="71"/>
  <c r="D118" i="71"/>
  <c r="C118" i="71"/>
  <c r="F113" i="71"/>
  <c r="E113" i="71"/>
  <c r="E112" i="71"/>
  <c r="D113" i="71"/>
  <c r="C113" i="71"/>
  <c r="C112" i="71"/>
  <c r="F112" i="71"/>
  <c r="D112" i="71"/>
  <c r="AH18" i="71"/>
  <c r="AH17" i="71"/>
  <c r="AH16" i="71"/>
  <c r="AH15" i="71"/>
  <c r="AR14" i="71"/>
  <c r="AQ14" i="71"/>
  <c r="AP14" i="71"/>
  <c r="AO14" i="71"/>
  <c r="AN14" i="71"/>
  <c r="AM14" i="71"/>
  <c r="AL14" i="71"/>
  <c r="AK14" i="71"/>
  <c r="AJ14" i="71"/>
  <c r="AI14" i="71"/>
  <c r="AH14" i="71"/>
  <c r="AH13" i="71"/>
  <c r="AH12" i="71"/>
  <c r="AR11" i="71"/>
  <c r="AQ11" i="71"/>
  <c r="AP11" i="71"/>
  <c r="AO11" i="71"/>
  <c r="AN11" i="71"/>
  <c r="AM11" i="71"/>
  <c r="AL11" i="71"/>
  <c r="AK11" i="71"/>
  <c r="AJ11" i="71"/>
  <c r="AI11" i="71"/>
  <c r="AH11" i="71"/>
  <c r="AE11" i="71"/>
  <c r="F34" i="71"/>
  <c r="E34" i="71"/>
  <c r="D34" i="71"/>
  <c r="C34" i="71"/>
  <c r="F33" i="71"/>
  <c r="E33" i="71"/>
  <c r="D33" i="71"/>
  <c r="C33" i="71"/>
  <c r="P251" i="56"/>
  <c r="P172" i="56"/>
  <c r="O282" i="56"/>
  <c r="F48" i="71"/>
  <c r="V42" i="71"/>
  <c r="E48" i="71"/>
  <c r="V41" i="71"/>
  <c r="D48" i="71"/>
  <c r="C48" i="71"/>
  <c r="V39" i="71"/>
  <c r="F46" i="71"/>
  <c r="F47" i="71"/>
  <c r="E46" i="71"/>
  <c r="E47" i="71"/>
  <c r="D46" i="71"/>
  <c r="D47" i="71"/>
  <c r="C46" i="71"/>
  <c r="C47" i="71"/>
  <c r="AD42" i="71"/>
  <c r="AC42" i="71"/>
  <c r="AB42" i="71"/>
  <c r="AA42" i="71"/>
  <c r="Z42" i="71"/>
  <c r="T42" i="71"/>
  <c r="P42" i="71"/>
  <c r="O42" i="71"/>
  <c r="R42" i="71"/>
  <c r="AD41" i="71"/>
  <c r="AC41" i="71"/>
  <c r="AB41" i="71"/>
  <c r="AA41" i="71"/>
  <c r="Z41" i="71"/>
  <c r="T41" i="71"/>
  <c r="P41" i="71"/>
  <c r="O41" i="71"/>
  <c r="R41" i="71"/>
  <c r="AD40" i="71"/>
  <c r="AC40" i="71"/>
  <c r="AB40" i="71"/>
  <c r="AA40" i="71"/>
  <c r="Z40" i="71"/>
  <c r="V40" i="71"/>
  <c r="U40" i="71"/>
  <c r="T40" i="71"/>
  <c r="P40" i="71"/>
  <c r="O40" i="71"/>
  <c r="R40" i="71"/>
  <c r="AD39" i="71"/>
  <c r="AC39" i="71"/>
  <c r="AB39" i="71"/>
  <c r="AA39" i="71"/>
  <c r="Z39" i="71"/>
  <c r="T39" i="71"/>
  <c r="P39" i="71"/>
  <c r="Q39" i="71"/>
  <c r="O39" i="71"/>
  <c r="R39" i="71"/>
  <c r="D49" i="71"/>
  <c r="W40" i="71"/>
  <c r="P34" i="71"/>
  <c r="F49" i="71"/>
  <c r="W42" i="71"/>
  <c r="E49" i="71"/>
  <c r="W41" i="71"/>
  <c r="P11" i="71"/>
  <c r="B2" i="71"/>
  <c r="AE11" i="70"/>
  <c r="F34" i="70"/>
  <c r="F33" i="70"/>
  <c r="F49" i="70"/>
  <c r="W42" i="70"/>
  <c r="E34" i="70"/>
  <c r="D34" i="70"/>
  <c r="C34" i="70"/>
  <c r="E33" i="70"/>
  <c r="E49" i="70"/>
  <c r="W41" i="70"/>
  <c r="D33" i="70"/>
  <c r="D49" i="70"/>
  <c r="W40" i="70"/>
  <c r="C33" i="70"/>
  <c r="C49" i="70"/>
  <c r="W39" i="70"/>
  <c r="F48" i="70"/>
  <c r="V42" i="70"/>
  <c r="E48" i="70"/>
  <c r="D48" i="70"/>
  <c r="C48" i="70"/>
  <c r="V39" i="70"/>
  <c r="F46" i="70"/>
  <c r="F47" i="70"/>
  <c r="E46" i="70"/>
  <c r="E47" i="70"/>
  <c r="D46" i="70"/>
  <c r="D47" i="70"/>
  <c r="C46" i="70"/>
  <c r="C47" i="70"/>
  <c r="AD42" i="70"/>
  <c r="AC42" i="70"/>
  <c r="AB42" i="70"/>
  <c r="AA42" i="70"/>
  <c r="Z42" i="70"/>
  <c r="T42" i="70"/>
  <c r="R42" i="70"/>
  <c r="P42" i="70"/>
  <c r="O42" i="70"/>
  <c r="AD41" i="70"/>
  <c r="AC41" i="70"/>
  <c r="AB41" i="70"/>
  <c r="AA41" i="70"/>
  <c r="Z41" i="70"/>
  <c r="V41" i="70"/>
  <c r="T41" i="70"/>
  <c r="P41" i="70"/>
  <c r="O41" i="70"/>
  <c r="R41" i="70"/>
  <c r="AD40" i="70"/>
  <c r="AC40" i="70"/>
  <c r="AB40" i="70"/>
  <c r="AA40" i="70"/>
  <c r="Z40" i="70"/>
  <c r="V40" i="70"/>
  <c r="T40" i="70"/>
  <c r="P40" i="70"/>
  <c r="O40" i="70"/>
  <c r="R40" i="70"/>
  <c r="AD39" i="70"/>
  <c r="AC39" i="70"/>
  <c r="AB39" i="70"/>
  <c r="AA39" i="70"/>
  <c r="Z39" i="70"/>
  <c r="T39" i="70"/>
  <c r="P39" i="70"/>
  <c r="Q39" i="70"/>
  <c r="O39" i="70"/>
  <c r="R39" i="70"/>
  <c r="P34" i="70"/>
  <c r="P11" i="70"/>
  <c r="B2" i="70"/>
  <c r="AE11" i="69"/>
  <c r="F34" i="69"/>
  <c r="E34" i="69"/>
  <c r="D34" i="69"/>
  <c r="D33" i="69"/>
  <c r="D49" i="69"/>
  <c r="W40" i="69"/>
  <c r="C34" i="69"/>
  <c r="F33" i="69"/>
  <c r="E33" i="69"/>
  <c r="E49" i="69"/>
  <c r="W41" i="69"/>
  <c r="C33" i="69"/>
  <c r="C49" i="69"/>
  <c r="W39" i="69"/>
  <c r="F48" i="69"/>
  <c r="E48" i="69"/>
  <c r="D48" i="69"/>
  <c r="C48" i="69"/>
  <c r="V39" i="69"/>
  <c r="F47" i="69"/>
  <c r="D47" i="69"/>
  <c r="F46" i="69"/>
  <c r="E46" i="69"/>
  <c r="U41" i="69"/>
  <c r="D46" i="69"/>
  <c r="C46" i="69"/>
  <c r="C47" i="69"/>
  <c r="AD42" i="69"/>
  <c r="AC42" i="69"/>
  <c r="AB42" i="69"/>
  <c r="AA42" i="69"/>
  <c r="Z42" i="69"/>
  <c r="V42" i="69"/>
  <c r="U42" i="69"/>
  <c r="T42" i="69"/>
  <c r="R42" i="69"/>
  <c r="P42" i="69"/>
  <c r="O42" i="69"/>
  <c r="AD41" i="69"/>
  <c r="AC41" i="69"/>
  <c r="AB41" i="69"/>
  <c r="AA41" i="69"/>
  <c r="Z41" i="69"/>
  <c r="V41" i="69"/>
  <c r="T41" i="69"/>
  <c r="P41" i="69"/>
  <c r="O41" i="69"/>
  <c r="R41" i="69"/>
  <c r="AD40" i="69"/>
  <c r="AC40" i="69"/>
  <c r="AB40" i="69"/>
  <c r="AA40" i="69"/>
  <c r="Z40" i="69"/>
  <c r="V40" i="69"/>
  <c r="U40" i="69"/>
  <c r="T40" i="69"/>
  <c r="R40" i="69"/>
  <c r="P40" i="69"/>
  <c r="O40" i="69"/>
  <c r="AD39" i="69"/>
  <c r="AC39" i="69"/>
  <c r="AB39" i="69"/>
  <c r="AA39" i="69"/>
  <c r="Z39" i="69"/>
  <c r="T39" i="69"/>
  <c r="P39" i="69"/>
  <c r="Q39" i="69"/>
  <c r="O39" i="69"/>
  <c r="R39" i="69"/>
  <c r="P34" i="69"/>
  <c r="F49" i="69"/>
  <c r="W42" i="69"/>
  <c r="P11" i="69"/>
  <c r="B2" i="69"/>
  <c r="AR14" i="68"/>
  <c r="AP14" i="68"/>
  <c r="AN14" i="68"/>
  <c r="AL14" i="68"/>
  <c r="AJ14" i="68"/>
  <c r="AE11" i="68"/>
  <c r="F34" i="68"/>
  <c r="E34" i="68"/>
  <c r="D34" i="68"/>
  <c r="C34" i="68"/>
  <c r="F33" i="68"/>
  <c r="F49" i="68"/>
  <c r="W42" i="68"/>
  <c r="E33" i="68"/>
  <c r="E49" i="68"/>
  <c r="W41" i="68"/>
  <c r="D33" i="68"/>
  <c r="D49" i="68"/>
  <c r="W40" i="68"/>
  <c r="C33" i="68"/>
  <c r="F48" i="68"/>
  <c r="E48" i="68"/>
  <c r="V41" i="68"/>
  <c r="D48" i="68"/>
  <c r="C48" i="68"/>
  <c r="V39" i="68"/>
  <c r="F47" i="68"/>
  <c r="F46" i="68"/>
  <c r="U42" i="68"/>
  <c r="E46" i="68"/>
  <c r="E47" i="68"/>
  <c r="D46" i="68"/>
  <c r="D47" i="68"/>
  <c r="C46" i="68"/>
  <c r="C47" i="68"/>
  <c r="AD42" i="68"/>
  <c r="AC42" i="68"/>
  <c r="AB42" i="68"/>
  <c r="AA42" i="68"/>
  <c r="Z42" i="68"/>
  <c r="V42" i="68"/>
  <c r="T42" i="68"/>
  <c r="P42" i="68"/>
  <c r="O42" i="68"/>
  <c r="R42" i="68"/>
  <c r="AD41" i="68"/>
  <c r="AC41" i="68"/>
  <c r="AB41" i="68"/>
  <c r="AA41" i="68"/>
  <c r="Z41" i="68"/>
  <c r="T41" i="68"/>
  <c r="P41" i="68"/>
  <c r="O41" i="68"/>
  <c r="R41" i="68"/>
  <c r="AD40" i="68"/>
  <c r="AC40" i="68"/>
  <c r="AB40" i="68"/>
  <c r="AA40" i="68"/>
  <c r="Z40" i="68"/>
  <c r="V40" i="68"/>
  <c r="U40" i="68"/>
  <c r="T40" i="68"/>
  <c r="P40" i="68"/>
  <c r="O40" i="68"/>
  <c r="R40" i="68"/>
  <c r="AD39" i="68"/>
  <c r="AC39" i="68"/>
  <c r="AB39" i="68"/>
  <c r="AA39" i="68"/>
  <c r="Z39" i="68"/>
  <c r="T39" i="68"/>
  <c r="R39" i="68"/>
  <c r="P39" i="68"/>
  <c r="Q39" i="68"/>
  <c r="O39" i="68"/>
  <c r="P34" i="68"/>
  <c r="P11" i="68"/>
  <c r="B2" i="68"/>
  <c r="V39" i="62"/>
  <c r="V40" i="62"/>
  <c r="U42" i="62"/>
  <c r="U41" i="62"/>
  <c r="U40" i="62"/>
  <c r="U39" i="62"/>
  <c r="O42" i="62"/>
  <c r="O41" i="62"/>
  <c r="O40" i="62"/>
  <c r="O39" i="62"/>
  <c r="R39" i="62"/>
  <c r="AR86" i="62"/>
  <c r="AP86" i="62"/>
  <c r="AN86" i="62"/>
  <c r="AL86" i="62"/>
  <c r="AJ86" i="62"/>
  <c r="AE83" i="62"/>
  <c r="F111" i="62"/>
  <c r="D111" i="62"/>
  <c r="F106" i="62"/>
  <c r="E106" i="62"/>
  <c r="E105" i="62"/>
  <c r="E121" i="62"/>
  <c r="W113" i="62"/>
  <c r="D106" i="62"/>
  <c r="C106" i="62"/>
  <c r="C105" i="62"/>
  <c r="F105" i="62"/>
  <c r="F121" i="62"/>
  <c r="W114" i="62"/>
  <c r="D105" i="62"/>
  <c r="F101" i="62"/>
  <c r="F118" i="62"/>
  <c r="E101" i="62"/>
  <c r="E111" i="62"/>
  <c r="D101" i="62"/>
  <c r="C101" i="62"/>
  <c r="C111" i="62"/>
  <c r="H84" i="62"/>
  <c r="F84" i="62"/>
  <c r="E84" i="62"/>
  <c r="D84" i="62"/>
  <c r="C84" i="62"/>
  <c r="J83" i="62"/>
  <c r="J84" i="62"/>
  <c r="I83" i="62"/>
  <c r="I84" i="62"/>
  <c r="H83" i="62"/>
  <c r="G83" i="62"/>
  <c r="G84" i="62"/>
  <c r="F120" i="62"/>
  <c r="V114" i="62"/>
  <c r="E120" i="62"/>
  <c r="D120" i="62"/>
  <c r="C120" i="62"/>
  <c r="V111" i="62"/>
  <c r="D118" i="62"/>
  <c r="D119" i="62"/>
  <c r="AD114" i="62"/>
  <c r="AC114" i="62"/>
  <c r="AB114" i="62"/>
  <c r="AA114" i="62"/>
  <c r="Z114" i="62"/>
  <c r="T114" i="62"/>
  <c r="P114" i="62"/>
  <c r="AD113" i="62"/>
  <c r="AC113" i="62"/>
  <c r="AB113" i="62"/>
  <c r="AA113" i="62"/>
  <c r="Z113" i="62"/>
  <c r="V113" i="62"/>
  <c r="T113" i="62"/>
  <c r="P113" i="62"/>
  <c r="AD112" i="62"/>
  <c r="AC112" i="62"/>
  <c r="AB112" i="62"/>
  <c r="AA112" i="62"/>
  <c r="Z112" i="62"/>
  <c r="V112" i="62"/>
  <c r="T112" i="62"/>
  <c r="P112" i="62"/>
  <c r="AD111" i="62"/>
  <c r="AC111" i="62"/>
  <c r="AB111" i="62"/>
  <c r="AA111" i="62"/>
  <c r="Z111" i="62"/>
  <c r="T111" i="62"/>
  <c r="P111" i="62"/>
  <c r="Q111" i="62"/>
  <c r="D121" i="62"/>
  <c r="W112" i="62"/>
  <c r="O114" i="62"/>
  <c r="R114" i="62"/>
  <c r="O111" i="62"/>
  <c r="R111" i="62"/>
  <c r="P83" i="62"/>
  <c r="O113" i="62"/>
  <c r="R113" i="62"/>
  <c r="AP14" i="62"/>
  <c r="AN14" i="62"/>
  <c r="AC14" i="62"/>
  <c r="AR14" i="62"/>
  <c r="Y14" i="62"/>
  <c r="W14" i="62"/>
  <c r="AL14" i="62"/>
  <c r="U14" i="62"/>
  <c r="AJ14" i="62"/>
  <c r="AE11" i="62"/>
  <c r="F39" i="62"/>
  <c r="E39" i="62"/>
  <c r="D39" i="62"/>
  <c r="C39" i="62"/>
  <c r="F34" i="62"/>
  <c r="E34" i="62"/>
  <c r="E33" i="62"/>
  <c r="D34" i="62"/>
  <c r="D33" i="62"/>
  <c r="D49" i="62"/>
  <c r="W40" i="62"/>
  <c r="C34" i="62"/>
  <c r="P34" i="62"/>
  <c r="F33" i="62"/>
  <c r="I12" i="62"/>
  <c r="C12" i="62"/>
  <c r="I11" i="62"/>
  <c r="H11" i="62"/>
  <c r="H12" i="62"/>
  <c r="G11" i="62"/>
  <c r="G12" i="62"/>
  <c r="F11" i="62"/>
  <c r="F12" i="62"/>
  <c r="E11" i="62"/>
  <c r="E12" i="62"/>
  <c r="D11" i="62"/>
  <c r="D12" i="62"/>
  <c r="AH18" i="64"/>
  <c r="AH17" i="64"/>
  <c r="AH16" i="64"/>
  <c r="AH15" i="64"/>
  <c r="AR14" i="64"/>
  <c r="AP14" i="64"/>
  <c r="AN14" i="64"/>
  <c r="AL14" i="64"/>
  <c r="AJ14" i="64"/>
  <c r="AH14" i="64"/>
  <c r="AH13" i="64"/>
  <c r="AH12" i="64"/>
  <c r="AH11" i="64"/>
  <c r="AE11" i="64"/>
  <c r="C66" i="64"/>
  <c r="F34" i="64"/>
  <c r="F33" i="64"/>
  <c r="E34" i="64"/>
  <c r="E33" i="64"/>
  <c r="D34" i="64"/>
  <c r="D33" i="64"/>
  <c r="D49" i="64"/>
  <c r="W40" i="64"/>
  <c r="C34" i="64"/>
  <c r="C33" i="64"/>
  <c r="C49" i="64"/>
  <c r="W39" i="64"/>
  <c r="AH18" i="65"/>
  <c r="AH17" i="65"/>
  <c r="AH16" i="65"/>
  <c r="AH15" i="65"/>
  <c r="AR14" i="65"/>
  <c r="AP14" i="65"/>
  <c r="AN14" i="65"/>
  <c r="AL14" i="65"/>
  <c r="AJ14" i="65"/>
  <c r="AH14" i="65"/>
  <c r="AH13" i="65"/>
  <c r="AH12" i="65"/>
  <c r="AH11" i="65"/>
  <c r="AE11" i="65"/>
  <c r="F45" i="65"/>
  <c r="E45" i="65"/>
  <c r="D45" i="65"/>
  <c r="C45" i="65"/>
  <c r="F34" i="65"/>
  <c r="E34" i="65"/>
  <c r="D34" i="65"/>
  <c r="D33" i="65"/>
  <c r="D49" i="65"/>
  <c r="W40" i="65"/>
  <c r="C34" i="65"/>
  <c r="C33" i="65"/>
  <c r="C49" i="65"/>
  <c r="W39" i="65"/>
  <c r="F33" i="65"/>
  <c r="E33" i="65"/>
  <c r="AR19" i="66"/>
  <c r="AP19" i="66"/>
  <c r="AN19" i="66"/>
  <c r="AL19" i="66"/>
  <c r="AJ19" i="66"/>
  <c r="AC19" i="66"/>
  <c r="AA19" i="66"/>
  <c r="Y19" i="66"/>
  <c r="W19" i="66"/>
  <c r="U19" i="66"/>
  <c r="AE11" i="66"/>
  <c r="F34" i="66"/>
  <c r="F33" i="66"/>
  <c r="F49" i="66"/>
  <c r="W42" i="66"/>
  <c r="E34" i="66"/>
  <c r="D34" i="66"/>
  <c r="D33" i="66"/>
  <c r="C34" i="66"/>
  <c r="E33" i="66"/>
  <c r="C33" i="66"/>
  <c r="C49" i="66"/>
  <c r="W39" i="66"/>
  <c r="J12" i="66"/>
  <c r="I12" i="66"/>
  <c r="H12" i="66"/>
  <c r="G12" i="66"/>
  <c r="F12" i="66"/>
  <c r="E12" i="66"/>
  <c r="D12" i="66"/>
  <c r="C12" i="66"/>
  <c r="O39" i="66"/>
  <c r="R39" i="66"/>
  <c r="F48" i="66"/>
  <c r="E48" i="66"/>
  <c r="V41" i="66"/>
  <c r="D48" i="66"/>
  <c r="C48" i="66"/>
  <c r="F47" i="66"/>
  <c r="F46" i="66"/>
  <c r="E46" i="66"/>
  <c r="E47" i="66"/>
  <c r="D46" i="66"/>
  <c r="D47" i="66"/>
  <c r="C46" i="66"/>
  <c r="C47" i="66"/>
  <c r="AD42" i="66"/>
  <c r="AC42" i="66"/>
  <c r="AB42" i="66"/>
  <c r="AA42" i="66"/>
  <c r="Z42" i="66"/>
  <c r="V42" i="66"/>
  <c r="U42" i="66"/>
  <c r="T42" i="66"/>
  <c r="P42" i="66"/>
  <c r="AD41" i="66"/>
  <c r="AC41" i="66"/>
  <c r="AB41" i="66"/>
  <c r="AA41" i="66"/>
  <c r="Z41" i="66"/>
  <c r="T41" i="66"/>
  <c r="P41" i="66"/>
  <c r="AD40" i="66"/>
  <c r="AC40" i="66"/>
  <c r="AB40" i="66"/>
  <c r="AA40" i="66"/>
  <c r="Z40" i="66"/>
  <c r="V40" i="66"/>
  <c r="T40" i="66"/>
  <c r="P40" i="66"/>
  <c r="AD39" i="66"/>
  <c r="AC39" i="66"/>
  <c r="AB39" i="66"/>
  <c r="AA39" i="66"/>
  <c r="Z39" i="66"/>
  <c r="V39" i="66"/>
  <c r="U39" i="66"/>
  <c r="T39" i="66"/>
  <c r="Q39" i="66"/>
  <c r="P39" i="66"/>
  <c r="P34" i="66"/>
  <c r="P11" i="66"/>
  <c r="B2" i="66"/>
  <c r="F48" i="65"/>
  <c r="V42" i="65"/>
  <c r="E48" i="65"/>
  <c r="V41" i="65"/>
  <c r="D48" i="65"/>
  <c r="C48" i="65"/>
  <c r="F46" i="65"/>
  <c r="F47" i="65"/>
  <c r="E46" i="65"/>
  <c r="E47" i="65"/>
  <c r="D46" i="65"/>
  <c r="D47" i="65"/>
  <c r="C46" i="65"/>
  <c r="C47" i="65"/>
  <c r="AD42" i="65"/>
  <c r="AC42" i="65"/>
  <c r="AB42" i="65"/>
  <c r="AA42" i="65"/>
  <c r="Z42" i="65"/>
  <c r="T42" i="65"/>
  <c r="P42" i="65"/>
  <c r="AD41" i="65"/>
  <c r="AC41" i="65"/>
  <c r="AB41" i="65"/>
  <c r="AA41" i="65"/>
  <c r="Z41" i="65"/>
  <c r="T41" i="65"/>
  <c r="P41" i="65"/>
  <c r="AD40" i="65"/>
  <c r="AC40" i="65"/>
  <c r="AB40" i="65"/>
  <c r="AA40" i="65"/>
  <c r="Z40" i="65"/>
  <c r="V40" i="65"/>
  <c r="U40" i="65"/>
  <c r="T40" i="65"/>
  <c r="P40" i="65"/>
  <c r="AD39" i="65"/>
  <c r="AC39" i="65"/>
  <c r="AB39" i="65"/>
  <c r="AA39" i="65"/>
  <c r="V39" i="65"/>
  <c r="U39" i="65"/>
  <c r="T39" i="65"/>
  <c r="R39" i="65"/>
  <c r="P39" i="65"/>
  <c r="Q39" i="65"/>
  <c r="O39" i="65"/>
  <c r="F49" i="65"/>
  <c r="W42" i="65"/>
  <c r="E49" i="65"/>
  <c r="W41" i="65"/>
  <c r="O42" i="65"/>
  <c r="R42" i="65"/>
  <c r="O41" i="65"/>
  <c r="R41" i="65"/>
  <c r="O40" i="65"/>
  <c r="R40" i="65"/>
  <c r="P11" i="65"/>
  <c r="B2" i="65"/>
  <c r="F48" i="64"/>
  <c r="V42" i="64"/>
  <c r="E48" i="64"/>
  <c r="V41" i="64"/>
  <c r="D48" i="64"/>
  <c r="C48" i="64"/>
  <c r="V39" i="64"/>
  <c r="F46" i="64"/>
  <c r="U42" i="64"/>
  <c r="E46" i="64"/>
  <c r="E47" i="64"/>
  <c r="D46" i="64"/>
  <c r="D47" i="64"/>
  <c r="C46" i="64"/>
  <c r="C47" i="64"/>
  <c r="AD42" i="64"/>
  <c r="AC42" i="64"/>
  <c r="AB42" i="64"/>
  <c r="AA42" i="64"/>
  <c r="Z42" i="64"/>
  <c r="T42" i="64"/>
  <c r="P42" i="64"/>
  <c r="AD41" i="64"/>
  <c r="AC41" i="64"/>
  <c r="AB41" i="64"/>
  <c r="AA41" i="64"/>
  <c r="Z41" i="64"/>
  <c r="U41" i="64"/>
  <c r="T41" i="64"/>
  <c r="P41" i="64"/>
  <c r="AD40" i="64"/>
  <c r="AC40" i="64"/>
  <c r="AB40" i="64"/>
  <c r="AA40" i="64"/>
  <c r="Z40" i="64"/>
  <c r="V40" i="64"/>
  <c r="U40" i="64"/>
  <c r="T40" i="64"/>
  <c r="P40" i="64"/>
  <c r="AD39" i="64"/>
  <c r="AC39" i="64"/>
  <c r="AB39" i="64"/>
  <c r="AA39" i="64"/>
  <c r="Z39" i="64"/>
  <c r="U39" i="64"/>
  <c r="T39" i="64"/>
  <c r="P39" i="64"/>
  <c r="Q39" i="64"/>
  <c r="P34" i="64"/>
  <c r="O39" i="64"/>
  <c r="R39" i="64"/>
  <c r="P11" i="64"/>
  <c r="B2" i="64"/>
  <c r="F48" i="63"/>
  <c r="V42" i="63"/>
  <c r="E48" i="63"/>
  <c r="V41" i="63"/>
  <c r="D48" i="63"/>
  <c r="C48" i="63"/>
  <c r="V39" i="63"/>
  <c r="D47" i="63"/>
  <c r="F47" i="63"/>
  <c r="E47" i="63"/>
  <c r="C47" i="63"/>
  <c r="AD42" i="63"/>
  <c r="AC42" i="63"/>
  <c r="AB42" i="63"/>
  <c r="AA42" i="63"/>
  <c r="Z42" i="63"/>
  <c r="U42" i="63"/>
  <c r="T42" i="63"/>
  <c r="P42" i="63"/>
  <c r="AD41" i="63"/>
  <c r="AC41" i="63"/>
  <c r="AB41" i="63"/>
  <c r="AA41" i="63"/>
  <c r="Z41" i="63"/>
  <c r="T41" i="63"/>
  <c r="P41" i="63"/>
  <c r="AD40" i="63"/>
  <c r="AC40" i="63"/>
  <c r="AB40" i="63"/>
  <c r="AA40" i="63"/>
  <c r="Z40" i="63"/>
  <c r="V40" i="63"/>
  <c r="U40" i="63"/>
  <c r="T40" i="63"/>
  <c r="P40" i="63"/>
  <c r="AD39" i="63"/>
  <c r="AC39" i="63"/>
  <c r="AB39" i="63"/>
  <c r="AA39" i="63"/>
  <c r="Z39" i="63"/>
  <c r="T39" i="63"/>
  <c r="P39" i="63"/>
  <c r="Q39" i="63"/>
  <c r="R39" i="63"/>
  <c r="F39" i="63"/>
  <c r="E39" i="63"/>
  <c r="D39" i="63"/>
  <c r="C39" i="63"/>
  <c r="E35" i="63"/>
  <c r="F34" i="63"/>
  <c r="F33" i="63"/>
  <c r="E34" i="63"/>
  <c r="D34" i="63"/>
  <c r="C34" i="63"/>
  <c r="P34" i="63"/>
  <c r="D33" i="63"/>
  <c r="D49" i="63"/>
  <c r="W40" i="63"/>
  <c r="C33" i="63"/>
  <c r="C49" i="63"/>
  <c r="W39" i="63"/>
  <c r="AR14" i="63"/>
  <c r="AJ14" i="63"/>
  <c r="AC14" i="63"/>
  <c r="AA14" i="63"/>
  <c r="AP14" i="63"/>
  <c r="Y14" i="63"/>
  <c r="AN14" i="63"/>
  <c r="W14" i="63"/>
  <c r="AL14" i="63"/>
  <c r="U14" i="63"/>
  <c r="H12" i="63"/>
  <c r="G12" i="63"/>
  <c r="F12" i="63"/>
  <c r="R42" i="63"/>
  <c r="E12" i="63"/>
  <c r="R41" i="63"/>
  <c r="D12" i="63"/>
  <c r="R40" i="63"/>
  <c r="C12" i="63"/>
  <c r="AE11" i="63"/>
  <c r="P11" i="63"/>
  <c r="J11" i="63"/>
  <c r="J12" i="63"/>
  <c r="I11" i="63"/>
  <c r="I12" i="63"/>
  <c r="H11" i="63"/>
  <c r="G11" i="63"/>
  <c r="B2" i="63"/>
  <c r="F48" i="62"/>
  <c r="V42" i="62"/>
  <c r="E48" i="62"/>
  <c r="V41" i="62"/>
  <c r="D48" i="62"/>
  <c r="C48" i="62"/>
  <c r="F47" i="62"/>
  <c r="F46" i="62"/>
  <c r="E46" i="62"/>
  <c r="E47" i="62"/>
  <c r="D46" i="62"/>
  <c r="D47" i="62"/>
  <c r="C46" i="62"/>
  <c r="C47" i="62"/>
  <c r="AD42" i="62"/>
  <c r="AC42" i="62"/>
  <c r="AB42" i="62"/>
  <c r="AA42" i="62"/>
  <c r="Z42" i="62"/>
  <c r="T42" i="62"/>
  <c r="P42" i="62"/>
  <c r="AD41" i="62"/>
  <c r="AC41" i="62"/>
  <c r="AB41" i="62"/>
  <c r="AA41" i="62"/>
  <c r="Z41" i="62"/>
  <c r="T41" i="62"/>
  <c r="P41" i="62"/>
  <c r="AD40" i="62"/>
  <c r="AC40" i="62"/>
  <c r="AB40" i="62"/>
  <c r="AA40" i="62"/>
  <c r="Z40" i="62"/>
  <c r="T40" i="62"/>
  <c r="P40" i="62"/>
  <c r="AD39" i="62"/>
  <c r="AC39" i="62"/>
  <c r="AB39" i="62"/>
  <c r="AA39" i="62"/>
  <c r="Z39" i="62"/>
  <c r="T39" i="62"/>
  <c r="P39" i="62"/>
  <c r="Q39" i="62"/>
  <c r="P11" i="62"/>
  <c r="B2" i="62"/>
  <c r="O121" i="55"/>
  <c r="O120" i="55"/>
  <c r="O119" i="55"/>
  <c r="O118" i="55"/>
  <c r="O42" i="55"/>
  <c r="R42" i="55"/>
  <c r="O41" i="55"/>
  <c r="R41" i="55"/>
  <c r="O40" i="55"/>
  <c r="R40" i="55"/>
  <c r="O39" i="55"/>
  <c r="O42" i="57"/>
  <c r="R42" i="57"/>
  <c r="O41" i="57"/>
  <c r="R41" i="57"/>
  <c r="O40" i="57"/>
  <c r="R40" i="57"/>
  <c r="O39" i="57"/>
  <c r="O348" i="56"/>
  <c r="O347" i="56"/>
  <c r="R347" i="56"/>
  <c r="O346" i="56"/>
  <c r="R346" i="56"/>
  <c r="O345" i="56"/>
  <c r="F49" i="57"/>
  <c r="W42" i="57"/>
  <c r="F47" i="57"/>
  <c r="D47" i="57"/>
  <c r="F46" i="57"/>
  <c r="E46" i="57"/>
  <c r="E47" i="57"/>
  <c r="D46" i="57"/>
  <c r="C46" i="57"/>
  <c r="C47" i="57"/>
  <c r="AD42" i="57"/>
  <c r="AC42" i="57"/>
  <c r="AB42" i="57"/>
  <c r="AA42" i="57"/>
  <c r="Z42" i="57"/>
  <c r="U42" i="57"/>
  <c r="T42" i="57"/>
  <c r="P42" i="57"/>
  <c r="AD41" i="57"/>
  <c r="AC41" i="57"/>
  <c r="AB41" i="57"/>
  <c r="AA41" i="57"/>
  <c r="Z41" i="57"/>
  <c r="T41" i="57"/>
  <c r="P41" i="57"/>
  <c r="AD40" i="57"/>
  <c r="AC40" i="57"/>
  <c r="AB40" i="57"/>
  <c r="AA40" i="57"/>
  <c r="Z40" i="57"/>
  <c r="U40" i="57"/>
  <c r="T40" i="57"/>
  <c r="P40" i="57"/>
  <c r="AD39" i="57"/>
  <c r="AC39" i="57"/>
  <c r="AB39" i="57"/>
  <c r="AA39" i="57"/>
  <c r="Z39" i="57"/>
  <c r="T39" i="57"/>
  <c r="P39" i="57"/>
  <c r="Q39" i="57"/>
  <c r="R39" i="57"/>
  <c r="P34" i="57"/>
  <c r="P33" i="57"/>
  <c r="F33" i="57"/>
  <c r="E33" i="57"/>
  <c r="E49" i="57"/>
  <c r="W41" i="57"/>
  <c r="D33" i="57"/>
  <c r="D49" i="57"/>
  <c r="W40" i="57"/>
  <c r="C33" i="57"/>
  <c r="C49" i="57"/>
  <c r="W39" i="57"/>
  <c r="F32" i="57"/>
  <c r="F48" i="57"/>
  <c r="V42" i="57"/>
  <c r="E32" i="57"/>
  <c r="E48" i="57"/>
  <c r="V41" i="57"/>
  <c r="D32" i="57"/>
  <c r="D48" i="57"/>
  <c r="V40" i="57"/>
  <c r="C32" i="57"/>
  <c r="C48" i="57"/>
  <c r="V39" i="57"/>
  <c r="P11" i="57"/>
  <c r="AE11" i="57"/>
  <c r="F353" i="56"/>
  <c r="D353" i="56"/>
  <c r="F352" i="56"/>
  <c r="E352" i="56"/>
  <c r="U347" i="56"/>
  <c r="D352" i="56"/>
  <c r="C352" i="56"/>
  <c r="C353" i="56"/>
  <c r="AD348" i="56"/>
  <c r="AC348" i="56"/>
  <c r="AB348" i="56"/>
  <c r="AA348" i="56"/>
  <c r="Z348" i="56"/>
  <c r="U348" i="56"/>
  <c r="T348" i="56"/>
  <c r="R348" i="56"/>
  <c r="P348" i="56"/>
  <c r="AD347" i="56"/>
  <c r="AC347" i="56"/>
  <c r="AB347" i="56"/>
  <c r="AA347" i="56"/>
  <c r="Z347" i="56"/>
  <c r="T347" i="56"/>
  <c r="P347" i="56"/>
  <c r="AD346" i="56"/>
  <c r="AC346" i="56"/>
  <c r="AB346" i="56"/>
  <c r="AA346" i="56"/>
  <c r="Z346" i="56"/>
  <c r="U346" i="56"/>
  <c r="T346" i="56"/>
  <c r="P346" i="56"/>
  <c r="AD345" i="56"/>
  <c r="AC345" i="56"/>
  <c r="AB345" i="56"/>
  <c r="AA345" i="56"/>
  <c r="Z345" i="56"/>
  <c r="T345" i="56"/>
  <c r="P345" i="56"/>
  <c r="Q345" i="56"/>
  <c r="R345" i="56"/>
  <c r="F340" i="56"/>
  <c r="F339" i="56"/>
  <c r="F355" i="56"/>
  <c r="W348" i="56"/>
  <c r="E340" i="56"/>
  <c r="D340" i="56"/>
  <c r="C340" i="56"/>
  <c r="P340" i="56"/>
  <c r="E339" i="56"/>
  <c r="E355" i="56"/>
  <c r="W347" i="56"/>
  <c r="D339" i="56"/>
  <c r="D355" i="56"/>
  <c r="W346" i="56"/>
  <c r="F338" i="56"/>
  <c r="F354" i="56"/>
  <c r="V348" i="56"/>
  <c r="E338" i="56"/>
  <c r="E354" i="56"/>
  <c r="V347" i="56"/>
  <c r="D338" i="56"/>
  <c r="D354" i="56"/>
  <c r="V346" i="56"/>
  <c r="C338" i="56"/>
  <c r="C354" i="56"/>
  <c r="V345" i="56"/>
  <c r="V331" i="56"/>
  <c r="U331" i="56"/>
  <c r="T331" i="56"/>
  <c r="AH317" i="56"/>
  <c r="P317" i="56"/>
  <c r="AE317" i="56"/>
  <c r="AD282" i="56"/>
  <c r="AC282" i="56"/>
  <c r="AB282" i="56"/>
  <c r="AA282" i="56"/>
  <c r="Z282" i="56"/>
  <c r="T282" i="56"/>
  <c r="P282" i="56"/>
  <c r="AD281" i="56"/>
  <c r="AC281" i="56"/>
  <c r="AB281" i="56"/>
  <c r="AA281" i="56"/>
  <c r="Z281" i="56"/>
  <c r="T281" i="56"/>
  <c r="P281" i="56"/>
  <c r="AD280" i="56"/>
  <c r="AC280" i="56"/>
  <c r="AB280" i="56"/>
  <c r="AA280" i="56"/>
  <c r="Z280" i="56"/>
  <c r="T280" i="56"/>
  <c r="P280" i="56"/>
  <c r="AD279" i="56"/>
  <c r="AC279" i="56"/>
  <c r="AB279" i="56"/>
  <c r="AA279" i="56"/>
  <c r="Z279" i="56"/>
  <c r="T279" i="56"/>
  <c r="P279" i="56"/>
  <c r="F274" i="56"/>
  <c r="E274" i="56"/>
  <c r="D274" i="56"/>
  <c r="C274" i="56"/>
  <c r="C275" i="56"/>
  <c r="P273" i="56"/>
  <c r="F273" i="56"/>
  <c r="F289" i="56"/>
  <c r="W282" i="56"/>
  <c r="E273" i="56"/>
  <c r="E289" i="56"/>
  <c r="W281" i="56"/>
  <c r="D273" i="56"/>
  <c r="C273" i="56"/>
  <c r="C289" i="56"/>
  <c r="W279" i="56"/>
  <c r="F272" i="56"/>
  <c r="F288" i="56"/>
  <c r="V282" i="56"/>
  <c r="E272" i="56"/>
  <c r="E288" i="56"/>
  <c r="V281" i="56"/>
  <c r="D272" i="56"/>
  <c r="D288" i="56"/>
  <c r="V280" i="56"/>
  <c r="C272" i="56"/>
  <c r="C288" i="56"/>
  <c r="V279" i="56"/>
  <c r="F271" i="56"/>
  <c r="E271" i="56"/>
  <c r="D271" i="56"/>
  <c r="C271" i="56"/>
  <c r="F269" i="56"/>
  <c r="F286" i="56"/>
  <c r="U282" i="56"/>
  <c r="E269" i="56"/>
  <c r="E286" i="56"/>
  <c r="U281" i="56"/>
  <c r="D269" i="56"/>
  <c r="D286" i="56"/>
  <c r="C269" i="56"/>
  <c r="C286" i="56"/>
  <c r="V265" i="56"/>
  <c r="U265" i="56"/>
  <c r="T265" i="56"/>
  <c r="AR254" i="56"/>
  <c r="AP254" i="56"/>
  <c r="AN254" i="56"/>
  <c r="AL254" i="56"/>
  <c r="AJ254" i="56"/>
  <c r="J252" i="56"/>
  <c r="I252" i="56"/>
  <c r="H252" i="56"/>
  <c r="G252" i="56"/>
  <c r="F252" i="56"/>
  <c r="E252" i="56"/>
  <c r="O281" i="56"/>
  <c r="D252" i="56"/>
  <c r="O280" i="56"/>
  <c r="C252" i="56"/>
  <c r="O279" i="56"/>
  <c r="AE251" i="56"/>
  <c r="C207" i="56"/>
  <c r="C208" i="56"/>
  <c r="AD203" i="56"/>
  <c r="AC203" i="56"/>
  <c r="AB203" i="56"/>
  <c r="AA203" i="56"/>
  <c r="Z203" i="56"/>
  <c r="T203" i="56"/>
  <c r="P203" i="56"/>
  <c r="AD202" i="56"/>
  <c r="AC202" i="56"/>
  <c r="AB202" i="56"/>
  <c r="AA202" i="56"/>
  <c r="Z202" i="56"/>
  <c r="T202" i="56"/>
  <c r="P202" i="56"/>
  <c r="AD201" i="56"/>
  <c r="AC201" i="56"/>
  <c r="AB201" i="56"/>
  <c r="AA201" i="56"/>
  <c r="Z201" i="56"/>
  <c r="T201" i="56"/>
  <c r="P201" i="56"/>
  <c r="AD200" i="56"/>
  <c r="AC200" i="56"/>
  <c r="AB200" i="56"/>
  <c r="AA200" i="56"/>
  <c r="Z200" i="56"/>
  <c r="T200" i="56"/>
  <c r="P200" i="56"/>
  <c r="F195" i="56"/>
  <c r="E195" i="56"/>
  <c r="D195" i="56"/>
  <c r="C195" i="56"/>
  <c r="P195" i="56"/>
  <c r="F194" i="56"/>
  <c r="F210" i="56"/>
  <c r="W203" i="56"/>
  <c r="E194" i="56"/>
  <c r="E210" i="56"/>
  <c r="W202" i="56"/>
  <c r="D194" i="56"/>
  <c r="D210" i="56"/>
  <c r="W201" i="56"/>
  <c r="C194" i="56"/>
  <c r="P194" i="56"/>
  <c r="F193" i="56"/>
  <c r="F209" i="56"/>
  <c r="V203" i="56"/>
  <c r="E193" i="56"/>
  <c r="E209" i="56"/>
  <c r="V202" i="56"/>
  <c r="D193" i="56"/>
  <c r="D209" i="56"/>
  <c r="V201" i="56"/>
  <c r="C193" i="56"/>
  <c r="C209" i="56"/>
  <c r="V200" i="56"/>
  <c r="F192" i="56"/>
  <c r="E192" i="56"/>
  <c r="D192" i="56"/>
  <c r="C192" i="56"/>
  <c r="F190" i="56"/>
  <c r="F207" i="56"/>
  <c r="E190" i="56"/>
  <c r="E207" i="56"/>
  <c r="D190" i="56"/>
  <c r="D207" i="56"/>
  <c r="D208" i="56"/>
  <c r="C190" i="56"/>
  <c r="V186" i="56"/>
  <c r="U186" i="56"/>
  <c r="T186" i="56"/>
  <c r="AR175" i="56"/>
  <c r="AP175" i="56"/>
  <c r="AN175" i="56"/>
  <c r="AL175" i="56"/>
  <c r="AJ175" i="56"/>
  <c r="J173" i="56"/>
  <c r="I173" i="56"/>
  <c r="H173" i="56"/>
  <c r="G173" i="56"/>
  <c r="C173" i="56"/>
  <c r="O200" i="56"/>
  <c r="AE172" i="56"/>
  <c r="D172" i="56"/>
  <c r="E172" i="56"/>
  <c r="E173" i="56"/>
  <c r="O202" i="56"/>
  <c r="F125" i="56"/>
  <c r="F126" i="56"/>
  <c r="E125" i="56"/>
  <c r="E126" i="56"/>
  <c r="D125" i="56"/>
  <c r="D126" i="56"/>
  <c r="C125" i="56"/>
  <c r="C126" i="56"/>
  <c r="AD121" i="56"/>
  <c r="AC121" i="56"/>
  <c r="AB121" i="56"/>
  <c r="AA121" i="56"/>
  <c r="Z121" i="56"/>
  <c r="U121" i="56"/>
  <c r="T121" i="56"/>
  <c r="P121" i="56"/>
  <c r="AD120" i="56"/>
  <c r="AC120" i="56"/>
  <c r="AB120" i="56"/>
  <c r="AA120" i="56"/>
  <c r="Z120" i="56"/>
  <c r="T120" i="56"/>
  <c r="P120" i="56"/>
  <c r="AD119" i="56"/>
  <c r="AC119" i="56"/>
  <c r="AB119" i="56"/>
  <c r="AA119" i="56"/>
  <c r="Z119" i="56"/>
  <c r="U119" i="56"/>
  <c r="T119" i="56"/>
  <c r="P119" i="56"/>
  <c r="AD118" i="56"/>
  <c r="AC118" i="56"/>
  <c r="AB118" i="56"/>
  <c r="AA118" i="56"/>
  <c r="Z118" i="56"/>
  <c r="T118" i="56"/>
  <c r="P118" i="56"/>
  <c r="F113" i="56"/>
  <c r="E113" i="56"/>
  <c r="E114" i="56"/>
  <c r="D113" i="56"/>
  <c r="C113" i="56"/>
  <c r="P113" i="56"/>
  <c r="F112" i="56"/>
  <c r="F128" i="56"/>
  <c r="W121" i="56"/>
  <c r="E112" i="56"/>
  <c r="E128" i="56"/>
  <c r="W120" i="56"/>
  <c r="D112" i="56"/>
  <c r="D128" i="56"/>
  <c r="W119" i="56"/>
  <c r="C112" i="56"/>
  <c r="P112" i="56"/>
  <c r="F111" i="56"/>
  <c r="F127" i="56"/>
  <c r="V121" i="56"/>
  <c r="E111" i="56"/>
  <c r="E127" i="56"/>
  <c r="V120" i="56"/>
  <c r="D111" i="56"/>
  <c r="D127" i="56"/>
  <c r="V119" i="56"/>
  <c r="C111" i="56"/>
  <c r="C127" i="56"/>
  <c r="V118" i="56"/>
  <c r="F110" i="56"/>
  <c r="E110" i="56"/>
  <c r="D110" i="56"/>
  <c r="C110" i="56"/>
  <c r="V104" i="56"/>
  <c r="U104" i="56"/>
  <c r="T104" i="56"/>
  <c r="J91" i="56"/>
  <c r="I91" i="56"/>
  <c r="H91" i="56"/>
  <c r="G91" i="56"/>
  <c r="F91" i="56"/>
  <c r="O121" i="56"/>
  <c r="E91" i="56"/>
  <c r="O120" i="56"/>
  <c r="D91" i="56"/>
  <c r="O119" i="56"/>
  <c r="C91" i="56"/>
  <c r="O118" i="56"/>
  <c r="P90" i="56"/>
  <c r="AE90" i="56"/>
  <c r="AD42" i="56"/>
  <c r="AC42" i="56"/>
  <c r="AB42" i="56"/>
  <c r="AA42" i="56"/>
  <c r="Z42" i="56"/>
  <c r="T42" i="56"/>
  <c r="P42" i="56"/>
  <c r="AD41" i="56"/>
  <c r="AC41" i="56"/>
  <c r="AB41" i="56"/>
  <c r="AA41" i="56"/>
  <c r="Z41" i="56"/>
  <c r="T41" i="56"/>
  <c r="P41" i="56"/>
  <c r="AD40" i="56"/>
  <c r="AC40" i="56"/>
  <c r="AB40" i="56"/>
  <c r="AA40" i="56"/>
  <c r="Z40" i="56"/>
  <c r="T40" i="56"/>
  <c r="P40" i="56"/>
  <c r="AD39" i="56"/>
  <c r="AC39" i="56"/>
  <c r="AB39" i="56"/>
  <c r="AA39" i="56"/>
  <c r="Z39" i="56"/>
  <c r="T39" i="56"/>
  <c r="P39" i="56"/>
  <c r="F34" i="56"/>
  <c r="E34" i="56"/>
  <c r="D34" i="56"/>
  <c r="C34" i="56"/>
  <c r="P34" i="56"/>
  <c r="F33" i="56"/>
  <c r="F35" i="56"/>
  <c r="E33" i="56"/>
  <c r="D33" i="56"/>
  <c r="D49" i="56"/>
  <c r="W40" i="56"/>
  <c r="C33" i="56"/>
  <c r="C49" i="56"/>
  <c r="W39" i="56"/>
  <c r="F32" i="56"/>
  <c r="F48" i="56"/>
  <c r="V42" i="56"/>
  <c r="E32" i="56"/>
  <c r="E48" i="56"/>
  <c r="V41" i="56"/>
  <c r="D32" i="56"/>
  <c r="D48" i="56"/>
  <c r="V40" i="56"/>
  <c r="C32" i="56"/>
  <c r="C48" i="56"/>
  <c r="V39" i="56"/>
  <c r="F31" i="56"/>
  <c r="E31" i="56"/>
  <c r="D31" i="56"/>
  <c r="C31" i="56"/>
  <c r="F29" i="56"/>
  <c r="F46" i="56"/>
  <c r="U42" i="56"/>
  <c r="E29" i="56"/>
  <c r="E46" i="56"/>
  <c r="D29" i="56"/>
  <c r="D46" i="56"/>
  <c r="C29" i="56"/>
  <c r="C46" i="56"/>
  <c r="V25" i="56"/>
  <c r="U25" i="56"/>
  <c r="T25" i="56"/>
  <c r="J12" i="56"/>
  <c r="I12" i="56"/>
  <c r="H12" i="56"/>
  <c r="G12" i="56"/>
  <c r="D12" i="56"/>
  <c r="O40" i="56"/>
  <c r="C12" i="56"/>
  <c r="O39" i="56"/>
  <c r="AE11" i="56"/>
  <c r="D11" i="56"/>
  <c r="F11" i="56"/>
  <c r="F12" i="56"/>
  <c r="O42" i="56"/>
  <c r="J10" i="56"/>
  <c r="I10" i="56"/>
  <c r="H10" i="56"/>
  <c r="G10" i="56"/>
  <c r="F10" i="56"/>
  <c r="E10" i="56"/>
  <c r="D10" i="56"/>
  <c r="C10" i="56"/>
  <c r="F128" i="55"/>
  <c r="W121" i="55"/>
  <c r="E128" i="55"/>
  <c r="D128" i="55"/>
  <c r="W119" i="55"/>
  <c r="F127" i="55"/>
  <c r="E127" i="55"/>
  <c r="D127" i="55"/>
  <c r="F126" i="55"/>
  <c r="E126" i="55"/>
  <c r="D126" i="55"/>
  <c r="F125" i="55"/>
  <c r="E125" i="55"/>
  <c r="U120" i="55"/>
  <c r="D125" i="55"/>
  <c r="C125" i="55"/>
  <c r="C126" i="55"/>
  <c r="AD121" i="55"/>
  <c r="AC121" i="55"/>
  <c r="AB121" i="55"/>
  <c r="AA121" i="55"/>
  <c r="Z121" i="55"/>
  <c r="V121" i="55"/>
  <c r="U121" i="55"/>
  <c r="T121" i="55"/>
  <c r="R121" i="55"/>
  <c r="P121" i="55"/>
  <c r="AD120" i="55"/>
  <c r="AC120" i="55"/>
  <c r="AB120" i="55"/>
  <c r="AA120" i="55"/>
  <c r="Z120" i="55"/>
  <c r="W120" i="55"/>
  <c r="V120" i="55"/>
  <c r="T120" i="55"/>
  <c r="P120" i="55"/>
  <c r="R120" i="55"/>
  <c r="AD119" i="55"/>
  <c r="AC119" i="55"/>
  <c r="AB119" i="55"/>
  <c r="AA119" i="55"/>
  <c r="Z119" i="55"/>
  <c r="V119" i="55"/>
  <c r="U119" i="55"/>
  <c r="T119" i="55"/>
  <c r="R119" i="55"/>
  <c r="P119" i="55"/>
  <c r="AD118" i="55"/>
  <c r="AC118" i="55"/>
  <c r="AB118" i="55"/>
  <c r="AA118" i="55"/>
  <c r="Z118" i="55"/>
  <c r="T118" i="55"/>
  <c r="P118" i="55"/>
  <c r="Q118" i="55"/>
  <c r="R118" i="55"/>
  <c r="P113" i="55"/>
  <c r="P112" i="55"/>
  <c r="F112" i="55"/>
  <c r="E112" i="55"/>
  <c r="D112" i="55"/>
  <c r="C112" i="55"/>
  <c r="C128" i="55"/>
  <c r="W118" i="55"/>
  <c r="C111" i="55"/>
  <c r="C127" i="55"/>
  <c r="V118" i="55"/>
  <c r="AE90" i="55"/>
  <c r="F49" i="55"/>
  <c r="W42" i="55"/>
  <c r="F48" i="55"/>
  <c r="V42" i="55"/>
  <c r="E48" i="55"/>
  <c r="V41" i="55"/>
  <c r="D48" i="55"/>
  <c r="V40" i="55"/>
  <c r="C48" i="55"/>
  <c r="V39" i="55"/>
  <c r="F47" i="55"/>
  <c r="F46" i="55"/>
  <c r="E46" i="55"/>
  <c r="E47" i="55"/>
  <c r="D46" i="55"/>
  <c r="D47" i="55"/>
  <c r="C46" i="55"/>
  <c r="U39" i="55"/>
  <c r="AD42" i="55"/>
  <c r="AC42" i="55"/>
  <c r="AB42" i="55"/>
  <c r="AA42" i="55"/>
  <c r="Z42" i="55"/>
  <c r="U42" i="55"/>
  <c r="T42" i="55"/>
  <c r="P42" i="55"/>
  <c r="AD41" i="55"/>
  <c r="AC41" i="55"/>
  <c r="AB41" i="55"/>
  <c r="AA41" i="55"/>
  <c r="Z41" i="55"/>
  <c r="T41" i="55"/>
  <c r="P41" i="55"/>
  <c r="AD40" i="55"/>
  <c r="AC40" i="55"/>
  <c r="AB40" i="55"/>
  <c r="AA40" i="55"/>
  <c r="Z40" i="55"/>
  <c r="U40" i="55"/>
  <c r="T40" i="55"/>
  <c r="P40" i="55"/>
  <c r="AD39" i="55"/>
  <c r="AC39" i="55"/>
  <c r="AB39" i="55"/>
  <c r="AA39" i="55"/>
  <c r="Z39" i="55"/>
  <c r="T39" i="55"/>
  <c r="P39" i="55"/>
  <c r="Q39" i="55"/>
  <c r="R39" i="55"/>
  <c r="P34" i="55"/>
  <c r="F33" i="55"/>
  <c r="E33" i="55"/>
  <c r="E49" i="55"/>
  <c r="W41" i="55"/>
  <c r="D33" i="55"/>
  <c r="D49" i="55"/>
  <c r="W40" i="55"/>
  <c r="C33" i="55"/>
  <c r="C49" i="55"/>
  <c r="W39" i="55"/>
  <c r="V25" i="55"/>
  <c r="U25" i="55"/>
  <c r="T25" i="55"/>
  <c r="P11" i="55"/>
  <c r="AE11" i="55"/>
  <c r="U206" i="73"/>
  <c r="C211" i="73"/>
  <c r="W204" i="73"/>
  <c r="P198" i="73"/>
  <c r="P33" i="56"/>
  <c r="C339" i="56"/>
  <c r="C355" i="56"/>
  <c r="W345" i="56"/>
  <c r="E353" i="56"/>
  <c r="E196" i="56"/>
  <c r="E275" i="56"/>
  <c r="E11" i="56"/>
  <c r="E12" i="56"/>
  <c r="O41" i="56"/>
  <c r="Q118" i="56"/>
  <c r="C35" i="56"/>
  <c r="Q279" i="56"/>
  <c r="E35" i="56"/>
  <c r="D35" i="56"/>
  <c r="F114" i="56"/>
  <c r="Q200" i="56"/>
  <c r="Q39" i="56"/>
  <c r="C33" i="72"/>
  <c r="C49" i="72"/>
  <c r="W39" i="72"/>
  <c r="D287" i="72"/>
  <c r="U280" i="72"/>
  <c r="E287" i="72"/>
  <c r="U281" i="72"/>
  <c r="P273" i="72"/>
  <c r="F286" i="72"/>
  <c r="U279" i="72"/>
  <c r="U202" i="72"/>
  <c r="E208" i="72"/>
  <c r="U203" i="72"/>
  <c r="U201" i="72"/>
  <c r="P194" i="72"/>
  <c r="U200" i="72"/>
  <c r="U119" i="72"/>
  <c r="U121" i="72"/>
  <c r="U41" i="72"/>
  <c r="F47" i="72"/>
  <c r="P33" i="72"/>
  <c r="U118" i="72"/>
  <c r="U120" i="72"/>
  <c r="C128" i="72"/>
  <c r="W118" i="72"/>
  <c r="D275" i="56"/>
  <c r="P274" i="56"/>
  <c r="R282" i="56"/>
  <c r="U201" i="56"/>
  <c r="F196" i="56"/>
  <c r="U42" i="71"/>
  <c r="U39" i="71"/>
  <c r="U41" i="71"/>
  <c r="U42" i="70"/>
  <c r="U40" i="70"/>
  <c r="U41" i="70"/>
  <c r="P33" i="70"/>
  <c r="U39" i="70"/>
  <c r="E47" i="69"/>
  <c r="P33" i="69"/>
  <c r="U39" i="69"/>
  <c r="U39" i="68"/>
  <c r="U41" i="68"/>
  <c r="F119" i="62"/>
  <c r="U114" i="62"/>
  <c r="U112" i="62"/>
  <c r="C118" i="62"/>
  <c r="C119" i="62"/>
  <c r="E118" i="62"/>
  <c r="P106" i="62"/>
  <c r="O112" i="62"/>
  <c r="R112" i="62"/>
  <c r="U111" i="62"/>
  <c r="J11" i="62"/>
  <c r="J12" i="62"/>
  <c r="C33" i="62"/>
  <c r="C49" i="62"/>
  <c r="W39" i="62"/>
  <c r="F47" i="64"/>
  <c r="P34" i="65"/>
  <c r="D49" i="66"/>
  <c r="W40" i="66"/>
  <c r="E49" i="66"/>
  <c r="W41" i="66"/>
  <c r="U41" i="66"/>
  <c r="P33" i="66"/>
  <c r="U40" i="66"/>
  <c r="O40" i="66"/>
  <c r="R40" i="66"/>
  <c r="U42" i="65"/>
  <c r="P33" i="65"/>
  <c r="U41" i="65"/>
  <c r="F49" i="64"/>
  <c r="W42" i="64"/>
  <c r="E49" i="64"/>
  <c r="W41" i="64"/>
  <c r="P33" i="64"/>
  <c r="O40" i="64"/>
  <c r="R40" i="64"/>
  <c r="F49" i="63"/>
  <c r="W42" i="63"/>
  <c r="E33" i="63"/>
  <c r="E49" i="63"/>
  <c r="W41" i="63"/>
  <c r="P33" i="63"/>
  <c r="U39" i="63"/>
  <c r="U41" i="63"/>
  <c r="F49" i="62"/>
  <c r="W42" i="62"/>
  <c r="E49" i="62"/>
  <c r="W41" i="62"/>
  <c r="R40" i="62"/>
  <c r="R120" i="56"/>
  <c r="R39" i="56"/>
  <c r="U39" i="57"/>
  <c r="U41" i="57"/>
  <c r="U39" i="56"/>
  <c r="C47" i="56"/>
  <c r="U41" i="56"/>
  <c r="E47" i="56"/>
  <c r="E208" i="56"/>
  <c r="U202" i="56"/>
  <c r="U280" i="56"/>
  <c r="D287" i="56"/>
  <c r="D47" i="56"/>
  <c r="U40" i="56"/>
  <c r="C287" i="56"/>
  <c r="U279" i="56"/>
  <c r="U203" i="56"/>
  <c r="F208" i="56"/>
  <c r="R42" i="56"/>
  <c r="R40" i="56"/>
  <c r="D289" i="56"/>
  <c r="W280" i="56"/>
  <c r="F47" i="56"/>
  <c r="F49" i="56"/>
  <c r="W42" i="56"/>
  <c r="C114" i="56"/>
  <c r="C196" i="56"/>
  <c r="F275" i="56"/>
  <c r="E287" i="56"/>
  <c r="P339" i="56"/>
  <c r="U118" i="56"/>
  <c r="U120" i="56"/>
  <c r="C128" i="56"/>
  <c r="W118" i="56"/>
  <c r="D196" i="56"/>
  <c r="U200" i="56"/>
  <c r="C210" i="56"/>
  <c r="W200" i="56"/>
  <c r="R279" i="56"/>
  <c r="F287" i="56"/>
  <c r="E49" i="56"/>
  <c r="W41" i="56"/>
  <c r="F172" i="56"/>
  <c r="F173" i="56"/>
  <c r="O203" i="56"/>
  <c r="D114" i="56"/>
  <c r="R121" i="56"/>
  <c r="R281" i="56"/>
  <c r="R41" i="56"/>
  <c r="R119" i="56"/>
  <c r="D173" i="56"/>
  <c r="O201" i="56"/>
  <c r="U345" i="56"/>
  <c r="R118" i="56"/>
  <c r="R280" i="56"/>
  <c r="C47" i="55"/>
  <c r="P33" i="55"/>
  <c r="U41" i="55"/>
  <c r="U118" i="55"/>
  <c r="F287" i="72"/>
  <c r="U282" i="72"/>
  <c r="C49" i="71"/>
  <c r="W39" i="71"/>
  <c r="P33" i="71"/>
  <c r="C49" i="68"/>
  <c r="W39" i="68"/>
  <c r="P33" i="68"/>
  <c r="E119" i="62"/>
  <c r="U113" i="62"/>
  <c r="P105" i="62"/>
  <c r="C121" i="62"/>
  <c r="W111" i="62"/>
  <c r="P33" i="62"/>
  <c r="O41" i="66"/>
  <c r="R41" i="66"/>
  <c r="O41" i="64"/>
  <c r="R41" i="64"/>
  <c r="R41" i="62"/>
  <c r="R202" i="56"/>
  <c r="R200" i="56"/>
  <c r="R203" i="56"/>
  <c r="R201" i="56"/>
  <c r="O42" i="66"/>
  <c r="R42" i="66"/>
  <c r="O42" i="64"/>
  <c r="R42" i="64"/>
  <c r="R42" i="62"/>
  <c r="D5" i="35"/>
  <c r="L42" i="14"/>
  <c r="L41" i="14"/>
  <c r="L40" i="14"/>
  <c r="L39" i="14"/>
  <c r="O41" i="14"/>
  <c r="O39" i="14"/>
  <c r="N39" i="14"/>
  <c r="Q42" i="14"/>
  <c r="O42" i="14"/>
  <c r="Q41" i="14"/>
  <c r="Q40" i="14"/>
  <c r="O40" i="14"/>
  <c r="Q39" i="14"/>
  <c r="P40" i="14"/>
  <c r="P41" i="14"/>
  <c r="P42" i="14"/>
  <c r="P39" i="14"/>
  <c r="D6" i="35"/>
  <c r="N42" i="14"/>
  <c r="N41" i="14"/>
  <c r="N40" i="14"/>
  <c r="F134" i="14"/>
  <c r="E134" i="14"/>
  <c r="D134" i="14"/>
  <c r="F133" i="14"/>
  <c r="D133" i="14"/>
  <c r="F131" i="14"/>
  <c r="E131" i="14"/>
  <c r="D131" i="14"/>
  <c r="C30" i="14"/>
  <c r="C29" i="14"/>
  <c r="E60" i="13"/>
  <c r="Q52" i="13"/>
  <c r="Q54" i="13"/>
  <c r="Q55" i="13"/>
  <c r="C88" i="13"/>
  <c r="J52" i="13"/>
  <c r="J54" i="13"/>
  <c r="J55" i="13"/>
  <c r="D59" i="13"/>
  <c r="O41" i="13"/>
  <c r="E59" i="13"/>
  <c r="O42" i="13"/>
  <c r="F59" i="13"/>
  <c r="O43" i="13"/>
  <c r="O40" i="13"/>
  <c r="D60" i="13"/>
  <c r="F60" i="13"/>
  <c r="J62" i="13"/>
  <c r="J63" i="13"/>
  <c r="D31" i="14"/>
  <c r="E31" i="14"/>
  <c r="F31" i="14"/>
  <c r="C31" i="14"/>
  <c r="C58" i="14"/>
  <c r="C60" i="14"/>
  <c r="D40" i="34"/>
  <c r="M9" i="19"/>
  <c r="D117" i="13"/>
  <c r="E117" i="13"/>
  <c r="F117" i="13"/>
  <c r="Q99" i="13"/>
  <c r="C117" i="13"/>
  <c r="Q96" i="13"/>
  <c r="D89" i="13"/>
  <c r="Q69" i="13"/>
  <c r="E89" i="13"/>
  <c r="Q70" i="13"/>
  <c r="F89" i="13"/>
  <c r="C89" i="13"/>
  <c r="D33" i="13"/>
  <c r="E33" i="13"/>
  <c r="F33" i="13"/>
  <c r="Q15" i="13"/>
  <c r="C33" i="13"/>
  <c r="I42" i="4"/>
  <c r="L42" i="4"/>
  <c r="I41" i="4"/>
  <c r="L41" i="4"/>
  <c r="I39" i="4"/>
  <c r="L39" i="4"/>
  <c r="I40" i="4"/>
  <c r="L40" i="4"/>
  <c r="L13" i="34"/>
  <c r="L12" i="34"/>
  <c r="L15" i="34"/>
  <c r="L14" i="34"/>
  <c r="L39" i="6"/>
  <c r="L42" i="6"/>
  <c r="L40" i="6"/>
  <c r="L41" i="6"/>
  <c r="D23" i="35"/>
  <c r="D24" i="35"/>
  <c r="D25" i="35"/>
  <c r="D26" i="35"/>
  <c r="D27" i="35"/>
  <c r="W15" i="34"/>
  <c r="W14" i="34"/>
  <c r="W13" i="34"/>
  <c r="W12" i="34"/>
  <c r="V15" i="34"/>
  <c r="V14" i="34"/>
  <c r="V13" i="34"/>
  <c r="V12" i="34"/>
  <c r="N15" i="34"/>
  <c r="N14" i="34"/>
  <c r="N13" i="34"/>
  <c r="N12" i="34"/>
  <c r="F26" i="34"/>
  <c r="E26" i="34"/>
  <c r="D26" i="34"/>
  <c r="C26" i="34"/>
  <c r="F23" i="34"/>
  <c r="O15" i="34"/>
  <c r="E23" i="34"/>
  <c r="O14" i="34"/>
  <c r="D23" i="34"/>
  <c r="C23" i="34"/>
  <c r="O12" i="34"/>
  <c r="U15" i="34"/>
  <c r="T15" i="34"/>
  <c r="J15" i="34"/>
  <c r="U14" i="34"/>
  <c r="T14" i="34"/>
  <c r="J14" i="34"/>
  <c r="U13" i="34"/>
  <c r="T13" i="34"/>
  <c r="J13" i="34"/>
  <c r="U12" i="34"/>
  <c r="T12" i="34"/>
  <c r="J12" i="34"/>
  <c r="J6" i="34"/>
  <c r="Q98" i="13"/>
  <c r="F116" i="13"/>
  <c r="E116" i="13"/>
  <c r="P98" i="13"/>
  <c r="D116" i="13"/>
  <c r="P97" i="13"/>
  <c r="C116" i="13"/>
  <c r="P96" i="13"/>
  <c r="F115" i="13"/>
  <c r="E115" i="13"/>
  <c r="D115" i="13"/>
  <c r="C115" i="13"/>
  <c r="O99" i="13"/>
  <c r="O98" i="13"/>
  <c r="O97" i="13"/>
  <c r="O96" i="13"/>
  <c r="P43" i="13"/>
  <c r="P42" i="13"/>
  <c r="P41" i="13"/>
  <c r="D13" i="27"/>
  <c r="L13" i="27"/>
  <c r="T12" i="10"/>
  <c r="T12" i="11"/>
  <c r="T12" i="9"/>
  <c r="F17" i="24"/>
  <c r="U15" i="24"/>
  <c r="E17" i="24"/>
  <c r="U14" i="24"/>
  <c r="C17" i="24"/>
  <c r="U12" i="24"/>
  <c r="D17" i="24"/>
  <c r="U13" i="24"/>
  <c r="E14" i="30"/>
  <c r="N14" i="30"/>
  <c r="F14" i="30"/>
  <c r="N15" i="30"/>
  <c r="D14" i="30"/>
  <c r="N13" i="30"/>
  <c r="C14" i="30"/>
  <c r="N12" i="30"/>
  <c r="F17" i="30"/>
  <c r="U15" i="30"/>
  <c r="E17" i="30"/>
  <c r="U14" i="30"/>
  <c r="D17" i="30"/>
  <c r="U13" i="30"/>
  <c r="C17" i="30"/>
  <c r="U12" i="30"/>
  <c r="F18" i="27"/>
  <c r="V15" i="27"/>
  <c r="F17" i="27"/>
  <c r="U15" i="27"/>
  <c r="E14" i="24"/>
  <c r="N14" i="24"/>
  <c r="F14" i="24"/>
  <c r="N15" i="24"/>
  <c r="D14" i="24"/>
  <c r="N13" i="24"/>
  <c r="C14" i="24"/>
  <c r="C86" i="6"/>
  <c r="Q66" i="6"/>
  <c r="D86" i="6"/>
  <c r="Q67" i="6"/>
  <c r="E86" i="6"/>
  <c r="F86" i="6"/>
  <c r="Q69" i="6"/>
  <c r="F18" i="4"/>
  <c r="F17" i="4"/>
  <c r="U15" i="4"/>
  <c r="P13" i="14"/>
  <c r="P14" i="14"/>
  <c r="D58" i="14"/>
  <c r="E58" i="14"/>
  <c r="F58" i="14"/>
  <c r="P12" i="14"/>
  <c r="Q71" i="13"/>
  <c r="Q68" i="13"/>
  <c r="Q12" i="13"/>
  <c r="C32" i="4"/>
  <c r="Q12" i="4"/>
  <c r="C30" i="11"/>
  <c r="C112" i="10"/>
  <c r="P93" i="10"/>
  <c r="C110" i="10"/>
  <c r="C111" i="10"/>
  <c r="C56" i="10"/>
  <c r="C31" i="10"/>
  <c r="P12" i="10"/>
  <c r="C31" i="9"/>
  <c r="P12" i="9"/>
  <c r="F22" i="9"/>
  <c r="E22" i="9"/>
  <c r="D22" i="9"/>
  <c r="C22" i="9"/>
  <c r="C29" i="9"/>
  <c r="O12" i="9"/>
  <c r="F32" i="4"/>
  <c r="Q15" i="4"/>
  <c r="E32" i="4"/>
  <c r="D32" i="4"/>
  <c r="Q13" i="4"/>
  <c r="F56" i="14"/>
  <c r="E56" i="14"/>
  <c r="D56" i="14"/>
  <c r="C56" i="14"/>
  <c r="C63" i="28"/>
  <c r="C64" i="28"/>
  <c r="L50" i="4"/>
  <c r="L49" i="4"/>
  <c r="X15" i="30"/>
  <c r="W15" i="30"/>
  <c r="V15" i="30"/>
  <c r="T15" i="30"/>
  <c r="L15" i="30"/>
  <c r="J15" i="30"/>
  <c r="X14" i="30"/>
  <c r="W14" i="30"/>
  <c r="V14" i="30"/>
  <c r="T14" i="30"/>
  <c r="L14" i="30"/>
  <c r="J14" i="30"/>
  <c r="X13" i="30"/>
  <c r="W13" i="30"/>
  <c r="V13" i="30"/>
  <c r="T13" i="30"/>
  <c r="L13" i="30"/>
  <c r="J13" i="30"/>
  <c r="X12" i="30"/>
  <c r="W12" i="30"/>
  <c r="V12" i="30"/>
  <c r="T12" i="30"/>
  <c r="L12" i="30"/>
  <c r="J12" i="30"/>
  <c r="X15" i="24"/>
  <c r="W15" i="24"/>
  <c r="V15" i="24"/>
  <c r="T15" i="24"/>
  <c r="L15" i="24"/>
  <c r="J15" i="24"/>
  <c r="X14" i="24"/>
  <c r="W14" i="24"/>
  <c r="V14" i="24"/>
  <c r="T14" i="24"/>
  <c r="L14" i="24"/>
  <c r="J14" i="24"/>
  <c r="X13" i="24"/>
  <c r="W13" i="24"/>
  <c r="V13" i="24"/>
  <c r="T13" i="24"/>
  <c r="L13" i="24"/>
  <c r="J13" i="24"/>
  <c r="X12" i="24"/>
  <c r="W12" i="24"/>
  <c r="V12" i="24"/>
  <c r="T12" i="24"/>
  <c r="N12" i="24"/>
  <c r="L12" i="24"/>
  <c r="J12" i="24"/>
  <c r="K12" i="24"/>
  <c r="F32" i="30"/>
  <c r="Q15" i="30"/>
  <c r="E32" i="30"/>
  <c r="Q14" i="30"/>
  <c r="D32" i="30"/>
  <c r="Q13" i="30"/>
  <c r="C32" i="30"/>
  <c r="Q12" i="30"/>
  <c r="F31" i="30"/>
  <c r="P15" i="30"/>
  <c r="E31" i="30"/>
  <c r="P14" i="30"/>
  <c r="D31" i="30"/>
  <c r="P13" i="30"/>
  <c r="C31" i="30"/>
  <c r="P12" i="30"/>
  <c r="F30" i="30"/>
  <c r="F29" i="30"/>
  <c r="O15" i="30"/>
  <c r="E30" i="30"/>
  <c r="E29" i="30"/>
  <c r="O14" i="30"/>
  <c r="D30" i="30"/>
  <c r="D29" i="30"/>
  <c r="O13" i="30"/>
  <c r="C30" i="30"/>
  <c r="C29" i="30"/>
  <c r="O12" i="30"/>
  <c r="X15" i="27"/>
  <c r="W15" i="27"/>
  <c r="T15" i="27"/>
  <c r="N15" i="27"/>
  <c r="J15" i="27"/>
  <c r="X14" i="27"/>
  <c r="W14" i="27"/>
  <c r="V14" i="27"/>
  <c r="U14" i="27"/>
  <c r="T14" i="27"/>
  <c r="N14" i="27"/>
  <c r="J14" i="27"/>
  <c r="X13" i="27"/>
  <c r="W13" i="27"/>
  <c r="V13" i="27"/>
  <c r="U13" i="27"/>
  <c r="T13" i="27"/>
  <c r="N13" i="27"/>
  <c r="J13" i="27"/>
  <c r="X12" i="27"/>
  <c r="W12" i="27"/>
  <c r="V12" i="27"/>
  <c r="U12" i="27"/>
  <c r="T12" i="27"/>
  <c r="N12" i="27"/>
  <c r="L12" i="27"/>
  <c r="J12" i="27"/>
  <c r="X15" i="28"/>
  <c r="W15" i="28"/>
  <c r="V15" i="28"/>
  <c r="U15" i="28"/>
  <c r="T15" i="28"/>
  <c r="N15" i="28"/>
  <c r="L15" i="28"/>
  <c r="J15" i="28"/>
  <c r="X14" i="28"/>
  <c r="W14" i="28"/>
  <c r="V14" i="28"/>
  <c r="U14" i="28"/>
  <c r="T14" i="28"/>
  <c r="N14" i="28"/>
  <c r="L14" i="28"/>
  <c r="J14" i="28"/>
  <c r="X13" i="28"/>
  <c r="W13" i="28"/>
  <c r="V13" i="28"/>
  <c r="U13" i="28"/>
  <c r="T13" i="28"/>
  <c r="N13" i="28"/>
  <c r="L13" i="28"/>
  <c r="J13" i="28"/>
  <c r="X12" i="28"/>
  <c r="W12" i="28"/>
  <c r="V12" i="28"/>
  <c r="U12" i="28"/>
  <c r="T12" i="28"/>
  <c r="N12" i="28"/>
  <c r="L12" i="28"/>
  <c r="J12" i="28"/>
  <c r="X15" i="11"/>
  <c r="W15" i="11"/>
  <c r="V15" i="11"/>
  <c r="U15" i="11"/>
  <c r="T15" i="11"/>
  <c r="N15" i="11"/>
  <c r="L15" i="11"/>
  <c r="J15" i="11"/>
  <c r="X14" i="11"/>
  <c r="W14" i="11"/>
  <c r="V14" i="11"/>
  <c r="U14" i="11"/>
  <c r="T14" i="11"/>
  <c r="N14" i="11"/>
  <c r="L14" i="11"/>
  <c r="J14" i="11"/>
  <c r="X13" i="11"/>
  <c r="W13" i="11"/>
  <c r="V13" i="11"/>
  <c r="U13" i="11"/>
  <c r="T13" i="11"/>
  <c r="N13" i="11"/>
  <c r="L13" i="11"/>
  <c r="J13" i="11"/>
  <c r="X12" i="11"/>
  <c r="W12" i="11"/>
  <c r="V12" i="11"/>
  <c r="U12" i="11"/>
  <c r="N12" i="11"/>
  <c r="L12" i="11"/>
  <c r="J12" i="11"/>
  <c r="X15" i="10"/>
  <c r="W15" i="10"/>
  <c r="V15" i="10"/>
  <c r="U15" i="10"/>
  <c r="N15" i="10"/>
  <c r="L15" i="10"/>
  <c r="J15" i="10"/>
  <c r="X14" i="10"/>
  <c r="W14" i="10"/>
  <c r="V14" i="10"/>
  <c r="U14" i="10"/>
  <c r="T14" i="10"/>
  <c r="N14" i="10"/>
  <c r="L14" i="10"/>
  <c r="J14" i="10"/>
  <c r="X13" i="10"/>
  <c r="W13" i="10"/>
  <c r="V13" i="10"/>
  <c r="U13" i="10"/>
  <c r="T13" i="10"/>
  <c r="N13" i="10"/>
  <c r="L13" i="10"/>
  <c r="J13" i="10"/>
  <c r="X12" i="10"/>
  <c r="W12" i="10"/>
  <c r="V12" i="10"/>
  <c r="U12" i="10"/>
  <c r="N12" i="10"/>
  <c r="L12" i="10"/>
  <c r="J12" i="10"/>
  <c r="X15" i="9"/>
  <c r="W15" i="9"/>
  <c r="V15" i="9"/>
  <c r="U15" i="9"/>
  <c r="T15" i="9"/>
  <c r="N15" i="9"/>
  <c r="L15" i="9"/>
  <c r="J15" i="9"/>
  <c r="X14" i="9"/>
  <c r="W14" i="9"/>
  <c r="V14" i="9"/>
  <c r="U14" i="9"/>
  <c r="T14" i="9"/>
  <c r="N14" i="9"/>
  <c r="L14" i="9"/>
  <c r="J14" i="9"/>
  <c r="X13" i="9"/>
  <c r="W13" i="9"/>
  <c r="V13" i="9"/>
  <c r="U13" i="9"/>
  <c r="T13" i="9"/>
  <c r="N13" i="9"/>
  <c r="L13" i="9"/>
  <c r="J13" i="9"/>
  <c r="X12" i="9"/>
  <c r="W12" i="9"/>
  <c r="V12" i="9"/>
  <c r="U12" i="9"/>
  <c r="N12" i="9"/>
  <c r="L12" i="9"/>
  <c r="J12" i="9"/>
  <c r="F32" i="27"/>
  <c r="Q15" i="27"/>
  <c r="E32" i="27"/>
  <c r="Q14" i="27"/>
  <c r="D32" i="27"/>
  <c r="Q13" i="27"/>
  <c r="C32" i="27"/>
  <c r="Q12" i="27"/>
  <c r="F31" i="27"/>
  <c r="P15" i="27"/>
  <c r="E31" i="27"/>
  <c r="P14" i="27"/>
  <c r="D31" i="27"/>
  <c r="P13" i="27"/>
  <c r="C31" i="27"/>
  <c r="P12" i="27"/>
  <c r="F32" i="24"/>
  <c r="Q15" i="24"/>
  <c r="E32" i="24"/>
  <c r="Q14" i="24"/>
  <c r="D32" i="24"/>
  <c r="Q13" i="24"/>
  <c r="C32" i="24"/>
  <c r="Q12" i="24"/>
  <c r="F31" i="24"/>
  <c r="P15" i="24"/>
  <c r="E31" i="24"/>
  <c r="P14" i="24"/>
  <c r="D31" i="24"/>
  <c r="P13" i="24"/>
  <c r="C31" i="24"/>
  <c r="P12" i="24"/>
  <c r="F23" i="24"/>
  <c r="E23" i="24"/>
  <c r="E30" i="24"/>
  <c r="E29" i="24"/>
  <c r="O14" i="24"/>
  <c r="D23" i="24"/>
  <c r="D30" i="24"/>
  <c r="C23" i="24"/>
  <c r="C30" i="29"/>
  <c r="C29" i="29"/>
  <c r="O12" i="29"/>
  <c r="X15" i="29"/>
  <c r="W15" i="29"/>
  <c r="V15" i="29"/>
  <c r="U15" i="29"/>
  <c r="T15" i="29"/>
  <c r="N15" i="29"/>
  <c r="L15" i="29"/>
  <c r="J15" i="29"/>
  <c r="X14" i="29"/>
  <c r="W14" i="29"/>
  <c r="V14" i="29"/>
  <c r="U14" i="29"/>
  <c r="T14" i="29"/>
  <c r="N14" i="29"/>
  <c r="L14" i="29"/>
  <c r="J14" i="29"/>
  <c r="X13" i="29"/>
  <c r="W13" i="29"/>
  <c r="V13" i="29"/>
  <c r="U13" i="29"/>
  <c r="T13" i="29"/>
  <c r="N13" i="29"/>
  <c r="L13" i="29"/>
  <c r="J13" i="29"/>
  <c r="X12" i="29"/>
  <c r="W12" i="29"/>
  <c r="V12" i="29"/>
  <c r="U12" i="29"/>
  <c r="T12" i="29"/>
  <c r="N12" i="29"/>
  <c r="L12" i="29"/>
  <c r="J12" i="29"/>
  <c r="F32" i="28"/>
  <c r="Q15" i="28"/>
  <c r="E32" i="28"/>
  <c r="Q14" i="28"/>
  <c r="D32" i="28"/>
  <c r="Q13" i="28"/>
  <c r="C32" i="28"/>
  <c r="Q12" i="28"/>
  <c r="D113" i="6"/>
  <c r="Q94" i="6"/>
  <c r="E113" i="6"/>
  <c r="Q95" i="6"/>
  <c r="F113" i="6"/>
  <c r="Q96" i="6"/>
  <c r="C113" i="6"/>
  <c r="D59" i="6"/>
  <c r="E59" i="6"/>
  <c r="F59" i="6"/>
  <c r="Q42" i="6"/>
  <c r="C59" i="6"/>
  <c r="Q39" i="6"/>
  <c r="D32" i="6"/>
  <c r="Q13" i="6"/>
  <c r="E32" i="6"/>
  <c r="Q14" i="6"/>
  <c r="F32" i="6"/>
  <c r="C32" i="6"/>
  <c r="C23" i="27"/>
  <c r="D23" i="27"/>
  <c r="D30" i="27"/>
  <c r="D29" i="27"/>
  <c r="O13" i="27"/>
  <c r="E23" i="27"/>
  <c r="F23" i="27"/>
  <c r="F22" i="27"/>
  <c r="F50" i="29"/>
  <c r="F57" i="29"/>
  <c r="F56" i="29"/>
  <c r="O42" i="29"/>
  <c r="E50" i="29"/>
  <c r="E57" i="29"/>
  <c r="E56" i="29"/>
  <c r="O41" i="29"/>
  <c r="D50" i="29"/>
  <c r="D57" i="29"/>
  <c r="D56" i="29"/>
  <c r="O40" i="29"/>
  <c r="C50" i="29"/>
  <c r="C57" i="29"/>
  <c r="C56" i="29"/>
  <c r="O39" i="29"/>
  <c r="F26" i="29"/>
  <c r="E26" i="29"/>
  <c r="D26" i="29"/>
  <c r="C26" i="29"/>
  <c r="F32" i="29"/>
  <c r="Q15" i="29"/>
  <c r="E32" i="29"/>
  <c r="Q14" i="29"/>
  <c r="D32" i="29"/>
  <c r="Q13" i="29"/>
  <c r="C32" i="29"/>
  <c r="Q12" i="29"/>
  <c r="F58" i="29"/>
  <c r="P42" i="29"/>
  <c r="E58" i="29"/>
  <c r="P41" i="29"/>
  <c r="D58" i="29"/>
  <c r="P40" i="29"/>
  <c r="C58" i="29"/>
  <c r="P39" i="29"/>
  <c r="F30" i="24"/>
  <c r="F29" i="24"/>
  <c r="O15" i="24"/>
  <c r="D29" i="24"/>
  <c r="O13" i="24"/>
  <c r="C30" i="24"/>
  <c r="C29" i="24"/>
  <c r="O12" i="24"/>
  <c r="J7" i="30"/>
  <c r="J6" i="30"/>
  <c r="J7" i="24"/>
  <c r="J6" i="24"/>
  <c r="F31" i="29"/>
  <c r="P15" i="29"/>
  <c r="E31" i="29"/>
  <c r="P14" i="29"/>
  <c r="D31" i="29"/>
  <c r="P13" i="29"/>
  <c r="C31" i="29"/>
  <c r="P12" i="29"/>
  <c r="F58" i="28"/>
  <c r="P42" i="28"/>
  <c r="E58" i="28"/>
  <c r="P41" i="28"/>
  <c r="D58" i="28"/>
  <c r="P40" i="28"/>
  <c r="C58" i="28"/>
  <c r="P39" i="28"/>
  <c r="F31" i="28"/>
  <c r="P15" i="28"/>
  <c r="E31" i="28"/>
  <c r="P14" i="28"/>
  <c r="D31" i="28"/>
  <c r="P13" i="28"/>
  <c r="C31" i="28"/>
  <c r="P12" i="28"/>
  <c r="F112" i="11"/>
  <c r="P96" i="11"/>
  <c r="E112" i="11"/>
  <c r="P95" i="11"/>
  <c r="D112" i="11"/>
  <c r="P94" i="11"/>
  <c r="C112" i="11"/>
  <c r="P93" i="11"/>
  <c r="F85" i="11"/>
  <c r="E85" i="11"/>
  <c r="P68" i="11"/>
  <c r="D85" i="11"/>
  <c r="P67" i="11"/>
  <c r="C85" i="11"/>
  <c r="P66" i="11"/>
  <c r="F31" i="9"/>
  <c r="P15" i="9"/>
  <c r="E31" i="9"/>
  <c r="P14" i="9"/>
  <c r="D31" i="9"/>
  <c r="P13" i="9"/>
  <c r="C85" i="10"/>
  <c r="P66" i="10"/>
  <c r="C58" i="10"/>
  <c r="P39" i="10"/>
  <c r="J42" i="14"/>
  <c r="J41" i="14"/>
  <c r="J40" i="14"/>
  <c r="J39" i="14"/>
  <c r="K39" i="14"/>
  <c r="C57" i="14"/>
  <c r="F113" i="10"/>
  <c r="Q96" i="10"/>
  <c r="E113" i="10"/>
  <c r="Q95" i="10"/>
  <c r="D113" i="10"/>
  <c r="Q94" i="10"/>
  <c r="C113" i="10"/>
  <c r="Q93" i="10"/>
  <c r="F112" i="10"/>
  <c r="P96" i="10"/>
  <c r="E112" i="10"/>
  <c r="P95" i="10"/>
  <c r="D112" i="10"/>
  <c r="P94" i="10"/>
  <c r="C84" i="10"/>
  <c r="D84" i="10"/>
  <c r="E84" i="10"/>
  <c r="F84" i="10"/>
  <c r="D85" i="10"/>
  <c r="P67" i="10"/>
  <c r="E85" i="10"/>
  <c r="P68" i="10"/>
  <c r="F85" i="10"/>
  <c r="P69" i="10"/>
  <c r="C86" i="10"/>
  <c r="Q66" i="10"/>
  <c r="D86" i="10"/>
  <c r="Q67" i="10"/>
  <c r="E86" i="10"/>
  <c r="F86" i="10"/>
  <c r="F58" i="10"/>
  <c r="P42" i="10"/>
  <c r="E58" i="10"/>
  <c r="P41" i="10"/>
  <c r="D58" i="10"/>
  <c r="P40" i="10"/>
  <c r="F31" i="10"/>
  <c r="P15" i="10"/>
  <c r="E31" i="10"/>
  <c r="P14" i="10"/>
  <c r="D31" i="10"/>
  <c r="P13" i="10"/>
  <c r="F112" i="6"/>
  <c r="P96" i="6"/>
  <c r="E112" i="6"/>
  <c r="D112" i="6"/>
  <c r="C112" i="6"/>
  <c r="P93" i="6"/>
  <c r="F110" i="6"/>
  <c r="F111" i="6"/>
  <c r="E110" i="6"/>
  <c r="D110" i="6"/>
  <c r="D111" i="6"/>
  <c r="C110" i="6"/>
  <c r="F85" i="6"/>
  <c r="P69" i="6"/>
  <c r="E85" i="6"/>
  <c r="P68" i="6"/>
  <c r="D85" i="6"/>
  <c r="P67" i="6"/>
  <c r="C85" i="6"/>
  <c r="P66" i="6"/>
  <c r="F56" i="6"/>
  <c r="F57" i="6"/>
  <c r="E56" i="6"/>
  <c r="E57" i="6"/>
  <c r="D56" i="6"/>
  <c r="D57" i="6"/>
  <c r="C56" i="6"/>
  <c r="C57" i="6"/>
  <c r="C58" i="6"/>
  <c r="P39" i="6"/>
  <c r="F31" i="4"/>
  <c r="E31" i="4"/>
  <c r="P14" i="4"/>
  <c r="D31" i="4"/>
  <c r="P13" i="4"/>
  <c r="C31" i="4"/>
  <c r="Q41" i="29"/>
  <c r="Q40" i="29"/>
  <c r="X42" i="29"/>
  <c r="W42" i="29"/>
  <c r="V42" i="29"/>
  <c r="U42" i="29"/>
  <c r="T42" i="29"/>
  <c r="Q42" i="29"/>
  <c r="N42" i="29"/>
  <c r="L42" i="29"/>
  <c r="J42" i="29"/>
  <c r="X41" i="29"/>
  <c r="W41" i="29"/>
  <c r="V41" i="29"/>
  <c r="U41" i="29"/>
  <c r="T41" i="29"/>
  <c r="N41" i="29"/>
  <c r="L41" i="29"/>
  <c r="J41" i="29"/>
  <c r="X40" i="29"/>
  <c r="W40" i="29"/>
  <c r="V40" i="29"/>
  <c r="U40" i="29"/>
  <c r="T40" i="29"/>
  <c r="N40" i="29"/>
  <c r="L40" i="29"/>
  <c r="J40" i="29"/>
  <c r="X39" i="29"/>
  <c r="W39" i="29"/>
  <c r="V39" i="29"/>
  <c r="U39" i="29"/>
  <c r="T39" i="29"/>
  <c r="Q39" i="29"/>
  <c r="N39" i="29"/>
  <c r="L39" i="29"/>
  <c r="J39" i="29"/>
  <c r="K39" i="29"/>
  <c r="J34" i="29"/>
  <c r="J33" i="29"/>
  <c r="F30" i="29"/>
  <c r="F29" i="29"/>
  <c r="O15" i="29"/>
  <c r="E30" i="29"/>
  <c r="E29" i="29"/>
  <c r="O14" i="29"/>
  <c r="D30" i="29"/>
  <c r="D29" i="29"/>
  <c r="O13" i="29"/>
  <c r="J7" i="29"/>
  <c r="J6" i="29"/>
  <c r="F57" i="28"/>
  <c r="F56" i="28"/>
  <c r="O42" i="28"/>
  <c r="E57" i="28"/>
  <c r="E56" i="28"/>
  <c r="O41" i="28"/>
  <c r="D57" i="28"/>
  <c r="D56" i="28"/>
  <c r="O40" i="28"/>
  <c r="C57" i="28"/>
  <c r="C56" i="28"/>
  <c r="O39" i="28"/>
  <c r="X42" i="28"/>
  <c r="W42" i="28"/>
  <c r="V42" i="28"/>
  <c r="U42" i="28"/>
  <c r="T42" i="28"/>
  <c r="N42" i="28"/>
  <c r="L42" i="28"/>
  <c r="J42" i="28"/>
  <c r="X41" i="28"/>
  <c r="W41" i="28"/>
  <c r="V41" i="28"/>
  <c r="U41" i="28"/>
  <c r="T41" i="28"/>
  <c r="N41" i="28"/>
  <c r="L41" i="28"/>
  <c r="J41" i="28"/>
  <c r="X40" i="28"/>
  <c r="W40" i="28"/>
  <c r="V40" i="28"/>
  <c r="U40" i="28"/>
  <c r="T40" i="28"/>
  <c r="N40" i="28"/>
  <c r="L40" i="28"/>
  <c r="J40" i="28"/>
  <c r="X39" i="28"/>
  <c r="W39" i="28"/>
  <c r="V39" i="28"/>
  <c r="U39" i="28"/>
  <c r="T39" i="28"/>
  <c r="N39" i="28"/>
  <c r="L39" i="28"/>
  <c r="J39" i="28"/>
  <c r="K39" i="28"/>
  <c r="J34" i="28"/>
  <c r="J33" i="28"/>
  <c r="F30" i="28"/>
  <c r="F29" i="28"/>
  <c r="O15" i="28"/>
  <c r="E30" i="28"/>
  <c r="E29" i="28"/>
  <c r="O14" i="28"/>
  <c r="D30" i="28"/>
  <c r="D29" i="28"/>
  <c r="O13" i="28"/>
  <c r="C30" i="28"/>
  <c r="C29" i="28"/>
  <c r="O12" i="28"/>
  <c r="J7" i="28"/>
  <c r="J6" i="28"/>
  <c r="J6" i="27"/>
  <c r="J7" i="27"/>
  <c r="H22" i="27"/>
  <c r="I22" i="27"/>
  <c r="Q14" i="13"/>
  <c r="K29" i="13"/>
  <c r="C31" i="11"/>
  <c r="P12" i="11"/>
  <c r="F58" i="11"/>
  <c r="P42" i="11"/>
  <c r="E58" i="11"/>
  <c r="P41" i="11"/>
  <c r="D58" i="11"/>
  <c r="P40" i="11"/>
  <c r="C58" i="11"/>
  <c r="P39" i="11"/>
  <c r="F31" i="11"/>
  <c r="P15" i="11"/>
  <c r="E31" i="11"/>
  <c r="P14" i="11"/>
  <c r="D31" i="11"/>
  <c r="P13" i="11"/>
  <c r="P99" i="13"/>
  <c r="N99" i="13"/>
  <c r="L99" i="13"/>
  <c r="J99" i="13"/>
  <c r="N98" i="13"/>
  <c r="L98" i="13"/>
  <c r="J98" i="13"/>
  <c r="Q97" i="13"/>
  <c r="N97" i="13"/>
  <c r="L97" i="13"/>
  <c r="J97" i="13"/>
  <c r="N96" i="13"/>
  <c r="L96" i="13"/>
  <c r="J96" i="13"/>
  <c r="K96" i="13"/>
  <c r="N71" i="13"/>
  <c r="L71" i="13"/>
  <c r="J71" i="13"/>
  <c r="N70" i="13"/>
  <c r="L70" i="13"/>
  <c r="J70" i="13"/>
  <c r="N69" i="13"/>
  <c r="L69" i="13"/>
  <c r="J69" i="13"/>
  <c r="N68" i="13"/>
  <c r="L68" i="13"/>
  <c r="J68" i="13"/>
  <c r="K68" i="13"/>
  <c r="N43" i="13"/>
  <c r="L43" i="13"/>
  <c r="J43" i="13"/>
  <c r="N42" i="13"/>
  <c r="L42" i="13"/>
  <c r="J42" i="13"/>
  <c r="N41" i="13"/>
  <c r="L41" i="13"/>
  <c r="J41" i="13"/>
  <c r="N40" i="13"/>
  <c r="L40" i="13"/>
  <c r="J40" i="13"/>
  <c r="K40" i="13"/>
  <c r="N15" i="13"/>
  <c r="L15" i="13"/>
  <c r="N14" i="13"/>
  <c r="L14" i="13"/>
  <c r="Q13" i="13"/>
  <c r="N13" i="13"/>
  <c r="L13" i="13"/>
  <c r="N12" i="13"/>
  <c r="L12" i="13"/>
  <c r="J15" i="13"/>
  <c r="J14" i="13"/>
  <c r="J13" i="13"/>
  <c r="J12" i="13"/>
  <c r="J7" i="13"/>
  <c r="J6" i="13"/>
  <c r="F59" i="14"/>
  <c r="E59" i="14"/>
  <c r="D59" i="14"/>
  <c r="C59" i="14"/>
  <c r="G57" i="14"/>
  <c r="F57" i="14"/>
  <c r="E57" i="14"/>
  <c r="D57" i="14"/>
  <c r="F32" i="14"/>
  <c r="Q15" i="14"/>
  <c r="E32" i="14"/>
  <c r="Q14" i="14"/>
  <c r="D32" i="14"/>
  <c r="Q13" i="14"/>
  <c r="C32" i="14"/>
  <c r="Q12" i="14"/>
  <c r="P15" i="14"/>
  <c r="G30" i="14"/>
  <c r="F30" i="14"/>
  <c r="F29" i="14"/>
  <c r="O15" i="14"/>
  <c r="E30" i="14"/>
  <c r="E29" i="14"/>
  <c r="O14" i="14"/>
  <c r="D30" i="14"/>
  <c r="D29" i="14"/>
  <c r="O13" i="14"/>
  <c r="O12" i="14"/>
  <c r="Q99" i="14"/>
  <c r="P99" i="14"/>
  <c r="O99" i="14"/>
  <c r="N99" i="14"/>
  <c r="L99" i="14"/>
  <c r="J99" i="14"/>
  <c r="Q98" i="14"/>
  <c r="P98" i="14"/>
  <c r="O98" i="14"/>
  <c r="N98" i="14"/>
  <c r="L98" i="14"/>
  <c r="J98" i="14"/>
  <c r="Q97" i="14"/>
  <c r="P97" i="14"/>
  <c r="O97" i="14"/>
  <c r="N97" i="14"/>
  <c r="L97" i="14"/>
  <c r="J97" i="14"/>
  <c r="Q96" i="14"/>
  <c r="P96" i="14"/>
  <c r="O96" i="14"/>
  <c r="N96" i="14"/>
  <c r="L96" i="14"/>
  <c r="J96" i="14"/>
  <c r="K96" i="14"/>
  <c r="J91" i="14"/>
  <c r="J90" i="14"/>
  <c r="Q71" i="14"/>
  <c r="P71" i="14"/>
  <c r="O71" i="14"/>
  <c r="N71" i="14"/>
  <c r="L71" i="14"/>
  <c r="J71" i="14"/>
  <c r="Q70" i="14"/>
  <c r="P70" i="14"/>
  <c r="O70" i="14"/>
  <c r="N70" i="14"/>
  <c r="L70" i="14"/>
  <c r="J70" i="14"/>
  <c r="Q69" i="14"/>
  <c r="P69" i="14"/>
  <c r="O69" i="14"/>
  <c r="N69" i="14"/>
  <c r="L69" i="14"/>
  <c r="J69" i="14"/>
  <c r="Q68" i="14"/>
  <c r="P68" i="14"/>
  <c r="O68" i="14"/>
  <c r="N68" i="14"/>
  <c r="L68" i="14"/>
  <c r="J68" i="14"/>
  <c r="K68" i="14"/>
  <c r="J63" i="14"/>
  <c r="J62" i="14"/>
  <c r="N15" i="14"/>
  <c r="L15" i="14"/>
  <c r="J15" i="14"/>
  <c r="N14" i="14"/>
  <c r="L14" i="14"/>
  <c r="J14" i="14"/>
  <c r="N13" i="14"/>
  <c r="L13" i="14"/>
  <c r="J13" i="14"/>
  <c r="N12" i="14"/>
  <c r="L12" i="14"/>
  <c r="J12" i="14"/>
  <c r="J7" i="14"/>
  <c r="J6" i="14"/>
  <c r="J91" i="13"/>
  <c r="J90" i="13"/>
  <c r="J35" i="13"/>
  <c r="J34" i="13"/>
  <c r="G115" i="13"/>
  <c r="F88" i="13"/>
  <c r="P71" i="13"/>
  <c r="E88" i="13"/>
  <c r="P70" i="13"/>
  <c r="D88" i="13"/>
  <c r="P69" i="13"/>
  <c r="G87" i="13"/>
  <c r="F87" i="13"/>
  <c r="E87" i="13"/>
  <c r="D87" i="13"/>
  <c r="F86" i="13"/>
  <c r="O71" i="13"/>
  <c r="E86" i="13"/>
  <c r="O70" i="13"/>
  <c r="D86" i="13"/>
  <c r="O69" i="13"/>
  <c r="G31" i="13"/>
  <c r="E32" i="13"/>
  <c r="P14" i="13"/>
  <c r="F31" i="13"/>
  <c r="E31" i="13"/>
  <c r="D31" i="13"/>
  <c r="C31" i="13"/>
  <c r="F30" i="13"/>
  <c r="O15" i="13"/>
  <c r="E30" i="13"/>
  <c r="O14" i="13"/>
  <c r="D30" i="13"/>
  <c r="O13" i="13"/>
  <c r="C30" i="13"/>
  <c r="O12" i="13"/>
  <c r="X42" i="4"/>
  <c r="W42" i="4"/>
  <c r="V42" i="4"/>
  <c r="U42" i="4"/>
  <c r="T42" i="4"/>
  <c r="N42" i="4"/>
  <c r="X41" i="4"/>
  <c r="W41" i="4"/>
  <c r="V41" i="4"/>
  <c r="U41" i="4"/>
  <c r="T41" i="4"/>
  <c r="N41" i="4"/>
  <c r="X40" i="4"/>
  <c r="W40" i="4"/>
  <c r="V40" i="4"/>
  <c r="U40" i="4"/>
  <c r="T40" i="4"/>
  <c r="N40" i="4"/>
  <c r="X39" i="4"/>
  <c r="W39" i="4"/>
  <c r="V39" i="4"/>
  <c r="U39" i="4"/>
  <c r="T39" i="4"/>
  <c r="N39" i="4"/>
  <c r="N13" i="4"/>
  <c r="T13" i="4"/>
  <c r="U13" i="4"/>
  <c r="V13" i="4"/>
  <c r="W13" i="4"/>
  <c r="X13" i="4"/>
  <c r="N14" i="4"/>
  <c r="T14" i="4"/>
  <c r="U14" i="4"/>
  <c r="V14" i="4"/>
  <c r="W14" i="4"/>
  <c r="X14" i="4"/>
  <c r="N15" i="4"/>
  <c r="T15" i="4"/>
  <c r="V15" i="4"/>
  <c r="W15" i="4"/>
  <c r="X15" i="4"/>
  <c r="N12" i="4"/>
  <c r="T12" i="4"/>
  <c r="U12" i="4"/>
  <c r="V12" i="4"/>
  <c r="W12" i="4"/>
  <c r="X12" i="4"/>
  <c r="J13" i="4"/>
  <c r="J14" i="4"/>
  <c r="J15" i="4"/>
  <c r="X96" i="6"/>
  <c r="W96" i="6"/>
  <c r="V96" i="6"/>
  <c r="U96" i="6"/>
  <c r="T96" i="6"/>
  <c r="X95" i="6"/>
  <c r="W95" i="6"/>
  <c r="V95" i="6"/>
  <c r="U95" i="6"/>
  <c r="T95" i="6"/>
  <c r="X94" i="6"/>
  <c r="W94" i="6"/>
  <c r="V94" i="6"/>
  <c r="U94" i="6"/>
  <c r="T94" i="6"/>
  <c r="X93" i="6"/>
  <c r="W93" i="6"/>
  <c r="V93" i="6"/>
  <c r="U93" i="6"/>
  <c r="T93" i="6"/>
  <c r="X69" i="6"/>
  <c r="W69" i="6"/>
  <c r="V69" i="6"/>
  <c r="U69" i="6"/>
  <c r="T69" i="6"/>
  <c r="X68" i="6"/>
  <c r="W68" i="6"/>
  <c r="V68" i="6"/>
  <c r="U68" i="6"/>
  <c r="T68" i="6"/>
  <c r="X67" i="6"/>
  <c r="W67" i="6"/>
  <c r="V67" i="6"/>
  <c r="U67" i="6"/>
  <c r="T67" i="6"/>
  <c r="X66" i="6"/>
  <c r="W66" i="6"/>
  <c r="V66" i="6"/>
  <c r="U66" i="6"/>
  <c r="T66" i="6"/>
  <c r="X42" i="6"/>
  <c r="W42" i="6"/>
  <c r="V42" i="6"/>
  <c r="U42" i="6"/>
  <c r="T42" i="6"/>
  <c r="X41" i="6"/>
  <c r="W41" i="6"/>
  <c r="V41" i="6"/>
  <c r="U41" i="6"/>
  <c r="T41" i="6"/>
  <c r="X40" i="6"/>
  <c r="W40" i="6"/>
  <c r="V40" i="6"/>
  <c r="U40" i="6"/>
  <c r="T40" i="6"/>
  <c r="X39" i="6"/>
  <c r="W39" i="6"/>
  <c r="V39" i="6"/>
  <c r="U39" i="6"/>
  <c r="T39" i="6"/>
  <c r="X15" i="6"/>
  <c r="W15" i="6"/>
  <c r="V15" i="6"/>
  <c r="U15" i="6"/>
  <c r="T15" i="6"/>
  <c r="X14" i="6"/>
  <c r="W14" i="6"/>
  <c r="V14" i="6"/>
  <c r="U14" i="6"/>
  <c r="T14" i="6"/>
  <c r="X13" i="6"/>
  <c r="W13" i="6"/>
  <c r="V13" i="6"/>
  <c r="U13" i="6"/>
  <c r="T13" i="6"/>
  <c r="X12" i="6"/>
  <c r="W12" i="6"/>
  <c r="V12" i="6"/>
  <c r="U12" i="6"/>
  <c r="T12" i="6"/>
  <c r="N96" i="11"/>
  <c r="L96" i="11"/>
  <c r="J96" i="11"/>
  <c r="N95" i="11"/>
  <c r="L95" i="11"/>
  <c r="J95" i="11"/>
  <c r="N94" i="11"/>
  <c r="L94" i="11"/>
  <c r="J94" i="11"/>
  <c r="N93" i="11"/>
  <c r="L93" i="11"/>
  <c r="J93" i="11"/>
  <c r="K93" i="11"/>
  <c r="J88" i="11"/>
  <c r="J87" i="11"/>
  <c r="P69" i="11"/>
  <c r="N69" i="11"/>
  <c r="L69" i="11"/>
  <c r="J69" i="11"/>
  <c r="N68" i="11"/>
  <c r="L68" i="11"/>
  <c r="J68" i="11"/>
  <c r="N67" i="11"/>
  <c r="L67" i="11"/>
  <c r="J67" i="11"/>
  <c r="N66" i="11"/>
  <c r="L66" i="11"/>
  <c r="J66" i="11"/>
  <c r="K66" i="11"/>
  <c r="J61" i="11"/>
  <c r="J60" i="11"/>
  <c r="N42" i="11"/>
  <c r="L42" i="11"/>
  <c r="J42" i="11"/>
  <c r="N41" i="11"/>
  <c r="L41" i="11"/>
  <c r="J41" i="11"/>
  <c r="N40" i="11"/>
  <c r="L40" i="11"/>
  <c r="J40" i="11"/>
  <c r="N39" i="11"/>
  <c r="L39" i="11"/>
  <c r="J39" i="11"/>
  <c r="K39" i="11"/>
  <c r="J34" i="11"/>
  <c r="J33" i="11"/>
  <c r="J7" i="11"/>
  <c r="J6" i="11"/>
  <c r="F113" i="11"/>
  <c r="Q96" i="11"/>
  <c r="E113" i="11"/>
  <c r="Q95" i="11"/>
  <c r="D113" i="11"/>
  <c r="Q94" i="11"/>
  <c r="C113" i="11"/>
  <c r="Q93" i="11"/>
  <c r="F111" i="11"/>
  <c r="E111" i="11"/>
  <c r="D111" i="11"/>
  <c r="C111" i="11"/>
  <c r="F110" i="11"/>
  <c r="O96" i="11"/>
  <c r="E110" i="11"/>
  <c r="O95" i="11"/>
  <c r="D110" i="11"/>
  <c r="O94" i="11"/>
  <c r="C110" i="11"/>
  <c r="O93" i="11"/>
  <c r="F86" i="11"/>
  <c r="Q69" i="11"/>
  <c r="E86" i="11"/>
  <c r="Q68" i="11"/>
  <c r="D86" i="11"/>
  <c r="Q67" i="11"/>
  <c r="C86" i="11"/>
  <c r="Q66" i="11"/>
  <c r="G84" i="11"/>
  <c r="F84" i="11"/>
  <c r="E84" i="11"/>
  <c r="D84" i="11"/>
  <c r="C84" i="11"/>
  <c r="F83" i="11"/>
  <c r="O69" i="11"/>
  <c r="E83" i="11"/>
  <c r="O68" i="11"/>
  <c r="D83" i="11"/>
  <c r="O67" i="11"/>
  <c r="C83" i="11"/>
  <c r="O66" i="11"/>
  <c r="F59" i="11"/>
  <c r="Q42" i="11"/>
  <c r="E59" i="11"/>
  <c r="Q41" i="11"/>
  <c r="D59" i="11"/>
  <c r="Q40" i="11"/>
  <c r="C59" i="11"/>
  <c r="Q39" i="11"/>
  <c r="F57" i="11"/>
  <c r="E57" i="11"/>
  <c r="D57" i="11"/>
  <c r="C57" i="11"/>
  <c r="F56" i="11"/>
  <c r="O42" i="11"/>
  <c r="E56" i="11"/>
  <c r="O41" i="11"/>
  <c r="D56" i="11"/>
  <c r="O40" i="11"/>
  <c r="C56" i="11"/>
  <c r="O39" i="11"/>
  <c r="F32" i="11"/>
  <c r="Q15" i="11"/>
  <c r="E32" i="11"/>
  <c r="Q14" i="11"/>
  <c r="D32" i="11"/>
  <c r="Q13" i="11"/>
  <c r="C32" i="11"/>
  <c r="Q12" i="11"/>
  <c r="G30" i="11"/>
  <c r="G22" i="11"/>
  <c r="F30" i="11"/>
  <c r="E30" i="11"/>
  <c r="D30" i="11"/>
  <c r="H22" i="11"/>
  <c r="F22" i="11"/>
  <c r="F29" i="11"/>
  <c r="O15" i="11"/>
  <c r="E22" i="11"/>
  <c r="E29" i="11"/>
  <c r="O14" i="11"/>
  <c r="D22" i="11"/>
  <c r="D29" i="11"/>
  <c r="O13" i="11"/>
  <c r="C22" i="11"/>
  <c r="C29" i="11"/>
  <c r="O12" i="11"/>
  <c r="F58" i="6"/>
  <c r="P42" i="6"/>
  <c r="E58" i="6"/>
  <c r="P41" i="6"/>
  <c r="D58" i="6"/>
  <c r="P40" i="6"/>
  <c r="F76" i="6"/>
  <c r="E76" i="6"/>
  <c r="D76" i="6"/>
  <c r="H76" i="6"/>
  <c r="G76" i="6"/>
  <c r="C76" i="6"/>
  <c r="F22" i="6"/>
  <c r="F29" i="6"/>
  <c r="O15" i="6"/>
  <c r="E22" i="6"/>
  <c r="E29" i="6"/>
  <c r="E30" i="6"/>
  <c r="D22" i="6"/>
  <c r="D29" i="6"/>
  <c r="O13" i="6"/>
  <c r="C22" i="6"/>
  <c r="C29" i="6"/>
  <c r="C30" i="6"/>
  <c r="H22" i="6"/>
  <c r="G22" i="6"/>
  <c r="I15" i="4"/>
  <c r="L15" i="4"/>
  <c r="I14" i="4"/>
  <c r="L14" i="4"/>
  <c r="I13" i="4"/>
  <c r="L13" i="4"/>
  <c r="I12" i="4"/>
  <c r="L12" i="4"/>
  <c r="I10" i="4"/>
  <c r="I38" i="4"/>
  <c r="H50" i="4"/>
  <c r="G50" i="4"/>
  <c r="H22" i="4"/>
  <c r="G22" i="4"/>
  <c r="J33" i="4"/>
  <c r="H22" i="9"/>
  <c r="H76" i="10"/>
  <c r="D32" i="10"/>
  <c r="Q13" i="10"/>
  <c r="E32" i="10"/>
  <c r="Q14" i="10"/>
  <c r="F32" i="10"/>
  <c r="Q15" i="10"/>
  <c r="C32" i="10"/>
  <c r="Q12" i="10"/>
  <c r="J88" i="10"/>
  <c r="J87" i="10"/>
  <c r="J61" i="10"/>
  <c r="J60" i="10"/>
  <c r="J34" i="10"/>
  <c r="J33" i="10"/>
  <c r="J7" i="10"/>
  <c r="J6" i="10"/>
  <c r="J7" i="9"/>
  <c r="J6" i="9"/>
  <c r="J34" i="4"/>
  <c r="J6" i="4"/>
  <c r="J5" i="4"/>
  <c r="J88" i="6"/>
  <c r="J87" i="6"/>
  <c r="J7" i="6"/>
  <c r="J6" i="6"/>
  <c r="J34" i="6"/>
  <c r="J33" i="6"/>
  <c r="J61" i="6"/>
  <c r="J60" i="6"/>
  <c r="N96" i="6"/>
  <c r="L96" i="6"/>
  <c r="J96" i="6"/>
  <c r="P95" i="6"/>
  <c r="N95" i="6"/>
  <c r="L95" i="6"/>
  <c r="J95" i="6"/>
  <c r="P94" i="6"/>
  <c r="N94" i="6"/>
  <c r="L94" i="6"/>
  <c r="J94" i="6"/>
  <c r="Q93" i="6"/>
  <c r="N93" i="6"/>
  <c r="L93" i="6"/>
  <c r="J93" i="6"/>
  <c r="K93" i="6"/>
  <c r="N69" i="6"/>
  <c r="L69" i="6"/>
  <c r="J69" i="6"/>
  <c r="Q68" i="6"/>
  <c r="N68" i="6"/>
  <c r="L68" i="6"/>
  <c r="J68" i="6"/>
  <c r="N67" i="6"/>
  <c r="L67" i="6"/>
  <c r="J67" i="6"/>
  <c r="N66" i="6"/>
  <c r="L66" i="6"/>
  <c r="J66" i="6"/>
  <c r="K66" i="6"/>
  <c r="N42" i="6"/>
  <c r="J42" i="6"/>
  <c r="N41" i="6"/>
  <c r="J41" i="6"/>
  <c r="N40" i="6"/>
  <c r="J40" i="6"/>
  <c r="N39" i="6"/>
  <c r="J39" i="6"/>
  <c r="K39" i="6"/>
  <c r="N15" i="6"/>
  <c r="L15" i="6"/>
  <c r="J15" i="6"/>
  <c r="N14" i="6"/>
  <c r="L14" i="6"/>
  <c r="J14" i="6"/>
  <c r="N13" i="6"/>
  <c r="L13" i="6"/>
  <c r="J13" i="6"/>
  <c r="Q12" i="6"/>
  <c r="N12" i="6"/>
  <c r="L12" i="6"/>
  <c r="J12" i="6"/>
  <c r="J42" i="4"/>
  <c r="J41" i="4"/>
  <c r="J40" i="4"/>
  <c r="J39" i="4"/>
  <c r="K39" i="4"/>
  <c r="J12" i="4"/>
  <c r="N96" i="10"/>
  <c r="L96" i="10"/>
  <c r="J96" i="10"/>
  <c r="N95" i="10"/>
  <c r="L95" i="10"/>
  <c r="J95" i="10"/>
  <c r="N94" i="10"/>
  <c r="L94" i="10"/>
  <c r="J94" i="10"/>
  <c r="N93" i="10"/>
  <c r="L93" i="10"/>
  <c r="J93" i="10"/>
  <c r="K93" i="10"/>
  <c r="N69" i="10"/>
  <c r="L69" i="10"/>
  <c r="J69" i="10"/>
  <c r="N68" i="10"/>
  <c r="L68" i="10"/>
  <c r="J68" i="10"/>
  <c r="N67" i="10"/>
  <c r="L67" i="10"/>
  <c r="J67" i="10"/>
  <c r="N66" i="10"/>
  <c r="L66" i="10"/>
  <c r="J66" i="10"/>
  <c r="K66" i="10"/>
  <c r="N42" i="10"/>
  <c r="L42" i="10"/>
  <c r="J42" i="10"/>
  <c r="N41" i="10"/>
  <c r="L41" i="10"/>
  <c r="J41" i="10"/>
  <c r="N40" i="10"/>
  <c r="L40" i="10"/>
  <c r="J40" i="10"/>
  <c r="N39" i="10"/>
  <c r="L39" i="10"/>
  <c r="J39" i="10"/>
  <c r="K39" i="10"/>
  <c r="F110" i="10"/>
  <c r="O96" i="10"/>
  <c r="E110" i="10"/>
  <c r="E111" i="10"/>
  <c r="D110" i="10"/>
  <c r="O94" i="10"/>
  <c r="D111" i="10"/>
  <c r="G84" i="10"/>
  <c r="G76" i="10"/>
  <c r="G30" i="10"/>
  <c r="G22" i="10"/>
  <c r="Q69" i="10"/>
  <c r="Q68" i="10"/>
  <c r="F76" i="10"/>
  <c r="F83" i="10"/>
  <c r="O69" i="10"/>
  <c r="E76" i="10"/>
  <c r="E83" i="10"/>
  <c r="O68" i="10"/>
  <c r="D76" i="10"/>
  <c r="D83" i="10"/>
  <c r="O67" i="10"/>
  <c r="C76" i="10"/>
  <c r="C83" i="10"/>
  <c r="O66" i="10"/>
  <c r="F59" i="10"/>
  <c r="Q42" i="10"/>
  <c r="E59" i="10"/>
  <c r="Q41" i="10"/>
  <c r="D59" i="10"/>
  <c r="Q40" i="10"/>
  <c r="C59" i="10"/>
  <c r="Q39" i="10"/>
  <c r="F56" i="10"/>
  <c r="F57" i="10"/>
  <c r="E56" i="10"/>
  <c r="D56" i="10"/>
  <c r="D57" i="10"/>
  <c r="O40" i="10"/>
  <c r="C30" i="10"/>
  <c r="F30" i="10"/>
  <c r="E30" i="10"/>
  <c r="D30" i="10"/>
  <c r="F22" i="10"/>
  <c r="F29" i="10"/>
  <c r="O15" i="10"/>
  <c r="E22" i="10"/>
  <c r="E29" i="10"/>
  <c r="O14" i="10"/>
  <c r="D22" i="10"/>
  <c r="D29" i="10"/>
  <c r="O13" i="10"/>
  <c r="C22" i="10"/>
  <c r="C29" i="10"/>
  <c r="O12" i="10"/>
  <c r="D30" i="9"/>
  <c r="E30" i="9"/>
  <c r="F30" i="9"/>
  <c r="C30" i="9"/>
  <c r="F29" i="9"/>
  <c r="O15" i="9"/>
  <c r="D29" i="9"/>
  <c r="O13" i="9"/>
  <c r="F32" i="9"/>
  <c r="Q15" i="9"/>
  <c r="E32" i="9"/>
  <c r="Q14" i="9"/>
  <c r="D32" i="9"/>
  <c r="Q13" i="9"/>
  <c r="C32" i="9"/>
  <c r="Q12" i="9"/>
  <c r="E29" i="9"/>
  <c r="O14" i="9"/>
  <c r="F22" i="4"/>
  <c r="F29" i="4"/>
  <c r="O15" i="4"/>
  <c r="E22" i="4"/>
  <c r="E29" i="4"/>
  <c r="O14" i="4"/>
  <c r="D22" i="4"/>
  <c r="D29" i="4"/>
  <c r="O13" i="4"/>
  <c r="C22" i="4"/>
  <c r="C29" i="4"/>
  <c r="O12" i="4"/>
  <c r="D30" i="4"/>
  <c r="E30" i="4"/>
  <c r="F30" i="4"/>
  <c r="C30" i="4"/>
  <c r="F50" i="4"/>
  <c r="F57" i="4"/>
  <c r="O42" i="4"/>
  <c r="E50" i="4"/>
  <c r="E57" i="4"/>
  <c r="O41" i="4"/>
  <c r="D50" i="4"/>
  <c r="D57" i="4"/>
  <c r="D58" i="4"/>
  <c r="C50" i="4"/>
  <c r="C57" i="4"/>
  <c r="O39" i="4"/>
  <c r="O42" i="10"/>
  <c r="O42" i="6"/>
  <c r="Q41" i="6"/>
  <c r="Q40" i="6"/>
  <c r="Q15" i="6"/>
  <c r="C31" i="6"/>
  <c r="P12" i="6"/>
  <c r="D31" i="6"/>
  <c r="P13" i="6"/>
  <c r="E31" i="6"/>
  <c r="P14" i="6"/>
  <c r="F31" i="6"/>
  <c r="P15" i="6"/>
  <c r="P12" i="4"/>
  <c r="D59" i="4"/>
  <c r="P40" i="4"/>
  <c r="E59" i="4"/>
  <c r="P41" i="4"/>
  <c r="F59" i="4"/>
  <c r="P42" i="4"/>
  <c r="D60" i="4"/>
  <c r="Q40" i="4"/>
  <c r="E60" i="4"/>
  <c r="Q41" i="4"/>
  <c r="F60" i="4"/>
  <c r="Q42" i="4"/>
  <c r="C60" i="4"/>
  <c r="Q39" i="4"/>
  <c r="C59" i="4"/>
  <c r="P39" i="4"/>
  <c r="Q14" i="4"/>
  <c r="P15" i="4"/>
  <c r="E24" i="34"/>
  <c r="K12" i="34"/>
  <c r="D32" i="13"/>
  <c r="P13" i="13"/>
  <c r="C32" i="13"/>
  <c r="P12" i="13"/>
  <c r="K12" i="27"/>
  <c r="K12" i="30"/>
  <c r="D83" i="6"/>
  <c r="P13" i="34"/>
  <c r="Q13" i="34"/>
  <c r="Q15" i="34"/>
  <c r="P15" i="34"/>
  <c r="P14" i="34"/>
  <c r="Q14" i="34"/>
  <c r="P12" i="34"/>
  <c r="Q12" i="34"/>
  <c r="O95" i="10"/>
  <c r="M50" i="4"/>
  <c r="O39" i="6"/>
  <c r="K12" i="28"/>
  <c r="C24" i="34"/>
  <c r="O40" i="6"/>
  <c r="K12" i="6"/>
  <c r="D30" i="6"/>
  <c r="F30" i="6"/>
  <c r="F83" i="6"/>
  <c r="F84" i="6"/>
  <c r="E13" i="27"/>
  <c r="L14" i="27"/>
  <c r="F30" i="27"/>
  <c r="F29" i="27"/>
  <c r="O15" i="27"/>
  <c r="O93" i="10"/>
  <c r="O12" i="6"/>
  <c r="F59" i="28"/>
  <c r="Q42" i="28"/>
  <c r="C59" i="28"/>
  <c r="Q39" i="28"/>
  <c r="O41" i="6"/>
  <c r="O94" i="6"/>
  <c r="F58" i="4"/>
  <c r="D22" i="27"/>
  <c r="C83" i="6"/>
  <c r="O66" i="6"/>
  <c r="K12" i="29"/>
  <c r="O40" i="4"/>
  <c r="O14" i="6"/>
  <c r="C111" i="6"/>
  <c r="O93" i="6"/>
  <c r="K12" i="10"/>
  <c r="K12" i="11"/>
  <c r="K12" i="9"/>
  <c r="E58" i="4"/>
  <c r="F24" i="34"/>
  <c r="F111" i="10"/>
  <c r="C58" i="4"/>
  <c r="K12" i="14"/>
  <c r="D24" i="34"/>
  <c r="O13" i="34"/>
  <c r="D84" i="6"/>
  <c r="O67" i="6"/>
  <c r="K12" i="4"/>
  <c r="K12" i="13"/>
  <c r="D59" i="28"/>
  <c r="Q40" i="28"/>
  <c r="E111" i="6"/>
  <c r="O95" i="6"/>
  <c r="E30" i="27"/>
  <c r="E29" i="27"/>
  <c r="O14" i="27"/>
  <c r="E22" i="27"/>
  <c r="C57" i="10"/>
  <c r="O39" i="10"/>
  <c r="C84" i="6"/>
  <c r="O69" i="6"/>
  <c r="E57" i="10"/>
  <c r="O41" i="10"/>
  <c r="E83" i="6"/>
  <c r="F32" i="13"/>
  <c r="P15" i="13"/>
  <c r="C30" i="27"/>
  <c r="C29" i="27"/>
  <c r="O12" i="27"/>
  <c r="C22" i="27"/>
  <c r="F13" i="27"/>
  <c r="L15" i="27"/>
  <c r="E59" i="28"/>
  <c r="Q41" i="28"/>
  <c r="C66" i="28"/>
  <c r="O96" i="6"/>
  <c r="D61" i="13"/>
  <c r="Q41" i="13"/>
  <c r="C61" i="13"/>
  <c r="Q40" i="13"/>
  <c r="F130" i="14"/>
  <c r="E130" i="14"/>
  <c r="D130" i="14"/>
  <c r="F61" i="13"/>
  <c r="Q43" i="13"/>
  <c r="E61" i="13"/>
  <c r="Q42" i="13"/>
  <c r="E84" i="6"/>
  <c r="O68" i="6"/>
  <c r="AB104" i="94"/>
  <c r="AB138" i="94"/>
  <c r="AB145" i="74"/>
  <c r="Y76" i="93"/>
  <c r="N129" i="94"/>
  <c r="I123" i="83" l="1"/>
  <c r="G40" i="83"/>
  <c r="E300" i="85"/>
  <c r="G48" i="87"/>
  <c r="I89" i="87"/>
  <c r="I92" i="87"/>
  <c r="I175" i="87"/>
  <c r="I71" i="88"/>
  <c r="I74" i="88"/>
  <c r="I136" i="88"/>
  <c r="I167" i="88"/>
  <c r="I107" i="91"/>
  <c r="E66" i="85"/>
  <c r="D66" i="85" s="1"/>
  <c r="D239" i="85" s="1"/>
  <c r="E168" i="88"/>
  <c r="E188" i="82"/>
  <c r="D188" i="82" s="1"/>
  <c r="D280" i="82" s="1"/>
  <c r="H190" i="82"/>
  <c r="I166" i="83"/>
  <c r="H87" i="85"/>
  <c r="E87" i="85" s="1"/>
  <c r="G38" i="87"/>
  <c r="I105" i="87"/>
  <c r="I116" i="87"/>
  <c r="I153" i="87"/>
  <c r="G50" i="88"/>
  <c r="I84" i="88"/>
  <c r="I147" i="88"/>
  <c r="H19" i="89"/>
  <c r="G40" i="91"/>
  <c r="I104" i="91"/>
  <c r="E188" i="84"/>
  <c r="D188" i="84" s="1"/>
  <c r="D280" i="84" s="1"/>
  <c r="H190" i="84"/>
  <c r="E188" i="81"/>
  <c r="D188" i="81" s="1"/>
  <c r="D280" i="81" s="1"/>
  <c r="H190" i="81"/>
  <c r="E188" i="74"/>
  <c r="H190" i="74"/>
  <c r="E187" i="88"/>
  <c r="D187" i="88" s="1"/>
  <c r="D279" i="88" s="1"/>
  <c r="H189" i="88"/>
  <c r="E162" i="85"/>
  <c r="E187" i="81"/>
  <c r="H189" i="81"/>
  <c r="H194" i="81"/>
  <c r="E194" i="81" s="1"/>
  <c r="D194" i="81" s="1"/>
  <c r="D285" i="81" s="1"/>
  <c r="E218" i="91"/>
  <c r="E27" i="74"/>
  <c r="H66" i="74"/>
  <c r="E66" i="74" s="1"/>
  <c r="H37" i="74"/>
  <c r="G50" i="74"/>
  <c r="I145" i="74"/>
  <c r="I63" i="74"/>
  <c r="I68" i="74"/>
  <c r="H27" i="81"/>
  <c r="E135" i="81"/>
  <c r="H138" i="81"/>
  <c r="E138" i="81" s="1"/>
  <c r="D138" i="81" s="1"/>
  <c r="D263" i="81" s="1"/>
  <c r="E132" i="82"/>
  <c r="I156" i="82"/>
  <c r="H75" i="82"/>
  <c r="E75" i="82" s="1"/>
  <c r="H49" i="83"/>
  <c r="H47" i="84"/>
  <c r="H192" i="84"/>
  <c r="E192" i="84" s="1"/>
  <c r="I70" i="85"/>
  <c r="I79" i="85"/>
  <c r="I149" i="85"/>
  <c r="I88" i="85"/>
  <c r="I138" i="85"/>
  <c r="E299" i="81"/>
  <c r="I113" i="83"/>
  <c r="I161" i="83"/>
  <c r="I97" i="83"/>
  <c r="I167" i="83"/>
  <c r="G10" i="83"/>
  <c r="G56" i="87"/>
  <c r="I99" i="87"/>
  <c r="I140" i="87"/>
  <c r="I142" i="87"/>
  <c r="I164" i="87"/>
  <c r="I66" i="88"/>
  <c r="I67" i="88"/>
  <c r="I104" i="88"/>
  <c r="I151" i="88"/>
  <c r="H45" i="91"/>
  <c r="G32" i="89"/>
  <c r="I91" i="89"/>
  <c r="H198" i="91"/>
  <c r="E51" i="74"/>
  <c r="H69" i="74"/>
  <c r="E69" i="74" s="1"/>
  <c r="H25" i="74"/>
  <c r="G24" i="74"/>
  <c r="I137" i="74"/>
  <c r="I167" i="74"/>
  <c r="I146" i="74"/>
  <c r="H39" i="81"/>
  <c r="H123" i="81"/>
  <c r="I118" i="82"/>
  <c r="H129" i="82"/>
  <c r="H108" i="83"/>
  <c r="H59" i="84"/>
  <c r="H150" i="84"/>
  <c r="E150" i="84" s="1"/>
  <c r="D150" i="84" s="1"/>
  <c r="D267" i="84" s="1"/>
  <c r="I82" i="85"/>
  <c r="I85" i="85"/>
  <c r="I159" i="85"/>
  <c r="I100" i="85"/>
  <c r="I140" i="85"/>
  <c r="D296" i="81"/>
  <c r="X6" i="81" s="1"/>
  <c r="G36" i="83"/>
  <c r="I173" i="83"/>
  <c r="I109" i="83"/>
  <c r="I177" i="83"/>
  <c r="H214" i="84"/>
  <c r="G62" i="87"/>
  <c r="I115" i="87"/>
  <c r="I148" i="87"/>
  <c r="I154" i="87"/>
  <c r="I174" i="87"/>
  <c r="E84" i="88"/>
  <c r="I68" i="88"/>
  <c r="I79" i="88"/>
  <c r="I114" i="88"/>
  <c r="I163" i="88"/>
  <c r="H214" i="87"/>
  <c r="I70" i="89"/>
  <c r="I115" i="89"/>
  <c r="H198" i="85"/>
  <c r="E198" i="85" s="1"/>
  <c r="D198" i="85" s="1"/>
  <c r="D286" i="85" s="1"/>
  <c r="H194" i="88"/>
  <c r="E84" i="74"/>
  <c r="D84" i="74" s="1"/>
  <c r="D245" i="74" s="1"/>
  <c r="H90" i="74"/>
  <c r="E90" i="74" s="1"/>
  <c r="G36" i="74"/>
  <c r="I105" i="74"/>
  <c r="I135" i="74"/>
  <c r="I144" i="74"/>
  <c r="E132" i="81"/>
  <c r="D132" i="81" s="1"/>
  <c r="D261" i="81" s="1"/>
  <c r="H99" i="81"/>
  <c r="E99" i="81" s="1"/>
  <c r="E9" i="81"/>
  <c r="H177" i="81"/>
  <c r="E187" i="82"/>
  <c r="I163" i="82"/>
  <c r="H138" i="82"/>
  <c r="E138" i="82" s="1"/>
  <c r="D138" i="82" s="1"/>
  <c r="D263" i="82" s="1"/>
  <c r="H57" i="83"/>
  <c r="H37" i="84"/>
  <c r="E87" i="84"/>
  <c r="D87" i="84" s="1"/>
  <c r="D246" i="84" s="1"/>
  <c r="G58" i="85"/>
  <c r="I161" i="85"/>
  <c r="I132" i="85"/>
  <c r="I144" i="85"/>
  <c r="I164" i="85"/>
  <c r="I90" i="83"/>
  <c r="I105" i="83"/>
  <c r="I135" i="83"/>
  <c r="I169" i="83"/>
  <c r="I68" i="87"/>
  <c r="I95" i="87"/>
  <c r="I80" i="87"/>
  <c r="I134" i="87"/>
  <c r="H27" i="87"/>
  <c r="E27" i="87" s="1"/>
  <c r="D27" i="87" s="1"/>
  <c r="D232" i="87" s="1"/>
  <c r="E126" i="88"/>
  <c r="G38" i="88"/>
  <c r="I103" i="88"/>
  <c r="I138" i="88"/>
  <c r="I141" i="88"/>
  <c r="H117" i="91"/>
  <c r="G40" i="89"/>
  <c r="I166" i="89"/>
  <c r="E190" i="74"/>
  <c r="D190" i="74" s="1"/>
  <c r="D282" i="74" s="1"/>
  <c r="E189" i="74"/>
  <c r="E218" i="74"/>
  <c r="E291" i="74" s="1"/>
  <c r="AI21" i="74"/>
  <c r="H218" i="74" s="1"/>
  <c r="H194" i="91"/>
  <c r="E180" i="82"/>
  <c r="D180" i="82" s="1"/>
  <c r="D277" i="82" s="1"/>
  <c r="E189" i="82"/>
  <c r="AI21" i="82"/>
  <c r="H218" i="82" s="1"/>
  <c r="E218" i="82" s="1"/>
  <c r="E291" i="82" s="1"/>
  <c r="D298" i="84"/>
  <c r="Z6" i="84" s="1"/>
  <c r="AI21" i="84"/>
  <c r="H218" i="84" s="1"/>
  <c r="E218" i="84" s="1"/>
  <c r="E291" i="84" s="1"/>
  <c r="E301" i="87"/>
  <c r="E218" i="87"/>
  <c r="E75" i="84"/>
  <c r="E120" i="87"/>
  <c r="D120" i="87" s="1"/>
  <c r="D257" i="87" s="1"/>
  <c r="E159" i="74"/>
  <c r="E299" i="74"/>
  <c r="H135" i="74"/>
  <c r="E135" i="74" s="1"/>
  <c r="D135" i="74" s="1"/>
  <c r="D262" i="74" s="1"/>
  <c r="I132" i="74"/>
  <c r="I165" i="74"/>
  <c r="I71" i="74"/>
  <c r="I158" i="74"/>
  <c r="H78" i="81"/>
  <c r="E78" i="81" s="1"/>
  <c r="D78" i="81" s="1"/>
  <c r="D243" i="81" s="1"/>
  <c r="H69" i="81"/>
  <c r="E69" i="81" s="1"/>
  <c r="H87" i="82"/>
  <c r="E87" i="82" s="1"/>
  <c r="H11" i="82"/>
  <c r="H177" i="82"/>
  <c r="E177" i="82" s="1"/>
  <c r="D177" i="82" s="1"/>
  <c r="D276" i="82" s="1"/>
  <c r="H144" i="83"/>
  <c r="H45" i="84"/>
  <c r="E45" i="84" s="1"/>
  <c r="D45" i="84" s="1"/>
  <c r="D235" i="84" s="1"/>
  <c r="G20" i="85"/>
  <c r="G56" i="85"/>
  <c r="I114" i="85"/>
  <c r="I108" i="85"/>
  <c r="I151" i="85"/>
  <c r="D300" i="82"/>
  <c r="AB6" i="82" s="1"/>
  <c r="I81" i="83"/>
  <c r="I124" i="83"/>
  <c r="I154" i="83"/>
  <c r="G62" i="83"/>
  <c r="E297" i="85"/>
  <c r="I65" i="87"/>
  <c r="I107" i="87"/>
  <c r="I109" i="87"/>
  <c r="I128" i="87"/>
  <c r="I163" i="87"/>
  <c r="H135" i="87"/>
  <c r="E135" i="87" s="1"/>
  <c r="D135" i="87" s="1"/>
  <c r="D262" i="87" s="1"/>
  <c r="E159" i="88"/>
  <c r="D159" i="88" s="1"/>
  <c r="D270" i="88" s="1"/>
  <c r="I63" i="88"/>
  <c r="I107" i="88"/>
  <c r="I128" i="88"/>
  <c r="I174" i="88"/>
  <c r="I84" i="89"/>
  <c r="I137" i="89"/>
  <c r="AI21" i="89"/>
  <c r="H218" i="89" s="1"/>
  <c r="E218" i="89" s="1"/>
  <c r="E291" i="89" s="1"/>
  <c r="H198" i="92"/>
  <c r="H194" i="82"/>
  <c r="E190" i="82"/>
  <c r="H198" i="74"/>
  <c r="H194" i="84"/>
  <c r="G10" i="74"/>
  <c r="I107" i="74"/>
  <c r="I163" i="74"/>
  <c r="I77" i="74"/>
  <c r="I118" i="74"/>
  <c r="H141" i="81"/>
  <c r="E141" i="81" s="1"/>
  <c r="D141" i="81" s="1"/>
  <c r="D264" i="81" s="1"/>
  <c r="H108" i="81"/>
  <c r="E108" i="81" s="1"/>
  <c r="D108" i="81" s="1"/>
  <c r="D253" i="81" s="1"/>
  <c r="H9" i="83"/>
  <c r="H171" i="83"/>
  <c r="H123" i="84"/>
  <c r="E123" i="84" s="1"/>
  <c r="D123" i="84" s="1"/>
  <c r="D258" i="84" s="1"/>
  <c r="G10" i="85"/>
  <c r="I77" i="85"/>
  <c r="I103" i="85"/>
  <c r="I158" i="85"/>
  <c r="I129" i="85"/>
  <c r="I76" i="83"/>
  <c r="I92" i="83"/>
  <c r="I149" i="83"/>
  <c r="I156" i="83"/>
  <c r="I80" i="83"/>
  <c r="I63" i="87"/>
  <c r="I87" i="87"/>
  <c r="I113" i="87"/>
  <c r="I139" i="87"/>
  <c r="G18" i="88"/>
  <c r="I97" i="88"/>
  <c r="I88" i="88"/>
  <c r="I99" i="88"/>
  <c r="H61" i="89"/>
  <c r="G18" i="89"/>
  <c r="I123" i="89"/>
  <c r="H198" i="82"/>
  <c r="H198" i="84"/>
  <c r="H194" i="87"/>
  <c r="H198" i="87"/>
  <c r="H194" i="89"/>
  <c r="E296" i="81"/>
  <c r="E190" i="81"/>
  <c r="AI21" i="81"/>
  <c r="H218" i="81" s="1"/>
  <c r="E189" i="81"/>
  <c r="D189" i="81" s="1"/>
  <c r="D281" i="81" s="1"/>
  <c r="AI21" i="83"/>
  <c r="H218" i="83" s="1"/>
  <c r="E218" i="85"/>
  <c r="D297" i="88"/>
  <c r="Y6" i="88" s="1"/>
  <c r="E189" i="88"/>
  <c r="D189" i="88" s="1"/>
  <c r="D281" i="88" s="1"/>
  <c r="AI21" i="88"/>
  <c r="H218" i="88" s="1"/>
  <c r="E218" i="88" s="1"/>
  <c r="E291" i="88" s="1"/>
  <c r="H187" i="83"/>
  <c r="H189" i="83" s="1"/>
  <c r="E189" i="83" s="1"/>
  <c r="D189" i="83" s="1"/>
  <c r="D281" i="83" s="1"/>
  <c r="H61" i="88"/>
  <c r="H174" i="83"/>
  <c r="H53" i="85"/>
  <c r="H23" i="88"/>
  <c r="H84" i="81"/>
  <c r="E84" i="81" s="1"/>
  <c r="D84" i="81" s="1"/>
  <c r="D245" i="81" s="1"/>
  <c r="E168" i="81"/>
  <c r="D168" i="81" s="1"/>
  <c r="D273" i="81" s="1"/>
  <c r="E123" i="81"/>
  <c r="E105" i="82"/>
  <c r="I109" i="82"/>
  <c r="E66" i="82"/>
  <c r="D66" i="82" s="1"/>
  <c r="D239" i="82" s="1"/>
  <c r="H66" i="83"/>
  <c r="H191" i="83"/>
  <c r="H117" i="84"/>
  <c r="E117" i="84" s="1"/>
  <c r="I84" i="85"/>
  <c r="I76" i="85"/>
  <c r="I110" i="85"/>
  <c r="I178" i="85"/>
  <c r="I91" i="83"/>
  <c r="I96" i="83"/>
  <c r="I160" i="83"/>
  <c r="I134" i="83"/>
  <c r="I159" i="83"/>
  <c r="H39" i="85"/>
  <c r="E39" i="85" s="1"/>
  <c r="D39" i="85" s="1"/>
  <c r="D234" i="85" s="1"/>
  <c r="E75" i="88"/>
  <c r="D75" i="88" s="1"/>
  <c r="D242" i="88" s="1"/>
  <c r="H11" i="88"/>
  <c r="H53" i="88"/>
  <c r="G34" i="88"/>
  <c r="I70" i="88"/>
  <c r="I112" i="88"/>
  <c r="I89" i="88"/>
  <c r="I164" i="88"/>
  <c r="H102" i="91"/>
  <c r="G24" i="89"/>
  <c r="I139" i="89"/>
  <c r="I157" i="89"/>
  <c r="I170" i="89"/>
  <c r="I79" i="91"/>
  <c r="I124" i="91"/>
  <c r="H159" i="83"/>
  <c r="H29" i="85"/>
  <c r="H21" i="88"/>
  <c r="E21" i="88" s="1"/>
  <c r="D21" i="88" s="1"/>
  <c r="D231" i="88" s="1"/>
  <c r="E194" i="88"/>
  <c r="H180" i="83"/>
  <c r="I146" i="83"/>
  <c r="G52" i="83"/>
  <c r="H78" i="85"/>
  <c r="E78" i="85" s="1"/>
  <c r="H49" i="88"/>
  <c r="H150" i="91"/>
  <c r="D298" i="88"/>
  <c r="Z6" i="88" s="1"/>
  <c r="G30" i="89"/>
  <c r="G46" i="89"/>
  <c r="I161" i="89"/>
  <c r="I182" i="89"/>
  <c r="H17" i="83"/>
  <c r="H99" i="85"/>
  <c r="E99" i="85" s="1"/>
  <c r="H59" i="88"/>
  <c r="G54" i="89"/>
  <c r="I95" i="89"/>
  <c r="I141" i="89"/>
  <c r="H55" i="83"/>
  <c r="H111" i="85"/>
  <c r="E111" i="85" s="1"/>
  <c r="D111" i="85" s="1"/>
  <c r="D254" i="85" s="1"/>
  <c r="H69" i="88"/>
  <c r="E69" i="88" s="1"/>
  <c r="D69" i="88" s="1"/>
  <c r="D240" i="88" s="1"/>
  <c r="H78" i="83"/>
  <c r="H126" i="85"/>
  <c r="E126" i="85" s="1"/>
  <c r="D126" i="85" s="1"/>
  <c r="D259" i="85" s="1"/>
  <c r="H96" i="88"/>
  <c r="E96" i="88" s="1"/>
  <c r="D96" i="88" s="1"/>
  <c r="D249" i="88" s="1"/>
  <c r="H19" i="83"/>
  <c r="H187" i="85"/>
  <c r="H132" i="85"/>
  <c r="H117" i="88"/>
  <c r="E117" i="88" s="1"/>
  <c r="D117" i="88" s="1"/>
  <c r="D256" i="88" s="1"/>
  <c r="I79" i="89"/>
  <c r="I129" i="89"/>
  <c r="I155" i="89"/>
  <c r="H39" i="83"/>
  <c r="H93" i="85"/>
  <c r="E93" i="85" s="1"/>
  <c r="H141" i="85"/>
  <c r="E141" i="85" s="1"/>
  <c r="D141" i="85" s="1"/>
  <c r="D264" i="85" s="1"/>
  <c r="H150" i="88"/>
  <c r="E150" i="88" s="1"/>
  <c r="D150" i="88" s="1"/>
  <c r="D267" i="88" s="1"/>
  <c r="H72" i="91"/>
  <c r="D300" i="88"/>
  <c r="AB6" i="88" s="1"/>
  <c r="G20" i="89"/>
  <c r="I103" i="89"/>
  <c r="I160" i="89"/>
  <c r="I165" i="89"/>
  <c r="H53" i="83"/>
  <c r="H31" i="85"/>
  <c r="H153" i="85"/>
  <c r="E153" i="85" s="1"/>
  <c r="D153" i="85" s="1"/>
  <c r="D268" i="85" s="1"/>
  <c r="H90" i="88"/>
  <c r="E90" i="88" s="1"/>
  <c r="D90" i="88" s="1"/>
  <c r="D247" i="88" s="1"/>
  <c r="H87" i="91"/>
  <c r="H15" i="83"/>
  <c r="H17" i="85"/>
  <c r="H19" i="85"/>
  <c r="H174" i="85"/>
  <c r="E174" i="85" s="1"/>
  <c r="H102" i="88"/>
  <c r="E102" i="88" s="1"/>
  <c r="E300" i="88"/>
  <c r="G44" i="89"/>
  <c r="I69" i="89"/>
  <c r="I149" i="89"/>
  <c r="I177" i="89"/>
  <c r="D300" i="89"/>
  <c r="AB6" i="89" s="1"/>
  <c r="H93" i="81"/>
  <c r="E93" i="81" s="1"/>
  <c r="E45" i="82"/>
  <c r="E144" i="82"/>
  <c r="H75" i="83"/>
  <c r="H27" i="83"/>
  <c r="H61" i="84"/>
  <c r="H147" i="85"/>
  <c r="E147" i="85" s="1"/>
  <c r="D147" i="85" s="1"/>
  <c r="D266" i="85" s="1"/>
  <c r="D296" i="82"/>
  <c r="X6" i="82" s="1"/>
  <c r="I89" i="83"/>
  <c r="I93" i="83"/>
  <c r="I85" i="83"/>
  <c r="I129" i="83"/>
  <c r="G42" i="83"/>
  <c r="H105" i="85"/>
  <c r="E105" i="85" s="1"/>
  <c r="D105" i="85" s="1"/>
  <c r="D252" i="85" s="1"/>
  <c r="H191" i="85"/>
  <c r="E191" i="85" s="1"/>
  <c r="H138" i="88"/>
  <c r="E138" i="88" s="1"/>
  <c r="H147" i="88"/>
  <c r="E147" i="88" s="1"/>
  <c r="I166" i="88"/>
  <c r="H126" i="91"/>
  <c r="G50" i="89"/>
  <c r="I71" i="89"/>
  <c r="I102" i="89"/>
  <c r="I181" i="89"/>
  <c r="I89" i="91"/>
  <c r="I166" i="91"/>
  <c r="H43" i="83"/>
  <c r="H159" i="85"/>
  <c r="E159" i="85" s="1"/>
  <c r="D159" i="85" s="1"/>
  <c r="D270" i="85" s="1"/>
  <c r="H43" i="85"/>
  <c r="H180" i="85"/>
  <c r="H123" i="88"/>
  <c r="E123" i="88" s="1"/>
  <c r="H31" i="83"/>
  <c r="H15" i="85"/>
  <c r="E15" i="85" s="1"/>
  <c r="D15" i="85" s="1"/>
  <c r="D230" i="85" s="1"/>
  <c r="H41" i="85"/>
  <c r="H108" i="88"/>
  <c r="E108" i="88" s="1"/>
  <c r="D108" i="88" s="1"/>
  <c r="D253" i="88" s="1"/>
  <c r="I114" i="89"/>
  <c r="I138" i="89"/>
  <c r="H27" i="85"/>
  <c r="E27" i="85" s="1"/>
  <c r="H57" i="88"/>
  <c r="E57" i="88" s="1"/>
  <c r="D57" i="88" s="1"/>
  <c r="D237" i="88" s="1"/>
  <c r="H129" i="88"/>
  <c r="E129" i="88" s="1"/>
  <c r="H51" i="83"/>
  <c r="H174" i="74"/>
  <c r="H153" i="81"/>
  <c r="E153" i="81" s="1"/>
  <c r="D153" i="81" s="1"/>
  <c r="D268" i="81" s="1"/>
  <c r="E120" i="82"/>
  <c r="D120" i="82" s="1"/>
  <c r="D257" i="82" s="1"/>
  <c r="E21" i="82"/>
  <c r="D21" i="82" s="1"/>
  <c r="D231" i="82" s="1"/>
  <c r="E192" i="82"/>
  <c r="H102" i="83"/>
  <c r="H41" i="83"/>
  <c r="H57" i="84"/>
  <c r="E57" i="84" s="1"/>
  <c r="D57" i="84" s="1"/>
  <c r="D237" i="84" s="1"/>
  <c r="G38" i="85"/>
  <c r="I89" i="85"/>
  <c r="I121" i="85"/>
  <c r="I107" i="85"/>
  <c r="D297" i="82"/>
  <c r="Y6" i="82" s="1"/>
  <c r="I69" i="83"/>
  <c r="I117" i="83"/>
  <c r="I127" i="83"/>
  <c r="I153" i="83"/>
  <c r="G16" i="83"/>
  <c r="H51" i="85"/>
  <c r="E51" i="85" s="1"/>
  <c r="H214" i="85"/>
  <c r="H9" i="88"/>
  <c r="H144" i="88"/>
  <c r="E144" i="88" s="1"/>
  <c r="D144" i="88" s="1"/>
  <c r="D265" i="88" s="1"/>
  <c r="H153" i="88"/>
  <c r="E153" i="88" s="1"/>
  <c r="D153" i="88" s="1"/>
  <c r="D268" i="88" s="1"/>
  <c r="I81" i="88"/>
  <c r="I91" i="88"/>
  <c r="I132" i="88"/>
  <c r="I139" i="88"/>
  <c r="H21" i="91"/>
  <c r="D298" i="89"/>
  <c r="Z6" i="89" s="1"/>
  <c r="G48" i="89"/>
  <c r="I101" i="89"/>
  <c r="I126" i="89"/>
  <c r="I162" i="89"/>
  <c r="I122" i="91"/>
  <c r="I175" i="91"/>
  <c r="H29" i="83"/>
  <c r="H84" i="85"/>
  <c r="E84" i="85" s="1"/>
  <c r="H37" i="88"/>
  <c r="H156" i="88"/>
  <c r="E156" i="88" s="1"/>
  <c r="H84" i="83"/>
  <c r="H55" i="85"/>
  <c r="H188" i="88"/>
  <c r="H165" i="88"/>
  <c r="E165" i="88" s="1"/>
  <c r="D165" i="88" s="1"/>
  <c r="D272" i="88" s="1"/>
  <c r="I63" i="89"/>
  <c r="I90" i="89"/>
  <c r="I131" i="89"/>
  <c r="I176" i="89"/>
  <c r="H93" i="83"/>
  <c r="H47" i="88"/>
  <c r="H177" i="88"/>
  <c r="E177" i="88" s="1"/>
  <c r="D177" i="88" s="1"/>
  <c r="D276" i="88" s="1"/>
  <c r="H105" i="83"/>
  <c r="E105" i="83" s="1"/>
  <c r="D105" i="83" s="1"/>
  <c r="D252" i="83" s="1"/>
  <c r="H66" i="88"/>
  <c r="E66" i="88" s="1"/>
  <c r="D66" i="88" s="1"/>
  <c r="D239" i="88" s="1"/>
  <c r="H192" i="88"/>
  <c r="E192" i="88" s="1"/>
  <c r="D192" i="88" s="1"/>
  <c r="D284" i="88" s="1"/>
  <c r="H25" i="88"/>
  <c r="H171" i="88"/>
  <c r="E171" i="88" s="1"/>
  <c r="D171" i="88" s="1"/>
  <c r="D274" i="88" s="1"/>
  <c r="H126" i="83"/>
  <c r="H69" i="85"/>
  <c r="E69" i="85" s="1"/>
  <c r="D69" i="85" s="1"/>
  <c r="D240" i="85" s="1"/>
  <c r="H180" i="74"/>
  <c r="E180" i="74" s="1"/>
  <c r="H159" i="81"/>
  <c r="E159" i="81" s="1"/>
  <c r="D159" i="81" s="1"/>
  <c r="D270" i="81" s="1"/>
  <c r="E27" i="82"/>
  <c r="H188" i="83"/>
  <c r="H190" i="83" s="1"/>
  <c r="E190" i="83" s="1"/>
  <c r="D190" i="83" s="1"/>
  <c r="D282" i="83" s="1"/>
  <c r="H141" i="83"/>
  <c r="H25" i="85"/>
  <c r="G12" i="83"/>
  <c r="I102" i="83"/>
  <c r="I112" i="83"/>
  <c r="I171" i="83"/>
  <c r="I181" i="83"/>
  <c r="G38" i="83"/>
  <c r="H45" i="88"/>
  <c r="E45" i="88" s="1"/>
  <c r="D45" i="88" s="1"/>
  <c r="D235" i="88" s="1"/>
  <c r="H29" i="88"/>
  <c r="I131" i="88"/>
  <c r="H59" i="91"/>
  <c r="E300" i="89"/>
  <c r="I142" i="89"/>
  <c r="I73" i="89"/>
  <c r="I151" i="89"/>
  <c r="G48" i="91"/>
  <c r="I92" i="91"/>
  <c r="H147" i="83"/>
  <c r="H81" i="88"/>
  <c r="E81" i="88" s="1"/>
  <c r="I82" i="89"/>
  <c r="I85" i="89"/>
  <c r="H99" i="83"/>
  <c r="H45" i="85"/>
  <c r="E45" i="85" s="1"/>
  <c r="D45" i="85" s="1"/>
  <c r="D235" i="85" s="1"/>
  <c r="H84" i="91"/>
  <c r="I77" i="91"/>
  <c r="I176" i="91"/>
  <c r="H171" i="85"/>
  <c r="E171" i="85" s="1"/>
  <c r="H141" i="91"/>
  <c r="H108" i="85"/>
  <c r="E108" i="85" s="1"/>
  <c r="D108" i="85" s="1"/>
  <c r="D253" i="85" s="1"/>
  <c r="H132" i="91"/>
  <c r="E132" i="91" s="1"/>
  <c r="D132" i="91" s="1"/>
  <c r="D261" i="91" s="1"/>
  <c r="I99" i="91"/>
  <c r="I94" i="91"/>
  <c r="E183" i="88"/>
  <c r="H123" i="85"/>
  <c r="E123" i="85" s="1"/>
  <c r="D123" i="85" s="1"/>
  <c r="D258" i="85" s="1"/>
  <c r="H117" i="85"/>
  <c r="E117" i="85" s="1"/>
  <c r="D117" i="85" s="1"/>
  <c r="D256" i="85" s="1"/>
  <c r="G52" i="88"/>
  <c r="G44" i="88"/>
  <c r="I126" i="88"/>
  <c r="I161" i="88"/>
  <c r="H93" i="91"/>
  <c r="E93" i="91" s="1"/>
  <c r="D93" i="91" s="1"/>
  <c r="D248" i="91" s="1"/>
  <c r="H214" i="91"/>
  <c r="I116" i="91"/>
  <c r="I106" i="91"/>
  <c r="H202" i="81"/>
  <c r="E202" i="81" s="1"/>
  <c r="H210" i="81"/>
  <c r="H206" i="81"/>
  <c r="H188" i="85"/>
  <c r="H90" i="85"/>
  <c r="E90" i="85" s="1"/>
  <c r="D90" i="85" s="1"/>
  <c r="D247" i="85" s="1"/>
  <c r="H147" i="91"/>
  <c r="E147" i="91" s="1"/>
  <c r="D147" i="91" s="1"/>
  <c r="D266" i="91" s="1"/>
  <c r="H210" i="83"/>
  <c r="E210" i="83" s="1"/>
  <c r="H206" i="83"/>
  <c r="H202" i="83"/>
  <c r="E202" i="83" s="1"/>
  <c r="H35" i="85"/>
  <c r="H102" i="85"/>
  <c r="E102" i="85" s="1"/>
  <c r="H153" i="91"/>
  <c r="H210" i="85"/>
  <c r="H202" i="85"/>
  <c r="E202" i="85" s="1"/>
  <c r="H206" i="85"/>
  <c r="H13" i="85"/>
  <c r="H144" i="85"/>
  <c r="E144" i="85" s="1"/>
  <c r="H159" i="91"/>
  <c r="D301" i="83"/>
  <c r="H49" i="85"/>
  <c r="H156" i="85"/>
  <c r="E156" i="85" s="1"/>
  <c r="H174" i="91"/>
  <c r="D301" i="85"/>
  <c r="H206" i="88"/>
  <c r="E206" i="88" s="1"/>
  <c r="H210" i="88"/>
  <c r="E210" i="88" s="1"/>
  <c r="H202" i="88"/>
  <c r="H75" i="85"/>
  <c r="E75" i="85" s="1"/>
  <c r="D75" i="85" s="1"/>
  <c r="D242" i="85" s="1"/>
  <c r="H165" i="85"/>
  <c r="E165" i="85" s="1"/>
  <c r="D165" i="85" s="1"/>
  <c r="D272" i="85" s="1"/>
  <c r="H187" i="91"/>
  <c r="H189" i="91" s="1"/>
  <c r="H11" i="85"/>
  <c r="H177" i="85"/>
  <c r="E177" i="85" s="1"/>
  <c r="D177" i="85" s="1"/>
  <c r="D276" i="85" s="1"/>
  <c r="H191" i="91"/>
  <c r="E296" i="87"/>
  <c r="I178" i="88"/>
  <c r="H210" i="91"/>
  <c r="H202" i="91"/>
  <c r="H206" i="91"/>
  <c r="H47" i="85"/>
  <c r="H192" i="85"/>
  <c r="E192" i="85" s="1"/>
  <c r="H180" i="91"/>
  <c r="H150" i="85"/>
  <c r="E150" i="85" s="1"/>
  <c r="I172" i="91"/>
  <c r="H9" i="85"/>
  <c r="E9" i="85" s="1"/>
  <c r="D114" i="85"/>
  <c r="D255" i="85" s="1"/>
  <c r="H21" i="85"/>
  <c r="E21" i="85" s="1"/>
  <c r="H55" i="91"/>
  <c r="G24" i="91"/>
  <c r="I81" i="91"/>
  <c r="I170" i="91"/>
  <c r="E162" i="89"/>
  <c r="D162" i="89" s="1"/>
  <c r="D271" i="89" s="1"/>
  <c r="H23" i="85"/>
  <c r="H31" i="91"/>
  <c r="E194" i="82"/>
  <c r="H33" i="85"/>
  <c r="E33" i="85" s="1"/>
  <c r="D33" i="85" s="1"/>
  <c r="D233" i="85" s="1"/>
  <c r="H51" i="91"/>
  <c r="H162" i="88"/>
  <c r="E162" i="88" s="1"/>
  <c r="D162" i="88" s="1"/>
  <c r="D271" i="88" s="1"/>
  <c r="E198" i="74"/>
  <c r="H61" i="85"/>
  <c r="H41" i="91"/>
  <c r="H63" i="88"/>
  <c r="E63" i="88" s="1"/>
  <c r="H96" i="85"/>
  <c r="E96" i="85" s="1"/>
  <c r="I69" i="88"/>
  <c r="G48" i="88"/>
  <c r="I160" i="88"/>
  <c r="I134" i="88"/>
  <c r="I168" i="88"/>
  <c r="H78" i="91"/>
  <c r="H87" i="88"/>
  <c r="E87" i="88" s="1"/>
  <c r="D87" i="88" s="1"/>
  <c r="D246" i="88" s="1"/>
  <c r="G12" i="91"/>
  <c r="I98" i="91"/>
  <c r="I141" i="91"/>
  <c r="H210" i="74"/>
  <c r="E210" i="74" s="1"/>
  <c r="H206" i="74"/>
  <c r="H202" i="74"/>
  <c r="E214" i="74" s="1"/>
  <c r="D214" i="74" s="1"/>
  <c r="D290" i="74" s="1"/>
  <c r="E194" i="87"/>
  <c r="D194" i="87" s="1"/>
  <c r="D285" i="87" s="1"/>
  <c r="E27" i="89"/>
  <c r="D27" i="89" s="1"/>
  <c r="D232" i="89" s="1"/>
  <c r="H129" i="85"/>
  <c r="E129" i="85" s="1"/>
  <c r="D129" i="85" s="1"/>
  <c r="D260" i="85" s="1"/>
  <c r="H15" i="91"/>
  <c r="E15" i="91" s="1"/>
  <c r="D15" i="91" s="1"/>
  <c r="D230" i="91" s="1"/>
  <c r="H72" i="88"/>
  <c r="E72" i="88" s="1"/>
  <c r="D72" i="88" s="1"/>
  <c r="D241" i="88" s="1"/>
  <c r="H202" i="82"/>
  <c r="E202" i="82" s="1"/>
  <c r="H206" i="82"/>
  <c r="H210" i="82"/>
  <c r="E210" i="82" s="1"/>
  <c r="H59" i="85"/>
  <c r="H39" i="91"/>
  <c r="E39" i="91" s="1"/>
  <c r="D39" i="91" s="1"/>
  <c r="D234" i="91" s="1"/>
  <c r="H114" i="88"/>
  <c r="E114" i="88" s="1"/>
  <c r="D114" i="88" s="1"/>
  <c r="D255" i="88" s="1"/>
  <c r="G52" i="91"/>
  <c r="I148" i="91"/>
  <c r="I165" i="91"/>
  <c r="D301" i="74"/>
  <c r="H135" i="88"/>
  <c r="E135" i="88" s="1"/>
  <c r="D301" i="82"/>
  <c r="H81" i="85"/>
  <c r="E81" i="85" s="1"/>
  <c r="H27" i="91"/>
  <c r="H120" i="88"/>
  <c r="H206" i="87"/>
  <c r="H210" i="87"/>
  <c r="E210" i="87" s="1"/>
  <c r="H202" i="87"/>
  <c r="E202" i="87" s="1"/>
  <c r="H37" i="85"/>
  <c r="H17" i="91"/>
  <c r="H57" i="85"/>
  <c r="E57" i="85" s="1"/>
  <c r="D57" i="85" s="1"/>
  <c r="D237" i="85" s="1"/>
  <c r="H19" i="91"/>
  <c r="E210" i="85"/>
  <c r="E206" i="85"/>
  <c r="D206" i="85" s="1"/>
  <c r="D288" i="85" s="1"/>
  <c r="H202" i="89"/>
  <c r="E202" i="89" s="1"/>
  <c r="H210" i="89"/>
  <c r="H206" i="89"/>
  <c r="H138" i="85"/>
  <c r="E138" i="85" s="1"/>
  <c r="D138" i="85" s="1"/>
  <c r="D263" i="85" s="1"/>
  <c r="H43" i="91"/>
  <c r="H53" i="91"/>
  <c r="H206" i="84"/>
  <c r="H210" i="84"/>
  <c r="H202" i="84"/>
  <c r="E9" i="88"/>
  <c r="E297" i="87"/>
  <c r="I118" i="88"/>
  <c r="I169" i="88"/>
  <c r="H165" i="91"/>
  <c r="D299" i="87"/>
  <c r="AA6" i="87" s="1"/>
  <c r="H177" i="91"/>
  <c r="E177" i="91" s="1"/>
  <c r="D177" i="91" s="1"/>
  <c r="D276" i="91" s="1"/>
  <c r="D296" i="87"/>
  <c r="X6" i="87" s="1"/>
  <c r="H183" i="93"/>
  <c r="E183" i="93" s="1"/>
  <c r="H11" i="91"/>
  <c r="H63" i="91"/>
  <c r="E63" i="91" s="1"/>
  <c r="H81" i="91"/>
  <c r="E81" i="91" s="1"/>
  <c r="D81" i="91" s="1"/>
  <c r="D244" i="91" s="1"/>
  <c r="H69" i="91"/>
  <c r="E69" i="91" s="1"/>
  <c r="D69" i="91" s="1"/>
  <c r="D240" i="91" s="1"/>
  <c r="H47" i="91"/>
  <c r="H111" i="84"/>
  <c r="E111" i="84" s="1"/>
  <c r="D229" i="82"/>
  <c r="E229" i="82" s="1"/>
  <c r="H105" i="84"/>
  <c r="E105" i="84" s="1"/>
  <c r="E191" i="87"/>
  <c r="D191" i="87" s="1"/>
  <c r="D283" i="87" s="1"/>
  <c r="H126" i="84"/>
  <c r="E126" i="84" s="1"/>
  <c r="D126" i="84" s="1"/>
  <c r="D259" i="84" s="1"/>
  <c r="H141" i="84"/>
  <c r="E141" i="84" s="1"/>
  <c r="D141" i="84" s="1"/>
  <c r="D264" i="84" s="1"/>
  <c r="H153" i="84"/>
  <c r="E153" i="84" s="1"/>
  <c r="H187" i="84"/>
  <c r="H189" i="84" s="1"/>
  <c r="H174" i="84"/>
  <c r="E174" i="84" s="1"/>
  <c r="D174" i="84" s="1"/>
  <c r="D275" i="84" s="1"/>
  <c r="H191" i="84"/>
  <c r="E191" i="84" s="1"/>
  <c r="D191" i="84" s="1"/>
  <c r="D283" i="84" s="1"/>
  <c r="H78" i="93"/>
  <c r="E78" i="93" s="1"/>
  <c r="H147" i="84"/>
  <c r="E147" i="84" s="1"/>
  <c r="D156" i="88"/>
  <c r="D269" i="88" s="1"/>
  <c r="H27" i="93"/>
  <c r="E27" i="93" s="1"/>
  <c r="H159" i="84"/>
  <c r="E159" i="84" s="1"/>
  <c r="D159" i="84" s="1"/>
  <c r="D270" i="84" s="1"/>
  <c r="H180" i="84"/>
  <c r="E180" i="84" s="1"/>
  <c r="D180" i="84" s="1"/>
  <c r="D277" i="84" s="1"/>
  <c r="H168" i="93"/>
  <c r="E168" i="93" s="1"/>
  <c r="E183" i="81"/>
  <c r="D180" i="74"/>
  <c r="D277" i="74" s="1"/>
  <c r="H31" i="84"/>
  <c r="H66" i="94"/>
  <c r="E66" i="94" s="1"/>
  <c r="H29" i="84"/>
  <c r="E298" i="87"/>
  <c r="H90" i="94"/>
  <c r="E90" i="94" s="1"/>
  <c r="D90" i="94" s="1"/>
  <c r="D247" i="94" s="1"/>
  <c r="H93" i="84"/>
  <c r="E93" i="84" s="1"/>
  <c r="H41" i="84"/>
  <c r="H35" i="94"/>
  <c r="D72" i="81"/>
  <c r="D241" i="81" s="1"/>
  <c r="H15" i="84"/>
  <c r="E15" i="84" s="1"/>
  <c r="E299" i="87"/>
  <c r="G34" i="91"/>
  <c r="I91" i="91"/>
  <c r="I157" i="91"/>
  <c r="H138" i="94"/>
  <c r="E138" i="94" s="1"/>
  <c r="H55" i="84"/>
  <c r="H27" i="84"/>
  <c r="E27" i="84" s="1"/>
  <c r="D27" i="84" s="1"/>
  <c r="D232" i="84" s="1"/>
  <c r="D300" i="87"/>
  <c r="AB6" i="87" s="1"/>
  <c r="G58" i="91"/>
  <c r="I102" i="91"/>
  <c r="I178" i="91"/>
  <c r="H39" i="84"/>
  <c r="E39" i="84" s="1"/>
  <c r="D39" i="84" s="1"/>
  <c r="D234" i="84" s="1"/>
  <c r="I69" i="91"/>
  <c r="I123" i="91"/>
  <c r="I134" i="91"/>
  <c r="H51" i="84"/>
  <c r="E51" i="84" s="1"/>
  <c r="D51" i="84" s="1"/>
  <c r="D236" i="84" s="1"/>
  <c r="H17" i="84"/>
  <c r="H84" i="84"/>
  <c r="H99" i="91"/>
  <c r="E99" i="91" s="1"/>
  <c r="H9" i="91"/>
  <c r="H214" i="88"/>
  <c r="G60" i="91"/>
  <c r="I97" i="91"/>
  <c r="I158" i="91"/>
  <c r="H19" i="84"/>
  <c r="H53" i="84"/>
  <c r="H43" i="84"/>
  <c r="E33" i="91"/>
  <c r="D33" i="91" s="1"/>
  <c r="D233" i="91" s="1"/>
  <c r="H132" i="84"/>
  <c r="E132" i="84" s="1"/>
  <c r="H78" i="84"/>
  <c r="E78" i="84" s="1"/>
  <c r="D78" i="84" s="1"/>
  <c r="D243" i="84" s="1"/>
  <c r="I65" i="91"/>
  <c r="I114" i="91"/>
  <c r="I129" i="91"/>
  <c r="H99" i="84"/>
  <c r="E99" i="84" s="1"/>
  <c r="E198" i="82"/>
  <c r="D198" i="82" s="1"/>
  <c r="D286" i="82" s="1"/>
  <c r="E194" i="84"/>
  <c r="D194" i="84" s="1"/>
  <c r="D285" i="84" s="1"/>
  <c r="E198" i="84"/>
  <c r="D198" i="84" s="1"/>
  <c r="D286" i="84" s="1"/>
  <c r="D301" i="84"/>
  <c r="I181" i="84"/>
  <c r="I116" i="84"/>
  <c r="I111" i="84"/>
  <c r="I70" i="84"/>
  <c r="G40" i="84"/>
  <c r="I132" i="84"/>
  <c r="I172" i="84"/>
  <c r="I114" i="84"/>
  <c r="I101" i="84"/>
  <c r="I118" i="84"/>
  <c r="G28" i="84"/>
  <c r="I108" i="84"/>
  <c r="I160" i="84"/>
  <c r="I156" i="84"/>
  <c r="I99" i="84"/>
  <c r="I96" i="84"/>
  <c r="G20" i="84"/>
  <c r="I177" i="84"/>
  <c r="I144" i="84"/>
  <c r="I89" i="84"/>
  <c r="I86" i="84"/>
  <c r="I65" i="84"/>
  <c r="I167" i="84"/>
  <c r="I126" i="84"/>
  <c r="I87" i="84"/>
  <c r="I85" i="84"/>
  <c r="G14" i="84"/>
  <c r="I165" i="84"/>
  <c r="I134" i="84"/>
  <c r="I77" i="84"/>
  <c r="G38" i="84"/>
  <c r="G12" i="84"/>
  <c r="I155" i="84"/>
  <c r="I119" i="84"/>
  <c r="I75" i="84"/>
  <c r="G30" i="84"/>
  <c r="G62" i="84"/>
  <c r="I153" i="84"/>
  <c r="I117" i="84"/>
  <c r="I112" i="84"/>
  <c r="G22" i="84"/>
  <c r="G50" i="84"/>
  <c r="I152" i="84"/>
  <c r="I159" i="84"/>
  <c r="I125" i="84"/>
  <c r="I94" i="84"/>
  <c r="I149" i="84"/>
  <c r="I97" i="84"/>
  <c r="I71" i="84"/>
  <c r="I143" i="84"/>
  <c r="I170" i="84"/>
  <c r="I100" i="84"/>
  <c r="I121" i="84"/>
  <c r="G18" i="84"/>
  <c r="I141" i="84"/>
  <c r="I147" i="84"/>
  <c r="I84" i="84"/>
  <c r="I107" i="84"/>
  <c r="G24" i="84"/>
  <c r="I131" i="84"/>
  <c r="I137" i="84"/>
  <c r="I74" i="84"/>
  <c r="I106" i="84"/>
  <c r="G10" i="84"/>
  <c r="I129" i="84"/>
  <c r="I115" i="84"/>
  <c r="I73" i="84"/>
  <c r="I90" i="84"/>
  <c r="G56" i="84"/>
  <c r="I182" i="84"/>
  <c r="I103" i="84"/>
  <c r="I124" i="84"/>
  <c r="I80" i="84"/>
  <c r="G44" i="84"/>
  <c r="I98" i="84"/>
  <c r="I123" i="84"/>
  <c r="I138" i="84"/>
  <c r="I146" i="84"/>
  <c r="I113" i="84"/>
  <c r="I76" i="84"/>
  <c r="I63" i="84"/>
  <c r="I175" i="84"/>
  <c r="I91" i="84"/>
  <c r="I105" i="84"/>
  <c r="I68" i="84"/>
  <c r="G32" i="84"/>
  <c r="I163" i="84"/>
  <c r="I79" i="84"/>
  <c r="I136" i="84"/>
  <c r="I66" i="84"/>
  <c r="G16" i="84"/>
  <c r="I179" i="84"/>
  <c r="I151" i="84"/>
  <c r="I135" i="84"/>
  <c r="I110" i="84"/>
  <c r="G60" i="84"/>
  <c r="I102" i="84"/>
  <c r="I140" i="84"/>
  <c r="I169" i="84"/>
  <c r="I139" i="84"/>
  <c r="I128" i="84"/>
  <c r="I109" i="84"/>
  <c r="G52" i="84"/>
  <c r="I92" i="84"/>
  <c r="I157" i="84"/>
  <c r="I178" i="84"/>
  <c r="I122" i="84"/>
  <c r="I88" i="84"/>
  <c r="I95" i="84"/>
  <c r="G54" i="84"/>
  <c r="I145" i="84"/>
  <c r="I166" i="84"/>
  <c r="I120" i="84"/>
  <c r="I67" i="84"/>
  <c r="I78" i="84"/>
  <c r="G42" i="84"/>
  <c r="I133" i="84"/>
  <c r="I154" i="84"/>
  <c r="I130" i="84"/>
  <c r="I104" i="84"/>
  <c r="I69" i="84"/>
  <c r="G26" i="84"/>
  <c r="I161" i="84"/>
  <c r="I176" i="84"/>
  <c r="I142" i="84"/>
  <c r="I127" i="84"/>
  <c r="I93" i="84"/>
  <c r="I64" i="84"/>
  <c r="G48" i="84"/>
  <c r="I174" i="84"/>
  <c r="I180" i="84"/>
  <c r="I168" i="84"/>
  <c r="I83" i="84"/>
  <c r="I81" i="84"/>
  <c r="G36" i="84"/>
  <c r="I164" i="84"/>
  <c r="I173" i="84"/>
  <c r="I158" i="84"/>
  <c r="I82" i="84"/>
  <c r="G58" i="84"/>
  <c r="I150" i="84"/>
  <c r="I162" i="84"/>
  <c r="I171" i="84"/>
  <c r="I148" i="84"/>
  <c r="I72" i="84"/>
  <c r="G46" i="84"/>
  <c r="G34" i="84"/>
  <c r="H39" i="87"/>
  <c r="E39" i="87" s="1"/>
  <c r="H69" i="89"/>
  <c r="E27" i="91"/>
  <c r="D27" i="91" s="1"/>
  <c r="D232" i="91" s="1"/>
  <c r="E57" i="91"/>
  <c r="D57" i="91" s="1"/>
  <c r="D237" i="91" s="1"/>
  <c r="H135" i="91"/>
  <c r="E135" i="91" s="1"/>
  <c r="H19" i="87"/>
  <c r="H81" i="89"/>
  <c r="E81" i="89" s="1"/>
  <c r="H114" i="91"/>
  <c r="D153" i="82"/>
  <c r="D268" i="82" s="1"/>
  <c r="H51" i="87"/>
  <c r="E51" i="87" s="1"/>
  <c r="H57" i="89"/>
  <c r="E57" i="89" s="1"/>
  <c r="H162" i="91"/>
  <c r="E162" i="91" s="1"/>
  <c r="D162" i="91" s="1"/>
  <c r="D271" i="91" s="1"/>
  <c r="I182" i="74"/>
  <c r="E171" i="91"/>
  <c r="D171" i="91" s="1"/>
  <c r="D274" i="91" s="1"/>
  <c r="H29" i="87"/>
  <c r="H123" i="89"/>
  <c r="E123" i="89" s="1"/>
  <c r="H120" i="91"/>
  <c r="E120" i="91" s="1"/>
  <c r="D120" i="91" s="1"/>
  <c r="D257" i="91" s="1"/>
  <c r="H93" i="94"/>
  <c r="I181" i="74"/>
  <c r="H53" i="87"/>
  <c r="H66" i="89"/>
  <c r="E66" i="89" s="1"/>
  <c r="D66" i="89" s="1"/>
  <c r="D239" i="89" s="1"/>
  <c r="H132" i="94"/>
  <c r="E132" i="94" s="1"/>
  <c r="D132" i="94" s="1"/>
  <c r="D261" i="94" s="1"/>
  <c r="I180" i="74"/>
  <c r="E141" i="91"/>
  <c r="D141" i="91" s="1"/>
  <c r="D264" i="91" s="1"/>
  <c r="H17" i="87"/>
  <c r="H90" i="89"/>
  <c r="E90" i="89" s="1"/>
  <c r="D90" i="89" s="1"/>
  <c r="D247" i="89" s="1"/>
  <c r="I179" i="74"/>
  <c r="H31" i="87"/>
  <c r="H75" i="89"/>
  <c r="E75" i="89" s="1"/>
  <c r="D102" i="82"/>
  <c r="D251" i="82" s="1"/>
  <c r="I178" i="74"/>
  <c r="E96" i="91"/>
  <c r="D96" i="91" s="1"/>
  <c r="D249" i="91" s="1"/>
  <c r="H43" i="87"/>
  <c r="H96" i="89"/>
  <c r="H55" i="87"/>
  <c r="H108" i="89"/>
  <c r="E108" i="89" s="1"/>
  <c r="D9" i="85"/>
  <c r="D51" i="88"/>
  <c r="D236" i="88" s="1"/>
  <c r="D33" i="89"/>
  <c r="D233" i="89" s="1"/>
  <c r="E111" i="91"/>
  <c r="D111" i="91" s="1"/>
  <c r="D254" i="91" s="1"/>
  <c r="H15" i="87"/>
  <c r="E15" i="87" s="1"/>
  <c r="H117" i="89"/>
  <c r="E117" i="89" s="1"/>
  <c r="D117" i="89" s="1"/>
  <c r="D256" i="89" s="1"/>
  <c r="AI16" i="92"/>
  <c r="D144" i="82"/>
  <c r="D265" i="82" s="1"/>
  <c r="H93" i="87"/>
  <c r="E93" i="87" s="1"/>
  <c r="D93" i="87" s="1"/>
  <c r="D248" i="87" s="1"/>
  <c r="H129" i="89"/>
  <c r="E129" i="89" s="1"/>
  <c r="E138" i="91"/>
  <c r="D138" i="91" s="1"/>
  <c r="D263" i="91" s="1"/>
  <c r="H111" i="87"/>
  <c r="E111" i="87" s="1"/>
  <c r="H156" i="89"/>
  <c r="E126" i="91"/>
  <c r="E296" i="91"/>
  <c r="H144" i="92"/>
  <c r="D87" i="85"/>
  <c r="D246" i="85" s="1"/>
  <c r="D168" i="88"/>
  <c r="D273" i="88" s="1"/>
  <c r="G14" i="74"/>
  <c r="I155" i="74"/>
  <c r="I125" i="74"/>
  <c r="I87" i="74"/>
  <c r="I80" i="74"/>
  <c r="D78" i="85"/>
  <c r="D243" i="85" s="1"/>
  <c r="E102" i="91"/>
  <c r="D102" i="91" s="1"/>
  <c r="D251" i="91" s="1"/>
  <c r="H99" i="87"/>
  <c r="E99" i="87" s="1"/>
  <c r="H51" i="89"/>
  <c r="E51" i="89" s="1"/>
  <c r="D51" i="89" s="1"/>
  <c r="D236" i="89" s="1"/>
  <c r="H188" i="89"/>
  <c r="H123" i="91"/>
  <c r="E123" i="91" s="1"/>
  <c r="D123" i="91" s="1"/>
  <c r="D258" i="91" s="1"/>
  <c r="E301" i="89"/>
  <c r="E297" i="91"/>
  <c r="E298" i="92"/>
  <c r="H183" i="87"/>
  <c r="E183" i="87" s="1"/>
  <c r="D183" i="87" s="1"/>
  <c r="D278" i="87" s="1"/>
  <c r="E75" i="91"/>
  <c r="D75" i="91" s="1"/>
  <c r="D242" i="91" s="1"/>
  <c r="H41" i="87"/>
  <c r="H102" i="89"/>
  <c r="E102" i="89" s="1"/>
  <c r="D102" i="89" s="1"/>
  <c r="D251" i="89" s="1"/>
  <c r="E300" i="91"/>
  <c r="E159" i="91"/>
  <c r="D159" i="91" s="1"/>
  <c r="D270" i="91" s="1"/>
  <c r="H105" i="87"/>
  <c r="E105" i="87" s="1"/>
  <c r="D105" i="87" s="1"/>
  <c r="D252" i="87" s="1"/>
  <c r="H21" i="89"/>
  <c r="E21" i="89" s="1"/>
  <c r="D21" i="89" s="1"/>
  <c r="H150" i="89"/>
  <c r="E150" i="89" s="1"/>
  <c r="D150" i="89" s="1"/>
  <c r="D267" i="89" s="1"/>
  <c r="E90" i="91"/>
  <c r="D90" i="91" s="1"/>
  <c r="D247" i="91" s="1"/>
  <c r="D298" i="91"/>
  <c r="Z6" i="91" s="1"/>
  <c r="E84" i="91"/>
  <c r="D84" i="91" s="1"/>
  <c r="D245" i="91" s="1"/>
  <c r="H84" i="87"/>
  <c r="E84" i="87" s="1"/>
  <c r="D84" i="87" s="1"/>
  <c r="D245" i="87" s="1"/>
  <c r="H11" i="89"/>
  <c r="H138" i="89"/>
  <c r="E138" i="89" s="1"/>
  <c r="D138" i="89" s="1"/>
  <c r="D263" i="89" s="1"/>
  <c r="E174" i="91"/>
  <c r="D174" i="91" s="1"/>
  <c r="D275" i="91" s="1"/>
  <c r="E298" i="91"/>
  <c r="E183" i="91"/>
  <c r="D99" i="91"/>
  <c r="D250" i="91" s="1"/>
  <c r="H78" i="87"/>
  <c r="E78" i="87" s="1"/>
  <c r="D78" i="87" s="1"/>
  <c r="D243" i="87" s="1"/>
  <c r="H45" i="89"/>
  <c r="E45" i="89" s="1"/>
  <c r="H144" i="89"/>
  <c r="E144" i="89" s="1"/>
  <c r="D144" i="89" s="1"/>
  <c r="D265" i="89" s="1"/>
  <c r="E187" i="91"/>
  <c r="D187" i="91" s="1"/>
  <c r="D279" i="91" s="1"/>
  <c r="D299" i="91"/>
  <c r="AA6" i="91" s="1"/>
  <c r="H33" i="87"/>
  <c r="E33" i="87" s="1"/>
  <c r="D33" i="87" s="1"/>
  <c r="D233" i="87" s="1"/>
  <c r="E9" i="91"/>
  <c r="D9" i="91" s="1"/>
  <c r="G40" i="74"/>
  <c r="I138" i="74"/>
  <c r="I147" i="74"/>
  <c r="I109" i="74"/>
  <c r="I150" i="74"/>
  <c r="E165" i="91"/>
  <c r="H126" i="87"/>
  <c r="E126" i="87" s="1"/>
  <c r="D126" i="87" s="1"/>
  <c r="D259" i="87" s="1"/>
  <c r="H9" i="89"/>
  <c r="E9" i="89" s="1"/>
  <c r="D9" i="89" s="1"/>
  <c r="H165" i="89"/>
  <c r="E165" i="89" s="1"/>
  <c r="D165" i="89" s="1"/>
  <c r="D272" i="89" s="1"/>
  <c r="E191" i="91"/>
  <c r="D191" i="91" s="1"/>
  <c r="D283" i="91" s="1"/>
  <c r="H108" i="91"/>
  <c r="E108" i="91" s="1"/>
  <c r="D108" i="91" s="1"/>
  <c r="D253" i="91" s="1"/>
  <c r="E299" i="91"/>
  <c r="E72" i="91"/>
  <c r="D72" i="91" s="1"/>
  <c r="D241" i="91" s="1"/>
  <c r="E153" i="91"/>
  <c r="D153" i="91" s="1"/>
  <c r="D268" i="91" s="1"/>
  <c r="H141" i="87"/>
  <c r="E141" i="87" s="1"/>
  <c r="D141" i="87" s="1"/>
  <c r="D264" i="87" s="1"/>
  <c r="H23" i="89"/>
  <c r="H177" i="89"/>
  <c r="E180" i="91"/>
  <c r="D180" i="91" s="1"/>
  <c r="D277" i="91" s="1"/>
  <c r="E150" i="91"/>
  <c r="D296" i="91"/>
  <c r="X6" i="91" s="1"/>
  <c r="D126" i="82"/>
  <c r="D259" i="82" s="1"/>
  <c r="D180" i="87"/>
  <c r="D277" i="87" s="1"/>
  <c r="E188" i="91"/>
  <c r="D188" i="91" s="1"/>
  <c r="D280" i="91" s="1"/>
  <c r="E105" i="91"/>
  <c r="H147" i="87"/>
  <c r="E147" i="87" s="1"/>
  <c r="D147" i="87" s="1"/>
  <c r="D266" i="87" s="1"/>
  <c r="H35" i="89"/>
  <c r="H192" i="89"/>
  <c r="E192" i="89" s="1"/>
  <c r="E198" i="91"/>
  <c r="D198" i="91" s="1"/>
  <c r="D286" i="91" s="1"/>
  <c r="E183" i="84"/>
  <c r="D183" i="84" s="1"/>
  <c r="D278" i="84" s="1"/>
  <c r="E214" i="85"/>
  <c r="D214" i="85" s="1"/>
  <c r="D290" i="85" s="1"/>
  <c r="E117" i="91"/>
  <c r="H153" i="87"/>
  <c r="E153" i="87" s="1"/>
  <c r="H47" i="89"/>
  <c r="H171" i="89"/>
  <c r="E171" i="89" s="1"/>
  <c r="E66" i="91"/>
  <c r="D66" i="91" s="1"/>
  <c r="D239" i="91" s="1"/>
  <c r="E144" i="91"/>
  <c r="D144" i="91" s="1"/>
  <c r="D265" i="91" s="1"/>
  <c r="D300" i="91"/>
  <c r="AB6" i="91" s="1"/>
  <c r="E87" i="91"/>
  <c r="H132" i="87"/>
  <c r="E132" i="87" s="1"/>
  <c r="H25" i="89"/>
  <c r="E51" i="91"/>
  <c r="D51" i="91" s="1"/>
  <c r="D236" i="91" s="1"/>
  <c r="D297" i="91"/>
  <c r="Y6" i="91" s="1"/>
  <c r="E168" i="91"/>
  <c r="D168" i="91" s="1"/>
  <c r="D273" i="91" s="1"/>
  <c r="E129" i="91"/>
  <c r="H187" i="87"/>
  <c r="H37" i="89"/>
  <c r="E301" i="91"/>
  <c r="D297" i="87"/>
  <c r="Y6" i="87" s="1"/>
  <c r="E45" i="91"/>
  <c r="H174" i="87"/>
  <c r="H49" i="89"/>
  <c r="E78" i="91"/>
  <c r="E192" i="91"/>
  <c r="D192" i="91" s="1"/>
  <c r="D284" i="91" s="1"/>
  <c r="D99" i="81"/>
  <c r="D250" i="81" s="1"/>
  <c r="E21" i="91"/>
  <c r="D21" i="91" s="1"/>
  <c r="D231" i="91" s="1"/>
  <c r="E194" i="91"/>
  <c r="D105" i="74"/>
  <c r="D252" i="74" s="1"/>
  <c r="H25" i="87"/>
  <c r="H153" i="94"/>
  <c r="E153" i="94" s="1"/>
  <c r="AJ20" i="91"/>
  <c r="H45" i="87"/>
  <c r="E45" i="87" s="1"/>
  <c r="D135" i="93"/>
  <c r="D262" i="93" s="1"/>
  <c r="H81" i="87"/>
  <c r="E81" i="87" s="1"/>
  <c r="D81" i="87" s="1"/>
  <c r="D244" i="87" s="1"/>
  <c r="H156" i="92"/>
  <c r="E156" i="92" s="1"/>
  <c r="H102" i="87"/>
  <c r="E102" i="87" s="1"/>
  <c r="D102" i="87" s="1"/>
  <c r="D251" i="87" s="1"/>
  <c r="H188" i="92"/>
  <c r="H190" i="92" s="1"/>
  <c r="D188" i="74"/>
  <c r="D280" i="74" s="1"/>
  <c r="H117" i="87"/>
  <c r="E117" i="87" s="1"/>
  <c r="D117" i="87" s="1"/>
  <c r="D256" i="87" s="1"/>
  <c r="AJ20" i="81"/>
  <c r="H123" i="87"/>
  <c r="E123" i="87" s="1"/>
  <c r="H75" i="87"/>
  <c r="AJ20" i="83"/>
  <c r="H21" i="87"/>
  <c r="E21" i="87" s="1"/>
  <c r="H49" i="87"/>
  <c r="H69" i="87"/>
  <c r="E69" i="87" s="1"/>
  <c r="AJ20" i="85"/>
  <c r="H90" i="87"/>
  <c r="E90" i="87" s="1"/>
  <c r="D299" i="92"/>
  <c r="AA6" i="92" s="1"/>
  <c r="E183" i="82"/>
  <c r="D183" i="82" s="1"/>
  <c r="D278" i="82" s="1"/>
  <c r="D81" i="85"/>
  <c r="D244" i="85" s="1"/>
  <c r="D141" i="88"/>
  <c r="D264" i="88" s="1"/>
  <c r="H66" i="87"/>
  <c r="E66" i="87" s="1"/>
  <c r="D66" i="87" s="1"/>
  <c r="D239" i="87" s="1"/>
  <c r="H25" i="94"/>
  <c r="D296" i="92"/>
  <c r="X6" i="92" s="1"/>
  <c r="AJ20" i="88"/>
  <c r="H96" i="87"/>
  <c r="H49" i="94"/>
  <c r="D300" i="92"/>
  <c r="AB6" i="92" s="1"/>
  <c r="D114" i="74"/>
  <c r="D255" i="74" s="1"/>
  <c r="E153" i="74"/>
  <c r="D153" i="74" s="1"/>
  <c r="D268" i="74" s="1"/>
  <c r="E147" i="74"/>
  <c r="D147" i="74" s="1"/>
  <c r="D266" i="74" s="1"/>
  <c r="H188" i="87"/>
  <c r="D135" i="88"/>
  <c r="D262" i="88" s="1"/>
  <c r="H72" i="89"/>
  <c r="H57" i="94"/>
  <c r="E57" i="94" s="1"/>
  <c r="D57" i="94" s="1"/>
  <c r="D237" i="94" s="1"/>
  <c r="D297" i="92"/>
  <c r="Y6" i="92" s="1"/>
  <c r="H150" i="87"/>
  <c r="E150" i="87" s="1"/>
  <c r="D150" i="87" s="1"/>
  <c r="D267" i="87" s="1"/>
  <c r="H87" i="89"/>
  <c r="E87" i="89" s="1"/>
  <c r="H138" i="87"/>
  <c r="E138" i="87" s="1"/>
  <c r="D138" i="87" s="1"/>
  <c r="D263" i="87" s="1"/>
  <c r="H63" i="89"/>
  <c r="E63" i="89" s="1"/>
  <c r="D63" i="89" s="1"/>
  <c r="D238" i="89" s="1"/>
  <c r="D192" i="74"/>
  <c r="D284" i="74" s="1"/>
  <c r="D192" i="81"/>
  <c r="D284" i="81" s="1"/>
  <c r="D138" i="84"/>
  <c r="D263" i="84" s="1"/>
  <c r="D174" i="81"/>
  <c r="D275" i="81" s="1"/>
  <c r="H129" i="87"/>
  <c r="E129" i="87" s="1"/>
  <c r="D129" i="87" s="1"/>
  <c r="D260" i="87" s="1"/>
  <c r="H120" i="89"/>
  <c r="E120" i="89" s="1"/>
  <c r="H171" i="94"/>
  <c r="D21" i="74"/>
  <c r="D231" i="74" s="1"/>
  <c r="H57" i="87"/>
  <c r="E57" i="87" s="1"/>
  <c r="H108" i="87"/>
  <c r="H114" i="89"/>
  <c r="E114" i="89" s="1"/>
  <c r="D114" i="89" s="1"/>
  <c r="D255" i="89" s="1"/>
  <c r="E183" i="74"/>
  <c r="D150" i="74"/>
  <c r="D267" i="74" s="1"/>
  <c r="D33" i="81"/>
  <c r="D233" i="81" s="1"/>
  <c r="H23" i="87"/>
  <c r="H144" i="87"/>
  <c r="E144" i="87" s="1"/>
  <c r="D144" i="87" s="1"/>
  <c r="D265" i="87" s="1"/>
  <c r="H135" i="89"/>
  <c r="E135" i="89" s="1"/>
  <c r="D135" i="89" s="1"/>
  <c r="D262" i="89" s="1"/>
  <c r="H61" i="94"/>
  <c r="H35" i="87"/>
  <c r="H156" i="87"/>
  <c r="E156" i="87" s="1"/>
  <c r="D156" i="87" s="1"/>
  <c r="D269" i="87" s="1"/>
  <c r="H168" i="89"/>
  <c r="E168" i="89" s="1"/>
  <c r="D168" i="89" s="1"/>
  <c r="D273" i="89" s="1"/>
  <c r="AJ20" i="82"/>
  <c r="D57" i="74"/>
  <c r="D237" i="74" s="1"/>
  <c r="D138" i="74"/>
  <c r="D263" i="74" s="1"/>
  <c r="H13" i="87"/>
  <c r="H165" i="87"/>
  <c r="E165" i="87" s="1"/>
  <c r="D165" i="87" s="1"/>
  <c r="D272" i="87" s="1"/>
  <c r="H144" i="94"/>
  <c r="E299" i="92"/>
  <c r="H47" i="87"/>
  <c r="H177" i="87"/>
  <c r="H165" i="94"/>
  <c r="E165" i="94" s="1"/>
  <c r="AJ20" i="84"/>
  <c r="H59" i="87"/>
  <c r="H192" i="87"/>
  <c r="E192" i="87" s="1"/>
  <c r="D192" i="87" s="1"/>
  <c r="D284" i="87" s="1"/>
  <c r="H37" i="87"/>
  <c r="H171" i="87"/>
  <c r="E171" i="87" s="1"/>
  <c r="D171" i="87" s="1"/>
  <c r="D274" i="87" s="1"/>
  <c r="H51" i="94"/>
  <c r="D165" i="81"/>
  <c r="D272" i="81" s="1"/>
  <c r="D147" i="82"/>
  <c r="D266" i="82" s="1"/>
  <c r="H61" i="87"/>
  <c r="H19" i="94"/>
  <c r="AJ20" i="87"/>
  <c r="H9" i="87"/>
  <c r="E9" i="87" s="1"/>
  <c r="D135" i="81"/>
  <c r="D262" i="81" s="1"/>
  <c r="D84" i="88"/>
  <c r="D245" i="88" s="1"/>
  <c r="E214" i="91"/>
  <c r="H111" i="94"/>
  <c r="E111" i="94" s="1"/>
  <c r="AJ20" i="89"/>
  <c r="H99" i="93"/>
  <c r="E99" i="93" s="1"/>
  <c r="D99" i="93" s="1"/>
  <c r="D250" i="93" s="1"/>
  <c r="H53" i="93"/>
  <c r="H29" i="93"/>
  <c r="H84" i="93"/>
  <c r="E84" i="93" s="1"/>
  <c r="D84" i="93" s="1"/>
  <c r="D245" i="93" s="1"/>
  <c r="H162" i="93"/>
  <c r="E162" i="93" s="1"/>
  <c r="D162" i="93" s="1"/>
  <c r="D271" i="93" s="1"/>
  <c r="D168" i="93"/>
  <c r="D273" i="93" s="1"/>
  <c r="H63" i="93"/>
  <c r="E63" i="93" s="1"/>
  <c r="H87" i="93"/>
  <c r="E87" i="93" s="1"/>
  <c r="D87" i="93" s="1"/>
  <c r="D246" i="93" s="1"/>
  <c r="H120" i="93"/>
  <c r="E120" i="93" s="1"/>
  <c r="H102" i="94"/>
  <c r="H150" i="94"/>
  <c r="E150" i="94" s="1"/>
  <c r="H84" i="94"/>
  <c r="E84" i="94" s="1"/>
  <c r="H17" i="94"/>
  <c r="H191" i="94"/>
  <c r="H96" i="94"/>
  <c r="E96" i="94" s="1"/>
  <c r="D96" i="94" s="1"/>
  <c r="D249" i="94" s="1"/>
  <c r="H55" i="94"/>
  <c r="H23" i="94"/>
  <c r="H99" i="94"/>
  <c r="H81" i="94"/>
  <c r="H43" i="94"/>
  <c r="H11" i="94"/>
  <c r="H53" i="94"/>
  <c r="H9" i="94"/>
  <c r="H105" i="94"/>
  <c r="H47" i="94"/>
  <c r="H174" i="94"/>
  <c r="E174" i="94" s="1"/>
  <c r="D174" i="94" s="1"/>
  <c r="D275" i="94" s="1"/>
  <c r="H69" i="94"/>
  <c r="E69" i="94" s="1"/>
  <c r="D69" i="94" s="1"/>
  <c r="D240" i="94" s="1"/>
  <c r="H187" i="94"/>
  <c r="H129" i="94"/>
  <c r="E129" i="94" s="1"/>
  <c r="D129" i="94" s="1"/>
  <c r="D260" i="94" s="1"/>
  <c r="H180" i="94"/>
  <c r="H159" i="94"/>
  <c r="E159" i="94" s="1"/>
  <c r="D159" i="94" s="1"/>
  <c r="D270" i="94" s="1"/>
  <c r="E214" i="84"/>
  <c r="D214" i="84" s="1"/>
  <c r="D290" i="84" s="1"/>
  <c r="E198" i="87"/>
  <c r="D198" i="87" s="1"/>
  <c r="D286" i="87" s="1"/>
  <c r="E194" i="89"/>
  <c r="D194" i="89" s="1"/>
  <c r="D285" i="89" s="1"/>
  <c r="E156" i="91"/>
  <c r="D156" i="91" s="1"/>
  <c r="D269" i="91" s="1"/>
  <c r="D301" i="81"/>
  <c r="I160" i="81"/>
  <c r="I149" i="81"/>
  <c r="I163" i="81"/>
  <c r="I74" i="81"/>
  <c r="G52" i="81"/>
  <c r="G50" i="81"/>
  <c r="I177" i="81"/>
  <c r="I147" i="81"/>
  <c r="I151" i="81"/>
  <c r="I72" i="81"/>
  <c r="I107" i="81"/>
  <c r="I167" i="81"/>
  <c r="I150" i="81"/>
  <c r="I126" i="81"/>
  <c r="G44" i="81"/>
  <c r="G46" i="81"/>
  <c r="I165" i="81"/>
  <c r="I182" i="81"/>
  <c r="I124" i="81"/>
  <c r="G36" i="81"/>
  <c r="G26" i="81"/>
  <c r="I155" i="81"/>
  <c r="I174" i="81"/>
  <c r="I112" i="81"/>
  <c r="G28" i="81"/>
  <c r="G10" i="81"/>
  <c r="I153" i="81"/>
  <c r="I164" i="81"/>
  <c r="I100" i="81"/>
  <c r="I86" i="81"/>
  <c r="I67" i="81"/>
  <c r="I143" i="81"/>
  <c r="I135" i="81"/>
  <c r="I175" i="81"/>
  <c r="I70" i="81"/>
  <c r="G30" i="81"/>
  <c r="I141" i="81"/>
  <c r="I133" i="81"/>
  <c r="I115" i="81"/>
  <c r="G58" i="81"/>
  <c r="G22" i="81"/>
  <c r="I131" i="81"/>
  <c r="I125" i="81"/>
  <c r="I103" i="81"/>
  <c r="I96" i="81"/>
  <c r="G60" i="81"/>
  <c r="I129" i="81"/>
  <c r="I123" i="81"/>
  <c r="I91" i="81"/>
  <c r="I85" i="81"/>
  <c r="G16" i="81"/>
  <c r="G34" i="81"/>
  <c r="I170" i="81"/>
  <c r="I148" i="81"/>
  <c r="I79" i="81"/>
  <c r="I77" i="81"/>
  <c r="G54" i="81"/>
  <c r="I158" i="81"/>
  <c r="I118" i="81"/>
  <c r="I65" i="81"/>
  <c r="I168" i="81"/>
  <c r="I139" i="81"/>
  <c r="I122" i="81"/>
  <c r="I75" i="81"/>
  <c r="G42" i="81"/>
  <c r="I138" i="81"/>
  <c r="I156" i="81"/>
  <c r="I137" i="81"/>
  <c r="I113" i="81"/>
  <c r="I63" i="81"/>
  <c r="G14" i="81"/>
  <c r="I146" i="81"/>
  <c r="I136" i="81"/>
  <c r="I89" i="81"/>
  <c r="G56" i="81"/>
  <c r="G12" i="81"/>
  <c r="I144" i="81"/>
  <c r="I128" i="81"/>
  <c r="I88" i="81"/>
  <c r="G48" i="81"/>
  <c r="G24" i="81"/>
  <c r="I134" i="81"/>
  <c r="I127" i="81"/>
  <c r="I76" i="81"/>
  <c r="G40" i="81"/>
  <c r="G20" i="81"/>
  <c r="I132" i="81"/>
  <c r="I121" i="81"/>
  <c r="I93" i="81"/>
  <c r="I162" i="81"/>
  <c r="I111" i="81"/>
  <c r="I145" i="81"/>
  <c r="I178" i="81"/>
  <c r="I176" i="81"/>
  <c r="I83" i="81"/>
  <c r="I108" i="81"/>
  <c r="I95" i="81"/>
  <c r="I166" i="81"/>
  <c r="I140" i="81"/>
  <c r="I82" i="81"/>
  <c r="I106" i="81"/>
  <c r="I68" i="81"/>
  <c r="I81" i="81"/>
  <c r="I154" i="81"/>
  <c r="I116" i="81"/>
  <c r="I71" i="81"/>
  <c r="I105" i="81"/>
  <c r="I110" i="81"/>
  <c r="I179" i="81"/>
  <c r="I142" i="81"/>
  <c r="I114" i="81"/>
  <c r="I69" i="81"/>
  <c r="I99" i="81"/>
  <c r="I94" i="81"/>
  <c r="I152" i="81"/>
  <c r="G62" i="81"/>
  <c r="I130" i="81"/>
  <c r="I104" i="81"/>
  <c r="G32" i="81"/>
  <c r="I98" i="81"/>
  <c r="I66" i="81"/>
  <c r="I171" i="81"/>
  <c r="I73" i="81"/>
  <c r="I169" i="81"/>
  <c r="I180" i="81"/>
  <c r="I102" i="81"/>
  <c r="I119" i="81"/>
  <c r="I97" i="81"/>
  <c r="G18" i="81"/>
  <c r="I157" i="81"/>
  <c r="I173" i="81"/>
  <c r="I92" i="81"/>
  <c r="I87" i="81"/>
  <c r="I84" i="81"/>
  <c r="I117" i="81"/>
  <c r="I90" i="81"/>
  <c r="I109" i="81"/>
  <c r="I181" i="81"/>
  <c r="I161" i="81"/>
  <c r="I80" i="81"/>
  <c r="I120" i="81"/>
  <c r="G38" i="81"/>
  <c r="I101" i="81"/>
  <c r="I172" i="81"/>
  <c r="I159" i="81"/>
  <c r="I78" i="81"/>
  <c r="I64" i="81"/>
  <c r="E63" i="83"/>
  <c r="D63" i="83" s="1"/>
  <c r="D238" i="83" s="1"/>
  <c r="D194" i="74"/>
  <c r="D285" i="74" s="1"/>
  <c r="E99" i="83"/>
  <c r="D99" i="83" s="1"/>
  <c r="D250" i="83" s="1"/>
  <c r="G14" i="82"/>
  <c r="I76" i="82"/>
  <c r="I97" i="82"/>
  <c r="I138" i="82"/>
  <c r="I181" i="82"/>
  <c r="E300" i="83"/>
  <c r="H15" i="89"/>
  <c r="E214" i="88"/>
  <c r="D214" i="88" s="1"/>
  <c r="D290" i="88" s="1"/>
  <c r="E183" i="83"/>
  <c r="E132" i="83"/>
  <c r="D132" i="83" s="1"/>
  <c r="D261" i="83" s="1"/>
  <c r="E114" i="83"/>
  <c r="D114" i="83" s="1"/>
  <c r="D255" i="83" s="1"/>
  <c r="E144" i="83"/>
  <c r="D144" i="83" s="1"/>
  <c r="D265" i="83" s="1"/>
  <c r="G56" i="82"/>
  <c r="I101" i="82"/>
  <c r="I121" i="82"/>
  <c r="I149" i="82"/>
  <c r="I152" i="82"/>
  <c r="D297" i="83"/>
  <c r="Y6" i="83" s="1"/>
  <c r="H17" i="89"/>
  <c r="D198" i="74"/>
  <c r="D286" i="74" s="1"/>
  <c r="E120" i="83"/>
  <c r="E177" i="83"/>
  <c r="D177" i="83" s="1"/>
  <c r="D276" i="83" s="1"/>
  <c r="I82" i="82"/>
  <c r="I65" i="82"/>
  <c r="I111" i="82"/>
  <c r="I140" i="82"/>
  <c r="I103" i="82"/>
  <c r="I162" i="82"/>
  <c r="E174" i="83"/>
  <c r="D174" i="83" s="1"/>
  <c r="D275" i="83" s="1"/>
  <c r="E301" i="83"/>
  <c r="D27" i="85"/>
  <c r="D232" i="85" s="1"/>
  <c r="H29" i="89"/>
  <c r="E138" i="83"/>
  <c r="D138" i="83" s="1"/>
  <c r="D263" i="83" s="1"/>
  <c r="E102" i="83"/>
  <c r="E150" i="83"/>
  <c r="E129" i="83"/>
  <c r="D129" i="83" s="1"/>
  <c r="D260" i="83" s="1"/>
  <c r="I107" i="82"/>
  <c r="G22" i="82"/>
  <c r="I66" i="82"/>
  <c r="I142" i="82"/>
  <c r="I115" i="82"/>
  <c r="I164" i="82"/>
  <c r="E162" i="83"/>
  <c r="D162" i="83" s="1"/>
  <c r="D271" i="83" s="1"/>
  <c r="D135" i="91"/>
  <c r="D262" i="91" s="1"/>
  <c r="H41" i="89"/>
  <c r="D105" i="91"/>
  <c r="D252" i="91" s="1"/>
  <c r="D45" i="74"/>
  <c r="D235" i="74" s="1"/>
  <c r="D75" i="84"/>
  <c r="D242" i="84" s="1"/>
  <c r="G28" i="82"/>
  <c r="G10" i="82"/>
  <c r="I68" i="82"/>
  <c r="I161" i="82"/>
  <c r="I133" i="82"/>
  <c r="I174" i="82"/>
  <c r="H31" i="89"/>
  <c r="D183" i="88"/>
  <c r="D278" i="88" s="1"/>
  <c r="E96" i="83"/>
  <c r="D96" i="83" s="1"/>
  <c r="D249" i="83" s="1"/>
  <c r="G40" i="82"/>
  <c r="I63" i="82"/>
  <c r="I78" i="82"/>
  <c r="I171" i="82"/>
  <c r="I151" i="82"/>
  <c r="I176" i="82"/>
  <c r="D123" i="88"/>
  <c r="D258" i="88" s="1"/>
  <c r="D75" i="89"/>
  <c r="D242" i="89" s="1"/>
  <c r="H55" i="89"/>
  <c r="D78" i="74"/>
  <c r="D243" i="74" s="1"/>
  <c r="D84" i="82"/>
  <c r="D245" i="82" s="1"/>
  <c r="E81" i="83"/>
  <c r="D81" i="83" s="1"/>
  <c r="D244" i="83" s="1"/>
  <c r="E108" i="83"/>
  <c r="D108" i="83" s="1"/>
  <c r="D253" i="83" s="1"/>
  <c r="E33" i="83"/>
  <c r="D33" i="83" s="1"/>
  <c r="D233" i="83" s="1"/>
  <c r="D144" i="85"/>
  <c r="D265" i="85" s="1"/>
  <c r="G52" i="82"/>
  <c r="I70" i="82"/>
  <c r="I80" i="82"/>
  <c r="I123" i="82"/>
  <c r="I117" i="82"/>
  <c r="I157" i="82"/>
  <c r="H214" i="82"/>
  <c r="H43" i="89"/>
  <c r="H183" i="89"/>
  <c r="E183" i="89" s="1"/>
  <c r="D183" i="89" s="1"/>
  <c r="D278" i="89" s="1"/>
  <c r="E187" i="83"/>
  <c r="I113" i="82"/>
  <c r="I74" i="82"/>
  <c r="I91" i="82"/>
  <c r="I125" i="82"/>
  <c r="I119" i="82"/>
  <c r="I169" i="82"/>
  <c r="D87" i="87"/>
  <c r="D246" i="87" s="1"/>
  <c r="H53" i="89"/>
  <c r="D15" i="74"/>
  <c r="D230" i="74" s="1"/>
  <c r="E21" i="83"/>
  <c r="D21" i="83" s="1"/>
  <c r="D231" i="83" s="1"/>
  <c r="I72" i="82"/>
  <c r="I84" i="82"/>
  <c r="I105" i="82"/>
  <c r="I132" i="82"/>
  <c r="I136" i="82"/>
  <c r="I179" i="82"/>
  <c r="D159" i="87"/>
  <c r="D270" i="87" s="1"/>
  <c r="H99" i="89"/>
  <c r="H39" i="93"/>
  <c r="D75" i="82"/>
  <c r="D242" i="82" s="1"/>
  <c r="E111" i="83"/>
  <c r="D111" i="83" s="1"/>
  <c r="D254" i="83" s="1"/>
  <c r="D66" i="84"/>
  <c r="D239" i="84" s="1"/>
  <c r="I93" i="82"/>
  <c r="G46" i="82"/>
  <c r="I126" i="82"/>
  <c r="I145" i="82"/>
  <c r="I170" i="82"/>
  <c r="H84" i="89"/>
  <c r="E84" i="89" s="1"/>
  <c r="D84" i="89" s="1"/>
  <c r="D245" i="89" s="1"/>
  <c r="D33" i="74"/>
  <c r="D233" i="74" s="1"/>
  <c r="H39" i="89"/>
  <c r="E39" i="89" s="1"/>
  <c r="D39" i="89" s="1"/>
  <c r="D234" i="89" s="1"/>
  <c r="E159" i="83"/>
  <c r="D159" i="83" s="1"/>
  <c r="D270" i="83" s="1"/>
  <c r="E27" i="83"/>
  <c r="D27" i="83" s="1"/>
  <c r="D232" i="83" s="1"/>
  <c r="E57" i="83"/>
  <c r="D57" i="83" s="1"/>
  <c r="D237" i="83" s="1"/>
  <c r="D72" i="74"/>
  <c r="D241" i="74" s="1"/>
  <c r="D99" i="82"/>
  <c r="D250" i="82" s="1"/>
  <c r="E39" i="83"/>
  <c r="D39" i="83" s="1"/>
  <c r="D234" i="83" s="1"/>
  <c r="E147" i="83"/>
  <c r="D147" i="83" s="1"/>
  <c r="D266" i="83" s="1"/>
  <c r="E168" i="84"/>
  <c r="D168" i="84" s="1"/>
  <c r="D273" i="84" s="1"/>
  <c r="D162" i="81"/>
  <c r="D271" i="81" s="1"/>
  <c r="G30" i="82"/>
  <c r="G62" i="82"/>
  <c r="I85" i="82"/>
  <c r="I94" i="82"/>
  <c r="I166" i="82"/>
  <c r="D33" i="82"/>
  <c r="D233" i="82" s="1"/>
  <c r="H93" i="89"/>
  <c r="H17" i="93"/>
  <c r="E168" i="83"/>
  <c r="D168" i="83" s="1"/>
  <c r="D273" i="83" s="1"/>
  <c r="D132" i="82"/>
  <c r="D261" i="82" s="1"/>
  <c r="G42" i="82"/>
  <c r="I67" i="82"/>
  <c r="I89" i="82"/>
  <c r="I106" i="82"/>
  <c r="I178" i="82"/>
  <c r="E75" i="83"/>
  <c r="D75" i="83" s="1"/>
  <c r="D242" i="83" s="1"/>
  <c r="H111" i="89"/>
  <c r="E111" i="89" s="1"/>
  <c r="D111" i="89" s="1"/>
  <c r="D254" i="89" s="1"/>
  <c r="H19" i="93"/>
  <c r="H43" i="93"/>
  <c r="H132" i="89"/>
  <c r="E192" i="83"/>
  <c r="D192" i="83" s="1"/>
  <c r="D284" i="83" s="1"/>
  <c r="G60" i="82"/>
  <c r="I90" i="82"/>
  <c r="I116" i="82"/>
  <c r="I127" i="82"/>
  <c r="I175" i="82"/>
  <c r="E214" i="83"/>
  <c r="D214" i="83" s="1"/>
  <c r="D290" i="83" s="1"/>
  <c r="H78" i="89"/>
  <c r="E78" i="89" s="1"/>
  <c r="D78" i="89" s="1"/>
  <c r="D243" i="89" s="1"/>
  <c r="D162" i="87"/>
  <c r="D271" i="87" s="1"/>
  <c r="E117" i="83"/>
  <c r="D117" i="83" s="1"/>
  <c r="D256" i="83" s="1"/>
  <c r="G18" i="82"/>
  <c r="I112" i="82"/>
  <c r="I75" i="82"/>
  <c r="I135" i="82"/>
  <c r="I182" i="82"/>
  <c r="D102" i="88"/>
  <c r="D251" i="88" s="1"/>
  <c r="D126" i="88"/>
  <c r="D259" i="88" s="1"/>
  <c r="H105" i="89"/>
  <c r="D78" i="93"/>
  <c r="D243" i="93" s="1"/>
  <c r="D45" i="81"/>
  <c r="D235" i="81" s="1"/>
  <c r="E90" i="83"/>
  <c r="D90" i="83" s="1"/>
  <c r="D247" i="83" s="1"/>
  <c r="E191" i="83"/>
  <c r="D191" i="83" s="1"/>
  <c r="D283" i="83" s="1"/>
  <c r="G36" i="82"/>
  <c r="I134" i="82"/>
  <c r="I77" i="82"/>
  <c r="I148" i="82"/>
  <c r="I129" i="82"/>
  <c r="E51" i="83"/>
  <c r="D138" i="88"/>
  <c r="D263" i="88" s="1"/>
  <c r="D147" i="88"/>
  <c r="D266" i="88" s="1"/>
  <c r="H126" i="89"/>
  <c r="H51" i="93"/>
  <c r="E78" i="83"/>
  <c r="D78" i="83" s="1"/>
  <c r="D243" i="83" s="1"/>
  <c r="D120" i="74"/>
  <c r="D257" i="74" s="1"/>
  <c r="E141" i="83"/>
  <c r="D141" i="83" s="1"/>
  <c r="D264" i="83" s="1"/>
  <c r="G48" i="82"/>
  <c r="I173" i="82"/>
  <c r="I87" i="82"/>
  <c r="I159" i="82"/>
  <c r="I131" i="82"/>
  <c r="D192" i="85"/>
  <c r="D284" i="85" s="1"/>
  <c r="E194" i="83"/>
  <c r="D194" i="83" s="1"/>
  <c r="D285" i="83" s="1"/>
  <c r="H147" i="89"/>
  <c r="E147" i="89" s="1"/>
  <c r="D147" i="89" s="1"/>
  <c r="D266" i="89" s="1"/>
  <c r="H41" i="93"/>
  <c r="E296" i="83"/>
  <c r="D156" i="74"/>
  <c r="D269" i="74" s="1"/>
  <c r="E66" i="83"/>
  <c r="I99" i="82"/>
  <c r="G24" i="82"/>
  <c r="I92" i="82"/>
  <c r="I180" i="82"/>
  <c r="I141" i="82"/>
  <c r="E123" i="83"/>
  <c r="D150" i="85"/>
  <c r="D267" i="85" s="1"/>
  <c r="E297" i="83"/>
  <c r="D93" i="88"/>
  <c r="D248" i="88" s="1"/>
  <c r="H153" i="89"/>
  <c r="E153" i="89" s="1"/>
  <c r="D153" i="89" s="1"/>
  <c r="D268" i="89" s="1"/>
  <c r="E153" i="83"/>
  <c r="D153" i="83" s="1"/>
  <c r="D268" i="83" s="1"/>
  <c r="E69" i="83"/>
  <c r="D69" i="83" s="1"/>
  <c r="D240" i="83" s="1"/>
  <c r="D162" i="85"/>
  <c r="D271" i="85" s="1"/>
  <c r="I144" i="82"/>
  <c r="G32" i="82"/>
  <c r="I104" i="82"/>
  <c r="I96" i="82"/>
  <c r="I143" i="82"/>
  <c r="E84" i="83"/>
  <c r="D69" i="87"/>
  <c r="D240" i="87" s="1"/>
  <c r="D129" i="88"/>
  <c r="D260" i="88" s="1"/>
  <c r="H159" i="89"/>
  <c r="E159" i="89" s="1"/>
  <c r="D159" i="89" s="1"/>
  <c r="D270" i="89" s="1"/>
  <c r="E135" i="83"/>
  <c r="D135" i="83" s="1"/>
  <c r="D262" i="83" s="1"/>
  <c r="E93" i="83"/>
  <c r="D93" i="83" s="1"/>
  <c r="D248" i="83" s="1"/>
  <c r="E9" i="83"/>
  <c r="E72" i="83"/>
  <c r="D72" i="83" s="1"/>
  <c r="D241" i="83" s="1"/>
  <c r="G20" i="82"/>
  <c r="I69" i="82"/>
  <c r="I114" i="82"/>
  <c r="I98" i="82"/>
  <c r="I153" i="82"/>
  <c r="D298" i="83"/>
  <c r="Z6" i="83" s="1"/>
  <c r="D27" i="88"/>
  <c r="D232" i="88" s="1"/>
  <c r="H141" i="89"/>
  <c r="E141" i="89" s="1"/>
  <c r="D141" i="89" s="1"/>
  <c r="D264" i="89" s="1"/>
  <c r="H13" i="91"/>
  <c r="H141" i="93"/>
  <c r="E141" i="93" s="1"/>
  <c r="D126" i="74"/>
  <c r="D259" i="74" s="1"/>
  <c r="D93" i="81"/>
  <c r="D248" i="81" s="1"/>
  <c r="D81" i="82"/>
  <c r="D244" i="82" s="1"/>
  <c r="D198" i="81"/>
  <c r="D286" i="81" s="1"/>
  <c r="G26" i="82"/>
  <c r="I71" i="82"/>
  <c r="I124" i="82"/>
  <c r="I108" i="82"/>
  <c r="I155" i="82"/>
  <c r="E298" i="83"/>
  <c r="H187" i="89"/>
  <c r="H189" i="89" s="1"/>
  <c r="E189" i="89" s="1"/>
  <c r="D189" i="89" s="1"/>
  <c r="D281" i="89" s="1"/>
  <c r="H93" i="93"/>
  <c r="H194" i="93"/>
  <c r="D194" i="88"/>
  <c r="D285" i="88" s="1"/>
  <c r="E15" i="83"/>
  <c r="D15" i="83" s="1"/>
  <c r="D230" i="83" s="1"/>
  <c r="E156" i="83"/>
  <c r="D156" i="83" s="1"/>
  <c r="D269" i="83" s="1"/>
  <c r="D177" i="74"/>
  <c r="D276" i="74" s="1"/>
  <c r="G38" i="82"/>
  <c r="I81" i="82"/>
  <c r="I137" i="82"/>
  <c r="I110" i="82"/>
  <c r="I165" i="82"/>
  <c r="E188" i="83"/>
  <c r="E126" i="83"/>
  <c r="D126" i="83" s="1"/>
  <c r="D259" i="83" s="1"/>
  <c r="D299" i="83"/>
  <c r="AA6" i="83" s="1"/>
  <c r="H174" i="89"/>
  <c r="E93" i="94"/>
  <c r="D93" i="94" s="1"/>
  <c r="D248" i="94" s="1"/>
  <c r="H105" i="93"/>
  <c r="E87" i="83"/>
  <c r="D87" i="83" s="1"/>
  <c r="D246" i="83" s="1"/>
  <c r="E45" i="83"/>
  <c r="D45" i="83" s="1"/>
  <c r="D235" i="83" s="1"/>
  <c r="G50" i="82"/>
  <c r="I83" i="82"/>
  <c r="I139" i="82"/>
  <c r="I120" i="82"/>
  <c r="I167" i="82"/>
  <c r="E299" i="83"/>
  <c r="H191" i="89"/>
  <c r="E191" i="89" s="1"/>
  <c r="D191" i="89" s="1"/>
  <c r="D283" i="89" s="1"/>
  <c r="H174" i="93"/>
  <c r="E174" i="93" s="1"/>
  <c r="D174" i="93" s="1"/>
  <c r="D275" i="93" s="1"/>
  <c r="E180" i="83"/>
  <c r="D180" i="83" s="1"/>
  <c r="D277" i="83" s="1"/>
  <c r="D87" i="82"/>
  <c r="D246" i="82" s="1"/>
  <c r="I86" i="82"/>
  <c r="I95" i="82"/>
  <c r="I147" i="82"/>
  <c r="I122" i="82"/>
  <c r="I177" i="82"/>
  <c r="D296" i="83"/>
  <c r="X6" i="83" s="1"/>
  <c r="H180" i="89"/>
  <c r="E180" i="89" s="1"/>
  <c r="H147" i="93"/>
  <c r="E147" i="93" s="1"/>
  <c r="D147" i="93" s="1"/>
  <c r="D266" i="93" s="1"/>
  <c r="G34" i="82"/>
  <c r="I102" i="82"/>
  <c r="I158" i="82"/>
  <c r="I128" i="82"/>
  <c r="I160" i="82"/>
  <c r="E198" i="83"/>
  <c r="D198" i="83" s="1"/>
  <c r="D286" i="83" s="1"/>
  <c r="D300" i="83"/>
  <c r="AB6" i="83" s="1"/>
  <c r="D15" i="88"/>
  <c r="D230" i="88" s="1"/>
  <c r="H159" i="93"/>
  <c r="E159" i="93" s="1"/>
  <c r="AA39" i="94"/>
  <c r="Y130" i="92"/>
  <c r="X80" i="93"/>
  <c r="O83" i="92"/>
  <c r="T9" i="88"/>
  <c r="M57" i="94"/>
  <c r="D45" i="89" l="1"/>
  <c r="D235" i="89" s="1"/>
  <c r="E187" i="87"/>
  <c r="H189" i="87"/>
  <c r="E189" i="87" s="1"/>
  <c r="E188" i="85"/>
  <c r="H190" i="85"/>
  <c r="E190" i="85" s="1"/>
  <c r="D190" i="85" s="1"/>
  <c r="D282" i="85" s="1"/>
  <c r="E189" i="91"/>
  <c r="D189" i="91" s="1"/>
  <c r="D281" i="91" s="1"/>
  <c r="E187" i="94"/>
  <c r="D187" i="94" s="1"/>
  <c r="D279" i="94" s="1"/>
  <c r="H189" i="94"/>
  <c r="E189" i="94" s="1"/>
  <c r="D189" i="94" s="1"/>
  <c r="D281" i="94" s="1"/>
  <c r="E188" i="87"/>
  <c r="D188" i="87" s="1"/>
  <c r="D280" i="87" s="1"/>
  <c r="H190" i="87"/>
  <c r="E190" i="87" s="1"/>
  <c r="D190" i="87" s="1"/>
  <c r="D282" i="87" s="1"/>
  <c r="E188" i="88"/>
  <c r="D188" i="88" s="1"/>
  <c r="D280" i="88" s="1"/>
  <c r="H190" i="88"/>
  <c r="E190" i="88" s="1"/>
  <c r="E187" i="85"/>
  <c r="D187" i="85" s="1"/>
  <c r="D279" i="85" s="1"/>
  <c r="H189" i="85"/>
  <c r="E189" i="85" s="1"/>
  <c r="E188" i="89"/>
  <c r="D188" i="89" s="1"/>
  <c r="D280" i="89" s="1"/>
  <c r="H190" i="89"/>
  <c r="E190" i="89" s="1"/>
  <c r="H194" i="92"/>
  <c r="D99" i="87"/>
  <c r="D250" i="87" s="1"/>
  <c r="D218" i="89"/>
  <c r="D291" i="89" s="1"/>
  <c r="E218" i="81"/>
  <c r="E291" i="81" s="1"/>
  <c r="D190" i="89"/>
  <c r="D282" i="89" s="1"/>
  <c r="D218" i="74"/>
  <c r="D291" i="74" s="1"/>
  <c r="D189" i="82"/>
  <c r="D281" i="82" s="1"/>
  <c r="E291" i="87"/>
  <c r="D218" i="87"/>
  <c r="D291" i="87" s="1"/>
  <c r="D218" i="88"/>
  <c r="D291" i="88" s="1"/>
  <c r="E291" i="85"/>
  <c r="D218" i="85"/>
  <c r="D291" i="85" s="1"/>
  <c r="D189" i="74"/>
  <c r="D281" i="74" s="1"/>
  <c r="E189" i="84"/>
  <c r="D189" i="84" s="1"/>
  <c r="D281" i="84" s="1"/>
  <c r="D218" i="84"/>
  <c r="D291" i="84" s="1"/>
  <c r="D189" i="85"/>
  <c r="D281" i="85" s="1"/>
  <c r="E190" i="91"/>
  <c r="D190" i="91" s="1"/>
  <c r="D282" i="91" s="1"/>
  <c r="D190" i="82"/>
  <c r="D282" i="82" s="1"/>
  <c r="E190" i="84"/>
  <c r="D190" i="84" s="1"/>
  <c r="D282" i="84" s="1"/>
  <c r="E291" i="91"/>
  <c r="D218" i="91"/>
  <c r="D291" i="91" s="1"/>
  <c r="D190" i="81"/>
  <c r="D282" i="81" s="1"/>
  <c r="E218" i="83"/>
  <c r="E291" i="83" s="1"/>
  <c r="D218" i="82"/>
  <c r="D291" i="82" s="1"/>
  <c r="E206" i="83"/>
  <c r="D206" i="83" s="1"/>
  <c r="D288" i="83" s="1"/>
  <c r="D174" i="85"/>
  <c r="D275" i="85" s="1"/>
  <c r="E206" i="89"/>
  <c r="D206" i="89" s="1"/>
  <c r="D288" i="89" s="1"/>
  <c r="E210" i="81"/>
  <c r="D210" i="81" s="1"/>
  <c r="D289" i="81" s="1"/>
  <c r="D202" i="81"/>
  <c r="E214" i="81"/>
  <c r="D214" i="81" s="1"/>
  <c r="D290" i="81" s="1"/>
  <c r="E210" i="89"/>
  <c r="D210" i="89" s="1"/>
  <c r="D289" i="89" s="1"/>
  <c r="D202" i="89"/>
  <c r="D287" i="89" s="1"/>
  <c r="E214" i="89"/>
  <c r="D214" i="89" s="1"/>
  <c r="D290" i="89" s="1"/>
  <c r="E206" i="91"/>
  <c r="D206" i="91" s="1"/>
  <c r="D288" i="91" s="1"/>
  <c r="D202" i="85"/>
  <c r="D287" i="85" s="1"/>
  <c r="D210" i="85"/>
  <c r="D289" i="85" s="1"/>
  <c r="D210" i="82"/>
  <c r="D289" i="82" s="1"/>
  <c r="E206" i="74"/>
  <c r="D206" i="74" s="1"/>
  <c r="D288" i="74" s="1"/>
  <c r="E206" i="82"/>
  <c r="D206" i="82" s="1"/>
  <c r="D288" i="82" s="1"/>
  <c r="D202" i="82"/>
  <c r="D287" i="82" s="1"/>
  <c r="E210" i="91"/>
  <c r="D210" i="91" s="1"/>
  <c r="D289" i="91" s="1"/>
  <c r="D202" i="83"/>
  <c r="D287" i="83" s="1"/>
  <c r="E202" i="91"/>
  <c r="D202" i="91" s="1"/>
  <c r="D287" i="91" s="1"/>
  <c r="D202" i="87"/>
  <c r="D287" i="87" s="1"/>
  <c r="E214" i="87"/>
  <c r="D214" i="87" s="1"/>
  <c r="D290" i="87" s="1"/>
  <c r="D210" i="87"/>
  <c r="D289" i="87" s="1"/>
  <c r="E202" i="74"/>
  <c r="D202" i="74" s="1"/>
  <c r="D210" i="83"/>
  <c r="D289" i="83" s="1"/>
  <c r="E206" i="87"/>
  <c r="D206" i="87" s="1"/>
  <c r="D288" i="87" s="1"/>
  <c r="E202" i="88"/>
  <c r="D202" i="88"/>
  <c r="D287" i="88" s="1"/>
  <c r="D210" i="74"/>
  <c r="D289" i="74" s="1"/>
  <c r="D210" i="88"/>
  <c r="D289" i="88" s="1"/>
  <c r="E206" i="81"/>
  <c r="D206" i="81" s="1"/>
  <c r="D288" i="81" s="1"/>
  <c r="D206" i="88"/>
  <c r="D288" i="88" s="1"/>
  <c r="D66" i="94"/>
  <c r="D239" i="94" s="1"/>
  <c r="E202" i="84"/>
  <c r="D202" i="84" s="1"/>
  <c r="D287" i="84" s="1"/>
  <c r="E210" i="84"/>
  <c r="D210" i="84" s="1"/>
  <c r="D289" i="84" s="1"/>
  <c r="E206" i="84"/>
  <c r="D206" i="84" s="1"/>
  <c r="D288" i="84" s="1"/>
  <c r="D153" i="84"/>
  <c r="D268" i="84" s="1"/>
  <c r="D183" i="93"/>
  <c r="D278" i="93" s="1"/>
  <c r="D108" i="89"/>
  <c r="D253" i="89" s="1"/>
  <c r="E232" i="91"/>
  <c r="D21" i="87"/>
  <c r="D231" i="87" s="1"/>
  <c r="D105" i="84"/>
  <c r="D252" i="84" s="1"/>
  <c r="D147" i="84"/>
  <c r="D266" i="84" s="1"/>
  <c r="D192" i="89"/>
  <c r="D284" i="89" s="1"/>
  <c r="D229" i="89"/>
  <c r="E229" i="89" s="1"/>
  <c r="E84" i="84"/>
  <c r="D84" i="84" s="1"/>
  <c r="D245" i="84" s="1"/>
  <c r="H123" i="92"/>
  <c r="E123" i="92" s="1"/>
  <c r="D123" i="92" s="1"/>
  <c r="D258" i="92" s="1"/>
  <c r="E233" i="91"/>
  <c r="D229" i="85"/>
  <c r="E229" i="85" s="1"/>
  <c r="H66" i="92"/>
  <c r="E66" i="92" s="1"/>
  <c r="D66" i="92" s="1"/>
  <c r="D239" i="92" s="1"/>
  <c r="D15" i="84"/>
  <c r="D230" i="84" s="1"/>
  <c r="E187" i="84"/>
  <c r="D187" i="84" s="1"/>
  <c r="D279" i="84" s="1"/>
  <c r="E144" i="92"/>
  <c r="D144" i="92" s="1"/>
  <c r="D265" i="92" s="1"/>
  <c r="H45" i="92"/>
  <c r="E45" i="92" s="1"/>
  <c r="H96" i="92"/>
  <c r="E96" i="92" s="1"/>
  <c r="D96" i="92" s="1"/>
  <c r="D249" i="92" s="1"/>
  <c r="H177" i="92"/>
  <c r="H165" i="92"/>
  <c r="E165" i="92" s="1"/>
  <c r="D165" i="92" s="1"/>
  <c r="D272" i="92" s="1"/>
  <c r="H150" i="92"/>
  <c r="H102" i="92"/>
  <c r="E102" i="92" s="1"/>
  <c r="H37" i="92"/>
  <c r="H59" i="92"/>
  <c r="H81" i="92"/>
  <c r="E81" i="92" s="1"/>
  <c r="D81" i="92" s="1"/>
  <c r="D244" i="92" s="1"/>
  <c r="H75" i="92"/>
  <c r="E75" i="92" s="1"/>
  <c r="D75" i="92" s="1"/>
  <c r="D242" i="92" s="1"/>
  <c r="H23" i="92"/>
  <c r="H33" i="92"/>
  <c r="E33" i="92" s="1"/>
  <c r="D33" i="92" s="1"/>
  <c r="D233" i="92" s="1"/>
  <c r="H13" i="92"/>
  <c r="E156" i="89"/>
  <c r="D156" i="89" s="1"/>
  <c r="D269" i="89" s="1"/>
  <c r="H192" i="92"/>
  <c r="D171" i="89"/>
  <c r="D274" i="89" s="1"/>
  <c r="E69" i="89"/>
  <c r="D69" i="89" s="1"/>
  <c r="D240" i="89" s="1"/>
  <c r="D150" i="94"/>
  <c r="D267" i="94" s="1"/>
  <c r="H69" i="92"/>
  <c r="H108" i="92"/>
  <c r="E108" i="92" s="1"/>
  <c r="D129" i="89"/>
  <c r="D260" i="89" s="1"/>
  <c r="D15" i="87"/>
  <c r="D230" i="87" s="1"/>
  <c r="D187" i="87"/>
  <c r="D279" i="87" s="1"/>
  <c r="E177" i="89"/>
  <c r="D177" i="89" s="1"/>
  <c r="D276" i="89" s="1"/>
  <c r="E174" i="87"/>
  <c r="D174" i="87" s="1"/>
  <c r="D275" i="87" s="1"/>
  <c r="D51" i="87"/>
  <c r="D236" i="87" s="1"/>
  <c r="H129" i="92"/>
  <c r="E129" i="92" s="1"/>
  <c r="H35" i="92"/>
  <c r="H49" i="92"/>
  <c r="D45" i="87"/>
  <c r="D235" i="87" s="1"/>
  <c r="D57" i="89"/>
  <c r="D237" i="89" s="1"/>
  <c r="H61" i="92"/>
  <c r="E75" i="87"/>
  <c r="D75" i="87" s="1"/>
  <c r="D242" i="87" s="1"/>
  <c r="E108" i="87"/>
  <c r="D108" i="87" s="1"/>
  <c r="D253" i="87" s="1"/>
  <c r="E96" i="87"/>
  <c r="D96" i="87" s="1"/>
  <c r="D249" i="87" s="1"/>
  <c r="E177" i="87"/>
  <c r="D177" i="87" s="1"/>
  <c r="D276" i="87" s="1"/>
  <c r="D120" i="89"/>
  <c r="D257" i="89" s="1"/>
  <c r="E144" i="94"/>
  <c r="D144" i="94" s="1"/>
  <c r="D265" i="94" s="1"/>
  <c r="D57" i="87"/>
  <c r="D237" i="87" s="1"/>
  <c r="E72" i="89"/>
  <c r="D72" i="89" s="1"/>
  <c r="D241" i="89" s="1"/>
  <c r="E105" i="94"/>
  <c r="D105" i="94" s="1"/>
  <c r="D252" i="94" s="1"/>
  <c r="E81" i="94"/>
  <c r="D81" i="94" s="1"/>
  <c r="D244" i="94" s="1"/>
  <c r="E99" i="94"/>
  <c r="D99" i="94" s="1"/>
  <c r="D250" i="94" s="1"/>
  <c r="E105" i="89"/>
  <c r="D105" i="89" s="1"/>
  <c r="D252" i="89" s="1"/>
  <c r="E105" i="93"/>
  <c r="D105" i="93" s="1"/>
  <c r="D252" i="93" s="1"/>
  <c r="E132" i="89"/>
  <c r="D132" i="89" s="1"/>
  <c r="D261" i="89" s="1"/>
  <c r="E93" i="89"/>
  <c r="D93" i="89" s="1"/>
  <c r="D248" i="89" s="1"/>
  <c r="E234" i="91"/>
  <c r="E93" i="93"/>
  <c r="D93" i="93" s="1"/>
  <c r="D248" i="93" s="1"/>
  <c r="E174" i="89"/>
  <c r="D174" i="89" s="1"/>
  <c r="D275" i="89" s="1"/>
  <c r="E99" i="89"/>
  <c r="D99" i="89" s="1"/>
  <c r="D250" i="89" s="1"/>
  <c r="E15" i="89"/>
  <c r="D15" i="89" s="1"/>
  <c r="E51" i="93"/>
  <c r="D51" i="93" s="1"/>
  <c r="D236" i="93" s="1"/>
  <c r="E126" i="89"/>
  <c r="D126" i="89" s="1"/>
  <c r="D259" i="89" s="1"/>
  <c r="E187" i="89"/>
  <c r="D187" i="89" s="1"/>
  <c r="D279" i="89" s="1"/>
  <c r="P100" i="93"/>
  <c r="AA159" i="87"/>
  <c r="L162" i="92"/>
  <c r="AB77" i="91"/>
  <c r="X136" i="92"/>
  <c r="P99" i="94"/>
  <c r="D190" i="88" l="1"/>
  <c r="D282" i="88" s="1"/>
  <c r="D189" i="87"/>
  <c r="D281" i="87" s="1"/>
  <c r="D218" i="81"/>
  <c r="D291" i="81" s="1"/>
  <c r="E190" i="92"/>
  <c r="D190" i="92" s="1"/>
  <c r="D282" i="92" s="1"/>
  <c r="D218" i="83"/>
  <c r="D291" i="83" s="1"/>
  <c r="D108" i="92"/>
  <c r="D253" i="92" s="1"/>
  <c r="E192" i="92"/>
  <c r="D192" i="92" s="1"/>
  <c r="D284" i="92" s="1"/>
  <c r="E150" i="92"/>
  <c r="D150" i="92" s="1"/>
  <c r="D267" i="92" s="1"/>
  <c r="D230" i="89"/>
  <c r="E230" i="89" s="1"/>
  <c r="E239" i="89"/>
  <c r="E236" i="89"/>
  <c r="D66" i="83" l="1"/>
  <c r="D239" i="83" s="1"/>
  <c r="D117" i="74"/>
  <c r="D256" i="74" s="1"/>
  <c r="D231" i="89"/>
  <c r="E231" i="89" s="1"/>
  <c r="D287" i="74"/>
  <c r="D90" i="81"/>
  <c r="D247" i="81" s="1"/>
  <c r="E51" i="82"/>
  <c r="D51" i="82" s="1"/>
  <c r="D51" i="74"/>
  <c r="D236" i="74" s="1"/>
  <c r="D90" i="74"/>
  <c r="D247" i="74" s="1"/>
  <c r="E87" i="74"/>
  <c r="D87" i="74" s="1"/>
  <c r="D246" i="74" s="1"/>
  <c r="D57" i="81"/>
  <c r="D237" i="81" s="1"/>
  <c r="E234" i="89"/>
  <c r="D123" i="74"/>
  <c r="D258" i="74" s="1"/>
  <c r="D81" i="81"/>
  <c r="D244" i="81" s="1"/>
  <c r="D27" i="82"/>
  <c r="D232" i="82" s="1"/>
  <c r="D120" i="81"/>
  <c r="D257" i="81" s="1"/>
  <c r="E242" i="89"/>
  <c r="D168" i="74"/>
  <c r="D273" i="74" s="1"/>
  <c r="E232" i="89"/>
  <c r="E129" i="74"/>
  <c r="D129" i="74" s="1"/>
  <c r="D260" i="74" s="1"/>
  <c r="D90" i="84"/>
  <c r="D247" i="84" s="1"/>
  <c r="D93" i="85"/>
  <c r="D248" i="85" s="1"/>
  <c r="E144" i="74"/>
  <c r="D144" i="74" s="1"/>
  <c r="D265" i="74" s="1"/>
  <c r="D123" i="81"/>
  <c r="D258" i="81" s="1"/>
  <c r="D159" i="74"/>
  <c r="D270" i="74" s="1"/>
  <c r="E230" i="85"/>
  <c r="E233" i="89"/>
  <c r="D162" i="74"/>
  <c r="D271" i="74" s="1"/>
  <c r="D105" i="82"/>
  <c r="D252" i="82" s="1"/>
  <c r="D105" i="81"/>
  <c r="D252" i="81" s="1"/>
  <c r="D9" i="81"/>
  <c r="E177" i="81"/>
  <c r="D177" i="81" s="1"/>
  <c r="D276" i="81" s="1"/>
  <c r="D126" i="81"/>
  <c r="D259" i="81" s="1"/>
  <c r="D150" i="83"/>
  <c r="D267" i="83" s="1"/>
  <c r="E39" i="81"/>
  <c r="D39" i="81" s="1"/>
  <c r="D234" i="81" s="1"/>
  <c r="D69" i="74"/>
  <c r="D240" i="74" s="1"/>
  <c r="E174" i="74"/>
  <c r="D174" i="74" s="1"/>
  <c r="D275" i="74" s="1"/>
  <c r="E165" i="74"/>
  <c r="D165" i="74" s="1"/>
  <c r="D272" i="74" s="1"/>
  <c r="E33" i="84"/>
  <c r="D33" i="84" s="1"/>
  <c r="D233" i="84" s="1"/>
  <c r="E238" i="89"/>
  <c r="D108" i="74"/>
  <c r="D253" i="74" s="1"/>
  <c r="E241" i="89"/>
  <c r="D191" i="81"/>
  <c r="D283" i="81" s="1"/>
  <c r="D69" i="81"/>
  <c r="D240" i="81" s="1"/>
  <c r="D191" i="74"/>
  <c r="D283" i="74" s="1"/>
  <c r="D66" i="74"/>
  <c r="D239" i="74" s="1"/>
  <c r="D15" i="82"/>
  <c r="E63" i="82"/>
  <c r="D63" i="82" s="1"/>
  <c r="D238" i="82" s="1"/>
  <c r="E165" i="83"/>
  <c r="D165" i="83" s="1"/>
  <c r="D272" i="83" s="1"/>
  <c r="D63" i="74"/>
  <c r="D238" i="74" s="1"/>
  <c r="E72" i="82"/>
  <c r="D72" i="82" s="1"/>
  <c r="D241" i="82" s="1"/>
  <c r="E187" i="74"/>
  <c r="D187" i="74" s="1"/>
  <c r="D279" i="74" s="1"/>
  <c r="D75" i="74"/>
  <c r="D242" i="74" s="1"/>
  <c r="D96" i="85"/>
  <c r="D249" i="85" s="1"/>
  <c r="E243" i="89"/>
  <c r="E231" i="91"/>
  <c r="D111" i="74"/>
  <c r="D254" i="74" s="1"/>
  <c r="D9" i="74"/>
  <c r="D96" i="74"/>
  <c r="D249" i="74" s="1"/>
  <c r="E114" i="82"/>
  <c r="D114" i="82" s="1"/>
  <c r="D255" i="82" s="1"/>
  <c r="E171" i="83"/>
  <c r="D171" i="83" s="1"/>
  <c r="D274" i="83" s="1"/>
  <c r="D120" i="84"/>
  <c r="D257" i="84" s="1"/>
  <c r="E237" i="89"/>
  <c r="E27" i="81"/>
  <c r="D27" i="81" s="1"/>
  <c r="D232" i="81" s="1"/>
  <c r="D75" i="81"/>
  <c r="D242" i="81" s="1"/>
  <c r="D229" i="91"/>
  <c r="E229" i="91" s="1"/>
  <c r="D63" i="91"/>
  <c r="D238" i="91" s="1"/>
  <c r="D188" i="85"/>
  <c r="D280" i="85" s="1"/>
  <c r="D187" i="83"/>
  <c r="D279" i="83" s="1"/>
  <c r="D192" i="84"/>
  <c r="D284" i="84" s="1"/>
  <c r="D51" i="85"/>
  <c r="D236" i="85" s="1"/>
  <c r="D99" i="85"/>
  <c r="D250" i="85" s="1"/>
  <c r="D111" i="87"/>
  <c r="D254" i="87" s="1"/>
  <c r="D87" i="91"/>
  <c r="D246" i="91" s="1"/>
  <c r="D99" i="88"/>
  <c r="D250" i="88" s="1"/>
  <c r="D287" i="81"/>
  <c r="D84" i="85"/>
  <c r="D245" i="85" s="1"/>
  <c r="E240" i="89"/>
  <c r="E114" i="91"/>
  <c r="D114" i="91" s="1"/>
  <c r="D255" i="91" s="1"/>
  <c r="D90" i="87"/>
  <c r="D247" i="87" s="1"/>
  <c r="D39" i="88"/>
  <c r="D234" i="88" s="1"/>
  <c r="D192" i="82"/>
  <c r="D284" i="82" s="1"/>
  <c r="D187" i="82"/>
  <c r="D279" i="82" s="1"/>
  <c r="D188" i="83"/>
  <c r="D280" i="83" s="1"/>
  <c r="D27" i="74"/>
  <c r="D232" i="74" s="1"/>
  <c r="E232" i="74" s="1"/>
  <c r="E129" i="82"/>
  <c r="D129" i="82" s="1"/>
  <c r="D260" i="82" s="1"/>
  <c r="D120" i="83"/>
  <c r="D257" i="83" s="1"/>
  <c r="D9" i="84"/>
  <c r="D132" i="84"/>
  <c r="D261" i="84" s="1"/>
  <c r="D171" i="85"/>
  <c r="D274" i="85" s="1"/>
  <c r="E132" i="85"/>
  <c r="D132" i="85" s="1"/>
  <c r="D261" i="85" s="1"/>
  <c r="D81" i="88"/>
  <c r="D244" i="88" s="1"/>
  <c r="E235" i="89"/>
  <c r="D168" i="85"/>
  <c r="D273" i="85" s="1"/>
  <c r="E214" i="82"/>
  <c r="D214" i="82" s="1"/>
  <c r="D290" i="82" s="1"/>
  <c r="D123" i="87"/>
  <c r="D258" i="87" s="1"/>
  <c r="D126" i="91"/>
  <c r="D259" i="91" s="1"/>
  <c r="D45" i="82"/>
  <c r="D235" i="82" s="1"/>
  <c r="D153" i="87"/>
  <c r="D268" i="87" s="1"/>
  <c r="D135" i="84"/>
  <c r="D262" i="84" s="1"/>
  <c r="D132" i="87"/>
  <c r="D261" i="87" s="1"/>
  <c r="D117" i="91"/>
  <c r="D256" i="91" s="1"/>
  <c r="D156" i="85"/>
  <c r="D269" i="85" s="1"/>
  <c r="D81" i="74"/>
  <c r="D244" i="74" s="1"/>
  <c r="D93" i="84"/>
  <c r="D248" i="84" s="1"/>
  <c r="D111" i="84"/>
  <c r="D254" i="84" s="1"/>
  <c r="D191" i="85"/>
  <c r="D283" i="85" s="1"/>
  <c r="D9" i="88"/>
  <c r="E281" i="88" s="1"/>
  <c r="D102" i="83"/>
  <c r="D251" i="83" s="1"/>
  <c r="D129" i="91"/>
  <c r="D260" i="91" s="1"/>
  <c r="D194" i="85"/>
  <c r="D285" i="85" s="1"/>
  <c r="D191" i="88"/>
  <c r="D283" i="88" s="1"/>
  <c r="E165" i="84"/>
  <c r="D272" i="84" s="1"/>
  <c r="D51" i="83"/>
  <c r="D236" i="83" s="1"/>
  <c r="D99" i="84"/>
  <c r="D250" i="84" s="1"/>
  <c r="D180" i="81"/>
  <c r="D277" i="81" s="1"/>
  <c r="D159" i="82"/>
  <c r="D270" i="82" s="1"/>
  <c r="D9" i="83"/>
  <c r="D102" i="85"/>
  <c r="D251" i="85" s="1"/>
  <c r="E180" i="85"/>
  <c r="D180" i="85" s="1"/>
  <c r="D277" i="85" s="1"/>
  <c r="E96" i="89"/>
  <c r="D96" i="89" s="1"/>
  <c r="D249" i="89" s="1"/>
  <c r="D63" i="88"/>
  <c r="D238" i="88" s="1"/>
  <c r="E69" i="92"/>
  <c r="D69" i="92" s="1"/>
  <c r="D240" i="92" s="1"/>
  <c r="D15" i="81"/>
  <c r="D230" i="81" s="1"/>
  <c r="E230" i="81" s="1"/>
  <c r="D39" i="87"/>
  <c r="D234" i="87" s="1"/>
  <c r="D9" i="87"/>
  <c r="E282" i="87" s="1"/>
  <c r="D150" i="91"/>
  <c r="D267" i="91" s="1"/>
  <c r="D180" i="89"/>
  <c r="D81" i="89"/>
  <c r="E230" i="91"/>
  <c r="E171" i="81"/>
  <c r="D171" i="81" s="1"/>
  <c r="D274" i="81" s="1"/>
  <c r="D187" i="81"/>
  <c r="D279" i="81" s="1"/>
  <c r="D84" i="83"/>
  <c r="D245" i="83" s="1"/>
  <c r="D135" i="82"/>
  <c r="D262" i="82" s="1"/>
  <c r="D87" i="89"/>
  <c r="D246" i="89" s="1"/>
  <c r="D123" i="89"/>
  <c r="D258" i="89" s="1"/>
  <c r="D165" i="91"/>
  <c r="D272" i="91" s="1"/>
  <c r="D123" i="83"/>
  <c r="D258" i="83" s="1"/>
  <c r="D171" i="84"/>
  <c r="D274" i="84" s="1"/>
  <c r="D117" i="84"/>
  <c r="D256" i="84" s="1"/>
  <c r="D21" i="85"/>
  <c r="D135" i="85"/>
  <c r="D262" i="85" s="1"/>
  <c r="D194" i="82"/>
  <c r="D285" i="82" s="1"/>
  <c r="E120" i="88"/>
  <c r="D120" i="88" s="1"/>
  <c r="D257" i="88" s="1"/>
  <c r="D111" i="94"/>
  <c r="D254" i="94" s="1"/>
  <c r="G50" i="91"/>
  <c r="I133" i="91"/>
  <c r="I152" i="91"/>
  <c r="D126" i="93"/>
  <c r="D259" i="93" s="1"/>
  <c r="D183" i="91"/>
  <c r="D278" i="91" s="1"/>
  <c r="D153" i="94"/>
  <c r="D268" i="94" s="1"/>
  <c r="I165" i="87"/>
  <c r="I125" i="87"/>
  <c r="I151" i="87"/>
  <c r="I74" i="87"/>
  <c r="G50" i="87"/>
  <c r="D301" i="87"/>
  <c r="I131" i="87"/>
  <c r="I147" i="87"/>
  <c r="I98" i="87"/>
  <c r="I111" i="87"/>
  <c r="G42" i="87"/>
  <c r="I64" i="91"/>
  <c r="I113" i="91"/>
  <c r="D102" i="92"/>
  <c r="D251" i="92" s="1"/>
  <c r="I172" i="89"/>
  <c r="I147" i="89"/>
  <c r="I118" i="89"/>
  <c r="I88" i="89"/>
  <c r="G58" i="89"/>
  <c r="I163" i="89"/>
  <c r="I92" i="89"/>
  <c r="I110" i="89"/>
  <c r="I98" i="89"/>
  <c r="G42" i="89"/>
  <c r="I158" i="89"/>
  <c r="I112" i="89"/>
  <c r="I80" i="89"/>
  <c r="I74" i="89"/>
  <c r="G14" i="89"/>
  <c r="I156" i="89"/>
  <c r="I100" i="89"/>
  <c r="I78" i="89"/>
  <c r="I72" i="89"/>
  <c r="G12" i="89"/>
  <c r="D301" i="89"/>
  <c r="I179" i="89"/>
  <c r="I144" i="89"/>
  <c r="I169" i="89"/>
  <c r="I134" i="89"/>
  <c r="I119" i="89"/>
  <c r="I76" i="89"/>
  <c r="I99" i="89"/>
  <c r="G60" i="89"/>
  <c r="I164" i="89"/>
  <c r="I125" i="89"/>
  <c r="I105" i="89"/>
  <c r="I97" i="89"/>
  <c r="I152" i="89"/>
  <c r="I178" i="89"/>
  <c r="I93" i="89"/>
  <c r="I83" i="89"/>
  <c r="I75" i="89"/>
  <c r="G16" i="89"/>
  <c r="I150" i="89"/>
  <c r="I173" i="89"/>
  <c r="I180" i="89"/>
  <c r="I81" i="89"/>
  <c r="D138" i="94"/>
  <c r="D263" i="94" s="1"/>
  <c r="E183" i="85"/>
  <c r="D183" i="85" s="1"/>
  <c r="D278" i="85" s="1"/>
  <c r="I182" i="91"/>
  <c r="I118" i="91"/>
  <c r="I145" i="91"/>
  <c r="I115" i="91"/>
  <c r="G42" i="91"/>
  <c r="I146" i="91"/>
  <c r="I164" i="91"/>
  <c r="I83" i="91"/>
  <c r="I63" i="91"/>
  <c r="I132" i="91"/>
  <c r="I112" i="91"/>
  <c r="I117" i="91"/>
  <c r="G62" i="91"/>
  <c r="I68" i="91"/>
  <c r="I154" i="91"/>
  <c r="I110" i="91"/>
  <c r="I111" i="91"/>
  <c r="I71" i="91"/>
  <c r="I67" i="91"/>
  <c r="D301" i="91"/>
  <c r="I142" i="91"/>
  <c r="I109" i="91"/>
  <c r="I101" i="91"/>
  <c r="I70" i="91"/>
  <c r="G44" i="91"/>
  <c r="I179" i="91"/>
  <c r="I180" i="91"/>
  <c r="I130" i="91"/>
  <c r="I86" i="91"/>
  <c r="G38" i="91"/>
  <c r="G28" i="91"/>
  <c r="I169" i="91"/>
  <c r="I159" i="91"/>
  <c r="I125" i="91"/>
  <c r="I84" i="91"/>
  <c r="G30" i="91"/>
  <c r="G16" i="91"/>
  <c r="I167" i="91"/>
  <c r="I150" i="91"/>
  <c r="I103" i="91"/>
  <c r="I135" i="91"/>
  <c r="G54" i="91"/>
  <c r="I82" i="91"/>
  <c r="I155" i="91"/>
  <c r="I162" i="91"/>
  <c r="I140" i="91"/>
  <c r="I121" i="91"/>
  <c r="G20" i="91"/>
  <c r="G26" i="91"/>
  <c r="I153" i="91"/>
  <c r="I161" i="91"/>
  <c r="I119" i="91"/>
  <c r="I105" i="91"/>
  <c r="I93" i="91"/>
  <c r="D165" i="94"/>
  <c r="D272" i="94" s="1"/>
  <c r="D287" i="93"/>
  <c r="E214" i="93"/>
  <c r="D214" i="93" s="1"/>
  <c r="D290" i="93" s="1"/>
  <c r="D156" i="92"/>
  <c r="D269" i="92" s="1"/>
  <c r="D159" i="93"/>
  <c r="D270" i="93" s="1"/>
  <c r="D177" i="94"/>
  <c r="D276" i="94" s="1"/>
  <c r="D214" i="91"/>
  <c r="D290" i="91" s="1"/>
  <c r="E188" i="92"/>
  <c r="D188" i="92" s="1"/>
  <c r="D280" i="92" s="1"/>
  <c r="D129" i="92"/>
  <c r="D260" i="92" s="1"/>
  <c r="D63" i="93"/>
  <c r="D238" i="93" s="1"/>
  <c r="E194" i="94"/>
  <c r="D194" i="94" s="1"/>
  <c r="D285" i="94" s="1"/>
  <c r="D45" i="91"/>
  <c r="D183" i="74"/>
  <c r="D278" i="74" s="1"/>
  <c r="D120" i="93"/>
  <c r="D257" i="93" s="1"/>
  <c r="E198" i="92"/>
  <c r="D198" i="92" s="1"/>
  <c r="D286" i="92" s="1"/>
  <c r="I179" i="88"/>
  <c r="D301" i="88"/>
  <c r="I172" i="88"/>
  <c r="I113" i="88"/>
  <c r="I80" i="88"/>
  <c r="I106" i="88"/>
  <c r="I85" i="88"/>
  <c r="I153" i="88"/>
  <c r="I87" i="88"/>
  <c r="I148" i="88"/>
  <c r="G54" i="88"/>
  <c r="G30" i="88"/>
  <c r="D45" i="92"/>
  <c r="D235" i="92" s="1"/>
  <c r="D194" i="91"/>
  <c r="D285" i="91" s="1"/>
  <c r="E126" i="94"/>
  <c r="D126" i="94" s="1"/>
  <c r="D259" i="94" s="1"/>
  <c r="D27" i="93"/>
  <c r="D232" i="93" s="1"/>
  <c r="D78" i="91"/>
  <c r="D243" i="91" s="1"/>
  <c r="H11" i="92"/>
  <c r="H132" i="93"/>
  <c r="H72" i="93"/>
  <c r="H45" i="94"/>
  <c r="H147" i="94"/>
  <c r="E296" i="92"/>
  <c r="D300" i="93"/>
  <c r="AB6" i="93" s="1"/>
  <c r="E180" i="94"/>
  <c r="D180" i="94" s="1"/>
  <c r="D277" i="94" s="1"/>
  <c r="H21" i="92"/>
  <c r="E194" i="92"/>
  <c r="D194" i="92" s="1"/>
  <c r="D285" i="92" s="1"/>
  <c r="H153" i="93"/>
  <c r="H114" i="93"/>
  <c r="H117" i="94"/>
  <c r="H141" i="94"/>
  <c r="AI19" i="92"/>
  <c r="H214" i="92" s="1"/>
  <c r="E300" i="92"/>
  <c r="D296" i="94"/>
  <c r="X6" i="94" s="1"/>
  <c r="H9" i="92"/>
  <c r="H187" i="93"/>
  <c r="H75" i="94"/>
  <c r="H31" i="94"/>
  <c r="H183" i="94"/>
  <c r="E194" i="93"/>
  <c r="D194" i="93" s="1"/>
  <c r="D285" i="93" s="1"/>
  <c r="D300" i="94"/>
  <c r="AB6" i="94" s="1"/>
  <c r="D183" i="83"/>
  <c r="D278" i="83" s="1"/>
  <c r="AI20" i="92"/>
  <c r="AJ14" i="92"/>
  <c r="AJ15" i="92"/>
  <c r="AJ16" i="92"/>
  <c r="E177" i="92"/>
  <c r="D177" i="92" s="1"/>
  <c r="D276" i="92" s="1"/>
  <c r="D141" i="93"/>
  <c r="D264" i="93" s="1"/>
  <c r="E39" i="93"/>
  <c r="D39" i="93" s="1"/>
  <c r="D234" i="93" s="1"/>
  <c r="E191" i="94"/>
  <c r="D191" i="94" s="1"/>
  <c r="D283" i="94" s="1"/>
  <c r="D84" i="94"/>
  <c r="D245" i="94" s="1"/>
  <c r="E102" i="94"/>
  <c r="D102" i="94" s="1"/>
  <c r="D251" i="94" s="1"/>
  <c r="H57" i="92"/>
  <c r="H180" i="93"/>
  <c r="H123" i="94"/>
  <c r="E123" i="94" s="1"/>
  <c r="H15" i="94"/>
  <c r="AJ17" i="92"/>
  <c r="H47" i="92"/>
  <c r="H191" i="93"/>
  <c r="H192" i="94"/>
  <c r="H29" i="94"/>
  <c r="D297" i="93"/>
  <c r="Y6" i="93" s="1"/>
  <c r="D297" i="94"/>
  <c r="Y6" i="94" s="1"/>
  <c r="AJ18" i="92"/>
  <c r="AI18" i="92"/>
  <c r="AJ19" i="92"/>
  <c r="H117" i="92"/>
  <c r="H55" i="93"/>
  <c r="H13" i="94"/>
  <c r="H156" i="94"/>
  <c r="H27" i="94"/>
  <c r="AJ20" i="92"/>
  <c r="H90" i="92"/>
  <c r="H15" i="93"/>
  <c r="H33" i="94"/>
  <c r="H108" i="94"/>
  <c r="H39" i="94"/>
  <c r="AJ13" i="93"/>
  <c r="AJ20" i="74"/>
  <c r="AJ14" i="93"/>
  <c r="AJ15" i="93"/>
  <c r="E9" i="94"/>
  <c r="D9" i="94" s="1"/>
  <c r="H138" i="92"/>
  <c r="H31" i="93"/>
  <c r="H59" i="94"/>
  <c r="H188" i="94"/>
  <c r="H41" i="94"/>
  <c r="E297" i="92"/>
  <c r="H198" i="94"/>
  <c r="AJ16" i="93"/>
  <c r="AJ17" i="93"/>
  <c r="AJ18" i="93"/>
  <c r="H25" i="92"/>
  <c r="H171" i="92"/>
  <c r="H111" i="93"/>
  <c r="H21" i="94"/>
  <c r="H78" i="94"/>
  <c r="D298" i="92"/>
  <c r="Z6" i="92" s="1"/>
  <c r="D183" i="81"/>
  <c r="D278" i="81" s="1"/>
  <c r="AJ19" i="93"/>
  <c r="AJ20" i="93"/>
  <c r="E297" i="93"/>
  <c r="H198" i="93"/>
  <c r="AJ13" i="94"/>
  <c r="AJ14" i="94"/>
  <c r="AJ15" i="94"/>
  <c r="AJ16" i="94"/>
  <c r="AJ17" i="94"/>
  <c r="E171" i="94"/>
  <c r="D171" i="94" s="1"/>
  <c r="D274" i="94" s="1"/>
  <c r="E51" i="94"/>
  <c r="D51" i="94" s="1"/>
  <c r="D236" i="94" s="1"/>
  <c r="D299" i="93"/>
  <c r="AA6" i="93" s="1"/>
  <c r="AJ18" i="94"/>
  <c r="AJ19" i="94"/>
  <c r="U57" i="94"/>
  <c r="U58" i="94" s="1"/>
  <c r="E281" i="82" l="1"/>
  <c r="E282" i="82"/>
  <c r="D244" i="89"/>
  <c r="E244" i="89" s="1"/>
  <c r="E282" i="89"/>
  <c r="E281" i="89"/>
  <c r="E187" i="93"/>
  <c r="H189" i="93"/>
  <c r="E282" i="83"/>
  <c r="E281" i="83"/>
  <c r="E281" i="91"/>
  <c r="E282" i="91"/>
  <c r="E281" i="84"/>
  <c r="E282" i="84"/>
  <c r="E281" i="81"/>
  <c r="E282" i="81"/>
  <c r="E282" i="74"/>
  <c r="E281" i="74"/>
  <c r="E188" i="94"/>
  <c r="H190" i="94"/>
  <c r="E190" i="94" s="1"/>
  <c r="D190" i="94" s="1"/>
  <c r="D282" i="94" s="1"/>
  <c r="E282" i="85"/>
  <c r="E281" i="85"/>
  <c r="E282" i="88"/>
  <c r="E281" i="87"/>
  <c r="H210" i="92"/>
  <c r="H206" i="92"/>
  <c r="D291" i="92" s="1"/>
  <c r="H202" i="92"/>
  <c r="E289" i="89"/>
  <c r="E234" i="87"/>
  <c r="E288" i="88"/>
  <c r="E289" i="88"/>
  <c r="E289" i="87"/>
  <c r="E289" i="82"/>
  <c r="E288" i="83"/>
  <c r="E289" i="83"/>
  <c r="E289" i="85"/>
  <c r="E289" i="84"/>
  <c r="E289" i="91"/>
  <c r="E289" i="74"/>
  <c r="E289" i="81"/>
  <c r="D277" i="89"/>
  <c r="E288" i="89"/>
  <c r="E288" i="87"/>
  <c r="D230" i="82"/>
  <c r="E230" i="82" s="1"/>
  <c r="E288" i="82"/>
  <c r="D231" i="85"/>
  <c r="E231" i="85" s="1"/>
  <c r="E288" i="85"/>
  <c r="E288" i="84"/>
  <c r="D235" i="91"/>
  <c r="E235" i="91" s="1"/>
  <c r="E288" i="91"/>
  <c r="D229" i="94"/>
  <c r="E229" i="94" s="1"/>
  <c r="D229" i="74"/>
  <c r="E229" i="74" s="1"/>
  <c r="E288" i="74"/>
  <c r="E288" i="81"/>
  <c r="E269" i="87"/>
  <c r="E265" i="74"/>
  <c r="E232" i="81"/>
  <c r="E249" i="87"/>
  <c r="E245" i="88"/>
  <c r="E257" i="88"/>
  <c r="E241" i="82"/>
  <c r="E235" i="82"/>
  <c r="E277" i="85"/>
  <c r="E249" i="88"/>
  <c r="E236" i="85"/>
  <c r="E277" i="81"/>
  <c r="E271" i="83"/>
  <c r="E250" i="84"/>
  <c r="E272" i="84"/>
  <c r="E260" i="74"/>
  <c r="E261" i="85"/>
  <c r="E278" i="81"/>
  <c r="E248" i="88"/>
  <c r="E252" i="84"/>
  <c r="E278" i="85"/>
  <c r="E274" i="83"/>
  <c r="E246" i="74"/>
  <c r="E244" i="74"/>
  <c r="E244" i="83"/>
  <c r="E255" i="91"/>
  <c r="E287" i="81"/>
  <c r="E260" i="82"/>
  <c r="E272" i="74"/>
  <c r="E267" i="88"/>
  <c r="E275" i="74"/>
  <c r="E255" i="82"/>
  <c r="D236" i="82"/>
  <c r="E236" i="82" s="1"/>
  <c r="E278" i="82"/>
  <c r="E290" i="81"/>
  <c r="E279" i="74"/>
  <c r="D287" i="94"/>
  <c r="H177" i="93"/>
  <c r="H25" i="93"/>
  <c r="H165" i="93"/>
  <c r="H59" i="93"/>
  <c r="H188" i="93"/>
  <c r="H190" i="93" s="1"/>
  <c r="E190" i="93" s="1"/>
  <c r="D190" i="93" s="1"/>
  <c r="D282" i="93" s="1"/>
  <c r="H47" i="93"/>
  <c r="H156" i="93"/>
  <c r="H69" i="93"/>
  <c r="H192" i="93"/>
  <c r="H9" i="93"/>
  <c r="H138" i="93"/>
  <c r="H108" i="93"/>
  <c r="H123" i="93"/>
  <c r="H57" i="93"/>
  <c r="H81" i="93"/>
  <c r="H49" i="93"/>
  <c r="H144" i="93"/>
  <c r="H61" i="93"/>
  <c r="H33" i="93"/>
  <c r="H129" i="93"/>
  <c r="H90" i="93"/>
  <c r="H75" i="93"/>
  <c r="H35" i="93"/>
  <c r="H102" i="93"/>
  <c r="H45" i="93"/>
  <c r="H171" i="93"/>
  <c r="H150" i="93"/>
  <c r="H117" i="93"/>
  <c r="H96" i="93"/>
  <c r="H37" i="93"/>
  <c r="H23" i="93"/>
  <c r="H13" i="93"/>
  <c r="H66" i="93"/>
  <c r="H21" i="93"/>
  <c r="H11" i="93"/>
  <c r="E15" i="93"/>
  <c r="D15" i="93" s="1"/>
  <c r="D230" i="93" s="1"/>
  <c r="E21" i="92"/>
  <c r="D21" i="92" s="1"/>
  <c r="D231" i="92" s="1"/>
  <c r="E279" i="81"/>
  <c r="E238" i="88"/>
  <c r="E255" i="85"/>
  <c r="E254" i="91"/>
  <c r="E258" i="85"/>
  <c r="E271" i="89"/>
  <c r="E251" i="81"/>
  <c r="E237" i="85"/>
  <c r="E248" i="74"/>
  <c r="E247" i="84"/>
  <c r="E235" i="88"/>
  <c r="E267" i="89"/>
  <c r="E261" i="83"/>
  <c r="E279" i="89"/>
  <c r="E239" i="83"/>
  <c r="E264" i="74"/>
  <c r="E90" i="92"/>
  <c r="D90" i="92" s="1"/>
  <c r="D247" i="92" s="1"/>
  <c r="E272" i="81"/>
  <c r="E259" i="91"/>
  <c r="E280" i="83"/>
  <c r="E274" i="91"/>
  <c r="E232" i="84"/>
  <c r="E255" i="89"/>
  <c r="E254" i="89"/>
  <c r="E271" i="85"/>
  <c r="E234" i="81"/>
  <c r="E259" i="84"/>
  <c r="E237" i="87"/>
  <c r="E260" i="85"/>
  <c r="E265" i="87"/>
  <c r="E274" i="88"/>
  <c r="E239" i="82"/>
  <c r="E272" i="82"/>
  <c r="E273" i="83"/>
  <c r="E78" i="94"/>
  <c r="D78" i="94" s="1"/>
  <c r="D243" i="94" s="1"/>
  <c r="E260" i="91"/>
  <c r="E258" i="87"/>
  <c r="E279" i="82"/>
  <c r="E250" i="88"/>
  <c r="E244" i="91"/>
  <c r="E240" i="83"/>
  <c r="E268" i="84"/>
  <c r="E232" i="88"/>
  <c r="E267" i="85"/>
  <c r="E270" i="83"/>
  <c r="E238" i="84"/>
  <c r="E251" i="84"/>
  <c r="E263" i="89"/>
  <c r="E242" i="82"/>
  <c r="E231" i="84"/>
  <c r="E252" i="87"/>
  <c r="E263" i="81"/>
  <c r="E274" i="87"/>
  <c r="E235" i="84"/>
  <c r="E250" i="82"/>
  <c r="E21" i="94"/>
  <c r="D21" i="94" s="1"/>
  <c r="D231" i="94" s="1"/>
  <c r="H63" i="94"/>
  <c r="H135" i="94"/>
  <c r="H72" i="94"/>
  <c r="H168" i="94"/>
  <c r="H120" i="94"/>
  <c r="H162" i="94"/>
  <c r="H114" i="94"/>
  <c r="E284" i="82"/>
  <c r="E287" i="88"/>
  <c r="E266" i="87"/>
  <c r="E230" i="83"/>
  <c r="E232" i="83"/>
  <c r="E234" i="84"/>
  <c r="E270" i="84"/>
  <c r="E234" i="83"/>
  <c r="E254" i="82"/>
  <c r="E271" i="87"/>
  <c r="E253" i="83"/>
  <c r="E271" i="91"/>
  <c r="E276" i="84"/>
  <c r="E233" i="87"/>
  <c r="E254" i="85"/>
  <c r="E279" i="84"/>
  <c r="E247" i="82"/>
  <c r="E111" i="93"/>
  <c r="D111" i="93" s="1"/>
  <c r="D254" i="93" s="1"/>
  <c r="I135" i="93"/>
  <c r="I93" i="93"/>
  <c r="I139" i="93"/>
  <c r="I111" i="93"/>
  <c r="G12" i="93"/>
  <c r="I179" i="93"/>
  <c r="I83" i="93"/>
  <c r="I124" i="93"/>
  <c r="I109" i="93"/>
  <c r="I114" i="93"/>
  <c r="I169" i="93"/>
  <c r="I81" i="93"/>
  <c r="I146" i="93"/>
  <c r="I108" i="93"/>
  <c r="G46" i="93"/>
  <c r="I157" i="93"/>
  <c r="I131" i="93"/>
  <c r="I74" i="93"/>
  <c r="I102" i="93"/>
  <c r="G24" i="93"/>
  <c r="I181" i="93"/>
  <c r="I115" i="93"/>
  <c r="G44" i="93"/>
  <c r="I100" i="93"/>
  <c r="G16" i="93"/>
  <c r="I160" i="93"/>
  <c r="I91" i="93"/>
  <c r="I87" i="93"/>
  <c r="I92" i="93"/>
  <c r="I121" i="93"/>
  <c r="I136" i="93"/>
  <c r="I164" i="93"/>
  <c r="I70" i="93"/>
  <c r="I73" i="93"/>
  <c r="I67" i="93"/>
  <c r="I175" i="93"/>
  <c r="I167" i="93"/>
  <c r="I130" i="93"/>
  <c r="I163" i="93"/>
  <c r="I165" i="93"/>
  <c r="I152" i="93"/>
  <c r="I99" i="93"/>
  <c r="G28" i="93"/>
  <c r="G18" i="93"/>
  <c r="D301" i="93"/>
  <c r="I168" i="93"/>
  <c r="I153" i="93"/>
  <c r="I143" i="93"/>
  <c r="I96" i="93"/>
  <c r="I110" i="93"/>
  <c r="I112" i="93"/>
  <c r="I158" i="93"/>
  <c r="I162" i="93"/>
  <c r="I142" i="93"/>
  <c r="I90" i="93"/>
  <c r="I68" i="93"/>
  <c r="I104" i="93"/>
  <c r="I156" i="93"/>
  <c r="I134" i="93"/>
  <c r="I129" i="93"/>
  <c r="I89" i="93"/>
  <c r="G10" i="93"/>
  <c r="G60" i="93"/>
  <c r="I178" i="93"/>
  <c r="I133" i="93"/>
  <c r="I118" i="93"/>
  <c r="I88" i="93"/>
  <c r="I66" i="93"/>
  <c r="I166" i="93"/>
  <c r="I138" i="93"/>
  <c r="I106" i="93"/>
  <c r="I86" i="93"/>
  <c r="G42" i="93"/>
  <c r="I154" i="93"/>
  <c r="I128" i="93"/>
  <c r="I94" i="93"/>
  <c r="I80" i="93"/>
  <c r="G22" i="93"/>
  <c r="I180" i="93"/>
  <c r="I176" i="93"/>
  <c r="I82" i="93"/>
  <c r="I79" i="93"/>
  <c r="I76" i="93"/>
  <c r="I173" i="93"/>
  <c r="I151" i="93"/>
  <c r="I126" i="93"/>
  <c r="I77" i="93"/>
  <c r="G62" i="93"/>
  <c r="I171" i="93"/>
  <c r="I132" i="93"/>
  <c r="I122" i="93"/>
  <c r="I75" i="93"/>
  <c r="G50" i="93"/>
  <c r="I159" i="93"/>
  <c r="I117" i="93"/>
  <c r="I140" i="93"/>
  <c r="I63" i="93"/>
  <c r="I78" i="93"/>
  <c r="I149" i="93"/>
  <c r="I107" i="93"/>
  <c r="I71" i="93"/>
  <c r="G56" i="93"/>
  <c r="I64" i="93"/>
  <c r="I147" i="93"/>
  <c r="I98" i="93"/>
  <c r="I137" i="93"/>
  <c r="I84" i="93"/>
  <c r="I145" i="93"/>
  <c r="G38" i="93"/>
  <c r="I172" i="93"/>
  <c r="G54" i="93"/>
  <c r="I148" i="93"/>
  <c r="G26" i="93"/>
  <c r="I177" i="93"/>
  <c r="I123" i="93"/>
  <c r="I155" i="93"/>
  <c r="G52" i="93"/>
  <c r="I119" i="93"/>
  <c r="G14" i="93"/>
  <c r="I105" i="93"/>
  <c r="G20" i="93"/>
  <c r="I95" i="93"/>
  <c r="I150" i="93"/>
  <c r="I127" i="93"/>
  <c r="I113" i="93"/>
  <c r="I103" i="93"/>
  <c r="G34" i="93"/>
  <c r="I174" i="93"/>
  <c r="G30" i="93"/>
  <c r="I141" i="93"/>
  <c r="I120" i="93"/>
  <c r="I144" i="93"/>
  <c r="I116" i="93"/>
  <c r="I69" i="93"/>
  <c r="G32" i="93"/>
  <c r="I72" i="93"/>
  <c r="G36" i="93"/>
  <c r="I85" i="93"/>
  <c r="G58" i="93"/>
  <c r="I125" i="93"/>
  <c r="I97" i="93"/>
  <c r="I65" i="93"/>
  <c r="I182" i="93"/>
  <c r="G48" i="93"/>
  <c r="I170" i="93"/>
  <c r="G40" i="93"/>
  <c r="I161" i="93"/>
  <c r="I101" i="93"/>
  <c r="E278" i="91"/>
  <c r="E251" i="83"/>
  <c r="E234" i="88"/>
  <c r="E287" i="91"/>
  <c r="E249" i="74"/>
  <c r="E236" i="81"/>
  <c r="E248" i="83"/>
  <c r="E267" i="84"/>
  <c r="E252" i="74"/>
  <c r="E269" i="91"/>
  <c r="E264" i="82"/>
  <c r="E280" i="91"/>
  <c r="E275" i="83"/>
  <c r="E264" i="85"/>
  <c r="E268" i="83"/>
  <c r="E276" i="82"/>
  <c r="E241" i="74"/>
  <c r="E171" i="92"/>
  <c r="D171" i="92" s="1"/>
  <c r="D274" i="92" s="1"/>
  <c r="E27" i="94"/>
  <c r="D27" i="94" s="1"/>
  <c r="D232" i="94" s="1"/>
  <c r="E237" i="91"/>
  <c r="E251" i="85"/>
  <c r="E251" i="91"/>
  <c r="E251" i="74"/>
  <c r="E238" i="74"/>
  <c r="E240" i="81"/>
  <c r="E266" i="83"/>
  <c r="E269" i="82"/>
  <c r="E246" i="87"/>
  <c r="E279" i="85"/>
  <c r="E247" i="74"/>
  <c r="E274" i="74"/>
  <c r="E280" i="81"/>
  <c r="E244" i="84"/>
  <c r="E156" i="94"/>
  <c r="D156" i="94" s="1"/>
  <c r="D269" i="94" s="1"/>
  <c r="E236" i="91"/>
  <c r="E290" i="83"/>
  <c r="D229" i="83"/>
  <c r="E229" i="83" s="1"/>
  <c r="E284" i="83"/>
  <c r="E285" i="83"/>
  <c r="E285" i="89"/>
  <c r="E238" i="85"/>
  <c r="E283" i="81"/>
  <c r="E262" i="83"/>
  <c r="E269" i="84"/>
  <c r="E273" i="89"/>
  <c r="E262" i="81"/>
  <c r="E244" i="87"/>
  <c r="E241" i="91"/>
  <c r="E249" i="82"/>
  <c r="E232" i="82"/>
  <c r="E236" i="74"/>
  <c r="E258" i="84"/>
  <c r="E263" i="74"/>
  <c r="E239" i="81"/>
  <c r="E270" i="82"/>
  <c r="E285" i="88"/>
  <c r="E278" i="88"/>
  <c r="D229" i="88"/>
  <c r="E229" i="88" s="1"/>
  <c r="E286" i="89"/>
  <c r="E247" i="87"/>
  <c r="E276" i="88"/>
  <c r="E254" i="74"/>
  <c r="E279" i="88"/>
  <c r="E242" i="84"/>
  <c r="E237" i="83"/>
  <c r="E254" i="88"/>
  <c r="E277" i="91"/>
  <c r="E259" i="87"/>
  <c r="E257" i="74"/>
  <c r="E244" i="81"/>
  <c r="E271" i="88"/>
  <c r="E241" i="83"/>
  <c r="E275" i="82"/>
  <c r="E256" i="81"/>
  <c r="E283" i="85"/>
  <c r="E290" i="82"/>
  <c r="E240" i="91"/>
  <c r="E246" i="91"/>
  <c r="E276" i="87"/>
  <c r="E283" i="91"/>
  <c r="E252" i="83"/>
  <c r="E265" i="82"/>
  <c r="E252" i="88"/>
  <c r="E256" i="85"/>
  <c r="E251" i="89"/>
  <c r="E255" i="88"/>
  <c r="E239" i="84"/>
  <c r="E245" i="91"/>
  <c r="E263" i="82"/>
  <c r="E264" i="81"/>
  <c r="E240" i="84"/>
  <c r="E117" i="92"/>
  <c r="D117" i="92" s="1"/>
  <c r="D256" i="92" s="1"/>
  <c r="E147" i="94"/>
  <c r="D147" i="94" s="1"/>
  <c r="D266" i="94" s="1"/>
  <c r="E254" i="84"/>
  <c r="E273" i="85"/>
  <c r="E248" i="91"/>
  <c r="E254" i="87"/>
  <c r="E277" i="87"/>
  <c r="E287" i="89"/>
  <c r="E252" i="89"/>
  <c r="E243" i="83"/>
  <c r="E253" i="82"/>
  <c r="E276" i="85"/>
  <c r="E259" i="88"/>
  <c r="E242" i="87"/>
  <c r="E272" i="89"/>
  <c r="E258" i="81"/>
  <c r="E290" i="89"/>
  <c r="E255" i="84"/>
  <c r="E253" i="91"/>
  <c r="E256" i="74"/>
  <c r="E260" i="84"/>
  <c r="E256" i="82"/>
  <c r="E198" i="94"/>
  <c r="D198" i="94" s="1"/>
  <c r="D286" i="94" s="1"/>
  <c r="I144" i="92"/>
  <c r="I155" i="92"/>
  <c r="I117" i="92"/>
  <c r="G34" i="92"/>
  <c r="I77" i="92"/>
  <c r="I134" i="92"/>
  <c r="I153" i="92"/>
  <c r="I107" i="92"/>
  <c r="G14" i="92"/>
  <c r="G58" i="92"/>
  <c r="I132" i="92"/>
  <c r="I143" i="92"/>
  <c r="I105" i="92"/>
  <c r="G12" i="92"/>
  <c r="G26" i="92"/>
  <c r="I178" i="92"/>
  <c r="I141" i="92"/>
  <c r="I95" i="92"/>
  <c r="I106" i="92"/>
  <c r="I99" i="92"/>
  <c r="I166" i="92"/>
  <c r="I162" i="92"/>
  <c r="I93" i="92"/>
  <c r="G32" i="92"/>
  <c r="I97" i="92"/>
  <c r="I154" i="92"/>
  <c r="I152" i="92"/>
  <c r="I83" i="92"/>
  <c r="G24" i="92"/>
  <c r="I90" i="92"/>
  <c r="I142" i="92"/>
  <c r="I129" i="92"/>
  <c r="I81" i="92"/>
  <c r="G20" i="92"/>
  <c r="I89" i="92"/>
  <c r="I180" i="92"/>
  <c r="I125" i="92"/>
  <c r="I71" i="92"/>
  <c r="I104" i="92"/>
  <c r="I80" i="92"/>
  <c r="I173" i="92"/>
  <c r="I123" i="92"/>
  <c r="I174" i="92"/>
  <c r="I70" i="92"/>
  <c r="I65" i="92"/>
  <c r="I171" i="92"/>
  <c r="I113" i="92"/>
  <c r="I164" i="92"/>
  <c r="I67" i="92"/>
  <c r="I63" i="92"/>
  <c r="I161" i="92"/>
  <c r="I111" i="92"/>
  <c r="I127" i="92"/>
  <c r="G62" i="92"/>
  <c r="G56" i="92"/>
  <c r="I159" i="92"/>
  <c r="I130" i="92"/>
  <c r="I115" i="92"/>
  <c r="G54" i="92"/>
  <c r="G48" i="92"/>
  <c r="I149" i="92"/>
  <c r="I121" i="92"/>
  <c r="I103" i="92"/>
  <c r="G46" i="92"/>
  <c r="G40" i="92"/>
  <c r="I147" i="92"/>
  <c r="I109" i="92"/>
  <c r="I138" i="92"/>
  <c r="G18" i="92"/>
  <c r="G10" i="92"/>
  <c r="G60" i="92"/>
  <c r="I137" i="92"/>
  <c r="I176" i="92"/>
  <c r="I133" i="92"/>
  <c r="I82" i="92"/>
  <c r="I118" i="92"/>
  <c r="G52" i="92"/>
  <c r="I135" i="92"/>
  <c r="I128" i="92"/>
  <c r="I122" i="92"/>
  <c r="I79" i="92"/>
  <c r="I102" i="92"/>
  <c r="D301" i="92"/>
  <c r="I66" i="92"/>
  <c r="I179" i="92"/>
  <c r="I126" i="92"/>
  <c r="I120" i="92"/>
  <c r="I75" i="92"/>
  <c r="I101" i="92"/>
  <c r="I68" i="92"/>
  <c r="I169" i="92"/>
  <c r="I116" i="92"/>
  <c r="I110" i="92"/>
  <c r="I73" i="92"/>
  <c r="I92" i="92"/>
  <c r="I182" i="92"/>
  <c r="I157" i="92"/>
  <c r="I114" i="92"/>
  <c r="I108" i="92"/>
  <c r="I69" i="92"/>
  <c r="G38" i="92"/>
  <c r="I175" i="92"/>
  <c r="I145" i="92"/>
  <c r="I150" i="92"/>
  <c r="I98" i="92"/>
  <c r="G44" i="92"/>
  <c r="G30" i="92"/>
  <c r="I163" i="92"/>
  <c r="I181" i="92"/>
  <c r="I140" i="92"/>
  <c r="I96" i="92"/>
  <c r="G36" i="92"/>
  <c r="G22" i="92"/>
  <c r="I151" i="92"/>
  <c r="I172" i="92"/>
  <c r="I124" i="92"/>
  <c r="I86" i="92"/>
  <c r="G28" i="92"/>
  <c r="I139" i="92"/>
  <c r="I160" i="92"/>
  <c r="I112" i="92"/>
  <c r="I84" i="92"/>
  <c r="G16" i="92"/>
  <c r="I170" i="92"/>
  <c r="I148" i="92"/>
  <c r="I100" i="92"/>
  <c r="I74" i="92"/>
  <c r="I94" i="92"/>
  <c r="I168" i="92"/>
  <c r="I136" i="92"/>
  <c r="I88" i="92"/>
  <c r="I72" i="92"/>
  <c r="I91" i="92"/>
  <c r="I158" i="92"/>
  <c r="I177" i="92"/>
  <c r="I76" i="92"/>
  <c r="I64" i="92"/>
  <c r="I87" i="92"/>
  <c r="I156" i="92"/>
  <c r="I167" i="92"/>
  <c r="I131" i="92"/>
  <c r="G50" i="92"/>
  <c r="I85" i="92"/>
  <c r="I119" i="92"/>
  <c r="G42" i="92"/>
  <c r="I78" i="92"/>
  <c r="I146" i="92"/>
  <c r="I165" i="92"/>
  <c r="E45" i="94"/>
  <c r="D45" i="94" s="1"/>
  <c r="D235" i="94" s="1"/>
  <c r="E278" i="74"/>
  <c r="E236" i="83"/>
  <c r="E248" i="84"/>
  <c r="E278" i="89"/>
  <c r="E286" i="83"/>
  <c r="E245" i="89"/>
  <c r="E231" i="82"/>
  <c r="E267" i="82"/>
  <c r="E243" i="84"/>
  <c r="E251" i="88"/>
  <c r="E287" i="85"/>
  <c r="E251" i="87"/>
  <c r="E239" i="85"/>
  <c r="E284" i="88"/>
  <c r="E290" i="87"/>
  <c r="E250" i="83"/>
  <c r="E248" i="81"/>
  <c r="E250" i="81"/>
  <c r="D301" i="94"/>
  <c r="I132" i="94"/>
  <c r="I123" i="94"/>
  <c r="I105" i="94"/>
  <c r="G60" i="94"/>
  <c r="I136" i="94"/>
  <c r="I178" i="94"/>
  <c r="I113" i="94"/>
  <c r="I115" i="94"/>
  <c r="G52" i="94"/>
  <c r="I82" i="94"/>
  <c r="I166" i="94"/>
  <c r="I111" i="94"/>
  <c r="I89" i="94"/>
  <c r="I145" i="94"/>
  <c r="G32" i="94"/>
  <c r="I180" i="94"/>
  <c r="I101" i="94"/>
  <c r="I87" i="94"/>
  <c r="I122" i="94"/>
  <c r="G24" i="94"/>
  <c r="I173" i="94"/>
  <c r="I99" i="94"/>
  <c r="I77" i="94"/>
  <c r="I88" i="94"/>
  <c r="G20" i="94"/>
  <c r="I171" i="94"/>
  <c r="I177" i="94"/>
  <c r="I75" i="94"/>
  <c r="I76" i="94"/>
  <c r="I79" i="94"/>
  <c r="I161" i="94"/>
  <c r="I167" i="94"/>
  <c r="I65" i="94"/>
  <c r="I64" i="94"/>
  <c r="G18" i="94"/>
  <c r="I159" i="94"/>
  <c r="I155" i="94"/>
  <c r="I63" i="94"/>
  <c r="G50" i="94"/>
  <c r="I179" i="94"/>
  <c r="I149" i="94"/>
  <c r="I121" i="94"/>
  <c r="G56" i="94"/>
  <c r="I165" i="94"/>
  <c r="I108" i="94"/>
  <c r="I147" i="94"/>
  <c r="I109" i="94"/>
  <c r="G48" i="94"/>
  <c r="I129" i="94"/>
  <c r="I94" i="94"/>
  <c r="I137" i="94"/>
  <c r="I169" i="94"/>
  <c r="G40" i="94"/>
  <c r="I95" i="94"/>
  <c r="G46" i="94"/>
  <c r="I135" i="94"/>
  <c r="I131" i="94"/>
  <c r="I142" i="94"/>
  <c r="I93" i="94"/>
  <c r="G34" i="94"/>
  <c r="I176" i="94"/>
  <c r="I130" i="94"/>
  <c r="I138" i="94"/>
  <c r="I83" i="94"/>
  <c r="G28" i="94"/>
  <c r="I157" i="94"/>
  <c r="I128" i="94"/>
  <c r="I120" i="94"/>
  <c r="I81" i="94"/>
  <c r="G16" i="94"/>
  <c r="I154" i="94"/>
  <c r="I126" i="94"/>
  <c r="I110" i="94"/>
  <c r="I71" i="94"/>
  <c r="I91" i="94"/>
  <c r="I150" i="94"/>
  <c r="I116" i="94"/>
  <c r="I98" i="94"/>
  <c r="I69" i="94"/>
  <c r="G54" i="94"/>
  <c r="I182" i="94"/>
  <c r="I148" i="94"/>
  <c r="I114" i="94"/>
  <c r="I97" i="94"/>
  <c r="I96" i="94"/>
  <c r="G26" i="94"/>
  <c r="I175" i="94"/>
  <c r="I141" i="94"/>
  <c r="I104" i="94"/>
  <c r="I85" i="94"/>
  <c r="I86" i="94"/>
  <c r="G58" i="94"/>
  <c r="I163" i="94"/>
  <c r="I140" i="94"/>
  <c r="I102" i="94"/>
  <c r="I73" i="94"/>
  <c r="I84" i="94"/>
  <c r="G10" i="94"/>
  <c r="I151" i="94"/>
  <c r="I118" i="94"/>
  <c r="I174" i="94"/>
  <c r="G38" i="94"/>
  <c r="I74" i="94"/>
  <c r="G62" i="94"/>
  <c r="I139" i="94"/>
  <c r="I106" i="94"/>
  <c r="I164" i="94"/>
  <c r="I133" i="94"/>
  <c r="I72" i="94"/>
  <c r="G42" i="94"/>
  <c r="I170" i="94"/>
  <c r="I172" i="94"/>
  <c r="I124" i="94"/>
  <c r="I127" i="94"/>
  <c r="G44" i="94"/>
  <c r="G30" i="94"/>
  <c r="I168" i="94"/>
  <c r="I162" i="94"/>
  <c r="I112" i="94"/>
  <c r="I92" i="94"/>
  <c r="G36" i="94"/>
  <c r="G22" i="94"/>
  <c r="I158" i="94"/>
  <c r="I160" i="94"/>
  <c r="I100" i="94"/>
  <c r="I90" i="94"/>
  <c r="I103" i="94"/>
  <c r="I156" i="94"/>
  <c r="I153" i="94"/>
  <c r="I181" i="94"/>
  <c r="I80" i="94"/>
  <c r="I70" i="94"/>
  <c r="I146" i="94"/>
  <c r="I152" i="94"/>
  <c r="I119" i="94"/>
  <c r="I78" i="94"/>
  <c r="I67" i="94"/>
  <c r="I144" i="94"/>
  <c r="I143" i="94"/>
  <c r="I117" i="94"/>
  <c r="I68" i="94"/>
  <c r="G14" i="94"/>
  <c r="I134" i="94"/>
  <c r="I125" i="94"/>
  <c r="I107" i="94"/>
  <c r="I66" i="94"/>
  <c r="G12" i="94"/>
  <c r="E214" i="92"/>
  <c r="D214" i="92" s="1"/>
  <c r="D290" i="92" s="1"/>
  <c r="E278" i="83"/>
  <c r="E72" i="93"/>
  <c r="D72" i="93" s="1"/>
  <c r="D241" i="93" s="1"/>
  <c r="E243" i="85"/>
  <c r="E250" i="85"/>
  <c r="E242" i="81"/>
  <c r="E256" i="88"/>
  <c r="E273" i="81"/>
  <c r="E238" i="81"/>
  <c r="E277" i="82"/>
  <c r="E230" i="87"/>
  <c r="E277" i="84"/>
  <c r="E247" i="85"/>
  <c r="E249" i="84"/>
  <c r="E277" i="88"/>
  <c r="E271" i="82"/>
  <c r="E248" i="87"/>
  <c r="E284" i="81"/>
  <c r="E243" i="74"/>
  <c r="E132" i="93"/>
  <c r="D132" i="93" s="1"/>
  <c r="D261" i="93" s="1"/>
  <c r="E269" i="85"/>
  <c r="E249" i="85"/>
  <c r="E272" i="83"/>
  <c r="E246" i="81"/>
  <c r="E253" i="74"/>
  <c r="E266" i="82"/>
  <c r="E275" i="91"/>
  <c r="E276" i="81"/>
  <c r="E234" i="85"/>
  <c r="E276" i="83"/>
  <c r="E255" i="87"/>
  <c r="E275" i="81"/>
  <c r="E270" i="89"/>
  <c r="E273" i="84"/>
  <c r="E283" i="82"/>
  <c r="E234" i="74"/>
  <c r="E214" i="94"/>
  <c r="D214" i="94" s="1"/>
  <c r="D290" i="94" s="1"/>
  <c r="E285" i="82"/>
  <c r="E277" i="89"/>
  <c r="E246" i="88"/>
  <c r="E284" i="84"/>
  <c r="E264" i="83"/>
  <c r="E260" i="88"/>
  <c r="E286" i="91"/>
  <c r="E240" i="74"/>
  <c r="E233" i="82"/>
  <c r="E244" i="82"/>
  <c r="E239" i="87"/>
  <c r="E258" i="88"/>
  <c r="E258" i="74"/>
  <c r="E257" i="89"/>
  <c r="E246" i="83"/>
  <c r="E245" i="84"/>
  <c r="E183" i="94"/>
  <c r="D183" i="94" s="1"/>
  <c r="D278" i="94" s="1"/>
  <c r="E262" i="85"/>
  <c r="E283" i="88"/>
  <c r="E242" i="91"/>
  <c r="E279" i="83"/>
  <c r="E233" i="83"/>
  <c r="E238" i="82"/>
  <c r="E237" i="88"/>
  <c r="E273" i="88"/>
  <c r="E259" i="74"/>
  <c r="E259" i="89"/>
  <c r="D229" i="81"/>
  <c r="E229" i="81" s="1"/>
  <c r="E286" i="81"/>
  <c r="E286" i="88"/>
  <c r="E261" i="81"/>
  <c r="E273" i="74"/>
  <c r="E247" i="88"/>
  <c r="E235" i="74"/>
  <c r="E233" i="88"/>
  <c r="E245" i="82"/>
  <c r="E236" i="84"/>
  <c r="E280" i="82"/>
  <c r="D188" i="94"/>
  <c r="D280" i="94" s="1"/>
  <c r="E243" i="91"/>
  <c r="E270" i="91"/>
  <c r="E273" i="91"/>
  <c r="E263" i="87"/>
  <c r="E267" i="87"/>
  <c r="E246" i="82"/>
  <c r="E240" i="87"/>
  <c r="E266" i="91"/>
  <c r="E245" i="74"/>
  <c r="E284" i="89"/>
  <c r="E252" i="81"/>
  <c r="E284" i="91"/>
  <c r="E266" i="81"/>
  <c r="E263" i="84"/>
  <c r="E284" i="87"/>
  <c r="E252" i="91"/>
  <c r="E261" i="88"/>
  <c r="E262" i="88"/>
  <c r="E262" i="74"/>
  <c r="E257" i="82"/>
  <c r="E192" i="94"/>
  <c r="D192" i="94" s="1"/>
  <c r="D284" i="94" s="1"/>
  <c r="E75" i="94"/>
  <c r="D75" i="94" s="1"/>
  <c r="D242" i="94" s="1"/>
  <c r="E256" i="84"/>
  <c r="E250" i="91"/>
  <c r="E285" i="85"/>
  <c r="E256" i="91"/>
  <c r="E246" i="85"/>
  <c r="E258" i="91"/>
  <c r="E256" i="83"/>
  <c r="E270" i="81"/>
  <c r="E265" i="88"/>
  <c r="E260" i="83"/>
  <c r="E286" i="85"/>
  <c r="E255" i="83"/>
  <c r="E268" i="85"/>
  <c r="E262" i="91"/>
  <c r="E259" i="85"/>
  <c r="E260" i="87"/>
  <c r="E275" i="84"/>
  <c r="E250" i="74"/>
  <c r="E191" i="93"/>
  <c r="D191" i="93" s="1"/>
  <c r="D283" i="93" s="1"/>
  <c r="D187" i="93"/>
  <c r="D279" i="93" s="1"/>
  <c r="E274" i="84"/>
  <c r="E249" i="91"/>
  <c r="E256" i="87"/>
  <c r="E280" i="85"/>
  <c r="E268" i="82"/>
  <c r="E276" i="74"/>
  <c r="E264" i="89"/>
  <c r="E243" i="81"/>
  <c r="E249" i="83"/>
  <c r="E254" i="83"/>
  <c r="E233" i="81"/>
  <c r="E290" i="84"/>
  <c r="E290" i="85"/>
  <c r="E231" i="81"/>
  <c r="E285" i="81"/>
  <c r="E138" i="92"/>
  <c r="D138" i="92" s="1"/>
  <c r="D263" i="92" s="1"/>
  <c r="E9" i="92"/>
  <c r="D9" i="92" s="1"/>
  <c r="E258" i="83"/>
  <c r="E264" i="88"/>
  <c r="E280" i="89"/>
  <c r="E286" i="82"/>
  <c r="E247" i="89"/>
  <c r="E267" i="81"/>
  <c r="E244" i="85"/>
  <c r="E270" i="88"/>
  <c r="E243" i="87"/>
  <c r="E277" i="74"/>
  <c r="E290" i="88"/>
  <c r="E267" i="74"/>
  <c r="E266" i="89"/>
  <c r="E254" i="81"/>
  <c r="E277" i="83"/>
  <c r="E257" i="85"/>
  <c r="E264" i="87"/>
  <c r="E284" i="85"/>
  <c r="E273" i="82"/>
  <c r="E272" i="87"/>
  <c r="E269" i="89"/>
  <c r="E275" i="88"/>
  <c r="E253" i="89"/>
  <c r="E242" i="74"/>
  <c r="E246" i="84"/>
  <c r="E242" i="88"/>
  <c r="E241" i="85"/>
  <c r="E235" i="83"/>
  <c r="E283" i="89"/>
  <c r="E274" i="89"/>
  <c r="E241" i="84"/>
  <c r="E241" i="81"/>
  <c r="E257" i="81"/>
  <c r="E238" i="83"/>
  <c r="E283" i="83"/>
  <c r="E249" i="81"/>
  <c r="H168" i="92"/>
  <c r="H135" i="92"/>
  <c r="H162" i="92"/>
  <c r="V162" i="92" s="1"/>
  <c r="H114" i="92"/>
  <c r="H63" i="92"/>
  <c r="H120" i="92"/>
  <c r="H87" i="92"/>
  <c r="H72" i="92"/>
  <c r="E290" i="91"/>
  <c r="E272" i="91"/>
  <c r="E267" i="91"/>
  <c r="E239" i="88"/>
  <c r="E244" i="88"/>
  <c r="E256" i="89"/>
  <c r="E276" i="89"/>
  <c r="E237" i="82"/>
  <c r="E253" i="87"/>
  <c r="E253" i="85"/>
  <c r="E280" i="87"/>
  <c r="E269" i="88"/>
  <c r="E273" i="87"/>
  <c r="E250" i="89"/>
  <c r="E255" i="74"/>
  <c r="E235" i="85"/>
  <c r="E280" i="88"/>
  <c r="E266" i="85"/>
  <c r="E265" i="81"/>
  <c r="E286" i="74"/>
  <c r="H55" i="92"/>
  <c r="H51" i="92"/>
  <c r="H53" i="92"/>
  <c r="H19" i="92"/>
  <c r="H183" i="92"/>
  <c r="H17" i="92"/>
  <c r="H141" i="92"/>
  <c r="H191" i="92"/>
  <c r="H147" i="92"/>
  <c r="H174" i="92"/>
  <c r="H111" i="92"/>
  <c r="H43" i="92"/>
  <c r="H153" i="92"/>
  <c r="H180" i="92"/>
  <c r="H159" i="92"/>
  <c r="H187" i="92"/>
  <c r="H189" i="92" s="1"/>
  <c r="H126" i="92"/>
  <c r="H78" i="92"/>
  <c r="H132" i="92"/>
  <c r="H105" i="92"/>
  <c r="H27" i="92"/>
  <c r="H29" i="92"/>
  <c r="H39" i="92"/>
  <c r="H15" i="92"/>
  <c r="H41" i="92"/>
  <c r="H84" i="92"/>
  <c r="H31" i="92"/>
  <c r="H93" i="92"/>
  <c r="H99" i="92"/>
  <c r="E258" i="89"/>
  <c r="D229" i="87"/>
  <c r="E229" i="87" s="1"/>
  <c r="E285" i="87"/>
  <c r="E283" i="87"/>
  <c r="E279" i="87"/>
  <c r="E286" i="87"/>
  <c r="E287" i="87"/>
  <c r="E278" i="87"/>
  <c r="E272" i="88"/>
  <c r="E261" i="87"/>
  <c r="E230" i="88"/>
  <c r="E262" i="87"/>
  <c r="E239" i="74"/>
  <c r="E272" i="85"/>
  <c r="E271" i="84"/>
  <c r="E252" i="85"/>
  <c r="E287" i="83"/>
  <c r="E252" i="82"/>
  <c r="E241" i="87"/>
  <c r="E238" i="87"/>
  <c r="E242" i="83"/>
  <c r="E265" i="84"/>
  <c r="E243" i="82"/>
  <c r="E261" i="74"/>
  <c r="E280" i="74"/>
  <c r="E198" i="93"/>
  <c r="D198" i="93" s="1"/>
  <c r="D286" i="93" s="1"/>
  <c r="E15" i="94"/>
  <c r="D15" i="94" s="1"/>
  <c r="E285" i="91"/>
  <c r="E246" i="89"/>
  <c r="E262" i="84"/>
  <c r="E274" i="85"/>
  <c r="E236" i="88"/>
  <c r="E257" i="84"/>
  <c r="E265" i="91"/>
  <c r="E283" i="74"/>
  <c r="E251" i="82"/>
  <c r="E274" i="82"/>
  <c r="E240" i="85"/>
  <c r="E267" i="83"/>
  <c r="E230" i="84"/>
  <c r="E271" i="81"/>
  <c r="E236" i="87"/>
  <c r="E247" i="91"/>
  <c r="E268" i="74"/>
  <c r="E275" i="85"/>
  <c r="E237" i="84"/>
  <c r="E237" i="74"/>
  <c r="E247" i="83"/>
  <c r="D123" i="94"/>
  <c r="D258" i="94" s="1"/>
  <c r="E141" i="94"/>
  <c r="D141" i="94" s="1"/>
  <c r="D264" i="94" s="1"/>
  <c r="E268" i="89"/>
  <c r="E235" i="87"/>
  <c r="E274" i="81"/>
  <c r="E261" i="84"/>
  <c r="E231" i="88"/>
  <c r="E261" i="91"/>
  <c r="E230" i="74"/>
  <c r="E260" i="81"/>
  <c r="E266" i="88"/>
  <c r="E235" i="81"/>
  <c r="E259" i="81"/>
  <c r="E268" i="81"/>
  <c r="E265" i="83"/>
  <c r="E268" i="91"/>
  <c r="E264" i="91"/>
  <c r="E241" i="88"/>
  <c r="E237" i="81"/>
  <c r="E263" i="83"/>
  <c r="E258" i="82"/>
  <c r="E285" i="74"/>
  <c r="E180" i="93"/>
  <c r="D180" i="93" s="1"/>
  <c r="D277" i="93" s="1"/>
  <c r="E117" i="94"/>
  <c r="D117" i="94" s="1"/>
  <c r="D256" i="94" s="1"/>
  <c r="E275" i="89"/>
  <c r="E242" i="85"/>
  <c r="E278" i="84"/>
  <c r="E280" i="84"/>
  <c r="E283" i="84"/>
  <c r="D229" i="84"/>
  <c r="E229" i="84" s="1"/>
  <c r="E285" i="84"/>
  <c r="E287" i="84"/>
  <c r="E286" i="84"/>
  <c r="E231" i="87"/>
  <c r="E238" i="91"/>
  <c r="E253" i="88"/>
  <c r="E263" i="88"/>
  <c r="E284" i="74"/>
  <c r="E263" i="85"/>
  <c r="E271" i="74"/>
  <c r="E259" i="82"/>
  <c r="E260" i="89"/>
  <c r="E253" i="84"/>
  <c r="E247" i="81"/>
  <c r="E248" i="89"/>
  <c r="E253" i="81"/>
  <c r="E287" i="82"/>
  <c r="E39" i="94"/>
  <c r="D39" i="94" s="1"/>
  <c r="D234" i="94" s="1"/>
  <c r="E57" i="92"/>
  <c r="D57" i="92" s="1"/>
  <c r="D237" i="92" s="1"/>
  <c r="E114" i="93"/>
  <c r="D114" i="93" s="1"/>
  <c r="D255" i="93" s="1"/>
  <c r="E275" i="87"/>
  <c r="E257" i="83"/>
  <c r="E257" i="87"/>
  <c r="E232" i="87"/>
  <c r="E250" i="87"/>
  <c r="E239" i="91"/>
  <c r="E233" i="85"/>
  <c r="E266" i="74"/>
  <c r="E269" i="74"/>
  <c r="E279" i="91"/>
  <c r="E264" i="84"/>
  <c r="E269" i="81"/>
  <c r="E240" i="88"/>
  <c r="E234" i="82"/>
  <c r="E259" i="83"/>
  <c r="E108" i="94"/>
  <c r="D108" i="94" s="1"/>
  <c r="D253" i="94" s="1"/>
  <c r="E153" i="93"/>
  <c r="D153" i="93" s="1"/>
  <c r="D268" i="93" s="1"/>
  <c r="E262" i="82"/>
  <c r="E268" i="87"/>
  <c r="E245" i="85"/>
  <c r="E265" i="89"/>
  <c r="E276" i="91"/>
  <c r="E257" i="91"/>
  <c r="E231" i="83"/>
  <c r="E266" i="84"/>
  <c r="E233" i="74"/>
  <c r="E270" i="87"/>
  <c r="E261" i="89"/>
  <c r="E269" i="83"/>
  <c r="E231" i="74"/>
  <c r="E243" i="88"/>
  <c r="E248" i="82"/>
  <c r="E255" i="81"/>
  <c r="E33" i="94"/>
  <c r="D33" i="94" s="1"/>
  <c r="D233" i="94" s="1"/>
  <c r="E245" i="83"/>
  <c r="E249" i="89"/>
  <c r="E270" i="85"/>
  <c r="E245" i="87"/>
  <c r="E262" i="89"/>
  <c r="E263" i="91"/>
  <c r="E233" i="84"/>
  <c r="E240" i="82"/>
  <c r="E261" i="82"/>
  <c r="E270" i="74"/>
  <c r="E248" i="85"/>
  <c r="E268" i="88"/>
  <c r="E265" i="85"/>
  <c r="E287" i="74"/>
  <c r="E232" i="85"/>
  <c r="E245" i="81"/>
  <c r="E290" i="74"/>
  <c r="E189" i="92" l="1"/>
  <c r="D189" i="92"/>
  <c r="D281" i="92" s="1"/>
  <c r="E189" i="93"/>
  <c r="D189" i="93"/>
  <c r="D281" i="93" s="1"/>
  <c r="E202" i="92"/>
  <c r="D202" i="92" s="1"/>
  <c r="D287" i="92" s="1"/>
  <c r="E206" i="92"/>
  <c r="D206" i="92" s="1"/>
  <c r="D288" i="92" s="1"/>
  <c r="E210" i="92"/>
  <c r="D210" i="92" s="1"/>
  <c r="D289" i="92" s="1"/>
  <c r="E232" i="94"/>
  <c r="D229" i="92"/>
  <c r="E229" i="92" s="1"/>
  <c r="D230" i="94"/>
  <c r="E230" i="94" s="1"/>
  <c r="E236" i="94"/>
  <c r="E237" i="94"/>
  <c r="E141" i="92"/>
  <c r="D141" i="92" s="1"/>
  <c r="D264" i="92" s="1"/>
  <c r="E235" i="94"/>
  <c r="E192" i="93"/>
  <c r="D192" i="93" s="1"/>
  <c r="D284" i="93" s="1"/>
  <c r="E174" i="92"/>
  <c r="D174" i="92" s="1"/>
  <c r="D275" i="92" s="1"/>
  <c r="E191" i="92"/>
  <c r="D191" i="92" s="1"/>
  <c r="D283" i="92" s="1"/>
  <c r="E9" i="93"/>
  <c r="D9" i="93" s="1"/>
  <c r="E282" i="93" s="1"/>
  <c r="E72" i="92"/>
  <c r="D72" i="92" s="1"/>
  <c r="D241" i="92" s="1"/>
  <c r="E87" i="92"/>
  <c r="D87" i="92" s="1"/>
  <c r="D246" i="92" s="1"/>
  <c r="E69" i="93"/>
  <c r="D69" i="93" s="1"/>
  <c r="D240" i="93" s="1"/>
  <c r="E153" i="92"/>
  <c r="D153" i="92" s="1"/>
  <c r="D268" i="92" s="1"/>
  <c r="E183" i="92"/>
  <c r="D183" i="92" s="1"/>
  <c r="D278" i="92" s="1"/>
  <c r="E120" i="92"/>
  <c r="D120" i="92" s="1"/>
  <c r="D257" i="92" s="1"/>
  <c r="E156" i="93"/>
  <c r="D156" i="93" s="1"/>
  <c r="D269" i="93" s="1"/>
  <c r="E63" i="92"/>
  <c r="D63" i="92" s="1"/>
  <c r="D238" i="92" s="1"/>
  <c r="E21" i="93"/>
  <c r="D21" i="93" s="1"/>
  <c r="D231" i="93" s="1"/>
  <c r="E114" i="92"/>
  <c r="D114" i="92" s="1"/>
  <c r="D255" i="92" s="1"/>
  <c r="E66" i="93"/>
  <c r="D66" i="93" s="1"/>
  <c r="D239" i="93" s="1"/>
  <c r="E188" i="93"/>
  <c r="D188" i="93" s="1"/>
  <c r="D280" i="93" s="1"/>
  <c r="E51" i="92"/>
  <c r="D51" i="92" s="1"/>
  <c r="D236" i="92" s="1"/>
  <c r="E162" i="92"/>
  <c r="D162" i="92" s="1"/>
  <c r="D271" i="92" s="1"/>
  <c r="E234" i="94"/>
  <c r="E99" i="92"/>
  <c r="D99" i="92" s="1"/>
  <c r="D250" i="92" s="1"/>
  <c r="E135" i="92"/>
  <c r="D135" i="92" s="1"/>
  <c r="D262" i="92" s="1"/>
  <c r="E87" i="94"/>
  <c r="D87" i="94" s="1"/>
  <c r="D246" i="94" s="1"/>
  <c r="E165" i="93"/>
  <c r="D165" i="93" s="1"/>
  <c r="D272" i="93" s="1"/>
  <c r="E93" i="92"/>
  <c r="D93" i="92" s="1"/>
  <c r="D248" i="92" s="1"/>
  <c r="E168" i="92"/>
  <c r="D168" i="92" s="1"/>
  <c r="D273" i="92" s="1"/>
  <c r="E114" i="94"/>
  <c r="D114" i="94" s="1"/>
  <c r="D255" i="94" s="1"/>
  <c r="E162" i="94"/>
  <c r="D162" i="94" s="1"/>
  <c r="D271" i="94" s="1"/>
  <c r="E96" i="93"/>
  <c r="D96" i="93" s="1"/>
  <c r="D249" i="93" s="1"/>
  <c r="E177" i="93"/>
  <c r="D177" i="93" s="1"/>
  <c r="D276" i="93" s="1"/>
  <c r="E84" i="92"/>
  <c r="D84" i="92" s="1"/>
  <c r="D245" i="92" s="1"/>
  <c r="E120" i="94"/>
  <c r="D120" i="94" s="1"/>
  <c r="D257" i="94" s="1"/>
  <c r="E117" i="93"/>
  <c r="D117" i="93" s="1"/>
  <c r="D256" i="93" s="1"/>
  <c r="E233" i="94"/>
  <c r="E168" i="94"/>
  <c r="D168" i="94" s="1"/>
  <c r="D273" i="94" s="1"/>
  <c r="E150" i="93"/>
  <c r="D150" i="93" s="1"/>
  <c r="D267" i="93" s="1"/>
  <c r="E15" i="92"/>
  <c r="D15" i="92" s="1"/>
  <c r="E282" i="92" s="1"/>
  <c r="E72" i="94"/>
  <c r="D72" i="94" s="1"/>
  <c r="D241" i="94" s="1"/>
  <c r="E171" i="93"/>
  <c r="D171" i="93" s="1"/>
  <c r="D274" i="93" s="1"/>
  <c r="E39" i="92"/>
  <c r="D39" i="92" s="1"/>
  <c r="D234" i="92" s="1"/>
  <c r="E135" i="94"/>
  <c r="D135" i="94" s="1"/>
  <c r="D262" i="94" s="1"/>
  <c r="E45" i="93"/>
  <c r="D45" i="93" s="1"/>
  <c r="D235" i="93" s="1"/>
  <c r="E63" i="94"/>
  <c r="D63" i="94" s="1"/>
  <c r="E282" i="94" s="1"/>
  <c r="E102" i="93"/>
  <c r="D102" i="93" s="1"/>
  <c r="D251" i="93" s="1"/>
  <c r="E105" i="92"/>
  <c r="D105" i="92" s="1"/>
  <c r="D252" i="92" s="1"/>
  <c r="E231" i="94"/>
  <c r="E75" i="93"/>
  <c r="D75" i="93" s="1"/>
  <c r="D242" i="93" s="1"/>
  <c r="E132" i="92"/>
  <c r="D132" i="92" s="1"/>
  <c r="D261" i="92" s="1"/>
  <c r="E90" i="93"/>
  <c r="D90" i="93" s="1"/>
  <c r="D247" i="93" s="1"/>
  <c r="E78" i="92"/>
  <c r="D78" i="92" s="1"/>
  <c r="D243" i="92" s="1"/>
  <c r="E129" i="93"/>
  <c r="D129" i="93" s="1"/>
  <c r="D260" i="93" s="1"/>
  <c r="E126" i="92"/>
  <c r="D126" i="92" s="1"/>
  <c r="D259" i="92" s="1"/>
  <c r="E33" i="93"/>
  <c r="D33" i="93" s="1"/>
  <c r="D233" i="93" s="1"/>
  <c r="E27" i="92"/>
  <c r="D27" i="92" s="1"/>
  <c r="D232" i="92" s="1"/>
  <c r="E187" i="92"/>
  <c r="D187" i="92" s="1"/>
  <c r="D279" i="92" s="1"/>
  <c r="E144" i="93"/>
  <c r="D144" i="93" s="1"/>
  <c r="D265" i="93" s="1"/>
  <c r="E180" i="92"/>
  <c r="D180" i="92" s="1"/>
  <c r="D277" i="92" s="1"/>
  <c r="E81" i="93"/>
  <c r="D81" i="93" s="1"/>
  <c r="D244" i="93" s="1"/>
  <c r="E57" i="93"/>
  <c r="D57" i="93" s="1"/>
  <c r="D237" i="93" s="1"/>
  <c r="E111" i="92"/>
  <c r="D111" i="92" s="1"/>
  <c r="D254" i="92" s="1"/>
  <c r="E123" i="93"/>
  <c r="D123" i="93" s="1"/>
  <c r="D258" i="93" s="1"/>
  <c r="E108" i="93"/>
  <c r="D108" i="93" s="1"/>
  <c r="D253" i="93" s="1"/>
  <c r="E159" i="92"/>
  <c r="D159" i="92" s="1"/>
  <c r="D270" i="92" s="1"/>
  <c r="E147" i="92"/>
  <c r="D147" i="92" s="1"/>
  <c r="D266" i="92" s="1"/>
  <c r="E138" i="93"/>
  <c r="D138" i="93" s="1"/>
  <c r="D263" i="93" s="1"/>
  <c r="E281" i="93" l="1"/>
  <c r="E281" i="92"/>
  <c r="E231" i="93"/>
  <c r="E281" i="94"/>
  <c r="E289" i="92"/>
  <c r="E289" i="93"/>
  <c r="E288" i="92"/>
  <c r="E289" i="94"/>
  <c r="E288" i="93"/>
  <c r="E288" i="94"/>
  <c r="E246" i="94"/>
  <c r="E246" i="92"/>
  <c r="E259" i="92"/>
  <c r="E255" i="94"/>
  <c r="E252" i="92"/>
  <c r="E258" i="93"/>
  <c r="E232" i="92"/>
  <c r="E239" i="93"/>
  <c r="E240" i="93"/>
  <c r="E243" i="92"/>
  <c r="E272" i="93"/>
  <c r="E254" i="92"/>
  <c r="E273" i="94"/>
  <c r="E235" i="93"/>
  <c r="E269" i="93"/>
  <c r="E250" i="92"/>
  <c r="E275" i="92"/>
  <c r="D230" i="92"/>
  <c r="E230" i="92" s="1"/>
  <c r="E269" i="92"/>
  <c r="E240" i="92"/>
  <c r="E256" i="92"/>
  <c r="E247" i="92"/>
  <c r="E231" i="92"/>
  <c r="E233" i="92"/>
  <c r="E265" i="92"/>
  <c r="E258" i="92"/>
  <c r="E274" i="92"/>
  <c r="E267" i="92"/>
  <c r="E237" i="92"/>
  <c r="E287" i="92"/>
  <c r="E242" i="92"/>
  <c r="E253" i="92"/>
  <c r="E244" i="92"/>
  <c r="E272" i="92"/>
  <c r="E249" i="92"/>
  <c r="E239" i="92"/>
  <c r="E284" i="92"/>
  <c r="E286" i="92"/>
  <c r="E290" i="92"/>
  <c r="E285" i="92"/>
  <c r="E280" i="92"/>
  <c r="E276" i="92"/>
  <c r="E260" i="92"/>
  <c r="E251" i="92"/>
  <c r="E263" i="92"/>
  <c r="E235" i="92"/>
  <c r="E256" i="93"/>
  <c r="E257" i="92"/>
  <c r="E278" i="92"/>
  <c r="E244" i="93"/>
  <c r="E271" i="92"/>
  <c r="D238" i="94"/>
  <c r="E238" i="94" s="1"/>
  <c r="E283" i="94"/>
  <c r="E256" i="94"/>
  <c r="E269" i="94"/>
  <c r="E240" i="94"/>
  <c r="E284" i="94"/>
  <c r="E287" i="94"/>
  <c r="E276" i="94"/>
  <c r="E279" i="94"/>
  <c r="E266" i="94"/>
  <c r="E247" i="94"/>
  <c r="E264" i="94"/>
  <c r="E286" i="94"/>
  <c r="E278" i="94"/>
  <c r="E249" i="94"/>
  <c r="E270" i="94"/>
  <c r="E252" i="94"/>
  <c r="E245" i="94"/>
  <c r="E250" i="94"/>
  <c r="E285" i="94"/>
  <c r="E275" i="94"/>
  <c r="E274" i="94"/>
  <c r="E244" i="94"/>
  <c r="E277" i="94"/>
  <c r="E280" i="94"/>
  <c r="E242" i="94"/>
  <c r="E260" i="94"/>
  <c r="E290" i="94"/>
  <c r="E267" i="94"/>
  <c r="E239" i="94"/>
  <c r="E265" i="94"/>
  <c r="E259" i="94"/>
  <c r="E248" i="94"/>
  <c r="E268" i="94"/>
  <c r="E251" i="94"/>
  <c r="E263" i="94"/>
  <c r="E261" i="94"/>
  <c r="E258" i="94"/>
  <c r="E254" i="94"/>
  <c r="E272" i="94"/>
  <c r="E253" i="94"/>
  <c r="E243" i="94"/>
  <c r="E273" i="92"/>
  <c r="D229" i="93"/>
  <c r="E229" i="93" s="1"/>
  <c r="E273" i="93"/>
  <c r="E266" i="93"/>
  <c r="E246" i="93"/>
  <c r="E271" i="93"/>
  <c r="E250" i="93"/>
  <c r="E262" i="93"/>
  <c r="E275" i="93"/>
  <c r="E278" i="93"/>
  <c r="E252" i="93"/>
  <c r="E245" i="93"/>
  <c r="E236" i="93"/>
  <c r="E243" i="93"/>
  <c r="E248" i="93"/>
  <c r="E285" i="93"/>
  <c r="E232" i="93"/>
  <c r="E290" i="93"/>
  <c r="E238" i="93"/>
  <c r="E259" i="93"/>
  <c r="E234" i="93"/>
  <c r="E264" i="93"/>
  <c r="E257" i="93"/>
  <c r="E270" i="93"/>
  <c r="E287" i="93"/>
  <c r="E286" i="93"/>
  <c r="E279" i="93"/>
  <c r="E255" i="93"/>
  <c r="E254" i="93"/>
  <c r="E277" i="93"/>
  <c r="E230" i="93"/>
  <c r="E241" i="93"/>
  <c r="E283" i="93"/>
  <c r="E268" i="93"/>
  <c r="E261" i="93"/>
  <c r="E264" i="92"/>
  <c r="E247" i="93"/>
  <c r="E261" i="92"/>
  <c r="E268" i="92"/>
  <c r="E277" i="92"/>
  <c r="E280" i="93"/>
  <c r="E257" i="94"/>
  <c r="E266" i="92"/>
  <c r="E279" i="92"/>
  <c r="E245" i="92"/>
  <c r="E267" i="93"/>
  <c r="E260" i="93"/>
  <c r="E251" i="93"/>
  <c r="E253" i="93"/>
  <c r="E236" i="92"/>
  <c r="E248" i="92"/>
  <c r="E283" i="92"/>
  <c r="E249" i="93"/>
  <c r="E265" i="93"/>
  <c r="E284" i="93"/>
  <c r="E271" i="94"/>
  <c r="E262" i="94"/>
  <c r="E233" i="93"/>
  <c r="E234" i="92"/>
  <c r="E263" i="93"/>
  <c r="E237" i="93"/>
  <c r="E242" i="93"/>
  <c r="E255" i="92"/>
  <c r="E262" i="92"/>
  <c r="E274" i="93"/>
  <c r="E238" i="92"/>
  <c r="E270" i="92"/>
  <c r="E241" i="92"/>
  <c r="E241" i="94"/>
  <c r="E276" i="93"/>
  <c r="V108" i="84" l="1"/>
  <c r="V90" i="84"/>
  <c r="V138" i="84"/>
  <c r="V135" i="84"/>
  <c r="V172" i="84"/>
  <c r="V130" i="84"/>
  <c r="V151" i="84"/>
  <c r="V140" i="84"/>
  <c r="V164" i="84"/>
  <c r="V145" i="84"/>
  <c r="V144" i="84"/>
  <c r="V129" i="84"/>
  <c r="V122" i="84"/>
  <c r="V83" i="83"/>
  <c r="V110" i="84"/>
  <c r="V115" i="84"/>
  <c r="V157" i="84"/>
  <c r="V116" i="84"/>
  <c r="V91" i="84"/>
  <c r="V114" i="84"/>
  <c r="V82" i="83"/>
  <c r="V146" i="84"/>
  <c r="V120" i="84"/>
  <c r="V96" i="84"/>
  <c r="V179" i="84"/>
  <c r="V150" i="84"/>
  <c r="V131" i="84"/>
  <c r="V105" i="84"/>
  <c r="V152" i="84"/>
  <c r="V173" i="84"/>
  <c r="V106" i="84"/>
  <c r="V107" i="84"/>
  <c r="V170" i="84"/>
  <c r="V84" i="83"/>
  <c r="V121" i="84"/>
  <c r="V109" i="84"/>
  <c r="V92" i="84"/>
  <c r="V163" i="84"/>
  <c r="V171" i="84"/>
  <c r="V103" i="84"/>
  <c r="V177" i="84"/>
  <c r="V158" i="84"/>
  <c r="V178" i="84"/>
  <c r="V102" i="84"/>
  <c r="V168" i="84"/>
  <c r="V137" i="84"/>
  <c r="V169" i="84"/>
  <c r="V85" i="83"/>
  <c r="V87" i="84"/>
  <c r="V88" i="84"/>
  <c r="V156" i="84"/>
  <c r="V81" i="83"/>
  <c r="V162" i="84"/>
  <c r="V136" i="84"/>
  <c r="V89" i="84"/>
  <c r="V139" i="84"/>
  <c r="V98" i="84"/>
  <c r="V104" i="84"/>
  <c r="V97" i="84"/>
  <c r="V124" i="84" l="1"/>
  <c r="V123" i="84"/>
  <c r="V125" i="84"/>
  <c r="Q140" i="93" l="1"/>
  <c r="AA177" i="89"/>
  <c r="O183" i="82"/>
  <c r="Z104" i="74"/>
  <c r="Y168" i="89"/>
  <c r="L158" i="94"/>
  <c r="Q130" i="85"/>
  <c r="O23" i="91"/>
  <c r="X103" i="85"/>
  <c r="P84" i="87"/>
  <c r="X138" i="93"/>
  <c r="L70" i="94"/>
  <c r="Z158" i="93"/>
  <c r="Z153" i="94"/>
  <c r="X162" i="84"/>
  <c r="AA132" i="93"/>
  <c r="M33" i="74"/>
  <c r="X63" i="93"/>
  <c r="Z159" i="91"/>
  <c r="Q31" i="83"/>
  <c r="AB66" i="94"/>
  <c r="X152" i="83"/>
  <c r="AA138" i="83"/>
  <c r="Z99" i="87"/>
  <c r="AB127" i="92"/>
  <c r="AB86" i="87"/>
  <c r="X31" i="82"/>
  <c r="N84" i="87"/>
  <c r="X137" i="93"/>
  <c r="N15" i="83"/>
  <c r="Q99" i="93"/>
  <c r="P147" i="93"/>
  <c r="AA31" i="88"/>
  <c r="M43" i="93"/>
  <c r="X105" i="89"/>
  <c r="Q137" i="93"/>
  <c r="Z123" i="81"/>
  <c r="AA80" i="87"/>
  <c r="Q161" i="85"/>
  <c r="AA112" i="93"/>
  <c r="Y162" i="91"/>
  <c r="O17" i="91"/>
  <c r="L77" i="93"/>
  <c r="AB51" i="88"/>
  <c r="P112" i="91"/>
  <c r="X77" i="91"/>
  <c r="AB104" i="88"/>
  <c r="L94" i="93"/>
  <c r="AB25" i="89"/>
  <c r="Z108" i="94"/>
  <c r="Q65" i="91"/>
  <c r="Q21" i="94"/>
  <c r="Y146" i="83"/>
  <c r="X160" i="93"/>
  <c r="Q23" i="94"/>
  <c r="Z160" i="87"/>
  <c r="Q98" i="94"/>
  <c r="O95" i="88"/>
  <c r="O89" i="89"/>
  <c r="Q82" i="89"/>
  <c r="Y133" i="91"/>
  <c r="Q171" i="94"/>
  <c r="O136" i="88"/>
  <c r="Z57" i="94"/>
  <c r="Y155" i="84"/>
  <c r="Z171" i="92"/>
  <c r="AB134" i="87"/>
  <c r="Q125" i="82"/>
  <c r="AB132" i="91"/>
  <c r="P33" i="91"/>
  <c r="L128" i="87"/>
  <c r="Z77" i="94"/>
  <c r="Q153" i="91"/>
  <c r="Y149" i="94"/>
  <c r="Y61" i="88"/>
  <c r="X122" i="94"/>
  <c r="Q67" i="92"/>
  <c r="X171" i="92"/>
  <c r="X169" i="93"/>
  <c r="AA71" i="83"/>
  <c r="O37" i="89"/>
  <c r="M45" i="88"/>
  <c r="Z49" i="88"/>
  <c r="Z72" i="94"/>
  <c r="Y106" i="93"/>
  <c r="P21" i="74"/>
  <c r="AB92" i="91"/>
  <c r="O66" i="94"/>
  <c r="X39" i="89"/>
  <c r="N39" i="91"/>
  <c r="O37" i="93"/>
  <c r="P134" i="91"/>
  <c r="T174" i="87"/>
  <c r="Q11" i="92"/>
  <c r="L79" i="93"/>
  <c r="P185" i="74"/>
  <c r="Z41" i="93"/>
  <c r="L75" i="92"/>
  <c r="P70" i="94"/>
  <c r="X121" i="94"/>
  <c r="Q126" i="91"/>
  <c r="Q174" i="89"/>
  <c r="AA72" i="93"/>
  <c r="Z110" i="93"/>
  <c r="P31" i="88"/>
  <c r="P122" i="93"/>
  <c r="Z155" i="85"/>
  <c r="Z147" i="92"/>
  <c r="AA140" i="89"/>
  <c r="O165" i="74"/>
  <c r="AA119" i="94"/>
  <c r="AA99" i="91"/>
  <c r="Z130" i="92"/>
  <c r="L185" i="91"/>
  <c r="L147" i="92"/>
  <c r="Z78" i="91"/>
  <c r="X125" i="89"/>
  <c r="AA157" i="94"/>
  <c r="Z107" i="94"/>
  <c r="AB147" i="89"/>
  <c r="X164" i="74"/>
  <c r="O185" i="81"/>
  <c r="Z157" i="84"/>
  <c r="P130" i="88"/>
  <c r="Q123" i="94"/>
  <c r="Y75" i="89"/>
  <c r="P66" i="85"/>
  <c r="Y146" i="93"/>
  <c r="Z130" i="94"/>
  <c r="AA113" i="93"/>
  <c r="Y80" i="91"/>
  <c r="Q84" i="94"/>
  <c r="Y158" i="81"/>
  <c r="O171" i="94"/>
  <c r="L165" i="88"/>
  <c r="N39" i="94"/>
  <c r="Y19" i="89"/>
  <c r="P59" i="93"/>
  <c r="X130" i="88"/>
  <c r="X102" i="94"/>
  <c r="AB78" i="88"/>
  <c r="Z80" i="93"/>
  <c r="O151" i="85"/>
  <c r="AA78" i="87"/>
  <c r="O89" i="92"/>
  <c r="AA124" i="93"/>
  <c r="Y121" i="94"/>
  <c r="AB15" i="94"/>
  <c r="O53" i="89"/>
  <c r="P35" i="91"/>
  <c r="AB115" i="92"/>
  <c r="Q165" i="92"/>
  <c r="Z156" i="74"/>
  <c r="X93" i="84"/>
  <c r="Y73" i="93"/>
  <c r="L105" i="91"/>
  <c r="T99" i="81"/>
  <c r="O84" i="88"/>
  <c r="N177" i="91"/>
  <c r="Z100" i="93"/>
  <c r="AB95" i="94"/>
  <c r="P19" i="93"/>
  <c r="T111" i="87"/>
  <c r="O143" i="89"/>
  <c r="AA167" i="92"/>
  <c r="X151" i="93"/>
  <c r="X159" i="87"/>
  <c r="P133" i="85"/>
  <c r="AB164" i="92"/>
  <c r="P139" i="93"/>
  <c r="L133" i="92"/>
  <c r="P153" i="89"/>
  <c r="Q166" i="93"/>
  <c r="Q135" i="91"/>
  <c r="Y174" i="83"/>
  <c r="Z160" i="89"/>
  <c r="T120" i="85"/>
  <c r="N96" i="84"/>
  <c r="AB96" i="89"/>
  <c r="Y127" i="89"/>
  <c r="AB37" i="89"/>
  <c r="AB120" i="92"/>
  <c r="P94" i="93"/>
  <c r="N153" i="88"/>
  <c r="Q91" i="81"/>
  <c r="Z39" i="93"/>
  <c r="L157" i="88"/>
  <c r="O93" i="85"/>
  <c r="AB167" i="91"/>
  <c r="M23" i="93"/>
  <c r="Z89" i="92"/>
  <c r="Y144" i="91"/>
  <c r="Y111" i="85"/>
  <c r="L109" i="87"/>
  <c r="P139" i="92"/>
  <c r="X116" i="93"/>
  <c r="P147" i="92"/>
  <c r="L183" i="87"/>
  <c r="Z82" i="94"/>
  <c r="AA27" i="74"/>
  <c r="Z61" i="93"/>
  <c r="L125" i="93"/>
  <c r="Q153" i="93"/>
  <c r="Q86" i="93"/>
  <c r="Q96" i="87"/>
  <c r="L168" i="94"/>
  <c r="O163" i="94"/>
  <c r="L123" i="88"/>
  <c r="Q172" i="88"/>
  <c r="Z65" i="83"/>
  <c r="O130" i="88"/>
  <c r="Q77" i="93"/>
  <c r="Y114" i="91"/>
  <c r="AB156" i="93"/>
  <c r="X82" i="88"/>
  <c r="Q180" i="88"/>
  <c r="L169" i="83"/>
  <c r="P175" i="88"/>
  <c r="Q179" i="89"/>
  <c r="Q61" i="92"/>
  <c r="M11" i="88"/>
  <c r="Q35" i="88"/>
  <c r="P162" i="94"/>
  <c r="O172" i="93"/>
  <c r="X149" i="94"/>
  <c r="AA65" i="93"/>
  <c r="Z41" i="92"/>
  <c r="Y79" i="84"/>
  <c r="AB164" i="93"/>
  <c r="X175" i="93"/>
  <c r="O96" i="92"/>
  <c r="Q143" i="91"/>
  <c r="AB164" i="94"/>
  <c r="Y97" i="84"/>
  <c r="AB11" i="89"/>
  <c r="Y124" i="85"/>
  <c r="P23" i="94"/>
  <c r="L167" i="88"/>
  <c r="AA140" i="83"/>
  <c r="P184" i="88"/>
  <c r="AA102" i="94"/>
  <c r="Z146" i="91"/>
  <c r="AB145" i="81"/>
  <c r="X89" i="81"/>
  <c r="M13" i="92"/>
  <c r="M59" i="93"/>
  <c r="Y17" i="92"/>
  <c r="AA11" i="94"/>
  <c r="Y130" i="91"/>
  <c r="P119" i="87"/>
  <c r="Y136" i="94"/>
  <c r="Y141" i="84"/>
  <c r="Z27" i="93"/>
  <c r="Q99" i="92"/>
  <c r="AA144" i="91"/>
  <c r="AA66" i="85"/>
  <c r="O57" i="81"/>
  <c r="AB67" i="92"/>
  <c r="AB65" i="88"/>
  <c r="Z117" i="92"/>
  <c r="Y81" i="89"/>
  <c r="P96" i="91"/>
  <c r="AA49" i="92"/>
  <c r="AB106" i="82"/>
  <c r="AB149" i="84"/>
  <c r="O72" i="82"/>
  <c r="Y95" i="87"/>
  <c r="Z86" i="83"/>
  <c r="L143" i="81"/>
  <c r="M43" i="89"/>
  <c r="P19" i="81"/>
  <c r="Y101" i="91"/>
  <c r="L97" i="89"/>
  <c r="Y91" i="94"/>
  <c r="AB153" i="84"/>
  <c r="Y137" i="93"/>
  <c r="Z23" i="84"/>
  <c r="AB124" i="92"/>
  <c r="X117" i="83"/>
  <c r="N156" i="93"/>
  <c r="Y75" i="81"/>
  <c r="M13" i="93"/>
  <c r="Q88" i="92"/>
  <c r="Y39" i="82"/>
  <c r="AA80" i="74"/>
  <c r="Y73" i="91"/>
  <c r="AB142" i="84"/>
  <c r="AB153" i="89"/>
  <c r="AB129" i="87"/>
  <c r="Q93" i="81"/>
  <c r="Q25" i="92"/>
  <c r="Z171" i="89"/>
  <c r="Y166" i="94"/>
  <c r="AA113" i="91"/>
  <c r="O102" i="83"/>
  <c r="Q161" i="93"/>
  <c r="Y74" i="83"/>
  <c r="M45" i="94"/>
  <c r="L83" i="89"/>
  <c r="Z163" i="92"/>
  <c r="X109" i="93"/>
  <c r="Z129" i="84"/>
  <c r="Q87" i="91"/>
  <c r="AA71" i="94"/>
  <c r="X143" i="88"/>
  <c r="O122" i="74"/>
  <c r="AA39" i="88"/>
  <c r="Q91" i="92"/>
  <c r="O143" i="93"/>
  <c r="P181" i="93"/>
  <c r="O49" i="93"/>
  <c r="AB170" i="94"/>
  <c r="O53" i="88"/>
  <c r="O182" i="94"/>
  <c r="L94" i="91"/>
  <c r="X59" i="89"/>
  <c r="Y80" i="87"/>
  <c r="AA111" i="94"/>
  <c r="O107" i="89"/>
  <c r="N72" i="92"/>
  <c r="X118" i="94"/>
  <c r="Y93" i="91"/>
  <c r="X41" i="87"/>
  <c r="Y102" i="94"/>
  <c r="T75" i="91"/>
  <c r="AB145" i="94"/>
  <c r="Z11" i="93"/>
  <c r="AB175" i="93"/>
  <c r="Z117" i="93"/>
  <c r="X153" i="84"/>
  <c r="L80" i="89"/>
  <c r="X21" i="93"/>
  <c r="AA67" i="93"/>
  <c r="O107" i="88"/>
  <c r="X166" i="93"/>
  <c r="Q19" i="89"/>
  <c r="L138" i="89"/>
  <c r="Q53" i="94"/>
  <c r="O177" i="93"/>
  <c r="Y136" i="93"/>
  <c r="AA131" i="84"/>
  <c r="P183" i="74"/>
  <c r="Q45" i="74"/>
  <c r="Z146" i="94"/>
  <c r="AA102" i="92"/>
  <c r="AB164" i="89"/>
  <c r="AB149" i="88"/>
  <c r="O105" i="94"/>
  <c r="O126" i="74"/>
  <c r="Q23" i="91"/>
  <c r="Z59" i="93"/>
  <c r="AB167" i="93"/>
  <c r="P78" i="92"/>
  <c r="P94" i="88"/>
  <c r="X162" i="82"/>
  <c r="X106" i="91"/>
  <c r="Q141" i="89"/>
  <c r="Y59" i="94"/>
  <c r="O96" i="89"/>
  <c r="L140" i="87"/>
  <c r="Q21" i="93"/>
  <c r="AA70" i="93"/>
  <c r="Q125" i="92"/>
  <c r="P122" i="89"/>
  <c r="Z88" i="91"/>
  <c r="X57" i="94"/>
  <c r="L120" i="93"/>
  <c r="O175" i="89"/>
  <c r="P173" i="91"/>
  <c r="X19" i="94"/>
  <c r="Q130" i="74"/>
  <c r="X104" i="94"/>
  <c r="L120" i="83"/>
  <c r="AB139" i="93"/>
  <c r="AB123" i="85"/>
  <c r="AB68" i="89"/>
  <c r="P184" i="81"/>
  <c r="P76" i="91"/>
  <c r="Q66" i="82"/>
  <c r="Q119" i="88"/>
  <c r="Z83" i="91"/>
  <c r="AB119" i="91"/>
  <c r="AA67" i="92"/>
  <c r="AB116" i="91"/>
  <c r="Q125" i="88"/>
  <c r="O121" i="81"/>
  <c r="AB90" i="92"/>
  <c r="X111" i="93"/>
  <c r="P70" i="93"/>
  <c r="AA145" i="93"/>
  <c r="Z139" i="94"/>
  <c r="O144" i="94"/>
  <c r="Y157" i="94"/>
  <c r="Q75" i="93"/>
  <c r="Z88" i="92"/>
  <c r="O116" i="93"/>
  <c r="X88" i="92"/>
  <c r="N171" i="89"/>
  <c r="P86" i="94"/>
  <c r="Y144" i="93"/>
  <c r="AB66" i="92"/>
  <c r="Y120" i="88"/>
  <c r="AA151" i="92"/>
  <c r="Q94" i="92"/>
  <c r="O178" i="94"/>
  <c r="X149" i="92"/>
  <c r="Q115" i="83"/>
  <c r="Q183" i="87"/>
  <c r="O96" i="85"/>
  <c r="Q165" i="88"/>
  <c r="AB121" i="82"/>
  <c r="Q75" i="91"/>
  <c r="L170" i="93"/>
  <c r="N45" i="84"/>
  <c r="L128" i="89"/>
  <c r="O174" i="74"/>
  <c r="Q68" i="93"/>
  <c r="X41" i="92"/>
  <c r="P182" i="91"/>
  <c r="AA120" i="83"/>
  <c r="X76" i="74"/>
  <c r="L141" i="92"/>
  <c r="L134" i="88"/>
  <c r="Y92" i="93"/>
  <c r="T141" i="81"/>
  <c r="L156" i="89"/>
  <c r="Y37" i="92"/>
  <c r="Q154" i="94"/>
  <c r="O76" i="94"/>
  <c r="Q95" i="92"/>
  <c r="AA135" i="92"/>
  <c r="P143" i="87"/>
  <c r="L73" i="93"/>
  <c r="L83" i="84"/>
  <c r="P51" i="92"/>
  <c r="AA53" i="93"/>
  <c r="Y115" i="94"/>
  <c r="Q126" i="88"/>
  <c r="Q66" i="91"/>
  <c r="M15" i="93"/>
  <c r="AA131" i="87"/>
  <c r="Y106" i="94"/>
  <c r="Z45" i="93"/>
  <c r="X84" i="89"/>
  <c r="Z169" i="91"/>
  <c r="O132" i="94"/>
  <c r="X67" i="93"/>
  <c r="AA168" i="84"/>
  <c r="X75" i="84"/>
  <c r="Z133" i="81"/>
  <c r="P153" i="88"/>
  <c r="Y72" i="89"/>
  <c r="T162" i="88"/>
  <c r="Z55" i="85"/>
  <c r="Y104" i="94"/>
  <c r="L94" i="82"/>
  <c r="Z122" i="88"/>
  <c r="O135" i="94"/>
  <c r="Z53" i="85"/>
  <c r="P63" i="93"/>
  <c r="P148" i="93"/>
  <c r="O55" i="94"/>
  <c r="X97" i="83"/>
  <c r="L99" i="94"/>
  <c r="AA171" i="88"/>
  <c r="AA80" i="92"/>
  <c r="Z133" i="93"/>
  <c r="O64" i="93"/>
  <c r="O183" i="84"/>
  <c r="AA76" i="87"/>
  <c r="X123" i="92"/>
  <c r="O133" i="92"/>
  <c r="Y19" i="94"/>
  <c r="L110" i="94"/>
  <c r="L113" i="84"/>
  <c r="AA29" i="94"/>
  <c r="P106" i="88"/>
  <c r="AA67" i="89"/>
  <c r="AB114" i="94"/>
  <c r="AA148" i="87"/>
  <c r="P183" i="81"/>
  <c r="P63" i="92"/>
  <c r="O103" i="92"/>
  <c r="L107" i="88"/>
  <c r="L184" i="82"/>
  <c r="T141" i="88"/>
  <c r="P119" i="94"/>
  <c r="X161" i="74"/>
  <c r="Y82" i="94"/>
  <c r="AA123" i="92"/>
  <c r="Y134" i="83"/>
  <c r="P159" i="83"/>
  <c r="Y83" i="93"/>
  <c r="X80" i="91"/>
  <c r="Y139" i="92"/>
  <c r="Q132" i="93"/>
  <c r="Q116" i="93"/>
  <c r="AA108" i="93"/>
  <c r="X23" i="92"/>
  <c r="X128" i="87"/>
  <c r="X122" i="93"/>
  <c r="L63" i="94"/>
  <c r="L75" i="93"/>
  <c r="P98" i="87"/>
  <c r="L103" i="93"/>
  <c r="Y148" i="91"/>
  <c r="Y142" i="88"/>
  <c r="Y175" i="91"/>
  <c r="O89" i="82"/>
  <c r="AA148" i="89"/>
  <c r="Z83" i="87"/>
  <c r="P138" i="89"/>
  <c r="M53" i="87"/>
  <c r="Z101" i="92"/>
  <c r="AA123" i="94"/>
  <c r="AB166" i="83"/>
  <c r="AB108" i="88"/>
  <c r="Q37" i="85"/>
  <c r="Z136" i="92"/>
  <c r="P93" i="93"/>
  <c r="L168" i="92"/>
  <c r="AA162" i="92"/>
  <c r="Y173" i="81"/>
  <c r="N75" i="83"/>
  <c r="Z108" i="93"/>
  <c r="AB127" i="91"/>
  <c r="AB166" i="88"/>
  <c r="X103" i="89"/>
  <c r="M25" i="94"/>
  <c r="L165" i="82"/>
  <c r="AB81" i="92"/>
  <c r="O109" i="91"/>
  <c r="O105" i="83"/>
  <c r="N168" i="91"/>
  <c r="P35" i="94"/>
  <c r="P33" i="84"/>
  <c r="Q89" i="88"/>
  <c r="L169" i="82"/>
  <c r="P66" i="82"/>
  <c r="M39" i="84"/>
  <c r="Z74" i="82"/>
  <c r="X65" i="93"/>
  <c r="AA31" i="81"/>
  <c r="Q183" i="92"/>
  <c r="AA85" i="89"/>
  <c r="Y98" i="93"/>
  <c r="AA77" i="94"/>
  <c r="X98" i="93"/>
  <c r="Z49" i="93"/>
  <c r="N184" i="84"/>
  <c r="AA107" i="92"/>
  <c r="Y176" i="91"/>
  <c r="N105" i="94"/>
  <c r="N108" i="93"/>
  <c r="O84" i="91"/>
  <c r="N141" i="92"/>
  <c r="Q29" i="92"/>
  <c r="Y141" i="87"/>
  <c r="O25" i="94"/>
  <c r="X73" i="89"/>
  <c r="O82" i="81"/>
  <c r="AA31" i="91"/>
  <c r="AA9" i="94"/>
  <c r="AA47" i="91"/>
  <c r="X136" i="93"/>
  <c r="P71" i="92"/>
  <c r="O127" i="89"/>
  <c r="L139" i="81"/>
  <c r="Z176" i="92"/>
  <c r="L82" i="88"/>
  <c r="P45" i="89"/>
  <c r="L185" i="88"/>
  <c r="O61" i="83"/>
  <c r="Y33" i="87"/>
  <c r="P159" i="94"/>
  <c r="Y135" i="85"/>
  <c r="X147" i="92"/>
  <c r="Z152" i="91"/>
  <c r="Y51" i="93"/>
  <c r="AA91" i="93"/>
  <c r="AA131" i="93"/>
  <c r="X136" i="91"/>
  <c r="AA151" i="93"/>
  <c r="P75" i="87"/>
  <c r="P122" i="87"/>
  <c r="Z127" i="85"/>
  <c r="AB153" i="94"/>
  <c r="O180" i="88"/>
  <c r="O177" i="91"/>
  <c r="L64" i="94"/>
  <c r="O71" i="88"/>
  <c r="AA107" i="87"/>
  <c r="Y156" i="91"/>
  <c r="Z170" i="92"/>
  <c r="Z45" i="87"/>
  <c r="L175" i="91"/>
  <c r="AA86" i="84"/>
  <c r="L155" i="84"/>
  <c r="Z19" i="87"/>
  <c r="T117" i="91"/>
  <c r="Q31" i="93"/>
  <c r="P121" i="91"/>
  <c r="X141" i="93"/>
  <c r="AB124" i="88"/>
  <c r="AB59" i="89"/>
  <c r="X155" i="74"/>
  <c r="AB163" i="88"/>
  <c r="O87" i="94"/>
  <c r="M27" i="93"/>
  <c r="Z156" i="89"/>
  <c r="N99" i="93"/>
  <c r="O43" i="89"/>
  <c r="Z172" i="88"/>
  <c r="L107" i="87"/>
  <c r="X127" i="94"/>
  <c r="P168" i="91"/>
  <c r="Z111" i="89"/>
  <c r="P79" i="91"/>
  <c r="O139" i="81"/>
  <c r="P95" i="74"/>
  <c r="X15" i="94"/>
  <c r="X113" i="83"/>
  <c r="P63" i="91"/>
  <c r="Q93" i="91"/>
  <c r="Z102" i="74"/>
  <c r="AB118" i="92"/>
  <c r="Q169" i="92"/>
  <c r="AA172" i="92"/>
  <c r="P63" i="89"/>
  <c r="O110" i="93"/>
  <c r="L127" i="81"/>
  <c r="N120" i="84"/>
  <c r="O182" i="91"/>
  <c r="Y63" i="83"/>
  <c r="Z162" i="92"/>
  <c r="P166" i="82"/>
  <c r="Z90" i="91"/>
  <c r="Z129" i="93"/>
  <c r="Z74" i="88"/>
  <c r="N78" i="88"/>
  <c r="AB78" i="81"/>
  <c r="AA72" i="88"/>
  <c r="O79" i="93"/>
  <c r="AA47" i="84"/>
  <c r="X72" i="94"/>
  <c r="L131" i="94"/>
  <c r="P184" i="84"/>
  <c r="AA130" i="91"/>
  <c r="Z45" i="94"/>
  <c r="X180" i="84"/>
  <c r="L102" i="91"/>
  <c r="X153" i="92"/>
  <c r="Q103" i="91"/>
  <c r="O70" i="93"/>
  <c r="P106" i="92"/>
  <c r="AA69" i="88"/>
  <c r="Y9" i="84"/>
  <c r="AB114" i="81"/>
  <c r="Z177" i="88"/>
  <c r="N129" i="87"/>
  <c r="X173" i="92"/>
  <c r="N174" i="91"/>
  <c r="AB68" i="92"/>
  <c r="Q164" i="94"/>
  <c r="AB82" i="94"/>
  <c r="Z27" i="91"/>
  <c r="Z159" i="74"/>
  <c r="N144" i="89"/>
  <c r="Z155" i="91"/>
  <c r="P172" i="82"/>
  <c r="AA120" i="93"/>
  <c r="AA177" i="92"/>
  <c r="T51" i="87"/>
  <c r="AB80" i="91"/>
  <c r="Z72" i="93"/>
  <c r="Y29" i="93"/>
  <c r="Q181" i="89"/>
  <c r="Y53" i="82"/>
  <c r="AB35" i="87"/>
  <c r="L102" i="87"/>
  <c r="X11" i="91"/>
  <c r="P25" i="93"/>
  <c r="N126" i="93"/>
  <c r="Q109" i="94"/>
  <c r="X132" i="94"/>
  <c r="AA152" i="92"/>
  <c r="AB135" i="88"/>
  <c r="Y103" i="93"/>
  <c r="AB130" i="92"/>
  <c r="N174" i="93"/>
  <c r="Q184" i="82"/>
  <c r="O103" i="89"/>
  <c r="P138" i="91"/>
  <c r="X143" i="87"/>
  <c r="L108" i="88"/>
  <c r="AB53" i="91"/>
  <c r="X81" i="93"/>
  <c r="X152" i="94"/>
  <c r="Y13" i="91"/>
  <c r="Z124" i="92"/>
  <c r="P133" i="93"/>
  <c r="Y33" i="81"/>
  <c r="L76" i="87"/>
  <c r="Q161" i="91"/>
  <c r="Z114" i="92"/>
  <c r="AA153" i="84"/>
  <c r="O35" i="93"/>
  <c r="X61" i="93"/>
  <c r="AB169" i="88"/>
  <c r="O176" i="92"/>
  <c r="X77" i="92"/>
  <c r="N117" i="92"/>
  <c r="AA25" i="87"/>
  <c r="AA168" i="91"/>
  <c r="L127" i="84"/>
  <c r="P19" i="94"/>
  <c r="AA103" i="92"/>
  <c r="Z49" i="85"/>
  <c r="P41" i="87"/>
  <c r="P183" i="84"/>
  <c r="AA59" i="88"/>
  <c r="Y146" i="82"/>
  <c r="L136" i="92"/>
  <c r="Q115" i="94"/>
  <c r="P109" i="92"/>
  <c r="O123" i="93"/>
  <c r="X141" i="84"/>
  <c r="AB159" i="89"/>
  <c r="AB70" i="89"/>
  <c r="Y136" i="88"/>
  <c r="Z105" i="94"/>
  <c r="Q83" i="91"/>
  <c r="L110" i="87"/>
  <c r="N90" i="94"/>
  <c r="P37" i="85"/>
  <c r="AB109" i="87"/>
  <c r="N99" i="89"/>
  <c r="Q37" i="94"/>
  <c r="AB51" i="89"/>
  <c r="Z55" i="89"/>
  <c r="AB67" i="91"/>
  <c r="AB31" i="94"/>
  <c r="O64" i="89"/>
  <c r="P127" i="93"/>
  <c r="P31" i="87"/>
  <c r="Q97" i="83"/>
  <c r="Z114" i="91"/>
  <c r="Q94" i="87"/>
  <c r="X100" i="93"/>
  <c r="AA156" i="93"/>
  <c r="P93" i="94"/>
  <c r="L137" i="92"/>
  <c r="P82" i="83"/>
  <c r="AA88" i="87"/>
  <c r="Y85" i="87"/>
  <c r="AB161" i="89"/>
  <c r="O136" i="84"/>
  <c r="X155" i="89"/>
  <c r="Q49" i="94"/>
  <c r="O135" i="85"/>
  <c r="N184" i="82"/>
  <c r="P90" i="94"/>
  <c r="Y35" i="94"/>
  <c r="P180" i="88"/>
  <c r="Q90" i="82"/>
  <c r="AA145" i="91"/>
  <c r="AB17" i="81"/>
  <c r="Y27" i="93"/>
  <c r="L140" i="88"/>
  <c r="O125" i="81"/>
  <c r="Z67" i="84"/>
  <c r="O169" i="92"/>
  <c r="M27" i="92"/>
  <c r="Q97" i="92"/>
  <c r="N177" i="82"/>
  <c r="Z19" i="91"/>
  <c r="X128" i="89"/>
  <c r="X108" i="93"/>
  <c r="P149" i="81"/>
  <c r="P43" i="93"/>
  <c r="Y168" i="92"/>
  <c r="AA122" i="94"/>
  <c r="Z81" i="92"/>
  <c r="Q117" i="91"/>
  <c r="Z41" i="89"/>
  <c r="Z151" i="88"/>
  <c r="P75" i="85"/>
  <c r="Q106" i="94"/>
  <c r="AA107" i="89"/>
  <c r="L71" i="91"/>
  <c r="Z171" i="84"/>
  <c r="Q167" i="92"/>
  <c r="L166" i="82"/>
  <c r="O130" i="91"/>
  <c r="Z39" i="92"/>
  <c r="Z134" i="87"/>
  <c r="Y111" i="88"/>
  <c r="Y95" i="92"/>
  <c r="X148" i="89"/>
  <c r="X131" i="91"/>
  <c r="Q107" i="85"/>
  <c r="X69" i="91"/>
  <c r="Y98" i="87"/>
  <c r="X128" i="94"/>
  <c r="Z165" i="88"/>
  <c r="X133" i="91"/>
  <c r="O73" i="89"/>
  <c r="AA89" i="83"/>
  <c r="AA155" i="85"/>
  <c r="P72" i="88"/>
  <c r="Q99" i="91"/>
  <c r="T81" i="88"/>
  <c r="Y141" i="74"/>
  <c r="O139" i="92"/>
  <c r="P172" i="87"/>
  <c r="O182" i="81"/>
  <c r="O68" i="85"/>
  <c r="AB117" i="85"/>
  <c r="N93" i="91"/>
  <c r="N177" i="83"/>
  <c r="O98" i="94"/>
  <c r="T21" i="88"/>
  <c r="AB135" i="94"/>
  <c r="P170" i="92"/>
  <c r="X107" i="88"/>
  <c r="X102" i="91"/>
  <c r="Z121" i="91"/>
  <c r="Z128" i="83"/>
  <c r="Z68" i="87"/>
  <c r="X140" i="91"/>
  <c r="Z177" i="92"/>
  <c r="Z23" i="93"/>
  <c r="P37" i="92"/>
  <c r="L176" i="89"/>
  <c r="X11" i="89"/>
  <c r="Q129" i="89"/>
  <c r="AB137" i="94"/>
  <c r="Y90" i="92"/>
  <c r="Q47" i="89"/>
  <c r="Q164" i="92"/>
  <c r="AB21" i="91"/>
  <c r="AB31" i="91"/>
  <c r="Y25" i="84"/>
  <c r="L65" i="94"/>
  <c r="N9" i="93"/>
  <c r="AB35" i="91"/>
  <c r="Y92" i="81"/>
  <c r="Q75" i="92"/>
  <c r="AA112" i="82"/>
  <c r="L103" i="87"/>
  <c r="P91" i="88"/>
  <c r="Y110" i="83"/>
  <c r="Q115" i="92"/>
  <c r="O124" i="81"/>
  <c r="Q87" i="87"/>
  <c r="L112" i="91"/>
  <c r="AA92" i="88"/>
  <c r="Z111" i="91"/>
  <c r="P97" i="82"/>
  <c r="L80" i="93"/>
  <c r="Y33" i="92"/>
  <c r="Q138" i="82"/>
  <c r="P45" i="91"/>
  <c r="Q131" i="87"/>
  <c r="O80" i="84"/>
  <c r="Q167" i="89"/>
  <c r="M19" i="82"/>
  <c r="AA172" i="87"/>
  <c r="Z107" i="88"/>
  <c r="Q35" i="81"/>
  <c r="X47" i="94"/>
  <c r="N185" i="87"/>
  <c r="O116" i="92"/>
  <c r="X139" i="85"/>
  <c r="Y100" i="87"/>
  <c r="N57" i="88"/>
  <c r="M41" i="89"/>
  <c r="L175" i="94"/>
  <c r="N183" i="93"/>
  <c r="Y37" i="91"/>
  <c r="P63" i="85"/>
  <c r="X180" i="93"/>
  <c r="L79" i="94"/>
  <c r="Z138" i="92"/>
  <c r="Y23" i="93"/>
  <c r="P96" i="94"/>
  <c r="AB165" i="93"/>
  <c r="Y112" i="85"/>
  <c r="AA70" i="94"/>
  <c r="AB156" i="92"/>
  <c r="X101" i="94"/>
  <c r="L115" i="93"/>
  <c r="AB83" i="93"/>
  <c r="P95" i="87"/>
  <c r="L68" i="84"/>
  <c r="P115" i="88"/>
  <c r="L160" i="85"/>
  <c r="L92" i="93"/>
  <c r="Z68" i="82"/>
  <c r="AB122" i="93"/>
  <c r="Y131" i="93"/>
  <c r="P65" i="93"/>
  <c r="L88" i="88"/>
  <c r="AA131" i="82"/>
  <c r="Q103" i="81"/>
  <c r="X86" i="91"/>
  <c r="X64" i="89"/>
  <c r="Y65" i="83"/>
  <c r="AA157" i="93"/>
  <c r="X133" i="85"/>
  <c r="AB156" i="81"/>
  <c r="Z41" i="83"/>
  <c r="L107" i="94"/>
  <c r="Y95" i="94"/>
  <c r="L71" i="94"/>
  <c r="O92" i="92"/>
  <c r="Q80" i="94"/>
  <c r="AB176" i="88"/>
  <c r="AA103" i="94"/>
  <c r="L113" i="88"/>
  <c r="L86" i="84"/>
  <c r="AB45" i="94"/>
  <c r="O108" i="92"/>
  <c r="P180" i="92"/>
  <c r="O104" i="94"/>
  <c r="AA137" i="74"/>
  <c r="Y25" i="82"/>
  <c r="O97" i="89"/>
  <c r="L111" i="94"/>
  <c r="O177" i="94"/>
  <c r="T174" i="88"/>
  <c r="Z59" i="92"/>
  <c r="N174" i="89"/>
  <c r="L149" i="85"/>
  <c r="Y86" i="94"/>
  <c r="Z108" i="84"/>
  <c r="P141" i="89"/>
  <c r="O184" i="84"/>
  <c r="X57" i="81"/>
  <c r="Q163" i="94"/>
  <c r="P103" i="87"/>
  <c r="L66" i="83"/>
  <c r="N21" i="88"/>
  <c r="Y114" i="94"/>
  <c r="O139" i="83"/>
  <c r="Z161" i="92"/>
  <c r="Y149" i="92"/>
  <c r="AB176" i="87"/>
  <c r="X66" i="94"/>
  <c r="Q84" i="89"/>
  <c r="AB159" i="93"/>
  <c r="L182" i="92"/>
  <c r="Y43" i="74"/>
  <c r="X72" i="93"/>
  <c r="M17" i="92"/>
  <c r="Z146" i="81"/>
  <c r="Z47" i="91"/>
  <c r="T114" i="87"/>
  <c r="Y73" i="92"/>
  <c r="Y84" i="94"/>
  <c r="P123" i="91"/>
  <c r="AA27" i="89"/>
  <c r="P107" i="89"/>
  <c r="Q140" i="92"/>
  <c r="Z79" i="74"/>
  <c r="AA133" i="87"/>
  <c r="X135" i="94"/>
  <c r="AB127" i="93"/>
  <c r="Y47" i="94"/>
  <c r="Q107" i="92"/>
  <c r="P105" i="82"/>
  <c r="O100" i="92"/>
  <c r="AA74" i="87"/>
  <c r="O139" i="87"/>
  <c r="Q183" i="93"/>
  <c r="Q72" i="84"/>
  <c r="P43" i="94"/>
  <c r="AA61" i="87"/>
  <c r="Z92" i="83"/>
  <c r="P57" i="91"/>
  <c r="Q134" i="83"/>
  <c r="N102" i="93"/>
  <c r="Y83" i="87"/>
  <c r="Z98" i="88"/>
  <c r="P174" i="92"/>
  <c r="X98" i="92"/>
  <c r="O142" i="91"/>
  <c r="AA128" i="74"/>
  <c r="P87" i="88"/>
  <c r="O171" i="88"/>
  <c r="X53" i="88"/>
  <c r="AA143" i="91"/>
  <c r="Q167" i="93"/>
  <c r="Q159" i="85"/>
  <c r="Z174" i="88"/>
  <c r="Z35" i="81"/>
  <c r="Q96" i="94"/>
  <c r="P164" i="81"/>
  <c r="Y157" i="93"/>
  <c r="L146" i="91"/>
  <c r="L72" i="92"/>
  <c r="AA91" i="94"/>
  <c r="X84" i="92"/>
  <c r="Q61" i="84"/>
  <c r="Z43" i="94"/>
  <c r="AA91" i="88"/>
  <c r="P90" i="87"/>
  <c r="AB175" i="87"/>
  <c r="Y122" i="92"/>
  <c r="AA101" i="89"/>
  <c r="N78" i="82"/>
  <c r="Z146" i="93"/>
  <c r="L95" i="88"/>
  <c r="L93" i="93"/>
  <c r="O171" i="93"/>
  <c r="AB126" i="87"/>
  <c r="Y147" i="93"/>
  <c r="Z120" i="81"/>
  <c r="Z161" i="84"/>
  <c r="Q122" i="92"/>
  <c r="Q165" i="89"/>
  <c r="AA170" i="87"/>
  <c r="O98" i="93"/>
  <c r="O45" i="94"/>
  <c r="T126" i="91"/>
  <c r="O45" i="84"/>
  <c r="O59" i="89"/>
  <c r="X31" i="84"/>
  <c r="Z87" i="91"/>
  <c r="Q74" i="92"/>
  <c r="Q95" i="93"/>
  <c r="Q88" i="83"/>
  <c r="Z138" i="87"/>
  <c r="P136" i="84"/>
  <c r="P149" i="94"/>
  <c r="AB71" i="91"/>
  <c r="O27" i="89"/>
  <c r="Y102" i="84"/>
  <c r="Q75" i="89"/>
  <c r="N78" i="89"/>
  <c r="L146" i="93"/>
  <c r="X167" i="82"/>
  <c r="AB91" i="88"/>
  <c r="O176" i="93"/>
  <c r="T138" i="83"/>
  <c r="T141" i="83"/>
  <c r="L106" i="82"/>
  <c r="Y144" i="88"/>
  <c r="AB64" i="94"/>
  <c r="O33" i="82"/>
  <c r="AB68" i="93"/>
  <c r="N120" i="94"/>
  <c r="P142" i="93"/>
  <c r="AB91" i="94"/>
  <c r="Z168" i="89"/>
  <c r="O59" i="74"/>
  <c r="P145" i="87"/>
  <c r="P21" i="92"/>
  <c r="AA131" i="91"/>
  <c r="Z76" i="92"/>
  <c r="N126" i="85"/>
  <c r="Z92" i="87"/>
  <c r="Q139" i="89"/>
  <c r="L135" i="92"/>
  <c r="P82" i="94"/>
  <c r="Q71" i="92"/>
  <c r="P15" i="91"/>
  <c r="Z123" i="82"/>
  <c r="Y139" i="89"/>
  <c r="AB13" i="88"/>
  <c r="X177" i="87"/>
  <c r="L154" i="94"/>
  <c r="AB100" i="93"/>
  <c r="P72" i="93"/>
  <c r="P98" i="92"/>
  <c r="Z104" i="92"/>
  <c r="O163" i="84"/>
  <c r="T135" i="88"/>
  <c r="Z149" i="88"/>
  <c r="Q154" i="89"/>
  <c r="Q162" i="94"/>
  <c r="Q89" i="89"/>
  <c r="O152" i="88"/>
  <c r="Y66" i="89"/>
  <c r="P87" i="92"/>
  <c r="T171" i="88"/>
  <c r="L104" i="92"/>
  <c r="Q127" i="85"/>
  <c r="X112" i="89"/>
  <c r="T156" i="85"/>
  <c r="X124" i="92"/>
  <c r="Q144" i="92"/>
  <c r="AA175" i="88"/>
  <c r="P57" i="94"/>
  <c r="Y69" i="88"/>
  <c r="X170" i="89"/>
  <c r="L175" i="81"/>
  <c r="X145" i="91"/>
  <c r="Z88" i="85"/>
  <c r="P45" i="92"/>
  <c r="AA31" i="92"/>
  <c r="Z69" i="89"/>
  <c r="AA106" i="94"/>
  <c r="P112" i="94"/>
  <c r="Z140" i="85"/>
  <c r="Z64" i="93"/>
  <c r="AA72" i="84"/>
  <c r="L84" i="89"/>
  <c r="O107" i="87"/>
  <c r="L121" i="88"/>
  <c r="P123" i="94"/>
  <c r="O175" i="91"/>
  <c r="N99" i="74"/>
  <c r="P89" i="92"/>
  <c r="Z61" i="87"/>
  <c r="O185" i="88"/>
  <c r="AB93" i="87"/>
  <c r="O95" i="94"/>
  <c r="T168" i="89"/>
  <c r="AB115" i="88"/>
  <c r="O100" i="91"/>
  <c r="AA15" i="93"/>
  <c r="P132" i="92"/>
  <c r="N69" i="91"/>
  <c r="L74" i="92"/>
  <c r="Q131" i="83"/>
  <c r="AB133" i="94"/>
  <c r="Y89" i="83"/>
  <c r="Z55" i="94"/>
  <c r="Z86" i="93"/>
  <c r="O33" i="93"/>
  <c r="N90" i="81"/>
  <c r="P110" i="93"/>
  <c r="P100" i="94"/>
  <c r="AA168" i="87"/>
  <c r="Y152" i="87"/>
  <c r="O151" i="87"/>
  <c r="P109" i="94"/>
  <c r="N75" i="92"/>
  <c r="AB148" i="92"/>
  <c r="Q98" i="89"/>
  <c r="Q166" i="81"/>
  <c r="Q121" i="91"/>
  <c r="X124" i="82"/>
  <c r="Q132" i="92"/>
  <c r="AB148" i="87"/>
  <c r="X123" i="84"/>
  <c r="Z29" i="87"/>
  <c r="AB57" i="81"/>
  <c r="Y146" i="88"/>
  <c r="Z128" i="94"/>
  <c r="X121" i="93"/>
  <c r="AA157" i="91"/>
  <c r="O100" i="93"/>
  <c r="Q68" i="87"/>
  <c r="O145" i="93"/>
  <c r="P39" i="92"/>
  <c r="AA76" i="93"/>
  <c r="Y104" i="88"/>
  <c r="AB25" i="84"/>
  <c r="Q151" i="89"/>
  <c r="N153" i="94"/>
  <c r="O15" i="84"/>
  <c r="X70" i="94"/>
  <c r="AB83" i="92"/>
  <c r="P9" i="89"/>
  <c r="P184" i="83"/>
  <c r="AA84" i="89"/>
  <c r="L155" i="85"/>
  <c r="X71" i="82"/>
  <c r="Z47" i="92"/>
  <c r="AA168" i="94"/>
  <c r="Q145" i="85"/>
  <c r="X61" i="88"/>
  <c r="O74" i="87"/>
  <c r="AB105" i="87"/>
  <c r="O155" i="82"/>
  <c r="AA87" i="92"/>
  <c r="L141" i="87"/>
  <c r="O71" i="84"/>
  <c r="Z115" i="88"/>
  <c r="N9" i="81"/>
  <c r="L150" i="92"/>
  <c r="AB51" i="94"/>
  <c r="L117" i="94"/>
  <c r="Z135" i="93"/>
  <c r="Q105" i="89"/>
  <c r="Y78" i="88"/>
  <c r="Z15" i="83"/>
  <c r="Z35" i="91"/>
  <c r="L125" i="94"/>
  <c r="Q141" i="88"/>
  <c r="Q31" i="94"/>
  <c r="L84" i="88"/>
  <c r="O15" i="93"/>
  <c r="Y29" i="89"/>
  <c r="X49" i="91"/>
  <c r="P150" i="93"/>
  <c r="Q78" i="89"/>
  <c r="X139" i="93"/>
  <c r="AA97" i="84"/>
  <c r="X85" i="93"/>
  <c r="Q176" i="94"/>
  <c r="X17" i="74"/>
  <c r="L145" i="94"/>
  <c r="O102" i="82"/>
  <c r="M19" i="89"/>
  <c r="O106" i="85"/>
  <c r="AB126" i="92"/>
  <c r="Y145" i="89"/>
  <c r="P114" i="92"/>
  <c r="Q39" i="83"/>
  <c r="Y108" i="88"/>
  <c r="Q51" i="94"/>
  <c r="Y128" i="93"/>
  <c r="Q27" i="93"/>
  <c r="O178" i="92"/>
  <c r="Y81" i="83"/>
  <c r="X119" i="89"/>
  <c r="AA166" i="88"/>
  <c r="P133" i="92"/>
  <c r="AA107" i="88"/>
  <c r="X163" i="88"/>
  <c r="T129" i="83"/>
  <c r="AB172" i="88"/>
  <c r="Q157" i="92"/>
  <c r="Q90" i="88"/>
  <c r="P134" i="93"/>
  <c r="O174" i="93"/>
  <c r="AA108" i="92"/>
  <c r="AA152" i="94"/>
  <c r="O123" i="91"/>
  <c r="X144" i="94"/>
  <c r="N183" i="91"/>
  <c r="Z120" i="92"/>
  <c r="Q76" i="88"/>
  <c r="X25" i="91"/>
  <c r="T162" i="93"/>
  <c r="X158" i="94"/>
  <c r="N141" i="93"/>
  <c r="P175" i="94"/>
  <c r="AA137" i="85"/>
  <c r="P181" i="88"/>
  <c r="O159" i="88"/>
  <c r="AB112" i="92"/>
  <c r="Y177" i="89"/>
  <c r="Z129" i="74"/>
  <c r="AB107" i="92"/>
  <c r="Y79" i="87"/>
  <c r="X96" i="94"/>
  <c r="P178" i="94"/>
  <c r="AB107" i="94"/>
  <c r="N129" i="93"/>
  <c r="Q138" i="91"/>
  <c r="X61" i="84"/>
  <c r="P102" i="74"/>
  <c r="AB133" i="92"/>
  <c r="Q21" i="85"/>
  <c r="X29" i="94"/>
  <c r="P33" i="94"/>
  <c r="AB142" i="92"/>
  <c r="P184" i="82"/>
  <c r="T87" i="74"/>
  <c r="AB150" i="88"/>
  <c r="Y163" i="82"/>
  <c r="L147" i="89"/>
  <c r="X51" i="83"/>
  <c r="X13" i="94"/>
  <c r="N159" i="92"/>
  <c r="X13" i="89"/>
  <c r="P83" i="93"/>
  <c r="P102" i="88"/>
  <c r="Z118" i="93"/>
  <c r="AA103" i="89"/>
  <c r="P31" i="92"/>
  <c r="N184" i="92"/>
  <c r="Z100" i="88"/>
  <c r="P76" i="93"/>
  <c r="O177" i="87"/>
  <c r="O41" i="94"/>
  <c r="Y137" i="94"/>
  <c r="O29" i="94"/>
  <c r="Z115" i="94"/>
  <c r="Y132" i="94"/>
  <c r="N57" i="91"/>
  <c r="Q176" i="93"/>
  <c r="O167" i="81"/>
  <c r="AA137" i="83"/>
  <c r="Z41" i="87"/>
  <c r="X119" i="93"/>
  <c r="L183" i="93"/>
  <c r="AA61" i="92"/>
  <c r="N185" i="84"/>
  <c r="O161" i="93"/>
  <c r="X124" i="93"/>
  <c r="Q72" i="94"/>
  <c r="X116" i="92"/>
  <c r="AA153" i="93"/>
  <c r="AB113" i="94"/>
  <c r="Q103" i="87"/>
  <c r="AB41" i="94"/>
  <c r="AA127" i="92"/>
  <c r="Q51" i="83"/>
  <c r="AB132" i="92"/>
  <c r="Z107" i="91"/>
  <c r="L158" i="88"/>
  <c r="Q131" i="92"/>
  <c r="Q47" i="92"/>
  <c r="AA17" i="91"/>
  <c r="N185" i="88"/>
  <c r="X151" i="88"/>
  <c r="AA125" i="91"/>
  <c r="Q165" i="94"/>
  <c r="Z134" i="88"/>
  <c r="L115" i="87"/>
  <c r="Z123" i="87"/>
  <c r="L124" i="91"/>
  <c r="Y99" i="87"/>
  <c r="N93" i="82"/>
  <c r="Y168" i="94"/>
  <c r="O67" i="87"/>
  <c r="AB124" i="87"/>
  <c r="Q114" i="94"/>
  <c r="AA149" i="93"/>
  <c r="O152" i="91"/>
  <c r="O89" i="94"/>
  <c r="P41" i="94"/>
  <c r="L103" i="94"/>
  <c r="M19" i="91"/>
  <c r="Y31" i="94"/>
  <c r="Z31" i="93"/>
  <c r="AA138" i="93"/>
  <c r="Q73" i="94"/>
  <c r="Q134" i="89"/>
  <c r="O171" i="87"/>
  <c r="O132" i="88"/>
  <c r="Z174" i="93"/>
  <c r="L143" i="85"/>
  <c r="X156" i="93"/>
  <c r="Z57" i="93"/>
  <c r="AB110" i="88"/>
  <c r="Q142" i="87"/>
  <c r="AB172" i="93"/>
  <c r="Q171" i="92"/>
  <c r="AA83" i="74"/>
  <c r="N21" i="93"/>
  <c r="L180" i="84"/>
  <c r="AA71" i="89"/>
  <c r="AB107" i="87"/>
  <c r="X92" i="92"/>
  <c r="M29" i="94"/>
  <c r="Z136" i="93"/>
  <c r="N123" i="94"/>
  <c r="P110" i="91"/>
  <c r="O11" i="94"/>
  <c r="X29" i="87"/>
  <c r="Z102" i="92"/>
  <c r="N33" i="85"/>
  <c r="Q39" i="91"/>
  <c r="P107" i="92"/>
  <c r="AB31" i="93"/>
  <c r="N183" i="84"/>
  <c r="Z63" i="82"/>
  <c r="X85" i="81"/>
  <c r="P178" i="89"/>
  <c r="Q83" i="82"/>
  <c r="Y167" i="85"/>
  <c r="O118" i="94"/>
  <c r="AA127" i="94"/>
  <c r="Q19" i="74"/>
  <c r="L70" i="92"/>
  <c r="Y64" i="82"/>
  <c r="M41" i="92"/>
  <c r="Z97" i="92"/>
  <c r="Z120" i="93"/>
  <c r="Z89" i="83"/>
  <c r="Q159" i="84"/>
  <c r="O73" i="87"/>
  <c r="X13" i="92"/>
  <c r="T168" i="82"/>
  <c r="AB120" i="93"/>
  <c r="Q137" i="89"/>
  <c r="AA136" i="87"/>
  <c r="Z75" i="84"/>
  <c r="Z151" i="85"/>
  <c r="Q70" i="92"/>
  <c r="L96" i="85"/>
  <c r="L80" i="85"/>
  <c r="AB33" i="89"/>
  <c r="O119" i="89"/>
  <c r="X69" i="92"/>
  <c r="O103" i="88"/>
  <c r="P124" i="89"/>
  <c r="L139" i="93"/>
  <c r="AB143" i="93"/>
  <c r="AA165" i="91"/>
  <c r="Z109" i="94"/>
  <c r="O75" i="83"/>
  <c r="Y176" i="93"/>
  <c r="O99" i="94"/>
  <c r="Z118" i="88"/>
  <c r="AB39" i="84"/>
  <c r="AA163" i="83"/>
  <c r="O84" i="94"/>
  <c r="L153" i="82"/>
  <c r="L69" i="74"/>
  <c r="O148" i="88"/>
  <c r="Z169" i="74"/>
  <c r="Z86" i="92"/>
  <c r="AB139" i="92"/>
  <c r="AA101" i="88"/>
  <c r="T156" i="91"/>
  <c r="AA84" i="92"/>
  <c r="AB152" i="94"/>
  <c r="Q119" i="89"/>
  <c r="AA83" i="94"/>
  <c r="L76" i="89"/>
  <c r="Q112" i="92"/>
  <c r="AA169" i="82"/>
  <c r="L177" i="92"/>
  <c r="Z100" i="85"/>
  <c r="AA160" i="88"/>
  <c r="X66" i="93"/>
  <c r="AA159" i="93"/>
  <c r="Z47" i="81"/>
  <c r="Z101" i="83"/>
  <c r="Y72" i="93"/>
  <c r="AB90" i="89"/>
  <c r="Y23" i="94"/>
  <c r="Y122" i="81"/>
  <c r="T57" i="82"/>
  <c r="P126" i="85"/>
  <c r="O119" i="82"/>
  <c r="Y126" i="92"/>
  <c r="X107" i="84"/>
  <c r="AB94" i="92"/>
  <c r="P89" i="91"/>
  <c r="AA173" i="89"/>
  <c r="X174" i="93"/>
  <c r="X27" i="93"/>
  <c r="Q184" i="91"/>
  <c r="AA121" i="92"/>
  <c r="O43" i="92"/>
  <c r="AA73" i="92"/>
  <c r="L116" i="92"/>
  <c r="AA19" i="92"/>
  <c r="P145" i="93"/>
  <c r="X125" i="91"/>
  <c r="AB15" i="92"/>
  <c r="AA169" i="87"/>
  <c r="AA90" i="93"/>
  <c r="X155" i="82"/>
  <c r="AB77" i="93"/>
  <c r="AA142" i="84"/>
  <c r="AB97" i="94"/>
  <c r="Z119" i="92"/>
  <c r="Y9" i="82"/>
  <c r="L89" i="94"/>
  <c r="Y27" i="94"/>
  <c r="N108" i="82"/>
  <c r="AA169" i="94"/>
  <c r="L96" i="93"/>
  <c r="Y17" i="74"/>
  <c r="AB173" i="91"/>
  <c r="AB55" i="85"/>
  <c r="AB93" i="84"/>
  <c r="Y166" i="88"/>
  <c r="L183" i="74"/>
  <c r="X55" i="91"/>
  <c r="L76" i="91"/>
  <c r="P97" i="83"/>
  <c r="Q147" i="88"/>
  <c r="Q94" i="94"/>
  <c r="X33" i="87"/>
  <c r="Q89" i="93"/>
  <c r="X124" i="84"/>
  <c r="L78" i="92"/>
  <c r="Y132" i="93"/>
  <c r="AB106" i="92"/>
  <c r="Y47" i="87"/>
  <c r="P134" i="83"/>
  <c r="X167" i="91"/>
  <c r="AB114" i="87"/>
  <c r="AA152" i="91"/>
  <c r="Q69" i="89"/>
  <c r="Z33" i="83"/>
  <c r="O105" i="93"/>
  <c r="O11" i="91"/>
  <c r="O21" i="87"/>
  <c r="AB47" i="92"/>
  <c r="P103" i="93"/>
  <c r="Q109" i="87"/>
  <c r="Z140" i="91"/>
  <c r="AB77" i="85"/>
  <c r="Z83" i="84"/>
  <c r="L110" i="92"/>
  <c r="Z126" i="91"/>
  <c r="AA149" i="89"/>
  <c r="O31" i="94"/>
  <c r="P169" i="91"/>
  <c r="AA119" i="89"/>
  <c r="X175" i="92"/>
  <c r="Y164" i="91"/>
  <c r="L119" i="94"/>
  <c r="X51" i="92"/>
  <c r="P131" i="89"/>
  <c r="AA133" i="88"/>
  <c r="Y125" i="94"/>
  <c r="X170" i="92"/>
  <c r="AB105" i="89"/>
  <c r="M15" i="94"/>
  <c r="M17" i="91"/>
  <c r="AB154" i="88"/>
  <c r="X129" i="93"/>
  <c r="L154" i="81"/>
  <c r="AB132" i="94"/>
  <c r="P126" i="88"/>
  <c r="L182" i="93"/>
  <c r="P89" i="89"/>
  <c r="Y164" i="92"/>
  <c r="L183" i="91"/>
  <c r="AA55" i="82"/>
  <c r="Y154" i="92"/>
  <c r="AA65" i="85"/>
  <c r="P113" i="92"/>
  <c r="O59" i="91"/>
  <c r="X171" i="87"/>
  <c r="L173" i="87"/>
  <c r="O25" i="74"/>
  <c r="O137" i="94"/>
  <c r="P81" i="91"/>
  <c r="Z61" i="74"/>
  <c r="N171" i="85"/>
  <c r="Y113" i="94"/>
  <c r="P155" i="91"/>
  <c r="Y146" i="91"/>
  <c r="Z13" i="93"/>
  <c r="N33" i="87"/>
  <c r="AA151" i="94"/>
  <c r="O74" i="93"/>
  <c r="AB171" i="88"/>
  <c r="Z171" i="93"/>
  <c r="AB161" i="93"/>
  <c r="AB94" i="91"/>
  <c r="AB86" i="92"/>
  <c r="L123" i="92"/>
  <c r="O15" i="94"/>
  <c r="Y65" i="89"/>
  <c r="Z153" i="92"/>
  <c r="L69" i="89"/>
  <c r="Q122" i="91"/>
  <c r="Z87" i="87"/>
  <c r="P122" i="94"/>
  <c r="Q57" i="84"/>
  <c r="P75" i="94"/>
  <c r="P51" i="74"/>
  <c r="AA69" i="85"/>
  <c r="AB141" i="94"/>
  <c r="AB33" i="93"/>
  <c r="P120" i="85"/>
  <c r="P127" i="82"/>
  <c r="Q15" i="85"/>
  <c r="L134" i="82"/>
  <c r="AA147" i="82"/>
  <c r="M31" i="92"/>
  <c r="X127" i="93"/>
  <c r="O13" i="88"/>
  <c r="P130" i="83"/>
  <c r="P179" i="84"/>
  <c r="Q136" i="92"/>
  <c r="P181" i="85"/>
  <c r="O153" i="81"/>
  <c r="P23" i="93"/>
  <c r="AB119" i="94"/>
  <c r="Q15" i="81"/>
  <c r="AA51" i="84"/>
  <c r="X164" i="83"/>
  <c r="Q121" i="94"/>
  <c r="L146" i="89"/>
  <c r="Y9" i="93"/>
  <c r="Z147" i="91"/>
  <c r="Z126" i="92"/>
  <c r="Y68" i="93"/>
  <c r="O145" i="92"/>
  <c r="O31" i="93"/>
  <c r="Y134" i="88"/>
  <c r="Z125" i="89"/>
  <c r="Z177" i="93"/>
  <c r="Y79" i="92"/>
  <c r="N171" i="84"/>
  <c r="O87" i="92"/>
  <c r="P104" i="92"/>
  <c r="O133" i="93"/>
  <c r="AB149" i="89"/>
  <c r="N183" i="81"/>
  <c r="O17" i="94"/>
  <c r="Y170" i="91"/>
  <c r="X81" i="94"/>
  <c r="Y80" i="84"/>
  <c r="X165" i="92"/>
  <c r="Z89" i="93"/>
  <c r="Q183" i="74"/>
  <c r="AB65" i="92"/>
  <c r="P153" i="85"/>
  <c r="AB123" i="91"/>
  <c r="Q160" i="74"/>
  <c r="AA150" i="81"/>
  <c r="L124" i="93"/>
  <c r="Q55" i="92"/>
  <c r="P79" i="92"/>
  <c r="AA110" i="94"/>
  <c r="AB163" i="87"/>
  <c r="Q49" i="88"/>
  <c r="O91" i="91"/>
  <c r="AA173" i="92"/>
  <c r="Y15" i="94"/>
  <c r="O55" i="87"/>
  <c r="P109" i="74"/>
  <c r="N63" i="94"/>
  <c r="X77" i="85"/>
  <c r="L141" i="81"/>
  <c r="AA117" i="94"/>
  <c r="L154" i="92"/>
  <c r="Q153" i="87"/>
  <c r="Y158" i="89"/>
  <c r="P99" i="91"/>
  <c r="Z78" i="93"/>
  <c r="AA91" i="82"/>
  <c r="O119" i="94"/>
  <c r="X31" i="93"/>
  <c r="AB76" i="94"/>
  <c r="X39" i="88"/>
  <c r="O11" i="93"/>
  <c r="AA142" i="92"/>
  <c r="P180" i="94"/>
  <c r="X130" i="89"/>
  <c r="AA176" i="93"/>
  <c r="X37" i="91"/>
  <c r="Y120" i="93"/>
  <c r="Z112" i="88"/>
  <c r="P171" i="88"/>
  <c r="T144" i="89"/>
  <c r="Z74" i="92"/>
  <c r="Z172" i="85"/>
  <c r="O184" i="93"/>
  <c r="X161" i="88"/>
  <c r="P110" i="92"/>
  <c r="P142" i="92"/>
  <c r="X37" i="93"/>
  <c r="AB88" i="94"/>
  <c r="L112" i="83"/>
  <c r="L99" i="84"/>
  <c r="P127" i="89"/>
  <c r="Y121" i="91"/>
  <c r="X126" i="94"/>
  <c r="Z167" i="89"/>
  <c r="AB111" i="93"/>
  <c r="AB49" i="91"/>
  <c r="L75" i="88"/>
  <c r="P80" i="87"/>
  <c r="AB140" i="94"/>
  <c r="Q105" i="81"/>
  <c r="Z25" i="93"/>
  <c r="AB29" i="87"/>
  <c r="M43" i="92"/>
  <c r="O149" i="87"/>
  <c r="Q67" i="74"/>
  <c r="O94" i="92"/>
  <c r="Z99" i="94"/>
  <c r="X120" i="93"/>
  <c r="L169" i="89"/>
  <c r="AB67" i="89"/>
  <c r="AB132" i="89"/>
  <c r="AA103" i="87"/>
  <c r="L156" i="93"/>
  <c r="Q123" i="84"/>
  <c r="Y151" i="91"/>
  <c r="Z98" i="91"/>
  <c r="AA31" i="93"/>
  <c r="L104" i="93"/>
  <c r="P138" i="74"/>
  <c r="AB156" i="87"/>
  <c r="L179" i="91"/>
  <c r="P85" i="93"/>
  <c r="L133" i="93"/>
  <c r="T132" i="88"/>
  <c r="X83" i="94"/>
  <c r="P179" i="91"/>
  <c r="AB109" i="88"/>
  <c r="O113" i="94"/>
  <c r="X155" i="92"/>
  <c r="P153" i="83"/>
  <c r="X164" i="89"/>
  <c r="Y157" i="74"/>
  <c r="O119" i="92"/>
  <c r="Q144" i="81"/>
  <c r="M55" i="94"/>
  <c r="P100" i="88"/>
  <c r="O109" i="92"/>
  <c r="AB72" i="92"/>
  <c r="P13" i="91"/>
  <c r="AA162" i="93"/>
  <c r="Q29" i="91"/>
  <c r="P151" i="89"/>
  <c r="Y162" i="94"/>
  <c r="P183" i="87"/>
  <c r="Q130" i="87"/>
  <c r="AB122" i="88"/>
  <c r="N108" i="94"/>
  <c r="AB137" i="92"/>
  <c r="X165" i="84"/>
  <c r="O29" i="92"/>
  <c r="AA33" i="92"/>
  <c r="T51" i="88"/>
  <c r="Y51" i="92"/>
  <c r="N150" i="94"/>
  <c r="Z104" i="94"/>
  <c r="L175" i="85"/>
  <c r="AB93" i="91"/>
  <c r="Z35" i="93"/>
  <c r="Y84" i="89"/>
  <c r="AA59" i="87"/>
  <c r="M47" i="89"/>
  <c r="N120" i="87"/>
  <c r="Q178" i="94"/>
  <c r="Q120" i="94"/>
  <c r="X158" i="83"/>
  <c r="Z45" i="92"/>
  <c r="O126" i="88"/>
  <c r="P168" i="87"/>
  <c r="O173" i="87"/>
  <c r="Z21" i="92"/>
  <c r="Q68" i="92"/>
  <c r="Z173" i="92"/>
  <c r="O106" i="92"/>
  <c r="Z66" i="93"/>
  <c r="L163" i="93"/>
  <c r="AA79" i="93"/>
  <c r="AB132" i="87"/>
  <c r="P65" i="84"/>
  <c r="T177" i="81"/>
  <c r="O86" i="93"/>
  <c r="AB98" i="93"/>
  <c r="Q129" i="93"/>
  <c r="Q80" i="93"/>
  <c r="O86" i="83"/>
  <c r="AB127" i="85"/>
  <c r="AB173" i="92"/>
  <c r="X100" i="94"/>
  <c r="N141" i="94"/>
  <c r="L101" i="94"/>
  <c r="AA64" i="89"/>
  <c r="N105" i="82"/>
  <c r="M17" i="85"/>
  <c r="L114" i="85"/>
  <c r="N33" i="93"/>
  <c r="Z164" i="94"/>
  <c r="AB126" i="84"/>
  <c r="Y133" i="92"/>
  <c r="P185" i="82"/>
  <c r="X123" i="88"/>
  <c r="P127" i="91"/>
  <c r="Y75" i="85"/>
  <c r="P148" i="91"/>
  <c r="P82" i="89"/>
  <c r="P100" i="92"/>
  <c r="AB76" i="81"/>
  <c r="Q128" i="94"/>
  <c r="O19" i="92"/>
  <c r="AA141" i="93"/>
  <c r="AB124" i="94"/>
  <c r="N123" i="93"/>
  <c r="Y35" i="92"/>
  <c r="X96" i="88"/>
  <c r="P31" i="94"/>
  <c r="L146" i="94"/>
  <c r="O128" i="93"/>
  <c r="O140" i="93"/>
  <c r="X77" i="94"/>
  <c r="Q133" i="93"/>
  <c r="N84" i="93"/>
  <c r="Q165" i="93"/>
  <c r="L85" i="94"/>
  <c r="N9" i="88"/>
  <c r="O76" i="93"/>
  <c r="Z73" i="87"/>
  <c r="AB98" i="88"/>
  <c r="L103" i="89"/>
  <c r="X15" i="89"/>
  <c r="Q76" i="84"/>
  <c r="L177" i="89"/>
  <c r="P128" i="92"/>
  <c r="X147" i="84"/>
  <c r="Y170" i="89"/>
  <c r="N45" i="82"/>
  <c r="Q111" i="92"/>
  <c r="Y172" i="93"/>
  <c r="Y83" i="85"/>
  <c r="AA150" i="91"/>
  <c r="O92" i="83"/>
  <c r="O27" i="94"/>
  <c r="P47" i="82"/>
  <c r="P11" i="93"/>
  <c r="Y103" i="94"/>
  <c r="Y121" i="93"/>
  <c r="Y118" i="83"/>
  <c r="Q37" i="91"/>
  <c r="AB70" i="84"/>
  <c r="Y87" i="94"/>
  <c r="L87" i="87"/>
  <c r="AB144" i="92"/>
  <c r="AA155" i="87"/>
  <c r="Y84" i="92"/>
  <c r="Q79" i="92"/>
  <c r="AA89" i="85"/>
  <c r="O183" i="81"/>
  <c r="P113" i="88"/>
  <c r="X67" i="94"/>
  <c r="O142" i="88"/>
  <c r="Q84" i="93"/>
  <c r="AB43" i="93"/>
  <c r="O107" i="94"/>
  <c r="O79" i="87"/>
  <c r="X119" i="92"/>
  <c r="Y174" i="92"/>
  <c r="Q177" i="94"/>
  <c r="L134" i="74"/>
  <c r="AA180" i="89"/>
  <c r="Z33" i="93"/>
  <c r="AA81" i="74"/>
  <c r="O29" i="74"/>
  <c r="AA21" i="89"/>
  <c r="O88" i="94"/>
  <c r="AB171" i="94"/>
  <c r="Q81" i="94"/>
  <c r="O128" i="94"/>
  <c r="AA154" i="87"/>
  <c r="O9" i="92"/>
  <c r="AB166" i="89"/>
  <c r="P15" i="81"/>
  <c r="AB146" i="83"/>
  <c r="X41" i="91"/>
  <c r="X106" i="83"/>
  <c r="Y64" i="88"/>
  <c r="AB114" i="93"/>
  <c r="AA139" i="88"/>
  <c r="L122" i="87"/>
  <c r="AB160" i="85"/>
  <c r="P157" i="94"/>
  <c r="O179" i="94"/>
  <c r="O63" i="94"/>
  <c r="L83" i="94"/>
  <c r="X155" i="84"/>
  <c r="AA84" i="84"/>
  <c r="L130" i="94"/>
  <c r="X37" i="89"/>
  <c r="O19" i="81"/>
  <c r="O127" i="94"/>
  <c r="AA145" i="94"/>
  <c r="L106" i="92"/>
  <c r="P117" i="92"/>
  <c r="Y77" i="87"/>
  <c r="AA110" i="91"/>
  <c r="L89" i="89"/>
  <c r="Q39" i="93"/>
  <c r="Y61" i="94"/>
  <c r="L169" i="85"/>
  <c r="T75" i="81"/>
  <c r="AB175" i="94"/>
  <c r="X139" i="94"/>
  <c r="AA155" i="89"/>
  <c r="N75" i="84"/>
  <c r="AB57" i="87"/>
  <c r="O155" i="92"/>
  <c r="AA155" i="92"/>
  <c r="X115" i="94"/>
  <c r="L144" i="88"/>
  <c r="AA149" i="85"/>
  <c r="AA111" i="92"/>
  <c r="P37" i="87"/>
  <c r="L66" i="85"/>
  <c r="T171" i="89"/>
  <c r="P81" i="84"/>
  <c r="T69" i="89"/>
  <c r="L98" i="92"/>
  <c r="Q147" i="85"/>
  <c r="O31" i="87"/>
  <c r="N90" i="91"/>
  <c r="Q11" i="93"/>
  <c r="T171" i="91"/>
  <c r="P109" i="82"/>
  <c r="X11" i="88"/>
  <c r="O43" i="88"/>
  <c r="AA157" i="89"/>
  <c r="Y176" i="89"/>
  <c r="O51" i="88"/>
  <c r="Y176" i="87"/>
  <c r="AA175" i="94"/>
  <c r="Q124" i="94"/>
  <c r="Q82" i="85"/>
  <c r="AB106" i="94"/>
  <c r="N78" i="87"/>
  <c r="P51" i="93"/>
  <c r="P82" i="92"/>
  <c r="AA96" i="88"/>
  <c r="AA122" i="84"/>
  <c r="L148" i="92"/>
  <c r="X166" i="88"/>
  <c r="Q165" i="83"/>
  <c r="P152" i="81"/>
  <c r="X143" i="74"/>
  <c r="O59" i="92"/>
  <c r="X110" i="85"/>
  <c r="N165" i="85"/>
  <c r="N117" i="83"/>
  <c r="P126" i="94"/>
  <c r="Y110" i="84"/>
  <c r="Y29" i="87"/>
  <c r="Z123" i="94"/>
  <c r="Z25" i="94"/>
  <c r="L68" i="94"/>
  <c r="AB136" i="87"/>
  <c r="AB73" i="83"/>
  <c r="M59" i="88"/>
  <c r="P160" i="94"/>
  <c r="AB83" i="84"/>
  <c r="AA109" i="92"/>
  <c r="O134" i="88"/>
  <c r="AA61" i="94"/>
  <c r="N180" i="74"/>
  <c r="Z162" i="85"/>
  <c r="Z29" i="92"/>
  <c r="O172" i="87"/>
  <c r="P139" i="91"/>
  <c r="O136" i="89"/>
  <c r="Y162" i="92"/>
  <c r="Z175" i="93"/>
  <c r="Q106" i="92"/>
  <c r="Q72" i="89"/>
  <c r="Q166" i="89"/>
  <c r="P33" i="83"/>
  <c r="AB13" i="91"/>
  <c r="Z69" i="84"/>
  <c r="Y55" i="92"/>
  <c r="X120" i="84"/>
  <c r="X173" i="94"/>
  <c r="AA45" i="91"/>
  <c r="AA146" i="85"/>
  <c r="T132" i="87"/>
  <c r="Z131" i="89"/>
  <c r="O78" i="91"/>
  <c r="AA11" i="74"/>
  <c r="Y171" i="94"/>
  <c r="O102" i="94"/>
  <c r="P183" i="93"/>
  <c r="P53" i="92"/>
  <c r="Y147" i="85"/>
  <c r="AB155" i="91"/>
  <c r="P141" i="88"/>
  <c r="O85" i="88"/>
  <c r="Y151" i="94"/>
  <c r="Q111" i="91"/>
  <c r="N171" i="92"/>
  <c r="O165" i="88"/>
  <c r="M9" i="92"/>
  <c r="X57" i="88"/>
  <c r="P184" i="94"/>
  <c r="N57" i="92"/>
  <c r="AB19" i="91"/>
  <c r="X148" i="92"/>
  <c r="AB111" i="92"/>
  <c r="Q51" i="88"/>
  <c r="L106" i="94"/>
  <c r="Y152" i="89"/>
  <c r="Q92" i="92"/>
  <c r="X132" i="92"/>
  <c r="P148" i="94"/>
  <c r="X149" i="88"/>
  <c r="L174" i="88"/>
  <c r="Q156" i="93"/>
  <c r="Z157" i="89"/>
  <c r="O176" i="91"/>
  <c r="N153" i="89"/>
  <c r="AA156" i="84"/>
  <c r="Y149" i="93"/>
  <c r="Y168" i="88"/>
  <c r="X86" i="92"/>
  <c r="L112" i="92"/>
  <c r="AA86" i="88"/>
  <c r="AB114" i="89"/>
  <c r="L114" i="94"/>
  <c r="N159" i="83"/>
  <c r="P21" i="89"/>
  <c r="Z149" i="92"/>
  <c r="L163" i="92"/>
  <c r="L131" i="92"/>
  <c r="L155" i="94"/>
  <c r="Y161" i="91"/>
  <c r="AA180" i="88"/>
  <c r="AB110" i="84"/>
  <c r="AB93" i="94"/>
  <c r="AB99" i="81"/>
  <c r="Z82" i="92"/>
  <c r="L184" i="88"/>
  <c r="X142" i="93"/>
  <c r="X177" i="82"/>
  <c r="L167" i="81"/>
  <c r="O83" i="89"/>
  <c r="AA160" i="92"/>
  <c r="O68" i="92"/>
  <c r="Q101" i="89"/>
  <c r="X164" i="93"/>
  <c r="AA33" i="93"/>
  <c r="Y87" i="89"/>
  <c r="AB94" i="89"/>
  <c r="N87" i="89"/>
  <c r="Z47" i="87"/>
  <c r="Q49" i="87"/>
  <c r="L71" i="93"/>
  <c r="AA151" i="89"/>
  <c r="T99" i="84"/>
  <c r="AB124" i="93"/>
  <c r="Y66" i="91"/>
  <c r="AB93" i="88"/>
  <c r="Z53" i="89"/>
  <c r="AA92" i="83"/>
  <c r="L130" i="91"/>
  <c r="X141" i="92"/>
  <c r="AA120" i="88"/>
  <c r="P76" i="88"/>
  <c r="Z131" i="85"/>
  <c r="P9" i="94"/>
  <c r="M25" i="87"/>
  <c r="AA164" i="92"/>
  <c r="L123" i="94"/>
  <c r="N171" i="94"/>
  <c r="L127" i="85"/>
  <c r="Z98" i="92"/>
  <c r="Z142" i="91"/>
  <c r="Q154" i="92"/>
  <c r="O183" i="87"/>
  <c r="AB19" i="88"/>
  <c r="M31" i="87"/>
  <c r="Q15" i="94"/>
  <c r="X150" i="91"/>
  <c r="L69" i="92"/>
  <c r="O184" i="92"/>
  <c r="Y160" i="88"/>
  <c r="X37" i="82"/>
  <c r="Y87" i="92"/>
  <c r="AB165" i="81"/>
  <c r="Y148" i="87"/>
  <c r="Z57" i="82"/>
  <c r="P88" i="93"/>
  <c r="P180" i="91"/>
  <c r="Q135" i="89"/>
  <c r="Q92" i="94"/>
  <c r="Q93" i="89"/>
  <c r="X118" i="84"/>
  <c r="Q127" i="92"/>
  <c r="AB57" i="94"/>
  <c r="M45" i="92"/>
  <c r="Y100" i="92"/>
  <c r="Z159" i="83"/>
  <c r="X84" i="88"/>
  <c r="L121" i="92"/>
  <c r="AB85" i="88"/>
  <c r="O144" i="87"/>
  <c r="X136" i="87"/>
  <c r="Z147" i="83"/>
  <c r="X152" i="93"/>
  <c r="N81" i="88"/>
  <c r="AB164" i="91"/>
  <c r="L185" i="85"/>
  <c r="P83" i="88"/>
  <c r="X49" i="82"/>
  <c r="P68" i="88"/>
  <c r="AB162" i="92"/>
  <c r="AB140" i="88"/>
  <c r="O156" i="87"/>
  <c r="X70" i="87"/>
  <c r="X114" i="89"/>
  <c r="Q144" i="94"/>
  <c r="AA88" i="74"/>
  <c r="N185" i="89"/>
  <c r="M43" i="94"/>
  <c r="P72" i="82"/>
  <c r="Y97" i="94"/>
  <c r="Q13" i="87"/>
  <c r="O43" i="84"/>
  <c r="AA130" i="87"/>
  <c r="X80" i="94"/>
  <c r="Z144" i="84"/>
  <c r="Z110" i="87"/>
  <c r="L148" i="81"/>
  <c r="X102" i="92"/>
  <c r="O65" i="89"/>
  <c r="P150" i="92"/>
  <c r="Q177" i="89"/>
  <c r="X126" i="93"/>
  <c r="X135" i="92"/>
  <c r="AA177" i="94"/>
  <c r="Y119" i="82"/>
  <c r="P53" i="94"/>
  <c r="Y117" i="92"/>
  <c r="Z119" i="82"/>
  <c r="N180" i="93"/>
  <c r="O167" i="93"/>
  <c r="P125" i="92"/>
  <c r="AA152" i="93"/>
  <c r="Y172" i="81"/>
  <c r="X97" i="94"/>
  <c r="L185" i="84"/>
  <c r="X119" i="94"/>
  <c r="Z97" i="84"/>
  <c r="O129" i="92"/>
  <c r="Y98" i="94"/>
  <c r="AA123" i="85"/>
  <c r="L153" i="91"/>
  <c r="AB17" i="85"/>
  <c r="AA145" i="89"/>
  <c r="O166" i="94"/>
  <c r="P55" i="88"/>
  <c r="AA138" i="84"/>
  <c r="P75" i="82"/>
  <c r="Q174" i="93"/>
  <c r="M39" i="82"/>
  <c r="Q175" i="94"/>
  <c r="Q84" i="88"/>
  <c r="P144" i="88"/>
  <c r="L136" i="88"/>
  <c r="N147" i="89"/>
  <c r="P101" i="88"/>
  <c r="AB101" i="91"/>
  <c r="Q100" i="89"/>
  <c r="O93" i="93"/>
  <c r="P13" i="82"/>
  <c r="Q88" i="81"/>
  <c r="P135" i="94"/>
  <c r="P169" i="84"/>
  <c r="O124" i="94"/>
  <c r="Z90" i="81"/>
  <c r="Z96" i="89"/>
  <c r="P125" i="94"/>
  <c r="X90" i="88"/>
  <c r="O74" i="89"/>
  <c r="AB115" i="93"/>
  <c r="AA78" i="94"/>
  <c r="P125" i="88"/>
  <c r="Z71" i="94"/>
  <c r="AB98" i="91"/>
  <c r="P121" i="84"/>
  <c r="AA162" i="84"/>
  <c r="P171" i="93"/>
  <c r="Q55" i="84"/>
  <c r="N114" i="89"/>
  <c r="Z151" i="93"/>
  <c r="L121" i="74"/>
  <c r="X87" i="93"/>
  <c r="O109" i="87"/>
  <c r="Z61" i="92"/>
  <c r="Q159" i="91"/>
  <c r="O153" i="88"/>
  <c r="Q85" i="93"/>
  <c r="Y152" i="92"/>
  <c r="P93" i="89"/>
  <c r="X143" i="94"/>
  <c r="N147" i="94"/>
  <c r="X57" i="84"/>
  <c r="Q155" i="83"/>
  <c r="O156" i="92"/>
  <c r="AA104" i="81"/>
  <c r="Y13" i="88"/>
  <c r="AA116" i="89"/>
  <c r="O149" i="92"/>
  <c r="L140" i="94"/>
  <c r="AB43" i="83"/>
  <c r="N135" i="89"/>
  <c r="P75" i="88"/>
  <c r="O91" i="89"/>
  <c r="Y180" i="93"/>
  <c r="Q107" i="74"/>
  <c r="AB86" i="83"/>
  <c r="O112" i="93"/>
  <c r="X98" i="74"/>
  <c r="L165" i="84"/>
  <c r="AA154" i="94"/>
  <c r="L153" i="88"/>
  <c r="X78" i="91"/>
  <c r="P11" i="92"/>
  <c r="N165" i="92"/>
  <c r="X140" i="94"/>
  <c r="O180" i="92"/>
  <c r="Q76" i="91"/>
  <c r="AB70" i="87"/>
  <c r="AA63" i="89"/>
  <c r="Y173" i="93"/>
  <c r="Y64" i="93"/>
  <c r="Z123" i="89"/>
  <c r="AA29" i="93"/>
  <c r="L72" i="93"/>
  <c r="Z147" i="94"/>
  <c r="X102" i="88"/>
  <c r="AB90" i="87"/>
  <c r="O41" i="88"/>
  <c r="AB55" i="84"/>
  <c r="Q37" i="92"/>
  <c r="AB11" i="94"/>
  <c r="X70" i="88"/>
  <c r="Z112" i="94"/>
  <c r="AB134" i="85"/>
  <c r="AA93" i="92"/>
  <c r="AA138" i="88"/>
  <c r="L146" i="82"/>
  <c r="Q55" i="93"/>
  <c r="Z131" i="94"/>
  <c r="AB143" i="83"/>
  <c r="L91" i="87"/>
  <c r="Q169" i="74"/>
  <c r="AA68" i="85"/>
  <c r="X57" i="92"/>
  <c r="O161" i="88"/>
  <c r="X45" i="88"/>
  <c r="Q133" i="94"/>
  <c r="X103" i="92"/>
  <c r="AB125" i="92"/>
  <c r="N156" i="85"/>
  <c r="Z108" i="87"/>
  <c r="AA43" i="92"/>
  <c r="P100" i="91"/>
  <c r="L148" i="91"/>
  <c r="M35" i="85"/>
  <c r="P27" i="81"/>
  <c r="Q174" i="88"/>
  <c r="O138" i="91"/>
  <c r="AB141" i="92"/>
  <c r="X9" i="93"/>
  <c r="O163" i="83"/>
  <c r="AB39" i="92"/>
  <c r="AA75" i="94"/>
  <c r="Y129" i="81"/>
  <c r="Q153" i="81"/>
  <c r="AA92" i="87"/>
  <c r="X161" i="89"/>
  <c r="P89" i="74"/>
  <c r="Z143" i="74"/>
  <c r="AB164" i="88"/>
  <c r="L132" i="89"/>
  <c r="AB97" i="92"/>
  <c r="Y93" i="94"/>
  <c r="AA113" i="92"/>
  <c r="Y66" i="92"/>
  <c r="P65" i="81"/>
  <c r="P152" i="91"/>
  <c r="Y118" i="94"/>
  <c r="Y100" i="94"/>
  <c r="Q74" i="84"/>
  <c r="Y158" i="83"/>
  <c r="Y33" i="88"/>
  <c r="O145" i="89"/>
  <c r="AB123" i="87"/>
  <c r="Y177" i="92"/>
  <c r="Z138" i="89"/>
  <c r="O41" i="93"/>
  <c r="Q182" i="94"/>
  <c r="Q161" i="89"/>
  <c r="Q125" i="85"/>
  <c r="P142" i="94"/>
  <c r="Y71" i="83"/>
  <c r="AA137" i="91"/>
  <c r="AB152" i="93"/>
  <c r="N135" i="93"/>
  <c r="O153" i="92"/>
  <c r="O19" i="87"/>
  <c r="P101" i="93"/>
  <c r="X91" i="94"/>
  <c r="P134" i="89"/>
  <c r="AA156" i="94"/>
  <c r="AB159" i="94"/>
  <c r="Q141" i="91"/>
  <c r="L111" i="89"/>
  <c r="AA133" i="81"/>
  <c r="O142" i="89"/>
  <c r="T69" i="91"/>
  <c r="Y129" i="92"/>
  <c r="Z149" i="89"/>
  <c r="Z78" i="84"/>
  <c r="P163" i="91"/>
  <c r="X103" i="91"/>
  <c r="X94" i="93"/>
  <c r="AA170" i="82"/>
  <c r="O158" i="94"/>
  <c r="Q170" i="93"/>
  <c r="P81" i="88"/>
  <c r="Y78" i="93"/>
  <c r="Q178" i="91"/>
  <c r="P65" i="94"/>
  <c r="Z81" i="94"/>
  <c r="Q112" i="93"/>
  <c r="AA164" i="74"/>
  <c r="Q73" i="92"/>
  <c r="N63" i="87"/>
  <c r="X55" i="92"/>
  <c r="P75" i="92"/>
  <c r="X162" i="92"/>
  <c r="AA176" i="89"/>
  <c r="X147" i="94"/>
  <c r="M35" i="92"/>
  <c r="AB74" i="92"/>
  <c r="O147" i="85"/>
  <c r="O166" i="89"/>
  <c r="O132" i="87"/>
  <c r="Y134" i="91"/>
  <c r="AA146" i="89"/>
  <c r="Q70" i="93"/>
  <c r="Q172" i="93"/>
  <c r="X137" i="94"/>
  <c r="O49" i="88"/>
  <c r="Y147" i="92"/>
  <c r="Z85" i="87"/>
  <c r="Z57" i="89"/>
  <c r="M39" i="89"/>
  <c r="T69" i="88"/>
  <c r="Q101" i="93"/>
  <c r="Q97" i="88"/>
  <c r="P23" i="92"/>
  <c r="L147" i="93"/>
  <c r="X120" i="85"/>
  <c r="AB84" i="93"/>
  <c r="O21" i="74"/>
  <c r="X39" i="92"/>
  <c r="P185" i="85"/>
  <c r="AA74" i="89"/>
  <c r="P41" i="74"/>
  <c r="Q159" i="83"/>
  <c r="X92" i="93"/>
  <c r="N75" i="82"/>
  <c r="AA97" i="94"/>
  <c r="L86" i="89"/>
  <c r="Z138" i="83"/>
  <c r="Z165" i="91"/>
  <c r="X74" i="81"/>
  <c r="Q143" i="88"/>
  <c r="N114" i="92"/>
  <c r="Q66" i="94"/>
  <c r="Y55" i="87"/>
  <c r="Y171" i="92"/>
  <c r="X139" i="88"/>
  <c r="Y95" i="74"/>
  <c r="AB157" i="81"/>
  <c r="L150" i="93"/>
  <c r="L87" i="81"/>
  <c r="AA71" i="93"/>
  <c r="P104" i="93"/>
  <c r="Q137" i="87"/>
  <c r="Y155" i="88"/>
  <c r="P132" i="85"/>
  <c r="Q49" i="82"/>
  <c r="AA161" i="87"/>
  <c r="Z39" i="89"/>
  <c r="Y13" i="85"/>
  <c r="P91" i="92"/>
  <c r="O95" i="91"/>
  <c r="T144" i="84"/>
  <c r="AB81" i="83"/>
  <c r="O163" i="92"/>
  <c r="AB43" i="92"/>
  <c r="Z103" i="94"/>
  <c r="P146" i="92"/>
  <c r="Z115" i="85"/>
  <c r="AB116" i="89"/>
  <c r="L152" i="85"/>
  <c r="O140" i="81"/>
  <c r="Q113" i="93"/>
  <c r="Q77" i="87"/>
  <c r="AA174" i="92"/>
  <c r="AB131" i="93"/>
  <c r="X105" i="81"/>
  <c r="O113" i="92"/>
  <c r="AB69" i="94"/>
  <c r="Q122" i="87"/>
  <c r="X163" i="94"/>
  <c r="O88" i="88"/>
  <c r="AB142" i="89"/>
  <c r="AA112" i="83"/>
  <c r="Z117" i="89"/>
  <c r="X29" i="88"/>
  <c r="L96" i="88"/>
  <c r="AA61" i="93"/>
  <c r="T63" i="91"/>
  <c r="X53" i="94"/>
  <c r="X27" i="92"/>
  <c r="Z129" i="92"/>
  <c r="AA43" i="87"/>
  <c r="Q87" i="93"/>
  <c r="N15" i="91"/>
  <c r="Q59" i="92"/>
  <c r="AA23" i="92"/>
  <c r="X142" i="92"/>
  <c r="P37" i="93"/>
  <c r="X157" i="92"/>
  <c r="O107" i="91"/>
  <c r="AA171" i="87"/>
  <c r="Q184" i="92"/>
  <c r="AA163" i="92"/>
  <c r="T81" i="87"/>
  <c r="Y155" i="92"/>
  <c r="X49" i="89"/>
  <c r="P161" i="94"/>
  <c r="O27" i="92"/>
  <c r="AA116" i="92"/>
  <c r="Y147" i="94"/>
  <c r="AB108" i="92"/>
  <c r="AB95" i="92"/>
  <c r="Q43" i="89"/>
  <c r="X132" i="88"/>
  <c r="O67" i="88"/>
  <c r="X88" i="87"/>
  <c r="O109" i="82"/>
  <c r="Z153" i="93"/>
  <c r="Q162" i="92"/>
  <c r="Z104" i="88"/>
  <c r="Q127" i="91"/>
  <c r="AA148" i="92"/>
  <c r="O110" i="94"/>
  <c r="AA108" i="83"/>
  <c r="P76" i="89"/>
  <c r="M51" i="87"/>
  <c r="Z17" i="89"/>
  <c r="L148" i="87"/>
  <c r="AA158" i="93"/>
  <c r="O142" i="92"/>
  <c r="Q123" i="88"/>
  <c r="Q55" i="94"/>
  <c r="L77" i="94"/>
  <c r="AB66" i="93"/>
  <c r="AB177" i="92"/>
  <c r="P87" i="89"/>
  <c r="X49" i="94"/>
  <c r="AA142" i="88"/>
  <c r="X161" i="91"/>
  <c r="O11" i="74"/>
  <c r="O71" i="94"/>
  <c r="Y74" i="93"/>
  <c r="Y114" i="84"/>
  <c r="Y160" i="91"/>
  <c r="Z86" i="94"/>
  <c r="P164" i="89"/>
  <c r="AB166" i="92"/>
  <c r="AA21" i="88"/>
  <c r="Q164" i="93"/>
  <c r="Q173" i="93"/>
  <c r="T162" i="85"/>
  <c r="O176" i="85"/>
  <c r="P51" i="88"/>
  <c r="AA106" i="93"/>
  <c r="AA84" i="82"/>
  <c r="L145" i="93"/>
  <c r="Q79" i="84"/>
  <c r="AB66" i="81"/>
  <c r="N183" i="94"/>
  <c r="Q159" i="87"/>
  <c r="AA131" i="74"/>
  <c r="Z135" i="94"/>
  <c r="N66" i="91"/>
  <c r="Z162" i="88"/>
  <c r="Q85" i="82"/>
  <c r="N117" i="88"/>
  <c r="O183" i="83"/>
  <c r="Z134" i="82"/>
  <c r="Y25" i="93"/>
  <c r="N120" i="93"/>
  <c r="Z85" i="94"/>
  <c r="AB73" i="85"/>
  <c r="X59" i="93"/>
  <c r="Q110" i="92"/>
  <c r="L91" i="82"/>
  <c r="P98" i="74"/>
  <c r="X73" i="94"/>
  <c r="Z134" i="93"/>
  <c r="Q94" i="85"/>
  <c r="AB27" i="93"/>
  <c r="L173" i="83"/>
  <c r="P123" i="89"/>
  <c r="X154" i="93"/>
  <c r="L117" i="89"/>
  <c r="AB138" i="93"/>
  <c r="Y101" i="81"/>
  <c r="Z163" i="82"/>
  <c r="L123" i="87"/>
  <c r="X80" i="88"/>
  <c r="T63" i="88"/>
  <c r="Q84" i="92"/>
  <c r="P66" i="87"/>
  <c r="AB161" i="94"/>
  <c r="Y69" i="94"/>
  <c r="AB133" i="88"/>
  <c r="AA53" i="94"/>
  <c r="L111" i="93"/>
  <c r="N96" i="89"/>
  <c r="L128" i="74"/>
  <c r="L142" i="92"/>
  <c r="P173" i="81"/>
  <c r="AB174" i="83"/>
  <c r="N66" i="88"/>
  <c r="X171" i="89"/>
  <c r="Z65" i="92"/>
  <c r="L134" i="93"/>
  <c r="P150" i="94"/>
  <c r="O97" i="87"/>
  <c r="O124" i="89"/>
  <c r="O49" i="92"/>
  <c r="P183" i="91"/>
  <c r="AB33" i="91"/>
  <c r="AA141" i="89"/>
  <c r="AB77" i="88"/>
  <c r="O65" i="94"/>
  <c r="AB85" i="93"/>
  <c r="Q105" i="92"/>
  <c r="Y65" i="92"/>
  <c r="T81" i="81"/>
  <c r="AA92" i="93"/>
  <c r="P43" i="92"/>
  <c r="Q25" i="88"/>
  <c r="AB66" i="89"/>
  <c r="Y126" i="84"/>
  <c r="AA65" i="92"/>
  <c r="Y110" i="87"/>
  <c r="Y49" i="93"/>
  <c r="AB11" i="82"/>
  <c r="Z164" i="93"/>
  <c r="O72" i="91"/>
  <c r="O151" i="94"/>
  <c r="Z134" i="94"/>
  <c r="N180" i="81"/>
  <c r="Q51" i="91"/>
  <c r="Z159" i="92"/>
  <c r="O132" i="91"/>
  <c r="Y106" i="82"/>
  <c r="O147" i="92"/>
  <c r="P51" i="89"/>
  <c r="M29" i="82"/>
  <c r="P143" i="94"/>
  <c r="Y33" i="84"/>
  <c r="AA151" i="88"/>
  <c r="T84" i="74"/>
  <c r="O49" i="94"/>
  <c r="AB152" i="92"/>
  <c r="P97" i="92"/>
  <c r="Z103" i="93"/>
  <c r="Q109" i="93"/>
  <c r="O146" i="94"/>
  <c r="AA119" i="91"/>
  <c r="AA57" i="87"/>
  <c r="AA41" i="94"/>
  <c r="N27" i="74"/>
  <c r="AB135" i="84"/>
  <c r="AB35" i="92"/>
  <c r="Y157" i="82"/>
  <c r="AA70" i="82"/>
  <c r="Y123" i="92"/>
  <c r="Z13" i="83"/>
  <c r="P155" i="89"/>
  <c r="X159" i="81"/>
  <c r="L84" i="94"/>
  <c r="Y106" i="91"/>
  <c r="Y97" i="91"/>
  <c r="L90" i="82"/>
  <c r="Q142" i="93"/>
  <c r="AA114" i="83"/>
  <c r="O102" i="93"/>
  <c r="P145" i="89"/>
  <c r="AB91" i="91"/>
  <c r="AA25" i="93"/>
  <c r="AA57" i="93"/>
  <c r="Q147" i="94"/>
  <c r="Z95" i="89"/>
  <c r="Z161" i="88"/>
  <c r="Q125" i="94"/>
  <c r="O74" i="94"/>
  <c r="AA113" i="94"/>
  <c r="X140" i="89"/>
  <c r="X83" i="85"/>
  <c r="M53" i="89"/>
  <c r="AB112" i="94"/>
  <c r="AB170" i="93"/>
  <c r="AB103" i="94"/>
  <c r="P130" i="82"/>
  <c r="L148" i="84"/>
  <c r="Y78" i="91"/>
  <c r="Y128" i="82"/>
  <c r="AA128" i="93"/>
  <c r="P167" i="94"/>
  <c r="N78" i="92"/>
  <c r="AA90" i="89"/>
  <c r="Q45" i="89"/>
  <c r="X68" i="94"/>
  <c r="AB82" i="91"/>
  <c r="Z39" i="87"/>
  <c r="Y76" i="94"/>
  <c r="P165" i="82"/>
  <c r="X41" i="93"/>
  <c r="Q15" i="91"/>
  <c r="L120" i="92"/>
  <c r="Z148" i="87"/>
  <c r="AA37" i="83"/>
  <c r="X154" i="74"/>
  <c r="Y144" i="94"/>
  <c r="P23" i="88"/>
  <c r="O178" i="93"/>
  <c r="X144" i="92"/>
  <c r="Z108" i="92"/>
  <c r="AB139" i="87"/>
  <c r="Z21" i="89"/>
  <c r="Y137" i="92"/>
  <c r="O127" i="81"/>
  <c r="Q182" i="93"/>
  <c r="P141" i="92"/>
  <c r="AB158" i="89"/>
  <c r="X130" i="92"/>
  <c r="AA105" i="87"/>
  <c r="X180" i="88"/>
  <c r="O159" i="89"/>
  <c r="Z122" i="93"/>
  <c r="L172" i="88"/>
  <c r="Y88" i="92"/>
  <c r="AA114" i="93"/>
  <c r="Q126" i="87"/>
  <c r="Y31" i="82"/>
  <c r="Q124" i="88"/>
  <c r="X102" i="93"/>
  <c r="Z95" i="81"/>
  <c r="X117" i="93"/>
  <c r="Z43" i="85"/>
  <c r="X147" i="82"/>
  <c r="X119" i="91"/>
  <c r="O77" i="88"/>
  <c r="X78" i="93"/>
  <c r="AA100" i="83"/>
  <c r="P120" i="88"/>
  <c r="N185" i="94"/>
  <c r="L176" i="87"/>
  <c r="Y165" i="81"/>
  <c r="L108" i="94"/>
  <c r="O89" i="91"/>
  <c r="AA39" i="92"/>
  <c r="P106" i="85"/>
  <c r="AB103" i="91"/>
  <c r="O13" i="87"/>
  <c r="AB49" i="88"/>
  <c r="Q142" i="91"/>
  <c r="X137" i="84"/>
  <c r="Y155" i="82"/>
  <c r="L95" i="94"/>
  <c r="Z153" i="91"/>
  <c r="AA150" i="94"/>
  <c r="Y81" i="91"/>
  <c r="P83" i="91"/>
  <c r="P133" i="88"/>
  <c r="L148" i="88"/>
  <c r="N183" i="83"/>
  <c r="P73" i="93"/>
  <c r="X95" i="94"/>
  <c r="Q178" i="87"/>
  <c r="Y69" i="85"/>
  <c r="Q89" i="92"/>
  <c r="P89" i="87"/>
  <c r="Z97" i="88"/>
  <c r="X96" i="93"/>
  <c r="P71" i="94"/>
  <c r="N63" i="93"/>
  <c r="O145" i="94"/>
  <c r="N168" i="93"/>
  <c r="Z68" i="93"/>
  <c r="AA101" i="93"/>
  <c r="P95" i="83"/>
  <c r="L166" i="81"/>
  <c r="AB103" i="93"/>
  <c r="AB76" i="91"/>
  <c r="Z160" i="94"/>
  <c r="L101" i="92"/>
  <c r="O87" i="81"/>
  <c r="L84" i="91"/>
  <c r="L83" i="93"/>
  <c r="AA141" i="94"/>
  <c r="L158" i="83"/>
  <c r="AB141" i="84"/>
  <c r="AA172" i="93"/>
  <c r="X17" i="91"/>
  <c r="Y128" i="89"/>
  <c r="O47" i="88"/>
  <c r="O95" i="92"/>
  <c r="O184" i="82"/>
  <c r="Q128" i="92"/>
  <c r="Q184" i="83"/>
  <c r="P167" i="87"/>
  <c r="AB67" i="87"/>
  <c r="Z90" i="92"/>
  <c r="P177" i="85"/>
  <c r="O77" i="94"/>
  <c r="T129" i="89"/>
  <c r="AB49" i="83"/>
  <c r="O65" i="93"/>
  <c r="Z65" i="91"/>
  <c r="P143" i="92"/>
  <c r="M59" i="87"/>
  <c r="P118" i="89"/>
  <c r="Y110" i="92"/>
  <c r="P140" i="93"/>
  <c r="AB29" i="94"/>
  <c r="AB160" i="94"/>
  <c r="Z161" i="91"/>
  <c r="X116" i="94"/>
  <c r="O15" i="92"/>
  <c r="N183" i="88"/>
  <c r="P116" i="88"/>
  <c r="X112" i="94"/>
  <c r="P107" i="94"/>
  <c r="P118" i="81"/>
  <c r="AB147" i="93"/>
  <c r="N72" i="88"/>
  <c r="O75" i="93"/>
  <c r="AB43" i="89"/>
  <c r="Q93" i="94"/>
  <c r="X137" i="89"/>
  <c r="O154" i="93"/>
  <c r="AA23" i="93"/>
  <c r="P108" i="94"/>
  <c r="AB118" i="94"/>
  <c r="Q41" i="84"/>
  <c r="AB69" i="89"/>
  <c r="Y103" i="92"/>
  <c r="O43" i="83"/>
  <c r="X136" i="94"/>
  <c r="AB105" i="83"/>
  <c r="Q88" i="88"/>
  <c r="O59" i="85"/>
  <c r="AA154" i="83"/>
  <c r="X120" i="74"/>
  <c r="Z77" i="93"/>
  <c r="Y177" i="88"/>
  <c r="Z41" i="88"/>
  <c r="X140" i="88"/>
  <c r="Q75" i="94"/>
  <c r="T108" i="91"/>
  <c r="AA83" i="84"/>
  <c r="P163" i="83"/>
  <c r="Z43" i="83"/>
  <c r="AB83" i="81"/>
  <c r="AB105" i="82"/>
  <c r="M37" i="94"/>
  <c r="Q184" i="89"/>
  <c r="X76" i="89"/>
  <c r="Q184" i="81"/>
  <c r="L176" i="85"/>
  <c r="Z82" i="91"/>
  <c r="AB136" i="94"/>
  <c r="Z119" i="87"/>
  <c r="O174" i="87"/>
  <c r="AB126" i="88"/>
  <c r="Q150" i="83"/>
  <c r="Z115" i="89"/>
  <c r="Y131" i="91"/>
  <c r="Y39" i="81"/>
  <c r="Q41" i="87"/>
  <c r="X47" i="91"/>
  <c r="Q9" i="93"/>
  <c r="AA84" i="85"/>
  <c r="O91" i="82"/>
  <c r="Z116" i="91"/>
  <c r="AB122" i="82"/>
  <c r="P141" i="93"/>
  <c r="M45" i="93"/>
  <c r="X145" i="93"/>
  <c r="M13" i="94"/>
  <c r="Z65" i="94"/>
  <c r="AA100" i="87"/>
  <c r="AB110" i="93"/>
  <c r="L100" i="93"/>
  <c r="P109" i="88"/>
  <c r="Z85" i="81"/>
  <c r="Q29" i="88"/>
  <c r="X17" i="92"/>
  <c r="L146" i="92"/>
  <c r="Y175" i="93"/>
  <c r="O66" i="91"/>
  <c r="P35" i="93"/>
  <c r="Q167" i="88"/>
  <c r="X71" i="89"/>
  <c r="L72" i="89"/>
  <c r="X145" i="94"/>
  <c r="X86" i="93"/>
  <c r="AA167" i="94"/>
  <c r="AB165" i="91"/>
  <c r="AA147" i="94"/>
  <c r="AB163" i="84"/>
  <c r="Z125" i="82"/>
  <c r="Y123" i="91"/>
  <c r="Y165" i="88"/>
  <c r="Z140" i="89"/>
  <c r="X123" i="89"/>
  <c r="AB57" i="84"/>
  <c r="O164" i="83"/>
  <c r="L165" i="74"/>
  <c r="O93" i="88"/>
  <c r="AB99" i="91"/>
  <c r="X99" i="87"/>
  <c r="X105" i="87"/>
  <c r="Z71" i="92"/>
  <c r="O164" i="93"/>
  <c r="X92" i="94"/>
  <c r="P168" i="89"/>
  <c r="Y106" i="92"/>
  <c r="Q17" i="92"/>
  <c r="O53" i="81"/>
  <c r="Y57" i="89"/>
  <c r="O184" i="87"/>
  <c r="AA154" i="92"/>
  <c r="M57" i="93"/>
  <c r="T153" i="81"/>
  <c r="X77" i="84"/>
  <c r="AB169" i="92"/>
  <c r="Z156" i="88"/>
  <c r="Z68" i="92"/>
  <c r="X96" i="91"/>
  <c r="AB79" i="83"/>
  <c r="O154" i="92"/>
  <c r="Y176" i="92"/>
  <c r="N132" i="91"/>
  <c r="X51" i="91"/>
  <c r="Y145" i="92"/>
  <c r="X152" i="87"/>
  <c r="P132" i="74"/>
  <c r="AB76" i="85"/>
  <c r="AA120" i="91"/>
  <c r="AA117" i="92"/>
  <c r="Z157" i="92"/>
  <c r="N132" i="81"/>
  <c r="AA93" i="89"/>
  <c r="O184" i="81"/>
  <c r="Z55" i="93"/>
  <c r="AB101" i="94"/>
  <c r="Y115" i="91"/>
  <c r="Q126" i="93"/>
  <c r="X169" i="87"/>
  <c r="AA81" i="89"/>
  <c r="Q64" i="93"/>
  <c r="AB128" i="88"/>
  <c r="AB45" i="92"/>
  <c r="Z149" i="82"/>
  <c r="Y134" i="74"/>
  <c r="Y134" i="93"/>
  <c r="AA134" i="83"/>
  <c r="Q53" i="84"/>
  <c r="Y81" i="94"/>
  <c r="Z100" i="91"/>
  <c r="X133" i="87"/>
  <c r="AB165" i="88"/>
  <c r="X138" i="89"/>
  <c r="AB71" i="92"/>
  <c r="Q183" i="85"/>
  <c r="L152" i="87"/>
  <c r="L178" i="92"/>
  <c r="X81" i="88"/>
  <c r="Q100" i="94"/>
  <c r="Q104" i="92"/>
  <c r="Q185" i="82"/>
  <c r="P151" i="85"/>
  <c r="T123" i="82"/>
  <c r="Z125" i="94"/>
  <c r="Z155" i="93"/>
  <c r="AB86" i="91"/>
  <c r="X45" i="94"/>
  <c r="O55" i="85"/>
  <c r="O19" i="94"/>
  <c r="P179" i="94"/>
  <c r="P80" i="93"/>
  <c r="Z124" i="89"/>
  <c r="P94" i="91"/>
  <c r="Q115" i="81"/>
  <c r="Y103" i="91"/>
  <c r="AB83" i="94"/>
  <c r="Q85" i="91"/>
  <c r="L150" i="87"/>
  <c r="AA144" i="93"/>
  <c r="Y153" i="91"/>
  <c r="Y153" i="89"/>
  <c r="AB176" i="92"/>
  <c r="M53" i="94"/>
  <c r="AB78" i="93"/>
  <c r="AB133" i="87"/>
  <c r="Z104" i="91"/>
  <c r="N156" i="82"/>
  <c r="M15" i="87"/>
  <c r="L177" i="94"/>
  <c r="P82" i="91"/>
  <c r="Q116" i="74"/>
  <c r="Q118" i="94"/>
  <c r="Q88" i="89"/>
  <c r="AB43" i="88"/>
  <c r="AB100" i="88"/>
  <c r="Q136" i="74"/>
  <c r="X119" i="74"/>
  <c r="AB89" i="94"/>
  <c r="O118" i="92"/>
  <c r="Y91" i="93"/>
  <c r="N111" i="94"/>
  <c r="AA85" i="93"/>
  <c r="P171" i="91"/>
  <c r="AA146" i="88"/>
  <c r="P29" i="91"/>
  <c r="L165" i="85"/>
  <c r="Y146" i="92"/>
  <c r="L168" i="93"/>
  <c r="AB99" i="93"/>
  <c r="X139" i="91"/>
  <c r="Z148" i="94"/>
  <c r="Q118" i="89"/>
  <c r="Z108" i="91"/>
  <c r="M21" i="87"/>
  <c r="Z78" i="92"/>
  <c r="O21" i="89"/>
  <c r="L163" i="91"/>
  <c r="P121" i="87"/>
  <c r="Y117" i="91"/>
  <c r="Z31" i="82"/>
  <c r="Y70" i="93"/>
  <c r="Y83" i="92"/>
  <c r="P97" i="91"/>
  <c r="M37" i="92"/>
  <c r="P69" i="83"/>
  <c r="X146" i="74"/>
  <c r="O150" i="87"/>
  <c r="Z114" i="93"/>
  <c r="P154" i="93"/>
  <c r="P140" i="94"/>
  <c r="Y75" i="91"/>
  <c r="Y115" i="89"/>
  <c r="X95" i="83"/>
  <c r="P122" i="92"/>
  <c r="AA73" i="89"/>
  <c r="AA29" i="92"/>
  <c r="Q41" i="89"/>
  <c r="X71" i="92"/>
  <c r="Z89" i="89"/>
  <c r="Q148" i="94"/>
  <c r="Y33" i="93"/>
  <c r="Y151" i="81"/>
  <c r="Q124" i="82"/>
  <c r="AA82" i="81"/>
  <c r="X152" i="89"/>
  <c r="P161" i="91"/>
  <c r="Y112" i="94"/>
  <c r="T123" i="87"/>
  <c r="Q95" i="94"/>
  <c r="O169" i="87"/>
  <c r="X151" i="92"/>
  <c r="Y159" i="82"/>
  <c r="X76" i="93"/>
  <c r="Q114" i="84"/>
  <c r="O115" i="81"/>
  <c r="O71" i="93"/>
  <c r="N156" i="92"/>
  <c r="P95" i="91"/>
  <c r="AB167" i="84"/>
  <c r="Z164" i="84"/>
  <c r="AB144" i="82"/>
  <c r="Y143" i="74"/>
  <c r="Z23" i="89"/>
  <c r="Z166" i="91"/>
  <c r="Q99" i="82"/>
  <c r="AA154" i="88"/>
  <c r="Q99" i="85"/>
  <c r="Y132" i="89"/>
  <c r="Y47" i="89"/>
  <c r="X163" i="91"/>
  <c r="AB146" i="94"/>
  <c r="AA137" i="93"/>
  <c r="L182" i="89"/>
  <c r="P74" i="84"/>
  <c r="AB86" i="93"/>
  <c r="X137" i="74"/>
  <c r="N135" i="74"/>
  <c r="AA130" i="83"/>
  <c r="Y49" i="87"/>
  <c r="P9" i="74"/>
  <c r="AA159" i="85"/>
  <c r="AA147" i="88"/>
  <c r="O139" i="91"/>
  <c r="O120" i="94"/>
  <c r="AB91" i="87"/>
  <c r="AA123" i="89"/>
  <c r="L157" i="93"/>
  <c r="Q17" i="91"/>
  <c r="AA127" i="81"/>
  <c r="P53" i="93"/>
  <c r="M57" i="81"/>
  <c r="O144" i="92"/>
  <c r="P95" i="93"/>
  <c r="X125" i="81"/>
  <c r="P91" i="89"/>
  <c r="AB63" i="83"/>
  <c r="P153" i="93"/>
  <c r="AB117" i="93"/>
  <c r="Q85" i="94"/>
  <c r="P85" i="94"/>
  <c r="P89" i="94"/>
  <c r="Q23" i="82"/>
  <c r="AB175" i="85"/>
  <c r="AA96" i="91"/>
  <c r="N183" i="85"/>
  <c r="AB80" i="82"/>
  <c r="O101" i="91"/>
  <c r="Q171" i="88"/>
  <c r="Q174" i="94"/>
  <c r="P178" i="93"/>
  <c r="Z117" i="83"/>
  <c r="L115" i="92"/>
  <c r="O35" i="92"/>
  <c r="X99" i="83"/>
  <c r="Q162" i="85"/>
  <c r="Q177" i="83"/>
  <c r="P118" i="88"/>
  <c r="L97" i="92"/>
  <c r="L116" i="85"/>
  <c r="X61" i="89"/>
  <c r="Z27" i="92"/>
  <c r="AA153" i="94"/>
  <c r="AA82" i="94"/>
  <c r="Q23" i="88"/>
  <c r="AA170" i="88"/>
  <c r="Y118" i="91"/>
  <c r="Y21" i="92"/>
  <c r="AB134" i="82"/>
  <c r="Q158" i="88"/>
  <c r="X83" i="82"/>
  <c r="AA141" i="81"/>
  <c r="L128" i="91"/>
  <c r="P69" i="92"/>
  <c r="Z119" i="88"/>
  <c r="AA114" i="94"/>
  <c r="O156" i="93"/>
  <c r="O180" i="94"/>
  <c r="O97" i="83"/>
  <c r="Q147" i="92"/>
  <c r="AA72" i="89"/>
  <c r="X164" i="94"/>
  <c r="L129" i="89"/>
  <c r="Y142" i="92"/>
  <c r="Y119" i="91"/>
  <c r="P164" i="93"/>
  <c r="AA174" i="87"/>
  <c r="T39" i="89"/>
  <c r="Y13" i="81"/>
  <c r="O175" i="87"/>
  <c r="Y135" i="94"/>
  <c r="X109" i="81"/>
  <c r="X124" i="81"/>
  <c r="Z84" i="87"/>
  <c r="Z154" i="74"/>
  <c r="AB166" i="91"/>
  <c r="Y99" i="93"/>
  <c r="P92" i="92"/>
  <c r="P164" i="84"/>
  <c r="T87" i="93"/>
  <c r="Q33" i="92"/>
  <c r="T120" i="93"/>
  <c r="X33" i="88"/>
  <c r="AA81" i="93"/>
  <c r="P138" i="92"/>
  <c r="Q9" i="91"/>
  <c r="Z138" i="93"/>
  <c r="AB76" i="83"/>
  <c r="X15" i="91"/>
  <c r="Q21" i="83"/>
  <c r="AB137" i="89"/>
  <c r="AA25" i="84"/>
  <c r="AB127" i="94"/>
  <c r="X47" i="89"/>
  <c r="P142" i="88"/>
  <c r="T93" i="91"/>
  <c r="Z116" i="88"/>
  <c r="AB143" i="94"/>
  <c r="Q144" i="89"/>
  <c r="Z33" i="92"/>
  <c r="Z169" i="93"/>
  <c r="AA121" i="89"/>
  <c r="AB168" i="94"/>
  <c r="P108" i="83"/>
  <c r="Q95" i="74"/>
  <c r="T120" i="91"/>
  <c r="X97" i="93"/>
  <c r="Y109" i="85"/>
  <c r="AB169" i="82"/>
  <c r="N159" i="89"/>
  <c r="Y104" i="74"/>
  <c r="Q104" i="87"/>
  <c r="L65" i="88"/>
  <c r="AB82" i="89"/>
  <c r="AA86" i="93"/>
  <c r="Q78" i="94"/>
  <c r="L143" i="94"/>
  <c r="X165" i="88"/>
  <c r="T117" i="89"/>
  <c r="O101" i="92"/>
  <c r="X139" i="92"/>
  <c r="AB138" i="91"/>
  <c r="AA135" i="87"/>
  <c r="X122" i="89"/>
  <c r="AB112" i="91"/>
  <c r="Z148" i="92"/>
  <c r="Z59" i="85"/>
  <c r="Y151" i="87"/>
  <c r="L130" i="93"/>
  <c r="AB102" i="93"/>
  <c r="O88" i="82"/>
  <c r="AA119" i="93"/>
  <c r="O128" i="89"/>
  <c r="AA19" i="91"/>
  <c r="N132" i="93"/>
  <c r="P112" i="85"/>
  <c r="Z85" i="89"/>
  <c r="AB152" i="87"/>
  <c r="Q181" i="93"/>
  <c r="Q89" i="84"/>
  <c r="Y9" i="87"/>
  <c r="AB65" i="94"/>
  <c r="Z157" i="94"/>
  <c r="AA132" i="94"/>
  <c r="Z176" i="89"/>
  <c r="L63" i="82"/>
  <c r="P29" i="89"/>
  <c r="Q77" i="88"/>
  <c r="O45" i="89"/>
  <c r="P170" i="89"/>
  <c r="L162" i="89"/>
  <c r="O169" i="88"/>
  <c r="T180" i="94"/>
  <c r="AB162" i="83"/>
  <c r="P184" i="74"/>
  <c r="O82" i="91"/>
  <c r="X21" i="91"/>
  <c r="AA112" i="92"/>
  <c r="AA90" i="88"/>
  <c r="Z174" i="94"/>
  <c r="L183" i="92"/>
  <c r="Q21" i="88"/>
  <c r="Z109" i="88"/>
  <c r="L175" i="93"/>
  <c r="P15" i="92"/>
  <c r="O45" i="93"/>
  <c r="L179" i="94"/>
  <c r="P149" i="92"/>
  <c r="N66" i="84"/>
  <c r="X75" i="82"/>
  <c r="AA144" i="87"/>
  <c r="AA81" i="82"/>
  <c r="L96" i="87"/>
  <c r="Z88" i="87"/>
  <c r="X59" i="87"/>
  <c r="Z170" i="82"/>
  <c r="P144" i="93"/>
  <c r="X106" i="85"/>
  <c r="X156" i="87"/>
  <c r="Y116" i="91"/>
  <c r="P184" i="87"/>
  <c r="AA139" i="87"/>
  <c r="O31" i="89"/>
  <c r="X151" i="91"/>
  <c r="AB66" i="84"/>
  <c r="Y98" i="92"/>
  <c r="O156" i="85"/>
  <c r="AA27" i="92"/>
  <c r="AA65" i="91"/>
  <c r="P106" i="84"/>
  <c r="X82" i="92"/>
  <c r="AA158" i="92"/>
  <c r="P43" i="83"/>
  <c r="P130" i="87"/>
  <c r="O86" i="89"/>
  <c r="Z144" i="88"/>
  <c r="Y133" i="93"/>
  <c r="O135" i="91"/>
  <c r="P47" i="94"/>
  <c r="P147" i="94"/>
  <c r="Y174" i="93"/>
  <c r="AB124" i="91"/>
  <c r="X146" i="92"/>
  <c r="X59" i="91"/>
  <c r="X93" i="93"/>
  <c r="P130" i="93"/>
  <c r="P147" i="87"/>
  <c r="Y17" i="88"/>
  <c r="X55" i="81"/>
  <c r="AB146" i="91"/>
  <c r="N159" i="87"/>
  <c r="M33" i="84"/>
  <c r="O127" i="88"/>
  <c r="AB159" i="88"/>
  <c r="AA175" i="74"/>
  <c r="P107" i="87"/>
  <c r="Z133" i="94"/>
  <c r="AB61" i="89"/>
  <c r="L66" i="92"/>
  <c r="X71" i="93"/>
  <c r="AB15" i="91"/>
  <c r="L87" i="92"/>
  <c r="AB135" i="89"/>
  <c r="L63" i="74"/>
  <c r="N150" i="92"/>
  <c r="AA15" i="89"/>
  <c r="AA114" i="85"/>
  <c r="X101" i="91"/>
  <c r="Y74" i="94"/>
  <c r="AB151" i="89"/>
  <c r="O25" i="91"/>
  <c r="X23" i="94"/>
  <c r="AB73" i="93"/>
  <c r="AB180" i="94"/>
  <c r="X145" i="87"/>
  <c r="O103" i="94"/>
  <c r="Y114" i="93"/>
  <c r="O116" i="74"/>
  <c r="Z167" i="82"/>
  <c r="M41" i="91"/>
  <c r="L116" i="87"/>
  <c r="Y146" i="87"/>
  <c r="M39" i="83"/>
  <c r="X116" i="88"/>
  <c r="Z74" i="91"/>
  <c r="Q111" i="88"/>
  <c r="Z139" i="87"/>
  <c r="T81" i="83"/>
  <c r="L163" i="83"/>
  <c r="O143" i="81"/>
  <c r="Q113" i="92"/>
  <c r="AB142" i="94"/>
  <c r="Z53" i="92"/>
  <c r="Z125" i="93"/>
  <c r="Z91" i="84"/>
  <c r="Y154" i="93"/>
  <c r="Q175" i="81"/>
  <c r="AB130" i="81"/>
  <c r="AA82" i="91"/>
  <c r="Y117" i="94"/>
  <c r="O150" i="92"/>
  <c r="O102" i="91"/>
  <c r="AA141" i="91"/>
  <c r="AA17" i="94"/>
  <c r="Z168" i="87"/>
  <c r="L170" i="74"/>
  <c r="O128" i="85"/>
  <c r="P136" i="91"/>
  <c r="AA150" i="84"/>
  <c r="X31" i="85"/>
  <c r="Q71" i="93"/>
  <c r="AA145" i="82"/>
  <c r="Z123" i="92"/>
  <c r="AA175" i="91"/>
  <c r="O86" i="92"/>
  <c r="AA82" i="87"/>
  <c r="Z96" i="87"/>
  <c r="AA126" i="82"/>
  <c r="N162" i="93"/>
  <c r="X102" i="85"/>
  <c r="Q156" i="89"/>
  <c r="Q21" i="92"/>
  <c r="P25" i="92"/>
  <c r="P61" i="93"/>
  <c r="Z93" i="91"/>
  <c r="N165" i="93"/>
  <c r="AA153" i="92"/>
  <c r="P37" i="94"/>
  <c r="P166" i="94"/>
  <c r="N93" i="92"/>
  <c r="L170" i="92"/>
  <c r="O115" i="91"/>
  <c r="Y105" i="91"/>
  <c r="N21" i="94"/>
  <c r="X166" i="87"/>
  <c r="Y143" i="85"/>
  <c r="AA63" i="85"/>
  <c r="AA173" i="88"/>
  <c r="X129" i="88"/>
  <c r="AA25" i="82"/>
  <c r="Q87" i="92"/>
  <c r="P140" i="84"/>
  <c r="Q162" i="89"/>
  <c r="AA63" i="94"/>
  <c r="X128" i="92"/>
  <c r="X161" i="93"/>
  <c r="Z37" i="85"/>
  <c r="Y158" i="93"/>
  <c r="Z156" i="93"/>
  <c r="AB43" i="87"/>
  <c r="Z111" i="94"/>
  <c r="O153" i="93"/>
  <c r="Y145" i="91"/>
  <c r="AB145" i="92"/>
  <c r="L100" i="92"/>
  <c r="AB111" i="94"/>
  <c r="X91" i="87"/>
  <c r="N144" i="74"/>
  <c r="AB83" i="88"/>
  <c r="Y115" i="92"/>
  <c r="O178" i="84"/>
  <c r="Z161" i="82"/>
  <c r="X41" i="94"/>
  <c r="X104" i="93"/>
  <c r="Y161" i="87"/>
  <c r="Q89" i="94"/>
  <c r="AA47" i="94"/>
  <c r="X89" i="87"/>
  <c r="Q145" i="91"/>
  <c r="Z102" i="94"/>
  <c r="T147" i="87"/>
  <c r="AB55" i="93"/>
  <c r="AB125" i="94"/>
  <c r="L130" i="92"/>
  <c r="Q173" i="88"/>
  <c r="Y162" i="93"/>
  <c r="O185" i="82"/>
  <c r="O47" i="81"/>
  <c r="Z161" i="89"/>
  <c r="Z173" i="94"/>
  <c r="Q95" i="91"/>
  <c r="AB68" i="91"/>
  <c r="AA149" i="94"/>
  <c r="AB23" i="88"/>
  <c r="AB141" i="93"/>
  <c r="Q122" i="93"/>
  <c r="Y107" i="93"/>
  <c r="AB53" i="87"/>
  <c r="X160" i="92"/>
  <c r="O158" i="83"/>
  <c r="O45" i="88"/>
  <c r="Z151" i="87"/>
  <c r="X150" i="81"/>
  <c r="T174" i="89"/>
  <c r="O115" i="82"/>
  <c r="P75" i="91"/>
  <c r="P149" i="93"/>
  <c r="Q183" i="83"/>
  <c r="AA116" i="94"/>
  <c r="Q130" i="93"/>
  <c r="Z148" i="88"/>
  <c r="AB85" i="83"/>
  <c r="Q163" i="93"/>
  <c r="Z100" i="92"/>
  <c r="L164" i="92"/>
  <c r="AB9" i="91"/>
  <c r="AA99" i="92"/>
  <c r="O9" i="89"/>
  <c r="AA105" i="94"/>
  <c r="L164" i="87"/>
  <c r="L127" i="91"/>
  <c r="Y70" i="87"/>
  <c r="L172" i="94"/>
  <c r="Z113" i="88"/>
  <c r="AA140" i="93"/>
  <c r="AA84" i="93"/>
  <c r="X90" i="93"/>
  <c r="Y180" i="89"/>
  <c r="L161" i="84"/>
  <c r="Z119" i="91"/>
  <c r="T165" i="81"/>
  <c r="AA89" i="93"/>
  <c r="AA177" i="87"/>
  <c r="Q177" i="81"/>
  <c r="L120" i="74"/>
  <c r="AB68" i="94"/>
  <c r="M21" i="93"/>
  <c r="AA152" i="87"/>
  <c r="Z136" i="74"/>
  <c r="Y142" i="81"/>
  <c r="L173" i="94"/>
  <c r="O96" i="88"/>
  <c r="N132" i="92"/>
  <c r="AA175" i="89"/>
  <c r="Y132" i="84"/>
  <c r="Y125" i="89"/>
  <c r="P169" i="89"/>
  <c r="O167" i="94"/>
  <c r="M41" i="88"/>
  <c r="Y15" i="91"/>
  <c r="N156" i="94"/>
  <c r="L78" i="94"/>
  <c r="Y140" i="92"/>
  <c r="AB113" i="91"/>
  <c r="AA15" i="88"/>
  <c r="P84" i="93"/>
  <c r="Z162" i="84"/>
  <c r="Z156" i="94"/>
  <c r="O75" i="87"/>
  <c r="X98" i="91"/>
  <c r="Z37" i="93"/>
  <c r="N184" i="87"/>
  <c r="L66" i="88"/>
  <c r="P147" i="88"/>
  <c r="AA94" i="92"/>
  <c r="X176" i="83"/>
  <c r="N51" i="92"/>
  <c r="M43" i="91"/>
  <c r="O53" i="92"/>
  <c r="Y35" i="93"/>
  <c r="AB78" i="91"/>
  <c r="L73" i="94"/>
  <c r="Y67" i="91"/>
  <c r="AB135" i="92"/>
  <c r="O130" i="94"/>
  <c r="L109" i="94"/>
  <c r="Y21" i="93"/>
  <c r="X92" i="83"/>
  <c r="L87" i="93"/>
  <c r="L103" i="91"/>
  <c r="AA138" i="92"/>
  <c r="AB121" i="94"/>
  <c r="AB160" i="81"/>
  <c r="AB81" i="94"/>
  <c r="P47" i="87"/>
  <c r="Y144" i="89"/>
  <c r="N93" i="74"/>
  <c r="Y162" i="83"/>
  <c r="Q179" i="87"/>
  <c r="AA149" i="88"/>
  <c r="P118" i="83"/>
  <c r="Q80" i="91"/>
  <c r="AB125" i="87"/>
  <c r="O161" i="89"/>
  <c r="AB9" i="93"/>
  <c r="Q85" i="87"/>
  <c r="X169" i="91"/>
  <c r="Z132" i="91"/>
  <c r="X70" i="93"/>
  <c r="X57" i="82"/>
  <c r="M33" i="94"/>
  <c r="Q70" i="85"/>
  <c r="AA64" i="87"/>
  <c r="Q115" i="89"/>
  <c r="P179" i="93"/>
  <c r="N51" i="94"/>
  <c r="X122" i="92"/>
  <c r="Z160" i="92"/>
  <c r="X135" i="81"/>
  <c r="P162" i="89"/>
  <c r="AB100" i="94"/>
  <c r="X13" i="88"/>
  <c r="P123" i="83"/>
  <c r="AB119" i="84"/>
  <c r="Q84" i="82"/>
  <c r="O80" i="92"/>
  <c r="O177" i="84"/>
  <c r="AB157" i="89"/>
  <c r="Y98" i="88"/>
  <c r="Z118" i="81"/>
  <c r="N72" i="89"/>
  <c r="Y89" i="82"/>
  <c r="Z143" i="94"/>
  <c r="T57" i="74"/>
  <c r="Q141" i="87"/>
  <c r="Z158" i="81"/>
  <c r="P110" i="88"/>
  <c r="L185" i="93"/>
  <c r="Y120" i="74"/>
  <c r="AB93" i="92"/>
  <c r="Q95" i="89"/>
  <c r="Z90" i="94"/>
  <c r="O86" i="94"/>
  <c r="Q72" i="93"/>
  <c r="Z74" i="89"/>
  <c r="Q27" i="92"/>
  <c r="Y107" i="94"/>
  <c r="O137" i="92"/>
  <c r="L171" i="82"/>
  <c r="O61" i="93"/>
  <c r="AA146" i="94"/>
  <c r="N129" i="89"/>
  <c r="O59" i="83"/>
  <c r="AB33" i="83"/>
  <c r="Z128" i="89"/>
  <c r="M61" i="93"/>
  <c r="Y134" i="92"/>
  <c r="Y113" i="85"/>
  <c r="Q155" i="93"/>
  <c r="Y126" i="89"/>
  <c r="N72" i="87"/>
  <c r="X33" i="94"/>
  <c r="Q150" i="88"/>
  <c r="Y82" i="92"/>
  <c r="Q183" i="82"/>
  <c r="O170" i="92"/>
  <c r="X87" i="92"/>
  <c r="X82" i="94"/>
  <c r="L135" i="93"/>
  <c r="P173" i="82"/>
  <c r="Z80" i="89"/>
  <c r="AA155" i="88"/>
  <c r="Q155" i="91"/>
  <c r="Q69" i="91"/>
  <c r="O51" i="87"/>
  <c r="P169" i="92"/>
  <c r="X72" i="92"/>
  <c r="X63" i="94"/>
  <c r="Q39" i="92"/>
  <c r="P131" i="88"/>
  <c r="Z81" i="88"/>
  <c r="X37" i="94"/>
  <c r="X152" i="92"/>
  <c r="AA87" i="94"/>
  <c r="X144" i="88"/>
  <c r="X110" i="92"/>
  <c r="P68" i="93"/>
  <c r="T174" i="93"/>
  <c r="AA137" i="88"/>
  <c r="Q121" i="89"/>
  <c r="Y86" i="88"/>
  <c r="AA168" i="92"/>
  <c r="L66" i="87"/>
  <c r="Q146" i="92"/>
  <c r="AB136" i="92"/>
  <c r="Y118" i="84"/>
  <c r="Y70" i="85"/>
  <c r="AA104" i="93"/>
  <c r="O19" i="83"/>
  <c r="AA163" i="85"/>
  <c r="P132" i="93"/>
  <c r="AA13" i="92"/>
  <c r="Q101" i="81"/>
  <c r="L127" i="83"/>
  <c r="Z150" i="91"/>
  <c r="AA140" i="88"/>
  <c r="Y63" i="74"/>
  <c r="L83" i="85"/>
  <c r="Z91" i="89"/>
  <c r="X21" i="89"/>
  <c r="Z95" i="87"/>
  <c r="O94" i="94"/>
  <c r="L131" i="87"/>
  <c r="O37" i="87"/>
  <c r="T81" i="93"/>
  <c r="Y61" i="85"/>
  <c r="X45" i="89"/>
  <c r="AB174" i="94"/>
  <c r="Q86" i="83"/>
  <c r="Y148" i="93"/>
  <c r="O93" i="92"/>
  <c r="X70" i="91"/>
  <c r="Z158" i="91"/>
  <c r="O90" i="88"/>
  <c r="M17" i="94"/>
  <c r="Z11" i="92"/>
  <c r="P141" i="87"/>
  <c r="Q70" i="94"/>
  <c r="O165" i="94"/>
  <c r="Y127" i="92"/>
  <c r="P21" i="93"/>
  <c r="P74" i="91"/>
  <c r="L90" i="92"/>
  <c r="AB94" i="94"/>
  <c r="N159" i="94"/>
  <c r="M39" i="93"/>
  <c r="AB145" i="88"/>
  <c r="Z65" i="87"/>
  <c r="X87" i="94"/>
  <c r="AA134" i="89"/>
  <c r="Z13" i="92"/>
  <c r="Z19" i="94"/>
  <c r="P84" i="92"/>
  <c r="L64" i="88"/>
  <c r="Q115" i="93"/>
  <c r="AA107" i="93"/>
  <c r="Q142" i="92"/>
  <c r="L97" i="91"/>
  <c r="Z137" i="91"/>
  <c r="X125" i="83"/>
  <c r="O9" i="93"/>
  <c r="AA134" i="93"/>
  <c r="AB143" i="91"/>
  <c r="P117" i="83"/>
  <c r="O21" i="91"/>
  <c r="AA143" i="93"/>
  <c r="L155" i="93"/>
  <c r="AA153" i="89"/>
  <c r="Q19" i="94"/>
  <c r="O17" i="85"/>
  <c r="X64" i="94"/>
  <c r="Y173" i="87"/>
  <c r="Q145" i="92"/>
  <c r="Z37" i="83"/>
  <c r="M13" i="89"/>
  <c r="Q121" i="92"/>
  <c r="AA110" i="92"/>
  <c r="Y39" i="91"/>
  <c r="P92" i="88"/>
  <c r="P143" i="84"/>
  <c r="Q9" i="83"/>
  <c r="L91" i="91"/>
  <c r="Y144" i="83"/>
  <c r="X120" i="87"/>
  <c r="X27" i="94"/>
  <c r="L85" i="92"/>
  <c r="P158" i="81"/>
  <c r="Q41" i="92"/>
  <c r="AB148" i="82"/>
  <c r="Y173" i="92"/>
  <c r="O96" i="93"/>
  <c r="P179" i="83"/>
  <c r="AA80" i="82"/>
  <c r="L95" i="89"/>
  <c r="Y91" i="92"/>
  <c r="X124" i="94"/>
  <c r="P66" i="94"/>
  <c r="AA135" i="94"/>
  <c r="O122" i="91"/>
  <c r="X123" i="94"/>
  <c r="AA95" i="91"/>
  <c r="L127" i="89"/>
  <c r="L169" i="87"/>
  <c r="M33" i="89"/>
  <c r="P51" i="82"/>
  <c r="AB138" i="87"/>
  <c r="Z67" i="81"/>
  <c r="L142" i="94"/>
  <c r="L111" i="81"/>
  <c r="Z162" i="89"/>
  <c r="Q160" i="91"/>
  <c r="P73" i="87"/>
  <c r="L179" i="83"/>
  <c r="X93" i="89"/>
  <c r="X157" i="82"/>
  <c r="Q83" i="87"/>
  <c r="O84" i="87"/>
  <c r="L121" i="82"/>
  <c r="P138" i="83"/>
  <c r="AA25" i="92"/>
  <c r="O158" i="92"/>
  <c r="Q70" i="88"/>
  <c r="AA132" i="92"/>
  <c r="X53" i="93"/>
  <c r="O33" i="92"/>
  <c r="N150" i="82"/>
  <c r="Y68" i="84"/>
  <c r="Y174" i="88"/>
  <c r="P156" i="88"/>
  <c r="N117" i="94"/>
  <c r="Z143" i="87"/>
  <c r="X167" i="93"/>
  <c r="Z114" i="81"/>
  <c r="X116" i="74"/>
  <c r="O53" i="94"/>
  <c r="M39" i="94"/>
  <c r="L65" i="85"/>
  <c r="N84" i="94"/>
  <c r="L158" i="92"/>
  <c r="AA137" i="82"/>
  <c r="P114" i="87"/>
  <c r="N15" i="88"/>
  <c r="L91" i="94"/>
  <c r="X124" i="89"/>
  <c r="P185" i="92"/>
  <c r="Q122" i="94"/>
  <c r="Z175" i="74"/>
  <c r="P158" i="93"/>
  <c r="L142" i="91"/>
  <c r="Y69" i="83"/>
  <c r="Y49" i="92"/>
  <c r="X11" i="93"/>
  <c r="O91" i="93"/>
  <c r="P9" i="91"/>
  <c r="M51" i="94"/>
  <c r="Q127" i="93"/>
  <c r="Q169" i="87"/>
  <c r="Y142" i="93"/>
  <c r="N150" i="93"/>
  <c r="L98" i="88"/>
  <c r="X113" i="93"/>
  <c r="AA90" i="84"/>
  <c r="L130" i="85"/>
  <c r="O132" i="84"/>
  <c r="AB129" i="89"/>
  <c r="O182" i="92"/>
  <c r="AB9" i="88"/>
  <c r="AB134" i="91"/>
  <c r="X47" i="93"/>
  <c r="Y111" i="87"/>
  <c r="P162" i="87"/>
  <c r="AA33" i="94"/>
  <c r="X140" i="92"/>
  <c r="P132" i="89"/>
  <c r="P172" i="89"/>
  <c r="L108" i="92"/>
  <c r="L119" i="92"/>
  <c r="Z147" i="93"/>
  <c r="P165" i="93"/>
  <c r="O23" i="87"/>
  <c r="AB87" i="87"/>
  <c r="L65" i="87"/>
  <c r="AA95" i="94"/>
  <c r="Y51" i="82"/>
  <c r="AA17" i="93"/>
  <c r="Q119" i="94"/>
  <c r="Z150" i="82"/>
  <c r="N174" i="92"/>
  <c r="L88" i="85"/>
  <c r="X168" i="89"/>
  <c r="AA133" i="89"/>
  <c r="O174" i="92"/>
  <c r="Z84" i="84"/>
  <c r="O157" i="88"/>
  <c r="Y130" i="93"/>
  <c r="AB104" i="82"/>
  <c r="L84" i="93"/>
  <c r="Z152" i="93"/>
  <c r="X103" i="88"/>
  <c r="N135" i="81"/>
  <c r="P84" i="89"/>
  <c r="AA106" i="88"/>
  <c r="Z79" i="91"/>
  <c r="AA59" i="93"/>
  <c r="O178" i="91"/>
  <c r="X129" i="87"/>
  <c r="L85" i="91"/>
  <c r="L140" i="89"/>
  <c r="Y151" i="93"/>
  <c r="Y120" i="94"/>
  <c r="P95" i="92"/>
  <c r="Y115" i="81"/>
  <c r="X140" i="84"/>
  <c r="X77" i="89"/>
  <c r="O133" i="91"/>
  <c r="Q110" i="94"/>
  <c r="P169" i="94"/>
  <c r="Y85" i="91"/>
  <c r="O95" i="83"/>
  <c r="AA27" i="94"/>
  <c r="O147" i="91"/>
  <c r="AB127" i="82"/>
  <c r="L184" i="81"/>
  <c r="P70" i="83"/>
  <c r="Z133" i="91"/>
  <c r="N9" i="84"/>
  <c r="T51" i="89"/>
  <c r="L78" i="74"/>
  <c r="X43" i="94"/>
  <c r="O96" i="83"/>
  <c r="M41" i="87"/>
  <c r="Z150" i="84"/>
  <c r="Q118" i="85"/>
  <c r="AB80" i="88"/>
  <c r="AB136" i="93"/>
  <c r="Q130" i="82"/>
  <c r="Y152" i="93"/>
  <c r="L69" i="88"/>
  <c r="Y143" i="87"/>
  <c r="X109" i="82"/>
  <c r="O90" i="94"/>
  <c r="AA21" i="93"/>
  <c r="AA75" i="91"/>
  <c r="AB155" i="94"/>
  <c r="P19" i="92"/>
  <c r="P59" i="92"/>
  <c r="N165" i="94"/>
  <c r="P112" i="92"/>
  <c r="AA75" i="89"/>
  <c r="Q107" i="87"/>
  <c r="N153" i="92"/>
  <c r="Y88" i="84"/>
  <c r="X120" i="89"/>
  <c r="Y123" i="93"/>
  <c r="Y137" i="88"/>
  <c r="O143" i="92"/>
  <c r="Y173" i="83"/>
  <c r="X147" i="87"/>
  <c r="O43" i="94"/>
  <c r="Q185" i="74"/>
  <c r="T63" i="81"/>
  <c r="AB59" i="94"/>
  <c r="Y138" i="94"/>
  <c r="N156" i="91"/>
  <c r="Y23" i="91"/>
  <c r="Z137" i="88"/>
  <c r="Z113" i="83"/>
  <c r="O13" i="81"/>
  <c r="AB176" i="83"/>
  <c r="P152" i="92"/>
  <c r="M35" i="94"/>
  <c r="L180" i="91"/>
  <c r="Y164" i="89"/>
  <c r="X170" i="94"/>
  <c r="O111" i="84"/>
  <c r="X133" i="74"/>
  <c r="Q185" i="87"/>
  <c r="Y140" i="83"/>
  <c r="L168" i="74"/>
  <c r="T69" i="81"/>
  <c r="L121" i="94"/>
  <c r="Y115" i="88"/>
  <c r="Q150" i="92"/>
  <c r="P98" i="85"/>
  <c r="Z157" i="93"/>
  <c r="X123" i="91"/>
  <c r="Y155" i="89"/>
  <c r="O90" i="92"/>
  <c r="Y138" i="74"/>
  <c r="L165" i="94"/>
  <c r="AB73" i="84"/>
  <c r="AA170" i="81"/>
  <c r="X115" i="91"/>
  <c r="Y129" i="91"/>
  <c r="AB163" i="93"/>
  <c r="AB170" i="84"/>
  <c r="AB158" i="94"/>
  <c r="L184" i="87"/>
  <c r="L183" i="82"/>
  <c r="P99" i="74"/>
  <c r="P149" i="74"/>
  <c r="L73" i="83"/>
  <c r="Y135" i="88"/>
  <c r="X158" i="82"/>
  <c r="M17" i="88"/>
  <c r="Y146" i="89"/>
  <c r="O119" i="81"/>
  <c r="Q59" i="89"/>
  <c r="T132" i="89"/>
  <c r="O183" i="74"/>
  <c r="Z154" i="92"/>
  <c r="P174" i="94"/>
  <c r="Z127" i="88"/>
  <c r="X91" i="74"/>
  <c r="P100" i="81"/>
  <c r="X125" i="87"/>
  <c r="O31" i="74"/>
  <c r="Q23" i="85"/>
  <c r="O138" i="89"/>
  <c r="N27" i="88"/>
  <c r="Q168" i="92"/>
  <c r="O23" i="85"/>
  <c r="AB21" i="92"/>
  <c r="AA93" i="94"/>
  <c r="O173" i="89"/>
  <c r="O96" i="84"/>
  <c r="O172" i="94"/>
  <c r="M9" i="93"/>
  <c r="L74" i="94"/>
  <c r="AA136" i="85"/>
  <c r="O136" i="83"/>
  <c r="AA123" i="93"/>
  <c r="Y53" i="87"/>
  <c r="P17" i="93"/>
  <c r="AB77" i="82"/>
  <c r="Y64" i="87"/>
  <c r="N114" i="94"/>
  <c r="Z66" i="94"/>
  <c r="P107" i="83"/>
  <c r="Q93" i="93"/>
  <c r="O39" i="88"/>
  <c r="Y87" i="91"/>
  <c r="Z71" i="93"/>
  <c r="Q178" i="93"/>
  <c r="T165" i="91"/>
  <c r="L97" i="93"/>
  <c r="AA161" i="92"/>
  <c r="Y84" i="88"/>
  <c r="Q175" i="91"/>
  <c r="Y157" i="92"/>
  <c r="AA85" i="87"/>
  <c r="AA128" i="92"/>
  <c r="O140" i="89"/>
  <c r="Y135" i="91"/>
  <c r="P128" i="83"/>
  <c r="AA118" i="93"/>
  <c r="Z65" i="82"/>
  <c r="P96" i="81"/>
  <c r="X35" i="85"/>
  <c r="X135" i="89"/>
  <c r="Y113" i="91"/>
  <c r="Z175" i="92"/>
  <c r="Z75" i="94"/>
  <c r="AB29" i="93"/>
  <c r="M21" i="94"/>
  <c r="AB119" i="93"/>
  <c r="O170" i="88"/>
  <c r="AA143" i="94"/>
  <c r="AA79" i="85"/>
  <c r="X160" i="89"/>
  <c r="O149" i="82"/>
  <c r="Q74" i="82"/>
  <c r="P164" i="74"/>
  <c r="AB117" i="88"/>
  <c r="Y13" i="94"/>
  <c r="X127" i="89"/>
  <c r="Z131" i="93"/>
  <c r="L170" i="91"/>
  <c r="T162" i="81"/>
  <c r="Q107" i="81"/>
  <c r="Z35" i="88"/>
  <c r="O105" i="91"/>
  <c r="X141" i="91"/>
  <c r="X131" i="93"/>
  <c r="P162" i="91"/>
  <c r="AA21" i="94"/>
  <c r="AA159" i="88"/>
  <c r="Z135" i="87"/>
  <c r="M39" i="74"/>
  <c r="Y11" i="83"/>
  <c r="X153" i="93"/>
  <c r="Z27" i="83"/>
  <c r="Z69" i="91"/>
  <c r="AB13" i="87"/>
  <c r="X108" i="89"/>
  <c r="AA99" i="94"/>
  <c r="Q19" i="83"/>
  <c r="M51" i="74"/>
  <c r="Y125" i="91"/>
  <c r="T138" i="92"/>
  <c r="Z160" i="88"/>
  <c r="AB110" i="91"/>
  <c r="Z82" i="85"/>
  <c r="X166" i="92"/>
  <c r="Y79" i="91"/>
  <c r="L161" i="92"/>
  <c r="Y89" i="91"/>
  <c r="O159" i="93"/>
  <c r="M41" i="74"/>
  <c r="X177" i="92"/>
  <c r="AB47" i="84"/>
  <c r="L170" i="88"/>
  <c r="O19" i="89"/>
  <c r="L184" i="84"/>
  <c r="L63" i="91"/>
  <c r="AA90" i="74"/>
  <c r="O157" i="92"/>
  <c r="AA111" i="84"/>
  <c r="AB98" i="92"/>
  <c r="L166" i="93"/>
  <c r="AB180" i="87"/>
  <c r="L69" i="87"/>
  <c r="Q121" i="93"/>
  <c r="X151" i="94"/>
  <c r="N63" i="88"/>
  <c r="Z147" i="85"/>
  <c r="P181" i="84"/>
  <c r="O165" i="81"/>
  <c r="X49" i="87"/>
  <c r="P164" i="94"/>
  <c r="X77" i="82"/>
  <c r="X104" i="89"/>
  <c r="AB156" i="91"/>
  <c r="P84" i="94"/>
  <c r="T21" i="91"/>
  <c r="L102" i="89"/>
  <c r="Q136" i="85"/>
  <c r="L137" i="91"/>
  <c r="O59" i="87"/>
  <c r="Z102" i="91"/>
  <c r="N27" i="91"/>
  <c r="Q51" i="87"/>
  <c r="L116" i="83"/>
  <c r="P130" i="91"/>
  <c r="Z89" i="88"/>
  <c r="M11" i="84"/>
  <c r="O103" i="91"/>
  <c r="Q155" i="89"/>
  <c r="L139" i="88"/>
  <c r="AB45" i="91"/>
  <c r="AB49" i="93"/>
  <c r="L184" i="91"/>
  <c r="M47" i="81"/>
  <c r="Y141" i="93"/>
  <c r="O118" i="74"/>
  <c r="X76" i="92"/>
  <c r="Z150" i="94"/>
  <c r="Y104" i="93"/>
  <c r="X23" i="89"/>
  <c r="P76" i="92"/>
  <c r="AB75" i="88"/>
  <c r="X17" i="83"/>
  <c r="Y13" i="84"/>
  <c r="O171" i="84"/>
  <c r="Z53" i="88"/>
  <c r="Y11" i="74"/>
  <c r="AA105" i="83"/>
  <c r="T69" i="84"/>
  <c r="Y93" i="84"/>
  <c r="Q184" i="94"/>
  <c r="M55" i="92"/>
  <c r="Q130" i="94"/>
  <c r="O87" i="85"/>
  <c r="AA174" i="94"/>
  <c r="Z174" i="83"/>
  <c r="Q117" i="93"/>
  <c r="Q67" i="83"/>
  <c r="AB147" i="91"/>
  <c r="Z167" i="88"/>
  <c r="Q135" i="81"/>
  <c r="AB84" i="91"/>
  <c r="N150" i="87"/>
  <c r="O177" i="88"/>
  <c r="Z143" i="89"/>
  <c r="X171" i="93"/>
  <c r="AB146" i="84"/>
  <c r="P49" i="88"/>
  <c r="L97" i="85"/>
  <c r="Y158" i="92"/>
  <c r="Q151" i="83"/>
  <c r="AB64" i="92"/>
  <c r="Q173" i="87"/>
  <c r="O98" i="88"/>
  <c r="Y81" i="87"/>
  <c r="AB148" i="81"/>
  <c r="O80" i="87"/>
  <c r="Z79" i="88"/>
  <c r="P150" i="81"/>
  <c r="O104" i="93"/>
  <c r="AA116" i="93"/>
  <c r="P74" i="94"/>
  <c r="Q77" i="84"/>
  <c r="P166" i="87"/>
  <c r="Z90" i="85"/>
  <c r="N144" i="82"/>
  <c r="Q82" i="82"/>
  <c r="P133" i="84"/>
  <c r="L68" i="91"/>
  <c r="AB59" i="93"/>
  <c r="L185" i="87"/>
  <c r="N185" i="83"/>
  <c r="P122" i="83"/>
  <c r="AA163" i="93"/>
  <c r="Q43" i="74"/>
  <c r="AB61" i="94"/>
  <c r="N9" i="92"/>
  <c r="Z129" i="81"/>
  <c r="T75" i="85"/>
  <c r="L93" i="94"/>
  <c r="L142" i="93"/>
  <c r="X141" i="94"/>
  <c r="AA78" i="92"/>
  <c r="Y107" i="81"/>
  <c r="M55" i="91"/>
  <c r="P177" i="94"/>
  <c r="O98" i="91"/>
  <c r="AA73" i="84"/>
  <c r="Y119" i="92"/>
  <c r="Z70" i="93"/>
  <c r="Q173" i="74"/>
  <c r="O72" i="94"/>
  <c r="Q27" i="88"/>
  <c r="Y92" i="92"/>
  <c r="O125" i="83"/>
  <c r="O65" i="87"/>
  <c r="P113" i="94"/>
  <c r="Y110" i="93"/>
  <c r="AA156" i="85"/>
  <c r="Z63" i="93"/>
  <c r="L106" i="89"/>
  <c r="Q108" i="94"/>
  <c r="X79" i="85"/>
  <c r="Y135" i="89"/>
  <c r="O88" i="84"/>
  <c r="AA77" i="88"/>
  <c r="O147" i="83"/>
  <c r="P160" i="87"/>
  <c r="P80" i="92"/>
  <c r="AB176" i="85"/>
  <c r="Z29" i="84"/>
  <c r="AB165" i="89"/>
  <c r="P13" i="93"/>
  <c r="AB173" i="93"/>
  <c r="N87" i="91"/>
  <c r="AA98" i="84"/>
  <c r="Z13" i="91"/>
  <c r="AB87" i="93"/>
  <c r="Z94" i="87"/>
  <c r="Z150" i="88"/>
  <c r="X68" i="85"/>
  <c r="Z166" i="87"/>
  <c r="Y25" i="92"/>
  <c r="P91" i="82"/>
  <c r="O11" i="84"/>
  <c r="AB170" i="83"/>
  <c r="Y93" i="89"/>
  <c r="Y139" i="94"/>
  <c r="Q91" i="87"/>
  <c r="Y47" i="93"/>
  <c r="L105" i="94"/>
  <c r="Y153" i="88"/>
  <c r="L106" i="93"/>
  <c r="O120" i="92"/>
  <c r="L183" i="84"/>
  <c r="Q81" i="87"/>
  <c r="L100" i="87"/>
  <c r="P9" i="92"/>
  <c r="T78" i="82"/>
  <c r="M33" i="87"/>
  <c r="N132" i="84"/>
  <c r="Y111" i="92"/>
  <c r="L141" i="94"/>
  <c r="Q83" i="94"/>
  <c r="Y94" i="81"/>
  <c r="Y27" i="91"/>
  <c r="Q116" i="83"/>
  <c r="P164" i="91"/>
  <c r="Y81" i="93"/>
  <c r="L159" i="89"/>
  <c r="X141" i="89"/>
  <c r="X155" i="93"/>
  <c r="AB160" i="93"/>
  <c r="Z142" i="88"/>
  <c r="L153" i="74"/>
  <c r="Y169" i="94"/>
  <c r="AB126" i="91"/>
  <c r="Y37" i="88"/>
  <c r="P177" i="84"/>
  <c r="Z113" i="87"/>
  <c r="X70" i="92"/>
  <c r="Q74" i="89"/>
  <c r="P11" i="94"/>
  <c r="M57" i="89"/>
  <c r="AA122" i="92"/>
  <c r="L171" i="93"/>
  <c r="AB131" i="88"/>
  <c r="AA69" i="89"/>
  <c r="N51" i="93"/>
  <c r="X104" i="88"/>
  <c r="T117" i="92"/>
  <c r="Y130" i="88"/>
  <c r="AB150" i="84"/>
  <c r="Y160" i="89"/>
  <c r="Y128" i="94"/>
  <c r="AB108" i="91"/>
  <c r="AB168" i="91"/>
  <c r="AB157" i="82"/>
  <c r="O99" i="91"/>
  <c r="AA142" i="94"/>
  <c r="L144" i="85"/>
  <c r="P138" i="93"/>
  <c r="Z43" i="81"/>
  <c r="O23" i="89"/>
  <c r="X98" i="94"/>
  <c r="P175" i="74"/>
  <c r="P55" i="93"/>
  <c r="Q136" i="83"/>
  <c r="O68" i="89"/>
  <c r="AB37" i="94"/>
  <c r="AA104" i="92"/>
  <c r="AA169" i="91"/>
  <c r="X154" i="92"/>
  <c r="N153" i="93"/>
  <c r="AB122" i="89"/>
  <c r="Q64" i="89"/>
  <c r="O87" i="88"/>
  <c r="Z31" i="92"/>
  <c r="Z84" i="92"/>
  <c r="Y88" i="88"/>
  <c r="P134" i="92"/>
  <c r="AA9" i="81"/>
  <c r="N90" i="74"/>
  <c r="O71" i="92"/>
  <c r="Q115" i="87"/>
  <c r="Z73" i="94"/>
  <c r="Y33" i="91"/>
  <c r="O148" i="84"/>
  <c r="AB130" i="85"/>
  <c r="Z115" i="91"/>
  <c r="Y144" i="87"/>
  <c r="T150" i="83"/>
  <c r="X108" i="91"/>
  <c r="AB17" i="93"/>
  <c r="Q35" i="91"/>
  <c r="O183" i="93"/>
  <c r="AA35" i="89"/>
  <c r="P162" i="93"/>
  <c r="Y103" i="85"/>
  <c r="Y163" i="87"/>
  <c r="Z165" i="92"/>
  <c r="Q151" i="87"/>
  <c r="Q114" i="93"/>
  <c r="Y51" i="74"/>
  <c r="O63" i="83"/>
  <c r="X114" i="87"/>
  <c r="Q77" i="92"/>
  <c r="Y79" i="82"/>
  <c r="L159" i="94"/>
  <c r="AB74" i="87"/>
  <c r="Z136" i="88"/>
  <c r="N63" i="91"/>
  <c r="P99" i="84"/>
  <c r="X134" i="84"/>
  <c r="Z98" i="85"/>
  <c r="T15" i="91"/>
  <c r="AB115" i="84"/>
  <c r="Q80" i="92"/>
  <c r="M37" i="84"/>
  <c r="X72" i="84"/>
  <c r="Z77" i="89"/>
  <c r="AA159" i="92"/>
  <c r="Q128" i="93"/>
  <c r="Z66" i="87"/>
  <c r="AB109" i="85"/>
  <c r="AB160" i="92"/>
  <c r="X47" i="87"/>
  <c r="P163" i="93"/>
  <c r="O159" i="92"/>
  <c r="Z169" i="92"/>
  <c r="AA158" i="85"/>
  <c r="AB9" i="82"/>
  <c r="Q119" i="93"/>
  <c r="O125" i="89"/>
  <c r="Y114" i="81"/>
  <c r="AA176" i="88"/>
  <c r="AA11" i="84"/>
  <c r="T15" i="82"/>
  <c r="AB96" i="94"/>
  <c r="P49" i="74"/>
  <c r="X75" i="88"/>
  <c r="Y90" i="91"/>
  <c r="Y63" i="94"/>
  <c r="P183" i="85"/>
  <c r="AA53" i="74"/>
  <c r="N69" i="94"/>
  <c r="AB100" i="81"/>
  <c r="AA104" i="74"/>
  <c r="P96" i="93"/>
  <c r="T15" i="89"/>
  <c r="AA166" i="94"/>
  <c r="P97" i="88"/>
  <c r="P85" i="87"/>
  <c r="AA156" i="91"/>
  <c r="X91" i="82"/>
  <c r="L65" i="81"/>
  <c r="O143" i="91"/>
  <c r="O49" i="84"/>
  <c r="T63" i="83"/>
  <c r="Q77" i="85"/>
  <c r="Y106" i="89"/>
  <c r="Z176" i="82"/>
  <c r="AA9" i="93"/>
  <c r="AB151" i="91"/>
  <c r="N171" i="93"/>
  <c r="O141" i="92"/>
  <c r="Z120" i="94"/>
  <c r="T120" i="94"/>
  <c r="O111" i="87"/>
  <c r="O37" i="91"/>
  <c r="P80" i="83"/>
  <c r="L109" i="85"/>
  <c r="Y156" i="94"/>
  <c r="O142" i="83"/>
  <c r="O113" i="87"/>
  <c r="AA109" i="91"/>
  <c r="M59" i="81"/>
  <c r="O113" i="93"/>
  <c r="Z102" i="87"/>
  <c r="Z31" i="81"/>
  <c r="L149" i="88"/>
  <c r="Y177" i="85"/>
  <c r="Q180" i="91"/>
  <c r="L77" i="89"/>
  <c r="Z139" i="83"/>
  <c r="X98" i="89"/>
  <c r="AA122" i="93"/>
  <c r="Z132" i="85"/>
  <c r="Q11" i="89"/>
  <c r="O93" i="87"/>
  <c r="AA75" i="87"/>
  <c r="Y94" i="93"/>
  <c r="N147" i="93"/>
  <c r="Q170" i="88"/>
  <c r="P130" i="89"/>
  <c r="Z174" i="91"/>
  <c r="AA148" i="94"/>
  <c r="N185" i="81"/>
  <c r="O47" i="84"/>
  <c r="P73" i="92"/>
  <c r="P33" i="85"/>
  <c r="AA88" i="88"/>
  <c r="AB163" i="85"/>
  <c r="L180" i="87"/>
  <c r="Q61" i="88"/>
  <c r="Q102" i="87"/>
  <c r="P137" i="93"/>
  <c r="Z148" i="93"/>
  <c r="Q132" i="94"/>
  <c r="M35" i="91"/>
  <c r="Z97" i="91"/>
  <c r="AB113" i="83"/>
  <c r="X172" i="84"/>
  <c r="Q142" i="94"/>
  <c r="O81" i="87"/>
  <c r="AA126" i="91"/>
  <c r="AB171" i="91"/>
  <c r="AB74" i="94"/>
  <c r="Z140" i="93"/>
  <c r="AB153" i="93"/>
  <c r="AB70" i="93"/>
  <c r="Z64" i="83"/>
  <c r="Y79" i="89"/>
  <c r="Y133" i="89"/>
  <c r="O164" i="92"/>
  <c r="AB124" i="81"/>
  <c r="Y167" i="89"/>
  <c r="AA119" i="85"/>
  <c r="P163" i="81"/>
  <c r="Q130" i="91"/>
  <c r="AA96" i="92"/>
  <c r="X55" i="93"/>
  <c r="Y68" i="88"/>
  <c r="P51" i="87"/>
  <c r="AA96" i="87"/>
  <c r="AB158" i="88"/>
  <c r="Y72" i="94"/>
  <c r="Z45" i="91"/>
  <c r="L161" i="93"/>
  <c r="O162" i="87"/>
  <c r="AA115" i="92"/>
  <c r="AB159" i="81"/>
  <c r="P96" i="88"/>
  <c r="Z103" i="81"/>
  <c r="L116" i="93"/>
  <c r="P107" i="91"/>
  <c r="AB9" i="85"/>
  <c r="AA73" i="81"/>
  <c r="O148" i="93"/>
  <c r="N129" i="92"/>
  <c r="N162" i="92"/>
  <c r="P25" i="89"/>
  <c r="AA94" i="94"/>
  <c r="L156" i="85"/>
  <c r="O91" i="94"/>
  <c r="X79" i="84"/>
  <c r="O41" i="89"/>
  <c r="M33" i="81"/>
  <c r="N39" i="89"/>
  <c r="Q133" i="83"/>
  <c r="Q97" i="87"/>
  <c r="Y71" i="91"/>
  <c r="P55" i="87"/>
  <c r="X64" i="81"/>
  <c r="AB130" i="91"/>
  <c r="O159" i="91"/>
  <c r="Z132" i="93"/>
  <c r="L101" i="85"/>
  <c r="Q144" i="82"/>
  <c r="X96" i="92"/>
  <c r="O33" i="74"/>
  <c r="P148" i="92"/>
  <c r="Q95" i="82"/>
  <c r="O138" i="88"/>
  <c r="Q68" i="94"/>
  <c r="Q99" i="87"/>
  <c r="AB180" i="88"/>
  <c r="X166" i="89"/>
  <c r="Q87" i="88"/>
  <c r="AA148" i="91"/>
  <c r="L93" i="85"/>
  <c r="X151" i="87"/>
  <c r="O176" i="94"/>
  <c r="Z100" i="89"/>
  <c r="O146" i="88"/>
  <c r="Y100" i="93"/>
  <c r="L120" i="94"/>
  <c r="AB55" i="94"/>
  <c r="Y79" i="93"/>
  <c r="O72" i="85"/>
  <c r="Y149" i="82"/>
  <c r="X110" i="89"/>
  <c r="N66" i="74"/>
  <c r="AA33" i="83"/>
  <c r="L132" i="94"/>
  <c r="AA80" i="91"/>
  <c r="O85" i="94"/>
  <c r="Z43" i="92"/>
  <c r="AB137" i="82"/>
  <c r="Y138" i="82"/>
  <c r="AB75" i="93"/>
  <c r="Z91" i="85"/>
  <c r="O51" i="91"/>
  <c r="P161" i="88"/>
  <c r="L90" i="93"/>
  <c r="AA15" i="82"/>
  <c r="T63" i="93"/>
  <c r="X110" i="93"/>
  <c r="X143" i="92"/>
  <c r="X101" i="85"/>
  <c r="AB89" i="88"/>
  <c r="Z102" i="84"/>
  <c r="Z118" i="89"/>
  <c r="M31" i="94"/>
  <c r="P165" i="89"/>
  <c r="AA115" i="93"/>
  <c r="AB154" i="89"/>
  <c r="Q129" i="81"/>
  <c r="Q29" i="93"/>
  <c r="P181" i="94"/>
  <c r="P179" i="82"/>
  <c r="Q135" i="94"/>
  <c r="P86" i="93"/>
  <c r="L85" i="87"/>
  <c r="Q37" i="82"/>
  <c r="AB160" i="91"/>
  <c r="Q57" i="93"/>
  <c r="X81" i="84"/>
  <c r="Y94" i="94"/>
  <c r="O155" i="94"/>
  <c r="P82" i="85"/>
  <c r="L143" i="91"/>
  <c r="AA173" i="87"/>
  <c r="AA81" i="94"/>
  <c r="Q99" i="94"/>
  <c r="O68" i="91"/>
  <c r="Q21" i="91"/>
  <c r="P161" i="87"/>
  <c r="Q154" i="85"/>
  <c r="Q138" i="89"/>
  <c r="P80" i="88"/>
  <c r="X80" i="92"/>
  <c r="Y11" i="88"/>
  <c r="Q137" i="94"/>
  <c r="AA115" i="87"/>
  <c r="Q61" i="94"/>
  <c r="AB39" i="94"/>
  <c r="L118" i="92"/>
  <c r="Q181" i="92"/>
  <c r="P106" i="94"/>
  <c r="Y109" i="74"/>
  <c r="Y161" i="92"/>
  <c r="Z112" i="87"/>
  <c r="P135" i="85"/>
  <c r="X73" i="91"/>
  <c r="M17" i="93"/>
  <c r="Z140" i="87"/>
  <c r="Z112" i="81"/>
  <c r="Q53" i="88"/>
  <c r="Q133" i="91"/>
  <c r="L106" i="87"/>
  <c r="X112" i="91"/>
  <c r="P129" i="89"/>
  <c r="X93" i="94"/>
  <c r="N39" i="88"/>
  <c r="Q139" i="87"/>
  <c r="O31" i="84"/>
  <c r="O127" i="85"/>
  <c r="AB70" i="91"/>
  <c r="X177" i="93"/>
  <c r="L94" i="92"/>
  <c r="O149" i="84"/>
  <c r="Q185" i="81"/>
  <c r="N51" i="83"/>
  <c r="M49" i="94"/>
  <c r="M51" i="85"/>
  <c r="L117" i="84"/>
  <c r="L110" i="82"/>
  <c r="Y180" i="88"/>
  <c r="AA118" i="74"/>
  <c r="L126" i="84"/>
  <c r="P73" i="94"/>
  <c r="Q184" i="87"/>
  <c r="AA55" i="87"/>
  <c r="P23" i="91"/>
  <c r="AB169" i="93"/>
  <c r="Y115" i="84"/>
  <c r="L155" i="92"/>
  <c r="P85" i="92"/>
  <c r="O101" i="94"/>
  <c r="Q65" i="93"/>
  <c r="Z82" i="88"/>
  <c r="T135" i="89"/>
  <c r="Q133" i="84"/>
  <c r="T147" i="82"/>
  <c r="AB59" i="84"/>
  <c r="X170" i="93"/>
  <c r="L121" i="87"/>
  <c r="N114" i="93"/>
  <c r="O80" i="93"/>
  <c r="Z128" i="88"/>
  <c r="AA119" i="87"/>
  <c r="X154" i="82"/>
  <c r="Z143" i="92"/>
  <c r="AA102" i="74"/>
  <c r="AB43" i="82"/>
  <c r="Q71" i="87"/>
  <c r="P29" i="87"/>
  <c r="O113" i="91"/>
  <c r="P70" i="91"/>
  <c r="AA172" i="85"/>
  <c r="Q98" i="85"/>
  <c r="Z94" i="92"/>
  <c r="X51" i="93"/>
  <c r="N111" i="92"/>
  <c r="Q157" i="88"/>
  <c r="AB27" i="91"/>
  <c r="L119" i="93"/>
  <c r="Z53" i="93"/>
  <c r="AA121" i="94"/>
  <c r="AA51" i="93"/>
  <c r="M49" i="93"/>
  <c r="T84" i="87"/>
  <c r="O73" i="91"/>
  <c r="P125" i="89"/>
  <c r="Y74" i="81"/>
  <c r="N84" i="85"/>
  <c r="Q75" i="88"/>
  <c r="Q152" i="89"/>
  <c r="Y75" i="84"/>
  <c r="Y146" i="94"/>
  <c r="X97" i="88"/>
  <c r="AB63" i="87"/>
  <c r="L155" i="88"/>
  <c r="AB41" i="87"/>
  <c r="X92" i="87"/>
  <c r="P41" i="93"/>
  <c r="Y96" i="91"/>
  <c r="Z41" i="91"/>
  <c r="AA108" i="84"/>
  <c r="Z51" i="87"/>
  <c r="Q130" i="92"/>
  <c r="X94" i="81"/>
  <c r="L90" i="83"/>
  <c r="Y120" i="91"/>
  <c r="Q100" i="81"/>
  <c r="P57" i="93"/>
  <c r="O110" i="89"/>
  <c r="L167" i="93"/>
  <c r="P159" i="92"/>
  <c r="P64" i="87"/>
  <c r="Z175" i="81"/>
  <c r="AA161" i="82"/>
  <c r="Q119" i="91"/>
  <c r="M57" i="91"/>
  <c r="O114" i="87"/>
  <c r="N165" i="91"/>
  <c r="Y136" i="92"/>
  <c r="P61" i="92"/>
  <c r="AA133" i="93"/>
  <c r="AB167" i="92"/>
  <c r="Q21" i="84"/>
  <c r="AA43" i="85"/>
  <c r="N99" i="94"/>
  <c r="X134" i="88"/>
  <c r="Y95" i="93"/>
  <c r="Z71" i="82"/>
  <c r="Z97" i="82"/>
  <c r="P146" i="93"/>
  <c r="O85" i="89"/>
  <c r="Z94" i="82"/>
  <c r="Y11" i="87"/>
  <c r="AB76" i="92"/>
  <c r="Y167" i="92"/>
  <c r="AA147" i="93"/>
  <c r="Y65" i="94"/>
  <c r="P107" i="88"/>
  <c r="AA63" i="84"/>
  <c r="Y148" i="88"/>
  <c r="P89" i="88"/>
  <c r="Q150" i="94"/>
  <c r="Q92" i="93"/>
  <c r="O143" i="94"/>
  <c r="Q45" i="85"/>
  <c r="N117" i="85"/>
  <c r="Z127" i="82"/>
  <c r="P119" i="93"/>
  <c r="AA113" i="81"/>
  <c r="AB11" i="87"/>
  <c r="P78" i="93"/>
  <c r="P133" i="91"/>
  <c r="P47" i="92"/>
  <c r="Z70" i="91"/>
  <c r="Z175" i="91"/>
  <c r="X72" i="89"/>
  <c r="Q124" i="83"/>
  <c r="AB33" i="94"/>
  <c r="Z144" i="94"/>
  <c r="AA67" i="88"/>
  <c r="X168" i="91"/>
  <c r="O161" i="91"/>
  <c r="X72" i="91"/>
  <c r="AA85" i="83"/>
  <c r="P163" i="82"/>
  <c r="Q115" i="88"/>
  <c r="Z91" i="87"/>
  <c r="Z106" i="89"/>
  <c r="Z95" i="94"/>
  <c r="X94" i="88"/>
  <c r="Z57" i="88"/>
  <c r="P105" i="91"/>
  <c r="Y155" i="94"/>
  <c r="X108" i="94"/>
  <c r="P61" i="89"/>
  <c r="AB158" i="91"/>
  <c r="L140" i="83"/>
  <c r="L122" i="81"/>
  <c r="AB162" i="85"/>
  <c r="P182" i="88"/>
  <c r="O78" i="92"/>
  <c r="AA164" i="91"/>
  <c r="O135" i="88"/>
  <c r="X176" i="91"/>
  <c r="X125" i="93"/>
  <c r="L184" i="93"/>
  <c r="AA125" i="89"/>
  <c r="Y81" i="88"/>
  <c r="AB88" i="83"/>
  <c r="L111" i="87"/>
  <c r="AB101" i="81"/>
  <c r="AA76" i="94"/>
  <c r="O110" i="74"/>
  <c r="P76" i="81"/>
  <c r="T129" i="81"/>
  <c r="P154" i="92"/>
  <c r="Q112" i="74"/>
  <c r="Z79" i="89"/>
  <c r="Z79" i="81"/>
  <c r="AB91" i="82"/>
  <c r="Q131" i="82"/>
  <c r="AB117" i="92"/>
  <c r="L174" i="84"/>
  <c r="L64" i="83"/>
  <c r="O166" i="92"/>
  <c r="X107" i="89"/>
  <c r="O129" i="94"/>
  <c r="Q82" i="92"/>
  <c r="Y108" i="94"/>
  <c r="L145" i="88"/>
  <c r="Q51" i="92"/>
  <c r="Q111" i="93"/>
  <c r="L93" i="91"/>
  <c r="X19" i="83"/>
  <c r="Q11" i="91"/>
  <c r="Z137" i="94"/>
  <c r="O138" i="92"/>
  <c r="N87" i="93"/>
  <c r="P21" i="88"/>
  <c r="Y96" i="89"/>
  <c r="AB94" i="83"/>
  <c r="P49" i="93"/>
  <c r="Q74" i="94"/>
  <c r="Q97" i="93"/>
  <c r="O133" i="88"/>
  <c r="Z138" i="85"/>
  <c r="P55" i="92"/>
  <c r="Y172" i="91"/>
  <c r="O29" i="82"/>
  <c r="Q170" i="92"/>
  <c r="Y57" i="83"/>
  <c r="AB83" i="91"/>
  <c r="Z78" i="74"/>
  <c r="AA129" i="93"/>
  <c r="P129" i="84"/>
  <c r="P35" i="81"/>
  <c r="T135" i="93"/>
  <c r="AB151" i="94"/>
  <c r="AA68" i="89"/>
  <c r="Z70" i="89"/>
  <c r="L185" i="92"/>
  <c r="Y159" i="89"/>
  <c r="AB93" i="89"/>
  <c r="X149" i="87"/>
  <c r="Y69" i="93"/>
  <c r="L180" i="74"/>
  <c r="AA96" i="84"/>
  <c r="Z76" i="81"/>
  <c r="Z95" i="93"/>
  <c r="AB103" i="89"/>
  <c r="N183" i="89"/>
  <c r="Q82" i="87"/>
  <c r="O150" i="82"/>
  <c r="Z74" i="94"/>
  <c r="AA139" i="91"/>
  <c r="O45" i="85"/>
  <c r="Z164" i="82"/>
  <c r="N185" i="92"/>
  <c r="AB157" i="91"/>
  <c r="AB139" i="91"/>
  <c r="Y174" i="89"/>
  <c r="L111" i="85"/>
  <c r="Q146" i="82"/>
  <c r="AA153" i="83"/>
  <c r="L151" i="92"/>
  <c r="P111" i="94"/>
  <c r="AA158" i="94"/>
  <c r="AA129" i="88"/>
  <c r="O168" i="92"/>
  <c r="O141" i="94"/>
  <c r="Z63" i="92"/>
  <c r="Q174" i="87"/>
  <c r="Q183" i="91"/>
  <c r="T141" i="91"/>
  <c r="O61" i="92"/>
  <c r="AB171" i="83"/>
  <c r="X140" i="85"/>
  <c r="AB180" i="92"/>
  <c r="Q164" i="88"/>
  <c r="Q166" i="94"/>
  <c r="M53" i="88"/>
  <c r="L114" i="89"/>
  <c r="X85" i="84"/>
  <c r="X93" i="92"/>
  <c r="Y151" i="82"/>
  <c r="P162" i="84"/>
  <c r="X45" i="83"/>
  <c r="AB87" i="92"/>
  <c r="X77" i="88"/>
  <c r="Y177" i="87"/>
  <c r="P90" i="93"/>
  <c r="X180" i="83"/>
  <c r="Y157" i="89"/>
  <c r="X152" i="88"/>
  <c r="Q128" i="91"/>
  <c r="AA85" i="91"/>
  <c r="Q168" i="82"/>
  <c r="P168" i="94"/>
  <c r="L75" i="87"/>
  <c r="X88" i="89"/>
  <c r="N93" i="88"/>
  <c r="O185" i="83"/>
  <c r="X25" i="88"/>
  <c r="AA53" i="85"/>
  <c r="Y27" i="92"/>
  <c r="AB65" i="89"/>
  <c r="N183" i="82"/>
  <c r="P176" i="92"/>
  <c r="Q144" i="93"/>
  <c r="Z139" i="88"/>
  <c r="O55" i="88"/>
  <c r="X128" i="82"/>
  <c r="Q146" i="91"/>
  <c r="AB104" i="92"/>
  <c r="X19" i="93"/>
  <c r="Z11" i="88"/>
  <c r="AB169" i="87"/>
  <c r="O98" i="74"/>
  <c r="Y119" i="85"/>
  <c r="X39" i="94"/>
  <c r="O135" i="92"/>
  <c r="Y59" i="93"/>
  <c r="Q139" i="94"/>
  <c r="Y61" i="93"/>
  <c r="AA118" i="92"/>
  <c r="X114" i="93"/>
  <c r="N120" i="81"/>
  <c r="Y25" i="94"/>
  <c r="Q65" i="87"/>
  <c r="Y31" i="89"/>
  <c r="L136" i="74"/>
  <c r="P33" i="92"/>
  <c r="AA98" i="93"/>
  <c r="Q123" i="92"/>
  <c r="AB154" i="83"/>
  <c r="P176" i="94"/>
  <c r="T57" i="88"/>
  <c r="L185" i="94"/>
  <c r="Z133" i="92"/>
  <c r="T75" i="88"/>
  <c r="Y27" i="84"/>
  <c r="AA88" i="89"/>
  <c r="AB55" i="88"/>
  <c r="P41" i="91"/>
  <c r="P79" i="82"/>
  <c r="L160" i="91"/>
  <c r="AB102" i="91"/>
  <c r="Q128" i="88"/>
  <c r="AB157" i="93"/>
  <c r="Q86" i="92"/>
  <c r="Q174" i="91"/>
  <c r="Q100" i="92"/>
  <c r="AA108" i="88"/>
  <c r="P124" i="92"/>
  <c r="O109" i="81"/>
  <c r="P92" i="83"/>
  <c r="AB175" i="89"/>
  <c r="AB31" i="83"/>
  <c r="AB19" i="92"/>
  <c r="P181" i="81"/>
  <c r="X94" i="91"/>
  <c r="X63" i="88"/>
  <c r="Y43" i="94"/>
  <c r="P150" i="85"/>
  <c r="AB71" i="94"/>
  <c r="Y126" i="87"/>
  <c r="M59" i="89"/>
  <c r="N63" i="92"/>
  <c r="L94" i="94"/>
  <c r="P105" i="84"/>
  <c r="AA35" i="74"/>
  <c r="O97" i="84"/>
  <c r="N177" i="88"/>
  <c r="L170" i="83"/>
  <c r="AB164" i="85"/>
  <c r="X167" i="88"/>
  <c r="L106" i="83"/>
  <c r="Q19" i="82"/>
  <c r="O110" i="87"/>
  <c r="L168" i="91"/>
  <c r="X112" i="82"/>
  <c r="X134" i="92"/>
  <c r="AB71" i="93"/>
  <c r="O99" i="92"/>
  <c r="AB33" i="88"/>
  <c r="Q177" i="91"/>
  <c r="Y35" i="91"/>
  <c r="AA45" i="87"/>
  <c r="O45" i="87"/>
  <c r="P74" i="93"/>
  <c r="AB177" i="91"/>
  <c r="Z21" i="88"/>
  <c r="AA118" i="88"/>
  <c r="M31" i="89"/>
  <c r="Q57" i="94"/>
  <c r="X111" i="89"/>
  <c r="Z109" i="91"/>
  <c r="O91" i="87"/>
  <c r="AB13" i="83"/>
  <c r="Y76" i="92"/>
  <c r="Y13" i="87"/>
  <c r="L73" i="84"/>
  <c r="P118" i="85"/>
  <c r="P145" i="91"/>
  <c r="AA121" i="83"/>
  <c r="AB166" i="81"/>
  <c r="Z37" i="94"/>
  <c r="N114" i="81"/>
  <c r="Z63" i="84"/>
  <c r="P162" i="74"/>
  <c r="Z180" i="93"/>
  <c r="P57" i="89"/>
  <c r="AA15" i="92"/>
  <c r="Z175" i="88"/>
  <c r="Q76" i="74"/>
  <c r="Z137" i="85"/>
  <c r="Y41" i="94"/>
  <c r="AA115" i="88"/>
  <c r="Q85" i="84"/>
  <c r="Y144" i="92"/>
  <c r="Z144" i="82"/>
  <c r="X110" i="94"/>
  <c r="L72" i="82"/>
  <c r="O72" i="81"/>
  <c r="X39" i="93"/>
  <c r="L134" i="84"/>
  <c r="Y120" i="92"/>
  <c r="Y90" i="84"/>
  <c r="P75" i="81"/>
  <c r="Q101" i="92"/>
  <c r="X27" i="83"/>
  <c r="AA39" i="89"/>
  <c r="AB139" i="94"/>
  <c r="AA150" i="93"/>
  <c r="AB172" i="92"/>
  <c r="P63" i="74"/>
  <c r="AA17" i="87"/>
  <c r="AB49" i="85"/>
  <c r="O132" i="93"/>
  <c r="M43" i="85"/>
  <c r="Y131" i="89"/>
  <c r="AB25" i="85"/>
  <c r="Y88" i="94"/>
  <c r="O105" i="92"/>
  <c r="P162" i="83"/>
  <c r="N15" i="84"/>
  <c r="AA177" i="93"/>
  <c r="Y117" i="84"/>
  <c r="O111" i="91"/>
  <c r="Y153" i="94"/>
  <c r="AA171" i="92"/>
  <c r="O78" i="94"/>
  <c r="AB63" i="93"/>
  <c r="Q49" i="93"/>
  <c r="P101" i="94"/>
  <c r="L71" i="87"/>
  <c r="Y117" i="87"/>
  <c r="Z13" i="89"/>
  <c r="AB174" i="85"/>
  <c r="AB145" i="91"/>
  <c r="P9" i="85"/>
  <c r="AB155" i="92"/>
  <c r="AB126" i="85"/>
  <c r="O64" i="88"/>
  <c r="AA132" i="91"/>
  <c r="N168" i="94"/>
  <c r="Q89" i="81"/>
  <c r="O126" i="91"/>
  <c r="X121" i="91"/>
  <c r="AB123" i="89"/>
  <c r="AA77" i="93"/>
  <c r="Q93" i="92"/>
  <c r="Q157" i="91"/>
  <c r="AB170" i="88"/>
  <c r="Q64" i="91"/>
  <c r="N138" i="94"/>
  <c r="L118" i="94"/>
  <c r="Q55" i="82"/>
  <c r="X11" i="74"/>
  <c r="Y180" i="81"/>
  <c r="L76" i="94"/>
  <c r="Z118" i="94"/>
  <c r="O129" i="93"/>
  <c r="L183" i="81"/>
  <c r="Z127" i="87"/>
  <c r="Y19" i="81"/>
  <c r="X90" i="94"/>
  <c r="Q106" i="81"/>
  <c r="AA136" i="82"/>
  <c r="P148" i="84"/>
  <c r="X150" i="87"/>
  <c r="O110" i="91"/>
  <c r="Q181" i="91"/>
  <c r="AA180" i="93"/>
  <c r="AB171" i="89"/>
  <c r="O89" i="81"/>
  <c r="X103" i="84"/>
  <c r="X159" i="91"/>
  <c r="T99" i="91"/>
  <c r="Z17" i="93"/>
  <c r="AA122" i="89"/>
  <c r="T150" i="92"/>
  <c r="P80" i="89"/>
  <c r="AB137" i="85"/>
  <c r="O169" i="94"/>
  <c r="P31" i="89"/>
  <c r="Z160" i="93"/>
  <c r="Y157" i="87"/>
  <c r="AB123" i="94"/>
  <c r="L73" i="89"/>
  <c r="AB116" i="88"/>
  <c r="N150" i="91"/>
  <c r="T123" i="74"/>
  <c r="Q43" i="82"/>
  <c r="AA90" i="94"/>
  <c r="AA67" i="82"/>
  <c r="Y49" i="83"/>
  <c r="O172" i="91"/>
  <c r="Q142" i="82"/>
  <c r="P167" i="84"/>
  <c r="AA159" i="94"/>
  <c r="O33" i="91"/>
  <c r="Z29" i="83"/>
  <c r="O124" i="92"/>
  <c r="P183" i="94"/>
  <c r="AB173" i="87"/>
  <c r="O184" i="91"/>
  <c r="AA85" i="85"/>
  <c r="AA127" i="87"/>
  <c r="Z86" i="88"/>
  <c r="P95" i="89"/>
  <c r="T81" i="89"/>
  <c r="L154" i="74"/>
  <c r="AA122" i="88"/>
  <c r="Q47" i="91"/>
  <c r="M33" i="91"/>
  <c r="X158" i="89"/>
  <c r="P73" i="91"/>
  <c r="Q131" i="88"/>
  <c r="X129" i="82"/>
  <c r="T177" i="91"/>
  <c r="Z146" i="87"/>
  <c r="AA113" i="88"/>
  <c r="Q172" i="83"/>
  <c r="Z137" i="74"/>
  <c r="Q182" i="88"/>
  <c r="P135" i="81"/>
  <c r="AA128" i="91"/>
  <c r="L155" i="89"/>
  <c r="AB127" i="81"/>
  <c r="Q86" i="91"/>
  <c r="L143" i="74"/>
  <c r="Y33" i="94"/>
  <c r="Z180" i="94"/>
  <c r="X81" i="82"/>
  <c r="L162" i="94"/>
  <c r="P98" i="88"/>
  <c r="X119" i="87"/>
  <c r="P175" i="93"/>
  <c r="Q37" i="87"/>
  <c r="P153" i="91"/>
  <c r="L88" i="89"/>
  <c r="AB141" i="89"/>
  <c r="Z146" i="83"/>
  <c r="Q128" i="84"/>
  <c r="Q108" i="92"/>
  <c r="Y157" i="83"/>
  <c r="AB108" i="85"/>
  <c r="L65" i="89"/>
  <c r="Y23" i="89"/>
  <c r="Y55" i="82"/>
  <c r="Y150" i="94"/>
  <c r="Z161" i="87"/>
  <c r="O83" i="88"/>
  <c r="O91" i="88"/>
  <c r="Z157" i="88"/>
  <c r="L127" i="94"/>
  <c r="O120" i="89"/>
  <c r="Q109" i="88"/>
  <c r="L143" i="93"/>
  <c r="Q115" i="91"/>
  <c r="AB68" i="83"/>
  <c r="X118" i="87"/>
  <c r="O35" i="84"/>
  <c r="N78" i="94"/>
  <c r="P80" i="91"/>
  <c r="O102" i="87"/>
  <c r="P130" i="92"/>
  <c r="P158" i="92"/>
  <c r="Z148" i="85"/>
  <c r="AA117" i="93"/>
  <c r="X65" i="87"/>
  <c r="T93" i="89"/>
  <c r="O76" i="81"/>
  <c r="AB57" i="88"/>
  <c r="Q67" i="94"/>
  <c r="Q92" i="74"/>
  <c r="AA113" i="82"/>
  <c r="X49" i="93"/>
  <c r="O93" i="91"/>
  <c r="Z31" i="94"/>
  <c r="P15" i="87"/>
  <c r="Z120" i="82"/>
  <c r="O27" i="93"/>
  <c r="P13" i="84"/>
  <c r="AB21" i="93"/>
  <c r="Q95" i="87"/>
  <c r="AB104" i="91"/>
  <c r="P163" i="94"/>
  <c r="AB39" i="81"/>
  <c r="Q171" i="82"/>
  <c r="Z151" i="89"/>
  <c r="O63" i="87"/>
  <c r="P124" i="88"/>
  <c r="O160" i="83"/>
  <c r="O139" i="82"/>
  <c r="Q120" i="89"/>
  <c r="T159" i="91"/>
  <c r="T105" i="81"/>
  <c r="X106" i="94"/>
  <c r="AB87" i="83"/>
  <c r="AB104" i="84"/>
  <c r="Y108" i="92"/>
  <c r="N184" i="81"/>
  <c r="Y170" i="92"/>
  <c r="Y127" i="82"/>
  <c r="M59" i="92"/>
  <c r="T114" i="89"/>
  <c r="AA80" i="84"/>
  <c r="AA98" i="91"/>
  <c r="AA70" i="88"/>
  <c r="AA174" i="88"/>
  <c r="X111" i="91"/>
  <c r="P43" i="89"/>
  <c r="Q73" i="88"/>
  <c r="Y165" i="89"/>
  <c r="Z114" i="87"/>
  <c r="P55" i="94"/>
  <c r="O94" i="83"/>
  <c r="Q185" i="89"/>
  <c r="O66" i="93"/>
  <c r="L159" i="85"/>
  <c r="AB21" i="81"/>
  <c r="M21" i="82"/>
  <c r="L77" i="85"/>
  <c r="O104" i="85"/>
  <c r="P96" i="87"/>
  <c r="AB148" i="89"/>
  <c r="Z9" i="83"/>
  <c r="L167" i="94"/>
  <c r="O164" i="87"/>
  <c r="AB85" i="91"/>
  <c r="O180" i="83"/>
  <c r="Q158" i="83"/>
  <c r="X102" i="89"/>
  <c r="M53" i="83"/>
  <c r="X145" i="83"/>
  <c r="O94" i="74"/>
  <c r="O126" i="93"/>
  <c r="L101" i="81"/>
  <c r="L162" i="93"/>
  <c r="O143" i="88"/>
  <c r="Z92" i="94"/>
  <c r="O146" i="91"/>
  <c r="AA134" i="88"/>
  <c r="N45" i="83"/>
  <c r="P148" i="82"/>
  <c r="O124" i="87"/>
  <c r="Z128" i="85"/>
  <c r="Y104" i="87"/>
  <c r="AA45" i="92"/>
  <c r="Q124" i="87"/>
  <c r="P113" i="83"/>
  <c r="P70" i="87"/>
  <c r="L75" i="91"/>
  <c r="P80" i="85"/>
  <c r="Z151" i="82"/>
  <c r="Q144" i="88"/>
  <c r="AB180" i="81"/>
  <c r="L121" i="93"/>
  <c r="AA115" i="84"/>
  <c r="Q68" i="85"/>
  <c r="X129" i="83"/>
  <c r="Q101" i="74"/>
  <c r="Y124" i="94"/>
  <c r="P152" i="87"/>
  <c r="AA55" i="93"/>
  <c r="Q154" i="93"/>
  <c r="Y102" i="93"/>
  <c r="Z146" i="74"/>
  <c r="L131" i="89"/>
  <c r="Q168" i="84"/>
  <c r="Y160" i="83"/>
  <c r="Y37" i="89"/>
  <c r="Q125" i="83"/>
  <c r="Q118" i="92"/>
  <c r="X134" i="91"/>
  <c r="L67" i="91"/>
  <c r="Z171" i="87"/>
  <c r="Z57" i="83"/>
  <c r="O101" i="93"/>
  <c r="Y53" i="74"/>
  <c r="L132" i="83"/>
  <c r="AA113" i="87"/>
  <c r="O135" i="84"/>
  <c r="X120" i="82"/>
  <c r="O160" i="94"/>
  <c r="O121" i="82"/>
  <c r="Y166" i="93"/>
  <c r="P153" i="92"/>
  <c r="Y66" i="94"/>
  <c r="N72" i="91"/>
  <c r="AB175" i="91"/>
  <c r="Y64" i="94"/>
  <c r="O125" i="92"/>
  <c r="N135" i="91"/>
  <c r="P33" i="93"/>
  <c r="AA72" i="85"/>
  <c r="Y125" i="87"/>
  <c r="O82" i="93"/>
  <c r="AB173" i="89"/>
  <c r="Q17" i="84"/>
  <c r="X99" i="85"/>
  <c r="P151" i="91"/>
  <c r="AB111" i="89"/>
  <c r="Q183" i="89"/>
  <c r="AA149" i="83"/>
  <c r="AB146" i="92"/>
  <c r="Y166" i="87"/>
  <c r="N180" i="92"/>
  <c r="Q47" i="87"/>
  <c r="X120" i="83"/>
  <c r="AB93" i="93"/>
  <c r="X13" i="93"/>
  <c r="N184" i="88"/>
  <c r="AB122" i="91"/>
  <c r="Z155" i="89"/>
  <c r="L113" i="81"/>
  <c r="AB163" i="92"/>
  <c r="P149" i="89"/>
  <c r="P175" i="91"/>
  <c r="Q81" i="85"/>
  <c r="AA118" i="89"/>
  <c r="Y151" i="89"/>
  <c r="N126" i="92"/>
  <c r="L180" i="81"/>
  <c r="O126" i="84"/>
  <c r="Q137" i="85"/>
  <c r="X27" i="88"/>
  <c r="Z144" i="93"/>
  <c r="Y131" i="85"/>
  <c r="P91" i="94"/>
  <c r="AB64" i="88"/>
  <c r="Z147" i="87"/>
  <c r="T66" i="83"/>
  <c r="X162" i="81"/>
  <c r="Q45" i="84"/>
  <c r="L177" i="91"/>
  <c r="Y15" i="92"/>
  <c r="Y142" i="84"/>
  <c r="L81" i="92"/>
  <c r="X35" i="89"/>
  <c r="AA29" i="87"/>
  <c r="X90" i="85"/>
  <c r="Y39" i="92"/>
  <c r="Z37" i="89"/>
  <c r="Y72" i="92"/>
  <c r="L173" i="89"/>
  <c r="P63" i="84"/>
  <c r="AB81" i="91"/>
  <c r="AA143" i="74"/>
  <c r="AA64" i="94"/>
  <c r="Z138" i="91"/>
  <c r="AA116" i="82"/>
  <c r="Z101" i="88"/>
  <c r="X97" i="91"/>
  <c r="Y57" i="82"/>
  <c r="P49" i="85"/>
  <c r="L149" i="82"/>
  <c r="P120" i="83"/>
  <c r="L151" i="89"/>
  <c r="Q74" i="93"/>
  <c r="P64" i="94"/>
  <c r="P90" i="92"/>
  <c r="P172" i="93"/>
  <c r="AA110" i="85"/>
  <c r="AA169" i="92"/>
  <c r="Q13" i="91"/>
  <c r="X68" i="92"/>
  <c r="X88" i="93"/>
  <c r="X157" i="81"/>
  <c r="Y109" i="93"/>
  <c r="X71" i="88"/>
  <c r="AA123" i="91"/>
  <c r="X55" i="88"/>
  <c r="O107" i="85"/>
  <c r="AB43" i="81"/>
  <c r="P15" i="93"/>
  <c r="O70" i="92"/>
  <c r="X146" i="89"/>
  <c r="Z144" i="92"/>
  <c r="Y41" i="93"/>
  <c r="Q78" i="92"/>
  <c r="AB89" i="92"/>
  <c r="O49" i="89"/>
  <c r="Z107" i="92"/>
  <c r="O68" i="93"/>
  <c r="X113" i="85"/>
  <c r="AB117" i="94"/>
  <c r="Y161" i="94"/>
  <c r="O25" i="82"/>
  <c r="AB148" i="93"/>
  <c r="Q17" i="93"/>
  <c r="L127" i="74"/>
  <c r="N120" i="92"/>
  <c r="O145" i="82"/>
  <c r="Z159" i="94"/>
  <c r="Q100" i="93"/>
  <c r="P78" i="88"/>
  <c r="Q102" i="85"/>
  <c r="Q64" i="92"/>
  <c r="X159" i="84"/>
  <c r="Q111" i="74"/>
  <c r="AA73" i="94"/>
  <c r="Z88" i="82"/>
  <c r="L161" i="83"/>
  <c r="Q96" i="85"/>
  <c r="P71" i="88"/>
  <c r="Z79" i="87"/>
  <c r="X87" i="89"/>
  <c r="M39" i="85"/>
  <c r="Y115" i="93"/>
  <c r="AA134" i="94"/>
  <c r="O67" i="94"/>
  <c r="AA13" i="94"/>
  <c r="X128" i="84"/>
  <c r="Y165" i="91"/>
  <c r="O133" i="94"/>
  <c r="Q27" i="74"/>
  <c r="Z130" i="91"/>
  <c r="L115" i="91"/>
  <c r="X140" i="83"/>
  <c r="AB43" i="85"/>
  <c r="L149" i="93"/>
  <c r="Z169" i="94"/>
  <c r="Z141" i="93"/>
  <c r="O72" i="92"/>
  <c r="AB79" i="82"/>
  <c r="L159" i="93"/>
  <c r="L66" i="93"/>
  <c r="Y159" i="91"/>
  <c r="Y81" i="92"/>
  <c r="Z106" i="87"/>
  <c r="P182" i="89"/>
  <c r="Z33" i="91"/>
  <c r="Y77" i="83"/>
  <c r="AB96" i="92"/>
  <c r="Y177" i="91"/>
  <c r="X65" i="94"/>
  <c r="X91" i="83"/>
  <c r="O96" i="91"/>
  <c r="Y53" i="94"/>
  <c r="AB105" i="85"/>
  <c r="Y45" i="92"/>
  <c r="X11" i="87"/>
  <c r="N138" i="93"/>
  <c r="AA114" i="88"/>
  <c r="M37" i="93"/>
  <c r="Q176" i="91"/>
  <c r="AB158" i="92"/>
  <c r="T111" i="88"/>
  <c r="T177" i="94"/>
  <c r="Q149" i="91"/>
  <c r="O45" i="91"/>
  <c r="AA143" i="81"/>
  <c r="X88" i="81"/>
  <c r="AA163" i="94"/>
  <c r="AB89" i="93"/>
  <c r="AB174" i="88"/>
  <c r="M51" i="91"/>
  <c r="AB154" i="87"/>
  <c r="Y167" i="91"/>
  <c r="P148" i="83"/>
  <c r="Z29" i="91"/>
  <c r="Z129" i="94"/>
  <c r="P104" i="87"/>
  <c r="Z169" i="87"/>
  <c r="AA87" i="93"/>
  <c r="AB161" i="85"/>
  <c r="X78" i="88"/>
  <c r="P175" i="87"/>
  <c r="Q123" i="93"/>
  <c r="N84" i="92"/>
  <c r="X128" i="74"/>
  <c r="Y13" i="82"/>
  <c r="AB89" i="84"/>
  <c r="Y53" i="92"/>
  <c r="X172" i="81"/>
  <c r="L115" i="85"/>
  <c r="O166" i="87"/>
  <c r="X127" i="91"/>
  <c r="AA165" i="89"/>
  <c r="Q179" i="94"/>
  <c r="Q82" i="81"/>
  <c r="AA70" i="89"/>
  <c r="AB176" i="91"/>
  <c r="X142" i="89"/>
  <c r="Z39" i="83"/>
  <c r="X172" i="89"/>
  <c r="X174" i="92"/>
  <c r="P170" i="94"/>
  <c r="L182" i="88"/>
  <c r="AA93" i="91"/>
  <c r="O131" i="83"/>
  <c r="O135" i="87"/>
  <c r="AA9" i="84"/>
  <c r="L100" i="74"/>
  <c r="Q141" i="81"/>
  <c r="O133" i="87"/>
  <c r="P29" i="94"/>
  <c r="Y171" i="93"/>
  <c r="P142" i="91"/>
  <c r="Y160" i="87"/>
  <c r="AA177" i="83"/>
  <c r="AB65" i="93"/>
  <c r="T81" i="94"/>
  <c r="P138" i="87"/>
  <c r="O175" i="88"/>
  <c r="Z9" i="93"/>
  <c r="L96" i="92"/>
  <c r="Q45" i="94"/>
  <c r="M55" i="89"/>
  <c r="P184" i="91"/>
  <c r="AB135" i="83"/>
  <c r="AA68" i="93"/>
  <c r="Y105" i="94"/>
  <c r="Q103" i="83"/>
  <c r="AA19" i="88"/>
  <c r="AA137" i="89"/>
  <c r="L100" i="91"/>
  <c r="AA25" i="74"/>
  <c r="Y123" i="88"/>
  <c r="L72" i="84"/>
  <c r="Y170" i="84"/>
  <c r="X33" i="92"/>
  <c r="L175" i="92"/>
  <c r="X73" i="84"/>
  <c r="X65" i="85"/>
  <c r="Z164" i="92"/>
  <c r="P149" i="84"/>
  <c r="O81" i="91"/>
  <c r="O134" i="91"/>
  <c r="Q125" i="87"/>
  <c r="T174" i="84"/>
  <c r="O19" i="91"/>
  <c r="X164" i="84"/>
  <c r="Z113" i="84"/>
  <c r="X154" i="87"/>
  <c r="L73" i="92"/>
  <c r="Q136" i="91"/>
  <c r="AB147" i="94"/>
  <c r="T111" i="91"/>
  <c r="O66" i="89"/>
  <c r="P114" i="84"/>
  <c r="X118" i="74"/>
  <c r="Y11" i="91"/>
  <c r="P92" i="74"/>
  <c r="Z117" i="94"/>
  <c r="Z84" i="93"/>
  <c r="Q94" i="74"/>
  <c r="L152" i="93"/>
  <c r="AB92" i="94"/>
  <c r="O23" i="88"/>
  <c r="O120" i="93"/>
  <c r="Q79" i="89"/>
  <c r="X113" i="92"/>
  <c r="X142" i="88"/>
  <c r="O83" i="87"/>
  <c r="Z103" i="82"/>
  <c r="Q147" i="89"/>
  <c r="AB45" i="89"/>
  <c r="P107" i="82"/>
  <c r="P169" i="82"/>
  <c r="M47" i="74"/>
  <c r="P130" i="94"/>
  <c r="Y99" i="89"/>
  <c r="Z94" i="94"/>
  <c r="O178" i="74"/>
  <c r="Q134" i="88"/>
  <c r="P67" i="91"/>
  <c r="Q108" i="74"/>
  <c r="Z23" i="83"/>
  <c r="Y114" i="82"/>
  <c r="AA68" i="74"/>
  <c r="P105" i="89"/>
  <c r="X143" i="91"/>
  <c r="Y130" i="89"/>
  <c r="X109" i="88"/>
  <c r="P27" i="93"/>
  <c r="X173" i="87"/>
  <c r="Q120" i="93"/>
  <c r="Q87" i="89"/>
  <c r="AB71" i="88"/>
  <c r="M45" i="87"/>
  <c r="Q152" i="82"/>
  <c r="L180" i="83"/>
  <c r="X116" i="87"/>
  <c r="AB159" i="92"/>
  <c r="Q100" i="74"/>
  <c r="Q168" i="93"/>
  <c r="AA111" i="93"/>
  <c r="Q64" i="88"/>
  <c r="X11" i="94"/>
  <c r="P83" i="82"/>
  <c r="N93" i="94"/>
  <c r="X63" i="89"/>
  <c r="O180" i="82"/>
  <c r="Z106" i="93"/>
  <c r="Y23" i="83"/>
  <c r="N99" i="82"/>
  <c r="L123" i="83"/>
  <c r="X66" i="89"/>
  <c r="Q29" i="84"/>
  <c r="AB73" i="88"/>
  <c r="Z57" i="85"/>
  <c r="X101" i="84"/>
  <c r="X101" i="87"/>
  <c r="L141" i="93"/>
  <c r="P102" i="81"/>
  <c r="Z93" i="92"/>
  <c r="AA45" i="85"/>
  <c r="P140" i="89"/>
  <c r="L104" i="91"/>
  <c r="O78" i="93"/>
  <c r="Z67" i="91"/>
  <c r="Q68" i="91"/>
  <c r="O83" i="93"/>
  <c r="AA45" i="94"/>
  <c r="Z110" i="92"/>
  <c r="P127" i="88"/>
  <c r="O9" i="91"/>
  <c r="X17" i="93"/>
  <c r="O85" i="92"/>
  <c r="N39" i="92"/>
  <c r="P184" i="92"/>
  <c r="Q15" i="83"/>
  <c r="P89" i="93"/>
  <c r="L137" i="94"/>
  <c r="Y69" i="92"/>
  <c r="N105" i="84"/>
  <c r="Z136" i="85"/>
  <c r="O119" i="91"/>
  <c r="N105" i="93"/>
  <c r="Z11" i="91"/>
  <c r="P72" i="87"/>
  <c r="Z37" i="82"/>
  <c r="AA91" i="89"/>
  <c r="AA152" i="83"/>
  <c r="AA119" i="92"/>
  <c r="AB97" i="82"/>
  <c r="AB94" i="87"/>
  <c r="Q102" i="91"/>
  <c r="AA100" i="93"/>
  <c r="AB174" i="92"/>
  <c r="T111" i="83"/>
  <c r="X130" i="87"/>
  <c r="Q118" i="93"/>
  <c r="X158" i="92"/>
  <c r="AB120" i="94"/>
  <c r="Z75" i="81"/>
  <c r="P158" i="85"/>
  <c r="L119" i="82"/>
  <c r="N123" i="92"/>
  <c r="AA130" i="88"/>
  <c r="X115" i="89"/>
  <c r="N45" i="88"/>
  <c r="X51" i="84"/>
  <c r="AB59" i="85"/>
  <c r="Z122" i="87"/>
  <c r="Q142" i="84"/>
  <c r="Z67" i="89"/>
  <c r="Q126" i="84"/>
  <c r="O15" i="91"/>
  <c r="Z51" i="94"/>
  <c r="Z105" i="93"/>
  <c r="Z83" i="93"/>
  <c r="Y131" i="74"/>
  <c r="AA155" i="94"/>
  <c r="L78" i="93"/>
  <c r="N180" i="91"/>
  <c r="P81" i="93"/>
  <c r="P13" i="87"/>
  <c r="O155" i="91"/>
  <c r="X170" i="81"/>
  <c r="L134" i="94"/>
  <c r="AA13" i="74"/>
  <c r="Z90" i="88"/>
  <c r="AB125" i="91"/>
  <c r="X45" i="82"/>
  <c r="Q17" i="88"/>
  <c r="AA112" i="88"/>
  <c r="AB120" i="85"/>
  <c r="AA146" i="82"/>
  <c r="AA71" i="87"/>
  <c r="X53" i="92"/>
  <c r="Y142" i="89"/>
  <c r="X66" i="91"/>
  <c r="O67" i="93"/>
  <c r="N96" i="74"/>
  <c r="Q53" i="87"/>
  <c r="P138" i="82"/>
  <c r="L75" i="81"/>
  <c r="AB13" i="94"/>
  <c r="AB152" i="88"/>
  <c r="AB109" i="91"/>
  <c r="Z180" i="85"/>
  <c r="X128" i="88"/>
  <c r="AB116" i="92"/>
  <c r="T63" i="87"/>
  <c r="AA64" i="92"/>
  <c r="AB100" i="85"/>
  <c r="Z109" i="84"/>
  <c r="Z111" i="93"/>
  <c r="Y97" i="93"/>
  <c r="Z98" i="94"/>
  <c r="X67" i="88"/>
  <c r="L181" i="94"/>
  <c r="N117" i="89"/>
  <c r="L125" i="89"/>
  <c r="O150" i="93"/>
  <c r="Y128" i="92"/>
  <c r="L125" i="82"/>
  <c r="L117" i="92"/>
  <c r="Q25" i="87"/>
  <c r="L176" i="94"/>
  <c r="Q93" i="85"/>
  <c r="N159" i="91"/>
  <c r="AB158" i="82"/>
  <c r="O41" i="74"/>
  <c r="T63" i="82"/>
  <c r="Q175" i="93"/>
  <c r="P79" i="93"/>
  <c r="O78" i="84"/>
  <c r="AA114" i="91"/>
  <c r="X129" i="94"/>
  <c r="Y145" i="84"/>
  <c r="M43" i="88"/>
  <c r="X166" i="85"/>
  <c r="X67" i="91"/>
  <c r="AB75" i="91"/>
  <c r="X150" i="94"/>
  <c r="AB77" i="81"/>
  <c r="O129" i="91"/>
  <c r="AB137" i="93"/>
  <c r="Z133" i="87"/>
  <c r="L120" i="87"/>
  <c r="AA154" i="82"/>
  <c r="Z118" i="87"/>
  <c r="AB78" i="94"/>
  <c r="Z130" i="81"/>
  <c r="P113" i="93"/>
  <c r="Y106" i="83"/>
  <c r="Z143" i="93"/>
  <c r="Y175" i="88"/>
  <c r="X33" i="85"/>
  <c r="O73" i="84"/>
  <c r="AB150" i="92"/>
  <c r="Z127" i="83"/>
  <c r="O35" i="94"/>
  <c r="P57" i="88"/>
  <c r="X75" i="92"/>
  <c r="L153" i="92"/>
  <c r="O166" i="82"/>
  <c r="X72" i="82"/>
  <c r="P106" i="93"/>
  <c r="Y45" i="81"/>
  <c r="N111" i="93"/>
  <c r="L137" i="93"/>
  <c r="N174" i="88"/>
  <c r="M45" i="83"/>
  <c r="Y163" i="94"/>
  <c r="Q105" i="74"/>
  <c r="Q68" i="81"/>
  <c r="O168" i="74"/>
  <c r="Z122" i="81"/>
  <c r="Q133" i="82"/>
  <c r="N27" i="81"/>
  <c r="N108" i="74"/>
  <c r="Y139" i="88"/>
  <c r="X116" i="91"/>
  <c r="Y162" i="81"/>
  <c r="AA125" i="81"/>
  <c r="Z132" i="84"/>
  <c r="Z25" i="89"/>
  <c r="P168" i="93"/>
  <c r="Q151" i="74"/>
  <c r="AB74" i="83"/>
  <c r="AA177" i="82"/>
  <c r="L134" i="91"/>
  <c r="Z127" i="94"/>
  <c r="Q72" i="82"/>
  <c r="Q183" i="81"/>
  <c r="O181" i="87"/>
  <c r="X155" i="88"/>
  <c r="P168" i="88"/>
  <c r="Z131" i="74"/>
  <c r="P158" i="89"/>
  <c r="X86" i="87"/>
  <c r="P146" i="88"/>
  <c r="O29" i="93"/>
  <c r="Z19" i="83"/>
  <c r="X110" i="88"/>
  <c r="P140" i="81"/>
  <c r="AB123" i="92"/>
  <c r="Z99" i="74"/>
  <c r="N93" i="84"/>
  <c r="X111" i="82"/>
  <c r="X146" i="81"/>
  <c r="Y25" i="89"/>
  <c r="X99" i="92"/>
  <c r="P66" i="88"/>
  <c r="Z174" i="89"/>
  <c r="M29" i="81"/>
  <c r="X135" i="93"/>
  <c r="AB74" i="88"/>
  <c r="AA93" i="93"/>
  <c r="AB43" i="91"/>
  <c r="O76" i="87"/>
  <c r="AB69" i="81"/>
  <c r="M35" i="74"/>
  <c r="Z117" i="85"/>
  <c r="P9" i="88"/>
  <c r="Z106" i="88"/>
  <c r="AA86" i="92"/>
  <c r="Q82" i="88"/>
  <c r="AB123" i="81"/>
  <c r="O109" i="83"/>
  <c r="AA89" i="94"/>
  <c r="Y146" i="84"/>
  <c r="AB21" i="89"/>
  <c r="Z49" i="92"/>
  <c r="AA167" i="85"/>
  <c r="L106" i="88"/>
  <c r="AA11" i="91"/>
  <c r="L107" i="85"/>
  <c r="Q160" i="83"/>
  <c r="X69" i="87"/>
  <c r="Y148" i="94"/>
  <c r="X97" i="89"/>
  <c r="L147" i="83"/>
  <c r="Y107" i="92"/>
  <c r="X106" i="87"/>
  <c r="P73" i="83"/>
  <c r="X162" i="88"/>
  <c r="Q79" i="87"/>
  <c r="Z53" i="91"/>
  <c r="P177" i="91"/>
  <c r="O141" i="93"/>
  <c r="Q108" i="85"/>
  <c r="AB90" i="83"/>
  <c r="L82" i="92"/>
  <c r="AA86" i="94"/>
  <c r="Z149" i="93"/>
  <c r="AA108" i="82"/>
  <c r="AB173" i="81"/>
  <c r="AB158" i="93"/>
  <c r="L110" i="81"/>
  <c r="Y90" i="89"/>
  <c r="N150" i="88"/>
  <c r="Q63" i="89"/>
  <c r="Q146" i="85"/>
  <c r="O83" i="94"/>
  <c r="AB177" i="93"/>
  <c r="Y108" i="89"/>
  <c r="O117" i="91"/>
  <c r="Y139" i="84"/>
  <c r="T27" i="89"/>
  <c r="M41" i="81"/>
  <c r="Z156" i="91"/>
  <c r="Y170" i="93"/>
  <c r="Q172" i="94"/>
  <c r="Z13" i="94"/>
  <c r="Z172" i="93"/>
  <c r="L164" i="94"/>
  <c r="Y165" i="83"/>
  <c r="Q134" i="93"/>
  <c r="X120" i="92"/>
  <c r="O142" i="85"/>
  <c r="P159" i="93"/>
  <c r="AA19" i="83"/>
  <c r="O15" i="88"/>
  <c r="Q171" i="87"/>
  <c r="N33" i="92"/>
  <c r="AB27" i="94"/>
  <c r="Q108" i="84"/>
  <c r="N39" i="93"/>
  <c r="AA132" i="85"/>
  <c r="AA72" i="94"/>
  <c r="P149" i="83"/>
  <c r="AB96" i="84"/>
  <c r="Z29" i="93"/>
  <c r="P70" i="82"/>
  <c r="O135" i="89"/>
  <c r="L137" i="87"/>
  <c r="Q82" i="91"/>
  <c r="Q57" i="91"/>
  <c r="L90" i="85"/>
  <c r="Z81" i="85"/>
  <c r="O148" i="91"/>
  <c r="O84" i="92"/>
  <c r="O133" i="83"/>
  <c r="Z159" i="93"/>
  <c r="X85" i="92"/>
  <c r="O183" i="88"/>
  <c r="AB123" i="93"/>
  <c r="N138" i="92"/>
  <c r="Q29" i="94"/>
  <c r="Q137" i="88"/>
  <c r="P130" i="74"/>
  <c r="Y81" i="85"/>
  <c r="Y138" i="92"/>
  <c r="X124" i="91"/>
  <c r="M61" i="92"/>
  <c r="X35" i="94"/>
  <c r="O97" i="85"/>
  <c r="O184" i="89"/>
  <c r="Z154" i="94"/>
  <c r="O185" i="85"/>
  <c r="O138" i="93"/>
  <c r="L114" i="81"/>
  <c r="O113" i="83"/>
  <c r="P134" i="82"/>
  <c r="Z133" i="88"/>
  <c r="AB127" i="84"/>
  <c r="L149" i="92"/>
  <c r="O47" i="94"/>
  <c r="X120" i="94"/>
  <c r="Y140" i="82"/>
  <c r="AA37" i="93"/>
  <c r="Q125" i="93"/>
  <c r="M35" i="93"/>
  <c r="T27" i="82"/>
  <c r="T72" i="81"/>
  <c r="AB9" i="89"/>
  <c r="AA51" i="89"/>
  <c r="Q111" i="85"/>
  <c r="AA99" i="84"/>
  <c r="X157" i="94"/>
  <c r="Y154" i="91"/>
  <c r="Y15" i="85"/>
  <c r="O179" i="89"/>
  <c r="L130" i="74"/>
  <c r="Q143" i="92"/>
  <c r="O147" i="82"/>
  <c r="AB67" i="88"/>
  <c r="L148" i="93"/>
  <c r="Y101" i="93"/>
  <c r="AA82" i="92"/>
  <c r="X74" i="87"/>
  <c r="L113" i="87"/>
  <c r="L111" i="84"/>
  <c r="P145" i="83"/>
  <c r="AB91" i="92"/>
  <c r="AA139" i="93"/>
  <c r="X169" i="89"/>
  <c r="Y74" i="92"/>
  <c r="AB122" i="85"/>
  <c r="O113" i="84"/>
  <c r="Z141" i="91"/>
  <c r="AA169" i="84"/>
  <c r="X69" i="84"/>
  <c r="P68" i="94"/>
  <c r="Y94" i="88"/>
  <c r="P9" i="93"/>
  <c r="AB132" i="84"/>
  <c r="Q73" i="91"/>
  <c r="P155" i="87"/>
  <c r="Q92" i="89"/>
  <c r="Z122" i="89"/>
  <c r="O19" i="93"/>
  <c r="AB174" i="82"/>
  <c r="P73" i="84"/>
  <c r="O105" i="81"/>
  <c r="AA124" i="85"/>
  <c r="X120" i="88"/>
  <c r="X21" i="85"/>
  <c r="L69" i="93"/>
  <c r="O77" i="93"/>
  <c r="O140" i="88"/>
  <c r="O134" i="94"/>
  <c r="Y70" i="92"/>
  <c r="O157" i="82"/>
  <c r="X99" i="93"/>
  <c r="Y139" i="82"/>
  <c r="AB29" i="89"/>
  <c r="AB113" i="92"/>
  <c r="Z154" i="93"/>
  <c r="AA101" i="94"/>
  <c r="O137" i="83"/>
  <c r="AA173" i="94"/>
  <c r="AB102" i="81"/>
  <c r="X89" i="91"/>
  <c r="P64" i="81"/>
  <c r="AB79" i="91"/>
  <c r="Z69" i="88"/>
  <c r="P109" i="83"/>
  <c r="L83" i="91"/>
  <c r="O37" i="84"/>
  <c r="X29" i="84"/>
  <c r="P138" i="85"/>
  <c r="L171" i="74"/>
  <c r="AB116" i="93"/>
  <c r="AB126" i="93"/>
  <c r="Y78" i="92"/>
  <c r="Q177" i="93"/>
  <c r="Q13" i="88"/>
  <c r="Z123" i="93"/>
  <c r="Q132" i="91"/>
  <c r="Y59" i="87"/>
  <c r="X91" i="93"/>
  <c r="O137" i="81"/>
  <c r="L74" i="88"/>
  <c r="P106" i="89"/>
  <c r="O160" i="87"/>
  <c r="Y79" i="94"/>
  <c r="O67" i="89"/>
  <c r="P119" i="92"/>
  <c r="O57" i="93"/>
  <c r="O109" i="89"/>
  <c r="P128" i="91"/>
  <c r="P13" i="94"/>
  <c r="Q33" i="87"/>
  <c r="P78" i="84"/>
  <c r="AB103" i="88"/>
  <c r="P59" i="83"/>
  <c r="X95" i="81"/>
  <c r="O103" i="93"/>
  <c r="N135" i="94"/>
  <c r="AA116" i="91"/>
  <c r="N147" i="88"/>
  <c r="Q49" i="89"/>
  <c r="Z173" i="85"/>
  <c r="AB71" i="87"/>
  <c r="X17" i="81"/>
  <c r="Q37" i="93"/>
  <c r="P166" i="92"/>
  <c r="Z110" i="94"/>
  <c r="P59" i="91"/>
  <c r="O55" i="83"/>
  <c r="Z86" i="74"/>
  <c r="Y80" i="92"/>
  <c r="L118" i="87"/>
  <c r="Q148" i="89"/>
  <c r="O121" i="94"/>
  <c r="T69" i="74"/>
  <c r="P88" i="83"/>
  <c r="X17" i="94"/>
  <c r="P153" i="82"/>
  <c r="Q84" i="91"/>
  <c r="Z122" i="82"/>
  <c r="P135" i="87"/>
  <c r="Z97" i="87"/>
  <c r="Q159" i="94"/>
  <c r="AA161" i="81"/>
  <c r="L126" i="93"/>
  <c r="P176" i="93"/>
  <c r="N120" i="85"/>
  <c r="AA138" i="89"/>
  <c r="Z126" i="94"/>
  <c r="X147" i="89"/>
  <c r="X75" i="89"/>
  <c r="L181" i="83"/>
  <c r="O163" i="93"/>
  <c r="L106" i="85"/>
  <c r="X158" i="88"/>
  <c r="Q112" i="84"/>
  <c r="Q177" i="84"/>
  <c r="O131" i="82"/>
  <c r="L112" i="84"/>
  <c r="P39" i="94"/>
  <c r="O108" i="81"/>
  <c r="Q120" i="84"/>
  <c r="O173" i="81"/>
  <c r="AA37" i="92"/>
  <c r="M47" i="87"/>
  <c r="AA170" i="85"/>
  <c r="AB23" i="83"/>
  <c r="AB121" i="88"/>
  <c r="Z141" i="94"/>
  <c r="P94" i="87"/>
  <c r="AA76" i="88"/>
  <c r="L126" i="88"/>
  <c r="AA169" i="93"/>
  <c r="T57" i="81"/>
  <c r="Q121" i="74"/>
  <c r="Y73" i="88"/>
  <c r="AA79" i="94"/>
  <c r="AA76" i="91"/>
  <c r="Y43" i="93"/>
  <c r="N66" i="93"/>
  <c r="O163" i="85"/>
  <c r="Z114" i="94"/>
  <c r="M33" i="92"/>
  <c r="Z96" i="94"/>
  <c r="AB129" i="92"/>
  <c r="O104" i="84"/>
  <c r="P83" i="92"/>
  <c r="X131" i="94"/>
  <c r="Y112" i="91"/>
  <c r="Z31" i="88"/>
  <c r="AB144" i="89"/>
  <c r="X154" i="94"/>
  <c r="P157" i="84"/>
  <c r="Y152" i="82"/>
  <c r="O126" i="89"/>
  <c r="AB112" i="93"/>
  <c r="O161" i="81"/>
  <c r="O55" i="91"/>
  <c r="Z152" i="89"/>
  <c r="Y126" i="93"/>
  <c r="AA157" i="88"/>
  <c r="AA144" i="88"/>
  <c r="Q79" i="94"/>
  <c r="AB25" i="93"/>
  <c r="Z169" i="81"/>
  <c r="Z137" i="92"/>
  <c r="Y170" i="85"/>
  <c r="Q21" i="74"/>
  <c r="X168" i="93"/>
  <c r="X143" i="82"/>
  <c r="P159" i="82"/>
  <c r="X74" i="94"/>
  <c r="AB81" i="93"/>
  <c r="X23" i="87"/>
  <c r="Z89" i="81"/>
  <c r="AA136" i="92"/>
  <c r="L72" i="87"/>
  <c r="AB157" i="92"/>
  <c r="AA118" i="94"/>
  <c r="Y163" i="88"/>
  <c r="P96" i="89"/>
  <c r="Y71" i="88"/>
  <c r="N144" i="91"/>
  <c r="Z92" i="88"/>
  <c r="M49" i="74"/>
  <c r="X113" i="88"/>
  <c r="AA97" i="89"/>
  <c r="Y159" i="92"/>
  <c r="L127" i="93"/>
  <c r="P57" i="85"/>
  <c r="Q124" i="92"/>
  <c r="O101" i="88"/>
  <c r="X81" i="92"/>
  <c r="X74" i="93"/>
  <c r="AB171" i="92"/>
  <c r="Y76" i="89"/>
  <c r="O94" i="82"/>
  <c r="P121" i="81"/>
  <c r="AA37" i="81"/>
  <c r="Y103" i="84"/>
  <c r="Y45" i="93"/>
  <c r="Y75" i="88"/>
  <c r="Z119" i="89"/>
  <c r="Q158" i="87"/>
  <c r="Y108" i="84"/>
  <c r="AA166" i="81"/>
  <c r="P108" i="74"/>
  <c r="N171" i="91"/>
  <c r="O174" i="94"/>
  <c r="X172" i="94"/>
  <c r="L68" i="74"/>
  <c r="T138" i="81"/>
  <c r="X17" i="85"/>
  <c r="Z64" i="88"/>
  <c r="P95" i="94"/>
  <c r="L156" i="92"/>
  <c r="P122" i="82"/>
  <c r="O127" i="91"/>
  <c r="AA21" i="87"/>
  <c r="X69" i="94"/>
  <c r="T114" i="91"/>
  <c r="P70" i="85"/>
  <c r="X169" i="92"/>
  <c r="Z158" i="92"/>
  <c r="Y93" i="93"/>
  <c r="X153" i="94"/>
  <c r="Z29" i="74"/>
  <c r="Z71" i="81"/>
  <c r="X89" i="94"/>
  <c r="N72" i="93"/>
  <c r="AA87" i="88"/>
  <c r="L135" i="85"/>
  <c r="Y45" i="83"/>
  <c r="Z55" i="81"/>
  <c r="Z61" i="84"/>
  <c r="P120" i="89"/>
  <c r="P84" i="81"/>
  <c r="L158" i="81"/>
  <c r="L134" i="87"/>
  <c r="AB102" i="92"/>
  <c r="Y70" i="84"/>
  <c r="L129" i="88"/>
  <c r="AB106" i="87"/>
  <c r="T87" i="87"/>
  <c r="Y177" i="81"/>
  <c r="AB156" i="94"/>
  <c r="Q182" i="92"/>
  <c r="M35" i="89"/>
  <c r="Z47" i="94"/>
  <c r="N33" i="84"/>
  <c r="Q53" i="92"/>
  <c r="AB135" i="85"/>
  <c r="Y29" i="94"/>
  <c r="Q86" i="81"/>
  <c r="Y135" i="93"/>
  <c r="Q33" i="89"/>
  <c r="AB121" i="85"/>
  <c r="X23" i="81"/>
  <c r="AA106" i="85"/>
  <c r="AA162" i="83"/>
  <c r="Y112" i="92"/>
  <c r="M19" i="81"/>
  <c r="X159" i="74"/>
  <c r="X126" i="88"/>
  <c r="O117" i="92"/>
  <c r="AA180" i="92"/>
  <c r="Z68" i="74"/>
  <c r="N184" i="83"/>
  <c r="AA175" i="85"/>
  <c r="M15" i="89"/>
  <c r="P165" i="91"/>
  <c r="X149" i="85"/>
  <c r="Y96" i="94"/>
  <c r="Z47" i="89"/>
  <c r="L70" i="91"/>
  <c r="O105" i="88"/>
  <c r="N153" i="91"/>
  <c r="X162" i="89"/>
  <c r="P21" i="83"/>
  <c r="Q104" i="89"/>
  <c r="P114" i="93"/>
  <c r="X83" i="89"/>
  <c r="AA168" i="81"/>
  <c r="O162" i="74"/>
  <c r="AB123" i="88"/>
  <c r="O144" i="88"/>
  <c r="Z140" i="92"/>
  <c r="Y57" i="92"/>
  <c r="Y11" i="84"/>
  <c r="Y29" i="91"/>
  <c r="X101" i="81"/>
  <c r="O115" i="84"/>
  <c r="P116" i="89"/>
  <c r="Y25" i="91"/>
  <c r="Y129" i="89"/>
  <c r="Y27" i="88"/>
  <c r="L109" i="88"/>
  <c r="O117" i="82"/>
  <c r="AB23" i="84"/>
  <c r="N153" i="83"/>
  <c r="T9" i="85"/>
  <c r="Z161" i="83"/>
  <c r="Y150" i="74"/>
  <c r="Z21" i="94"/>
  <c r="AB51" i="93"/>
  <c r="M53" i="74"/>
  <c r="O17" i="81"/>
  <c r="Y166" i="81"/>
  <c r="Q101" i="84"/>
  <c r="AA39" i="91"/>
  <c r="O74" i="85"/>
  <c r="AB115" i="94"/>
  <c r="Y78" i="83"/>
  <c r="P111" i="93"/>
  <c r="Q91" i="94"/>
  <c r="O80" i="91"/>
  <c r="Y137" i="87"/>
  <c r="Q112" i="88"/>
  <c r="AA19" i="93"/>
  <c r="AA166" i="84"/>
  <c r="Z161" i="94"/>
  <c r="Q137" i="83"/>
  <c r="AA156" i="92"/>
  <c r="O118" i="85"/>
  <c r="AB104" i="85"/>
  <c r="L181" i="92"/>
  <c r="Q110" i="84"/>
  <c r="L78" i="84"/>
  <c r="AA84" i="83"/>
  <c r="Z49" i="84"/>
  <c r="O182" i="93"/>
  <c r="L150" i="91"/>
  <c r="AB149" i="94"/>
  <c r="L130" i="87"/>
  <c r="AA165" i="82"/>
  <c r="Q156" i="84"/>
  <c r="X107" i="83"/>
  <c r="Y164" i="88"/>
  <c r="AB83" i="89"/>
  <c r="AA175" i="93"/>
  <c r="O75" i="84"/>
  <c r="Z172" i="94"/>
  <c r="AA66" i="94"/>
  <c r="L160" i="81"/>
  <c r="Y85" i="82"/>
  <c r="X57" i="93"/>
  <c r="AA125" i="94"/>
  <c r="X70" i="74"/>
  <c r="Z150" i="92"/>
  <c r="Z163" i="89"/>
  <c r="Q59" i="94"/>
  <c r="Q25" i="83"/>
  <c r="AB152" i="85"/>
  <c r="O76" i="82"/>
  <c r="X15" i="92"/>
  <c r="Q185" i="85"/>
  <c r="Y89" i="81"/>
  <c r="Z122" i="92"/>
  <c r="L167" i="89"/>
  <c r="P117" i="74"/>
  <c r="Z64" i="94"/>
  <c r="Z125" i="83"/>
  <c r="Q71" i="88"/>
  <c r="P31" i="84"/>
  <c r="AB101" i="87"/>
  <c r="Y90" i="93"/>
  <c r="AA101" i="84"/>
  <c r="N147" i="92"/>
  <c r="Q92" i="88"/>
  <c r="Z107" i="93"/>
  <c r="Y37" i="94"/>
  <c r="O88" i="89"/>
  <c r="AB100" i="91"/>
  <c r="AA151" i="83"/>
  <c r="Q146" i="88"/>
  <c r="L122" i="93"/>
  <c r="X92" i="74"/>
  <c r="X180" i="91"/>
  <c r="L170" i="82"/>
  <c r="Y80" i="93"/>
  <c r="Q101" i="94"/>
  <c r="Y31" i="74"/>
  <c r="AA33" i="87"/>
  <c r="P64" i="74"/>
  <c r="M47" i="94"/>
  <c r="AB37" i="93"/>
  <c r="Z174" i="85"/>
  <c r="X142" i="91"/>
  <c r="L139" i="83"/>
  <c r="L93" i="84"/>
  <c r="T156" i="82"/>
  <c r="AB89" i="87"/>
  <c r="AA159" i="89"/>
  <c r="N138" i="91"/>
  <c r="AA172" i="88"/>
  <c r="P160" i="81"/>
  <c r="P95" i="84"/>
  <c r="P180" i="93"/>
  <c r="P71" i="93"/>
  <c r="X67" i="87"/>
  <c r="Z19" i="93"/>
  <c r="T135" i="82"/>
  <c r="O140" i="87"/>
  <c r="AB11" i="88"/>
  <c r="X153" i="89"/>
  <c r="O43" i="74"/>
  <c r="O168" i="91"/>
  <c r="O178" i="89"/>
  <c r="Q29" i="87"/>
  <c r="L114" i="92"/>
  <c r="L143" i="88"/>
  <c r="T156" i="84"/>
  <c r="X84" i="93"/>
  <c r="N84" i="89"/>
  <c r="N93" i="87"/>
  <c r="Q143" i="84"/>
  <c r="AB148" i="91"/>
  <c r="Z72" i="87"/>
  <c r="N150" i="74"/>
  <c r="AA134" i="85"/>
  <c r="Y84" i="85"/>
  <c r="Y83" i="91"/>
  <c r="O109" i="74"/>
  <c r="AA11" i="92"/>
  <c r="Y101" i="88"/>
  <c r="L109" i="82"/>
  <c r="Q162" i="74"/>
  <c r="P172" i="81"/>
  <c r="P157" i="82"/>
  <c r="Z166" i="93"/>
  <c r="N105" i="85"/>
  <c r="P146" i="84"/>
  <c r="P146" i="89"/>
  <c r="O70" i="85"/>
  <c r="AA120" i="94"/>
  <c r="P183" i="89"/>
  <c r="AB90" i="93"/>
  <c r="AA140" i="92"/>
  <c r="AA132" i="81"/>
  <c r="Y108" i="91"/>
  <c r="P139" i="81"/>
  <c r="P23" i="87"/>
  <c r="P177" i="89"/>
  <c r="Q55" i="88"/>
  <c r="X85" i="82"/>
  <c r="M31" i="91"/>
  <c r="Q59" i="88"/>
  <c r="X29" i="81"/>
  <c r="P105" i="81"/>
  <c r="Y55" i="94"/>
  <c r="Q146" i="94"/>
  <c r="P65" i="88"/>
  <c r="Q132" i="84"/>
  <c r="T57" i="91"/>
  <c r="AA35" i="81"/>
  <c r="AA77" i="84"/>
  <c r="Q133" i="85"/>
  <c r="Y174" i="87"/>
  <c r="P88" i="85"/>
  <c r="AA141" i="74"/>
  <c r="Z111" i="92"/>
  <c r="X78" i="94"/>
  <c r="Q91" i="84"/>
  <c r="Q113" i="88"/>
  <c r="X137" i="87"/>
  <c r="P137" i="94"/>
  <c r="P176" i="89"/>
  <c r="Q140" i="81"/>
  <c r="O151" i="88"/>
  <c r="T159" i="81"/>
  <c r="Y109" i="92"/>
  <c r="AA95" i="83"/>
  <c r="M25" i="85"/>
  <c r="Z171" i="85"/>
  <c r="Q80" i="88"/>
  <c r="M47" i="88"/>
  <c r="Y151" i="88"/>
  <c r="P53" i="85"/>
  <c r="AA168" i="74"/>
  <c r="P177" i="93"/>
  <c r="L131" i="93"/>
  <c r="L154" i="91"/>
  <c r="O150" i="88"/>
  <c r="O150" i="83"/>
  <c r="AA35" i="88"/>
  <c r="P118" i="82"/>
  <c r="Q125" i="89"/>
  <c r="L93" i="87"/>
  <c r="Y149" i="88"/>
  <c r="AA101" i="87"/>
  <c r="N162" i="88"/>
  <c r="AB95" i="83"/>
  <c r="P103" i="83"/>
  <c r="L108" i="74"/>
  <c r="O169" i="85"/>
  <c r="AA107" i="84"/>
  <c r="X177" i="88"/>
  <c r="L153" i="93"/>
  <c r="X97" i="87"/>
  <c r="Y87" i="83"/>
  <c r="Q116" i="87"/>
  <c r="Y133" i="94"/>
  <c r="Z94" i="93"/>
  <c r="P25" i="94"/>
  <c r="O146" i="85"/>
  <c r="AB84" i="92"/>
  <c r="AA43" i="89"/>
  <c r="Y171" i="83"/>
  <c r="Y53" i="91"/>
  <c r="O181" i="88"/>
  <c r="AB138" i="81"/>
  <c r="AA17" i="88"/>
  <c r="Y143" i="84"/>
  <c r="O89" i="88"/>
  <c r="AA94" i="87"/>
  <c r="O131" i="85"/>
  <c r="Z106" i="83"/>
  <c r="P86" i="88"/>
  <c r="O51" i="92"/>
  <c r="P75" i="93"/>
  <c r="AA96" i="85"/>
  <c r="O107" i="93"/>
  <c r="AA64" i="93"/>
  <c r="Z114" i="88"/>
  <c r="Y154" i="81"/>
  <c r="L169" i="93"/>
  <c r="Y125" i="81"/>
  <c r="Q167" i="87"/>
  <c r="T147" i="85"/>
  <c r="M41" i="82"/>
  <c r="X43" i="87"/>
  <c r="Z115" i="92"/>
  <c r="L132" i="87"/>
  <c r="Z103" i="88"/>
  <c r="AB120" i="81"/>
  <c r="M9" i="83"/>
  <c r="AB39" i="91"/>
  <c r="AB166" i="93"/>
  <c r="AB130" i="87"/>
  <c r="N162" i="87"/>
  <c r="P68" i="74"/>
  <c r="AB116" i="82"/>
  <c r="O169" i="93"/>
  <c r="X29" i="89"/>
  <c r="AB110" i="89"/>
  <c r="N159" i="82"/>
  <c r="O151" i="74"/>
  <c r="AA33" i="82"/>
  <c r="O25" i="92"/>
  <c r="Y49" i="82"/>
  <c r="Y47" i="74"/>
  <c r="P132" i="94"/>
  <c r="Q77" i="81"/>
  <c r="O132" i="89"/>
  <c r="Z151" i="94"/>
  <c r="L171" i="83"/>
  <c r="Q146" i="93"/>
  <c r="O130" i="82"/>
  <c r="L83" i="81"/>
  <c r="L132" i="82"/>
  <c r="Y122" i="84"/>
  <c r="P163" i="92"/>
  <c r="Y130" i="83"/>
  <c r="Y174" i="85"/>
  <c r="X83" i="88"/>
  <c r="Y23" i="92"/>
  <c r="AB78" i="87"/>
  <c r="P17" i="85"/>
  <c r="Z13" i="82"/>
  <c r="T126" i="89"/>
  <c r="Y135" i="92"/>
  <c r="Z61" i="89"/>
  <c r="Z51" i="81"/>
  <c r="Y175" i="74"/>
  <c r="AB63" i="94"/>
  <c r="T96" i="87"/>
  <c r="Z69" i="85"/>
  <c r="O175" i="84"/>
  <c r="O146" i="93"/>
  <c r="N93" i="85"/>
  <c r="M55" i="88"/>
  <c r="P85" i="89"/>
  <c r="P68" i="89"/>
  <c r="AA153" i="88"/>
  <c r="O154" i="94"/>
  <c r="O102" i="89"/>
  <c r="Y11" i="92"/>
  <c r="L113" i="94"/>
  <c r="P29" i="92"/>
  <c r="Z74" i="81"/>
  <c r="Y100" i="91"/>
  <c r="AA66" i="92"/>
  <c r="Q169" i="93"/>
  <c r="Q179" i="82"/>
  <c r="AB84" i="94"/>
  <c r="AA67" i="74"/>
  <c r="AB154" i="93"/>
  <c r="P21" i="82"/>
  <c r="Z165" i="81"/>
  <c r="AA165" i="81"/>
  <c r="Q120" i="88"/>
  <c r="L136" i="91"/>
  <c r="Z66" i="91"/>
  <c r="X119" i="85"/>
  <c r="Z147" i="81"/>
  <c r="P97" i="93"/>
  <c r="Z93" i="87"/>
  <c r="Q81" i="89"/>
  <c r="Y124" i="93"/>
  <c r="X124" i="87"/>
  <c r="N111" i="85"/>
  <c r="O135" i="83"/>
  <c r="Z49" i="89"/>
  <c r="Z143" i="85"/>
  <c r="L107" i="92"/>
  <c r="Y110" i="74"/>
  <c r="O140" i="84"/>
  <c r="X148" i="84"/>
  <c r="Z59" i="89"/>
  <c r="AB122" i="94"/>
  <c r="Z76" i="93"/>
  <c r="M39" i="87"/>
  <c r="O89" i="87"/>
  <c r="AA144" i="94"/>
  <c r="O160" i="81"/>
  <c r="N120" i="74"/>
  <c r="P37" i="81"/>
  <c r="AB61" i="85"/>
  <c r="P101" i="89"/>
  <c r="P112" i="82"/>
  <c r="AB144" i="94"/>
  <c r="Q149" i="93"/>
  <c r="Q98" i="93"/>
  <c r="Y41" i="83"/>
  <c r="Q93" i="88"/>
  <c r="AB149" i="92"/>
  <c r="M21" i="83"/>
  <c r="Y70" i="82"/>
  <c r="AA126" i="87"/>
  <c r="L126" i="85"/>
  <c r="L157" i="87"/>
  <c r="Y92" i="84"/>
  <c r="Y9" i="94"/>
  <c r="O184" i="83"/>
  <c r="AB41" i="93"/>
  <c r="AA136" i="93"/>
  <c r="P70" i="92"/>
  <c r="Y173" i="88"/>
  <c r="AA133" i="91"/>
  <c r="AB140" i="89"/>
  <c r="Y81" i="81"/>
  <c r="Y86" i="91"/>
  <c r="Z35" i="94"/>
  <c r="T171" i="87"/>
  <c r="X158" i="85"/>
  <c r="Q47" i="85"/>
  <c r="O17" i="89"/>
  <c r="Y136" i="84"/>
  <c r="Q121" i="82"/>
  <c r="M25" i="82"/>
  <c r="Q102" i="88"/>
  <c r="O139" i="93"/>
  <c r="O151" i="91"/>
  <c r="L81" i="94"/>
  <c r="L117" i="82"/>
  <c r="Q11" i="84"/>
  <c r="T84" i="89"/>
  <c r="Z173" i="83"/>
  <c r="O68" i="82"/>
  <c r="AB156" i="82"/>
  <c r="AA63" i="91"/>
  <c r="L70" i="84"/>
  <c r="Y169" i="74"/>
  <c r="Y161" i="93"/>
  <c r="L165" i="89"/>
  <c r="L146" i="85"/>
  <c r="T168" i="85"/>
  <c r="Z174" i="84"/>
  <c r="Y130" i="94"/>
  <c r="AB21" i="87"/>
  <c r="X53" i="87"/>
  <c r="Y108" i="87"/>
  <c r="AA147" i="91"/>
  <c r="X121" i="85"/>
  <c r="Z141" i="92"/>
  <c r="X95" i="87"/>
  <c r="P157" i="93"/>
  <c r="P129" i="88"/>
  <c r="Q98" i="92"/>
  <c r="Z39" i="81"/>
  <c r="Q139" i="92"/>
  <c r="P11" i="87"/>
  <c r="Q9" i="88"/>
  <c r="AA174" i="74"/>
  <c r="T105" i="74"/>
  <c r="P114" i="83"/>
  <c r="O74" i="82"/>
  <c r="Y121" i="85"/>
  <c r="M43" i="74"/>
  <c r="Q49" i="91"/>
  <c r="N87" i="92"/>
  <c r="Z108" i="89"/>
  <c r="AB84" i="89"/>
  <c r="X156" i="92"/>
  <c r="Q99" i="83"/>
  <c r="P185" i="91"/>
  <c r="L93" i="92"/>
  <c r="Z101" i="89"/>
  <c r="Y153" i="92"/>
  <c r="AB149" i="93"/>
  <c r="AB98" i="84"/>
  <c r="P102" i="94"/>
  <c r="AB97" i="88"/>
  <c r="L74" i="84"/>
  <c r="AA134" i="81"/>
  <c r="AA133" i="92"/>
  <c r="P93" i="84"/>
  <c r="O162" i="83"/>
  <c r="Z49" i="87"/>
  <c r="AB130" i="94"/>
  <c r="L142" i="81"/>
  <c r="Q11" i="81"/>
  <c r="Q72" i="92"/>
  <c r="O162" i="94"/>
  <c r="L136" i="94"/>
  <c r="Y160" i="92"/>
  <c r="Y124" i="88"/>
  <c r="Z172" i="82"/>
  <c r="O61" i="91"/>
  <c r="AA103" i="74"/>
  <c r="P147" i="83"/>
  <c r="X45" i="91"/>
  <c r="Y67" i="92"/>
  <c r="AA25" i="91"/>
  <c r="AB109" i="93"/>
  <c r="N168" i="88"/>
  <c r="AB47" i="81"/>
  <c r="X123" i="93"/>
  <c r="Y157" i="85"/>
  <c r="O132" i="92"/>
  <c r="X25" i="94"/>
  <c r="O96" i="94"/>
  <c r="Z75" i="82"/>
  <c r="AA90" i="85"/>
  <c r="Z114" i="89"/>
  <c r="Y180" i="87"/>
  <c r="AA136" i="84"/>
  <c r="L159" i="91"/>
  <c r="AA59" i="94"/>
  <c r="AA137" i="94"/>
  <c r="X164" i="81"/>
  <c r="P169" i="87"/>
  <c r="Q9" i="81"/>
  <c r="O162" i="92"/>
  <c r="AA92" i="94"/>
  <c r="Z71" i="88"/>
  <c r="AA33" i="88"/>
  <c r="Q66" i="92"/>
  <c r="Y141" i="92"/>
  <c r="Y157" i="91"/>
  <c r="Z151" i="92"/>
  <c r="Z27" i="81"/>
  <c r="T120" i="92"/>
  <c r="Z142" i="93"/>
  <c r="T168" i="74"/>
  <c r="AA128" i="84"/>
  <c r="L139" i="85"/>
  <c r="AA69" i="94"/>
  <c r="AA72" i="91"/>
  <c r="AA92" i="85"/>
  <c r="Y169" i="82"/>
  <c r="Y142" i="82"/>
  <c r="X148" i="94"/>
  <c r="P182" i="82"/>
  <c r="L141" i="91"/>
  <c r="AA128" i="88"/>
  <c r="AB108" i="84"/>
  <c r="Z84" i="91"/>
  <c r="L151" i="91"/>
  <c r="X111" i="92"/>
  <c r="N93" i="89"/>
  <c r="L172" i="74"/>
  <c r="AB118" i="93"/>
  <c r="AA55" i="83"/>
  <c r="Z81" i="93"/>
  <c r="X156" i="88"/>
  <c r="T117" i="94"/>
  <c r="AA90" i="92"/>
  <c r="Y140" i="94"/>
  <c r="O162" i="85"/>
  <c r="L158" i="82"/>
  <c r="P136" i="92"/>
  <c r="Q91" i="89"/>
  <c r="X74" i="74"/>
  <c r="L109" i="91"/>
  <c r="Z55" i="87"/>
  <c r="T111" i="93"/>
  <c r="AB84" i="82"/>
  <c r="P155" i="74"/>
  <c r="X15" i="93"/>
  <c r="X91" i="89"/>
  <c r="L67" i="82"/>
  <c r="L139" i="74"/>
  <c r="O137" i="88"/>
  <c r="Z104" i="93"/>
  <c r="P166" i="93"/>
  <c r="P139" i="84"/>
  <c r="P170" i="87"/>
  <c r="X66" i="88"/>
  <c r="O112" i="94"/>
  <c r="P152" i="89"/>
  <c r="Q174" i="74"/>
  <c r="O115" i="85"/>
  <c r="Z165" i="89"/>
  <c r="O158" i="85"/>
  <c r="AB57" i="92"/>
  <c r="Y49" i="84"/>
  <c r="AB64" i="84"/>
  <c r="Z172" i="87"/>
  <c r="L174" i="82"/>
  <c r="N21" i="87"/>
  <c r="Y63" i="82"/>
  <c r="N120" i="83"/>
  <c r="Y168" i="93"/>
  <c r="O63" i="74"/>
  <c r="P109" i="87"/>
  <c r="T84" i="84"/>
  <c r="X64" i="91"/>
  <c r="L74" i="87"/>
  <c r="N84" i="82"/>
  <c r="AA55" i="74"/>
  <c r="AB149" i="85"/>
  <c r="M41" i="93"/>
  <c r="Q102" i="93"/>
  <c r="AB135" i="93"/>
  <c r="Y75" i="93"/>
  <c r="Z93" i="89"/>
  <c r="X128" i="93"/>
  <c r="O122" i="94"/>
  <c r="Q61" i="93"/>
  <c r="O63" i="85"/>
  <c r="L99" i="93"/>
  <c r="Y111" i="94"/>
  <c r="AB69" i="88"/>
  <c r="P76" i="83"/>
  <c r="Z100" i="83"/>
  <c r="AB101" i="89"/>
  <c r="X116" i="81"/>
  <c r="Z101" i="84"/>
  <c r="P173" i="92"/>
  <c r="O76" i="74"/>
  <c r="Z137" i="89"/>
  <c r="M61" i="94"/>
  <c r="P159" i="81"/>
  <c r="M29" i="93"/>
  <c r="O111" i="85"/>
  <c r="P110" i="85"/>
  <c r="Q116" i="91"/>
  <c r="Q121" i="85"/>
  <c r="M29" i="85"/>
  <c r="X109" i="94"/>
  <c r="AB138" i="89"/>
  <c r="O137" i="93"/>
  <c r="M11" i="89"/>
  <c r="X141" i="81"/>
  <c r="O29" i="91"/>
  <c r="P88" i="94"/>
  <c r="Q33" i="91"/>
  <c r="Z103" i="91"/>
  <c r="Y86" i="81"/>
  <c r="Q81" i="74"/>
  <c r="AA165" i="92"/>
  <c r="O157" i="87"/>
  <c r="AB155" i="87"/>
  <c r="P96" i="84"/>
  <c r="AA89" i="82"/>
  <c r="X47" i="82"/>
  <c r="X171" i="91"/>
  <c r="Y77" i="82"/>
  <c r="O64" i="94"/>
  <c r="AA11" i="85"/>
  <c r="P140" i="91"/>
  <c r="P183" i="82"/>
  <c r="N99" i="87"/>
  <c r="Q104" i="93"/>
  <c r="AB131" i="94"/>
  <c r="Q83" i="92"/>
  <c r="O79" i="94"/>
  <c r="Y91" i="83"/>
  <c r="L141" i="89"/>
  <c r="AB130" i="89"/>
  <c r="Z150" i="89"/>
  <c r="L108" i="87"/>
  <c r="Y123" i="83"/>
  <c r="N105" i="87"/>
  <c r="N69" i="93"/>
  <c r="L164" i="91"/>
  <c r="L81" i="87"/>
  <c r="Q43" i="84"/>
  <c r="Q165" i="84"/>
  <c r="X69" i="74"/>
  <c r="Z121" i="92"/>
  <c r="L139" i="87"/>
  <c r="Z64" i="92"/>
  <c r="P31" i="83"/>
  <c r="L97" i="88"/>
  <c r="L72" i="94"/>
  <c r="N114" i="84"/>
  <c r="L183" i="83"/>
  <c r="Z43" i="87"/>
  <c r="AB180" i="84"/>
  <c r="M57" i="92"/>
  <c r="AA162" i="94"/>
  <c r="N96" i="91"/>
  <c r="Z90" i="84"/>
  <c r="O79" i="85"/>
  <c r="X171" i="94"/>
  <c r="Z99" i="81"/>
  <c r="AB69" i="91"/>
  <c r="Y137" i="85"/>
  <c r="Z80" i="83"/>
  <c r="AA66" i="89"/>
  <c r="AB140" i="93"/>
  <c r="P179" i="92"/>
  <c r="AB88" i="89"/>
  <c r="O49" i="85"/>
  <c r="Q39" i="84"/>
  <c r="X169" i="84"/>
  <c r="P25" i="87"/>
  <c r="M17" i="74"/>
  <c r="T108" i="82"/>
  <c r="Q160" i="84"/>
  <c r="Z167" i="94"/>
  <c r="O118" i="89"/>
  <c r="Y89" i="94"/>
  <c r="AB106" i="91"/>
  <c r="AA145" i="85"/>
  <c r="O179" i="92"/>
  <c r="Q151" i="88"/>
  <c r="N138" i="83"/>
  <c r="X144" i="84"/>
  <c r="AA126" i="94"/>
  <c r="X121" i="87"/>
  <c r="O179" i="85"/>
  <c r="L159" i="92"/>
  <c r="L174" i="94"/>
  <c r="AB29" i="92"/>
  <c r="Q183" i="84"/>
  <c r="Q91" i="93"/>
  <c r="Q43" i="81"/>
  <c r="N180" i="94"/>
  <c r="O97" i="94"/>
  <c r="Z74" i="93"/>
  <c r="P88" i="88"/>
  <c r="T105" i="87"/>
  <c r="P177" i="74"/>
  <c r="Q124" i="93"/>
  <c r="AB17" i="91"/>
  <c r="Z160" i="85"/>
  <c r="X174" i="91"/>
  <c r="O76" i="92"/>
  <c r="O162" i="82"/>
  <c r="T129" i="87"/>
  <c r="Q152" i="93"/>
  <c r="Y92" i="94"/>
  <c r="N21" i="82"/>
  <c r="AB166" i="94"/>
  <c r="Q39" i="89"/>
  <c r="Z163" i="88"/>
  <c r="X13" i="84"/>
  <c r="Q99" i="89"/>
  <c r="AA157" i="87"/>
  <c r="Z57" i="81"/>
  <c r="AB180" i="85"/>
  <c r="Z180" i="91"/>
  <c r="P107" i="93"/>
  <c r="L168" i="82"/>
  <c r="L153" i="94"/>
  <c r="Z63" i="74"/>
  <c r="AA173" i="82"/>
  <c r="P93" i="85"/>
  <c r="AA115" i="94"/>
  <c r="P172" i="92"/>
  <c r="P177" i="92"/>
  <c r="L175" i="82"/>
  <c r="O81" i="84"/>
  <c r="P152" i="83"/>
  <c r="AB161" i="88"/>
  <c r="Z101" i="81"/>
  <c r="X168" i="92"/>
  <c r="AA74" i="93"/>
  <c r="Y155" i="93"/>
  <c r="Y65" i="91"/>
  <c r="AB106" i="81"/>
  <c r="Y149" i="87"/>
  <c r="Q155" i="85"/>
  <c r="AA139" i="92"/>
  <c r="O112" i="91"/>
  <c r="X126" i="92"/>
  <c r="Y76" i="91"/>
  <c r="N135" i="88"/>
  <c r="AA145" i="88"/>
  <c r="P88" i="92"/>
  <c r="Z96" i="81"/>
  <c r="Q110" i="93"/>
  <c r="Z83" i="89"/>
  <c r="Z138" i="81"/>
  <c r="O88" i="92"/>
  <c r="X74" i="91"/>
  <c r="Z79" i="94"/>
  <c r="X114" i="92"/>
  <c r="AB89" i="91"/>
  <c r="Z126" i="85"/>
  <c r="AB98" i="94"/>
  <c r="Z157" i="74"/>
  <c r="X69" i="83"/>
  <c r="Y90" i="94"/>
  <c r="N102" i="83"/>
  <c r="P118" i="87"/>
  <c r="AA94" i="89"/>
  <c r="N117" i="93"/>
  <c r="X69" i="88"/>
  <c r="O17" i="82"/>
  <c r="Y122" i="94"/>
  <c r="AB68" i="82"/>
  <c r="AA132" i="89"/>
  <c r="M47" i="82"/>
  <c r="AB125" i="82"/>
  <c r="O78" i="82"/>
  <c r="Q161" i="88"/>
  <c r="O23" i="94"/>
  <c r="AB23" i="94"/>
  <c r="L101" i="91"/>
  <c r="L118" i="85"/>
  <c r="O88" i="74"/>
  <c r="P35" i="84"/>
  <c r="Z53" i="84"/>
  <c r="Y169" i="85"/>
  <c r="AB170" i="91"/>
  <c r="O49" i="91"/>
  <c r="Y9" i="83"/>
  <c r="P129" i="82"/>
  <c r="P69" i="94"/>
  <c r="X132" i="84"/>
  <c r="N21" i="84"/>
  <c r="Y140" i="88"/>
  <c r="Q57" i="83"/>
  <c r="X131" i="82"/>
  <c r="L70" i="93"/>
  <c r="Y47" i="92"/>
  <c r="P93" i="87"/>
  <c r="M49" i="89"/>
  <c r="AB69" i="93"/>
  <c r="N177" i="74"/>
  <c r="Z73" i="74"/>
  <c r="M49" i="92"/>
  <c r="P61" i="88"/>
  <c r="P180" i="81"/>
  <c r="AA151" i="82"/>
  <c r="AB51" i="82"/>
  <c r="Q171" i="74"/>
  <c r="Y99" i="85"/>
  <c r="Q87" i="81"/>
  <c r="AB51" i="81"/>
  <c r="AA87" i="82"/>
  <c r="AB104" i="87"/>
  <c r="L70" i="87"/>
  <c r="AB77" i="92"/>
  <c r="O66" i="92"/>
  <c r="AA145" i="84"/>
  <c r="L178" i="89"/>
  <c r="AB61" i="92"/>
  <c r="T63" i="89"/>
  <c r="AB65" i="82"/>
  <c r="AA140" i="94"/>
  <c r="L66" i="81"/>
  <c r="Z51" i="93"/>
  <c r="AA171" i="93"/>
  <c r="X102" i="83"/>
  <c r="P147" i="81"/>
  <c r="X168" i="85"/>
  <c r="Y113" i="93"/>
  <c r="Z53" i="94"/>
  <c r="AA127" i="82"/>
  <c r="Y116" i="87"/>
  <c r="L123" i="91"/>
  <c r="Z154" i="85"/>
  <c r="Y96" i="93"/>
  <c r="AA129" i="94"/>
  <c r="Y166" i="91"/>
  <c r="AA86" i="91"/>
  <c r="Y136" i="81"/>
  <c r="X65" i="91"/>
  <c r="AA103" i="83"/>
  <c r="M23" i="81"/>
  <c r="AB137" i="87"/>
  <c r="Y76" i="74"/>
  <c r="L132" i="91"/>
  <c r="Y107" i="84"/>
  <c r="P21" i="94"/>
  <c r="AA167" i="93"/>
  <c r="Z97" i="93"/>
  <c r="Z112" i="91"/>
  <c r="O31" i="91"/>
  <c r="Z64" i="87"/>
  <c r="Q180" i="83"/>
  <c r="Y68" i="81"/>
  <c r="AA121" i="87"/>
  <c r="Z106" i="82"/>
  <c r="Q160" i="94"/>
  <c r="T165" i="85"/>
  <c r="N96" i="82"/>
  <c r="Q149" i="87"/>
  <c r="L90" i="88"/>
  <c r="X69" i="89"/>
  <c r="L98" i="74"/>
  <c r="X113" i="81"/>
  <c r="AA111" i="88"/>
  <c r="O150" i="94"/>
  <c r="P39" i="81"/>
  <c r="P148" i="81"/>
  <c r="P27" i="74"/>
  <c r="X93" i="91"/>
  <c r="Q21" i="89"/>
  <c r="X131" i="89"/>
  <c r="AA82" i="89"/>
  <c r="X144" i="87"/>
  <c r="L65" i="92"/>
  <c r="O121" i="85"/>
  <c r="AB80" i="93"/>
  <c r="Z70" i="92"/>
  <c r="AB63" i="89"/>
  <c r="Z80" i="92"/>
  <c r="N84" i="74"/>
  <c r="Y116" i="92"/>
  <c r="AB15" i="84"/>
  <c r="X67" i="89"/>
  <c r="P139" i="89"/>
  <c r="L115" i="94"/>
  <c r="Q155" i="87"/>
  <c r="O21" i="92"/>
  <c r="AB31" i="82"/>
  <c r="X113" i="91"/>
  <c r="P79" i="74"/>
  <c r="AB55" i="81"/>
  <c r="Q61" i="82"/>
  <c r="Q101" i="88"/>
  <c r="Z86" i="87"/>
  <c r="O185" i="89"/>
  <c r="X138" i="83"/>
  <c r="Y165" i="87"/>
  <c r="P167" i="82"/>
  <c r="L98" i="81"/>
  <c r="Z168" i="85"/>
  <c r="AB150" i="87"/>
  <c r="Y88" i="87"/>
  <c r="L94" i="88"/>
  <c r="AA55" i="92"/>
  <c r="L109" i="74"/>
  <c r="O51" i="93"/>
  <c r="Z21" i="93"/>
  <c r="O114" i="84"/>
  <c r="AB74" i="81"/>
  <c r="P74" i="85"/>
  <c r="T78" i="94"/>
  <c r="Y118" i="92"/>
  <c r="Y81" i="74"/>
  <c r="X160" i="84"/>
  <c r="O67" i="92"/>
  <c r="AB19" i="85"/>
  <c r="P99" i="93"/>
  <c r="P132" i="88"/>
  <c r="O65" i="92"/>
  <c r="Z166" i="84"/>
  <c r="Y63" i="88"/>
  <c r="T147" i="74"/>
  <c r="P67" i="94"/>
  <c r="AA17" i="82"/>
  <c r="Q156" i="88"/>
  <c r="Z153" i="81"/>
  <c r="P11" i="83"/>
  <c r="O152" i="94"/>
  <c r="Y68" i="94"/>
  <c r="Y119" i="87"/>
  <c r="AB147" i="82"/>
  <c r="P110" i="89"/>
  <c r="X90" i="91"/>
  <c r="Q64" i="83"/>
  <c r="X165" i="81"/>
  <c r="AB157" i="94"/>
  <c r="L81" i="74"/>
  <c r="Y173" i="85"/>
  <c r="X73" i="87"/>
  <c r="Q163" i="88"/>
  <c r="N177" i="93"/>
  <c r="AB102" i="84"/>
  <c r="AB11" i="92"/>
  <c r="L84" i="82"/>
  <c r="O100" i="94"/>
  <c r="AB176" i="93"/>
  <c r="L183" i="89"/>
  <c r="AA84" i="74"/>
  <c r="Q153" i="89"/>
  <c r="P84" i="88"/>
  <c r="Q97" i="84"/>
  <c r="O27" i="91"/>
  <c r="Y141" i="82"/>
  <c r="AA25" i="81"/>
  <c r="Y105" i="74"/>
  <c r="Z66" i="85"/>
  <c r="L160" i="88"/>
  <c r="AB172" i="94"/>
  <c r="O27" i="85"/>
  <c r="Q79" i="83"/>
  <c r="X163" i="74"/>
  <c r="O82" i="92"/>
  <c r="Y176" i="85"/>
  <c r="O159" i="82"/>
  <c r="Z76" i="87"/>
  <c r="L82" i="94"/>
  <c r="O118" i="93"/>
  <c r="Y64" i="92"/>
  <c r="AA143" i="92"/>
  <c r="Q103" i="93"/>
  <c r="X33" i="81"/>
  <c r="X27" i="82"/>
  <c r="Q13" i="93"/>
  <c r="P11" i="81"/>
  <c r="O71" i="89"/>
  <c r="X149" i="74"/>
  <c r="O53" i="87"/>
  <c r="AB19" i="94"/>
  <c r="M51" i="88"/>
  <c r="O117" i="87"/>
  <c r="AB160" i="87"/>
  <c r="O142" i="87"/>
  <c r="AB126" i="83"/>
  <c r="AA165" i="93"/>
  <c r="Q97" i="91"/>
  <c r="Y63" i="93"/>
  <c r="N174" i="74"/>
  <c r="Z106" i="92"/>
  <c r="Y29" i="81"/>
  <c r="Y161" i="89"/>
  <c r="O118" i="84"/>
  <c r="AA53" i="92"/>
  <c r="L177" i="93"/>
  <c r="AA114" i="74"/>
  <c r="AA142" i="93"/>
  <c r="P145" i="85"/>
  <c r="O121" i="88"/>
  <c r="Q116" i="89"/>
  <c r="AB41" i="91"/>
  <c r="AA154" i="85"/>
  <c r="L170" i="94"/>
  <c r="Y138" i="83"/>
  <c r="O78" i="74"/>
  <c r="O151" i="89"/>
  <c r="Z72" i="88"/>
  <c r="AB153" i="92"/>
  <c r="N111" i="83"/>
  <c r="Q149" i="94"/>
  <c r="AB127" i="87"/>
  <c r="Q41" i="94"/>
  <c r="Z139" i="85"/>
  <c r="Z131" i="84"/>
  <c r="X29" i="93"/>
  <c r="AA173" i="74"/>
  <c r="Q81" i="84"/>
  <c r="Z155" i="92"/>
  <c r="P185" i="87"/>
  <c r="L76" i="93"/>
  <c r="O77" i="91"/>
  <c r="Q152" i="91"/>
  <c r="AB91" i="83"/>
  <c r="P81" i="74"/>
  <c r="AA180" i="83"/>
  <c r="L63" i="88"/>
  <c r="Y172" i="88"/>
  <c r="Y53" i="83"/>
  <c r="Z145" i="85"/>
  <c r="O126" i="92"/>
  <c r="O106" i="89"/>
  <c r="AB11" i="85"/>
  <c r="AA158" i="82"/>
  <c r="Q73" i="87"/>
  <c r="AA27" i="83"/>
  <c r="O57" i="83"/>
  <c r="N183" i="92"/>
  <c r="Y104" i="83"/>
  <c r="AA104" i="82"/>
  <c r="Q108" i="82"/>
  <c r="N184" i="94"/>
  <c r="Y145" i="85"/>
  <c r="N81" i="92"/>
  <c r="Y33" i="85"/>
  <c r="Q152" i="85"/>
  <c r="Y111" i="93"/>
  <c r="L91" i="93"/>
  <c r="AB129" i="85"/>
  <c r="O108" i="88"/>
  <c r="L111" i="88"/>
  <c r="AA97" i="91"/>
  <c r="Z51" i="92"/>
  <c r="AA146" i="91"/>
  <c r="Q95" i="81"/>
  <c r="AB125" i="93"/>
  <c r="AB63" i="92"/>
  <c r="Q175" i="74"/>
  <c r="Z64" i="85"/>
  <c r="AA79" i="87"/>
  <c r="AA67" i="94"/>
  <c r="X29" i="91"/>
  <c r="Z129" i="87"/>
  <c r="X144" i="91"/>
  <c r="P27" i="91"/>
  <c r="O167" i="83"/>
  <c r="AA148" i="93"/>
  <c r="O64" i="81"/>
  <c r="AA141" i="88"/>
  <c r="N66" i="89"/>
  <c r="Q97" i="94"/>
  <c r="Z134" i="89"/>
  <c r="AA111" i="74"/>
  <c r="Y175" i="92"/>
  <c r="Q136" i="93"/>
  <c r="AB97" i="87"/>
  <c r="Y135" i="74"/>
  <c r="X161" i="94"/>
  <c r="X145" i="82"/>
  <c r="Z76" i="94"/>
  <c r="AA165" i="83"/>
  <c r="P99" i="88"/>
  <c r="AA170" i="93"/>
  <c r="AA61" i="74"/>
  <c r="N180" i="89"/>
  <c r="AA13" i="87"/>
  <c r="X167" i="83"/>
  <c r="P101" i="91"/>
  <c r="Q152" i="92"/>
  <c r="AA177" i="84"/>
  <c r="P156" i="94"/>
  <c r="P95" i="88"/>
  <c r="X43" i="85"/>
  <c r="P97" i="87"/>
  <c r="AB107" i="88"/>
  <c r="O143" i="74"/>
  <c r="Z59" i="87"/>
  <c r="X117" i="87"/>
  <c r="L89" i="92"/>
  <c r="N81" i="85"/>
  <c r="Y166" i="89"/>
  <c r="Y37" i="85"/>
  <c r="O64" i="87"/>
  <c r="P129" i="93"/>
  <c r="Q117" i="89"/>
  <c r="P17" i="88"/>
  <c r="O128" i="88"/>
  <c r="Q49" i="74"/>
  <c r="O23" i="81"/>
  <c r="Q167" i="81"/>
  <c r="Y86" i="89"/>
  <c r="O33" i="85"/>
  <c r="Q57" i="92"/>
  <c r="Z51" i="89"/>
  <c r="AA75" i="84"/>
  <c r="O74" i="92"/>
  <c r="Z112" i="92"/>
  <c r="AA109" i="82"/>
  <c r="X31" i="87"/>
  <c r="AA106" i="92"/>
  <c r="Q19" i="85"/>
  <c r="L117" i="88"/>
  <c r="L180" i="93"/>
  <c r="X69" i="93"/>
  <c r="P23" i="85"/>
  <c r="Z122" i="94"/>
  <c r="AA41" i="92"/>
  <c r="X71" i="94"/>
  <c r="Q118" i="81"/>
  <c r="P11" i="74"/>
  <c r="AA125" i="92"/>
  <c r="L152" i="74"/>
  <c r="M37" i="88"/>
  <c r="Q51" i="93"/>
  <c r="P122" i="88"/>
  <c r="Q164" i="91"/>
  <c r="AA136" i="91"/>
  <c r="P83" i="85"/>
  <c r="L77" i="82"/>
  <c r="L113" i="93"/>
  <c r="AB51" i="91"/>
  <c r="M33" i="88"/>
  <c r="X41" i="88"/>
  <c r="Z73" i="91"/>
  <c r="Z127" i="93"/>
  <c r="P185" i="81"/>
  <c r="T72" i="91"/>
  <c r="AA152" i="84"/>
  <c r="AA51" i="92"/>
  <c r="P73" i="81"/>
  <c r="X140" i="93"/>
  <c r="Z95" i="84"/>
  <c r="Z35" i="85"/>
  <c r="O168" i="83"/>
  <c r="P157" i="74"/>
  <c r="AA9" i="92"/>
  <c r="Q123" i="89"/>
  <c r="Y102" i="81"/>
  <c r="T69" i="92"/>
  <c r="Y35" i="83"/>
  <c r="N144" i="84"/>
  <c r="Q63" i="91"/>
  <c r="Y83" i="84"/>
  <c r="AA53" i="91"/>
  <c r="Q113" i="81"/>
  <c r="Q174" i="81"/>
  <c r="X166" i="82"/>
  <c r="X13" i="91"/>
  <c r="Q149" i="92"/>
  <c r="P125" i="84"/>
  <c r="X114" i="82"/>
  <c r="X87" i="88"/>
  <c r="O124" i="93"/>
  <c r="Y174" i="94"/>
  <c r="Y105" i="89"/>
  <c r="Z105" i="92"/>
  <c r="P74" i="81"/>
  <c r="O138" i="83"/>
  <c r="O73" i="92"/>
  <c r="AA149" i="81"/>
  <c r="L161" i="81"/>
  <c r="N144" i="87"/>
  <c r="Y129" i="84"/>
  <c r="T15" i="88"/>
  <c r="L111" i="92"/>
  <c r="Z114" i="82"/>
  <c r="Z152" i="94"/>
  <c r="X105" i="88"/>
  <c r="AA108" i="87"/>
  <c r="P92" i="82"/>
  <c r="X61" i="94"/>
  <c r="X154" i="85"/>
  <c r="AB144" i="81"/>
  <c r="AA112" i="87"/>
  <c r="L122" i="88"/>
  <c r="L161" i="85"/>
  <c r="Q31" i="89"/>
  <c r="AA157" i="81"/>
  <c r="P124" i="93"/>
  <c r="O70" i="74"/>
  <c r="Z166" i="74"/>
  <c r="O87" i="82"/>
  <c r="Q125" i="91"/>
  <c r="T90" i="82"/>
  <c r="Z96" i="93"/>
  <c r="N69" i="88"/>
  <c r="X135" i="88"/>
  <c r="AB177" i="94"/>
  <c r="O114" i="92"/>
  <c r="N63" i="83"/>
  <c r="Y128" i="88"/>
  <c r="O111" i="83"/>
  <c r="AB173" i="94"/>
  <c r="M47" i="83"/>
  <c r="P177" i="83"/>
  <c r="AA84" i="94"/>
  <c r="AA151" i="84"/>
  <c r="O145" i="88"/>
  <c r="X165" i="94"/>
  <c r="O90" i="93"/>
  <c r="Y72" i="87"/>
  <c r="Z67" i="92"/>
  <c r="Q114" i="91"/>
  <c r="Q71" i="94"/>
  <c r="Q132" i="89"/>
  <c r="AB146" i="87"/>
  <c r="Q135" i="87"/>
  <c r="L171" i="91"/>
  <c r="O71" i="74"/>
  <c r="Y25" i="83"/>
  <c r="Z47" i="93"/>
  <c r="X176" i="93"/>
  <c r="Q139" i="82"/>
  <c r="L67" i="83"/>
  <c r="P105" i="92"/>
  <c r="Q83" i="93"/>
  <c r="T69" i="85"/>
  <c r="Q185" i="93"/>
  <c r="AA136" i="94"/>
  <c r="O37" i="83"/>
  <c r="L166" i="88"/>
  <c r="X130" i="82"/>
  <c r="X164" i="87"/>
  <c r="Z33" i="87"/>
  <c r="AB63" i="84"/>
  <c r="P161" i="83"/>
  <c r="AA89" i="91"/>
  <c r="AB55" i="87"/>
  <c r="AB92" i="82"/>
  <c r="Z137" i="93"/>
  <c r="AA135" i="83"/>
  <c r="T105" i="82"/>
  <c r="Q156" i="92"/>
  <c r="O153" i="91"/>
  <c r="N57" i="94"/>
  <c r="Z134" i="91"/>
  <c r="Q31" i="88"/>
  <c r="Y41" i="92"/>
  <c r="Z131" i="92"/>
  <c r="X127" i="83"/>
  <c r="AA167" i="83"/>
  <c r="N33" i="82"/>
  <c r="AB21" i="88"/>
  <c r="AB172" i="89"/>
  <c r="AB174" i="89"/>
  <c r="L160" i="93"/>
  <c r="Z176" i="74"/>
  <c r="Q173" i="94"/>
  <c r="P133" i="83"/>
  <c r="Y157" i="88"/>
  <c r="T126" i="87"/>
  <c r="X176" i="89"/>
  <c r="M51" i="89"/>
  <c r="Y129" i="93"/>
  <c r="Q59" i="87"/>
  <c r="Z13" i="87"/>
  <c r="AA45" i="89"/>
  <c r="P144" i="94"/>
  <c r="N87" i="88"/>
  <c r="AA118" i="91"/>
  <c r="AB152" i="81"/>
  <c r="Z73" i="89"/>
  <c r="AA95" i="85"/>
  <c r="Z41" i="94"/>
  <c r="Q149" i="84"/>
  <c r="Q76" i="94"/>
  <c r="O148" i="74"/>
  <c r="Y116" i="93"/>
  <c r="P98" i="82"/>
  <c r="L185" i="81"/>
  <c r="P181" i="92"/>
  <c r="P66" i="81"/>
  <c r="O78" i="87"/>
  <c r="Z116" i="94"/>
  <c r="Q176" i="84"/>
  <c r="Z83" i="83"/>
  <c r="P142" i="85"/>
  <c r="P55" i="89"/>
  <c r="Z104" i="83"/>
  <c r="P165" i="92"/>
  <c r="L110" i="93"/>
  <c r="Z15" i="84"/>
  <c r="X116" i="85"/>
  <c r="X151" i="74"/>
  <c r="Y124" i="87"/>
  <c r="Z141" i="85"/>
  <c r="Z163" i="94"/>
  <c r="L176" i="93"/>
  <c r="T177" i="85"/>
  <c r="O139" i="88"/>
  <c r="Y41" i="82"/>
  <c r="Z112" i="74"/>
  <c r="Q173" i="91"/>
  <c r="AB37" i="81"/>
  <c r="P104" i="89"/>
  <c r="AA110" i="74"/>
  <c r="AA136" i="88"/>
  <c r="O177" i="85"/>
  <c r="Z123" i="74"/>
  <c r="P173" i="74"/>
  <c r="O148" i="83"/>
  <c r="AB88" i="91"/>
  <c r="Q66" i="81"/>
  <c r="AB27" i="87"/>
  <c r="Z143" i="82"/>
  <c r="O181" i="92"/>
  <c r="O43" i="85"/>
  <c r="Z88" i="93"/>
  <c r="AA17" i="81"/>
  <c r="AB167" i="88"/>
  <c r="N141" i="84"/>
  <c r="O104" i="92"/>
  <c r="P101" i="84"/>
  <c r="L167" i="87"/>
  <c r="X153" i="74"/>
  <c r="L71" i="74"/>
  <c r="X78" i="82"/>
  <c r="AA124" i="82"/>
  <c r="AA119" i="74"/>
  <c r="AA116" i="87"/>
  <c r="P105" i="87"/>
  <c r="O95" i="93"/>
  <c r="Z25" i="81"/>
  <c r="AB128" i="91"/>
  <c r="L147" i="82"/>
  <c r="N177" i="84"/>
  <c r="Q45" i="91"/>
  <c r="X37" i="92"/>
  <c r="T21" i="87"/>
  <c r="Y166" i="92"/>
  <c r="M11" i="92"/>
  <c r="P120" i="87"/>
  <c r="X136" i="81"/>
  <c r="T150" i="88"/>
  <c r="Q163" i="92"/>
  <c r="AB99" i="92"/>
  <c r="X105" i="91"/>
  <c r="Y82" i="87"/>
  <c r="Z143" i="91"/>
  <c r="P135" i="89"/>
  <c r="P85" i="84"/>
  <c r="AB87" i="89"/>
  <c r="X157" i="85"/>
  <c r="T84" i="88"/>
  <c r="P72" i="89"/>
  <c r="P121" i="85"/>
  <c r="T141" i="84"/>
  <c r="Q97" i="81"/>
  <c r="P96" i="83"/>
  <c r="AB106" i="89"/>
  <c r="AB138" i="82"/>
  <c r="X83" i="93"/>
  <c r="Q121" i="88"/>
  <c r="P63" i="94"/>
  <c r="Q169" i="89"/>
  <c r="O131" i="74"/>
  <c r="AB39" i="87"/>
  <c r="Q133" i="81"/>
  <c r="Q109" i="85"/>
  <c r="Z139" i="92"/>
  <c r="Q43" i="94"/>
  <c r="L172" i="87"/>
  <c r="Z92" i="89"/>
  <c r="X114" i="88"/>
  <c r="Y96" i="74"/>
  <c r="Y169" i="92"/>
  <c r="O183" i="89"/>
  <c r="O179" i="91"/>
  <c r="Q115" i="85"/>
  <c r="Q19" i="93"/>
  <c r="P45" i="94"/>
  <c r="AB88" i="92"/>
  <c r="Y107" i="89"/>
  <c r="AA80" i="93"/>
  <c r="Z80" i="87"/>
  <c r="X126" i="89"/>
  <c r="L159" i="87"/>
  <c r="AA100" i="74"/>
  <c r="Y165" i="93"/>
  <c r="AB148" i="94"/>
  <c r="AA72" i="81"/>
  <c r="Y163" i="74"/>
  <c r="L184" i="94"/>
  <c r="P136" i="89"/>
  <c r="AA139" i="84"/>
  <c r="AA41" i="91"/>
  <c r="Z139" i="74"/>
  <c r="Y53" i="93"/>
  <c r="Z165" i="82"/>
  <c r="X23" i="85"/>
  <c r="Q66" i="93"/>
  <c r="N162" i="94"/>
  <c r="Z116" i="82"/>
  <c r="Y41" i="88"/>
  <c r="Y78" i="82"/>
  <c r="AB57" i="93"/>
  <c r="L79" i="81"/>
  <c r="N177" i="94"/>
  <c r="AB90" i="88"/>
  <c r="T21" i="83"/>
  <c r="AB141" i="82"/>
  <c r="Q71" i="83"/>
  <c r="L98" i="89"/>
  <c r="Z110" i="85"/>
  <c r="P111" i="74"/>
  <c r="AB97" i="83"/>
  <c r="P115" i="84"/>
  <c r="Y88" i="89"/>
  <c r="AA107" i="85"/>
  <c r="AA17" i="83"/>
  <c r="L129" i="81"/>
  <c r="P145" i="88"/>
  <c r="AA125" i="93"/>
  <c r="AB158" i="87"/>
  <c r="Z104" i="84"/>
  <c r="T132" i="85"/>
  <c r="AA41" i="81"/>
  <c r="Y94" i="92"/>
  <c r="L89" i="91"/>
  <c r="P81" i="82"/>
  <c r="N162" i="74"/>
  <c r="O155" i="93"/>
  <c r="AB111" i="81"/>
  <c r="Z59" i="84"/>
  <c r="X104" i="91"/>
  <c r="T78" i="74"/>
  <c r="Q182" i="89"/>
  <c r="AA133" i="84"/>
  <c r="T90" i="87"/>
  <c r="Y162" i="74"/>
  <c r="Z128" i="92"/>
  <c r="AB79" i="84"/>
  <c r="AA112" i="81"/>
  <c r="P166" i="83"/>
  <c r="Y85" i="83"/>
  <c r="Y128" i="91"/>
  <c r="P21" i="87"/>
  <c r="Y49" i="94"/>
  <c r="AB99" i="84"/>
  <c r="P111" i="91"/>
  <c r="O92" i="88"/>
  <c r="Q41" i="93"/>
  <c r="L132" i="92"/>
  <c r="Q132" i="83"/>
  <c r="Q182" i="87"/>
  <c r="M13" i="91"/>
  <c r="X19" i="81"/>
  <c r="AB121" i="83"/>
  <c r="AB27" i="85"/>
  <c r="Z124" i="91"/>
  <c r="X177" i="84"/>
  <c r="Q92" i="91"/>
  <c r="X88" i="88"/>
  <c r="P128" i="93"/>
  <c r="Z146" i="92"/>
  <c r="AA53" i="89"/>
  <c r="P105" i="93"/>
  <c r="P115" i="91"/>
  <c r="X76" i="87"/>
  <c r="X126" i="82"/>
  <c r="AA165" i="87"/>
  <c r="P64" i="82"/>
  <c r="Y143" i="94"/>
  <c r="O130" i="85"/>
  <c r="Z68" i="91"/>
  <c r="X79" i="87"/>
  <c r="Y96" i="92"/>
  <c r="M37" i="89"/>
  <c r="Z105" i="83"/>
  <c r="Q31" i="74"/>
  <c r="Z145" i="92"/>
  <c r="P110" i="94"/>
  <c r="Z130" i="87"/>
  <c r="AA21" i="91"/>
  <c r="P163" i="88"/>
  <c r="AA109" i="87"/>
  <c r="P17" i="89"/>
  <c r="Q173" i="85"/>
  <c r="P166" i="74"/>
  <c r="P135" i="84"/>
  <c r="P97" i="94"/>
  <c r="AB115" i="89"/>
  <c r="Z84" i="94"/>
  <c r="Z153" i="88"/>
  <c r="Z124" i="87"/>
  <c r="Y88" i="91"/>
  <c r="AB102" i="94"/>
  <c r="Z15" i="94"/>
  <c r="AB175" i="92"/>
  <c r="L104" i="85"/>
  <c r="L152" i="82"/>
  <c r="P78" i="94"/>
  <c r="AB143" i="89"/>
  <c r="P178" i="91"/>
  <c r="X89" i="89"/>
  <c r="Y11" i="82"/>
  <c r="Q128" i="82"/>
  <c r="P121" i="83"/>
  <c r="M49" i="84"/>
  <c r="Q176" i="92"/>
  <c r="N168" i="92"/>
  <c r="P154" i="85"/>
  <c r="X75" i="91"/>
  <c r="N185" i="74"/>
  <c r="L127" i="92"/>
  <c r="Q31" i="92"/>
  <c r="X159" i="93"/>
  <c r="P122" i="85"/>
  <c r="M35" i="87"/>
  <c r="P161" i="92"/>
  <c r="X78" i="85"/>
  <c r="Y163" i="91"/>
  <c r="L104" i="89"/>
  <c r="Z87" i="88"/>
  <c r="O91" i="81"/>
  <c r="AA77" i="91"/>
  <c r="M27" i="94"/>
  <c r="T168" i="88"/>
  <c r="P86" i="92"/>
  <c r="Z152" i="87"/>
  <c r="P123" i="74"/>
  <c r="P178" i="81"/>
  <c r="AB23" i="85"/>
  <c r="Q104" i="88"/>
  <c r="AB132" i="85"/>
  <c r="M61" i="85"/>
  <c r="O57" i="94"/>
  <c r="AA33" i="74"/>
  <c r="P151" i="94"/>
  <c r="Y25" i="85"/>
  <c r="AA76" i="92"/>
  <c r="Z80" i="91"/>
  <c r="T117" i="88"/>
  <c r="L76" i="83"/>
  <c r="Z82" i="89"/>
  <c r="AA141" i="82"/>
  <c r="N141" i="88"/>
  <c r="Y61" i="83"/>
  <c r="N156" i="81"/>
  <c r="Z43" i="93"/>
  <c r="X116" i="89"/>
  <c r="N162" i="82"/>
  <c r="P129" i="74"/>
  <c r="N57" i="87"/>
  <c r="Z94" i="89"/>
  <c r="N45" i="87"/>
  <c r="Q45" i="82"/>
  <c r="Z176" i="93"/>
  <c r="X33" i="84"/>
  <c r="L168" i="89"/>
  <c r="O75" i="91"/>
  <c r="X93" i="74"/>
  <c r="Y140" i="93"/>
  <c r="O176" i="84"/>
  <c r="AA59" i="85"/>
  <c r="M37" i="87"/>
  <c r="Z139" i="81"/>
  <c r="P182" i="93"/>
  <c r="Q135" i="93"/>
  <c r="Q167" i="83"/>
  <c r="O170" i="82"/>
  <c r="AA154" i="89"/>
  <c r="Z174" i="74"/>
  <c r="P82" i="87"/>
  <c r="Q124" i="74"/>
  <c r="Q116" i="94"/>
  <c r="X106" i="84"/>
  <c r="Q81" i="81"/>
  <c r="Q135" i="92"/>
  <c r="Q23" i="93"/>
  <c r="AA69" i="92"/>
  <c r="P170" i="93"/>
  <c r="AA85" i="81"/>
  <c r="M25" i="84"/>
  <c r="Z110" i="91"/>
  <c r="X133" i="93"/>
  <c r="P93" i="81"/>
  <c r="O25" i="89"/>
  <c r="L107" i="93"/>
  <c r="O82" i="87"/>
  <c r="Y116" i="89"/>
  <c r="AB95" i="81"/>
  <c r="AA82" i="93"/>
  <c r="O142" i="93"/>
  <c r="Z166" i="94"/>
  <c r="Q140" i="91"/>
  <c r="AB159" i="91"/>
  <c r="AB25" i="91"/>
  <c r="Q139" i="84"/>
  <c r="O98" i="89"/>
  <c r="Z61" i="94"/>
  <c r="P53" i="84"/>
  <c r="P77" i="94"/>
  <c r="N81" i="94"/>
  <c r="Y71" i="84"/>
  <c r="N184" i="89"/>
  <c r="Z124" i="94"/>
  <c r="P91" i="87"/>
  <c r="Y131" i="81"/>
  <c r="Q148" i="91"/>
  <c r="X137" i="92"/>
  <c r="AB15" i="87"/>
  <c r="Q147" i="74"/>
  <c r="Q89" i="87"/>
  <c r="N150" i="85"/>
  <c r="O72" i="88"/>
  <c r="AA141" i="87"/>
  <c r="Y116" i="83"/>
  <c r="O99" i="87"/>
  <c r="P185" i="89"/>
  <c r="N102" i="94"/>
  <c r="N171" i="88"/>
  <c r="Z78" i="87"/>
  <c r="M21" i="89"/>
  <c r="AB99" i="82"/>
  <c r="O164" i="88"/>
  <c r="O116" i="89"/>
  <c r="O21" i="85"/>
  <c r="AB151" i="84"/>
  <c r="P154" i="89"/>
  <c r="X75" i="93"/>
  <c r="O152" i="92"/>
  <c r="Q118" i="74"/>
  <c r="Q112" i="89"/>
  <c r="M55" i="74"/>
  <c r="Y116" i="88"/>
  <c r="Q59" i="84"/>
  <c r="L82" i="74"/>
  <c r="Q78" i="82"/>
  <c r="X11" i="84"/>
  <c r="Z128" i="93"/>
  <c r="Z11" i="94"/>
  <c r="O75" i="88"/>
  <c r="Z167" i="92"/>
  <c r="AA164" i="84"/>
  <c r="Y114" i="88"/>
  <c r="L87" i="89"/>
  <c r="Y127" i="74"/>
  <c r="L140" i="91"/>
  <c r="AA97" i="87"/>
  <c r="P171" i="92"/>
  <c r="T177" i="82"/>
  <c r="N99" i="92"/>
  <c r="Q119" i="84"/>
  <c r="Z99" i="88"/>
  <c r="L103" i="82"/>
  <c r="P113" i="81"/>
  <c r="O181" i="82"/>
  <c r="L150" i="85"/>
  <c r="X145" i="92"/>
  <c r="Y158" i="91"/>
  <c r="N165" i="87"/>
  <c r="P81" i="94"/>
  <c r="Q94" i="82"/>
  <c r="N45" i="94"/>
  <c r="T39" i="93"/>
  <c r="L119" i="89"/>
  <c r="Q106" i="74"/>
  <c r="P53" i="91"/>
  <c r="P126" i="87"/>
  <c r="L166" i="87"/>
  <c r="L174" i="81"/>
  <c r="L121" i="81"/>
  <c r="T51" i="94"/>
  <c r="Y49" i="89"/>
  <c r="AB55" i="83"/>
  <c r="Y82" i="93"/>
  <c r="Q185" i="94"/>
  <c r="P25" i="84"/>
  <c r="Y13" i="74"/>
  <c r="O138" i="94"/>
  <c r="L87" i="91"/>
  <c r="AA108" i="85"/>
  <c r="Y108" i="82"/>
  <c r="X175" i="91"/>
  <c r="Z121" i="94"/>
  <c r="Y69" i="89"/>
  <c r="AB55" i="89"/>
  <c r="L126" i="91"/>
  <c r="L156" i="83"/>
  <c r="Y149" i="81"/>
  <c r="N15" i="81"/>
  <c r="Z163" i="91"/>
  <c r="P157" i="81"/>
  <c r="Y140" i="89"/>
  <c r="M9" i="91"/>
  <c r="Q68" i="88"/>
  <c r="AA104" i="91"/>
  <c r="Y99" i="88"/>
  <c r="AB130" i="88"/>
  <c r="X161" i="83"/>
  <c r="N9" i="83"/>
  <c r="O27" i="83"/>
  <c r="AA131" i="85"/>
  <c r="L183" i="88"/>
  <c r="Q96" i="81"/>
  <c r="AB41" i="89"/>
  <c r="P175" i="85"/>
  <c r="Y59" i="88"/>
  <c r="P65" i="91"/>
  <c r="X134" i="74"/>
  <c r="Y82" i="88"/>
  <c r="AA78" i="93"/>
  <c r="N111" i="87"/>
  <c r="P175" i="89"/>
  <c r="O83" i="85"/>
  <c r="X112" i="88"/>
  <c r="AB41" i="81"/>
  <c r="L174" i="93"/>
  <c r="Y90" i="85"/>
  <c r="L86" i="83"/>
  <c r="Z144" i="81"/>
  <c r="X160" i="91"/>
  <c r="P106" i="87"/>
  <c r="X127" i="74"/>
  <c r="Y151" i="92"/>
  <c r="X81" i="91"/>
  <c r="P77" i="93"/>
  <c r="O81" i="94"/>
  <c r="AA87" i="83"/>
  <c r="Y31" i="93"/>
  <c r="AA110" i="89"/>
  <c r="L154" i="93"/>
  <c r="X57" i="83"/>
  <c r="L152" i="92"/>
  <c r="P105" i="85"/>
  <c r="AB152" i="84"/>
  <c r="Y156" i="74"/>
  <c r="AB143" i="87"/>
  <c r="L126" i="92"/>
  <c r="AB113" i="93"/>
  <c r="O131" i="91"/>
  <c r="AB112" i="88"/>
  <c r="Y41" i="84"/>
  <c r="P124" i="81"/>
  <c r="P153" i="81"/>
  <c r="AA143" i="87"/>
  <c r="Z106" i="85"/>
  <c r="O89" i="85"/>
  <c r="T171" i="85"/>
  <c r="L151" i="93"/>
  <c r="X15" i="83"/>
  <c r="O59" i="88"/>
  <c r="P110" i="84"/>
  <c r="Y78" i="81"/>
  <c r="Z21" i="91"/>
  <c r="AA157" i="82"/>
  <c r="Z93" i="94"/>
  <c r="AA55" i="91"/>
  <c r="AB64" i="85"/>
  <c r="P64" i="91"/>
  <c r="AA164" i="87"/>
  <c r="O31" i="92"/>
  <c r="Z169" i="89"/>
  <c r="O37" i="94"/>
  <c r="O163" i="74"/>
  <c r="Q170" i="94"/>
  <c r="Q135" i="88"/>
  <c r="Q76" i="82"/>
  <c r="AB110" i="94"/>
  <c r="AA23" i="81"/>
  <c r="AA99" i="89"/>
  <c r="P139" i="94"/>
  <c r="Q99" i="84"/>
  <c r="O135" i="81"/>
  <c r="AB118" i="87"/>
  <c r="Q161" i="92"/>
  <c r="P167" i="85"/>
  <c r="X113" i="84"/>
  <c r="P64" i="89"/>
  <c r="Q121" i="83"/>
  <c r="Y164" i="84"/>
  <c r="L131" i="88"/>
  <c r="T93" i="84"/>
  <c r="AB168" i="84"/>
  <c r="Y180" i="84"/>
  <c r="N66" i="85"/>
  <c r="AA147" i="83"/>
  <c r="AB53" i="88"/>
  <c r="Q181" i="82"/>
  <c r="X115" i="93"/>
  <c r="L86" i="94"/>
  <c r="Y114" i="87"/>
  <c r="Z23" i="74"/>
  <c r="Q172" i="91"/>
  <c r="P15" i="94"/>
  <c r="X117" i="81"/>
  <c r="Z150" i="85"/>
  <c r="O72" i="89"/>
  <c r="O63" i="91"/>
  <c r="Y17" i="81"/>
  <c r="Z100" i="87"/>
  <c r="P39" i="83"/>
  <c r="X170" i="91"/>
  <c r="L97" i="74"/>
  <c r="Q123" i="83"/>
  <c r="X59" i="74"/>
  <c r="X79" i="93"/>
  <c r="X66" i="85"/>
  <c r="Z81" i="87"/>
  <c r="P161" i="93"/>
  <c r="Z61" i="81"/>
  <c r="P27" i="92"/>
  <c r="Q126" i="89"/>
  <c r="P116" i="92"/>
  <c r="Z180" i="88"/>
  <c r="AA140" i="82"/>
  <c r="N141" i="87"/>
  <c r="L104" i="88"/>
  <c r="Y150" i="84"/>
  <c r="AB148" i="88"/>
  <c r="AB167" i="82"/>
  <c r="X114" i="81"/>
  <c r="Y72" i="81"/>
  <c r="Z173" i="89"/>
  <c r="P100" i="85"/>
  <c r="P67" i="88"/>
  <c r="O175" i="94"/>
  <c r="Z89" i="87"/>
  <c r="P123" i="93"/>
  <c r="AB84" i="88"/>
  <c r="M23" i="88"/>
  <c r="T114" i="93"/>
  <c r="X15" i="88"/>
  <c r="O93" i="82"/>
  <c r="AB174" i="91"/>
  <c r="L122" i="85"/>
  <c r="Z13" i="88"/>
  <c r="AB134" i="93"/>
  <c r="P126" i="82"/>
  <c r="O29" i="81"/>
  <c r="O170" i="94"/>
  <c r="Z23" i="81"/>
  <c r="T147" i="89"/>
  <c r="AB109" i="84"/>
  <c r="Q132" i="85"/>
  <c r="L150" i="81"/>
  <c r="M15" i="92"/>
  <c r="AA175" i="84"/>
  <c r="AA105" i="81"/>
  <c r="X75" i="94"/>
  <c r="P160" i="89"/>
  <c r="Z163" i="84"/>
  <c r="L86" i="82"/>
  <c r="Z148" i="74"/>
  <c r="Z115" i="87"/>
  <c r="AA161" i="94"/>
  <c r="T63" i="94"/>
  <c r="P112" i="93"/>
  <c r="L160" i="94"/>
  <c r="O68" i="74"/>
  <c r="X134" i="93"/>
  <c r="Y160" i="93"/>
  <c r="AB163" i="94"/>
  <c r="AA21" i="74"/>
  <c r="O122" i="89"/>
  <c r="X77" i="93"/>
  <c r="L82" i="85"/>
  <c r="T99" i="88"/>
  <c r="L149" i="87"/>
  <c r="X180" i="81"/>
  <c r="Y139" i="81"/>
  <c r="T117" i="87"/>
  <c r="L128" i="92"/>
  <c r="Z130" i="84"/>
  <c r="P143" i="91"/>
  <c r="P108" i="84"/>
  <c r="AB140" i="91"/>
  <c r="AB176" i="84"/>
  <c r="P170" i="74"/>
  <c r="P84" i="84"/>
  <c r="O174" i="82"/>
  <c r="AB107" i="93"/>
  <c r="Z75" i="89"/>
  <c r="X151" i="85"/>
  <c r="AB149" i="91"/>
  <c r="AB140" i="92"/>
  <c r="O145" i="83"/>
  <c r="X21" i="92"/>
  <c r="AA100" i="84"/>
  <c r="P117" i="84"/>
  <c r="AA94" i="93"/>
  <c r="X81" i="83"/>
  <c r="T99" i="83"/>
  <c r="Y147" i="89"/>
  <c r="AA35" i="93"/>
  <c r="Q93" i="87"/>
  <c r="P127" i="84"/>
  <c r="AB138" i="83"/>
  <c r="O112" i="87"/>
  <c r="X165" i="93"/>
  <c r="Q66" i="84"/>
  <c r="Q94" i="84"/>
  <c r="L162" i="91"/>
  <c r="AA98" i="85"/>
  <c r="X82" i="74"/>
  <c r="AB172" i="84"/>
  <c r="X174" i="87"/>
  <c r="T84" i="94"/>
  <c r="P51" i="85"/>
  <c r="AB174" i="81"/>
  <c r="P178" i="82"/>
  <c r="AA143" i="84"/>
  <c r="T66" i="74"/>
  <c r="P134" i="88"/>
  <c r="Q118" i="84"/>
  <c r="P21" i="84"/>
  <c r="Y113" i="74"/>
  <c r="P94" i="92"/>
  <c r="X106" i="88"/>
  <c r="Q124" i="81"/>
  <c r="AB31" i="92"/>
  <c r="M19" i="74"/>
  <c r="P112" i="84"/>
  <c r="O102" i="74"/>
  <c r="Y129" i="88"/>
  <c r="Y167" i="94"/>
  <c r="M51" i="81"/>
  <c r="Z25" i="92"/>
  <c r="L160" i="92"/>
  <c r="L136" i="89"/>
  <c r="AA165" i="88"/>
  <c r="L171" i="94"/>
  <c r="O65" i="85"/>
  <c r="L71" i="83"/>
  <c r="AB151" i="93"/>
  <c r="AA153" i="82"/>
  <c r="O111" i="81"/>
  <c r="AB147" i="83"/>
  <c r="L122" i="92"/>
  <c r="Q161" i="94"/>
  <c r="X133" i="94"/>
  <c r="Q63" i="94"/>
  <c r="X89" i="84"/>
  <c r="T144" i="91"/>
  <c r="AB107" i="91"/>
  <c r="O115" i="88"/>
  <c r="Z162" i="91"/>
  <c r="AA13" i="91"/>
  <c r="AB53" i="93"/>
  <c r="Q185" i="92"/>
  <c r="X161" i="84"/>
  <c r="O83" i="91"/>
  <c r="L101" i="93"/>
  <c r="O81" i="92"/>
  <c r="Z49" i="83"/>
  <c r="P19" i="87"/>
  <c r="Q72" i="87"/>
  <c r="Y79" i="81"/>
  <c r="Z67" i="74"/>
  <c r="AB120" i="89"/>
  <c r="AA76" i="85"/>
  <c r="Z176" i="91"/>
  <c r="Z109" i="93"/>
  <c r="Q27" i="84"/>
  <c r="AA141" i="92"/>
  <c r="L84" i="87"/>
  <c r="L120" i="89"/>
  <c r="Z95" i="83"/>
  <c r="Y75" i="82"/>
  <c r="Y150" i="92"/>
  <c r="X109" i="74"/>
  <c r="P170" i="84"/>
  <c r="AA75" i="83"/>
  <c r="X131" i="92"/>
  <c r="P65" i="92"/>
  <c r="O136" i="93"/>
  <c r="P111" i="83"/>
  <c r="X41" i="85"/>
  <c r="N185" i="85"/>
  <c r="L144" i="91"/>
  <c r="Y35" i="74"/>
  <c r="X112" i="84"/>
  <c r="L97" i="94"/>
  <c r="AA15" i="94"/>
  <c r="P117" i="91"/>
  <c r="AB116" i="87"/>
  <c r="AB128" i="94"/>
  <c r="O158" i="87"/>
  <c r="N102" i="84"/>
  <c r="Q170" i="89"/>
  <c r="Q139" i="93"/>
  <c r="O118" i="88"/>
  <c r="Y23" i="88"/>
  <c r="AA160" i="83"/>
  <c r="N153" i="87"/>
  <c r="L156" i="74"/>
  <c r="N81" i="74"/>
  <c r="Z155" i="94"/>
  <c r="O126" i="94"/>
  <c r="N66" i="83"/>
  <c r="X137" i="91"/>
  <c r="P31" i="91"/>
  <c r="AB70" i="94"/>
  <c r="Y35" i="84"/>
  <c r="Q64" i="94"/>
  <c r="Y80" i="85"/>
  <c r="P182" i="84"/>
  <c r="AB115" i="82"/>
  <c r="Z68" i="88"/>
  <c r="L90" i="87"/>
  <c r="P99" i="82"/>
  <c r="Y79" i="88"/>
  <c r="Y171" i="88"/>
  <c r="O106" i="93"/>
  <c r="X107" i="93"/>
  <c r="AB72" i="87"/>
  <c r="P65" i="89"/>
  <c r="T69" i="87"/>
  <c r="Q111" i="82"/>
  <c r="AB72" i="83"/>
  <c r="AB77" i="94"/>
  <c r="AB112" i="89"/>
  <c r="X173" i="88"/>
  <c r="X136" i="82"/>
  <c r="O123" i="84"/>
  <c r="Z170" i="83"/>
  <c r="Z83" i="94"/>
  <c r="L114" i="83"/>
  <c r="O167" i="91"/>
  <c r="AA13" i="93"/>
  <c r="L178" i="85"/>
  <c r="P65" i="87"/>
  <c r="X177" i="89"/>
  <c r="Z66" i="92"/>
  <c r="P133" i="87"/>
  <c r="P169" i="85"/>
  <c r="Q140" i="94"/>
  <c r="L120" i="85"/>
  <c r="T150" i="82"/>
  <c r="AB139" i="83"/>
  <c r="T123" i="93"/>
  <c r="O80" i="83"/>
  <c r="O105" i="84"/>
  <c r="L159" i="83"/>
  <c r="O21" i="94"/>
  <c r="Q89" i="91"/>
  <c r="Z155" i="74"/>
  <c r="Y142" i="83"/>
  <c r="T126" i="81"/>
  <c r="Q125" i="81"/>
  <c r="X172" i="88"/>
  <c r="Y160" i="82"/>
  <c r="Y23" i="81"/>
  <c r="Q151" i="85"/>
  <c r="AA168" i="85"/>
  <c r="Y128" i="87"/>
  <c r="AA70" i="92"/>
  <c r="P59" i="94"/>
  <c r="AA51" i="91"/>
  <c r="AA149" i="92"/>
  <c r="P86" i="82"/>
  <c r="O143" i="87"/>
  <c r="Z129" i="91"/>
  <c r="Z49" i="94"/>
  <c r="L180" i="94"/>
  <c r="Y87" i="85"/>
  <c r="Q144" i="91"/>
  <c r="AB120" i="83"/>
  <c r="Z120" i="89"/>
  <c r="P25" i="82"/>
  <c r="X90" i="87"/>
  <c r="Y118" i="74"/>
  <c r="X85" i="88"/>
  <c r="O130" i="87"/>
  <c r="P125" i="93"/>
  <c r="O94" i="88"/>
  <c r="Z135" i="92"/>
  <c r="Y68" i="92"/>
  <c r="AB41" i="92"/>
  <c r="O55" i="82"/>
  <c r="L63" i="83"/>
  <c r="P110" i="87"/>
  <c r="O110" i="84"/>
  <c r="AA135" i="84"/>
  <c r="T138" i="84"/>
  <c r="L169" i="92"/>
  <c r="O154" i="89"/>
  <c r="X78" i="74"/>
  <c r="X164" i="88"/>
  <c r="O79" i="84"/>
  <c r="P165" i="84"/>
  <c r="AB90" i="82"/>
  <c r="Z17" i="84"/>
  <c r="P109" i="93"/>
  <c r="P82" i="74"/>
  <c r="Q102" i="84"/>
  <c r="Z65" i="84"/>
  <c r="AA170" i="91"/>
  <c r="AB119" i="92"/>
  <c r="Q178" i="81"/>
  <c r="Z89" i="74"/>
  <c r="O143" i="85"/>
  <c r="O183" i="94"/>
  <c r="L81" i="89"/>
  <c r="Y136" i="83"/>
  <c r="L86" i="93"/>
  <c r="T174" i="92"/>
  <c r="Z121" i="82"/>
  <c r="Z57" i="91"/>
  <c r="Z76" i="88"/>
  <c r="O177" i="81"/>
  <c r="O164" i="82"/>
  <c r="L167" i="92"/>
  <c r="P158" i="91"/>
  <c r="Q160" i="92"/>
  <c r="O185" i="74"/>
  <c r="Q79" i="81"/>
  <c r="O43" i="81"/>
  <c r="P144" i="84"/>
  <c r="Z165" i="74"/>
  <c r="Y160" i="94"/>
  <c r="Y150" i="82"/>
  <c r="N150" i="81"/>
  <c r="Z64" i="84"/>
  <c r="AA174" i="82"/>
  <c r="AB115" i="85"/>
  <c r="P137" i="87"/>
  <c r="X169" i="85"/>
  <c r="Y131" i="83"/>
  <c r="AA29" i="84"/>
  <c r="Q106" i="88"/>
  <c r="Z96" i="92"/>
  <c r="M53" i="85"/>
  <c r="AA161" i="89"/>
  <c r="Z147" i="88"/>
  <c r="Q178" i="89"/>
  <c r="O106" i="81"/>
  <c r="P67" i="87"/>
  <c r="Z125" i="84"/>
  <c r="X121" i="83"/>
  <c r="M29" i="88"/>
  <c r="AB67" i="94"/>
  <c r="Z125" i="74"/>
  <c r="X95" i="84"/>
  <c r="O55" i="84"/>
  <c r="X130" i="91"/>
  <c r="Z9" i="87"/>
  <c r="Z99" i="85"/>
  <c r="N102" i="85"/>
  <c r="AB169" i="81"/>
  <c r="T90" i="84"/>
  <c r="AB114" i="85"/>
  <c r="T117" i="85"/>
  <c r="Y154" i="88"/>
  <c r="O129" i="85"/>
  <c r="M35" i="83"/>
  <c r="X67" i="74"/>
  <c r="Q59" i="82"/>
  <c r="Z128" i="84"/>
  <c r="P74" i="88"/>
  <c r="Q13" i="89"/>
  <c r="Q39" i="85"/>
  <c r="P92" i="94"/>
  <c r="AA117" i="91"/>
  <c r="O39" i="89"/>
  <c r="Q150" i="85"/>
  <c r="AA109" i="89"/>
  <c r="M55" i="93"/>
  <c r="Y110" i="91"/>
  <c r="AB128" i="83"/>
  <c r="Z159" i="81"/>
  <c r="Q101" i="87"/>
  <c r="P106" i="81"/>
  <c r="AA139" i="81"/>
  <c r="Z75" i="92"/>
  <c r="AB79" i="88"/>
  <c r="N114" i="83"/>
  <c r="Z63" i="87"/>
  <c r="AA160" i="91"/>
  <c r="L67" i="89"/>
  <c r="L137" i="89"/>
  <c r="Y110" i="85"/>
  <c r="AB99" i="83"/>
  <c r="O17" i="74"/>
  <c r="O92" i="81"/>
  <c r="L80" i="88"/>
  <c r="O136" i="94"/>
  <c r="O113" i="82"/>
  <c r="AB66" i="88"/>
  <c r="O126" i="81"/>
  <c r="X117" i="91"/>
  <c r="M59" i="85"/>
  <c r="AB152" i="89"/>
  <c r="Q35" i="74"/>
  <c r="O88" i="87"/>
  <c r="AB35" i="94"/>
  <c r="Q185" i="91"/>
  <c r="P109" i="89"/>
  <c r="O79" i="74"/>
  <c r="Y156" i="83"/>
  <c r="AA90" i="87"/>
  <c r="Y164" i="94"/>
  <c r="AA23" i="88"/>
  <c r="T180" i="88"/>
  <c r="P156" i="74"/>
  <c r="P64" i="93"/>
  <c r="AB126" i="94"/>
  <c r="AA23" i="87"/>
  <c r="Z147" i="74"/>
  <c r="Y21" i="81"/>
  <c r="Y35" i="88"/>
  <c r="Z87" i="93"/>
  <c r="L145" i="87"/>
  <c r="AA82" i="74"/>
  <c r="AA77" i="85"/>
  <c r="O81" i="74"/>
  <c r="Y19" i="88"/>
  <c r="Q17" i="89"/>
  <c r="X160" i="83"/>
  <c r="AA134" i="82"/>
  <c r="P49" i="87"/>
  <c r="X148" i="85"/>
  <c r="Q106" i="84"/>
  <c r="Y45" i="94"/>
  <c r="P121" i="82"/>
  <c r="AA154" i="91"/>
  <c r="AB125" i="89"/>
  <c r="O64" i="91"/>
  <c r="X125" i="82"/>
  <c r="Y166" i="85"/>
  <c r="AA132" i="82"/>
  <c r="Q79" i="88"/>
  <c r="O114" i="74"/>
  <c r="O77" i="89"/>
  <c r="P162" i="92"/>
  <c r="P176" i="74"/>
  <c r="AB74" i="93"/>
  <c r="O151" i="92"/>
  <c r="P116" i="93"/>
  <c r="X159" i="89"/>
  <c r="L164" i="88"/>
  <c r="O59" i="94"/>
  <c r="X86" i="94"/>
  <c r="Z131" i="82"/>
  <c r="AA100" i="81"/>
  <c r="Z97" i="83"/>
  <c r="Y144" i="74"/>
  <c r="T99" i="85"/>
  <c r="Z132" i="88"/>
  <c r="L104" i="87"/>
  <c r="Y164" i="87"/>
  <c r="O129" i="74"/>
  <c r="P176" i="85"/>
  <c r="P182" i="81"/>
  <c r="M57" i="87"/>
  <c r="O82" i="88"/>
  <c r="P111" i="92"/>
  <c r="O168" i="81"/>
  <c r="O152" i="84"/>
  <c r="Z99" i="93"/>
  <c r="T135" i="83"/>
  <c r="AA43" i="84"/>
  <c r="Z9" i="94"/>
  <c r="X173" i="85"/>
  <c r="L70" i="82"/>
  <c r="P81" i="92"/>
  <c r="X31" i="91"/>
  <c r="Q179" i="85"/>
  <c r="T159" i="85"/>
  <c r="L181" i="88"/>
  <c r="P102" i="91"/>
  <c r="Q153" i="88"/>
  <c r="Q61" i="85"/>
  <c r="O84" i="89"/>
  <c r="X93" i="85"/>
  <c r="O82" i="89"/>
  <c r="L139" i="94"/>
  <c r="AA168" i="88"/>
  <c r="AB117" i="84"/>
  <c r="Y45" i="84"/>
  <c r="P120" i="82"/>
  <c r="L82" i="91"/>
  <c r="Y75" i="94"/>
  <c r="Z149" i="87"/>
  <c r="Z119" i="93"/>
  <c r="P41" i="88"/>
  <c r="O100" i="83"/>
  <c r="O139" i="74"/>
  <c r="P184" i="93"/>
  <c r="Q69" i="92"/>
  <c r="Y171" i="91"/>
  <c r="Z59" i="88"/>
  <c r="X103" i="83"/>
  <c r="Q145" i="81"/>
  <c r="AB147" i="84"/>
  <c r="O147" i="94"/>
  <c r="O19" i="82"/>
  <c r="Z70" i="88"/>
  <c r="M23" i="87"/>
  <c r="Z99" i="82"/>
  <c r="O178" i="88"/>
  <c r="Q21" i="87"/>
  <c r="X100" i="88"/>
  <c r="T27" i="85"/>
  <c r="X61" i="92"/>
  <c r="O132" i="82"/>
  <c r="Y99" i="82"/>
  <c r="P117" i="82"/>
  <c r="N129" i="84"/>
  <c r="L84" i="92"/>
  <c r="O90" i="83"/>
  <c r="P86" i="87"/>
  <c r="Q166" i="88"/>
  <c r="X156" i="74"/>
  <c r="L185" i="89"/>
  <c r="Z23" i="92"/>
  <c r="X161" i="92"/>
  <c r="Q27" i="94"/>
  <c r="Y11" i="94"/>
  <c r="P116" i="74"/>
  <c r="P103" i="88"/>
  <c r="Q78" i="81"/>
  <c r="L114" i="91"/>
  <c r="Q132" i="82"/>
  <c r="AB99" i="89"/>
  <c r="Z152" i="92"/>
  <c r="Y70" i="94"/>
  <c r="Z104" i="87"/>
  <c r="AB157" i="83"/>
  <c r="AA25" i="83"/>
  <c r="Z124" i="93"/>
  <c r="AB82" i="88"/>
  <c r="P49" i="92"/>
  <c r="O141" i="82"/>
  <c r="AA94" i="91"/>
  <c r="Q85" i="88"/>
  <c r="Q23" i="87"/>
  <c r="O108" i="93"/>
  <c r="AA145" i="87"/>
  <c r="Q76" i="92"/>
  <c r="O151" i="83"/>
  <c r="P151" i="93"/>
  <c r="AA171" i="94"/>
  <c r="L142" i="82"/>
  <c r="M57" i="83"/>
  <c r="L92" i="89"/>
  <c r="X99" i="91"/>
  <c r="P72" i="91"/>
  <c r="O136" i="87"/>
  <c r="M25" i="92"/>
  <c r="AA25" i="94"/>
  <c r="AB138" i="92"/>
  <c r="L92" i="91"/>
  <c r="L174" i="85"/>
  <c r="AB97" i="91"/>
  <c r="P139" i="85"/>
  <c r="AA159" i="91"/>
  <c r="Y175" i="87"/>
  <c r="AA150" i="87"/>
  <c r="O69" i="88"/>
  <c r="Y163" i="93"/>
  <c r="O87" i="83"/>
  <c r="L71" i="81"/>
  <c r="AA65" i="94"/>
  <c r="Y61" i="81"/>
  <c r="X168" i="84"/>
  <c r="Z129" i="85"/>
  <c r="Y134" i="82"/>
  <c r="AA73" i="91"/>
  <c r="P104" i="84"/>
  <c r="AB21" i="82"/>
  <c r="X160" i="87"/>
  <c r="Q79" i="85"/>
  <c r="X59" i="84"/>
  <c r="P127" i="74"/>
  <c r="Q161" i="74"/>
  <c r="AB19" i="93"/>
  <c r="Q151" i="93"/>
  <c r="N45" i="91"/>
  <c r="P9" i="82"/>
  <c r="AA78" i="89"/>
  <c r="AA80" i="83"/>
  <c r="X57" i="89"/>
  <c r="Q43" i="91"/>
  <c r="AB68" i="85"/>
  <c r="M53" i="84"/>
  <c r="Q152" i="84"/>
  <c r="L133" i="89"/>
  <c r="L112" i="93"/>
  <c r="Q168" i="81"/>
  <c r="O163" i="89"/>
  <c r="X119" i="88"/>
  <c r="Y168" i="82"/>
  <c r="AB69" i="85"/>
  <c r="AA169" i="83"/>
  <c r="Z41" i="74"/>
  <c r="O155" i="89"/>
  <c r="AB123" i="82"/>
  <c r="N165" i="82"/>
  <c r="AB114" i="92"/>
  <c r="L98" i="83"/>
  <c r="L73" i="82"/>
  <c r="Z9" i="82"/>
  <c r="Z15" i="92"/>
  <c r="P144" i="85"/>
  <c r="L95" i="91"/>
  <c r="Y113" i="88"/>
  <c r="N138" i="81"/>
  <c r="Q93" i="83"/>
  <c r="AB168" i="93"/>
  <c r="O160" i="82"/>
  <c r="Y100" i="81"/>
  <c r="P105" i="74"/>
  <c r="AB136" i="85"/>
  <c r="AB99" i="87"/>
  <c r="AA43" i="82"/>
  <c r="Y133" i="83"/>
  <c r="AA89" i="92"/>
  <c r="L176" i="92"/>
  <c r="O175" i="93"/>
  <c r="Y133" i="82"/>
  <c r="Y55" i="89"/>
  <c r="M47" i="84"/>
  <c r="P174" i="81"/>
  <c r="X105" i="92"/>
  <c r="O111" i="74"/>
  <c r="T153" i="93"/>
  <c r="AB29" i="88"/>
  <c r="AA97" i="85"/>
  <c r="AA79" i="83"/>
  <c r="P63" i="87"/>
  <c r="Q53" i="93"/>
  <c r="Y109" i="91"/>
  <c r="Q65" i="74"/>
  <c r="O87" i="87"/>
  <c r="Q138" i="74"/>
  <c r="AB96" i="81"/>
  <c r="X99" i="88"/>
  <c r="X168" i="81"/>
  <c r="T129" i="92"/>
  <c r="X43" i="84"/>
  <c r="O152" i="83"/>
  <c r="Z155" i="88"/>
  <c r="O162" i="93"/>
  <c r="AA64" i="82"/>
  <c r="L158" i="74"/>
  <c r="O13" i="94"/>
  <c r="O49" i="81"/>
  <c r="L128" i="93"/>
  <c r="P86" i="74"/>
  <c r="Q66" i="74"/>
  <c r="T162" i="83"/>
  <c r="O125" i="74"/>
  <c r="AB73" i="87"/>
  <c r="O95" i="87"/>
  <c r="Y85" i="93"/>
  <c r="Y39" i="89"/>
  <c r="P155" i="92"/>
  <c r="Y103" i="83"/>
  <c r="Q162" i="84"/>
  <c r="L71" i="82"/>
  <c r="L96" i="81"/>
  <c r="AB63" i="82"/>
  <c r="Y124" i="92"/>
  <c r="Y91" i="87"/>
  <c r="P13" i="92"/>
  <c r="P169" i="93"/>
  <c r="Y21" i="89"/>
  <c r="P59" i="89"/>
  <c r="AB118" i="88"/>
  <c r="L63" i="87"/>
  <c r="X136" i="88"/>
  <c r="Q181" i="83"/>
  <c r="Q90" i="74"/>
  <c r="T90" i="88"/>
  <c r="N123" i="81"/>
  <c r="L153" i="89"/>
  <c r="Z65" i="81"/>
  <c r="P172" i="88"/>
  <c r="Q178" i="92"/>
  <c r="M11" i="91"/>
  <c r="N75" i="81"/>
  <c r="Y127" i="87"/>
  <c r="Y138" i="88"/>
  <c r="P29" i="83"/>
  <c r="O64" i="83"/>
  <c r="O158" i="93"/>
  <c r="AB132" i="93"/>
  <c r="L94" i="84"/>
  <c r="X135" i="74"/>
  <c r="Z96" i="88"/>
  <c r="Q142" i="88"/>
  <c r="X148" i="88"/>
  <c r="P82" i="93"/>
  <c r="Z70" i="81"/>
  <c r="P126" i="81"/>
  <c r="Z65" i="88"/>
  <c r="X9" i="81"/>
  <c r="P137" i="88"/>
  <c r="AB112" i="85"/>
  <c r="Q124" i="84"/>
  <c r="AB144" i="85"/>
  <c r="O101" i="74"/>
  <c r="O155" i="85"/>
  <c r="X69" i="85"/>
  <c r="Y37" i="74"/>
  <c r="T114" i="88"/>
  <c r="Y118" i="88"/>
  <c r="Q104" i="83"/>
  <c r="X180" i="82"/>
  <c r="AB17" i="94"/>
  <c r="X66" i="81"/>
  <c r="AA45" i="88"/>
  <c r="O180" i="74"/>
  <c r="Z154" i="84"/>
  <c r="Z134" i="92"/>
  <c r="P176" i="87"/>
  <c r="AA114" i="81"/>
  <c r="Q77" i="82"/>
  <c r="O11" i="92"/>
  <c r="L110" i="85"/>
  <c r="O157" i="85"/>
  <c r="Z119" i="81"/>
  <c r="O68" i="94"/>
  <c r="O152" i="89"/>
  <c r="Z119" i="74"/>
  <c r="T96" i="89"/>
  <c r="O124" i="88"/>
  <c r="O108" i="85"/>
  <c r="Q137" i="82"/>
  <c r="Z163" i="85"/>
  <c r="AA21" i="92"/>
  <c r="O146" i="87"/>
  <c r="AA124" i="89"/>
  <c r="Z126" i="83"/>
  <c r="AB11" i="93"/>
  <c r="P55" i="81"/>
  <c r="AB76" i="84"/>
  <c r="T117" i="74"/>
  <c r="P103" i="74"/>
  <c r="P164" i="83"/>
  <c r="Z165" i="83"/>
  <c r="AA176" i="83"/>
  <c r="P180" i="87"/>
  <c r="Z105" i="74"/>
  <c r="AA177" i="81"/>
  <c r="AA83" i="87"/>
  <c r="P122" i="84"/>
  <c r="AA73" i="83"/>
  <c r="Q172" i="92"/>
  <c r="X121" i="88"/>
  <c r="Q124" i="85"/>
  <c r="Y70" i="81"/>
  <c r="Z168" i="94"/>
  <c r="N111" i="74"/>
  <c r="AA160" i="74"/>
  <c r="AB105" i="93"/>
  <c r="N180" i="82"/>
  <c r="Y142" i="91"/>
  <c r="O182" i="74"/>
  <c r="L74" i="83"/>
  <c r="Z63" i="81"/>
  <c r="L103" i="83"/>
  <c r="O15" i="82"/>
  <c r="O92" i="74"/>
  <c r="Y107" i="82"/>
  <c r="N27" i="85"/>
  <c r="P116" i="83"/>
  <c r="T9" i="87"/>
  <c r="AB128" i="82"/>
  <c r="Q101" i="82"/>
  <c r="P88" i="89"/>
  <c r="O90" i="89"/>
  <c r="X180" i="94"/>
  <c r="AB149" i="87"/>
  <c r="X73" i="83"/>
  <c r="AB142" i="91"/>
  <c r="Y163" i="85"/>
  <c r="M31" i="74"/>
  <c r="Z64" i="89"/>
  <c r="AB41" i="85"/>
  <c r="N69" i="92"/>
  <c r="AB145" i="89"/>
  <c r="AA103" i="88"/>
  <c r="X101" i="93"/>
  <c r="O41" i="85"/>
  <c r="L95" i="93"/>
  <c r="P69" i="82"/>
  <c r="O140" i="92"/>
  <c r="Q83" i="84"/>
  <c r="AA171" i="74"/>
  <c r="Y43" i="88"/>
  <c r="Q96" i="93"/>
  <c r="L88" i="93"/>
  <c r="T138" i="89"/>
  <c r="O185" i="94"/>
  <c r="P121" i="93"/>
  <c r="L152" i="81"/>
  <c r="T102" i="87"/>
  <c r="X165" i="91"/>
  <c r="AA81" i="85"/>
  <c r="Z136" i="87"/>
  <c r="P15" i="83"/>
  <c r="Y147" i="84"/>
  <c r="X25" i="87"/>
  <c r="Z75" i="93"/>
  <c r="O92" i="94"/>
  <c r="Z149" i="91"/>
  <c r="AA150" i="83"/>
  <c r="T180" i="87"/>
  <c r="X159" i="88"/>
  <c r="X167" i="85"/>
  <c r="AA75" i="93"/>
  <c r="Q90" i="94"/>
  <c r="AB113" i="85"/>
  <c r="Z90" i="87"/>
  <c r="Z17" i="94"/>
  <c r="O125" i="82"/>
  <c r="T39" i="91"/>
  <c r="P167" i="92"/>
  <c r="Z69" i="82"/>
  <c r="O61" i="87"/>
  <c r="O164" i="85"/>
  <c r="X91" i="92"/>
  <c r="Y55" i="74"/>
  <c r="AA117" i="88"/>
  <c r="O102" i="88"/>
  <c r="AB165" i="94"/>
  <c r="Z95" i="85"/>
  <c r="Q105" i="84"/>
  <c r="Q179" i="74"/>
  <c r="L85" i="82"/>
  <c r="Y119" i="74"/>
  <c r="AB67" i="93"/>
  <c r="L178" i="83"/>
  <c r="Y68" i="85"/>
  <c r="Z86" i="85"/>
  <c r="Y129" i="94"/>
  <c r="Z140" i="83"/>
  <c r="O134" i="93"/>
  <c r="AA100" i="92"/>
  <c r="P142" i="83"/>
  <c r="N126" i="94"/>
  <c r="Z65" i="74"/>
  <c r="O127" i="87"/>
  <c r="O106" i="83"/>
  <c r="AB106" i="84"/>
  <c r="L68" i="85"/>
  <c r="N72" i="83"/>
  <c r="Z70" i="94"/>
  <c r="O172" i="85"/>
  <c r="X122" i="88"/>
  <c r="X87" i="83"/>
  <c r="T9" i="89"/>
  <c r="Y15" i="81"/>
  <c r="Q114" i="88"/>
  <c r="AA137" i="92"/>
  <c r="Y132" i="81"/>
  <c r="P39" i="93"/>
  <c r="Q126" i="94"/>
  <c r="X11" i="92"/>
  <c r="Y173" i="84"/>
  <c r="Q41" i="85"/>
  <c r="P134" i="84"/>
  <c r="Z27" i="87"/>
  <c r="Z103" i="92"/>
  <c r="Y100" i="83"/>
  <c r="Z75" i="91"/>
  <c r="L92" i="92"/>
  <c r="O163" i="81"/>
  <c r="Z135" i="83"/>
  <c r="P145" i="92"/>
  <c r="P178" i="92"/>
  <c r="Z164" i="91"/>
  <c r="Y111" i="83"/>
  <c r="AB135" i="82"/>
  <c r="L146" i="88"/>
  <c r="P177" i="88"/>
  <c r="O134" i="83"/>
  <c r="L156" i="81"/>
  <c r="AB65" i="91"/>
  <c r="O57" i="87"/>
  <c r="X85" i="85"/>
  <c r="AA39" i="81"/>
  <c r="P87" i="85"/>
  <c r="AB112" i="87"/>
  <c r="AB169" i="84"/>
  <c r="X174" i="83"/>
  <c r="AB115" i="87"/>
  <c r="O125" i="93"/>
  <c r="O148" i="89"/>
  <c r="Y149" i="74"/>
  <c r="AA102" i="91"/>
  <c r="X132" i="91"/>
  <c r="Q151" i="94"/>
  <c r="Z25" i="84"/>
  <c r="Z172" i="91"/>
  <c r="Z144" i="91"/>
  <c r="AB99" i="94"/>
  <c r="AA101" i="74"/>
  <c r="X130" i="94"/>
  <c r="L89" i="87"/>
  <c r="O85" i="91"/>
  <c r="AA129" i="84"/>
  <c r="AA128" i="94"/>
  <c r="O33" i="84"/>
  <c r="N21" i="85"/>
  <c r="AB33" i="92"/>
  <c r="Z75" i="85"/>
  <c r="Q157" i="89"/>
  <c r="AA155" i="74"/>
  <c r="P51" i="94"/>
  <c r="Z84" i="82"/>
  <c r="AA139" i="83"/>
  <c r="Q184" i="93"/>
  <c r="AA67" i="85"/>
  <c r="Y85" i="89"/>
  <c r="AA68" i="82"/>
  <c r="Y19" i="84"/>
  <c r="O147" i="87"/>
  <c r="Y99" i="94"/>
  <c r="AB91" i="84"/>
  <c r="AB158" i="84"/>
  <c r="T135" i="84"/>
  <c r="Z101" i="93"/>
  <c r="P144" i="87"/>
  <c r="T66" i="84"/>
  <c r="Z86" i="81"/>
  <c r="N51" i="87"/>
  <c r="AA47" i="81"/>
  <c r="AB13" i="93"/>
  <c r="Q134" i="85"/>
  <c r="X149" i="81"/>
  <c r="O78" i="85"/>
  <c r="T108" i="89"/>
  <c r="Q80" i="84"/>
  <c r="O19" i="88"/>
  <c r="AB75" i="82"/>
  <c r="Y175" i="82"/>
  <c r="AA47" i="88"/>
  <c r="Y72" i="88"/>
  <c r="AB133" i="81"/>
  <c r="Y126" i="94"/>
  <c r="M13" i="88"/>
  <c r="P77" i="91"/>
  <c r="AB94" i="81"/>
  <c r="N90" i="92"/>
  <c r="Z73" i="93"/>
  <c r="O39" i="82"/>
  <c r="O86" i="88"/>
  <c r="Y127" i="81"/>
  <c r="O19" i="74"/>
  <c r="P90" i="89"/>
  <c r="Y132" i="88"/>
  <c r="AB104" i="89"/>
  <c r="P173" i="89"/>
  <c r="Q154" i="87"/>
  <c r="Q151" i="84"/>
  <c r="Z76" i="85"/>
  <c r="AA164" i="94"/>
  <c r="X15" i="82"/>
  <c r="T27" i="91"/>
  <c r="X112" i="92"/>
  <c r="X122" i="91"/>
  <c r="L86" i="92"/>
  <c r="O9" i="83"/>
  <c r="X70" i="84"/>
  <c r="P142" i="87"/>
  <c r="AB143" i="88"/>
  <c r="Z148" i="91"/>
  <c r="Y95" i="81"/>
  <c r="L91" i="92"/>
  <c r="L64" i="92"/>
  <c r="L81" i="82"/>
  <c r="Q86" i="85"/>
  <c r="T78" i="84"/>
  <c r="Y180" i="83"/>
  <c r="AB19" i="87"/>
  <c r="L136" i="83"/>
  <c r="X103" i="74"/>
  <c r="Z31" i="84"/>
  <c r="Y89" i="88"/>
  <c r="O145" i="85"/>
  <c r="Q39" i="87"/>
  <c r="AB87" i="88"/>
  <c r="Z131" i="88"/>
  <c r="T153" i="92"/>
  <c r="P111" i="89"/>
  <c r="AB96" i="91"/>
  <c r="P171" i="85"/>
  <c r="N45" i="74"/>
  <c r="Y17" i="93"/>
  <c r="Z145" i="91"/>
  <c r="T93" i="74"/>
  <c r="T162" i="89"/>
  <c r="P151" i="81"/>
  <c r="P94" i="94"/>
  <c r="L143" i="92"/>
  <c r="L158" i="93"/>
  <c r="L89" i="93"/>
  <c r="Y177" i="82"/>
  <c r="Q23" i="83"/>
  <c r="Y63" i="91"/>
  <c r="AA76" i="82"/>
  <c r="P77" i="74"/>
  <c r="O53" i="82"/>
  <c r="AA164" i="93"/>
  <c r="X100" i="84"/>
  <c r="AB47" i="88"/>
  <c r="Y23" i="87"/>
  <c r="AB85" i="82"/>
  <c r="M33" i="85"/>
  <c r="Y135" i="82"/>
  <c r="L75" i="82"/>
  <c r="AA126" i="85"/>
  <c r="T66" i="93"/>
  <c r="O137" i="89"/>
  <c r="Q165" i="87"/>
  <c r="M61" i="87"/>
  <c r="AA131" i="89"/>
  <c r="Q119" i="74"/>
  <c r="N51" i="89"/>
  <c r="Y61" i="82"/>
  <c r="X114" i="85"/>
  <c r="T177" i="89"/>
  <c r="N144" i="93"/>
  <c r="Q88" i="87"/>
  <c r="X150" i="89"/>
  <c r="L66" i="89"/>
  <c r="O110" i="92"/>
  <c r="AB86" i="88"/>
  <c r="Q113" i="91"/>
  <c r="Y117" i="89"/>
  <c r="N120" i="89"/>
  <c r="Q157" i="94"/>
  <c r="P128" i="89"/>
  <c r="P49" i="89"/>
  <c r="Y152" i="94"/>
  <c r="AB177" i="89"/>
  <c r="P103" i="91"/>
  <c r="N111" i="91"/>
  <c r="M45" i="85"/>
  <c r="AB117" i="89"/>
  <c r="AB85" i="85"/>
  <c r="L93" i="81"/>
  <c r="P11" i="89"/>
  <c r="AA155" i="84"/>
  <c r="Q149" i="81"/>
  <c r="L104" i="74"/>
  <c r="P124" i="94"/>
  <c r="O68" i="83"/>
  <c r="Y128" i="74"/>
  <c r="AB63" i="88"/>
  <c r="N135" i="85"/>
  <c r="Z158" i="83"/>
  <c r="O140" i="82"/>
  <c r="Q70" i="87"/>
  <c r="Y29" i="85"/>
  <c r="P126" i="93"/>
  <c r="O167" i="84"/>
  <c r="T21" i="89"/>
  <c r="X53" i="74"/>
  <c r="O176" i="88"/>
  <c r="Z135" i="88"/>
  <c r="Y88" i="93"/>
  <c r="N33" i="89"/>
  <c r="L173" i="93"/>
  <c r="Q166" i="87"/>
  <c r="O33" i="94"/>
  <c r="Q80" i="81"/>
  <c r="Z102" i="88"/>
  <c r="Q107" i="94"/>
  <c r="L163" i="82"/>
  <c r="AA106" i="89"/>
  <c r="Z177" i="89"/>
  <c r="Q138" i="92"/>
  <c r="Q68" i="83"/>
  <c r="Q159" i="88"/>
  <c r="Q178" i="88"/>
  <c r="Y172" i="94"/>
  <c r="AA110" i="82"/>
  <c r="AA120" i="84"/>
  <c r="Z174" i="92"/>
  <c r="AB53" i="92"/>
  <c r="Y152" i="83"/>
  <c r="O111" i="92"/>
  <c r="O121" i="92"/>
  <c r="Z59" i="82"/>
  <c r="AB103" i="92"/>
  <c r="Z70" i="83"/>
  <c r="Z77" i="81"/>
  <c r="O112" i="88"/>
  <c r="T66" i="89"/>
  <c r="Y159" i="93"/>
  <c r="Y180" i="74"/>
  <c r="P129" i="92"/>
  <c r="Z134" i="85"/>
  <c r="O184" i="74"/>
  <c r="O133" i="84"/>
  <c r="Z152" i="81"/>
  <c r="Y111" i="91"/>
  <c r="AB108" i="93"/>
  <c r="X136" i="89"/>
  <c r="Z168" i="81"/>
  <c r="Y45" i="88"/>
  <c r="O98" i="84"/>
  <c r="P147" i="91"/>
  <c r="O117" i="88"/>
  <c r="Y128" i="85"/>
  <c r="L184" i="89"/>
  <c r="Y133" i="87"/>
  <c r="Z70" i="84"/>
  <c r="Y101" i="92"/>
  <c r="Q17" i="87"/>
  <c r="L140" i="93"/>
  <c r="M13" i="83"/>
  <c r="AA132" i="87"/>
  <c r="X161" i="85"/>
  <c r="Z113" i="94"/>
  <c r="L163" i="87"/>
  <c r="Q144" i="74"/>
  <c r="O145" i="84"/>
  <c r="L129" i="87"/>
  <c r="P173" i="93"/>
  <c r="O137" i="91"/>
  <c r="O114" i="85"/>
  <c r="L185" i="74"/>
  <c r="Q90" i="87"/>
  <c r="T51" i="91"/>
  <c r="P147" i="82"/>
  <c r="P102" i="83"/>
  <c r="Q149" i="89"/>
  <c r="M25" i="91"/>
  <c r="Z9" i="92"/>
  <c r="AB45" i="93"/>
  <c r="L130" i="88"/>
  <c r="Y131" i="88"/>
  <c r="Y29" i="88"/>
  <c r="Z104" i="82"/>
  <c r="AA47" i="93"/>
  <c r="Z94" i="91"/>
  <c r="N168" i="89"/>
  <c r="O129" i="82"/>
  <c r="AB81" i="82"/>
  <c r="M55" i="84"/>
  <c r="AB136" i="88"/>
  <c r="L149" i="74"/>
  <c r="Z112" i="93"/>
  <c r="O127" i="83"/>
  <c r="M11" i="81"/>
  <c r="O100" i="87"/>
  <c r="Q129" i="82"/>
  <c r="AA134" i="87"/>
  <c r="X72" i="85"/>
  <c r="AB55" i="92"/>
  <c r="O17" i="92"/>
  <c r="M15" i="74"/>
  <c r="AB110" i="92"/>
  <c r="AB168" i="83"/>
  <c r="L67" i="93"/>
  <c r="O41" i="83"/>
  <c r="AA149" i="84"/>
  <c r="X27" i="89"/>
  <c r="O69" i="92"/>
  <c r="L143" i="84"/>
  <c r="Y131" i="92"/>
  <c r="Y35" i="82"/>
  <c r="Q98" i="82"/>
  <c r="AB102" i="87"/>
  <c r="Y119" i="89"/>
  <c r="L79" i="89"/>
  <c r="L175" i="88"/>
  <c r="AB111" i="84"/>
  <c r="N132" i="88"/>
  <c r="Y137" i="89"/>
  <c r="O174" i="88"/>
  <c r="P117" i="89"/>
  <c r="AA68" i="88"/>
  <c r="X151" i="89"/>
  <c r="X11" i="83"/>
  <c r="AA51" i="85"/>
  <c r="Y86" i="74"/>
  <c r="Z96" i="91"/>
  <c r="AA39" i="93"/>
  <c r="Q158" i="84"/>
  <c r="L138" i="94"/>
  <c r="O174" i="81"/>
  <c r="L74" i="91"/>
  <c r="L118" i="82"/>
  <c r="X98" i="84"/>
  <c r="O161" i="94"/>
  <c r="T165" i="94"/>
  <c r="P59" i="88"/>
  <c r="AA129" i="89"/>
  <c r="Q149" i="82"/>
  <c r="X148" i="93"/>
  <c r="P70" i="88"/>
  <c r="Y161" i="83"/>
  <c r="Y21" i="84"/>
  <c r="N81" i="93"/>
  <c r="Q107" i="83"/>
  <c r="T126" i="88"/>
  <c r="Y119" i="83"/>
  <c r="AA174" i="83"/>
  <c r="Z101" i="94"/>
  <c r="Y157" i="84"/>
  <c r="AB161" i="92"/>
  <c r="L75" i="94"/>
  <c r="P169" i="81"/>
  <c r="T162" i="84"/>
  <c r="L145" i="89"/>
  <c r="P128" i="94"/>
  <c r="X39" i="91"/>
  <c r="O95" i="89"/>
  <c r="Y126" i="91"/>
  <c r="Z166" i="82"/>
  <c r="Z47" i="85"/>
  <c r="Q112" i="83"/>
  <c r="L77" i="87"/>
  <c r="X126" i="83"/>
  <c r="AA15" i="91"/>
  <c r="Z106" i="84"/>
  <c r="Z9" i="84"/>
  <c r="O131" i="92"/>
  <c r="L116" i="89"/>
  <c r="Z33" i="81"/>
  <c r="X23" i="84"/>
  <c r="AB66" i="91"/>
  <c r="Y104" i="92"/>
  <c r="X55" i="82"/>
  <c r="Z71" i="84"/>
  <c r="AA126" i="84"/>
  <c r="Y53" i="88"/>
  <c r="O181" i="93"/>
  <c r="Q157" i="83"/>
  <c r="Y67" i="74"/>
  <c r="Q91" i="83"/>
  <c r="Q133" i="87"/>
  <c r="AA91" i="84"/>
  <c r="P102" i="89"/>
  <c r="P88" i="91"/>
  <c r="P104" i="85"/>
  <c r="Q116" i="88"/>
  <c r="P68" i="92"/>
  <c r="L132" i="93"/>
  <c r="AA116" i="84"/>
  <c r="L148" i="89"/>
  <c r="O90" i="74"/>
  <c r="T27" i="92"/>
  <c r="Z85" i="84"/>
  <c r="Q63" i="83"/>
  <c r="Q169" i="83"/>
  <c r="Y41" i="81"/>
  <c r="Y94" i="74"/>
  <c r="Q143" i="74"/>
  <c r="Q138" i="94"/>
  <c r="Q85" i="92"/>
  <c r="AA109" i="88"/>
  <c r="AA63" i="87"/>
  <c r="Z172" i="83"/>
  <c r="AA51" i="87"/>
  <c r="X132" i="85"/>
  <c r="Y73" i="89"/>
  <c r="Y134" i="87"/>
  <c r="O59" i="93"/>
  <c r="AB29" i="83"/>
  <c r="Q64" i="74"/>
  <c r="P137" i="84"/>
  <c r="N21" i="89"/>
  <c r="L108" i="81"/>
  <c r="X152" i="82"/>
  <c r="L108" i="89"/>
  <c r="P126" i="89"/>
  <c r="AB15" i="83"/>
  <c r="L118" i="93"/>
  <c r="AB126" i="82"/>
  <c r="Z67" i="94"/>
  <c r="L68" i="89"/>
  <c r="P65" i="85"/>
  <c r="X159" i="92"/>
  <c r="O47" i="89"/>
  <c r="Q160" i="85"/>
  <c r="N81" i="89"/>
  <c r="O155" i="88"/>
  <c r="L138" i="92"/>
  <c r="Y93" i="92"/>
  <c r="P101" i="92"/>
  <c r="Q108" i="91"/>
  <c r="M19" i="94"/>
  <c r="P41" i="84"/>
  <c r="X64" i="93"/>
  <c r="N90" i="84"/>
  <c r="X91" i="84"/>
  <c r="AB25" i="87"/>
  <c r="Q136" i="94"/>
  <c r="X156" i="89"/>
  <c r="X96" i="83"/>
  <c r="Y84" i="82"/>
  <c r="T123" i="91"/>
  <c r="O156" i="91"/>
  <c r="AA144" i="83"/>
  <c r="O141" i="74"/>
  <c r="O134" i="92"/>
  <c r="Y9" i="88"/>
  <c r="X132" i="87"/>
  <c r="X176" i="94"/>
  <c r="X166" i="94"/>
  <c r="AA74" i="88"/>
  <c r="Z63" i="88"/>
  <c r="O25" i="93"/>
  <c r="Q139" i="91"/>
  <c r="N126" i="82"/>
  <c r="P49" i="81"/>
  <c r="T72" i="82"/>
  <c r="Q109" i="91"/>
  <c r="X92" i="82"/>
  <c r="Q105" i="91"/>
  <c r="M9" i="94"/>
  <c r="Y123" i="89"/>
  <c r="O122" i="93"/>
  <c r="P118" i="94"/>
  <c r="AA156" i="81"/>
  <c r="M15" i="84"/>
  <c r="AA74" i="85"/>
  <c r="Q63" i="85"/>
  <c r="N159" i="85"/>
  <c r="O124" i="91"/>
  <c r="P84" i="83"/>
  <c r="O85" i="93"/>
  <c r="Q153" i="94"/>
  <c r="L171" i="87"/>
  <c r="Z134" i="83"/>
  <c r="Q108" i="93"/>
  <c r="P143" i="82"/>
  <c r="P57" i="84"/>
  <c r="AA164" i="89"/>
  <c r="P98" i="89"/>
  <c r="N168" i="82"/>
  <c r="Q110" i="91"/>
  <c r="Y47" i="91"/>
  <c r="Z19" i="92"/>
  <c r="O128" i="87"/>
  <c r="Z31" i="91"/>
  <c r="AA162" i="91"/>
  <c r="Q137" i="92"/>
  <c r="O25" i="85"/>
  <c r="Z173" i="82"/>
  <c r="N180" i="88"/>
  <c r="Y170" i="81"/>
  <c r="Z130" i="82"/>
  <c r="X94" i="94"/>
  <c r="P67" i="89"/>
  <c r="X148" i="87"/>
  <c r="Q15" i="89"/>
  <c r="AA97" i="81"/>
  <c r="N87" i="83"/>
  <c r="X88" i="94"/>
  <c r="Q106" i="85"/>
  <c r="M59" i="82"/>
  <c r="Z17" i="74"/>
  <c r="X59" i="83"/>
  <c r="N114" i="82"/>
  <c r="AB92" i="89"/>
  <c r="L98" i="82"/>
  <c r="AA136" i="89"/>
  <c r="AA70" i="85"/>
  <c r="AB78" i="82"/>
  <c r="N78" i="83"/>
  <c r="AB128" i="81"/>
  <c r="Y100" i="82"/>
  <c r="Q94" i="93"/>
  <c r="AB83" i="83"/>
  <c r="Z163" i="81"/>
  <c r="L87" i="82"/>
  <c r="L176" i="82"/>
  <c r="L103" i="81"/>
  <c r="AA57" i="84"/>
  <c r="Z100" i="84"/>
  <c r="Y103" i="74"/>
  <c r="Q141" i="93"/>
  <c r="T144" i="81"/>
  <c r="X82" i="87"/>
  <c r="AB140" i="87"/>
  <c r="P153" i="87"/>
  <c r="X37" i="83"/>
  <c r="Z105" i="89"/>
  <c r="T72" i="92"/>
  <c r="Q159" i="89"/>
  <c r="X51" i="85"/>
  <c r="O159" i="87"/>
  <c r="Y124" i="74"/>
  <c r="AA94" i="85"/>
  <c r="Z120" i="74"/>
  <c r="T99" i="74"/>
  <c r="AB162" i="91"/>
  <c r="O138" i="84"/>
  <c r="P182" i="92"/>
  <c r="O170" i="89"/>
  <c r="Q117" i="94"/>
  <c r="AA39" i="85"/>
  <c r="Z153" i="83"/>
  <c r="M47" i="91"/>
  <c r="AA88" i="91"/>
  <c r="O21" i="93"/>
  <c r="Y129" i="82"/>
  <c r="Y104" i="89"/>
  <c r="P174" i="83"/>
  <c r="P85" i="85"/>
  <c r="O51" i="83"/>
  <c r="P15" i="82"/>
  <c r="Y122" i="93"/>
  <c r="O153" i="94"/>
  <c r="Q98" i="74"/>
  <c r="Z128" i="87"/>
  <c r="P166" i="89"/>
  <c r="Z79" i="93"/>
  <c r="P141" i="84"/>
  <c r="Q163" i="87"/>
  <c r="Z157" i="83"/>
  <c r="Q105" i="83"/>
  <c r="AA166" i="92"/>
  <c r="Q71" i="85"/>
  <c r="Q157" i="84"/>
  <c r="Z31" i="85"/>
  <c r="P167" i="93"/>
  <c r="O89" i="93"/>
  <c r="O102" i="81"/>
  <c r="O61" i="89"/>
  <c r="AA83" i="91"/>
  <c r="O97" i="88"/>
  <c r="L64" i="82"/>
  <c r="Q123" i="91"/>
  <c r="O79" i="91"/>
  <c r="L144" i="93"/>
  <c r="X21" i="88"/>
  <c r="Q131" i="93"/>
  <c r="AA177" i="88"/>
  <c r="O118" i="83"/>
  <c r="Y51" i="87"/>
  <c r="AA176" i="92"/>
  <c r="Y76" i="88"/>
  <c r="L169" i="94"/>
  <c r="AB136" i="89"/>
  <c r="T66" i="91"/>
  <c r="AB177" i="87"/>
  <c r="T162" i="87"/>
  <c r="X132" i="93"/>
  <c r="Q114" i="81"/>
  <c r="AA156" i="89"/>
  <c r="L147" i="91"/>
  <c r="X144" i="83"/>
  <c r="L136" i="93"/>
  <c r="Q37" i="88"/>
  <c r="O37" i="82"/>
  <c r="X78" i="92"/>
  <c r="P29" i="88"/>
  <c r="Q119" i="85"/>
  <c r="Q182" i="85"/>
  <c r="P89" i="83"/>
  <c r="AA132" i="88"/>
  <c r="N168" i="87"/>
  <c r="Z21" i="87"/>
  <c r="Y102" i="92"/>
  <c r="AA59" i="82"/>
  <c r="L149" i="91"/>
  <c r="Z17" i="87"/>
  <c r="X150" i="93"/>
  <c r="T171" i="74"/>
  <c r="P143" i="85"/>
  <c r="N123" i="85"/>
  <c r="Q109" i="74"/>
  <c r="L65" i="91"/>
  <c r="Q181" i="81"/>
  <c r="X105" i="84"/>
  <c r="X101" i="83"/>
  <c r="O153" i="74"/>
  <c r="O65" i="82"/>
  <c r="Y15" i="89"/>
  <c r="N45" i="81"/>
  <c r="O154" i="88"/>
  <c r="M53" i="92"/>
  <c r="P90" i="84"/>
  <c r="AA115" i="74"/>
  <c r="Z117" i="84"/>
  <c r="L172" i="93"/>
  <c r="L156" i="82"/>
  <c r="Y162" i="82"/>
  <c r="AB177" i="82"/>
  <c r="P17" i="84"/>
  <c r="P57" i="82"/>
  <c r="L124" i="94"/>
  <c r="Y162" i="84"/>
  <c r="P61" i="87"/>
  <c r="Q33" i="94"/>
  <c r="Z144" i="87"/>
  <c r="Q70" i="82"/>
  <c r="X174" i="82"/>
  <c r="AA101" i="92"/>
  <c r="Y91" i="88"/>
  <c r="Q55" i="85"/>
  <c r="Y105" i="85"/>
  <c r="O120" i="82"/>
  <c r="Q89" i="82"/>
  <c r="Y172" i="74"/>
  <c r="Q74" i="81"/>
  <c r="Y57" i="94"/>
  <c r="M35" i="84"/>
  <c r="O92" i="85"/>
  <c r="AB129" i="94"/>
  <c r="Z124" i="88"/>
  <c r="AA156" i="82"/>
  <c r="AA124" i="91"/>
  <c r="Q136" i="88"/>
  <c r="Q131" i="89"/>
  <c r="Z145" i="81"/>
  <c r="P160" i="92"/>
  <c r="AA41" i="84"/>
  <c r="Z134" i="74"/>
  <c r="O167" i="92"/>
  <c r="O47" i="74"/>
  <c r="X136" i="83"/>
  <c r="X76" i="94"/>
  <c r="N159" i="74"/>
  <c r="Q152" i="94"/>
  <c r="O183" i="91"/>
  <c r="Y108" i="93"/>
  <c r="O105" i="82"/>
  <c r="Q168" i="89"/>
  <c r="P157" i="85"/>
  <c r="X90" i="83"/>
  <c r="X25" i="93"/>
  <c r="AB74" i="91"/>
  <c r="O75" i="85"/>
  <c r="O156" i="94"/>
  <c r="N123" i="84"/>
  <c r="Q47" i="74"/>
  <c r="AA66" i="82"/>
  <c r="T171" i="83"/>
  <c r="P115" i="83"/>
  <c r="Y151" i="74"/>
  <c r="Q163" i="91"/>
  <c r="P118" i="92"/>
  <c r="Q78" i="91"/>
  <c r="O23" i="74"/>
  <c r="N123" i="88"/>
  <c r="AB150" i="91"/>
  <c r="N87" i="82"/>
  <c r="O69" i="83"/>
  <c r="AB72" i="88"/>
  <c r="M37" i="83"/>
  <c r="AA25" i="89"/>
  <c r="Y43" i="87"/>
  <c r="N132" i="87"/>
  <c r="Q74" i="87"/>
  <c r="AA167" i="82"/>
  <c r="X25" i="84"/>
  <c r="L178" i="82"/>
  <c r="O93" i="94"/>
  <c r="AB143" i="82"/>
  <c r="Q104" i="85"/>
  <c r="Q120" i="85"/>
  <c r="Q55" i="89"/>
  <c r="T174" i="81"/>
  <c r="O139" i="94"/>
  <c r="P167" i="88"/>
  <c r="P53" i="88"/>
  <c r="AA129" i="91"/>
  <c r="T99" i="82"/>
  <c r="P33" i="74"/>
  <c r="Y83" i="82"/>
  <c r="X53" i="85"/>
  <c r="P87" i="81"/>
  <c r="P142" i="82"/>
  <c r="Z115" i="81"/>
  <c r="AB162" i="93"/>
  <c r="L112" i="89"/>
  <c r="P163" i="87"/>
  <c r="T150" i="87"/>
  <c r="AA67" i="83"/>
  <c r="AA157" i="92"/>
  <c r="N156" i="89"/>
  <c r="P135" i="92"/>
  <c r="P148" i="89"/>
  <c r="L166" i="91"/>
  <c r="P146" i="85"/>
  <c r="Q97" i="82"/>
  <c r="Z164" i="81"/>
  <c r="T57" i="89"/>
  <c r="L63" i="84"/>
  <c r="AB85" i="92"/>
  <c r="AA41" i="89"/>
  <c r="AA67" i="91"/>
  <c r="AB39" i="89"/>
  <c r="Y137" i="83"/>
  <c r="AA79" i="92"/>
  <c r="Z142" i="81"/>
  <c r="L80" i="92"/>
  <c r="AA87" i="91"/>
  <c r="X49" i="84"/>
  <c r="O127" i="93"/>
  <c r="Q148" i="87"/>
  <c r="Y37" i="84"/>
  <c r="Z73" i="92"/>
  <c r="AA121" i="88"/>
  <c r="Q185" i="84"/>
  <c r="Y147" i="91"/>
  <c r="AA96" i="89"/>
  <c r="X78" i="87"/>
  <c r="P76" i="94"/>
  <c r="AA141" i="84"/>
  <c r="AA15" i="85"/>
  <c r="X86" i="89"/>
  <c r="Y109" i="88"/>
  <c r="P170" i="81"/>
  <c r="AB156" i="84"/>
  <c r="Y91" i="74"/>
  <c r="X112" i="87"/>
  <c r="T102" i="74"/>
  <c r="Y71" i="94"/>
  <c r="P88" i="84"/>
  <c r="Y71" i="82"/>
  <c r="X138" i="94"/>
  <c r="Q111" i="87"/>
  <c r="AA142" i="81"/>
  <c r="X108" i="81"/>
  <c r="Y55" i="91"/>
  <c r="N135" i="84"/>
  <c r="O122" i="82"/>
  <c r="L141" i="83"/>
  <c r="O156" i="89"/>
  <c r="Z170" i="94"/>
  <c r="AA31" i="87"/>
  <c r="AA127" i="85"/>
  <c r="AB70" i="85"/>
  <c r="X110" i="84"/>
  <c r="Y167" i="84"/>
  <c r="X146" i="94"/>
  <c r="O110" i="88"/>
  <c r="AA138" i="94"/>
  <c r="Q23" i="74"/>
  <c r="X138" i="84"/>
  <c r="X138" i="91"/>
  <c r="M31" i="81"/>
  <c r="AA31" i="84"/>
  <c r="X27" i="91"/>
  <c r="Q170" i="91"/>
  <c r="L143" i="82"/>
  <c r="Q90" i="81"/>
  <c r="X13" i="82"/>
  <c r="T159" i="83"/>
  <c r="AA23" i="91"/>
  <c r="O142" i="81"/>
  <c r="X21" i="87"/>
  <c r="Q100" i="83"/>
  <c r="Q103" i="74"/>
  <c r="M57" i="85"/>
  <c r="Y127" i="93"/>
  <c r="Y21" i="85"/>
  <c r="P95" i="81"/>
  <c r="O39" i="84"/>
  <c r="X149" i="89"/>
  <c r="N174" i="85"/>
  <c r="N78" i="81"/>
  <c r="AB116" i="83"/>
  <c r="P88" i="74"/>
  <c r="X128" i="91"/>
  <c r="AB95" i="82"/>
  <c r="O84" i="85"/>
  <c r="Q177" i="82"/>
  <c r="P181" i="89"/>
  <c r="Q53" i="85"/>
  <c r="O94" i="85"/>
  <c r="Q148" i="81"/>
  <c r="O112" i="85"/>
  <c r="P110" i="74"/>
  <c r="O100" i="82"/>
  <c r="Q75" i="84"/>
  <c r="L93" i="82"/>
  <c r="AB118" i="83"/>
  <c r="AB144" i="93"/>
  <c r="N78" i="93"/>
  <c r="AA120" i="87"/>
  <c r="AA161" i="93"/>
  <c r="Z112" i="83"/>
  <c r="Z109" i="92"/>
  <c r="P138" i="81"/>
  <c r="Q104" i="94"/>
  <c r="Y49" i="91"/>
  <c r="X159" i="82"/>
  <c r="O150" i="89"/>
  <c r="Q157" i="82"/>
  <c r="O143" i="84"/>
  <c r="AB79" i="89"/>
  <c r="P94" i="81"/>
  <c r="AB139" i="88"/>
  <c r="L68" i="92"/>
  <c r="Q127" i="83"/>
  <c r="Q177" i="92"/>
  <c r="X98" i="81"/>
  <c r="AA134" i="92"/>
  <c r="Q17" i="94"/>
  <c r="L64" i="93"/>
  <c r="N78" i="74"/>
  <c r="Z78" i="82"/>
  <c r="L134" i="81"/>
  <c r="O117" i="84"/>
  <c r="O121" i="89"/>
  <c r="P57" i="74"/>
  <c r="O128" i="92"/>
  <c r="Y87" i="84"/>
  <c r="L110" i="83"/>
  <c r="P116" i="85"/>
  <c r="Z137" i="87"/>
  <c r="Z51" i="84"/>
  <c r="Z72" i="92"/>
  <c r="Y166" i="84"/>
  <c r="O72" i="93"/>
  <c r="X76" i="88"/>
  <c r="O127" i="92"/>
  <c r="L97" i="81"/>
  <c r="Y118" i="82"/>
  <c r="X93" i="88"/>
  <c r="L131" i="82"/>
  <c r="Y88" i="85"/>
  <c r="Q33" i="83"/>
  <c r="P104" i="88"/>
  <c r="AB75" i="92"/>
  <c r="P74" i="83"/>
  <c r="P147" i="85"/>
  <c r="X19" i="85"/>
  <c r="Q174" i="92"/>
  <c r="Y122" i="83"/>
  <c r="O152" i="74"/>
  <c r="Z108" i="82"/>
  <c r="X49" i="83"/>
  <c r="L137" i="82"/>
  <c r="X127" i="88"/>
  <c r="Q127" i="81"/>
  <c r="Q148" i="93"/>
  <c r="X108" i="74"/>
  <c r="P82" i="82"/>
  <c r="Y21" i="83"/>
  <c r="Z135" i="74"/>
  <c r="P156" i="92"/>
  <c r="P185" i="88"/>
  <c r="O96" i="87"/>
  <c r="AB105" i="94"/>
  <c r="Z116" i="85"/>
  <c r="Y155" i="74"/>
  <c r="AB177" i="88"/>
  <c r="L136" i="81"/>
  <c r="L182" i="94"/>
  <c r="AA166" i="93"/>
  <c r="P118" i="91"/>
  <c r="P157" i="87"/>
  <c r="X63" i="91"/>
  <c r="O114" i="88"/>
  <c r="Y150" i="93"/>
  <c r="X70" i="89"/>
  <c r="AA70" i="91"/>
  <c r="AB29" i="85"/>
  <c r="AB92" i="92"/>
  <c r="AB149" i="83"/>
  <c r="T78" i="87"/>
  <c r="AB78" i="92"/>
  <c r="Y95" i="91"/>
  <c r="AB164" i="84"/>
  <c r="T180" i="91"/>
  <c r="Y105" i="81"/>
  <c r="Q182" i="74"/>
  <c r="T135" i="87"/>
  <c r="Q102" i="94"/>
  <c r="Y141" i="94"/>
  <c r="Q160" i="87"/>
  <c r="AB117" i="83"/>
  <c r="AA57" i="89"/>
  <c r="Z127" i="74"/>
  <c r="O130" i="89"/>
  <c r="Y180" i="91"/>
  <c r="O180" i="85"/>
  <c r="Y65" i="93"/>
  <c r="O161" i="92"/>
  <c r="T87" i="91"/>
  <c r="X76" i="81"/>
  <c r="P67" i="92"/>
  <c r="AB64" i="87"/>
  <c r="X95" i="82"/>
  <c r="O108" i="84"/>
  <c r="Q9" i="92"/>
  <c r="P17" i="91"/>
  <c r="P93" i="82"/>
  <c r="L104" i="82"/>
  <c r="Y23" i="74"/>
  <c r="Q178" i="85"/>
  <c r="AA166" i="74"/>
  <c r="O180" i="89"/>
  <c r="X169" i="88"/>
  <c r="Q156" i="91"/>
  <c r="Z160" i="91"/>
  <c r="Z135" i="89"/>
  <c r="Z77" i="91"/>
  <c r="AA106" i="74"/>
  <c r="AB29" i="81"/>
  <c r="X145" i="89"/>
  <c r="P118" i="93"/>
  <c r="N39" i="81"/>
  <c r="O179" i="81"/>
  <c r="AA175" i="82"/>
  <c r="AA21" i="84"/>
  <c r="AB53" i="83"/>
  <c r="AB82" i="85"/>
  <c r="Y112" i="93"/>
  <c r="Z96" i="85"/>
  <c r="Z169" i="88"/>
  <c r="O169" i="89"/>
  <c r="N66" i="92"/>
  <c r="O161" i="82"/>
  <c r="Z85" i="91"/>
  <c r="AA29" i="89"/>
  <c r="Z116" i="92"/>
  <c r="O86" i="87"/>
  <c r="O81" i="83"/>
  <c r="Y64" i="85"/>
  <c r="AB86" i="85"/>
  <c r="Q71" i="81"/>
  <c r="L111" i="74"/>
  <c r="N117" i="82"/>
  <c r="L79" i="91"/>
  <c r="AB127" i="89"/>
  <c r="AB156" i="89"/>
  <c r="O125" i="94"/>
  <c r="X148" i="83"/>
  <c r="AA73" i="87"/>
  <c r="X72" i="74"/>
  <c r="P84" i="82"/>
  <c r="AA176" i="81"/>
  <c r="AB93" i="81"/>
  <c r="O177" i="89"/>
  <c r="O13" i="82"/>
  <c r="L91" i="88"/>
  <c r="AA68" i="84"/>
  <c r="P100" i="89"/>
  <c r="X92" i="89"/>
  <c r="Z156" i="87"/>
  <c r="O66" i="88"/>
  <c r="AA165" i="85"/>
  <c r="Q92" i="83"/>
  <c r="L100" i="81"/>
  <c r="Y90" i="88"/>
  <c r="Z176" i="85"/>
  <c r="O15" i="74"/>
  <c r="X115" i="83"/>
  <c r="Y170" i="94"/>
  <c r="Y125" i="74"/>
  <c r="X125" i="94"/>
  <c r="Y15" i="84"/>
  <c r="AB106" i="88"/>
  <c r="N111" i="82"/>
  <c r="AA155" i="91"/>
  <c r="O145" i="91"/>
  <c r="AB78" i="89"/>
  <c r="AB9" i="84"/>
  <c r="N138" i="88"/>
  <c r="Y21" i="91"/>
  <c r="Y154" i="84"/>
  <c r="O154" i="81"/>
  <c r="L143" i="87"/>
  <c r="N174" i="81"/>
  <c r="P15" i="84"/>
  <c r="O74" i="74"/>
  <c r="Z115" i="74"/>
  <c r="Y98" i="89"/>
  <c r="Q157" i="93"/>
  <c r="AA130" i="85"/>
  <c r="L105" i="93"/>
  <c r="M23" i="89"/>
  <c r="M31" i="85"/>
  <c r="O73" i="81"/>
  <c r="X67" i="83"/>
  <c r="Q104" i="84"/>
  <c r="X15" i="84"/>
  <c r="L95" i="82"/>
  <c r="X64" i="82"/>
  <c r="L178" i="94"/>
  <c r="Q74" i="88"/>
  <c r="O51" i="84"/>
  <c r="L90" i="94"/>
  <c r="X43" i="88"/>
  <c r="AA156" i="87"/>
  <c r="Z91" i="94"/>
  <c r="AB67" i="85"/>
  <c r="AA106" i="87"/>
  <c r="Y109" i="94"/>
  <c r="Q177" i="87"/>
  <c r="P143" i="83"/>
  <c r="L168" i="88"/>
  <c r="Q110" i="74"/>
  <c r="Z165" i="84"/>
  <c r="P57" i="92"/>
  <c r="T180" i="85"/>
  <c r="Q35" i="94"/>
  <c r="Q19" i="91"/>
  <c r="L167" i="84"/>
  <c r="N135" i="87"/>
  <c r="X82" i="82"/>
  <c r="Y65" i="84"/>
  <c r="O185" i="87"/>
  <c r="Z141" i="87"/>
  <c r="Y99" i="83"/>
  <c r="O184" i="94"/>
  <c r="X167" i="92"/>
  <c r="P53" i="87"/>
  <c r="L102" i="94"/>
  <c r="Q137" i="81"/>
  <c r="AB70" i="82"/>
  <c r="Q145" i="93"/>
  <c r="O106" i="91"/>
  <c r="AB175" i="82"/>
  <c r="Q37" i="81"/>
  <c r="X74" i="92"/>
  <c r="P164" i="88"/>
  <c r="X138" i="87"/>
  <c r="X156" i="84"/>
  <c r="Y21" i="94"/>
  <c r="P117" i="88"/>
  <c r="Y86" i="93"/>
  <c r="P157" i="91"/>
  <c r="O164" i="91"/>
  <c r="AB37" i="92"/>
  <c r="P13" i="88"/>
  <c r="AA49" i="82"/>
  <c r="Y171" i="81"/>
  <c r="O167" i="88"/>
  <c r="T156" i="83"/>
  <c r="T174" i="85"/>
  <c r="Z69" i="94"/>
  <c r="AB80" i="84"/>
  <c r="Z72" i="91"/>
  <c r="T114" i="83"/>
  <c r="AB80" i="92"/>
  <c r="N177" i="89"/>
  <c r="Y66" i="93"/>
  <c r="Y170" i="82"/>
  <c r="AB95" i="93"/>
  <c r="T180" i="81"/>
  <c r="P117" i="85"/>
  <c r="Z91" i="91"/>
  <c r="L99" i="87"/>
  <c r="Y102" i="91"/>
  <c r="AB101" i="83"/>
  <c r="P165" i="85"/>
  <c r="P141" i="94"/>
  <c r="N96" i="92"/>
  <c r="AB142" i="93"/>
  <c r="AA69" i="91"/>
  <c r="N45" i="92"/>
  <c r="N108" i="91"/>
  <c r="Y135" i="81"/>
  <c r="Q27" i="89"/>
  <c r="AB75" i="84"/>
  <c r="Z127" i="92"/>
  <c r="P39" i="84"/>
  <c r="Y138" i="87"/>
  <c r="X19" i="84"/>
  <c r="AB137" i="91"/>
  <c r="X124" i="83"/>
  <c r="L149" i="83"/>
  <c r="Q141" i="94"/>
  <c r="Q122" i="83"/>
  <c r="P96" i="92"/>
  <c r="P159" i="91"/>
  <c r="X146" i="87"/>
  <c r="AA147" i="92"/>
  <c r="Z93" i="83"/>
  <c r="Y96" i="82"/>
  <c r="Q174" i="82"/>
  <c r="Y169" i="84"/>
  <c r="P144" i="91"/>
  <c r="X43" i="89"/>
  <c r="Z99" i="89"/>
  <c r="AB85" i="89"/>
  <c r="L118" i="84"/>
  <c r="AA33" i="91"/>
  <c r="L144" i="92"/>
  <c r="Z76" i="84"/>
  <c r="Y81" i="84"/>
  <c r="O162" i="88"/>
  <c r="Y165" i="92"/>
  <c r="Z25" i="82"/>
  <c r="X111" i="81"/>
  <c r="Q105" i="82"/>
  <c r="O169" i="81"/>
  <c r="AA133" i="82"/>
  <c r="Z17" i="82"/>
  <c r="Q162" i="81"/>
  <c r="T90" i="85"/>
  <c r="P170" i="85"/>
  <c r="P152" i="85"/>
  <c r="Z116" i="84"/>
  <c r="T57" i="84"/>
  <c r="X138" i="82"/>
  <c r="L94" i="74"/>
  <c r="AA122" i="82"/>
  <c r="O152" i="93"/>
  <c r="X103" i="94"/>
  <c r="Y99" i="84"/>
  <c r="AB100" i="92"/>
  <c r="Y94" i="84"/>
  <c r="AB49" i="89"/>
  <c r="AB49" i="92"/>
  <c r="Z79" i="92"/>
  <c r="X117" i="85"/>
  <c r="AA47" i="89"/>
  <c r="Q23" i="92"/>
  <c r="Z180" i="81"/>
  <c r="AA174" i="81"/>
  <c r="Z19" i="88"/>
  <c r="N51" i="81"/>
  <c r="AB97" i="89"/>
  <c r="AA118" i="84"/>
  <c r="L125" i="88"/>
  <c r="AA25" i="85"/>
  <c r="O13" i="74"/>
  <c r="O67" i="91"/>
  <c r="N185" i="93"/>
  <c r="Q123" i="81"/>
  <c r="AB39" i="93"/>
  <c r="Y11" i="81"/>
  <c r="Q126" i="92"/>
  <c r="T105" i="85"/>
  <c r="Y65" i="82"/>
  <c r="AB157" i="88"/>
  <c r="Q122" i="88"/>
  <c r="AA78" i="85"/>
  <c r="Y51" i="94"/>
  <c r="X149" i="83"/>
  <c r="O43" i="82"/>
  <c r="Q118" i="91"/>
  <c r="L82" i="84"/>
  <c r="Y31" i="92"/>
  <c r="AB19" i="81"/>
  <c r="L124" i="87"/>
  <c r="O124" i="82"/>
  <c r="T93" i="93"/>
  <c r="O166" i="88"/>
  <c r="Y134" i="81"/>
  <c r="Q180" i="93"/>
  <c r="AA27" i="87"/>
  <c r="M61" i="91"/>
  <c r="Y122" i="87"/>
  <c r="O131" i="88"/>
  <c r="P174" i="85"/>
  <c r="AA91" i="92"/>
  <c r="L172" i="85"/>
  <c r="L68" i="82"/>
  <c r="P19" i="89"/>
  <c r="Q104" i="82"/>
  <c r="AB162" i="89"/>
  <c r="X35" i="74"/>
  <c r="O160" i="91"/>
  <c r="L68" i="93"/>
  <c r="AA173" i="93"/>
  <c r="O128" i="82"/>
  <c r="AA73" i="93"/>
  <c r="Y139" i="91"/>
  <c r="O123" i="87"/>
  <c r="Y86" i="84"/>
  <c r="X144" i="89"/>
  <c r="X126" i="91"/>
  <c r="AB49" i="94"/>
  <c r="Y103" i="89"/>
  <c r="P113" i="82"/>
  <c r="X133" i="84"/>
  <c r="T150" i="84"/>
  <c r="Z68" i="89"/>
  <c r="L165" i="92"/>
  <c r="L111" i="91"/>
  <c r="Z80" i="82"/>
  <c r="Q53" i="81"/>
  <c r="X163" i="82"/>
  <c r="AB92" i="93"/>
  <c r="Z100" i="82"/>
  <c r="AB91" i="93"/>
  <c r="T120" i="87"/>
  <c r="Y31" i="83"/>
  <c r="O93" i="84"/>
  <c r="O185" i="84"/>
  <c r="P152" i="93"/>
  <c r="M35" i="82"/>
  <c r="P13" i="74"/>
  <c r="Y39" i="85"/>
  <c r="L95" i="92"/>
  <c r="AA173" i="84"/>
  <c r="X84" i="82"/>
  <c r="X19" i="91"/>
  <c r="P13" i="85"/>
  <c r="Y13" i="93"/>
  <c r="O112" i="92"/>
  <c r="Y31" i="84"/>
  <c r="AB66" i="87"/>
  <c r="N144" i="88"/>
  <c r="AA49" i="94"/>
  <c r="P143" i="74"/>
  <c r="P63" i="88"/>
  <c r="AA43" i="94"/>
  <c r="O15" i="89"/>
  <c r="Z111" i="81"/>
  <c r="AA79" i="81"/>
  <c r="Q41" i="83"/>
  <c r="AA160" i="89"/>
  <c r="X143" i="83"/>
  <c r="Z128" i="74"/>
  <c r="Y140" i="85"/>
  <c r="Q183" i="88"/>
  <c r="Y84" i="84"/>
  <c r="X68" i="91"/>
  <c r="Y107" i="88"/>
  <c r="Z141" i="74"/>
  <c r="O87" i="89"/>
  <c r="O81" i="81"/>
  <c r="Q165" i="91"/>
  <c r="AA35" i="92"/>
  <c r="Q138" i="87"/>
  <c r="X137" i="88"/>
  <c r="Q64" i="87"/>
  <c r="AA88" i="92"/>
  <c r="L67" i="87"/>
  <c r="P118" i="84"/>
  <c r="O107" i="84"/>
  <c r="AA84" i="91"/>
  <c r="O140" i="85"/>
  <c r="Y153" i="87"/>
  <c r="Y85" i="85"/>
  <c r="Y96" i="87"/>
  <c r="Z121" i="84"/>
  <c r="T162" i="82"/>
  <c r="Q148" i="92"/>
  <c r="P104" i="82"/>
  <c r="Y96" i="83"/>
  <c r="AA93" i="83"/>
  <c r="Q93" i="74"/>
  <c r="AB175" i="81"/>
  <c r="O33" i="89"/>
  <c r="O71" i="87"/>
  <c r="AB148" i="84"/>
  <c r="X138" i="88"/>
  <c r="Z25" i="83"/>
  <c r="Q158" i="94"/>
  <c r="Q175" i="82"/>
  <c r="AB163" i="91"/>
  <c r="Y93" i="88"/>
  <c r="AA111" i="81"/>
  <c r="P35" i="88"/>
  <c r="M11" i="85"/>
  <c r="O151" i="82"/>
  <c r="AA124" i="84"/>
  <c r="O9" i="82"/>
  <c r="AA122" i="91"/>
  <c r="AB9" i="92"/>
  <c r="L180" i="82"/>
  <c r="L129" i="93"/>
  <c r="AB157" i="85"/>
  <c r="O39" i="91"/>
  <c r="O177" i="92"/>
  <c r="AB59" i="88"/>
  <c r="L133" i="94"/>
  <c r="AA29" i="81"/>
  <c r="N78" i="91"/>
  <c r="O127" i="82"/>
  <c r="X137" i="82"/>
  <c r="O123" i="81"/>
  <c r="AA47" i="82"/>
  <c r="T174" i="83"/>
  <c r="Y19" i="93"/>
  <c r="Y92" i="89"/>
  <c r="Y123" i="85"/>
  <c r="O156" i="82"/>
  <c r="AA162" i="81"/>
  <c r="Z114" i="84"/>
  <c r="Z70" i="87"/>
  <c r="Z99" i="91"/>
  <c r="Z74" i="85"/>
  <c r="L152" i="91"/>
  <c r="Q88" i="91"/>
  <c r="Z172" i="92"/>
  <c r="T78" i="89"/>
  <c r="AA131" i="92"/>
  <c r="P35" i="89"/>
  <c r="Q9" i="74"/>
  <c r="Q113" i="84"/>
  <c r="P128" i="87"/>
  <c r="Z107" i="81"/>
  <c r="L142" i="88"/>
  <c r="X45" i="85"/>
  <c r="X37" i="81"/>
  <c r="Q47" i="94"/>
  <c r="T57" i="87"/>
  <c r="M51" i="93"/>
  <c r="Q118" i="88"/>
  <c r="P174" i="91"/>
  <c r="P159" i="88"/>
  <c r="O51" i="94"/>
  <c r="N159" i="84"/>
  <c r="X25" i="82"/>
  <c r="Q167" i="91"/>
  <c r="AA101" i="91"/>
  <c r="Z172" i="89"/>
  <c r="L69" i="82"/>
  <c r="Z125" i="91"/>
  <c r="L64" i="81"/>
  <c r="AB119" i="87"/>
  <c r="O185" i="93"/>
  <c r="O86" i="82"/>
  <c r="AB134" i="89"/>
  <c r="Z116" i="87"/>
  <c r="Q158" i="92"/>
  <c r="Y177" i="84"/>
  <c r="P64" i="85"/>
  <c r="X131" i="83"/>
  <c r="X168" i="74"/>
  <c r="X82" i="93"/>
  <c r="Y69" i="81"/>
  <c r="Q161" i="87"/>
  <c r="L99" i="74"/>
  <c r="Z72" i="85"/>
  <c r="Y77" i="89"/>
  <c r="X91" i="81"/>
  <c r="X117" i="88"/>
  <c r="L112" i="88"/>
  <c r="T90" i="91"/>
  <c r="X51" i="74"/>
  <c r="P145" i="84"/>
  <c r="Y78" i="87"/>
  <c r="Z146" i="88"/>
  <c r="O75" i="92"/>
  <c r="Q86" i="94"/>
  <c r="P182" i="94"/>
  <c r="P68" i="91"/>
  <c r="Z88" i="89"/>
  <c r="O112" i="84"/>
  <c r="X127" i="82"/>
  <c r="AB175" i="88"/>
  <c r="Z180" i="92"/>
  <c r="Z63" i="91"/>
  <c r="Q127" i="88"/>
  <c r="X158" i="81"/>
  <c r="L128" i="85"/>
  <c r="AA163" i="88"/>
  <c r="Q177" i="88"/>
  <c r="AA71" i="81"/>
  <c r="AA87" i="84"/>
  <c r="X157" i="89"/>
  <c r="AB31" i="89"/>
  <c r="P77" i="82"/>
  <c r="L180" i="89"/>
  <c r="Z136" i="82"/>
  <c r="P139" i="74"/>
  <c r="O156" i="88"/>
  <c r="O153" i="89"/>
  <c r="N27" i="87"/>
  <c r="AB136" i="82"/>
  <c r="T144" i="83"/>
  <c r="L66" i="94"/>
  <c r="AB35" i="85"/>
  <c r="P115" i="94"/>
  <c r="AA94" i="81"/>
  <c r="Y124" i="84"/>
  <c r="O73" i="94"/>
  <c r="AB165" i="85"/>
  <c r="Q23" i="84"/>
  <c r="AA93" i="81"/>
  <c r="N168" i="84"/>
  <c r="O140" i="91"/>
  <c r="L166" i="89"/>
  <c r="AB129" i="81"/>
  <c r="Q13" i="84"/>
  <c r="AA123" i="88"/>
  <c r="L105" i="85"/>
  <c r="AA23" i="82"/>
  <c r="L79" i="88"/>
  <c r="Y90" i="87"/>
  <c r="AA120" i="92"/>
  <c r="X107" i="82"/>
  <c r="Q73" i="93"/>
  <c r="L114" i="87"/>
  <c r="L153" i="83"/>
  <c r="Q133" i="92"/>
  <c r="O132" i="85"/>
  <c r="Z94" i="84"/>
  <c r="X143" i="89"/>
  <c r="L83" i="92"/>
  <c r="O112" i="74"/>
  <c r="AA131" i="81"/>
  <c r="Y155" i="91"/>
  <c r="P112" i="88"/>
  <c r="Q27" i="85"/>
  <c r="X169" i="82"/>
  <c r="P29" i="81"/>
  <c r="AB121" i="87"/>
  <c r="Z33" i="88"/>
  <c r="AB168" i="85"/>
  <c r="N66" i="94"/>
  <c r="L138" i="88"/>
  <c r="AB82" i="83"/>
  <c r="AB39" i="85"/>
  <c r="AA162" i="82"/>
  <c r="X77" i="83"/>
  <c r="Q119" i="83"/>
  <c r="Q162" i="88"/>
  <c r="O128" i="83"/>
  <c r="X169" i="83"/>
  <c r="T132" i="94"/>
  <c r="O173" i="94"/>
  <c r="AB125" i="88"/>
  <c r="L88" i="83"/>
  <c r="O81" i="82"/>
  <c r="P90" i="91"/>
  <c r="Q122" i="89"/>
  <c r="AA89" i="89"/>
  <c r="O110" i="81"/>
  <c r="X86" i="84"/>
  <c r="Z180" i="89"/>
  <c r="O73" i="82"/>
  <c r="O130" i="92"/>
  <c r="P114" i="82"/>
  <c r="AB47" i="89"/>
  <c r="Y116" i="94"/>
  <c r="Y49" i="85"/>
  <c r="AA88" i="94"/>
  <c r="L114" i="93"/>
  <c r="AB99" i="85"/>
  <c r="O168" i="82"/>
  <c r="P163" i="74"/>
  <c r="M37" i="85"/>
  <c r="P100" i="84"/>
  <c r="Y27" i="89"/>
  <c r="AB158" i="83"/>
  <c r="L73" i="87"/>
  <c r="P173" i="87"/>
  <c r="Y101" i="85"/>
  <c r="T39" i="88"/>
  <c r="Z126" i="88"/>
  <c r="L114" i="88"/>
  <c r="Q179" i="92"/>
  <c r="X169" i="94"/>
  <c r="Y105" i="87"/>
  <c r="AA25" i="88"/>
  <c r="N141" i="85"/>
  <c r="N9" i="87"/>
  <c r="O150" i="85"/>
  <c r="AB114" i="84"/>
  <c r="Y91" i="89"/>
  <c r="Z176" i="87"/>
  <c r="T135" i="81"/>
  <c r="O164" i="81"/>
  <c r="P155" i="84"/>
  <c r="L73" i="81"/>
  <c r="AB100" i="84"/>
  <c r="AA98" i="92"/>
  <c r="M21" i="92"/>
  <c r="AB113" i="89"/>
  <c r="Q59" i="93"/>
  <c r="O148" i="92"/>
  <c r="L136" i="82"/>
  <c r="T156" i="92"/>
  <c r="O83" i="83"/>
  <c r="AA161" i="85"/>
  <c r="X66" i="84"/>
  <c r="N87" i="84"/>
  <c r="Z27" i="82"/>
  <c r="Y92" i="88"/>
  <c r="X169" i="81"/>
  <c r="X67" i="85"/>
  <c r="Y41" i="91"/>
  <c r="T171" i="84"/>
  <c r="Y76" i="81"/>
  <c r="AA113" i="84"/>
  <c r="T96" i="93"/>
  <c r="Q68" i="84"/>
  <c r="M45" i="84"/>
  <c r="O39" i="94"/>
  <c r="L155" i="81"/>
  <c r="Q61" i="87"/>
  <c r="Z97" i="94"/>
  <c r="O175" i="85"/>
  <c r="Y131" i="84"/>
  <c r="P101" i="83"/>
  <c r="X130" i="74"/>
  <c r="AA13" i="83"/>
  <c r="O146" i="74"/>
  <c r="Q75" i="81"/>
  <c r="L117" i="74"/>
  <c r="Y167" i="87"/>
  <c r="AA121" i="91"/>
  <c r="AA102" i="93"/>
  <c r="AB124" i="84"/>
  <c r="AB105" i="92"/>
  <c r="AA77" i="82"/>
  <c r="AA123" i="84"/>
  <c r="L90" i="91"/>
  <c r="X110" i="82"/>
  <c r="AB167" i="87"/>
  <c r="Z91" i="88"/>
  <c r="P125" i="81"/>
  <c r="X72" i="87"/>
  <c r="Y106" i="81"/>
  <c r="O129" i="87"/>
  <c r="L115" i="74"/>
  <c r="Q25" i="89"/>
  <c r="P141" i="91"/>
  <c r="P150" i="91"/>
  <c r="AB110" i="85"/>
  <c r="AA105" i="84"/>
  <c r="X41" i="89"/>
  <c r="P67" i="93"/>
  <c r="T177" i="83"/>
  <c r="AB86" i="82"/>
  <c r="AA132" i="83"/>
  <c r="O15" i="83"/>
  <c r="Z86" i="89"/>
  <c r="L160" i="82"/>
  <c r="X78" i="89"/>
  <c r="P146" i="91"/>
  <c r="O134" i="89"/>
  <c r="Q78" i="88"/>
  <c r="T120" i="81"/>
  <c r="Z85" i="74"/>
  <c r="AB65" i="87"/>
  <c r="T150" i="81"/>
  <c r="AA121" i="84"/>
  <c r="P174" i="88"/>
  <c r="AB74" i="89"/>
  <c r="O137" i="87"/>
  <c r="P180" i="85"/>
  <c r="Z135" i="82"/>
  <c r="N126" i="81"/>
  <c r="AA41" i="83"/>
  <c r="O184" i="85"/>
  <c r="Y15" i="88"/>
  <c r="Q174" i="83"/>
  <c r="Y106" i="74"/>
  <c r="L150" i="94"/>
  <c r="P168" i="74"/>
  <c r="AA106" i="83"/>
  <c r="X95" i="89"/>
  <c r="Y120" i="82"/>
  <c r="Z173" i="81"/>
  <c r="L102" i="83"/>
  <c r="Z128" i="81"/>
  <c r="AA164" i="83"/>
  <c r="AB131" i="89"/>
  <c r="X64" i="92"/>
  <c r="O114" i="89"/>
  <c r="N123" i="82"/>
  <c r="Y31" i="85"/>
  <c r="P176" i="81"/>
  <c r="L125" i="92"/>
  <c r="L123" i="82"/>
  <c r="Q92" i="82"/>
  <c r="AA88" i="85"/>
  <c r="Q102" i="83"/>
  <c r="Z173" i="93"/>
  <c r="Z120" i="85"/>
  <c r="AA45" i="82"/>
  <c r="T168" i="92"/>
  <c r="Y104" i="82"/>
  <c r="AA116" i="88"/>
  <c r="N162" i="85"/>
  <c r="AA150" i="88"/>
  <c r="Y132" i="91"/>
  <c r="X174" i="89"/>
  <c r="L148" i="94"/>
  <c r="O69" i="94"/>
  <c r="AA104" i="89"/>
  <c r="O51" i="81"/>
  <c r="AA57" i="94"/>
  <c r="P157" i="83"/>
  <c r="AA35" i="82"/>
  <c r="Y175" i="83"/>
  <c r="Y175" i="89"/>
  <c r="AB31" i="88"/>
  <c r="Q142" i="81"/>
  <c r="AA66" i="84"/>
  <c r="Q185" i="83"/>
  <c r="T63" i="84"/>
  <c r="AA47" i="85"/>
  <c r="L174" i="91"/>
  <c r="AB104" i="81"/>
  <c r="P146" i="87"/>
  <c r="Z156" i="92"/>
  <c r="AA41" i="88"/>
  <c r="X84" i="81"/>
  <c r="AA37" i="88"/>
  <c r="AB121" i="93"/>
  <c r="T66" i="82"/>
  <c r="L125" i="81"/>
  <c r="N96" i="88"/>
  <c r="L154" i="88"/>
  <c r="M15" i="85"/>
  <c r="Z156" i="83"/>
  <c r="P179" i="74"/>
  <c r="Q78" i="74"/>
  <c r="P66" i="89"/>
  <c r="AA41" i="82"/>
  <c r="P94" i="82"/>
  <c r="O61" i="84"/>
  <c r="AA68" i="91"/>
  <c r="AA23" i="85"/>
  <c r="N96" i="87"/>
  <c r="X168" i="82"/>
  <c r="Y65" i="74"/>
  <c r="AA126" i="92"/>
  <c r="Q170" i="81"/>
  <c r="P183" i="83"/>
  <c r="X132" i="83"/>
  <c r="AA144" i="85"/>
  <c r="Q172" i="89"/>
  <c r="Q66" i="88"/>
  <c r="T141" i="92"/>
  <c r="Q182" i="83"/>
  <c r="L117" i="87"/>
  <c r="O9" i="88"/>
  <c r="X19" i="89"/>
  <c r="X96" i="82"/>
  <c r="AB150" i="82"/>
  <c r="Q84" i="85"/>
  <c r="Y91" i="85"/>
  <c r="O55" i="89"/>
  <c r="Z161" i="85"/>
  <c r="AB139" i="85"/>
  <c r="Q21" i="81"/>
  <c r="O78" i="83"/>
  <c r="AA112" i="91"/>
  <c r="P19" i="83"/>
  <c r="Q115" i="84"/>
  <c r="Q171" i="84"/>
  <c r="Q85" i="83"/>
  <c r="Q109" i="92"/>
  <c r="AA97" i="82"/>
  <c r="Z39" i="74"/>
  <c r="Z88" i="84"/>
  <c r="M17" i="87"/>
  <c r="O182" i="82"/>
  <c r="Y67" i="87"/>
  <c r="M15" i="88"/>
  <c r="Y89" i="85"/>
  <c r="Y121" i="81"/>
  <c r="L138" i="93"/>
  <c r="P115" i="81"/>
  <c r="AB137" i="84"/>
  <c r="Z163" i="83"/>
  <c r="M11" i="74"/>
  <c r="L143" i="89"/>
  <c r="AB81" i="88"/>
  <c r="AA64" i="74"/>
  <c r="P155" i="94"/>
  <c r="X144" i="93"/>
  <c r="L167" i="83"/>
  <c r="Z150" i="74"/>
  <c r="AB112" i="83"/>
  <c r="X9" i="83"/>
  <c r="AA108" i="81"/>
  <c r="P27" i="82"/>
  <c r="T72" i="88"/>
  <c r="AB15" i="93"/>
  <c r="Y102" i="87"/>
  <c r="T108" i="88"/>
  <c r="AA96" i="93"/>
  <c r="N39" i="87"/>
  <c r="N96" i="83"/>
  <c r="P108" i="91"/>
  <c r="L157" i="92"/>
  <c r="Y9" i="85"/>
  <c r="Q103" i="82"/>
  <c r="AB132" i="88"/>
  <c r="Q166" i="84"/>
  <c r="X100" i="91"/>
  <c r="Z109" i="87"/>
  <c r="X107" i="85"/>
  <c r="Q74" i="85"/>
  <c r="P81" i="81"/>
  <c r="X130" i="81"/>
  <c r="T21" i="94"/>
  <c r="Y72" i="84"/>
  <c r="L105" i="83"/>
  <c r="L77" i="88"/>
  <c r="Y104" i="91"/>
  <c r="Z39" i="91"/>
  <c r="Y120" i="89"/>
  <c r="Q181" i="88"/>
  <c r="Q64" i="82"/>
  <c r="X63" i="92"/>
  <c r="Y147" i="82"/>
  <c r="Y87" i="87"/>
  <c r="O151" i="84"/>
  <c r="P115" i="82"/>
  <c r="AA9" i="74"/>
  <c r="Z77" i="74"/>
  <c r="P75" i="74"/>
  <c r="P98" i="93"/>
  <c r="Q105" i="94"/>
  <c r="X100" i="85"/>
  <c r="X94" i="85"/>
  <c r="Y135" i="83"/>
  <c r="AA120" i="82"/>
  <c r="L155" i="91"/>
  <c r="T138" i="85"/>
  <c r="Q94" i="88"/>
  <c r="L179" i="81"/>
  <c r="X73" i="93"/>
  <c r="Z163" i="93"/>
  <c r="AA99" i="87"/>
  <c r="O61" i="82"/>
  <c r="P59" i="84"/>
  <c r="O159" i="81"/>
  <c r="Z79" i="85"/>
  <c r="L99" i="82"/>
  <c r="Q51" i="84"/>
  <c r="Q70" i="84"/>
  <c r="AB101" i="85"/>
  <c r="X47" i="83"/>
  <c r="Y45" i="91"/>
  <c r="X164" i="91"/>
  <c r="AB134" i="83"/>
  <c r="L102" i="93"/>
  <c r="AA70" i="83"/>
  <c r="AA162" i="85"/>
  <c r="AA135" i="91"/>
  <c r="Q179" i="91"/>
  <c r="AA116" i="83"/>
  <c r="Z139" i="89"/>
  <c r="O144" i="82"/>
  <c r="Y37" i="93"/>
  <c r="Y136" i="87"/>
  <c r="Q134" i="74"/>
  <c r="X37" i="85"/>
  <c r="L85" i="89"/>
  <c r="Y67" i="85"/>
  <c r="AA59" i="84"/>
  <c r="P126" i="91"/>
  <c r="Y172" i="89"/>
  <c r="Y80" i="81"/>
  <c r="Q158" i="91"/>
  <c r="P156" i="85"/>
  <c r="T123" i="94"/>
  <c r="AA70" i="81"/>
  <c r="Y37" i="87"/>
  <c r="AA95" i="84"/>
  <c r="T27" i="88"/>
  <c r="X94" i="89"/>
  <c r="L171" i="92"/>
  <c r="AA95" i="89"/>
  <c r="O131" i="94"/>
  <c r="M9" i="82"/>
  <c r="N75" i="88"/>
  <c r="Y74" i="84"/>
  <c r="Y55" i="83"/>
  <c r="L102" i="92"/>
  <c r="L147" i="81"/>
  <c r="Q73" i="82"/>
  <c r="Q163" i="83"/>
  <c r="Q145" i="89"/>
  <c r="Q171" i="93"/>
  <c r="AA145" i="92"/>
  <c r="O45" i="74"/>
  <c r="T99" i="87"/>
  <c r="Y75" i="92"/>
  <c r="AB90" i="91"/>
  <c r="P99" i="92"/>
  <c r="L85" i="84"/>
  <c r="Y95" i="84"/>
  <c r="Z84" i="74"/>
  <c r="Z88" i="88"/>
  <c r="O164" i="89"/>
  <c r="O69" i="85"/>
  <c r="AA143" i="85"/>
  <c r="L164" i="82"/>
  <c r="Y88" i="82"/>
  <c r="AB131" i="92"/>
  <c r="O86" i="91"/>
  <c r="N90" i="89"/>
  <c r="Y123" i="81"/>
  <c r="X9" i="92"/>
  <c r="P111" i="82"/>
  <c r="AA45" i="83"/>
  <c r="X67" i="92"/>
  <c r="Y103" i="88"/>
  <c r="AB15" i="88"/>
  <c r="Y107" i="83"/>
  <c r="Q176" i="85"/>
  <c r="AA107" i="94"/>
  <c r="Q161" i="83"/>
  <c r="AA81" i="92"/>
  <c r="AB103" i="83"/>
  <c r="X9" i="91"/>
  <c r="Z142" i="87"/>
  <c r="L106" i="74"/>
  <c r="P45" i="85"/>
  <c r="O49" i="82"/>
  <c r="Q138" i="85"/>
  <c r="Q127" i="74"/>
  <c r="O99" i="82"/>
  <c r="Z72" i="84"/>
  <c r="N129" i="85"/>
  <c r="AA53" i="84"/>
  <c r="AB33" i="87"/>
  <c r="AA87" i="87"/>
  <c r="Z67" i="88"/>
  <c r="O173" i="91"/>
  <c r="P104" i="83"/>
  <c r="Y180" i="92"/>
  <c r="P160" i="88"/>
  <c r="Q144" i="84"/>
  <c r="Z123" i="84"/>
  <c r="AA127" i="88"/>
  <c r="O93" i="83"/>
  <c r="L117" i="91"/>
  <c r="AB59" i="87"/>
  <c r="Z80" i="81"/>
  <c r="T162" i="74"/>
  <c r="O9" i="87"/>
  <c r="N105" i="81"/>
  <c r="X121" i="82"/>
  <c r="P96" i="82"/>
  <c r="L108" i="93"/>
  <c r="P112" i="81"/>
  <c r="Y164" i="93"/>
  <c r="X71" i="87"/>
  <c r="O131" i="89"/>
  <c r="L140" i="85"/>
  <c r="Z68" i="83"/>
  <c r="X25" i="85"/>
  <c r="Y39" i="88"/>
  <c r="X114" i="84"/>
  <c r="Y84" i="83"/>
  <c r="Z133" i="85"/>
  <c r="T72" i="94"/>
  <c r="P103" i="94"/>
  <c r="Z101" i="91"/>
  <c r="L83" i="88"/>
  <c r="T168" i="81"/>
  <c r="Q131" i="94"/>
  <c r="N184" i="93"/>
  <c r="P161" i="82"/>
  <c r="AA41" i="74"/>
  <c r="Y143" i="92"/>
  <c r="Y133" i="85"/>
  <c r="X146" i="85"/>
  <c r="O77" i="92"/>
  <c r="L68" i="87"/>
  <c r="Q158" i="93"/>
  <c r="AA134" i="91"/>
  <c r="O156" i="81"/>
  <c r="Y115" i="85"/>
  <c r="N96" i="93"/>
  <c r="L179" i="92"/>
  <c r="Z97" i="81"/>
  <c r="X17" i="87"/>
  <c r="N57" i="82"/>
  <c r="Q115" i="82"/>
  <c r="X85" i="91"/>
  <c r="N180" i="84"/>
  <c r="Q152" i="87"/>
  <c r="L80" i="74"/>
  <c r="AB133" i="89"/>
  <c r="Y64" i="74"/>
  <c r="Z89" i="91"/>
  <c r="P178" i="87"/>
  <c r="O128" i="91"/>
  <c r="Y115" i="87"/>
  <c r="P17" i="94"/>
  <c r="O69" i="87"/>
  <c r="Q27" i="91"/>
  <c r="Q92" i="87"/>
  <c r="AB69" i="92"/>
  <c r="X103" i="87"/>
  <c r="T144" i="85"/>
  <c r="T159" i="74"/>
  <c r="AA159" i="84"/>
  <c r="AA111" i="91"/>
  <c r="L89" i="83"/>
  <c r="O76" i="85"/>
  <c r="AA138" i="74"/>
  <c r="Y83" i="74"/>
  <c r="AA106" i="81"/>
  <c r="P181" i="83"/>
  <c r="X132" i="89"/>
  <c r="N87" i="94"/>
  <c r="L163" i="89"/>
  <c r="Z65" i="85"/>
  <c r="Q106" i="87"/>
  <c r="N153" i="85"/>
  <c r="Y117" i="82"/>
  <c r="X82" i="91"/>
  <c r="Q87" i="83"/>
  <c r="N141" i="89"/>
  <c r="T144" i="88"/>
  <c r="AA59" i="81"/>
  <c r="Q74" i="83"/>
  <c r="X45" i="93"/>
  <c r="Y86" i="92"/>
  <c r="Z19" i="85"/>
  <c r="AB45" i="83"/>
  <c r="T72" i="85"/>
  <c r="X163" i="92"/>
  <c r="AB67" i="83"/>
  <c r="AB85" i="87"/>
  <c r="Y92" i="74"/>
  <c r="AB154" i="91"/>
  <c r="X122" i="74"/>
  <c r="T177" i="92"/>
  <c r="AA57" i="91"/>
  <c r="L145" i="74"/>
  <c r="M27" i="83"/>
  <c r="P87" i="84"/>
  <c r="Z152" i="74"/>
  <c r="X99" i="74"/>
  <c r="Y145" i="88"/>
  <c r="O171" i="89"/>
  <c r="O35" i="89"/>
  <c r="L66" i="82"/>
  <c r="AB146" i="89"/>
  <c r="P145" i="82"/>
  <c r="Z103" i="87"/>
  <c r="X126" i="74"/>
  <c r="AB151" i="82"/>
  <c r="Y127" i="88"/>
  <c r="Q25" i="91"/>
  <c r="X128" i="83"/>
  <c r="P175" i="81"/>
  <c r="P156" i="91"/>
  <c r="O82" i="83"/>
  <c r="Z93" i="93"/>
  <c r="M13" i="87"/>
  <c r="O122" i="85"/>
  <c r="AA110" i="93"/>
  <c r="L168" i="83"/>
  <c r="P176" i="91"/>
  <c r="AA93" i="85"/>
  <c r="X175" i="82"/>
  <c r="AA37" i="85"/>
  <c r="Z84" i="81"/>
  <c r="Q96" i="83"/>
  <c r="P76" i="74"/>
  <c r="X109" i="92"/>
  <c r="Z139" i="84"/>
  <c r="X55" i="84"/>
  <c r="O71" i="81"/>
  <c r="P100" i="83"/>
  <c r="X174" i="81"/>
  <c r="Q43" i="92"/>
  <c r="Z66" i="89"/>
  <c r="Y144" i="81"/>
  <c r="L74" i="74"/>
  <c r="Q79" i="93"/>
  <c r="X91" i="88"/>
  <c r="X156" i="81"/>
  <c r="Q37" i="84"/>
  <c r="T147" i="94"/>
  <c r="X94" i="83"/>
  <c r="AA59" i="89"/>
  <c r="T123" i="83"/>
  <c r="AA97" i="93"/>
  <c r="N153" i="82"/>
  <c r="P135" i="82"/>
  <c r="P70" i="81"/>
  <c r="Y111" i="84"/>
  <c r="Y47" i="84"/>
  <c r="AB144" i="87"/>
  <c r="Z90" i="89"/>
  <c r="P146" i="82"/>
  <c r="Q67" i="89"/>
  <c r="Y175" i="84"/>
  <c r="AA57" i="92"/>
  <c r="L75" i="83"/>
  <c r="L79" i="87"/>
  <c r="L162" i="82"/>
  <c r="O91" i="83"/>
  <c r="O173" i="82"/>
  <c r="X129" i="84"/>
  <c r="Y43" i="92"/>
  <c r="Y167" i="88"/>
  <c r="Z39" i="94"/>
  <c r="Q35" i="92"/>
  <c r="T138" i="93"/>
  <c r="Z55" i="83"/>
  <c r="L71" i="89"/>
  <c r="Z9" i="88"/>
  <c r="P125" i="83"/>
  <c r="Y51" i="81"/>
  <c r="Y122" i="85"/>
  <c r="P120" i="92"/>
  <c r="P170" i="88"/>
  <c r="AA105" i="82"/>
  <c r="T15" i="83"/>
  <c r="Z171" i="94"/>
  <c r="Q47" i="81"/>
  <c r="AB11" i="91"/>
  <c r="P115" i="92"/>
  <c r="AB87" i="94"/>
  <c r="Q97" i="74"/>
  <c r="AA121" i="93"/>
  <c r="Y37" i="83"/>
  <c r="Y128" i="81"/>
  <c r="Q72" i="91"/>
  <c r="L93" i="89"/>
  <c r="Z29" i="94"/>
  <c r="AA88" i="93"/>
  <c r="Y134" i="85"/>
  <c r="O66" i="83"/>
  <c r="AA9" i="83"/>
  <c r="O77" i="74"/>
  <c r="Q17" i="74"/>
  <c r="O65" i="88"/>
  <c r="N185" i="82"/>
  <c r="AB143" i="85"/>
  <c r="AB150" i="85"/>
  <c r="Q131" i="81"/>
  <c r="P73" i="85"/>
  <c r="Q110" i="87"/>
  <c r="O70" i="83"/>
  <c r="AB76" i="88"/>
  <c r="Z118" i="83"/>
  <c r="O17" i="93"/>
  <c r="AA146" i="84"/>
  <c r="Q84" i="81"/>
  <c r="Z91" i="83"/>
  <c r="T78" i="81"/>
  <c r="AA172" i="84"/>
  <c r="N132" i="82"/>
  <c r="Z43" i="91"/>
  <c r="L69" i="83"/>
  <c r="M47" i="85"/>
  <c r="X90" i="81"/>
  <c r="O157" i="94"/>
  <c r="Y41" i="85"/>
  <c r="Q83" i="74"/>
  <c r="L123" i="93"/>
  <c r="P111" i="81"/>
  <c r="X150" i="92"/>
  <c r="X104" i="92"/>
  <c r="Q75" i="82"/>
  <c r="Q151" i="81"/>
  <c r="X132" i="81"/>
  <c r="P23" i="84"/>
  <c r="AA85" i="82"/>
  <c r="X172" i="91"/>
  <c r="X27" i="87"/>
  <c r="X115" i="81"/>
  <c r="Y117" i="81"/>
  <c r="AA85" i="92"/>
  <c r="AB98" i="83"/>
  <c r="AA145" i="83"/>
  <c r="T141" i="89"/>
  <c r="X104" i="84"/>
  <c r="Z157" i="81"/>
  <c r="Z118" i="91"/>
  <c r="Z132" i="89"/>
  <c r="AA91" i="91"/>
  <c r="O114" i="91"/>
  <c r="T156" i="81"/>
  <c r="O74" i="84"/>
  <c r="L133" i="74"/>
  <c r="AB169" i="94"/>
  <c r="Y89" i="89"/>
  <c r="P43" i="74"/>
  <c r="O131" i="93"/>
  <c r="Y51" i="89"/>
  <c r="X39" i="83"/>
  <c r="Z79" i="82"/>
  <c r="Q175" i="87"/>
  <c r="M35" i="88"/>
  <c r="P150" i="89"/>
  <c r="X174" i="84"/>
  <c r="Y31" i="88"/>
  <c r="O170" i="91"/>
  <c r="Q184" i="74"/>
  <c r="Z143" i="83"/>
  <c r="X83" i="92"/>
  <c r="X108" i="88"/>
  <c r="Q73" i="89"/>
  <c r="T180" i="83"/>
  <c r="P136" i="81"/>
  <c r="Y152" i="74"/>
  <c r="X165" i="89"/>
  <c r="AB92" i="84"/>
  <c r="Z27" i="74"/>
  <c r="X61" i="81"/>
  <c r="O122" i="88"/>
  <c r="AB73" i="91"/>
  <c r="O21" i="88"/>
  <c r="AA111" i="82"/>
  <c r="AB101" i="92"/>
  <c r="P74" i="87"/>
  <c r="X93" i="81"/>
  <c r="P179" i="85"/>
  <c r="L116" i="88"/>
  <c r="L118" i="91"/>
  <c r="AB105" i="81"/>
  <c r="AA152" i="85"/>
  <c r="N33" i="74"/>
  <c r="O23" i="82"/>
  <c r="P75" i="89"/>
  <c r="P100" i="87"/>
  <c r="Q138" i="81"/>
  <c r="O29" i="88"/>
  <c r="Q9" i="84"/>
  <c r="AA86" i="74"/>
  <c r="P81" i="83"/>
  <c r="L179" i="87"/>
  <c r="L88" i="92"/>
  <c r="P157" i="88"/>
  <c r="Z108" i="81"/>
  <c r="P69" i="88"/>
  <c r="T156" i="93"/>
  <c r="AA83" i="93"/>
  <c r="O35" i="88"/>
  <c r="AB162" i="81"/>
  <c r="AA108" i="94"/>
  <c r="AB66" i="82"/>
  <c r="AB138" i="88"/>
  <c r="Z11" i="89"/>
  <c r="Y122" i="88"/>
  <c r="Q120" i="92"/>
  <c r="Q173" i="92"/>
  <c r="P97" i="84"/>
  <c r="AA37" i="91"/>
  <c r="P19" i="91"/>
  <c r="T129" i="82"/>
  <c r="Q97" i="89"/>
  <c r="AB81" i="84"/>
  <c r="O96" i="74"/>
  <c r="Q138" i="93"/>
  <c r="L168" i="81"/>
  <c r="Y120" i="83"/>
  <c r="X157" i="91"/>
  <c r="Z29" i="81"/>
  <c r="L122" i="94"/>
  <c r="AA157" i="84"/>
  <c r="Z69" i="87"/>
  <c r="T120" i="83"/>
  <c r="P140" i="87"/>
  <c r="Z122" i="84"/>
  <c r="O72" i="84"/>
  <c r="AB152" i="83"/>
  <c r="AA149" i="74"/>
  <c r="X109" i="83"/>
  <c r="Z82" i="84"/>
  <c r="X81" i="85"/>
  <c r="AB130" i="82"/>
  <c r="Y163" i="83"/>
  <c r="AB131" i="91"/>
  <c r="Y148" i="89"/>
  <c r="X142" i="94"/>
  <c r="AA153" i="91"/>
  <c r="AA121" i="81"/>
  <c r="Z93" i="88"/>
  <c r="P83" i="81"/>
  <c r="Q45" i="88"/>
  <c r="N111" i="88"/>
  <c r="P101" i="81"/>
  <c r="Q137" i="74"/>
  <c r="O90" i="81"/>
  <c r="P119" i="89"/>
  <c r="P79" i="87"/>
  <c r="M55" i="83"/>
  <c r="AB122" i="84"/>
  <c r="AB9" i="81"/>
  <c r="O68" i="87"/>
  <c r="Y89" i="84"/>
  <c r="Q122" i="82"/>
  <c r="L164" i="85"/>
  <c r="Q68" i="74"/>
  <c r="T75" i="83"/>
  <c r="Q35" i="85"/>
  <c r="Q169" i="82"/>
  <c r="AA122" i="87"/>
  <c r="Y74" i="89"/>
  <c r="M15" i="81"/>
  <c r="O59" i="82"/>
  <c r="X65" i="92"/>
  <c r="X112" i="85"/>
  <c r="Z55" i="91"/>
  <c r="O80" i="82"/>
  <c r="L176" i="74"/>
  <c r="P41" i="82"/>
  <c r="Z145" i="94"/>
  <c r="Q67" i="88"/>
  <c r="Y59" i="84"/>
  <c r="Y107" i="85"/>
  <c r="Z155" i="82"/>
  <c r="O21" i="81"/>
  <c r="Q55" i="87"/>
  <c r="N162" i="91"/>
  <c r="X41" i="84"/>
  <c r="AB119" i="89"/>
  <c r="X141" i="82"/>
  <c r="T165" i="82"/>
  <c r="L98" i="94"/>
  <c r="AA159" i="83"/>
  <c r="AA64" i="83"/>
  <c r="Z47" i="83"/>
  <c r="AA66" i="93"/>
  <c r="O123" i="82"/>
  <c r="M23" i="83"/>
  <c r="O126" i="87"/>
  <c r="L100" i="83"/>
  <c r="Q150" i="91"/>
  <c r="O106" i="94"/>
  <c r="X95" i="88"/>
  <c r="AB162" i="94"/>
  <c r="L81" i="84"/>
  <c r="Q74" i="74"/>
  <c r="P79" i="84"/>
  <c r="Z88" i="74"/>
  <c r="P83" i="83"/>
  <c r="P65" i="83"/>
  <c r="O90" i="85"/>
  <c r="L128" i="81"/>
  <c r="AB35" i="93"/>
  <c r="Y168" i="91"/>
  <c r="X33" i="89"/>
  <c r="AB173" i="84"/>
  <c r="AB61" i="93"/>
  <c r="O69" i="81"/>
  <c r="L79" i="74"/>
  <c r="P9" i="84"/>
  <c r="AB49" i="84"/>
  <c r="P57" i="81"/>
  <c r="P119" i="82"/>
  <c r="Z162" i="94"/>
  <c r="O104" i="91"/>
  <c r="Q65" i="84"/>
  <c r="Y130" i="85"/>
  <c r="L78" i="87"/>
  <c r="M59" i="91"/>
  <c r="AB64" i="91"/>
  <c r="X61" i="91"/>
  <c r="Y130" i="84"/>
  <c r="L178" i="88"/>
  <c r="O87" i="74"/>
  <c r="Y35" i="85"/>
  <c r="AB118" i="82"/>
  <c r="X118" i="93"/>
  <c r="O120" i="85"/>
  <c r="L162" i="83"/>
  <c r="L139" i="91"/>
  <c r="L69" i="84"/>
  <c r="P108" i="81"/>
  <c r="O70" i="94"/>
  <c r="Z97" i="89"/>
  <c r="O169" i="82"/>
  <c r="X164" i="85"/>
  <c r="N150" i="89"/>
  <c r="AA150" i="92"/>
  <c r="Z106" i="94"/>
  <c r="O13" i="83"/>
  <c r="P136" i="93"/>
  <c r="AA143" i="88"/>
  <c r="O166" i="74"/>
  <c r="P183" i="92"/>
  <c r="N165" i="88"/>
  <c r="AB138" i="85"/>
  <c r="N57" i="93"/>
  <c r="Q134" i="81"/>
  <c r="L100" i="85"/>
  <c r="Y59" i="85"/>
  <c r="O84" i="84"/>
  <c r="P149" i="87"/>
  <c r="AB71" i="85"/>
  <c r="P72" i="94"/>
  <c r="AB106" i="83"/>
  <c r="X125" i="85"/>
  <c r="AA39" i="83"/>
  <c r="M51" i="92"/>
  <c r="Q171" i="83"/>
  <c r="Y151" i="84"/>
  <c r="N27" i="94"/>
  <c r="L117" i="81"/>
  <c r="X108" i="82"/>
  <c r="P158" i="94"/>
  <c r="AB160" i="88"/>
  <c r="Y163" i="92"/>
  <c r="AB57" i="83"/>
  <c r="X146" i="88"/>
  <c r="P113" i="84"/>
  <c r="P125" i="85"/>
  <c r="X157" i="93"/>
  <c r="AB100" i="89"/>
  <c r="AA169" i="74"/>
  <c r="AA163" i="82"/>
  <c r="M21" i="74"/>
  <c r="X74" i="85"/>
  <c r="Y33" i="82"/>
  <c r="O31" i="88"/>
  <c r="P98" i="81"/>
  <c r="O82" i="84"/>
  <c r="Z29" i="88"/>
  <c r="Z49" i="91"/>
  <c r="Q67" i="91"/>
  <c r="Y27" i="83"/>
  <c r="X130" i="85"/>
  <c r="AA95" i="82"/>
  <c r="Y140" i="84"/>
  <c r="Q49" i="83"/>
  <c r="Z131" i="87"/>
  <c r="T108" i="93"/>
  <c r="N69" i="82"/>
  <c r="AA81" i="84"/>
  <c r="L135" i="81"/>
  <c r="T87" i="88"/>
  <c r="X171" i="74"/>
  <c r="O124" i="83"/>
  <c r="L184" i="74"/>
  <c r="T81" i="74"/>
  <c r="P136" i="87"/>
  <c r="L152" i="83"/>
  <c r="Z153" i="85"/>
  <c r="Z107" i="85"/>
  <c r="Z164" i="87"/>
  <c r="AB108" i="89"/>
  <c r="P29" i="82"/>
  <c r="X100" i="89"/>
  <c r="AA134" i="84"/>
  <c r="AA78" i="88"/>
  <c r="O55" i="81"/>
  <c r="L179" i="88"/>
  <c r="X55" i="74"/>
  <c r="P117" i="94"/>
  <c r="L154" i="82"/>
  <c r="X117" i="82"/>
  <c r="AB135" i="91"/>
  <c r="AA78" i="74"/>
  <c r="M61" i="89"/>
  <c r="O100" i="85"/>
  <c r="AB166" i="85"/>
  <c r="O134" i="87"/>
  <c r="Z63" i="94"/>
  <c r="X155" i="87"/>
  <c r="O81" i="93"/>
  <c r="AA151" i="85"/>
  <c r="M57" i="84"/>
  <c r="AB120" i="91"/>
  <c r="L174" i="74"/>
  <c r="Z146" i="89"/>
  <c r="X167" i="87"/>
  <c r="Y82" i="85"/>
  <c r="O106" i="87"/>
  <c r="T93" i="87"/>
  <c r="AB13" i="82"/>
  <c r="P119" i="83"/>
  <c r="X147" i="93"/>
  <c r="Q107" i="84"/>
  <c r="Q100" i="87"/>
  <c r="Q35" i="93"/>
  <c r="Y102" i="85"/>
  <c r="L118" i="74"/>
  <c r="O139" i="85"/>
  <c r="T66" i="85"/>
  <c r="P156" i="89"/>
  <c r="Y69" i="82"/>
  <c r="O146" i="92"/>
  <c r="Z158" i="74"/>
  <c r="L177" i="83"/>
  <c r="M39" i="91"/>
  <c r="P61" i="84"/>
  <c r="X177" i="94"/>
  <c r="Q69" i="83"/>
  <c r="Q162" i="93"/>
  <c r="Z164" i="85"/>
  <c r="Y45" i="82"/>
  <c r="O86" i="85"/>
  <c r="X111" i="87"/>
  <c r="X170" i="87"/>
  <c r="Z59" i="74"/>
  <c r="Q147" i="87"/>
  <c r="X175" i="94"/>
  <c r="Y163" i="89"/>
  <c r="Y160" i="81"/>
  <c r="AA80" i="88"/>
  <c r="AA109" i="93"/>
  <c r="AA11" i="87"/>
  <c r="T165" i="84"/>
  <c r="P136" i="94"/>
  <c r="T81" i="82"/>
  <c r="Z174" i="81"/>
  <c r="L162" i="88"/>
  <c r="L95" i="83"/>
  <c r="X131" i="74"/>
  <c r="Z21" i="83"/>
  <c r="L83" i="74"/>
  <c r="AA15" i="74"/>
  <c r="Q43" i="93"/>
  <c r="P88" i="81"/>
  <c r="X9" i="85"/>
  <c r="T84" i="81"/>
  <c r="AA132" i="84"/>
  <c r="T93" i="83"/>
  <c r="L122" i="83"/>
  <c r="AB98" i="89"/>
  <c r="Y148" i="92"/>
  <c r="L147" i="88"/>
  <c r="N147" i="85"/>
  <c r="Q19" i="88"/>
  <c r="AB80" i="81"/>
  <c r="Z88" i="94"/>
  <c r="M29" i="89"/>
  <c r="AA135" i="85"/>
  <c r="N39" i="84"/>
  <c r="P167" i="89"/>
  <c r="X113" i="87"/>
  <c r="L184" i="92"/>
  <c r="Z129" i="89"/>
  <c r="AB87" i="84"/>
  <c r="AA35" i="84"/>
  <c r="N84" i="81"/>
  <c r="AB27" i="84"/>
  <c r="L127" i="87"/>
  <c r="O131" i="84"/>
  <c r="T123" i="81"/>
  <c r="X96" i="74"/>
  <c r="P139" i="88"/>
  <c r="X155" i="83"/>
  <c r="Z166" i="88"/>
  <c r="Z45" i="85"/>
  <c r="AA127" i="91"/>
  <c r="N177" i="87"/>
  <c r="P86" i="81"/>
  <c r="T87" i="83"/>
  <c r="P71" i="81"/>
  <c r="O119" i="87"/>
  <c r="M53" i="93"/>
  <c r="AA171" i="91"/>
  <c r="Z117" i="81"/>
  <c r="Z160" i="83"/>
  <c r="X118" i="92"/>
  <c r="P109" i="85"/>
  <c r="P111" i="85"/>
  <c r="Q140" i="89"/>
  <c r="AB169" i="91"/>
  <c r="L138" i="87"/>
  <c r="O59" i="84"/>
  <c r="X171" i="84"/>
  <c r="O99" i="89"/>
  <c r="P120" i="84"/>
  <c r="X97" i="92"/>
  <c r="X13" i="83"/>
  <c r="AB23" i="89"/>
  <c r="Y172" i="85"/>
  <c r="X63" i="83"/>
  <c r="L174" i="92"/>
  <c r="X81" i="74"/>
  <c r="AB21" i="94"/>
  <c r="AB39" i="88"/>
  <c r="P105" i="94"/>
  <c r="AA171" i="84"/>
  <c r="M13" i="81"/>
  <c r="Z170" i="74"/>
  <c r="P43" i="85"/>
  <c r="Q108" i="89"/>
  <c r="Q57" i="87"/>
  <c r="L80" i="94"/>
  <c r="O74" i="91"/>
  <c r="Q158" i="81"/>
  <c r="N184" i="74"/>
  <c r="AA130" i="82"/>
  <c r="L128" i="82"/>
  <c r="AA71" i="92"/>
  <c r="X145" i="84"/>
  <c r="Q67" i="84"/>
  <c r="Q159" i="92"/>
  <c r="T108" i="74"/>
  <c r="AA65" i="82"/>
  <c r="AA59" i="91"/>
  <c r="T123" i="89"/>
  <c r="AA96" i="83"/>
  <c r="Q71" i="82"/>
  <c r="Z141" i="83"/>
  <c r="Z90" i="82"/>
  <c r="AA43" i="81"/>
  <c r="AA172" i="91"/>
  <c r="O144" i="93"/>
  <c r="X117" i="94"/>
  <c r="AA139" i="74"/>
  <c r="Z156" i="81"/>
  <c r="O55" i="92"/>
  <c r="M23" i="91"/>
  <c r="O69" i="74"/>
  <c r="L93" i="88"/>
  <c r="Y161" i="82"/>
  <c r="Q110" i="85"/>
  <c r="Q49" i="92"/>
  <c r="Z135" i="84"/>
  <c r="AB35" i="89"/>
  <c r="X23" i="88"/>
  <c r="P181" i="87"/>
  <c r="O53" i="83"/>
  <c r="O117" i="81"/>
  <c r="AB170" i="92"/>
  <c r="O134" i="84"/>
  <c r="N57" i="84"/>
  <c r="X100" i="82"/>
  <c r="P43" i="81"/>
  <c r="Q102" i="81"/>
  <c r="X105" i="94"/>
  <c r="P150" i="74"/>
  <c r="AA103" i="93"/>
  <c r="X106" i="92"/>
  <c r="N63" i="74"/>
  <c r="Y141" i="89"/>
  <c r="AB82" i="93"/>
  <c r="Q126" i="83"/>
  <c r="O80" i="74"/>
  <c r="P102" i="85"/>
  <c r="AB9" i="87"/>
  <c r="Z101" i="87"/>
  <c r="P179" i="87"/>
  <c r="L141" i="88"/>
  <c r="Y125" i="93"/>
  <c r="AA49" i="83"/>
  <c r="N9" i="82"/>
  <c r="X177" i="85"/>
  <c r="AB151" i="92"/>
  <c r="Z92" i="82"/>
  <c r="Q154" i="84"/>
  <c r="O174" i="85"/>
  <c r="T165" i="87"/>
  <c r="X89" i="74"/>
  <c r="L152" i="88"/>
  <c r="P136" i="85"/>
  <c r="X72" i="83"/>
  <c r="AB120" i="87"/>
  <c r="O175" i="81"/>
  <c r="Z81" i="83"/>
  <c r="Z121" i="87"/>
  <c r="P79" i="81"/>
  <c r="N129" i="91"/>
  <c r="L130" i="81"/>
  <c r="L116" i="82"/>
  <c r="P9" i="83"/>
  <c r="O116" i="81"/>
  <c r="Y123" i="82"/>
  <c r="AA166" i="87"/>
  <c r="Q174" i="85"/>
  <c r="AA95" i="93"/>
  <c r="AB108" i="81"/>
  <c r="AA105" i="89"/>
  <c r="AB97" i="93"/>
  <c r="X104" i="87"/>
  <c r="T39" i="85"/>
  <c r="M25" i="83"/>
  <c r="AB116" i="84"/>
  <c r="L79" i="83"/>
  <c r="X112" i="81"/>
  <c r="Z180" i="82"/>
  <c r="AA174" i="85"/>
  <c r="P55" i="85"/>
  <c r="O179" i="88"/>
  <c r="Q127" i="82"/>
  <c r="O127" i="74"/>
  <c r="AB134" i="88"/>
  <c r="X135" i="83"/>
  <c r="Z167" i="91"/>
  <c r="L164" i="81"/>
  <c r="X173" i="91"/>
  <c r="AA120" i="89"/>
  <c r="Q91" i="88"/>
  <c r="P155" i="93"/>
  <c r="Q172" i="74"/>
  <c r="Z139" i="91"/>
  <c r="AB124" i="82"/>
  <c r="Q106" i="91"/>
  <c r="AA132" i="74"/>
  <c r="P131" i="81"/>
  <c r="L174" i="87"/>
  <c r="L158" i="89"/>
  <c r="N102" i="92"/>
  <c r="P117" i="93"/>
  <c r="N183" i="74"/>
  <c r="L138" i="83"/>
  <c r="O83" i="74"/>
  <c r="AB102" i="83"/>
  <c r="P142" i="81"/>
  <c r="AA41" i="93"/>
  <c r="AA162" i="74"/>
  <c r="Q98" i="84"/>
  <c r="Q112" i="94"/>
  <c r="AA74" i="91"/>
  <c r="Q39" i="74"/>
  <c r="P163" i="85"/>
  <c r="P133" i="94"/>
  <c r="AA98" i="88"/>
  <c r="AB94" i="85"/>
  <c r="P33" i="87"/>
  <c r="X95" i="74"/>
  <c r="AB176" i="94"/>
  <c r="Z111" i="83"/>
  <c r="X68" i="88"/>
  <c r="X55" i="87"/>
  <c r="Z113" i="89"/>
  <c r="Y45" i="85"/>
  <c r="O45" i="92"/>
  <c r="Y29" i="92"/>
  <c r="Y119" i="93"/>
  <c r="Z117" i="91"/>
  <c r="Y174" i="91"/>
  <c r="L124" i="89"/>
  <c r="AA155" i="81"/>
  <c r="Y57" i="88"/>
  <c r="Q177" i="74"/>
  <c r="O113" i="89"/>
  <c r="P112" i="89"/>
  <c r="Z80" i="85"/>
  <c r="O160" i="92"/>
  <c r="AB67" i="81"/>
  <c r="AA27" i="93"/>
  <c r="Q147" i="81"/>
  <c r="Z134" i="81"/>
  <c r="Q115" i="74"/>
  <c r="Z25" i="91"/>
  <c r="Z98" i="93"/>
  <c r="X122" i="85"/>
  <c r="P11" i="85"/>
  <c r="Y112" i="83"/>
  <c r="O179" i="93"/>
  <c r="X139" i="82"/>
  <c r="N75" i="93"/>
  <c r="O145" i="81"/>
  <c r="AA57" i="88"/>
  <c r="P133" i="81"/>
  <c r="Z159" i="85"/>
  <c r="Z167" i="83"/>
  <c r="M31" i="84"/>
  <c r="L99" i="83"/>
  <c r="X129" i="74"/>
  <c r="AB155" i="85"/>
  <c r="AB27" i="81"/>
  <c r="P80" i="84"/>
  <c r="Y169" i="93"/>
  <c r="L99" i="81"/>
  <c r="X63" i="82"/>
  <c r="X173" i="93"/>
  <c r="AB167" i="89"/>
  <c r="O86" i="81"/>
  <c r="Q31" i="82"/>
  <c r="N9" i="74"/>
  <c r="O139" i="84"/>
  <c r="L82" i="93"/>
  <c r="Q80" i="87"/>
  <c r="Z21" i="81"/>
  <c r="X146" i="83"/>
  <c r="O66" i="81"/>
  <c r="L125" i="74"/>
  <c r="Y172" i="82"/>
  <c r="X98" i="82"/>
  <c r="Y73" i="83"/>
  <c r="X74" i="88"/>
  <c r="P185" i="93"/>
  <c r="N180" i="83"/>
  <c r="Z41" i="84"/>
  <c r="L152" i="89"/>
  <c r="X148" i="91"/>
  <c r="Y143" i="81"/>
  <c r="Q47" i="88"/>
  <c r="L135" i="82"/>
  <c r="Y108" i="81"/>
  <c r="AB23" i="93"/>
  <c r="Y149" i="83"/>
  <c r="O177" i="82"/>
  <c r="T27" i="83"/>
  <c r="AB168" i="82"/>
  <c r="O146" i="81"/>
  <c r="Z113" i="92"/>
  <c r="X9" i="89"/>
  <c r="P85" i="88"/>
  <c r="L63" i="92"/>
  <c r="Z102" i="93"/>
  <c r="L95" i="74"/>
  <c r="Z117" i="82"/>
  <c r="Y121" i="88"/>
  <c r="O31" i="81"/>
  <c r="T66" i="88"/>
  <c r="T111" i="82"/>
  <c r="T102" i="92"/>
  <c r="O17" i="88"/>
  <c r="AA75" i="88"/>
  <c r="Z99" i="92"/>
  <c r="O139" i="89"/>
  <c r="Q73" i="84"/>
  <c r="Y61" i="92"/>
  <c r="N81" i="82"/>
  <c r="X82" i="89"/>
  <c r="O165" i="93"/>
  <c r="Q71" i="89"/>
  <c r="L130" i="82"/>
  <c r="T117" i="82"/>
  <c r="L94" i="87"/>
  <c r="O37" i="92"/>
  <c r="T96" i="84"/>
  <c r="O129" i="89"/>
  <c r="P131" i="92"/>
  <c r="P123" i="87"/>
  <c r="L71" i="92"/>
  <c r="O149" i="93"/>
  <c r="Z159" i="89"/>
  <c r="O159" i="85"/>
  <c r="X35" i="87"/>
  <c r="Q76" i="83"/>
  <c r="O164" i="84"/>
  <c r="X118" i="91"/>
  <c r="Z19" i="84"/>
  <c r="T81" i="91"/>
  <c r="X172" i="92"/>
  <c r="X137" i="85"/>
  <c r="O147" i="88"/>
  <c r="L131" i="83"/>
  <c r="X160" i="82"/>
  <c r="X107" i="92"/>
  <c r="AA109" i="74"/>
  <c r="AA138" i="85"/>
  <c r="L162" i="87"/>
  <c r="Z91" i="93"/>
  <c r="O135" i="82"/>
  <c r="X68" i="81"/>
  <c r="X143" i="93"/>
  <c r="Q66" i="87"/>
  <c r="Y96" i="88"/>
  <c r="AA163" i="91"/>
  <c r="X85" i="89"/>
  <c r="Z152" i="85"/>
  <c r="Y117" i="74"/>
  <c r="M19" i="88"/>
  <c r="N105" i="88"/>
  <c r="O35" i="74"/>
  <c r="P180" i="89"/>
  <c r="AA162" i="88"/>
  <c r="O70" i="91"/>
  <c r="P45" i="93"/>
  <c r="Q139" i="74"/>
  <c r="Z124" i="81"/>
  <c r="T165" i="74"/>
  <c r="P35" i="85"/>
  <c r="Z136" i="81"/>
  <c r="AA94" i="88"/>
  <c r="Z77" i="84"/>
  <c r="X165" i="85"/>
  <c r="X142" i="82"/>
  <c r="O94" i="91"/>
  <c r="Y139" i="87"/>
  <c r="X123" i="85"/>
  <c r="N132" i="85"/>
  <c r="AB59" i="81"/>
  <c r="Q179" i="88"/>
  <c r="O123" i="85"/>
  <c r="AA115" i="82"/>
  <c r="Q27" i="83"/>
  <c r="P49" i="94"/>
  <c r="Q180" i="82"/>
  <c r="X86" i="83"/>
  <c r="P135" i="91"/>
  <c r="Z116" i="93"/>
  <c r="Q112" i="85"/>
  <c r="P130" i="85"/>
  <c r="AA160" i="93"/>
  <c r="Z101" i="85"/>
  <c r="Y89" i="93"/>
  <c r="X98" i="83"/>
  <c r="L76" i="88"/>
  <c r="P142" i="84"/>
  <c r="AB124" i="85"/>
  <c r="X108" i="87"/>
  <c r="Y112" i="89"/>
  <c r="N78" i="85"/>
  <c r="L96" i="82"/>
  <c r="L184" i="85"/>
  <c r="P156" i="84"/>
  <c r="AB147" i="87"/>
  <c r="N75" i="94"/>
  <c r="Q65" i="85"/>
  <c r="L116" i="94"/>
  <c r="O70" i="81"/>
  <c r="AA180" i="85"/>
  <c r="O121" i="74"/>
  <c r="Y168" i="84"/>
  <c r="Q128" i="74"/>
  <c r="AA33" i="81"/>
  <c r="O21" i="83"/>
  <c r="L131" i="85"/>
  <c r="AA180" i="94"/>
  <c r="X59" i="94"/>
  <c r="Q178" i="82"/>
  <c r="AB107" i="85"/>
  <c r="AA165" i="94"/>
  <c r="O114" i="93"/>
  <c r="Q17" i="82"/>
  <c r="Q106" i="82"/>
  <c r="O173" i="92"/>
  <c r="AB17" i="83"/>
  <c r="O171" i="82"/>
  <c r="T99" i="89"/>
  <c r="Q63" i="93"/>
  <c r="AA35" i="83"/>
  <c r="AB88" i="82"/>
  <c r="P165" i="74"/>
  <c r="Y152" i="91"/>
  <c r="P84" i="85"/>
  <c r="AB93" i="82"/>
  <c r="Z149" i="81"/>
  <c r="Q180" i="84"/>
  <c r="L111" i="83"/>
  <c r="X47" i="85"/>
  <c r="T84" i="83"/>
  <c r="Q182" i="91"/>
  <c r="O74" i="83"/>
  <c r="X170" i="74"/>
  <c r="O182" i="89"/>
  <c r="Z82" i="87"/>
  <c r="Q134" i="82"/>
  <c r="O39" i="87"/>
  <c r="Y112" i="88"/>
  <c r="X68" i="84"/>
  <c r="X165" i="83"/>
  <c r="M41" i="83"/>
  <c r="L185" i="83"/>
  <c r="AB68" i="87"/>
  <c r="Z120" i="87"/>
  <c r="O71" i="85"/>
  <c r="AB151" i="88"/>
  <c r="Z66" i="88"/>
  <c r="X65" i="81"/>
  <c r="O71" i="83"/>
  <c r="AA107" i="74"/>
  <c r="L99" i="89"/>
  <c r="Q117" i="85"/>
  <c r="P15" i="89"/>
  <c r="O157" i="74"/>
  <c r="X95" i="85"/>
  <c r="N168" i="83"/>
  <c r="AB143" i="81"/>
  <c r="P121" i="89"/>
  <c r="Z158" i="94"/>
  <c r="O144" i="85"/>
  <c r="X139" i="84"/>
  <c r="P68" i="82"/>
  <c r="O65" i="83"/>
  <c r="X162" i="91"/>
  <c r="P134" i="94"/>
  <c r="L100" i="94"/>
  <c r="AA124" i="94"/>
  <c r="P172" i="94"/>
  <c r="AA152" i="88"/>
  <c r="Z27" i="89"/>
  <c r="Z144" i="85"/>
  <c r="L105" i="92"/>
  <c r="Q93" i="82"/>
  <c r="T156" i="87"/>
  <c r="O68" i="88"/>
  <c r="O178" i="87"/>
  <c r="X49" i="74"/>
  <c r="Z122" i="83"/>
  <c r="O81" i="85"/>
  <c r="Q113" i="94"/>
  <c r="AB146" i="93"/>
  <c r="AB79" i="94"/>
  <c r="AA127" i="83"/>
  <c r="Z33" i="89"/>
  <c r="Q95" i="84"/>
  <c r="X80" i="89"/>
  <c r="X122" i="82"/>
  <c r="L97" i="87"/>
  <c r="AB126" i="89"/>
  <c r="O142" i="82"/>
  <c r="AA83" i="85"/>
  <c r="X172" i="85"/>
  <c r="AA105" i="85"/>
  <c r="X105" i="82"/>
  <c r="X57" i="91"/>
  <c r="Z125" i="87"/>
  <c r="Q96" i="74"/>
  <c r="AA161" i="88"/>
  <c r="Q128" i="89"/>
  <c r="O106" i="88"/>
  <c r="T135" i="74"/>
  <c r="AB82" i="92"/>
  <c r="X104" i="82"/>
  <c r="Q149" i="88"/>
  <c r="AA160" i="94"/>
  <c r="T174" i="91"/>
  <c r="T129" i="93"/>
  <c r="Y153" i="93"/>
  <c r="AA105" i="92"/>
  <c r="P163" i="89"/>
  <c r="Y103" i="82"/>
  <c r="Q155" i="88"/>
  <c r="AB110" i="87"/>
  <c r="P110" i="82"/>
  <c r="Y137" i="84"/>
  <c r="L154" i="89"/>
  <c r="L128" i="88"/>
  <c r="T144" i="92"/>
  <c r="Z153" i="89"/>
  <c r="P102" i="93"/>
  <c r="Q129" i="91"/>
  <c r="Q111" i="94"/>
  <c r="AA174" i="93"/>
  <c r="L88" i="94"/>
  <c r="Y154" i="82"/>
  <c r="AB47" i="93"/>
  <c r="T15" i="84"/>
  <c r="X107" i="94"/>
  <c r="AB59" i="92"/>
  <c r="Q155" i="84"/>
  <c r="Y110" i="88"/>
  <c r="AA136" i="74"/>
  <c r="AA128" i="82"/>
  <c r="P61" i="91"/>
  <c r="P135" i="88"/>
  <c r="Q89" i="74"/>
  <c r="P83" i="89"/>
  <c r="P114" i="91"/>
  <c r="P79" i="83"/>
  <c r="O154" i="82"/>
  <c r="O90" i="84"/>
  <c r="X170" i="83"/>
  <c r="Z133" i="74"/>
  <c r="Y94" i="87"/>
  <c r="X79" i="94"/>
  <c r="X111" i="74"/>
  <c r="AA153" i="74"/>
  <c r="AB107" i="83"/>
  <c r="N84" i="84"/>
  <c r="AA51" i="83"/>
  <c r="AB101" i="93"/>
  <c r="Z143" i="88"/>
  <c r="X174" i="85"/>
  <c r="X47" i="84"/>
  <c r="AA180" i="91"/>
  <c r="O95" i="85"/>
  <c r="X160" i="94"/>
  <c r="Q172" i="85"/>
  <c r="Q114" i="92"/>
  <c r="X139" i="87"/>
  <c r="Z149" i="85"/>
  <c r="AB59" i="82"/>
  <c r="Q145" i="94"/>
  <c r="Q176" i="81"/>
  <c r="O70" i="84"/>
  <c r="P172" i="83"/>
  <c r="P175" i="83"/>
  <c r="P76" i="84"/>
  <c r="P115" i="93"/>
  <c r="Y31" i="91"/>
  <c r="Z83" i="88"/>
  <c r="X25" i="81"/>
  <c r="Q103" i="92"/>
  <c r="L147" i="87"/>
  <c r="Y97" i="89"/>
  <c r="L96" i="74"/>
  <c r="L112" i="85"/>
  <c r="Z92" i="84"/>
  <c r="X66" i="83"/>
  <c r="Y144" i="84"/>
  <c r="AB142" i="81"/>
  <c r="Z129" i="82"/>
  <c r="O158" i="82"/>
  <c r="Y135" i="87"/>
  <c r="Q87" i="82"/>
  <c r="AA23" i="89"/>
  <c r="Y27" i="85"/>
  <c r="AA150" i="85"/>
  <c r="N21" i="81"/>
  <c r="Q121" i="81"/>
  <c r="Q168" i="91"/>
  <c r="AB37" i="85"/>
  <c r="Z69" i="93"/>
  <c r="O9" i="94"/>
  <c r="Y97" i="74"/>
  <c r="Y77" i="74"/>
  <c r="O49" i="74"/>
  <c r="Y172" i="92"/>
  <c r="O76" i="89"/>
  <c r="O73" i="88"/>
  <c r="O141" i="88"/>
  <c r="AB128" i="84"/>
  <c r="AB152" i="91"/>
  <c r="N108" i="92"/>
  <c r="P17" i="92"/>
  <c r="Y55" i="85"/>
  <c r="O63" i="93"/>
  <c r="AA80" i="94"/>
  <c r="Q130" i="88"/>
  <c r="AA81" i="91"/>
  <c r="Q67" i="87"/>
  <c r="X102" i="81"/>
  <c r="Y77" i="94"/>
  <c r="Q117" i="84"/>
  <c r="Y123" i="94"/>
  <c r="Z81" i="91"/>
  <c r="AA138" i="91"/>
  <c r="X79" i="74"/>
  <c r="T120" i="74"/>
  <c r="Z19" i="89"/>
  <c r="L70" i="74"/>
  <c r="Y93" i="82"/>
  <c r="X108" i="83"/>
  <c r="Z92" i="85"/>
  <c r="P37" i="91"/>
  <c r="O115" i="92"/>
  <c r="Q144" i="83"/>
  <c r="Z175" i="82"/>
  <c r="P185" i="83"/>
  <c r="AA139" i="94"/>
  <c r="Z121" i="93"/>
  <c r="O176" i="74"/>
  <c r="Y138" i="84"/>
  <c r="L142" i="85"/>
  <c r="N57" i="83"/>
  <c r="Z131" i="83"/>
  <c r="AA117" i="85"/>
  <c r="AA51" i="94"/>
  <c r="X15" i="85"/>
  <c r="P64" i="83"/>
  <c r="T159" i="89"/>
  <c r="P184" i="85"/>
  <c r="Q134" i="91"/>
  <c r="Q25" i="94"/>
  <c r="L166" i="94"/>
  <c r="L97" i="82"/>
  <c r="X176" i="92"/>
  <c r="P159" i="84"/>
  <c r="O126" i="83"/>
  <c r="N72" i="81"/>
  <c r="P47" i="93"/>
  <c r="M45" i="91"/>
  <c r="Z105" i="84"/>
  <c r="AB129" i="82"/>
  <c r="AA83" i="92"/>
  <c r="N51" i="88"/>
  <c r="T21" i="74"/>
  <c r="O172" i="84"/>
  <c r="O111" i="93"/>
  <c r="Q116" i="92"/>
  <c r="O128" i="81"/>
  <c r="AA33" i="89"/>
  <c r="T108" i="87"/>
  <c r="N111" i="84"/>
  <c r="O175" i="74"/>
  <c r="T66" i="92"/>
  <c r="N180" i="85"/>
  <c r="AA9" i="89"/>
  <c r="Z139" i="82"/>
  <c r="O114" i="81"/>
  <c r="AA163" i="81"/>
  <c r="Z27" i="94"/>
  <c r="Q65" i="82"/>
  <c r="Q110" i="88"/>
  <c r="Y19" i="87"/>
  <c r="O167" i="85"/>
  <c r="AB59" i="83"/>
  <c r="Y159" i="94"/>
  <c r="O64" i="85"/>
  <c r="P128" i="85"/>
  <c r="AA55" i="88"/>
  <c r="Q152" i="74"/>
  <c r="X175" i="83"/>
  <c r="L75" i="85"/>
  <c r="X111" i="85"/>
  <c r="Z126" i="87"/>
  <c r="Z155" i="81"/>
  <c r="Z98" i="84"/>
  <c r="Y43" i="89"/>
  <c r="P168" i="84"/>
  <c r="AB165" i="82"/>
  <c r="AA69" i="87"/>
  <c r="AA121" i="74"/>
  <c r="Z154" i="87"/>
  <c r="L147" i="94"/>
  <c r="T39" i="84"/>
  <c r="AB170" i="87"/>
  <c r="Q15" i="92"/>
  <c r="AA142" i="89"/>
  <c r="Q25" i="82"/>
  <c r="Y130" i="87"/>
  <c r="Q112" i="82"/>
  <c r="M29" i="83"/>
  <c r="AA170" i="74"/>
  <c r="L182" i="83"/>
  <c r="Z165" i="94"/>
  <c r="AA85" i="84"/>
  <c r="X168" i="88"/>
  <c r="Q181" i="94"/>
  <c r="Q150" i="74"/>
  <c r="Z121" i="85"/>
  <c r="Z53" i="74"/>
  <c r="L123" i="89"/>
  <c r="X158" i="93"/>
  <c r="P115" i="85"/>
  <c r="Q180" i="92"/>
  <c r="X146" i="82"/>
  <c r="P63" i="82"/>
  <c r="Q107" i="89"/>
  <c r="Q94" i="89"/>
  <c r="L107" i="89"/>
  <c r="Z125" i="92"/>
  <c r="O92" i="84"/>
  <c r="Y84" i="81"/>
  <c r="P15" i="88"/>
  <c r="O138" i="74"/>
  <c r="L99" i="92"/>
  <c r="P77" i="92"/>
  <c r="O61" i="94"/>
  <c r="P151" i="74"/>
  <c r="Q133" i="88"/>
  <c r="AA91" i="81"/>
  <c r="X39" i="81"/>
  <c r="M29" i="74"/>
  <c r="AA95" i="88"/>
  <c r="Y94" i="82"/>
  <c r="AB35" i="81"/>
  <c r="X177" i="83"/>
  <c r="L87" i="94"/>
  <c r="P131" i="84"/>
  <c r="Z107" i="83"/>
  <c r="Q86" i="74"/>
  <c r="X65" i="74"/>
  <c r="Y130" i="82"/>
  <c r="M13" i="85"/>
  <c r="N114" i="88"/>
  <c r="AB31" i="81"/>
  <c r="AB53" i="94"/>
  <c r="AB51" i="92"/>
  <c r="P164" i="92"/>
  <c r="AB161" i="83"/>
  <c r="AA93" i="74"/>
  <c r="O11" i="87"/>
  <c r="T171" i="92"/>
  <c r="P86" i="83"/>
  <c r="AB150" i="94"/>
  <c r="L109" i="83"/>
  <c r="Y67" i="88"/>
  <c r="P160" i="91"/>
  <c r="L84" i="84"/>
  <c r="L150" i="74"/>
  <c r="AA97" i="92"/>
  <c r="AB172" i="83"/>
  <c r="AA176" i="74"/>
  <c r="Y162" i="88"/>
  <c r="O140" i="94"/>
  <c r="P17" i="87"/>
  <c r="X118" i="89"/>
  <c r="Z73" i="81"/>
  <c r="Y92" i="87"/>
  <c r="L91" i="89"/>
  <c r="L144" i="74"/>
  <c r="L76" i="84"/>
  <c r="O76" i="88"/>
  <c r="P119" i="91"/>
  <c r="X141" i="74"/>
  <c r="O15" i="81"/>
  <c r="X39" i="84"/>
  <c r="Q63" i="92"/>
  <c r="AB85" i="84"/>
  <c r="O107" i="92"/>
  <c r="L165" i="87"/>
  <c r="O129" i="84"/>
  <c r="O21" i="84"/>
  <c r="AA110" i="84"/>
  <c r="AB86" i="81"/>
  <c r="O144" i="91"/>
  <c r="X126" i="85"/>
  <c r="AB72" i="89"/>
  <c r="X19" i="88"/>
  <c r="Y114" i="89"/>
  <c r="P27" i="94"/>
  <c r="O76" i="91"/>
  <c r="AA155" i="83"/>
  <c r="AB132" i="82"/>
  <c r="L148" i="74"/>
  <c r="O182" i="83"/>
  <c r="Z170" i="85"/>
  <c r="Q13" i="82"/>
  <c r="Q163" i="74"/>
  <c r="L91" i="83"/>
  <c r="Q122" i="85"/>
  <c r="L99" i="91"/>
  <c r="X84" i="84"/>
  <c r="X29" i="92"/>
  <c r="Q79" i="91"/>
  <c r="P41" i="81"/>
  <c r="AA122" i="74"/>
  <c r="Y155" i="87"/>
  <c r="X106" i="81"/>
  <c r="T105" i="92"/>
  <c r="P129" i="87"/>
  <c r="AB167" i="83"/>
  <c r="Z49" i="82"/>
  <c r="N129" i="88"/>
  <c r="Q117" i="74"/>
  <c r="X138" i="92"/>
  <c r="P178" i="74"/>
  <c r="AA117" i="89"/>
  <c r="X68" i="87"/>
  <c r="Y138" i="89"/>
  <c r="P140" i="92"/>
  <c r="Z87" i="89"/>
  <c r="AB146" i="88"/>
  <c r="Y105" i="84"/>
  <c r="L70" i="85"/>
  <c r="T21" i="84"/>
  <c r="X43" i="93"/>
  <c r="O129" i="88"/>
  <c r="Y156" i="87"/>
  <c r="AA165" i="74"/>
  <c r="Z15" i="85"/>
  <c r="Z59" i="91"/>
  <c r="AA98" i="94"/>
  <c r="Q167" i="74"/>
  <c r="Q156" i="94"/>
  <c r="M33" i="82"/>
  <c r="O130" i="81"/>
  <c r="P118" i="74"/>
  <c r="P67" i="74"/>
  <c r="X139" i="89"/>
  <c r="X51" i="87"/>
  <c r="T150" i="74"/>
  <c r="L157" i="85"/>
  <c r="X90" i="92"/>
  <c r="L176" i="84"/>
  <c r="X85" i="94"/>
  <c r="Y150" i="91"/>
  <c r="AB130" i="84"/>
  <c r="O158" i="88"/>
  <c r="Q160" i="89"/>
  <c r="AB151" i="87"/>
  <c r="Q31" i="91"/>
  <c r="O136" i="85"/>
  <c r="P159" i="89"/>
  <c r="Z113" i="85"/>
  <c r="T87" i="85"/>
  <c r="Z93" i="84"/>
  <c r="Q142" i="89"/>
  <c r="T168" i="93"/>
  <c r="Q77" i="89"/>
  <c r="AB49" i="82"/>
  <c r="Q53" i="91"/>
  <c r="Q117" i="92"/>
  <c r="O109" i="88"/>
  <c r="AA43" i="88"/>
  <c r="AA43" i="93"/>
  <c r="Y27" i="81"/>
  <c r="P152" i="88"/>
  <c r="Q168" i="94"/>
  <c r="P103" i="85"/>
  <c r="AB75" i="81"/>
  <c r="Q23" i="81"/>
  <c r="O124" i="74"/>
  <c r="AA135" i="88"/>
  <c r="Q96" i="92"/>
  <c r="AB87" i="91"/>
  <c r="N138" i="89"/>
  <c r="O9" i="81"/>
  <c r="L89" i="88"/>
  <c r="AB73" i="89"/>
  <c r="Y72" i="83"/>
  <c r="Q141" i="83"/>
  <c r="T96" i="92"/>
  <c r="O156" i="83"/>
  <c r="AA61" i="84"/>
  <c r="AB25" i="81"/>
  <c r="O35" i="82"/>
  <c r="AA69" i="84"/>
  <c r="L128" i="83"/>
  <c r="X132" i="82"/>
  <c r="AB70" i="81"/>
  <c r="Y177" i="83"/>
  <c r="AA115" i="85"/>
  <c r="Y177" i="93"/>
  <c r="L158" i="85"/>
  <c r="T21" i="92"/>
  <c r="AB155" i="88"/>
  <c r="L163" i="74"/>
  <c r="O88" i="93"/>
  <c r="Y173" i="94"/>
  <c r="P157" i="92"/>
  <c r="AA146" i="93"/>
  <c r="P47" i="88"/>
  <c r="AA166" i="85"/>
  <c r="Y101" i="83"/>
  <c r="AA149" i="82"/>
  <c r="Y61" i="74"/>
  <c r="Q179" i="93"/>
  <c r="L177" i="87"/>
  <c r="P19" i="85"/>
  <c r="O57" i="84"/>
  <c r="AB177" i="85"/>
  <c r="T165" i="83"/>
  <c r="Y21" i="74"/>
  <c r="Z167" i="84"/>
  <c r="L181" i="93"/>
  <c r="AB161" i="87"/>
  <c r="O133" i="85"/>
  <c r="T111" i="89"/>
  <c r="Z155" i="87"/>
  <c r="Q96" i="82"/>
  <c r="N138" i="82"/>
  <c r="L73" i="91"/>
  <c r="X101" i="74"/>
  <c r="AA144" i="92"/>
  <c r="X13" i="74"/>
  <c r="M23" i="82"/>
  <c r="Y9" i="92"/>
  <c r="P87" i="74"/>
  <c r="Y74" i="88"/>
  <c r="AB171" i="81"/>
  <c r="Y73" i="85"/>
  <c r="N75" i="91"/>
  <c r="O157" i="83"/>
  <c r="Q110" i="81"/>
  <c r="Y53" i="84"/>
  <c r="AB108" i="87"/>
  <c r="Q154" i="82"/>
  <c r="Q87" i="94"/>
  <c r="X21" i="94"/>
  <c r="T132" i="92"/>
  <c r="Q105" i="88"/>
  <c r="Z167" i="87"/>
  <c r="P154" i="74"/>
  <c r="X47" i="92"/>
  <c r="AA133" i="83"/>
  <c r="AB92" i="81"/>
  <c r="P144" i="92"/>
  <c r="Q55" i="81"/>
  <c r="Q173" i="83"/>
  <c r="O123" i="89"/>
  <c r="Y77" i="92"/>
  <c r="AB168" i="92"/>
  <c r="Y143" i="82"/>
  <c r="Q112" i="91"/>
  <c r="O21" i="82"/>
  <c r="AA80" i="81"/>
  <c r="P90" i="74"/>
  <c r="X133" i="81"/>
  <c r="T105" i="91"/>
  <c r="Y169" i="87"/>
  <c r="O178" i="82"/>
  <c r="Z69" i="81"/>
  <c r="AA118" i="83"/>
  <c r="Q33" i="82"/>
  <c r="L164" i="93"/>
  <c r="Q90" i="89"/>
  <c r="AB133" i="85"/>
  <c r="Z124" i="83"/>
  <c r="AB17" i="88"/>
  <c r="P154" i="88"/>
  <c r="P137" i="85"/>
  <c r="Y176" i="94"/>
  <c r="P150" i="87"/>
  <c r="Z76" i="82"/>
  <c r="Q172" i="81"/>
  <c r="AA74" i="82"/>
  <c r="O134" i="82"/>
  <c r="T174" i="74"/>
  <c r="O145" i="87"/>
  <c r="Z105" i="88"/>
  <c r="Q112" i="87"/>
  <c r="X53" i="82"/>
  <c r="O98" i="92"/>
  <c r="Y144" i="85"/>
  <c r="O39" i="83"/>
  <c r="L119" i="84"/>
  <c r="Q61" i="81"/>
  <c r="Y116" i="84"/>
  <c r="O104" i="83"/>
  <c r="Y67" i="94"/>
  <c r="P127" i="81"/>
  <c r="P136" i="74"/>
  <c r="Q55" i="91"/>
  <c r="O100" i="88"/>
  <c r="O73" i="93"/>
  <c r="P55" i="82"/>
  <c r="AA74" i="83"/>
  <c r="AB139" i="89"/>
  <c r="Y127" i="83"/>
  <c r="Y27" i="87"/>
  <c r="N162" i="84"/>
  <c r="AA104" i="85"/>
  <c r="L82" i="89"/>
  <c r="P152" i="84"/>
  <c r="Q13" i="81"/>
  <c r="Y169" i="89"/>
  <c r="Z85" i="88"/>
  <c r="AA91" i="74"/>
  <c r="L115" i="83"/>
  <c r="O158" i="91"/>
  <c r="X98" i="85"/>
  <c r="O63" i="88"/>
  <c r="Z125" i="81"/>
  <c r="T96" i="94"/>
  <c r="X134" i="89"/>
  <c r="O89" i="74"/>
  <c r="X103" i="82"/>
  <c r="M43" i="81"/>
  <c r="AB102" i="85"/>
  <c r="Q57" i="81"/>
  <c r="O125" i="91"/>
  <c r="L124" i="92"/>
  <c r="Y121" i="92"/>
  <c r="Z103" i="89"/>
  <c r="O153" i="84"/>
  <c r="AA144" i="81"/>
  <c r="L181" i="89"/>
  <c r="Z166" i="83"/>
  <c r="O154" i="74"/>
  <c r="Y87" i="81"/>
  <c r="L84" i="85"/>
  <c r="Z107" i="89"/>
  <c r="L64" i="87"/>
  <c r="X88" i="84"/>
  <c r="Y104" i="81"/>
  <c r="Q103" i="89"/>
  <c r="M55" i="85"/>
  <c r="AA95" i="87"/>
  <c r="O25" i="84"/>
  <c r="Q132" i="81"/>
  <c r="O142" i="94"/>
  <c r="AA137" i="87"/>
  <c r="L72" i="91"/>
  <c r="AB15" i="89"/>
  <c r="X70" i="81"/>
  <c r="Q19" i="87"/>
  <c r="Y64" i="89"/>
  <c r="P174" i="89"/>
  <c r="X170" i="88"/>
  <c r="AA117" i="84"/>
  <c r="Z113" i="82"/>
  <c r="L163" i="88"/>
  <c r="T126" i="93"/>
  <c r="Z61" i="88"/>
  <c r="AB141" i="87"/>
  <c r="AA154" i="84"/>
  <c r="T15" i="93"/>
  <c r="Z150" i="93"/>
  <c r="Q130" i="81"/>
  <c r="Z141" i="82"/>
  <c r="Q43" i="85"/>
  <c r="AB160" i="82"/>
  <c r="Q168" i="87"/>
  <c r="Z153" i="87"/>
  <c r="AA51" i="74"/>
  <c r="X133" i="83"/>
  <c r="P87" i="91"/>
  <c r="O185" i="91"/>
  <c r="N27" i="82"/>
  <c r="M15" i="83"/>
  <c r="P148" i="85"/>
  <c r="L129" i="85"/>
  <c r="Q51" i="74"/>
  <c r="Z91" i="74"/>
  <c r="Z126" i="93"/>
  <c r="Q78" i="84"/>
  <c r="Q114" i="89"/>
  <c r="P137" i="92"/>
  <c r="Z51" i="74"/>
  <c r="Q168" i="88"/>
  <c r="AB113" i="82"/>
  <c r="O99" i="83"/>
  <c r="X125" i="74"/>
  <c r="Q142" i="83"/>
  <c r="X160" i="74"/>
  <c r="Z177" i="81"/>
  <c r="O117" i="74"/>
  <c r="L155" i="74"/>
  <c r="L89" i="85"/>
  <c r="T114" i="85"/>
  <c r="Z84" i="85"/>
  <c r="Y17" i="87"/>
  <c r="P163" i="84"/>
  <c r="P151" i="83"/>
  <c r="L145" i="83"/>
  <c r="X159" i="94"/>
  <c r="Y77" i="91"/>
  <c r="AA118" i="82"/>
  <c r="AB31" i="87"/>
  <c r="T57" i="85"/>
  <c r="L112" i="81"/>
  <c r="Z37" i="91"/>
  <c r="Z138" i="94"/>
  <c r="O152" i="85"/>
  <c r="X63" i="84"/>
  <c r="AA104" i="84"/>
  <c r="AA117" i="81"/>
  <c r="Q175" i="83"/>
  <c r="P151" i="82"/>
  <c r="O41" i="87"/>
  <c r="X41" i="81"/>
  <c r="L180" i="88"/>
  <c r="AA64" i="81"/>
  <c r="P160" i="93"/>
  <c r="Z69" i="83"/>
  <c r="Q181" i="84"/>
  <c r="X9" i="82"/>
  <c r="P152" i="94"/>
  <c r="P116" i="84"/>
  <c r="L80" i="84"/>
  <c r="O114" i="82"/>
  <c r="AA13" i="89"/>
  <c r="Z81" i="84"/>
  <c r="O61" i="85"/>
  <c r="O94" i="89"/>
  <c r="L154" i="83"/>
  <c r="O108" i="89"/>
  <c r="AA157" i="74"/>
  <c r="Z125" i="85"/>
  <c r="X66" i="74"/>
  <c r="T177" i="87"/>
  <c r="AA100" i="89"/>
  <c r="Y61" i="84"/>
  <c r="Z66" i="74"/>
  <c r="AB90" i="94"/>
  <c r="AA74" i="84"/>
  <c r="AA169" i="89"/>
  <c r="Z141" i="89"/>
  <c r="M15" i="91"/>
  <c r="O107" i="81"/>
  <c r="Q114" i="83"/>
  <c r="AA174" i="84"/>
  <c r="L156" i="91"/>
  <c r="Z29" i="85"/>
  <c r="L172" i="91"/>
  <c r="AA167" i="91"/>
  <c r="O82" i="74"/>
  <c r="T123" i="85"/>
  <c r="N141" i="82"/>
  <c r="Y74" i="85"/>
  <c r="Y67" i="89"/>
  <c r="Y77" i="88"/>
  <c r="N183" i="87"/>
  <c r="Q69" i="87"/>
  <c r="AB76" i="93"/>
  <c r="AB85" i="94"/>
  <c r="Z84" i="89"/>
  <c r="L173" i="91"/>
  <c r="AA136" i="81"/>
  <c r="Y75" i="83"/>
  <c r="O15" i="85"/>
  <c r="O51" i="82"/>
  <c r="M25" i="89"/>
  <c r="P138" i="88"/>
  <c r="X72" i="88"/>
  <c r="T177" i="88"/>
  <c r="AB131" i="87"/>
  <c r="O152" i="82"/>
  <c r="AA173" i="83"/>
  <c r="AA61" i="81"/>
  <c r="P64" i="84"/>
  <c r="Y168" i="85"/>
  <c r="AB103" i="85"/>
  <c r="O116" i="84"/>
  <c r="P64" i="92"/>
  <c r="T15" i="94"/>
  <c r="AA112" i="89"/>
  <c r="AB107" i="82"/>
  <c r="L87" i="83"/>
  <c r="Y91" i="81"/>
  <c r="X68" i="74"/>
  <c r="Y143" i="91"/>
  <c r="Z102" i="81"/>
  <c r="AB105" i="88"/>
  <c r="P70" i="84"/>
  <c r="P21" i="91"/>
  <c r="L109" i="93"/>
  <c r="L92" i="85"/>
  <c r="N135" i="83"/>
  <c r="O103" i="82"/>
  <c r="X122" i="83"/>
  <c r="L150" i="82"/>
  <c r="AB121" i="84"/>
  <c r="AB136" i="83"/>
  <c r="O83" i="82"/>
  <c r="Y93" i="83"/>
  <c r="T102" i="83"/>
  <c r="T21" i="82"/>
  <c r="X105" i="74"/>
  <c r="O89" i="83"/>
  <c r="Z57" i="84"/>
  <c r="P68" i="83"/>
  <c r="X109" i="87"/>
  <c r="P153" i="94"/>
  <c r="AB131" i="81"/>
  <c r="AA168" i="82"/>
  <c r="X65" i="83"/>
  <c r="Y70" i="89"/>
  <c r="L124" i="85"/>
  <c r="X165" i="74"/>
  <c r="O155" i="84"/>
  <c r="Y9" i="89"/>
  <c r="T141" i="74"/>
  <c r="AA94" i="84"/>
  <c r="N21" i="74"/>
  <c r="Z142" i="83"/>
  <c r="AB114" i="91"/>
  <c r="X75" i="74"/>
  <c r="Y119" i="81"/>
  <c r="L172" i="89"/>
  <c r="AB117" i="82"/>
  <c r="AB74" i="84"/>
  <c r="L154" i="87"/>
  <c r="Y171" i="74"/>
  <c r="AA82" i="83"/>
  <c r="Y71" i="92"/>
  <c r="Y45" i="74"/>
  <c r="Y139" i="85"/>
  <c r="Z96" i="84"/>
  <c r="O173" i="93"/>
  <c r="T51" i="83"/>
  <c r="Q82" i="74"/>
  <c r="O153" i="83"/>
  <c r="Z168" i="82"/>
  <c r="L109" i="92"/>
  <c r="AB29" i="82"/>
  <c r="O82" i="82"/>
  <c r="AB11" i="84"/>
  <c r="AA63" i="93"/>
  <c r="O11" i="82"/>
  <c r="M49" i="91"/>
  <c r="X35" i="92"/>
  <c r="P51" i="81"/>
  <c r="AB116" i="81"/>
  <c r="M17" i="81"/>
  <c r="P43" i="88"/>
  <c r="T87" i="92"/>
  <c r="AB31" i="85"/>
  <c r="O108" i="83"/>
  <c r="X87" i="87"/>
  <c r="O108" i="82"/>
  <c r="X92" i="84"/>
  <c r="AA159" i="82"/>
  <c r="Q169" i="94"/>
  <c r="O57" i="88"/>
  <c r="AA61" i="88"/>
  <c r="Q92" i="81"/>
  <c r="Z115" i="93"/>
  <c r="X11" i="81"/>
  <c r="AA80" i="85"/>
  <c r="Y125" i="82"/>
  <c r="P127" i="83"/>
  <c r="Y71" i="85"/>
  <c r="N174" i="84"/>
  <c r="N144" i="83"/>
  <c r="L164" i="74"/>
  <c r="O146" i="89"/>
  <c r="N9" i="85"/>
  <c r="X125" i="84"/>
  <c r="X175" i="89"/>
  <c r="AB154" i="82"/>
  <c r="Z93" i="81"/>
  <c r="Y71" i="74"/>
  <c r="X154" i="83"/>
  <c r="P128" i="81"/>
  <c r="P119" i="85"/>
  <c r="AB115" i="83"/>
  <c r="X97" i="85"/>
  <c r="Y21" i="82"/>
  <c r="O23" i="84"/>
  <c r="P114" i="88"/>
  <c r="O162" i="91"/>
  <c r="L101" i="82"/>
  <c r="Y120" i="81"/>
  <c r="Z176" i="81"/>
  <c r="Q107" i="91"/>
  <c r="X160" i="81"/>
  <c r="Q109" i="89"/>
  <c r="N93" i="93"/>
  <c r="O172" i="83"/>
  <c r="Y51" i="88"/>
  <c r="X84" i="85"/>
  <c r="L156" i="88"/>
  <c r="L89" i="81"/>
  <c r="P37" i="89"/>
  <c r="M53" i="91"/>
  <c r="Y109" i="89"/>
  <c r="L93" i="74"/>
  <c r="Q31" i="85"/>
  <c r="Q33" i="84"/>
  <c r="AB101" i="82"/>
  <c r="AB41" i="88"/>
  <c r="N9" i="91"/>
  <c r="AA27" i="85"/>
  <c r="AA158" i="74"/>
  <c r="Y165" i="84"/>
  <c r="T63" i="74"/>
  <c r="Q106" i="89"/>
  <c r="O53" i="91"/>
  <c r="Q124" i="91"/>
  <c r="X163" i="85"/>
  <c r="P178" i="84"/>
  <c r="Z108" i="74"/>
  <c r="X137" i="83"/>
  <c r="Q107" i="82"/>
  <c r="Q47" i="82"/>
  <c r="Q53" i="83"/>
  <c r="X37" i="87"/>
  <c r="Y176" i="83"/>
  <c r="T39" i="83"/>
  <c r="Q84" i="83"/>
  <c r="P137" i="83"/>
  <c r="X172" i="82"/>
  <c r="Q149" i="85"/>
  <c r="AA53" i="83"/>
  <c r="P112" i="87"/>
  <c r="X155" i="81"/>
  <c r="X67" i="82"/>
  <c r="P33" i="82"/>
  <c r="Q69" i="93"/>
  <c r="Z131" i="81"/>
  <c r="Q131" i="85"/>
  <c r="N144" i="92"/>
  <c r="AB53" i="82"/>
  <c r="O77" i="81"/>
  <c r="P49" i="82"/>
  <c r="M61" i="84"/>
  <c r="Z67" i="93"/>
  <c r="Y95" i="83"/>
  <c r="Q126" i="74"/>
  <c r="AB84" i="81"/>
  <c r="AA41" i="85"/>
  <c r="AB96" i="88"/>
  <c r="Q61" i="74"/>
  <c r="AA146" i="87"/>
  <c r="Y57" i="84"/>
  <c r="L129" i="94"/>
  <c r="L181" i="91"/>
  <c r="O148" i="81"/>
  <c r="Z177" i="85"/>
  <c r="O141" i="87"/>
  <c r="AB53" i="84"/>
  <c r="Q41" i="82"/>
  <c r="P116" i="91"/>
  <c r="Z140" i="84"/>
  <c r="P129" i="94"/>
  <c r="AB159" i="82"/>
  <c r="O159" i="94"/>
  <c r="AA126" i="81"/>
  <c r="P35" i="87"/>
  <c r="P182" i="85"/>
  <c r="Y148" i="81"/>
  <c r="Y67" i="82"/>
  <c r="T138" i="94"/>
  <c r="Y74" i="82"/>
  <c r="N156" i="74"/>
  <c r="L71" i="88"/>
  <c r="Y158" i="82"/>
  <c r="AA169" i="88"/>
  <c r="N90" i="88"/>
  <c r="X109" i="91"/>
  <c r="Q155" i="92"/>
  <c r="O168" i="85"/>
  <c r="Y166" i="74"/>
  <c r="T120" i="89"/>
  <c r="T96" i="82"/>
  <c r="P78" i="82"/>
  <c r="M27" i="91"/>
  <c r="N111" i="81"/>
  <c r="P81" i="87"/>
  <c r="Q146" i="83"/>
  <c r="P37" i="84"/>
  <c r="O69" i="93"/>
  <c r="O182" i="88"/>
  <c r="P124" i="83"/>
  <c r="Q74" i="91"/>
  <c r="T87" i="89"/>
  <c r="P95" i="82"/>
  <c r="Z172" i="84"/>
  <c r="O141" i="91"/>
  <c r="AA86" i="85"/>
  <c r="Z167" i="93"/>
  <c r="Z35" i="83"/>
  <c r="O130" i="93"/>
  <c r="Z39" i="84"/>
  <c r="Z124" i="82"/>
  <c r="N126" i="88"/>
  <c r="Y111" i="89"/>
  <c r="Z111" i="85"/>
  <c r="P119" i="88"/>
  <c r="Y61" i="91"/>
  <c r="L94" i="89"/>
  <c r="Y94" i="91"/>
  <c r="L131" i="81"/>
  <c r="Z170" i="93"/>
  <c r="AB101" i="88"/>
  <c r="X148" i="74"/>
  <c r="Q163" i="82"/>
  <c r="O37" i="85"/>
  <c r="X155" i="85"/>
  <c r="L181" i="82"/>
  <c r="Q175" i="89"/>
  <c r="Y87" i="82"/>
  <c r="X175" i="74"/>
  <c r="O68" i="84"/>
  <c r="AA173" i="91"/>
  <c r="P61" i="81"/>
  <c r="AB95" i="89"/>
  <c r="AA85" i="94"/>
  <c r="Z19" i="81"/>
  <c r="Y78" i="89"/>
  <c r="O135" i="93"/>
  <c r="T78" i="91"/>
  <c r="Z75" i="88"/>
  <c r="O81" i="89"/>
  <c r="AA124" i="83"/>
  <c r="Q176" i="83"/>
  <c r="X100" i="87"/>
  <c r="Q31" i="81"/>
  <c r="Q151" i="82"/>
  <c r="X154" i="88"/>
  <c r="AA94" i="83"/>
  <c r="AA71" i="88"/>
  <c r="Q61" i="83"/>
  <c r="X9" i="87"/>
  <c r="L102" i="74"/>
  <c r="P144" i="81"/>
  <c r="Y59" i="91"/>
  <c r="N159" i="88"/>
  <c r="P11" i="91"/>
  <c r="T108" i="92"/>
  <c r="L92" i="74"/>
  <c r="L175" i="83"/>
  <c r="AB82" i="81"/>
  <c r="AA91" i="83"/>
  <c r="L126" i="89"/>
  <c r="N33" i="91"/>
  <c r="Y61" i="87"/>
  <c r="AB45" i="85"/>
  <c r="T90" i="83"/>
  <c r="Q41" i="91"/>
  <c r="L101" i="83"/>
  <c r="O154" i="87"/>
  <c r="Q70" i="81"/>
  <c r="AB61" i="88"/>
  <c r="AB143" i="84"/>
  <c r="P68" i="81"/>
  <c r="X123" i="74"/>
  <c r="O67" i="83"/>
  <c r="Q39" i="94"/>
  <c r="AB72" i="94"/>
  <c r="Z164" i="88"/>
  <c r="N171" i="83"/>
  <c r="O167" i="89"/>
  <c r="AA102" i="89"/>
  <c r="N141" i="74"/>
  <c r="T144" i="93"/>
  <c r="AB64" i="89"/>
  <c r="AB125" i="85"/>
  <c r="Y93" i="74"/>
  <c r="T132" i="81"/>
  <c r="Q148" i="88"/>
  <c r="O184" i="88"/>
  <c r="Q65" i="81"/>
  <c r="Z81" i="82"/>
  <c r="Y15" i="93"/>
  <c r="X121" i="74"/>
  <c r="Q139" i="88"/>
  <c r="P69" i="93"/>
  <c r="L64" i="89"/>
  <c r="X145" i="74"/>
  <c r="P154" i="87"/>
  <c r="O98" i="81"/>
  <c r="Z132" i="74"/>
  <c r="Y45" i="87"/>
  <c r="AA116" i="81"/>
  <c r="L182" i="74"/>
  <c r="AA103" i="82"/>
  <c r="P142" i="89"/>
  <c r="Y168" i="87"/>
  <c r="Y153" i="74"/>
  <c r="X94" i="82"/>
  <c r="L77" i="92"/>
  <c r="Q139" i="81"/>
  <c r="X39" i="82"/>
  <c r="N108" i="87"/>
  <c r="O31" i="83"/>
  <c r="L146" i="87"/>
  <c r="T57" i="83"/>
  <c r="T84" i="82"/>
  <c r="AA174" i="91"/>
  <c r="AB33" i="82"/>
  <c r="O152" i="81"/>
  <c r="Q131" i="84"/>
  <c r="L101" i="74"/>
  <c r="X77" i="87"/>
  <c r="N96" i="85"/>
  <c r="P150" i="84"/>
  <c r="L146" i="81"/>
  <c r="Y75" i="74"/>
  <c r="T15" i="87"/>
  <c r="T132" i="74"/>
  <c r="P53" i="89"/>
  <c r="Q143" i="87"/>
  <c r="P41" i="92"/>
  <c r="Y136" i="89"/>
  <c r="X166" i="81"/>
  <c r="O11" i="81"/>
  <c r="O116" i="88"/>
  <c r="L169" i="88"/>
  <c r="O148" i="94"/>
  <c r="X95" i="92"/>
  <c r="Z129" i="88"/>
  <c r="Y159" i="81"/>
  <c r="P41" i="85"/>
  <c r="T147" i="88"/>
  <c r="N147" i="82"/>
  <c r="AB154" i="81"/>
  <c r="AA11" i="89"/>
  <c r="X173" i="84"/>
  <c r="O74" i="81"/>
  <c r="X112" i="74"/>
  <c r="Y128" i="83"/>
  <c r="P158" i="87"/>
  <c r="AB121" i="89"/>
  <c r="AA129" i="83"/>
  <c r="Q154" i="88"/>
  <c r="Z118" i="82"/>
  <c r="Q90" i="84"/>
  <c r="Q88" i="94"/>
  <c r="AA45" i="84"/>
  <c r="P68" i="87"/>
  <c r="Z140" i="81"/>
  <c r="Z153" i="74"/>
  <c r="P173" i="94"/>
  <c r="P132" i="91"/>
  <c r="Q81" i="83"/>
  <c r="AA64" i="88"/>
  <c r="Y15" i="87"/>
  <c r="Z80" i="94"/>
  <c r="P158" i="84"/>
  <c r="M43" i="82"/>
  <c r="O64" i="84"/>
  <c r="AB82" i="82"/>
  <c r="P71" i="91"/>
  <c r="Q95" i="85"/>
  <c r="Z120" i="91"/>
  <c r="AB55" i="91"/>
  <c r="AA53" i="87"/>
  <c r="O66" i="74"/>
  <c r="AA126" i="89"/>
  <c r="X170" i="82"/>
  <c r="AB140" i="85"/>
  <c r="N57" i="85"/>
  <c r="O168" i="93"/>
  <c r="Q49" i="85"/>
  <c r="Y140" i="87"/>
  <c r="Z170" i="91"/>
  <c r="Y76" i="82"/>
  <c r="X97" i="82"/>
  <c r="N141" i="91"/>
  <c r="Y91" i="91"/>
  <c r="Y83" i="88"/>
  <c r="Y63" i="92"/>
  <c r="O116" i="87"/>
  <c r="Y13" i="92"/>
  <c r="AB37" i="84"/>
  <c r="AA149" i="91"/>
  <c r="T147" i="83"/>
  <c r="P69" i="89"/>
  <c r="L81" i="91"/>
  <c r="O133" i="82"/>
  <c r="O82" i="94"/>
  <c r="Y154" i="85"/>
  <c r="AB164" i="83"/>
  <c r="P23" i="83"/>
  <c r="N147" i="74"/>
  <c r="AA125" i="88"/>
  <c r="P19" i="84"/>
  <c r="Y67" i="93"/>
  <c r="X88" i="83"/>
  <c r="X126" i="84"/>
  <c r="O71" i="91"/>
  <c r="O149" i="88"/>
  <c r="AA73" i="82"/>
  <c r="Z165" i="85"/>
  <c r="Z15" i="82"/>
  <c r="O17" i="83"/>
  <c r="N84" i="91"/>
  <c r="L88" i="87"/>
  <c r="L115" i="81"/>
  <c r="N120" i="88"/>
  <c r="Q171" i="85"/>
  <c r="P138" i="94"/>
  <c r="AA89" i="74"/>
  <c r="AB154" i="94"/>
  <c r="X66" i="87"/>
  <c r="P83" i="84"/>
  <c r="O92" i="87"/>
  <c r="Z149" i="83"/>
  <c r="O63" i="81"/>
  <c r="Q78" i="85"/>
  <c r="Q108" i="83"/>
  <c r="AA110" i="81"/>
  <c r="AB128" i="85"/>
  <c r="P155" i="88"/>
  <c r="P149" i="85"/>
  <c r="Y31" i="81"/>
  <c r="L121" i="91"/>
  <c r="Z162" i="74"/>
  <c r="O105" i="85"/>
  <c r="Z126" i="89"/>
  <c r="L144" i="89"/>
  <c r="AB141" i="81"/>
  <c r="Y97" i="83"/>
  <c r="N147" i="81"/>
  <c r="P66" i="83"/>
  <c r="P122" i="74"/>
  <c r="M37" i="91"/>
  <c r="AA153" i="81"/>
  <c r="L149" i="84"/>
  <c r="Z47" i="88"/>
  <c r="O78" i="88"/>
  <c r="Z69" i="92"/>
  <c r="O123" i="94"/>
  <c r="Y104" i="85"/>
  <c r="Y64" i="81"/>
  <c r="Q72" i="74"/>
  <c r="AA72" i="92"/>
  <c r="Q113" i="89"/>
  <c r="AA90" i="81"/>
  <c r="Y141" i="83"/>
  <c r="P179" i="88"/>
  <c r="L141" i="74"/>
  <c r="L161" i="89"/>
  <c r="L103" i="88"/>
  <c r="L87" i="88"/>
  <c r="N129" i="74"/>
  <c r="AA19" i="84"/>
  <c r="AA77" i="89"/>
  <c r="P117" i="81"/>
  <c r="L181" i="81"/>
  <c r="Q76" i="93"/>
  <c r="T27" i="87"/>
  <c r="AA125" i="85"/>
  <c r="AA113" i="85"/>
  <c r="L170" i="87"/>
  <c r="L77" i="84"/>
  <c r="P74" i="89"/>
  <c r="AB151" i="83"/>
  <c r="P164" i="82"/>
  <c r="P93" i="91"/>
  <c r="O19" i="84"/>
  <c r="X161" i="81"/>
  <c r="Y173" i="91"/>
  <c r="L157" i="82"/>
  <c r="X127" i="84"/>
  <c r="N162" i="89"/>
  <c r="O51" i="85"/>
  <c r="X123" i="83"/>
  <c r="Q164" i="85"/>
  <c r="AB144" i="83"/>
  <c r="Y95" i="89"/>
  <c r="AA130" i="84"/>
  <c r="AB77" i="89"/>
  <c r="AA74" i="81"/>
  <c r="L145" i="91"/>
  <c r="Y124" i="81"/>
  <c r="O13" i="91"/>
  <c r="M15" i="82"/>
  <c r="AB131" i="85"/>
  <c r="O131" i="87"/>
  <c r="Z81" i="89"/>
  <c r="O100" i="74"/>
  <c r="AA160" i="82"/>
  <c r="P165" i="81"/>
  <c r="Z154" i="81"/>
  <c r="Z77" i="82"/>
  <c r="X151" i="84"/>
  <c r="P27" i="83"/>
  <c r="P122" i="91"/>
  <c r="P152" i="74"/>
  <c r="AB79" i="93"/>
  <c r="N51" i="82"/>
  <c r="O57" i="91"/>
  <c r="P61" i="82"/>
  <c r="Z87" i="81"/>
  <c r="AA83" i="88"/>
  <c r="Y71" i="89"/>
  <c r="AA19" i="94"/>
  <c r="T120" i="88"/>
  <c r="T156" i="89"/>
  <c r="X59" i="81"/>
  <c r="Z85" i="85"/>
  <c r="AB49" i="87"/>
  <c r="X96" i="87"/>
  <c r="Q71" i="91"/>
  <c r="P72" i="92"/>
  <c r="X162" i="94"/>
  <c r="L140" i="74"/>
  <c r="Z144" i="83"/>
  <c r="Z123" i="83"/>
  <c r="T78" i="83"/>
  <c r="AB92" i="88"/>
  <c r="X31" i="88"/>
  <c r="Q90" i="91"/>
  <c r="L108" i="85"/>
  <c r="AB111" i="91"/>
  <c r="M19" i="83"/>
  <c r="AA89" i="81"/>
  <c r="Q71" i="74"/>
  <c r="AB147" i="92"/>
  <c r="L127" i="88"/>
  <c r="Q123" i="85"/>
  <c r="Y99" i="92"/>
  <c r="Q35" i="82"/>
  <c r="N81" i="84"/>
  <c r="L161" i="91"/>
  <c r="L109" i="81"/>
  <c r="AA73" i="85"/>
  <c r="AA76" i="81"/>
  <c r="AA159" i="81"/>
  <c r="AB13" i="92"/>
  <c r="T120" i="82"/>
  <c r="AB65" i="81"/>
  <c r="Z147" i="82"/>
  <c r="X47" i="81"/>
  <c r="N156" i="83"/>
  <c r="AA139" i="82"/>
  <c r="Q17" i="85"/>
  <c r="Z169" i="82"/>
  <c r="M27" i="84"/>
  <c r="O161" i="87"/>
  <c r="P172" i="84"/>
  <c r="P154" i="82"/>
  <c r="Q100" i="88"/>
  <c r="AA90" i="83"/>
  <c r="T99" i="92"/>
  <c r="Z102" i="85"/>
  <c r="P59" i="87"/>
  <c r="X90" i="74"/>
  <c r="T171" i="81"/>
  <c r="Q73" i="85"/>
  <c r="L67" i="94"/>
  <c r="O57" i="85"/>
  <c r="AB89" i="81"/>
  <c r="Z83" i="92"/>
  <c r="P113" i="74"/>
  <c r="Y141" i="88"/>
  <c r="M23" i="94"/>
  <c r="Y180" i="94"/>
  <c r="Q90" i="83"/>
  <c r="Z69" i="74"/>
  <c r="Z170" i="84"/>
  <c r="Q118" i="82"/>
  <c r="P172" i="74"/>
  <c r="AB161" i="84"/>
  <c r="P175" i="92"/>
  <c r="X95" i="93"/>
  <c r="Z35" i="87"/>
  <c r="Y105" i="82"/>
  <c r="X136" i="85"/>
  <c r="N132" i="94"/>
  <c r="T171" i="82"/>
  <c r="N108" i="88"/>
  <c r="Y97" i="88"/>
  <c r="Z68" i="94"/>
  <c r="P99" i="89"/>
  <c r="N135" i="92"/>
  <c r="Z176" i="84"/>
  <c r="T108" i="85"/>
  <c r="AA142" i="82"/>
  <c r="Q120" i="91"/>
  <c r="Z149" i="84"/>
  <c r="N39" i="74"/>
  <c r="AB128" i="93"/>
  <c r="Q25" i="85"/>
  <c r="AA93" i="87"/>
  <c r="X70" i="83"/>
  <c r="X83" i="91"/>
  <c r="X110" i="87"/>
  <c r="P107" i="81"/>
  <c r="P31" i="93"/>
  <c r="Y143" i="88"/>
  <c r="AB106" i="93"/>
  <c r="M13" i="82"/>
  <c r="X80" i="74"/>
  <c r="X93" i="83"/>
  <c r="P102" i="92"/>
  <c r="O117" i="83"/>
  <c r="P73" i="74"/>
  <c r="Y170" i="88"/>
  <c r="AA75" i="74"/>
  <c r="N33" i="94"/>
  <c r="L99" i="85"/>
  <c r="L70" i="81"/>
  <c r="T111" i="92"/>
  <c r="L112" i="74"/>
  <c r="Y180" i="85"/>
  <c r="Q70" i="91"/>
  <c r="X21" i="74"/>
  <c r="AB79" i="87"/>
  <c r="X68" i="83"/>
  <c r="Q161" i="84"/>
  <c r="Y66" i="87"/>
  <c r="Q49" i="84"/>
  <c r="Q176" i="74"/>
  <c r="AA130" i="89"/>
  <c r="P167" i="83"/>
  <c r="L81" i="88"/>
  <c r="Q148" i="82"/>
  <c r="AB129" i="84"/>
  <c r="P83" i="74"/>
  <c r="Z87" i="84"/>
  <c r="Y59" i="81"/>
  <c r="AB174" i="87"/>
  <c r="X153" i="88"/>
  <c r="Y139" i="93"/>
  <c r="Z153" i="82"/>
  <c r="AA17" i="89"/>
  <c r="Z98" i="89"/>
  <c r="Q120" i="81"/>
  <c r="P181" i="91"/>
  <c r="X115" i="92"/>
  <c r="Y95" i="85"/>
  <c r="AB45" i="84"/>
  <c r="X23" i="93"/>
  <c r="Z167" i="81"/>
  <c r="T15" i="74"/>
  <c r="Q173" i="89"/>
  <c r="X76" i="83"/>
  <c r="Y131" i="82"/>
  <c r="Q179" i="83"/>
  <c r="AB39" i="83"/>
  <c r="L92" i="94"/>
  <c r="L86" i="81"/>
  <c r="X110" i="91"/>
  <c r="P23" i="89"/>
  <c r="Z73" i="88"/>
  <c r="L173" i="92"/>
  <c r="X175" i="85"/>
  <c r="AA15" i="87"/>
  <c r="P151" i="88"/>
  <c r="AA99" i="83"/>
  <c r="Y121" i="87"/>
  <c r="T153" i="85"/>
  <c r="T69" i="82"/>
  <c r="Z138" i="82"/>
  <c r="AB45" i="88"/>
  <c r="L126" i="74"/>
  <c r="M21" i="81"/>
  <c r="X84" i="83"/>
  <c r="L74" i="85"/>
  <c r="Z161" i="74"/>
  <c r="L126" i="81"/>
  <c r="P25" i="91"/>
  <c r="Q64" i="85"/>
  <c r="X168" i="94"/>
  <c r="O134" i="81"/>
  <c r="Z75" i="87"/>
  <c r="P13" i="89"/>
  <c r="AB167" i="81"/>
  <c r="Y64" i="84"/>
  <c r="L120" i="82"/>
  <c r="AB95" i="84"/>
  <c r="Y142" i="87"/>
  <c r="L130" i="83"/>
  <c r="O149" i="91"/>
  <c r="AB71" i="89"/>
  <c r="T129" i="85"/>
  <c r="Z119" i="85"/>
  <c r="AB101" i="84"/>
  <c r="Z129" i="83"/>
  <c r="O175" i="82"/>
  <c r="Z108" i="83"/>
  <c r="Y176" i="74"/>
  <c r="X115" i="85"/>
  <c r="AB68" i="84"/>
  <c r="L159" i="74"/>
  <c r="P140" i="82"/>
  <c r="L82" i="82"/>
  <c r="X87" i="84"/>
  <c r="AA86" i="83"/>
  <c r="L70" i="88"/>
  <c r="L80" i="91"/>
  <c r="O39" i="81"/>
  <c r="Q51" i="89"/>
  <c r="X156" i="91"/>
  <c r="Q154" i="91"/>
  <c r="Z139" i="93"/>
  <c r="O43" i="91"/>
  <c r="Y59" i="74"/>
  <c r="P120" i="91"/>
  <c r="Z80" i="88"/>
  <c r="N33" i="88"/>
  <c r="Q122" i="74"/>
  <c r="X35" i="83"/>
  <c r="AB108" i="94"/>
  <c r="O13" i="93"/>
  <c r="Q165" i="85"/>
  <c r="Q128" i="81"/>
  <c r="Y45" i="89"/>
  <c r="Y108" i="74"/>
  <c r="Z31" i="89"/>
  <c r="X119" i="81"/>
  <c r="AB172" i="85"/>
  <c r="Y31" i="87"/>
  <c r="X146" i="93"/>
  <c r="AB74" i="82"/>
  <c r="AA37" i="94"/>
  <c r="X45" i="81"/>
  <c r="AB17" i="89"/>
  <c r="Q145" i="74"/>
  <c r="Z61" i="91"/>
  <c r="O161" i="84"/>
  <c r="O123" i="88"/>
  <c r="AA165" i="84"/>
  <c r="L146" i="74"/>
  <c r="X149" i="91"/>
  <c r="P92" i="93"/>
  <c r="Y79" i="85"/>
  <c r="L110" i="74"/>
  <c r="X49" i="92"/>
  <c r="Z180" i="84"/>
  <c r="Y133" i="84"/>
  <c r="P171" i="89"/>
  <c r="AB114" i="82"/>
  <c r="M51" i="84"/>
  <c r="L129" i="92"/>
  <c r="P135" i="74"/>
  <c r="X154" i="89"/>
  <c r="T84" i="85"/>
  <c r="X53" i="81"/>
  <c r="O101" i="87"/>
  <c r="AB142" i="82"/>
  <c r="P124" i="85"/>
  <c r="N171" i="82"/>
  <c r="P127" i="85"/>
  <c r="P141" i="81"/>
  <c r="Y86" i="87"/>
  <c r="AA135" i="93"/>
  <c r="Y86" i="83"/>
  <c r="AB129" i="83"/>
  <c r="AA15" i="83"/>
  <c r="Z158" i="84"/>
  <c r="AA113" i="74"/>
  <c r="O53" i="84"/>
  <c r="AA111" i="89"/>
  <c r="O94" i="93"/>
  <c r="P27" i="84"/>
  <c r="N141" i="83"/>
  <c r="P77" i="88"/>
  <c r="O168" i="84"/>
  <c r="Z13" i="85"/>
  <c r="P154" i="81"/>
  <c r="P108" i="92"/>
  <c r="N159" i="93"/>
  <c r="Z116" i="83"/>
  <c r="P91" i="93"/>
  <c r="Q153" i="82"/>
  <c r="Q17" i="81"/>
  <c r="Y72" i="74"/>
  <c r="L81" i="85"/>
  <c r="Y114" i="85"/>
  <c r="P45" i="88"/>
  <c r="P89" i="82"/>
  <c r="O97" i="74"/>
  <c r="X115" i="84"/>
  <c r="X83" i="74"/>
  <c r="P19" i="82"/>
  <c r="P178" i="85"/>
  <c r="P91" i="84"/>
  <c r="Z95" i="91"/>
  <c r="AA115" i="89"/>
  <c r="AA152" i="89"/>
  <c r="L99" i="88"/>
  <c r="P166" i="84"/>
  <c r="AB96" i="93"/>
  <c r="AA172" i="82"/>
  <c r="Z59" i="94"/>
  <c r="P37" i="82"/>
  <c r="O145" i="74"/>
  <c r="Q113" i="85"/>
  <c r="O94" i="84"/>
  <c r="Z37" i="88"/>
  <c r="L132" i="88"/>
  <c r="P87" i="87"/>
  <c r="X11" i="85"/>
  <c r="AA104" i="88"/>
  <c r="Z113" i="91"/>
  <c r="X138" i="74"/>
  <c r="M31" i="83"/>
  <c r="O156" i="84"/>
  <c r="T69" i="93"/>
  <c r="Q47" i="84"/>
  <c r="Q98" i="87"/>
  <c r="AA180" i="84"/>
  <c r="M31" i="93"/>
  <c r="N144" i="81"/>
  <c r="Z43" i="88"/>
  <c r="Q31" i="84"/>
  <c r="L74" i="93"/>
  <c r="AB172" i="87"/>
  <c r="O100" i="84"/>
  <c r="Z109" i="83"/>
  <c r="Y93" i="81"/>
  <c r="P127" i="87"/>
  <c r="O99" i="85"/>
  <c r="P77" i="85"/>
  <c r="T120" i="84"/>
  <c r="Z130" i="93"/>
  <c r="AB23" i="92"/>
  <c r="AA66" i="91"/>
  <c r="Q91" i="74"/>
  <c r="AB108" i="82"/>
  <c r="O160" i="89"/>
  <c r="O154" i="83"/>
  <c r="X89" i="83"/>
  <c r="P108" i="87"/>
  <c r="L124" i="74"/>
  <c r="AB121" i="91"/>
  <c r="P82" i="84"/>
  <c r="P120" i="81"/>
  <c r="AB112" i="81"/>
  <c r="Y122" i="89"/>
  <c r="O133" i="89"/>
  <c r="X105" i="83"/>
  <c r="AB33" i="85"/>
  <c r="X129" i="85"/>
  <c r="X92" i="81"/>
  <c r="Q80" i="85"/>
  <c r="Q108" i="87"/>
  <c r="L112" i="87"/>
  <c r="N105" i="91"/>
  <c r="Q180" i="89"/>
  <c r="X122" i="81"/>
  <c r="AB158" i="81"/>
  <c r="Y113" i="83"/>
  <c r="L92" i="82"/>
  <c r="AA175" i="83"/>
  <c r="AB163" i="89"/>
  <c r="AA145" i="74"/>
  <c r="L166" i="83"/>
  <c r="O84" i="82"/>
  <c r="AB19" i="82"/>
  <c r="Y47" i="82"/>
  <c r="Y76" i="83"/>
  <c r="X91" i="91"/>
  <c r="AA122" i="85"/>
  <c r="AA117" i="87"/>
  <c r="P113" i="87"/>
  <c r="Y80" i="94"/>
  <c r="Z94" i="74"/>
  <c r="X88" i="74"/>
  <c r="AB121" i="92"/>
  <c r="AB124" i="83"/>
  <c r="O85" i="84"/>
  <c r="Y173" i="89"/>
  <c r="Z77" i="87"/>
  <c r="O15" i="87"/>
  <c r="N15" i="87"/>
  <c r="L153" i="84"/>
  <c r="X171" i="81"/>
  <c r="O181" i="94"/>
  <c r="P161" i="84"/>
  <c r="AA144" i="84"/>
  <c r="T90" i="94"/>
  <c r="Y165" i="82"/>
  <c r="AA158" i="88"/>
  <c r="AA65" i="84"/>
  <c r="N102" i="89"/>
  <c r="P17" i="74"/>
  <c r="L65" i="82"/>
  <c r="L74" i="82"/>
  <c r="P111" i="84"/>
  <c r="AB156" i="88"/>
  <c r="Y124" i="83"/>
  <c r="Q111" i="83"/>
  <c r="X74" i="82"/>
  <c r="AA19" i="85"/>
  <c r="Z143" i="84"/>
  <c r="X134" i="82"/>
  <c r="Y67" i="81"/>
  <c r="AA79" i="91"/>
  <c r="T168" i="94"/>
  <c r="Z11" i="81"/>
  <c r="L79" i="82"/>
  <c r="Y37" i="81"/>
  <c r="Z106" i="74"/>
  <c r="Z55" i="84"/>
  <c r="AB103" i="84"/>
  <c r="AA77" i="83"/>
  <c r="P173" i="83"/>
  <c r="Z111" i="74"/>
  <c r="P136" i="88"/>
  <c r="L85" i="74"/>
  <c r="P167" i="91"/>
  <c r="O79" i="82"/>
  <c r="Z99" i="83"/>
  <c r="Y117" i="88"/>
  <c r="N96" i="81"/>
  <c r="Q81" i="92"/>
  <c r="Q143" i="89"/>
  <c r="Y118" i="85"/>
  <c r="T66" i="87"/>
  <c r="AA85" i="74"/>
  <c r="Y119" i="84"/>
  <c r="Z164" i="74"/>
  <c r="P169" i="74"/>
  <c r="AA73" i="88"/>
  <c r="AB163" i="81"/>
  <c r="M59" i="83"/>
  <c r="N105" i="83"/>
  <c r="X131" i="88"/>
  <c r="Q156" i="82"/>
  <c r="Z104" i="81"/>
  <c r="L149" i="89"/>
  <c r="P171" i="84"/>
  <c r="Z168" i="93"/>
  <c r="T78" i="93"/>
  <c r="Y137" i="74"/>
  <c r="Z160" i="82"/>
  <c r="Q108" i="88"/>
  <c r="O123" i="74"/>
  <c r="AB57" i="91"/>
  <c r="Z144" i="74"/>
  <c r="AB176" i="82"/>
  <c r="L76" i="81"/>
  <c r="L133" i="87"/>
  <c r="AB134" i="94"/>
  <c r="Z77" i="92"/>
  <c r="L151" i="94"/>
  <c r="Y118" i="87"/>
  <c r="X158" i="91"/>
  <c r="O25" i="83"/>
  <c r="L66" i="74"/>
  <c r="AA61" i="91"/>
  <c r="N66" i="82"/>
  <c r="AA166" i="91"/>
  <c r="Q162" i="83"/>
  <c r="Q146" i="74"/>
  <c r="L68" i="88"/>
  <c r="Q169" i="85"/>
  <c r="Y59" i="92"/>
  <c r="Y80" i="89"/>
  <c r="O97" i="93"/>
  <c r="Z27" i="88"/>
  <c r="X94" i="84"/>
  <c r="N138" i="87"/>
  <c r="L155" i="87"/>
  <c r="AA47" i="87"/>
  <c r="X162" i="74"/>
  <c r="Q163" i="81"/>
  <c r="O170" i="84"/>
  <c r="P104" i="81"/>
  <c r="Q135" i="85"/>
  <c r="Z41" i="81"/>
  <c r="M9" i="87"/>
  <c r="AB81" i="87"/>
  <c r="AB109" i="82"/>
  <c r="Z114" i="74"/>
  <c r="O57" i="82"/>
  <c r="L91" i="74"/>
  <c r="O63" i="92"/>
  <c r="AB123" i="84"/>
  <c r="Y57" i="93"/>
  <c r="O162" i="89"/>
  <c r="N102" i="81"/>
  <c r="L119" i="87"/>
  <c r="AA31" i="83"/>
  <c r="Q109" i="82"/>
  <c r="O149" i="94"/>
  <c r="X166" i="83"/>
  <c r="O66" i="84"/>
  <c r="Z119" i="94"/>
  <c r="AB155" i="82"/>
  <c r="Z105" i="81"/>
  <c r="Z45" i="88"/>
  <c r="Q39" i="82"/>
  <c r="L165" i="93"/>
  <c r="AA15" i="81"/>
  <c r="X77" i="81"/>
  <c r="AA31" i="89"/>
  <c r="O170" i="87"/>
  <c r="Z112" i="84"/>
  <c r="AA67" i="84"/>
  <c r="AA19" i="82"/>
  <c r="Q79" i="82"/>
  <c r="Y35" i="81"/>
  <c r="L167" i="74"/>
  <c r="L126" i="94"/>
  <c r="O120" i="91"/>
  <c r="P101" i="82"/>
  <c r="Y83" i="81"/>
  <c r="O116" i="82"/>
  <c r="X79" i="88"/>
  <c r="AA100" i="94"/>
  <c r="M27" i="82"/>
  <c r="O122" i="84"/>
  <c r="L129" i="91"/>
  <c r="AA176" i="94"/>
  <c r="Q144" i="87"/>
  <c r="P67" i="83"/>
  <c r="L172" i="83"/>
  <c r="Q121" i="87"/>
  <c r="AA77" i="92"/>
  <c r="P179" i="89"/>
  <c r="AB137" i="83"/>
  <c r="Y69" i="87"/>
  <c r="O51" i="89"/>
  <c r="O172" i="74"/>
  <c r="O99" i="74"/>
  <c r="AA79" i="74"/>
  <c r="X156" i="94"/>
  <c r="L64" i="85"/>
  <c r="X157" i="88"/>
  <c r="Z126" i="84"/>
  <c r="Z72" i="81"/>
  <c r="X99" i="94"/>
  <c r="L96" i="94"/>
  <c r="AB155" i="83"/>
  <c r="X65" i="88"/>
  <c r="N45" i="93"/>
  <c r="AA102" i="88"/>
  <c r="O176" i="82"/>
  <c r="Y53" i="85"/>
  <c r="AB72" i="84"/>
  <c r="AB29" i="91"/>
  <c r="P47" i="74"/>
  <c r="N168" i="81"/>
  <c r="Y84" i="87"/>
  <c r="Z92" i="81"/>
  <c r="X152" i="81"/>
  <c r="X111" i="94"/>
  <c r="AB109" i="81"/>
  <c r="O161" i="83"/>
  <c r="N123" i="91"/>
  <c r="Y138" i="91"/>
  <c r="Q101" i="85"/>
  <c r="X150" i="82"/>
  <c r="L80" i="81"/>
  <c r="X83" i="83"/>
  <c r="P165" i="88"/>
  <c r="O128" i="84"/>
  <c r="X115" i="88"/>
  <c r="N63" i="89"/>
  <c r="AB88" i="88"/>
  <c r="P13" i="83"/>
  <c r="Y169" i="88"/>
  <c r="N171" i="74"/>
  <c r="P144" i="89"/>
  <c r="AA170" i="92"/>
  <c r="O125" i="85"/>
  <c r="N156" i="87"/>
  <c r="Z72" i="74"/>
  <c r="N120" i="91"/>
  <c r="P146" i="94"/>
  <c r="X101" i="88"/>
  <c r="Z135" i="91"/>
  <c r="P25" i="85"/>
  <c r="Z112" i="89"/>
  <c r="Q145" i="82"/>
  <c r="O55" i="93"/>
  <c r="AB63" i="85"/>
  <c r="Z168" i="74"/>
  <c r="AB94" i="88"/>
  <c r="L159" i="88"/>
  <c r="AA131" i="94"/>
  <c r="AA130" i="92"/>
  <c r="Q45" i="93"/>
  <c r="Z157" i="91"/>
  <c r="Y137" i="91"/>
  <c r="O123" i="92"/>
  <c r="P123" i="82"/>
  <c r="L102" i="85"/>
  <c r="Y150" i="87"/>
  <c r="O85" i="82"/>
  <c r="AA75" i="82"/>
  <c r="AA51" i="88"/>
  <c r="O73" i="85"/>
  <c r="Y15" i="74"/>
  <c r="Z94" i="88"/>
  <c r="P172" i="85"/>
  <c r="O102" i="84"/>
  <c r="AA102" i="83"/>
  <c r="L104" i="94"/>
  <c r="L133" i="81"/>
  <c r="Q63" i="82"/>
  <c r="Y175" i="81"/>
  <c r="O89" i="84"/>
  <c r="Z35" i="92"/>
  <c r="Z101" i="82"/>
  <c r="O179" i="84"/>
  <c r="T168" i="87"/>
  <c r="X107" i="87"/>
  <c r="O161" i="85"/>
  <c r="L113" i="85"/>
  <c r="Q140" i="82"/>
  <c r="Q81" i="82"/>
  <c r="AA112" i="94"/>
  <c r="Q83" i="83"/>
  <c r="Z130" i="85"/>
  <c r="Z67" i="82"/>
  <c r="AB170" i="82"/>
  <c r="X80" i="81"/>
  <c r="Y94" i="85"/>
  <c r="Z145" i="89"/>
  <c r="Q69" i="88"/>
  <c r="Q37" i="74"/>
  <c r="AB71" i="82"/>
  <c r="Z152" i="88"/>
  <c r="AB25" i="92"/>
  <c r="AA168" i="93"/>
  <c r="O101" i="83"/>
  <c r="Q119" i="81"/>
  <c r="AB64" i="81"/>
  <c r="AB174" i="93"/>
  <c r="X144" i="74"/>
  <c r="P101" i="74"/>
  <c r="AA37" i="82"/>
  <c r="O123" i="83"/>
  <c r="T9" i="81"/>
  <c r="AB41" i="82"/>
  <c r="AA108" i="91"/>
  <c r="AA68" i="81"/>
  <c r="AB145" i="83"/>
  <c r="AA55" i="94"/>
  <c r="Z86" i="91"/>
  <c r="Z64" i="81"/>
  <c r="AA172" i="81"/>
  <c r="X124" i="88"/>
  <c r="AB90" i="81"/>
  <c r="Q68" i="82"/>
  <c r="Z64" i="91"/>
  <c r="AA172" i="83"/>
  <c r="X13" i="81"/>
  <c r="X71" i="83"/>
  <c r="L151" i="85"/>
  <c r="X74" i="89"/>
  <c r="Z141" i="81"/>
  <c r="AB150" i="83"/>
  <c r="O152" i="87"/>
  <c r="X159" i="85"/>
  <c r="M31" i="88"/>
  <c r="Z138" i="84"/>
  <c r="AA140" i="91"/>
  <c r="O88" i="85"/>
  <c r="AB13" i="85"/>
  <c r="Q169" i="81"/>
  <c r="Q129" i="88"/>
  <c r="Z152" i="82"/>
  <c r="X76" i="85"/>
  <c r="AB113" i="87"/>
  <c r="N27" i="89"/>
  <c r="X172" i="93"/>
  <c r="O47" i="87"/>
  <c r="P63" i="81"/>
  <c r="Q59" i="91"/>
  <c r="Z145" i="82"/>
  <c r="AA74" i="74"/>
  <c r="O182" i="84"/>
  <c r="X129" i="92"/>
  <c r="Z85" i="93"/>
  <c r="O149" i="74"/>
  <c r="P77" i="83"/>
  <c r="N81" i="83"/>
  <c r="AA138" i="81"/>
  <c r="L182" i="85"/>
  <c r="L63" i="89"/>
  <c r="Y92" i="83"/>
  <c r="Q112" i="81"/>
  <c r="AB107" i="89"/>
  <c r="P135" i="93"/>
  <c r="AA93" i="88"/>
  <c r="Z140" i="82"/>
  <c r="X57" i="87"/>
  <c r="P174" i="74"/>
  <c r="AA170" i="84"/>
  <c r="Q94" i="83"/>
  <c r="Z67" i="87"/>
  <c r="Z31" i="87"/>
  <c r="P165" i="83"/>
  <c r="P155" i="82"/>
  <c r="AB93" i="83"/>
  <c r="X147" i="91"/>
  <c r="Z95" i="82"/>
  <c r="O171" i="92"/>
  <c r="Y43" i="91"/>
  <c r="Y71" i="93"/>
  <c r="L166" i="92"/>
  <c r="X99" i="89"/>
  <c r="P98" i="83"/>
  <c r="L156" i="94"/>
  <c r="O166" i="83"/>
  <c r="X140" i="87"/>
  <c r="Y155" i="81"/>
  <c r="O158" i="81"/>
  <c r="P86" i="91"/>
  <c r="AA139" i="89"/>
  <c r="N39" i="83"/>
  <c r="N99" i="83"/>
  <c r="AA13" i="82"/>
  <c r="Z123" i="88"/>
  <c r="O85" i="74"/>
  <c r="O185" i="92"/>
  <c r="L131" i="74"/>
  <c r="AA170" i="94"/>
  <c r="Y115" i="74"/>
  <c r="O167" i="87"/>
  <c r="AB27" i="89"/>
  <c r="P162" i="81"/>
  <c r="N27" i="93"/>
  <c r="T132" i="82"/>
  <c r="L105" i="87"/>
  <c r="Z96" i="82"/>
  <c r="AB103" i="82"/>
  <c r="Z81" i="81"/>
  <c r="Q146" i="87"/>
  <c r="Z121" i="81"/>
  <c r="AA57" i="74"/>
  <c r="Z37" i="92"/>
  <c r="T147" i="84"/>
  <c r="AB120" i="82"/>
  <c r="AB135" i="87"/>
  <c r="Q129" i="74"/>
  <c r="M49" i="87"/>
  <c r="L72" i="74"/>
  <c r="AA49" i="74"/>
  <c r="O70" i="89"/>
  <c r="P171" i="94"/>
  <c r="AB91" i="89"/>
  <c r="AA78" i="84"/>
  <c r="AB100" i="82"/>
  <c r="N144" i="85"/>
  <c r="X35" i="91"/>
  <c r="Z176" i="83"/>
  <c r="Y98" i="85"/>
  <c r="AB141" i="91"/>
  <c r="AB134" i="92"/>
  <c r="O166" i="81"/>
  <c r="P89" i="85"/>
  <c r="T141" i="82"/>
  <c r="AA141" i="85"/>
  <c r="P15" i="85"/>
  <c r="X86" i="85"/>
  <c r="Z148" i="89"/>
  <c r="O13" i="92"/>
  <c r="AB156" i="85"/>
  <c r="X142" i="85"/>
  <c r="O98" i="83"/>
  <c r="T9" i="91"/>
  <c r="M57" i="74"/>
  <c r="P85" i="74"/>
  <c r="Y132" i="92"/>
  <c r="AA23" i="84"/>
  <c r="O155" i="74"/>
  <c r="Y74" i="74"/>
  <c r="AA95" i="92"/>
  <c r="P128" i="82"/>
  <c r="T150" i="89"/>
  <c r="Y121" i="82"/>
  <c r="P129" i="81"/>
  <c r="Q173" i="84"/>
  <c r="P93" i="83"/>
  <c r="Z88" i="81"/>
  <c r="O122" i="87"/>
  <c r="P177" i="82"/>
  <c r="O13" i="84"/>
  <c r="AB45" i="87"/>
  <c r="O144" i="83"/>
  <c r="Y163" i="84"/>
  <c r="L94" i="83"/>
  <c r="X162" i="85"/>
  <c r="T90" i="93"/>
  <c r="L150" i="88"/>
  <c r="L157" i="81"/>
  <c r="Y43" i="85"/>
  <c r="Y153" i="84"/>
  <c r="AA142" i="87"/>
  <c r="X172" i="74"/>
  <c r="T114" i="82"/>
  <c r="AA119" i="82"/>
  <c r="X115" i="82"/>
  <c r="Y113" i="82"/>
  <c r="N184" i="91"/>
  <c r="Z89" i="82"/>
  <c r="Z122" i="91"/>
  <c r="AB180" i="89"/>
  <c r="L113" i="82"/>
  <c r="Q102" i="92"/>
  <c r="P161" i="81"/>
  <c r="X114" i="91"/>
  <c r="Z53" i="82"/>
  <c r="Q136" i="87"/>
  <c r="Z162" i="93"/>
  <c r="AB23" i="81"/>
  <c r="N177" i="85"/>
  <c r="AA148" i="82"/>
  <c r="P106" i="83"/>
  <c r="X142" i="74"/>
  <c r="Q53" i="82"/>
  <c r="AB17" i="84"/>
  <c r="AA95" i="74"/>
  <c r="X104" i="74"/>
  <c r="X80" i="83"/>
  <c r="Z151" i="74"/>
  <c r="O29" i="84"/>
  <c r="AB72" i="85"/>
  <c r="X61" i="82"/>
  <c r="Q148" i="85"/>
  <c r="AA144" i="82"/>
  <c r="O90" i="82"/>
  <c r="Z78" i="88"/>
  <c r="Q88" i="74"/>
  <c r="M55" i="82"/>
  <c r="T96" i="83"/>
  <c r="O163" i="87"/>
  <c r="T144" i="94"/>
  <c r="Y63" i="89"/>
  <c r="L152" i="94"/>
  <c r="Q85" i="89"/>
  <c r="Q45" i="83"/>
  <c r="AA98" i="87"/>
  <c r="L157" i="83"/>
  <c r="T15" i="85"/>
  <c r="Y171" i="82"/>
  <c r="T129" i="88"/>
  <c r="AB118" i="89"/>
  <c r="Y113" i="84"/>
  <c r="Z119" i="83"/>
  <c r="Q138" i="88"/>
  <c r="AA88" i="82"/>
  <c r="P109" i="91"/>
  <c r="Y119" i="88"/>
  <c r="P78" i="87"/>
  <c r="AA70" i="84"/>
  <c r="P92" i="91"/>
  <c r="Z138" i="88"/>
  <c r="X90" i="84"/>
  <c r="L119" i="91"/>
  <c r="M9" i="88"/>
  <c r="Z87" i="74"/>
  <c r="L82" i="87"/>
  <c r="N168" i="85"/>
  <c r="Q175" i="85"/>
  <c r="Z39" i="82"/>
  <c r="Q59" i="74"/>
  <c r="O160" i="85"/>
  <c r="Q117" i="87"/>
  <c r="AB173" i="83"/>
  <c r="P35" i="92"/>
  <c r="AA91" i="85"/>
  <c r="O113" i="85"/>
  <c r="Z89" i="85"/>
  <c r="O174" i="91"/>
  <c r="P173" i="85"/>
  <c r="Z57" i="87"/>
  <c r="N156" i="84"/>
  <c r="Z154" i="91"/>
  <c r="T102" i="84"/>
  <c r="Q159" i="74"/>
  <c r="N57" i="74"/>
  <c r="Y102" i="89"/>
  <c r="Q76" i="81"/>
  <c r="AA86" i="81"/>
  <c r="P80" i="94"/>
  <c r="L106" i="81"/>
  <c r="AA35" i="91"/>
  <c r="L179" i="93"/>
  <c r="AA9" i="85"/>
  <c r="P87" i="94"/>
  <c r="P157" i="89"/>
  <c r="AA128" i="87"/>
  <c r="Q82" i="94"/>
  <c r="Z168" i="83"/>
  <c r="L83" i="87"/>
  <c r="X131" i="87"/>
  <c r="P158" i="83"/>
  <c r="AA29" i="83"/>
  <c r="X150" i="83"/>
  <c r="AA69" i="93"/>
  <c r="Y162" i="87"/>
  <c r="Z9" i="74"/>
  <c r="P41" i="89"/>
  <c r="Y113" i="87"/>
  <c r="Y168" i="83"/>
  <c r="P126" i="84"/>
  <c r="X108" i="85"/>
  <c r="L85" i="93"/>
  <c r="AA174" i="89"/>
  <c r="AA129" i="82"/>
  <c r="P66" i="84"/>
  <c r="Q134" i="94"/>
  <c r="P77" i="89"/>
  <c r="AA63" i="88"/>
  <c r="O159" i="84"/>
  <c r="P141" i="74"/>
  <c r="AA13" i="81"/>
  <c r="Q140" i="85"/>
  <c r="Y105" i="92"/>
  <c r="P123" i="88"/>
  <c r="T102" i="89"/>
  <c r="O70" i="82"/>
  <c r="AA67" i="81"/>
  <c r="P103" i="82"/>
  <c r="Y125" i="92"/>
  <c r="P76" i="82"/>
  <c r="L142" i="89"/>
  <c r="P39" i="89"/>
  <c r="Y69" i="91"/>
  <c r="X154" i="91"/>
  <c r="AB67" i="84"/>
  <c r="T144" i="74"/>
  <c r="M29" i="92"/>
  <c r="P115" i="87"/>
  <c r="Z165" i="87"/>
  <c r="Y131" i="94"/>
  <c r="AB35" i="88"/>
  <c r="AB88" i="84"/>
  <c r="Z41" i="85"/>
  <c r="P94" i="74"/>
  <c r="Z45" i="89"/>
  <c r="AB66" i="85"/>
  <c r="P149" i="88"/>
  <c r="P66" i="92"/>
  <c r="AB180" i="91"/>
  <c r="AB80" i="87"/>
  <c r="AB180" i="93"/>
  <c r="Y96" i="85"/>
  <c r="Z72" i="83"/>
  <c r="Y69" i="84"/>
  <c r="AA99" i="74"/>
  <c r="Z175" i="85"/>
  <c r="Q152" i="88"/>
  <c r="AA86" i="82"/>
  <c r="Y113" i="92"/>
  <c r="Q9" i="85"/>
  <c r="Q11" i="94"/>
  <c r="P106" i="74"/>
  <c r="P151" i="84"/>
  <c r="AB161" i="91"/>
  <c r="AA98" i="83"/>
  <c r="X121" i="89"/>
  <c r="AA9" i="87"/>
  <c r="N72" i="82"/>
  <c r="O113" i="81"/>
  <c r="X125" i="88"/>
  <c r="X84" i="87"/>
  <c r="P79" i="88"/>
  <c r="T153" i="91"/>
  <c r="Q150" i="84"/>
  <c r="P86" i="84"/>
  <c r="L89" i="74"/>
  <c r="P78" i="81"/>
  <c r="AA109" i="94"/>
  <c r="AB73" i="92"/>
  <c r="T162" i="94"/>
  <c r="Q63" i="87"/>
  <c r="X53" i="84"/>
  <c r="AB150" i="93"/>
  <c r="O53" i="93"/>
  <c r="M39" i="88"/>
  <c r="P127" i="92"/>
  <c r="O88" i="81"/>
  <c r="P17" i="82"/>
  <c r="Y98" i="74"/>
  <c r="Q179" i="84"/>
  <c r="P53" i="82"/>
  <c r="Y79" i="74"/>
  <c r="AA97" i="88"/>
  <c r="Y80" i="74"/>
  <c r="Y169" i="83"/>
  <c r="AA98" i="74"/>
  <c r="T153" i="88"/>
  <c r="O151" i="93"/>
  <c r="O121" i="87"/>
  <c r="AB150" i="81"/>
  <c r="Q29" i="83"/>
  <c r="Y140" i="74"/>
  <c r="P29" i="85"/>
  <c r="AB147" i="85"/>
  <c r="L161" i="74"/>
  <c r="T93" i="85"/>
  <c r="L178" i="93"/>
  <c r="Z177" i="94"/>
  <c r="O161" i="74"/>
  <c r="Q160" i="93"/>
  <c r="P67" i="81"/>
  <c r="AA63" i="81"/>
  <c r="T123" i="84"/>
  <c r="Y153" i="81"/>
  <c r="Q59" i="83"/>
  <c r="M9" i="81"/>
  <c r="AB139" i="84"/>
  <c r="Y67" i="84"/>
  <c r="AB92" i="85"/>
  <c r="N126" i="83"/>
  <c r="Z76" i="89"/>
  <c r="O67" i="74"/>
  <c r="Q126" i="85"/>
  <c r="Y33" i="74"/>
  <c r="P29" i="93"/>
  <c r="Q164" i="89"/>
  <c r="X114" i="94"/>
  <c r="T177" i="84"/>
  <c r="M45" i="81"/>
  <c r="O153" i="85"/>
  <c r="P23" i="82"/>
  <c r="AA151" i="74"/>
  <c r="T159" i="92"/>
  <c r="T9" i="74"/>
  <c r="Q151" i="91"/>
  <c r="Y146" i="85"/>
  <c r="AA107" i="82"/>
  <c r="Z148" i="84"/>
  <c r="L63" i="93"/>
  <c r="AB78" i="84"/>
  <c r="P43" i="82"/>
  <c r="X25" i="92"/>
  <c r="AB121" i="81"/>
  <c r="Q154" i="83"/>
  <c r="O111" i="89"/>
  <c r="X89" i="92"/>
  <c r="P115" i="89"/>
  <c r="T141" i="94"/>
  <c r="X147" i="85"/>
  <c r="L76" i="92"/>
  <c r="AA27" i="82"/>
  <c r="N93" i="81"/>
  <c r="L116" i="81"/>
  <c r="AA31" i="74"/>
  <c r="L159" i="84"/>
  <c r="Z79" i="84"/>
  <c r="Y25" i="88"/>
  <c r="Z79" i="83"/>
  <c r="Z35" i="82"/>
  <c r="X135" i="84"/>
  <c r="N126" i="87"/>
  <c r="T9" i="94"/>
  <c r="Z33" i="82"/>
  <c r="Q120" i="87"/>
  <c r="Z87" i="83"/>
  <c r="AB160" i="89"/>
  <c r="X134" i="87"/>
  <c r="T69" i="94"/>
  <c r="P134" i="87"/>
  <c r="Q75" i="87"/>
  <c r="X133" i="89"/>
  <c r="Q78" i="83"/>
  <c r="M17" i="82"/>
  <c r="O146" i="83"/>
  <c r="Y166" i="82"/>
  <c r="AB35" i="84"/>
  <c r="Y99" i="81"/>
  <c r="X154" i="84"/>
  <c r="Y118" i="89"/>
  <c r="X74" i="83"/>
  <c r="O181" i="83"/>
  <c r="X129" i="89"/>
  <c r="Y9" i="74"/>
  <c r="Z128" i="91"/>
  <c r="T27" i="93"/>
  <c r="AA142" i="83"/>
  <c r="Q61" i="89"/>
  <c r="N132" i="89"/>
  <c r="AA88" i="83"/>
  <c r="AA69" i="83"/>
  <c r="T75" i="92"/>
  <c r="AB97" i="84"/>
  <c r="P97" i="74"/>
  <c r="AB116" i="94"/>
  <c r="Y83" i="94"/>
  <c r="L68" i="81"/>
  <c r="Z145" i="87"/>
  <c r="AB100" i="87"/>
  <c r="L98" i="93"/>
  <c r="N102" i="74"/>
  <c r="X43" i="92"/>
  <c r="Q153" i="92"/>
  <c r="Z121" i="89"/>
  <c r="AB90" i="84"/>
  <c r="AB166" i="87"/>
  <c r="AA89" i="88"/>
  <c r="Y129" i="74"/>
  <c r="L176" i="91"/>
  <c r="L78" i="89"/>
  <c r="T66" i="94"/>
  <c r="P125" i="74"/>
  <c r="L113" i="83"/>
  <c r="X79" i="92"/>
  <c r="AA120" i="74"/>
  <c r="Q158" i="89"/>
  <c r="P150" i="88"/>
  <c r="M11" i="94"/>
  <c r="Y108" i="83"/>
  <c r="AB117" i="87"/>
  <c r="Q156" i="85"/>
  <c r="P173" i="84"/>
  <c r="P75" i="84"/>
  <c r="P66" i="93"/>
  <c r="AB95" i="87"/>
  <c r="P138" i="84"/>
  <c r="AB120" i="88"/>
  <c r="AB143" i="92"/>
  <c r="L143" i="83"/>
  <c r="X86" i="74"/>
  <c r="P156" i="82"/>
  <c r="AA119" i="81"/>
  <c r="M37" i="74"/>
  <c r="N138" i="84"/>
  <c r="AA155" i="82"/>
  <c r="AA49" i="87"/>
  <c r="T78" i="92"/>
  <c r="AB33" i="84"/>
  <c r="O129" i="83"/>
  <c r="Z127" i="84"/>
  <c r="Q150" i="93"/>
  <c r="P176" i="88"/>
  <c r="Q146" i="84"/>
  <c r="Y73" i="84"/>
  <c r="Z117" i="74"/>
  <c r="AB27" i="88"/>
  <c r="L67" i="92"/>
  <c r="Q9" i="89"/>
  <c r="L107" i="82"/>
  <c r="AB130" i="93"/>
  <c r="O183" i="92"/>
  <c r="AA61" i="89"/>
  <c r="L137" i="81"/>
  <c r="AA176" i="85"/>
  <c r="O25" i="87"/>
  <c r="AA49" i="85"/>
  <c r="Y171" i="84"/>
  <c r="Z121" i="83"/>
  <c r="Y17" i="85"/>
  <c r="T156" i="94"/>
  <c r="O154" i="84"/>
  <c r="P59" i="85"/>
  <c r="Q84" i="84"/>
  <c r="Q85" i="85"/>
  <c r="X164" i="82"/>
  <c r="L110" i="89"/>
  <c r="X164" i="92"/>
  <c r="X87" i="82"/>
  <c r="X53" i="89"/>
  <c r="P57" i="87"/>
  <c r="X117" i="74"/>
  <c r="X158" i="74"/>
  <c r="P37" i="83"/>
  <c r="T72" i="87"/>
  <c r="P127" i="94"/>
  <c r="AB23" i="91"/>
  <c r="AB19" i="89"/>
  <c r="P165" i="87"/>
  <c r="AA128" i="81"/>
  <c r="X73" i="82"/>
  <c r="Z73" i="85"/>
  <c r="M49" i="81"/>
  <c r="X110" i="83"/>
  <c r="Q123" i="82"/>
  <c r="Y153" i="85"/>
  <c r="AA173" i="85"/>
  <c r="Q15" i="74"/>
  <c r="AA159" i="74"/>
  <c r="X73" i="88"/>
  <c r="Z135" i="81"/>
  <c r="X113" i="82"/>
  <c r="P71" i="84"/>
  <c r="Z157" i="87"/>
  <c r="T150" i="85"/>
  <c r="Y128" i="84"/>
  <c r="Y43" i="82"/>
  <c r="N90" i="83"/>
  <c r="L64" i="84"/>
  <c r="P174" i="82"/>
  <c r="Y155" i="85"/>
  <c r="Q148" i="84"/>
  <c r="O168" i="94"/>
  <c r="P133" i="82"/>
  <c r="AA111" i="85"/>
  <c r="Q124" i="89"/>
  <c r="Y9" i="91"/>
  <c r="O122" i="81"/>
  <c r="AB61" i="87"/>
  <c r="Q19" i="92"/>
  <c r="AA114" i="89"/>
  <c r="AB102" i="88"/>
  <c r="X127" i="85"/>
  <c r="L133" i="84"/>
  <c r="N108" i="83"/>
  <c r="Y134" i="94"/>
  <c r="L131" i="91"/>
  <c r="AA104" i="83"/>
  <c r="X43" i="81"/>
  <c r="AB159" i="85"/>
  <c r="Q65" i="94"/>
  <c r="L140" i="82"/>
  <c r="X111" i="88"/>
  <c r="O150" i="81"/>
  <c r="L147" i="74"/>
  <c r="P181" i="82"/>
  <c r="O107" i="83"/>
  <c r="L171" i="89"/>
  <c r="Z33" i="84"/>
  <c r="L179" i="74"/>
  <c r="Z92" i="91"/>
  <c r="X150" i="84"/>
  <c r="L161" i="94"/>
  <c r="Y129" i="87"/>
  <c r="Q183" i="94"/>
  <c r="L169" i="74"/>
  <c r="O117" i="94"/>
  <c r="Y102" i="74"/>
  <c r="X61" i="87"/>
  <c r="P98" i="84"/>
  <c r="Z166" i="81"/>
  <c r="AA126" i="83"/>
  <c r="X130" i="93"/>
  <c r="X176" i="81"/>
  <c r="N117" i="84"/>
  <c r="Z61" i="82"/>
  <c r="AB29" i="84"/>
  <c r="L133" i="85"/>
  <c r="Z142" i="85"/>
  <c r="AB47" i="87"/>
  <c r="Y17" i="82"/>
  <c r="Q154" i="74"/>
  <c r="Z116" i="89"/>
  <c r="O109" i="85"/>
  <c r="P166" i="91"/>
  <c r="AA78" i="83"/>
  <c r="AA102" i="87"/>
  <c r="T111" i="85"/>
  <c r="AB59" i="91"/>
  <c r="X176" i="74"/>
  <c r="AA55" i="85"/>
  <c r="T102" i="85"/>
  <c r="X173" i="81"/>
  <c r="O98" i="82"/>
  <c r="X133" i="92"/>
  <c r="AB142" i="83"/>
  <c r="L128" i="94"/>
  <c r="Q13" i="85"/>
  <c r="Q126" i="81"/>
  <c r="AB155" i="81"/>
  <c r="X151" i="81"/>
  <c r="AA169" i="81"/>
  <c r="O165" i="85"/>
  <c r="Y140" i="91"/>
  <c r="X102" i="87"/>
  <c r="N72" i="85"/>
  <c r="L167" i="82"/>
  <c r="L127" i="82"/>
  <c r="AB47" i="82"/>
  <c r="P175" i="82"/>
  <c r="P171" i="87"/>
  <c r="P165" i="94"/>
  <c r="Q140" i="88"/>
  <c r="X176" i="88"/>
  <c r="AA29" i="82"/>
  <c r="P167" i="74"/>
  <c r="AB163" i="83"/>
  <c r="L98" i="87"/>
  <c r="P119" i="84"/>
  <c r="AB39" i="82"/>
  <c r="AB89" i="82"/>
  <c r="AA171" i="85"/>
  <c r="Q140" i="74"/>
  <c r="M43" i="87"/>
  <c r="L121" i="83"/>
  <c r="Q29" i="74"/>
  <c r="AB77" i="87"/>
  <c r="Y91" i="82"/>
  <c r="Z72" i="89"/>
  <c r="T27" i="81"/>
  <c r="Z89" i="94"/>
  <c r="P131" i="87"/>
  <c r="Y105" i="88"/>
  <c r="Q164" i="87"/>
  <c r="Z25" i="88"/>
  <c r="O76" i="83"/>
  <c r="Q81" i="93"/>
  <c r="X97" i="84"/>
  <c r="X158" i="84"/>
  <c r="Y19" i="74"/>
  <c r="Q70" i="74"/>
  <c r="X166" i="84"/>
  <c r="Q164" i="81"/>
  <c r="N39" i="85"/>
  <c r="O77" i="84"/>
  <c r="Q109" i="81"/>
  <c r="X21" i="83"/>
  <c r="X168" i="83"/>
  <c r="Z61" i="85"/>
  <c r="P49" i="83"/>
  <c r="X135" i="91"/>
  <c r="L122" i="82"/>
  <c r="P131" i="94"/>
  <c r="Y13" i="83"/>
  <c r="T90" i="74"/>
  <c r="P128" i="74"/>
  <c r="L88" i="91"/>
  <c r="Y126" i="74"/>
  <c r="Y137" i="81"/>
  <c r="X17" i="84"/>
  <c r="Y106" i="87"/>
  <c r="AA170" i="89"/>
  <c r="M49" i="88"/>
  <c r="Z71" i="85"/>
  <c r="Q105" i="87"/>
  <c r="X31" i="83"/>
  <c r="AA147" i="84"/>
  <c r="AA116" i="85"/>
  <c r="Q117" i="81"/>
  <c r="L173" i="85"/>
  <c r="AA170" i="83"/>
  <c r="AB118" i="81"/>
  <c r="AB151" i="81"/>
  <c r="X55" i="85"/>
  <c r="O134" i="85"/>
  <c r="P107" i="85"/>
  <c r="Z59" i="83"/>
  <c r="P147" i="74"/>
  <c r="Q157" i="81"/>
  <c r="O173" i="85"/>
  <c r="X172" i="83"/>
  <c r="X81" i="87"/>
  <c r="Y126" i="81"/>
  <c r="X175" i="81"/>
  <c r="X23" i="82"/>
  <c r="N102" i="82"/>
  <c r="X123" i="81"/>
  <c r="N174" i="82"/>
  <c r="AB68" i="88"/>
  <c r="O170" i="93"/>
  <c r="O69" i="84"/>
  <c r="O126" i="85"/>
  <c r="P177" i="87"/>
  <c r="M35" i="81"/>
  <c r="AA49" i="81"/>
  <c r="Y127" i="84"/>
  <c r="AB153" i="82"/>
  <c r="P47" i="83"/>
  <c r="AA59" i="83"/>
  <c r="O80" i="81"/>
  <c r="AB95" i="88"/>
  <c r="P114" i="94"/>
  <c r="AB119" i="82"/>
  <c r="O74" i="88"/>
  <c r="O43" i="93"/>
  <c r="AA92" i="89"/>
  <c r="X172" i="87"/>
  <c r="Z152" i="84"/>
  <c r="AB180" i="82"/>
  <c r="AB35" i="82"/>
  <c r="Z70" i="74"/>
  <c r="O75" i="89"/>
  <c r="Y132" i="74"/>
  <c r="Y104" i="84"/>
  <c r="Q176" i="89"/>
  <c r="O125" i="87"/>
  <c r="Y110" i="94"/>
  <c r="P41" i="83"/>
  <c r="O165" i="87"/>
  <c r="AA45" i="93"/>
  <c r="Z77" i="83"/>
  <c r="Y145" i="87"/>
  <c r="P155" i="83"/>
  <c r="O112" i="81"/>
  <c r="P99" i="85"/>
  <c r="Q9" i="87"/>
  <c r="M41" i="85"/>
  <c r="AB113" i="81"/>
  <c r="AB120" i="84"/>
  <c r="P103" i="84"/>
  <c r="AA107" i="83"/>
  <c r="X163" i="89"/>
  <c r="T75" i="84"/>
  <c r="Q105" i="93"/>
  <c r="Y98" i="91"/>
  <c r="Z110" i="81"/>
  <c r="AA128" i="89"/>
  <c r="P37" i="74"/>
  <c r="Y29" i="84"/>
  <c r="N168" i="74"/>
  <c r="AA140" i="85"/>
  <c r="X171" i="88"/>
  <c r="AB92" i="87"/>
  <c r="X149" i="82"/>
  <c r="N141" i="81"/>
  <c r="N174" i="94"/>
  <c r="AB96" i="82"/>
  <c r="AB165" i="83"/>
  <c r="AA11" i="93"/>
  <c r="O141" i="89"/>
  <c r="X80" i="84"/>
  <c r="Z13" i="84"/>
  <c r="Y37" i="82"/>
  <c r="P175" i="84"/>
  <c r="AA119" i="84"/>
  <c r="Y144" i="82"/>
  <c r="AA161" i="91"/>
  <c r="O35" i="81"/>
  <c r="Y112" i="74"/>
  <c r="X95" i="91"/>
  <c r="X145" i="88"/>
  <c r="P108" i="82"/>
  <c r="Z163" i="74"/>
  <c r="L165" i="81"/>
  <c r="O100" i="89"/>
  <c r="L108" i="91"/>
  <c r="Y147" i="83"/>
  <c r="Q91" i="85"/>
  <c r="AA90" i="91"/>
  <c r="N39" i="82"/>
  <c r="Q134" i="87"/>
  <c r="T105" i="84"/>
  <c r="L91" i="85"/>
  <c r="X25" i="83"/>
  <c r="O149" i="83"/>
  <c r="AA109" i="81"/>
  <c r="Z49" i="81"/>
  <c r="T21" i="81"/>
  <c r="P137" i="91"/>
  <c r="AB15" i="82"/>
  <c r="Y166" i="83"/>
  <c r="T129" i="94"/>
  <c r="Q79" i="74"/>
  <c r="AA122" i="81"/>
  <c r="Y176" i="82"/>
  <c r="L119" i="81"/>
  <c r="AA164" i="81"/>
  <c r="L180" i="92"/>
  <c r="AA101" i="83"/>
  <c r="AB169" i="85"/>
  <c r="N147" i="84"/>
  <c r="AA11" i="82"/>
  <c r="X105" i="85"/>
  <c r="X59" i="82"/>
  <c r="P15" i="74"/>
  <c r="AA112" i="84"/>
  <c r="O169" i="74"/>
  <c r="AA83" i="82"/>
  <c r="AA148" i="84"/>
  <c r="Q172" i="87"/>
  <c r="P168" i="82"/>
  <c r="O27" i="88"/>
  <c r="Z53" i="81"/>
  <c r="Z126" i="81"/>
  <c r="L155" i="83"/>
  <c r="P132" i="84"/>
  <c r="Z127" i="89"/>
  <c r="Q41" i="88"/>
  <c r="Y49" i="74"/>
  <c r="Q72" i="81"/>
  <c r="Q143" i="85"/>
  <c r="O151" i="81"/>
  <c r="P108" i="89"/>
  <c r="Q164" i="84"/>
  <c r="P123" i="81"/>
  <c r="Z175" i="83"/>
  <c r="X101" i="89"/>
  <c r="L116" i="91"/>
  <c r="Z173" i="91"/>
  <c r="X76" i="91"/>
  <c r="Y130" i="81"/>
  <c r="O174" i="83"/>
  <c r="L93" i="83"/>
  <c r="T105" i="89"/>
  <c r="O93" i="89"/>
  <c r="AB157" i="87"/>
  <c r="L67" i="74"/>
  <c r="AA17" i="74"/>
  <c r="O181" i="91"/>
  <c r="AA70" i="87"/>
  <c r="P70" i="74"/>
  <c r="Q163" i="85"/>
  <c r="Z61" i="83"/>
  <c r="Z160" i="84"/>
  <c r="Q150" i="82"/>
  <c r="L79" i="92"/>
  <c r="AA128" i="85"/>
  <c r="X73" i="81"/>
  <c r="AA147" i="85"/>
  <c r="Y146" i="74"/>
  <c r="X79" i="82"/>
  <c r="Y85" i="74"/>
  <c r="Y41" i="74"/>
  <c r="N171" i="81"/>
  <c r="AA120" i="81"/>
  <c r="X151" i="83"/>
  <c r="L86" i="87"/>
  <c r="P170" i="82"/>
  <c r="AA98" i="81"/>
  <c r="P180" i="84"/>
  <c r="N15" i="82"/>
  <c r="M27" i="85"/>
  <c r="L107" i="74"/>
  <c r="Z145" i="88"/>
  <c r="AA27" i="88"/>
  <c r="Y72" i="91"/>
  <c r="Z136" i="83"/>
  <c r="AB72" i="81"/>
  <c r="X116" i="84"/>
  <c r="Q51" i="85"/>
  <c r="Q110" i="83"/>
  <c r="T153" i="83"/>
  <c r="O179" i="87"/>
  <c r="L87" i="74"/>
  <c r="Q11" i="83"/>
  <c r="O82" i="85"/>
  <c r="X123" i="82"/>
  <c r="L162" i="85"/>
  <c r="L72" i="83"/>
  <c r="M49" i="82"/>
  <c r="AA177" i="85"/>
  <c r="X39" i="74"/>
  <c r="X136" i="84"/>
  <c r="AA64" i="85"/>
  <c r="AA13" i="88"/>
  <c r="Q76" i="89"/>
  <c r="X64" i="88"/>
  <c r="Y174" i="84"/>
  <c r="T114" i="92"/>
  <c r="Y35" i="87"/>
  <c r="X17" i="88"/>
  <c r="P85" i="83"/>
  <c r="P83" i="94"/>
  <c r="X163" i="87"/>
  <c r="Q11" i="82"/>
  <c r="X167" i="81"/>
  <c r="Z96" i="74"/>
  <c r="AA33" i="85"/>
  <c r="AB13" i="81"/>
  <c r="O170" i="81"/>
  <c r="AB171" i="85"/>
  <c r="AA66" i="83"/>
  <c r="Q35" i="83"/>
  <c r="L79" i="85"/>
  <c r="L125" i="91"/>
  <c r="AA64" i="84"/>
  <c r="X87" i="91"/>
  <c r="Q179" i="81"/>
  <c r="X121" i="81"/>
  <c r="L135" i="87"/>
  <c r="L177" i="88"/>
  <c r="Q118" i="83"/>
  <c r="Q159" i="81"/>
  <c r="P116" i="87"/>
  <c r="AB152" i="82"/>
  <c r="O171" i="85"/>
  <c r="X163" i="93"/>
  <c r="P182" i="87"/>
  <c r="AA175" i="92"/>
  <c r="O165" i="89"/>
  <c r="T150" i="91"/>
  <c r="AA162" i="89"/>
  <c r="T102" i="82"/>
  <c r="L95" i="84"/>
  <c r="X79" i="81"/>
  <c r="T81" i="84"/>
  <c r="AB65" i="83"/>
  <c r="AB136" i="84"/>
  <c r="Z163" i="87"/>
  <c r="Z114" i="85"/>
  <c r="AB21" i="83"/>
  <c r="P156" i="87"/>
  <c r="AB105" i="84"/>
  <c r="AB148" i="83"/>
  <c r="AB145" i="87"/>
  <c r="X70" i="85"/>
  <c r="Q163" i="89"/>
  <c r="O86" i="74"/>
  <c r="O176" i="83"/>
  <c r="Q90" i="92"/>
  <c r="T39" i="81"/>
  <c r="Y80" i="88"/>
  <c r="X150" i="88"/>
  <c r="L125" i="85"/>
  <c r="P121" i="92"/>
  <c r="T180" i="84"/>
  <c r="P126" i="83"/>
  <c r="O94" i="87"/>
  <c r="Q97" i="85"/>
  <c r="AA106" i="82"/>
  <c r="L162" i="81"/>
  <c r="L180" i="85"/>
  <c r="T51" i="74"/>
  <c r="X161" i="87"/>
  <c r="X17" i="89"/>
  <c r="P120" i="93"/>
  <c r="AA102" i="82"/>
  <c r="Z31" i="74"/>
  <c r="M51" i="83"/>
  <c r="P121" i="94"/>
  <c r="X106" i="74"/>
  <c r="Q88" i="82"/>
  <c r="Q64" i="81"/>
  <c r="AB72" i="93"/>
  <c r="Q87" i="74"/>
  <c r="L166" i="74"/>
  <c r="Q47" i="83"/>
  <c r="O17" i="87"/>
  <c r="Q166" i="91"/>
  <c r="T93" i="82"/>
  <c r="AA68" i="83"/>
  <c r="T153" i="89"/>
  <c r="Q17" i="83"/>
  <c r="O61" i="81"/>
  <c r="Z164" i="83"/>
  <c r="Z122" i="74"/>
  <c r="AA125" i="87"/>
  <c r="AB67" i="82"/>
  <c r="Y97" i="82"/>
  <c r="AA65" i="74"/>
  <c r="P100" i="74"/>
  <c r="O155" i="83"/>
  <c r="N123" i="89"/>
  <c r="Y57" i="81"/>
  <c r="T66" i="81"/>
  <c r="P153" i="74"/>
  <c r="N81" i="91"/>
  <c r="O115" i="93"/>
  <c r="Z92" i="93"/>
  <c r="P141" i="83"/>
  <c r="Z9" i="89"/>
  <c r="Y66" i="82"/>
  <c r="L88" i="81"/>
  <c r="AA162" i="87"/>
  <c r="X15" i="87"/>
  <c r="AB123" i="83"/>
  <c r="AB35" i="83"/>
  <c r="P116" i="82"/>
  <c r="O164" i="94"/>
  <c r="O171" i="83"/>
  <c r="L118" i="89"/>
  <c r="Q180" i="74"/>
  <c r="P162" i="82"/>
  <c r="AB113" i="84"/>
  <c r="Z64" i="74"/>
  <c r="P181" i="74"/>
  <c r="O181" i="81"/>
  <c r="P96" i="74"/>
  <c r="O103" i="84"/>
  <c r="Q71" i="84"/>
  <c r="O87" i="84"/>
  <c r="P110" i="81"/>
  <c r="O37" i="81"/>
  <c r="P119" i="74"/>
  <c r="P145" i="94"/>
  <c r="Q137" i="91"/>
  <c r="Y158" i="85"/>
  <c r="Q96" i="89"/>
  <c r="X91" i="85"/>
  <c r="AA97" i="74"/>
  <c r="AB156" i="83"/>
  <c r="X43" i="82"/>
  <c r="P99" i="81"/>
  <c r="M47" i="93"/>
  <c r="L113" i="74"/>
  <c r="P132" i="83"/>
  <c r="M19" i="93"/>
  <c r="N90" i="85"/>
  <c r="P147" i="89"/>
  <c r="Z45" i="74"/>
  <c r="Y145" i="93"/>
  <c r="Z101" i="74"/>
  <c r="L147" i="84"/>
  <c r="AB162" i="87"/>
  <c r="Q89" i="83"/>
  <c r="L171" i="81"/>
  <c r="Y27" i="82"/>
  <c r="AA33" i="84"/>
  <c r="AB79" i="85"/>
  <c r="Y148" i="82"/>
  <c r="Q116" i="85"/>
  <c r="Z121" i="88"/>
  <c r="Z15" i="88"/>
  <c r="P63" i="83"/>
  <c r="X79" i="89"/>
  <c r="Y162" i="85"/>
  <c r="Y66" i="83"/>
  <c r="T39" i="94"/>
  <c r="L175" i="84"/>
  <c r="Q29" i="85"/>
  <c r="L112" i="82"/>
  <c r="Z109" i="85"/>
  <c r="O160" i="93"/>
  <c r="Q143" i="82"/>
  <c r="AA151" i="91"/>
  <c r="L73" i="85"/>
  <c r="P49" i="91"/>
  <c r="L178" i="81"/>
  <c r="X117" i="84"/>
  <c r="AA158" i="87"/>
  <c r="AA150" i="82"/>
  <c r="N63" i="84"/>
  <c r="M27" i="88"/>
  <c r="X109" i="84"/>
  <c r="Q59" i="81"/>
  <c r="AB94" i="93"/>
  <c r="Q15" i="88"/>
  <c r="Z63" i="89"/>
  <c r="L110" i="91"/>
  <c r="AA53" i="81"/>
  <c r="P65" i="82"/>
  <c r="Y158" i="87"/>
  <c r="Z27" i="84"/>
  <c r="Q45" i="92"/>
  <c r="AB47" i="85"/>
  <c r="Z13" i="81"/>
  <c r="L129" i="82"/>
  <c r="Z116" i="74"/>
  <c r="O117" i="93"/>
  <c r="P109" i="84"/>
  <c r="N108" i="84"/>
  <c r="Q146" i="89"/>
  <c r="O149" i="81"/>
  <c r="X144" i="82"/>
  <c r="Q178" i="84"/>
  <c r="L141" i="85"/>
  <c r="AA79" i="82"/>
  <c r="AB115" i="91"/>
  <c r="O41" i="92"/>
  <c r="Q175" i="84"/>
  <c r="M21" i="88"/>
  <c r="X61" i="85"/>
  <c r="T138" i="91"/>
  <c r="P115" i="74"/>
  <c r="O136" i="91"/>
  <c r="Y11" i="85"/>
  <c r="Z159" i="88"/>
  <c r="X29" i="82"/>
  <c r="X82" i="84"/>
  <c r="AB75" i="85"/>
  <c r="Y106" i="88"/>
  <c r="L178" i="74"/>
  <c r="Y97" i="81"/>
  <c r="AB172" i="81"/>
  <c r="Z160" i="74"/>
  <c r="Z27" i="85"/>
  <c r="P170" i="83"/>
  <c r="Q27" i="82"/>
  <c r="Y158" i="88"/>
  <c r="Y21" i="87"/>
  <c r="P27" i="85"/>
  <c r="O156" i="74"/>
  <c r="P114" i="85"/>
  <c r="Q145" i="88"/>
  <c r="O47" i="85"/>
  <c r="AA172" i="74"/>
  <c r="X156" i="83"/>
  <c r="O93" i="74"/>
  <c r="P105" i="83"/>
  <c r="N99" i="81"/>
  <c r="X37" i="74"/>
  <c r="AA99" i="93"/>
  <c r="Z68" i="85"/>
  <c r="P140" i="88"/>
  <c r="AA103" i="84"/>
  <c r="O95" i="84"/>
  <c r="AA107" i="91"/>
  <c r="L163" i="81"/>
  <c r="X39" i="87"/>
  <c r="O43" i="87"/>
  <c r="L64" i="91"/>
  <c r="Y11" i="89"/>
  <c r="Z172" i="81"/>
  <c r="O99" i="84"/>
  <c r="Q184" i="84"/>
  <c r="Z119" i="84"/>
  <c r="X157" i="84"/>
  <c r="Z102" i="82"/>
  <c r="Z130" i="88"/>
  <c r="Z145" i="84"/>
  <c r="X149" i="93"/>
  <c r="O181" i="74"/>
  <c r="L81" i="93"/>
  <c r="AB125" i="83"/>
  <c r="O180" i="91"/>
  <c r="T141" i="85"/>
  <c r="AA13" i="84"/>
  <c r="Y167" i="93"/>
  <c r="AA151" i="81"/>
  <c r="AB51" i="85"/>
  <c r="AA167" i="87"/>
  <c r="X64" i="74"/>
  <c r="N156" i="88"/>
  <c r="P132" i="81"/>
  <c r="T132" i="84"/>
  <c r="T75" i="82"/>
  <c r="O109" i="93"/>
  <c r="O57" i="89"/>
  <c r="O149" i="89"/>
  <c r="Q104" i="74"/>
  <c r="N174" i="83"/>
  <c r="T159" i="93"/>
  <c r="O92" i="82"/>
  <c r="Q128" i="85"/>
  <c r="Z168" i="88"/>
  <c r="X147" i="88"/>
  <c r="AA123" i="82"/>
  <c r="Z118" i="74"/>
  <c r="T93" i="88"/>
  <c r="L114" i="82"/>
  <c r="Q99" i="88"/>
  <c r="Y85" i="92"/>
  <c r="Y111" i="82"/>
  <c r="Z91" i="82"/>
  <c r="AA21" i="85"/>
  <c r="X87" i="81"/>
  <c r="O103" i="87"/>
  <c r="X55" i="83"/>
  <c r="O150" i="91"/>
  <c r="AB168" i="87"/>
  <c r="P85" i="81"/>
  <c r="P93" i="88"/>
  <c r="O116" i="94"/>
  <c r="O103" i="83"/>
  <c r="AA172" i="94"/>
  <c r="Q116" i="84"/>
  <c r="T141" i="93"/>
  <c r="AB102" i="89"/>
  <c r="M39" i="92"/>
  <c r="Z145" i="74"/>
  <c r="Q68" i="89"/>
  <c r="L151" i="83"/>
  <c r="O92" i="89"/>
  <c r="Y150" i="88"/>
  <c r="Y77" i="84"/>
  <c r="X70" i="82"/>
  <c r="O118" i="91"/>
  <c r="X19" i="87"/>
  <c r="AA114" i="92"/>
  <c r="Q162" i="87"/>
  <c r="X135" i="87"/>
  <c r="AA157" i="83"/>
  <c r="AA96" i="82"/>
  <c r="AA65" i="89"/>
  <c r="X167" i="74"/>
  <c r="Y82" i="74"/>
  <c r="Z39" i="88"/>
  <c r="Y151" i="85"/>
  <c r="AA75" i="92"/>
  <c r="Z74" i="83"/>
  <c r="N21" i="83"/>
  <c r="AA31" i="85"/>
  <c r="P85" i="91"/>
  <c r="Z45" i="82"/>
  <c r="N33" i="81"/>
  <c r="X98" i="87"/>
  <c r="P129" i="85"/>
  <c r="Z71" i="89"/>
  <c r="Z37" i="84"/>
  <c r="Q177" i="85"/>
  <c r="AB98" i="82"/>
  <c r="AB96" i="85"/>
  <c r="O23" i="92"/>
  <c r="Q157" i="74"/>
  <c r="P103" i="89"/>
  <c r="Y152" i="84"/>
  <c r="L140" i="81"/>
  <c r="AB129" i="91"/>
  <c r="AA11" i="81"/>
  <c r="Y150" i="83"/>
  <c r="AB138" i="84"/>
  <c r="X171" i="85"/>
  <c r="Z43" i="84"/>
  <c r="P143" i="88"/>
  <c r="O103" i="74"/>
  <c r="AA63" i="92"/>
  <c r="Q182" i="81"/>
  <c r="L147" i="85"/>
  <c r="AA146" i="83"/>
  <c r="AA171" i="81"/>
  <c r="T105" i="94"/>
  <c r="AB25" i="82"/>
  <c r="AB79" i="81"/>
  <c r="O170" i="74"/>
  <c r="Z93" i="85"/>
  <c r="X121" i="84"/>
  <c r="Q159" i="93"/>
  <c r="Q129" i="92"/>
  <c r="AA146" i="92"/>
  <c r="AA151" i="87"/>
  <c r="T39" i="87"/>
  <c r="Z73" i="83"/>
  <c r="AA143" i="89"/>
  <c r="X45" i="74"/>
  <c r="L128" i="84"/>
  <c r="AB27" i="92"/>
  <c r="Q168" i="83"/>
  <c r="N102" i="91"/>
  <c r="L103" i="92"/>
  <c r="Q170" i="87"/>
  <c r="X110" i="74"/>
  <c r="Z155" i="83"/>
  <c r="AA163" i="74"/>
  <c r="X133" i="82"/>
  <c r="AA115" i="91"/>
  <c r="X102" i="84"/>
  <c r="Z94" i="81"/>
  <c r="X80" i="87"/>
  <c r="P103" i="92"/>
  <c r="Z88" i="83"/>
  <c r="P79" i="85"/>
  <c r="Z141" i="88"/>
  <c r="AA121" i="85"/>
  <c r="X113" i="89"/>
  <c r="Q53" i="74"/>
  <c r="O163" i="91"/>
  <c r="Z17" i="81"/>
  <c r="T132" i="83"/>
  <c r="Q145" i="84"/>
  <c r="Z127" i="81"/>
  <c r="Q94" i="81"/>
  <c r="O95" i="82"/>
  <c r="X106" i="82"/>
  <c r="O75" i="74"/>
  <c r="L129" i="74"/>
  <c r="X140" i="81"/>
  <c r="P160" i="82"/>
  <c r="Y29" i="74"/>
  <c r="Q122" i="84"/>
  <c r="AA166" i="89"/>
  <c r="T108" i="83"/>
  <c r="Z99" i="84"/>
  <c r="Z87" i="92"/>
  <c r="X176" i="82"/>
  <c r="L135" i="83"/>
  <c r="M25" i="88"/>
  <c r="Z158" i="85"/>
  <c r="X140" i="74"/>
  <c r="L132" i="84"/>
  <c r="Q103" i="88"/>
  <c r="P171" i="83"/>
  <c r="AA123" i="83"/>
  <c r="AA87" i="85"/>
  <c r="AB74" i="85"/>
  <c r="X25" i="74"/>
  <c r="O79" i="92"/>
  <c r="O63" i="89"/>
  <c r="X104" i="81"/>
  <c r="P139" i="83"/>
  <c r="Q117" i="82"/>
  <c r="Z175" i="87"/>
  <c r="P90" i="83"/>
  <c r="Z123" i="91"/>
  <c r="O67" i="82"/>
  <c r="X37" i="84"/>
  <c r="Z148" i="83"/>
  <c r="Q98" i="81"/>
  <c r="L173" i="81"/>
  <c r="O180" i="84"/>
  <c r="Q111" i="81"/>
  <c r="T93" i="92"/>
  <c r="Y169" i="81"/>
  <c r="X127" i="92"/>
  <c r="Y172" i="87"/>
  <c r="Z130" i="89"/>
  <c r="AB71" i="81"/>
  <c r="L132" i="85"/>
  <c r="AA157" i="85"/>
  <c r="Q96" i="91"/>
  <c r="X167" i="84"/>
  <c r="T57" i="94"/>
  <c r="O122" i="92"/>
  <c r="Y9" i="81"/>
  <c r="O78" i="81"/>
  <c r="Q92" i="85"/>
  <c r="AA158" i="91"/>
  <c r="T39" i="92"/>
  <c r="Q181" i="74"/>
  <c r="Q100" i="91"/>
  <c r="AA102" i="85"/>
  <c r="Z9" i="85"/>
  <c r="P159" i="87"/>
  <c r="Q165" i="82"/>
  <c r="Y102" i="83"/>
  <c r="Z74" i="87"/>
  <c r="Z73" i="84"/>
  <c r="T87" i="82"/>
  <c r="Q155" i="82"/>
  <c r="P77" i="84"/>
  <c r="Y132" i="82"/>
  <c r="Z82" i="82"/>
  <c r="P61" i="74"/>
  <c r="AB148" i="85"/>
  <c r="P161" i="89"/>
  <c r="Z162" i="83"/>
  <c r="O115" i="74"/>
  <c r="Z17" i="85"/>
  <c r="AA49" i="88"/>
  <c r="Y132" i="83"/>
  <c r="Q180" i="85"/>
  <c r="N105" i="74"/>
  <c r="P154" i="84"/>
  <c r="Y17" i="89"/>
  <c r="Z111" i="87"/>
  <c r="M57" i="88"/>
  <c r="X147" i="81"/>
  <c r="Q114" i="87"/>
  <c r="Y136" i="91"/>
  <c r="O11" i="85"/>
  <c r="X23" i="74"/>
  <c r="O99" i="93"/>
  <c r="Z15" i="81"/>
  <c r="T117" i="83"/>
  <c r="AB103" i="81"/>
  <c r="AA166" i="83"/>
  <c r="L169" i="91"/>
  <c r="AB162" i="88"/>
  <c r="O104" i="88"/>
  <c r="O163" i="82"/>
  <c r="O53" i="85"/>
  <c r="L103" i="74"/>
  <c r="L161" i="87"/>
  <c r="AA81" i="87"/>
  <c r="X117" i="92"/>
  <c r="T153" i="87"/>
  <c r="P39" i="85"/>
  <c r="T174" i="82"/>
  <c r="AA89" i="87"/>
  <c r="T159" i="87"/>
  <c r="Q86" i="87"/>
  <c r="P168" i="85"/>
  <c r="O75" i="82"/>
  <c r="O47" i="82"/>
  <c r="X88" i="82"/>
  <c r="X75" i="81"/>
  <c r="M61" i="88"/>
  <c r="AA78" i="82"/>
  <c r="Q110" i="82"/>
  <c r="AA78" i="91"/>
  <c r="Q96" i="88"/>
  <c r="Q41" i="81"/>
  <c r="X9" i="74"/>
  <c r="Y65" i="81"/>
  <c r="O77" i="87"/>
  <c r="L181" i="84"/>
  <c r="N138" i="74"/>
  <c r="AB31" i="84"/>
  <c r="P137" i="74"/>
  <c r="Y156" i="81"/>
  <c r="Q121" i="84"/>
  <c r="T144" i="82"/>
  <c r="O153" i="87"/>
  <c r="X27" i="85"/>
  <c r="P39" i="87"/>
  <c r="X77" i="74"/>
  <c r="X106" i="93"/>
  <c r="L95" i="81"/>
  <c r="Q153" i="74"/>
  <c r="N75" i="85"/>
  <c r="L162" i="74"/>
  <c r="Y105" i="83"/>
  <c r="Y121" i="83"/>
  <c r="L92" i="88"/>
  <c r="Q159" i="82"/>
  <c r="AB118" i="84"/>
  <c r="AA92" i="82"/>
  <c r="X63" i="74"/>
  <c r="Q175" i="92"/>
  <c r="AB133" i="91"/>
  <c r="Y55" i="84"/>
  <c r="AA146" i="81"/>
  <c r="L142" i="87"/>
  <c r="X86" i="82"/>
  <c r="AB107" i="84"/>
  <c r="T105" i="88"/>
  <c r="X158" i="87"/>
  <c r="Q82" i="84"/>
  <c r="AB99" i="88"/>
  <c r="Y109" i="82"/>
  <c r="Q25" i="74"/>
  <c r="AB61" i="83"/>
  <c r="Q33" i="85"/>
  <c r="X134" i="85"/>
  <c r="P113" i="91"/>
  <c r="AA122" i="83"/>
  <c r="N162" i="81"/>
  <c r="O53" i="74"/>
  <c r="Z98" i="82"/>
  <c r="O101" i="82"/>
  <c r="O47" i="93"/>
  <c r="T72" i="93"/>
  <c r="Y110" i="82"/>
  <c r="Y89" i="92"/>
  <c r="AB139" i="82"/>
  <c r="Y161" i="85"/>
  <c r="X153" i="87"/>
  <c r="P111" i="87"/>
  <c r="AA180" i="74"/>
  <c r="X96" i="84"/>
  <c r="T156" i="74"/>
  <c r="X145" i="81"/>
  <c r="X96" i="81"/>
  <c r="Y170" i="87"/>
  <c r="AB141" i="85"/>
  <c r="Z158" i="88"/>
  <c r="O147" i="89"/>
  <c r="Q19" i="81"/>
  <c r="Z82" i="93"/>
  <c r="Z118" i="85"/>
  <c r="P117" i="87"/>
  <c r="Q25" i="84"/>
  <c r="P126" i="92"/>
  <c r="X141" i="85"/>
  <c r="T168" i="84"/>
  <c r="L78" i="83"/>
  <c r="O165" i="83"/>
  <c r="Q184" i="85"/>
  <c r="X166" i="91"/>
  <c r="AA129" i="87"/>
  <c r="P66" i="74"/>
  <c r="AA124" i="92"/>
  <c r="AA65" i="83"/>
  <c r="Q136" i="84"/>
  <c r="P130" i="84"/>
  <c r="Z136" i="84"/>
  <c r="AB137" i="81"/>
  <c r="X118" i="81"/>
  <c r="X93" i="82"/>
  <c r="Y103" i="81"/>
  <c r="Q75" i="83"/>
  <c r="O45" i="81"/>
  <c r="O39" i="85"/>
  <c r="Q147" i="83"/>
  <c r="AA110" i="88"/>
  <c r="L151" i="82"/>
  <c r="Q175" i="88"/>
  <c r="X143" i="85"/>
  <c r="AA23" i="94"/>
  <c r="Z71" i="91"/>
  <c r="Z110" i="82"/>
  <c r="AB57" i="89"/>
  <c r="X119" i="82"/>
  <c r="AA66" i="74"/>
  <c r="P111" i="88"/>
  <c r="L65" i="83"/>
  <c r="M45" i="89"/>
  <c r="N114" i="85"/>
  <c r="N132" i="74"/>
  <c r="O148" i="85"/>
  <c r="Y149" i="85"/>
  <c r="P91" i="74"/>
  <c r="Z37" i="87"/>
  <c r="L178" i="91"/>
  <c r="O178" i="81"/>
  <c r="X174" i="88"/>
  <c r="Y135" i="84"/>
  <c r="Y89" i="87"/>
  <c r="Q25" i="93"/>
  <c r="AB96" i="83"/>
  <c r="Y149" i="91"/>
  <c r="T114" i="74"/>
  <c r="Z80" i="84"/>
  <c r="L116" i="74"/>
  <c r="X116" i="82"/>
  <c r="P82" i="81"/>
  <c r="Q156" i="87"/>
  <c r="O51" i="74"/>
  <c r="P176" i="83"/>
  <c r="P168" i="83"/>
  <c r="M61" i="81"/>
  <c r="Z150" i="87"/>
  <c r="AB173" i="88"/>
  <c r="Z115" i="84"/>
  <c r="P159" i="74"/>
  <c r="Q91" i="82"/>
  <c r="L132" i="74"/>
  <c r="AA100" i="82"/>
  <c r="P174" i="93"/>
  <c r="O55" i="74"/>
  <c r="O114" i="94"/>
  <c r="L75" i="84"/>
  <c r="Z87" i="94"/>
  <c r="Q154" i="81"/>
  <c r="O160" i="88"/>
  <c r="T84" i="92"/>
  <c r="L135" i="89"/>
  <c r="Z78" i="94"/>
  <c r="X107" i="91"/>
  <c r="N93" i="83"/>
  <c r="Q152" i="81"/>
  <c r="T39" i="82"/>
  <c r="O140" i="74"/>
  <c r="Q120" i="83"/>
  <c r="Y131" i="87"/>
  <c r="Q73" i="83"/>
  <c r="X163" i="83"/>
  <c r="P139" i="82"/>
  <c r="M27" i="74"/>
  <c r="Y43" i="83"/>
  <c r="O103" i="81"/>
  <c r="L124" i="81"/>
  <c r="N72" i="94"/>
  <c r="Q15" i="93"/>
  <c r="O137" i="84"/>
  <c r="X57" i="74"/>
  <c r="AA104" i="87"/>
  <c r="Z153" i="84"/>
  <c r="AA82" i="85"/>
  <c r="Q181" i="85"/>
  <c r="X135" i="82"/>
  <c r="P161" i="85"/>
  <c r="X170" i="85"/>
  <c r="X43" i="91"/>
  <c r="AA135" i="82"/>
  <c r="P25" i="88"/>
  <c r="X152" i="85"/>
  <c r="Q59" i="85"/>
  <c r="Q143" i="81"/>
  <c r="AA74" i="92"/>
  <c r="T135" i="94"/>
  <c r="O169" i="83"/>
  <c r="X173" i="89"/>
  <c r="AA137" i="81"/>
  <c r="T57" i="92"/>
  <c r="AB95" i="85"/>
  <c r="P25" i="74"/>
  <c r="N177" i="92"/>
  <c r="L139" i="89"/>
  <c r="O80" i="88"/>
  <c r="AB166" i="84"/>
  <c r="L185" i="82"/>
  <c r="AA130" i="94"/>
  <c r="Z137" i="81"/>
  <c r="T132" i="93"/>
  <c r="AA87" i="74"/>
  <c r="Q135" i="74"/>
  <c r="X148" i="81"/>
  <c r="P113" i="89"/>
  <c r="O150" i="74"/>
  <c r="Y120" i="85"/>
  <c r="P137" i="89"/>
  <c r="Q102" i="74"/>
  <c r="Z25" i="85"/>
  <c r="AA127" i="74"/>
  <c r="AB170" i="89"/>
  <c r="AB57" i="85"/>
  <c r="O118" i="81"/>
  <c r="Z126" i="82"/>
  <c r="AB73" i="81"/>
  <c r="Q80" i="74"/>
  <c r="T81" i="92"/>
  <c r="O165" i="84"/>
  <c r="Y39" i="83"/>
  <c r="P91" i="85"/>
  <c r="X176" i="85"/>
  <c r="X76" i="84"/>
  <c r="AB109" i="94"/>
  <c r="O102" i="85"/>
  <c r="L172" i="81"/>
  <c r="X90" i="82"/>
  <c r="X78" i="81"/>
  <c r="T72" i="74"/>
  <c r="P27" i="89"/>
  <c r="Y78" i="84"/>
  <c r="Y88" i="81"/>
  <c r="L122" i="89"/>
  <c r="M31" i="82"/>
  <c r="AA135" i="89"/>
  <c r="AB140" i="81"/>
  <c r="O167" i="82"/>
  <c r="P78" i="89"/>
  <c r="P91" i="81"/>
  <c r="L115" i="88"/>
  <c r="L112" i="94"/>
  <c r="T135" i="92"/>
  <c r="P174" i="87"/>
  <c r="AA108" i="74"/>
  <c r="AA63" i="83"/>
  <c r="Z53" i="83"/>
  <c r="L75" i="74"/>
  <c r="Z107" i="87"/>
  <c r="P29" i="84"/>
  <c r="Z51" i="83"/>
  <c r="O63" i="84"/>
  <c r="O144" i="74"/>
  <c r="Y112" i="81"/>
  <c r="Y78" i="74"/>
  <c r="X122" i="87"/>
  <c r="AB94" i="84"/>
  <c r="Q109" i="83"/>
  <c r="Y161" i="84"/>
  <c r="O37" i="88"/>
  <c r="Y78" i="94"/>
  <c r="AA37" i="89"/>
  <c r="X114" i="74"/>
  <c r="AB84" i="84"/>
  <c r="Q61" i="91"/>
  <c r="Y57" i="74"/>
  <c r="L89" i="82"/>
  <c r="AA39" i="74"/>
  <c r="O105" i="89"/>
  <c r="Q65" i="92"/>
  <c r="L73" i="88"/>
  <c r="Q158" i="85"/>
  <c r="Z11" i="74"/>
  <c r="Z175" i="89"/>
  <c r="Y53" i="81"/>
  <c r="L174" i="89"/>
  <c r="Q45" i="81"/>
  <c r="O181" i="84"/>
  <c r="O137" i="82"/>
  <c r="O95" i="74"/>
  <c r="Z113" i="81"/>
  <c r="X176" i="84"/>
  <c r="P29" i="74"/>
  <c r="O158" i="84"/>
  <c r="Z142" i="89"/>
  <c r="Z87" i="82"/>
  <c r="P100" i="82"/>
  <c r="AB85" i="81"/>
  <c r="Z164" i="89"/>
  <c r="AA129" i="81"/>
  <c r="AA19" i="87"/>
  <c r="Y169" i="91"/>
  <c r="Z148" i="82"/>
  <c r="X112" i="93"/>
  <c r="AA79" i="88"/>
  <c r="AA77" i="74"/>
  <c r="Y145" i="81"/>
  <c r="Y156" i="93"/>
  <c r="X92" i="88"/>
  <c r="Q176" i="82"/>
  <c r="AA71" i="91"/>
  <c r="Z113" i="74"/>
  <c r="Z120" i="84"/>
  <c r="Z109" i="89"/>
  <c r="AA103" i="85"/>
  <c r="Z146" i="82"/>
  <c r="L100" i="82"/>
  <c r="P86" i="85"/>
  <c r="O121" i="93"/>
  <c r="Y97" i="87"/>
  <c r="N102" i="88"/>
  <c r="P184" i="89"/>
  <c r="L102" i="88"/>
  <c r="X84" i="94"/>
  <c r="T126" i="82"/>
  <c r="Y92" i="85"/>
  <c r="O66" i="87"/>
  <c r="AB72" i="82"/>
  <c r="Y161" i="81"/>
  <c r="Q182" i="84"/>
  <c r="AA37" i="87"/>
  <c r="AA76" i="74"/>
  <c r="P72" i="83"/>
  <c r="N185" i="91"/>
  <c r="AB87" i="81"/>
  <c r="Z70" i="85"/>
  <c r="Z21" i="74"/>
  <c r="Q133" i="89"/>
  <c r="N63" i="82"/>
  <c r="Z147" i="84"/>
  <c r="O72" i="83"/>
  <c r="O133" i="81"/>
  <c r="Q96" i="84"/>
  <c r="AB65" i="84"/>
  <c r="Y165" i="85"/>
  <c r="Q146" i="81"/>
  <c r="Q157" i="87"/>
  <c r="AA119" i="83"/>
  <c r="AA86" i="89"/>
  <c r="AB25" i="83"/>
  <c r="Y164" i="81"/>
  <c r="Q35" i="87"/>
  <c r="Z92" i="92"/>
  <c r="O61" i="88"/>
  <c r="AB115" i="81"/>
  <c r="Y23" i="82"/>
  <c r="L87" i="85"/>
  <c r="Z78" i="85"/>
  <c r="Q65" i="89"/>
  <c r="Z11" i="83"/>
  <c r="Z95" i="92"/>
  <c r="X33" i="82"/>
  <c r="L137" i="83"/>
  <c r="X23" i="83"/>
  <c r="L132" i="81"/>
  <c r="Q156" i="81"/>
  <c r="Z33" i="94"/>
  <c r="Q39" i="88"/>
  <c r="X93" i="87"/>
  <c r="Z97" i="85"/>
  <c r="Q69" i="81"/>
  <c r="Y127" i="91"/>
  <c r="Z59" i="81"/>
  <c r="Z117" i="88"/>
  <c r="T108" i="84"/>
  <c r="AA123" i="74"/>
  <c r="O178" i="85"/>
  <c r="AB177" i="84"/>
  <c r="L121" i="89"/>
  <c r="M41" i="94"/>
  <c r="O76" i="84"/>
  <c r="Y95" i="82"/>
  <c r="P19" i="74"/>
  <c r="M55" i="87"/>
  <c r="Y97" i="85"/>
  <c r="O84" i="81"/>
  <c r="O121" i="84"/>
  <c r="X175" i="88"/>
  <c r="AA171" i="89"/>
  <c r="L148" i="82"/>
  <c r="N15" i="94"/>
  <c r="X153" i="83"/>
  <c r="Y148" i="74"/>
  <c r="Y100" i="74"/>
  <c r="X177" i="81"/>
  <c r="P133" i="89"/>
  <c r="Y84" i="91"/>
  <c r="X68" i="82"/>
  <c r="X115" i="74"/>
  <c r="P72" i="84"/>
  <c r="Q160" i="81"/>
  <c r="AB131" i="84"/>
  <c r="Y111" i="74"/>
  <c r="X9" i="88"/>
  <c r="Q90" i="85"/>
  <c r="AA61" i="82"/>
  <c r="P116" i="94"/>
  <c r="L77" i="74"/>
  <c r="M21" i="91"/>
  <c r="P71" i="83"/>
  <c r="N66" i="87"/>
  <c r="Y66" i="81"/>
  <c r="Q83" i="85"/>
  <c r="AB84" i="83"/>
  <c r="Q176" i="87"/>
  <c r="Z51" i="88"/>
  <c r="AA73" i="74"/>
  <c r="O168" i="88"/>
  <c r="O146" i="82"/>
  <c r="O136" i="92"/>
  <c r="P106" i="91"/>
  <c r="O179" i="82"/>
  <c r="O113" i="74"/>
  <c r="AA72" i="87"/>
  <c r="P131" i="91"/>
  <c r="AA129" i="92"/>
  <c r="Y137" i="82"/>
  <c r="AA123" i="87"/>
  <c r="P45" i="74"/>
  <c r="Z120" i="83"/>
  <c r="Z155" i="84"/>
  <c r="AA92" i="84"/>
  <c r="AA83" i="81"/>
  <c r="O92" i="91"/>
  <c r="Q165" i="74"/>
  <c r="Q134" i="92"/>
  <c r="Y110" i="89"/>
  <c r="L108" i="82"/>
  <c r="Z170" i="81"/>
  <c r="O170" i="85"/>
  <c r="T171" i="94"/>
  <c r="M51" i="82"/>
  <c r="Y129" i="85"/>
  <c r="Y81" i="82"/>
  <c r="T168" i="91"/>
  <c r="Q135" i="83"/>
  <c r="Y68" i="74"/>
  <c r="P9" i="87"/>
  <c r="Z132" i="82"/>
  <c r="O120" i="87"/>
  <c r="O97" i="91"/>
  <c r="P45" i="82"/>
  <c r="Q33" i="74"/>
  <c r="Y90" i="83"/>
  <c r="Z115" i="83"/>
  <c r="T180" i="93"/>
  <c r="P84" i="74"/>
  <c r="Y51" i="84"/>
  <c r="AB173" i="85"/>
  <c r="AA172" i="89"/>
  <c r="AB65" i="85"/>
  <c r="Z146" i="84"/>
  <c r="L65" i="84"/>
  <c r="O68" i="81"/>
  <c r="P64" i="88"/>
  <c r="AA161" i="84"/>
  <c r="Z96" i="83"/>
  <c r="X167" i="94"/>
  <c r="Q136" i="82"/>
  <c r="L95" i="85"/>
  <c r="Y55" i="93"/>
  <c r="P11" i="88"/>
  <c r="O45" i="83"/>
  <c r="X142" i="84"/>
  <c r="Y133" i="74"/>
  <c r="AA117" i="83"/>
  <c r="AA105" i="91"/>
  <c r="Q113" i="74"/>
  <c r="P124" i="87"/>
  <c r="Z105" i="85"/>
  <c r="X115" i="87"/>
  <c r="AA150" i="74"/>
  <c r="AB19" i="83"/>
  <c r="AB72" i="91"/>
  <c r="X49" i="85"/>
  <c r="AA118" i="85"/>
  <c r="L164" i="83"/>
  <c r="P87" i="83"/>
  <c r="Z82" i="83"/>
  <c r="Q107" i="93"/>
  <c r="AB153" i="81"/>
  <c r="AB171" i="93"/>
  <c r="Z35" i="84"/>
  <c r="X143" i="84"/>
  <c r="L119" i="74"/>
  <c r="L84" i="74"/>
  <c r="L96" i="91"/>
  <c r="Z169" i="85"/>
  <c r="P98" i="91"/>
  <c r="Y146" i="81"/>
  <c r="AB80" i="85"/>
  <c r="AA71" i="84"/>
  <c r="P176" i="84"/>
  <c r="X67" i="81"/>
  <c r="P146" i="74"/>
  <c r="P124" i="91"/>
  <c r="P39" i="82"/>
  <c r="L71" i="84"/>
  <c r="O132" i="83"/>
  <c r="O140" i="83"/>
  <c r="P159" i="85"/>
  <c r="P166" i="81"/>
  <c r="X72" i="81"/>
  <c r="X149" i="84"/>
  <c r="O170" i="83"/>
  <c r="Z133" i="83"/>
  <c r="Z104" i="89"/>
  <c r="Z13" i="74"/>
  <c r="AB61" i="82"/>
  <c r="Y63" i="87"/>
  <c r="L109" i="89"/>
  <c r="Y140" i="81"/>
  <c r="AA152" i="82"/>
  <c r="Z98" i="74"/>
  <c r="AB145" i="93"/>
  <c r="P25" i="81"/>
  <c r="Q147" i="91"/>
  <c r="AA93" i="82"/>
  <c r="AA156" i="74"/>
  <c r="Q113" i="87"/>
  <c r="Z63" i="83"/>
  <c r="Z102" i="89"/>
  <c r="Z110" i="83"/>
  <c r="P137" i="82"/>
  <c r="AB174" i="84"/>
  <c r="L137" i="88"/>
  <c r="P160" i="74"/>
  <c r="O13" i="85"/>
  <c r="X71" i="84"/>
  <c r="M37" i="82"/>
  <c r="O108" i="91"/>
  <c r="O117" i="89"/>
  <c r="P108" i="85"/>
  <c r="Z175" i="84"/>
  <c r="X155" i="94"/>
  <c r="L181" i="87"/>
  <c r="X157" i="83"/>
  <c r="X31" i="89"/>
  <c r="Z172" i="74"/>
  <c r="Q43" i="88"/>
  <c r="O119" i="84"/>
  <c r="AB172" i="82"/>
  <c r="AA102" i="81"/>
  <c r="Y147" i="74"/>
  <c r="X142" i="87"/>
  <c r="L125" i="87"/>
  <c r="X165" i="87"/>
  <c r="O67" i="84"/>
  <c r="X167" i="89"/>
  <c r="AA103" i="91"/>
  <c r="L175" i="87"/>
  <c r="Q147" i="84"/>
  <c r="P55" i="83"/>
  <c r="X83" i="81"/>
  <c r="L160" i="89"/>
  <c r="Z93" i="82"/>
  <c r="Q102" i="89"/>
  <c r="X33" i="83"/>
  <c r="N84" i="88"/>
  <c r="Y159" i="85"/>
  <c r="Q166" i="85"/>
  <c r="O69" i="82"/>
  <c r="L120" i="88"/>
  <c r="AB9" i="83"/>
  <c r="Q169" i="91"/>
  <c r="O138" i="82"/>
  <c r="O79" i="81"/>
  <c r="L158" i="87"/>
  <c r="X35" i="88"/>
  <c r="Z166" i="89"/>
  <c r="Z15" i="89"/>
  <c r="AA83" i="89"/>
  <c r="L98" i="85"/>
  <c r="M11" i="83"/>
  <c r="AA95" i="81"/>
  <c r="Z95" i="74"/>
  <c r="N126" i="84"/>
  <c r="AA87" i="81"/>
  <c r="AB64" i="82"/>
  <c r="Y122" i="82"/>
  <c r="O110" i="85"/>
  <c r="L86" i="88"/>
  <c r="Z113" i="93"/>
  <c r="AB91" i="81"/>
  <c r="N69" i="81"/>
  <c r="M39" i="81"/>
  <c r="X129" i="91"/>
  <c r="L78" i="85"/>
  <c r="Q141" i="92"/>
  <c r="N87" i="87"/>
  <c r="Z170" i="89"/>
  <c r="AB134" i="81"/>
  <c r="M25" i="93"/>
  <c r="Q99" i="74"/>
  <c r="AA120" i="85"/>
  <c r="AA164" i="85"/>
  <c r="L165" i="91"/>
  <c r="O90" i="87"/>
  <c r="O59" i="81"/>
  <c r="P145" i="74"/>
  <c r="X59" i="92"/>
  <c r="Y154" i="74"/>
  <c r="AB149" i="82"/>
  <c r="X84" i="74"/>
  <c r="O96" i="81"/>
  <c r="Z110" i="74"/>
  <c r="O116" i="83"/>
  <c r="L122" i="74"/>
  <c r="Z83" i="85"/>
  <c r="Y136" i="82"/>
  <c r="O172" i="82"/>
  <c r="X51" i="94"/>
  <c r="Y133" i="81"/>
  <c r="L78" i="91"/>
  <c r="O9" i="85"/>
  <c r="L107" i="91"/>
  <c r="T87" i="81"/>
  <c r="N15" i="74"/>
  <c r="AB132" i="83"/>
  <c r="P51" i="84"/>
  <c r="P108" i="88"/>
  <c r="Z120" i="88"/>
  <c r="X138" i="81"/>
  <c r="L171" i="88"/>
  <c r="X19" i="92"/>
  <c r="X180" i="74"/>
  <c r="P131" i="74"/>
  <c r="O120" i="83"/>
  <c r="N150" i="84"/>
  <c r="O27" i="84"/>
  <c r="Q119" i="87"/>
  <c r="Q51" i="81"/>
  <c r="O35" i="83"/>
  <c r="Y164" i="85"/>
  <c r="AA23" i="74"/>
  <c r="Y151" i="83"/>
  <c r="Z82" i="81"/>
  <c r="Q57" i="82"/>
  <c r="AA47" i="74"/>
  <c r="P140" i="74"/>
  <c r="Y154" i="94"/>
  <c r="X162" i="83"/>
  <c r="Q143" i="93"/>
  <c r="M29" i="84"/>
  <c r="Y85" i="84"/>
  <c r="P154" i="91"/>
  <c r="O115" i="89"/>
  <c r="Y23" i="85"/>
  <c r="Q141" i="74"/>
  <c r="Q166" i="82"/>
  <c r="Z177" i="74"/>
  <c r="Q157" i="85"/>
  <c r="Q158" i="74"/>
  <c r="AB119" i="83"/>
  <c r="P172" i="91"/>
  <c r="P169" i="88"/>
  <c r="P88" i="82"/>
  <c r="Y96" i="84"/>
  <c r="AB69" i="84"/>
  <c r="X156" i="85"/>
  <c r="X88" i="91"/>
  <c r="P92" i="81"/>
  <c r="Y138" i="85"/>
  <c r="T102" i="93"/>
  <c r="T102" i="88"/>
  <c r="AA154" i="93"/>
  <c r="AB17" i="82"/>
  <c r="L157" i="74"/>
  <c r="P154" i="94"/>
  <c r="X68" i="93"/>
  <c r="AB159" i="83"/>
  <c r="O138" i="87"/>
  <c r="L118" i="88"/>
  <c r="O103" i="85"/>
  <c r="AA65" i="88"/>
  <c r="Z23" i="82"/>
  <c r="X102" i="74"/>
  <c r="M41" i="84"/>
  <c r="T129" i="74"/>
  <c r="Q86" i="84"/>
  <c r="O41" i="91"/>
  <c r="Z21" i="85"/>
  <c r="Y172" i="84"/>
  <c r="AB135" i="81"/>
  <c r="Z107" i="82"/>
  <c r="Z77" i="85"/>
  <c r="T84" i="91"/>
  <c r="N138" i="85"/>
  <c r="X120" i="81"/>
  <c r="O101" i="85"/>
  <c r="L78" i="81"/>
  <c r="T126" i="94"/>
  <c r="AB134" i="84"/>
  <c r="N111" i="89"/>
  <c r="P96" i="85"/>
  <c r="Q140" i="87"/>
  <c r="L77" i="91"/>
  <c r="P178" i="83"/>
  <c r="AA99" i="81"/>
  <c r="Y106" i="85"/>
  <c r="AB33" i="81"/>
  <c r="Y125" i="85"/>
  <c r="Z162" i="81"/>
  <c r="Q162" i="82"/>
  <c r="O150" i="84"/>
  <c r="T102" i="91"/>
  <c r="AB147" i="81"/>
  <c r="L154" i="84"/>
  <c r="L100" i="84"/>
  <c r="AB11" i="81"/>
  <c r="M27" i="81"/>
  <c r="X64" i="83"/>
  <c r="Q65" i="88"/>
  <c r="O175" i="92"/>
  <c r="L78" i="82"/>
  <c r="AA17" i="85"/>
  <c r="X81" i="81"/>
  <c r="AA144" i="74"/>
  <c r="AA115" i="83"/>
  <c r="Y47" i="88"/>
  <c r="Q162" i="91"/>
  <c r="Q27" i="87"/>
  <c r="L121" i="85"/>
  <c r="Y59" i="83"/>
  <c r="X73" i="74"/>
  <c r="Q117" i="83"/>
  <c r="L110" i="88"/>
  <c r="AB51" i="87"/>
  <c r="X81" i="89"/>
  <c r="AA99" i="85"/>
  <c r="Z87" i="85"/>
  <c r="AA109" i="85"/>
  <c r="Z141" i="84"/>
  <c r="X45" i="84"/>
  <c r="P31" i="85"/>
  <c r="Y180" i="82"/>
  <c r="N123" i="74"/>
  <c r="L88" i="74"/>
  <c r="P136" i="83"/>
  <c r="P76" i="85"/>
  <c r="Q136" i="81"/>
  <c r="X80" i="82"/>
  <c r="Q153" i="83"/>
  <c r="O182" i="87"/>
  <c r="P125" i="82"/>
  <c r="O105" i="87"/>
  <c r="P80" i="74"/>
  <c r="Q184" i="88"/>
  <c r="T81" i="85"/>
  <c r="Y39" i="87"/>
  <c r="P142" i="74"/>
  <c r="AB97" i="81"/>
  <c r="T51" i="84"/>
  <c r="Q153" i="84"/>
  <c r="Y154" i="87"/>
  <c r="Q135" i="84"/>
  <c r="Z142" i="74"/>
  <c r="P9" i="81"/>
  <c r="P99" i="87"/>
  <c r="Q90" i="93"/>
  <c r="Q63" i="84"/>
  <c r="AA49" i="91"/>
  <c r="T168" i="83"/>
  <c r="Z144" i="89"/>
  <c r="AA176" i="91"/>
  <c r="Y57" i="87"/>
  <c r="AA100" i="85"/>
  <c r="O155" i="87"/>
  <c r="Z43" i="89"/>
  <c r="T90" i="89"/>
  <c r="Y148" i="85"/>
  <c r="X118" i="83"/>
  <c r="Z70" i="82"/>
  <c r="N105" i="92"/>
  <c r="Y132" i="87"/>
  <c r="P166" i="85"/>
  <c r="O181" i="89"/>
  <c r="X155" i="91"/>
  <c r="AB149" i="81"/>
  <c r="Y138" i="93"/>
  <c r="O143" i="83"/>
  <c r="X113" i="74"/>
  <c r="O147" i="74"/>
  <c r="AA92" i="81"/>
  <c r="O85" i="83"/>
  <c r="L77" i="83"/>
  <c r="L139" i="82"/>
  <c r="AA104" i="94"/>
  <c r="X69" i="82"/>
  <c r="Q160" i="88"/>
  <c r="T180" i="74"/>
  <c r="AB142" i="87"/>
  <c r="Y47" i="83"/>
  <c r="Y25" i="81"/>
  <c r="T165" i="93"/>
  <c r="Q55" i="74"/>
  <c r="AB157" i="84"/>
  <c r="T108" i="94"/>
  <c r="P97" i="81"/>
  <c r="O172" i="88"/>
  <c r="X29" i="85"/>
  <c r="Z57" i="74"/>
  <c r="Q33" i="81"/>
  <c r="Q98" i="88"/>
  <c r="O93" i="81"/>
  <c r="AB64" i="83"/>
  <c r="AB83" i="82"/>
  <c r="O158" i="74"/>
  <c r="O72" i="74"/>
  <c r="P122" i="81"/>
  <c r="Y76" i="85"/>
  <c r="L86" i="85"/>
  <c r="AA125" i="83"/>
  <c r="Y171" i="87"/>
  <c r="Y94" i="83"/>
  <c r="Y125" i="88"/>
  <c r="P90" i="85"/>
  <c r="AB69" i="83"/>
  <c r="AB11" i="83"/>
  <c r="AB161" i="81"/>
  <c r="P13" i="81"/>
  <c r="AB103" i="87"/>
  <c r="AA111" i="83"/>
  <c r="M19" i="87"/>
  <c r="Z106" i="81"/>
  <c r="P160" i="85"/>
  <c r="Y107" i="74"/>
  <c r="Z156" i="84"/>
  <c r="Q156" i="74"/>
  <c r="AA158" i="84"/>
  <c r="Q31" i="87"/>
  <c r="Q70" i="83"/>
  <c r="Q137" i="84"/>
  <c r="O142" i="74"/>
  <c r="AB80" i="83"/>
  <c r="Y162" i="89"/>
  <c r="Q138" i="83"/>
  <c r="O85" i="87"/>
  <c r="O83" i="84"/>
  <c r="Z84" i="88"/>
  <c r="L73" i="74"/>
  <c r="L134" i="92"/>
  <c r="O174" i="84"/>
  <c r="Z85" i="82"/>
  <c r="Z175" i="94"/>
  <c r="T180" i="92"/>
  <c r="P35" i="82"/>
  <c r="AB133" i="83"/>
  <c r="Y90" i="82"/>
  <c r="P78" i="74"/>
  <c r="X82" i="83"/>
  <c r="Z106" i="91"/>
  <c r="AB98" i="81"/>
  <c r="O75" i="94"/>
  <c r="P182" i="83"/>
  <c r="AA84" i="87"/>
  <c r="T45" i="88"/>
  <c r="AA148" i="85"/>
  <c r="Z168" i="84"/>
  <c r="Z80" i="74"/>
  <c r="P140" i="85"/>
  <c r="AB163" i="82"/>
  <c r="Q136" i="89"/>
  <c r="N129" i="82"/>
  <c r="X137" i="81"/>
  <c r="N114" i="91"/>
  <c r="L63" i="81"/>
  <c r="Z173" i="87"/>
  <c r="Q130" i="84"/>
  <c r="Q141" i="85"/>
  <c r="Y41" i="87"/>
  <c r="AA176" i="84"/>
  <c r="T51" i="82"/>
  <c r="O120" i="88"/>
  <c r="X173" i="82"/>
  <c r="L126" i="87"/>
  <c r="X157" i="87"/>
  <c r="Y116" i="82"/>
  <c r="Q67" i="81"/>
  <c r="X100" i="81"/>
  <c r="L124" i="83"/>
  <c r="Y156" i="92"/>
  <c r="X63" i="85"/>
  <c r="O33" i="81"/>
  <c r="L113" i="91"/>
  <c r="Q57" i="85"/>
  <c r="O136" i="81"/>
  <c r="X35" i="81"/>
  <c r="P148" i="87"/>
  <c r="Y25" i="74"/>
  <c r="X147" i="83"/>
  <c r="Z95" i="88"/>
  <c r="P185" i="84"/>
  <c r="Y96" i="81"/>
  <c r="M33" i="83"/>
  <c r="T51" i="92"/>
  <c r="Z66" i="83"/>
  <c r="T126" i="92"/>
  <c r="X152" i="74"/>
  <c r="T87" i="94"/>
  <c r="X92" i="91"/>
  <c r="Q29" i="82"/>
  <c r="P123" i="92"/>
  <c r="Y19" i="92"/>
  <c r="X153" i="81"/>
  <c r="X118" i="85"/>
  <c r="Y158" i="74"/>
  <c r="L176" i="83"/>
  <c r="T90" i="92"/>
  <c r="O91" i="84"/>
  <c r="Y83" i="89"/>
  <c r="Q43" i="83"/>
  <c r="Z138" i="74"/>
  <c r="Y125" i="83"/>
  <c r="Q77" i="83"/>
  <c r="AA51" i="82"/>
  <c r="AA71" i="85"/>
  <c r="AB89" i="83"/>
  <c r="Z112" i="82"/>
  <c r="Z111" i="88"/>
  <c r="Y109" i="83"/>
  <c r="Y33" i="83"/>
  <c r="O173" i="88"/>
  <c r="Y116" i="85"/>
  <c r="L177" i="81"/>
  <c r="AA140" i="84"/>
  <c r="AB140" i="82"/>
  <c r="Z23" i="91"/>
  <c r="L145" i="82"/>
  <c r="AB154" i="84"/>
  <c r="Z103" i="85"/>
  <c r="P131" i="85"/>
  <c r="M21" i="84"/>
  <c r="T153" i="82"/>
  <c r="AA158" i="83"/>
  <c r="N51" i="85"/>
  <c r="AB91" i="85"/>
  <c r="Q76" i="87"/>
  <c r="Y100" i="85"/>
  <c r="M61" i="82"/>
  <c r="Z160" i="81"/>
  <c r="X127" i="87"/>
  <c r="T63" i="85"/>
  <c r="Y35" i="89"/>
  <c r="L133" i="82"/>
  <c r="AA136" i="83"/>
  <c r="M27" i="89"/>
  <c r="L138" i="74"/>
  <c r="P47" i="89"/>
  <c r="L64" i="74"/>
  <c r="Z73" i="82"/>
  <c r="P47" i="85"/>
  <c r="X150" i="74"/>
  <c r="L101" i="88"/>
  <c r="Z37" i="81"/>
  <c r="AA9" i="88"/>
  <c r="X85" i="83"/>
  <c r="Y39" i="84"/>
  <c r="O168" i="89"/>
  <c r="O25" i="81"/>
  <c r="L100" i="89"/>
  <c r="AB55" i="82"/>
  <c r="O77" i="83"/>
  <c r="AB73" i="82"/>
  <c r="AA109" i="84"/>
  <c r="X69" i="81"/>
  <c r="O134" i="74"/>
  <c r="O80" i="85"/>
  <c r="Q41" i="74"/>
  <c r="P94" i="83"/>
  <c r="AB160" i="84"/>
  <c r="AA160" i="87"/>
  <c r="Y153" i="82"/>
  <c r="AB69" i="87"/>
  <c r="L166" i="84"/>
  <c r="Z76" i="74"/>
  <c r="Q87" i="84"/>
  <c r="O116" i="91"/>
  <c r="AA90" i="82"/>
  <c r="Y43" i="84"/>
  <c r="AA167" i="84"/>
  <c r="X74" i="84"/>
  <c r="L140" i="92"/>
  <c r="AB13" i="84"/>
  <c r="AA35" i="87"/>
  <c r="Z110" i="89"/>
  <c r="X97" i="74"/>
  <c r="L155" i="82"/>
  <c r="Z109" i="82"/>
  <c r="P176" i="82"/>
  <c r="O158" i="89"/>
  <c r="Q150" i="87"/>
  <c r="P171" i="82"/>
  <c r="Z35" i="89"/>
  <c r="AB167" i="85"/>
  <c r="Q64" i="84"/>
  <c r="O79" i="89"/>
  <c r="Y72" i="82"/>
  <c r="Y170" i="74"/>
  <c r="T93" i="94"/>
  <c r="Y64" i="91"/>
  <c r="P162" i="85"/>
  <c r="Z137" i="83"/>
  <c r="Q128" i="83"/>
  <c r="X41" i="74"/>
  <c r="P77" i="81"/>
  <c r="AA125" i="82"/>
  <c r="Y98" i="82"/>
  <c r="X141" i="88"/>
  <c r="T150" i="94"/>
  <c r="AA83" i="83"/>
  <c r="Z173" i="74"/>
  <c r="P59" i="74"/>
  <c r="Z37" i="74"/>
  <c r="O137" i="74"/>
  <c r="X11" i="82"/>
  <c r="Z149" i="94"/>
  <c r="Y153" i="83"/>
  <c r="AB171" i="87"/>
  <c r="Q98" i="83"/>
  <c r="AA59" i="92"/>
  <c r="AB122" i="92"/>
  <c r="T114" i="94"/>
  <c r="P72" i="74"/>
  <c r="AB41" i="83"/>
  <c r="P144" i="83"/>
  <c r="Y159" i="83"/>
  <c r="O148" i="87"/>
  <c r="AA81" i="83"/>
  <c r="O39" i="74"/>
  <c r="L151" i="87"/>
  <c r="Z132" i="87"/>
  <c r="Q86" i="89"/>
  <c r="Q164" i="74"/>
  <c r="O124" i="85"/>
  <c r="Z176" i="94"/>
  <c r="L134" i="85"/>
  <c r="O166" i="85"/>
  <c r="Y94" i="89"/>
  <c r="Y136" i="74"/>
  <c r="P47" i="81"/>
  <c r="AB111" i="82"/>
  <c r="O115" i="87"/>
  <c r="AB145" i="85"/>
  <c r="Q81" i="91"/>
  <c r="N153" i="81"/>
  <c r="X9" i="84"/>
  <c r="X65" i="89"/>
  <c r="X145" i="85"/>
  <c r="X89" i="93"/>
  <c r="Y100" i="84"/>
  <c r="L139" i="92"/>
  <c r="AA91" i="87"/>
  <c r="N153" i="84"/>
  <c r="Y113" i="89"/>
  <c r="O80" i="94"/>
  <c r="AB78" i="83"/>
  <c r="X138" i="85"/>
  <c r="O183" i="85"/>
  <c r="P164" i="87"/>
  <c r="Y150" i="85"/>
  <c r="AA135" i="81"/>
  <c r="Q9" i="82"/>
  <c r="AA72" i="74"/>
  <c r="AB89" i="89"/>
  <c r="P180" i="82"/>
  <c r="Y143" i="83"/>
  <c r="Y171" i="89"/>
  <c r="X35" i="82"/>
  <c r="L124" i="82"/>
  <c r="Q43" i="87"/>
  <c r="O172" i="81"/>
  <c r="Q172" i="82"/>
  <c r="Y164" i="82"/>
  <c r="Z51" i="82"/>
  <c r="Y53" i="89"/>
  <c r="Z111" i="82"/>
  <c r="Y63" i="81"/>
  <c r="Y122" i="74"/>
  <c r="X35" i="93"/>
  <c r="M9" i="85"/>
  <c r="P69" i="87"/>
  <c r="P71" i="74"/>
  <c r="AB15" i="81"/>
  <c r="P134" i="85"/>
  <c r="Z145" i="83"/>
  <c r="Y63" i="85"/>
  <c r="Y100" i="89"/>
  <c r="O99" i="88"/>
  <c r="N75" i="87"/>
  <c r="AA158" i="81"/>
  <c r="Q167" i="94"/>
  <c r="AA79" i="84"/>
  <c r="Q51" i="82"/>
  <c r="P153" i="84"/>
  <c r="L119" i="83"/>
  <c r="Q173" i="81"/>
  <c r="Y13" i="89"/>
  <c r="Y155" i="83"/>
  <c r="O98" i="85"/>
  <c r="AA64" i="91"/>
  <c r="AA76" i="84"/>
  <c r="X75" i="87"/>
  <c r="Z11" i="82"/>
  <c r="X98" i="88"/>
  <c r="X108" i="84"/>
  <c r="AA19" i="89"/>
  <c r="P69" i="91"/>
  <c r="AB162" i="82"/>
  <c r="L98" i="91"/>
  <c r="L80" i="82"/>
  <c r="X141" i="87"/>
  <c r="Q166" i="92"/>
  <c r="X148" i="82"/>
  <c r="P73" i="88"/>
  <c r="Q141" i="82"/>
  <c r="M23" i="85"/>
  <c r="Z152" i="83"/>
  <c r="AB171" i="84"/>
  <c r="AA47" i="92"/>
  <c r="O63" i="82"/>
  <c r="AB164" i="87"/>
  <c r="P93" i="74"/>
  <c r="AA78" i="81"/>
  <c r="N27" i="84"/>
  <c r="O147" i="81"/>
  <c r="O19" i="85"/>
  <c r="AB154" i="92"/>
  <c r="P139" i="87"/>
  <c r="AB109" i="83"/>
  <c r="O124" i="84"/>
  <c r="Y70" i="91"/>
  <c r="AB77" i="83"/>
  <c r="Q140" i="83"/>
  <c r="Y163" i="81"/>
  <c r="AB144" i="88"/>
  <c r="L86" i="91"/>
  <c r="P74" i="92"/>
  <c r="Z171" i="82"/>
  <c r="AA68" i="94"/>
  <c r="X43" i="83"/>
  <c r="T9" i="83"/>
  <c r="AA92" i="74"/>
  <c r="Y25" i="87"/>
  <c r="O164" i="74"/>
  <c r="P86" i="89"/>
  <c r="Y108" i="85"/>
  <c r="P128" i="84"/>
  <c r="O119" i="88"/>
  <c r="O171" i="81"/>
  <c r="AB95" i="91"/>
  <c r="AA27" i="91"/>
  <c r="AB128" i="92"/>
  <c r="O49" i="87"/>
  <c r="O37" i="74"/>
  <c r="P71" i="87"/>
  <c r="Z66" i="81"/>
  <c r="N126" i="91"/>
  <c r="P45" i="87"/>
  <c r="Z25" i="87"/>
  <c r="T96" i="91"/>
  <c r="N117" i="81"/>
  <c r="Y175" i="85"/>
  <c r="Y23" i="84"/>
  <c r="T27" i="94"/>
  <c r="O110" i="83"/>
  <c r="T129" i="91"/>
  <c r="N45" i="89"/>
  <c r="Y132" i="85"/>
  <c r="Z177" i="91"/>
  <c r="P53" i="81"/>
  <c r="X86" i="88"/>
  <c r="O118" i="87"/>
  <c r="Q55" i="83"/>
  <c r="Q88" i="93"/>
  <c r="Y51" i="85"/>
  <c r="Z51" i="91"/>
  <c r="AB68" i="81"/>
  <c r="Z167" i="74"/>
  <c r="Q83" i="89"/>
  <c r="T162" i="92"/>
  <c r="Y122" i="91"/>
  <c r="AB128" i="89"/>
  <c r="Y114" i="92"/>
  <c r="T78" i="88"/>
  <c r="N147" i="83"/>
  <c r="AA66" i="88"/>
  <c r="Y55" i="88"/>
  <c r="L163" i="94"/>
  <c r="AB25" i="94"/>
  <c r="X99" i="82"/>
  <c r="O157" i="81"/>
  <c r="Z78" i="81"/>
  <c r="AB109" i="89"/>
  <c r="AA153" i="85"/>
  <c r="Z125" i="88"/>
  <c r="AB37" i="87"/>
  <c r="Z151" i="81"/>
  <c r="Q39" i="81"/>
  <c r="AA144" i="89"/>
  <c r="L95" i="87"/>
  <c r="Z176" i="88"/>
  <c r="O104" i="87"/>
  <c r="AB80" i="89"/>
  <c r="M49" i="83"/>
  <c r="AA106" i="91"/>
  <c r="AA31" i="82"/>
  <c r="T72" i="83"/>
  <c r="Y159" i="74"/>
  <c r="T111" i="94"/>
  <c r="AA148" i="74"/>
  <c r="P57" i="83"/>
  <c r="Q178" i="74"/>
  <c r="AA9" i="82"/>
  <c r="Z174" i="82"/>
  <c r="P69" i="84"/>
  <c r="P23" i="81"/>
  <c r="M11" i="87"/>
  <c r="L172" i="82"/>
  <c r="L123" i="74"/>
  <c r="L183" i="85"/>
  <c r="O125" i="88"/>
  <c r="Y156" i="84"/>
  <c r="N90" i="87"/>
  <c r="AB27" i="83"/>
  <c r="L101" i="89"/>
  <c r="Q129" i="83"/>
  <c r="O176" i="81"/>
  <c r="Z23" i="94"/>
  <c r="X174" i="94"/>
  <c r="Q111" i="84"/>
  <c r="Y82" i="91"/>
  <c r="Y159" i="87"/>
  <c r="X25" i="89"/>
  <c r="Y161" i="88"/>
  <c r="Y123" i="87"/>
  <c r="X128" i="81"/>
  <c r="AA17" i="92"/>
  <c r="P69" i="85"/>
  <c r="Y117" i="93"/>
  <c r="L134" i="89"/>
  <c r="P164" i="85"/>
  <c r="Y177" i="94"/>
  <c r="Y80" i="82"/>
  <c r="X65" i="84"/>
  <c r="L182" i="87"/>
  <c r="P161" i="74"/>
  <c r="X132" i="74"/>
  <c r="X124" i="85"/>
  <c r="AB162" i="84"/>
  <c r="L63" i="85"/>
  <c r="AA158" i="89"/>
  <c r="M49" i="85"/>
  <c r="P156" i="81"/>
  <c r="O107" i="82"/>
  <c r="N123" i="87"/>
  <c r="N144" i="94"/>
  <c r="N15" i="93"/>
  <c r="T33" i="88"/>
  <c r="AB84" i="85"/>
  <c r="O179" i="74"/>
  <c r="AA180" i="87"/>
  <c r="P171" i="81"/>
  <c r="L146" i="83"/>
  <c r="AB86" i="89"/>
  <c r="P149" i="82"/>
  <c r="AA23" i="83"/>
  <c r="L70" i="89"/>
  <c r="X163" i="84"/>
  <c r="P45" i="81"/>
  <c r="O149" i="85"/>
  <c r="L70" i="83"/>
  <c r="Z75" i="74"/>
  <c r="Y101" i="94"/>
  <c r="Y73" i="74"/>
  <c r="O99" i="81"/>
  <c r="AA110" i="83"/>
  <c r="Q113" i="82"/>
  <c r="X153" i="85"/>
  <c r="M9" i="84"/>
  <c r="L67" i="84"/>
  <c r="Q101" i="91"/>
  <c r="AB45" i="81"/>
  <c r="X152" i="91"/>
  <c r="O85" i="85"/>
  <c r="Z17" i="91"/>
  <c r="Y126" i="82"/>
  <c r="AA130" i="93"/>
  <c r="Y70" i="88"/>
  <c r="Y39" i="93"/>
  <c r="P91" i="83"/>
  <c r="AA175" i="81"/>
  <c r="AB13" i="89"/>
  <c r="O111" i="94"/>
  <c r="O173" i="83"/>
  <c r="Y84" i="74"/>
  <c r="L167" i="91"/>
  <c r="O180" i="87"/>
  <c r="L181" i="74"/>
  <c r="Y121" i="74"/>
  <c r="L122" i="91"/>
  <c r="L78" i="88"/>
  <c r="Y68" i="87"/>
  <c r="L142" i="74"/>
  <c r="P73" i="82"/>
  <c r="Y141" i="91"/>
  <c r="Z45" i="83"/>
  <c r="T165" i="88"/>
  <c r="Y158" i="84"/>
  <c r="T150" i="93"/>
  <c r="P33" i="89"/>
  <c r="Z47" i="84"/>
  <c r="Q11" i="74"/>
  <c r="Z19" i="82"/>
  <c r="AB71" i="84"/>
  <c r="Z74" i="84"/>
  <c r="Q80" i="89"/>
  <c r="L149" i="94"/>
  <c r="Q168" i="74"/>
  <c r="Y164" i="74"/>
  <c r="N165" i="84"/>
  <c r="AA137" i="84"/>
  <c r="Q158" i="82"/>
  <c r="X128" i="85"/>
  <c r="Y142" i="94"/>
  <c r="X150" i="85"/>
  <c r="Y172" i="83"/>
  <c r="Y86" i="85"/>
  <c r="Z65" i="93"/>
  <c r="M59" i="94"/>
  <c r="Q15" i="87"/>
  <c r="AA111" i="87"/>
  <c r="Y19" i="85"/>
  <c r="Q80" i="82"/>
  <c r="AA81" i="81"/>
  <c r="L159" i="81"/>
  <c r="Y125" i="84"/>
  <c r="Z21" i="84"/>
  <c r="L164" i="89"/>
  <c r="L69" i="91"/>
  <c r="Y39" i="74"/>
  <c r="X131" i="85"/>
  <c r="Y123" i="84"/>
  <c r="O153" i="82"/>
  <c r="X156" i="82"/>
  <c r="Z171" i="83"/>
  <c r="L135" i="94"/>
  <c r="AB47" i="83"/>
  <c r="Z94" i="83"/>
  <c r="O71" i="82"/>
  <c r="Z51" i="85"/>
  <c r="T117" i="84"/>
  <c r="Y17" i="94"/>
  <c r="X83" i="87"/>
  <c r="Y90" i="74"/>
  <c r="P180" i="74"/>
  <c r="Q57" i="89"/>
  <c r="X112" i="83"/>
  <c r="Y129" i="83"/>
  <c r="Z174" i="87"/>
  <c r="Q11" i="87"/>
  <c r="O105" i="74"/>
  <c r="Y142" i="74"/>
  <c r="Z165" i="93"/>
  <c r="N27" i="92"/>
  <c r="Z107" i="84"/>
  <c r="AA76" i="83"/>
  <c r="Z118" i="92"/>
  <c r="AB25" i="88"/>
  <c r="T69" i="83"/>
  <c r="O157" i="91"/>
  <c r="Q75" i="85"/>
  <c r="AB106" i="85"/>
  <c r="L66" i="84"/>
  <c r="X51" i="89"/>
  <c r="X90" i="89"/>
  <c r="X47" i="74"/>
  <c r="AB70" i="83"/>
  <c r="L182" i="81"/>
  <c r="O143" i="82"/>
  <c r="P87" i="93"/>
  <c r="P158" i="82"/>
  <c r="L76" i="82"/>
  <c r="Y68" i="83"/>
  <c r="Z126" i="74"/>
  <c r="X29" i="74"/>
  <c r="P151" i="92"/>
  <c r="N69" i="84"/>
  <c r="L92" i="87"/>
  <c r="T117" i="93"/>
  <c r="M17" i="84"/>
  <c r="O78" i="89"/>
  <c r="L153" i="81"/>
  <c r="AB111" i="88"/>
  <c r="L72" i="81"/>
  <c r="P83" i="87"/>
  <c r="Z17" i="92"/>
  <c r="L90" i="89"/>
  <c r="AA87" i="89"/>
  <c r="X130" i="83"/>
  <c r="Z131" i="91"/>
  <c r="L80" i="83"/>
  <c r="X59" i="85"/>
  <c r="Q164" i="83"/>
  <c r="Q88" i="85"/>
  <c r="AA35" i="94"/>
  <c r="O101" i="81"/>
  <c r="L135" i="74"/>
  <c r="O131" i="81"/>
  <c r="AA167" i="89"/>
  <c r="O169" i="91"/>
  <c r="AB19" i="84"/>
  <c r="O130" i="84"/>
  <c r="X53" i="91"/>
  <c r="O97" i="82"/>
  <c r="P114" i="81"/>
  <c r="X180" i="87"/>
  <c r="AA161" i="83"/>
  <c r="Y100" i="88"/>
  <c r="Q66" i="85"/>
  <c r="Z142" i="94"/>
  <c r="Z17" i="83"/>
  <c r="L69" i="94"/>
  <c r="P67" i="84"/>
  <c r="L117" i="85"/>
  <c r="O35" i="91"/>
  <c r="AB125" i="81"/>
  <c r="Y107" i="87"/>
  <c r="Q81" i="88"/>
  <c r="Z132" i="83"/>
  <c r="Y95" i="88"/>
  <c r="P85" i="82"/>
  <c r="Z11" i="85"/>
  <c r="P132" i="82"/>
  <c r="AB146" i="81"/>
  <c r="AB97" i="85"/>
  <c r="P76" i="87"/>
  <c r="Y91" i="84"/>
  <c r="Q103" i="94"/>
  <c r="X122" i="84"/>
  <c r="T105" i="93"/>
  <c r="Q170" i="83"/>
  <c r="AB64" i="93"/>
  <c r="Y113" i="81"/>
  <c r="O135" i="74"/>
  <c r="AB164" i="81"/>
  <c r="O179" i="83"/>
  <c r="Z151" i="83"/>
  <c r="Y79" i="83"/>
  <c r="AA125" i="74"/>
  <c r="X119" i="84"/>
  <c r="P114" i="74"/>
  <c r="AB159" i="84"/>
  <c r="Z15" i="87"/>
  <c r="Z173" i="88"/>
  <c r="T96" i="74"/>
  <c r="AB118" i="85"/>
  <c r="AA130" i="74"/>
  <c r="Q171" i="81"/>
  <c r="AB155" i="84"/>
  <c r="Q15" i="82"/>
  <c r="Y112" i="82"/>
  <c r="AB81" i="89"/>
  <c r="AA21" i="81"/>
  <c r="Z33" i="85"/>
  <c r="Y17" i="83"/>
  <c r="AB161" i="82"/>
  <c r="Q35" i="89"/>
  <c r="O173" i="74"/>
  <c r="X166" i="74"/>
  <c r="Z161" i="81"/>
  <c r="P116" i="81"/>
  <c r="Q148" i="74"/>
  <c r="Q138" i="84"/>
  <c r="P104" i="91"/>
  <c r="P31" i="81"/>
  <c r="AB76" i="87"/>
  <c r="Z39" i="85"/>
  <c r="P106" i="82"/>
  <c r="AB168" i="88"/>
  <c r="AB80" i="94"/>
  <c r="Z98" i="83"/>
  <c r="P103" i="81"/>
  <c r="M61" i="83"/>
  <c r="L71" i="85"/>
  <c r="T135" i="91"/>
  <c r="Y174" i="74"/>
  <c r="AA37" i="74"/>
  <c r="AA146" i="74"/>
  <c r="Y156" i="85"/>
  <c r="Y29" i="82"/>
  <c r="AA112" i="85"/>
  <c r="L144" i="82"/>
  <c r="O41" i="81"/>
  <c r="Q161" i="81"/>
  <c r="T72" i="89"/>
  <c r="Q89" i="85"/>
  <c r="AB145" i="84"/>
  <c r="Q134" i="84"/>
  <c r="O175" i="83"/>
  <c r="Q57" i="74"/>
  <c r="P65" i="74"/>
  <c r="O127" i="84"/>
  <c r="Q67" i="93"/>
  <c r="Y145" i="94"/>
  <c r="M9" i="74"/>
  <c r="L88" i="82"/>
  <c r="Z93" i="74"/>
  <c r="Y109" i="87"/>
  <c r="Z100" i="94"/>
  <c r="AA45" i="81"/>
  <c r="L94" i="81"/>
  <c r="O138" i="81"/>
  <c r="AA163" i="89"/>
  <c r="O159" i="83"/>
  <c r="P119" i="81"/>
  <c r="T153" i="94"/>
  <c r="Z111" i="84"/>
  <c r="T108" i="81"/>
  <c r="T75" i="94"/>
  <c r="M43" i="83"/>
  <c r="Z166" i="85"/>
  <c r="X31" i="94"/>
  <c r="Y150" i="89"/>
  <c r="AA169" i="85"/>
  <c r="Q11" i="88"/>
  <c r="X146" i="84"/>
  <c r="Q63" i="88"/>
  <c r="P25" i="83"/>
  <c r="P95" i="85"/>
  <c r="T96" i="85"/>
  <c r="X61" i="83"/>
  <c r="AB23" i="82"/>
  <c r="Y106" i="84"/>
  <c r="L104" i="81"/>
  <c r="P110" i="83"/>
  <c r="L160" i="87"/>
  <c r="P132" i="87"/>
  <c r="P59" i="82"/>
  <c r="AB133" i="93"/>
  <c r="AA105" i="88"/>
  <c r="AA154" i="81"/>
  <c r="L157" i="91"/>
  <c r="Y83" i="83"/>
  <c r="N45" i="85"/>
  <c r="O73" i="74"/>
  <c r="AA92" i="92"/>
  <c r="P35" i="74"/>
  <c r="Z107" i="74"/>
  <c r="N165" i="81"/>
  <c r="P143" i="89"/>
  <c r="AB131" i="83"/>
  <c r="P155" i="85"/>
  <c r="Y101" i="87"/>
  <c r="AA65" i="81"/>
  <c r="Y76" i="84"/>
  <c r="Y156" i="82"/>
  <c r="Y59" i="82"/>
  <c r="T147" i="92"/>
  <c r="M43" i="84"/>
  <c r="Z132" i="94"/>
  <c r="AA57" i="82"/>
  <c r="Y39" i="94"/>
  <c r="AA163" i="84"/>
  <c r="AB167" i="94"/>
  <c r="X51" i="81"/>
  <c r="T78" i="85"/>
  <c r="X64" i="84"/>
  <c r="AB113" i="88"/>
  <c r="Q114" i="85"/>
  <c r="X117" i="89"/>
  <c r="Y112" i="84"/>
  <c r="Q11" i="85"/>
  <c r="AB159" i="87"/>
  <c r="AB104" i="83"/>
  <c r="AA88" i="84"/>
  <c r="Z136" i="94"/>
  <c r="O165" i="92"/>
  <c r="Y126" i="85"/>
  <c r="T57" i="93"/>
  <c r="N129" i="83"/>
  <c r="X101" i="82"/>
  <c r="AB153" i="91"/>
  <c r="Y80" i="83"/>
  <c r="P21" i="81"/>
  <c r="Q142" i="74"/>
  <c r="L67" i="88"/>
  <c r="Z142" i="82"/>
  <c r="Y74" i="91"/>
  <c r="P74" i="82"/>
  <c r="Y73" i="87"/>
  <c r="X105" i="93"/>
  <c r="L161" i="88"/>
  <c r="Y92" i="82"/>
  <c r="O178" i="83"/>
  <c r="AA59" i="74"/>
  <c r="O174" i="89"/>
  <c r="Q165" i="81"/>
  <c r="AB173" i="82"/>
  <c r="Y158" i="94"/>
  <c r="AA76" i="89"/>
  <c r="Q98" i="91"/>
  <c r="P90" i="81"/>
  <c r="O163" i="88"/>
  <c r="L144" i="87"/>
  <c r="AA154" i="74"/>
  <c r="AA161" i="74"/>
  <c r="X63" i="87"/>
  <c r="Y82" i="82"/>
  <c r="Q132" i="88"/>
  <c r="P79" i="89"/>
  <c r="Q69" i="82"/>
  <c r="P130" i="81"/>
  <c r="N114" i="74"/>
  <c r="L86" i="74"/>
  <c r="L100" i="88"/>
  <c r="Y87" i="74"/>
  <c r="AB93" i="85"/>
  <c r="Y109" i="81"/>
  <c r="O94" i="81"/>
  <c r="Y117" i="83"/>
  <c r="AB37" i="83"/>
  <c r="AA49" i="84"/>
  <c r="L115" i="89"/>
  <c r="Z154" i="82"/>
  <c r="L158" i="91"/>
  <c r="AB47" i="91"/>
  <c r="AA119" i="88"/>
  <c r="L138" i="82"/>
  <c r="X154" i="81"/>
  <c r="AA88" i="81"/>
  <c r="L123" i="85"/>
  <c r="O120" i="81"/>
  <c r="Y145" i="82"/>
  <c r="N135" i="82"/>
  <c r="T153" i="74"/>
  <c r="AB98" i="85"/>
  <c r="M13" i="74"/>
  <c r="Q37" i="89"/>
  <c r="Y154" i="83"/>
  <c r="P94" i="84"/>
  <c r="AB128" i="87"/>
  <c r="T162" i="91"/>
  <c r="Q125" i="74"/>
  <c r="AA92" i="91"/>
  <c r="AB165" i="92"/>
  <c r="Q166" i="83"/>
  <c r="AB175" i="84"/>
  <c r="O27" i="82"/>
  <c r="AB49" i="81"/>
  <c r="O97" i="92"/>
  <c r="Z90" i="93"/>
  <c r="O61" i="74"/>
  <c r="AA96" i="81"/>
  <c r="Y174" i="82"/>
  <c r="AA143" i="82"/>
  <c r="L74" i="89"/>
  <c r="P97" i="89"/>
  <c r="AA116" i="74"/>
  <c r="X180" i="89"/>
  <c r="AA175" i="87"/>
  <c r="Z55" i="92"/>
  <c r="L134" i="83"/>
  <c r="L136" i="87"/>
  <c r="X17" i="82"/>
  <c r="Y21" i="88"/>
  <c r="L85" i="81"/>
  <c r="O172" i="89"/>
  <c r="AA152" i="74"/>
  <c r="O49" i="83"/>
  <c r="O171" i="91"/>
  <c r="P113" i="85"/>
  <c r="Q110" i="89"/>
  <c r="Q164" i="82"/>
  <c r="Q13" i="92"/>
  <c r="Q145" i="83"/>
  <c r="L67" i="81"/>
  <c r="N21" i="92"/>
  <c r="L81" i="81"/>
  <c r="AA63" i="74"/>
  <c r="X107" i="81"/>
  <c r="X57" i="85"/>
  <c r="T72" i="84"/>
  <c r="Y90" i="81"/>
  <c r="L133" i="91"/>
  <c r="O162" i="81"/>
  <c r="L150" i="89"/>
  <c r="L156" i="87"/>
  <c r="Q100" i="85"/>
  <c r="AB175" i="83"/>
  <c r="O141" i="85"/>
  <c r="AB104" i="93"/>
  <c r="Q87" i="85"/>
  <c r="N162" i="83"/>
  <c r="O157" i="93"/>
  <c r="AA148" i="81"/>
  <c r="N78" i="84"/>
  <c r="T63" i="92"/>
  <c r="X134" i="94"/>
  <c r="Z35" i="74"/>
  <c r="Y67" i="83"/>
  <c r="L75" i="89"/>
  <c r="Y47" i="81"/>
  <c r="Z151" i="84"/>
  <c r="AA134" i="74"/>
  <c r="Z170" i="88"/>
  <c r="AB129" i="93"/>
  <c r="AB158" i="85"/>
  <c r="Z171" i="74"/>
  <c r="Z78" i="89"/>
  <c r="Q75" i="74"/>
  <c r="X168" i="87"/>
  <c r="AA79" i="89"/>
  <c r="T15" i="92"/>
  <c r="X124" i="74"/>
  <c r="P104" i="94"/>
  <c r="Z47" i="74"/>
  <c r="T114" i="81"/>
  <c r="Z130" i="74"/>
  <c r="Y176" i="84"/>
  <c r="O111" i="82"/>
  <c r="Y77" i="85"/>
  <c r="N99" i="88"/>
  <c r="Z108" i="85"/>
  <c r="Q142" i="85"/>
  <c r="X41" i="82"/>
  <c r="N51" i="91"/>
  <c r="T138" i="88"/>
  <c r="L102" i="81"/>
  <c r="X82" i="81"/>
  <c r="AA94" i="82"/>
  <c r="L72" i="85"/>
  <c r="AB160" i="83"/>
  <c r="X73" i="85"/>
  <c r="T159" i="94"/>
  <c r="AB132" i="81"/>
  <c r="Q69" i="94"/>
  <c r="N165" i="74"/>
  <c r="L151" i="81"/>
  <c r="M23" i="74"/>
  <c r="Z143" i="81"/>
  <c r="O118" i="82"/>
  <c r="AB47" i="94"/>
  <c r="Q147" i="93"/>
  <c r="Q83" i="88"/>
  <c r="O79" i="83"/>
  <c r="T138" i="82"/>
  <c r="AA99" i="88"/>
  <c r="P158" i="74"/>
  <c r="AA27" i="84"/>
  <c r="O171" i="74"/>
  <c r="T51" i="93"/>
  <c r="L148" i="85"/>
  <c r="Z85" i="92"/>
  <c r="O35" i="85"/>
  <c r="O87" i="91"/>
  <c r="P121" i="74"/>
  <c r="P134" i="74"/>
  <c r="X135" i="85"/>
  <c r="L183" i="94"/>
  <c r="Z118" i="84"/>
  <c r="AB37" i="82"/>
  <c r="T159" i="82"/>
  <c r="Z15" i="93"/>
  <c r="Q150" i="81"/>
  <c r="N69" i="83"/>
  <c r="X123" i="87"/>
  <c r="Q129" i="85"/>
  <c r="Y147" i="81"/>
  <c r="AA160" i="81"/>
  <c r="P97" i="85"/>
  <c r="Q102" i="82"/>
  <c r="AA105" i="93"/>
  <c r="N99" i="91"/>
  <c r="Q27" i="81"/>
  <c r="Z45" i="84"/>
  <c r="AA41" i="87"/>
  <c r="X142" i="81"/>
  <c r="AA167" i="74"/>
  <c r="L179" i="85"/>
  <c r="Z55" i="82"/>
  <c r="AA82" i="88"/>
  <c r="T9" i="82"/>
  <c r="Y123" i="74"/>
  <c r="Z100" i="81"/>
  <c r="Z149" i="74"/>
  <c r="O64" i="82"/>
  <c r="Z65" i="89"/>
  <c r="AB82" i="84"/>
  <c r="N120" i="82"/>
  <c r="AB63" i="91"/>
  <c r="P134" i="81"/>
  <c r="X146" i="91"/>
  <c r="L85" i="85"/>
  <c r="AA177" i="91"/>
  <c r="X68" i="89"/>
  <c r="L178" i="87"/>
  <c r="Z133" i="82"/>
  <c r="P147" i="84"/>
  <c r="N81" i="87"/>
  <c r="N15" i="85"/>
  <c r="L82" i="81"/>
  <c r="X100" i="83"/>
  <c r="L107" i="81"/>
  <c r="Z19" i="74"/>
  <c r="M45" i="82"/>
  <c r="X94" i="92"/>
  <c r="AA129" i="74"/>
  <c r="O98" i="87"/>
  <c r="N114" i="87"/>
  <c r="Z137" i="82"/>
  <c r="AB165" i="84"/>
  <c r="AB168" i="89"/>
  <c r="X169" i="74"/>
  <c r="P150" i="82"/>
  <c r="AB53" i="85"/>
  <c r="X177" i="74"/>
  <c r="Z158" i="87"/>
  <c r="Y65" i="88"/>
  <c r="P133" i="74"/>
  <c r="O77" i="85"/>
  <c r="Z124" i="84"/>
  <c r="X84" i="91"/>
  <c r="N99" i="85"/>
  <c r="Y15" i="83"/>
  <c r="Y118" i="93"/>
  <c r="O141" i="83"/>
  <c r="Q113" i="83"/>
  <c r="AA61" i="85"/>
  <c r="M17" i="83"/>
  <c r="Y164" i="83"/>
  <c r="L91" i="81"/>
  <c r="Z136" i="89"/>
  <c r="L182" i="91"/>
  <c r="P84" i="91"/>
  <c r="O57" i="92"/>
  <c r="N75" i="89"/>
  <c r="Z140" i="88"/>
  <c r="AA114" i="82"/>
  <c r="O109" i="94"/>
  <c r="AB111" i="87"/>
  <c r="N174" i="87"/>
  <c r="AA68" i="92"/>
  <c r="X85" i="87"/>
  <c r="Y98" i="81"/>
  <c r="P131" i="93"/>
  <c r="Y66" i="85"/>
  <c r="X78" i="83"/>
  <c r="AB144" i="91"/>
  <c r="Z123" i="85"/>
  <c r="Z134" i="84"/>
  <c r="T138" i="74"/>
  <c r="Y160" i="85"/>
  <c r="L138" i="85"/>
  <c r="AB144" i="84"/>
  <c r="Z130" i="83"/>
  <c r="Y130" i="74"/>
  <c r="AA11" i="83"/>
  <c r="L172" i="92"/>
  <c r="L175" i="74"/>
  <c r="AA51" i="81"/>
  <c r="X65" i="82"/>
  <c r="L144" i="94"/>
  <c r="O23" i="93"/>
  <c r="X19" i="74"/>
  <c r="Z83" i="81"/>
  <c r="AB9" i="94"/>
  <c r="T147" i="91"/>
  <c r="AB15" i="85"/>
  <c r="T102" i="81"/>
  <c r="L133" i="83"/>
  <c r="Q172" i="84"/>
  <c r="Y115" i="82"/>
  <c r="X80" i="85"/>
  <c r="AB127" i="88"/>
  <c r="L173" i="82"/>
  <c r="L120" i="91"/>
  <c r="Y159" i="84"/>
  <c r="P160" i="84"/>
  <c r="T177" i="74"/>
  <c r="Z157" i="85"/>
  <c r="Z23" i="87"/>
  <c r="AB21" i="85"/>
  <c r="L77" i="81"/>
  <c r="O75" i="81"/>
  <c r="Z177" i="84"/>
  <c r="Q155" i="94"/>
  <c r="Q123" i="87"/>
  <c r="Q182" i="82"/>
  <c r="AB125" i="84"/>
  <c r="AA101" i="85"/>
  <c r="N15" i="89"/>
  <c r="P182" i="74"/>
  <c r="X161" i="82"/>
  <c r="L137" i="74"/>
  <c r="O104" i="89"/>
  <c r="Y82" i="81"/>
  <c r="Q108" i="81"/>
  <c r="X71" i="91"/>
  <c r="P168" i="92"/>
  <c r="AA43" i="91"/>
  <c r="Y61" i="89"/>
  <c r="AB105" i="91"/>
  <c r="P77" i="87"/>
  <c r="T111" i="74"/>
  <c r="Y117" i="85"/>
  <c r="Y92" i="91"/>
  <c r="Q85" i="81"/>
  <c r="X92" i="85"/>
  <c r="Y66" i="88"/>
  <c r="Q170" i="84"/>
  <c r="AA168" i="89"/>
  <c r="AB86" i="84"/>
  <c r="X118" i="88"/>
  <c r="L104" i="83"/>
  <c r="AA110" i="87"/>
  <c r="X106" i="89"/>
  <c r="AA121" i="82"/>
  <c r="L160" i="83"/>
  <c r="AA29" i="88"/>
  <c r="O33" i="83"/>
  <c r="O147" i="93"/>
  <c r="Z72" i="82"/>
  <c r="X108" i="92"/>
  <c r="O65" i="81"/>
  <c r="P125" i="87"/>
  <c r="Q167" i="82"/>
  <c r="T138" i="87"/>
  <c r="AA147" i="81"/>
  <c r="X171" i="83"/>
  <c r="N63" i="81"/>
  <c r="X99" i="81"/>
  <c r="Y145" i="83"/>
  <c r="AB153" i="88"/>
  <c r="P45" i="84"/>
  <c r="X118" i="82"/>
  <c r="Y124" i="82"/>
  <c r="AB76" i="89"/>
  <c r="Q95" i="83"/>
  <c r="T21" i="85"/>
  <c r="AB87" i="82"/>
  <c r="X13" i="87"/>
  <c r="Y141" i="81"/>
  <c r="P158" i="88"/>
  <c r="O65" i="84"/>
  <c r="Y101" i="84"/>
  <c r="AB119" i="81"/>
  <c r="Z133" i="84"/>
  <c r="Q33" i="88"/>
  <c r="Z162" i="87"/>
  <c r="P112" i="74"/>
  <c r="T87" i="84"/>
  <c r="T102" i="94"/>
  <c r="O121" i="91"/>
  <c r="L148" i="83"/>
  <c r="Y115" i="83"/>
  <c r="Z76" i="91"/>
  <c r="X71" i="74"/>
  <c r="X109" i="85"/>
  <c r="X127" i="81"/>
  <c r="AB110" i="82"/>
  <c r="Q144" i="85"/>
  <c r="O110" i="82"/>
  <c r="AA63" i="82"/>
  <c r="Y167" i="81"/>
  <c r="X170" i="84"/>
  <c r="Y148" i="83"/>
  <c r="M23" i="92"/>
  <c r="O33" i="88"/>
  <c r="O136" i="82"/>
  <c r="Q15" i="84"/>
  <c r="P149" i="91"/>
  <c r="Z158" i="89"/>
  <c r="O112" i="83"/>
  <c r="AA163" i="87"/>
  <c r="N57" i="81"/>
  <c r="Y152" i="85"/>
  <c r="AB126" i="81"/>
  <c r="L96" i="89"/>
  <c r="AB81" i="81"/>
  <c r="L157" i="89"/>
  <c r="Q133" i="74"/>
  <c r="Y66" i="84"/>
  <c r="O41" i="84"/>
  <c r="Q139" i="83"/>
  <c r="P101" i="87"/>
  <c r="AA94" i="74"/>
  <c r="Y134" i="89"/>
  <c r="AA140" i="81"/>
  <c r="Z137" i="84"/>
  <c r="AB27" i="82"/>
  <c r="Y147" i="88"/>
  <c r="AB153" i="85"/>
  <c r="X49" i="88"/>
  <c r="Z89" i="84"/>
  <c r="AA160" i="84"/>
  <c r="AA75" i="85"/>
  <c r="Y142" i="85"/>
  <c r="P81" i="89"/>
  <c r="Q147" i="82"/>
  <c r="X143" i="81"/>
  <c r="N69" i="85"/>
  <c r="AA93" i="84"/>
  <c r="Y139" i="74"/>
  <c r="L149" i="81"/>
  <c r="O27" i="87"/>
  <c r="T159" i="84"/>
  <c r="Y55" i="81"/>
  <c r="P53" i="83"/>
  <c r="Q35" i="84"/>
  <c r="O70" i="87"/>
  <c r="AB23" i="87"/>
  <c r="X59" i="88"/>
  <c r="O69" i="91"/>
  <c r="Q185" i="88"/>
  <c r="O23" i="83"/>
  <c r="Z55" i="88"/>
  <c r="AB131" i="82"/>
  <c r="O106" i="82"/>
  <c r="O69" i="89"/>
  <c r="N72" i="84"/>
  <c r="Y69" i="74"/>
  <c r="Q93" i="84"/>
  <c r="Y99" i="91"/>
  <c r="L103" i="85"/>
  <c r="P43" i="87"/>
  <c r="P27" i="88"/>
  <c r="AA53" i="82"/>
  <c r="Z71" i="74"/>
  <c r="AA43" i="83"/>
  <c r="P167" i="81"/>
  <c r="Q72" i="85"/>
  <c r="AA143" i="83"/>
  <c r="P19" i="88"/>
  <c r="Y73" i="82"/>
  <c r="Q66" i="83"/>
  <c r="L117" i="83"/>
  <c r="Y165" i="74"/>
  <c r="Q163" i="84"/>
  <c r="AA147" i="74"/>
  <c r="P160" i="83"/>
  <c r="P51" i="83"/>
  <c r="AA142" i="91"/>
  <c r="T153" i="84"/>
  <c r="AB146" i="82"/>
  <c r="X87" i="74"/>
  <c r="AB166" i="82"/>
  <c r="Q117" i="88"/>
  <c r="AA35" i="85"/>
  <c r="X103" i="81"/>
  <c r="X111" i="83"/>
  <c r="AA126" i="93"/>
  <c r="Q13" i="83"/>
  <c r="Z180" i="87"/>
  <c r="AA152" i="81"/>
  <c r="T111" i="81"/>
  <c r="Z64" i="82"/>
  <c r="AA57" i="81"/>
  <c r="AA127" i="84"/>
  <c r="AA117" i="74"/>
  <c r="X121" i="92"/>
  <c r="L119" i="88"/>
  <c r="Q80" i="83"/>
  <c r="O92" i="93"/>
  <c r="Z109" i="81"/>
  <c r="AB154" i="85"/>
  <c r="O11" i="89"/>
  <c r="L135" i="88"/>
  <c r="AA29" i="85"/>
  <c r="Y168" i="74"/>
  <c r="P185" i="94"/>
  <c r="O126" i="82"/>
  <c r="X66" i="82"/>
  <c r="O91" i="85"/>
  <c r="L169" i="81"/>
  <c r="O106" i="74"/>
  <c r="AA84" i="81"/>
  <c r="L123" i="81"/>
  <c r="P70" i="89"/>
  <c r="Y127" i="85"/>
  <c r="Z133" i="89"/>
  <c r="P74" i="74"/>
  <c r="AA155" i="93"/>
  <c r="AB142" i="85"/>
  <c r="O166" i="84"/>
  <c r="AB122" i="81"/>
  <c r="O146" i="84"/>
  <c r="O29" i="85"/>
  <c r="X136" i="74"/>
  <c r="Q57" i="88"/>
  <c r="Z92" i="74"/>
  <c r="Q86" i="82"/>
  <c r="O81" i="88"/>
  <c r="X126" i="87"/>
  <c r="O177" i="83"/>
  <c r="Z167" i="85"/>
  <c r="L74" i="81"/>
  <c r="AA100" i="88"/>
  <c r="L144" i="83"/>
  <c r="T126" i="84"/>
  <c r="P144" i="82"/>
  <c r="L153" i="85"/>
  <c r="O11" i="88"/>
  <c r="AA27" i="81"/>
  <c r="Z136" i="91"/>
  <c r="Q180" i="87"/>
  <c r="L83" i="82"/>
  <c r="P136" i="82"/>
  <c r="X130" i="84"/>
  <c r="P92" i="85"/>
  <c r="T51" i="85"/>
  <c r="Q149" i="83"/>
  <c r="Q77" i="94"/>
  <c r="Q66" i="89"/>
  <c r="N21" i="91"/>
  <c r="Y156" i="89"/>
  <c r="Q77" i="91"/>
  <c r="AB164" i="82"/>
  <c r="AA77" i="81"/>
  <c r="Z75" i="83"/>
  <c r="Z97" i="74"/>
  <c r="T144" i="87"/>
  <c r="Z68" i="81"/>
  <c r="O85" i="81"/>
  <c r="Q106" i="93"/>
  <c r="Y88" i="83"/>
  <c r="AA126" i="88"/>
  <c r="P31" i="82"/>
  <c r="O100" i="81"/>
  <c r="P143" i="81"/>
  <c r="X109" i="89"/>
  <c r="Q176" i="88"/>
  <c r="P169" i="83"/>
  <c r="AB43" i="84"/>
  <c r="T165" i="89"/>
  <c r="X125" i="92"/>
  <c r="N69" i="89"/>
  <c r="Z57" i="92"/>
  <c r="Q151" i="92"/>
  <c r="Z71" i="83"/>
  <c r="AA177" i="74"/>
  <c r="X78" i="84"/>
  <c r="Q126" i="82"/>
  <c r="AB147" i="88"/>
  <c r="O104" i="82"/>
  <c r="X21" i="82"/>
  <c r="X71" i="85"/>
  <c r="X165" i="82"/>
  <c r="Y49" i="81"/>
  <c r="AB133" i="84"/>
  <c r="AA180" i="82"/>
  <c r="Q123" i="74"/>
  <c r="P140" i="83"/>
  <c r="Q118" i="87"/>
  <c r="Y73" i="94"/>
  <c r="Q69" i="85"/>
  <c r="Z23" i="88"/>
  <c r="L176" i="81"/>
  <c r="AB116" i="85"/>
  <c r="M11" i="93"/>
  <c r="Z100" i="74"/>
  <c r="AB109" i="92"/>
  <c r="AB108" i="83"/>
  <c r="Z158" i="82"/>
  <c r="P17" i="81"/>
  <c r="AA61" i="83"/>
  <c r="X134" i="83"/>
  <c r="Z11" i="87"/>
  <c r="X134" i="81"/>
  <c r="Q19" i="84"/>
  <c r="M25" i="81"/>
  <c r="X144" i="81"/>
  <c r="M11" i="82"/>
  <c r="Z86" i="82"/>
  <c r="L177" i="74"/>
  <c r="Z109" i="74"/>
  <c r="AB75" i="94"/>
  <c r="AA127" i="93"/>
  <c r="P88" i="87"/>
  <c r="P152" i="82"/>
  <c r="AA167" i="81"/>
  <c r="Q150" i="89"/>
  <c r="Y102" i="88"/>
  <c r="AA135" i="74"/>
  <c r="T135" i="85"/>
  <c r="AA148" i="83"/>
  <c r="Y154" i="89"/>
  <c r="N108" i="81"/>
  <c r="Y19" i="83"/>
  <c r="Q167" i="84"/>
  <c r="N147" i="91"/>
  <c r="Q73" i="74"/>
  <c r="T111" i="84"/>
  <c r="L159" i="82"/>
  <c r="O166" i="91"/>
  <c r="AB21" i="84"/>
  <c r="Y111" i="81"/>
  <c r="AB88" i="81"/>
  <c r="X139" i="83"/>
  <c r="P148" i="88"/>
  <c r="X102" i="82"/>
  <c r="L65" i="74"/>
  <c r="Z180" i="74"/>
  <c r="X159" i="83"/>
  <c r="O133" i="74"/>
  <c r="X100" i="74"/>
  <c r="O176" i="87"/>
  <c r="AA86" i="87"/>
  <c r="P67" i="82"/>
  <c r="L170" i="89"/>
  <c r="Q171" i="89"/>
  <c r="AA133" i="94"/>
  <c r="M21" i="85"/>
  <c r="AB81" i="85"/>
  <c r="P108" i="93"/>
  <c r="AA9" i="91"/>
  <c r="AA31" i="94"/>
  <c r="Z77" i="88"/>
  <c r="L85" i="88"/>
  <c r="Y82" i="83"/>
  <c r="N87" i="85"/>
  <c r="Z68" i="84"/>
  <c r="P107" i="74"/>
  <c r="T96" i="81"/>
  <c r="P67" i="85"/>
  <c r="AB87" i="85"/>
  <c r="P37" i="88"/>
  <c r="Q106" i="83"/>
  <c r="X45" i="87"/>
  <c r="Q23" i="89"/>
  <c r="P101" i="85"/>
  <c r="AA101" i="81"/>
  <c r="X163" i="81"/>
  <c r="Z74" i="74"/>
  <c r="Y75" i="87"/>
  <c r="Y51" i="83"/>
  <c r="AB61" i="91"/>
  <c r="AA45" i="74"/>
  <c r="Z156" i="85"/>
  <c r="X96" i="89"/>
  <c r="X173" i="83"/>
  <c r="M59" i="84"/>
  <c r="X86" i="81"/>
  <c r="O160" i="84"/>
  <c r="AB92" i="83"/>
  <c r="O130" i="83"/>
  <c r="X64" i="85"/>
  <c r="X144" i="85"/>
  <c r="P124" i="82"/>
  <c r="AA164" i="82"/>
  <c r="AB141" i="83"/>
  <c r="N117" i="91"/>
  <c r="AB61" i="81"/>
  <c r="P102" i="82"/>
  <c r="O66" i="82"/>
  <c r="Q153" i="85"/>
  <c r="O72" i="87"/>
  <c r="L173" i="74"/>
  <c r="O41" i="82"/>
  <c r="AA145" i="81"/>
  <c r="Z110" i="84"/>
  <c r="L119" i="85"/>
  <c r="Z147" i="89"/>
  <c r="AA153" i="87"/>
  <c r="AA118" i="81"/>
  <c r="Y160" i="84"/>
  <c r="Y176" i="81"/>
  <c r="O167" i="74"/>
  <c r="Y88" i="74"/>
  <c r="Q107" i="88"/>
  <c r="O31" i="85"/>
  <c r="N69" i="87"/>
  <c r="Q100" i="82"/>
  <c r="X33" i="93"/>
  <c r="O119" i="85"/>
  <c r="Z135" i="85"/>
  <c r="L124" i="88"/>
  <c r="O66" i="85"/>
  <c r="P23" i="74"/>
  <c r="AB53" i="89"/>
  <c r="P43" i="91"/>
  <c r="O35" i="87"/>
  <c r="X89" i="88"/>
  <c r="O91" i="92"/>
  <c r="X39" i="85"/>
  <c r="L168" i="85"/>
  <c r="Q111" i="89"/>
  <c r="AB124" i="89"/>
  <c r="AA37" i="84"/>
  <c r="P128" i="88"/>
  <c r="N69" i="74"/>
  <c r="Y149" i="89"/>
  <c r="L141" i="82"/>
  <c r="Y174" i="81"/>
  <c r="AB176" i="89"/>
  <c r="Z67" i="85"/>
  <c r="Y148" i="84"/>
  <c r="AA84" i="88"/>
  <c r="Y29" i="83"/>
  <c r="AB142" i="88"/>
  <c r="O45" i="82"/>
  <c r="AA129" i="85"/>
  <c r="P143" i="93"/>
  <c r="Q180" i="94"/>
  <c r="O101" i="89"/>
  <c r="Q148" i="83"/>
  <c r="O112" i="82"/>
  <c r="X55" i="89"/>
  <c r="AB155" i="89"/>
  <c r="Q127" i="87"/>
  <c r="N150" i="83"/>
  <c r="L126" i="83"/>
  <c r="Y177" i="74"/>
  <c r="Y85" i="88"/>
  <c r="L69" i="81"/>
  <c r="P137" i="81"/>
  <c r="N81" i="81"/>
  <c r="Z84" i="83"/>
  <c r="AA147" i="89"/>
  <c r="O180" i="81"/>
  <c r="AA21" i="82"/>
  <c r="O47" i="91"/>
  <c r="Y118" i="81"/>
  <c r="X94" i="74"/>
  <c r="L90" i="74"/>
  <c r="Z171" i="81"/>
  <c r="X110" i="81"/>
  <c r="Q125" i="84"/>
  <c r="Y101" i="82"/>
  <c r="L111" i="82"/>
  <c r="P51" i="91"/>
  <c r="AB153" i="87"/>
  <c r="Z53" i="87"/>
  <c r="X27" i="74"/>
  <c r="AB153" i="83"/>
  <c r="X147" i="74"/>
  <c r="O95" i="81"/>
  <c r="AA131" i="83"/>
  <c r="Q45" i="87"/>
  <c r="X100" i="92"/>
  <c r="P47" i="84"/>
  <c r="X174" i="74"/>
  <c r="L153" i="87"/>
  <c r="X101" i="92"/>
  <c r="O29" i="89"/>
  <c r="Y59" i="89"/>
  <c r="Y133" i="88"/>
  <c r="O79" i="88"/>
  <c r="Q99" i="81"/>
  <c r="Y66" i="74"/>
  <c r="X33" i="74"/>
  <c r="O157" i="84"/>
  <c r="Z41" i="82"/>
  <c r="Y65" i="87"/>
  <c r="Z142" i="92"/>
  <c r="O86" i="84"/>
  <c r="AB140" i="83"/>
  <c r="Y76" i="87"/>
  <c r="O67" i="85"/>
  <c r="T96" i="88"/>
  <c r="AA156" i="83"/>
  <c r="O168" i="87"/>
  <c r="L177" i="82"/>
  <c r="O108" i="94"/>
  <c r="Q63" i="74"/>
  <c r="AA72" i="83"/>
  <c r="P102" i="84"/>
  <c r="AA168" i="83"/>
  <c r="L138" i="81"/>
  <c r="AB176" i="81"/>
  <c r="Q119" i="92"/>
  <c r="Y124" i="89"/>
  <c r="Y27" i="74"/>
  <c r="O31" i="82"/>
  <c r="L108" i="83"/>
  <c r="Q140" i="84"/>
  <c r="X94" i="87"/>
  <c r="Z173" i="84"/>
  <c r="N51" i="84"/>
  <c r="AA140" i="74"/>
  <c r="Y84" i="93"/>
  <c r="Q103" i="85"/>
  <c r="O47" i="83"/>
  <c r="AA98" i="82"/>
  <c r="O142" i="84"/>
  <c r="Z15" i="91"/>
  <c r="T9" i="92"/>
  <c r="Q161" i="82"/>
  <c r="Z171" i="88"/>
  <c r="P80" i="82"/>
  <c r="X89" i="85"/>
  <c r="O39" i="92"/>
  <c r="M47" i="92"/>
  <c r="Z140" i="94"/>
  <c r="Y105" i="93"/>
  <c r="Q171" i="91"/>
  <c r="AA141" i="83"/>
  <c r="N177" i="81"/>
  <c r="Q78" i="93"/>
  <c r="Y170" i="83"/>
  <c r="Y121" i="84"/>
  <c r="X140" i="82"/>
  <c r="Z128" i="82"/>
  <c r="AA180" i="81"/>
  <c r="X73" i="92"/>
  <c r="AA138" i="82"/>
  <c r="T126" i="85"/>
  <c r="O144" i="81"/>
  <c r="O165" i="91"/>
  <c r="M29" i="87"/>
  <c r="Y68" i="82"/>
  <c r="Z94" i="85"/>
  <c r="P123" i="85"/>
  <c r="Q77" i="74"/>
  <c r="O138" i="85"/>
  <c r="L68" i="83"/>
  <c r="AA150" i="89"/>
  <c r="N90" i="82"/>
  <c r="L107" i="83"/>
  <c r="L174" i="83"/>
  <c r="Q65" i="83"/>
  <c r="Q127" i="94"/>
  <c r="O80" i="89"/>
  <c r="L138" i="91"/>
  <c r="N126" i="74"/>
  <c r="AB177" i="81"/>
  <c r="X160" i="85"/>
  <c r="O13" i="89"/>
  <c r="Z98" i="81"/>
  <c r="L101" i="84"/>
  <c r="AA133" i="85"/>
  <c r="Y93" i="87"/>
  <c r="P39" i="88"/>
  <c r="Z47" i="82"/>
  <c r="P92" i="87"/>
  <c r="P155" i="81"/>
  <c r="Q29" i="89"/>
  <c r="L129" i="83"/>
  <c r="P89" i="81"/>
  <c r="Y78" i="85"/>
  <c r="AA124" i="87"/>
  <c r="Q155" i="74"/>
  <c r="Y168" i="81"/>
  <c r="Q129" i="84"/>
  <c r="P141" i="82"/>
  <c r="AB61" i="84"/>
  <c r="X29" i="83"/>
  <c r="X103" i="93"/>
  <c r="N117" i="74"/>
  <c r="AB129" i="88"/>
  <c r="Y114" i="74"/>
  <c r="O88" i="83"/>
  <c r="X47" i="88"/>
  <c r="Q82" i="83"/>
  <c r="X75" i="85"/>
  <c r="L179" i="89"/>
  <c r="T129" i="84"/>
  <c r="Q131" i="74"/>
  <c r="Q143" i="94"/>
  <c r="O91" i="74"/>
  <c r="Q156" i="83"/>
  <c r="L113" i="89"/>
  <c r="X131" i="81"/>
  <c r="Q103" i="84"/>
  <c r="AA82" i="84"/>
  <c r="O104" i="74"/>
  <c r="Q166" i="74"/>
  <c r="Q155" i="81"/>
  <c r="L170" i="85"/>
  <c r="X51" i="88"/>
  <c r="P78" i="91"/>
  <c r="X141" i="83"/>
  <c r="L142" i="83"/>
  <c r="Q104" i="81"/>
  <c r="X116" i="83"/>
  <c r="L105" i="81"/>
  <c r="O117" i="85"/>
  <c r="P131" i="82"/>
  <c r="Z103" i="74"/>
  <c r="T147" i="81"/>
  <c r="AA89" i="84"/>
  <c r="Q139" i="85"/>
  <c r="Z168" i="91"/>
  <c r="P166" i="88"/>
  <c r="T93" i="81"/>
  <c r="X151" i="82"/>
  <c r="X67" i="84"/>
  <c r="O84" i="93"/>
  <c r="P145" i="81"/>
  <c r="O120" i="84"/>
  <c r="Z78" i="83"/>
  <c r="P129" i="91"/>
  <c r="Y85" i="81"/>
  <c r="Y157" i="81"/>
  <c r="O97" i="81"/>
  <c r="Q120" i="82"/>
  <c r="Z66" i="82"/>
  <c r="O111" i="88"/>
  <c r="P33" i="81"/>
  <c r="N87" i="81"/>
  <c r="L175" i="89"/>
  <c r="Q143" i="83"/>
  <c r="X119" i="83"/>
  <c r="N180" i="87"/>
  <c r="AB150" i="89"/>
  <c r="N165" i="83"/>
  <c r="AB136" i="91"/>
  <c r="AA43" i="74"/>
  <c r="AA15" i="84"/>
  <c r="L144" i="81"/>
  <c r="Z150" i="83"/>
  <c r="Y99" i="74"/>
  <c r="O113" i="88"/>
  <c r="P102" i="87"/>
  <c r="O83" i="81"/>
  <c r="T90" i="81"/>
  <c r="Q174" i="84"/>
  <c r="M55" i="81"/>
  <c r="Q178" i="83"/>
  <c r="AA72" i="82"/>
  <c r="AB100" i="83"/>
  <c r="Y101" i="89"/>
  <c r="Q167" i="85"/>
  <c r="AA53" i="88"/>
  <c r="AA171" i="83"/>
  <c r="AB79" i="92"/>
  <c r="AA148" i="88"/>
  <c r="Q132" i="74"/>
  <c r="AA96" i="94"/>
  <c r="O122" i="83"/>
  <c r="L167" i="85"/>
  <c r="Y85" i="94"/>
  <c r="Z150" i="81"/>
  <c r="Q180" i="81"/>
  <c r="P177" i="81"/>
  <c r="O173" i="84"/>
  <c r="Y68" i="91"/>
  <c r="O177" i="74"/>
  <c r="Y173" i="82"/>
  <c r="O109" i="84"/>
  <c r="P11" i="84"/>
  <c r="AB66" i="83"/>
  <c r="AA108" i="89"/>
  <c r="Y41" i="89"/>
  <c r="Y150" i="81"/>
  <c r="Z177" i="83"/>
  <c r="O27" i="81"/>
  <c r="O121" i="83"/>
  <c r="Q69" i="74"/>
  <c r="AB155" i="93"/>
  <c r="Z142" i="84"/>
  <c r="AB86" i="94"/>
  <c r="X31" i="74"/>
  <c r="N72" i="74"/>
  <c r="AA74" i="94"/>
  <c r="Q67" i="82"/>
  <c r="AA100" i="91"/>
  <c r="X19" i="82"/>
  <c r="X131" i="84"/>
  <c r="L126" i="82"/>
  <c r="Z156" i="82"/>
  <c r="Q69" i="84"/>
  <c r="X99" i="84"/>
  <c r="N171" i="87"/>
  <c r="Q170" i="85"/>
  <c r="T99" i="94"/>
  <c r="Y120" i="87"/>
  <c r="M33" i="93"/>
  <c r="Q130" i="89"/>
  <c r="P171" i="74"/>
  <c r="AA176" i="82"/>
  <c r="L69" i="85"/>
  <c r="T15" i="81"/>
  <c r="AB84" i="87"/>
  <c r="Q72" i="83"/>
  <c r="N102" i="87"/>
  <c r="P39" i="91"/>
  <c r="Z124" i="74"/>
  <c r="P69" i="74"/>
  <c r="X88" i="85"/>
  <c r="N123" i="83"/>
  <c r="X142" i="83"/>
  <c r="O77" i="82"/>
  <c r="O84" i="83"/>
  <c r="Q37" i="83"/>
  <c r="Q63" i="81"/>
  <c r="O137" i="85"/>
  <c r="L145" i="85"/>
  <c r="P104" i="74"/>
  <c r="O65" i="91"/>
  <c r="AB140" i="84"/>
  <c r="AA106" i="84"/>
  <c r="AB63" i="81"/>
  <c r="Q129" i="87"/>
  <c r="AB151" i="85"/>
  <c r="X15" i="81"/>
  <c r="AB165" i="87"/>
  <c r="O108" i="87"/>
  <c r="O84" i="74"/>
  <c r="O159" i="74"/>
  <c r="Y167" i="83"/>
  <c r="M19" i="92"/>
  <c r="Z148" i="81"/>
  <c r="X120" i="91"/>
  <c r="O114" i="83"/>
  <c r="O106" i="84"/>
  <c r="AB37" i="88"/>
  <c r="Z140" i="74"/>
  <c r="X104" i="83"/>
  <c r="Q92" i="84"/>
  <c r="P71" i="85"/>
  <c r="L142" i="84"/>
  <c r="O104" i="81"/>
  <c r="Y57" i="91"/>
  <c r="N15" i="92"/>
  <c r="X9" i="94"/>
  <c r="P94" i="89"/>
  <c r="Q135" i="82"/>
  <c r="Z114" i="83"/>
  <c r="AA114" i="87"/>
  <c r="AB77" i="84"/>
  <c r="Z76" i="83"/>
  <c r="AB17" i="87"/>
  <c r="Q141" i="84"/>
  <c r="P90" i="88"/>
  <c r="X27" i="84"/>
  <c r="L76" i="85"/>
  <c r="AB114" i="83"/>
  <c r="AA149" i="87"/>
  <c r="L160" i="84"/>
  <c r="T84" i="93"/>
  <c r="P124" i="84"/>
  <c r="Q105" i="85"/>
  <c r="X133" i="88"/>
  <c r="L115" i="82"/>
  <c r="Y71" i="81"/>
  <c r="AA117" i="82"/>
  <c r="P71" i="82"/>
  <c r="AB117" i="81"/>
  <c r="P92" i="84"/>
  <c r="M23" i="84"/>
  <c r="T171" i="93"/>
  <c r="N108" i="85"/>
  <c r="Q85" i="74"/>
  <c r="AB169" i="83"/>
  <c r="X129" i="81"/>
  <c r="Y159" i="88"/>
  <c r="Z85" i="83"/>
  <c r="O162" i="84"/>
  <c r="O64" i="74"/>
  <c r="O27" i="74"/>
  <c r="N27" i="83"/>
  <c r="N84" i="83"/>
  <c r="Z29" i="89"/>
  <c r="AB111" i="85"/>
  <c r="X55" i="94"/>
  <c r="Z110" i="88"/>
  <c r="T75" i="93"/>
  <c r="P55" i="84"/>
  <c r="AA99" i="82"/>
  <c r="Z83" i="82"/>
  <c r="AB112" i="82"/>
  <c r="AA66" i="87"/>
  <c r="Z166" i="92"/>
  <c r="Q130" i="83"/>
  <c r="AB57" i="82"/>
  <c r="Y17" i="84"/>
  <c r="P131" i="83"/>
  <c r="O11" i="83"/>
  <c r="Z81" i="74"/>
  <c r="Q122" i="81"/>
  <c r="L66" i="91"/>
  <c r="Q129" i="94"/>
  <c r="AA29" i="74"/>
  <c r="AA124" i="74"/>
  <c r="Z154" i="89"/>
  <c r="X61" i="74"/>
  <c r="AA39" i="87"/>
  <c r="Q101" i="83"/>
  <c r="Y126" i="83"/>
  <c r="AA71" i="74"/>
  <c r="X111" i="84"/>
  <c r="AA166" i="82"/>
  <c r="T75" i="74"/>
  <c r="L133" i="88"/>
  <c r="P82" i="88"/>
  <c r="O136" i="74"/>
  <c r="P35" i="83"/>
  <c r="Z90" i="83"/>
  <c r="Q91" i="91"/>
  <c r="O128" i="74"/>
  <c r="AA133" i="74"/>
  <c r="T177" i="93"/>
  <c r="AB127" i="83"/>
  <c r="P45" i="83"/>
  <c r="AA109" i="83"/>
  <c r="AA138" i="87"/>
  <c r="O154" i="85"/>
  <c r="P180" i="83"/>
  <c r="X162" i="93"/>
  <c r="L179" i="82"/>
  <c r="Y167" i="74"/>
  <c r="L150" i="83"/>
  <c r="AA130" i="81"/>
  <c r="L125" i="83"/>
  <c r="Z90" i="74"/>
  <c r="AB75" i="83"/>
  <c r="Q170" i="82"/>
  <c r="Z117" i="87"/>
  <c r="AA176" i="87"/>
  <c r="L168" i="87"/>
  <c r="O33" i="87"/>
  <c r="L135" i="91"/>
  <c r="Z55" i="74"/>
  <c r="AA57" i="85"/>
  <c r="T126" i="83"/>
  <c r="Y171" i="85"/>
  <c r="X175" i="84"/>
  <c r="Y160" i="74"/>
  <c r="Y43" i="81"/>
  <c r="Y71" i="87"/>
  <c r="AA71" i="82"/>
  <c r="X13" i="85"/>
  <c r="Y116" i="74"/>
  <c r="P123" i="84"/>
  <c r="P174" i="84"/>
  <c r="Z67" i="83"/>
  <c r="Q168" i="85"/>
  <c r="O88" i="91"/>
  <c r="Z104" i="85"/>
  <c r="O67" i="81"/>
  <c r="M19" i="84"/>
  <c r="Q25" i="81"/>
  <c r="X33" i="91"/>
  <c r="X160" i="88"/>
  <c r="P61" i="94"/>
  <c r="Z177" i="82"/>
  <c r="O155" i="81"/>
  <c r="M57" i="82"/>
  <c r="O166" i="93"/>
  <c r="AA107" i="81"/>
  <c r="Y152" i="81"/>
  <c r="P170" i="91"/>
  <c r="X139" i="81"/>
  <c r="X76" i="82"/>
  <c r="Y149" i="84"/>
  <c r="L181" i="85"/>
  <c r="AB82" i="87"/>
  <c r="L145" i="92"/>
  <c r="AB141" i="88"/>
  <c r="AB53" i="81"/>
  <c r="AA114" i="84"/>
  <c r="P126" i="74"/>
  <c r="T105" i="83"/>
  <c r="P53" i="74"/>
  <c r="O17" i="84"/>
  <c r="Y65" i="85"/>
  <c r="Z43" i="82"/>
  <c r="O9" i="84"/>
  <c r="AA39" i="82"/>
  <c r="X89" i="82"/>
  <c r="O64" i="92"/>
  <c r="AA139" i="85"/>
  <c r="P92" i="89"/>
  <c r="Y176" i="88"/>
  <c r="O119" i="83"/>
  <c r="N66" i="81"/>
  <c r="Y77" i="81"/>
  <c r="P144" i="74"/>
  <c r="P120" i="74"/>
  <c r="O96" i="82"/>
  <c r="AB90" i="85"/>
  <c r="Y156" i="88"/>
  <c r="X153" i="91"/>
  <c r="L79" i="84"/>
  <c r="P129" i="83"/>
  <c r="AB76" i="82"/>
  <c r="M53" i="82"/>
  <c r="X152" i="84"/>
  <c r="Q9" i="94"/>
  <c r="AA13" i="85"/>
  <c r="Z23" i="85"/>
  <c r="AA147" i="87"/>
  <c r="M13" i="84"/>
  <c r="Y51" i="91"/>
  <c r="Y107" i="91"/>
  <c r="AA66" i="81"/>
  <c r="P98" i="94"/>
  <c r="X49" i="81"/>
  <c r="Q49" i="81"/>
  <c r="O29" i="83"/>
  <c r="L182" i="82"/>
  <c r="AA126" i="74"/>
  <c r="Z82" i="74"/>
  <c r="Q127" i="84"/>
  <c r="T132" i="91"/>
  <c r="X87" i="85"/>
  <c r="AA69" i="74"/>
  <c r="Z121" i="74"/>
  <c r="P151" i="87"/>
  <c r="Z146" i="85"/>
  <c r="AA102" i="84"/>
  <c r="Y49" i="88"/>
  <c r="P79" i="94"/>
  <c r="X64" i="87"/>
  <c r="Y87" i="93"/>
  <c r="Q132" i="87"/>
  <c r="AA140" i="87"/>
  <c r="Q21" i="82"/>
  <c r="X15" i="74"/>
  <c r="Q149" i="74"/>
  <c r="Q95" i="88"/>
  <c r="AB139" i="81"/>
  <c r="Q173" i="82"/>
  <c r="O70" i="88"/>
  <c r="AA142" i="74"/>
  <c r="N108" i="89"/>
  <c r="X37" i="88"/>
  <c r="Y139" i="83"/>
  <c r="X162" i="87"/>
  <c r="Z159" i="82"/>
  <c r="AB88" i="87"/>
  <c r="AB112" i="84"/>
  <c r="O39" i="93"/>
  <c r="Z132" i="92"/>
  <c r="Y114" i="83"/>
  <c r="AB119" i="88"/>
  <c r="X104" i="85"/>
  <c r="Y109" i="84"/>
  <c r="P39" i="74"/>
  <c r="P107" i="84"/>
  <c r="AB51" i="84"/>
  <c r="Z33" i="74"/>
  <c r="P148" i="74"/>
  <c r="L177" i="85"/>
  <c r="N117" i="87"/>
  <c r="N147" i="87"/>
  <c r="X171" i="82"/>
  <c r="X114" i="83"/>
  <c r="P99" i="83"/>
  <c r="N153" i="74"/>
  <c r="P17" i="83"/>
  <c r="AA98" i="89"/>
  <c r="L84" i="81"/>
  <c r="AB171" i="82"/>
  <c r="Q13" i="74"/>
  <c r="P114" i="89"/>
  <c r="P120" i="94"/>
  <c r="L166" i="85"/>
  <c r="AA19" i="81"/>
  <c r="P121" i="88"/>
  <c r="Q116" i="82"/>
  <c r="AB70" i="88"/>
  <c r="Q104" i="91"/>
  <c r="AA11" i="88"/>
  <c r="P81" i="85"/>
  <c r="N165" i="89"/>
  <c r="T114" i="84"/>
  <c r="X126" i="81"/>
  <c r="Y165" i="94"/>
  <c r="Q127" i="89"/>
  <c r="O119" i="93"/>
  <c r="P68" i="85"/>
  <c r="L176" i="88"/>
  <c r="P68" i="84"/>
  <c r="AA131" i="88"/>
  <c r="AA171" i="82"/>
  <c r="L120" i="81"/>
  <c r="O181" i="85"/>
  <c r="Q29" i="81"/>
  <c r="AA55" i="89"/>
  <c r="Y112" i="87"/>
  <c r="AB122" i="83"/>
  <c r="L106" i="91"/>
  <c r="AA69" i="81"/>
  <c r="Q70" i="89"/>
  <c r="X35" i="84"/>
  <c r="AA39" i="84"/>
  <c r="X45" i="92"/>
  <c r="Q67" i="85"/>
  <c r="X153" i="82"/>
  <c r="P55" i="74"/>
  <c r="AA97" i="83"/>
  <c r="O29" i="87"/>
  <c r="AB170" i="85"/>
  <c r="L171" i="85"/>
  <c r="AA70" i="74"/>
  <c r="Y161" i="74"/>
  <c r="AA49" i="93"/>
  <c r="P78" i="85"/>
  <c r="Q82" i="93"/>
  <c r="AA81" i="88"/>
  <c r="P31" i="74"/>
  <c r="Z105" i="82"/>
  <c r="AB114" i="88"/>
  <c r="Z154" i="83"/>
  <c r="Z157" i="82"/>
  <c r="Z145" i="93"/>
  <c r="AA55" i="81"/>
  <c r="P33" i="88"/>
  <c r="Q145" i="87"/>
  <c r="X66" i="92"/>
  <c r="P156" i="93"/>
  <c r="L161" i="82"/>
  <c r="P168" i="81"/>
  <c r="Y33" i="89"/>
  <c r="AA173" i="81"/>
  <c r="X79" i="83"/>
  <c r="O107" i="74"/>
  <c r="Y82" i="84"/>
  <c r="N105" i="89"/>
  <c r="L160" i="74"/>
  <c r="Z169" i="83"/>
  <c r="X96" i="85"/>
  <c r="AA125" i="84"/>
  <c r="AB98" i="87"/>
  <c r="Q72" i="88"/>
  <c r="O130" i="74"/>
  <c r="Z9" i="91"/>
  <c r="L105" i="89"/>
  <c r="P49" i="84"/>
  <c r="L184" i="83"/>
  <c r="Y145" i="74"/>
  <c r="N9" i="89"/>
  <c r="T147" i="93"/>
  <c r="X31" i="92"/>
  <c r="T123" i="92"/>
  <c r="AB119" i="85"/>
  <c r="P94" i="85"/>
  <c r="AA80" i="89"/>
  <c r="AB41" i="84"/>
  <c r="Y19" i="82"/>
  <c r="T51" i="81"/>
  <c r="Z91" i="81"/>
  <c r="AA29" i="91"/>
  <c r="AA68" i="87"/>
  <c r="P80" i="81"/>
  <c r="Z66" i="84"/>
  <c r="Z83" i="74"/>
  <c r="L163" i="85"/>
  <c r="Z11" i="84"/>
  <c r="Y98" i="84"/>
  <c r="Q131" i="91"/>
  <c r="O147" i="84"/>
  <c r="P154" i="83"/>
  <c r="Q47" i="93"/>
  <c r="T99" i="93"/>
  <c r="Z49" i="74"/>
  <c r="Q116" i="81"/>
  <c r="Y116" i="81"/>
  <c r="N129" i="81"/>
  <c r="O165" i="82"/>
  <c r="Y82" i="89"/>
  <c r="X51" i="82"/>
  <c r="AB177" i="83"/>
  <c r="Q114" i="82"/>
  <c r="Z98" i="87"/>
  <c r="O144" i="89"/>
  <c r="M19" i="85"/>
  <c r="AB111" i="83"/>
  <c r="Y173" i="74"/>
  <c r="P27" i="87"/>
  <c r="T123" i="88"/>
  <c r="O116" i="85"/>
  <c r="Y74" i="87"/>
  <c r="Z45" i="81"/>
  <c r="AA101" i="82"/>
  <c r="M27" i="87"/>
  <c r="L118" i="83"/>
  <c r="Q53" i="89"/>
  <c r="L165" i="83"/>
  <c r="O119" i="74"/>
  <c r="O57" i="74"/>
  <c r="Y141" i="85"/>
  <c r="N126" i="89"/>
  <c r="X79" i="91"/>
  <c r="N51" i="74"/>
  <c r="AA156" i="88"/>
  <c r="L137" i="85"/>
  <c r="AA160" i="85"/>
  <c r="M45" i="74"/>
  <c r="X63" i="81"/>
  <c r="X27" i="81"/>
  <c r="O73" i="83"/>
  <c r="AB17" i="92"/>
  <c r="Z108" i="88"/>
  <c r="T117" i="81"/>
  <c r="X31" i="81"/>
  <c r="Y64" i="83"/>
  <c r="Y124" i="91"/>
  <c r="M9" i="89"/>
  <c r="Y138" i="81"/>
  <c r="P69" i="81"/>
  <c r="AB88" i="85"/>
  <c r="Y73" i="81"/>
  <c r="AB133" i="82"/>
  <c r="P87" i="82"/>
  <c r="AB168" i="81"/>
  <c r="Z127" i="91"/>
  <c r="M59" i="74"/>
  <c r="L101" i="87"/>
  <c r="P183" i="88"/>
  <c r="AA69" i="82"/>
  <c r="P150" i="83"/>
  <c r="Z112" i="85"/>
  <c r="P105" i="88"/>
  <c r="AB137" i="88"/>
  <c r="L151" i="88"/>
  <c r="Y63" i="84"/>
  <c r="Q84" i="74"/>
  <c r="AB96" i="87"/>
  <c r="O148" i="82"/>
  <c r="Z177" i="87"/>
  <c r="X41" i="83"/>
  <c r="P71" i="89"/>
  <c r="Z91" i="92"/>
  <c r="Y134" i="84"/>
  <c r="X97" i="81"/>
  <c r="L145" i="81"/>
  <c r="L80" i="87"/>
  <c r="Y11" i="93"/>
  <c r="Q100" i="84"/>
  <c r="X180" i="85"/>
  <c r="P141" i="85"/>
  <c r="P146" i="81"/>
  <c r="L90" i="81"/>
  <c r="Z170" i="87"/>
  <c r="P78" i="83"/>
  <c r="Q169" i="88"/>
  <c r="Y121" i="89"/>
  <c r="Z63" i="85"/>
  <c r="Z171" i="91"/>
  <c r="Q128" i="87"/>
  <c r="AA82" i="82"/>
  <c r="Z86" i="84"/>
  <c r="T75" i="89"/>
  <c r="P47" i="91"/>
  <c r="AA123" i="81"/>
  <c r="P146" i="83"/>
  <c r="L105" i="88"/>
  <c r="L96" i="83"/>
  <c r="P125" i="91"/>
  <c r="Z124" i="85"/>
  <c r="L113" i="92"/>
  <c r="Z17" i="88"/>
  <c r="L136" i="85"/>
  <c r="AB170" i="81"/>
  <c r="Q120" i="74"/>
  <c r="O112" i="89"/>
  <c r="P179" i="81"/>
  <c r="AA75" i="81"/>
  <c r="P89" i="84"/>
  <c r="P124" i="74"/>
  <c r="L130" i="89"/>
  <c r="AB88" i="93"/>
  <c r="T174" i="94"/>
  <c r="L173" i="88"/>
  <c r="Q76" i="85"/>
  <c r="Y87" i="88"/>
  <c r="Y57" i="85"/>
  <c r="Y101" i="74"/>
  <c r="O169" i="84"/>
  <c r="AA65" i="87"/>
  <c r="N96" i="94"/>
  <c r="Z159" i="84"/>
  <c r="Y175" i="94"/>
  <c r="Y119" i="94"/>
  <c r="Y102" i="82"/>
  <c r="N87" i="74"/>
  <c r="AA142" i="85"/>
  <c r="Y70" i="83"/>
  <c r="P66" i="91"/>
  <c r="L105" i="74"/>
  <c r="T27" i="74"/>
  <c r="Y17" i="91"/>
  <c r="AA113" i="83"/>
  <c r="M29" i="91"/>
  <c r="T159" i="88"/>
  <c r="O65" i="74"/>
  <c r="P178" i="88"/>
  <c r="M37" i="81"/>
  <c r="AA128" i="83"/>
  <c r="AB130" i="83"/>
  <c r="O141" i="84"/>
  <c r="N9" i="94"/>
  <c r="AB117" i="91"/>
  <c r="O182" i="85"/>
  <c r="Z105" i="87"/>
  <c r="O172" i="92"/>
  <c r="P21" i="85"/>
  <c r="X83" i="84"/>
  <c r="Z122" i="85"/>
  <c r="O90" i="91"/>
  <c r="O115" i="94"/>
  <c r="X23" i="91"/>
  <c r="AB136" i="81"/>
  <c r="L151" i="74"/>
  <c r="O101" i="84"/>
  <c r="AB70" i="92"/>
  <c r="P91" i="91"/>
  <c r="Y167" i="82"/>
  <c r="AA112" i="74"/>
  <c r="Y120" i="84"/>
  <c r="L182" i="84"/>
  <c r="Q169" i="84"/>
  <c r="AA124" i="88"/>
  <c r="AA167" i="88"/>
  <c r="X139" i="74"/>
  <c r="P75" i="83"/>
  <c r="AA47" i="83"/>
  <c r="T9" i="93"/>
  <c r="P109" i="81"/>
  <c r="Z132" i="81"/>
  <c r="P11" i="82"/>
  <c r="AB73" i="94"/>
  <c r="AB37" i="91"/>
  <c r="L97" i="83"/>
  <c r="L72" i="88"/>
  <c r="P59" i="81"/>
  <c r="Q181" i="87"/>
  <c r="Y147" i="87"/>
  <c r="AB69" i="82"/>
  <c r="Q94" i="91"/>
  <c r="O120" i="74"/>
  <c r="O115" i="83"/>
  <c r="AA164" i="88"/>
  <c r="O87" i="93"/>
  <c r="Q13" i="94"/>
  <c r="L105" i="82"/>
  <c r="Y110" i="81"/>
  <c r="N57" i="89"/>
  <c r="P72" i="85"/>
  <c r="Y89" i="74"/>
  <c r="AA85" i="88"/>
  <c r="O125" i="84"/>
  <c r="AB94" i="82"/>
  <c r="AA21" i="83"/>
  <c r="O144" i="84"/>
  <c r="T21" i="93"/>
  <c r="L154" i="85"/>
  <c r="AA124" i="81"/>
  <c r="X180" i="92"/>
  <c r="AB45" i="82"/>
  <c r="O108" i="74"/>
  <c r="P55" i="91"/>
  <c r="Z29" i="82"/>
  <c r="X71" i="81"/>
  <c r="AB169" i="89"/>
  <c r="O132" i="74"/>
  <c r="T156" i="88"/>
  <c r="P43" i="84"/>
  <c r="T180" i="82"/>
  <c r="Z154" i="88"/>
  <c r="Z71" i="87"/>
  <c r="O154" i="91"/>
  <c r="T141" i="87"/>
  <c r="P112" i="83"/>
  <c r="X53" i="83"/>
  <c r="X173" i="74"/>
  <c r="X43" i="74"/>
  <c r="M53" i="81"/>
  <c r="L118" i="81"/>
  <c r="M25" i="74"/>
  <c r="Y97" i="92"/>
  <c r="O180" i="93"/>
  <c r="Y77" i="93"/>
  <c r="P162" i="88"/>
  <c r="P173" i="88"/>
  <c r="L67" i="85"/>
  <c r="AB145" i="82"/>
  <c r="L157" i="94"/>
  <c r="L170" i="81"/>
  <c r="P156" i="83"/>
  <c r="AA57" i="83"/>
  <c r="P61" i="85"/>
  <c r="O129" i="81"/>
  <c r="Q86" i="88"/>
  <c r="AA67" i="87"/>
  <c r="N159" i="81"/>
  <c r="P72" i="81"/>
  <c r="Y70" i="74"/>
  <c r="O132" i="81"/>
  <c r="AB75" i="89"/>
  <c r="L117" i="93"/>
  <c r="L92" i="81"/>
  <c r="L65" i="93"/>
  <c r="X85" i="74"/>
  <c r="Z103" i="84"/>
  <c r="Q83" i="81"/>
  <c r="Y72" i="85"/>
  <c r="Q170" i="74"/>
  <c r="T75" i="87"/>
  <c r="X82" i="85"/>
  <c r="Z168" i="92"/>
  <c r="P90" i="82"/>
  <c r="T39" i="74"/>
  <c r="Z43" i="74"/>
  <c r="T126" i="74"/>
  <c r="N75" i="74"/>
  <c r="Y19" i="91"/>
  <c r="O102" i="92"/>
  <c r="L94" i="85"/>
  <c r="Q88" i="84"/>
  <c r="P73" i="89"/>
  <c r="Q114" i="74"/>
  <c r="L102" i="82"/>
  <c r="Q109" i="84"/>
  <c r="T9" i="84"/>
  <c r="Y86" i="82"/>
  <c r="O176" i="89"/>
  <c r="N132" i="83"/>
  <c r="AB118" i="91"/>
  <c r="Z151" i="91"/>
  <c r="Q119" i="82"/>
  <c r="AA118" i="87"/>
  <c r="L92" i="83"/>
  <c r="Y143" i="89"/>
  <c r="AB51" i="83"/>
  <c r="X176" i="87"/>
  <c r="P61" i="83"/>
  <c r="Z159" i="87"/>
  <c r="P135" i="83"/>
  <c r="Y98" i="83"/>
  <c r="Z103" i="83"/>
  <c r="Y103" i="87"/>
  <c r="X21" i="81"/>
  <c r="Y152" i="88"/>
  <c r="Z9" i="81"/>
  <c r="AA113" i="89"/>
  <c r="N184" i="85"/>
  <c r="X21" i="84"/>
  <c r="Z115" i="82"/>
  <c r="Z180" i="83"/>
  <c r="AB83" i="85"/>
  <c r="Z21" i="82"/>
  <c r="Z15" i="74"/>
  <c r="AA49" i="89"/>
  <c r="AB75" i="87"/>
  <c r="T165" i="92"/>
  <c r="Q84" i="87"/>
  <c r="X75" i="83"/>
  <c r="X177" i="91"/>
  <c r="AA103" i="81"/>
  <c r="AB107" i="81"/>
  <c r="Y143" i="93"/>
  <c r="Q33" i="93"/>
  <c r="X107" i="74"/>
  <c r="T180" i="89"/>
  <c r="AB78" i="85"/>
  <c r="Y127" i="94"/>
  <c r="Z105" i="91"/>
  <c r="Z162" i="82"/>
  <c r="Z102" i="83"/>
  <c r="L114" i="74"/>
  <c r="AB110" i="81"/>
  <c r="N33" i="83"/>
  <c r="AA55" i="84"/>
  <c r="Z116" i="81"/>
  <c r="Q78" i="87"/>
  <c r="Q73" i="81"/>
  <c r="AB102" i="82"/>
  <c r="N90" i="93"/>
  <c r="AB122" i="87"/>
  <c r="AB43" i="94"/>
  <c r="Y93" i="85"/>
  <c r="AA96" i="74"/>
  <c r="Q152" i="83"/>
  <c r="AA77" i="87"/>
  <c r="X113" i="94"/>
  <c r="Y126" i="88"/>
  <c r="M61" i="74"/>
  <c r="N63" i="85"/>
  <c r="P93" i="92"/>
  <c r="L141" i="84"/>
  <c r="Z31" i="83"/>
  <c r="X157" i="74"/>
  <c r="Y136" i="85"/>
  <c r="AB110" i="83"/>
  <c r="Z169" i="84"/>
  <c r="M17" i="89"/>
  <c r="AA19" i="74"/>
  <c r="Z161" i="93"/>
  <c r="AA105" i="74"/>
  <c r="AB146" i="85"/>
  <c r="X175" i="87"/>
  <c r="O160" i="74"/>
  <c r="Q160" i="82"/>
  <c r="AA127" i="89"/>
  <c r="O141" i="81"/>
  <c r="AB89" i="85"/>
  <c r="N99" i="84"/>
  <c r="L76" i="74"/>
  <c r="Y47" i="85"/>
  <c r="O9" i="74"/>
  <c r="AA17" i="84"/>
  <c r="O25" i="88"/>
  <c r="AA115" i="81"/>
  <c r="AB71" i="83"/>
  <c r="Z25" i="74"/>
  <c r="Y68" i="89"/>
  <c r="AB180" i="83"/>
  <c r="O47" i="92"/>
  <c r="AB172" i="91"/>
  <c r="AB83" i="87"/>
  <c r="Y15" i="82"/>
  <c r="O157" i="89"/>
  <c r="V76" i="74" l="1"/>
  <c r="U17" i="89"/>
  <c r="U18" i="89" s="1"/>
  <c r="V141" i="84"/>
  <c r="U61" i="74"/>
  <c r="U62" i="74" s="1"/>
  <c r="V114" i="74"/>
  <c r="Q188" i="93"/>
  <c r="V92" i="83"/>
  <c r="V102" i="82"/>
  <c r="V94" i="85"/>
  <c r="V65" i="93"/>
  <c r="V92" i="81"/>
  <c r="V117" i="93"/>
  <c r="V170" i="81"/>
  <c r="V157" i="94"/>
  <c r="V67" i="85"/>
  <c r="U25" i="74"/>
  <c r="U26" i="74" s="1"/>
  <c r="V118" i="81"/>
  <c r="U53" i="81"/>
  <c r="U54" i="81" s="1"/>
  <c r="V154" i="85"/>
  <c r="V105" i="82"/>
  <c r="V72" i="88"/>
  <c r="V97" i="83"/>
  <c r="V182" i="84"/>
  <c r="V151" i="74"/>
  <c r="U37" i="81"/>
  <c r="U38" i="81" s="1"/>
  <c r="U29" i="91"/>
  <c r="U30" i="91" s="1"/>
  <c r="V105" i="74"/>
  <c r="V173" i="88"/>
  <c r="V130" i="89"/>
  <c r="V136" i="85"/>
  <c r="V113" i="92"/>
  <c r="V96" i="83"/>
  <c r="V105" i="88"/>
  <c r="V90" i="81"/>
  <c r="V80" i="87"/>
  <c r="V145" i="81"/>
  <c r="V151" i="88"/>
  <c r="V101" i="87"/>
  <c r="U59" i="74"/>
  <c r="U60" i="74" s="1"/>
  <c r="U9" i="89"/>
  <c r="U10" i="89" s="1"/>
  <c r="U45" i="74"/>
  <c r="U46" i="74" s="1"/>
  <c r="V137" i="85"/>
  <c r="V165" i="83"/>
  <c r="V118" i="83"/>
  <c r="U27" i="87"/>
  <c r="U28" i="87" s="1"/>
  <c r="U19" i="85"/>
  <c r="U20" i="85" s="1"/>
  <c r="V163" i="85"/>
  <c r="V105" i="89"/>
  <c r="V160" i="74"/>
  <c r="V161" i="82"/>
  <c r="V171" i="85"/>
  <c r="V106" i="91"/>
  <c r="V120" i="81"/>
  <c r="V176" i="88"/>
  <c r="V166" i="85"/>
  <c r="V84" i="81"/>
  <c r="V177" i="85"/>
  <c r="V182" i="82"/>
  <c r="U13" i="84"/>
  <c r="U14" i="84" s="1"/>
  <c r="U53" i="82"/>
  <c r="U54" i="82" s="1"/>
  <c r="V79" i="84"/>
  <c r="V145" i="92"/>
  <c r="V181" i="85"/>
  <c r="U57" i="82"/>
  <c r="U58" i="82" s="1"/>
  <c r="U19" i="84"/>
  <c r="U20" i="84" s="1"/>
  <c r="V135" i="91"/>
  <c r="V168" i="87"/>
  <c r="V125" i="83"/>
  <c r="V150" i="83"/>
  <c r="V179" i="82"/>
  <c r="V133" i="88"/>
  <c r="V66" i="91"/>
  <c r="U23" i="84"/>
  <c r="U24" i="84" s="1"/>
  <c r="V115" i="82"/>
  <c r="V160" i="84"/>
  <c r="V76" i="85"/>
  <c r="V142" i="84"/>
  <c r="U19" i="92"/>
  <c r="U20" i="92" s="1"/>
  <c r="V145" i="85"/>
  <c r="V69" i="85"/>
  <c r="U33" i="93"/>
  <c r="U34" i="93" s="1"/>
  <c r="V126" i="82"/>
  <c r="V167" i="85"/>
  <c r="U55" i="81"/>
  <c r="U56" i="81" s="1"/>
  <c r="V144" i="81"/>
  <c r="V175" i="89"/>
  <c r="V105" i="81"/>
  <c r="V142" i="83"/>
  <c r="V170" i="85"/>
  <c r="V113" i="89"/>
  <c r="V179" i="89"/>
  <c r="V129" i="83"/>
  <c r="V101" i="84"/>
  <c r="V138" i="91"/>
  <c r="V174" i="83"/>
  <c r="V107" i="83"/>
  <c r="V68" i="83"/>
  <c r="U29" i="87"/>
  <c r="U30" i="87" s="1"/>
  <c r="U47" i="92"/>
  <c r="U48" i="92" s="1"/>
  <c r="V108" i="83"/>
  <c r="V138" i="81"/>
  <c r="V177" i="82"/>
  <c r="V153" i="87"/>
  <c r="V111" i="82"/>
  <c r="V90" i="74"/>
  <c r="V69" i="81"/>
  <c r="V126" i="83"/>
  <c r="V141" i="82"/>
  <c r="V168" i="85"/>
  <c r="V124" i="88"/>
  <c r="V119" i="85"/>
  <c r="V173" i="74"/>
  <c r="U59" i="84"/>
  <c r="U60" i="84" s="1"/>
  <c r="V85" i="88"/>
  <c r="U21" i="85"/>
  <c r="U22" i="85" s="1"/>
  <c r="V170" i="89"/>
  <c r="V65" i="74"/>
  <c r="V159" i="82"/>
  <c r="V177" i="74"/>
  <c r="U11" i="82"/>
  <c r="U12" i="82" s="1"/>
  <c r="U25" i="81"/>
  <c r="U26" i="81" s="1"/>
  <c r="U11" i="93"/>
  <c r="U12" i="93" s="1"/>
  <c r="V176" i="81"/>
  <c r="V83" i="82"/>
  <c r="V153" i="85"/>
  <c r="V144" i="83"/>
  <c r="V74" i="81"/>
  <c r="V123" i="81"/>
  <c r="V169" i="81"/>
  <c r="V135" i="88"/>
  <c r="V119" i="88"/>
  <c r="V117" i="83"/>
  <c r="V103" i="85"/>
  <c r="V149" i="81"/>
  <c r="V157" i="89"/>
  <c r="V96" i="89"/>
  <c r="U23" i="92"/>
  <c r="U24" i="92" s="1"/>
  <c r="V148" i="83"/>
  <c r="Q188" i="88"/>
  <c r="V160" i="83"/>
  <c r="V104" i="83"/>
  <c r="V137" i="74"/>
  <c r="V77" i="81"/>
  <c r="V120" i="91"/>
  <c r="V173" i="82"/>
  <c r="V133" i="83"/>
  <c r="V144" i="94"/>
  <c r="V175" i="74"/>
  <c r="V172" i="92"/>
  <c r="V138" i="85"/>
  <c r="V182" i="91"/>
  <c r="V91" i="81"/>
  <c r="U17" i="83"/>
  <c r="U18" i="83" s="1"/>
  <c r="U45" i="82"/>
  <c r="U46" i="82" s="1"/>
  <c r="V107" i="81"/>
  <c r="V82" i="81"/>
  <c r="V178" i="87"/>
  <c r="V85" i="85"/>
  <c r="V179" i="85"/>
  <c r="V148" i="85"/>
  <c r="U23" i="74"/>
  <c r="U24" i="74" s="1"/>
  <c r="V151" i="81"/>
  <c r="V72" i="85"/>
  <c r="V102" i="81"/>
  <c r="V75" i="89"/>
  <c r="V156" i="87"/>
  <c r="V150" i="89"/>
  <c r="V133" i="91"/>
  <c r="V81" i="81"/>
  <c r="V67" i="81"/>
  <c r="V85" i="81"/>
  <c r="V136" i="87"/>
  <c r="V134" i="83"/>
  <c r="V74" i="89"/>
  <c r="U13" i="74"/>
  <c r="U14" i="74" s="1"/>
  <c r="V123" i="85"/>
  <c r="V138" i="82"/>
  <c r="V158" i="91"/>
  <c r="V115" i="89"/>
  <c r="V100" i="88"/>
  <c r="V86" i="74"/>
  <c r="V144" i="87"/>
  <c r="V161" i="88"/>
  <c r="V67" i="88"/>
  <c r="U43" i="84"/>
  <c r="U44" i="84" s="1"/>
  <c r="V157" i="91"/>
  <c r="V160" i="87"/>
  <c r="V104" i="81"/>
  <c r="U43" i="83"/>
  <c r="U44" i="83" s="1"/>
  <c r="V94" i="81"/>
  <c r="V88" i="82"/>
  <c r="U9" i="74"/>
  <c r="U10" i="74" s="1"/>
  <c r="V144" i="82"/>
  <c r="V71" i="85"/>
  <c r="U61" i="83"/>
  <c r="U62" i="83" s="1"/>
  <c r="V117" i="85"/>
  <c r="V69" i="94"/>
  <c r="V135" i="74"/>
  <c r="V80" i="83"/>
  <c r="V90" i="89"/>
  <c r="V72" i="81"/>
  <c r="V153" i="81"/>
  <c r="U17" i="84"/>
  <c r="U18" i="84" s="1"/>
  <c r="V92" i="87"/>
  <c r="V76" i="82"/>
  <c r="V182" i="81"/>
  <c r="V66" i="84"/>
  <c r="V135" i="94"/>
  <c r="V69" i="91"/>
  <c r="V164" i="89"/>
  <c r="V159" i="81"/>
  <c r="U59" i="94"/>
  <c r="U60" i="94" s="1"/>
  <c r="V149" i="94"/>
  <c r="V142" i="74"/>
  <c r="V78" i="88"/>
  <c r="V122" i="91"/>
  <c r="V181" i="74"/>
  <c r="V167" i="91"/>
  <c r="V67" i="84"/>
  <c r="U9" i="84"/>
  <c r="U10" i="84" s="1"/>
  <c r="V70" i="83"/>
  <c r="V70" i="89"/>
  <c r="V146" i="83"/>
  <c r="U49" i="85"/>
  <c r="U50" i="85" s="1"/>
  <c r="V63" i="85"/>
  <c r="V182" i="87"/>
  <c r="V134" i="89"/>
  <c r="V101" i="89"/>
  <c r="V123" i="74"/>
  <c r="V172" i="82"/>
  <c r="U11" i="87"/>
  <c r="U12" i="87" s="1"/>
  <c r="U49" i="83"/>
  <c r="U50" i="83" s="1"/>
  <c r="V95" i="87"/>
  <c r="V163" i="94"/>
  <c r="V86" i="91"/>
  <c r="U23" i="85"/>
  <c r="U24" i="85" s="1"/>
  <c r="V80" i="82"/>
  <c r="V98" i="91"/>
  <c r="V119" i="83"/>
  <c r="U9" i="85"/>
  <c r="U10" i="85" s="1"/>
  <c r="V124" i="82"/>
  <c r="V139" i="92"/>
  <c r="V134" i="85"/>
  <c r="V151" i="87"/>
  <c r="V155" i="82"/>
  <c r="V140" i="92"/>
  <c r="V166" i="84"/>
  <c r="V100" i="89"/>
  <c r="V101" i="88"/>
  <c r="V64" i="74"/>
  <c r="V138" i="74"/>
  <c r="U27" i="89"/>
  <c r="U28" i="89" s="1"/>
  <c r="V133" i="82"/>
  <c r="U61" i="82"/>
  <c r="U62" i="82" s="1"/>
  <c r="U21" i="84"/>
  <c r="U22" i="84" s="1"/>
  <c r="V145" i="82"/>
  <c r="V177" i="81"/>
  <c r="V176" i="83"/>
  <c r="U33" i="83"/>
  <c r="U34" i="83" s="1"/>
  <c r="V113" i="91"/>
  <c r="V124" i="83"/>
  <c r="V126" i="87"/>
  <c r="V63" i="81"/>
  <c r="V134" i="92"/>
  <c r="V73" i="74"/>
  <c r="Q187" i="87"/>
  <c r="U19" i="87"/>
  <c r="U20" i="87" s="1"/>
  <c r="V86" i="85"/>
  <c r="Q188" i="81"/>
  <c r="V139" i="82"/>
  <c r="V77" i="83"/>
  <c r="V88" i="74"/>
  <c r="V110" i="88"/>
  <c r="V121" i="85"/>
  <c r="V78" i="82"/>
  <c r="U27" i="81"/>
  <c r="U28" i="81" s="1"/>
  <c r="V100" i="84"/>
  <c r="V154" i="84"/>
  <c r="V77" i="91"/>
  <c r="V78" i="81"/>
  <c r="U41" i="84"/>
  <c r="U42" i="84" s="1"/>
  <c r="V118" i="88"/>
  <c r="V157" i="74"/>
  <c r="U29" i="84"/>
  <c r="U30" i="84" s="1"/>
  <c r="V171" i="88"/>
  <c r="V107" i="91"/>
  <c r="V78" i="91"/>
  <c r="V122" i="74"/>
  <c r="V165" i="91"/>
  <c r="U25" i="93"/>
  <c r="U26" i="93" s="1"/>
  <c r="V78" i="85"/>
  <c r="U39" i="81"/>
  <c r="U40" i="81" s="1"/>
  <c r="V86" i="88"/>
  <c r="U11" i="83"/>
  <c r="U12" i="83" s="1"/>
  <c r="V98" i="85"/>
  <c r="V158" i="87"/>
  <c r="V120" i="88"/>
  <c r="V160" i="89"/>
  <c r="V175" i="87"/>
  <c r="V125" i="87"/>
  <c r="V181" i="87"/>
  <c r="U37" i="82"/>
  <c r="U38" i="82" s="1"/>
  <c r="V137" i="88"/>
  <c r="V109" i="89"/>
  <c r="V71" i="84"/>
  <c r="V96" i="91"/>
  <c r="V84" i="74"/>
  <c r="V119" i="74"/>
  <c r="V164" i="83"/>
  <c r="V95" i="85"/>
  <c r="V65" i="84"/>
  <c r="Q188" i="74"/>
  <c r="U51" i="82"/>
  <c r="U52" i="82" s="1"/>
  <c r="V108" i="82"/>
  <c r="U21" i="91"/>
  <c r="U22" i="91" s="1"/>
  <c r="V77" i="74"/>
  <c r="V148" i="82"/>
  <c r="U55" i="87"/>
  <c r="U56" i="87" s="1"/>
  <c r="U41" i="94"/>
  <c r="U42" i="94" s="1"/>
  <c r="V121" i="89"/>
  <c r="V132" i="81"/>
  <c r="V137" i="83"/>
  <c r="V87" i="85"/>
  <c r="V102" i="88"/>
  <c r="V100" i="82"/>
  <c r="V174" i="89"/>
  <c r="V73" i="88"/>
  <c r="V89" i="82"/>
  <c r="V75" i="74"/>
  <c r="V112" i="94"/>
  <c r="V115" i="88"/>
  <c r="U31" i="82"/>
  <c r="U32" i="82" s="1"/>
  <c r="V122" i="89"/>
  <c r="V172" i="81"/>
  <c r="V139" i="89"/>
  <c r="V124" i="81"/>
  <c r="U27" i="74"/>
  <c r="U28" i="74" s="1"/>
  <c r="V135" i="89"/>
  <c r="V75" i="84"/>
  <c r="V132" i="74"/>
  <c r="U61" i="81"/>
  <c r="U62" i="81" s="1"/>
  <c r="V116" i="74"/>
  <c r="V178" i="91"/>
  <c r="U45" i="89"/>
  <c r="U46" i="89" s="1"/>
  <c r="V65" i="83"/>
  <c r="V151" i="82"/>
  <c r="V78" i="83"/>
  <c r="Q188" i="85"/>
  <c r="V142" i="87"/>
  <c r="V92" i="88"/>
  <c r="V162" i="74"/>
  <c r="V95" i="81"/>
  <c r="V181" i="84"/>
  <c r="U61" i="88"/>
  <c r="U62" i="88" s="1"/>
  <c r="V161" i="87"/>
  <c r="V103" i="74"/>
  <c r="V169" i="91"/>
  <c r="U57" i="88"/>
  <c r="U58" i="88" s="1"/>
  <c r="V132" i="85"/>
  <c r="V173" i="81"/>
  <c r="V132" i="84"/>
  <c r="U25" i="88"/>
  <c r="U26" i="88" s="1"/>
  <c r="V135" i="83"/>
  <c r="V129" i="74"/>
  <c r="V103" i="92"/>
  <c r="V128" i="84"/>
  <c r="V147" i="85"/>
  <c r="V140" i="81"/>
  <c r="V151" i="83"/>
  <c r="U39" i="92"/>
  <c r="U40" i="92" s="1"/>
  <c r="V114" i="82"/>
  <c r="V81" i="93"/>
  <c r="V64" i="91"/>
  <c r="V163" i="81"/>
  <c r="V178" i="74"/>
  <c r="U21" i="88"/>
  <c r="U22" i="88" s="1"/>
  <c r="V141" i="85"/>
  <c r="V129" i="82"/>
  <c r="V110" i="91"/>
  <c r="U27" i="88"/>
  <c r="U28" i="88" s="1"/>
  <c r="V178" i="81"/>
  <c r="V73" i="85"/>
  <c r="V112" i="82"/>
  <c r="V175" i="84"/>
  <c r="V171" i="81"/>
  <c r="V147" i="84"/>
  <c r="U19" i="93"/>
  <c r="U20" i="93" s="1"/>
  <c r="V113" i="74"/>
  <c r="U47" i="93"/>
  <c r="U48" i="93" s="1"/>
  <c r="V118" i="89"/>
  <c r="V88" i="81"/>
  <c r="V166" i="74"/>
  <c r="U51" i="83"/>
  <c r="U52" i="83" s="1"/>
  <c r="V180" i="85"/>
  <c r="V162" i="81"/>
  <c r="V125" i="85"/>
  <c r="V95" i="84"/>
  <c r="V177" i="88"/>
  <c r="V135" i="87"/>
  <c r="V125" i="91"/>
  <c r="V79" i="85"/>
  <c r="U49" i="82"/>
  <c r="U50" i="82" s="1"/>
  <c r="V72" i="83"/>
  <c r="V162" i="85"/>
  <c r="V87" i="74"/>
  <c r="V107" i="74"/>
  <c r="U27" i="85"/>
  <c r="U28" i="85" s="1"/>
  <c r="V86" i="87"/>
  <c r="V79" i="92"/>
  <c r="V67" i="74"/>
  <c r="V93" i="83"/>
  <c r="V116" i="91"/>
  <c r="V155" i="83"/>
  <c r="V180" i="92"/>
  <c r="V119" i="81"/>
  <c r="V91" i="85"/>
  <c r="V108" i="91"/>
  <c r="V165" i="81"/>
  <c r="U41" i="85"/>
  <c r="U42" i="85" s="1"/>
  <c r="U35" i="81"/>
  <c r="U36" i="81" s="1"/>
  <c r="V173" i="85"/>
  <c r="U49" i="88"/>
  <c r="U50" i="88" s="1"/>
  <c r="V88" i="91"/>
  <c r="V122" i="82"/>
  <c r="V121" i="83"/>
  <c r="U43" i="87"/>
  <c r="U44" i="87" s="1"/>
  <c r="V98" i="87"/>
  <c r="V127" i="82"/>
  <c r="V167" i="82"/>
  <c r="V128" i="94"/>
  <c r="V133" i="85"/>
  <c r="V169" i="74"/>
  <c r="V161" i="94"/>
  <c r="V179" i="74"/>
  <c r="V171" i="89"/>
  <c r="V147" i="74"/>
  <c r="V140" i="82"/>
  <c r="V131" i="91"/>
  <c r="V133" i="84"/>
  <c r="V64" i="84"/>
  <c r="U49" i="81"/>
  <c r="U50" i="81" s="1"/>
  <c r="V110" i="89"/>
  <c r="V137" i="81"/>
  <c r="V107" i="82"/>
  <c r="V67" i="92"/>
  <c r="U37" i="74"/>
  <c r="U38" i="74" s="1"/>
  <c r="V143" i="83"/>
  <c r="U11" i="94"/>
  <c r="U12" i="94" s="1"/>
  <c r="V113" i="83"/>
  <c r="V78" i="89"/>
  <c r="V176" i="91"/>
  <c r="V98" i="93"/>
  <c r="V68" i="81"/>
  <c r="U17" i="82"/>
  <c r="U18" i="82" s="1"/>
  <c r="V159" i="84"/>
  <c r="V116" i="81"/>
  <c r="V76" i="92"/>
  <c r="V63" i="93"/>
  <c r="U45" i="81"/>
  <c r="U46" i="81" s="1"/>
  <c r="U9" i="81"/>
  <c r="U10" i="81" s="1"/>
  <c r="V178" i="93"/>
  <c r="V161" i="74"/>
  <c r="U39" i="88"/>
  <c r="U40" i="88" s="1"/>
  <c r="V89" i="74"/>
  <c r="U29" i="92"/>
  <c r="U30" i="92" s="1"/>
  <c r="V142" i="89"/>
  <c r="V85" i="93"/>
  <c r="V83" i="87"/>
  <c r="V179" i="93"/>
  <c r="V106" i="81"/>
  <c r="V82" i="87"/>
  <c r="U9" i="88"/>
  <c r="U10" i="88" s="1"/>
  <c r="V119" i="91"/>
  <c r="V157" i="83"/>
  <c r="V152" i="94"/>
  <c r="U55" i="82"/>
  <c r="U56" i="82" s="1"/>
  <c r="V113" i="82"/>
  <c r="V157" i="81"/>
  <c r="V150" i="88"/>
  <c r="V94" i="83"/>
  <c r="U57" i="74"/>
  <c r="U58" i="74" s="1"/>
  <c r="V72" i="74"/>
  <c r="U49" i="87"/>
  <c r="U50" i="87" s="1"/>
  <c r="V105" i="87"/>
  <c r="V131" i="74"/>
  <c r="V156" i="94"/>
  <c r="V166" i="92"/>
  <c r="V63" i="89"/>
  <c r="V182" i="85"/>
  <c r="U31" i="88"/>
  <c r="U32" i="88" s="1"/>
  <c r="V151" i="85"/>
  <c r="V113" i="85"/>
  <c r="V133" i="81"/>
  <c r="V104" i="94"/>
  <c r="V102" i="85"/>
  <c r="V159" i="88"/>
  <c r="V80" i="81"/>
  <c r="V96" i="94"/>
  <c r="V64" i="85"/>
  <c r="V172" i="83"/>
  <c r="V129" i="91"/>
  <c r="U27" i="82"/>
  <c r="U28" i="82" s="1"/>
  <c r="V126" i="94"/>
  <c r="V167" i="74"/>
  <c r="V165" i="93"/>
  <c r="V119" i="87"/>
  <c r="V91" i="74"/>
  <c r="U9" i="87"/>
  <c r="U10" i="87" s="1"/>
  <c r="V155" i="87"/>
  <c r="V68" i="88"/>
  <c r="V66" i="74"/>
  <c r="V151" i="94"/>
  <c r="V133" i="87"/>
  <c r="V76" i="81"/>
  <c r="V149" i="89"/>
  <c r="U59" i="83"/>
  <c r="U60" i="83" s="1"/>
  <c r="V85" i="74"/>
  <c r="V79" i="82"/>
  <c r="V74" i="82"/>
  <c r="V65" i="82"/>
  <c r="V153" i="84"/>
  <c r="V166" i="83"/>
  <c r="V92" i="82"/>
  <c r="V112" i="87"/>
  <c r="V124" i="74"/>
  <c r="V74" i="93"/>
  <c r="Q187" i="84"/>
  <c r="U31" i="93"/>
  <c r="U32" i="93" s="1"/>
  <c r="U31" i="83"/>
  <c r="U32" i="83" s="1"/>
  <c r="V132" i="88"/>
  <c r="V99" i="88"/>
  <c r="V81" i="85"/>
  <c r="V129" i="92"/>
  <c r="U51" i="84"/>
  <c r="U52" i="84" s="1"/>
  <c r="V110" i="74"/>
  <c r="V146" i="74"/>
  <c r="V80" i="91"/>
  <c r="V70" i="88"/>
  <c r="V82" i="82"/>
  <c r="V159" i="74"/>
  <c r="V130" i="83"/>
  <c r="V120" i="82"/>
  <c r="V126" i="81"/>
  <c r="V74" i="85"/>
  <c r="U21" i="81"/>
  <c r="U22" i="81" s="1"/>
  <c r="V126" i="74"/>
  <c r="V173" i="92"/>
  <c r="V86" i="81"/>
  <c r="V92" i="94"/>
  <c r="V81" i="88"/>
  <c r="V112" i="74"/>
  <c r="V70" i="81"/>
  <c r="V99" i="85"/>
  <c r="U13" i="82"/>
  <c r="U14" i="82" s="1"/>
  <c r="U23" i="94"/>
  <c r="U24" i="94" s="1"/>
  <c r="V67" i="94"/>
  <c r="U27" i="84"/>
  <c r="U28" i="84" s="1"/>
  <c r="V109" i="81"/>
  <c r="V161" i="91"/>
  <c r="V127" i="88"/>
  <c r="U19" i="83"/>
  <c r="U20" i="83" s="1"/>
  <c r="V108" i="85"/>
  <c r="V140" i="74"/>
  <c r="U15" i="82"/>
  <c r="U16" i="82" s="1"/>
  <c r="V145" i="91"/>
  <c r="V157" i="82"/>
  <c r="V77" i="84"/>
  <c r="V170" i="87"/>
  <c r="V181" i="81"/>
  <c r="V87" i="88"/>
  <c r="V103" i="88"/>
  <c r="V161" i="89"/>
  <c r="V141" i="74"/>
  <c r="V149" i="84"/>
  <c r="U37" i="91"/>
  <c r="U38" i="91" s="1"/>
  <c r="V144" i="89"/>
  <c r="V121" i="91"/>
  <c r="V115" i="81"/>
  <c r="V88" i="87"/>
  <c r="V81" i="91"/>
  <c r="U43" i="82"/>
  <c r="U44" i="82" s="1"/>
  <c r="V169" i="88"/>
  <c r="V146" i="81"/>
  <c r="V101" i="74"/>
  <c r="V146" i="87"/>
  <c r="V77" i="92"/>
  <c r="V182" i="74"/>
  <c r="V64" i="89"/>
  <c r="V101" i="83"/>
  <c r="V126" i="89"/>
  <c r="V175" i="83"/>
  <c r="V92" i="74"/>
  <c r="V102" i="74"/>
  <c r="Q187" i="81"/>
  <c r="V181" i="82"/>
  <c r="V131" i="81"/>
  <c r="V94" i="89"/>
  <c r="U27" i="91"/>
  <c r="U28" i="91" s="1"/>
  <c r="V71" i="88"/>
  <c r="V181" i="91"/>
  <c r="V129" i="94"/>
  <c r="U61" i="84"/>
  <c r="U62" i="84" s="1"/>
  <c r="Q188" i="84"/>
  <c r="Q187" i="85"/>
  <c r="V93" i="74"/>
  <c r="U53" i="91"/>
  <c r="U54" i="91" s="1"/>
  <c r="V89" i="81"/>
  <c r="V156" i="88"/>
  <c r="V101" i="82"/>
  <c r="V164" i="74"/>
  <c r="U17" i="81"/>
  <c r="U18" i="81" s="1"/>
  <c r="U49" i="91"/>
  <c r="U50" i="91" s="1"/>
  <c r="V109" i="92"/>
  <c r="V154" i="87"/>
  <c r="V172" i="89"/>
  <c r="V124" i="85"/>
  <c r="V150" i="82"/>
  <c r="V92" i="85"/>
  <c r="V109" i="93"/>
  <c r="V87" i="83"/>
  <c r="U25" i="89"/>
  <c r="U26" i="89" s="1"/>
  <c r="V173" i="91"/>
  <c r="V172" i="91"/>
  <c r="V156" i="91"/>
  <c r="U15" i="91"/>
  <c r="U16" i="91" s="1"/>
  <c r="V154" i="83"/>
  <c r="V80" i="84"/>
  <c r="V180" i="88"/>
  <c r="V112" i="81"/>
  <c r="V145" i="83"/>
  <c r="V89" i="85"/>
  <c r="V155" i="74"/>
  <c r="V129" i="85"/>
  <c r="U15" i="83"/>
  <c r="U16" i="83" s="1"/>
  <c r="V163" i="88"/>
  <c r="V72" i="91"/>
  <c r="U55" i="85"/>
  <c r="U56" i="85" s="1"/>
  <c r="V64" i="87"/>
  <c r="V84" i="85"/>
  <c r="V181" i="89"/>
  <c r="V124" i="92"/>
  <c r="U43" i="81"/>
  <c r="U44" i="81" s="1"/>
  <c r="V115" i="83"/>
  <c r="V82" i="89"/>
  <c r="V119" i="84"/>
  <c r="V164" i="93"/>
  <c r="Q188" i="82"/>
  <c r="U23" i="82"/>
  <c r="U24" i="82" s="1"/>
  <c r="V73" i="91"/>
  <c r="V181" i="93"/>
  <c r="V177" i="87"/>
  <c r="V163" i="74"/>
  <c r="V158" i="85"/>
  <c r="V128" i="83"/>
  <c r="V89" i="88"/>
  <c r="Q187" i="91"/>
  <c r="V176" i="84"/>
  <c r="V157" i="85"/>
  <c r="U33" i="82"/>
  <c r="U34" i="82" s="1"/>
  <c r="V70" i="85"/>
  <c r="V99" i="91"/>
  <c r="V91" i="83"/>
  <c r="V148" i="74"/>
  <c r="V165" i="87"/>
  <c r="V76" i="84"/>
  <c r="V144" i="74"/>
  <c r="V91" i="89"/>
  <c r="V150" i="74"/>
  <c r="V84" i="84"/>
  <c r="V109" i="83"/>
  <c r="U13" i="85"/>
  <c r="U14" i="85" s="1"/>
  <c r="V87" i="94"/>
  <c r="U29" i="74"/>
  <c r="U30" i="74" s="1"/>
  <c r="V99" i="92"/>
  <c r="V107" i="89"/>
  <c r="V123" i="89"/>
  <c r="V182" i="83"/>
  <c r="U29" i="83"/>
  <c r="U30" i="83" s="1"/>
  <c r="V147" i="94"/>
  <c r="V75" i="85"/>
  <c r="U45" i="91"/>
  <c r="U46" i="91" s="1"/>
  <c r="V97" i="82"/>
  <c r="V166" i="94"/>
  <c r="V142" i="85"/>
  <c r="V70" i="74"/>
  <c r="V112" i="85"/>
  <c r="V96" i="74"/>
  <c r="V147" i="87"/>
  <c r="V88" i="94"/>
  <c r="V128" i="88"/>
  <c r="V154" i="89"/>
  <c r="V97" i="87"/>
  <c r="V105" i="92"/>
  <c r="V100" i="94"/>
  <c r="V99" i="89"/>
  <c r="U41" i="83"/>
  <c r="U42" i="83" s="1"/>
  <c r="V111" i="83"/>
  <c r="V131" i="85"/>
  <c r="V116" i="94"/>
  <c r="V96" i="82"/>
  <c r="V76" i="88"/>
  <c r="U19" i="88"/>
  <c r="U20" i="88" s="1"/>
  <c r="V162" i="87"/>
  <c r="V131" i="83"/>
  <c r="V71" i="92"/>
  <c r="V94" i="87"/>
  <c r="V130" i="82"/>
  <c r="V95" i="74"/>
  <c r="V63" i="92"/>
  <c r="V135" i="82"/>
  <c r="V152" i="89"/>
  <c r="V125" i="74"/>
  <c r="V82" i="93"/>
  <c r="Q187" i="82"/>
  <c r="V99" i="81"/>
  <c r="V99" i="83"/>
  <c r="U31" i="84"/>
  <c r="U32" i="84" s="1"/>
  <c r="V124" i="89"/>
  <c r="V138" i="83"/>
  <c r="V158" i="89"/>
  <c r="V174" i="87"/>
  <c r="V164" i="81"/>
  <c r="V79" i="83"/>
  <c r="U25" i="83"/>
  <c r="U26" i="83" s="1"/>
  <c r="V116" i="82"/>
  <c r="V130" i="81"/>
  <c r="V152" i="88"/>
  <c r="V141" i="88"/>
  <c r="V93" i="88"/>
  <c r="U23" i="91"/>
  <c r="U24" i="91" s="1"/>
  <c r="V128" i="82"/>
  <c r="V80" i="94"/>
  <c r="U13" i="81"/>
  <c r="U14" i="81" s="1"/>
  <c r="V174" i="92"/>
  <c r="V138" i="87"/>
  <c r="U53" i="93"/>
  <c r="U54" i="93" s="1"/>
  <c r="V127" i="87"/>
  <c r="U29" i="89"/>
  <c r="U30" i="89" s="1"/>
  <c r="V147" i="88"/>
  <c r="V122" i="83"/>
  <c r="V83" i="74"/>
  <c r="V95" i="83"/>
  <c r="V162" i="88"/>
  <c r="U39" i="91"/>
  <c r="U40" i="91" s="1"/>
  <c r="V177" i="83"/>
  <c r="V118" i="74"/>
  <c r="V174" i="74"/>
  <c r="U57" i="84"/>
  <c r="U58" i="84" s="1"/>
  <c r="U61" i="89"/>
  <c r="U62" i="89" s="1"/>
  <c r="V154" i="82"/>
  <c r="V179" i="88"/>
  <c r="V152" i="83"/>
  <c r="V135" i="81"/>
  <c r="U21" i="74"/>
  <c r="U22" i="74" s="1"/>
  <c r="V117" i="81"/>
  <c r="U51" i="92"/>
  <c r="U52" i="92" s="1"/>
  <c r="V100" i="85"/>
  <c r="V69" i="84"/>
  <c r="V139" i="91"/>
  <c r="V162" i="83"/>
  <c r="V178" i="88"/>
  <c r="U59" i="91"/>
  <c r="U60" i="91" s="1"/>
  <c r="V78" i="87"/>
  <c r="V79" i="74"/>
  <c r="V128" i="81"/>
  <c r="V81" i="84"/>
  <c r="V100" i="83"/>
  <c r="U23" i="83"/>
  <c r="U24" i="83" s="1"/>
  <c r="V98" i="94"/>
  <c r="V176" i="74"/>
  <c r="U15" i="81"/>
  <c r="U16" i="81" s="1"/>
  <c r="V164" i="85"/>
  <c r="U55" i="83"/>
  <c r="U56" i="83" s="1"/>
  <c r="V122" i="94"/>
  <c r="V168" i="81"/>
  <c r="V88" i="92"/>
  <c r="V179" i="87"/>
  <c r="V118" i="91"/>
  <c r="V116" i="88"/>
  <c r="U35" i="88"/>
  <c r="U36" i="88" s="1"/>
  <c r="V133" i="74"/>
  <c r="V123" i="93"/>
  <c r="U47" i="85"/>
  <c r="U48" i="85" s="1"/>
  <c r="V69" i="83"/>
  <c r="V93" i="89"/>
  <c r="V71" i="89"/>
  <c r="V162" i="82"/>
  <c r="V79" i="87"/>
  <c r="V75" i="83"/>
  <c r="V74" i="74"/>
  <c r="V168" i="83"/>
  <c r="U13" i="87"/>
  <c r="U14" i="87" s="1"/>
  <c r="V66" i="82"/>
  <c r="U27" i="83"/>
  <c r="U28" i="83" s="1"/>
  <c r="V145" i="74"/>
  <c r="V163" i="89"/>
  <c r="V89" i="83"/>
  <c r="V80" i="74"/>
  <c r="V179" i="92"/>
  <c r="V68" i="87"/>
  <c r="V83" i="88"/>
  <c r="V140" i="85"/>
  <c r="V108" i="93"/>
  <c r="V117" i="91"/>
  <c r="V106" i="74"/>
  <c r="V164" i="82"/>
  <c r="V85" i="84"/>
  <c r="V147" i="81"/>
  <c r="V102" i="92"/>
  <c r="U9" i="82"/>
  <c r="U10" i="82" s="1"/>
  <c r="V171" i="92"/>
  <c r="V85" i="89"/>
  <c r="V102" i="93"/>
  <c r="V99" i="82"/>
  <c r="V179" i="81"/>
  <c r="V155" i="91"/>
  <c r="V77" i="88"/>
  <c r="V105" i="83"/>
  <c r="V157" i="92"/>
  <c r="V167" i="83"/>
  <c r="V143" i="89"/>
  <c r="U11" i="74"/>
  <c r="U12" i="74" s="1"/>
  <c r="V138" i="93"/>
  <c r="U15" i="88"/>
  <c r="U16" i="88" s="1"/>
  <c r="U17" i="87"/>
  <c r="U18" i="87" s="1"/>
  <c r="V117" i="87"/>
  <c r="U15" i="85"/>
  <c r="U16" i="85" s="1"/>
  <c r="V154" i="88"/>
  <c r="V125" i="81"/>
  <c r="V174" i="91"/>
  <c r="V148" i="94"/>
  <c r="V123" i="82"/>
  <c r="V125" i="92"/>
  <c r="V102" i="83"/>
  <c r="V150" i="94"/>
  <c r="V160" i="82"/>
  <c r="V115" i="74"/>
  <c r="V90" i="91"/>
  <c r="V117" i="74"/>
  <c r="V155" i="81"/>
  <c r="U45" i="84"/>
  <c r="U46" i="84" s="1"/>
  <c r="V136" i="82"/>
  <c r="U21" i="92"/>
  <c r="U22" i="92" s="1"/>
  <c r="V73" i="81"/>
  <c r="V114" i="88"/>
  <c r="V73" i="87"/>
  <c r="U37" i="85"/>
  <c r="U38" i="85" s="1"/>
  <c r="V114" i="93"/>
  <c r="V88" i="83"/>
  <c r="V138" i="88"/>
  <c r="V83" i="92"/>
  <c r="V153" i="83"/>
  <c r="V114" i="87"/>
  <c r="V79" i="88"/>
  <c r="V105" i="85"/>
  <c r="V166" i="89"/>
  <c r="V66" i="94"/>
  <c r="V180" i="89"/>
  <c r="V128" i="85"/>
  <c r="V112" i="88"/>
  <c r="V99" i="74"/>
  <c r="V64" i="81"/>
  <c r="V69" i="82"/>
  <c r="U51" i="93"/>
  <c r="U52" i="93" s="1"/>
  <c r="V142" i="88"/>
  <c r="V152" i="91"/>
  <c r="V133" i="94"/>
  <c r="V129" i="93"/>
  <c r="V180" i="82"/>
  <c r="U11" i="85"/>
  <c r="U12" i="85" s="1"/>
  <c r="V67" i="87"/>
  <c r="V95" i="92"/>
  <c r="U35" i="82"/>
  <c r="U36" i="82" s="1"/>
  <c r="V111" i="91"/>
  <c r="V165" i="92"/>
  <c r="V68" i="93"/>
  <c r="V68" i="82"/>
  <c r="V172" i="85"/>
  <c r="U61" i="91"/>
  <c r="U62" i="91" s="1"/>
  <c r="V124" i="87"/>
  <c r="V82" i="84"/>
  <c r="V125" i="88"/>
  <c r="V94" i="74"/>
  <c r="V144" i="92"/>
  <c r="V118" i="84"/>
  <c r="V149" i="83"/>
  <c r="V99" i="87"/>
  <c r="V102" i="94"/>
  <c r="V167" i="84"/>
  <c r="V168" i="88"/>
  <c r="V90" i="94"/>
  <c r="V178" i="94"/>
  <c r="V95" i="82"/>
  <c r="U31" i="85"/>
  <c r="U32" i="85" s="1"/>
  <c r="U23" i="89"/>
  <c r="U24" i="89" s="1"/>
  <c r="V105" i="93"/>
  <c r="V143" i="87"/>
  <c r="V100" i="81"/>
  <c r="V91" i="88"/>
  <c r="V79" i="91"/>
  <c r="V111" i="74"/>
  <c r="V104" i="82"/>
  <c r="V182" i="94"/>
  <c r="V136" i="81"/>
  <c r="V137" i="82"/>
  <c r="Q188" i="83"/>
  <c r="V131" i="82"/>
  <c r="V97" i="81"/>
  <c r="V110" i="83"/>
  <c r="V134" i="81"/>
  <c r="V64" i="93"/>
  <c r="V68" i="92"/>
  <c r="V93" i="82"/>
  <c r="U57" i="85"/>
  <c r="U58" i="85" s="1"/>
  <c r="V143" i="82"/>
  <c r="U31" i="81"/>
  <c r="U32" i="81" s="1"/>
  <c r="V141" i="83"/>
  <c r="V80" i="92"/>
  <c r="V63" i="84"/>
  <c r="V166" i="91"/>
  <c r="V112" i="89"/>
  <c r="V178" i="82"/>
  <c r="U37" i="83"/>
  <c r="U38" i="83" s="1"/>
  <c r="U35" i="84"/>
  <c r="U36" i="84" s="1"/>
  <c r="Q188" i="94"/>
  <c r="V124" i="94"/>
  <c r="V156" i="82"/>
  <c r="V172" i="93"/>
  <c r="U53" i="92"/>
  <c r="U54" i="92" s="1"/>
  <c r="V65" i="91"/>
  <c r="V149" i="91"/>
  <c r="V136" i="93"/>
  <c r="V147" i="91"/>
  <c r="V169" i="94"/>
  <c r="V144" i="93"/>
  <c r="V64" i="82"/>
  <c r="U47" i="91"/>
  <c r="U48" i="91" s="1"/>
  <c r="V103" i="81"/>
  <c r="V176" i="82"/>
  <c r="V87" i="82"/>
  <c r="V98" i="82"/>
  <c r="U59" i="82"/>
  <c r="U60" i="82" s="1"/>
  <c r="V171" i="87"/>
  <c r="U15" i="84"/>
  <c r="U16" i="84" s="1"/>
  <c r="U9" i="94"/>
  <c r="U10" i="94" s="1"/>
  <c r="U19" i="94"/>
  <c r="U20" i="94" s="1"/>
  <c r="V138" i="92"/>
  <c r="V68" i="89"/>
  <c r="V118" i="93"/>
  <c r="V108" i="89"/>
  <c r="V108" i="81"/>
  <c r="V148" i="89"/>
  <c r="V132" i="93"/>
  <c r="V116" i="89"/>
  <c r="V77" i="87"/>
  <c r="V145" i="89"/>
  <c r="V75" i="94"/>
  <c r="V118" i="82"/>
  <c r="V74" i="91"/>
  <c r="V138" i="94"/>
  <c r="V175" i="88"/>
  <c r="V79" i="89"/>
  <c r="V143" i="84"/>
  <c r="V67" i="93"/>
  <c r="U15" i="74"/>
  <c r="U16" i="74" s="1"/>
  <c r="U11" i="81"/>
  <c r="U12" i="81" s="1"/>
  <c r="V149" i="74"/>
  <c r="U55" i="84"/>
  <c r="U56" i="84" s="1"/>
  <c r="V130" i="88"/>
  <c r="U25" i="91"/>
  <c r="U26" i="91" s="1"/>
  <c r="V129" i="87"/>
  <c r="V163" i="87"/>
  <c r="U13" i="83"/>
  <c r="U14" i="83" s="1"/>
  <c r="V140" i="93"/>
  <c r="V163" i="82"/>
  <c r="V173" i="93"/>
  <c r="V104" i="74"/>
  <c r="V93" i="81"/>
  <c r="U45" i="85"/>
  <c r="U46" i="85" s="1"/>
  <c r="V66" i="89"/>
  <c r="U61" i="87"/>
  <c r="U62" i="87" s="1"/>
  <c r="V75" i="82"/>
  <c r="U33" i="85"/>
  <c r="U34" i="85" s="1"/>
  <c r="V89" i="93"/>
  <c r="V158" i="93"/>
  <c r="V143" i="92"/>
  <c r="V136" i="83"/>
  <c r="V81" i="82"/>
  <c r="V64" i="92"/>
  <c r="V91" i="92"/>
  <c r="V86" i="92"/>
  <c r="U13" i="88"/>
  <c r="U14" i="88" s="1"/>
  <c r="V89" i="87"/>
  <c r="V156" i="81"/>
  <c r="V146" i="88"/>
  <c r="V92" i="92"/>
  <c r="V68" i="85"/>
  <c r="V178" i="83"/>
  <c r="V85" i="82"/>
  <c r="V152" i="81"/>
  <c r="V88" i="93"/>
  <c r="V95" i="93"/>
  <c r="U31" i="74"/>
  <c r="U32" i="74" s="1"/>
  <c r="V103" i="83"/>
  <c r="V74" i="83"/>
  <c r="V110" i="85"/>
  <c r="V94" i="84"/>
  <c r="U11" i="91"/>
  <c r="U12" i="91" s="1"/>
  <c r="V153" i="89"/>
  <c r="V63" i="87"/>
  <c r="V96" i="81"/>
  <c r="V71" i="82"/>
  <c r="V128" i="93"/>
  <c r="V158" i="74"/>
  <c r="U47" i="84"/>
  <c r="U48" i="84" s="1"/>
  <c r="V176" i="92"/>
  <c r="V95" i="91"/>
  <c r="V73" i="82"/>
  <c r="V98" i="83"/>
  <c r="V112" i="93"/>
  <c r="V133" i="89"/>
  <c r="U53" i="84"/>
  <c r="U54" i="84" s="1"/>
  <c r="V71" i="81"/>
  <c r="V174" i="85"/>
  <c r="V92" i="91"/>
  <c r="U25" i="92"/>
  <c r="U26" i="92" s="1"/>
  <c r="V92" i="89"/>
  <c r="U57" i="83"/>
  <c r="U58" i="83" s="1"/>
  <c r="V142" i="82"/>
  <c r="V114" i="91"/>
  <c r="V84" i="92"/>
  <c r="U23" i="87"/>
  <c r="U24" i="87" s="1"/>
  <c r="V82" i="91"/>
  <c r="V139" i="94"/>
  <c r="V181" i="88"/>
  <c r="V70" i="82"/>
  <c r="U57" i="87"/>
  <c r="U58" i="87" s="1"/>
  <c r="V104" i="87"/>
  <c r="V164" i="88"/>
  <c r="V145" i="87"/>
  <c r="U59" i="85"/>
  <c r="U60" i="85" s="1"/>
  <c r="V80" i="88"/>
  <c r="V137" i="89"/>
  <c r="V67" i="89"/>
  <c r="U55" i="93"/>
  <c r="U56" i="93" s="1"/>
  <c r="U35" i="83"/>
  <c r="U36" i="83" s="1"/>
  <c r="U29" i="88"/>
  <c r="U30" i="88" s="1"/>
  <c r="U53" i="85"/>
  <c r="U54" i="85" s="1"/>
  <c r="V167" i="92"/>
  <c r="V86" i="93"/>
  <c r="V81" i="89"/>
  <c r="V169" i="92"/>
  <c r="V63" i="83"/>
  <c r="V180" i="94"/>
  <c r="V159" i="83"/>
  <c r="V120" i="85"/>
  <c r="V178" i="85"/>
  <c r="V114" i="83"/>
  <c r="V90" i="87"/>
  <c r="V156" i="74"/>
  <c r="V97" i="94"/>
  <c r="V144" i="91"/>
  <c r="V120" i="89"/>
  <c r="V84" i="87"/>
  <c r="V101" i="93"/>
  <c r="V122" i="92"/>
  <c r="V71" i="83"/>
  <c r="V171" i="94"/>
  <c r="V136" i="89"/>
  <c r="V160" i="92"/>
  <c r="U51" i="81"/>
  <c r="U52" i="81" s="1"/>
  <c r="U19" i="74"/>
  <c r="U20" i="74" s="1"/>
  <c r="V162" i="91"/>
  <c r="V128" i="92"/>
  <c r="V149" i="87"/>
  <c r="V82" i="85"/>
  <c r="V160" i="94"/>
  <c r="V86" i="82"/>
  <c r="U15" i="92"/>
  <c r="U16" i="92" s="1"/>
  <c r="V150" i="81"/>
  <c r="V122" i="85"/>
  <c r="U23" i="88"/>
  <c r="U24" i="88" s="1"/>
  <c r="V104" i="88"/>
  <c r="V97" i="74"/>
  <c r="V86" i="94"/>
  <c r="V131" i="88"/>
  <c r="V151" i="93"/>
  <c r="V126" i="92"/>
  <c r="V152" i="92"/>
  <c r="V154" i="93"/>
  <c r="V86" i="83"/>
  <c r="V174" i="93"/>
  <c r="U9" i="91"/>
  <c r="U10" i="91" s="1"/>
  <c r="V156" i="83"/>
  <c r="V126" i="91"/>
  <c r="V87" i="91"/>
  <c r="V121" i="81"/>
  <c r="V174" i="81"/>
  <c r="V166" i="87"/>
  <c r="V119" i="89"/>
  <c r="V150" i="85"/>
  <c r="V103" i="82"/>
  <c r="V140" i="91"/>
  <c r="V87" i="89"/>
  <c r="V82" i="74"/>
  <c r="U55" i="74"/>
  <c r="U56" i="74" s="1"/>
  <c r="U21" i="89"/>
  <c r="U22" i="89" s="1"/>
  <c r="V107" i="93"/>
  <c r="U25" i="84"/>
  <c r="U26" i="84" s="1"/>
  <c r="U37" i="87"/>
  <c r="U38" i="87" s="1"/>
  <c r="V168" i="89"/>
  <c r="V76" i="83"/>
  <c r="U61" i="85"/>
  <c r="U62" i="85" s="1"/>
  <c r="U27" i="94"/>
  <c r="U28" i="94" s="1"/>
  <c r="V104" i="89"/>
  <c r="U35" i="87"/>
  <c r="U36" i="87" s="1"/>
  <c r="Q187" i="92"/>
  <c r="V127" i="92"/>
  <c r="U49" i="84"/>
  <c r="U50" i="84" s="1"/>
  <c r="V152" i="82"/>
  <c r="V104" i="85"/>
  <c r="Q187" i="74"/>
  <c r="U37" i="89"/>
  <c r="U38" i="89" s="1"/>
  <c r="U13" i="91"/>
  <c r="U14" i="91" s="1"/>
  <c r="V132" i="92"/>
  <c r="V89" i="91"/>
  <c r="V129" i="81"/>
  <c r="V98" i="89"/>
  <c r="V79" i="81"/>
  <c r="V159" i="87"/>
  <c r="V172" i="87"/>
  <c r="U11" i="92"/>
  <c r="U12" i="92" s="1"/>
  <c r="V147" i="82"/>
  <c r="V71" i="74"/>
  <c r="V167" i="87"/>
  <c r="V176" i="93"/>
  <c r="V110" i="93"/>
  <c r="U51" i="89"/>
  <c r="U52" i="89" s="1"/>
  <c r="V160" i="93"/>
  <c r="Q187" i="88"/>
  <c r="V166" i="88"/>
  <c r="V67" i="83"/>
  <c r="V171" i="91"/>
  <c r="U47" i="83"/>
  <c r="U48" i="83" s="1"/>
  <c r="Q187" i="89"/>
  <c r="V161" i="85"/>
  <c r="V122" i="88"/>
  <c r="V111" i="92"/>
  <c r="V161" i="81"/>
  <c r="U33" i="88"/>
  <c r="U34" i="88" s="1"/>
  <c r="V113" i="93"/>
  <c r="V77" i="82"/>
  <c r="U37" i="88"/>
  <c r="U38" i="88" s="1"/>
  <c r="V152" i="74"/>
  <c r="V180" i="93"/>
  <c r="V117" i="88"/>
  <c r="V89" i="92"/>
  <c r="V111" i="88"/>
  <c r="V91" i="93"/>
  <c r="V63" i="88"/>
  <c r="V76" i="93"/>
  <c r="V170" i="94"/>
  <c r="V177" i="93"/>
  <c r="U51" i="88"/>
  <c r="U52" i="88" s="1"/>
  <c r="V82" i="94"/>
  <c r="V160" i="88"/>
  <c r="V84" i="82"/>
  <c r="V81" i="74"/>
  <c r="V109" i="74"/>
  <c r="V94" i="88"/>
  <c r="V98" i="81"/>
  <c r="V115" i="94"/>
  <c r="V65" i="92"/>
  <c r="V98" i="74"/>
  <c r="V90" i="88"/>
  <c r="V132" i="91"/>
  <c r="U23" i="81"/>
  <c r="U24" i="81" s="1"/>
  <c r="V123" i="91"/>
  <c r="V66" i="81"/>
  <c r="V178" i="89"/>
  <c r="V70" i="87"/>
  <c r="U49" i="92"/>
  <c r="U50" i="92" s="1"/>
  <c r="U49" i="89"/>
  <c r="U50" i="89" s="1"/>
  <c r="V70" i="93"/>
  <c r="V118" i="85"/>
  <c r="V101" i="91"/>
  <c r="U47" i="82"/>
  <c r="U48" i="82" s="1"/>
  <c r="V175" i="82"/>
  <c r="V153" i="94"/>
  <c r="V168" i="82"/>
  <c r="V174" i="94"/>
  <c r="V159" i="92"/>
  <c r="U17" i="74"/>
  <c r="U18" i="74" s="1"/>
  <c r="U57" i="92"/>
  <c r="U58" i="92" s="1"/>
  <c r="V72" i="94"/>
  <c r="V97" i="88"/>
  <c r="V139" i="87"/>
  <c r="V81" i="87"/>
  <c r="V164" i="91"/>
  <c r="V108" i="87"/>
  <c r="V141" i="89"/>
  <c r="Q188" i="91"/>
  <c r="U11" i="89"/>
  <c r="U12" i="89" s="1"/>
  <c r="U29" i="85"/>
  <c r="U30" i="85" s="1"/>
  <c r="U29" i="93"/>
  <c r="U30" i="93" s="1"/>
  <c r="U61" i="94"/>
  <c r="U62" i="94" s="1"/>
  <c r="V99" i="93"/>
  <c r="U41" i="93"/>
  <c r="U42" i="93" s="1"/>
  <c r="V74" i="87"/>
  <c r="V174" i="82"/>
  <c r="V139" i="74"/>
  <c r="V67" i="82"/>
  <c r="V109" i="91"/>
  <c r="V158" i="82"/>
  <c r="V172" i="74"/>
  <c r="V151" i="91"/>
  <c r="V141" i="91"/>
  <c r="V139" i="85"/>
  <c r="V159" i="91"/>
  <c r="V136" i="94"/>
  <c r="V142" i="81"/>
  <c r="V74" i="84"/>
  <c r="V93" i="92"/>
  <c r="U43" i="74"/>
  <c r="U44" i="74" s="1"/>
  <c r="V146" i="85"/>
  <c r="V165" i="89"/>
  <c r="V70" i="84"/>
  <c r="V117" i="82"/>
  <c r="V81" i="94"/>
  <c r="U25" i="82"/>
  <c r="U26" i="82" s="1"/>
  <c r="V157" i="87"/>
  <c r="V126" i="85"/>
  <c r="U21" i="83"/>
  <c r="U22" i="83" s="1"/>
  <c r="U39" i="87"/>
  <c r="U40" i="87" s="1"/>
  <c r="V107" i="92"/>
  <c r="V136" i="91"/>
  <c r="V113" i="94"/>
  <c r="U55" i="88"/>
  <c r="U56" i="88" s="1"/>
  <c r="V132" i="82"/>
  <c r="V83" i="81"/>
  <c r="V171" i="83"/>
  <c r="U9" i="83"/>
  <c r="U10" i="83" s="1"/>
  <c r="V132" i="87"/>
  <c r="U41" i="82"/>
  <c r="U42" i="82" s="1"/>
  <c r="V169" i="93"/>
  <c r="V153" i="93"/>
  <c r="V108" i="74"/>
  <c r="V93" i="87"/>
  <c r="V154" i="91"/>
  <c r="V131" i="93"/>
  <c r="U47" i="88"/>
  <c r="U48" i="88" s="1"/>
  <c r="U25" i="85"/>
  <c r="U26" i="85" s="1"/>
  <c r="U31" i="91"/>
  <c r="U32" i="91" s="1"/>
  <c r="V109" i="82"/>
  <c r="V143" i="88"/>
  <c r="V114" i="92"/>
  <c r="V93" i="84"/>
  <c r="V139" i="83"/>
  <c r="U47" i="94"/>
  <c r="U48" i="94" s="1"/>
  <c r="V170" i="82"/>
  <c r="V122" i="93"/>
  <c r="V167" i="89"/>
  <c r="V160" i="81"/>
  <c r="V130" i="87"/>
  <c r="V150" i="91"/>
  <c r="V78" i="84"/>
  <c r="V181" i="92"/>
  <c r="U53" i="74"/>
  <c r="U54" i="74" s="1"/>
  <c r="V109" i="88"/>
  <c r="V70" i="91"/>
  <c r="U15" i="89"/>
  <c r="U16" i="89" s="1"/>
  <c r="U19" i="81"/>
  <c r="U20" i="81" s="1"/>
  <c r="Q188" i="89"/>
  <c r="U35" i="89"/>
  <c r="U36" i="89" s="1"/>
  <c r="V129" i="88"/>
  <c r="V134" i="87"/>
  <c r="V158" i="81"/>
  <c r="V135" i="85"/>
  <c r="V156" i="92"/>
  <c r="V68" i="74"/>
  <c r="V127" i="93"/>
  <c r="U49" i="74"/>
  <c r="U50" i="74" s="1"/>
  <c r="V72" i="87"/>
  <c r="U33" i="92"/>
  <c r="U34" i="92" s="1"/>
  <c r="V126" i="88"/>
  <c r="U47" i="87"/>
  <c r="U48" i="87" s="1"/>
  <c r="V112" i="84"/>
  <c r="V106" i="85"/>
  <c r="V181" i="83"/>
  <c r="V126" i="93"/>
  <c r="V118" i="87"/>
  <c r="Q188" i="87"/>
  <c r="V74" i="88"/>
  <c r="V171" i="74"/>
  <c r="V83" i="91"/>
  <c r="V69" i="93"/>
  <c r="V111" i="84"/>
  <c r="V113" i="87"/>
  <c r="V148" i="93"/>
  <c r="V130" i="74"/>
  <c r="U35" i="93"/>
  <c r="U36" i="93" s="1"/>
  <c r="V149" i="92"/>
  <c r="V114" i="81"/>
  <c r="U61" i="92"/>
  <c r="U62" i="92" s="1"/>
  <c r="V90" i="85"/>
  <c r="V137" i="87"/>
  <c r="V164" i="94"/>
  <c r="U41" i="81"/>
  <c r="U42" i="81" s="1"/>
  <c r="V110" i="81"/>
  <c r="V82" i="92"/>
  <c r="V147" i="83"/>
  <c r="V107" i="85"/>
  <c r="V106" i="88"/>
  <c r="U35" i="74"/>
  <c r="U36" i="74" s="1"/>
  <c r="U29" i="81"/>
  <c r="U30" i="81" s="1"/>
  <c r="V134" i="91"/>
  <c r="U45" i="83"/>
  <c r="U46" i="83" s="1"/>
  <c r="V137" i="93"/>
  <c r="V153" i="92"/>
  <c r="V120" i="87"/>
  <c r="U43" i="88"/>
  <c r="U44" i="88" s="1"/>
  <c r="V176" i="94"/>
  <c r="V117" i="92"/>
  <c r="V125" i="82"/>
  <c r="V125" i="89"/>
  <c r="V181" i="94"/>
  <c r="V75" i="81"/>
  <c r="V134" i="94"/>
  <c r="V78" i="93"/>
  <c r="V119" i="82"/>
  <c r="V137" i="94"/>
  <c r="V104" i="91"/>
  <c r="V141" i="93"/>
  <c r="V123" i="83"/>
  <c r="V180" i="83"/>
  <c r="U45" i="87"/>
  <c r="U46" i="87" s="1"/>
  <c r="U47" i="74"/>
  <c r="U48" i="74" s="1"/>
  <c r="V152" i="93"/>
  <c r="V73" i="92"/>
  <c r="V175" i="92"/>
  <c r="V72" i="84"/>
  <c r="V100" i="91"/>
  <c r="U55" i="89"/>
  <c r="U56" i="89" s="1"/>
  <c r="V96" i="92"/>
  <c r="V100" i="74"/>
  <c r="V182" i="88"/>
  <c r="V115" i="85"/>
  <c r="U51" i="91"/>
  <c r="U52" i="91" s="1"/>
  <c r="U37" i="93"/>
  <c r="U38" i="93" s="1"/>
  <c r="V66" i="93"/>
  <c r="V159" i="93"/>
  <c r="V149" i="93"/>
  <c r="V115" i="91"/>
  <c r="U39" i="85"/>
  <c r="U40" i="85" s="1"/>
  <c r="V161" i="83"/>
  <c r="V127" i="74"/>
  <c r="V151" i="89"/>
  <c r="V149" i="82"/>
  <c r="V173" i="89"/>
  <c r="V81" i="92"/>
  <c r="V177" i="91"/>
  <c r="V180" i="81"/>
  <c r="V113" i="81"/>
  <c r="V132" i="83"/>
  <c r="V67" i="91"/>
  <c r="V131" i="89"/>
  <c r="V121" i="93"/>
  <c r="V75" i="91"/>
  <c r="V162" i="93"/>
  <c r="V101" i="81"/>
  <c r="U53" i="83"/>
  <c r="U54" i="83" s="1"/>
  <c r="V167" i="94"/>
  <c r="V77" i="85"/>
  <c r="U21" i="82"/>
  <c r="U22" i="82" s="1"/>
  <c r="V159" i="85"/>
  <c r="U59" i="92"/>
  <c r="U60" i="92" s="1"/>
  <c r="V143" i="93"/>
  <c r="V127" i="94"/>
  <c r="V65" i="89"/>
  <c r="V88" i="89"/>
  <c r="V162" i="94"/>
  <c r="V143" i="74"/>
  <c r="V155" i="89"/>
  <c r="U33" i="91"/>
  <c r="U34" i="91" s="1"/>
  <c r="V154" i="74"/>
  <c r="V73" i="89"/>
  <c r="V76" i="94"/>
  <c r="V118" i="94"/>
  <c r="V71" i="87"/>
  <c r="U43" i="85"/>
  <c r="U44" i="85" s="1"/>
  <c r="V134" i="84"/>
  <c r="V72" i="82"/>
  <c r="V73" i="84"/>
  <c r="U31" i="89"/>
  <c r="U32" i="89" s="1"/>
  <c r="V168" i="91"/>
  <c r="V106" i="83"/>
  <c r="V170" i="83"/>
  <c r="V94" i="94"/>
  <c r="U59" i="89"/>
  <c r="U60" i="89" s="1"/>
  <c r="V160" i="91"/>
  <c r="V136" i="74"/>
  <c r="V75" i="87"/>
  <c r="V114" i="89"/>
  <c r="U53" i="88"/>
  <c r="U54" i="88" s="1"/>
  <c r="V151" i="92"/>
  <c r="V111" i="85"/>
  <c r="V180" i="74"/>
  <c r="V93" i="91"/>
  <c r="V145" i="88"/>
  <c r="V64" i="83"/>
  <c r="V174" i="84"/>
  <c r="V111" i="87"/>
  <c r="V122" i="81"/>
  <c r="V140" i="83"/>
  <c r="U57" i="91"/>
  <c r="U58" i="91" s="1"/>
  <c r="V167" i="93"/>
  <c r="V90" i="83"/>
  <c r="V155" i="88"/>
  <c r="U49" i="93"/>
  <c r="U50" i="93" s="1"/>
  <c r="V119" i="93"/>
  <c r="V121" i="87"/>
  <c r="V155" i="92"/>
  <c r="V126" i="84"/>
  <c r="V110" i="82"/>
  <c r="V117" i="84"/>
  <c r="U51" i="85"/>
  <c r="U52" i="85" s="1"/>
  <c r="U49" i="94"/>
  <c r="U50" i="94" s="1"/>
  <c r="V94" i="92"/>
  <c r="V106" i="87"/>
  <c r="U17" i="93"/>
  <c r="U18" i="93" s="1"/>
  <c r="V118" i="92"/>
  <c r="V143" i="91"/>
  <c r="V85" i="87"/>
  <c r="U31" i="94"/>
  <c r="U32" i="94" s="1"/>
  <c r="V90" i="93"/>
  <c r="V132" i="94"/>
  <c r="V120" i="94"/>
  <c r="V93" i="85"/>
  <c r="V101" i="85"/>
  <c r="U33" i="81"/>
  <c r="U34" i="81" s="1"/>
  <c r="V156" i="85"/>
  <c r="V116" i="93"/>
  <c r="V161" i="93"/>
  <c r="U35" i="91"/>
  <c r="U36" i="91" s="1"/>
  <c r="V180" i="87"/>
  <c r="V77" i="89"/>
  <c r="V149" i="88"/>
  <c r="U59" i="81"/>
  <c r="U60" i="81" s="1"/>
  <c r="V109" i="85"/>
  <c r="V65" i="81"/>
  <c r="U37" i="84"/>
  <c r="U38" i="84" s="1"/>
  <c r="V159" i="94"/>
  <c r="V144" i="85"/>
  <c r="V171" i="93"/>
  <c r="U57" i="89"/>
  <c r="U58" i="89" s="1"/>
  <c r="V153" i="74"/>
  <c r="V159" i="89"/>
  <c r="V141" i="94"/>
  <c r="U33" i="87"/>
  <c r="U34" i="87" s="1"/>
  <c r="V100" i="87"/>
  <c r="V106" i="93"/>
  <c r="V105" i="94"/>
  <c r="V106" i="89"/>
  <c r="U55" i="91"/>
  <c r="U56" i="91" s="1"/>
  <c r="V142" i="93"/>
  <c r="V93" i="94"/>
  <c r="V68" i="91"/>
  <c r="V97" i="85"/>
  <c r="U55" i="92"/>
  <c r="U56" i="92" s="1"/>
  <c r="U47" i="81"/>
  <c r="U48" i="81" s="1"/>
  <c r="V139" i="88"/>
  <c r="U11" i="84"/>
  <c r="U12" i="84" s="1"/>
  <c r="V116" i="83"/>
  <c r="V137" i="91"/>
  <c r="V102" i="89"/>
  <c r="V69" i="87"/>
  <c r="V166" i="93"/>
  <c r="V63" i="91"/>
  <c r="V170" i="88"/>
  <c r="U41" i="74"/>
  <c r="U42" i="74" s="1"/>
  <c r="V161" i="92"/>
  <c r="U51" i="74"/>
  <c r="U52" i="74" s="1"/>
  <c r="U39" i="74"/>
  <c r="U40" i="74" s="1"/>
  <c r="V170" i="91"/>
  <c r="U21" i="94"/>
  <c r="U22" i="94" s="1"/>
  <c r="V97" i="93"/>
  <c r="V74" i="94"/>
  <c r="U9" i="93"/>
  <c r="U10" i="93" s="1"/>
  <c r="U17" i="88"/>
  <c r="U18" i="88" s="1"/>
  <c r="V73" i="83"/>
  <c r="V165" i="94"/>
  <c r="V121" i="94"/>
  <c r="V168" i="74"/>
  <c r="V180" i="91"/>
  <c r="U35" i="94"/>
  <c r="U36" i="94" s="1"/>
  <c r="V69" i="88"/>
  <c r="U41" i="87"/>
  <c r="U42" i="87" s="1"/>
  <c r="V78" i="74"/>
  <c r="V140" i="89"/>
  <c r="V85" i="91"/>
  <c r="V84" i="93"/>
  <c r="V88" i="85"/>
  <c r="V65" i="87"/>
  <c r="V119" i="92"/>
  <c r="V108" i="92"/>
  <c r="V130" i="85"/>
  <c r="V98" i="88"/>
  <c r="U51" i="94"/>
  <c r="U52" i="94" s="1"/>
  <c r="V142" i="91"/>
  <c r="V91" i="94"/>
  <c r="V158" i="92"/>
  <c r="V65" i="85"/>
  <c r="U39" i="94"/>
  <c r="U40" i="94" s="1"/>
  <c r="V121" i="82"/>
  <c r="V179" i="83"/>
  <c r="V111" i="81"/>
  <c r="V142" i="94"/>
  <c r="U33" i="89"/>
  <c r="U34" i="89" s="1"/>
  <c r="V169" i="87"/>
  <c r="V127" i="89"/>
  <c r="V95" i="89"/>
  <c r="V85" i="92"/>
  <c r="V91" i="91"/>
  <c r="U13" i="89"/>
  <c r="U14" i="89" s="1"/>
  <c r="V155" i="93"/>
  <c r="V97" i="91"/>
  <c r="V64" i="88"/>
  <c r="U39" i="93"/>
  <c r="U40" i="93" s="1"/>
  <c r="V90" i="92"/>
  <c r="U17" i="94"/>
  <c r="U18" i="94" s="1"/>
  <c r="V131" i="87"/>
  <c r="V83" i="85"/>
  <c r="V127" i="83"/>
  <c r="V66" i="87"/>
  <c r="V135" i="93"/>
  <c r="U61" i="93"/>
  <c r="U62" i="93" s="1"/>
  <c r="V171" i="82"/>
  <c r="U33" i="94"/>
  <c r="U34" i="94" s="1"/>
  <c r="V103" i="91"/>
  <c r="V87" i="93"/>
  <c r="V109" i="94"/>
  <c r="V73" i="94"/>
  <c r="U43" i="91"/>
  <c r="U44" i="91" s="1"/>
  <c r="V66" i="88"/>
  <c r="V78" i="94"/>
  <c r="U41" i="88"/>
  <c r="U42" i="88" s="1"/>
  <c r="V173" i="94"/>
  <c r="U21" i="93"/>
  <c r="U22" i="93" s="1"/>
  <c r="V120" i="74"/>
  <c r="V161" i="84"/>
  <c r="V172" i="94"/>
  <c r="V127" i="91"/>
  <c r="V164" i="87"/>
  <c r="V164" i="92"/>
  <c r="V130" i="92"/>
  <c r="V100" i="92"/>
  <c r="V170" i="92"/>
  <c r="V170" i="74"/>
  <c r="V163" i="83"/>
  <c r="U39" i="83"/>
  <c r="U40" i="83" s="1"/>
  <c r="V116" i="87"/>
  <c r="U41" i="91"/>
  <c r="U42" i="91" s="1"/>
  <c r="V63" i="74"/>
  <c r="V87" i="92"/>
  <c r="V66" i="92"/>
  <c r="U33" i="84"/>
  <c r="U34" i="84" s="1"/>
  <c r="V96" i="87"/>
  <c r="V179" i="94"/>
  <c r="V175" i="93"/>
  <c r="V162" i="89"/>
  <c r="V63" i="82"/>
  <c r="V130" i="93"/>
  <c r="V143" i="94"/>
  <c r="V65" i="88"/>
  <c r="Q188" i="92"/>
  <c r="V129" i="89"/>
  <c r="V128" i="91"/>
  <c r="V116" i="85"/>
  <c r="V97" i="92"/>
  <c r="V115" i="92"/>
  <c r="U57" i="81"/>
  <c r="U58" i="81" s="1"/>
  <c r="V157" i="93"/>
  <c r="V182" i="89"/>
  <c r="U37" i="92"/>
  <c r="U38" i="92" s="1"/>
  <c r="V163" i="91"/>
  <c r="U21" i="87"/>
  <c r="U22" i="87" s="1"/>
  <c r="V168" i="93"/>
  <c r="V165" i="85"/>
  <c r="V177" i="94"/>
  <c r="U15" i="87"/>
  <c r="U16" i="87" s="1"/>
  <c r="U53" i="94"/>
  <c r="U54" i="94" s="1"/>
  <c r="V150" i="87"/>
  <c r="V178" i="92"/>
  <c r="V152" i="87"/>
  <c r="U57" i="93"/>
  <c r="U58" i="93" s="1"/>
  <c r="V165" i="74"/>
  <c r="V72" i="89"/>
  <c r="V146" i="92"/>
  <c r="V100" i="93"/>
  <c r="U13" i="94"/>
  <c r="U14" i="94" s="1"/>
  <c r="U45" i="93"/>
  <c r="U46" i="93" s="1"/>
  <c r="V176" i="85"/>
  <c r="U37" i="94"/>
  <c r="U38" i="94" s="1"/>
  <c r="U59" i="87"/>
  <c r="U60" i="87" s="1"/>
  <c r="V158" i="83"/>
  <c r="V83" i="93"/>
  <c r="V84" i="91"/>
  <c r="V101" i="92"/>
  <c r="V166" i="81"/>
  <c r="V148" i="88"/>
  <c r="V95" i="94"/>
  <c r="V108" i="94"/>
  <c r="V176" i="87"/>
  <c r="V172" i="88"/>
  <c r="V120" i="92"/>
  <c r="V148" i="84"/>
  <c r="U53" i="89"/>
  <c r="U54" i="89" s="1"/>
  <c r="V90" i="82"/>
  <c r="V84" i="94"/>
  <c r="U29" i="82"/>
  <c r="U30" i="82" s="1"/>
  <c r="V134" i="93"/>
  <c r="V142" i="92"/>
  <c r="V128" i="74"/>
  <c r="V111" i="93"/>
  <c r="V123" i="87"/>
  <c r="V117" i="89"/>
  <c r="V173" i="83"/>
  <c r="V91" i="82"/>
  <c r="V145" i="93"/>
  <c r="V77" i="94"/>
  <c r="V148" i="87"/>
  <c r="U51" i="87"/>
  <c r="U52" i="87" s="1"/>
  <c r="V96" i="88"/>
  <c r="V152" i="85"/>
  <c r="V87" i="81"/>
  <c r="V150" i="93"/>
  <c r="V86" i="89"/>
  <c r="V147" i="93"/>
  <c r="U39" i="89"/>
  <c r="U40" i="89" s="1"/>
  <c r="U35" i="92"/>
  <c r="U36" i="92" s="1"/>
  <c r="V111" i="89"/>
  <c r="V132" i="89"/>
  <c r="U35" i="85"/>
  <c r="U36" i="85" s="1"/>
  <c r="V148" i="91"/>
  <c r="V91" i="87"/>
  <c r="V146" i="82"/>
  <c r="V72" i="93"/>
  <c r="V153" i="88"/>
  <c r="V165" i="84"/>
  <c r="V140" i="94"/>
  <c r="V121" i="74"/>
  <c r="V136" i="88"/>
  <c r="U39" i="82"/>
  <c r="U40" i="82" s="1"/>
  <c r="V153" i="91"/>
  <c r="V148" i="81"/>
  <c r="U43" i="94"/>
  <c r="U44" i="94" s="1"/>
  <c r="V121" i="92"/>
  <c r="U45" i="92"/>
  <c r="U46" i="92" s="1"/>
  <c r="V69" i="92"/>
  <c r="U31" i="87"/>
  <c r="U32" i="87" s="1"/>
  <c r="V127" i="85"/>
  <c r="V123" i="94"/>
  <c r="U25" i="87"/>
  <c r="U26" i="87" s="1"/>
  <c r="V130" i="91"/>
  <c r="V71" i="93"/>
  <c r="V167" i="81"/>
  <c r="V155" i="94"/>
  <c r="V131" i="92"/>
  <c r="V163" i="92"/>
  <c r="V114" i="94"/>
  <c r="V112" i="92"/>
  <c r="V174" i="88"/>
  <c r="V106" i="94"/>
  <c r="U9" i="92"/>
  <c r="U10" i="92" s="1"/>
  <c r="U59" i="88"/>
  <c r="U60" i="88" s="1"/>
  <c r="V68" i="94"/>
  <c r="V148" i="92"/>
  <c r="V98" i="92"/>
  <c r="V66" i="85"/>
  <c r="V144" i="88"/>
  <c r="V169" i="85"/>
  <c r="V89" i="89"/>
  <c r="V106" i="92"/>
  <c r="V130" i="94"/>
  <c r="V83" i="94"/>
  <c r="V122" i="87"/>
  <c r="V134" i="74"/>
  <c r="V87" i="87"/>
  <c r="V177" i="89"/>
  <c r="V103" i="89"/>
  <c r="V85" i="94"/>
  <c r="V146" i="94"/>
  <c r="V114" i="85"/>
  <c r="U17" i="85"/>
  <c r="U18" i="85" s="1"/>
  <c r="V101" i="94"/>
  <c r="V163" i="93"/>
  <c r="U47" i="89"/>
  <c r="U48" i="89" s="1"/>
  <c r="V175" i="85"/>
  <c r="U55" i="94"/>
  <c r="U56" i="94" s="1"/>
  <c r="V133" i="93"/>
  <c r="V179" i="91"/>
  <c r="V104" i="93"/>
  <c r="V156" i="93"/>
  <c r="V169" i="89"/>
  <c r="U43" i="92"/>
  <c r="U44" i="92" s="1"/>
  <c r="V75" i="88"/>
  <c r="V99" i="84"/>
  <c r="V112" i="83"/>
  <c r="V154" i="92"/>
  <c r="V141" i="81"/>
  <c r="V124" i="93"/>
  <c r="V146" i="89"/>
  <c r="U31" i="92"/>
  <c r="U32" i="92" s="1"/>
  <c r="V134" i="82"/>
  <c r="V69" i="89"/>
  <c r="V123" i="92"/>
  <c r="V173" i="87"/>
  <c r="V182" i="93"/>
  <c r="V154" i="81"/>
  <c r="U17" i="91"/>
  <c r="U18" i="91" s="1"/>
  <c r="U15" i="94"/>
  <c r="U16" i="94" s="1"/>
  <c r="V119" i="94"/>
  <c r="V110" i="92"/>
  <c r="V78" i="92"/>
  <c r="V76" i="91"/>
  <c r="V96" i="93"/>
  <c r="V89" i="94"/>
  <c r="V116" i="92"/>
  <c r="V177" i="92"/>
  <c r="V76" i="89"/>
  <c r="V69" i="74"/>
  <c r="V153" i="82"/>
  <c r="V139" i="93"/>
  <c r="V80" i="85"/>
  <c r="V96" i="85"/>
  <c r="U41" i="92"/>
  <c r="U42" i="92" s="1"/>
  <c r="V70" i="92"/>
  <c r="U29" i="94"/>
  <c r="U30" i="94" s="1"/>
  <c r="V180" i="84"/>
  <c r="V143" i="85"/>
  <c r="U19" i="91"/>
  <c r="U20" i="91" s="1"/>
  <c r="V103" i="94"/>
  <c r="V124" i="91"/>
  <c r="V115" i="87"/>
  <c r="V158" i="88"/>
  <c r="V147" i="89"/>
  <c r="U19" i="89"/>
  <c r="U20" i="89" s="1"/>
  <c r="V145" i="94"/>
  <c r="V84" i="88"/>
  <c r="Q187" i="94"/>
  <c r="V125" i="94"/>
  <c r="V117" i="94"/>
  <c r="V150" i="92"/>
  <c r="V141" i="87"/>
  <c r="V155" i="85"/>
  <c r="V74" i="92"/>
  <c r="V121" i="88"/>
  <c r="V84" i="89"/>
  <c r="V175" i="81"/>
  <c r="V104" i="92"/>
  <c r="V154" i="94"/>
  <c r="V135" i="92"/>
  <c r="V106" i="82"/>
  <c r="V146" i="93"/>
  <c r="V93" i="93"/>
  <c r="V95" i="88"/>
  <c r="V72" i="92"/>
  <c r="V146" i="91"/>
  <c r="U17" i="92"/>
  <c r="U18" i="92" s="1"/>
  <c r="V182" i="92"/>
  <c r="V66" i="83"/>
  <c r="V149" i="85"/>
  <c r="V111" i="94"/>
  <c r="V86" i="84"/>
  <c r="V113" i="88"/>
  <c r="V71" i="94"/>
  <c r="V107" i="94"/>
  <c r="V88" i="88"/>
  <c r="V92" i="93"/>
  <c r="V160" i="85"/>
  <c r="V68" i="84"/>
  <c r="V115" i="93"/>
  <c r="V79" i="94"/>
  <c r="V175" i="94"/>
  <c r="U41" i="89"/>
  <c r="U42" i="89" s="1"/>
  <c r="U19" i="82"/>
  <c r="U20" i="82" s="1"/>
  <c r="V80" i="93"/>
  <c r="V112" i="91"/>
  <c r="V103" i="87"/>
  <c r="V65" i="94"/>
  <c r="V176" i="89"/>
  <c r="V166" i="82"/>
  <c r="V71" i="91"/>
  <c r="U27" i="92"/>
  <c r="U28" i="92" s="1"/>
  <c r="V140" i="88"/>
  <c r="V137" i="92"/>
  <c r="V110" i="87"/>
  <c r="V136" i="92"/>
  <c r="V127" i="84"/>
  <c r="V76" i="87"/>
  <c r="V108" i="88"/>
  <c r="V102" i="87"/>
  <c r="V102" i="91"/>
  <c r="V131" i="94"/>
  <c r="V127" i="81"/>
  <c r="V107" i="87"/>
  <c r="U27" i="93"/>
  <c r="U28" i="93" s="1"/>
  <c r="Q187" i="93"/>
  <c r="V155" i="84"/>
  <c r="V175" i="91"/>
  <c r="V64" i="94"/>
  <c r="V82" i="88"/>
  <c r="V139" i="81"/>
  <c r="U39" i="84"/>
  <c r="U40" i="84" s="1"/>
  <c r="V169" i="82"/>
  <c r="V165" i="82"/>
  <c r="U25" i="94"/>
  <c r="U26" i="94" s="1"/>
  <c r="V168" i="92"/>
  <c r="U53" i="87"/>
  <c r="U54" i="87" s="1"/>
  <c r="V103" i="93"/>
  <c r="V75" i="93"/>
  <c r="V63" i="94"/>
  <c r="V107" i="88"/>
  <c r="V113" i="84"/>
  <c r="V110" i="94"/>
  <c r="V99" i="94"/>
  <c r="V94" i="82"/>
  <c r="U15" i="93"/>
  <c r="U16" i="93" s="1"/>
  <c r="V83" i="84"/>
  <c r="V73" i="93"/>
  <c r="V156" i="89"/>
  <c r="V134" i="88"/>
  <c r="V141" i="92"/>
  <c r="V128" i="89"/>
  <c r="V170" i="93"/>
  <c r="V120" i="83"/>
  <c r="V120" i="93"/>
  <c r="V140" i="87"/>
  <c r="V138" i="89"/>
  <c r="V80" i="89"/>
  <c r="V94" i="91"/>
  <c r="V83" i="89"/>
  <c r="U45" i="94"/>
  <c r="U46" i="94" s="1"/>
  <c r="U13" i="93"/>
  <c r="U14" i="93" s="1"/>
  <c r="V97" i="89"/>
  <c r="U43" i="89"/>
  <c r="U44" i="89" s="1"/>
  <c r="V143" i="81"/>
  <c r="U59" i="93"/>
  <c r="U60" i="93" s="1"/>
  <c r="U13" i="92"/>
  <c r="U14" i="92" s="1"/>
  <c r="V167" i="88"/>
  <c r="U11" i="88"/>
  <c r="U12" i="88" s="1"/>
  <c r="V169" i="83"/>
  <c r="V123" i="88"/>
  <c r="V168" i="94"/>
  <c r="V125" i="93"/>
  <c r="V109" i="87"/>
  <c r="U23" i="93"/>
  <c r="U24" i="93" s="1"/>
  <c r="V157" i="88"/>
  <c r="V133" i="92"/>
  <c r="V105" i="91"/>
  <c r="V165" i="88"/>
  <c r="V147" i="92"/>
  <c r="V75" i="92"/>
  <c r="V79" i="93"/>
  <c r="U45" i="88"/>
  <c r="U46" i="88" s="1"/>
  <c r="V128" i="87"/>
  <c r="V94" i="93"/>
  <c r="V77" i="93"/>
  <c r="U43" i="93"/>
  <c r="U44" i="93" s="1"/>
  <c r="Q187" i="83"/>
  <c r="U33" i="74"/>
  <c r="U34" i="74" s="1"/>
  <c r="V70" i="94"/>
  <c r="V158" i="94"/>
  <c r="T33" i="84"/>
  <c r="T45" i="93"/>
  <c r="T33" i="92"/>
  <c r="T33" i="82"/>
  <c r="T45" i="94"/>
  <c r="T45" i="91"/>
  <c r="T45" i="81"/>
  <c r="T45" i="87"/>
  <c r="T33" i="93"/>
  <c r="T45" i="82"/>
  <c r="T33" i="94"/>
  <c r="T33" i="83"/>
  <c r="T33" i="74"/>
  <c r="T33" i="89"/>
  <c r="T33" i="85"/>
  <c r="T45" i="84"/>
  <c r="T45" i="92"/>
  <c r="T45" i="83"/>
  <c r="T45" i="74"/>
  <c r="T33" i="91"/>
  <c r="T33" i="81"/>
  <c r="T45" i="89"/>
  <c r="T33" i="87"/>
  <c r="T45" i="85"/>
  <c r="Q189" i="93" l="1"/>
  <c r="Q191" i="93"/>
  <c r="Q192" i="87"/>
  <c r="Q190" i="87"/>
  <c r="Q192" i="91"/>
  <c r="Q190" i="91"/>
  <c r="Q189" i="74"/>
  <c r="Q191" i="74"/>
  <c r="Q192" i="83"/>
  <c r="Q190" i="83"/>
  <c r="Q189" i="82"/>
  <c r="Q191" i="82"/>
  <c r="Q191" i="81"/>
  <c r="Q189" i="81"/>
  <c r="Q189" i="87"/>
  <c r="Q191" i="87"/>
  <c r="Q192" i="92"/>
  <c r="Q190" i="92"/>
  <c r="Q189" i="89"/>
  <c r="Q191" i="89"/>
  <c r="Q189" i="92"/>
  <c r="Q191" i="92"/>
  <c r="Q192" i="94"/>
  <c r="Q190" i="94"/>
  <c r="Q190" i="81"/>
  <c r="Q192" i="81"/>
  <c r="Q189" i="94"/>
  <c r="Q191" i="94"/>
  <c r="Q191" i="88"/>
  <c r="Q189" i="88"/>
  <c r="Q189" i="91"/>
  <c r="Q191" i="91"/>
  <c r="Q191" i="85"/>
  <c r="Q189" i="85"/>
  <c r="Q190" i="85"/>
  <c r="Q192" i="85"/>
  <c r="Q192" i="74"/>
  <c r="Q190" i="74"/>
  <c r="Q190" i="93"/>
  <c r="Q192" i="93"/>
  <c r="Q191" i="83"/>
  <c r="Q189" i="83"/>
  <c r="Q192" i="89"/>
  <c r="Q190" i="89"/>
  <c r="Q190" i="82"/>
  <c r="Q192" i="82"/>
  <c r="Q192" i="84"/>
  <c r="Q190" i="84"/>
  <c r="Q191" i="84"/>
  <c r="Q189" i="84"/>
  <c r="Q190" i="88"/>
  <c r="Q192" i="8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Andreas Helk | Viegand Maagøe</author>
    <author>Maurizio Gargiulo</author>
    <author>Stefan Petrovic</author>
  </authors>
  <commentList>
    <comment ref="E1" authorId="0" shapeId="0" xr:uid="{43497E6C-4608-44BA-BFA3-2CDCC6693EAB}">
      <text>
        <r>
          <rPr>
            <b/>
            <sz val="9"/>
            <color indexed="81"/>
            <rFont val="Tahoma"/>
            <family val="2"/>
          </rPr>
          <t>Andreas Helk | Viegand Maagøe:</t>
        </r>
        <r>
          <rPr>
            <sz val="9"/>
            <color indexed="81"/>
            <rFont val="Tahoma"/>
            <family val="2"/>
          </rPr>
          <t xml:space="preserve">
Input for each sheet - Choose between the categories from the ENS catalogue. Used for looking up potentials</t>
        </r>
      </text>
    </comment>
    <comment ref="S1" authorId="0" shapeId="0" xr:uid="{F5B5C0B1-B1A6-47BB-BFB2-13D2CF4D45B2}">
      <text>
        <r>
          <rPr>
            <b/>
            <sz val="9"/>
            <color indexed="81"/>
            <rFont val="Tahoma"/>
            <family val="2"/>
          </rPr>
          <t>Andreas Helk | Viegand Maagøe:</t>
        </r>
        <r>
          <rPr>
            <sz val="9"/>
            <color indexed="81"/>
            <rFont val="Tahoma"/>
            <family val="2"/>
          </rPr>
          <t xml:space="preserve">
Column number for looking up the right FLO_MARK (direct or indirect technologies)</t>
        </r>
      </text>
    </comment>
    <comment ref="U1" authorId="0" shapeId="0" xr:uid="{38C59847-67F7-42C0-B16D-4FF1ABB2578E}">
      <text>
        <r>
          <rPr>
            <b/>
            <sz val="9"/>
            <color indexed="81"/>
            <rFont val="Tahoma"/>
            <family val="2"/>
          </rPr>
          <t>Andreas Helk | Viegand Maagøe:</t>
        </r>
        <r>
          <rPr>
            <sz val="9"/>
            <color indexed="81"/>
            <rFont val="Tahoma"/>
            <family val="2"/>
          </rPr>
          <t xml:space="preserve">
Values should be updated- current ones are placeholders! 
Base input for calculating waste heat in industry. Factor that estimates how much waste heat is generated within HT, MT and RH due to the processes involved and not the technology i.e. drying processes, evaporation, distilling etc. Should be sector-specific depending on the processes within each sector. </t>
        </r>
      </text>
    </comment>
    <comment ref="E2" authorId="0" shapeId="0" xr:uid="{E20F2932-DA61-48B0-A43A-40465AAD6479}">
      <text>
        <r>
          <rPr>
            <b/>
            <sz val="9"/>
            <color indexed="81"/>
            <rFont val="Tahoma"/>
            <family val="2"/>
          </rPr>
          <t>Andreas Helk | Viegand Maagøe:</t>
        </r>
        <r>
          <rPr>
            <sz val="9"/>
            <color indexed="81"/>
            <rFont val="Tahoma"/>
            <family val="2"/>
          </rPr>
          <t xml:space="preserve">
Write a sector name for TechDesc and Comm-OUT</t>
        </r>
      </text>
    </comment>
    <comment ref="G6" authorId="0" shapeId="0" xr:uid="{0026D1E6-D6F1-4773-A85B-3C4F2FE9CA0A}">
      <text>
        <r>
          <rPr>
            <b/>
            <sz val="9"/>
            <color indexed="81"/>
            <rFont val="Tahoma"/>
            <family val="2"/>
          </rPr>
          <t>Andreas Helk | Viegand Maagøe:</t>
        </r>
        <r>
          <rPr>
            <sz val="9"/>
            <color indexed="81"/>
            <rFont val="Tahoma"/>
            <family val="2"/>
          </rPr>
          <t xml:space="preserve">
Heat pumps are set to use both electricity and waste heat within industries.</t>
        </r>
      </text>
    </comment>
    <comment ref="I6" authorId="0" shapeId="0" xr:uid="{7D9019E7-61A2-41BA-A085-C0FD338AB94A}">
      <text>
        <r>
          <rPr>
            <b/>
            <sz val="9"/>
            <color indexed="81"/>
            <rFont val="Tahoma"/>
            <family val="2"/>
          </rPr>
          <t>Andreas Helk | Viegand Maagøe:</t>
        </r>
        <r>
          <rPr>
            <sz val="9"/>
            <color indexed="81"/>
            <rFont val="Tahoma"/>
            <family val="2"/>
          </rPr>
          <t xml:space="preserve">
Boilers are also set to give out waste heat</t>
        </r>
      </text>
    </comment>
    <comment ref="M6" authorId="0" shapeId="0" xr:uid="{0F22C904-7253-4207-9F8B-E23D3EEFEF4C}">
      <text>
        <r>
          <rPr>
            <b/>
            <sz val="9"/>
            <color indexed="81"/>
            <rFont val="Tahoma"/>
            <family val="2"/>
          </rPr>
          <t>Andreas Helk | Viegand Maagøe:</t>
        </r>
        <r>
          <rPr>
            <sz val="9"/>
            <color indexed="81"/>
            <rFont val="Tahoma"/>
            <family val="2"/>
          </rPr>
          <t xml:space="preserve">
For heat pumps the COP value is loaded here for calculating the input shares. (* means that TIMES does not read the column)</t>
        </r>
      </text>
    </comment>
    <comment ref="S6" authorId="0" shapeId="0" xr:uid="{414E5DB5-2BF5-4619-91E4-F7DAA1A9AA8C}">
      <text>
        <r>
          <rPr>
            <b/>
            <sz val="9"/>
            <color indexed="81"/>
            <rFont val="Tahoma"/>
            <family val="2"/>
          </rPr>
          <t>Andreas Helk | Viegand Maagøe:</t>
        </r>
        <r>
          <rPr>
            <sz val="9"/>
            <color indexed="81"/>
            <rFont val="Tahoma"/>
            <family val="2"/>
          </rPr>
          <t xml:space="preserve">
Consider looking into updating these</t>
        </r>
      </text>
    </comment>
    <comment ref="X6" authorId="1" shapeId="0" xr:uid="{18FC73E4-06D0-4EA7-9967-53C1D4C86AA7}">
      <text>
        <r>
          <rPr>
            <b/>
            <sz val="9"/>
            <color indexed="81"/>
            <rFont val="Tahoma"/>
            <family val="2"/>
          </rPr>
          <t>Maurizio Gargiulo:</t>
        </r>
        <r>
          <rPr>
            <sz val="9"/>
            <color indexed="81"/>
            <rFont val="Tahoma"/>
            <family val="2"/>
          </rPr>
          <t xml:space="preserve">
It is not possible to use the parameter like in here because we have more than one COMM-OUT.
If you try to join the two tables you will get an error. We should move these information in a scenario file</t>
        </r>
      </text>
    </comment>
    <comment ref="M9" authorId="0" shapeId="0" xr:uid="{CCED2289-0F20-48FE-90F3-19133E3018CC}">
      <text>
        <r>
          <rPr>
            <b/>
            <sz val="9"/>
            <color indexed="81"/>
            <rFont val="Tahoma"/>
            <family val="2"/>
          </rPr>
          <t>Andreas Helk | Viegand Maagøe:</t>
        </r>
        <r>
          <rPr>
            <sz val="9"/>
            <color indexed="81"/>
            <rFont val="Tahoma"/>
            <family val="2"/>
          </rPr>
          <t xml:space="preserve">
Heat pump COP is written in this column since they are not using air as heat source, but using the waste heat within the industry.</t>
        </r>
      </text>
    </comment>
    <comment ref="T33" authorId="0" shapeId="0" xr:uid="{E7CC212B-FA44-40FF-9300-8CC0B9195480}">
      <text>
        <r>
          <rPr>
            <b/>
            <sz val="9"/>
            <color indexed="81"/>
            <rFont val="Tahoma"/>
            <family val="2"/>
          </rPr>
          <t>Andreas Helk | Viegand Maagøe:</t>
        </r>
        <r>
          <rPr>
            <sz val="9"/>
            <color indexed="81"/>
            <rFont val="Tahoma"/>
            <family val="2"/>
          </rPr>
          <t xml:space="preserve">
Assumed that the traditional heat pumps are prioritized first, so the Abs. heat pump potential is what is left.</t>
        </r>
      </text>
    </comment>
    <comment ref="T45" authorId="0" shapeId="0" xr:uid="{0E527C9A-2CCF-4572-9D78-D468D86A0555}">
      <text>
        <r>
          <rPr>
            <b/>
            <sz val="9"/>
            <color indexed="81"/>
            <rFont val="Tahoma"/>
            <family val="2"/>
          </rPr>
          <t>Andreas Helk | Viegand Maagøe:</t>
        </r>
        <r>
          <rPr>
            <sz val="9"/>
            <color indexed="81"/>
            <rFont val="Tahoma"/>
            <family val="2"/>
          </rPr>
          <t xml:space="preserve">
Assumed that the traditional heat pumps are prioritized first, so the Booster heat pump potential is what is left.</t>
        </r>
      </text>
    </comment>
    <comment ref="T183" authorId="0" shapeId="0" xr:uid="{376A5874-D382-41E7-A49E-380467BEA8E4}">
      <text>
        <r>
          <rPr>
            <b/>
            <sz val="9"/>
            <color indexed="81"/>
            <rFont val="Tahoma"/>
            <family val="2"/>
          </rPr>
          <t>Andreas Helk | Viegand Maagøe:</t>
        </r>
        <r>
          <rPr>
            <sz val="9"/>
            <color indexed="81"/>
            <rFont val="Tahoma"/>
            <family val="2"/>
          </rPr>
          <t xml:space="preserve">
Not a part of the technology catalogue -  manual input</t>
        </r>
      </text>
    </comment>
    <comment ref="O187" authorId="2" shapeId="0" xr:uid="{6D81CD49-DAFD-4B55-81E3-FD40311FF897}">
      <text>
        <r>
          <rPr>
            <b/>
            <sz val="9"/>
            <color indexed="81"/>
            <rFont val="Tahoma"/>
            <family val="2"/>
          </rPr>
          <t>Stefan Petrovic:</t>
        </r>
        <r>
          <rPr>
            <sz val="9"/>
            <color indexed="81"/>
            <rFont val="Tahoma"/>
            <family val="2"/>
          </rPr>
          <t xml:space="preserve">
=L6*0.95 was previously</t>
        </r>
      </text>
    </comment>
    <comment ref="O188" authorId="2" shapeId="0" xr:uid="{265EC63A-D471-4BF3-9C70-E1ECBBD2BC96}">
      <text>
        <r>
          <rPr>
            <b/>
            <sz val="9"/>
            <color indexed="81"/>
            <rFont val="Tahoma"/>
            <family val="2"/>
          </rPr>
          <t>Stefan Petrovic:</t>
        </r>
        <r>
          <rPr>
            <sz val="9"/>
            <color indexed="81"/>
            <rFont val="Tahoma"/>
            <family val="2"/>
          </rPr>
          <t xml:space="preserve">
=L6*0.95 was previously</t>
        </r>
      </text>
    </comment>
    <comment ref="O189" authorId="2" shapeId="0" xr:uid="{49BB574B-AE43-4833-B3A5-7BF6F4B06C91}">
      <text>
        <r>
          <rPr>
            <b/>
            <sz val="9"/>
            <color indexed="81"/>
            <rFont val="Tahoma"/>
            <family val="2"/>
          </rPr>
          <t>Stefan Petrovic:</t>
        </r>
        <r>
          <rPr>
            <sz val="9"/>
            <color indexed="81"/>
            <rFont val="Tahoma"/>
            <family val="2"/>
          </rPr>
          <t xml:space="preserve">
=L6*0.95 was previously</t>
        </r>
      </text>
    </comment>
    <comment ref="O190" authorId="2" shapeId="0" xr:uid="{BC9783B0-3049-46A9-8F7C-EFF0711796FB}">
      <text>
        <r>
          <rPr>
            <b/>
            <sz val="9"/>
            <color indexed="81"/>
            <rFont val="Tahoma"/>
            <family val="2"/>
          </rPr>
          <t>Stefan Petrovic:</t>
        </r>
        <r>
          <rPr>
            <sz val="9"/>
            <color indexed="81"/>
            <rFont val="Tahoma"/>
            <family val="2"/>
          </rPr>
          <t xml:space="preserve">
=L6*0.95 was previously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Andreas Helk | Viegand Maagøe</author>
    <author>Maurizio Gargiulo</author>
    <author>Stefan Petrovic</author>
  </authors>
  <commentList>
    <comment ref="E1" authorId="0" shapeId="0" xr:uid="{600E1158-5989-44E8-8774-7198BB9959EE}">
      <text>
        <r>
          <rPr>
            <b/>
            <sz val="9"/>
            <color indexed="81"/>
            <rFont val="Tahoma"/>
            <family val="2"/>
          </rPr>
          <t>Andreas Helk | Viegand Maagøe:</t>
        </r>
        <r>
          <rPr>
            <sz val="9"/>
            <color indexed="81"/>
            <rFont val="Tahoma"/>
            <family val="2"/>
          </rPr>
          <t xml:space="preserve">
Input for each sheet - Choose between the categories from the ENS catalogue. Used for looking up potentials</t>
        </r>
      </text>
    </comment>
    <comment ref="S1" authorId="0" shapeId="0" xr:uid="{68ECDF4C-977A-44C5-AC89-0133FE4DF86C}">
      <text>
        <r>
          <rPr>
            <b/>
            <sz val="9"/>
            <color indexed="81"/>
            <rFont val="Tahoma"/>
            <family val="2"/>
          </rPr>
          <t>Andreas Helk | Viegand Maagøe:</t>
        </r>
        <r>
          <rPr>
            <sz val="9"/>
            <color indexed="81"/>
            <rFont val="Tahoma"/>
            <family val="2"/>
          </rPr>
          <t xml:space="preserve">
Column number for looking up the right FLO_MARK (direct or indirect technologies)</t>
        </r>
      </text>
    </comment>
    <comment ref="U1" authorId="0" shapeId="0" xr:uid="{5AEB1801-E985-4339-A65E-09618A25CEA1}">
      <text>
        <r>
          <rPr>
            <b/>
            <sz val="9"/>
            <color indexed="81"/>
            <rFont val="Tahoma"/>
            <family val="2"/>
          </rPr>
          <t>Andreas Helk | Viegand Maagøe:</t>
        </r>
        <r>
          <rPr>
            <sz val="9"/>
            <color indexed="81"/>
            <rFont val="Tahoma"/>
            <family val="2"/>
          </rPr>
          <t xml:space="preserve">
Values should be updated- current ones are placeholders! 
Base input for calculating waste heat in industry. Factor that estimates how much waste heat is generated within HT, MT and RH due to the processes involved and not the technology i.e. drying processes, evaporation, distilling etc. Should be sector-specific depending on the processes within each sector. </t>
        </r>
      </text>
    </comment>
    <comment ref="E2" authorId="0" shapeId="0" xr:uid="{A83C8CDF-F666-4BF2-8D0E-D79C15107851}">
      <text>
        <r>
          <rPr>
            <b/>
            <sz val="9"/>
            <color indexed="81"/>
            <rFont val="Tahoma"/>
            <family val="2"/>
          </rPr>
          <t>Andreas Helk | Viegand Maagøe:</t>
        </r>
        <r>
          <rPr>
            <sz val="9"/>
            <color indexed="81"/>
            <rFont val="Tahoma"/>
            <family val="2"/>
          </rPr>
          <t xml:space="preserve">
Write a sector name for TechDesc and Comm-OUT</t>
        </r>
      </text>
    </comment>
    <comment ref="G6" authorId="0" shapeId="0" xr:uid="{64A1FD79-910A-4163-A3AF-5FEFF6317852}">
      <text>
        <r>
          <rPr>
            <b/>
            <sz val="9"/>
            <color indexed="81"/>
            <rFont val="Tahoma"/>
            <family val="2"/>
          </rPr>
          <t>Andreas Helk | Viegand Maagøe:</t>
        </r>
        <r>
          <rPr>
            <sz val="9"/>
            <color indexed="81"/>
            <rFont val="Tahoma"/>
            <family val="2"/>
          </rPr>
          <t xml:space="preserve">
Heat pumps are set to use both electricity and waste heat within industries.</t>
        </r>
      </text>
    </comment>
    <comment ref="I6" authorId="0" shapeId="0" xr:uid="{75AE65CF-ECA2-4BCA-BDB1-098CA6C5E01E}">
      <text>
        <r>
          <rPr>
            <b/>
            <sz val="9"/>
            <color indexed="81"/>
            <rFont val="Tahoma"/>
            <family val="2"/>
          </rPr>
          <t>Andreas Helk | Viegand Maagøe:</t>
        </r>
        <r>
          <rPr>
            <sz val="9"/>
            <color indexed="81"/>
            <rFont val="Tahoma"/>
            <family val="2"/>
          </rPr>
          <t xml:space="preserve">
Boilers are also set to give out waste heat</t>
        </r>
      </text>
    </comment>
    <comment ref="M6" authorId="0" shapeId="0" xr:uid="{C7EC3203-38DA-49D8-A3C6-78EFFB75510D}">
      <text>
        <r>
          <rPr>
            <b/>
            <sz val="9"/>
            <color indexed="81"/>
            <rFont val="Tahoma"/>
            <family val="2"/>
          </rPr>
          <t>Andreas Helk | Viegand Maagøe:</t>
        </r>
        <r>
          <rPr>
            <sz val="9"/>
            <color indexed="81"/>
            <rFont val="Tahoma"/>
            <family val="2"/>
          </rPr>
          <t xml:space="preserve">
For heat pumps the COP value is loaded here for calculating the input shares. (* means that TIMES does not read the column)</t>
        </r>
      </text>
    </comment>
    <comment ref="S6" authorId="0" shapeId="0" xr:uid="{B251B711-2985-466B-A489-87DB7597EA19}">
      <text>
        <r>
          <rPr>
            <b/>
            <sz val="9"/>
            <color indexed="81"/>
            <rFont val="Tahoma"/>
            <family val="2"/>
          </rPr>
          <t>Andreas Helk | Viegand Maagøe:</t>
        </r>
        <r>
          <rPr>
            <sz val="9"/>
            <color indexed="81"/>
            <rFont val="Tahoma"/>
            <family val="2"/>
          </rPr>
          <t xml:space="preserve">
Consider looking into updating these</t>
        </r>
      </text>
    </comment>
    <comment ref="X6" authorId="1" shapeId="0" xr:uid="{3501BC31-EC74-4C50-B4F6-DD9B4B23961F}">
      <text>
        <r>
          <rPr>
            <b/>
            <sz val="9"/>
            <color indexed="81"/>
            <rFont val="Tahoma"/>
            <family val="2"/>
          </rPr>
          <t>Maurizio Gargiulo:</t>
        </r>
        <r>
          <rPr>
            <sz val="9"/>
            <color indexed="81"/>
            <rFont val="Tahoma"/>
            <family val="2"/>
          </rPr>
          <t xml:space="preserve">
It is not possible to use the parameter like in here because we have more than one COMM-OUT.
If you try to join the two tables you will get an error. We should move these information in a scenario file</t>
        </r>
      </text>
    </comment>
    <comment ref="M9" authorId="0" shapeId="0" xr:uid="{46DE4EF3-3052-4098-A58C-F5119758AFFE}">
      <text>
        <r>
          <rPr>
            <b/>
            <sz val="9"/>
            <color indexed="81"/>
            <rFont val="Tahoma"/>
            <family val="2"/>
          </rPr>
          <t>Andreas Helk | Viegand Maagøe:</t>
        </r>
        <r>
          <rPr>
            <sz val="9"/>
            <color indexed="81"/>
            <rFont val="Tahoma"/>
            <family val="2"/>
          </rPr>
          <t xml:space="preserve">
Heat pump COP is written in this column since they are not using air as heat source, but using the waste heat within the industry.</t>
        </r>
      </text>
    </comment>
    <comment ref="T33" authorId="0" shapeId="0" xr:uid="{8670D9D7-E6DB-4330-8BAA-73E681BD48F7}">
      <text>
        <r>
          <rPr>
            <b/>
            <sz val="9"/>
            <color indexed="81"/>
            <rFont val="Tahoma"/>
            <family val="2"/>
          </rPr>
          <t>Andreas Helk | Viegand Maagøe:</t>
        </r>
        <r>
          <rPr>
            <sz val="9"/>
            <color indexed="81"/>
            <rFont val="Tahoma"/>
            <family val="2"/>
          </rPr>
          <t xml:space="preserve">
Assumed that the traditional heat pumps are prioritized first, so the Abs. heat pump potential is what is left.</t>
        </r>
      </text>
    </comment>
    <comment ref="T45" authorId="0" shapeId="0" xr:uid="{1F4C7DB4-1738-4524-B0F1-C37D24E9252B}">
      <text>
        <r>
          <rPr>
            <b/>
            <sz val="9"/>
            <color indexed="81"/>
            <rFont val="Tahoma"/>
            <family val="2"/>
          </rPr>
          <t>Andreas Helk | Viegand Maagøe:</t>
        </r>
        <r>
          <rPr>
            <sz val="9"/>
            <color indexed="81"/>
            <rFont val="Tahoma"/>
            <family val="2"/>
          </rPr>
          <t xml:space="preserve">
Assumed that the traditional heat pumps are prioritized first, so the Booster heat pump potential is what is left.</t>
        </r>
      </text>
    </comment>
    <comment ref="T183" authorId="0" shapeId="0" xr:uid="{22791778-C286-4B44-8888-6AF32276D1ED}">
      <text>
        <r>
          <rPr>
            <b/>
            <sz val="9"/>
            <color indexed="81"/>
            <rFont val="Tahoma"/>
            <family val="2"/>
          </rPr>
          <t>Andreas Helk | Viegand Maagøe:</t>
        </r>
        <r>
          <rPr>
            <sz val="9"/>
            <color indexed="81"/>
            <rFont val="Tahoma"/>
            <family val="2"/>
          </rPr>
          <t xml:space="preserve">
Not a part of the technology catalogue -  manual input</t>
        </r>
      </text>
    </comment>
    <comment ref="O187" authorId="2" shapeId="0" xr:uid="{AECB74CA-E273-40C8-AD81-3CA16F0B3ED8}">
      <text>
        <r>
          <rPr>
            <b/>
            <sz val="9"/>
            <color indexed="81"/>
            <rFont val="Tahoma"/>
            <family val="2"/>
          </rPr>
          <t>Stefan Petrovic:</t>
        </r>
        <r>
          <rPr>
            <sz val="9"/>
            <color indexed="81"/>
            <rFont val="Tahoma"/>
            <family val="2"/>
          </rPr>
          <t xml:space="preserve">
=L6*0.95 was previously</t>
        </r>
      </text>
    </comment>
    <comment ref="O188" authorId="2" shapeId="0" xr:uid="{C6FBE8DF-062E-47D0-B8DA-1214BA0F2BFE}">
      <text>
        <r>
          <rPr>
            <b/>
            <sz val="9"/>
            <color indexed="81"/>
            <rFont val="Tahoma"/>
            <family val="2"/>
          </rPr>
          <t>Stefan Petrovic:</t>
        </r>
        <r>
          <rPr>
            <sz val="9"/>
            <color indexed="81"/>
            <rFont val="Tahoma"/>
            <family val="2"/>
          </rPr>
          <t xml:space="preserve">
=L6*0.95 was previously</t>
        </r>
      </text>
    </comment>
    <comment ref="O189" authorId="2" shapeId="0" xr:uid="{5165CED6-5D1D-44DA-BB14-3BB4FFC87297}">
      <text>
        <r>
          <rPr>
            <b/>
            <sz val="9"/>
            <color indexed="81"/>
            <rFont val="Tahoma"/>
            <family val="2"/>
          </rPr>
          <t>Stefan Petrovic:</t>
        </r>
        <r>
          <rPr>
            <sz val="9"/>
            <color indexed="81"/>
            <rFont val="Tahoma"/>
            <family val="2"/>
          </rPr>
          <t xml:space="preserve">
=L6*0.95 was previously</t>
        </r>
      </text>
    </comment>
    <comment ref="O190" authorId="2" shapeId="0" xr:uid="{85B63F13-5F28-4B22-91C9-C038BA13A389}">
      <text>
        <r>
          <rPr>
            <b/>
            <sz val="9"/>
            <color indexed="81"/>
            <rFont val="Tahoma"/>
            <family val="2"/>
          </rPr>
          <t>Stefan Petrovic:</t>
        </r>
        <r>
          <rPr>
            <sz val="9"/>
            <color indexed="81"/>
            <rFont val="Tahoma"/>
            <family val="2"/>
          </rPr>
          <t xml:space="preserve">
=L6*0.95 was previously</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Andreas Helk | Viegand Maagøe</author>
    <author>Maurizio Gargiulo</author>
    <author>Stefan Petrovic</author>
  </authors>
  <commentList>
    <comment ref="E1" authorId="0" shapeId="0" xr:uid="{952011D9-B042-47E3-93A1-6F0593ABEB99}">
      <text>
        <r>
          <rPr>
            <b/>
            <sz val="9"/>
            <color indexed="81"/>
            <rFont val="Tahoma"/>
            <family val="2"/>
          </rPr>
          <t>Andreas Helk | Viegand Maagøe:</t>
        </r>
        <r>
          <rPr>
            <sz val="9"/>
            <color indexed="81"/>
            <rFont val="Tahoma"/>
            <family val="2"/>
          </rPr>
          <t xml:space="preserve">
Input for each sheet - Choose between the categories from the ENS catalogue. Used for looking up potentials</t>
        </r>
      </text>
    </comment>
    <comment ref="S1" authorId="0" shapeId="0" xr:uid="{DF858288-F4DD-4949-89CF-0613B3907A5D}">
      <text>
        <r>
          <rPr>
            <b/>
            <sz val="9"/>
            <color indexed="81"/>
            <rFont val="Tahoma"/>
            <family val="2"/>
          </rPr>
          <t>Andreas Helk | Viegand Maagøe:</t>
        </r>
        <r>
          <rPr>
            <sz val="9"/>
            <color indexed="81"/>
            <rFont val="Tahoma"/>
            <family val="2"/>
          </rPr>
          <t xml:space="preserve">
Column number for looking up the right FLO_MARK (direct or indirect technologies)</t>
        </r>
      </text>
    </comment>
    <comment ref="U1" authorId="0" shapeId="0" xr:uid="{E20D3FCD-2A97-41A1-92AB-52A67225F77E}">
      <text>
        <r>
          <rPr>
            <b/>
            <sz val="9"/>
            <color indexed="81"/>
            <rFont val="Tahoma"/>
            <family val="2"/>
          </rPr>
          <t>Andreas Helk | Viegand Maagøe:</t>
        </r>
        <r>
          <rPr>
            <sz val="9"/>
            <color indexed="81"/>
            <rFont val="Tahoma"/>
            <family val="2"/>
          </rPr>
          <t xml:space="preserve">
Values should be updated- current ones are placeholders! 
Base input for calculating waste heat in industry. Factor that estimates how much waste heat is generated within HT, MT and RH due to the processes involved and not the technology i.e. drying processes, evaporation, distilling etc. Should be sector-specific depending on the processes within each sector. </t>
        </r>
      </text>
    </comment>
    <comment ref="E2" authorId="0" shapeId="0" xr:uid="{0D1B1488-7107-43F2-954F-4C1431DF0FF2}">
      <text>
        <r>
          <rPr>
            <b/>
            <sz val="9"/>
            <color indexed="81"/>
            <rFont val="Tahoma"/>
            <family val="2"/>
          </rPr>
          <t>Andreas Helk | Viegand Maagøe:</t>
        </r>
        <r>
          <rPr>
            <sz val="9"/>
            <color indexed="81"/>
            <rFont val="Tahoma"/>
            <family val="2"/>
          </rPr>
          <t xml:space="preserve">
Write a sector name for TechDesc and Comm-OUT</t>
        </r>
      </text>
    </comment>
    <comment ref="G6" authorId="0" shapeId="0" xr:uid="{C579EC3F-9BCD-4408-9079-65DD69AF4005}">
      <text>
        <r>
          <rPr>
            <b/>
            <sz val="9"/>
            <color indexed="81"/>
            <rFont val="Tahoma"/>
            <family val="2"/>
          </rPr>
          <t>Andreas Helk | Viegand Maagøe:</t>
        </r>
        <r>
          <rPr>
            <sz val="9"/>
            <color indexed="81"/>
            <rFont val="Tahoma"/>
            <family val="2"/>
          </rPr>
          <t xml:space="preserve">
Heat pumps are set to use both electricity and waste heat within industries.</t>
        </r>
      </text>
    </comment>
    <comment ref="I6" authorId="0" shapeId="0" xr:uid="{DA521BF6-F582-4FE9-9E36-59F956469F0F}">
      <text>
        <r>
          <rPr>
            <b/>
            <sz val="9"/>
            <color indexed="81"/>
            <rFont val="Tahoma"/>
            <family val="2"/>
          </rPr>
          <t>Andreas Helk | Viegand Maagøe:</t>
        </r>
        <r>
          <rPr>
            <sz val="9"/>
            <color indexed="81"/>
            <rFont val="Tahoma"/>
            <family val="2"/>
          </rPr>
          <t xml:space="preserve">
Boilers are also set to give out waste heat</t>
        </r>
      </text>
    </comment>
    <comment ref="M6" authorId="0" shapeId="0" xr:uid="{24BFEA38-8471-42AC-9661-4CC03B3C70E1}">
      <text>
        <r>
          <rPr>
            <b/>
            <sz val="9"/>
            <color indexed="81"/>
            <rFont val="Tahoma"/>
            <family val="2"/>
          </rPr>
          <t>Andreas Helk | Viegand Maagøe:</t>
        </r>
        <r>
          <rPr>
            <sz val="9"/>
            <color indexed="81"/>
            <rFont val="Tahoma"/>
            <family val="2"/>
          </rPr>
          <t xml:space="preserve">
For heat pumps the COP value is loaded here for calculating the input shares. (* means that TIMES does not read the column)</t>
        </r>
      </text>
    </comment>
    <comment ref="S6" authorId="0" shapeId="0" xr:uid="{3DD7BADB-FAC7-468C-ABAB-6A849771AF22}">
      <text>
        <r>
          <rPr>
            <b/>
            <sz val="9"/>
            <color indexed="81"/>
            <rFont val="Tahoma"/>
            <family val="2"/>
          </rPr>
          <t>Andreas Helk | Viegand Maagøe:</t>
        </r>
        <r>
          <rPr>
            <sz val="9"/>
            <color indexed="81"/>
            <rFont val="Tahoma"/>
            <family val="2"/>
          </rPr>
          <t xml:space="preserve">
Consider looking into updating these</t>
        </r>
      </text>
    </comment>
    <comment ref="X6" authorId="1" shapeId="0" xr:uid="{F7546FE5-F1A0-478A-BD8E-15A9B1F4FBEC}">
      <text>
        <r>
          <rPr>
            <b/>
            <sz val="9"/>
            <color indexed="81"/>
            <rFont val="Tahoma"/>
            <family val="2"/>
          </rPr>
          <t>Maurizio Gargiulo:</t>
        </r>
        <r>
          <rPr>
            <sz val="9"/>
            <color indexed="81"/>
            <rFont val="Tahoma"/>
            <family val="2"/>
          </rPr>
          <t xml:space="preserve">
It is not possible to use the parameter like in here because we have more than one COMM-OUT.
If you try to join the two tables you will get an error. We should move these information in a scenario file</t>
        </r>
      </text>
    </comment>
    <comment ref="M9" authorId="0" shapeId="0" xr:uid="{38A37660-A11B-40CA-9D11-EFA22C35AF08}">
      <text>
        <r>
          <rPr>
            <b/>
            <sz val="9"/>
            <color indexed="81"/>
            <rFont val="Tahoma"/>
            <family val="2"/>
          </rPr>
          <t>Andreas Helk | Viegand Maagøe:</t>
        </r>
        <r>
          <rPr>
            <sz val="9"/>
            <color indexed="81"/>
            <rFont val="Tahoma"/>
            <family val="2"/>
          </rPr>
          <t xml:space="preserve">
Heat pump COP is written in this column since they are not using air as heat source, but using the waste heat within the industry.</t>
        </r>
      </text>
    </comment>
    <comment ref="T33" authorId="0" shapeId="0" xr:uid="{9E4ED93A-9595-4AC0-9B79-DE2D4065A794}">
      <text>
        <r>
          <rPr>
            <b/>
            <sz val="9"/>
            <color indexed="81"/>
            <rFont val="Tahoma"/>
            <family val="2"/>
          </rPr>
          <t>Andreas Helk | Viegand Maagøe:</t>
        </r>
        <r>
          <rPr>
            <sz val="9"/>
            <color indexed="81"/>
            <rFont val="Tahoma"/>
            <family val="2"/>
          </rPr>
          <t xml:space="preserve">
Assumed that the traditional heat pumps are prioritized first, so the Abs. heat pump potential is what is left.</t>
        </r>
      </text>
    </comment>
    <comment ref="T45" authorId="0" shapeId="0" xr:uid="{39BFD39A-11D2-4658-A1BF-2982FFF873DC}">
      <text>
        <r>
          <rPr>
            <b/>
            <sz val="9"/>
            <color indexed="81"/>
            <rFont val="Tahoma"/>
            <family val="2"/>
          </rPr>
          <t>Andreas Helk | Viegand Maagøe:</t>
        </r>
        <r>
          <rPr>
            <sz val="9"/>
            <color indexed="81"/>
            <rFont val="Tahoma"/>
            <family val="2"/>
          </rPr>
          <t xml:space="preserve">
Assumed that the traditional heat pumps are prioritized first, so the Booster heat pump potential is what is left.</t>
        </r>
      </text>
    </comment>
    <comment ref="T183" authorId="0" shapeId="0" xr:uid="{8F2FD18B-0D3A-4F80-A839-6967E36C0249}">
      <text>
        <r>
          <rPr>
            <b/>
            <sz val="9"/>
            <color indexed="81"/>
            <rFont val="Tahoma"/>
            <family val="2"/>
          </rPr>
          <t>Andreas Helk | Viegand Maagøe:</t>
        </r>
        <r>
          <rPr>
            <sz val="9"/>
            <color indexed="81"/>
            <rFont val="Tahoma"/>
            <family val="2"/>
          </rPr>
          <t xml:space="preserve">
Not a part of the technology catalogue -  manual input</t>
        </r>
      </text>
    </comment>
    <comment ref="O187" authorId="2" shapeId="0" xr:uid="{5A6FC0EF-686B-4F1C-893E-74999219BEBF}">
      <text>
        <r>
          <rPr>
            <b/>
            <sz val="9"/>
            <color indexed="81"/>
            <rFont val="Tahoma"/>
            <family val="2"/>
          </rPr>
          <t>Stefan Petrovic:</t>
        </r>
        <r>
          <rPr>
            <sz val="9"/>
            <color indexed="81"/>
            <rFont val="Tahoma"/>
            <family val="2"/>
          </rPr>
          <t xml:space="preserve">
=L6*0.95 was previously</t>
        </r>
      </text>
    </comment>
    <comment ref="O188" authorId="2" shapeId="0" xr:uid="{86E26CD9-8841-4186-A925-6D6BDD5BC0DA}">
      <text>
        <r>
          <rPr>
            <b/>
            <sz val="9"/>
            <color indexed="81"/>
            <rFont val="Tahoma"/>
            <family val="2"/>
          </rPr>
          <t>Stefan Petrovic:</t>
        </r>
        <r>
          <rPr>
            <sz val="9"/>
            <color indexed="81"/>
            <rFont val="Tahoma"/>
            <family val="2"/>
          </rPr>
          <t xml:space="preserve">
=L6*0.95 was previously</t>
        </r>
      </text>
    </comment>
    <comment ref="O189" authorId="2" shapeId="0" xr:uid="{B8BE1263-D2C3-4A14-9765-977AC3F73151}">
      <text>
        <r>
          <rPr>
            <b/>
            <sz val="9"/>
            <color indexed="81"/>
            <rFont val="Tahoma"/>
            <family val="2"/>
          </rPr>
          <t>Stefan Petrovic:</t>
        </r>
        <r>
          <rPr>
            <sz val="9"/>
            <color indexed="81"/>
            <rFont val="Tahoma"/>
            <family val="2"/>
          </rPr>
          <t xml:space="preserve">
=L6*0.95 was previously</t>
        </r>
      </text>
    </comment>
    <comment ref="O190" authorId="2" shapeId="0" xr:uid="{66397159-5048-4899-B3B9-C0E99F914ACC}">
      <text>
        <r>
          <rPr>
            <b/>
            <sz val="9"/>
            <color indexed="81"/>
            <rFont val="Tahoma"/>
            <family val="2"/>
          </rPr>
          <t>Stefan Petrovic:</t>
        </r>
        <r>
          <rPr>
            <sz val="9"/>
            <color indexed="81"/>
            <rFont val="Tahoma"/>
            <family val="2"/>
          </rPr>
          <t xml:space="preserve">
=L6*0.95 was previously</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Andreas Helk | Viegand Maagøe</author>
    <author>Maurizio Gargiulo</author>
    <author>Stefan Petrovic</author>
  </authors>
  <commentList>
    <comment ref="E1" authorId="0" shapeId="0" xr:uid="{C4C7C45C-8C45-42C0-8DC0-A9426DBC95B5}">
      <text>
        <r>
          <rPr>
            <b/>
            <sz val="9"/>
            <color indexed="81"/>
            <rFont val="Tahoma"/>
            <family val="2"/>
          </rPr>
          <t>Andreas Helk | Viegand Maagøe:</t>
        </r>
        <r>
          <rPr>
            <sz val="9"/>
            <color indexed="81"/>
            <rFont val="Tahoma"/>
            <family val="2"/>
          </rPr>
          <t xml:space="preserve">
Input for each sheet - Choose between the categories from the ENS catalogue. Used for looking up potentials</t>
        </r>
      </text>
    </comment>
    <comment ref="S1" authorId="0" shapeId="0" xr:uid="{51FE0B6B-F2BE-4667-817A-3DDEB2E01C9A}">
      <text>
        <r>
          <rPr>
            <b/>
            <sz val="9"/>
            <color indexed="81"/>
            <rFont val="Tahoma"/>
            <family val="2"/>
          </rPr>
          <t>Andreas Helk | Viegand Maagøe:</t>
        </r>
        <r>
          <rPr>
            <sz val="9"/>
            <color indexed="81"/>
            <rFont val="Tahoma"/>
            <family val="2"/>
          </rPr>
          <t xml:space="preserve">
Column number for looking up the right FLO_MARK (direct or indirect technologies)</t>
        </r>
      </text>
    </comment>
    <comment ref="U1" authorId="0" shapeId="0" xr:uid="{7B533D42-8326-4084-ABF7-78CCD2D94B80}">
      <text>
        <r>
          <rPr>
            <b/>
            <sz val="9"/>
            <color indexed="81"/>
            <rFont val="Tahoma"/>
            <family val="2"/>
          </rPr>
          <t>Andreas Helk | Viegand Maagøe:</t>
        </r>
        <r>
          <rPr>
            <sz val="9"/>
            <color indexed="81"/>
            <rFont val="Tahoma"/>
            <family val="2"/>
          </rPr>
          <t xml:space="preserve">
Base input for calculating waste heat in industry. Factor that estimates how much waste heat is generated within HT, MT and RH due to the processes involved and not the technology i.e. drying processes, evaporation, distilling etc. Should be sector-specific depending on the processes within each sector. </t>
        </r>
      </text>
    </comment>
    <comment ref="E2" authorId="0" shapeId="0" xr:uid="{45B8FA0D-33C0-4523-9D0A-6CB2ABEB5556}">
      <text>
        <r>
          <rPr>
            <b/>
            <sz val="9"/>
            <color indexed="81"/>
            <rFont val="Tahoma"/>
            <family val="2"/>
          </rPr>
          <t>Andreas Helk | Viegand Maagøe:</t>
        </r>
        <r>
          <rPr>
            <sz val="9"/>
            <color indexed="81"/>
            <rFont val="Tahoma"/>
            <family val="2"/>
          </rPr>
          <t xml:space="preserve">
Write a sector name for TechDesc and Comm-OUT</t>
        </r>
      </text>
    </comment>
    <comment ref="G6" authorId="0" shapeId="0" xr:uid="{22C55255-CE6E-484E-B28D-60B4EB5F1605}">
      <text>
        <r>
          <rPr>
            <b/>
            <sz val="9"/>
            <color indexed="81"/>
            <rFont val="Tahoma"/>
            <family val="2"/>
          </rPr>
          <t>Andreas Helk | Viegand Maagøe:</t>
        </r>
        <r>
          <rPr>
            <sz val="9"/>
            <color indexed="81"/>
            <rFont val="Tahoma"/>
            <family val="2"/>
          </rPr>
          <t xml:space="preserve">
Heat pumps are set to use both electricity and waste heat within industries.</t>
        </r>
      </text>
    </comment>
    <comment ref="I6" authorId="0" shapeId="0" xr:uid="{2B5DB79F-0E8E-44E1-90C6-AFF0DF7A139A}">
      <text>
        <r>
          <rPr>
            <b/>
            <sz val="9"/>
            <color indexed="81"/>
            <rFont val="Tahoma"/>
            <family val="2"/>
          </rPr>
          <t>Andreas Helk | Viegand Maagøe:</t>
        </r>
        <r>
          <rPr>
            <sz val="9"/>
            <color indexed="81"/>
            <rFont val="Tahoma"/>
            <family val="2"/>
          </rPr>
          <t xml:space="preserve">
Boilers are also set to give out waste heat</t>
        </r>
      </text>
    </comment>
    <comment ref="M6" authorId="0" shapeId="0" xr:uid="{FA5CE325-23C2-488D-AC4C-644BA6C5B31C}">
      <text>
        <r>
          <rPr>
            <b/>
            <sz val="9"/>
            <color indexed="81"/>
            <rFont val="Tahoma"/>
            <family val="2"/>
          </rPr>
          <t>Andreas Helk | Viegand Maagøe:</t>
        </r>
        <r>
          <rPr>
            <sz val="9"/>
            <color indexed="81"/>
            <rFont val="Tahoma"/>
            <family val="2"/>
          </rPr>
          <t xml:space="preserve">
For heat pumps the COP value is loaded here for calculating the input shares. (* means that TIMES does not read the column)</t>
        </r>
      </text>
    </comment>
    <comment ref="S6" authorId="0" shapeId="0" xr:uid="{25E7A6C5-49AA-4D56-8D5C-ED7222600501}">
      <text>
        <r>
          <rPr>
            <b/>
            <sz val="9"/>
            <color indexed="81"/>
            <rFont val="Tahoma"/>
            <family val="2"/>
          </rPr>
          <t>Andreas Helk | Viegand Maagøe:</t>
        </r>
        <r>
          <rPr>
            <sz val="9"/>
            <color indexed="81"/>
            <rFont val="Tahoma"/>
            <family val="2"/>
          </rPr>
          <t xml:space="preserve">
Consider looking into updating these</t>
        </r>
      </text>
    </comment>
    <comment ref="X6" authorId="1" shapeId="0" xr:uid="{5CF03B10-98C6-4C24-B972-FD143D93CF51}">
      <text>
        <r>
          <rPr>
            <b/>
            <sz val="9"/>
            <color indexed="81"/>
            <rFont val="Tahoma"/>
            <family val="2"/>
          </rPr>
          <t>Maurizio Gargiulo:</t>
        </r>
        <r>
          <rPr>
            <sz val="9"/>
            <color indexed="81"/>
            <rFont val="Tahoma"/>
            <family val="2"/>
          </rPr>
          <t xml:space="preserve">
It is not possible to use the parameter like in here because we have more than one COMM-OUT.
If you try to join the two tables you will get an error. We should move these information in a scenario file</t>
        </r>
      </text>
    </comment>
    <comment ref="M9" authorId="0" shapeId="0" xr:uid="{0648A574-8BD0-402B-ADAB-79DE7E7CC495}">
      <text>
        <r>
          <rPr>
            <b/>
            <sz val="9"/>
            <color indexed="81"/>
            <rFont val="Tahoma"/>
            <family val="2"/>
          </rPr>
          <t>Andreas Helk | Viegand Maagøe:</t>
        </r>
        <r>
          <rPr>
            <sz val="9"/>
            <color indexed="81"/>
            <rFont val="Tahoma"/>
            <family val="2"/>
          </rPr>
          <t xml:space="preserve">
Heat pump COP is written in this column since they are not using air as heat source, but using the waste heat within the industry.</t>
        </r>
      </text>
    </comment>
    <comment ref="T33" authorId="0" shapeId="0" xr:uid="{5438E0E8-2F86-4E95-8846-44FAF1171BD6}">
      <text>
        <r>
          <rPr>
            <b/>
            <sz val="9"/>
            <color indexed="81"/>
            <rFont val="Tahoma"/>
            <family val="2"/>
          </rPr>
          <t>Andreas Helk | Viegand Maagøe:</t>
        </r>
        <r>
          <rPr>
            <sz val="9"/>
            <color indexed="81"/>
            <rFont val="Tahoma"/>
            <family val="2"/>
          </rPr>
          <t xml:space="preserve">
Assumed that the traditional heat pumps are prioritized first, so the Abs. heat pump potential is what is left.</t>
        </r>
      </text>
    </comment>
    <comment ref="T45" authorId="0" shapeId="0" xr:uid="{696DE96C-D148-4355-B5C7-430E53EA2808}">
      <text>
        <r>
          <rPr>
            <b/>
            <sz val="9"/>
            <color indexed="81"/>
            <rFont val="Tahoma"/>
            <family val="2"/>
          </rPr>
          <t>Andreas Helk | Viegand Maagøe:</t>
        </r>
        <r>
          <rPr>
            <sz val="9"/>
            <color indexed="81"/>
            <rFont val="Tahoma"/>
            <family val="2"/>
          </rPr>
          <t xml:space="preserve">
Assumed that the traditional heat pumps are prioritized first, so the Booster heat pump potential is what is left.</t>
        </r>
      </text>
    </comment>
    <comment ref="T183" authorId="0" shapeId="0" xr:uid="{12DD2C59-9BD9-44F4-90CE-0B5C9F0D7ABC}">
      <text>
        <r>
          <rPr>
            <b/>
            <sz val="9"/>
            <color indexed="81"/>
            <rFont val="Tahoma"/>
            <family val="2"/>
          </rPr>
          <t>Andreas Helk | Viegand Maagøe:</t>
        </r>
        <r>
          <rPr>
            <sz val="9"/>
            <color indexed="81"/>
            <rFont val="Tahoma"/>
            <family val="2"/>
          </rPr>
          <t xml:space="preserve">
Not a part of the technology catalogue -  manual input</t>
        </r>
      </text>
    </comment>
    <comment ref="O187" authorId="2" shapeId="0" xr:uid="{F063CC21-A29D-4630-AE05-CA25C146C9CB}">
      <text>
        <r>
          <rPr>
            <b/>
            <sz val="9"/>
            <color indexed="81"/>
            <rFont val="Tahoma"/>
            <family val="2"/>
          </rPr>
          <t>Stefan Petrovic:</t>
        </r>
        <r>
          <rPr>
            <sz val="9"/>
            <color indexed="81"/>
            <rFont val="Tahoma"/>
            <family val="2"/>
          </rPr>
          <t xml:space="preserve">
=L6*0.95 was previously</t>
        </r>
      </text>
    </comment>
    <comment ref="O188" authorId="2" shapeId="0" xr:uid="{5405ABC6-97F8-46CB-8779-C6AC86ADE679}">
      <text>
        <r>
          <rPr>
            <b/>
            <sz val="9"/>
            <color indexed="81"/>
            <rFont val="Tahoma"/>
            <family val="2"/>
          </rPr>
          <t>Stefan Petrovic:</t>
        </r>
        <r>
          <rPr>
            <sz val="9"/>
            <color indexed="81"/>
            <rFont val="Tahoma"/>
            <family val="2"/>
          </rPr>
          <t xml:space="preserve">
=L6*0.95 was previously</t>
        </r>
      </text>
    </comment>
    <comment ref="O189" authorId="2" shapeId="0" xr:uid="{9E844F40-4A9E-4276-8C41-FA16892C2CF1}">
      <text>
        <r>
          <rPr>
            <b/>
            <sz val="9"/>
            <color indexed="81"/>
            <rFont val="Tahoma"/>
            <family val="2"/>
          </rPr>
          <t>Stefan Petrovic:</t>
        </r>
        <r>
          <rPr>
            <sz val="9"/>
            <color indexed="81"/>
            <rFont val="Tahoma"/>
            <family val="2"/>
          </rPr>
          <t xml:space="preserve">
=L6*0.95 was previously</t>
        </r>
      </text>
    </comment>
    <comment ref="O190" authorId="2" shapeId="0" xr:uid="{2AEE4F0B-9C8C-4586-9B46-37520A50F31F}">
      <text>
        <r>
          <rPr>
            <b/>
            <sz val="9"/>
            <color indexed="81"/>
            <rFont val="Tahoma"/>
            <family val="2"/>
          </rPr>
          <t>Stefan Petrovic:</t>
        </r>
        <r>
          <rPr>
            <sz val="9"/>
            <color indexed="81"/>
            <rFont val="Tahoma"/>
            <family val="2"/>
          </rPr>
          <t xml:space="preserve">
=L6*0.95 was previously</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Andreas Helk | Viegand Maagøe</author>
    <author>Maurizio Gargiulo</author>
    <author>Stefan Petrovic</author>
  </authors>
  <commentList>
    <comment ref="E1" authorId="0" shapeId="0" xr:uid="{9F273E3A-5346-4B39-AA0A-A35B47FCA1A6}">
      <text>
        <r>
          <rPr>
            <b/>
            <sz val="9"/>
            <color indexed="81"/>
            <rFont val="Tahoma"/>
            <family val="2"/>
          </rPr>
          <t>Andreas Helk | Viegand Maagøe:</t>
        </r>
        <r>
          <rPr>
            <sz val="9"/>
            <color indexed="81"/>
            <rFont val="Tahoma"/>
            <family val="2"/>
          </rPr>
          <t xml:space="preserve">
Input for each sheet - Choose between the categories from the ENS catalogue. Used for looking up potentials</t>
        </r>
      </text>
    </comment>
    <comment ref="S1" authorId="0" shapeId="0" xr:uid="{E195574D-C2D7-4C5D-B0F6-458B9409F08E}">
      <text>
        <r>
          <rPr>
            <b/>
            <sz val="9"/>
            <color indexed="81"/>
            <rFont val="Tahoma"/>
            <family val="2"/>
          </rPr>
          <t>Andreas Helk | Viegand Maagøe:</t>
        </r>
        <r>
          <rPr>
            <sz val="9"/>
            <color indexed="81"/>
            <rFont val="Tahoma"/>
            <family val="2"/>
          </rPr>
          <t xml:space="preserve">
Column number for looking up the right FLO_MARK (direct or indirect technologies)</t>
        </r>
      </text>
    </comment>
    <comment ref="U1" authorId="0" shapeId="0" xr:uid="{258F1657-83D8-4349-9210-87AAE28A7092}">
      <text>
        <r>
          <rPr>
            <b/>
            <sz val="9"/>
            <color indexed="81"/>
            <rFont val="Tahoma"/>
            <family val="2"/>
          </rPr>
          <t>Andreas Helk | Viegand Maagøe:</t>
        </r>
        <r>
          <rPr>
            <sz val="9"/>
            <color indexed="81"/>
            <rFont val="Tahoma"/>
            <family val="2"/>
          </rPr>
          <t xml:space="preserve">
Base input for calculating waste heat in industry. Factor that estimates how much waste heat is generated within HT, MT and RH due to the processes involved and not the technology i.e. drying processes, evaporation, distilling etc. Should be sector-specific depending on the processes within each sector. </t>
        </r>
      </text>
    </comment>
    <comment ref="E2" authorId="0" shapeId="0" xr:uid="{510A0EB7-4EC0-4D4D-B3CA-705059B8B9CE}">
      <text>
        <r>
          <rPr>
            <b/>
            <sz val="9"/>
            <color indexed="81"/>
            <rFont val="Tahoma"/>
            <family val="2"/>
          </rPr>
          <t>Andreas Helk | Viegand Maagøe:</t>
        </r>
        <r>
          <rPr>
            <sz val="9"/>
            <color indexed="81"/>
            <rFont val="Tahoma"/>
            <family val="2"/>
          </rPr>
          <t xml:space="preserve">
Write a sector name for TechDesc and Comm-OUT</t>
        </r>
      </text>
    </comment>
    <comment ref="G6" authorId="0" shapeId="0" xr:uid="{8DAB4D16-A8FF-42A4-9D17-C2F95089A83E}">
      <text>
        <r>
          <rPr>
            <b/>
            <sz val="9"/>
            <color indexed="81"/>
            <rFont val="Tahoma"/>
            <family val="2"/>
          </rPr>
          <t>Andreas Helk | Viegand Maagøe:</t>
        </r>
        <r>
          <rPr>
            <sz val="9"/>
            <color indexed="81"/>
            <rFont val="Tahoma"/>
            <family val="2"/>
          </rPr>
          <t xml:space="preserve">
Heat pumps are set to use both electricity and waste heat within industries.</t>
        </r>
      </text>
    </comment>
    <comment ref="I6" authorId="0" shapeId="0" xr:uid="{3C060F74-5E77-4AF4-AE50-FBE308760B54}">
      <text>
        <r>
          <rPr>
            <b/>
            <sz val="9"/>
            <color indexed="81"/>
            <rFont val="Tahoma"/>
            <family val="2"/>
          </rPr>
          <t>Andreas Helk | Viegand Maagøe:</t>
        </r>
        <r>
          <rPr>
            <sz val="9"/>
            <color indexed="81"/>
            <rFont val="Tahoma"/>
            <family val="2"/>
          </rPr>
          <t xml:space="preserve">
Boilers are also set to give out waste heat</t>
        </r>
      </text>
    </comment>
    <comment ref="M6" authorId="0" shapeId="0" xr:uid="{3A1F3A8F-3448-4E80-B92C-89DA7A5BFBCA}">
      <text>
        <r>
          <rPr>
            <b/>
            <sz val="9"/>
            <color indexed="81"/>
            <rFont val="Tahoma"/>
            <family val="2"/>
          </rPr>
          <t>Andreas Helk | Viegand Maagøe:</t>
        </r>
        <r>
          <rPr>
            <sz val="9"/>
            <color indexed="81"/>
            <rFont val="Tahoma"/>
            <family val="2"/>
          </rPr>
          <t xml:space="preserve">
For heat pumps the COP value is loaded here for calculating the input shares. (* means that TIMES does not read the column)</t>
        </r>
      </text>
    </comment>
    <comment ref="S6" authorId="0" shapeId="0" xr:uid="{93486E90-4DD1-4040-BE97-B111096972C5}">
      <text>
        <r>
          <rPr>
            <b/>
            <sz val="9"/>
            <color indexed="81"/>
            <rFont val="Tahoma"/>
            <family val="2"/>
          </rPr>
          <t>Andreas Helk | Viegand Maagøe:</t>
        </r>
        <r>
          <rPr>
            <sz val="9"/>
            <color indexed="81"/>
            <rFont val="Tahoma"/>
            <family val="2"/>
          </rPr>
          <t xml:space="preserve">
Consider looking into updating these</t>
        </r>
      </text>
    </comment>
    <comment ref="X6" authorId="1" shapeId="0" xr:uid="{7C1E6E94-8420-4FB5-8E54-208D6B7058A5}">
      <text>
        <r>
          <rPr>
            <b/>
            <sz val="9"/>
            <color indexed="81"/>
            <rFont val="Tahoma"/>
            <family val="2"/>
          </rPr>
          <t>Maurizio Gargiulo:</t>
        </r>
        <r>
          <rPr>
            <sz val="9"/>
            <color indexed="81"/>
            <rFont val="Tahoma"/>
            <family val="2"/>
          </rPr>
          <t xml:space="preserve">
It is not possible to use the parameter like in here because we have more than one COMM-OUT.
If you try to join the two tables you will get an error. We should move these information in a scenario file</t>
        </r>
      </text>
    </comment>
    <comment ref="M9" authorId="0" shapeId="0" xr:uid="{37A17CA5-8A78-43BA-9204-4C53501B9D8D}">
      <text>
        <r>
          <rPr>
            <b/>
            <sz val="9"/>
            <color indexed="81"/>
            <rFont val="Tahoma"/>
            <family val="2"/>
          </rPr>
          <t>Andreas Helk | Viegand Maagøe:</t>
        </r>
        <r>
          <rPr>
            <sz val="9"/>
            <color indexed="81"/>
            <rFont val="Tahoma"/>
            <family val="2"/>
          </rPr>
          <t xml:space="preserve">
Heat pump COP is written in this column since they are not using air as heat source, but using the waste heat within the industry.</t>
        </r>
      </text>
    </comment>
    <comment ref="T33" authorId="0" shapeId="0" xr:uid="{15CCBB69-F11D-4C67-9ADB-E570130CB7B2}">
      <text>
        <r>
          <rPr>
            <b/>
            <sz val="9"/>
            <color indexed="81"/>
            <rFont val="Tahoma"/>
            <family val="2"/>
          </rPr>
          <t>Andreas Helk | Viegand Maagøe:</t>
        </r>
        <r>
          <rPr>
            <sz val="9"/>
            <color indexed="81"/>
            <rFont val="Tahoma"/>
            <family val="2"/>
          </rPr>
          <t xml:space="preserve">
Assumed that the traditional heat pumps are prioritized first, so the Abs. heat pump potential is what is left.</t>
        </r>
      </text>
    </comment>
    <comment ref="T45" authorId="0" shapeId="0" xr:uid="{42645429-B31C-4E13-BC31-50EA15D8A50D}">
      <text>
        <r>
          <rPr>
            <b/>
            <sz val="9"/>
            <color indexed="81"/>
            <rFont val="Tahoma"/>
            <family val="2"/>
          </rPr>
          <t>Andreas Helk | Viegand Maagøe:</t>
        </r>
        <r>
          <rPr>
            <sz val="9"/>
            <color indexed="81"/>
            <rFont val="Tahoma"/>
            <family val="2"/>
          </rPr>
          <t xml:space="preserve">
Assumed that the traditional heat pumps are prioritized first, so the Booster heat pump potential is what is left.</t>
        </r>
      </text>
    </comment>
    <comment ref="T183" authorId="0" shapeId="0" xr:uid="{2AA50682-FD75-42C4-AC56-F46B06574932}">
      <text>
        <r>
          <rPr>
            <b/>
            <sz val="9"/>
            <color indexed="81"/>
            <rFont val="Tahoma"/>
            <family val="2"/>
          </rPr>
          <t>Andreas Helk | Viegand Maagøe:</t>
        </r>
        <r>
          <rPr>
            <sz val="9"/>
            <color indexed="81"/>
            <rFont val="Tahoma"/>
            <family val="2"/>
          </rPr>
          <t xml:space="preserve">
Not a part of the technology catalogue -  manual input</t>
        </r>
      </text>
    </comment>
    <comment ref="O187" authorId="2" shapeId="0" xr:uid="{0B1EB51C-E7E2-4995-B222-F79A82F52F57}">
      <text>
        <r>
          <rPr>
            <b/>
            <sz val="9"/>
            <color indexed="81"/>
            <rFont val="Tahoma"/>
            <family val="2"/>
          </rPr>
          <t>Stefan Petrovic:</t>
        </r>
        <r>
          <rPr>
            <sz val="9"/>
            <color indexed="81"/>
            <rFont val="Tahoma"/>
            <family val="2"/>
          </rPr>
          <t xml:space="preserve">
=L6*0.95 was previously</t>
        </r>
      </text>
    </comment>
    <comment ref="O188" authorId="2" shapeId="0" xr:uid="{E79A6F49-DB70-4C6A-8D35-D65B79767924}">
      <text>
        <r>
          <rPr>
            <b/>
            <sz val="9"/>
            <color indexed="81"/>
            <rFont val="Tahoma"/>
            <family val="2"/>
          </rPr>
          <t>Stefan Petrovic:</t>
        </r>
        <r>
          <rPr>
            <sz val="9"/>
            <color indexed="81"/>
            <rFont val="Tahoma"/>
            <family val="2"/>
          </rPr>
          <t xml:space="preserve">
=L6*0.95 was previously</t>
        </r>
      </text>
    </comment>
    <comment ref="O189" authorId="2" shapeId="0" xr:uid="{E9D68678-99AE-4C55-BD11-5BC0C9D4A0BD}">
      <text>
        <r>
          <rPr>
            <b/>
            <sz val="9"/>
            <color indexed="81"/>
            <rFont val="Tahoma"/>
            <family val="2"/>
          </rPr>
          <t>Stefan Petrovic:</t>
        </r>
        <r>
          <rPr>
            <sz val="9"/>
            <color indexed="81"/>
            <rFont val="Tahoma"/>
            <family val="2"/>
          </rPr>
          <t xml:space="preserve">
=L6*0.95 was previously</t>
        </r>
      </text>
    </comment>
    <comment ref="O190" authorId="2" shapeId="0" xr:uid="{D0D08C5D-C26F-49E4-A726-617233367BAE}">
      <text>
        <r>
          <rPr>
            <b/>
            <sz val="9"/>
            <color indexed="81"/>
            <rFont val="Tahoma"/>
            <family val="2"/>
          </rPr>
          <t>Stefan Petrovic:</t>
        </r>
        <r>
          <rPr>
            <sz val="9"/>
            <color indexed="81"/>
            <rFont val="Tahoma"/>
            <family val="2"/>
          </rPr>
          <t xml:space="preserve">
=L6*0.95 was previously</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Andreas Helk | Viegand Maagøe</author>
    <author>Maurizio Gargiulo</author>
    <author>Stefan Petrovic</author>
  </authors>
  <commentList>
    <comment ref="E1" authorId="0" shapeId="0" xr:uid="{1108185F-2F93-4011-8795-D02A93081A7A}">
      <text>
        <r>
          <rPr>
            <b/>
            <sz val="9"/>
            <color indexed="81"/>
            <rFont val="Tahoma"/>
            <family val="2"/>
          </rPr>
          <t>Andreas Helk | Viegand Maagøe:</t>
        </r>
        <r>
          <rPr>
            <sz val="9"/>
            <color indexed="81"/>
            <rFont val="Tahoma"/>
            <family val="2"/>
          </rPr>
          <t xml:space="preserve">
Input for each sheet - Choose between the categories from the ENS catalogue. Used for looking up potentials</t>
        </r>
      </text>
    </comment>
    <comment ref="S1" authorId="0" shapeId="0" xr:uid="{8397D8B5-25C6-4BBD-96DF-35C266FF4DC3}">
      <text>
        <r>
          <rPr>
            <b/>
            <sz val="9"/>
            <color indexed="81"/>
            <rFont val="Tahoma"/>
            <family val="2"/>
          </rPr>
          <t>Andreas Helk | Viegand Maagøe:</t>
        </r>
        <r>
          <rPr>
            <sz val="9"/>
            <color indexed="81"/>
            <rFont val="Tahoma"/>
            <family val="2"/>
          </rPr>
          <t xml:space="preserve">
Column number for looking up the right FLO_MARK (direct or indirect technologies)</t>
        </r>
      </text>
    </comment>
    <comment ref="U1" authorId="0" shapeId="0" xr:uid="{256ECD4A-E91D-44C5-8952-ABDD55C4FD63}">
      <text>
        <r>
          <rPr>
            <b/>
            <sz val="9"/>
            <color indexed="81"/>
            <rFont val="Tahoma"/>
            <family val="2"/>
          </rPr>
          <t>Andreas Helk | Viegand Maagøe:</t>
        </r>
        <r>
          <rPr>
            <sz val="9"/>
            <color indexed="81"/>
            <rFont val="Tahoma"/>
            <family val="2"/>
          </rPr>
          <t xml:space="preserve">
Base input for calculating waste heat in industry. Factor that estimates how much waste heat is generated within HT, MT and RH due to the processes involved and not the technology i.e. drying processes, evaporation, distilling etc. Should be sector-specific depending on the processes within each sector. </t>
        </r>
      </text>
    </comment>
    <comment ref="E2" authorId="0" shapeId="0" xr:uid="{511E1F70-42C2-4C00-B7C6-D03537C97B54}">
      <text>
        <r>
          <rPr>
            <b/>
            <sz val="9"/>
            <color indexed="81"/>
            <rFont val="Tahoma"/>
            <family val="2"/>
          </rPr>
          <t>Andreas Helk | Viegand Maagøe:</t>
        </r>
        <r>
          <rPr>
            <sz val="9"/>
            <color indexed="81"/>
            <rFont val="Tahoma"/>
            <family val="2"/>
          </rPr>
          <t xml:space="preserve">
Write a sector name for TechDesc and Comm-OUT</t>
        </r>
      </text>
    </comment>
    <comment ref="G6" authorId="0" shapeId="0" xr:uid="{A27B379A-E895-43DB-9028-18935D8BF788}">
      <text>
        <r>
          <rPr>
            <b/>
            <sz val="9"/>
            <color indexed="81"/>
            <rFont val="Tahoma"/>
            <family val="2"/>
          </rPr>
          <t>Andreas Helk | Viegand Maagøe:</t>
        </r>
        <r>
          <rPr>
            <sz val="9"/>
            <color indexed="81"/>
            <rFont val="Tahoma"/>
            <family val="2"/>
          </rPr>
          <t xml:space="preserve">
Heat pumps are set to use both electricity and waste heat within industries.</t>
        </r>
      </text>
    </comment>
    <comment ref="I6" authorId="0" shapeId="0" xr:uid="{08D4223E-6CD4-408C-B5F6-0D86201D0F90}">
      <text>
        <r>
          <rPr>
            <b/>
            <sz val="9"/>
            <color indexed="81"/>
            <rFont val="Tahoma"/>
            <family val="2"/>
          </rPr>
          <t>Andreas Helk | Viegand Maagøe:</t>
        </r>
        <r>
          <rPr>
            <sz val="9"/>
            <color indexed="81"/>
            <rFont val="Tahoma"/>
            <family val="2"/>
          </rPr>
          <t xml:space="preserve">
Boilers are also set to give out waste heat</t>
        </r>
      </text>
    </comment>
    <comment ref="M6" authorId="0" shapeId="0" xr:uid="{B5086099-E139-48A5-8AD9-42D45FAFA4B0}">
      <text>
        <r>
          <rPr>
            <b/>
            <sz val="9"/>
            <color indexed="81"/>
            <rFont val="Tahoma"/>
            <family val="2"/>
          </rPr>
          <t>Andreas Helk | Viegand Maagøe:</t>
        </r>
        <r>
          <rPr>
            <sz val="9"/>
            <color indexed="81"/>
            <rFont val="Tahoma"/>
            <family val="2"/>
          </rPr>
          <t xml:space="preserve">
For heat pumps the COP value is loaded here for calculating the input shares. (* means that TIMES does not read the column)</t>
        </r>
      </text>
    </comment>
    <comment ref="S6" authorId="0" shapeId="0" xr:uid="{58C6F082-37F4-429C-9D61-CE68244A56AF}">
      <text>
        <r>
          <rPr>
            <b/>
            <sz val="9"/>
            <color indexed="81"/>
            <rFont val="Tahoma"/>
            <family val="2"/>
          </rPr>
          <t>Andreas Helk | Viegand Maagøe:</t>
        </r>
        <r>
          <rPr>
            <sz val="9"/>
            <color indexed="81"/>
            <rFont val="Tahoma"/>
            <family val="2"/>
          </rPr>
          <t xml:space="preserve">
Consider looking into updating these</t>
        </r>
      </text>
    </comment>
    <comment ref="X6" authorId="1" shapeId="0" xr:uid="{A5315DF2-38C7-41BA-957A-14849011AAA4}">
      <text>
        <r>
          <rPr>
            <b/>
            <sz val="9"/>
            <color indexed="81"/>
            <rFont val="Tahoma"/>
            <family val="2"/>
          </rPr>
          <t>Maurizio Gargiulo:</t>
        </r>
        <r>
          <rPr>
            <sz val="9"/>
            <color indexed="81"/>
            <rFont val="Tahoma"/>
            <family val="2"/>
          </rPr>
          <t xml:space="preserve">
It is not possible to use the parameter like in here because we have more than one COMM-OUT.
If you try to join the two tables you will get an error. We should move these information in a scenario file</t>
        </r>
      </text>
    </comment>
    <comment ref="M9" authorId="0" shapeId="0" xr:uid="{C6AEEF78-561B-4794-891B-B1C5D94ACDDE}">
      <text>
        <r>
          <rPr>
            <b/>
            <sz val="9"/>
            <color indexed="81"/>
            <rFont val="Tahoma"/>
            <family val="2"/>
          </rPr>
          <t>Andreas Helk | Viegand Maagøe:</t>
        </r>
        <r>
          <rPr>
            <sz val="9"/>
            <color indexed="81"/>
            <rFont val="Tahoma"/>
            <family val="2"/>
          </rPr>
          <t xml:space="preserve">
Heat pump COP is written in this column since they are not using air as heat source, but using the waste heat within the industry.</t>
        </r>
      </text>
    </comment>
    <comment ref="T33" authorId="0" shapeId="0" xr:uid="{4DFD33FC-6B34-4C86-B419-A79D2053BA79}">
      <text>
        <r>
          <rPr>
            <b/>
            <sz val="9"/>
            <color indexed="81"/>
            <rFont val="Tahoma"/>
            <family val="2"/>
          </rPr>
          <t>Andreas Helk | Viegand Maagøe:</t>
        </r>
        <r>
          <rPr>
            <sz val="9"/>
            <color indexed="81"/>
            <rFont val="Tahoma"/>
            <family val="2"/>
          </rPr>
          <t xml:space="preserve">
Assumed that the traditional heat pumps are prioritized first, so the Abs. heat pump potential is what is left.</t>
        </r>
      </text>
    </comment>
    <comment ref="T45" authorId="0" shapeId="0" xr:uid="{35BAEA73-4261-434D-A98F-38304B5C7CE4}">
      <text>
        <r>
          <rPr>
            <b/>
            <sz val="9"/>
            <color indexed="81"/>
            <rFont val="Tahoma"/>
            <family val="2"/>
          </rPr>
          <t>Andreas Helk | Viegand Maagøe:</t>
        </r>
        <r>
          <rPr>
            <sz val="9"/>
            <color indexed="81"/>
            <rFont val="Tahoma"/>
            <family val="2"/>
          </rPr>
          <t xml:space="preserve">
Assumed that the traditional heat pumps are prioritized first, so the Booster heat pump potential is what is left.</t>
        </r>
      </text>
    </comment>
    <comment ref="T183" authorId="0" shapeId="0" xr:uid="{1A69BAC0-E7ED-4A0B-AE4A-9312ADEAF11E}">
      <text>
        <r>
          <rPr>
            <b/>
            <sz val="9"/>
            <color indexed="81"/>
            <rFont val="Tahoma"/>
            <family val="2"/>
          </rPr>
          <t>Andreas Helk | Viegand Maagøe:</t>
        </r>
        <r>
          <rPr>
            <sz val="9"/>
            <color indexed="81"/>
            <rFont val="Tahoma"/>
            <family val="2"/>
          </rPr>
          <t xml:space="preserve">
Not a part of the technology catalogue -  manual input</t>
        </r>
      </text>
    </comment>
    <comment ref="O187" authorId="2" shapeId="0" xr:uid="{90AD6F01-21A3-4F96-A709-CD7A66072106}">
      <text>
        <r>
          <rPr>
            <b/>
            <sz val="9"/>
            <color indexed="81"/>
            <rFont val="Tahoma"/>
            <family val="2"/>
          </rPr>
          <t>Stefan Petrovic:</t>
        </r>
        <r>
          <rPr>
            <sz val="9"/>
            <color indexed="81"/>
            <rFont val="Tahoma"/>
            <family val="2"/>
          </rPr>
          <t xml:space="preserve">
=L6*0.95 was previously</t>
        </r>
      </text>
    </comment>
    <comment ref="O188" authorId="2" shapeId="0" xr:uid="{987454A3-CD1D-447A-AB80-84C41AAB6F73}">
      <text>
        <r>
          <rPr>
            <b/>
            <sz val="9"/>
            <color indexed="81"/>
            <rFont val="Tahoma"/>
            <family val="2"/>
          </rPr>
          <t>Stefan Petrovic:</t>
        </r>
        <r>
          <rPr>
            <sz val="9"/>
            <color indexed="81"/>
            <rFont val="Tahoma"/>
            <family val="2"/>
          </rPr>
          <t xml:space="preserve">
=L6*0.95 was previously</t>
        </r>
      </text>
    </comment>
    <comment ref="O189" authorId="2" shapeId="0" xr:uid="{60C2A763-15CB-4610-BDF7-D47D55A62022}">
      <text>
        <r>
          <rPr>
            <b/>
            <sz val="9"/>
            <color indexed="81"/>
            <rFont val="Tahoma"/>
            <family val="2"/>
          </rPr>
          <t>Stefan Petrovic:</t>
        </r>
        <r>
          <rPr>
            <sz val="9"/>
            <color indexed="81"/>
            <rFont val="Tahoma"/>
            <family val="2"/>
          </rPr>
          <t xml:space="preserve">
=L6*0.95 was previously</t>
        </r>
      </text>
    </comment>
    <comment ref="O190" authorId="2" shapeId="0" xr:uid="{EF32014E-1A93-4FF5-818E-E262A8217AC3}">
      <text>
        <r>
          <rPr>
            <b/>
            <sz val="9"/>
            <color indexed="81"/>
            <rFont val="Tahoma"/>
            <family val="2"/>
          </rPr>
          <t>Stefan Petrovic:</t>
        </r>
        <r>
          <rPr>
            <sz val="9"/>
            <color indexed="81"/>
            <rFont val="Tahoma"/>
            <family val="2"/>
          </rPr>
          <t xml:space="preserve">
=L6*0.95 was previously</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Andreas Helk | Viegand Maagøe</author>
    <author>Maurizio Gargiulo</author>
    <author>Stefan Petrovic</author>
  </authors>
  <commentList>
    <comment ref="E1" authorId="0" shapeId="0" xr:uid="{83690B2E-24EF-4D15-A008-9ED14DE2DF68}">
      <text>
        <r>
          <rPr>
            <b/>
            <sz val="9"/>
            <color indexed="81"/>
            <rFont val="Tahoma"/>
            <family val="2"/>
          </rPr>
          <t>Andreas Helk | Viegand Maagøe:</t>
        </r>
        <r>
          <rPr>
            <sz val="9"/>
            <color indexed="81"/>
            <rFont val="Tahoma"/>
            <family val="2"/>
          </rPr>
          <t xml:space="preserve">
Input for each sheet - Choose between the categories from the ENS catalogue. Used for looking up potentials</t>
        </r>
      </text>
    </comment>
    <comment ref="S1" authorId="0" shapeId="0" xr:uid="{388D2754-A640-45BB-AAB9-E45DAEA14363}">
      <text>
        <r>
          <rPr>
            <b/>
            <sz val="9"/>
            <color indexed="81"/>
            <rFont val="Tahoma"/>
            <family val="2"/>
          </rPr>
          <t>Andreas Helk | Viegand Maagøe:</t>
        </r>
        <r>
          <rPr>
            <sz val="9"/>
            <color indexed="81"/>
            <rFont val="Tahoma"/>
            <family val="2"/>
          </rPr>
          <t xml:space="preserve">
Column number for looking up the right FLO_MARK (direct or indirect technologies)</t>
        </r>
      </text>
    </comment>
    <comment ref="U1" authorId="0" shapeId="0" xr:uid="{6A938E01-DC38-4218-B6E4-7DD6A3FAB05D}">
      <text>
        <r>
          <rPr>
            <b/>
            <sz val="9"/>
            <color indexed="81"/>
            <rFont val="Tahoma"/>
            <family val="2"/>
          </rPr>
          <t>Andreas Helk | Viegand Maagøe:</t>
        </r>
        <r>
          <rPr>
            <sz val="9"/>
            <color indexed="81"/>
            <rFont val="Tahoma"/>
            <family val="2"/>
          </rPr>
          <t xml:space="preserve">
Base input for calculating waste heat in industry. Factor that estimates how much waste heat is generated within HT, MT and RH due to the processes involved and not the technology i.e. drying processes, evaporation, distilling etc. Should be sector-specific depending on the processes within each sector. </t>
        </r>
      </text>
    </comment>
    <comment ref="E2" authorId="0" shapeId="0" xr:uid="{D916F4E7-933E-413C-85EA-61BAE07EBD2D}">
      <text>
        <r>
          <rPr>
            <b/>
            <sz val="9"/>
            <color indexed="81"/>
            <rFont val="Tahoma"/>
            <family val="2"/>
          </rPr>
          <t>Andreas Helk | Viegand Maagøe:</t>
        </r>
        <r>
          <rPr>
            <sz val="9"/>
            <color indexed="81"/>
            <rFont val="Tahoma"/>
            <family val="2"/>
          </rPr>
          <t xml:space="preserve">
Write a sector name for TechDesc and Comm-OUT</t>
        </r>
      </text>
    </comment>
    <comment ref="G6" authorId="0" shapeId="0" xr:uid="{10B4884B-23D3-4C45-8E8B-85F4CB978FBA}">
      <text>
        <r>
          <rPr>
            <b/>
            <sz val="9"/>
            <color indexed="81"/>
            <rFont val="Tahoma"/>
            <family val="2"/>
          </rPr>
          <t>Andreas Helk | Viegand Maagøe:</t>
        </r>
        <r>
          <rPr>
            <sz val="9"/>
            <color indexed="81"/>
            <rFont val="Tahoma"/>
            <family val="2"/>
          </rPr>
          <t xml:space="preserve">
Heat pumps are set to use both electricity and waste heat within industries.</t>
        </r>
      </text>
    </comment>
    <comment ref="I6" authorId="0" shapeId="0" xr:uid="{3AA03353-A173-4D29-BD5F-FBA91D1589D2}">
      <text>
        <r>
          <rPr>
            <b/>
            <sz val="9"/>
            <color indexed="81"/>
            <rFont val="Tahoma"/>
            <family val="2"/>
          </rPr>
          <t>Andreas Helk | Viegand Maagøe:</t>
        </r>
        <r>
          <rPr>
            <sz val="9"/>
            <color indexed="81"/>
            <rFont val="Tahoma"/>
            <family val="2"/>
          </rPr>
          <t xml:space="preserve">
Boilers are also set to give out waste heat</t>
        </r>
      </text>
    </comment>
    <comment ref="M6" authorId="0" shapeId="0" xr:uid="{4AF74174-A76E-44DD-8E1E-217E18A1EF7D}">
      <text>
        <r>
          <rPr>
            <b/>
            <sz val="9"/>
            <color indexed="81"/>
            <rFont val="Tahoma"/>
            <family val="2"/>
          </rPr>
          <t>Andreas Helk | Viegand Maagøe:</t>
        </r>
        <r>
          <rPr>
            <sz val="9"/>
            <color indexed="81"/>
            <rFont val="Tahoma"/>
            <family val="2"/>
          </rPr>
          <t xml:space="preserve">
For heat pumps the COP value is loaded here for calculating the input shares. (* means that TIMES does not read the column)</t>
        </r>
      </text>
    </comment>
    <comment ref="S6" authorId="0" shapeId="0" xr:uid="{D654D5FE-3B1D-42B6-AF6A-F5F17E55728B}">
      <text>
        <r>
          <rPr>
            <b/>
            <sz val="9"/>
            <color indexed="81"/>
            <rFont val="Tahoma"/>
            <family val="2"/>
          </rPr>
          <t>Andreas Helk | Viegand Maagøe:</t>
        </r>
        <r>
          <rPr>
            <sz val="9"/>
            <color indexed="81"/>
            <rFont val="Tahoma"/>
            <family val="2"/>
          </rPr>
          <t xml:space="preserve">
Consider looking into updating these</t>
        </r>
      </text>
    </comment>
    <comment ref="X6" authorId="1" shapeId="0" xr:uid="{C9132B04-53BA-4061-A563-8DC3ECF6717E}">
      <text>
        <r>
          <rPr>
            <b/>
            <sz val="9"/>
            <color indexed="81"/>
            <rFont val="Tahoma"/>
            <family val="2"/>
          </rPr>
          <t>Maurizio Gargiulo:</t>
        </r>
        <r>
          <rPr>
            <sz val="9"/>
            <color indexed="81"/>
            <rFont val="Tahoma"/>
            <family val="2"/>
          </rPr>
          <t xml:space="preserve">
It is not possible to use the parameter like in here because we have more than one COMM-OUT.
If you try to join the two tables you will get an error. We should move these information in a scenario file</t>
        </r>
      </text>
    </comment>
    <comment ref="M9" authorId="0" shapeId="0" xr:uid="{831CBF88-B5BC-4379-915B-67F556F1EFA8}">
      <text>
        <r>
          <rPr>
            <b/>
            <sz val="9"/>
            <color indexed="81"/>
            <rFont val="Tahoma"/>
            <family val="2"/>
          </rPr>
          <t>Andreas Helk | Viegand Maagøe:</t>
        </r>
        <r>
          <rPr>
            <sz val="9"/>
            <color indexed="81"/>
            <rFont val="Tahoma"/>
            <family val="2"/>
          </rPr>
          <t xml:space="preserve">
Heat pump COP is written in this column since they are not using air as heat source, but using the waste heat within the industry.</t>
        </r>
      </text>
    </comment>
    <comment ref="T33" authorId="0" shapeId="0" xr:uid="{23A09425-CBB5-46CA-8D4B-5E49F8BE2B89}">
      <text>
        <r>
          <rPr>
            <b/>
            <sz val="9"/>
            <color indexed="81"/>
            <rFont val="Tahoma"/>
            <family val="2"/>
          </rPr>
          <t>Andreas Helk | Viegand Maagøe:</t>
        </r>
        <r>
          <rPr>
            <sz val="9"/>
            <color indexed="81"/>
            <rFont val="Tahoma"/>
            <family val="2"/>
          </rPr>
          <t xml:space="preserve">
Assumed that the traditional heat pumps are prioritized first, so the Abs. heat pump potential is what is left.</t>
        </r>
      </text>
    </comment>
    <comment ref="T45" authorId="0" shapeId="0" xr:uid="{3B5D06CB-DCEE-4771-A53F-AEFFD54CC08B}">
      <text>
        <r>
          <rPr>
            <b/>
            <sz val="9"/>
            <color indexed="81"/>
            <rFont val="Tahoma"/>
            <family val="2"/>
          </rPr>
          <t>Andreas Helk | Viegand Maagøe:</t>
        </r>
        <r>
          <rPr>
            <sz val="9"/>
            <color indexed="81"/>
            <rFont val="Tahoma"/>
            <family val="2"/>
          </rPr>
          <t xml:space="preserve">
Assumed that the traditional heat pumps are prioritized first, so the Booster heat pump potential is what is left.</t>
        </r>
      </text>
    </comment>
    <comment ref="T183" authorId="0" shapeId="0" xr:uid="{3F8552A4-548D-4B2F-B655-DBB4ECF9B9C2}">
      <text>
        <r>
          <rPr>
            <b/>
            <sz val="9"/>
            <color indexed="81"/>
            <rFont val="Tahoma"/>
            <family val="2"/>
          </rPr>
          <t>Andreas Helk | Viegand Maagøe:</t>
        </r>
        <r>
          <rPr>
            <sz val="9"/>
            <color indexed="81"/>
            <rFont val="Tahoma"/>
            <family val="2"/>
          </rPr>
          <t xml:space="preserve">
Not a part of the technology catalogue -  manual input</t>
        </r>
      </text>
    </comment>
    <comment ref="O187" authorId="2" shapeId="0" xr:uid="{A952B723-66B7-422F-A80A-10D4B2792703}">
      <text>
        <r>
          <rPr>
            <b/>
            <sz val="9"/>
            <color indexed="81"/>
            <rFont val="Tahoma"/>
            <family val="2"/>
          </rPr>
          <t>Stefan Petrovic:</t>
        </r>
        <r>
          <rPr>
            <sz val="9"/>
            <color indexed="81"/>
            <rFont val="Tahoma"/>
            <family val="2"/>
          </rPr>
          <t xml:space="preserve">
=L6*0.95 was previously</t>
        </r>
      </text>
    </comment>
    <comment ref="O188" authorId="2" shapeId="0" xr:uid="{7CC4959C-9109-4FC0-896F-30E0C5B85100}">
      <text>
        <r>
          <rPr>
            <b/>
            <sz val="9"/>
            <color indexed="81"/>
            <rFont val="Tahoma"/>
            <family val="2"/>
          </rPr>
          <t>Stefan Petrovic:</t>
        </r>
        <r>
          <rPr>
            <sz val="9"/>
            <color indexed="81"/>
            <rFont val="Tahoma"/>
            <family val="2"/>
          </rPr>
          <t xml:space="preserve">
=L6*0.95 was previously</t>
        </r>
      </text>
    </comment>
    <comment ref="O189" authorId="2" shapeId="0" xr:uid="{D587C85F-9A3F-46E6-8197-B896A61CB58D}">
      <text>
        <r>
          <rPr>
            <b/>
            <sz val="9"/>
            <color indexed="81"/>
            <rFont val="Tahoma"/>
            <family val="2"/>
          </rPr>
          <t>Stefan Petrovic:</t>
        </r>
        <r>
          <rPr>
            <sz val="9"/>
            <color indexed="81"/>
            <rFont val="Tahoma"/>
            <family val="2"/>
          </rPr>
          <t xml:space="preserve">
=L6*0.95 was previously</t>
        </r>
      </text>
    </comment>
    <comment ref="O190" authorId="2" shapeId="0" xr:uid="{AEF7F9FB-8CC4-41D0-A7E9-EB586B716615}">
      <text>
        <r>
          <rPr>
            <b/>
            <sz val="9"/>
            <color indexed="81"/>
            <rFont val="Tahoma"/>
            <family val="2"/>
          </rPr>
          <t>Stefan Petrovic:</t>
        </r>
        <r>
          <rPr>
            <sz val="9"/>
            <color indexed="81"/>
            <rFont val="Tahoma"/>
            <family val="2"/>
          </rPr>
          <t xml:space="preserve">
=L6*0.95 was previously</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Andreas Helk | Viegand Maagøe</author>
    <author>Maurizio Gargiulo</author>
    <author>Stefan Petrovic</author>
  </authors>
  <commentList>
    <comment ref="E1" authorId="0" shapeId="0" xr:uid="{A1617627-C138-43E9-A0A4-EF1050DCDB13}">
      <text>
        <r>
          <rPr>
            <b/>
            <sz val="9"/>
            <color indexed="81"/>
            <rFont val="Tahoma"/>
            <family val="2"/>
          </rPr>
          <t>Andreas Helk | Viegand Maagøe:</t>
        </r>
        <r>
          <rPr>
            <sz val="9"/>
            <color indexed="81"/>
            <rFont val="Tahoma"/>
            <family val="2"/>
          </rPr>
          <t xml:space="preserve">
Input for each sheet - Choose between the categories from the ENS catalogue. Used for looking up potentials</t>
        </r>
      </text>
    </comment>
    <comment ref="S1" authorId="0" shapeId="0" xr:uid="{0D5A0CB4-B7DE-45BE-ABA6-CFA41009B45F}">
      <text>
        <r>
          <rPr>
            <b/>
            <sz val="9"/>
            <color indexed="81"/>
            <rFont val="Tahoma"/>
            <family val="2"/>
          </rPr>
          <t>Andreas Helk | Viegand Maagøe:</t>
        </r>
        <r>
          <rPr>
            <sz val="9"/>
            <color indexed="81"/>
            <rFont val="Tahoma"/>
            <family val="2"/>
          </rPr>
          <t xml:space="preserve">
Column number for looking up the right FLO_MARK (direct or indirect technologies)</t>
        </r>
      </text>
    </comment>
    <comment ref="U1" authorId="0" shapeId="0" xr:uid="{C8C824AE-BE35-49DB-87D2-46868812E3F1}">
      <text>
        <r>
          <rPr>
            <b/>
            <sz val="9"/>
            <color indexed="81"/>
            <rFont val="Tahoma"/>
            <family val="2"/>
          </rPr>
          <t>Andreas Helk | Viegand Maagøe:</t>
        </r>
        <r>
          <rPr>
            <sz val="9"/>
            <color indexed="81"/>
            <rFont val="Tahoma"/>
            <family val="2"/>
          </rPr>
          <t xml:space="preserve">
Base input for calculating waste heat in industry. Factor that estimates how much waste heat is generated within HT, MT and RH due to the processes involved and not the technology i.e. drying processes, evaporation, distilling etc. Should be sector-specific depending on the processes within each sector. </t>
        </r>
      </text>
    </comment>
    <comment ref="E2" authorId="0" shapeId="0" xr:uid="{50C43482-A77B-4582-B456-89B1EFEAF134}">
      <text>
        <r>
          <rPr>
            <b/>
            <sz val="9"/>
            <color indexed="81"/>
            <rFont val="Tahoma"/>
            <family val="2"/>
          </rPr>
          <t>Andreas Helk | Viegand Maagøe:</t>
        </r>
        <r>
          <rPr>
            <sz val="9"/>
            <color indexed="81"/>
            <rFont val="Tahoma"/>
            <family val="2"/>
          </rPr>
          <t xml:space="preserve">
Write a sector name for TechDesc and Comm-OUT</t>
        </r>
      </text>
    </comment>
    <comment ref="G6" authorId="0" shapeId="0" xr:uid="{5408A313-1E79-422F-8E66-24240D4A9331}">
      <text>
        <r>
          <rPr>
            <b/>
            <sz val="9"/>
            <color indexed="81"/>
            <rFont val="Tahoma"/>
            <family val="2"/>
          </rPr>
          <t>Andreas Helk | Viegand Maagøe:</t>
        </r>
        <r>
          <rPr>
            <sz val="9"/>
            <color indexed="81"/>
            <rFont val="Tahoma"/>
            <family val="2"/>
          </rPr>
          <t xml:space="preserve">
Heat pumps are set to use both electricity and waste heat within industries.</t>
        </r>
      </text>
    </comment>
    <comment ref="I6" authorId="0" shapeId="0" xr:uid="{896D1F10-CFAD-4C29-881A-5EC388B7E758}">
      <text>
        <r>
          <rPr>
            <b/>
            <sz val="9"/>
            <color indexed="81"/>
            <rFont val="Tahoma"/>
            <family val="2"/>
          </rPr>
          <t>Andreas Helk | Viegand Maagøe:</t>
        </r>
        <r>
          <rPr>
            <sz val="9"/>
            <color indexed="81"/>
            <rFont val="Tahoma"/>
            <family val="2"/>
          </rPr>
          <t xml:space="preserve">
Boilers are also set to give out waste heat</t>
        </r>
      </text>
    </comment>
    <comment ref="M6" authorId="0" shapeId="0" xr:uid="{28DD6600-4BA1-4FB1-9215-AEEB6A9C5AE1}">
      <text>
        <r>
          <rPr>
            <b/>
            <sz val="9"/>
            <color indexed="81"/>
            <rFont val="Tahoma"/>
            <family val="2"/>
          </rPr>
          <t>Andreas Helk | Viegand Maagøe:</t>
        </r>
        <r>
          <rPr>
            <sz val="9"/>
            <color indexed="81"/>
            <rFont val="Tahoma"/>
            <family val="2"/>
          </rPr>
          <t xml:space="preserve">
For heat pumps the COP value is loaded here for calculating the input shares. (* means that TIMES does not read the column)</t>
        </r>
      </text>
    </comment>
    <comment ref="S6" authorId="0" shapeId="0" xr:uid="{EC48E0D9-ABC6-4516-B045-300AF4897B90}">
      <text>
        <r>
          <rPr>
            <b/>
            <sz val="9"/>
            <color indexed="81"/>
            <rFont val="Tahoma"/>
            <family val="2"/>
          </rPr>
          <t>Andreas Helk | Viegand Maagøe:</t>
        </r>
        <r>
          <rPr>
            <sz val="9"/>
            <color indexed="81"/>
            <rFont val="Tahoma"/>
            <family val="2"/>
          </rPr>
          <t xml:space="preserve">
Consider looking into updating these</t>
        </r>
      </text>
    </comment>
    <comment ref="X6" authorId="1" shapeId="0" xr:uid="{887823A2-0655-442F-AD40-A9BC20220C85}">
      <text>
        <r>
          <rPr>
            <b/>
            <sz val="9"/>
            <color indexed="81"/>
            <rFont val="Tahoma"/>
            <family val="2"/>
          </rPr>
          <t>Maurizio Gargiulo:</t>
        </r>
        <r>
          <rPr>
            <sz val="9"/>
            <color indexed="81"/>
            <rFont val="Tahoma"/>
            <family val="2"/>
          </rPr>
          <t xml:space="preserve">
It is not possible to use the parameter like in here because we have more than one COMM-OUT.
If you try to join the two tables you will get an error. We should move these information in a scenario file</t>
        </r>
      </text>
    </comment>
    <comment ref="M9" authorId="0" shapeId="0" xr:uid="{43A950AF-A566-486A-8DBC-5D48876ED83A}">
      <text>
        <r>
          <rPr>
            <b/>
            <sz val="9"/>
            <color indexed="81"/>
            <rFont val="Tahoma"/>
            <family val="2"/>
          </rPr>
          <t>Andreas Helk | Viegand Maagøe:</t>
        </r>
        <r>
          <rPr>
            <sz val="9"/>
            <color indexed="81"/>
            <rFont val="Tahoma"/>
            <family val="2"/>
          </rPr>
          <t xml:space="preserve">
Heat pump COP is written in this column since they are not using air as heat source, but using the waste heat within the industry.</t>
        </r>
      </text>
    </comment>
    <comment ref="T33" authorId="0" shapeId="0" xr:uid="{59C6EDAD-FF12-4473-BBBC-6898657398F1}">
      <text>
        <r>
          <rPr>
            <b/>
            <sz val="9"/>
            <color indexed="81"/>
            <rFont val="Tahoma"/>
            <family val="2"/>
          </rPr>
          <t>Andreas Helk | Viegand Maagøe:</t>
        </r>
        <r>
          <rPr>
            <sz val="9"/>
            <color indexed="81"/>
            <rFont val="Tahoma"/>
            <family val="2"/>
          </rPr>
          <t xml:space="preserve">
Assumed that the traditional heat pumps are prioritized first, so the Abs. heat pump potential is what is left.</t>
        </r>
      </text>
    </comment>
    <comment ref="T45" authorId="0" shapeId="0" xr:uid="{13908911-DD37-4205-83AC-B871D67ED1F7}">
      <text>
        <r>
          <rPr>
            <b/>
            <sz val="9"/>
            <color indexed="81"/>
            <rFont val="Tahoma"/>
            <family val="2"/>
          </rPr>
          <t>Andreas Helk | Viegand Maagøe:</t>
        </r>
        <r>
          <rPr>
            <sz val="9"/>
            <color indexed="81"/>
            <rFont val="Tahoma"/>
            <family val="2"/>
          </rPr>
          <t xml:space="preserve">
Assumed that the traditional heat pumps are prioritized first, so the Booster heat pump potential is what is left.</t>
        </r>
      </text>
    </comment>
    <comment ref="T183" authorId="0" shapeId="0" xr:uid="{52B8A97F-8DC5-4140-8600-585CD538E979}">
      <text>
        <r>
          <rPr>
            <b/>
            <sz val="9"/>
            <color indexed="81"/>
            <rFont val="Tahoma"/>
            <family val="2"/>
          </rPr>
          <t>Andreas Helk | Viegand Maagøe:</t>
        </r>
        <r>
          <rPr>
            <sz val="9"/>
            <color indexed="81"/>
            <rFont val="Tahoma"/>
            <family val="2"/>
          </rPr>
          <t xml:space="preserve">
Not a part of the technology catalogue -  manual input</t>
        </r>
      </text>
    </comment>
    <comment ref="O187" authorId="2" shapeId="0" xr:uid="{5CEF71D6-D7F1-44FC-8B32-3C6DC2745E56}">
      <text>
        <r>
          <rPr>
            <b/>
            <sz val="9"/>
            <color indexed="81"/>
            <rFont val="Tahoma"/>
            <family val="2"/>
          </rPr>
          <t>Stefan Petrovic:</t>
        </r>
        <r>
          <rPr>
            <sz val="9"/>
            <color indexed="81"/>
            <rFont val="Tahoma"/>
            <family val="2"/>
          </rPr>
          <t xml:space="preserve">
=L6*0.95 was previously</t>
        </r>
      </text>
    </comment>
    <comment ref="O188" authorId="2" shapeId="0" xr:uid="{05A345C6-D0C1-46EE-8BD6-1F0C00787147}">
      <text>
        <r>
          <rPr>
            <b/>
            <sz val="9"/>
            <color indexed="81"/>
            <rFont val="Tahoma"/>
            <family val="2"/>
          </rPr>
          <t>Stefan Petrovic:</t>
        </r>
        <r>
          <rPr>
            <sz val="9"/>
            <color indexed="81"/>
            <rFont val="Tahoma"/>
            <family val="2"/>
          </rPr>
          <t xml:space="preserve">
=L6*0.95 was previously</t>
        </r>
      </text>
    </comment>
    <comment ref="O189" authorId="2" shapeId="0" xr:uid="{11CABE8B-56E8-4837-8A6F-D009CB3724A8}">
      <text>
        <r>
          <rPr>
            <b/>
            <sz val="9"/>
            <color indexed="81"/>
            <rFont val="Tahoma"/>
            <family val="2"/>
          </rPr>
          <t>Stefan Petrovic:</t>
        </r>
        <r>
          <rPr>
            <sz val="9"/>
            <color indexed="81"/>
            <rFont val="Tahoma"/>
            <family val="2"/>
          </rPr>
          <t xml:space="preserve">
=L6*0.95 was previously</t>
        </r>
      </text>
    </comment>
    <comment ref="O190" authorId="2" shapeId="0" xr:uid="{6307E31D-001F-4693-B937-30C6704568EE}">
      <text>
        <r>
          <rPr>
            <b/>
            <sz val="9"/>
            <color indexed="81"/>
            <rFont val="Tahoma"/>
            <family val="2"/>
          </rPr>
          <t>Stefan Petrovic:</t>
        </r>
        <r>
          <rPr>
            <sz val="9"/>
            <color indexed="81"/>
            <rFont val="Tahoma"/>
            <family val="2"/>
          </rPr>
          <t xml:space="preserve">
=L6*0.95 was previously</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Andreas Helk | Viegand Maagøe</author>
    <author>Maurizio Gargiulo</author>
    <author>Stefan Petrovic</author>
  </authors>
  <commentList>
    <comment ref="E1" authorId="0" shapeId="0" xr:uid="{11DA3781-677B-4559-9119-4F2D574D360D}">
      <text>
        <r>
          <rPr>
            <b/>
            <sz val="9"/>
            <color indexed="81"/>
            <rFont val="Tahoma"/>
            <family val="2"/>
          </rPr>
          <t>Andreas Helk | Viegand Maagøe:</t>
        </r>
        <r>
          <rPr>
            <sz val="9"/>
            <color indexed="81"/>
            <rFont val="Tahoma"/>
            <family val="2"/>
          </rPr>
          <t xml:space="preserve">
Input for each sheet - Choose between the categories from the ENS catalogue. Used for looking up potentials</t>
        </r>
      </text>
    </comment>
    <comment ref="S1" authorId="0" shapeId="0" xr:uid="{A80A0EAA-9F7E-4EE2-8A29-D0FCEA333405}">
      <text>
        <r>
          <rPr>
            <b/>
            <sz val="9"/>
            <color indexed="81"/>
            <rFont val="Tahoma"/>
            <family val="2"/>
          </rPr>
          <t>Andreas Helk | Viegand Maagøe:</t>
        </r>
        <r>
          <rPr>
            <sz val="9"/>
            <color indexed="81"/>
            <rFont val="Tahoma"/>
            <family val="2"/>
          </rPr>
          <t xml:space="preserve">
Column number for looking up the right FLO_MARK (direct or indirect technologies)</t>
        </r>
      </text>
    </comment>
    <comment ref="U1" authorId="0" shapeId="0" xr:uid="{445A9EAD-B775-434A-AB48-612BE248E0BD}">
      <text>
        <r>
          <rPr>
            <b/>
            <sz val="9"/>
            <color indexed="81"/>
            <rFont val="Tahoma"/>
            <family val="2"/>
          </rPr>
          <t>Andreas Helk | Viegand Maagøe:</t>
        </r>
        <r>
          <rPr>
            <sz val="9"/>
            <color indexed="81"/>
            <rFont val="Tahoma"/>
            <family val="2"/>
          </rPr>
          <t xml:space="preserve">
Base input for calculating waste heat in industry. Factor that estimates how much waste heat is generated within HT, MT and RH due to the processes involved and not the technology i.e. drying processes, evaporation, distilling etc. Should be sector-specific depending on the processes within each sector. </t>
        </r>
      </text>
    </comment>
    <comment ref="E2" authorId="0" shapeId="0" xr:uid="{C5E62869-077B-4247-A083-193156C26AC7}">
      <text>
        <r>
          <rPr>
            <b/>
            <sz val="9"/>
            <color indexed="81"/>
            <rFont val="Tahoma"/>
            <family val="2"/>
          </rPr>
          <t>Andreas Helk | Viegand Maagøe:</t>
        </r>
        <r>
          <rPr>
            <sz val="9"/>
            <color indexed="81"/>
            <rFont val="Tahoma"/>
            <family val="2"/>
          </rPr>
          <t xml:space="preserve">
Write a sector name for TechDesc and Comm-OUT</t>
        </r>
      </text>
    </comment>
    <comment ref="G6" authorId="0" shapeId="0" xr:uid="{300F5916-02B9-4772-BA20-59877B03DFE4}">
      <text>
        <r>
          <rPr>
            <b/>
            <sz val="9"/>
            <color indexed="81"/>
            <rFont val="Tahoma"/>
            <family val="2"/>
          </rPr>
          <t>Andreas Helk | Viegand Maagøe:</t>
        </r>
        <r>
          <rPr>
            <sz val="9"/>
            <color indexed="81"/>
            <rFont val="Tahoma"/>
            <family val="2"/>
          </rPr>
          <t xml:space="preserve">
Heat pumps are set to use both electricity and waste heat within industries.</t>
        </r>
      </text>
    </comment>
    <comment ref="I6" authorId="0" shapeId="0" xr:uid="{8A99853E-F8AC-4F2A-91BB-2DBA5EE5B256}">
      <text>
        <r>
          <rPr>
            <b/>
            <sz val="9"/>
            <color indexed="81"/>
            <rFont val="Tahoma"/>
            <family val="2"/>
          </rPr>
          <t>Andreas Helk | Viegand Maagøe:</t>
        </r>
        <r>
          <rPr>
            <sz val="9"/>
            <color indexed="81"/>
            <rFont val="Tahoma"/>
            <family val="2"/>
          </rPr>
          <t xml:space="preserve">
Boilers are also set to give out waste heat</t>
        </r>
      </text>
    </comment>
    <comment ref="M6" authorId="0" shapeId="0" xr:uid="{B9768788-EC7B-4198-9718-763FD30F4A9A}">
      <text>
        <r>
          <rPr>
            <b/>
            <sz val="9"/>
            <color indexed="81"/>
            <rFont val="Tahoma"/>
            <family val="2"/>
          </rPr>
          <t>Andreas Helk | Viegand Maagøe:</t>
        </r>
        <r>
          <rPr>
            <sz val="9"/>
            <color indexed="81"/>
            <rFont val="Tahoma"/>
            <family val="2"/>
          </rPr>
          <t xml:space="preserve">
For heat pumps the COP value is loaded here for calculating the input shares. (* means that TIMES does not read the column)</t>
        </r>
      </text>
    </comment>
    <comment ref="S6" authorId="0" shapeId="0" xr:uid="{CC79290F-BAC2-4E05-9B43-D8B8F1538A25}">
      <text>
        <r>
          <rPr>
            <b/>
            <sz val="9"/>
            <color indexed="81"/>
            <rFont val="Tahoma"/>
            <family val="2"/>
          </rPr>
          <t>Andreas Helk | Viegand Maagøe:</t>
        </r>
        <r>
          <rPr>
            <sz val="9"/>
            <color indexed="81"/>
            <rFont val="Tahoma"/>
            <family val="2"/>
          </rPr>
          <t xml:space="preserve">
Consider looking into updating these</t>
        </r>
      </text>
    </comment>
    <comment ref="X6" authorId="1" shapeId="0" xr:uid="{5476CFB9-A3BC-44ED-ABCE-6A265D061485}">
      <text>
        <r>
          <rPr>
            <b/>
            <sz val="9"/>
            <color indexed="81"/>
            <rFont val="Tahoma"/>
            <family val="2"/>
          </rPr>
          <t>Maurizio Gargiulo:</t>
        </r>
        <r>
          <rPr>
            <sz val="9"/>
            <color indexed="81"/>
            <rFont val="Tahoma"/>
            <family val="2"/>
          </rPr>
          <t xml:space="preserve">
It is not possible to use the parameter like in here because we have more than one COMM-OUT.
If you try to join the two tables you will get an error. We should move these information in a scenario file</t>
        </r>
      </text>
    </comment>
    <comment ref="M9" authorId="0" shapeId="0" xr:uid="{F8B15F40-C9BD-4628-9614-2AA8B9514163}">
      <text>
        <r>
          <rPr>
            <b/>
            <sz val="9"/>
            <color indexed="81"/>
            <rFont val="Tahoma"/>
            <family val="2"/>
          </rPr>
          <t>Andreas Helk | Viegand Maagøe:</t>
        </r>
        <r>
          <rPr>
            <sz val="9"/>
            <color indexed="81"/>
            <rFont val="Tahoma"/>
            <family val="2"/>
          </rPr>
          <t xml:space="preserve">
Heat pump COP is written in this column since they are not using air as heat source, but using the waste heat within the industry.</t>
        </r>
      </text>
    </comment>
    <comment ref="AJ11" authorId="0" shapeId="0" xr:uid="{4C4D2F98-80FE-46E8-A025-764799DC9549}">
      <text>
        <r>
          <rPr>
            <b/>
            <sz val="9"/>
            <color indexed="81"/>
            <rFont val="Tahoma"/>
            <family val="2"/>
          </rPr>
          <t>Andreas Helk | Viegand Maagøe:</t>
        </r>
        <r>
          <rPr>
            <sz val="9"/>
            <color indexed="81"/>
            <rFont val="Tahoma"/>
            <family val="2"/>
          </rPr>
          <t xml:space="preserve">
Since "A" is taken by agriculture, the aluminium sector is given X</t>
        </r>
      </text>
    </comment>
    <comment ref="T33" authorId="0" shapeId="0" xr:uid="{43DC8CA1-913D-4D64-9B6F-AF46B12AC7F7}">
      <text>
        <r>
          <rPr>
            <b/>
            <sz val="9"/>
            <color indexed="81"/>
            <rFont val="Tahoma"/>
            <family val="2"/>
          </rPr>
          <t>Andreas Helk | Viegand Maagøe:</t>
        </r>
        <r>
          <rPr>
            <sz val="9"/>
            <color indexed="81"/>
            <rFont val="Tahoma"/>
            <family val="2"/>
          </rPr>
          <t xml:space="preserve">
Assumed that the traditional heat pumps are prioritized first, so the Abs. heat pump potential is what is left.</t>
        </r>
      </text>
    </comment>
    <comment ref="T45" authorId="0" shapeId="0" xr:uid="{6317AC39-9B4E-4E70-B3C6-59696E9423F4}">
      <text>
        <r>
          <rPr>
            <b/>
            <sz val="9"/>
            <color indexed="81"/>
            <rFont val="Tahoma"/>
            <family val="2"/>
          </rPr>
          <t>Andreas Helk | Viegand Maagøe:</t>
        </r>
        <r>
          <rPr>
            <sz val="9"/>
            <color indexed="81"/>
            <rFont val="Tahoma"/>
            <family val="2"/>
          </rPr>
          <t xml:space="preserve">
Assumed that the traditional heat pumps are prioritized first, so the Booster heat pump potential is what is left.</t>
        </r>
      </text>
    </comment>
    <comment ref="T183" authorId="0" shapeId="0" xr:uid="{0D2C3BCC-E69D-40DA-8E4B-A9F42B72C733}">
      <text>
        <r>
          <rPr>
            <b/>
            <sz val="9"/>
            <color indexed="81"/>
            <rFont val="Tahoma"/>
            <family val="2"/>
          </rPr>
          <t>Andreas Helk | Viegand Maagøe:</t>
        </r>
        <r>
          <rPr>
            <sz val="9"/>
            <color indexed="81"/>
            <rFont val="Tahoma"/>
            <family val="2"/>
          </rPr>
          <t xml:space="preserve">
Not a part of the technology catalogue -  manual input</t>
        </r>
      </text>
    </comment>
    <comment ref="O187" authorId="2" shapeId="0" xr:uid="{016CE706-F309-4B04-9B86-8B919E089169}">
      <text>
        <r>
          <rPr>
            <b/>
            <sz val="9"/>
            <color indexed="81"/>
            <rFont val="Tahoma"/>
            <family val="2"/>
          </rPr>
          <t>Stefan Petrovic:</t>
        </r>
        <r>
          <rPr>
            <sz val="9"/>
            <color indexed="81"/>
            <rFont val="Tahoma"/>
            <family val="2"/>
          </rPr>
          <t xml:space="preserve">
=L6*0.95 was previously</t>
        </r>
      </text>
    </comment>
    <comment ref="O188" authorId="2" shapeId="0" xr:uid="{3518016F-D1ED-4359-92B6-FCCEEFC75D4A}">
      <text>
        <r>
          <rPr>
            <b/>
            <sz val="9"/>
            <color indexed="81"/>
            <rFont val="Tahoma"/>
            <family val="2"/>
          </rPr>
          <t>Stefan Petrovic:</t>
        </r>
        <r>
          <rPr>
            <sz val="9"/>
            <color indexed="81"/>
            <rFont val="Tahoma"/>
            <family val="2"/>
          </rPr>
          <t xml:space="preserve">
=L6*0.95 was previously</t>
        </r>
      </text>
    </comment>
    <comment ref="O189" authorId="2" shapeId="0" xr:uid="{FC3A8F38-EC90-47CD-AC8B-A2FD63498692}">
      <text>
        <r>
          <rPr>
            <b/>
            <sz val="9"/>
            <color indexed="81"/>
            <rFont val="Tahoma"/>
            <family val="2"/>
          </rPr>
          <t>Stefan Petrovic:</t>
        </r>
        <r>
          <rPr>
            <sz val="9"/>
            <color indexed="81"/>
            <rFont val="Tahoma"/>
            <family val="2"/>
          </rPr>
          <t xml:space="preserve">
=L6*0.95 was previously</t>
        </r>
      </text>
    </comment>
    <comment ref="O190" authorId="2" shapeId="0" xr:uid="{733B984F-963D-4BEA-914D-C56CB4F5DA5C}">
      <text>
        <r>
          <rPr>
            <b/>
            <sz val="9"/>
            <color indexed="81"/>
            <rFont val="Tahoma"/>
            <family val="2"/>
          </rPr>
          <t>Stefan Petrovic:</t>
        </r>
        <r>
          <rPr>
            <sz val="9"/>
            <color indexed="81"/>
            <rFont val="Tahoma"/>
            <family val="2"/>
          </rPr>
          <t xml:space="preserve">
=L6*0.95 was previously</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Andreas Helk | Viegand Maagøe</author>
    <author>Maurizio Gargiulo</author>
    <author>Stefan Petrovic</author>
  </authors>
  <commentList>
    <comment ref="E1" authorId="0" shapeId="0" xr:uid="{C18F1E31-160A-4B55-8752-8C20ECFF3738}">
      <text>
        <r>
          <rPr>
            <b/>
            <sz val="9"/>
            <color indexed="81"/>
            <rFont val="Tahoma"/>
            <family val="2"/>
          </rPr>
          <t>Andreas Helk | Viegand Maagøe:</t>
        </r>
        <r>
          <rPr>
            <sz val="9"/>
            <color indexed="81"/>
            <rFont val="Tahoma"/>
            <family val="2"/>
          </rPr>
          <t xml:space="preserve">
Input for each sheet - Choose between the categories from the ENS catalogue. Used for looking up potentials</t>
        </r>
      </text>
    </comment>
    <comment ref="S1" authorId="0" shapeId="0" xr:uid="{593A403D-7FC1-438B-A294-D8B17218BEC7}">
      <text>
        <r>
          <rPr>
            <b/>
            <sz val="9"/>
            <color indexed="81"/>
            <rFont val="Tahoma"/>
            <family val="2"/>
          </rPr>
          <t>Andreas Helk | Viegand Maagøe:</t>
        </r>
        <r>
          <rPr>
            <sz val="9"/>
            <color indexed="81"/>
            <rFont val="Tahoma"/>
            <family val="2"/>
          </rPr>
          <t xml:space="preserve">
Column number for looking up the right FLO_MARK (direct or indirect technologies)</t>
        </r>
      </text>
    </comment>
    <comment ref="U1" authorId="0" shapeId="0" xr:uid="{00483D72-C4F9-468A-B315-F00C036CE437}">
      <text>
        <r>
          <rPr>
            <b/>
            <sz val="9"/>
            <color indexed="81"/>
            <rFont val="Tahoma"/>
            <family val="2"/>
          </rPr>
          <t>Andreas Helk | Viegand Maagøe:</t>
        </r>
        <r>
          <rPr>
            <sz val="9"/>
            <color indexed="81"/>
            <rFont val="Tahoma"/>
            <family val="2"/>
          </rPr>
          <t xml:space="preserve">
Base input for calculating waste heat in industry. Factor that estimates how much waste heat is generated within HT, MT and RH due to the processes involved and not the technology i.e. drying processes, evaporation, distilling etc. Should be sector-specific depending on the processes within each sector. </t>
        </r>
      </text>
    </comment>
    <comment ref="E2" authorId="0" shapeId="0" xr:uid="{3B5DA4AB-372A-4D2C-90CF-07D2D15AB2AB}">
      <text>
        <r>
          <rPr>
            <b/>
            <sz val="9"/>
            <color indexed="81"/>
            <rFont val="Tahoma"/>
            <family val="2"/>
          </rPr>
          <t>Andreas Helk | Viegand Maagøe:</t>
        </r>
        <r>
          <rPr>
            <sz val="9"/>
            <color indexed="81"/>
            <rFont val="Tahoma"/>
            <family val="2"/>
          </rPr>
          <t xml:space="preserve">
Write a sector name for TechDesc and Comm-OUT</t>
        </r>
      </text>
    </comment>
    <comment ref="G6" authorId="0" shapeId="0" xr:uid="{5879FA65-0FE1-4B5A-A192-B6D0C7CB5DFE}">
      <text>
        <r>
          <rPr>
            <b/>
            <sz val="9"/>
            <color indexed="81"/>
            <rFont val="Tahoma"/>
            <family val="2"/>
          </rPr>
          <t>Andreas Helk | Viegand Maagøe:</t>
        </r>
        <r>
          <rPr>
            <sz val="9"/>
            <color indexed="81"/>
            <rFont val="Tahoma"/>
            <family val="2"/>
          </rPr>
          <t xml:space="preserve">
Heat pumps are set to use both electricity and waste heat within industries.</t>
        </r>
      </text>
    </comment>
    <comment ref="I6" authorId="0" shapeId="0" xr:uid="{6E6FB385-BD91-4CCF-B4BB-0630615CF126}">
      <text>
        <r>
          <rPr>
            <b/>
            <sz val="9"/>
            <color indexed="81"/>
            <rFont val="Tahoma"/>
            <family val="2"/>
          </rPr>
          <t>Andreas Helk | Viegand Maagøe:</t>
        </r>
        <r>
          <rPr>
            <sz val="9"/>
            <color indexed="81"/>
            <rFont val="Tahoma"/>
            <family val="2"/>
          </rPr>
          <t xml:space="preserve">
Boilers are also set to give out waste heat</t>
        </r>
      </text>
    </comment>
    <comment ref="M6" authorId="0" shapeId="0" xr:uid="{37E512A9-1D38-4A7A-BAC6-419ED6660090}">
      <text>
        <r>
          <rPr>
            <b/>
            <sz val="9"/>
            <color indexed="81"/>
            <rFont val="Tahoma"/>
            <family val="2"/>
          </rPr>
          <t>Andreas Helk | Viegand Maagøe:</t>
        </r>
        <r>
          <rPr>
            <sz val="9"/>
            <color indexed="81"/>
            <rFont val="Tahoma"/>
            <family val="2"/>
          </rPr>
          <t xml:space="preserve">
For heat pumps the COP value is loaded here for calculating the input shares. (* means that TIMES does not read the column)</t>
        </r>
      </text>
    </comment>
    <comment ref="S6" authorId="0" shapeId="0" xr:uid="{8EE05B91-9AF1-4776-934E-A9F22E36C141}">
      <text>
        <r>
          <rPr>
            <b/>
            <sz val="9"/>
            <color indexed="81"/>
            <rFont val="Tahoma"/>
            <family val="2"/>
          </rPr>
          <t>Andreas Helk | Viegand Maagøe:</t>
        </r>
        <r>
          <rPr>
            <sz val="9"/>
            <color indexed="81"/>
            <rFont val="Tahoma"/>
            <family val="2"/>
          </rPr>
          <t xml:space="preserve">
Consider looking into updating these</t>
        </r>
      </text>
    </comment>
    <comment ref="X6" authorId="1" shapeId="0" xr:uid="{62F6D73C-B551-4CBB-AF03-6504C79B06B0}">
      <text>
        <r>
          <rPr>
            <b/>
            <sz val="9"/>
            <color indexed="81"/>
            <rFont val="Tahoma"/>
            <family val="2"/>
          </rPr>
          <t>Maurizio Gargiulo:</t>
        </r>
        <r>
          <rPr>
            <sz val="9"/>
            <color indexed="81"/>
            <rFont val="Tahoma"/>
            <family val="2"/>
          </rPr>
          <t xml:space="preserve">
It is not possible to use the parameter like in here because we have more than one COMM-OUT.
If you try to join the two tables you will get an error. We should move these information in a scenario file</t>
        </r>
      </text>
    </comment>
    <comment ref="M9" authorId="0" shapeId="0" xr:uid="{24FE09D6-D15D-4231-948A-7C32AB7E4AD8}">
      <text>
        <r>
          <rPr>
            <b/>
            <sz val="9"/>
            <color indexed="81"/>
            <rFont val="Tahoma"/>
            <family val="2"/>
          </rPr>
          <t>Andreas Helk | Viegand Maagøe:</t>
        </r>
        <r>
          <rPr>
            <sz val="9"/>
            <color indexed="81"/>
            <rFont val="Tahoma"/>
            <family val="2"/>
          </rPr>
          <t xml:space="preserve">
Heat pump COP is written in this column since they are not using air as heat source, but using the waste heat within the industry.</t>
        </r>
      </text>
    </comment>
    <comment ref="T33" authorId="0" shapeId="0" xr:uid="{B266671B-7F22-4270-80EE-474E5AE0FE17}">
      <text>
        <r>
          <rPr>
            <b/>
            <sz val="9"/>
            <color indexed="81"/>
            <rFont val="Tahoma"/>
            <family val="2"/>
          </rPr>
          <t>Andreas Helk | Viegand Maagøe:</t>
        </r>
        <r>
          <rPr>
            <sz val="9"/>
            <color indexed="81"/>
            <rFont val="Tahoma"/>
            <family val="2"/>
          </rPr>
          <t xml:space="preserve">
Assumed that the traditional heat pumps are prioritized first, so the Abs. heat pump potential is what is left.</t>
        </r>
      </text>
    </comment>
    <comment ref="T45" authorId="0" shapeId="0" xr:uid="{0A3567E5-BDA7-4131-B260-30D6CD21CB62}">
      <text>
        <r>
          <rPr>
            <b/>
            <sz val="9"/>
            <color indexed="81"/>
            <rFont val="Tahoma"/>
            <family val="2"/>
          </rPr>
          <t>Andreas Helk | Viegand Maagøe:</t>
        </r>
        <r>
          <rPr>
            <sz val="9"/>
            <color indexed="81"/>
            <rFont val="Tahoma"/>
            <family val="2"/>
          </rPr>
          <t xml:space="preserve">
Assumed that the traditional heat pumps are prioritized first, so the Booster heat pump potential is what is left.</t>
        </r>
      </text>
    </comment>
    <comment ref="T183" authorId="0" shapeId="0" xr:uid="{29F20ED8-39C2-4483-B4C8-CE422B39542B}">
      <text>
        <r>
          <rPr>
            <b/>
            <sz val="9"/>
            <color indexed="81"/>
            <rFont val="Tahoma"/>
            <family val="2"/>
          </rPr>
          <t>Andreas Helk | Viegand Maagøe:</t>
        </r>
        <r>
          <rPr>
            <sz val="9"/>
            <color indexed="81"/>
            <rFont val="Tahoma"/>
            <family val="2"/>
          </rPr>
          <t xml:space="preserve">
Not a part of the technology catalogue -  manual input</t>
        </r>
      </text>
    </comment>
    <comment ref="O187" authorId="2" shapeId="0" xr:uid="{8A73C0DE-3B00-41DB-A052-905B16B1F377}">
      <text>
        <r>
          <rPr>
            <b/>
            <sz val="9"/>
            <color indexed="81"/>
            <rFont val="Tahoma"/>
            <family val="2"/>
          </rPr>
          <t>Stefan Petrovic:</t>
        </r>
        <r>
          <rPr>
            <sz val="9"/>
            <color indexed="81"/>
            <rFont val="Tahoma"/>
            <family val="2"/>
          </rPr>
          <t xml:space="preserve">
=L6*0.95 was previously</t>
        </r>
      </text>
    </comment>
    <comment ref="O188" authorId="2" shapeId="0" xr:uid="{0FC8FCC8-9BC1-4161-B648-220DBB798857}">
      <text>
        <r>
          <rPr>
            <b/>
            <sz val="9"/>
            <color indexed="81"/>
            <rFont val="Tahoma"/>
            <family val="2"/>
          </rPr>
          <t>Stefan Petrovic:</t>
        </r>
        <r>
          <rPr>
            <sz val="9"/>
            <color indexed="81"/>
            <rFont val="Tahoma"/>
            <family val="2"/>
          </rPr>
          <t xml:space="preserve">
=L6*0.95 was previously</t>
        </r>
      </text>
    </comment>
    <comment ref="O189" authorId="2" shapeId="0" xr:uid="{F2E45DD5-BE48-48D9-9146-693AAF53DED5}">
      <text>
        <r>
          <rPr>
            <b/>
            <sz val="9"/>
            <color indexed="81"/>
            <rFont val="Tahoma"/>
            <family val="2"/>
          </rPr>
          <t>Stefan Petrovic:</t>
        </r>
        <r>
          <rPr>
            <sz val="9"/>
            <color indexed="81"/>
            <rFont val="Tahoma"/>
            <family val="2"/>
          </rPr>
          <t xml:space="preserve">
=L6*0.95 was previously</t>
        </r>
      </text>
    </comment>
    <comment ref="O190" authorId="2" shapeId="0" xr:uid="{4CECE385-96BB-481B-B4F5-0786E22F854E}">
      <text>
        <r>
          <rPr>
            <b/>
            <sz val="9"/>
            <color indexed="81"/>
            <rFont val="Tahoma"/>
            <family val="2"/>
          </rPr>
          <t>Stefan Petrovic:</t>
        </r>
        <r>
          <rPr>
            <sz val="9"/>
            <color indexed="81"/>
            <rFont val="Tahoma"/>
            <family val="2"/>
          </rPr>
          <t xml:space="preserve">
=L6*0.95 was previously</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Andreas Helk | Viegand Maagøe</author>
    <author>Maurizio Gargiulo</author>
    <author>Stefan Petrovic</author>
  </authors>
  <commentList>
    <comment ref="E1" authorId="0" shapeId="0" xr:uid="{8B611114-CECB-42F6-8666-965307D68047}">
      <text>
        <r>
          <rPr>
            <b/>
            <sz val="9"/>
            <color indexed="81"/>
            <rFont val="Tahoma"/>
            <family val="2"/>
          </rPr>
          <t>Andreas Helk | Viegand Maagøe:</t>
        </r>
        <r>
          <rPr>
            <sz val="9"/>
            <color indexed="81"/>
            <rFont val="Tahoma"/>
            <family val="2"/>
          </rPr>
          <t xml:space="preserve">
Input for each sheet - Choose between the categories from the ENS catalogue. Used for looking up potentials</t>
        </r>
      </text>
    </comment>
    <comment ref="S1" authorId="0" shapeId="0" xr:uid="{A5CAEEDB-2217-4AA1-B9CD-9CB3224B127F}">
      <text>
        <r>
          <rPr>
            <b/>
            <sz val="9"/>
            <color indexed="81"/>
            <rFont val="Tahoma"/>
            <family val="2"/>
          </rPr>
          <t>Andreas Helk | Viegand Maagøe:</t>
        </r>
        <r>
          <rPr>
            <sz val="9"/>
            <color indexed="81"/>
            <rFont val="Tahoma"/>
            <family val="2"/>
          </rPr>
          <t xml:space="preserve">
Column number for looking up the right FLO_MARK (direct or indirect technologies)</t>
        </r>
      </text>
    </comment>
    <comment ref="U1" authorId="0" shapeId="0" xr:uid="{E8E7E804-A0F0-4370-98F4-B75F159202DE}">
      <text>
        <r>
          <rPr>
            <b/>
            <sz val="9"/>
            <color indexed="81"/>
            <rFont val="Tahoma"/>
            <family val="2"/>
          </rPr>
          <t>Andreas Helk | Viegand Maagøe:</t>
        </r>
        <r>
          <rPr>
            <sz val="9"/>
            <color indexed="81"/>
            <rFont val="Tahoma"/>
            <family val="2"/>
          </rPr>
          <t xml:space="preserve">
Base input for calculating waste heat in industry. Factor that estimates how much waste heat is generated within HT, MT and RH due to the processes involved and not the technology i.e. drying processes, evaporation, distilling etc. Should be sector-specific depending on the processes within each sector. </t>
        </r>
      </text>
    </comment>
    <comment ref="E2" authorId="0" shapeId="0" xr:uid="{2FC5D0C7-2F17-4341-A552-FCF283764E9D}">
      <text>
        <r>
          <rPr>
            <b/>
            <sz val="9"/>
            <color indexed="81"/>
            <rFont val="Tahoma"/>
            <family val="2"/>
          </rPr>
          <t>Andreas Helk | Viegand Maagøe:</t>
        </r>
        <r>
          <rPr>
            <sz val="9"/>
            <color indexed="81"/>
            <rFont val="Tahoma"/>
            <family val="2"/>
          </rPr>
          <t xml:space="preserve">
Write a sector name for TechDesc and Comm-OUT</t>
        </r>
      </text>
    </comment>
    <comment ref="G6" authorId="0" shapeId="0" xr:uid="{2F9F6466-B01D-4B7C-8F86-E4F060AD09B5}">
      <text>
        <r>
          <rPr>
            <b/>
            <sz val="9"/>
            <color indexed="81"/>
            <rFont val="Tahoma"/>
            <family val="2"/>
          </rPr>
          <t>Andreas Helk | Viegand Maagøe:</t>
        </r>
        <r>
          <rPr>
            <sz val="9"/>
            <color indexed="81"/>
            <rFont val="Tahoma"/>
            <family val="2"/>
          </rPr>
          <t xml:space="preserve">
Heat pumps are set to use both electricity and waste heat within industries.</t>
        </r>
      </text>
    </comment>
    <comment ref="I6" authorId="0" shapeId="0" xr:uid="{88AC1759-7E94-4616-9A45-6173485AEF12}">
      <text>
        <r>
          <rPr>
            <b/>
            <sz val="9"/>
            <color indexed="81"/>
            <rFont val="Tahoma"/>
            <family val="2"/>
          </rPr>
          <t>Andreas Helk | Viegand Maagøe:</t>
        </r>
        <r>
          <rPr>
            <sz val="9"/>
            <color indexed="81"/>
            <rFont val="Tahoma"/>
            <family val="2"/>
          </rPr>
          <t xml:space="preserve">
Boilers are also set to give out waste heat</t>
        </r>
      </text>
    </comment>
    <comment ref="M6" authorId="0" shapeId="0" xr:uid="{02DAB7B3-7A2D-4A31-BBC5-3EFD59291991}">
      <text>
        <r>
          <rPr>
            <b/>
            <sz val="9"/>
            <color indexed="81"/>
            <rFont val="Tahoma"/>
            <family val="2"/>
          </rPr>
          <t>Andreas Helk | Viegand Maagøe:</t>
        </r>
        <r>
          <rPr>
            <sz val="9"/>
            <color indexed="81"/>
            <rFont val="Tahoma"/>
            <family val="2"/>
          </rPr>
          <t xml:space="preserve">
For heat pumps the COP value is loaded here for calculating the input shares. (* means that TIMES does not read the column)</t>
        </r>
      </text>
    </comment>
    <comment ref="S6" authorId="0" shapeId="0" xr:uid="{4827FFBF-8FEF-494D-B3E4-6A546DC3DD62}">
      <text>
        <r>
          <rPr>
            <b/>
            <sz val="9"/>
            <color indexed="81"/>
            <rFont val="Tahoma"/>
            <family val="2"/>
          </rPr>
          <t>Andreas Helk | Viegand Maagøe:</t>
        </r>
        <r>
          <rPr>
            <sz val="9"/>
            <color indexed="81"/>
            <rFont val="Tahoma"/>
            <family val="2"/>
          </rPr>
          <t xml:space="preserve">
Consider looking into updating these</t>
        </r>
      </text>
    </comment>
    <comment ref="X6" authorId="1" shapeId="0" xr:uid="{BC261F07-BD20-41D4-B66F-C07BEF06AF26}">
      <text>
        <r>
          <rPr>
            <b/>
            <sz val="9"/>
            <color indexed="81"/>
            <rFont val="Tahoma"/>
            <family val="2"/>
          </rPr>
          <t>Maurizio Gargiulo:</t>
        </r>
        <r>
          <rPr>
            <sz val="9"/>
            <color indexed="81"/>
            <rFont val="Tahoma"/>
            <family val="2"/>
          </rPr>
          <t xml:space="preserve">
It is not possible to use the parameter like in here because we have more than one COMM-OUT.
If you try to join the two tables you will get an error. We should move these information in a scenario file</t>
        </r>
      </text>
    </comment>
    <comment ref="M9" authorId="0" shapeId="0" xr:uid="{684075A5-BA6E-45D1-9AA5-CB914EFF9D04}">
      <text>
        <r>
          <rPr>
            <b/>
            <sz val="9"/>
            <color indexed="81"/>
            <rFont val="Tahoma"/>
            <family val="2"/>
          </rPr>
          <t>Andreas Helk | Viegand Maagøe:</t>
        </r>
        <r>
          <rPr>
            <sz val="9"/>
            <color indexed="81"/>
            <rFont val="Tahoma"/>
            <family val="2"/>
          </rPr>
          <t xml:space="preserve">
Heat pump COP is written in this column since they are not using air as heat source, but using the waste heat within the industry.</t>
        </r>
      </text>
    </comment>
    <comment ref="T33" authorId="0" shapeId="0" xr:uid="{49122B2D-5D37-4250-A073-EBDFE1AD6FC5}">
      <text>
        <r>
          <rPr>
            <b/>
            <sz val="9"/>
            <color indexed="81"/>
            <rFont val="Tahoma"/>
            <family val="2"/>
          </rPr>
          <t>Andreas Helk | Viegand Maagøe:</t>
        </r>
        <r>
          <rPr>
            <sz val="9"/>
            <color indexed="81"/>
            <rFont val="Tahoma"/>
            <family val="2"/>
          </rPr>
          <t xml:space="preserve">
Assumed that the traditional heat pumps are prioritized first, so the Abs. heat pump potential is what is left.</t>
        </r>
      </text>
    </comment>
    <comment ref="T45" authorId="0" shapeId="0" xr:uid="{155E1F8B-CF20-443E-AA81-3622693034CF}">
      <text>
        <r>
          <rPr>
            <b/>
            <sz val="9"/>
            <color indexed="81"/>
            <rFont val="Tahoma"/>
            <family val="2"/>
          </rPr>
          <t>Andreas Helk | Viegand Maagøe:</t>
        </r>
        <r>
          <rPr>
            <sz val="9"/>
            <color indexed="81"/>
            <rFont val="Tahoma"/>
            <family val="2"/>
          </rPr>
          <t xml:space="preserve">
Assumed that the traditional heat pumps are prioritized first, so the Booster heat pump potential is what is left.</t>
        </r>
      </text>
    </comment>
    <comment ref="T183" authorId="0" shapeId="0" xr:uid="{B5ADC520-47F5-427E-8D39-1A38D978807D}">
      <text>
        <r>
          <rPr>
            <b/>
            <sz val="9"/>
            <color indexed="81"/>
            <rFont val="Tahoma"/>
            <family val="2"/>
          </rPr>
          <t>Andreas Helk | Viegand Maagøe:</t>
        </r>
        <r>
          <rPr>
            <sz val="9"/>
            <color indexed="81"/>
            <rFont val="Tahoma"/>
            <family val="2"/>
          </rPr>
          <t xml:space="preserve">
Not a part of the technology catalogue -  manual input</t>
        </r>
      </text>
    </comment>
    <comment ref="O187" authorId="2" shapeId="0" xr:uid="{D0F10D08-DCF8-4CD9-A4BD-321E25AA2C14}">
      <text>
        <r>
          <rPr>
            <b/>
            <sz val="9"/>
            <color indexed="81"/>
            <rFont val="Tahoma"/>
            <family val="2"/>
          </rPr>
          <t>Stefan Petrovic:</t>
        </r>
        <r>
          <rPr>
            <sz val="9"/>
            <color indexed="81"/>
            <rFont val="Tahoma"/>
            <family val="2"/>
          </rPr>
          <t xml:space="preserve">
=L6*0.95 was previously</t>
        </r>
      </text>
    </comment>
    <comment ref="O188" authorId="2" shapeId="0" xr:uid="{2D3531C9-CD5A-4FF1-B33F-35F2DB8A4CEC}">
      <text>
        <r>
          <rPr>
            <b/>
            <sz val="9"/>
            <color indexed="81"/>
            <rFont val="Tahoma"/>
            <family val="2"/>
          </rPr>
          <t>Stefan Petrovic:</t>
        </r>
        <r>
          <rPr>
            <sz val="9"/>
            <color indexed="81"/>
            <rFont val="Tahoma"/>
            <family val="2"/>
          </rPr>
          <t xml:space="preserve">
=L6*0.95 was previously</t>
        </r>
      </text>
    </comment>
    <comment ref="O189" authorId="2" shapeId="0" xr:uid="{7F09F1D5-4FD4-4F04-8458-8254DA3608AC}">
      <text>
        <r>
          <rPr>
            <b/>
            <sz val="9"/>
            <color indexed="81"/>
            <rFont val="Tahoma"/>
            <family val="2"/>
          </rPr>
          <t>Stefan Petrovic:</t>
        </r>
        <r>
          <rPr>
            <sz val="9"/>
            <color indexed="81"/>
            <rFont val="Tahoma"/>
            <family val="2"/>
          </rPr>
          <t xml:space="preserve">
=L6*0.95 was previously</t>
        </r>
      </text>
    </comment>
    <comment ref="O190" authorId="2" shapeId="0" xr:uid="{0B13A7CD-8982-4C7E-AD52-2BFBBC5C85DD}">
      <text>
        <r>
          <rPr>
            <b/>
            <sz val="9"/>
            <color indexed="81"/>
            <rFont val="Tahoma"/>
            <family val="2"/>
          </rPr>
          <t>Stefan Petrovic:</t>
        </r>
        <r>
          <rPr>
            <sz val="9"/>
            <color indexed="81"/>
            <rFont val="Tahoma"/>
            <family val="2"/>
          </rPr>
          <t xml:space="preserve">
=L6*0.95 was previously</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Andreas Helk | Viegand Maagøe</author>
    <author>Maurizio Gargiulo</author>
    <author>Stefan Petrovic</author>
  </authors>
  <commentList>
    <comment ref="E1" authorId="0" shapeId="0" xr:uid="{56F877C8-C528-4255-B590-4A28F432AA2C}">
      <text>
        <r>
          <rPr>
            <b/>
            <sz val="9"/>
            <color indexed="81"/>
            <rFont val="Tahoma"/>
            <family val="2"/>
          </rPr>
          <t>Andreas Helk | Viegand Maagøe:</t>
        </r>
        <r>
          <rPr>
            <sz val="9"/>
            <color indexed="81"/>
            <rFont val="Tahoma"/>
            <family val="2"/>
          </rPr>
          <t xml:space="preserve">
Input for each sheet - Choose between the categories from the ENS catalogue. Used for looking up potentials</t>
        </r>
      </text>
    </comment>
    <comment ref="S1" authorId="0" shapeId="0" xr:uid="{D4998577-D4E2-4974-8488-945816E1952F}">
      <text>
        <r>
          <rPr>
            <b/>
            <sz val="9"/>
            <color indexed="81"/>
            <rFont val="Tahoma"/>
            <family val="2"/>
          </rPr>
          <t>Andreas Helk | Viegand Maagøe:</t>
        </r>
        <r>
          <rPr>
            <sz val="9"/>
            <color indexed="81"/>
            <rFont val="Tahoma"/>
            <family val="2"/>
          </rPr>
          <t xml:space="preserve">
Column number for looking up the right FLO_MARK (direct or indirect technologies)</t>
        </r>
      </text>
    </comment>
    <comment ref="U1" authorId="0" shapeId="0" xr:uid="{BFE3D2EB-105B-4A17-9AF0-5E3CE0E681DD}">
      <text>
        <r>
          <rPr>
            <b/>
            <sz val="9"/>
            <color indexed="81"/>
            <rFont val="Tahoma"/>
            <family val="2"/>
          </rPr>
          <t>Andreas Helk | Viegand Maagøe:</t>
        </r>
        <r>
          <rPr>
            <sz val="9"/>
            <color indexed="81"/>
            <rFont val="Tahoma"/>
            <family val="2"/>
          </rPr>
          <t xml:space="preserve">
Base input for calculating waste heat in industry. Factor that estimates how much waste heat is generated within HT, MT and RH due to the processes involved and not the technology i.e. drying processes, evaporation, distilling etc. Should be sector-specific depending on the processes within each sector. </t>
        </r>
      </text>
    </comment>
    <comment ref="E2" authorId="0" shapeId="0" xr:uid="{C431C40C-FAB3-472E-8A1D-070DC7A5747F}">
      <text>
        <r>
          <rPr>
            <b/>
            <sz val="9"/>
            <color indexed="81"/>
            <rFont val="Tahoma"/>
            <family val="2"/>
          </rPr>
          <t>Andreas Helk | Viegand Maagøe:</t>
        </r>
        <r>
          <rPr>
            <sz val="9"/>
            <color indexed="81"/>
            <rFont val="Tahoma"/>
            <family val="2"/>
          </rPr>
          <t xml:space="preserve">
Write a sector name for TechDesc and Comm-OUT</t>
        </r>
      </text>
    </comment>
    <comment ref="G6" authorId="0" shapeId="0" xr:uid="{500F5939-033A-4D97-AEB2-D89324410C19}">
      <text>
        <r>
          <rPr>
            <b/>
            <sz val="9"/>
            <color indexed="81"/>
            <rFont val="Tahoma"/>
            <family val="2"/>
          </rPr>
          <t>Andreas Helk | Viegand Maagøe:</t>
        </r>
        <r>
          <rPr>
            <sz val="9"/>
            <color indexed="81"/>
            <rFont val="Tahoma"/>
            <family val="2"/>
          </rPr>
          <t xml:space="preserve">
Heat pumps are set to use both electricity and waste heat within industries.</t>
        </r>
      </text>
    </comment>
    <comment ref="I6" authorId="0" shapeId="0" xr:uid="{CE814C3C-EE8E-4F41-A190-3C35DEBA9CFF}">
      <text>
        <r>
          <rPr>
            <b/>
            <sz val="9"/>
            <color indexed="81"/>
            <rFont val="Tahoma"/>
            <family val="2"/>
          </rPr>
          <t>Andreas Helk | Viegand Maagøe:</t>
        </r>
        <r>
          <rPr>
            <sz val="9"/>
            <color indexed="81"/>
            <rFont val="Tahoma"/>
            <family val="2"/>
          </rPr>
          <t xml:space="preserve">
Boilers are also set to give out waste heat</t>
        </r>
      </text>
    </comment>
    <comment ref="M6" authorId="0" shapeId="0" xr:uid="{00890D8A-09EF-450C-ABA7-23775E9EABFF}">
      <text>
        <r>
          <rPr>
            <b/>
            <sz val="9"/>
            <color indexed="81"/>
            <rFont val="Tahoma"/>
            <family val="2"/>
          </rPr>
          <t>Andreas Helk | Viegand Maagøe:</t>
        </r>
        <r>
          <rPr>
            <sz val="9"/>
            <color indexed="81"/>
            <rFont val="Tahoma"/>
            <family val="2"/>
          </rPr>
          <t xml:space="preserve">
For heat pumps the COP value is loaded here for calculating the input shares. (* means that TIMES does not read the column)</t>
        </r>
      </text>
    </comment>
    <comment ref="S6" authorId="0" shapeId="0" xr:uid="{F2EC004D-2D02-46E7-AE3F-262CEE0D76C5}">
      <text>
        <r>
          <rPr>
            <b/>
            <sz val="9"/>
            <color indexed="81"/>
            <rFont val="Tahoma"/>
            <family val="2"/>
          </rPr>
          <t>Andreas Helk | Viegand Maagøe:</t>
        </r>
        <r>
          <rPr>
            <sz val="9"/>
            <color indexed="81"/>
            <rFont val="Tahoma"/>
            <family val="2"/>
          </rPr>
          <t xml:space="preserve">
Consider looking into updating these</t>
        </r>
      </text>
    </comment>
    <comment ref="X6" authorId="1" shapeId="0" xr:uid="{D261113E-1D4C-4DF8-A0A8-F4A372BE3DA8}">
      <text>
        <r>
          <rPr>
            <b/>
            <sz val="9"/>
            <color indexed="81"/>
            <rFont val="Tahoma"/>
            <family val="2"/>
          </rPr>
          <t>Maurizio Gargiulo:</t>
        </r>
        <r>
          <rPr>
            <sz val="9"/>
            <color indexed="81"/>
            <rFont val="Tahoma"/>
            <family val="2"/>
          </rPr>
          <t xml:space="preserve">
It is not possible to use the parameter like in here because we have more than one COMM-OUT.
If you try to join the two tables you will get an error. We should move these information in a scenario file</t>
        </r>
      </text>
    </comment>
    <comment ref="M9" authorId="0" shapeId="0" xr:uid="{8AEBC50B-7ECE-44BB-9A7E-871096E3A871}">
      <text>
        <r>
          <rPr>
            <b/>
            <sz val="9"/>
            <color indexed="81"/>
            <rFont val="Tahoma"/>
            <family val="2"/>
          </rPr>
          <t>Andreas Helk | Viegand Maagøe:</t>
        </r>
        <r>
          <rPr>
            <sz val="9"/>
            <color indexed="81"/>
            <rFont val="Tahoma"/>
            <family val="2"/>
          </rPr>
          <t xml:space="preserve">
Heat pump COP is written in this column since they are not using air as heat source, but using the waste heat within the industry.</t>
        </r>
      </text>
    </comment>
    <comment ref="T33" authorId="0" shapeId="0" xr:uid="{1BFAB39D-A437-467C-8507-A127C8B7A2D6}">
      <text>
        <r>
          <rPr>
            <b/>
            <sz val="9"/>
            <color indexed="81"/>
            <rFont val="Tahoma"/>
            <family val="2"/>
          </rPr>
          <t>Andreas Helk | Viegand Maagøe:</t>
        </r>
        <r>
          <rPr>
            <sz val="9"/>
            <color indexed="81"/>
            <rFont val="Tahoma"/>
            <family val="2"/>
          </rPr>
          <t xml:space="preserve">
Assumed that the traditional heat pumps are prioritized first, so the Abs. heat pump potential is what is left.</t>
        </r>
      </text>
    </comment>
    <comment ref="T45" authorId="0" shapeId="0" xr:uid="{27C32BAF-AFA3-49D7-8249-CF25CCDFD78C}">
      <text>
        <r>
          <rPr>
            <b/>
            <sz val="9"/>
            <color indexed="81"/>
            <rFont val="Tahoma"/>
            <family val="2"/>
          </rPr>
          <t>Andreas Helk | Viegand Maagøe:</t>
        </r>
        <r>
          <rPr>
            <sz val="9"/>
            <color indexed="81"/>
            <rFont val="Tahoma"/>
            <family val="2"/>
          </rPr>
          <t xml:space="preserve">
Assumed that the traditional heat pumps are prioritized first, so the Booster heat pump potential is what is left.</t>
        </r>
      </text>
    </comment>
    <comment ref="T183" authorId="0" shapeId="0" xr:uid="{58B05FA0-895D-4B99-A5C0-F9E6264D057F}">
      <text>
        <r>
          <rPr>
            <b/>
            <sz val="9"/>
            <color indexed="81"/>
            <rFont val="Tahoma"/>
            <family val="2"/>
          </rPr>
          <t>Andreas Helk | Viegand Maagøe:</t>
        </r>
        <r>
          <rPr>
            <sz val="9"/>
            <color indexed="81"/>
            <rFont val="Tahoma"/>
            <family val="2"/>
          </rPr>
          <t xml:space="preserve">
Not a part of the technology catalogue -  manual input</t>
        </r>
      </text>
    </comment>
    <comment ref="O187" authorId="2" shapeId="0" xr:uid="{3D487C12-B363-4DE4-A3BD-CDED81453771}">
      <text>
        <r>
          <rPr>
            <b/>
            <sz val="9"/>
            <color indexed="81"/>
            <rFont val="Tahoma"/>
            <family val="2"/>
          </rPr>
          <t>Stefan Petrovic:</t>
        </r>
        <r>
          <rPr>
            <sz val="9"/>
            <color indexed="81"/>
            <rFont val="Tahoma"/>
            <family val="2"/>
          </rPr>
          <t xml:space="preserve">
=L6*0.95 was previously</t>
        </r>
      </text>
    </comment>
    <comment ref="O188" authorId="2" shapeId="0" xr:uid="{1F0341B6-9F95-4800-991A-69907B970DC3}">
      <text>
        <r>
          <rPr>
            <b/>
            <sz val="9"/>
            <color indexed="81"/>
            <rFont val="Tahoma"/>
            <family val="2"/>
          </rPr>
          <t>Stefan Petrovic:</t>
        </r>
        <r>
          <rPr>
            <sz val="9"/>
            <color indexed="81"/>
            <rFont val="Tahoma"/>
            <family val="2"/>
          </rPr>
          <t xml:space="preserve">
=L6*0.95 was previously</t>
        </r>
      </text>
    </comment>
    <comment ref="O189" authorId="2" shapeId="0" xr:uid="{7F591DFA-A196-4B82-9F98-7F8DB4EFB619}">
      <text>
        <r>
          <rPr>
            <b/>
            <sz val="9"/>
            <color indexed="81"/>
            <rFont val="Tahoma"/>
            <family val="2"/>
          </rPr>
          <t>Stefan Petrovic:</t>
        </r>
        <r>
          <rPr>
            <sz val="9"/>
            <color indexed="81"/>
            <rFont val="Tahoma"/>
            <family val="2"/>
          </rPr>
          <t xml:space="preserve">
=L6*0.95 was previously</t>
        </r>
      </text>
    </comment>
    <comment ref="O190" authorId="2" shapeId="0" xr:uid="{12F91024-6824-4B89-A645-AF3B79A64BF8}">
      <text>
        <r>
          <rPr>
            <b/>
            <sz val="9"/>
            <color indexed="81"/>
            <rFont val="Tahoma"/>
            <family val="2"/>
          </rPr>
          <t>Stefan Petrovic:</t>
        </r>
        <r>
          <rPr>
            <sz val="9"/>
            <color indexed="81"/>
            <rFont val="Tahoma"/>
            <family val="2"/>
          </rPr>
          <t xml:space="preserve">
=L6*0.95 was previously</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Andreas Helk | Viegand Maagøe</author>
    <author>Maurizio Gargiulo</author>
    <author>Stefan Petrovic</author>
  </authors>
  <commentList>
    <comment ref="E1" authorId="0" shapeId="0" xr:uid="{EE82D554-8CF9-497D-8EE1-404C96B43828}">
      <text>
        <r>
          <rPr>
            <b/>
            <sz val="9"/>
            <color indexed="81"/>
            <rFont val="Tahoma"/>
            <family val="2"/>
          </rPr>
          <t>Andreas Helk | Viegand Maagøe:</t>
        </r>
        <r>
          <rPr>
            <sz val="9"/>
            <color indexed="81"/>
            <rFont val="Tahoma"/>
            <family val="2"/>
          </rPr>
          <t xml:space="preserve">
Input for each sheet - Choose between the categories from the ENS catalogue. Used for looking up potentials</t>
        </r>
      </text>
    </comment>
    <comment ref="S1" authorId="0" shapeId="0" xr:uid="{C94A898A-0032-49FD-98FB-8B2F273DFE93}">
      <text>
        <r>
          <rPr>
            <b/>
            <sz val="9"/>
            <color indexed="81"/>
            <rFont val="Tahoma"/>
            <family val="2"/>
          </rPr>
          <t>Andreas Helk | Viegand Maagøe:</t>
        </r>
        <r>
          <rPr>
            <sz val="9"/>
            <color indexed="81"/>
            <rFont val="Tahoma"/>
            <family val="2"/>
          </rPr>
          <t xml:space="preserve">
Column number for looking up the right FLO_MARK (direct or indirect technologies)</t>
        </r>
      </text>
    </comment>
    <comment ref="U1" authorId="0" shapeId="0" xr:uid="{F29D7F59-2B05-46FC-9E5E-8BED58E56BBB}">
      <text>
        <r>
          <rPr>
            <b/>
            <sz val="9"/>
            <color indexed="81"/>
            <rFont val="Tahoma"/>
            <family val="2"/>
          </rPr>
          <t>Andreas Helk | Viegand Maagøe:</t>
        </r>
        <r>
          <rPr>
            <sz val="9"/>
            <color indexed="81"/>
            <rFont val="Tahoma"/>
            <family val="2"/>
          </rPr>
          <t xml:space="preserve">
Base input for calculating waste heat in industry. Factor that estimates how much waste heat is generated within HT, MT and RH due to the processes involved and not the technology i.e. drying processes, evaporation, distilling etc. Should be sector-specific depending on the processes within each sector. </t>
        </r>
      </text>
    </comment>
    <comment ref="E2" authorId="0" shapeId="0" xr:uid="{A249F23A-E04E-4564-B899-7A0410F69E8D}">
      <text>
        <r>
          <rPr>
            <b/>
            <sz val="9"/>
            <color indexed="81"/>
            <rFont val="Tahoma"/>
            <family val="2"/>
          </rPr>
          <t>Andreas Helk | Viegand Maagøe:</t>
        </r>
        <r>
          <rPr>
            <sz val="9"/>
            <color indexed="81"/>
            <rFont val="Tahoma"/>
            <family val="2"/>
          </rPr>
          <t xml:space="preserve">
Write a sector name for TechDesc and Comm-OUT</t>
        </r>
      </text>
    </comment>
    <comment ref="G6" authorId="0" shapeId="0" xr:uid="{B4F512C1-A702-4784-AB0C-8C706B506F72}">
      <text>
        <r>
          <rPr>
            <b/>
            <sz val="9"/>
            <color indexed="81"/>
            <rFont val="Tahoma"/>
            <family val="2"/>
          </rPr>
          <t>Andreas Helk | Viegand Maagøe:</t>
        </r>
        <r>
          <rPr>
            <sz val="9"/>
            <color indexed="81"/>
            <rFont val="Tahoma"/>
            <family val="2"/>
          </rPr>
          <t xml:space="preserve">
Heat pumps are set to use both electricity and waste heat within industries.</t>
        </r>
      </text>
    </comment>
    <comment ref="I6" authorId="0" shapeId="0" xr:uid="{534BB701-AF53-43B8-A092-6E4593B56767}">
      <text>
        <r>
          <rPr>
            <b/>
            <sz val="9"/>
            <color indexed="81"/>
            <rFont val="Tahoma"/>
            <family val="2"/>
          </rPr>
          <t>Andreas Helk | Viegand Maagøe:</t>
        </r>
        <r>
          <rPr>
            <sz val="9"/>
            <color indexed="81"/>
            <rFont val="Tahoma"/>
            <family val="2"/>
          </rPr>
          <t xml:space="preserve">
Boilers are also set to give out waste heat</t>
        </r>
      </text>
    </comment>
    <comment ref="M6" authorId="0" shapeId="0" xr:uid="{B2E4011B-AB29-407F-8BAB-1F67B69FA22D}">
      <text>
        <r>
          <rPr>
            <b/>
            <sz val="9"/>
            <color indexed="81"/>
            <rFont val="Tahoma"/>
            <family val="2"/>
          </rPr>
          <t>Andreas Helk | Viegand Maagøe:</t>
        </r>
        <r>
          <rPr>
            <sz val="9"/>
            <color indexed="81"/>
            <rFont val="Tahoma"/>
            <family val="2"/>
          </rPr>
          <t xml:space="preserve">
For heat pumps the COP value is loaded here for calculating the input shares. (* means that TIMES does not read the column)</t>
        </r>
      </text>
    </comment>
    <comment ref="S6" authorId="0" shapeId="0" xr:uid="{2C49605E-D065-4AFD-878E-B348682204DE}">
      <text>
        <r>
          <rPr>
            <b/>
            <sz val="9"/>
            <color indexed="81"/>
            <rFont val="Tahoma"/>
            <family val="2"/>
          </rPr>
          <t>Andreas Helk | Viegand Maagøe:</t>
        </r>
        <r>
          <rPr>
            <sz val="9"/>
            <color indexed="81"/>
            <rFont val="Tahoma"/>
            <family val="2"/>
          </rPr>
          <t xml:space="preserve">
Consider looking into updating these</t>
        </r>
      </text>
    </comment>
    <comment ref="X6" authorId="1" shapeId="0" xr:uid="{BB963D45-2CC6-44AE-999D-FD93D9E786B0}">
      <text>
        <r>
          <rPr>
            <b/>
            <sz val="9"/>
            <color indexed="81"/>
            <rFont val="Tahoma"/>
            <family val="2"/>
          </rPr>
          <t>Maurizio Gargiulo:</t>
        </r>
        <r>
          <rPr>
            <sz val="9"/>
            <color indexed="81"/>
            <rFont val="Tahoma"/>
            <family val="2"/>
          </rPr>
          <t xml:space="preserve">
It is not possible to use the parameter like in here because we have more than one COMM-OUT.
If you try to join the two tables you will get an error. We should move these information in a scenario file</t>
        </r>
      </text>
    </comment>
    <comment ref="M9" authorId="0" shapeId="0" xr:uid="{863BCAAC-56CC-4EE8-953A-D8042EC39272}">
      <text>
        <r>
          <rPr>
            <b/>
            <sz val="9"/>
            <color indexed="81"/>
            <rFont val="Tahoma"/>
            <family val="2"/>
          </rPr>
          <t>Andreas Helk | Viegand Maagøe:</t>
        </r>
        <r>
          <rPr>
            <sz val="9"/>
            <color indexed="81"/>
            <rFont val="Tahoma"/>
            <family val="2"/>
          </rPr>
          <t xml:space="preserve">
Heat pump COP is written in this column since they are not using air as heat source, but using the waste heat within the industry.</t>
        </r>
      </text>
    </comment>
    <comment ref="T33" authorId="0" shapeId="0" xr:uid="{C1124D9F-8812-4438-AF02-5DA3FA35D345}">
      <text>
        <r>
          <rPr>
            <b/>
            <sz val="9"/>
            <color indexed="81"/>
            <rFont val="Tahoma"/>
            <family val="2"/>
          </rPr>
          <t>Andreas Helk | Viegand Maagøe:</t>
        </r>
        <r>
          <rPr>
            <sz val="9"/>
            <color indexed="81"/>
            <rFont val="Tahoma"/>
            <family val="2"/>
          </rPr>
          <t xml:space="preserve">
Assumed that the traditional heat pumps are prioritized first, so the Abs. heat pump potential is what is left.</t>
        </r>
      </text>
    </comment>
    <comment ref="T45" authorId="0" shapeId="0" xr:uid="{2EEFEC28-BEE2-4832-94EA-B979F2C2F4C1}">
      <text>
        <r>
          <rPr>
            <b/>
            <sz val="9"/>
            <color indexed="81"/>
            <rFont val="Tahoma"/>
            <family val="2"/>
          </rPr>
          <t>Andreas Helk | Viegand Maagøe:</t>
        </r>
        <r>
          <rPr>
            <sz val="9"/>
            <color indexed="81"/>
            <rFont val="Tahoma"/>
            <family val="2"/>
          </rPr>
          <t xml:space="preserve">
Assumed that the traditional heat pumps are prioritized first, so the Booster heat pump potential is what is left.</t>
        </r>
      </text>
    </comment>
    <comment ref="T183" authorId="0" shapeId="0" xr:uid="{048CE1DA-47F4-4F8D-A85A-1C5E0E4E5A72}">
      <text>
        <r>
          <rPr>
            <b/>
            <sz val="9"/>
            <color indexed="81"/>
            <rFont val="Tahoma"/>
            <family val="2"/>
          </rPr>
          <t>Andreas Helk | Viegand Maagøe:</t>
        </r>
        <r>
          <rPr>
            <sz val="9"/>
            <color indexed="81"/>
            <rFont val="Tahoma"/>
            <family val="2"/>
          </rPr>
          <t xml:space="preserve">
Not a part of the technology catalogue -  manual input</t>
        </r>
      </text>
    </comment>
    <comment ref="O187" authorId="2" shapeId="0" xr:uid="{2FF372C7-EE08-4D24-8269-ED178DE0875C}">
      <text>
        <r>
          <rPr>
            <b/>
            <sz val="9"/>
            <color indexed="81"/>
            <rFont val="Tahoma"/>
            <family val="2"/>
          </rPr>
          <t>Stefan Petrovic:</t>
        </r>
        <r>
          <rPr>
            <sz val="9"/>
            <color indexed="81"/>
            <rFont val="Tahoma"/>
            <family val="2"/>
          </rPr>
          <t xml:space="preserve">
=L6*0.95 was previously</t>
        </r>
      </text>
    </comment>
    <comment ref="O188" authorId="2" shapeId="0" xr:uid="{6CA5F1F1-936A-4671-83B1-7549555344A4}">
      <text>
        <r>
          <rPr>
            <b/>
            <sz val="9"/>
            <color indexed="81"/>
            <rFont val="Tahoma"/>
            <family val="2"/>
          </rPr>
          <t>Stefan Petrovic:</t>
        </r>
        <r>
          <rPr>
            <sz val="9"/>
            <color indexed="81"/>
            <rFont val="Tahoma"/>
            <family val="2"/>
          </rPr>
          <t xml:space="preserve">
=L6*0.95 was previously</t>
        </r>
      </text>
    </comment>
    <comment ref="O189" authorId="2" shapeId="0" xr:uid="{4D0177B0-40D9-46BC-9648-F93CA928F89D}">
      <text>
        <r>
          <rPr>
            <b/>
            <sz val="9"/>
            <color indexed="81"/>
            <rFont val="Tahoma"/>
            <family val="2"/>
          </rPr>
          <t>Stefan Petrovic:</t>
        </r>
        <r>
          <rPr>
            <sz val="9"/>
            <color indexed="81"/>
            <rFont val="Tahoma"/>
            <family val="2"/>
          </rPr>
          <t xml:space="preserve">
=L6*0.95 was previously</t>
        </r>
      </text>
    </comment>
    <comment ref="O190" authorId="2" shapeId="0" xr:uid="{AF81EE75-1FAF-424F-B5B0-7F15E7491F66}">
      <text>
        <r>
          <rPr>
            <b/>
            <sz val="9"/>
            <color indexed="81"/>
            <rFont val="Tahoma"/>
            <family val="2"/>
          </rPr>
          <t>Stefan Petrovic:</t>
        </r>
        <r>
          <rPr>
            <sz val="9"/>
            <color indexed="81"/>
            <rFont val="Tahoma"/>
            <family val="2"/>
          </rPr>
          <t xml:space="preserve">
=L6*0.95 was previously</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Andreas Helk | Viegand Maagøe</author>
  </authors>
  <commentList>
    <comment ref="T18" authorId="0" shapeId="0" xr:uid="{2DEBE107-3E14-42A7-B210-B21D307B41F3}">
      <text>
        <r>
          <rPr>
            <b/>
            <sz val="9"/>
            <color indexed="81"/>
            <rFont val="Tahoma"/>
            <family val="2"/>
          </rPr>
          <t>Andreas Helk | Viegand Maagøe:</t>
        </r>
        <r>
          <rPr>
            <sz val="9"/>
            <color indexed="81"/>
            <rFont val="Tahoma"/>
            <family val="2"/>
          </rPr>
          <t xml:space="preserve">
CCS cost american tech sheet</t>
        </r>
      </text>
    </comment>
    <comment ref="Z26" authorId="0" shapeId="0" xr:uid="{47F59E99-0E3D-4128-8CBF-7D07169E1647}">
      <text>
        <r>
          <rPr>
            <b/>
            <sz val="9"/>
            <color indexed="81"/>
            <rFont val="Tahoma"/>
            <family val="2"/>
          </rPr>
          <t>Andreas Helk | Viegand Maagøe:</t>
        </r>
        <r>
          <rPr>
            <sz val="9"/>
            <color indexed="81"/>
            <rFont val="Tahoma"/>
            <family val="2"/>
          </rPr>
          <t xml:space="preserve">
For heat pumps the COP value is loaded here for calculating the input shares. (* means that TIMES does not read the column)</t>
        </r>
      </text>
    </comment>
    <comment ref="AF26" authorId="0" shapeId="0" xr:uid="{EE3EB8F3-37A1-478E-AEA6-69F8E28A6F7D}">
      <text>
        <r>
          <rPr>
            <b/>
            <sz val="9"/>
            <color indexed="81"/>
            <rFont val="Tahoma"/>
            <family val="2"/>
          </rPr>
          <t>Andreas Helk | Viegand Maagøe:</t>
        </r>
        <r>
          <rPr>
            <sz val="9"/>
            <color indexed="81"/>
            <rFont val="Tahoma"/>
            <family val="2"/>
          </rPr>
          <t xml:space="preserve">
Consider looking into updating these</t>
        </r>
      </text>
    </comment>
    <comment ref="Z42" authorId="0" shapeId="0" xr:uid="{28D3DCED-6C0E-4F20-AF68-A479284DA881}">
      <text>
        <r>
          <rPr>
            <b/>
            <sz val="9"/>
            <color indexed="81"/>
            <rFont val="Tahoma"/>
            <family val="2"/>
          </rPr>
          <t>Andreas Helk | Viegand Maagøe:</t>
        </r>
        <r>
          <rPr>
            <sz val="9"/>
            <color indexed="81"/>
            <rFont val="Tahoma"/>
            <family val="2"/>
          </rPr>
          <t xml:space="preserve">
For heat pumps the COP value is loaded here for calculating the input shares. (* means that TIMES does not read the column)</t>
        </r>
      </text>
    </comment>
    <comment ref="AF42" authorId="0" shapeId="0" xr:uid="{33A1D648-AEFF-49AA-8FE2-4AF1AB12EEB6}">
      <text>
        <r>
          <rPr>
            <b/>
            <sz val="9"/>
            <color indexed="81"/>
            <rFont val="Tahoma"/>
            <family val="2"/>
          </rPr>
          <t>Andreas Helk | Viegand Maagøe:</t>
        </r>
        <r>
          <rPr>
            <sz val="9"/>
            <color indexed="81"/>
            <rFont val="Tahoma"/>
            <family val="2"/>
          </rPr>
          <t xml:space="preserve">
Consider looking into updating these</t>
        </r>
      </text>
    </comment>
    <comment ref="B47" authorId="0" shapeId="0" xr:uid="{1C973D77-B046-4AFF-9241-BD08DCA7AD32}">
      <text>
        <r>
          <rPr>
            <b/>
            <sz val="9"/>
            <color indexed="81"/>
            <rFont val="Tahoma"/>
            <family val="2"/>
          </rPr>
          <t>Andreas Helk | Viegand Maagøe:</t>
        </r>
        <r>
          <rPr>
            <sz val="9"/>
            <color indexed="81"/>
            <rFont val="Tahoma"/>
            <family val="2"/>
          </rPr>
          <t xml:space="preserve">
Has to be multiplied by the specific boiler efficiency</t>
        </r>
      </text>
    </comment>
    <comment ref="B49" authorId="0" shapeId="0" xr:uid="{1D458684-E550-4AC7-B5F7-5A71403FAEDA}">
      <text>
        <r>
          <rPr>
            <b/>
            <sz val="9"/>
            <color indexed="81"/>
            <rFont val="Tahoma"/>
            <family val="2"/>
          </rPr>
          <t>Andreas Helk | Viegand Maagøe:</t>
        </r>
        <r>
          <rPr>
            <sz val="9"/>
            <color indexed="81"/>
            <rFont val="Tahoma"/>
            <family val="2"/>
          </rPr>
          <t xml:space="preserve">
Has to be multiplied by the specific boiler efficiency</t>
        </r>
      </text>
    </comment>
    <comment ref="B50" authorId="0" shapeId="0" xr:uid="{75B2D9F5-6D3D-42FC-8071-4FC85B31FD33}">
      <text>
        <r>
          <rPr>
            <b/>
            <sz val="9"/>
            <color indexed="81"/>
            <rFont val="Tahoma"/>
            <family val="2"/>
          </rPr>
          <t>Andreas Helk | Viegand Maagøe:</t>
        </r>
        <r>
          <rPr>
            <sz val="9"/>
            <color indexed="81"/>
            <rFont val="Tahoma"/>
            <family val="2"/>
          </rPr>
          <t xml:space="preserve">
Has to be multiplied by the specific boiler efficiency</t>
        </r>
      </text>
    </comment>
    <comment ref="B127" authorId="0" shapeId="0" xr:uid="{F7617E7B-B728-4B4C-9210-AA12EEDF89A4}">
      <text>
        <r>
          <rPr>
            <b/>
            <sz val="9"/>
            <color indexed="81"/>
            <rFont val="Tahoma"/>
            <family val="2"/>
          </rPr>
          <t>Andreas Helk | Viegand Maagøe:</t>
        </r>
        <r>
          <rPr>
            <sz val="9"/>
            <color indexed="81"/>
            <rFont val="Tahoma"/>
            <family val="2"/>
          </rPr>
          <t xml:space="preserve">
Has to be multiplied by the specific boiler efficiency</t>
        </r>
      </text>
    </comment>
    <comment ref="B129" authorId="0" shapeId="0" xr:uid="{E60E626E-454B-4E77-8868-D1B3B71C01F3}">
      <text>
        <r>
          <rPr>
            <b/>
            <sz val="9"/>
            <color indexed="81"/>
            <rFont val="Tahoma"/>
            <family val="2"/>
          </rPr>
          <t>Andreas Helk | Viegand Maagøe:</t>
        </r>
        <r>
          <rPr>
            <sz val="9"/>
            <color indexed="81"/>
            <rFont val="Tahoma"/>
            <family val="2"/>
          </rPr>
          <t xml:space="preserve">
Has to be multiplied by the specific boiler efficiency</t>
        </r>
      </text>
    </comment>
    <comment ref="B130" authorId="0" shapeId="0" xr:uid="{7FB79CBA-0626-4B82-92BC-136734098C9C}">
      <text>
        <r>
          <rPr>
            <b/>
            <sz val="9"/>
            <color indexed="81"/>
            <rFont val="Tahoma"/>
            <family val="2"/>
          </rPr>
          <t>Andreas Helk | Viegand Maagøe:</t>
        </r>
        <r>
          <rPr>
            <sz val="9"/>
            <color indexed="81"/>
            <rFont val="Tahoma"/>
            <family val="2"/>
          </rPr>
          <t xml:space="preserve">
Has to be multiplied by the specific boiler efficiency</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Andreas Helk | Viegand Maagøe</author>
  </authors>
  <commentList>
    <comment ref="O38" authorId="0" shapeId="0" xr:uid="{6A307809-B988-454B-B65C-5236303557B0}">
      <text>
        <r>
          <rPr>
            <b/>
            <sz val="9"/>
            <color indexed="81"/>
            <rFont val="Tahoma"/>
            <family val="2"/>
          </rPr>
          <t>Andreas Helk | Viegand Maagøe:</t>
        </r>
        <r>
          <rPr>
            <sz val="9"/>
            <color indexed="81"/>
            <rFont val="Tahoma"/>
            <family val="2"/>
          </rPr>
          <t xml:space="preserve">
Weighted average of the different temperature levels, and their potential in the food sector.</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Stefan Petrovic</author>
  </authors>
  <commentList>
    <comment ref="L9" authorId="0" shapeId="0" xr:uid="{00000000-0006-0000-2600-000001000000}">
      <text>
        <r>
          <rPr>
            <b/>
            <sz val="9"/>
            <color indexed="81"/>
            <rFont val="Tahoma"/>
            <family val="2"/>
          </rPr>
          <t>Stefan Petrovic:</t>
        </r>
        <r>
          <rPr>
            <sz val="9"/>
            <color indexed="81"/>
            <rFont val="Tahoma"/>
            <family val="2"/>
          </rPr>
          <t xml:space="preserve">
Danish Technology Catalogue</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B27" authorId="0" shapeId="0" xr:uid="{DA616BE4-01B6-42A2-8A44-6F6F98FBDECE}">
      <text>
        <r>
          <rPr>
            <b/>
            <sz val="9"/>
            <color indexed="81"/>
            <rFont val="Tahoma"/>
            <family val="2"/>
          </rPr>
          <t>Rikke Næraa:</t>
        </r>
        <r>
          <rPr>
            <sz val="9"/>
            <color indexed="81"/>
            <rFont val="Tahoma"/>
            <family val="2"/>
          </rPr>
          <t xml:space="preserve">
It is assumed that the unit should be (€/unit/year)</t>
        </r>
      </text>
    </comment>
    <comment ref="B54" authorId="0" shapeId="0" xr:uid="{A415CB73-E8CF-4ADE-A9A5-9C820F1ED6A7}">
      <text>
        <r>
          <rPr>
            <b/>
            <sz val="9"/>
            <color indexed="81"/>
            <rFont val="Tahoma"/>
            <family val="2"/>
          </rPr>
          <t>Rikke Næraa:</t>
        </r>
        <r>
          <rPr>
            <sz val="9"/>
            <color indexed="81"/>
            <rFont val="Tahoma"/>
            <family val="2"/>
          </rPr>
          <t xml:space="preserve">
It is assumed that the unit should be (€/unit/year), but then the cost become rather low compared to for single family houses
</t>
        </r>
      </text>
    </comment>
    <comment ref="B81" authorId="0" shapeId="0" xr:uid="{0485CF9B-DE2B-40BE-A0B0-2CF0F5129C55}">
      <text>
        <r>
          <rPr>
            <b/>
            <sz val="9"/>
            <color indexed="81"/>
            <rFont val="Tahoma"/>
            <family val="2"/>
          </rPr>
          <t>Rikke Næraa:</t>
        </r>
        <r>
          <rPr>
            <sz val="9"/>
            <color indexed="81"/>
            <rFont val="Tahoma"/>
            <family val="2"/>
          </rPr>
          <t xml:space="preserve">
same coments as for fossil fuel  
</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C32" authorId="0" shapeId="0" xr:uid="{00000000-0006-0000-1100-000001000000}">
      <text>
        <r>
          <rPr>
            <b/>
            <sz val="9"/>
            <color indexed="81"/>
            <rFont val="Tahoma"/>
            <family val="2"/>
          </rPr>
          <t>Rikke Næraa:</t>
        </r>
        <r>
          <rPr>
            <sz val="9"/>
            <color indexed="81"/>
            <rFont val="Tahoma"/>
            <family val="2"/>
          </rPr>
          <t xml:space="preserve">
Assume 20.000kWh heatproduction equals 20.000/1000k/M*3.6MWh/PJ=72 GJ - Has been changed to 50 GJ because thats what is used in the EBM
</t>
        </r>
      </text>
    </comment>
    <comment ref="D32" authorId="0" shapeId="0" xr:uid="{00000000-0006-0000-1100-000002000000}">
      <text>
        <r>
          <rPr>
            <b/>
            <sz val="9"/>
            <color indexed="81"/>
            <rFont val="Tahoma"/>
            <family val="2"/>
          </rPr>
          <t>Rikke Næraa:</t>
        </r>
        <r>
          <rPr>
            <sz val="9"/>
            <color indexed="81"/>
            <rFont val="Tahoma"/>
            <family val="2"/>
          </rPr>
          <t xml:space="preserve">
Assume 20.000kWh heatproduction equals 20.000/1000k/M*3.6MWh/PJ=72 GJ - Has been changed to 50 GJ because thats what is used in the EBM
</t>
        </r>
      </text>
    </comment>
    <comment ref="E32" authorId="0" shapeId="0" xr:uid="{00000000-0006-0000-1100-000003000000}">
      <text>
        <r>
          <rPr>
            <b/>
            <sz val="9"/>
            <color indexed="81"/>
            <rFont val="Tahoma"/>
            <family val="2"/>
          </rPr>
          <t>Rikke Næraa:</t>
        </r>
        <r>
          <rPr>
            <sz val="9"/>
            <color indexed="81"/>
            <rFont val="Tahoma"/>
            <family val="2"/>
          </rPr>
          <t xml:space="preserve">
Assume 20.000kWh heatproduction equals 20.000/1000k/M*3.6MWh/PJ=72 GJ - Has been changed to 50 GJ because thats what is used in the EBM
</t>
        </r>
      </text>
    </comment>
    <comment ref="F32" authorId="0" shapeId="0" xr:uid="{00000000-0006-0000-1100-000004000000}">
      <text>
        <r>
          <rPr>
            <b/>
            <sz val="9"/>
            <color indexed="81"/>
            <rFont val="Tahoma"/>
            <family val="2"/>
          </rPr>
          <t>Rikke Næraa:</t>
        </r>
        <r>
          <rPr>
            <sz val="9"/>
            <color indexed="81"/>
            <rFont val="Tahoma"/>
            <family val="2"/>
          </rPr>
          <t xml:space="preserve">
Assume 20.000kWh heatproduction equals 20.000/1000k/M*3.6MWh/PJ=72 GJ - Has been changed to 50 GJ because thats what is used in the EBM
</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D21" authorId="0" shapeId="0" xr:uid="{00000000-0006-0000-1300-000001000000}">
      <text>
        <r>
          <rPr>
            <b/>
            <sz val="9"/>
            <color indexed="81"/>
            <rFont val="Tahoma"/>
            <family val="2"/>
          </rPr>
          <t>Rikke Næraa:</t>
        </r>
        <r>
          <rPr>
            <sz val="9"/>
            <color indexed="81"/>
            <rFont val="Tahoma"/>
            <family val="2"/>
          </rPr>
          <t xml:space="preserve">
not logical that the technoligy becames more and more expencive for the small it could maybe be explaned by the smaller size but for the larger ?</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D22" authorId="0" shapeId="0" xr:uid="{00000000-0006-0000-1400-000001000000}">
      <text>
        <r>
          <rPr>
            <b/>
            <sz val="9"/>
            <color indexed="81"/>
            <rFont val="Tahoma"/>
            <family val="2"/>
          </rPr>
          <t>Rikke Næraa:</t>
        </r>
        <r>
          <rPr>
            <sz val="9"/>
            <color indexed="81"/>
            <rFont val="Tahoma"/>
            <family val="2"/>
          </rPr>
          <t xml:space="preserve">
not logical that the technoligy becames more and more expencive for the small it could maybe be explaned by the smaller size but for the larger ?</t>
        </r>
      </text>
    </comment>
    <comment ref="B53" authorId="0" shapeId="0" xr:uid="{00000000-0006-0000-1400-000002000000}">
      <text>
        <r>
          <rPr>
            <b/>
            <sz val="9"/>
            <color indexed="81"/>
            <rFont val="Tahoma"/>
            <family val="2"/>
          </rPr>
          <t>Rikke Næraa:</t>
        </r>
        <r>
          <rPr>
            <sz val="9"/>
            <color indexed="81"/>
            <rFont val="Tahoma"/>
            <family val="2"/>
          </rPr>
          <t xml:space="preserve">
Strange that the additional cost is increasing in the future?</t>
        </r>
      </text>
    </comment>
    <comment ref="D76" authorId="0" shapeId="0" xr:uid="{00000000-0006-0000-1400-000003000000}">
      <text>
        <r>
          <rPr>
            <b/>
            <sz val="9"/>
            <color indexed="81"/>
            <rFont val="Tahoma"/>
            <family val="2"/>
          </rPr>
          <t>Rikke Næraa:</t>
        </r>
        <r>
          <rPr>
            <sz val="9"/>
            <color indexed="81"/>
            <rFont val="Tahoma"/>
            <family val="2"/>
          </rPr>
          <t xml:space="preserve">
not logical that the technoligy becames more and more expencive for the small it could maybe be explaned by the smaller size but for the larger ?</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B29" authorId="0" shapeId="0" xr:uid="{00000000-0006-0000-1A00-000001000000}">
      <text>
        <r>
          <rPr>
            <b/>
            <sz val="9"/>
            <color indexed="81"/>
            <rFont val="Tahoma"/>
            <family val="2"/>
          </rPr>
          <t>Rikke Næraa:</t>
        </r>
        <r>
          <rPr>
            <sz val="9"/>
            <color indexed="81"/>
            <rFont val="Tahoma"/>
            <family val="2"/>
          </rPr>
          <t xml:space="preserve">
possible additionel specific investment not included</t>
        </r>
      </text>
    </comment>
    <comment ref="B30" authorId="0" shapeId="0" xr:uid="{00000000-0006-0000-1A00-000002000000}">
      <text>
        <r>
          <rPr>
            <b/>
            <sz val="9"/>
            <color indexed="81"/>
            <rFont val="Tahoma"/>
            <family val="2"/>
          </rPr>
          <t>Rikke Næraa:</t>
        </r>
        <r>
          <rPr>
            <sz val="9"/>
            <color indexed="81"/>
            <rFont val="Tahoma"/>
            <family val="2"/>
          </rPr>
          <t xml:space="preserve">
possible additionel specific investment not included</t>
        </r>
      </text>
    </comment>
    <comment ref="B56" authorId="0" shapeId="0" xr:uid="{00000000-0006-0000-1A00-000003000000}">
      <text>
        <r>
          <rPr>
            <b/>
            <sz val="9"/>
            <color indexed="81"/>
            <rFont val="Tahoma"/>
            <family val="2"/>
          </rPr>
          <t>Rikke Næraa:</t>
        </r>
        <r>
          <rPr>
            <sz val="9"/>
            <color indexed="81"/>
            <rFont val="Tahoma"/>
            <family val="2"/>
          </rPr>
          <t xml:space="preserve">
possible additionel specific investment not included</t>
        </r>
      </text>
    </comment>
    <comment ref="B57" authorId="0" shapeId="0" xr:uid="{00000000-0006-0000-1A00-000004000000}">
      <text>
        <r>
          <rPr>
            <b/>
            <sz val="9"/>
            <color indexed="81"/>
            <rFont val="Tahoma"/>
            <family val="2"/>
          </rPr>
          <t>Rikke Næraa:</t>
        </r>
        <r>
          <rPr>
            <sz val="9"/>
            <color indexed="81"/>
            <rFont val="Tahoma"/>
            <family val="2"/>
          </rPr>
          <t xml:space="preserve">
possible additionel specific investment not included</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Iben Moll Rasmussen</author>
    <author>Mikkel Bosack Simonsen</author>
  </authors>
  <commentList>
    <comment ref="I5" authorId="0" shapeId="0" xr:uid="{00000000-0006-0000-2F00-000001000000}">
      <text>
        <r>
          <rPr>
            <b/>
            <sz val="9"/>
            <color indexed="81"/>
            <rFont val="Tahoma"/>
            <family val="2"/>
          </rPr>
          <t>Iben Moll Rasmussen:</t>
        </r>
        <r>
          <rPr>
            <sz val="9"/>
            <color indexed="81"/>
            <rFont val="Tahoma"/>
            <family val="2"/>
          </rPr>
          <t xml:space="preserve">
What does this mean?</t>
        </r>
      </text>
    </comment>
    <comment ref="I6" authorId="1" shapeId="0" xr:uid="{00000000-0006-0000-2F00-000002000000}">
      <text>
        <r>
          <rPr>
            <b/>
            <sz val="9"/>
            <color indexed="81"/>
            <rFont val="Tahoma"/>
            <family val="2"/>
          </rPr>
          <t>Mikkel Bosack Simonsen:</t>
        </r>
        <r>
          <rPr>
            <sz val="9"/>
            <color indexed="81"/>
            <rFont val="Tahoma"/>
            <family val="2"/>
          </rPr>
          <t xml:space="preserve">
asummed similar to ELC HP with ambient temperature
</t>
        </r>
      </text>
    </comment>
    <comment ref="J6" authorId="1" shapeId="0" xr:uid="{00000000-0006-0000-2F00-000003000000}">
      <text>
        <r>
          <rPr>
            <b/>
            <sz val="9"/>
            <color indexed="81"/>
            <rFont val="Tahoma"/>
            <family val="2"/>
          </rPr>
          <t>Mikkel Bosack Simonsen:</t>
        </r>
        <r>
          <rPr>
            <sz val="9"/>
            <color indexed="81"/>
            <rFont val="Tahoma"/>
            <family val="2"/>
          </rPr>
          <t xml:space="preserve">
asummed similar to ELC HP with ambient temperature</t>
        </r>
      </text>
    </comment>
    <comment ref="K6" authorId="1" shapeId="0" xr:uid="{00000000-0006-0000-2F00-000004000000}">
      <text>
        <r>
          <rPr>
            <b/>
            <sz val="9"/>
            <color indexed="81"/>
            <rFont val="Tahoma"/>
            <family val="2"/>
          </rPr>
          <t>Mikkel Bosack Simonsen:</t>
        </r>
        <r>
          <rPr>
            <sz val="9"/>
            <color indexed="81"/>
            <rFont val="Tahoma"/>
            <family val="2"/>
          </rPr>
          <t xml:space="preserve">
asummed similar to ELC HP with ambient temperature</t>
        </r>
      </text>
    </comment>
    <comment ref="I10" authorId="1" shapeId="0" xr:uid="{00000000-0006-0000-2F00-000005000000}">
      <text>
        <r>
          <rPr>
            <b/>
            <sz val="9"/>
            <color indexed="81"/>
            <rFont val="Tahoma"/>
            <family val="2"/>
          </rPr>
          <t>Mikkel Bosack Simonsen:</t>
        </r>
        <r>
          <rPr>
            <sz val="9"/>
            <color indexed="81"/>
            <rFont val="Tahoma"/>
            <family val="2"/>
          </rPr>
          <t xml:space="preserve">
asummed similar to ELC HP with ambient temperature
</t>
        </r>
      </text>
    </comment>
    <comment ref="J10" authorId="1" shapeId="0" xr:uid="{00000000-0006-0000-2F00-000006000000}">
      <text>
        <r>
          <rPr>
            <b/>
            <sz val="9"/>
            <color indexed="81"/>
            <rFont val="Tahoma"/>
            <family val="2"/>
          </rPr>
          <t>Mikkel Bosack Simonsen:</t>
        </r>
        <r>
          <rPr>
            <sz val="9"/>
            <color indexed="81"/>
            <rFont val="Tahoma"/>
            <family val="2"/>
          </rPr>
          <t xml:space="preserve">
asummed similar to ELC HP with ambient temperature</t>
        </r>
      </text>
    </comment>
    <comment ref="K10" authorId="1" shapeId="0" xr:uid="{00000000-0006-0000-2F00-000007000000}">
      <text>
        <r>
          <rPr>
            <b/>
            <sz val="9"/>
            <color indexed="81"/>
            <rFont val="Tahoma"/>
            <family val="2"/>
          </rPr>
          <t>Mikkel Bosack Simonsen:</t>
        </r>
        <r>
          <rPr>
            <sz val="9"/>
            <color indexed="81"/>
            <rFont val="Tahoma"/>
            <family val="2"/>
          </rPr>
          <t xml:space="preserve">
asummed similar to ELC HP with ambient temperature</t>
        </r>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Iben Moll Rasmussen</author>
    <author>Mikkel Bosack Simonsen</author>
  </authors>
  <commentList>
    <comment ref="J5" authorId="0" shapeId="0" xr:uid="{00000000-0006-0000-3000-000001000000}">
      <text>
        <r>
          <rPr>
            <b/>
            <sz val="9"/>
            <color indexed="81"/>
            <rFont val="Tahoma"/>
            <family val="2"/>
          </rPr>
          <t>Iben Moll Rasmussen:</t>
        </r>
        <r>
          <rPr>
            <sz val="9"/>
            <color indexed="81"/>
            <rFont val="Tahoma"/>
            <family val="2"/>
          </rPr>
          <t xml:space="preserve">
What does this mean?</t>
        </r>
      </text>
    </comment>
    <comment ref="J6" authorId="1" shapeId="0" xr:uid="{00000000-0006-0000-3000-000002000000}">
      <text>
        <r>
          <rPr>
            <b/>
            <sz val="9"/>
            <color indexed="81"/>
            <rFont val="Tahoma"/>
            <family val="2"/>
          </rPr>
          <t>Mikkel Bosack Simonsen:</t>
        </r>
        <r>
          <rPr>
            <sz val="9"/>
            <color indexed="81"/>
            <rFont val="Tahoma"/>
            <family val="2"/>
          </rPr>
          <t xml:space="preserve">
asummed similar to ELC HP with ambient temperature
</t>
        </r>
      </text>
    </comment>
    <comment ref="K6" authorId="1" shapeId="0" xr:uid="{00000000-0006-0000-3000-000003000000}">
      <text>
        <r>
          <rPr>
            <b/>
            <sz val="9"/>
            <color indexed="81"/>
            <rFont val="Tahoma"/>
            <family val="2"/>
          </rPr>
          <t>Mikkel Bosack Simonsen:</t>
        </r>
        <r>
          <rPr>
            <sz val="9"/>
            <color indexed="81"/>
            <rFont val="Tahoma"/>
            <family val="2"/>
          </rPr>
          <t xml:space="preserve">
asummed similar to ELC HP with ambient temperature</t>
        </r>
      </text>
    </comment>
    <comment ref="L6" authorId="1" shapeId="0" xr:uid="{00000000-0006-0000-3000-000004000000}">
      <text>
        <r>
          <rPr>
            <b/>
            <sz val="9"/>
            <color indexed="81"/>
            <rFont val="Tahoma"/>
            <family val="2"/>
          </rPr>
          <t>Mikkel Bosack Simonsen:</t>
        </r>
        <r>
          <rPr>
            <sz val="9"/>
            <color indexed="81"/>
            <rFont val="Tahoma"/>
            <family val="2"/>
          </rPr>
          <t xml:space="preserve">
asummed similar to ELC HP with ambient temperature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DHareas1" type="6" refreshedVersion="4" background="1" saveData="1">
    <textPr codePage="65001" sourceFile="\\dtu-storage\stpet\Documents\Stefan\BBR\Waste heat\DHareas.csv" comma="1">
      <textFields count="7">
        <textField/>
        <textField/>
        <textField/>
        <textField/>
        <textField/>
        <textField/>
        <textField/>
      </textFields>
    </textPr>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<sst xmlns="http://schemas.openxmlformats.org/spreadsheetml/2006/main" count="24304" uniqueCount="2129">
  <si>
    <t>Technology</t>
  </si>
  <si>
    <t>One-family house, existing building</t>
  </si>
  <si>
    <t>Note</t>
  </si>
  <si>
    <t>Ref</t>
  </si>
  <si>
    <t>Energy/technical data</t>
  </si>
  <si>
    <t>Heat production capacity for one unit (kW)</t>
  </si>
  <si>
    <t>A</t>
  </si>
  <si>
    <t>Expected share of space heating demand covered by unit (%)</t>
  </si>
  <si>
    <t>Expected share of hot tap water demand covered by unit (%)</t>
  </si>
  <si>
    <t>Total efficiency, annual average, net (%)</t>
  </si>
  <si>
    <t>1, 2, 3, 4</t>
  </si>
  <si>
    <t>Technical lifetime (years)</t>
  </si>
  <si>
    <t>Environment</t>
  </si>
  <si>
    <r>
      <t>SO</t>
    </r>
    <r>
      <rPr>
        <vertAlign val="subscript"/>
        <sz val="9"/>
        <color indexed="8"/>
        <rFont val="Arial"/>
        <family val="2"/>
      </rPr>
      <t>2</t>
    </r>
    <r>
      <rPr>
        <sz val="9"/>
        <color indexed="8"/>
        <rFont val="Arial"/>
        <family val="2"/>
      </rPr>
      <t xml:space="preserve"> (g per GJ fuel)</t>
    </r>
  </si>
  <si>
    <t>B, E</t>
  </si>
  <si>
    <r>
      <t>NO</t>
    </r>
    <r>
      <rPr>
        <vertAlign val="subscript"/>
        <sz val="9"/>
        <color indexed="8"/>
        <rFont val="Arial"/>
        <family val="2"/>
      </rPr>
      <t>X</t>
    </r>
    <r>
      <rPr>
        <sz val="9"/>
        <color indexed="8"/>
        <rFont val="Arial"/>
        <family val="2"/>
      </rPr>
      <t xml:space="preserve"> (g per GJ fuel)</t>
    </r>
  </si>
  <si>
    <t>C</t>
  </si>
  <si>
    <r>
      <t>CH</t>
    </r>
    <r>
      <rPr>
        <vertAlign val="subscript"/>
        <sz val="9"/>
        <color indexed="8"/>
        <rFont val="Arial"/>
        <family val="2"/>
      </rPr>
      <t>4</t>
    </r>
    <r>
      <rPr>
        <sz val="9"/>
        <color indexed="8"/>
        <rFont val="Arial"/>
        <family val="2"/>
      </rPr>
      <t xml:space="preserve"> (g per GJ fuel)</t>
    </r>
  </si>
  <si>
    <r>
      <t>N</t>
    </r>
    <r>
      <rPr>
        <vertAlign val="subscript"/>
        <sz val="9"/>
        <color indexed="8"/>
        <rFont val="Arial"/>
        <family val="2"/>
      </rPr>
      <t>2</t>
    </r>
    <r>
      <rPr>
        <sz val="9"/>
        <color indexed="8"/>
        <rFont val="Arial"/>
        <family val="2"/>
      </rPr>
      <t>O (g per GJ fuel)</t>
    </r>
  </si>
  <si>
    <t>Particles (g per GJ fuel)</t>
  </si>
  <si>
    <t>D</t>
  </si>
  <si>
    <t>5, 6</t>
  </si>
  <si>
    <t>Financial data</t>
  </si>
  <si>
    <t>Specific investment (1000€/kW)</t>
  </si>
  <si>
    <t>Specific investment (1000€/unit)</t>
  </si>
  <si>
    <t>F</t>
  </si>
  <si>
    <t>- hereof equipment (%)</t>
  </si>
  <si>
    <t>70</t>
  </si>
  <si>
    <t>- hereof installation (%)</t>
  </si>
  <si>
    <t>30</t>
  </si>
  <si>
    <t>Possible additional specific investment  (1000€/unit)</t>
  </si>
  <si>
    <t>Variable O&amp;M (€/GJ)</t>
  </si>
  <si>
    <t>Apartment complex, existing building</t>
  </si>
  <si>
    <t>G</t>
  </si>
  <si>
    <t>One-family house, new building</t>
  </si>
  <si>
    <t>Apartment complex, new building</t>
  </si>
  <si>
    <t>-</t>
  </si>
  <si>
    <t>Natural gas boiler</t>
  </si>
  <si>
    <t>One-family house, existing and new building</t>
  </si>
  <si>
    <t>100-104</t>
  </si>
  <si>
    <t>Electricity consumption (kWh/year)</t>
  </si>
  <si>
    <t>80-200</t>
  </si>
  <si>
    <t>40-120</t>
  </si>
  <si>
    <t>20-80</t>
  </si>
  <si>
    <t>?</t>
  </si>
  <si>
    <t>B, C</t>
  </si>
  <si>
    <t>D, E</t>
  </si>
  <si>
    <t>45</t>
  </si>
  <si>
    <t>55</t>
  </si>
  <si>
    <t>K</t>
  </si>
  <si>
    <t>Fixed O&amp;M (€/kW/year)</t>
  </si>
  <si>
    <t>H</t>
  </si>
  <si>
    <t>I</t>
  </si>
  <si>
    <t>Apartment complex, existing and new building</t>
  </si>
  <si>
    <t>20-750</t>
  </si>
  <si>
    <t>J</t>
  </si>
  <si>
    <t>50-85</t>
  </si>
  <si>
    <t>15-50</t>
  </si>
  <si>
    <t>District heating substation</t>
  </si>
  <si>
    <t>B</t>
  </si>
  <si>
    <t>1.5-3.5</t>
  </si>
  <si>
    <t>2, 3, 4</t>
  </si>
  <si>
    <t>20-25</t>
  </si>
  <si>
    <t>75-80</t>
  </si>
  <si>
    <t>Fixed O&amp;M (€/unit/year)</t>
  </si>
  <si>
    <t>2, 4</t>
  </si>
  <si>
    <t>Biomass boiler, automatic stoking</t>
  </si>
  <si>
    <t>4, 5</t>
  </si>
  <si>
    <t>NA</t>
  </si>
  <si>
    <t>2, 5</t>
  </si>
  <si>
    <t>2.5-11</t>
  </si>
  <si>
    <t>- hereof equipment (1000€/unit)</t>
  </si>
  <si>
    <t>2-10</t>
  </si>
  <si>
    <t>- hereof installation (1000€/unit)</t>
  </si>
  <si>
    <t>0.5-1</t>
  </si>
  <si>
    <t>D, F</t>
  </si>
  <si>
    <t>E</t>
  </si>
  <si>
    <t>100-1000</t>
  </si>
  <si>
    <t>Biomass boiler, manual stoking</t>
  </si>
  <si>
    <t>3</t>
  </si>
  <si>
    <t>1.5</t>
  </si>
  <si>
    <t xml:space="preserve">D </t>
  </si>
  <si>
    <t>Wood stove without water tank</t>
  </si>
  <si>
    <t>1.5-9</t>
  </si>
  <si>
    <t>1.5-6</t>
  </si>
  <si>
    <t>20-60</t>
  </si>
  <si>
    <t>2</t>
  </si>
  <si>
    <t>- hereof installation (%1000€/unit)</t>
  </si>
  <si>
    <t>0.6</t>
  </si>
  <si>
    <t>Wood stove with water tank</t>
  </si>
  <si>
    <t>1.5-4</t>
  </si>
  <si>
    <t>1.5-3</t>
  </si>
  <si>
    <t>20-70</t>
  </si>
  <si>
    <t>Heat pump, air-to-air</t>
  </si>
  <si>
    <t>1, 2</t>
  </si>
  <si>
    <t>80</t>
  </si>
  <si>
    <t xml:space="preserve">- hereof installation (%) </t>
  </si>
  <si>
    <t>20</t>
  </si>
  <si>
    <t>For electric heat pumps, the emissions depend on how the electricity is produced. Emission factors for electricity in Denmark can for instance be found in socio-economic assumptions for energy projects published by the Danish Energy Authority (www.ens.dk - Fremskrivninger - Samfundsøkonomiske beregningsforudsætnigner).</t>
  </si>
  <si>
    <t>Heat pump, air-to-water</t>
  </si>
  <si>
    <t>Expected share of space heating demand covered by the heat pump unit (%)</t>
  </si>
  <si>
    <t>Expected share of hot tap water demand covered by the heat pump unit (%)</t>
  </si>
  <si>
    <t>A,B</t>
  </si>
  <si>
    <t>1, 2, 3, 4, 6, 7</t>
  </si>
  <si>
    <t>A, B, E</t>
  </si>
  <si>
    <t>1, 2, 5</t>
  </si>
  <si>
    <t>85</t>
  </si>
  <si>
    <t>15</t>
  </si>
  <si>
    <t>50-750</t>
  </si>
  <si>
    <t>A, B</t>
  </si>
  <si>
    <t>20-300</t>
  </si>
  <si>
    <t>Heat pump, brine-to-water</t>
  </si>
  <si>
    <t>A, B, D, E, G</t>
  </si>
  <si>
    <t>Possible additional specific investment  (1000€/kW)</t>
  </si>
  <si>
    <t>A, B, D, E</t>
  </si>
  <si>
    <t>75</t>
  </si>
  <si>
    <t>25</t>
  </si>
  <si>
    <t>Heat pump, ventilation</t>
  </si>
  <si>
    <t>1, 2, 4</t>
  </si>
  <si>
    <t>C, D</t>
  </si>
  <si>
    <t>90</t>
  </si>
  <si>
    <t>10</t>
  </si>
  <si>
    <t>14-200</t>
  </si>
  <si>
    <t>Solar heating system</t>
  </si>
  <si>
    <r>
      <t>Typical size per unit (m</t>
    </r>
    <r>
      <rPr>
        <vertAlign val="superscript"/>
        <sz val="9"/>
        <color indexed="8"/>
        <rFont val="Arial"/>
        <family val="2"/>
      </rPr>
      <t>2</t>
    </r>
    <r>
      <rPr>
        <sz val="9"/>
        <color indexed="8"/>
        <rFont val="Arial"/>
        <family val="2"/>
      </rPr>
      <t>)</t>
    </r>
  </si>
  <si>
    <t>Typical size per unit (kW)</t>
  </si>
  <si>
    <t>2, 6</t>
  </si>
  <si>
    <r>
      <t>Specific investment (1000€/m</t>
    </r>
    <r>
      <rPr>
        <vertAlign val="superscript"/>
        <sz val="9"/>
        <color indexed="8"/>
        <rFont val="Arial"/>
        <family val="2"/>
      </rPr>
      <t>2</t>
    </r>
    <r>
      <rPr>
        <sz val="9"/>
        <color indexed="8"/>
        <rFont val="Arial"/>
        <family val="2"/>
      </rPr>
      <t>)</t>
    </r>
  </si>
  <si>
    <t>1, 8, 9, 10</t>
  </si>
  <si>
    <t>9, 1</t>
  </si>
  <si>
    <t>Variable O&amp;M (€/unit/year)</t>
  </si>
  <si>
    <t>Electric heating</t>
  </si>
  <si>
    <t>B, D</t>
  </si>
  <si>
    <t>For electric heating, the emissions depend on how the electricity is produced. Emission factors for electricity in Denmark can for instance be found in socio-economic assumptions for energy projects published by the Danish Energy Authority (www.ens.dk - Fremskrivninger - Samfundsøkonomiske beregningsforudsætnigner).</t>
  </si>
  <si>
    <t>Micro CHP - Natural gas fuel cell</t>
  </si>
  <si>
    <t>1.5-20</t>
  </si>
  <si>
    <t>1, 2, 3</t>
  </si>
  <si>
    <t>Electricity generation capacity for one unit (kW)</t>
  </si>
  <si>
    <t>0.7-1.5</t>
  </si>
  <si>
    <t>50-100</t>
  </si>
  <si>
    <t>30/40-100</t>
  </si>
  <si>
    <t>D, G, I</t>
  </si>
  <si>
    <t>Electric efficiency, annual average, net (%)</t>
  </si>
  <si>
    <t>35-40</t>
  </si>
  <si>
    <t>40-50</t>
  </si>
  <si>
    <t>40-55</t>
  </si>
  <si>
    <t>Heat efficiency, annual average, net (%)</t>
  </si>
  <si>
    <t>50-60</t>
  </si>
  <si>
    <t>50-55</t>
  </si>
  <si>
    <t>85-90</t>
  </si>
  <si>
    <t>95-100</t>
  </si>
  <si>
    <t>95-102</t>
  </si>
  <si>
    <t>&gt; 7</t>
  </si>
  <si>
    <t>&gt; 10</t>
  </si>
  <si>
    <t>1, 4, 7</t>
  </si>
  <si>
    <t>0.5 - 2</t>
  </si>
  <si>
    <t>1, 5</t>
  </si>
  <si>
    <t>0.5-4.5</t>
  </si>
  <si>
    <t>Micro CHP - Hydrogen fuel cell</t>
  </si>
  <si>
    <t>50-70</t>
  </si>
  <si>
    <t>45-50</t>
  </si>
  <si>
    <t>48-53</t>
  </si>
  <si>
    <t>52-57</t>
  </si>
  <si>
    <t>35-45</t>
  </si>
  <si>
    <t>38-50</t>
  </si>
  <si>
    <t>90-98</t>
  </si>
  <si>
    <t>C, E</t>
  </si>
  <si>
    <t>Efficiency in electrolyzer, annual average, net (%)</t>
  </si>
  <si>
    <t>60-80</t>
  </si>
  <si>
    <t>75-90</t>
  </si>
  <si>
    <t>80-97</t>
  </si>
  <si>
    <t>65</t>
  </si>
  <si>
    <t>35</t>
  </si>
  <si>
    <t>The emissions from hydrogen fuel cell micro CHP units depend on how the electricity used for hydrogen production in the electrolyzer is produced. If the electricity is "surplus electricity" from e.g. wind power, the emissions are zero. For average Danish emission factors for electricity, see www.ens.dk - Fremskrivninger - Samfundsøkonomiske beregningsforudsætnigner</t>
  </si>
  <si>
    <t>Micro CHP - Stirling engine</t>
  </si>
  <si>
    <t>70-90</t>
  </si>
  <si>
    <t>75-85</t>
  </si>
  <si>
    <t>87-92</t>
  </si>
  <si>
    <t>89-99</t>
  </si>
  <si>
    <t>91-106</t>
  </si>
  <si>
    <t>15-25</t>
  </si>
  <si>
    <t>80-100</t>
  </si>
  <si>
    <t>70-100</t>
  </si>
  <si>
    <t>&gt; 15</t>
  </si>
  <si>
    <t>Mini CHP - Stirling engine</t>
  </si>
  <si>
    <t>A, D, E</t>
  </si>
  <si>
    <t>30-50</t>
  </si>
  <si>
    <t>0.6-0.8</t>
  </si>
  <si>
    <t>Apartment complex, (existing) and new buildings</t>
  </si>
  <si>
    <t>Micro CHP - Gas engine</t>
  </si>
  <si>
    <t>60-85</t>
  </si>
  <si>
    <t>40-60</t>
  </si>
  <si>
    <t>40-65</t>
  </si>
  <si>
    <t>70-75</t>
  </si>
  <si>
    <t>1.0-1.2</t>
  </si>
  <si>
    <t>Mini CHP - Gas engine</t>
  </si>
  <si>
    <t>25-300</t>
  </si>
  <si>
    <t>10-180</t>
  </si>
  <si>
    <t>12-200</t>
  </si>
  <si>
    <t>15-220</t>
  </si>
  <si>
    <t>70-85</t>
  </si>
  <si>
    <t>28-36</t>
  </si>
  <si>
    <t>30-38</t>
  </si>
  <si>
    <t>32-40</t>
  </si>
  <si>
    <t>55-60</t>
  </si>
  <si>
    <t>55-62</t>
  </si>
  <si>
    <t>55-64</t>
  </si>
  <si>
    <t>88-91</t>
  </si>
  <si>
    <t>92-94</t>
  </si>
  <si>
    <t>95-96</t>
  </si>
  <si>
    <t>20-100</t>
  </si>
  <si>
    <t>80-760</t>
  </si>
  <si>
    <t>50-500</t>
  </si>
  <si>
    <t>30-250</t>
  </si>
  <si>
    <t>0.4-0.8</t>
  </si>
  <si>
    <t>&lt; 0.5</t>
  </si>
  <si>
    <t>25-120</t>
  </si>
  <si>
    <t>70-80</t>
  </si>
  <si>
    <t>20-30</t>
  </si>
  <si>
    <t>0.7-1.0</t>
  </si>
  <si>
    <t>75-95</t>
  </si>
  <si>
    <t>40-70</t>
  </si>
  <si>
    <t>45-80</t>
  </si>
  <si>
    <t>Total efficiency, annual</t>
  </si>
  <si>
    <t>10-150</t>
  </si>
  <si>
    <t>4-100</t>
  </si>
  <si>
    <t>5-110</t>
  </si>
  <si>
    <t>6-120</t>
  </si>
  <si>
    <t>24-34</t>
  </si>
  <si>
    <t>26-36</t>
  </si>
  <si>
    <t>28-38</t>
  </si>
  <si>
    <t>55-65</t>
  </si>
  <si>
    <t>55-68</t>
  </si>
  <si>
    <t>55-70</t>
  </si>
  <si>
    <t>88-90</t>
  </si>
  <si>
    <t>91-94</t>
  </si>
  <si>
    <t>93-98</t>
  </si>
  <si>
    <t>12-100</t>
  </si>
  <si>
    <t>Conventional DH network - existing building area</t>
  </si>
  <si>
    <r>
      <t>Heat density an consumer (TJ/km</t>
    </r>
    <r>
      <rPr>
        <vertAlign val="superscript"/>
        <sz val="9"/>
        <color indexed="8"/>
        <rFont val="Arial"/>
        <family val="2"/>
      </rPr>
      <t>2</t>
    </r>
    <r>
      <rPr>
        <sz val="9"/>
        <color indexed="8"/>
        <rFont val="Arial"/>
        <family val="2"/>
      </rPr>
      <t xml:space="preserve"> land area)</t>
    </r>
  </si>
  <si>
    <t>Net loss (%)</t>
  </si>
  <si>
    <r>
      <t>Heat density ab plant (TJ/km</t>
    </r>
    <r>
      <rPr>
        <vertAlign val="superscript"/>
        <sz val="9"/>
        <color indexed="8"/>
        <rFont val="Arial"/>
        <family val="2"/>
      </rPr>
      <t>2</t>
    </r>
    <r>
      <rPr>
        <sz val="9"/>
        <color indexed="8"/>
        <rFont val="Arial"/>
        <family val="2"/>
      </rPr>
      <t xml:space="preserve"> land area)</t>
    </r>
  </si>
  <si>
    <t>Pump energy (MWh/TJ/year)</t>
  </si>
  <si>
    <t>0.2-4</t>
  </si>
  <si>
    <t>Investment costs (1,000 € per TJ)</t>
  </si>
  <si>
    <t>18-22</t>
  </si>
  <si>
    <t>Fixed O&amp;M (€/TJ/year)</t>
  </si>
  <si>
    <t>Low-temperature DH network - existing building area</t>
  </si>
  <si>
    <t>13-16</t>
  </si>
  <si>
    <t>54-56</t>
  </si>
  <si>
    <t>135-155</t>
  </si>
  <si>
    <t>1000-1200</t>
  </si>
  <si>
    <t>Conventional DH network - new building area</t>
  </si>
  <si>
    <t>20-48</t>
  </si>
  <si>
    <t>27-37</t>
  </si>
  <si>
    <t>28-72</t>
  </si>
  <si>
    <t>0.5-2</t>
  </si>
  <si>
    <t>100-160</t>
  </si>
  <si>
    <t>800-1,350</t>
  </si>
  <si>
    <r>
      <t>Low</t>
    </r>
    <r>
      <rPr>
        <sz val="9"/>
        <color indexed="8"/>
        <rFont val="Arial"/>
        <family val="2"/>
      </rPr>
      <t>-</t>
    </r>
    <r>
      <rPr>
        <b/>
        <sz val="9"/>
        <color indexed="8"/>
        <rFont val="Arial"/>
        <family val="2"/>
      </rPr>
      <t>temperature DH network - new building area</t>
    </r>
  </si>
  <si>
    <t>15-17</t>
  </si>
  <si>
    <t>25-56</t>
  </si>
  <si>
    <t>120-200</t>
  </si>
  <si>
    <t>1000-1550</t>
  </si>
  <si>
    <t>Electrical grid</t>
  </si>
  <si>
    <t>Typical voltage level, transmission (kV)</t>
  </si>
  <si>
    <t>132-400</t>
  </si>
  <si>
    <t>Typical voltage level, distribution (kV)</t>
  </si>
  <si>
    <t>0,4-60</t>
  </si>
  <si>
    <t>Typical capacity, transmission (MW)</t>
  </si>
  <si>
    <t>100-2,000</t>
  </si>
  <si>
    <t>Typical capacity, distribution (MW)</t>
  </si>
  <si>
    <t>Total network loss, transmission and distribution (%)</t>
  </si>
  <si>
    <t>Construction time (years)</t>
  </si>
  <si>
    <t>Investment costs (€/kW)</t>
  </si>
  <si>
    <t>110-220</t>
  </si>
  <si>
    <t>Fixed O&amp;M (€/MW/year)</t>
  </si>
  <si>
    <t>5-20</t>
  </si>
  <si>
    <t>3-20</t>
  </si>
  <si>
    <t>2-20</t>
  </si>
  <si>
    <t>1-20</t>
  </si>
  <si>
    <t>5-40</t>
  </si>
  <si>
    <t>5-35</t>
  </si>
  <si>
    <t>5-30</t>
  </si>
  <si>
    <t>6-20</t>
  </si>
  <si>
    <t>4-20</t>
  </si>
  <si>
    <t>3-12</t>
  </si>
  <si>
    <t>5-25</t>
  </si>
  <si>
    <t>7-30</t>
  </si>
  <si>
    <t>5-18</t>
  </si>
  <si>
    <t>4-16</t>
  </si>
  <si>
    <t>4-14</t>
  </si>
  <si>
    <t>2-12</t>
  </si>
  <si>
    <t>3-8</t>
  </si>
  <si>
    <t>2-5</t>
  </si>
  <si>
    <t>3-5</t>
  </si>
  <si>
    <t>7-35</t>
  </si>
  <si>
    <t>7-12</t>
  </si>
  <si>
    <t>6-10</t>
  </si>
  <si>
    <t>5-6</t>
  </si>
  <si>
    <t>10-20</t>
  </si>
  <si>
    <t>10-14</t>
  </si>
  <si>
    <t>6-8</t>
  </si>
  <si>
    <t>10-15</t>
  </si>
  <si>
    <t>10-80</t>
  </si>
  <si>
    <t>10-50</t>
  </si>
  <si>
    <t>1-4</t>
  </si>
  <si>
    <t>1-5</t>
  </si>
  <si>
    <t>2. Natural gas boiler</t>
  </si>
  <si>
    <t xml:space="preserve">3. District heating substation </t>
  </si>
  <si>
    <t>4. Biomass boiler, automatic stoking</t>
  </si>
  <si>
    <t>5. Biomass boiler, manual stoking</t>
  </si>
  <si>
    <t>6. Wood stove</t>
  </si>
  <si>
    <t>7. Electrical heat pump, air-to-air</t>
  </si>
  <si>
    <t>8. Electrical heat pump, air-to-water</t>
  </si>
  <si>
    <t>9. Electrical heat pump, brine-to-water (ground source heat pump)</t>
  </si>
  <si>
    <t>10. Electrical heat pump, ventilation</t>
  </si>
  <si>
    <t>11. Solar heating system</t>
  </si>
  <si>
    <t>12. Electric heating</t>
  </si>
  <si>
    <t>13. Micro CHP - natural gas fuel cell</t>
  </si>
  <si>
    <t>14. Micro CHP - hydrogen fuel cell</t>
  </si>
  <si>
    <t>15. Micro CHP - Stirling engine</t>
  </si>
  <si>
    <t>16. Micro CHP - Gas engine</t>
  </si>
  <si>
    <t>17. District heating network</t>
  </si>
  <si>
    <t>18. Electrical grid</t>
  </si>
  <si>
    <t>10 kW boiler</t>
  </si>
  <si>
    <t>kr/kW/year</t>
  </si>
  <si>
    <t>kr/GJ</t>
  </si>
  <si>
    <t>kr/€</t>
  </si>
  <si>
    <t>Average</t>
  </si>
  <si>
    <t>kW</t>
  </si>
  <si>
    <t xml:space="preserve">Boiler size, Check against  the range for the "Heat production capacity for one unit (kW)" in the first row in the datasheet </t>
  </si>
  <si>
    <t>Heat production capacity</t>
  </si>
  <si>
    <t xml:space="preserve">Check against  the range for the "Heat production capacity for one unit (kW)" in the first row in the datasheet </t>
  </si>
  <si>
    <t>Currency</t>
  </si>
  <si>
    <t>YEAR</t>
  </si>
  <si>
    <t>START</t>
  </si>
  <si>
    <t>EFF</t>
  </si>
  <si>
    <t>Input~ELCC</t>
  </si>
  <si>
    <t>LIFE</t>
  </si>
  <si>
    <t>INVCOST</t>
  </si>
  <si>
    <t>FIXOM</t>
  </si>
  <si>
    <t>VAROM</t>
  </si>
  <si>
    <t>CAP2ACT</t>
  </si>
  <si>
    <t>AFA</t>
  </si>
  <si>
    <t>FEMIS~RESSOx</t>
  </si>
  <si>
    <t>FEMIS~RESNOx</t>
  </si>
  <si>
    <t>FEMIS~RESCH4</t>
  </si>
  <si>
    <t>FEMIS~RESN2O</t>
  </si>
  <si>
    <t>FEMIS~RESPM</t>
  </si>
  <si>
    <t>kr/kW</t>
  </si>
  <si>
    <t>Factor</t>
  </si>
  <si>
    <t>g/GJ</t>
  </si>
  <si>
    <r>
      <t>Specific investment in</t>
    </r>
    <r>
      <rPr>
        <b/>
        <sz val="11"/>
        <color indexed="8"/>
        <rFont val="Calibri"/>
        <family val="2"/>
      </rPr>
      <t xml:space="preserve"> dkr/kW </t>
    </r>
  </si>
  <si>
    <r>
      <t xml:space="preserve"> Specific investment in </t>
    </r>
    <r>
      <rPr>
        <b/>
        <sz val="11"/>
        <color indexed="8"/>
        <rFont val="Calibri"/>
        <family val="2"/>
      </rPr>
      <t>dkr/unit</t>
    </r>
  </si>
  <si>
    <r>
      <t xml:space="preserve">FIX O&amp;M </t>
    </r>
    <r>
      <rPr>
        <b/>
        <sz val="11"/>
        <color indexed="8"/>
        <rFont val="Calibri"/>
        <family val="2"/>
      </rPr>
      <t>dkr/kW/year</t>
    </r>
  </si>
  <si>
    <r>
      <t xml:space="preserve">Variable O&amp;M in </t>
    </r>
    <r>
      <rPr>
        <b/>
        <sz val="11"/>
        <color indexed="8"/>
        <rFont val="Calibri"/>
        <family val="2"/>
      </rPr>
      <t>dkr/GJ</t>
    </r>
  </si>
  <si>
    <t xml:space="preserve">The green  should be copied to TIMES: </t>
  </si>
  <si>
    <t xml:space="preserve">Currency </t>
  </si>
  <si>
    <t>c</t>
  </si>
  <si>
    <t>kWh</t>
  </si>
  <si>
    <t>GJ</t>
  </si>
  <si>
    <t>One family house, new and existing buildings</t>
  </si>
  <si>
    <t>Total efficiency (%) net</t>
  </si>
  <si>
    <t>SO2 (degree of desulphoring, %)</t>
  </si>
  <si>
    <t>NOX (g per GJ fuel)</t>
  </si>
  <si>
    <t>CH4 (g per GJ fuel)</t>
  </si>
  <si>
    <t>N2O (g per GJ fuel)</t>
  </si>
  <si>
    <t>Financial data  (air/water)</t>
  </si>
  <si>
    <t>Possible additional specific investment (1000€/unit)</t>
  </si>
  <si>
    <t>Variable costs O&amp;M (€/MWh)</t>
  </si>
  <si>
    <t>Financial data  (brine/water)</t>
  </si>
  <si>
    <t>Absorption heat pump, brine-to-water</t>
  </si>
  <si>
    <t>Apartment complex, existing and new buildings</t>
  </si>
  <si>
    <t>L</t>
  </si>
  <si>
    <t>Gas engine driven heat pump, air-to-water and brine-to-water</t>
  </si>
  <si>
    <t>Gas engine driven heat pump heat pump</t>
  </si>
  <si>
    <t>A, K</t>
  </si>
  <si>
    <t>Gas engine driven heat pump heat pump, air-to-water</t>
  </si>
  <si>
    <t>0,5 - 1,4</t>
  </si>
  <si>
    <t>0,5 -1,4</t>
  </si>
  <si>
    <t>F,G,N</t>
  </si>
  <si>
    <t>I1</t>
  </si>
  <si>
    <t>I2</t>
  </si>
  <si>
    <t>Gas engine driven heat pump heat pump, brine-to-water</t>
  </si>
  <si>
    <t>F, G, N,O</t>
  </si>
  <si>
    <t>1,6+23</t>
  </si>
  <si>
    <t>H, J</t>
  </si>
  <si>
    <t>Gas driven adsorption heat pumps, air-to-water and brine-to-water</t>
  </si>
  <si>
    <t>1,5-15</t>
  </si>
  <si>
    <t>E; H</t>
  </si>
  <si>
    <t xml:space="preserve"> /5/, /17/</t>
  </si>
  <si>
    <t>A, H</t>
  </si>
  <si>
    <t xml:space="preserve">Gas driven absorption heat pumps, air-to-water </t>
  </si>
  <si>
    <t>Absorption heat pump</t>
  </si>
  <si>
    <t>I,K,L</t>
  </si>
  <si>
    <t>C2</t>
  </si>
  <si>
    <t>Absorption heat pump, air-to-water</t>
  </si>
  <si>
    <t>A, D, L</t>
  </si>
  <si>
    <t>C1</t>
  </si>
  <si>
    <t>A,D</t>
  </si>
  <si>
    <t>Gas driven absorption heat pumps brine-to-water</t>
  </si>
  <si>
    <t>H, H2</t>
  </si>
  <si>
    <t>A,D,E,F2;K</t>
  </si>
  <si>
    <t>1,6+ 23</t>
  </si>
  <si>
    <t>F1, H</t>
  </si>
  <si>
    <t>Variable costs O&amp;M (€/GJ)</t>
  </si>
  <si>
    <t>Variable costs O&amp;M (€/unit/year)</t>
  </si>
  <si>
    <t>MJ</t>
  </si>
  <si>
    <t>kr/MWh</t>
  </si>
  <si>
    <t>References:</t>
  </si>
  <si>
    <t>1 Forsyningskatalog 1988.</t>
  </si>
  <si>
    <t>2 Dansk Elforsyningsstatistik 2008.</t>
  </si>
  <si>
    <t>3 1975 – 1990 Publikationer fra DEFU Concerning electric heating. Here are also reports on storage heaters.</t>
  </si>
  <si>
    <t>4 http://www.dimplex.co.uk/products/domestic_heating/installed_ heating/storage_heaters/index.htm.</t>
  </si>
  <si>
    <t>5 http://www.lk.dk/Lauritz+Knudsen/privat/det-intelligente-hjem/det-intelligente-hjem.page?</t>
  </si>
  <si>
    <t>6 Peter Strøm from “EL-Strøm A/S”, personnaly communication.</t>
  </si>
  <si>
    <t>Notes:</t>
  </si>
  <si>
    <t>A Annual efficiency based on 100 % space heating efficiency and hot water efficiency. In addition, distribution heat losses compared to water based heating systems are saved, typically in the range of 5-10 %.</t>
  </si>
  <si>
    <t>B Assuming 150 apartments.</t>
  </si>
  <si>
    <t>C Assuming change of heating elements in the hot water tank every 10 years.</t>
  </si>
  <si>
    <t>D The price includes the complete system including room heaters and hot tap water preparation.</t>
  </si>
  <si>
    <t>if it is assumed that the energyconsumtion for hotwater is 4000kWh/year(=14,4 GJ/year) for an average 6 hosehold and 65% of the heating is delivered from the solarcollectors</t>
  </si>
  <si>
    <t xml:space="preserve">if it is assumed for a household in a detached building that the energyconsumtion for hotwater is 4000kWh/year(=14,4 GJ/year) for an average 6 hosehold and 65% of the heating is delivered from the solarcollectors. And it is assumed that heat production from solar collectors on  the multi storey building can be calculated from the relation between the installed capacity:  140kW/4,2 kW * 14,4 GJ/year =   </t>
  </si>
  <si>
    <t>* Source</t>
  </si>
  <si>
    <t>TechName</t>
  </si>
  <si>
    <t>*TechDesc</t>
  </si>
  <si>
    <t>Comm-IN</t>
  </si>
  <si>
    <t>Comm-OUT</t>
  </si>
  <si>
    <t>*PlantName</t>
  </si>
  <si>
    <t>ENV</t>
  </si>
  <si>
    <t>Electricity Indicator</t>
  </si>
  <si>
    <t>Peak Monitoring</t>
  </si>
  <si>
    <t>Timeslice Level</t>
  </si>
  <si>
    <t>Sense of the Balance EQN.</t>
  </si>
  <si>
    <t>Unit</t>
  </si>
  <si>
    <t>Commodity Description</t>
  </si>
  <si>
    <t>Commodity Name</t>
  </si>
  <si>
    <t>Region Name</t>
  </si>
  <si>
    <t>*Commodity Set Membership</t>
  </si>
  <si>
    <t>Ctype</t>
  </si>
  <si>
    <t>PeakTS</t>
  </si>
  <si>
    <t>CTSLvl</t>
  </si>
  <si>
    <t>LimType</t>
  </si>
  <si>
    <t>CommDesc</t>
  </si>
  <si>
    <t>CommName</t>
  </si>
  <si>
    <t>Region</t>
  </si>
  <si>
    <t>CSet</t>
  </si>
  <si>
    <t>~FI_Comm</t>
  </si>
  <si>
    <t>MW</t>
  </si>
  <si>
    <t>PJ</t>
  </si>
  <si>
    <t>*</t>
  </si>
  <si>
    <t>Vintage Tracking</t>
  </si>
  <si>
    <t>Primary Commodity Group</t>
  </si>
  <si>
    <t>TimeSlice level of Process Activity</t>
  </si>
  <si>
    <t>Capacity Unit</t>
  </si>
  <si>
    <t>Activity Unit</t>
  </si>
  <si>
    <t>Technology Description</t>
  </si>
  <si>
    <t>Technology Name</t>
  </si>
  <si>
    <t>*Process Set Membership</t>
  </si>
  <si>
    <t>Vintage</t>
  </si>
  <si>
    <t>PrimaryCG</t>
  </si>
  <si>
    <t>Tslvl</t>
  </si>
  <si>
    <t>Tcap</t>
  </si>
  <si>
    <t>Tact</t>
  </si>
  <si>
    <t>TechDesc</t>
  </si>
  <si>
    <t>Sets</t>
  </si>
  <si>
    <t>~FI_Process</t>
  </si>
  <si>
    <t>~FI_T</t>
  </si>
  <si>
    <t>yes</t>
  </si>
  <si>
    <t>Mkr/MW</t>
  </si>
  <si>
    <t>Mkr/MW/year</t>
  </si>
  <si>
    <t>Mkr/PJ</t>
  </si>
  <si>
    <t>EFF heat pumps moved to Trans file</t>
  </si>
  <si>
    <t>Stefan</t>
  </si>
  <si>
    <t>Sheet HOU_Deta_Boil</t>
  </si>
  <si>
    <t>Sheet HOU_Multi_Boil</t>
  </si>
  <si>
    <t>Mauri</t>
  </si>
  <si>
    <t>Sheet HOU_Deta Boil</t>
  </si>
  <si>
    <t>Sheet HOU_Multi Boil</t>
  </si>
  <si>
    <t>Technology Catalog - Heat Generation</t>
  </si>
  <si>
    <t>43. District Heating Boiler, Biomass Fired boiler - Wood Chips</t>
  </si>
  <si>
    <t>District Heating Boiler, Wood Chips</t>
  </si>
  <si>
    <t>Generation capacity for one plant (MJ/s</t>
  </si>
  <si>
    <t>Availability (%)</t>
  </si>
  <si>
    <t>Nominal Investment (M€ per MJ/s)</t>
  </si>
  <si>
    <t>Total O&amp;M (€ per MWh)</t>
  </si>
  <si>
    <t>1 -1 2</t>
  </si>
  <si>
    <t>1</t>
  </si>
  <si>
    <t>96-98</t>
  </si>
  <si>
    <t>0.5 - 1</t>
  </si>
  <si>
    <t>Unburned hydrocarbons, UHC (g per GJ guel)</t>
  </si>
  <si>
    <t>4;3;3;3</t>
  </si>
  <si>
    <t xml:space="preserve">0.5 - 1.1 </t>
  </si>
  <si>
    <t>references</t>
  </si>
  <si>
    <t>1 Danish Heating Association, January 2012</t>
  </si>
  <si>
    <t>2 Elsams og Elktraffs opdatering at  Energi</t>
  </si>
  <si>
    <t>* Electric appliances</t>
  </si>
  <si>
    <t>INDWCH</t>
  </si>
  <si>
    <t>INDELC</t>
  </si>
  <si>
    <t>INDSOL</t>
  </si>
  <si>
    <t>INDHCE</t>
  </si>
  <si>
    <t>INDHDE</t>
  </si>
  <si>
    <t>* Heat Exchangers</t>
  </si>
  <si>
    <t>DMD</t>
  </si>
  <si>
    <t>Date</t>
  </si>
  <si>
    <t>Name</t>
  </si>
  <si>
    <t>Sheet Name</t>
  </si>
  <si>
    <t>Cells</t>
  </si>
  <si>
    <t>Comments</t>
  </si>
  <si>
    <t>Olexandr Balyk</t>
  </si>
  <si>
    <t>IND_Food</t>
  </si>
  <si>
    <t>Electric boiler are set to deliver HT as well</t>
  </si>
  <si>
    <t>Rows 61-66 and 89-94</t>
  </si>
  <si>
    <t>Removed because not used anymore in this model version</t>
  </si>
  <si>
    <t>K30</t>
  </si>
  <si>
    <t>lifetime of heat pumps to 30 years. It is based on the Technology Catalogue where it says that GSHPs are 20-30% more expansive than ASHPs (assumed because of the pipes) and the assumption that pipes have a lifetime of 50 years and heat pump of 20 years.</t>
  </si>
  <si>
    <t>lifetime of heat pumps to 30 years.</t>
  </si>
  <si>
    <t>Sector</t>
  </si>
  <si>
    <t>Food</t>
  </si>
  <si>
    <t>Chemical</t>
  </si>
  <si>
    <t>Glass &amp; Concrete</t>
  </si>
  <si>
    <t>Kenneth Bernard Karlsson</t>
  </si>
  <si>
    <t>IND_AGR</t>
  </si>
  <si>
    <t>Update of name to align with VT file</t>
  </si>
  <si>
    <t>Added the 3 haulage demands</t>
  </si>
  <si>
    <t>Changed dem name as in agr.</t>
  </si>
  <si>
    <t>Industry Saving Potential Technologies from COWI Study</t>
  </si>
  <si>
    <t>Olexandr</t>
  </si>
  <si>
    <t>IND_SavTechs</t>
  </si>
  <si>
    <t>Moved all the data from SubRES_IND_SavingPot to here</t>
  </si>
  <si>
    <t>Construction</t>
  </si>
  <si>
    <t>Steffen</t>
  </si>
  <si>
    <t>All IND_ sheets</t>
  </si>
  <si>
    <t>Corrected names for new technologies, removing the "i".</t>
  </si>
  <si>
    <t>C6:C112</t>
  </si>
  <si>
    <t>Lars B. Termansen</t>
  </si>
  <si>
    <t>Intro</t>
  </si>
  <si>
    <t>Added intro sheet</t>
  </si>
  <si>
    <t>all sheets</t>
  </si>
  <si>
    <t>Tab colors adjusted</t>
  </si>
  <si>
    <t>Description</t>
  </si>
  <si>
    <t>Purpose:</t>
  </si>
  <si>
    <t>Description:</t>
  </si>
  <si>
    <t>Relevant sectors</t>
  </si>
  <si>
    <t>Description of different sheets</t>
  </si>
  <si>
    <t xml:space="preserve">READ THIS </t>
  </si>
  <si>
    <t>Special remarks relevant for this workbook</t>
  </si>
  <si>
    <t>IND</t>
  </si>
  <si>
    <t>Definition of new technology definition available to be installed in industrt</t>
  </si>
  <si>
    <t>IND_CHEM</t>
  </si>
  <si>
    <t>IND_G&amp;C</t>
  </si>
  <si>
    <t>IND_Metal</t>
  </si>
  <si>
    <t>IND_Other</t>
  </si>
  <si>
    <t>IND_Vehicles</t>
  </si>
  <si>
    <t>IND_Construction</t>
  </si>
  <si>
    <t>IND_Utilities</t>
  </si>
  <si>
    <t>Technologies are copied from ELC sector for proces heat and HOU for room heat. Notice the process definitions are kept for each industry sheet</t>
  </si>
  <si>
    <t>New technologies for Food (F)</t>
  </si>
  <si>
    <t xml:space="preserve">New technologies for Chemicals (C) </t>
  </si>
  <si>
    <t>New technologies for Metal and Machinery (M)</t>
  </si>
  <si>
    <t>New technologies for Other manufacturing (O)</t>
  </si>
  <si>
    <t>New technologies for Cars sales and repair (V)</t>
  </si>
  <si>
    <t>New technologies for Construction (N)</t>
  </si>
  <si>
    <t>New technologies for Utilities (L)</t>
  </si>
  <si>
    <t>Oil-fired boiler</t>
  </si>
  <si>
    <t>DH-substation</t>
  </si>
  <si>
    <t>DHB Wood-Chips</t>
  </si>
  <si>
    <t>Biomass boiler, automatic</t>
  </si>
  <si>
    <t>Biomass boiler, manual</t>
  </si>
  <si>
    <t>Wood stove</t>
  </si>
  <si>
    <t>Heat pump, ground source</t>
  </si>
  <si>
    <t>HP, gas absorption, air-to-water</t>
  </si>
  <si>
    <t>HP, gas absorption, brine-to-water</t>
  </si>
  <si>
    <t>Heat pump, gas engine air-water</t>
  </si>
  <si>
    <t>Heat pump, gas engine, Brine-wat</t>
  </si>
  <si>
    <t>Solar heating</t>
  </si>
  <si>
    <t>Electrical heating</t>
  </si>
  <si>
    <t>Micro CHP, natural gas FC</t>
  </si>
  <si>
    <t>Micro CHP, hydrogen FC</t>
  </si>
  <si>
    <t>Micro CHP, Stirling engine</t>
  </si>
  <si>
    <t>Micro CHP, Gas engine</t>
  </si>
  <si>
    <t>DH network</t>
  </si>
  <si>
    <t>Data sheet for Oil-fired boiler</t>
  </si>
  <si>
    <t>Data sheet for Natural gas boiler</t>
  </si>
  <si>
    <t>Data sheet for DH-substation</t>
  </si>
  <si>
    <t>Data sheet for DHB Wood-Chips</t>
  </si>
  <si>
    <t>Data sheet for Biomass boiler, automatic</t>
  </si>
  <si>
    <t>Data sheet for Biomass boiler, manual</t>
  </si>
  <si>
    <t>Data sheet for Wood stove</t>
  </si>
  <si>
    <t>Data sheet for Heat pump, air-to-air</t>
  </si>
  <si>
    <t>Data sheet for Heat pump, air-to-water</t>
  </si>
  <si>
    <t>Data sheet for Heat pump, ground source</t>
  </si>
  <si>
    <t>Data sheet for HP, gas absorption, air-to-water</t>
  </si>
  <si>
    <t>Data sheet for HP, gas absorption, brine-to-water</t>
  </si>
  <si>
    <t>Data sheet for Heat pump, gas engine air-water</t>
  </si>
  <si>
    <t>Data sheet for Heat pump, gas engine, Brine-wat</t>
  </si>
  <si>
    <t>Data sheet for Solar heating</t>
  </si>
  <si>
    <t>Data sheet for Heat pump, ventilation</t>
  </si>
  <si>
    <t>Data sheet for Electrical heating</t>
  </si>
  <si>
    <t>Data sheet for Micro CHP, natural gas FC</t>
  </si>
  <si>
    <t>Data sheet for Micro CHP, hydrogen FC</t>
  </si>
  <si>
    <t>Data sheet for Micro CHP, Stirling engine</t>
  </si>
  <si>
    <t>Data sheet for Micro CHP, Gas engine</t>
  </si>
  <si>
    <t>Data sheet for DH network</t>
  </si>
  <si>
    <t>Data sheet for Electrical grid</t>
  </si>
  <si>
    <t>Steffen Dockweiler</t>
  </si>
  <si>
    <t>Column S</t>
  </si>
  <si>
    <t>Changed AFA to VT-file level</t>
  </si>
  <si>
    <t>Added INDBGA, INDNGA, INDSNG1, INDSNG2 to forklifts</t>
  </si>
  <si>
    <t>F108</t>
  </si>
  <si>
    <t>C26:Y29</t>
  </si>
  <si>
    <t>Added oil boilers for high temp - to match statistics</t>
  </si>
  <si>
    <t>Added wood chips/pellets for high temp - to match statistics</t>
  </si>
  <si>
    <t>C30:Y49</t>
  </si>
  <si>
    <t>Removed Forest Machines as a seperate energy service</t>
  </si>
  <si>
    <t>New technologies for Glass &amp; Concrete (G) - Different from the above green IND_ sheets since this industry can build coal plants (since it containts Aalborg Portland)</t>
  </si>
  <si>
    <t>INDCOA</t>
  </si>
  <si>
    <t>C6:Y13</t>
  </si>
  <si>
    <t>Introduced coal fired plant to create MT and HT only for IND_G&amp;C, to match statistics (Aalborg Portland)</t>
  </si>
  <si>
    <t>DAYNITE</t>
  </si>
  <si>
    <t>Changed SOL-technology to DAYNITE timeslice</t>
  </si>
  <si>
    <t>Changed start date for all techs to be 2011</t>
  </si>
  <si>
    <r>
      <t xml:space="preserve">Changed the COAL effieciency/cost to be equal to biomass - </t>
    </r>
    <r>
      <rPr>
        <b/>
        <sz val="11"/>
        <color rgb="FFFF0000"/>
        <rFont val="Calibri"/>
        <family val="2"/>
        <scheme val="minor"/>
      </rPr>
      <t>SHOULD BE REVISITED!</t>
    </r>
  </si>
  <si>
    <t>Solar_Heating</t>
  </si>
  <si>
    <t>Recalculated variable O&amp;M for 2030 and 2050 since improvements to % heat possible to cover by solar heat improves.</t>
  </si>
  <si>
    <t>Fixed O&amp;M Cost (EUR/TJ/year)</t>
  </si>
  <si>
    <t>Fixed O&amp;M Cost (MDKK/MW)</t>
  </si>
  <si>
    <t>From SubRes_ELC_DH-Pipes</t>
  </si>
  <si>
    <t xml:space="preserve">Introduced higher value for Fixed annual O&amp;M for DH- taken from Subres_ELC_DH-Pipes  to better capture the pipe costs. Please note that investments costs of installing the pipes are included in the INV costs - we were simply missing the O&amp;M of the pipes. It can be discussed whether these should occur to the industries themselves, or rather to ELC sector?  </t>
  </si>
  <si>
    <t>SDO assumption - 27-07-2016</t>
  </si>
  <si>
    <t>Total O&amp;M are split in Variable and Fixed, since this tech is extremely favored</t>
  </si>
  <si>
    <t xml:space="preserve">when fixed O&amp;M are zero! </t>
  </si>
  <si>
    <t>Split rate:</t>
  </si>
  <si>
    <t>Fixed O&amp;M</t>
  </si>
  <si>
    <t>Variable O&amp;M</t>
  </si>
  <si>
    <t xml:space="preserve">Introduced an assumption splitting total O&amp;M for wood whips on both variable and fixed, instead of just variable before. The model installed very much WCH maybe because of zero fixed O&amp;M. </t>
  </si>
  <si>
    <t>kWh/m2</t>
  </si>
  <si>
    <t>Demand only for space heating</t>
  </si>
  <si>
    <t>Share of space heating covered by solar heating</t>
  </si>
  <si>
    <t>Demand only for DHW</t>
  </si>
  <si>
    <t>Share of DHW covered by solar heating</t>
  </si>
  <si>
    <t>Demand for space heating and DHW</t>
  </si>
  <si>
    <t>m2</t>
  </si>
  <si>
    <t>Made same assumptions on investment costs and O&amp;M as in the Solar Heating of Housing. Changed size of heating area assumption to 1500M2, and changed 2030 and 2050 effeicency of room heat to 12 %</t>
  </si>
  <si>
    <t>Assumed area of a industry building</t>
  </si>
  <si>
    <t>41 Heat only generation tech (boilers, heat pumps, geothermal)
Electric boilers, 400 or 690 V, 0.06-5 MW; 10 or 15 kV, &gt;10 MW</t>
  </si>
  <si>
    <t>Uncertainty (2020)</t>
  </si>
  <si>
    <t>Uncertainty (2050)</t>
  </si>
  <si>
    <t>Lower</t>
  </si>
  <si>
    <t>Upper</t>
  </si>
  <si>
    <t>Heat generation capacity for one unit (MW)</t>
  </si>
  <si>
    <t>Total efficiency, net (%), name plate</t>
  </si>
  <si>
    <t>Total efficiency , net (%), annual average</t>
  </si>
  <si>
    <t>Electricity consumption for pumps etc. (% of heat gen)</t>
  </si>
  <si>
    <t>0.5</t>
  </si>
  <si>
    <t>0.1</t>
  </si>
  <si>
    <t>Forced outage (%)</t>
  </si>
  <si>
    <t>Planned outage (weeks per year)</t>
  </si>
  <si>
    <t>0.2</t>
  </si>
  <si>
    <t>Regulation ability</t>
  </si>
  <si>
    <t>Primary regulation (% per 30 seconds)</t>
  </si>
  <si>
    <t>Secondary regulation (% per minute)</t>
  </si>
  <si>
    <t>Minimum load (% of full load)</t>
  </si>
  <si>
    <t>Warm start-up time (hours)</t>
  </si>
  <si>
    <t>0.008</t>
  </si>
  <si>
    <t>Cold start-up time (hours)</t>
  </si>
  <si>
    <t>0.08</t>
  </si>
  <si>
    <r>
      <t>SO</t>
    </r>
    <r>
      <rPr>
        <vertAlign val="subscript"/>
        <sz val="9"/>
        <rFont val="Arial"/>
        <family val="2"/>
      </rPr>
      <t>2</t>
    </r>
    <r>
      <rPr>
        <sz val="9"/>
        <rFont val="Arial"/>
        <family val="2"/>
      </rPr>
      <t xml:space="preserve"> (g per GJ fuel) </t>
    </r>
  </si>
  <si>
    <t>Cf. the utilized electricity</t>
  </si>
  <si>
    <r>
      <t>NO</t>
    </r>
    <r>
      <rPr>
        <vertAlign val="subscript"/>
        <sz val="9"/>
        <rFont val="Arial"/>
        <family val="2"/>
      </rPr>
      <t>X</t>
    </r>
    <r>
      <rPr>
        <sz val="9"/>
        <rFont val="Arial"/>
        <family val="2"/>
      </rPr>
      <t xml:space="preserve"> (g per GJ fuel) </t>
    </r>
  </si>
  <si>
    <r>
      <t>CH</t>
    </r>
    <r>
      <rPr>
        <vertAlign val="subscript"/>
        <sz val="9"/>
        <rFont val="Arial"/>
        <family val="2"/>
      </rPr>
      <t>4</t>
    </r>
    <r>
      <rPr>
        <sz val="9"/>
        <rFont val="Arial"/>
        <family val="2"/>
      </rPr>
      <t xml:space="preserve"> (g per GJ fuel) </t>
    </r>
  </si>
  <si>
    <r>
      <t>N</t>
    </r>
    <r>
      <rPr>
        <vertAlign val="subscript"/>
        <sz val="9"/>
        <rFont val="Arial"/>
        <family val="2"/>
      </rPr>
      <t>2</t>
    </r>
    <r>
      <rPr>
        <sz val="9"/>
        <rFont val="Arial"/>
        <family val="2"/>
      </rPr>
      <t xml:space="preserve">O (g per GJ fuel) </t>
    </r>
  </si>
  <si>
    <r>
      <t>Particles</t>
    </r>
    <r>
      <rPr>
        <sz val="9"/>
        <rFont val="Arial"/>
        <family val="2"/>
      </rPr>
      <t xml:space="preserve"> (g per GJ fuel)</t>
    </r>
  </si>
  <si>
    <t xml:space="preserve">Financial data                                 </t>
  </si>
  <si>
    <t>Nominal investment (M€ per MW), 400/690 V; 1-5 MW</t>
  </si>
  <si>
    <t xml:space="preserve"> - of which equipment</t>
  </si>
  <si>
    <t xml:space="preserve"> - of which installation</t>
  </si>
  <si>
    <t>Nominal investment (M€ per MW); 10/15 kV; &gt;10 MW</t>
  </si>
  <si>
    <t>Variable O&amp;M (€/MWh)</t>
  </si>
  <si>
    <r>
      <t>- of which is electricity costs (€/MWh</t>
    </r>
    <r>
      <rPr>
        <sz val="9"/>
        <rFont val="Arial"/>
        <family val="2"/>
      </rPr>
      <t>)</t>
    </r>
  </si>
  <si>
    <r>
      <t>- of which is other O&amp;M costs (€/MWh</t>
    </r>
    <r>
      <rPr>
        <sz val="9"/>
        <rFont val="Arial"/>
        <family val="2"/>
      </rPr>
      <t>)</t>
    </r>
  </si>
  <si>
    <t>Technology specific data</t>
  </si>
  <si>
    <t>Startup costs (€/MW/startup)</t>
  </si>
  <si>
    <t>Mikkel Bosack Simonsen</t>
  </si>
  <si>
    <t>Changede values for electric boilers, made similar to 1 MW boilers in the ELC sector</t>
  </si>
  <si>
    <t>Machinery</t>
  </si>
  <si>
    <t>IND_Machinery</t>
  </si>
  <si>
    <t>Renamed Metal industry to Machinery industry</t>
  </si>
  <si>
    <t>CURR</t>
  </si>
  <si>
    <t>Aluminium</t>
  </si>
  <si>
    <t>R</t>
  </si>
  <si>
    <t>Paper &amp; Pulp</t>
  </si>
  <si>
    <t>S</t>
  </si>
  <si>
    <t>W</t>
  </si>
  <si>
    <t>Wood products</t>
  </si>
  <si>
    <t>Mining</t>
  </si>
  <si>
    <t>avaialable in</t>
  </si>
  <si>
    <t>IND_Aluminium</t>
  </si>
  <si>
    <t>IND_PaperPulp</t>
  </si>
  <si>
    <t>IND_IronSteel</t>
  </si>
  <si>
    <t>IND_Wood</t>
  </si>
  <si>
    <t>IND_Mining</t>
  </si>
  <si>
    <t>New technologies for Aluminimum (X)</t>
  </si>
  <si>
    <t>New technologies for Paper and Pulp (R)</t>
  </si>
  <si>
    <t>New technologies for Iron and steel (S)</t>
  </si>
  <si>
    <t>New technologies for Wood products (W)</t>
  </si>
  <si>
    <t>New technologies for Mining (I)</t>
  </si>
  <si>
    <t>Martin Hagberg</t>
  </si>
  <si>
    <t>Added sheets for industry sectors available in NO and SE but not in DK (these were earlier in other Subres-files which has been removed)</t>
  </si>
  <si>
    <t>Oil boiler</t>
  </si>
  <si>
    <t>oil boiler new 1</t>
  </si>
  <si>
    <t>Steam boiler, Oil</t>
  </si>
  <si>
    <t>Full application potential</t>
  </si>
  <si>
    <t>"x,n" indicate which end-use,
 n ref. to note"</t>
  </si>
  <si>
    <t>1.Food, beverages and tobacco</t>
  </si>
  <si>
    <t>2.Commodity production</t>
  </si>
  <si>
    <t>3.Cement and non-metallic mineral (+Extraction of gravel and stone)</t>
  </si>
  <si>
    <t>4.Chemical industry</t>
  </si>
  <si>
    <t>5.Metals, machinery and electronics</t>
  </si>
  <si>
    <t>Current application potential</t>
  </si>
  <si>
    <t>Uncertainty (2030)</t>
  </si>
  <si>
    <t>Energy services</t>
  </si>
  <si>
    <t>End-use</t>
  </si>
  <si>
    <r>
      <t xml:space="preserve">Heat generation capacity for one unit </t>
    </r>
    <r>
      <rPr>
        <sz val="10"/>
        <color rgb="FFFF0000"/>
        <rFont val="Arial"/>
        <family val="2"/>
      </rPr>
      <t>(MW)</t>
    </r>
    <r>
      <rPr>
        <sz val="10"/>
        <rFont val="Arial"/>
        <family val="2"/>
      </rPr>
      <t xml:space="preserve"> </t>
    </r>
    <r>
      <rPr>
        <sz val="10"/>
        <color rgb="FFFF0000"/>
        <rFont val="Arial"/>
        <family val="2"/>
      </rPr>
      <t>multiply by 1000 to get kW</t>
    </r>
    <r>
      <rPr>
        <sz val="10"/>
        <rFont val="Arial"/>
        <family val="2"/>
      </rPr>
      <t xml:space="preserve"> [kW]</t>
    </r>
  </si>
  <si>
    <t>3, 10</t>
  </si>
  <si>
    <t>Direct
%</t>
  </si>
  <si>
    <t>Indirect
%</t>
  </si>
  <si>
    <t>Total efficiency, net (%), nominel load</t>
  </si>
  <si>
    <t xml:space="preserve">5,6,7,8 </t>
  </si>
  <si>
    <t>High temperature</t>
  </si>
  <si>
    <t>6. Firing /Sintering</t>
  </si>
  <si>
    <t>Total efficiency, net (%), annual average</t>
  </si>
  <si>
    <t>7. Melting /Casting</t>
  </si>
  <si>
    <t>Auxiliary electricity consumption (% of heat gen)</t>
  </si>
  <si>
    <t>9. Other processes &gt;150C</t>
  </si>
  <si>
    <t>Medium temperature</t>
  </si>
  <si>
    <t>2. Heating/Boiling</t>
  </si>
  <si>
    <t>x</t>
  </si>
  <si>
    <t>3. Drying</t>
  </si>
  <si>
    <t>3,5,8</t>
  </si>
  <si>
    <t>4. Dewatering</t>
  </si>
  <si>
    <t>5. Distillation</t>
  </si>
  <si>
    <t>Regulation Ability</t>
  </si>
  <si>
    <r>
      <t>8.</t>
    </r>
    <r>
      <rPr>
        <sz val="9"/>
        <rFont val="Arial"/>
        <family val="2"/>
      </rPr>
      <t>Other processes &lt;150⁰C,</t>
    </r>
  </si>
  <si>
    <t>Room heat</t>
  </si>
  <si>
    <t>12. spatial heating</t>
  </si>
  <si>
    <r>
      <t>SO</t>
    </r>
    <r>
      <rPr>
        <vertAlign val="subscript"/>
        <sz val="10"/>
        <rFont val="Arial"/>
        <family val="2"/>
      </rPr>
      <t>2</t>
    </r>
    <r>
      <rPr>
        <sz val="10"/>
        <rFont val="Arial"/>
        <family val="2"/>
      </rPr>
      <t xml:space="preserve"> (g per GJ fuel) </t>
    </r>
  </si>
  <si>
    <t>3, 9</t>
  </si>
  <si>
    <t xml:space="preserve">PM2.5 (g per GJ fuel) </t>
  </si>
  <si>
    <r>
      <t>NO</t>
    </r>
    <r>
      <rPr>
        <vertAlign val="subscript"/>
        <sz val="10"/>
        <rFont val="Arial"/>
        <family val="2"/>
      </rPr>
      <t>X</t>
    </r>
    <r>
      <rPr>
        <sz val="10"/>
        <rFont val="Arial"/>
        <family val="2"/>
      </rPr>
      <t xml:space="preserve"> (g per GJ fuel) </t>
    </r>
  </si>
  <si>
    <r>
      <rPr>
        <b/>
        <sz val="10"/>
        <color theme="5"/>
        <rFont val="Arial"/>
        <family val="2"/>
      </rPr>
      <t>Nominal</t>
    </r>
    <r>
      <rPr>
        <sz val="10"/>
        <rFont val="Arial"/>
        <family val="2"/>
      </rPr>
      <t xml:space="preserve"> investment </t>
    </r>
    <r>
      <rPr>
        <sz val="10"/>
        <color rgb="FFFF0000"/>
        <rFont val="Arial"/>
        <family val="2"/>
      </rPr>
      <t>(M€ per MW) is the same as k EUR/kW</t>
    </r>
    <r>
      <rPr>
        <sz val="10"/>
        <rFont val="Arial"/>
        <family val="2"/>
      </rPr>
      <t xml:space="preserve"> [1000 EUR/kW]</t>
    </r>
  </si>
  <si>
    <t>F,G,H</t>
  </si>
  <si>
    <t>3,10</t>
  </si>
  <si>
    <t xml:space="preserve"> - of which equipment  (%)</t>
  </si>
  <si>
    <t xml:space="preserve"> - of which installation  (%)</t>
  </si>
  <si>
    <r>
      <t xml:space="preserve">Fixed O&amp;M </t>
    </r>
    <r>
      <rPr>
        <sz val="10"/>
        <color rgb="FFFF0000"/>
        <rFont val="Arial"/>
        <family val="2"/>
      </rPr>
      <t>(€/MJ/s/year)</t>
    </r>
    <r>
      <rPr>
        <sz val="10"/>
        <rFont val="Arial"/>
        <family val="2"/>
      </rPr>
      <t xml:space="preserve"> </t>
    </r>
    <r>
      <rPr>
        <sz val="10"/>
        <color rgb="FFFF0000"/>
        <rFont val="Arial"/>
        <family val="2"/>
      </rPr>
      <t>divide by 1000 to get EUR/kW/year</t>
    </r>
    <r>
      <rPr>
        <sz val="10"/>
        <rFont val="Arial"/>
        <family val="2"/>
      </rPr>
      <t xml:space="preserve"> [EUR/kW/year]</t>
    </r>
  </si>
  <si>
    <r>
      <t xml:space="preserve">Variable O&amp;M </t>
    </r>
    <r>
      <rPr>
        <sz val="10"/>
        <color rgb="FFFF0000"/>
        <rFont val="Arial"/>
        <family val="2"/>
      </rPr>
      <t>(€/MWh)</t>
    </r>
    <r>
      <rPr>
        <sz val="10"/>
        <rFont val="Arial"/>
        <family val="2"/>
      </rPr>
      <t xml:space="preserve"> </t>
    </r>
    <r>
      <rPr>
        <sz val="10"/>
        <color rgb="FFFF0000"/>
        <rFont val="Arial"/>
        <family val="2"/>
      </rPr>
      <t>divide by 3,6 to get EUR/GJ</t>
    </r>
    <r>
      <rPr>
        <sz val="10"/>
        <rFont val="Arial"/>
        <family val="2"/>
      </rPr>
      <t xml:space="preserve"> [EUR/GJ]</t>
    </r>
  </si>
  <si>
    <t xml:space="preserve"> - of which is electricity costs (€/MWh)</t>
  </si>
  <si>
    <t xml:space="preserve"> - of which is other O&amp;M costs (€/MWh)</t>
  </si>
  <si>
    <t>Specific investment</t>
  </si>
  <si>
    <t>Fix OM</t>
  </si>
  <si>
    <t>Indirect investments cost (M€ per MW)</t>
  </si>
  <si>
    <t>Non energy gains (M€ per MW)</t>
  </si>
  <si>
    <t>Startup cost (€/MW/startup)</t>
  </si>
  <si>
    <t xml:space="preserve">Carbon capture removal of CO2 emissions (% of emission) </t>
  </si>
  <si>
    <t>Temperature heat source supply (°C)</t>
  </si>
  <si>
    <t>Temperature heat source return (°C)</t>
  </si>
  <si>
    <t>Cooling generation capacity for one unit (MW)</t>
  </si>
  <si>
    <r>
      <t>Specific investment in</t>
    </r>
    <r>
      <rPr>
        <b/>
        <sz val="11"/>
        <color indexed="8"/>
        <rFont val="Calibri"/>
        <family val="2"/>
      </rPr>
      <t xml:space="preserve"> dkr/kW </t>
    </r>
    <r>
      <rPr>
        <sz val="11"/>
        <color theme="1"/>
        <rFont val="Calibri"/>
        <family val="2"/>
        <scheme val="minor"/>
      </rPr>
      <t xml:space="preserve">
C50*$G$4*1000
specific/nominal? investment cost *  currency conversion *1000</t>
    </r>
  </si>
  <si>
    <r>
      <t xml:space="preserve"> Specific investment in </t>
    </r>
    <r>
      <rPr>
        <b/>
        <sz val="11"/>
        <color theme="0" tint="-0.249977111117893"/>
        <rFont val="Calibri"/>
        <family val="2"/>
      </rPr>
      <t>dkr/unit</t>
    </r>
  </si>
  <si>
    <r>
      <t xml:space="preserve">FIX O&amp;M </t>
    </r>
    <r>
      <rPr>
        <b/>
        <sz val="11"/>
        <color indexed="8"/>
        <rFont val="Calibri"/>
        <family val="2"/>
      </rPr>
      <t>dkr/kW/year</t>
    </r>
    <r>
      <rPr>
        <sz val="11"/>
        <color theme="1"/>
        <rFont val="Calibri"/>
        <family val="2"/>
        <scheme val="minor"/>
      </rPr>
      <t xml:space="preserve">
C55*$G$4
fixed OM * currency conversion</t>
    </r>
  </si>
  <si>
    <r>
      <t xml:space="preserve">Variable O&amp;M in </t>
    </r>
    <r>
      <rPr>
        <b/>
        <sz val="11"/>
        <color indexed="8"/>
        <rFont val="Calibri"/>
        <family val="2"/>
      </rPr>
      <t xml:space="preserve">dkr/GJ
</t>
    </r>
    <r>
      <rPr>
        <sz val="11"/>
        <color rgb="FF000000"/>
        <rFont val="Calibri"/>
        <family val="2"/>
      </rPr>
      <t>C56*$G$4</t>
    </r>
    <r>
      <rPr>
        <sz val="11"/>
        <color theme="1"/>
        <rFont val="Calibri"/>
        <family val="2"/>
        <scheme val="minor"/>
      </rPr>
      <t xml:space="preserve">
Variable OM * currency conversion </t>
    </r>
  </si>
  <si>
    <t>References</t>
  </si>
  <si>
    <t>Vigants, G., Galindoms, G., Veidenbergs, I., Vigants, E., &amp; Blumberga, D. (2015). Efficiency diagram for district heating system with gas condensing unit. Energy Procedia, 72, 119–126.</t>
  </si>
  <si>
    <t>Danish Energy Agency, Heating installations, 2016 (updated 2018).</t>
  </si>
  <si>
    <t xml:space="preserve">Danish Energy Agency, Energy Plants for Electricity and District heating generation, 2016 (updated 2019) </t>
  </si>
  <si>
    <t>Applied Technologies of New York, Steam vs hot water boiler, 2016.</t>
  </si>
  <si>
    <t>ETSAP, Industrial Combustion Boilers, IEA ETSAP 2010.</t>
  </si>
  <si>
    <t>Chen, Q., Finney, K., Li, H., Zhang, X., Zhou, J., Sharifi, V., &amp; Swithenbank, J. (2012). Condensing boiler applications in the process industry. Applied Energy, 89(1), 30–36.</t>
  </si>
  <si>
    <t>EnergyVortex, ENERGY EFFICIENCY &amp; INDUSTRIAL BOILER EFFICIENCY, 2010</t>
  </si>
  <si>
    <t>Danish Energy Agency, Forudsætninger for samfundsøkonomiske analyser på energiområdet, 2016</t>
  </si>
  <si>
    <t>Tjærborg Industri, Olie og gas kedler, 2019</t>
  </si>
  <si>
    <t>Notes</t>
  </si>
  <si>
    <t>Ranges from 0,5 to 50. Typical value of 20 MW</t>
  </si>
  <si>
    <t>1 %-point higher for hot water boiler, due to assumed lower flue gas temperature</t>
  </si>
  <si>
    <t xml:space="preserve">Will be reduced if carbon capture in installed </t>
  </si>
  <si>
    <t>20 %-point lower for hot water boiler</t>
  </si>
  <si>
    <t>The cost of auxiliary electricity consumption is calculated using the following electricity prices in €/MWh: 2020: 73, 2030: 75, 2040: 76, 2050: 76. Includes transport tarif</t>
  </si>
  <si>
    <t>Not relevant to this technology</t>
  </si>
  <si>
    <t>oil boiler new 2</t>
  </si>
  <si>
    <t>Hot water boiler, Oil</t>
  </si>
  <si>
    <r>
      <rPr>
        <sz val="10"/>
        <color rgb="FFFF0000"/>
        <rFont val="Arial"/>
        <family val="2"/>
      </rPr>
      <t>Nominal</t>
    </r>
    <r>
      <rPr>
        <sz val="10"/>
        <rFont val="Arial"/>
        <family val="2"/>
      </rPr>
      <t xml:space="preserve"> investment </t>
    </r>
    <r>
      <rPr>
        <sz val="10"/>
        <color rgb="FFFF0000"/>
        <rFont val="Arial"/>
        <family val="2"/>
      </rPr>
      <t>(M€ per MW) is the same as k EUR/kW</t>
    </r>
  </si>
  <si>
    <r>
      <t xml:space="preserve">Fixed O&amp;M </t>
    </r>
    <r>
      <rPr>
        <sz val="10"/>
        <color rgb="FFFF0000"/>
        <rFont val="Arial"/>
        <family val="2"/>
      </rPr>
      <t>(€/MJ/s/year)</t>
    </r>
    <r>
      <rPr>
        <sz val="10"/>
        <rFont val="Arial"/>
        <family val="2"/>
      </rPr>
      <t xml:space="preserve"> </t>
    </r>
    <r>
      <rPr>
        <sz val="10"/>
        <color rgb="FFFF0000"/>
        <rFont val="Arial"/>
        <family val="2"/>
      </rPr>
      <t>divide by 1000 to get EUR/kW/year</t>
    </r>
  </si>
  <si>
    <r>
      <t xml:space="preserve">Variable O&amp;M </t>
    </r>
    <r>
      <rPr>
        <sz val="10"/>
        <color rgb="FFFF0000"/>
        <rFont val="Arial"/>
        <family val="2"/>
      </rPr>
      <t>(€/MWh)</t>
    </r>
    <r>
      <rPr>
        <sz val="10"/>
        <rFont val="Arial"/>
        <family val="2"/>
      </rPr>
      <t xml:space="preserve"> </t>
    </r>
    <r>
      <rPr>
        <sz val="10"/>
        <color rgb="FFFF0000"/>
        <rFont val="Arial"/>
        <family val="2"/>
      </rPr>
      <t>divide by 3,6 to get EUR/GJ</t>
    </r>
  </si>
  <si>
    <t>gas boiler new 1</t>
  </si>
  <si>
    <t>Steam boiler, Natural gas or biogas</t>
  </si>
  <si>
    <t>is nominal the same as specific investment costs?</t>
  </si>
  <si>
    <t>='Natural gas boiler_New'!'Natural gas boiler_New'!P1</t>
  </si>
  <si>
    <t>gas boiler new 2</t>
  </si>
  <si>
    <t>Steam boiler, Natural gas or biogas (Condensing)</t>
  </si>
  <si>
    <t>5,6,7,8,10</t>
  </si>
  <si>
    <t>gas boiler new 3</t>
  </si>
  <si>
    <t>Hot water boiler, Natural gas or biogas</t>
  </si>
  <si>
    <t>Relevant for hot water boiler, going from current potential to full potential</t>
  </si>
  <si>
    <t>gas boiler new 4</t>
  </si>
  <si>
    <t>Hot water boiler, Natural gas or biogas (Condensing)</t>
  </si>
  <si>
    <t>gas boiler new 5</t>
  </si>
  <si>
    <t>Direct Firing, Natural Gas</t>
  </si>
  <si>
    <t>8, 9</t>
  </si>
  <si>
    <t>4, 7</t>
  </si>
  <si>
    <t>2, 1</t>
  </si>
  <si>
    <t>update</t>
  </si>
  <si>
    <t>Danish Energy Agency, Technology Data Generation of Electricity and District Heating, August 2016 - Updated November 2019</t>
  </si>
  <si>
    <t>Viegand Maagøe, Direct Firing, 2018</t>
  </si>
  <si>
    <t>Milton Megatherm, Correspondance 2019</t>
  </si>
  <si>
    <t>IOGP, The potential for CCS and CCU in Europe, REPORT TO THE THIRTY SECOND MEETING OF THE EUROPEAN GAS REGULATORY FORUM 5-6 JUNE 2019</t>
  </si>
  <si>
    <t>Eclipse, Vortometric Burner Series Datasheet 128-3, 20/2/2015</t>
  </si>
  <si>
    <t>Viegand Maagøe assessment, 2019</t>
  </si>
  <si>
    <t>Eclipse, Eclipse AirHeat Burners Datasheet 115-11, 30/9/2010</t>
  </si>
  <si>
    <t>Eclipse, Eclipse RatioAir Burners Datasheet 135, 21/10/2010</t>
  </si>
  <si>
    <t xml:space="preserve"> The efficiency of the burner is set equal to the lower heating value, the process will determine how well the flue gas is utilised, and thus the final efficiency.</t>
  </si>
  <si>
    <t xml:space="preserve"> Unit price is based on Miton Megatherms 2.5 MW burner, installed price assessed by Viegand Maagøe.  The assessment is an experience based guess as no concrete data was retrieved.</t>
  </si>
  <si>
    <t xml:space="preserve"> Assumed to be equal to 10% of the boiler O&amp;M from [1].</t>
  </si>
  <si>
    <t xml:space="preserve"> The cost of auxiliary electricity consumption is calculated using the following electricity prices in €/MWh: 2020: 73, 2030: 75, 2040: 76, 2050: 76. Includes transport tarif</t>
  </si>
  <si>
    <t xml:space="preserve"> The indirect costs will be too strong a function of the process to put into a single value across all industries.</t>
  </si>
  <si>
    <t>Direct firing. Electricity</t>
  </si>
  <si>
    <t>diret firing new 1</t>
  </si>
  <si>
    <t>Direct Firing, Electricity</t>
  </si>
  <si>
    <t>6, 7</t>
  </si>
  <si>
    <t>SAN Electro Heat A/S , Correspondance 2019</t>
  </si>
  <si>
    <t xml:space="preserve"> Transformer electricity losses are not included, and the efficiency will thus be 100%.</t>
  </si>
  <si>
    <t xml:space="preserve"> Auxilliary consumption based on gas burner as the fan power is comparable. Any pretreatment (grinding, etc.) of the fuel is not included.</t>
  </si>
  <si>
    <t xml:space="preserve"> The regulation is dependant on the flow conditions and the subsequent surface temperature, the chosen value is an average.</t>
  </si>
  <si>
    <t xml:space="preserve"> Unit price from San Electro Heat, installed price assessed by Viegand Maagøe. The assessment is an experience based guess as no concrete data was retrieved.</t>
  </si>
  <si>
    <t xml:space="preserve"> Units are composed of multiple heating elements, each unit is installed with backup elements that can be enabled if some of the elements fail, resulting in minimal downtime and O&amp;M during the lifetime of the equipment.</t>
  </si>
  <si>
    <t>Heat pump, up to 60 °C, Temp lift = 40 K</t>
  </si>
  <si>
    <t>1, 3</t>
  </si>
  <si>
    <t>B,C</t>
  </si>
  <si>
    <t xml:space="preserve"> - of which equipment (%)</t>
  </si>
  <si>
    <t xml:space="preserve"> - of which installation (%)</t>
  </si>
  <si>
    <t>Fixed O&amp;M (€/MJ/s/year)</t>
  </si>
  <si>
    <t/>
  </si>
  <si>
    <t xml:space="preserve">SO2 (g per GJ fuel) </t>
  </si>
  <si>
    <t xml:space="preserve">NOX (g per GJ fuel) </t>
  </si>
  <si>
    <r>
      <t xml:space="preserve">FIX O&amp;M </t>
    </r>
    <r>
      <rPr>
        <b/>
        <sz val="11"/>
        <color indexed="8"/>
        <rFont val="Calibri"/>
        <family val="2"/>
      </rPr>
      <t>dkr/kW/year</t>
    </r>
    <r>
      <rPr>
        <sz val="11"/>
        <color theme="1"/>
        <rFont val="Calibri"/>
        <family val="2"/>
        <scheme val="minor"/>
      </rPr>
      <t xml:space="preserve">
C55*$G$4/1000
fixed OM * currency conversion</t>
    </r>
  </si>
  <si>
    <r>
      <t xml:space="preserve">Variable O&amp;M in </t>
    </r>
    <r>
      <rPr>
        <b/>
        <sz val="11"/>
        <color indexed="8"/>
        <rFont val="Calibri"/>
        <family val="2"/>
      </rPr>
      <t xml:space="preserve">dkr/GJ
</t>
    </r>
    <r>
      <rPr>
        <sz val="11"/>
        <color rgb="FF000000"/>
        <rFont val="Calibri"/>
        <family val="2"/>
      </rPr>
      <t>C56*$G$4/3,6</t>
    </r>
    <r>
      <rPr>
        <sz val="11"/>
        <color theme="1"/>
        <rFont val="Calibri"/>
        <family val="2"/>
        <scheme val="minor"/>
      </rPr>
      <t xml:space="preserve">
Variable OM * currency conversion </t>
    </r>
  </si>
  <si>
    <t>Viegand Maagøe, 2019.</t>
  </si>
  <si>
    <t>Technological data for energy plants (Compressions Heat Pumps for DH), Energistyrelsen, 2017</t>
  </si>
  <si>
    <t xml:space="preserve"> EHPA, Large Scale heat pumps in Europe, 2019</t>
  </si>
  <si>
    <t>Danish Enegy Agency, Technology Data - Energy Plants for Electricity and District heating generation, 2016</t>
  </si>
  <si>
    <t>http://www.planenergi.dk/varmepumper/. Drejebog til store varmepumpeprojekter i fjernvarmesystemet, 2014. [Online]</t>
  </si>
  <si>
    <t>Danish Energy Agency, Inspirationskatalog for store varmepumper, 2017</t>
  </si>
  <si>
    <t>0,5-5 MW</t>
  </si>
  <si>
    <t>Estimated based on cases presented in [3]</t>
  </si>
  <si>
    <t>Based on lost produktion during startup/shutdown</t>
  </si>
  <si>
    <t xml:space="preserve">May vary depending on heat source availability </t>
  </si>
  <si>
    <r>
      <t xml:space="preserve">Very individual, can vary </t>
    </r>
    <r>
      <rPr>
        <sz val="9"/>
        <rFont val="Calibri"/>
        <family val="2"/>
      </rPr>
      <t>÷</t>
    </r>
    <r>
      <rPr>
        <sz val="9"/>
        <rFont val="Arial"/>
        <family val="2"/>
      </rPr>
      <t xml:space="preserve"> 20 %</t>
    </r>
  </si>
  <si>
    <t>Very individual, can vary + 20 %</t>
  </si>
  <si>
    <t>Going from current implementation to potential</t>
  </si>
  <si>
    <t>Uses waste heat</t>
  </si>
  <si>
    <t>Heat pump 60C new 1</t>
  </si>
  <si>
    <t>Heat pump, up to 70 °C, Temp lift = 50 K</t>
  </si>
  <si>
    <t>8.Other processes &lt;150⁰C,</t>
  </si>
  <si>
    <t>Heat pump 70C new 1</t>
  </si>
  <si>
    <t>Heat pump, up to 80 °C, Temp lift = 60 K</t>
  </si>
  <si>
    <t>Heat pump 80C new 1</t>
  </si>
  <si>
    <t xml:space="preserve"> Mechanical vapor recompression</t>
  </si>
  <si>
    <t>Medium 
temperature</t>
  </si>
  <si>
    <t>Mechanical Vapor Recompression new 1</t>
  </si>
  <si>
    <t>1-30 MW</t>
  </si>
  <si>
    <t xml:space="preserve">A single unit is roughly limited to 6 MW, due to size, but the units are often connected to one unit at the site. Giving the possibility for larger capacities. </t>
  </si>
  <si>
    <t>Based on lost production during startup/shutdown</t>
  </si>
  <si>
    <t>Only relevant if heat source are process cooling</t>
  </si>
  <si>
    <t>Heat driven heat pumps, up to 80 °C</t>
  </si>
  <si>
    <t>Cf. the utilized heat</t>
  </si>
  <si>
    <t>Viegand Maagøe, MVR, 2018</t>
  </si>
  <si>
    <t>Technological data for energi plants (Compressions Heat Pumps for DH), Energistyrelsen, 2017</t>
  </si>
  <si>
    <t>Viegand Maagøe, 2019</t>
  </si>
  <si>
    <t>EPCON, EVAPORATION TECHNOLOGY, 2019</t>
  </si>
  <si>
    <t>EPCON investment cost offer, 2017.</t>
  </si>
  <si>
    <t>5-50 MW</t>
  </si>
  <si>
    <t>Assumed temperature lift of 5 K (saturation temperatur)</t>
  </si>
  <si>
    <t>Not relevant</t>
  </si>
  <si>
    <t>Heat driven heat pump 80C new 1</t>
  </si>
  <si>
    <t>Booster heat pump, up to 150 °C, Temp lift = 130 K, steam</t>
  </si>
  <si>
    <t>M</t>
  </si>
  <si>
    <t>N</t>
  </si>
  <si>
    <t>https://www.sciencedirect.com/topics/engineering/partial-load</t>
  </si>
  <si>
    <t>Van der Spek, et. Al., Challenges and uncertainties of ex ante techno-economic analysis of low
TRL CO2 capture technology: Lessons from a case study of an NGCC with
exhaust gas recycle and electric swing adsorption, 2017</t>
  </si>
  <si>
    <t>1-15 MW</t>
  </si>
  <si>
    <t>Utilising waste heat above 30 °C will increase COP. Waste heat up to 75 °C can be utilised</t>
  </si>
  <si>
    <t xml:space="preserve">Calculated from manufacturer software and manufacturer offer. </t>
  </si>
  <si>
    <t>Assumed similar to electrical compression heat pump and mechanical vapor recompression technologies</t>
  </si>
  <si>
    <t>Assumed similar to high temperature heat pump technologies</t>
  </si>
  <si>
    <r>
      <t xml:space="preserve">Very individual, can vary </t>
    </r>
    <r>
      <rPr>
        <sz val="9"/>
        <rFont val="Calibri"/>
        <family val="2"/>
      </rPr>
      <t>÷</t>
    </r>
    <r>
      <rPr>
        <sz val="9"/>
        <rFont val="Arial"/>
        <family val="2"/>
      </rPr>
      <t xml:space="preserve"> 10 %</t>
    </r>
  </si>
  <si>
    <t>Very individual, can vary + 10 %</t>
  </si>
  <si>
    <t>Assumed 10 % higher than electrical compression heat pump. The turbo compressors have low O&amp;M</t>
  </si>
  <si>
    <t>Going from simple implementation to potential</t>
  </si>
  <si>
    <t>Booster heat pump 150C new 1</t>
  </si>
  <si>
    <t>High temperature heat pumps, up to 125 °C</t>
  </si>
  <si>
    <t>1, 3, 4</t>
  </si>
  <si>
    <t>http://www.planenergi.dk/varmepumper/.</t>
  </si>
  <si>
    <t>Teknologisk instutut, Hybridvarmepumpe til fjernvarme, 2018</t>
  </si>
  <si>
    <t>Energiforskning, Højtemperatur varmepumper kan bruge lavtemperatur spildvarme, 2013</t>
  </si>
  <si>
    <r>
      <t xml:space="preserve">Jensen, J., Elmegaard, B., and Markussen, W. </t>
    </r>
    <r>
      <rPr>
        <i/>
        <sz val="9"/>
        <color theme="1"/>
        <rFont val="Arial"/>
        <family val="2"/>
      </rPr>
      <t xml:space="preserve">Industrial heat pumps for high temperature process applications.: A numerical study of the ammonia-water hybrid absorption-compression heat pump. </t>
    </r>
    <r>
      <rPr>
        <sz val="9"/>
        <color theme="1"/>
        <rFont val="Arial"/>
        <family val="2"/>
      </rPr>
      <t>PhD thesis. ,2016</t>
    </r>
  </si>
  <si>
    <t>Calculated from start-up loss</t>
  </si>
  <si>
    <t>Slightly higher than large heat pumps [11]</t>
  </si>
  <si>
    <t xml:space="preserve">Theoretically as low as 10 %. For screw as low as 25 %, lower than that will affect the performance drastically. </t>
  </si>
  <si>
    <t>High temperature abs. heat pump new 1</t>
  </si>
  <si>
    <t>Nominal investment (M€ per MW) is the same as k EUR/kW [1000 EUR/kW]</t>
  </si>
  <si>
    <t>Specific investment in dkr/kW 
C50*$G$4*1000
specific/nominal? investment cost *  currency conversion *1000</t>
  </si>
  <si>
    <t xml:space="preserve"> Specific investment in dkr/unit</t>
  </si>
  <si>
    <t>FIX O&amp;M dkr/kW/year
C55*$G$4/1000
fixed OM * currency conversion</t>
  </si>
  <si>
    <t xml:space="preserve">Variable O&amp;M in dkr/GJ
C56*$G$4/3,6
Variable OM * currency conversion </t>
  </si>
  <si>
    <t>High temperature heat pumps, up to 150 °C</t>
  </si>
  <si>
    <t>High temperature abs. heat pump new 2</t>
  </si>
  <si>
    <t>Corrected to technology readiness level (Not commercially avaiable at the moment)</t>
  </si>
  <si>
    <t>Catalogue has two absorption heat pumps that are aggregated into one technology!</t>
  </si>
  <si>
    <t>NB: average efficiency and investment cost of the two available temperature intervals</t>
  </si>
  <si>
    <t>Hotdisc</t>
  </si>
  <si>
    <t>4,5</t>
  </si>
  <si>
    <t>Dielectric heating</t>
  </si>
  <si>
    <t>6,7,8</t>
  </si>
  <si>
    <t>H,I</t>
  </si>
  <si>
    <t>Thermex Thermatron, https://thermex-thermatron.com/industrial-microwave-generators/, 2019</t>
  </si>
  <si>
    <t>Technological Institute, https://www.dti.dk/industrial-microwave-processing/</t>
  </si>
  <si>
    <t>Cellencor, https://www.cellencor.com, 2019</t>
  </si>
  <si>
    <t>Bi.Elle, http://www.microwaves.it/ing/company.htm, 2019</t>
  </si>
  <si>
    <t>A.M. Hasna, Microwave Processing Applications in Chemical Engineering: Cost Analysis, 2011</t>
  </si>
  <si>
    <t>Tony Koral, Considerations for Commercial Success, 2013
in new RF and Microwave Industrial
Heating Applications</t>
  </si>
  <si>
    <t>Bi.Elle, Personal communication, 2019</t>
  </si>
  <si>
    <t>Beyond Zero Emissions Inc, Zero Carbon Industry Plan
Electrifying Industry, 2018</t>
  </si>
  <si>
    <t>0,01-0,2 MW</t>
  </si>
  <si>
    <t>Cooling system account for a small loss</t>
  </si>
  <si>
    <t>The capacity is often specifically regulated to product flow</t>
  </si>
  <si>
    <t>Can vary quite significantly, as different applications requires different additional subsystems.</t>
  </si>
  <si>
    <t xml:space="preserve">The magnatron (microwave generator) has a lifetime of around 10.000 hours of operation. Replacement of magnatron are included here. </t>
  </si>
  <si>
    <t xml:space="preserve">Infrared will have non energy gains, but it has not been possible to estimate. </t>
  </si>
  <si>
    <t xml:space="preserve">Treatment times are up to 20 times faster than traditional systems. </t>
  </si>
  <si>
    <t>FLSmidth, Personal communication, 2019</t>
  </si>
  <si>
    <t>European Commision, The potential for CCS and CCU in Europe, 2019</t>
  </si>
  <si>
    <t>Sampo Kour, et Al., The potential for CCUS in selected industrial sectors – summary ofconcept evaluations in Finland, 2017</t>
  </si>
  <si>
    <t>10-100 MW</t>
  </si>
  <si>
    <t>36-72 hours</t>
  </si>
  <si>
    <t>Assumed equal to waste used in incineration power plant</t>
  </si>
  <si>
    <t>Includes retrofit to existing system</t>
  </si>
  <si>
    <t xml:space="preserve">If a rebuillt of the system is necessary, this cost need to be included. E.g. if a cement oven is a separate line and not inline system. </t>
  </si>
  <si>
    <t>Typically engineered to remove 80-90 %, above 95 % is possible</t>
  </si>
  <si>
    <t>The fuel is waste and the waste needs minimum pre-handling. Large pieces of waste can be fired directly in the Hotdisc. Cost of waste will be lower than at an inceration plant</t>
  </si>
  <si>
    <t>Infrared heating</t>
  </si>
  <si>
    <t>I,J</t>
  </si>
  <si>
    <t>Netek IR System A/S, Personal communication, 2019</t>
  </si>
  <si>
    <t>IG Infrared, https://www.ig-infrared.com, 2019</t>
  </si>
  <si>
    <r>
      <rPr>
        <i/>
        <sz val="10"/>
        <color rgb="FF222222"/>
        <rFont val="Calibri"/>
        <family val="2"/>
        <scheme val="minor"/>
      </rPr>
      <t>American Society of. Heating, Refrigerating and Air-Conditioning Engineers, ASHRAE Handbook – Heating, Ventilating, and Air-Conditioning Systems and Equipment (I-P Edition)</t>
    </r>
    <r>
      <rPr>
        <sz val="10"/>
        <color rgb="FF222222"/>
        <rFont val="Calibri"/>
        <family val="2"/>
        <scheme val="minor"/>
      </rPr>
      <t>, 2008</t>
    </r>
  </si>
  <si>
    <t>The electricity to heat efficiency is 100 %, but not all of the electricity is converted to radiant energy [5]</t>
  </si>
  <si>
    <t xml:space="preserve">A part of the electricity is conveted to convective heat, and some of it is lost to surrounding. </t>
  </si>
  <si>
    <t xml:space="preserve">A system often consist of mulitiple emitters, giving the possiblity in turn emitters off individually. </t>
  </si>
  <si>
    <t xml:space="preserve">The emitters have a lifetime of 10.000 to 15.000 hours of operation. Replacement of emitters are included here. </t>
  </si>
  <si>
    <t xml:space="preserve">Heating time is 7 to 40 times faster than convective ovens. Uptake much less space which enable possible expansion. </t>
  </si>
  <si>
    <t>Electric boiler, 10 kV, steam</t>
  </si>
  <si>
    <t>1,2</t>
  </si>
  <si>
    <t>AS:scan, Personal communication, 2019</t>
  </si>
  <si>
    <t>Tjæreborg Industri, Personal communication, 2019</t>
  </si>
  <si>
    <t>10-60 MW</t>
  </si>
  <si>
    <t>Electrode boilers at medium-high voltage are directly connected to the distribution grid. Costs for the distribution board are included
in the equipment costs.</t>
  </si>
  <si>
    <t>Investment cos is slightly higher than for a hot water boiler.</t>
  </si>
  <si>
    <t>Electric boiler new 1</t>
  </si>
  <si>
    <t>Infrared new 1</t>
  </si>
  <si>
    <t>Dielectric heating new 1</t>
  </si>
  <si>
    <t>Hotdisc new 1</t>
  </si>
  <si>
    <t>Electric boiler, 10 kV, hot water</t>
  </si>
  <si>
    <t>Electric boiler new 2</t>
  </si>
  <si>
    <t>Steam boiler, Wood Chips</t>
  </si>
  <si>
    <t>F,G,H,I</t>
  </si>
  <si>
    <t xml:space="preserve">Plants for district heating is around 6 MW, and CHP ranging up to 200-300 MW. 20 MW is considered commom in industry </t>
  </si>
  <si>
    <t>Assumed slightly higher than gas boiler</t>
  </si>
  <si>
    <t>Estimated based on gas boiler and wood CHP plant</t>
  </si>
  <si>
    <t xml:space="preserve">Viegand Maagøe A/S experience </t>
  </si>
  <si>
    <t xml:space="preserve">Future cost prediction is based on average cost development of other similar technologies. </t>
  </si>
  <si>
    <t>5 % higher for wood pellet</t>
  </si>
  <si>
    <t>Steam boiler, Wood chips (Condensing)</t>
  </si>
  <si>
    <t>L,M</t>
  </si>
  <si>
    <t>E,F,G,H</t>
  </si>
  <si>
    <t xml:space="preserve">Rambøll Danmark, internal evaluation based on either existing projects, supplier offers, or pre-project studies.  Used for estimation of the efficiency for technology "09a Wood Chips HOP" heat only boilers, woodchips 6W in the Technology Data - Energy Plants for Electricity and District heating generation, version  0007 January 2020 </t>
  </si>
  <si>
    <t xml:space="preserve">L. </t>
  </si>
  <si>
    <t xml:space="preserve">Assuming that the system is optimised at a inlet temperature of 40°C. </t>
  </si>
  <si>
    <t xml:space="preserve">M. </t>
  </si>
  <si>
    <t xml:space="preserve">The efficiency is for a plant using woodchips with a water content of 50% and wetting of the combusting air. If other types of wood- biomass is assumed the efficiency should be reduced accordingly. </t>
  </si>
  <si>
    <t>Biomass boiler new 3</t>
  </si>
  <si>
    <t>Hot water boiler, Wood Chips</t>
  </si>
  <si>
    <t>Hot water boiler, Wood chips (Condensing)</t>
  </si>
  <si>
    <t>E,F,G</t>
  </si>
  <si>
    <t>Biomass boiler new 1</t>
  </si>
  <si>
    <t>Biomass boiler new 2</t>
  </si>
  <si>
    <t>Biomass boiler new 4</t>
  </si>
  <si>
    <t>fuel?</t>
  </si>
  <si>
    <t>FLO_MARK</t>
  </si>
  <si>
    <t>Trad. Heat pump 80C</t>
  </si>
  <si>
    <t>Heat driven Heat pump 80C</t>
  </si>
  <si>
    <t>High Temp abs. Heat pump 150C</t>
  </si>
  <si>
    <t>Booster Heat pump 150C</t>
  </si>
  <si>
    <t>MVR</t>
  </si>
  <si>
    <t>Indirect</t>
  </si>
  <si>
    <t>Direct</t>
  </si>
  <si>
    <t>INDWST</t>
  </si>
  <si>
    <t>Infrared</t>
  </si>
  <si>
    <t>Electric boiler</t>
  </si>
  <si>
    <t>Biomass boiler</t>
  </si>
  <si>
    <t>Oil-fired boiler_NEW</t>
  </si>
  <si>
    <t>Natural gas boiler_NEW</t>
  </si>
  <si>
    <t>- Cement has to use waste as input</t>
  </si>
  <si>
    <t>- The added heat pumps use waste heat within industries themselves - how will this influence the district heating?</t>
  </si>
  <si>
    <t>- Should the heat pumps have another input than just INDELC or also industrial wasteheat?</t>
  </si>
  <si>
    <t>Direct electric heating</t>
  </si>
  <si>
    <t>Sheet names (for lookups)</t>
  </si>
  <si>
    <t>Sector name:</t>
  </si>
  <si>
    <t>Carbon Capture and Storage new 1</t>
  </si>
  <si>
    <t>Post-combustion carbon capture retrofit - 100 MW(th) WtE or biomass CHP plant</t>
  </si>
  <si>
    <t>Uncertainty (2025)</t>
  </si>
  <si>
    <r>
      <t>Typical total plant capacity (t CO2</t>
    </r>
    <r>
      <rPr>
        <vertAlign val="subscript"/>
        <sz val="8"/>
        <rFont val="Calibri"/>
        <family val="2"/>
        <scheme val="minor"/>
      </rPr>
      <t xml:space="preserve"> </t>
    </r>
    <r>
      <rPr>
        <sz val="8"/>
        <rFont val="Calibri"/>
        <family val="2"/>
        <scheme val="minor"/>
      </rPr>
      <t xml:space="preserve"> output / hour)</t>
    </r>
  </si>
  <si>
    <t>- Inputs at max capacity</t>
  </si>
  <si>
    <t xml:space="preserve">A) Mass of Fluegas (t/t CO2 output) </t>
  </si>
  <si>
    <r>
      <t>B1) CO</t>
    </r>
    <r>
      <rPr>
        <vertAlign val="subscript"/>
        <sz val="8"/>
        <rFont val="Calibri"/>
        <family val="2"/>
        <scheme val="minor"/>
      </rPr>
      <t>2</t>
    </r>
    <r>
      <rPr>
        <sz val="8"/>
        <rFont val="Calibri"/>
        <family val="2"/>
        <scheme val="minor"/>
      </rPr>
      <t xml:space="preserve"> share in fluegas input (%-vol, dry)</t>
    </r>
  </si>
  <si>
    <r>
      <t>B2) Flue gas temperature (0</t>
    </r>
    <r>
      <rPr>
        <sz val="8"/>
        <rFont val="Symbol"/>
        <family val="1"/>
        <charset val="2"/>
      </rPr>
      <t>°</t>
    </r>
    <r>
      <rPr>
        <sz val="8"/>
        <rFont val="Calibri"/>
        <family val="2"/>
        <scheme val="minor"/>
      </rPr>
      <t>C)</t>
    </r>
  </si>
  <si>
    <t xml:space="preserve">C1) Heat  input (MWh/t CO2-output) </t>
  </si>
  <si>
    <t xml:space="preserve">C2) Eletricity input (MWh/t CO2-output) </t>
  </si>
  <si>
    <t xml:space="preserve">C3)  Amine make-up (kg/t CO2-output) </t>
  </si>
  <si>
    <r>
      <t>Y)  Auxiliary products inputs (kg/t CO2-output</t>
    </r>
    <r>
      <rPr>
        <vertAlign val="subscript"/>
        <sz val="8"/>
        <rFont val="Calibri"/>
        <family val="2"/>
        <scheme val="minor"/>
      </rPr>
      <t xml:space="preserve"> </t>
    </r>
    <r>
      <rPr>
        <sz val="8"/>
        <rFont val="Calibri"/>
        <family val="2"/>
        <scheme val="minor"/>
      </rPr>
      <t xml:space="preserve">) </t>
    </r>
  </si>
  <si>
    <t>- Outputs at max capacity</t>
  </si>
  <si>
    <t>A2) CO2 purity prior to post cleaning (% vol)</t>
  </si>
  <si>
    <t>A3) Total pressure of CO2 gas (kPa(a))</t>
  </si>
  <si>
    <r>
      <t>Ax) CO</t>
    </r>
    <r>
      <rPr>
        <vertAlign val="subscript"/>
        <sz val="8"/>
        <rFont val="Calibri"/>
        <family val="2"/>
        <scheme val="minor"/>
      </rPr>
      <t>2</t>
    </r>
    <r>
      <rPr>
        <sz val="8"/>
        <rFont val="Calibri"/>
        <family val="2"/>
        <scheme val="minor"/>
      </rPr>
      <t xml:space="preserve"> capture rate, net (%)</t>
    </r>
  </si>
  <si>
    <t xml:space="preserve">C1) Heat out (MWh/t CO2-output) </t>
  </si>
  <si>
    <r>
      <t>C2) Temperature of heat out (</t>
    </r>
    <r>
      <rPr>
        <sz val="8"/>
        <rFont val="Symbol"/>
        <family val="1"/>
        <charset val="2"/>
      </rPr>
      <t>°</t>
    </r>
    <r>
      <rPr>
        <sz val="8"/>
        <rFont val="Calibri"/>
        <family val="2"/>
        <scheme val="minor"/>
      </rPr>
      <t>C)</t>
    </r>
  </si>
  <si>
    <t>X) Other Non-energy outputs (kg/t CO2-output)</t>
  </si>
  <si>
    <t>- other technical data</t>
  </si>
  <si>
    <t>Specific investment (mill € /[t CO2 output/hour])</t>
  </si>
  <si>
    <t xml:space="preserve"> - hereof capture plant (%)</t>
  </si>
  <si>
    <t xml:space="preserve"> - hereof CO₂ compression&amp;dehydration (%)</t>
  </si>
  <si>
    <t>- hereof utilities &amp; flue gas integration (%)</t>
  </si>
  <si>
    <t xml:space="preserve"> - hereof heat integration (%)</t>
  </si>
  <si>
    <t xml:space="preserve"> - hereof Owner's cost (%)</t>
  </si>
  <si>
    <t>Fixed O&amp;M (mill € /[t CO2 output/Hour])</t>
  </si>
  <si>
    <t>Variable O&amp;M (€ per t CO2 output)</t>
  </si>
  <si>
    <t>Startup cost (€ per startup/[t CO2/hour])</t>
  </si>
  <si>
    <t xml:space="preserve">Technology specific data                                 </t>
  </si>
  <si>
    <t>CO₂ compression and dehydration - Electricity input (MWh/t CO₂ output)</t>
  </si>
  <si>
    <t>CO₂ compression and dehydration - Heat out (MWh/t CO₂ output)</t>
  </si>
  <si>
    <t>Comm-OUT-A</t>
  </si>
  <si>
    <t>Share-I</t>
  </si>
  <si>
    <t>VDA_FLOP</t>
  </si>
  <si>
    <t>*COP</t>
  </si>
  <si>
    <t>WH Base input:</t>
  </si>
  <si>
    <t>HT</t>
  </si>
  <si>
    <t>MT</t>
  </si>
  <si>
    <t>RH</t>
  </si>
  <si>
    <t>NRG</t>
  </si>
  <si>
    <t>INDGWH</t>
  </si>
  <si>
    <t>CC capacity is chosen to match flue gas flow and CO₂ emission from a 100 MWth biomass boiler. Larger capacites available today if required.</t>
  </si>
  <si>
    <t>The biomass CHP is assumed to be equipped with flue gas condensation, hence flue gas is available at 35 deg. C</t>
  </si>
  <si>
    <t>Heat is supplied as low pressure steam 3-5 bara and (130-150 deg. C)</t>
  </si>
  <si>
    <t>Electricity consumption includes additional CC plant, flue gas fan work and cooling water pumps, but no ID cooling tower, other utilities. CO₂ compression and drying not included.</t>
  </si>
  <si>
    <t>Purity given on wet basis. On dry basis purity is &gt;99.95%vol</t>
  </si>
  <si>
    <t>CO₂ pressure at outlet flange. Future processes is expected to deliver CO₂ at higher pressure (save compression work)</t>
  </si>
  <si>
    <t>The CO₂ capture percentage from the flue gas is expected to increase from today's 90% to 95% in 2050.</t>
  </si>
  <si>
    <t>20% of heat is available at 80 deg. C, 80% is available at 50 deg C. The reported 60 deg C is an weighed average.</t>
  </si>
  <si>
    <t>Total cost including site integration and CO₂ compression. CAPEX is expected to decrease by 40% in 2050 as the market develops. Total capital investment is calculated as plant capacity (t CO₂ output/h) multiplied by the specific investment cost</t>
  </si>
  <si>
    <t>If the CHP is euipped with flue gas condensation to &lt;40 deg C the precooler of the CC plant may be omitted. The CC plant cost can in that case be reduced with 5% and the utility cost with 20% (because of less cooling requirement)</t>
  </si>
  <si>
    <t>If CO₂ should be delivered liquefied for truck or road transport, a liquefaction plant must be added hence increase this post with 50% + interim storage (specified in chapter on CO₂ transport of Technology Catalogue)</t>
  </si>
  <si>
    <t>Substantial cost have been included for heat integration which covers steam turbine modification, coupling to district heating net. Heat pump technology for upgrade of low temp waste heat not included.</t>
  </si>
  <si>
    <t>Fixed O&amp;M is taken as 3% of CAPEX</t>
  </si>
  <si>
    <t>Assume compression from CC plant outlet pressure to 150 bar and drying to &lt; 50 ppmv H₂O. Specific power consumption decrease with time as CO₂ is delivered at increasingly higher pressure from the CC plant</t>
  </si>
  <si>
    <t>kt CO2/PJ</t>
  </si>
  <si>
    <r>
      <t xml:space="preserve">FIX O&amp;M </t>
    </r>
    <r>
      <rPr>
        <b/>
        <sz val="11"/>
        <color indexed="8"/>
        <rFont val="Calibri"/>
        <family val="2"/>
      </rPr>
      <t>dkr/kW</t>
    </r>
    <r>
      <rPr>
        <sz val="11"/>
        <color theme="1"/>
        <rFont val="Calibri"/>
        <family val="2"/>
        <scheme val="minor"/>
      </rPr>
      <t xml:space="preserve">
C55*$G$4/1000
fixed OM * currency conversion</t>
    </r>
  </si>
  <si>
    <t>Post-combustion carbon capture retrofit - 500 MW(th) biomass-fired boiler</t>
  </si>
  <si>
    <t>A1) CO2 purity prior to post cleaning (% vol)</t>
  </si>
  <si>
    <t>A2) Total pressure of CO2 gas (kPa(a))</t>
  </si>
  <si>
    <t>Typical total plant capacity (t CO2  output / hour)</t>
  </si>
  <si>
    <t>B1) CO2 share in fluegas input (%-vol, dry)</t>
  </si>
  <si>
    <t>B2) Flue gas temperature (°C)</t>
  </si>
  <si>
    <t xml:space="preserve">Y)  Auxiliary products inputs (kg/t CO2-output ) </t>
  </si>
  <si>
    <t>A3) CO2 capture rate, net (%)</t>
  </si>
  <si>
    <t>C2) Temperature of heat out (°C)</t>
  </si>
  <si>
    <t>t CO2/MWh</t>
  </si>
  <si>
    <t>Natural gas:</t>
  </si>
  <si>
    <t>MWh/t CO2</t>
  </si>
  <si>
    <t>INV</t>
  </si>
  <si>
    <t>FIX-OM</t>
  </si>
  <si>
    <t>Var-OM</t>
  </si>
  <si>
    <t>Mdkk/MW</t>
  </si>
  <si>
    <t>Steam boiler, Coal</t>
  </si>
  <si>
    <t>Nominal investment (M€ per MW)</t>
  </si>
  <si>
    <t>Only a few plant of this type is in operation in Denmark. Nordic Suger operates a 33 MW - which is considered above average</t>
  </si>
  <si>
    <t>Estimated based on gas boiler and coal CHP plant</t>
  </si>
  <si>
    <t>Coal boiler new 1</t>
  </si>
  <si>
    <t>Hot water boiler, Coal</t>
  </si>
  <si>
    <t>E,F</t>
  </si>
  <si>
    <t>Coal boiler new 2</t>
  </si>
  <si>
    <t>Coal boiler</t>
  </si>
  <si>
    <t>dkk/GJ</t>
  </si>
  <si>
    <t>=Mdkk/PJ</t>
  </si>
  <si>
    <t>INPUT</t>
  </si>
  <si>
    <t xml:space="preserve">Fixed ELCC </t>
  </si>
  <si>
    <t>OUTPUT</t>
  </si>
  <si>
    <t>Output in given unit/PJ_output</t>
  </si>
  <si>
    <t>Comm-IN-A</t>
  </si>
  <si>
    <t>Input name</t>
  </si>
  <si>
    <t>Auxiliary Input</t>
  </si>
  <si>
    <t>Output name</t>
  </si>
  <si>
    <t>Auxilary Output</t>
  </si>
  <si>
    <t>INDNGA</t>
  </si>
  <si>
    <t>INDGWH, CCXCO2</t>
  </si>
  <si>
    <t>IGDHT</t>
  </si>
  <si>
    <t>ELCCOA</t>
  </si>
  <si>
    <t>ELCHFO</t>
  </si>
  <si>
    <t>ELCDSL</t>
  </si>
  <si>
    <t>ELCNGA</t>
  </si>
  <si>
    <t>ELCBGA</t>
  </si>
  <si>
    <t>ELCWPE</t>
  </si>
  <si>
    <t>ELCWCH</t>
  </si>
  <si>
    <t>ELCSTR</t>
  </si>
  <si>
    <t>ELCWST</t>
  </si>
  <si>
    <t>ELCWIN</t>
  </si>
  <si>
    <t>ELCSOL</t>
  </si>
  <si>
    <t>ELCGEO</t>
  </si>
  <si>
    <t>ELCHYD</t>
  </si>
  <si>
    <t>ELCWAV</t>
  </si>
  <si>
    <t>*Units</t>
  </si>
  <si>
    <t>kg/GJ</t>
  </si>
  <si>
    <t>CO2</t>
  </si>
  <si>
    <t>t CO2 emission/MWh input</t>
  </si>
  <si>
    <t>EL/heat</t>
  </si>
  <si>
    <t>Year</t>
  </si>
  <si>
    <t>Capture rate</t>
  </si>
  <si>
    <t>This is the required formatting of the table, for implementing CCS to the industry sheets directly</t>
  </si>
  <si>
    <t>Coal</t>
  </si>
  <si>
    <t xml:space="preserve"> </t>
  </si>
  <si>
    <t>Iron &amp; Steel</t>
  </si>
  <si>
    <t>1. Oil-fired boiler</t>
  </si>
  <si>
    <t>Oil burner (mineral oil fired, &lt;10 % FAME)</t>
  </si>
  <si>
    <t>15-30</t>
  </si>
  <si>
    <t>Fixed O&amp;M (€/year)</t>
  </si>
  <si>
    <t>Oil burner (bio oil)</t>
  </si>
  <si>
    <t>&gt; 30</t>
  </si>
  <si>
    <t>Specific investment (1000€/unit) - 400 kW unit</t>
  </si>
  <si>
    <t>Other</t>
  </si>
  <si>
    <t>Vehicles</t>
  </si>
  <si>
    <t>Utilities</t>
  </si>
  <si>
    <t>MKr15</t>
  </si>
  <si>
    <t>Glass &amp; Concrete industry Demand Heat Medium Temp. up to 150C</t>
  </si>
  <si>
    <t>Glass &amp; Concrete industry Demand Heat High Temp. over 150C</t>
  </si>
  <si>
    <t>Glass &amp; Concrete industry Demand Heat Room Heat</t>
  </si>
  <si>
    <t>IGDLA</t>
  </si>
  <si>
    <t>Glass &amp; Concrete industry Demand Light</t>
  </si>
  <si>
    <t>IGDEM</t>
  </si>
  <si>
    <t>Glass &amp; Concrete industry Demand Electric Motors</t>
  </si>
  <si>
    <t>IGDTF</t>
  </si>
  <si>
    <t>Glass &amp; Concrete industry Demand Haulage Tractors, Trucks, Fishing boats, Forest machines</t>
  </si>
  <si>
    <t>IGDFL</t>
  </si>
  <si>
    <t>Glass &amp; Concrete industry Demand Haulage Forklifts</t>
  </si>
  <si>
    <t>Chemical industry Demand Heat Medium Temp. up to 150C</t>
  </si>
  <si>
    <t>Chemical industry Demand Heat High Temp. over 150C</t>
  </si>
  <si>
    <t>Chemical industry Demand Heat Room Heat</t>
  </si>
  <si>
    <t>ICDLA</t>
  </si>
  <si>
    <t>Chemical industry Demand Light</t>
  </si>
  <si>
    <t>ICDEM</t>
  </si>
  <si>
    <t>Chemical industry Demand Electric Motors</t>
  </si>
  <si>
    <t>ICDTF</t>
  </si>
  <si>
    <t>Chemical industry Demand Haulage Tractors, Trucks, Fishing boats, Forest machines</t>
  </si>
  <si>
    <t>ICDFL</t>
  </si>
  <si>
    <t>Chemical industry Demand Haulage Forklifts</t>
  </si>
  <si>
    <t>Food industry Demand Heat Medium Temp. up to 150C</t>
  </si>
  <si>
    <t>Food industry Demand Heat High Temp. over 150C</t>
  </si>
  <si>
    <t>Food industry Demand Heat Room Heat</t>
  </si>
  <si>
    <t>IFDLA</t>
  </si>
  <si>
    <t>Food industry Demand Light</t>
  </si>
  <si>
    <t>IFDEM</t>
  </si>
  <si>
    <t>Food industry Demand Electric Motors</t>
  </si>
  <si>
    <t>IFDTF</t>
  </si>
  <si>
    <t>Food industry Demand Haulage Tractors, Trucks, Fishing boats, Forest machines</t>
  </si>
  <si>
    <t>IFDFL</t>
  </si>
  <si>
    <t>Food industry Demand Haulage Forklifts</t>
  </si>
  <si>
    <t>Machinery industry Demand Heat Medium Temp. up to 150C</t>
  </si>
  <si>
    <t>Machinery industry Demand Heat High Temp. over 150C</t>
  </si>
  <si>
    <t>Machinery industry Demand Heat Room Heat</t>
  </si>
  <si>
    <t>IMDLA</t>
  </si>
  <si>
    <t>Machinery industry Demand Light</t>
  </si>
  <si>
    <t>IMDEM</t>
  </si>
  <si>
    <t>Machinery industry Demand Electric Motors</t>
  </si>
  <si>
    <t>IMDTF</t>
  </si>
  <si>
    <t>Machinery industry Demand Haulage Tractors, Trucks, Fishing boats, Forest machines</t>
  </si>
  <si>
    <t>IMDFL</t>
  </si>
  <si>
    <t>Machinery industry Demand Haulage Forklifts</t>
  </si>
  <si>
    <t>Aluminium industry Demand Heat Medium Temp. up to 150C</t>
  </si>
  <si>
    <t>Aluminium industry Demand Heat High Temp. over 150C</t>
  </si>
  <si>
    <t>Aluminium industry Demand Heat Room Heat</t>
  </si>
  <si>
    <t>Aluminium industry Demand Light</t>
  </si>
  <si>
    <t>Aluminium industry Demand Electric Motors</t>
  </si>
  <si>
    <t>Aluminium industry Demand Haulage Tractors, Trucks, Fishing boats, Forest machines</t>
  </si>
  <si>
    <t>Aluminium industry Demand Haulage Forklifts</t>
  </si>
  <si>
    <t>Iron &amp; Steel  Demand Heat Medium Temp. up to 150C</t>
  </si>
  <si>
    <t>Iron &amp; Steel  Demand Heat High Temp. over 150C</t>
  </si>
  <si>
    <t>Iron &amp; Steel  Demand Heat Room Heat</t>
  </si>
  <si>
    <t>ISDLA</t>
  </si>
  <si>
    <t>Iron &amp; Steel  Demand Light</t>
  </si>
  <si>
    <t>ISDEM</t>
  </si>
  <si>
    <t>Iron &amp; Steel  Demand Electric Motors</t>
  </si>
  <si>
    <t>ISDTF</t>
  </si>
  <si>
    <t>Iron &amp; Steel  Demand Haulage Tractors, Trucks, Fishing boats, Forest machines</t>
  </si>
  <si>
    <t>ISDFL</t>
  </si>
  <si>
    <t>Iron &amp; Steel  Demand Haulage Forklifts</t>
  </si>
  <si>
    <t>Mining Demand Heat Medium Temp. up to 150C</t>
  </si>
  <si>
    <t>Mining Demand Heat High Temp. over 150C</t>
  </si>
  <si>
    <t>Mining Demand Heat Room Heat</t>
  </si>
  <si>
    <t>IIDLA</t>
  </si>
  <si>
    <t>Mining Demand Light</t>
  </si>
  <si>
    <t>IIDEM</t>
  </si>
  <si>
    <t>Mining Demand Electric Motors</t>
  </si>
  <si>
    <t>IIDTF</t>
  </si>
  <si>
    <t>Mining Demand Haulage Tractors, Trucks, Fishing boats, Forest machines</t>
  </si>
  <si>
    <t>IIDFL</t>
  </si>
  <si>
    <t>Mining Demand Haulage Forklifts</t>
  </si>
  <si>
    <t>Other comm Demand Heat Medium Temp. up to 150C</t>
  </si>
  <si>
    <t>Other comm Demand Heat High Temp. over 150C</t>
  </si>
  <si>
    <t>Other comm Demand Heat Room Heat</t>
  </si>
  <si>
    <t>IODLA</t>
  </si>
  <si>
    <t>Other comm Demand Light</t>
  </si>
  <si>
    <t>IODEM</t>
  </si>
  <si>
    <t>Other comm Demand Electric Motors</t>
  </si>
  <si>
    <t>IODTF</t>
  </si>
  <si>
    <t>Other comm Demand Haulage Tractors, Trucks, Fishing boats, Forest machines</t>
  </si>
  <si>
    <t>IODFL</t>
  </si>
  <si>
    <t>Other comm Demand Haulage Forklifts</t>
  </si>
  <si>
    <t>Wood products industry Demand Heat Medium Temp. up to 150C</t>
  </si>
  <si>
    <t>Wood products industry Demand Heat High Temp. over 150C</t>
  </si>
  <si>
    <t>Wood products industry Demand Heat Room Heat</t>
  </si>
  <si>
    <t>IWDLA</t>
  </si>
  <si>
    <t>Wood products industry Demand Light</t>
  </si>
  <si>
    <t>IWDEM</t>
  </si>
  <si>
    <t>Wood products industry Demand Electric Motors</t>
  </si>
  <si>
    <t>IWDTF</t>
  </si>
  <si>
    <t>Wood products industry Demand Haulage Tractors, Trucks, Fishing boats, Forest machines</t>
  </si>
  <si>
    <t>IWDFL</t>
  </si>
  <si>
    <t>Wood products industry Demand Haulage Forklifts</t>
  </si>
  <si>
    <t>Paper &amp; Pulp industry Demand Heat Medium Temp. up to 150C</t>
  </si>
  <si>
    <t>Paper &amp; Pulp industry Demand Heat High Temp. over 150C</t>
  </si>
  <si>
    <t>Paper &amp; Pulp industry Demand Heat Room Heat</t>
  </si>
  <si>
    <t>IRDLA</t>
  </si>
  <si>
    <t>Paper &amp; Pulp industry Demand Light</t>
  </si>
  <si>
    <t>IRDEM</t>
  </si>
  <si>
    <t>Paper &amp; Pulp industry Demand Electric Motors</t>
  </si>
  <si>
    <t>IRDTF</t>
  </si>
  <si>
    <t>Paper &amp; Pulp industry Demand Haulage Tractors, Trucks, Fishing boats, Forest machines</t>
  </si>
  <si>
    <t>IRDFL</t>
  </si>
  <si>
    <t>Paper &amp; Pulp industry Demand Haulage Forklifts</t>
  </si>
  <si>
    <t>Decentral</t>
  </si>
  <si>
    <t>Central</t>
  </si>
  <si>
    <t>DKW</t>
  </si>
  <si>
    <t>DKE</t>
  </si>
  <si>
    <t>Years</t>
  </si>
  <si>
    <t>MKr/PJ</t>
  </si>
  <si>
    <t>MKr/MW</t>
  </si>
  <si>
    <t>Construction time</t>
  </si>
  <si>
    <t>ILED</t>
  </si>
  <si>
    <t>Technical life</t>
  </si>
  <si>
    <t>Fraction of capacity in peak equations</t>
  </si>
  <si>
    <t>Annual availability/utilization factor</t>
  </si>
  <si>
    <t>Units of activity/unit of capacity</t>
  </si>
  <si>
    <t>Annual variable O&amp;M cost</t>
  </si>
  <si>
    <t>Annual fixed O&amp;M cost</t>
  </si>
  <si>
    <t>Total cost of investment in new capacity</t>
  </si>
  <si>
    <t>Electricity consumption</t>
  </si>
  <si>
    <t xml:space="preserve">Minimum capacity for technology </t>
  </si>
  <si>
    <t>Peak</t>
  </si>
  <si>
    <t>*ELCC Input</t>
  </si>
  <si>
    <t>*Minimum capacity</t>
  </si>
  <si>
    <r>
      <t>N</t>
    </r>
    <r>
      <rPr>
        <vertAlign val="subscript"/>
        <sz val="9"/>
        <color theme="1"/>
        <rFont val="Arial"/>
        <family val="2"/>
      </rPr>
      <t>2</t>
    </r>
    <r>
      <rPr>
        <sz val="9"/>
        <color theme="1"/>
        <rFont val="Arial"/>
        <family val="2"/>
      </rPr>
      <t>O (g per GJ fuel)</t>
    </r>
  </si>
  <si>
    <r>
      <t>CH</t>
    </r>
    <r>
      <rPr>
        <vertAlign val="subscript"/>
        <sz val="9"/>
        <color theme="1"/>
        <rFont val="Arial"/>
        <family val="2"/>
      </rPr>
      <t>4</t>
    </r>
    <r>
      <rPr>
        <sz val="9"/>
        <color theme="1"/>
        <rFont val="Arial"/>
        <family val="2"/>
      </rPr>
      <t xml:space="preserve"> (g per GJ fuel)</t>
    </r>
  </si>
  <si>
    <r>
      <t>NO</t>
    </r>
    <r>
      <rPr>
        <vertAlign val="subscript"/>
        <sz val="9"/>
        <color theme="1"/>
        <rFont val="Arial"/>
        <family val="2"/>
      </rPr>
      <t>X</t>
    </r>
    <r>
      <rPr>
        <sz val="9"/>
        <color theme="1"/>
        <rFont val="Arial"/>
        <family val="2"/>
      </rPr>
      <t xml:space="preserve"> (g per GJ fuel)</t>
    </r>
  </si>
  <si>
    <r>
      <t>SO</t>
    </r>
    <r>
      <rPr>
        <vertAlign val="subscript"/>
        <sz val="9"/>
        <color theme="1"/>
        <rFont val="Arial"/>
        <family val="2"/>
      </rPr>
      <t>2</t>
    </r>
    <r>
      <rPr>
        <sz val="9"/>
        <color theme="1"/>
        <rFont val="Arial"/>
        <family val="2"/>
      </rPr>
      <t xml:space="preserve"> (g per GJ fuel)</t>
    </r>
  </si>
  <si>
    <t>Data for the danish energy agency 2017 technology catalog</t>
  </si>
  <si>
    <t>DKK/EU</t>
  </si>
  <si>
    <t>Degrees of waste heat</t>
  </si>
  <si>
    <t>Comm</t>
  </si>
  <si>
    <r>
      <t>- of which is other O&amp;M costs (€/MWh</t>
    </r>
    <r>
      <rPr>
        <vertAlign val="subscript"/>
        <sz val="9"/>
        <rFont val="Arial"/>
        <family val="2"/>
      </rPr>
      <t>heat</t>
    </r>
    <r>
      <rPr>
        <sz val="9"/>
        <rFont val="Arial"/>
        <family val="2"/>
      </rPr>
      <t>)</t>
    </r>
  </si>
  <si>
    <r>
      <t>- of which is electricity costs (€/MWh</t>
    </r>
    <r>
      <rPr>
        <vertAlign val="subscript"/>
        <sz val="9"/>
        <rFont val="Arial"/>
        <family val="2"/>
      </rPr>
      <t>heat</t>
    </r>
    <r>
      <rPr>
        <sz val="9"/>
        <rFont val="Arial"/>
        <family val="2"/>
      </rPr>
      <t>)</t>
    </r>
  </si>
  <si>
    <r>
      <t>Variable O&amp;M (€/MWh</t>
    </r>
    <r>
      <rPr>
        <vertAlign val="subscript"/>
        <sz val="9"/>
        <rFont val="Arial"/>
        <family val="2"/>
      </rPr>
      <t>heat</t>
    </r>
    <r>
      <rPr>
        <sz val="9"/>
        <rFont val="Arial"/>
        <family val="2"/>
      </rPr>
      <t>)</t>
    </r>
  </si>
  <si>
    <r>
      <t>Fixed O&amp;M (€/MW</t>
    </r>
    <r>
      <rPr>
        <vertAlign val="subscript"/>
        <sz val="9"/>
        <rFont val="Arial"/>
        <family val="2"/>
      </rPr>
      <t>heat</t>
    </r>
    <r>
      <rPr>
        <sz val="9"/>
        <rFont val="Arial"/>
        <family val="2"/>
      </rPr>
      <t>/year)</t>
    </r>
  </si>
  <si>
    <t>A, L</t>
  </si>
  <si>
    <r>
      <t>Nominal investment (M€ per MW</t>
    </r>
    <r>
      <rPr>
        <vertAlign val="subscript"/>
        <sz val="9"/>
        <rFont val="Arial"/>
        <family val="2"/>
      </rPr>
      <t>heat</t>
    </r>
    <r>
      <rPr>
        <sz val="9"/>
        <rFont val="Arial"/>
        <family val="2"/>
      </rPr>
      <t>)</t>
    </r>
  </si>
  <si>
    <t>8,10</t>
  </si>
  <si>
    <r>
      <t>Space requirement (1000m2 per MW</t>
    </r>
    <r>
      <rPr>
        <vertAlign val="subscript"/>
        <sz val="9"/>
        <rFont val="Arial"/>
        <family val="2"/>
      </rPr>
      <t>heat</t>
    </r>
    <r>
      <rPr>
        <sz val="9"/>
        <rFont val="Arial"/>
        <family val="2"/>
      </rPr>
      <t>)</t>
    </r>
  </si>
  <si>
    <t>I, M</t>
  </si>
  <si>
    <t>3, 4</t>
  </si>
  <si>
    <t>A, B, F, J</t>
  </si>
  <si>
    <t>Total eff., net (%), annual average, waste heat 40° C, reduced supply temp.</t>
  </si>
  <si>
    <r>
      <t xml:space="preserve">Total eff., net (%), annual average, waste heat </t>
    </r>
    <r>
      <rPr>
        <b/>
        <sz val="9"/>
        <color rgb="FFFF0000"/>
        <rFont val="Arial"/>
        <family val="2"/>
      </rPr>
      <t>20° C</t>
    </r>
    <r>
      <rPr>
        <sz val="9"/>
        <rFont val="Arial"/>
        <family val="2"/>
      </rPr>
      <t>, reduced supply temp.</t>
    </r>
  </si>
  <si>
    <t>Total eff., net (%), annual average, ambient heat source, reduced supply temp.</t>
  </si>
  <si>
    <t>A, F, J, K</t>
  </si>
  <si>
    <t>Total eff., net (%), annual average, ambient heat source, no dev. in supply temp.</t>
  </si>
  <si>
    <t>N/A</t>
  </si>
  <si>
    <r>
      <t>Heat generation capacity for one unit (MW</t>
    </r>
    <r>
      <rPr>
        <vertAlign val="subscript"/>
        <sz val="9"/>
        <rFont val="Arial"/>
        <family val="2"/>
      </rPr>
      <t>heat</t>
    </r>
    <r>
      <rPr>
        <sz val="9"/>
        <rFont val="Arial"/>
        <family val="2"/>
      </rPr>
      <t>)</t>
    </r>
  </si>
  <si>
    <t>40 Electrical compression heat pumps - district heating</t>
  </si>
  <si>
    <t>T_lm, source [C] =</t>
  </si>
  <si>
    <t>T_source out [K] =</t>
  </si>
  <si>
    <t>T_source in [K] =</t>
  </si>
  <si>
    <t>Currency Conversion</t>
  </si>
  <si>
    <t>Degrees of Source Temperature</t>
  </si>
  <si>
    <t>Total eff., net (%), annual average, waste heat 20° C, reduced supply temp.</t>
  </si>
  <si>
    <t>Aars Fjernvarmeforsyning Amba</t>
  </si>
  <si>
    <t>Århus Kommune</t>
  </si>
  <si>
    <t>Ålestrup Varme A M B A</t>
  </si>
  <si>
    <t>Aalborg kommune</t>
  </si>
  <si>
    <t>Aadum Kraftvarmeværk</t>
  </si>
  <si>
    <t>AABYBRO FJERNVARME</t>
  </si>
  <si>
    <t>Aabenraa - Rødekro Fjernvarme Amba</t>
  </si>
  <si>
    <t>ØSTERVRÅ VARMEVÆRK AMBA</t>
  </si>
  <si>
    <t>ØSTERILD FJERNVARMESELSKAB A M B A</t>
  </si>
  <si>
    <t>Øster Hurup Kraftvarmeværk</t>
  </si>
  <si>
    <t>Østbirk Fjernvarmeværk A M B A.</t>
  </si>
  <si>
    <t>ØRUM VARMEVÆRK AMBA</t>
  </si>
  <si>
    <t>ØRSTED FJERNVARMEVÆRK</t>
  </si>
  <si>
    <t>Ørnhøj-Grønbjerg Kraftvarme</t>
  </si>
  <si>
    <t>Ølgod Fjernvarmeselskab AMBA</t>
  </si>
  <si>
    <t>ØLAND KRAFTVARMEVÆRK AMBA</t>
  </si>
  <si>
    <t>Ø HORNUM VARMEVÆRK AMBA</t>
  </si>
  <si>
    <t>Ø BRØNDERSLEV FJERNVARMEVÆRK</t>
  </si>
  <si>
    <t>ÆRØSKØBING FJERNVARME</t>
  </si>
  <si>
    <t>YouSee A/S</t>
  </si>
  <si>
    <t>Værum-Ørum Kraftvarmeværk AMBA</t>
  </si>
  <si>
    <t>VÆRLØSE VARMEVÆRK A M B A</t>
  </si>
  <si>
    <t>VRÅ VARMEVÆRK AMBA</t>
  </si>
  <si>
    <t>VORDINGBORG FJERNVARME A/S</t>
  </si>
  <si>
    <t>VOJENS FJERNVARME A.M.B.A.</t>
  </si>
  <si>
    <t>VOERSÅ KRAFTVARMEVÆRK A M B A</t>
  </si>
  <si>
    <t>VIVILD VARMEVÆRK A M B A</t>
  </si>
  <si>
    <t>VISSENBJERG FJERNVARME AMBA</t>
  </si>
  <si>
    <t>VINDERUP VARMEVÆRK A M B A</t>
  </si>
  <si>
    <t>Vildbjerg Varmeværk A.m.b.a.</t>
  </si>
  <si>
    <t>VIDEBÆK VARME A/S</t>
  </si>
  <si>
    <t>VIBORG FJERNVARME</t>
  </si>
  <si>
    <t>VESTFORSYNING VARME A/S</t>
  </si>
  <si>
    <t>VESTERVIG FJERNVARME              V/BRIAN LAURIDSEN</t>
  </si>
  <si>
    <t>VESTEGNENS KRAFTVARMESELSKAB I/S</t>
  </si>
  <si>
    <t>VESLØS FJERNVARME AMBA</t>
  </si>
  <si>
    <t>VERDO VARME A/S</t>
  </si>
  <si>
    <t>VEMB VARMEVÆRK</t>
  </si>
  <si>
    <t>VEJLEG FJERNVARMECEN              V/LRS JENSEN</t>
  </si>
  <si>
    <t>Vejle Fjernvarme A M B A</t>
  </si>
  <si>
    <t>VEJLBY FJERNVARMECENTRAL</t>
  </si>
  <si>
    <t>VEJEN VARMEVÆRK</t>
  </si>
  <si>
    <t>VEJBY-TISVILDE FJERNVARME AMBA</t>
  </si>
  <si>
    <t>VEGGER VARMEVÆRK A M B A</t>
  </si>
  <si>
    <t>VEDDUM-SKELUND-VISBORG KRAFTVARMEVÆRK AMBA</t>
  </si>
  <si>
    <t>Varmeværket (pnr: 1003267160)</t>
  </si>
  <si>
    <t>VARDE VARMEFORSYNING A/S</t>
  </si>
  <si>
    <t>VAMDRUP FJERNVARME I M B A</t>
  </si>
  <si>
    <t>VALLENSBÆK FJERNVARMEVÆRK A M B A</t>
  </si>
  <si>
    <t>V HJERMITSLEV VARMEVÆRK</t>
  </si>
  <si>
    <t>ULSTRUP VARMEVÆRK A M B A</t>
  </si>
  <si>
    <t>ULSTED VARMEVÆRK</t>
  </si>
  <si>
    <t>ULFBORG FJERNVARME</t>
  </si>
  <si>
    <t>Uldum Varmeværk Amba</t>
  </si>
  <si>
    <t>Ulbjerg Kraft/Varme A M B A</t>
  </si>
  <si>
    <t>Uggelhuse-Langkastrup Kraftvarmeværk AMBA</t>
  </si>
  <si>
    <t>Tårs Varmeværk</t>
  </si>
  <si>
    <t>TÅRNBYFORSYNING VARME A/S</t>
  </si>
  <si>
    <t>Tørring Kraftvarmeværk</t>
  </si>
  <si>
    <t>TVIS TREKANTOMRÅDETS VARMETRANS   MISSIONSSELSKAB I/S</t>
  </si>
  <si>
    <t>Tversted Kraftvarmeværk A.M.B.A.</t>
  </si>
  <si>
    <t>TRUSTRUP-LYNGBY VARMEVÆRK AMBA</t>
  </si>
  <si>
    <t>TROLDHEDE FJERNVARME</t>
  </si>
  <si>
    <t>TRE-FOR VARME A/S</t>
  </si>
  <si>
    <t>TRANUM VARMEVÆRK</t>
  </si>
  <si>
    <t>TRANBJERG VARMEVÆRK A M B A</t>
  </si>
  <si>
    <t>TOMMERUP ST VARMEFORSYNING A M B A</t>
  </si>
  <si>
    <t>TOMMERUP BYS FJERNVARMEFORSYNING</t>
  </si>
  <si>
    <t>TISTRUP VARMEVÆRK</t>
  </si>
  <si>
    <t>Tim Kraftvarmeværk</t>
  </si>
  <si>
    <t>THYBORØN FJERNVARME A.M.B.A.</t>
  </si>
  <si>
    <t>THORSØ FJERNVARMEVÆRK A M B A</t>
  </si>
  <si>
    <t>THORSMINDE VARMEVÆRK A.M.B.A.</t>
  </si>
  <si>
    <t>Thorshøj Kraftvarmeværk Amba</t>
  </si>
  <si>
    <t>THORSAGER FJERNVARMEVÆRK A M B A</t>
  </si>
  <si>
    <t>THISTED VARMEFORSYNING A M B A</t>
  </si>
  <si>
    <t>TERNDRUP FJERNVARME A M B A</t>
  </si>
  <si>
    <t>TARM VARMEVÆRK A M B A</t>
  </si>
  <si>
    <t>SØNDERHOLM VARMEVÆRK AMBA</t>
  </si>
  <si>
    <t>SØNDERBORG FJERNVARME AMBA</t>
  </si>
  <si>
    <t>Søndbjerg Fjernvarme Amba</t>
  </si>
  <si>
    <t>SÆBY VARMEVÆRK A M B A</t>
  </si>
  <si>
    <t>SYDLANGELAND FJERNVARME A.M.B.A.</t>
  </si>
  <si>
    <t>SYDFALSTER VARMEVÆRK A M B A</t>
  </si>
  <si>
    <t>SVOGERSLEV FJERNVARMECENTRAL</t>
  </si>
  <si>
    <t>Svendborg Fjernvarme A.m.b.a</t>
  </si>
  <si>
    <t>SVEBØLLE-VISKINGE                 FJERNVARMESELSKAB A.M.B.A.        V/SVEND MYLLER</t>
  </si>
  <si>
    <t>Støvring Kraftvarmeværk A.m.b.a.</t>
  </si>
  <si>
    <t>STRUER FORSYNING FJERNVARME A/S</t>
  </si>
  <si>
    <t>STRANDBY VARMEVÆRK AMBA</t>
  </si>
  <si>
    <t>Stoholm Fjernvarmeværk</t>
  </si>
  <si>
    <t>STENSTRUP                         FJERNVARME AMBA</t>
  </si>
  <si>
    <t>STEGE FJERNVARME AMBA             POSTBOX 76</t>
  </si>
  <si>
    <t>ST. MERLØSE VARME A/S</t>
  </si>
  <si>
    <t>SPØTTRUP FJERNVARMEVÆRK</t>
  </si>
  <si>
    <t>SPJALD FJERNVARME- OG VANDVÆRK</t>
  </si>
  <si>
    <t>SOLRØD FJERNVARMEVÆRK A M B A</t>
  </si>
  <si>
    <t>Snertinge, Særslev, Føllenslev    Energiselskab A.M.B.A.</t>
  </si>
  <si>
    <t>SNEDSTED VARMEVÆRK</t>
  </si>
  <si>
    <t>SMØRUM KRAFTVARME AMBA</t>
  </si>
  <si>
    <t>SKÅRUP FJERNVARME</t>
  </si>
  <si>
    <t>Skørping Varmeværk</t>
  </si>
  <si>
    <t>SKOVSGAARD VARMEVÆRK</t>
  </si>
  <si>
    <t>SKOVLUND VARMEVÆRK</t>
  </si>
  <si>
    <t>SKJERN FJERNVARMECENTRAL</t>
  </si>
  <si>
    <t>SKANDERBORG FJERNVARMECENTRAL</t>
  </si>
  <si>
    <t>SKALS KRAFTVARMEVÆRK A.M.B.A.</t>
  </si>
  <si>
    <t>SKAGEN VARMEVÆRK AMBA</t>
  </si>
  <si>
    <t>SK VARME A/S</t>
  </si>
  <si>
    <t>SINDAL VARMEFORSYNING A M B A</t>
  </si>
  <si>
    <t>SILKEBORG FORSYNING ERHVERV A/S</t>
  </si>
  <si>
    <t>SIG VARMEVÆRK</t>
  </si>
  <si>
    <t>SEAS-NVE KV-NET A/S</t>
  </si>
  <si>
    <t>Sdr. Omme Varmeværk Amba</t>
  </si>
  <si>
    <t>Sdr. Nissum Fjernvarme I/S        Henry Toft/Britha Pilgaard Toft</t>
  </si>
  <si>
    <t>Sdr. Herreds Kraftvarmeværk A.m.b.a.</t>
  </si>
  <si>
    <t>SANDVED-TORNEMARK KRAFTVARMEVÆRK</t>
  </si>
  <si>
    <t>SALTUM FJERNVARMEVÆRK A M B A</t>
  </si>
  <si>
    <t>SAKSKØBING FJERNVARMESELSKAB      A M B A</t>
  </si>
  <si>
    <t>RØNNE VARME A/S</t>
  </si>
  <si>
    <t>RØNDE FJERNVARMEVÆRK</t>
  </si>
  <si>
    <t>Rødovre Kommune</t>
  </si>
  <si>
    <t>RØDKÆRSBRO FJERNVARMEVÆRK</t>
  </si>
  <si>
    <t>RØDDING VARMECENTRAL</t>
  </si>
  <si>
    <t>RØDBYHAVN FJERNVARME A M B A</t>
  </si>
  <si>
    <t>Rødby Varmeværk A M B A</t>
  </si>
  <si>
    <t>RÆHR FJERNVARME AMBA</t>
  </si>
  <si>
    <t>RYOMGAARD FJERNVARMEVÆRK</t>
  </si>
  <si>
    <t>RYE KRAFTVARMEVÆRK A.M.B.A.</t>
  </si>
  <si>
    <t>RY VARMEVÆRK A M B A</t>
  </si>
  <si>
    <t>ROSTRUP KRAFTVARMEVÆRK AMBA</t>
  </si>
  <si>
    <t>Roslev Fjernvarmeselskab A.m.b.A.</t>
  </si>
  <si>
    <t>ROSKILDE VARME A/S</t>
  </si>
  <si>
    <t>Rise Fjernvarme A.M.B.A.</t>
  </si>
  <si>
    <t>RINGSTED FJERNVARME A/S</t>
  </si>
  <si>
    <t>RINGKØBING FJERNVARMEVÆRK A M B A</t>
  </si>
  <si>
    <t>RINGE FJERNVARMESELSKAB A M B A   POSTBOKS 140</t>
  </si>
  <si>
    <t>REFA, STUBBEKØBING FJERNVARME A/S</t>
  </si>
  <si>
    <t>Refa, Kettinge Forsyning aps</t>
  </si>
  <si>
    <t>Refa, Horbelev Fjernvarme a/s</t>
  </si>
  <si>
    <t>Ravnkilde Kraftvarmeværk A M B A</t>
  </si>
  <si>
    <t>Rask Mølle Varmeværk</t>
  </si>
  <si>
    <t>RAMSING LEM LIHME KRAFTVARMEVÆRK AMBA</t>
  </si>
  <si>
    <t>RAMME VARMEVÆRK</t>
  </si>
  <si>
    <t>PRÆSTØ FJERNVARME</t>
  </si>
  <si>
    <t>PRÆSTBRO KRAFTVARMEVÆRK A M B A</t>
  </si>
  <si>
    <t>PINDSTRUP VARMEVÆRK A M B A</t>
  </si>
  <si>
    <t>PADBORG FJERNVARME A.M.B.A.                                         POSTBOKS 193</t>
  </si>
  <si>
    <t>OVTRUP VARMEVÆRK  AMBA</t>
  </si>
  <si>
    <t>OVERLUND FJERNVARMEVÆRK A M B A</t>
  </si>
  <si>
    <t>OUE KRAFTVARMEVÆRK A.M.B.A.</t>
  </si>
  <si>
    <t>ONSBJERG VARMEVÆRK ApS</t>
  </si>
  <si>
    <t>Odsherred Varme A/S</t>
  </si>
  <si>
    <t>Odder Forsyningsselskab I/S</t>
  </si>
  <si>
    <t>NØRRESUNDBY FJERNVARMEFORS AMBA</t>
  </si>
  <si>
    <t>NØRRE AABY KRAFTVARMEVÆRK AMBA</t>
  </si>
  <si>
    <t>Nørre Vorupør</t>
  </si>
  <si>
    <t>NØRRE SNEDE VARMEVÆRK</t>
  </si>
  <si>
    <t>NØRRE NEBEL FJERNVARME</t>
  </si>
  <si>
    <t>NØRRE-BROBY VARMEVÆRK</t>
  </si>
  <si>
    <t>NØRAGER VARMEVÆRK A.M.B.A.</t>
  </si>
  <si>
    <t>NÆSTVED VARMEVÆRK</t>
  </si>
  <si>
    <t>NYSTED VARMEVÆRK A.M.B.A</t>
  </si>
  <si>
    <t>NYKØBING SJ VARMEVÆRK</t>
  </si>
  <si>
    <t>NYKØBING M FJERNVARMEVÆRK A M B A</t>
  </si>
  <si>
    <t>NRGI LOKALVARME A/S</t>
  </si>
  <si>
    <t>Nr. Nissum Kraftvarme A.m.b.A.</t>
  </si>
  <si>
    <t>NR ALSLEV FJERNVARMEVÆRK A M B A</t>
  </si>
  <si>
    <t>AARS FJERNVARMEFORSYNING</t>
  </si>
  <si>
    <t>NORDBY FJERNVARME A M B A</t>
  </si>
  <si>
    <t>AALBORG KOMMUNE</t>
  </si>
  <si>
    <t>Nimtofte og Omegns Fjernvarmeforsyning</t>
  </si>
  <si>
    <t>AABENRAA-RØDEKRO FJERNVARME A.M.B.A.</t>
  </si>
  <si>
    <t>NIBE VARMEVÆRK A M B A</t>
  </si>
  <si>
    <t>ØSTERVRAA VARMEVÆRK</t>
  </si>
  <si>
    <t>NFS VARME A/S</t>
  </si>
  <si>
    <t>ØSTER TOREBY VARMEVÆRK</t>
  </si>
  <si>
    <t>ØSTER HURUP KRAFTVARMEVÆRK A.M.B.A.</t>
  </si>
  <si>
    <t>MØRKØV VARMEVÆRK AMBA</t>
  </si>
  <si>
    <t>ØSTER HORNUM VARMEVÆRK A.M.B.A.</t>
  </si>
  <si>
    <t>MØRKE FJERNVARMESELSKAB A M B A</t>
  </si>
  <si>
    <t>ØSTBIRK VARMEVÆRK A.M.B.A.</t>
  </si>
  <si>
    <t>Møldrup Varmeværk</t>
  </si>
  <si>
    <t>ØRUM VARMEVÆRK</t>
  </si>
  <si>
    <t>MOU KRAFTVARME AMBA</t>
  </si>
  <si>
    <t>ØLGOD FJERNVARMESELSKAB</t>
  </si>
  <si>
    <t>Mosede Fjernvarmeværk A.M.B.A</t>
  </si>
  <si>
    <t>ÆRØSKØBING FJERNVARME A.M.B.A.</t>
  </si>
  <si>
    <t>MORSØ VARME A/S</t>
  </si>
  <si>
    <t>VÆRUM - ØRUM KRAFTVARMEVÆRK</t>
  </si>
  <si>
    <t>Midtlangeland Fjernvarme</t>
  </si>
  <si>
    <t>VÆRLØSE VARMEVÆRK A.M.B.A.</t>
  </si>
  <si>
    <t>Middelfart Fjernvarme a.m.b.a.</t>
  </si>
  <si>
    <t>VORUPØR KRAFTVARMEVÆRK</t>
  </si>
  <si>
    <t>MELØSE - ST. LYNGBY ENERGISELSKAB A.M.B.A</t>
  </si>
  <si>
    <t>Mellerup Kraftvarme A.M.B.A.</t>
  </si>
  <si>
    <t>VOERSÅ KRAFTVARMEVÆRK A.M.B.A.</t>
  </si>
  <si>
    <t>Mejlby Kraftvarmeværk</t>
  </si>
  <si>
    <t>VINDERUP VARMEVÆRK A.M.B.A.</t>
  </si>
  <si>
    <t>MARSTAL FJERNVARME A M B A</t>
  </si>
  <si>
    <t>MARIAGER FJERNVARME A M B A</t>
  </si>
  <si>
    <t>Manna-Thise Kraftvarmeværk</t>
  </si>
  <si>
    <t>MALLING VARMEVÆRK AMBA</t>
  </si>
  <si>
    <t>VESTFORBRÆNDING I/S</t>
  </si>
  <si>
    <t>Løsning Fjernvarme A m b a</t>
  </si>
  <si>
    <t>VESTERVIG FJERNVARME A.M.B.A.</t>
  </si>
  <si>
    <t>Lørslev Fjernvarmeforsyning Amba</t>
  </si>
  <si>
    <t>LØNSTRUP VARMEFORSYNING AMBA</t>
  </si>
  <si>
    <t>Løkkensvejens Kraftvarmeværk Amba</t>
  </si>
  <si>
    <t>VEMB VARMEVÆRK A.M.B.A.</t>
  </si>
  <si>
    <t>Løkken Varmeværk</t>
  </si>
  <si>
    <t>VEJLE FJERNVARME A.M.B.A.</t>
  </si>
  <si>
    <t>LØJT KIRKEBY                      FJERNVARMESELSKAB AMBA</t>
  </si>
  <si>
    <t>LØGTEN-SKØDSTR FJERNVARMEV A M B A</t>
  </si>
  <si>
    <t>VEJEN VARMEVÆRK A.M.B.A.</t>
  </si>
  <si>
    <t>LØGSTØR FJERNVARMEVÆRK AMBA</t>
  </si>
  <si>
    <t>VEDDUM SKELUND VISBORG KRAFTVARMEVÆRK</t>
  </si>
  <si>
    <t>LØGSTRUP VARMEVÆRK A M B A</t>
  </si>
  <si>
    <t>VAMDRUP FJERNVARME A.M.B.A.</t>
  </si>
  <si>
    <t>LÆSØ VARME A/S</t>
  </si>
  <si>
    <t>VALLENSBÆK FJERNVARMEVÆRK A.M.B.A.</t>
  </si>
  <si>
    <t>LYSTRUP FJERNVARME A M B A</t>
  </si>
  <si>
    <t>V. HJERMITSLEV VARMEVÆRK</t>
  </si>
  <si>
    <t>LOLLAND VARME A/S</t>
  </si>
  <si>
    <t>ULSTED VARMEVÆRK A.M.B.A.</t>
  </si>
  <si>
    <t>LOHALS VARMEFORSYNING  A.M.B.A.</t>
  </si>
  <si>
    <t>ULFBORG FJERNVARME A.M.B.A.</t>
  </si>
  <si>
    <t>LENDUM KRAFTVARMEVÆRK AMBA</t>
  </si>
  <si>
    <t>ULDUM VARMEVÆRK A.M.B.A.</t>
  </si>
  <si>
    <t>LEMVIG VARMEVÆRK A M B A</t>
  </si>
  <si>
    <t>TAARS VARMEVÆRK A.M.B.A.</t>
  </si>
  <si>
    <t>LEM VARMEVÆRK</t>
  </si>
  <si>
    <t>Laurbjerg Kraftvarmeværk</t>
  </si>
  <si>
    <t>TØRRING KRAFTVARMEVÆRK</t>
  </si>
  <si>
    <t>LANGAA VARMEVÆRK AMBA</t>
  </si>
  <si>
    <t>TØNDER FJERNVARMESELSKAB A.M.B.A.</t>
  </si>
  <si>
    <t>LADING - FAJSTRUP VARMEFORSYNINGS-SELSKAB</t>
  </si>
  <si>
    <t>TVIS</t>
  </si>
  <si>
    <t>KØLVRÅ FJERNVARMECENTRAL</t>
  </si>
  <si>
    <t>TVERSTED KRAFTVARMEVÆRK</t>
  </si>
  <si>
    <t>KØGE VARME A/S</t>
  </si>
  <si>
    <t>TRUSTRUP-LYNGBY VARMEVÆRK</t>
  </si>
  <si>
    <t>KVÆRNDRUP FJERNVARMECENTRAL A M B A</t>
  </si>
  <si>
    <t>KONGERSLEV FJERNVARMEVÆRK AMBA</t>
  </si>
  <si>
    <t>TRANUM KRAFTVARMEVÆRK</t>
  </si>
  <si>
    <t>Kolind Fjernvarmeværk A/S</t>
  </si>
  <si>
    <t>TRANBJERG VARMEVÆRK A.M.B.A.</t>
  </si>
  <si>
    <t>Kloster Kraftvarmeværk</t>
  </si>
  <si>
    <t>TOMMERUP BYS FJERNVARMEF. A.M.B.A.</t>
  </si>
  <si>
    <t>KLOKKERHOLM FJERNVARME</t>
  </si>
  <si>
    <t>TOFTLUND FJERNVARME A.M.B.A.</t>
  </si>
  <si>
    <t>Klitmøller</t>
  </si>
  <si>
    <t>TIM KRAFTVARMEVÆRK</t>
  </si>
  <si>
    <t>Klinkby Kraftvarme A.m.b.A.</t>
  </si>
  <si>
    <t>KLEJTRUP VARMEVÆRK</t>
  </si>
  <si>
    <t>KJELLERUP FJERNVARME AMBA</t>
  </si>
  <si>
    <t>THORSHØJ KRAFTVARMEVÆRK</t>
  </si>
  <si>
    <t>KIBÆK VARMEVÆRK                   ADMINISTRATIONSKONTORET</t>
  </si>
  <si>
    <t>THISTED VARMEFORSYNING A.M.B.A.</t>
  </si>
  <si>
    <t>KERTEMINDE FORSYNING - VARME A/S</t>
  </si>
  <si>
    <t>TARM VARMEVÆRK</t>
  </si>
  <si>
    <t>SØNDERHOLM KRAFTVARMEVÆRK A.M.B.A.</t>
  </si>
  <si>
    <t>KE VARME P/S</t>
  </si>
  <si>
    <t>SØNDERBORG FJERNVARME A.M.B.A.</t>
  </si>
  <si>
    <t>KARUP VARMEVÆRK</t>
  </si>
  <si>
    <t>SÆBY VARMEVÆRK A.M.B.A.</t>
  </si>
  <si>
    <t>KALUNDBORG VARMEFORSYNING A/S</t>
  </si>
  <si>
    <t>K/S DIFKO LXV</t>
  </si>
  <si>
    <t>SYDFALSTER VARMEVÆRK A.M.B.A.</t>
  </si>
  <si>
    <t>Jægerspris Kraftvarme A.m.b.a.</t>
  </si>
  <si>
    <t>SVENDBORG FJERNVARME A.M.B.A.</t>
  </si>
  <si>
    <t>JYDERUP VARME A/S</t>
  </si>
  <si>
    <t>SVEBØLLE-VISKINGE FJERNVARMESELSKAB</t>
  </si>
  <si>
    <t>JETSMARK ENERGIVÆRK AMBA</t>
  </si>
  <si>
    <t>STØVRING KRAFTVARMEVÆRK A.M.B.A.</t>
  </si>
  <si>
    <t>JERSLEV VARMEVÆRK</t>
  </si>
  <si>
    <t>JELLING VARMEVÆRK</t>
  </si>
  <si>
    <t>STRANDBY VARMEVÆRK A.M.B.A.</t>
  </si>
  <si>
    <t>Ishøj Kommune</t>
  </si>
  <si>
    <t>SPJALD FJERNVARME-OG VANDVÆRK A.M.B.A.</t>
  </si>
  <si>
    <t>INGSTRUP FJERNVARME ANDELSSELSKAB</t>
  </si>
  <si>
    <t>SOLRØD FJERNVARMEVÆRK A.M.B.A</t>
  </si>
  <si>
    <t>IKAST VÆRKERNE VARME A/S</t>
  </si>
  <si>
    <t>SMØRUM KRAFTVARME A.M.B.A.</t>
  </si>
  <si>
    <t>SLAGSLUNDE FJERNVARME A.M.B.A</t>
  </si>
  <si>
    <t>I/S Vestforbrændingen</t>
  </si>
  <si>
    <t>SKØRPING VARMEVÆRK A.M.B.A.</t>
  </si>
  <si>
    <t>SKÆRBÆK FJERNVARME</t>
  </si>
  <si>
    <t>SKOVLUND VARMEVÆRK A.M.B.A.</t>
  </si>
  <si>
    <t>I/S SKIVE FJERNVARME</t>
  </si>
  <si>
    <t>SKJERN FJERNVARME CENTRAL</t>
  </si>
  <si>
    <t>I/S Nordforbrænding</t>
  </si>
  <si>
    <t>SKANDERBORG - HØRNING FJERNVARME A.M.B.A</t>
  </si>
  <si>
    <t>SKALS KRAFTVARMEVÆRK</t>
  </si>
  <si>
    <t>Haarby Kraft-Varme Amba</t>
  </si>
  <si>
    <t>SKAGEN VARMEVÆRK A.M.B.A.</t>
  </si>
  <si>
    <t>HØRBY VARMEVÆRK</t>
  </si>
  <si>
    <t>SINDAL VARMEFORSYNING A.M.B.A.</t>
  </si>
  <si>
    <t>HØNG VARMEVÆRK</t>
  </si>
  <si>
    <t>SILKEBORG FJERNVARME A/S</t>
  </si>
  <si>
    <t>HØJSLEV NR SØBY FJERNVARME</t>
  </si>
  <si>
    <t>HØJE TAASTRUP FJERNVARME A.M.B.A.</t>
  </si>
  <si>
    <t>SDR.FELDING VARMEVÆRK</t>
  </si>
  <si>
    <t>SDR. OMME VARMEVÆRK AMBA</t>
  </si>
  <si>
    <t>HYLLINGE-MENSTRUP KRAFTVARMEVÆRKER A M B A</t>
  </si>
  <si>
    <t>SALTUM FJERNVARMEVÆRK A.M.B.A.</t>
  </si>
  <si>
    <t>HVIDOVRE FJERNVARMESELSKAB AMBA</t>
  </si>
  <si>
    <t>SAKSKØBING FJERNVARMESELSKAB</t>
  </si>
  <si>
    <t>RØDOVRE KOMMUNALE FJERNVARMEFORSYNING</t>
  </si>
  <si>
    <t>HVIDEBÆK FJERNVARMEFORSYNING AMBA</t>
  </si>
  <si>
    <t>RØDKÆRSBRO FJERNVARMEVÆRK A.M.B.A.</t>
  </si>
  <si>
    <t>Hvide Sande Fjernvarme A.M.B.A.</t>
  </si>
  <si>
    <t>RØDBYHAVN FJERNVARME A.M.B.A.</t>
  </si>
  <si>
    <t>HVIDBJERG FJERNVARME A M B A</t>
  </si>
  <si>
    <t>RØDBY VARMEVÆRK A.M.B.A.</t>
  </si>
  <si>
    <t>Hvam-Gl Hvam Kraftvarmeværk AMBA</t>
  </si>
  <si>
    <t>RÆHR FJERNVARME</t>
  </si>
  <si>
    <t>HVALSØ VARMEVÆRK</t>
  </si>
  <si>
    <t>RYOMGAARD FJERNVARMEVÆRK A.M.B.A.</t>
  </si>
  <si>
    <t>HURUP FJERNVARME</t>
  </si>
  <si>
    <t>RYE KRAFTVARMEVÆRK</t>
  </si>
  <si>
    <t>HUNSEBY MAGLEMER VARMEVÆRK ApS</t>
  </si>
  <si>
    <t>RY VARMEVÆRK A.M.B.A.</t>
  </si>
  <si>
    <t>Hundslund-Oldrup Kraftvarmeværk Amba</t>
  </si>
  <si>
    <t>RVV A.M.B.A.</t>
  </si>
  <si>
    <t>HUNDESTED VARMEVÆRK AMBA</t>
  </si>
  <si>
    <t>RUNDHØJ FJERNVARME A.M.B.A.</t>
  </si>
  <si>
    <t>HOVEDGÅRD FJERNVARMEVÆRK AMBA</t>
  </si>
  <si>
    <t>HORSENS VARMEVÆRK A M B A</t>
  </si>
  <si>
    <t>RISE FJERNVARME A.M.B.A.</t>
  </si>
  <si>
    <t>HORNSLET FJERNVARMESELSKAB AMBA</t>
  </si>
  <si>
    <t>RINGSTED KOMMUNALE VARMEFORSYNING</t>
  </si>
  <si>
    <t>Hornbæk Fjernvarme Amba</t>
  </si>
  <si>
    <t>RINGKØBING FJERNVARMEVÆRK A.M.B.A.</t>
  </si>
  <si>
    <t>HOLSTED VARMEVÆRK</t>
  </si>
  <si>
    <t>RINGE FJERNVARMESELSKAB</t>
  </si>
  <si>
    <t>HOLME-LUNDSHØJ FJERNVARMEV A M B A</t>
  </si>
  <si>
    <t>RIBE FJERNVARME A.M.B.A.</t>
  </si>
  <si>
    <t>Holeby Fjernvarme</t>
  </si>
  <si>
    <t>RASK MØLLE VARMEVÆRK</t>
  </si>
  <si>
    <t>HOBRO VARMEVÆRK A M B A</t>
  </si>
  <si>
    <t>RAMSING-LEM-LIHME KRAFTVARMEVÆRK</t>
  </si>
  <si>
    <t>HMN Naturgas I/S</t>
  </si>
  <si>
    <t>PRÆSTØ FJERNVARME A.M.B.A.</t>
  </si>
  <si>
    <t>PINDSTRUP VARMEVÆRK</t>
  </si>
  <si>
    <t>PADBORG FJERNVARME A.M.B.A.</t>
  </si>
  <si>
    <t>HJØRRING VARMEFORSYNING A M B A</t>
  </si>
  <si>
    <t>OVERLUND FJERNVARMEVÆRK A.M.B.A.</t>
  </si>
  <si>
    <t>HJORDKÆR FJERNVARMEVÆRK AMBA</t>
  </si>
  <si>
    <t>OUTRUP VARMEVÆRK A.M.B.A.</t>
  </si>
  <si>
    <t>HJALLERUP FJERNVARMEVÆRK</t>
  </si>
  <si>
    <t>OKSBØL VARMEVÆRK</t>
  </si>
  <si>
    <t>HIRTSHALS FJERNVARME</t>
  </si>
  <si>
    <t>ODDER VARMEVÆRK A.M.B.A.</t>
  </si>
  <si>
    <t>HINNERUP FJERNVARME AMBA</t>
  </si>
  <si>
    <t>NØRRE-ALSLEV FJERNVARMEVÆRK A.M.B.A.</t>
  </si>
  <si>
    <t>HILLERØD VARME A/S</t>
  </si>
  <si>
    <t>NØRRE AABY KRAFTVARMEVÆRK A.M.B.A.</t>
  </si>
  <si>
    <t>HEMMET VARMEVÆRK AMBA</t>
  </si>
  <si>
    <t>NÆSTVED VARMEVÆRK A.M.B.A.</t>
  </si>
  <si>
    <t>HELSINGE FJERNVARME</t>
  </si>
  <si>
    <t>HEJNSVIG VARMEVÆRK A M B A</t>
  </si>
  <si>
    <t>NYKØBING S. VARMEVÆRK A.M.B.A.</t>
  </si>
  <si>
    <t>HEDENSTED FJERNVARME</t>
  </si>
  <si>
    <t>NYKØBING M. FJERNVARMEVÆRK A.M.B.A.</t>
  </si>
  <si>
    <t>HAVNDAL FJERNVARME A M B A</t>
  </si>
  <si>
    <t>NYBORG FORSYNING OG SERVICE A/S</t>
  </si>
  <si>
    <t>HASLEV FJERNVARME  I M B A</t>
  </si>
  <si>
    <t>NR. SNEDE VARMEVÆRK A.M.B.A.</t>
  </si>
  <si>
    <t>Hashøj Kraftvarmeforsyning AMBA</t>
  </si>
  <si>
    <t>NORDBY FJERNVARME A.M.B.A.</t>
  </si>
  <si>
    <t>HARBOØRE VARMEVÆRK A.M.B.A.       V/J.J. BIRCH</t>
  </si>
  <si>
    <t>NIMTOFTE OG OMEGNS</t>
  </si>
  <si>
    <t>HANSTHOLM VARMEVÆRK A M B A</t>
  </si>
  <si>
    <t>NIBE VARMEVÆRK A.M.B.A.</t>
  </si>
  <si>
    <t>HAMMERSHØJ FJERNVARMEVÆRK</t>
  </si>
  <si>
    <t>MØRKØV VARMEVÆRK A.M.B.A.</t>
  </si>
  <si>
    <t>HAMMEL FJERNVARME A M B A</t>
  </si>
  <si>
    <t>MØRKE FJERNVARME A.M.B.A.</t>
  </si>
  <si>
    <t>Halvrimmen - Arentsminde Kraftvarmeværk A M B A</t>
  </si>
  <si>
    <t>MØLHOLM VARMEVÆRK</t>
  </si>
  <si>
    <t>HALSNÆS KOMMUNALE                 VARMEFORSYNING A/S</t>
  </si>
  <si>
    <t>MØLDRUP VARMEVÆRK</t>
  </si>
  <si>
    <t>HALS FJERNVARME A M B A</t>
  </si>
  <si>
    <t>MOSEDE FJERNVARMEVÆRK A.M.B.A</t>
  </si>
  <si>
    <t>Hallund Kraftvarmeværk Amba</t>
  </si>
  <si>
    <t>MIDTLANGELAND FJERNVARME A.M.B.A.</t>
  </si>
  <si>
    <t>HADSUND FJERNVARMEVÆRK</t>
  </si>
  <si>
    <t>MIDDELFART FJERNVARME A.M.B.A.</t>
  </si>
  <si>
    <t>HADSTEN VARMEVÆRK A M B A</t>
  </si>
  <si>
    <t>MARSTAL FJERNVARME A.M.B.A.</t>
  </si>
  <si>
    <t>HADERUP KRAFTVARMEVÆRK A.M.B.A.</t>
  </si>
  <si>
    <t>MALLING VARMEVÆRK A.M.B.A.</t>
  </si>
  <si>
    <t>HADERSLEV FJERNVARME AMBA</t>
  </si>
  <si>
    <t>LØSNING FJERNVARME A.M.B.A.</t>
  </si>
  <si>
    <t>Gårslev Fjernvarme A.M.B.A.</t>
  </si>
  <si>
    <t>LØNSTRUP VARMEFORSYNING A.M.B.A.</t>
  </si>
  <si>
    <t>Gylling-Ørting-Falling Kraftvarmeværk A.M.B.A</t>
  </si>
  <si>
    <t>LØKKEN VARMEVÆRK A.M.B.A</t>
  </si>
  <si>
    <t>GULDBORGSUND VARME A/S</t>
  </si>
  <si>
    <t>LØGUMKLOSTER FJERNVARME A.M.B.A.</t>
  </si>
  <si>
    <t>GRÅSTEN FJERNVARME A.M.B.A.</t>
  </si>
  <si>
    <t>LØGSTØR FJERNVARMEVÆRK A.M.B.A.</t>
  </si>
  <si>
    <t>Græsted Fjernvarme Amba                                             Postboks 133</t>
  </si>
  <si>
    <t>LØGSTRUP VARMEVÆRK A.M.B.A.</t>
  </si>
  <si>
    <t>Grindsted El- og Varmeværk</t>
  </si>
  <si>
    <t>LYSTRUP FJERNVARME A.M.B.A.</t>
  </si>
  <si>
    <t>GREVE STRANDBY FJERNVARMEVÆRK     A.M.B.A</t>
  </si>
  <si>
    <t>LEMVIG VARMEVÆRK A.M.B.A.</t>
  </si>
  <si>
    <t>Greve Fjernvarmeværk A.m.b.a.</t>
  </si>
  <si>
    <t>GRENÅ VARMEVÆRK A M B A</t>
  </si>
  <si>
    <t>LAURBJERG KRAFTVARMEVÆRK</t>
  </si>
  <si>
    <t>Gram Fjernvarme</t>
  </si>
  <si>
    <t>LANGÅ VARMEVÆRK A.M.B.A.</t>
  </si>
  <si>
    <t>GLOSTRUP VARME A/S</t>
  </si>
  <si>
    <t>KVÆRNDRUP FJERNVARME A.M.B.A.</t>
  </si>
  <si>
    <t>GLAMSBJERG FJERNVARMECENTRAL</t>
  </si>
  <si>
    <t>KONGERSLEV FJERNVARMEVÆRK A.M.B.A.</t>
  </si>
  <si>
    <t>Gladsaxe Kommunes Fjernvarmeforsyning</t>
  </si>
  <si>
    <t>KJELLERUP FJERNVARME</t>
  </si>
  <si>
    <t>GJØL PRIVATE KRAFTVARMEVÆRK AMBA</t>
  </si>
  <si>
    <t>KIBÆK VARMEVÆRK  ANDELSSELSKAB</t>
  </si>
  <si>
    <t>GJERLEV FJERNVARMEVÆRK A.M.B.A.</t>
  </si>
  <si>
    <t>KARUP VARMEVÆRK A.M.B.A.</t>
  </si>
  <si>
    <t>GIVE FJERNVARME A M B A</t>
  </si>
  <si>
    <t>KALUNDBORG FORSYNING A/S</t>
  </si>
  <si>
    <t>GILLELEJE FJERNVARME A M B A</t>
  </si>
  <si>
    <t>JÆGERSPRIS KRAFTVARME A.M.B.A.</t>
  </si>
  <si>
    <t>GERN VARMEVÆRK A M B A</t>
  </si>
  <si>
    <t>JERSLEV VARMEVÆRK A.M.B.A.</t>
  </si>
  <si>
    <t>Gentofte Kommune</t>
  </si>
  <si>
    <t>ISHØJ VARMEVÆRK</t>
  </si>
  <si>
    <t>GENNER, HELLEVAD OG HOVSLUND      FORENEDE KRAFT- VARMEVÆRKER       A.M.B.A</t>
  </si>
  <si>
    <t>GELSTED FJERNVARMECENTRAL</t>
  </si>
  <si>
    <t>GEDSTED VARMEVÆRK A M B A</t>
  </si>
  <si>
    <t>HØNG VARMEVÆRK A.M.B.A.</t>
  </si>
  <si>
    <t>Gedser Fjernvarme</t>
  </si>
  <si>
    <t>GAUERSLUND FJERNVARME A M B A</t>
  </si>
  <si>
    <t>HVIDOVRE MIDT A.M.B.A</t>
  </si>
  <si>
    <t>Gassum-Hvidsten Kraftvarmeværk AMBA</t>
  </si>
  <si>
    <t>HVIDEBÆK FJERNVARMEFORSYNING</t>
  </si>
  <si>
    <t>GARTNERNES FJERNVARMEFORSYNING    I ODENSE NORD ApS</t>
  </si>
  <si>
    <t>HVIDE SANDE FJERNVARME A.M.B.A.</t>
  </si>
  <si>
    <t>GARTNERES VARMEFORSYNING I ÅSUM   OG LANGESKOV ApS</t>
  </si>
  <si>
    <t>HVIDBJERG FJERNVARME A.M.B.A.</t>
  </si>
  <si>
    <t>HVALSØ KRAFTVARMEVÆRK A.M.B.A.</t>
  </si>
  <si>
    <t>GARTNERES VARMEFORSYNING I        LINDVED ApS</t>
  </si>
  <si>
    <t>HVALPSUND KRAFTVARME A.M.B.A.</t>
  </si>
  <si>
    <t>HURUP FJERNVARME A.M.B.A.</t>
  </si>
  <si>
    <t>GARTNERES VARMEFORSYNING          I BELLINGE - FANGEL ApS</t>
  </si>
  <si>
    <t>HOVEDGAARD FJERNVARMEVÆRK A.M.B.A</t>
  </si>
  <si>
    <t>HORSENS VARMEVÆRK A.M.B.A.</t>
  </si>
  <si>
    <t>GANDRUP - VESTER-HASSING          VARMEVÆRK A M B A</t>
  </si>
  <si>
    <t>HORNSLET FJERNVARME A.M.B.A.</t>
  </si>
  <si>
    <t>GALTEN VARMEVÆRK A M B A</t>
  </si>
  <si>
    <t>HORNBÆK FJERNVARME</t>
  </si>
  <si>
    <t>Fårvang Varmeværk</t>
  </si>
  <si>
    <t>HOLTE FJERNVARME A.M.B.A.</t>
  </si>
  <si>
    <t>FUR KRAFTVARMEVÆRK AMBA</t>
  </si>
  <si>
    <t>HOLSTED VARMEVÆRK A.M.B.A.</t>
  </si>
  <si>
    <t>FUGLEBJERG FJERNVARMEVÆRK</t>
  </si>
  <si>
    <t>HOLME-LUNDSHØJ FJERNVARME</t>
  </si>
  <si>
    <t>FRØSTRUP VARMEVÆRK A M B A</t>
  </si>
  <si>
    <t>HOFOR</t>
  </si>
  <si>
    <t>FREDERIKSHAVN VARME A/S</t>
  </si>
  <si>
    <t>HOBRO VARMEVÆRK A.M.B.A.</t>
  </si>
  <si>
    <t>Frederiksberg Forsyning</t>
  </si>
  <si>
    <t>HJØRRING VARMEFORSYNING</t>
  </si>
  <si>
    <t>FREDERIKS VARMEVÆRK A M B A</t>
  </si>
  <si>
    <t>HJORDKÆR FJERNVARMEVÆRK</t>
  </si>
  <si>
    <t>FREDERICIA FJERNVARME A.M.B.A.</t>
  </si>
  <si>
    <t>HJALLERUP FJERNVARME ANDELSSELSKAB</t>
  </si>
  <si>
    <t>FORSYNING HELSINGØR SERVICE A/S</t>
  </si>
  <si>
    <t>HIRTSHALS FJERNVARME A.M.B.A.</t>
  </si>
  <si>
    <t>FORSYNING HELSINGØR - VARME A/S</t>
  </si>
  <si>
    <t>HINNERUP FJERNVARME A.M.B.A.</t>
  </si>
  <si>
    <t>FLAUENSKJOLD FJERNV               V/B NIELSEN</t>
  </si>
  <si>
    <t>FJERRITSLEV FJERNVARME</t>
  </si>
  <si>
    <t>HAVNDAL FJERNVARME A.M.B.A.</t>
  </si>
  <si>
    <t>FJERNVARMEFORSYNINGEN I Ø TOREBY, TOREBY, SUNDBY OG NAGELSTI AMBA</t>
  </si>
  <si>
    <t>HASLEV FJERNVARME I.M.B.A.</t>
  </si>
  <si>
    <t>Fjernvarmecentralen Avedøre Holme</t>
  </si>
  <si>
    <t>HASHØJ KRAFTVARMEFORSYNING</t>
  </si>
  <si>
    <t>FJERNVARME FYN A/S</t>
  </si>
  <si>
    <t>HARBOØRE VARMEVÆRK A.M.B.A.</t>
  </si>
  <si>
    <t>HAMMEL FJERNVARME A.M.B.A.</t>
  </si>
  <si>
    <t>FJELLERAD KRAFTVARMEVÆRK AMBA</t>
  </si>
  <si>
    <t>HALVRIMMEN-ARENTSMINDE KRAFTVARMEVÆRK</t>
  </si>
  <si>
    <t>FILSKOV ENERGISELSKAB A M B A</t>
  </si>
  <si>
    <t>HALS FJERNVARME A.M.B.A.</t>
  </si>
  <si>
    <t>FFV VARME A/S</t>
  </si>
  <si>
    <t>HADSUND BY'S FJERNVARMEVÆRK A.M.B.A.</t>
  </si>
  <si>
    <t>FERRITSLEV FJERNVARME A.M.B.A.</t>
  </si>
  <si>
    <t>HADSTEN VARMEVÆRK</t>
  </si>
  <si>
    <t>FENSMARK FJERNVARMEVÆRK A M B A</t>
  </si>
  <si>
    <t>HADERSLEV FJERNVARME</t>
  </si>
  <si>
    <t>FELDBORG KRAFTVARMEVÆRK A.M.B.A.</t>
  </si>
  <si>
    <t>GØRDING VARMEVÆRK A.M.B.A.</t>
  </si>
  <si>
    <t>FAXE FJERNVARMESELSKAB A M B A</t>
  </si>
  <si>
    <t>GYLLING-ØRTING-FALLING KRAFTVARMEVÆRK</t>
  </si>
  <si>
    <t>FARUM FJERNVARME A M B A</t>
  </si>
  <si>
    <t>GULDBORGSUND FORSYNING VARME</t>
  </si>
  <si>
    <t>Farsø Varmeværk A M B A</t>
  </si>
  <si>
    <t>GRÅSTEN VARME A/S</t>
  </si>
  <si>
    <t>ESBJERG VARME A/S</t>
  </si>
  <si>
    <t>GRÆSTED FJERNVARME</t>
  </si>
  <si>
    <t>GREVE FJERNVARMEVÆRK</t>
  </si>
  <si>
    <t>ENERGIGRUPPEN JYLLAND VARME A/S</t>
  </si>
  <si>
    <t>GRENAA VARMEVÆRK A.M.B.A.</t>
  </si>
  <si>
    <t>GRAM FJERNVARME</t>
  </si>
  <si>
    <t>ELLIDSHØJ-FERSLEV KRAFTVARMEVÆRK A M B A</t>
  </si>
  <si>
    <t>GLYNGØRE FJERNVARMEVÆRK</t>
  </si>
  <si>
    <t>Ellehavegaard Energy I/S v/Peter og Inge-Merete Palle Pedersen</t>
  </si>
  <si>
    <t>GLOSTRUP FORSYNING</t>
  </si>
  <si>
    <t>Ejstrupholm Varmeværk A. m. b. a.</t>
  </si>
  <si>
    <t>GJØL PRIVATE KRAFTVARMEVÆRK</t>
  </si>
  <si>
    <t>Ejsing Fjernvarmeforsyning A.M.B.A</t>
  </si>
  <si>
    <t>GILLELEJE FJERNVARME A.M.B.A.</t>
  </si>
  <si>
    <t>Ejby Fjernvarmecentral AMBA</t>
  </si>
  <si>
    <t>GEV VARME A/S</t>
  </si>
  <si>
    <t>Egtved Varmeværk A.M.B.A.</t>
  </si>
  <si>
    <t>GENNER-HELLEVAD-HOVSLUND</t>
  </si>
  <si>
    <t>EBELTOFT FJERNVARMEVÆRK</t>
  </si>
  <si>
    <t>GELSTED FJERNVARME</t>
  </si>
  <si>
    <t>E.ON VARME DANMARK ApS</t>
  </si>
  <si>
    <t>GAUERSLUND FJERNVARME A.M.B.A.</t>
  </si>
  <si>
    <t>LTMEH</t>
  </si>
  <si>
    <t>GANDRUP VESTER-HASSING VARMEFORSYNING</t>
  </si>
  <si>
    <t>GALTEN VARMEVÆRK</t>
  </si>
  <si>
    <t>E.ON DANMARK A/S</t>
  </si>
  <si>
    <t>FUGLEBJERG FJERNVARME</t>
  </si>
  <si>
    <t>Dybvad Varmeværk</t>
  </si>
  <si>
    <t>DURUP FJERNVARME</t>
  </si>
  <si>
    <t>FREDERIKSBERG FJERNVARME A/S</t>
  </si>
  <si>
    <t>DTU-HF A.m.b.a.</t>
  </si>
  <si>
    <t>Winter</t>
  </si>
  <si>
    <t>Autumn</t>
  </si>
  <si>
    <t>Summer</t>
  </si>
  <si>
    <t>Spring</t>
  </si>
  <si>
    <t>MTEH</t>
  </si>
  <si>
    <t>FREDERIKS VARMEVÆRK A.M.B.A.</t>
  </si>
  <si>
    <t>DRONNINGLUND FJERNVARMEVÆRK AMBA</t>
  </si>
  <si>
    <t>DONG GAS DISTRIBUTION A/S</t>
  </si>
  <si>
    <t>DONG ENERGY GASFORSYNING A/S</t>
  </si>
  <si>
    <t>FJERNVARMECENTRALEN AVEDØRE HOLME</t>
  </si>
  <si>
    <t>DONG ENERGY A/S</t>
  </si>
  <si>
    <t>DAGNÆS-BÆKKELUND VARMEVÆRK</t>
  </si>
  <si>
    <t>FILSKOV ENERGISELSKAB</t>
  </si>
  <si>
    <t>Christian Højer</t>
  </si>
  <si>
    <t>FENSMARK FJERNVARMEVÆRK A.M.B.A.</t>
  </si>
  <si>
    <t>CHR FELD FJERNVS AMBA</t>
  </si>
  <si>
    <t>FAXE FJERNVARMESELSKAB A.M.B.A.</t>
  </si>
  <si>
    <t>BØVLING VARMEVÆRK</t>
  </si>
  <si>
    <t>FARSØ VARMEVÆRK A.M.B.A.</t>
  </si>
  <si>
    <t>BÆLUM VARMEVÆRK AMBA</t>
  </si>
  <si>
    <t>ESBJERG FORSYNING A/S</t>
  </si>
  <si>
    <t>Bækmarksbro Varmeværk A.M.B.A.</t>
  </si>
  <si>
    <t>ENERGIMIDT - ENERGIGRUPPEN JYLLAND A/S</t>
  </si>
  <si>
    <t>BRØRUP FJERNVARME A M B A</t>
  </si>
  <si>
    <t>Ret_temp_wint</t>
  </si>
  <si>
    <t>Supp_temp_wint</t>
  </si>
  <si>
    <t>Ret_temp_aut</t>
  </si>
  <si>
    <t>Supp_temp_aut</t>
  </si>
  <si>
    <t>Ret_temp_summ</t>
  </si>
  <si>
    <t>Supp_temp_summ</t>
  </si>
  <si>
    <t>Ret_temp_sspr</t>
  </si>
  <si>
    <t>Supp_temp_spr</t>
  </si>
  <si>
    <t>ENERGI VIBORG KRAFTVARME A/S</t>
  </si>
  <si>
    <t>BRØNDERSLEV VARME A/S</t>
  </si>
  <si>
    <t>WINTER</t>
  </si>
  <si>
    <t>AUTUMN</t>
  </si>
  <si>
    <t>SUMMER</t>
  </si>
  <si>
    <t>SPRING</t>
  </si>
  <si>
    <t>ELLIDSHØJ-FERSLEV KRAFTVARMEVÆRK</t>
  </si>
  <si>
    <t>BRØNDBY FJERNVARME A M B A</t>
  </si>
  <si>
    <t>EJSTRUPHOLM VARMEVÆRK</t>
  </si>
  <si>
    <t>Water</t>
  </si>
  <si>
    <t>https://www.seatemperature.org/europe/denmark/</t>
  </si>
  <si>
    <t>EJSING FJERNVARMEFORSYNING A.M.B.A.</t>
  </si>
  <si>
    <t>BRÆDSTRUP FJERNVARME A M B A</t>
  </si>
  <si>
    <t>Soil</t>
  </si>
  <si>
    <t>EJBY FJERNVARME A.M.B.A.</t>
  </si>
  <si>
    <t>BROVST FJERNVARME ANDELSSELSKAB</t>
  </si>
  <si>
    <t>Air</t>
  </si>
  <si>
    <t>EGEDAL FJERNVARME A/S</t>
  </si>
  <si>
    <t>BROAGER FJERNVARMESELSKAB AMBA</t>
  </si>
  <si>
    <t>EBELTOFT FJERNVARMEVÆRK A.M.B.A.</t>
  </si>
  <si>
    <t>Bredsten-Balle Kraftvarmeværk amba</t>
  </si>
  <si>
    <t>DYBVAD VARMEVÆRK A.M.B.A.</t>
  </si>
  <si>
    <t>Brande Fjernvarme</t>
  </si>
  <si>
    <t>Based on similar assumptions for DH temperatures as stated in the technology catalog 2017 from the Danish energy agency</t>
  </si>
  <si>
    <t>Future COP Values</t>
  </si>
  <si>
    <t>Boulstrup-Hou Kraftvarmeværk AMBA</t>
  </si>
  <si>
    <t>DAGNÆS-BÆKKELUND VARMEVÆRK A.M.B.A.</t>
  </si>
  <si>
    <t>CHRISTIANSFELD FJERNVARMESELSKAB A.M.B.A</t>
  </si>
  <si>
    <t>BORUP VARMEVÆRK A M B A</t>
  </si>
  <si>
    <t>BÆLUM VARMEVÆRK A.M.B.A.</t>
  </si>
  <si>
    <t>BORNHOLMS VARME A/S</t>
  </si>
  <si>
    <t>Historical average temperatures denmark</t>
  </si>
  <si>
    <t>BÆKMARKSBRO VARMEVÆRK A.M.B.A.</t>
  </si>
  <si>
    <t>Bogense Forsyningsselskab</t>
  </si>
  <si>
    <t>BRØRUP FJERNVARME A.M.B.A.</t>
  </si>
  <si>
    <t>BLÅHØJ ENERGISELSKAB A.M.B.A.</t>
  </si>
  <si>
    <t>BRØNDBY FJERNVARME A.M.B.A.</t>
  </si>
  <si>
    <t>BLENSTRUP KRAFTVARMEVÆRK A.M.B.A.</t>
  </si>
  <si>
    <t>BRÆDSTRUP FJERNVARME A.M.B.A.</t>
  </si>
  <si>
    <t>BJERRINGBRO VARMEVÆRK AMBA</t>
  </si>
  <si>
    <t>BROVST FJERNVARME A.M.B.A.</t>
  </si>
  <si>
    <t>BINDSLEV FJERNVARME A M B A</t>
  </si>
  <si>
    <t>Waste heat 40 Degrees</t>
  </si>
  <si>
    <t>BROAGER FJERNVARMESELSKAB A.M.B.A.</t>
  </si>
  <si>
    <t>Billund Varmeværk A.m.b.a.</t>
  </si>
  <si>
    <t>BREDSTEN-BALLE KRAFTVARMEVÆRK</t>
  </si>
  <si>
    <t>BEDSTED FJERNVARME AMBA           V/KNUD OLE HENRIKSEN</t>
  </si>
  <si>
    <t>BREDEBRO VARMEVÆRK A.M.B.A.</t>
  </si>
  <si>
    <t>BALLING FJERNVARMEVÆRK AMBA</t>
  </si>
  <si>
    <t>BRANDE FJERNVARME AMBA</t>
  </si>
  <si>
    <t>Ballen-Brundby Fjernvarme Amba</t>
  </si>
  <si>
    <t>Waste heat 20 Degrees</t>
  </si>
  <si>
    <t>BRAMMING FJERNVARME A.M.B.A.</t>
  </si>
  <si>
    <t>Avedøre Fjernvarme</t>
  </si>
  <si>
    <t>BOULSTRUP-HOU KRAFTVARMEVÆRK A.M.B.A.</t>
  </si>
  <si>
    <t>AUNING VARMEVÆRK A M B A</t>
  </si>
  <si>
    <t>BORUP VARMEVÆRK</t>
  </si>
  <si>
    <t>AULUM FJERNVARME AMBA</t>
  </si>
  <si>
    <t>BOGENSE FORSYNINGSSELSKAB A.M.B.A.</t>
  </si>
  <si>
    <t>AUGUSTENBORG FJERNVARME A M B A</t>
  </si>
  <si>
    <t>´5-10</t>
  </si>
  <si>
    <t>0-18</t>
  </si>
  <si>
    <t>Heat pump, ambient</t>
  </si>
  <si>
    <t>BJERRINGBRO VARMEVÆRK A.M.B.A.</t>
  </si>
  <si>
    <t>ASÅ VARMEVÆRK                     V/POUL NIELSEN</t>
  </si>
  <si>
    <t>BINDSLEV FJERNVARME A.M.B.A.</t>
  </si>
  <si>
    <t>ASTRUP KRAFTVARMEVÆRK A.M.B.A.</t>
  </si>
  <si>
    <t>BILLUND VARMEVÆRK A.M.B.A.</t>
  </si>
  <si>
    <t>ASSENS FJERNVARME A M B A</t>
  </si>
  <si>
    <t>°K</t>
  </si>
  <si>
    <t>BEDSTED FJERNVARME</t>
  </si>
  <si>
    <t>ARDEN VARMEVÆRK AMBA</t>
  </si>
  <si>
    <t>BALLING FJERNVARMEVÆRK A.M.B.A.</t>
  </si>
  <si>
    <t>ANSAGER VARMEVÆRK</t>
  </si>
  <si>
    <t>Off-Design Eff.</t>
  </si>
  <si>
    <t>AULUM FJERNVARME A.M.B.A.</t>
  </si>
  <si>
    <t>ANS FJERNVARMEVÆRK A M B A</t>
  </si>
  <si>
    <t>Lorentz Eff.</t>
  </si>
  <si>
    <t>Carnot Eff.</t>
  </si>
  <si>
    <t>AUGUSTENBORG FJERNVARME A.M.B.A.</t>
  </si>
  <si>
    <t>ANDELSSELSKABET OKSBØL VARMEVÆRK</t>
  </si>
  <si>
    <t>°C</t>
  </si>
  <si>
    <t>HTEH</t>
  </si>
  <si>
    <r>
      <rPr>
        <sz val="11"/>
        <color theme="1"/>
        <rFont val="Verdana"/>
        <family val="2"/>
      </rPr>
      <t>°</t>
    </r>
    <r>
      <rPr>
        <sz val="11"/>
        <color theme="1"/>
        <rFont val="Calibri"/>
        <family val="2"/>
      </rPr>
      <t>C</t>
    </r>
  </si>
  <si>
    <t>ASAA FJERNVARME</t>
  </si>
  <si>
    <t>ANDELSSELSKABET MØLHOLM VARMEVÆRK</t>
  </si>
  <si>
    <t>Lorentz efficiency, High</t>
  </si>
  <si>
    <t>Lorentz efficiency, Low</t>
  </si>
  <si>
    <t>Lorentz efficiency, mean</t>
  </si>
  <si>
    <t>vand</t>
  </si>
  <si>
    <t>luft</t>
  </si>
  <si>
    <t>Source, out</t>
  </si>
  <si>
    <t>Source, in</t>
  </si>
  <si>
    <t>DH T out</t>
  </si>
  <si>
    <t>DH T in</t>
  </si>
  <si>
    <t>COP High</t>
  </si>
  <si>
    <t>COP Low</t>
  </si>
  <si>
    <t>COP mean</t>
  </si>
  <si>
    <t>Tech</t>
  </si>
  <si>
    <t>ASSENS FJERNVARME - FYN</t>
  </si>
  <si>
    <t>LTEH</t>
  </si>
  <si>
    <t>ANSAGER VARMEVÆRK A.M.B.A.</t>
  </si>
  <si>
    <t>ALS FJERNVARME AMBA</t>
  </si>
  <si>
    <t>Tech catalogue Lorents efficiency calculation</t>
  </si>
  <si>
    <t>Outlet temp</t>
  </si>
  <si>
    <t>Avg. EH Delta_T</t>
  </si>
  <si>
    <t>Avg. EH T</t>
  </si>
  <si>
    <t>ALS FJERNVARME A.M.B.A.</t>
  </si>
  <si>
    <t>ALLINGÅBRO VARMEVÆRK A M B A</t>
  </si>
  <si>
    <t>Assumptions</t>
  </si>
  <si>
    <t>ALLINGÅBRO VARMEVÆRK A.M.B.A.</t>
  </si>
  <si>
    <t>Allerød Kommune</t>
  </si>
  <si>
    <t>The COP values for the excess heat heat pumps has been calculated using Lorentz formula of efficiency, with assumptions showed in the table. Future Temperatures of DH grid, based on similar assumptions made by the Danish Energy agency, are used for calculatiung future COP values for HP</t>
  </si>
  <si>
    <t>The COP values for the excess heat heat pumps has been calculated using Carnot´s formula of efficiency, with assumptions showed in the table. Future Temperatures of DH grid, based on similar assumptions made by the Danish Energy agency, are used for calculatiung future COP values for HP</t>
  </si>
  <si>
    <t>AFFALDVARME AARHUS</t>
  </si>
  <si>
    <t>AGERSTED VARMEVÆRK</t>
  </si>
  <si>
    <t>Net_loss_perc</t>
  </si>
  <si>
    <t>Cooling</t>
  </si>
  <si>
    <t>Internt energitab</t>
  </si>
  <si>
    <t>DKE_DKW</t>
  </si>
  <si>
    <t>Cen_Dec</t>
  </si>
  <si>
    <t>CVR_number</t>
  </si>
  <si>
    <t>forsytekst</t>
  </si>
  <si>
    <t>OBJECTID</t>
  </si>
  <si>
    <t>Look up value</t>
  </si>
  <si>
    <t>Tractor</t>
  </si>
  <si>
    <t>Van</t>
  </si>
  <si>
    <t>PnD</t>
  </si>
  <si>
    <t>Pick up and delivery</t>
  </si>
  <si>
    <t>Vocational</t>
  </si>
  <si>
    <t>Heavy duty trucks also used used during construction &amp; mining</t>
  </si>
  <si>
    <t>NACFE</t>
  </si>
  <si>
    <t>Long distance semi trucks</t>
  </si>
  <si>
    <t>Mass in kg</t>
  </si>
  <si>
    <t>fuel consumption in gallon/mile (gpm) for charge sustaining and depleting modes</t>
  </si>
  <si>
    <t>energy consumption in Wh/mile (Whpm)</t>
  </si>
  <si>
    <t>Component Power</t>
  </si>
  <si>
    <t>daily fuel consumption assuming max range</t>
  </si>
  <si>
    <t>Weighted freight fuel consumption</t>
  </si>
  <si>
    <t>retail price equivalent of the components with learning costs ($)</t>
  </si>
  <si>
    <t>Retail Price ($)</t>
  </si>
  <si>
    <t>Case</t>
  </si>
  <si>
    <t>Class</t>
  </si>
  <si>
    <t>Purpose</t>
  </si>
  <si>
    <t>Powertrain</t>
  </si>
  <si>
    <t>RegulatoryCode</t>
  </si>
  <si>
    <t>TestMass</t>
  </si>
  <si>
    <t>CargoMass</t>
  </si>
  <si>
    <t>Battery kWh (Total)</t>
  </si>
  <si>
    <t>gpm_ARB</t>
  </si>
  <si>
    <t>gpm_EPA_55</t>
  </si>
  <si>
    <t>gpm_EPA_65</t>
  </si>
  <si>
    <t>gpm_CD_ARB</t>
  </si>
  <si>
    <t>gpm_CD_EPA_55</t>
  </si>
  <si>
    <t>gpm_CD_EPA_65</t>
  </si>
  <si>
    <t>Whpm_ARB</t>
  </si>
  <si>
    <t>Whpm_EPA_55</t>
  </si>
  <si>
    <t>Whpm_EPA_65</t>
  </si>
  <si>
    <t>Whpm_CD_ARB</t>
  </si>
  <si>
    <t>Whpm_CD_EPA_55</t>
  </si>
  <si>
    <t>Whpm_CD_EPA_65</t>
  </si>
  <si>
    <t>Engine (kW)</t>
  </si>
  <si>
    <t>Motor (kW)</t>
  </si>
  <si>
    <t>Battery (kW)</t>
  </si>
  <si>
    <t>Battery (kWh)</t>
  </si>
  <si>
    <t>Fuel cell (kW)</t>
  </si>
  <si>
    <t>ARB (gallons)</t>
  </si>
  <si>
    <t>EPA55 (gallons)</t>
  </si>
  <si>
    <t>EPA65 (gallons)</t>
  </si>
  <si>
    <t>gallon/1000mile-ton</t>
  </si>
  <si>
    <t>Engine</t>
  </si>
  <si>
    <t>Motor</t>
  </si>
  <si>
    <t>Battery</t>
  </si>
  <si>
    <t>Transmission</t>
  </si>
  <si>
    <t>Chassis</t>
  </si>
  <si>
    <t>Weight reduction</t>
  </si>
  <si>
    <t>Aero Improvments</t>
  </si>
  <si>
    <t>Fuel cell</t>
  </si>
  <si>
    <t>Tank</t>
  </si>
  <si>
    <t>Vehicle</t>
  </si>
  <si>
    <t>Conv</t>
  </si>
  <si>
    <t>ISG</t>
  </si>
  <si>
    <t>HEV</t>
  </si>
  <si>
    <t>PHEV</t>
  </si>
  <si>
    <t>BEV</t>
  </si>
  <si>
    <t>FCHEV</t>
  </si>
  <si>
    <t>Overall average values for all vehicles</t>
  </si>
  <si>
    <t>Utility</t>
  </si>
  <si>
    <t>non defined vehicles</t>
  </si>
  <si>
    <t>GJ/Gallon</t>
  </si>
  <si>
    <t>PJ/mileton</t>
  </si>
  <si>
    <t>It is assumed the average vehicle is used 10 % of its total daily range this alligns with teh calculation of AFA for tractors in denmark</t>
  </si>
  <si>
    <t>Number of tractors calculated</t>
  </si>
  <si>
    <t xml:space="preserve">Number of tractors in Denmark,https://effektivtlandbrug.landbrugnet.dk/traktorstatistik/faldende-traktorsalg-i-danmark.aspx </t>
  </si>
  <si>
    <t>PJ diesel in agriculture sector for tractors and other diesel fuel consumption</t>
  </si>
  <si>
    <t>GJ/day</t>
  </si>
  <si>
    <t>GJ/Year</t>
  </si>
  <si>
    <t>CAPUNIT</t>
  </si>
  <si>
    <t>Efficiency, relative to 2017 values</t>
  </si>
  <si>
    <t>AFA (PJ/Year)</t>
  </si>
  <si>
    <t>INDH2</t>
  </si>
  <si>
    <t>Kvehicle</t>
  </si>
  <si>
    <t>CAPprice/Pj</t>
  </si>
  <si>
    <t>INDNGA,INDSNG,INDBGA,INDH2,INDSYN</t>
  </si>
  <si>
    <t>INDDSL,INDDSB,INDHFO,INDGSB</t>
  </si>
  <si>
    <t>ICDPH</t>
  </si>
  <si>
    <t>ICDSH</t>
  </si>
  <si>
    <t>IGDPH</t>
  </si>
  <si>
    <t>IGDSH</t>
  </si>
  <si>
    <t>IFDPH</t>
  </si>
  <si>
    <t>IFDSH</t>
  </si>
  <si>
    <t>IMDPH</t>
  </si>
  <si>
    <t>IMDSH</t>
  </si>
  <si>
    <t>ISDPH</t>
  </si>
  <si>
    <t>ISDSH</t>
  </si>
  <si>
    <t>IIDPH</t>
  </si>
  <si>
    <t>IIDSH</t>
  </si>
  <si>
    <t>IODPH</t>
  </si>
  <si>
    <t>IODSH</t>
  </si>
  <si>
    <t>IWDPH</t>
  </si>
  <si>
    <t>IWDSH</t>
  </si>
  <si>
    <t>IRDPH</t>
  </si>
  <si>
    <t>IRDSH</t>
  </si>
  <si>
    <t>Transport</t>
  </si>
  <si>
    <t>IADPH</t>
  </si>
  <si>
    <t>IADSH</t>
  </si>
  <si>
    <t>IADLA</t>
  </si>
  <si>
    <t>IADEM</t>
  </si>
  <si>
    <t>IADTF</t>
  </si>
  <si>
    <t>IADFL</t>
  </si>
  <si>
    <t>Source is subres values from Commercial sector</t>
  </si>
  <si>
    <t>IRDCO</t>
  </si>
  <si>
    <t>Paper &amp; Pulp industry Demand Cooling</t>
  </si>
  <si>
    <t>Wood products industry Cooling</t>
  </si>
  <si>
    <t>Other comm Demand Cooling</t>
  </si>
  <si>
    <t>Mining Demand Cooling</t>
  </si>
  <si>
    <t>IIDCO</t>
  </si>
  <si>
    <t>Iron &amp; Steel  Demand Cooling</t>
  </si>
  <si>
    <t>ISDCO</t>
  </si>
  <si>
    <t>Aluminium industry Demand Cooling</t>
  </si>
  <si>
    <t>Machinery industry Demand Cooling</t>
  </si>
  <si>
    <t>Food industry Demand Cooling</t>
  </si>
  <si>
    <t>Chemical industry Demand Cooling</t>
  </si>
  <si>
    <t>Glass &amp; Concrete industry Demand Cooling</t>
  </si>
  <si>
    <t>PH</t>
  </si>
  <si>
    <t>SH</t>
  </si>
  <si>
    <t>INDHSE</t>
  </si>
  <si>
    <t>OBS!! Aluminium industry is mostly consuming electricity and fuel consumption in this sector is dominantly for power production as thus we have included all process heating as power units for plants with an efficiency similar to 50% of the total efficiency</t>
  </si>
  <si>
    <t>*="IND"&amp;RIGHT(H162,4)&amp;"GAS"&amp;"N"&amp;RIGHT(E162,1)</t>
  </si>
  <si>
    <t>*="IND"&amp;RIGHT(H165,4)&amp;"GAS"&amp;"N"&amp;RIGHT(E165,1)</t>
  </si>
  <si>
    <t>DE1,DE2,DE3</t>
  </si>
  <si>
    <t>INDLPG,INDNGA,INDSNG,INDBGA,INDH2,INDSYN,INDELC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</si>
</sst>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41" formatCode="_-* #,##0_-;\-* #,##0_-;_-* &quot;-&quot;_-;_-@_-"/>
    <numFmt numFmtId="43" formatCode="_-* #,##0.00_-;\-* #,##0.00_-;_-* &quot;-&quot;??_-;_-@_-"/>
    <numFmt numFmtId="164" formatCode="_ * #,##0.00_ ;_ * \-#,##0.00_ ;_ * &quot;-&quot;??_ ;_ @_ "/>
    <numFmt numFmtId="165" formatCode="0.000"/>
    <numFmt numFmtId="166" formatCode="_ * #,##0_ ;_ * \-#,##0_ ;_ * &quot;-&quot;??_ ;_ @_ "/>
    <numFmt numFmtId="167" formatCode="0.0"/>
    <numFmt numFmtId="168" formatCode="_-[$€-2]\ * #,##0.00_-;\-[$€-2]\ * #,##0.00_-;_-[$€-2]\ * &quot;-&quot;??_-"/>
    <numFmt numFmtId="169" formatCode="_-&quot;€&quot;\ * #,##0.00_-;\-&quot;€&quot;\ * #,##0.00_-;_-&quot;€&quot;\ * &quot;-&quot;??_-;_-@_-"/>
    <numFmt numFmtId="170" formatCode="#,##0;\-\ #,##0;_-\ &quot;- &quot;"/>
    <numFmt numFmtId="171" formatCode="_([$€]* #,##0.00_);_([$€]* \(#,##0.00\);_([$€]* &quot;-&quot;??_);_(@_)"/>
    <numFmt numFmtId="172" formatCode="\Te\x\t"/>
    <numFmt numFmtId="173" formatCode="_(* #,##0.00_);_(* \(#,##0.00\);_(* &quot;-&quot;??_);_(@_)"/>
    <numFmt numFmtId="174" formatCode="_(* #,##0_);_(* \(#,##0\);_(* &quot;-&quot;_);_(@_)"/>
    <numFmt numFmtId="175" formatCode="_ * #,##0.0_ ;_ * \-#,##0.0_ ;_ * &quot;-&quot;??_ ;_ @_ "/>
    <numFmt numFmtId="176" formatCode="0.0000"/>
    <numFmt numFmtId="177" formatCode="0.0;\-0.0;0"/>
    <numFmt numFmtId="178" formatCode="0.000000"/>
    <numFmt numFmtId="179" formatCode="0.0%"/>
    <numFmt numFmtId="180" formatCode="_ * #,##0_ ;_ * \-#,##0_ ;_ * &quot;-&quot;_ ;_ @_ "/>
    <numFmt numFmtId="181" formatCode="_-[$€-2]* #,##0.00_-;\-[$€-2]* #,##0.00_-;_-[$€-2]* &quot;-&quot;??_-"/>
    <numFmt numFmtId="182" formatCode="0_ ;\-0\ "/>
    <numFmt numFmtId="183" formatCode="_-* #,##0.00\ _k_r_-;\-* #,##0.00\ _k_r_-;_-* &quot;-&quot;??\ _k_r_-;_-@_-"/>
    <numFmt numFmtId="184" formatCode="0.0;\-0.0"/>
    <numFmt numFmtId="185" formatCode="\$#,##0\ ;\(\$#,##0\)"/>
  </numFmts>
  <fonts count="184">
    <font>
      <sz val="11"/>
      <color theme="1"/>
      <name val="Calibri"/>
      <family val="2"/>
      <scheme val="minor"/>
    </font>
    <font>
      <sz val="11"/>
      <color indexed="8"/>
      <name val="Calibri"/>
      <family val="2"/>
    </font>
    <font>
      <b/>
      <sz val="11"/>
      <color indexed="8"/>
      <name val="Calibri"/>
      <family val="2"/>
    </font>
    <font>
      <sz val="9"/>
      <color indexed="8"/>
      <name val="Arial"/>
      <family val="2"/>
    </font>
    <font>
      <b/>
      <sz val="9"/>
      <color indexed="8"/>
      <name val="Arial"/>
      <family val="2"/>
    </font>
    <font>
      <vertAlign val="subscript"/>
      <sz val="9"/>
      <color indexed="8"/>
      <name val="Arial"/>
      <family val="2"/>
    </font>
    <font>
      <vertAlign val="superscript"/>
      <sz val="9"/>
      <color indexed="8"/>
      <name val="Arial"/>
      <family val="2"/>
    </font>
    <font>
      <sz val="10"/>
      <name val="Calibri"/>
      <family val="2"/>
    </font>
    <font>
      <sz val="9"/>
      <name val="Calibri"/>
      <family val="2"/>
    </font>
    <font>
      <sz val="9"/>
      <color indexed="81"/>
      <name val="Tahoma"/>
      <family val="2"/>
    </font>
    <font>
      <b/>
      <sz val="9"/>
      <color indexed="81"/>
      <name val="Tahoma"/>
      <family val="2"/>
    </font>
    <font>
      <sz val="10"/>
      <name val="Arial"/>
      <family val="2"/>
    </font>
    <font>
      <sz val="10"/>
      <name val="Arial"/>
      <family val="2"/>
    </font>
    <font>
      <b/>
      <sz val="10"/>
      <color indexed="12"/>
      <name val="Arial"/>
      <family val="2"/>
    </font>
    <font>
      <sz val="8"/>
      <name val="Calibri"/>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9"/>
      <color indexed="8"/>
      <name val="Times New Roman"/>
      <family val="1"/>
    </font>
    <font>
      <sz val="10"/>
      <name val="Arial"/>
      <family val="2"/>
    </font>
    <font>
      <sz val="10"/>
      <name val="Arial"/>
      <family val="2"/>
      <charset val="204"/>
    </font>
    <font>
      <sz val="10"/>
      <name val="Courier"/>
      <family val="3"/>
    </font>
    <font>
      <sz val="9"/>
      <name val="Times New Roman"/>
      <family val="1"/>
    </font>
    <font>
      <b/>
      <sz val="9"/>
      <name val="Times New Roman"/>
      <family val="1"/>
    </font>
    <font>
      <sz val="10"/>
      <name val="Helv"/>
    </font>
    <font>
      <sz val="11"/>
      <color theme="1"/>
      <name val="Calibri"/>
      <family val="2"/>
      <scheme val="minor"/>
    </font>
    <font>
      <sz val="10"/>
      <color rgb="FF9C0006"/>
      <name val="Calibri"/>
      <family val="2"/>
    </font>
    <font>
      <b/>
      <sz val="11"/>
      <color rgb="FFFA7D00"/>
      <name val="Calibri"/>
      <family val="2"/>
      <scheme val="minor"/>
    </font>
    <font>
      <u/>
      <sz val="11"/>
      <color theme="10"/>
      <name val="Calibri"/>
      <family val="2"/>
    </font>
    <font>
      <sz val="10"/>
      <color theme="1"/>
      <name val="Calibri"/>
      <family val="2"/>
    </font>
    <font>
      <sz val="11"/>
      <color theme="1"/>
      <name val="Calibri"/>
      <family val="2"/>
    </font>
    <font>
      <b/>
      <sz val="11"/>
      <color theme="1"/>
      <name val="Calibri"/>
      <family val="2"/>
      <scheme val="minor"/>
    </font>
    <font>
      <sz val="11"/>
      <color rgb="FFFF0000"/>
      <name val="Calibri"/>
      <family val="2"/>
      <scheme val="minor"/>
    </font>
    <font>
      <sz val="9"/>
      <color theme="1"/>
      <name val="Arial"/>
      <family val="2"/>
    </font>
    <font>
      <sz val="9"/>
      <color rgb="FF000000"/>
      <name val="Arial"/>
      <family val="2"/>
    </font>
    <font>
      <b/>
      <sz val="9"/>
      <color theme="1"/>
      <name val="Arial"/>
      <family val="2"/>
    </font>
    <font>
      <b/>
      <sz val="9"/>
      <color rgb="FF000000"/>
      <name val="Arial"/>
      <family val="2"/>
    </font>
    <font>
      <sz val="9"/>
      <color theme="1"/>
      <name val="Times New Roman"/>
      <family val="1"/>
    </font>
    <font>
      <b/>
      <sz val="11"/>
      <color rgb="FF7030A0"/>
      <name val="Calibri"/>
      <family val="2"/>
      <scheme val="minor"/>
    </font>
    <font>
      <sz val="11"/>
      <color rgb="FF00B050"/>
      <name val="Calibri"/>
      <family val="2"/>
      <scheme val="minor"/>
    </font>
    <font>
      <sz val="11"/>
      <color rgb="FF7030A0"/>
      <name val="Calibri"/>
      <family val="2"/>
      <scheme val="minor"/>
    </font>
    <font>
      <b/>
      <sz val="22"/>
      <color theme="1"/>
      <name val="Calibri"/>
      <family val="2"/>
      <scheme val="minor"/>
    </font>
    <font>
      <b/>
      <sz val="11"/>
      <color indexed="8"/>
      <name val="Calibri"/>
      <family val="2"/>
      <scheme val="minor"/>
    </font>
    <font>
      <sz val="8"/>
      <color theme="1"/>
      <name val="Arial"/>
      <family val="2"/>
    </font>
    <font>
      <sz val="11"/>
      <name val="Calibri"/>
      <family val="2"/>
      <scheme val="minor"/>
    </font>
    <font>
      <sz val="10"/>
      <name val="Arial"/>
      <family val="2"/>
    </font>
    <font>
      <sz val="10"/>
      <color rgb="FFFF0000"/>
      <name val="Arial"/>
      <family val="2"/>
    </font>
    <font>
      <b/>
      <sz val="10"/>
      <name val="Arial"/>
      <family val="2"/>
    </font>
    <font>
      <sz val="10"/>
      <color rgb="FF008FBC"/>
      <name val="Calibri"/>
      <family val="2"/>
    </font>
    <font>
      <sz val="10"/>
      <color indexed="23"/>
      <name val="Calibri"/>
      <family val="2"/>
    </font>
    <font>
      <b/>
      <sz val="16"/>
      <color theme="0"/>
      <name val="Calibri"/>
      <family val="2"/>
    </font>
    <font>
      <b/>
      <sz val="12"/>
      <color theme="0"/>
      <name val="Calibri"/>
      <family val="2"/>
      <scheme val="minor"/>
    </font>
    <font>
      <sz val="10"/>
      <color rgb="FF00B050"/>
      <name val="Calibri"/>
      <family val="2"/>
    </font>
    <font>
      <sz val="10"/>
      <color rgb="FFFF0000"/>
      <name val="Calibri"/>
      <family val="2"/>
    </font>
    <font>
      <b/>
      <sz val="11"/>
      <color theme="0"/>
      <name val="Calibri"/>
      <family val="2"/>
      <scheme val="minor"/>
    </font>
    <font>
      <sz val="11"/>
      <color theme="0"/>
      <name val="Calibri"/>
      <family val="2"/>
      <scheme val="minor"/>
    </font>
    <font>
      <b/>
      <sz val="14"/>
      <color rgb="FFFF0000"/>
      <name val="Calibri"/>
      <family val="2"/>
      <scheme val="minor"/>
    </font>
    <font>
      <sz val="10"/>
      <color rgb="FF006100"/>
      <name val="Calibri"/>
      <family val="2"/>
    </font>
    <font>
      <u/>
      <sz val="10"/>
      <color theme="10"/>
      <name val="Calibri"/>
      <family val="2"/>
    </font>
    <font>
      <sz val="10"/>
      <color rgb="FF9C6500"/>
      <name val="Calibri"/>
      <family val="2"/>
    </font>
    <font>
      <b/>
      <sz val="12"/>
      <name val="Arial"/>
      <family val="2"/>
    </font>
    <font>
      <sz val="8"/>
      <color indexed="9"/>
      <name val="Arial"/>
      <family val="2"/>
    </font>
    <font>
      <sz val="11"/>
      <name val="Calibri"/>
      <family val="2"/>
    </font>
    <font>
      <b/>
      <sz val="11"/>
      <color rgb="FFFF0000"/>
      <name val="Calibri"/>
      <family val="2"/>
      <scheme val="minor"/>
    </font>
    <font>
      <sz val="9"/>
      <name val="Arial"/>
      <family val="2"/>
    </font>
    <font>
      <vertAlign val="subscript"/>
      <sz val="9"/>
      <name val="Arial"/>
      <family val="2"/>
    </font>
    <font>
      <sz val="11"/>
      <color rgb="FF3F3F76"/>
      <name val="Calibri"/>
      <family val="2"/>
      <scheme val="minor"/>
    </font>
    <font>
      <b/>
      <sz val="11"/>
      <color rgb="FF3F3F3F"/>
      <name val="Calibri"/>
      <family val="2"/>
      <scheme val="minor"/>
    </font>
    <font>
      <sz val="8"/>
      <name val="Arial"/>
      <family val="2"/>
    </font>
    <font>
      <sz val="9"/>
      <name val="Geneva"/>
      <family val="2"/>
    </font>
    <font>
      <u/>
      <sz val="11"/>
      <color theme="10"/>
      <name val="Calibri"/>
      <family val="2"/>
      <scheme val="minor"/>
    </font>
    <font>
      <sz val="10"/>
      <name val="Calibri"/>
      <family val="2"/>
      <scheme val="minor"/>
    </font>
    <font>
      <b/>
      <sz val="10"/>
      <color theme="1"/>
      <name val="Arial"/>
      <family val="2"/>
    </font>
    <font>
      <sz val="10"/>
      <color rgb="FF000000"/>
      <name val="Arial"/>
      <family val="2"/>
    </font>
    <font>
      <b/>
      <sz val="16"/>
      <color rgb="FF4F81BD"/>
      <name val="Arial"/>
      <family val="2"/>
    </font>
    <font>
      <b/>
      <sz val="11"/>
      <color rgb="FF000000"/>
      <name val="Calibri"/>
      <family val="2"/>
    </font>
    <font>
      <b/>
      <sz val="10"/>
      <color rgb="FF000000"/>
      <name val="Arial"/>
      <family val="2"/>
    </font>
    <font>
      <b/>
      <i/>
      <sz val="11"/>
      <name val="Calibri"/>
      <family val="2"/>
    </font>
    <font>
      <sz val="10"/>
      <color rgb="FFFF0000"/>
      <name val="Calibri"/>
      <family val="2"/>
      <scheme val="minor"/>
    </font>
    <font>
      <vertAlign val="subscript"/>
      <sz val="10"/>
      <name val="Arial"/>
      <family val="2"/>
    </font>
    <font>
      <sz val="10"/>
      <color theme="1"/>
      <name val="Calibri"/>
      <family val="2"/>
      <scheme val="minor"/>
    </font>
    <font>
      <b/>
      <sz val="11"/>
      <color theme="5"/>
      <name val="Calibri"/>
      <family val="2"/>
      <scheme val="minor"/>
    </font>
    <font>
      <b/>
      <sz val="10"/>
      <color theme="5"/>
      <name val="Arial"/>
      <family val="2"/>
    </font>
    <font>
      <sz val="10"/>
      <color theme="1"/>
      <name val="Arial"/>
      <family val="2"/>
    </font>
    <font>
      <sz val="11"/>
      <color theme="0" tint="-0.249977111117893"/>
      <name val="Calibri"/>
      <family val="2"/>
      <scheme val="minor"/>
    </font>
    <font>
      <b/>
      <sz val="11"/>
      <color theme="0" tint="-0.249977111117893"/>
      <name val="Calibri"/>
      <family val="2"/>
    </font>
    <font>
      <sz val="11"/>
      <color rgb="FF000000"/>
      <name val="Calibri"/>
      <family val="2"/>
    </font>
    <font>
      <sz val="9"/>
      <color theme="1"/>
      <name val="Calibri"/>
      <family val="2"/>
      <scheme val="minor"/>
    </font>
    <font>
      <sz val="9"/>
      <color rgb="FF333333"/>
      <name val="Calibri"/>
      <family val="2"/>
      <scheme val="minor"/>
    </font>
    <font>
      <sz val="9"/>
      <name val="Calibri"/>
      <family val="2"/>
      <scheme val="minor"/>
    </font>
    <font>
      <sz val="11"/>
      <color theme="1"/>
      <name val="Arial"/>
      <family val="2"/>
    </font>
    <font>
      <b/>
      <sz val="10"/>
      <color theme="1"/>
      <name val="Calibri"/>
      <family val="2"/>
      <scheme val="minor"/>
    </font>
    <font>
      <b/>
      <sz val="10"/>
      <color indexed="8"/>
      <name val="Arial"/>
      <family val="2"/>
    </font>
    <font>
      <i/>
      <sz val="9"/>
      <color theme="1"/>
      <name val="Arial"/>
      <family val="2"/>
    </font>
    <font>
      <sz val="10"/>
      <color rgb="FF222222"/>
      <name val="Calibri"/>
      <family val="2"/>
      <scheme val="minor"/>
    </font>
    <font>
      <i/>
      <sz val="10"/>
      <color rgb="FF222222"/>
      <name val="Calibri"/>
      <family val="2"/>
      <scheme val="minor"/>
    </font>
    <font>
      <sz val="7"/>
      <color rgb="FF333333"/>
      <name val="Verdana"/>
      <family val="2"/>
    </font>
    <font>
      <b/>
      <sz val="9"/>
      <color theme="0" tint="-0.499984740745262"/>
      <name val="Arial"/>
      <family val="2"/>
    </font>
    <font>
      <b/>
      <sz val="10"/>
      <name val="Calibri"/>
      <family val="2"/>
      <scheme val="minor"/>
    </font>
    <font>
      <b/>
      <sz val="9"/>
      <color theme="1"/>
      <name val="Calibri"/>
      <family val="2"/>
      <scheme val="minor"/>
    </font>
    <font>
      <sz val="8"/>
      <name val="Calibri"/>
      <family val="2"/>
      <scheme val="minor"/>
    </font>
    <font>
      <b/>
      <sz val="8"/>
      <name val="Calibri"/>
      <family val="2"/>
      <scheme val="minor"/>
    </font>
    <font>
      <b/>
      <sz val="9"/>
      <name val="Calibri"/>
      <family val="2"/>
      <scheme val="minor"/>
    </font>
    <font>
      <vertAlign val="subscript"/>
      <sz val="8"/>
      <name val="Calibri"/>
      <family val="2"/>
      <scheme val="minor"/>
    </font>
    <font>
      <b/>
      <i/>
      <sz val="9"/>
      <name val="Calibri"/>
      <family val="2"/>
      <scheme val="minor"/>
    </font>
    <font>
      <sz val="8"/>
      <name val="Symbol"/>
      <family val="1"/>
      <charset val="2"/>
    </font>
    <font>
      <b/>
      <sz val="11"/>
      <name val="Calibri"/>
      <family val="2"/>
      <scheme val="minor"/>
    </font>
    <font>
      <b/>
      <sz val="9"/>
      <color indexed="8"/>
      <name val="Calibri"/>
      <family val="2"/>
      <scheme val="minor"/>
    </font>
    <font>
      <sz val="9"/>
      <color theme="0"/>
      <name val="Arial"/>
      <family val="2"/>
    </font>
    <font>
      <sz val="11"/>
      <color theme="1"/>
      <name val="Calibri"/>
      <family val="2"/>
      <charset val="1"/>
      <scheme val="minor"/>
    </font>
    <font>
      <vertAlign val="subscript"/>
      <sz val="9"/>
      <color theme="1"/>
      <name val="Arial"/>
      <family val="2"/>
    </font>
    <font>
      <i/>
      <sz val="11"/>
      <name val="Calibri"/>
      <family val="2"/>
      <scheme val="minor"/>
    </font>
    <font>
      <b/>
      <sz val="9"/>
      <color rgb="FFFF0000"/>
      <name val="Arial"/>
      <family val="2"/>
    </font>
    <font>
      <sz val="11"/>
      <name val="Calibri"/>
      <family val="2"/>
      <charset val="1"/>
      <scheme val="minor"/>
    </font>
    <font>
      <i/>
      <sz val="11"/>
      <name val="Calibri"/>
      <family val="2"/>
      <charset val="1"/>
      <scheme val="minor"/>
    </font>
    <font>
      <sz val="11"/>
      <color rgb="FFFF0000"/>
      <name val="Calibri"/>
      <family val="2"/>
      <charset val="1"/>
      <scheme val="minor"/>
    </font>
    <font>
      <b/>
      <sz val="12"/>
      <color rgb="FFFF0000"/>
      <name val="Calibri"/>
      <family val="2"/>
      <scheme val="minor"/>
    </font>
    <font>
      <sz val="11"/>
      <color rgb="FF00B0F0"/>
      <name val="Calibri"/>
      <family val="2"/>
      <scheme val="minor"/>
    </font>
    <font>
      <sz val="12"/>
      <name val="Calibri"/>
      <family val="2"/>
      <scheme val="minor"/>
    </font>
    <font>
      <sz val="11"/>
      <color theme="4"/>
      <name val="Calibri"/>
      <family val="2"/>
      <scheme val="minor"/>
    </font>
    <font>
      <b/>
      <sz val="14"/>
      <color theme="1"/>
      <name val="Calibri"/>
      <family val="2"/>
      <scheme val="minor"/>
    </font>
    <font>
      <sz val="16"/>
      <color theme="1"/>
      <name val="Calibri"/>
      <family val="2"/>
      <scheme val="minor"/>
    </font>
    <font>
      <sz val="12"/>
      <color theme="1"/>
      <name val="Calibri"/>
      <family val="2"/>
      <scheme val="minor"/>
    </font>
    <font>
      <sz val="11"/>
      <color theme="1"/>
      <name val="Verdana"/>
      <family val="2"/>
    </font>
    <font>
      <sz val="18"/>
      <color theme="3"/>
      <name val="Cambria"/>
      <family val="2"/>
      <scheme val="major"/>
    </font>
    <font>
      <sz val="11"/>
      <color rgb="FF9C0006"/>
      <name val="Calibri"/>
      <family val="2"/>
      <scheme val="minor"/>
    </font>
    <font>
      <sz val="10"/>
      <name val="Arial"/>
      <family val="2"/>
    </font>
    <font>
      <sz val="10"/>
      <color rgb="FF0000FF"/>
      <name val="Calibri"/>
      <family val="2"/>
    </font>
    <font>
      <b/>
      <sz val="16"/>
      <color theme="0"/>
      <name val="Calibri"/>
      <family val="2"/>
      <scheme val="minor"/>
    </font>
    <font>
      <b/>
      <sz val="13"/>
      <color theme="0"/>
      <name val="Calibri"/>
      <family val="2"/>
      <scheme val="minor"/>
    </font>
    <font>
      <b/>
      <sz val="11"/>
      <name val="Calibri"/>
      <family val="2"/>
    </font>
    <font>
      <i/>
      <sz val="10"/>
      <name val="Calibri"/>
      <family val="2"/>
    </font>
    <font>
      <sz val="11"/>
      <name val="Arial"/>
      <family val="2"/>
    </font>
    <font>
      <u/>
      <sz val="8"/>
      <color indexed="12"/>
      <name val="Arial"/>
      <family val="2"/>
    </font>
    <font>
      <sz val="14"/>
      <color indexed="50"/>
      <name val="Arial"/>
      <family val="2"/>
    </font>
    <font>
      <sz val="6"/>
      <name val="Arial"/>
      <family val="2"/>
    </font>
    <font>
      <b/>
      <sz val="8.5"/>
      <color indexed="50"/>
      <name val="Arial"/>
      <family val="2"/>
    </font>
    <font>
      <sz val="8"/>
      <color indexed="8"/>
      <name val="Arial"/>
      <family val="2"/>
    </font>
    <font>
      <b/>
      <sz val="7"/>
      <color indexed="9"/>
      <name val="Arial"/>
      <family val="2"/>
    </font>
    <font>
      <b/>
      <sz val="7"/>
      <name val="Arial"/>
      <family val="2"/>
    </font>
    <font>
      <sz val="7"/>
      <name val="Arial"/>
      <family val="2"/>
    </font>
    <font>
      <sz val="7"/>
      <color indexed="8"/>
      <name val="Arial"/>
      <family val="2"/>
    </font>
    <font>
      <sz val="6.5"/>
      <name val="Arial"/>
      <family val="2"/>
    </font>
    <font>
      <u/>
      <sz val="10"/>
      <color indexed="12"/>
      <name val="Arial"/>
      <family val="2"/>
    </font>
    <font>
      <u/>
      <sz val="10"/>
      <color theme="10"/>
      <name val="Arial"/>
      <family val="2"/>
    </font>
    <font>
      <b/>
      <sz val="18"/>
      <color theme="3"/>
      <name val="Cambria"/>
      <family val="2"/>
      <scheme val="major"/>
    </font>
    <font>
      <b/>
      <sz val="12"/>
      <name val="Times New Roman"/>
      <family val="1"/>
    </font>
    <font>
      <sz val="10"/>
      <color indexed="24"/>
      <name val="Arial"/>
      <family val="2"/>
    </font>
    <font>
      <b/>
      <sz val="8"/>
      <color indexed="63"/>
      <name val="Arial Narrow"/>
      <family val="2"/>
    </font>
    <font>
      <b/>
      <i/>
      <sz val="10"/>
      <color indexed="18"/>
      <name val="Arial Narrow"/>
      <family val="2"/>
    </font>
    <font>
      <b/>
      <sz val="8"/>
      <color indexed="63"/>
      <name val="MS Sans Serif"/>
      <family val="2"/>
    </font>
    <font>
      <sz val="8"/>
      <color indexed="18"/>
      <name val="Arial Narrow"/>
      <family val="2"/>
    </font>
    <font>
      <sz val="11"/>
      <color indexed="9"/>
      <name val="Arial"/>
      <family val="2"/>
    </font>
    <font>
      <b/>
      <sz val="11"/>
      <color indexed="9"/>
      <name val="Arial"/>
      <family val="2"/>
    </font>
    <font>
      <b/>
      <sz val="8"/>
      <color indexed="18"/>
      <name val="Arial Narrow"/>
      <family val="2"/>
    </font>
    <font>
      <sz val="11"/>
      <color indexed="18"/>
      <name val="Arial"/>
      <family val="2"/>
    </font>
    <font>
      <sz val="10"/>
      <color indexed="56"/>
      <name val="Arial"/>
      <family val="2"/>
    </font>
    <font>
      <b/>
      <sz val="8"/>
      <color indexed="18"/>
      <name val="Arial"/>
      <family val="2"/>
    </font>
    <font>
      <sz val="8"/>
      <color indexed="18"/>
      <name val="Arial"/>
      <family val="2"/>
    </font>
    <font>
      <sz val="12"/>
      <color indexed="56"/>
      <name val="Arial"/>
      <family val="2"/>
    </font>
    <font>
      <i/>
      <sz val="12"/>
      <color indexed="56"/>
      <name val="Arial"/>
      <family val="2"/>
    </font>
    <font>
      <b/>
      <sz val="11"/>
      <color indexed="18"/>
      <name val="Arial Narrow"/>
      <family val="2"/>
    </font>
    <font>
      <sz val="8"/>
      <color indexed="63"/>
      <name val="Arial Narrow"/>
      <family val="2"/>
    </font>
    <font>
      <i/>
      <sz val="10"/>
      <color indexed="56"/>
      <name val="Arial Narrow"/>
      <family val="2"/>
    </font>
    <font>
      <b/>
      <sz val="11"/>
      <color indexed="56"/>
      <name val="Arial"/>
      <family val="2"/>
    </font>
    <font>
      <b/>
      <i/>
      <sz val="11"/>
      <color indexed="56"/>
      <name val="Arial"/>
      <family val="2"/>
    </font>
    <font>
      <b/>
      <sz val="14"/>
      <color indexed="18"/>
      <name val="Arial"/>
      <family val="2"/>
    </font>
    <font>
      <sz val="10"/>
      <color indexed="63"/>
      <name val="Arial"/>
      <family val="2"/>
    </font>
    <font>
      <sz val="10"/>
      <name val="Times New Roman"/>
      <family val="1"/>
    </font>
  </fonts>
  <fills count="110">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43"/>
        <bgColor indexed="64"/>
      </patternFill>
    </fill>
    <fill>
      <patternFill patternType="solid">
        <fgColor indexed="31"/>
        <bgColor indexed="64"/>
      </patternFill>
    </fill>
    <fill>
      <patternFill patternType="solid">
        <fgColor indexed="29"/>
        <bgColor indexed="64"/>
      </patternFill>
    </fill>
    <fill>
      <patternFill patternType="solid">
        <fgColor indexed="42"/>
        <bgColor indexed="64"/>
      </patternFill>
    </fill>
    <fill>
      <patternFill patternType="solid">
        <fgColor rgb="FFFFC7CE"/>
      </patternFill>
    </fill>
    <fill>
      <patternFill patternType="solid">
        <fgColor rgb="FFF2F2F2"/>
      </patternFill>
    </fill>
    <fill>
      <patternFill patternType="solid">
        <fgColor rgb="FFFFFF00"/>
        <bgColor indexed="64"/>
      </patternFill>
    </fill>
    <fill>
      <patternFill patternType="solid">
        <fgColor rgb="FFFFC000"/>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0" tint="-0.34998626667073579"/>
        <bgColor indexed="64"/>
      </patternFill>
    </fill>
    <fill>
      <patternFill patternType="solid">
        <fgColor theme="0"/>
        <bgColor indexed="64"/>
      </patternFill>
    </fill>
    <fill>
      <patternFill patternType="solid">
        <fgColor theme="5" tint="0.39997558519241921"/>
        <bgColor indexed="64"/>
      </patternFill>
    </fill>
    <fill>
      <patternFill patternType="solid">
        <fgColor theme="0" tint="-0.14999847407452621"/>
        <bgColor indexed="64"/>
      </patternFill>
    </fill>
    <fill>
      <patternFill patternType="solid">
        <fgColor theme="3" tint="0.79998168889431442"/>
        <bgColor indexed="64"/>
      </patternFill>
    </fill>
    <fill>
      <patternFill patternType="solid">
        <fgColor rgb="FFC6F1FF"/>
        <bgColor indexed="64"/>
      </patternFill>
    </fill>
    <fill>
      <patternFill patternType="solid">
        <fgColor theme="0" tint="-0.24994659260841701"/>
        <bgColor indexed="64"/>
      </patternFill>
    </fill>
    <fill>
      <patternFill patternType="solid">
        <fgColor rgb="FFC6EFCE"/>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92D050"/>
        <bgColor indexed="64"/>
      </patternFill>
    </fill>
    <fill>
      <patternFill patternType="solid">
        <fgColor rgb="FF00B0F0"/>
        <bgColor indexed="64"/>
      </patternFill>
    </fill>
    <fill>
      <patternFill patternType="solid">
        <fgColor indexed="63"/>
        <bgColor indexed="64"/>
      </patternFill>
    </fill>
    <fill>
      <patternFill patternType="solid">
        <fgColor indexed="62"/>
        <bgColor indexed="64"/>
      </patternFill>
    </fill>
    <fill>
      <patternFill patternType="solid">
        <fgColor theme="9"/>
        <bgColor indexed="64"/>
      </patternFill>
    </fill>
    <fill>
      <patternFill patternType="solid">
        <fgColor theme="6" tint="-0.249977111117893"/>
        <bgColor indexed="64"/>
      </patternFill>
    </fill>
    <fill>
      <patternFill patternType="solid">
        <fgColor theme="7" tint="0.79998168889431442"/>
        <bgColor indexed="64"/>
      </patternFill>
    </fill>
    <fill>
      <patternFill patternType="solid">
        <fgColor rgb="FFFFCC99"/>
      </patternFill>
    </fill>
    <fill>
      <patternFill patternType="solid">
        <fgColor theme="9" tint="0.79998168889431442"/>
        <bgColor indexed="64"/>
      </patternFill>
    </fill>
    <fill>
      <patternFill patternType="solid">
        <fgColor theme="8" tint="0.59999389629810485"/>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rgb="FFFFFFFF"/>
        <bgColor indexed="64"/>
      </patternFill>
    </fill>
    <fill>
      <patternFill patternType="solid">
        <fgColor theme="4" tint="0.79998168889431442"/>
        <bgColor indexed="64"/>
      </patternFill>
    </fill>
    <fill>
      <patternFill patternType="solid">
        <fgColor rgb="FFF79646"/>
        <bgColor rgb="FF000000"/>
      </patternFill>
    </fill>
    <fill>
      <patternFill patternType="solid">
        <fgColor theme="4" tint="0.79998168889431442"/>
        <bgColor rgb="FF000000"/>
      </patternFill>
    </fill>
    <fill>
      <patternFill patternType="solid">
        <fgColor theme="4" tint="0.59999389629810485"/>
        <bgColor indexed="64"/>
      </patternFill>
    </fill>
    <fill>
      <patternFill patternType="solid">
        <fgColor theme="8" tint="0.79998168889431442"/>
        <bgColor indexed="64"/>
      </patternFill>
    </fill>
    <fill>
      <patternFill patternType="solid">
        <fgColor theme="8" tint="0.79998168889431442"/>
        <bgColor rgb="FF000000"/>
      </patternFill>
    </fill>
    <fill>
      <patternFill patternType="solid">
        <fgColor theme="8" tint="0.59999389629810485"/>
        <bgColor rgb="FF000000"/>
      </patternFill>
    </fill>
    <fill>
      <patternFill patternType="solid">
        <fgColor theme="0"/>
        <bgColor rgb="FF000000"/>
      </patternFill>
    </fill>
    <fill>
      <patternFill patternType="solid">
        <fgColor theme="6" tint="0.59999389629810485"/>
        <bgColor indexed="64"/>
      </patternFill>
    </fill>
    <fill>
      <patternFill patternType="solid">
        <fgColor indexed="44"/>
        <bgColor indexed="64"/>
      </patternFill>
    </fill>
    <fill>
      <patternFill patternType="solid">
        <fgColor rgb="FFFF0000"/>
        <bgColor indexed="64"/>
      </patternFill>
    </fill>
    <fill>
      <patternFill patternType="solid">
        <fgColor rgb="FFBED6EE"/>
        <bgColor indexed="64"/>
      </patternFill>
    </fill>
    <fill>
      <patternFill patternType="solid">
        <fgColor theme="6" tint="0.59996337778862885"/>
        <bgColor indexed="64"/>
      </patternFill>
    </fill>
    <fill>
      <patternFill patternType="solid">
        <fgColor indexed="9"/>
        <bgColor indexed="64"/>
      </patternFill>
    </fill>
    <fill>
      <patternFill patternType="solid">
        <fgColor indexed="27"/>
        <bgColor indexed="64"/>
      </patternFill>
    </fill>
    <fill>
      <patternFill patternType="solid">
        <fgColor indexed="9"/>
      </patternFill>
    </fill>
    <fill>
      <patternFill patternType="solid">
        <fgColor indexed="10"/>
        <bgColor indexed="64"/>
      </patternFill>
    </fill>
    <fill>
      <patternFill patternType="solid">
        <fgColor indexed="21"/>
        <bgColor indexed="64"/>
      </patternFill>
    </fill>
    <fill>
      <patternFill patternType="solid">
        <fgColor indexed="9"/>
        <bgColor indexed="54"/>
      </patternFill>
    </fill>
    <fill>
      <patternFill patternType="solid">
        <fgColor indexed="41"/>
        <bgColor indexed="64"/>
      </patternFill>
    </fill>
    <fill>
      <patternFill patternType="solid">
        <fgColor indexed="26"/>
        <bgColor indexed="64"/>
      </patternFill>
    </fill>
    <fill>
      <patternFill patternType="solid">
        <fgColor indexed="40"/>
      </patternFill>
    </fill>
    <fill>
      <patternFill patternType="solid">
        <fgColor theme="4"/>
        <bgColor theme="4"/>
      </patternFill>
    </fill>
    <fill>
      <patternFill patternType="solid">
        <fgColor rgb="FFFFC000"/>
        <bgColor theme="4"/>
      </patternFill>
    </fill>
    <fill>
      <patternFill patternType="solid">
        <fgColor theme="4" tint="0.79998168889431442"/>
        <bgColor theme="4" tint="0.79998168889431442"/>
      </patternFill>
    </fill>
    <fill>
      <patternFill patternType="solid">
        <fgColor rgb="FFFFC9C9"/>
        <bgColor indexed="64"/>
      </patternFill>
    </fill>
  </fills>
  <borders count="115">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bottom style="medium">
        <color indexed="64"/>
      </bottom>
      <diagonal/>
    </border>
    <border>
      <left/>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right/>
      <top style="thin">
        <color indexed="64"/>
      </top>
      <bottom/>
      <diagonal/>
    </border>
    <border>
      <left/>
      <right/>
      <top style="thin">
        <color indexed="64"/>
      </top>
      <bottom style="medium">
        <color indexed="64"/>
      </bottom>
      <diagonal/>
    </border>
    <border>
      <left style="thin">
        <color indexed="64"/>
      </left>
      <right/>
      <top/>
      <bottom/>
      <diagonal/>
    </border>
    <border>
      <left style="thin">
        <color indexed="64"/>
      </left>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style="thin">
        <color rgb="FF7F7F7F"/>
      </left>
      <right style="thin">
        <color rgb="FF7F7F7F"/>
      </right>
      <top style="thin">
        <color rgb="FF7F7F7F"/>
      </top>
      <bottom style="thin">
        <color rgb="FF7F7F7F"/>
      </bottom>
      <diagonal/>
    </border>
    <border>
      <left style="thick">
        <color rgb="FFFFC000"/>
      </left>
      <right style="thick">
        <color rgb="FFFFC000"/>
      </right>
      <top style="thin">
        <color rgb="FFFFC000"/>
      </top>
      <bottom style="thick">
        <color rgb="FFFFC000"/>
      </bottom>
      <diagonal/>
    </border>
    <border>
      <left style="thick">
        <color theme="0" tint="-0.24994659260841701"/>
      </left>
      <right style="thick">
        <color theme="0" tint="-0.24994659260841701"/>
      </right>
      <top style="medium">
        <color theme="0" tint="-0.24994659260841701"/>
      </top>
      <bottom style="thick">
        <color theme="0" tint="-0.249946592608417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ck">
        <color rgb="FFFF0000"/>
      </left>
      <right/>
      <top style="thick">
        <color rgb="FFFF0000"/>
      </top>
      <bottom/>
      <diagonal/>
    </border>
    <border>
      <left style="thin">
        <color auto="1"/>
      </left>
      <right style="thin">
        <color auto="1"/>
      </right>
      <top style="thick">
        <color rgb="FFFF0000"/>
      </top>
      <bottom/>
      <diagonal/>
    </border>
    <border>
      <left/>
      <right/>
      <top style="thick">
        <color rgb="FFFF0000"/>
      </top>
      <bottom/>
      <diagonal/>
    </border>
    <border>
      <left/>
      <right style="thick">
        <color rgb="FFFF0000"/>
      </right>
      <top style="thick">
        <color rgb="FFFF0000"/>
      </top>
      <bottom/>
      <diagonal/>
    </border>
    <border>
      <left style="thick">
        <color rgb="FFFF0000"/>
      </left>
      <right/>
      <top/>
      <bottom/>
      <diagonal/>
    </border>
    <border>
      <left/>
      <right style="thick">
        <color rgb="FFFF0000"/>
      </right>
      <top/>
      <bottom/>
      <diagonal/>
    </border>
    <border>
      <left style="thick">
        <color rgb="FFFF0000"/>
      </left>
      <right/>
      <top/>
      <bottom style="thick">
        <color rgb="FFFF0000"/>
      </bottom>
      <diagonal/>
    </border>
    <border>
      <left style="thin">
        <color auto="1"/>
      </left>
      <right style="thin">
        <color auto="1"/>
      </right>
      <top/>
      <bottom style="thick">
        <color rgb="FFFF0000"/>
      </bottom>
      <diagonal/>
    </border>
    <border>
      <left/>
      <right/>
      <top/>
      <bottom style="thick">
        <color rgb="FFFF0000"/>
      </bottom>
      <diagonal/>
    </border>
    <border>
      <left/>
      <right style="thick">
        <color rgb="FFFF0000"/>
      </right>
      <top/>
      <bottom style="thick">
        <color rgb="FFFF0000"/>
      </bottom>
      <diagonal/>
    </border>
    <border>
      <left style="thin">
        <color rgb="FFFF0000"/>
      </left>
      <right style="thin">
        <color rgb="FFFF0000"/>
      </right>
      <top/>
      <bottom style="thin">
        <color rgb="FFFF0000"/>
      </bottom>
      <diagonal/>
    </border>
    <border>
      <left style="thin">
        <color rgb="FFFF0000"/>
      </left>
      <right style="thin">
        <color rgb="FFFF0000"/>
      </right>
      <top/>
      <bottom/>
      <diagonal/>
    </border>
    <border>
      <left style="thin">
        <color rgb="FFFF0000"/>
      </left>
      <right/>
      <top style="thin">
        <color rgb="FFFF0000"/>
      </top>
      <bottom/>
      <diagonal/>
    </border>
    <border>
      <left style="thin">
        <color indexed="64"/>
      </left>
      <right style="thin">
        <color indexed="64"/>
      </right>
      <top style="thin">
        <color rgb="FFFF0000"/>
      </top>
      <bottom style="thin">
        <color indexed="64"/>
      </bottom>
      <diagonal/>
    </border>
    <border>
      <left/>
      <right/>
      <top style="thin">
        <color rgb="FFFF0000"/>
      </top>
      <bottom/>
      <diagonal/>
    </border>
    <border>
      <left/>
      <right style="thin">
        <color rgb="FFFF0000"/>
      </right>
      <top style="thin">
        <color rgb="FFFF0000"/>
      </top>
      <bottom/>
      <diagonal/>
    </border>
    <border>
      <left style="thin">
        <color rgb="FFFF0000"/>
      </left>
      <right/>
      <top/>
      <bottom/>
      <diagonal/>
    </border>
    <border>
      <left style="thin">
        <color indexed="64"/>
      </left>
      <right style="thin">
        <color rgb="FFFF0000"/>
      </right>
      <top style="thin">
        <color indexed="64"/>
      </top>
      <bottom style="thin">
        <color indexed="64"/>
      </bottom>
      <diagonal/>
    </border>
    <border>
      <left style="thin">
        <color rgb="FFFF0000"/>
      </left>
      <right/>
      <top/>
      <bottom style="thin">
        <color rgb="FFFF0000"/>
      </bottom>
      <diagonal/>
    </border>
    <border>
      <left style="medium">
        <color indexed="64"/>
      </left>
      <right style="thin">
        <color indexed="64"/>
      </right>
      <top style="thin">
        <color indexed="64"/>
      </top>
      <bottom style="thin">
        <color rgb="FFFF0000"/>
      </bottom>
      <diagonal/>
    </border>
    <border>
      <left style="thin">
        <color indexed="64"/>
      </left>
      <right style="thin">
        <color indexed="64"/>
      </right>
      <top style="thin">
        <color indexed="64"/>
      </top>
      <bottom style="thin">
        <color rgb="FFFF0000"/>
      </bottom>
      <diagonal/>
    </border>
    <border>
      <left style="thin">
        <color indexed="64"/>
      </left>
      <right style="thin">
        <color rgb="FFFF0000"/>
      </right>
      <top style="thin">
        <color indexed="64"/>
      </top>
      <bottom style="thin">
        <color rgb="FFFF0000"/>
      </bottom>
      <diagonal/>
    </border>
    <border>
      <left/>
      <right style="thin">
        <color indexed="64"/>
      </right>
      <top/>
      <bottom/>
      <diagonal/>
    </border>
    <border>
      <left style="thin">
        <color rgb="FF3F3F3F"/>
      </left>
      <right style="thin">
        <color rgb="FF3F3F3F"/>
      </right>
      <top style="thin">
        <color rgb="FF3F3F3F"/>
      </top>
      <bottom style="thin">
        <color rgb="FF3F3F3F"/>
      </bottom>
      <diagonal/>
    </border>
    <border>
      <left style="medium">
        <color indexed="64"/>
      </left>
      <right style="medium">
        <color indexed="64"/>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thin">
        <color indexed="64"/>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medium">
        <color indexed="64"/>
      </right>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right style="thin">
        <color indexed="64"/>
      </right>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thick">
        <color auto="1"/>
      </right>
      <top/>
      <bottom/>
      <diagonal/>
    </border>
    <border>
      <left/>
      <right/>
      <top style="thin">
        <color theme="4"/>
      </top>
      <bottom style="double">
        <color theme="4"/>
      </bottom>
      <diagonal/>
    </border>
    <border>
      <left/>
      <right/>
      <top/>
      <bottom style="thin">
        <color indexed="50"/>
      </bottom>
      <diagonal/>
    </border>
    <border>
      <left style="medium">
        <color indexed="64"/>
      </left>
      <right style="medium">
        <color indexed="64"/>
      </right>
      <top style="thin">
        <color indexed="64"/>
      </top>
      <bottom style="medium">
        <color indexed="64"/>
      </bottom>
      <diagonal/>
    </border>
    <border>
      <left/>
      <right/>
      <top/>
      <bottom style="thick">
        <color indexed="44"/>
      </bottom>
      <diagonal/>
    </border>
    <border>
      <left/>
      <right/>
      <top style="thin">
        <color theme="4" tint="0.39997558519241921"/>
      </top>
      <bottom style="thin">
        <color theme="4" tint="0.39997558519241921"/>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55822">
    <xf numFmtId="0" fontId="0" fillId="0" borderId="0"/>
    <xf numFmtId="0" fontId="15" fillId="2" borderId="0" applyNumberFormat="0" applyBorder="0" applyAlignment="0" applyProtection="0"/>
    <xf numFmtId="0" fontId="1" fillId="2" borderId="0" applyNumberFormat="0" applyBorder="0" applyAlignment="0" applyProtection="0"/>
    <xf numFmtId="0" fontId="15" fillId="3" borderId="0" applyNumberFormat="0" applyBorder="0" applyAlignment="0" applyProtection="0"/>
    <xf numFmtId="0" fontId="1" fillId="3" borderId="0" applyNumberFormat="0" applyBorder="0" applyAlignment="0" applyProtection="0"/>
    <xf numFmtId="0" fontId="15" fillId="4" borderId="0" applyNumberFormat="0" applyBorder="0" applyAlignment="0" applyProtection="0"/>
    <xf numFmtId="0" fontId="1" fillId="4" borderId="0" applyNumberFormat="0" applyBorder="0" applyAlignment="0" applyProtection="0"/>
    <xf numFmtId="0" fontId="15" fillId="5" borderId="0" applyNumberFormat="0" applyBorder="0" applyAlignment="0" applyProtection="0"/>
    <xf numFmtId="0" fontId="1" fillId="5" borderId="0" applyNumberFormat="0" applyBorder="0" applyAlignment="0" applyProtection="0"/>
    <xf numFmtId="0" fontId="15" fillId="6" borderId="0" applyNumberFormat="0" applyBorder="0" applyAlignment="0" applyProtection="0"/>
    <xf numFmtId="0" fontId="1" fillId="6" borderId="0" applyNumberFormat="0" applyBorder="0" applyAlignment="0" applyProtection="0"/>
    <xf numFmtId="0" fontId="15" fillId="7" borderId="0" applyNumberFormat="0" applyBorder="0" applyAlignment="0" applyProtection="0"/>
    <xf numFmtId="0" fontId="1" fillId="7" borderId="0" applyNumberFormat="0" applyBorder="0" applyAlignment="0" applyProtection="0"/>
    <xf numFmtId="0" fontId="15" fillId="8" borderId="0" applyNumberFormat="0" applyBorder="0" applyAlignment="0" applyProtection="0"/>
    <xf numFmtId="0" fontId="1" fillId="8" borderId="0" applyNumberFormat="0" applyBorder="0" applyAlignment="0" applyProtection="0"/>
    <xf numFmtId="0" fontId="15" fillId="9" borderId="0" applyNumberFormat="0" applyBorder="0" applyAlignment="0" applyProtection="0"/>
    <xf numFmtId="0" fontId="1" fillId="9" borderId="0" applyNumberFormat="0" applyBorder="0" applyAlignment="0" applyProtection="0"/>
    <xf numFmtId="0" fontId="15" fillId="10" borderId="0" applyNumberFormat="0" applyBorder="0" applyAlignment="0" applyProtection="0"/>
    <xf numFmtId="0" fontId="1" fillId="10" borderId="0" applyNumberFormat="0" applyBorder="0" applyAlignment="0" applyProtection="0"/>
    <xf numFmtId="0" fontId="15" fillId="5" borderId="0" applyNumberFormat="0" applyBorder="0" applyAlignment="0" applyProtection="0"/>
    <xf numFmtId="0" fontId="1" fillId="5" borderId="0" applyNumberFormat="0" applyBorder="0" applyAlignment="0" applyProtection="0"/>
    <xf numFmtId="0" fontId="15" fillId="8" borderId="0" applyNumberFormat="0" applyBorder="0" applyAlignment="0" applyProtection="0"/>
    <xf numFmtId="0" fontId="1" fillId="8" borderId="0" applyNumberFormat="0" applyBorder="0" applyAlignment="0" applyProtection="0"/>
    <xf numFmtId="0" fontId="15" fillId="11" borderId="0" applyNumberFormat="0" applyBorder="0" applyAlignment="0" applyProtection="0"/>
    <xf numFmtId="0" fontId="1" fillId="11" borderId="0" applyNumberFormat="0" applyBorder="0" applyAlignment="0" applyProtection="0"/>
    <xf numFmtId="0" fontId="11" fillId="0" borderId="0" applyNumberFormat="0" applyFont="0" applyFill="0" applyBorder="0" applyProtection="0">
      <alignment horizontal="left" vertical="center" indent="5"/>
    </xf>
    <xf numFmtId="0" fontId="16" fillId="12" borderId="0" applyNumberFormat="0" applyBorder="0" applyAlignment="0" applyProtection="0"/>
    <xf numFmtId="0" fontId="16" fillId="9" borderId="0" applyNumberFormat="0" applyBorder="0" applyAlignment="0" applyProtection="0"/>
    <xf numFmtId="0" fontId="16" fillId="10" borderId="0" applyNumberFormat="0" applyBorder="0" applyAlignment="0" applyProtection="0"/>
    <xf numFmtId="0" fontId="16" fillId="13"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4" fontId="33" fillId="20" borderId="1">
      <alignment horizontal="right" vertical="center"/>
    </xf>
    <xf numFmtId="4" fontId="33" fillId="20" borderId="1">
      <alignment horizontal="right" vertical="center"/>
    </xf>
    <xf numFmtId="0" fontId="41" fillId="30" borderId="0" applyNumberFormat="0" applyBorder="0" applyAlignment="0" applyProtection="0"/>
    <xf numFmtId="0" fontId="41" fillId="30" borderId="0" applyNumberFormat="0" applyBorder="0" applyAlignment="0" applyProtection="0"/>
    <xf numFmtId="0" fontId="17" fillId="21" borderId="2" applyNumberFormat="0" applyAlignment="0" applyProtection="0"/>
    <xf numFmtId="0" fontId="17" fillId="21" borderId="2" applyNumberFormat="0" applyAlignment="0" applyProtection="0"/>
    <xf numFmtId="0" fontId="42" fillId="31" borderId="43" applyNumberFormat="0" applyAlignment="0" applyProtection="0"/>
    <xf numFmtId="0" fontId="18" fillId="0" borderId="3" applyNumberFormat="0" applyFill="0" applyAlignment="0" applyProtection="0"/>
    <xf numFmtId="0" fontId="19" fillId="22" borderId="4" applyNumberFormat="0" applyAlignment="0" applyProtection="0"/>
    <xf numFmtId="0" fontId="16" fillId="16" borderId="0" applyNumberFormat="0" applyBorder="0" applyAlignment="0" applyProtection="0"/>
    <xf numFmtId="0" fontId="16" fillId="17" borderId="0" applyNumberFormat="0" applyBorder="0" applyAlignment="0" applyProtection="0"/>
    <xf numFmtId="0" fontId="16" fillId="18" borderId="0" applyNumberFormat="0" applyBorder="0" applyAlignment="0" applyProtection="0"/>
    <xf numFmtId="0" fontId="16" fillId="13" borderId="0" applyNumberFormat="0" applyBorder="0" applyAlignment="0" applyProtection="0"/>
    <xf numFmtId="0" fontId="16" fillId="14" borderId="0" applyNumberFormat="0" applyBorder="0" applyAlignment="0" applyProtection="0"/>
    <xf numFmtId="0" fontId="16" fillId="19" borderId="0" applyNumberFormat="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0" fontId="39" fillId="0" borderId="0"/>
    <xf numFmtId="0" fontId="37" fillId="0" borderId="5">
      <alignment horizontal="left" vertical="center" wrapText="1" indent="2"/>
    </xf>
    <xf numFmtId="0" fontId="37" fillId="0" borderId="5">
      <alignment horizontal="left" vertical="center" wrapText="1" indent="2"/>
    </xf>
    <xf numFmtId="168"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34" fillId="0" borderId="0" applyFont="0" applyFill="0" applyBorder="0" applyAlignment="0" applyProtection="0"/>
    <xf numFmtId="168" fontId="11" fillId="0" borderId="0" applyFont="0" applyFill="0" applyBorder="0" applyAlignment="0" applyProtection="0"/>
    <xf numFmtId="0"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0" fontId="39" fillId="0" borderId="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4" fontId="37" fillId="0" borderId="0" applyBorder="0">
      <alignment horizontal="right" vertical="center"/>
    </xf>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0" fontId="22" fillId="23" borderId="0" applyNumberFormat="0" applyBorder="0" applyAlignment="0" applyProtection="0"/>
    <xf numFmtId="0" fontId="12" fillId="0" borderId="0"/>
    <xf numFmtId="0" fontId="11" fillId="0" borderId="0"/>
    <xf numFmtId="0" fontId="44" fillId="0" borderId="0"/>
    <xf numFmtId="0" fontId="11" fillId="0" borderId="0"/>
    <xf numFmtId="0" fontId="11" fillId="0" borderId="0"/>
    <xf numFmtId="0" fontId="39" fillId="0" borderId="0"/>
    <xf numFmtId="0" fontId="39" fillId="0" borderId="0"/>
    <xf numFmtId="0" fontId="40" fillId="0" borderId="0"/>
    <xf numFmtId="0" fontId="11" fillId="0" borderId="0"/>
    <xf numFmtId="0" fontId="11" fillId="0" borderId="0"/>
    <xf numFmtId="0" fontId="40" fillId="0" borderId="0"/>
    <xf numFmtId="0" fontId="40" fillId="0" borderId="0"/>
    <xf numFmtId="0" fontId="11" fillId="0" borderId="0"/>
    <xf numFmtId="0" fontId="40" fillId="0" borderId="0"/>
    <xf numFmtId="0" fontId="40" fillId="0" borderId="0"/>
    <xf numFmtId="0" fontId="11" fillId="0" borderId="0"/>
    <xf numFmtId="0" fontId="44" fillId="0" borderId="0"/>
    <xf numFmtId="0" fontId="34" fillId="0" borderId="0"/>
    <xf numFmtId="0" fontId="11" fillId="0" borderId="0"/>
    <xf numFmtId="0" fontId="45" fillId="0" borderId="0"/>
    <xf numFmtId="0" fontId="45" fillId="0" borderId="0"/>
    <xf numFmtId="0" fontId="44" fillId="0" borderId="0"/>
    <xf numFmtId="0" fontId="44" fillId="0" borderId="0"/>
    <xf numFmtId="0" fontId="44" fillId="0" borderId="0"/>
    <xf numFmtId="0" fontId="44" fillId="0" borderId="0"/>
    <xf numFmtId="0" fontId="40" fillId="0" borderId="0"/>
    <xf numFmtId="0" fontId="11" fillId="0" borderId="0"/>
    <xf numFmtId="0" fontId="40" fillId="0" borderId="0"/>
    <xf numFmtId="0" fontId="44" fillId="0" borderId="0"/>
    <xf numFmtId="0" fontId="44" fillId="0" borderId="0"/>
    <xf numFmtId="0" fontId="35" fillId="0" borderId="0"/>
    <xf numFmtId="0" fontId="40" fillId="0" borderId="0"/>
    <xf numFmtId="0" fontId="40" fillId="0" borderId="0"/>
    <xf numFmtId="0" fontId="11" fillId="0" borderId="0"/>
    <xf numFmtId="0" fontId="44" fillId="0" borderId="0"/>
    <xf numFmtId="4" fontId="37" fillId="0" borderId="1" applyFill="0" applyBorder="0" applyProtection="0">
      <alignment horizontal="right" vertical="center"/>
    </xf>
    <xf numFmtId="4" fontId="37" fillId="0" borderId="1" applyFill="0" applyBorder="0" applyProtection="0">
      <alignment horizontal="right" vertical="center"/>
    </xf>
    <xf numFmtId="4" fontId="37" fillId="0" borderId="1" applyFill="0" applyBorder="0" applyProtection="0">
      <alignment horizontal="right" vertical="center"/>
    </xf>
    <xf numFmtId="0" fontId="38" fillId="0" borderId="0" applyNumberFormat="0" applyFill="0" applyBorder="0" applyProtection="0">
      <alignment horizontal="left" vertical="center"/>
    </xf>
    <xf numFmtId="0" fontId="11" fillId="24" borderId="0" applyNumberFormat="0" applyFont="0" applyBorder="0" applyAlignment="0" applyProtection="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1" fillId="0" borderId="0"/>
    <xf numFmtId="0" fontId="12" fillId="0" borderId="0"/>
    <xf numFmtId="0" fontId="11" fillId="0" borderId="0"/>
    <xf numFmtId="0" fontId="15" fillId="0" borderId="0"/>
    <xf numFmtId="0" fontId="1" fillId="0" borderId="0"/>
    <xf numFmtId="0" fontId="15" fillId="0" borderId="0"/>
    <xf numFmtId="0" fontId="1" fillId="0" borderId="0"/>
    <xf numFmtId="0" fontId="12" fillId="0" borderId="0"/>
    <xf numFmtId="0" fontId="12" fillId="0" borderId="0"/>
    <xf numFmtId="0" fontId="11" fillId="0" borderId="0"/>
    <xf numFmtId="0" fontId="11" fillId="0" borderId="0"/>
    <xf numFmtId="0" fontId="2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36" fillId="0" borderId="0"/>
    <xf numFmtId="0" fontId="11" fillId="25" borderId="9" applyNumberFormat="0" applyFont="0" applyAlignment="0" applyProtection="0"/>
    <xf numFmtId="0" fontId="11" fillId="25" borderId="9" applyNumberFormat="0" applyFont="0" applyAlignment="0" applyProtection="0"/>
    <xf numFmtId="0" fontId="34"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0" fontId="23" fillId="21" borderId="10" applyNumberFormat="0" applyAlignment="0" applyProtection="0"/>
    <xf numFmtId="0" fontId="23" fillId="21" borderId="10" applyNumberFormat="0" applyAlignment="0" applyProtection="0"/>
    <xf numFmtId="0" fontId="23" fillId="21" borderId="10" applyNumberFormat="0" applyAlignment="0" applyProtection="0"/>
    <xf numFmtId="0" fontId="39" fillId="0" borderId="0"/>
    <xf numFmtId="9" fontId="40" fillId="0" borderId="0" applyFont="0" applyFill="0" applyBorder="0" applyAlignment="0" applyProtection="0"/>
    <xf numFmtId="9" fontId="12"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11" fillId="0" borderId="0"/>
    <xf numFmtId="0" fontId="24"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7" fillId="0" borderId="6" applyNumberFormat="0" applyFill="0" applyAlignment="0" applyProtection="0"/>
    <xf numFmtId="0" fontId="27" fillId="0" borderId="6" applyNumberFormat="0" applyFill="0" applyAlignment="0" applyProtection="0"/>
    <xf numFmtId="0" fontId="28" fillId="0" borderId="7" applyNumberFormat="0" applyFill="0" applyAlignment="0" applyProtection="0"/>
    <xf numFmtId="0" fontId="28" fillId="0" borderId="7" applyNumberFormat="0" applyFill="0" applyAlignment="0" applyProtection="0"/>
    <xf numFmtId="0" fontId="29" fillId="0" borderId="8" applyNumberFormat="0" applyFill="0" applyAlignment="0" applyProtection="0"/>
    <xf numFmtId="0" fontId="29" fillId="0" borderId="8" applyNumberFormat="0" applyFill="0" applyAlignment="0" applyProtection="0"/>
    <xf numFmtId="0" fontId="29" fillId="0" borderId="0" applyNumberFormat="0" applyFill="0" applyBorder="0" applyAlignment="0" applyProtection="0"/>
    <xf numFmtId="0" fontId="30"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31" fillId="3" borderId="0" applyNumberFormat="0" applyBorder="0" applyAlignment="0" applyProtection="0"/>
    <xf numFmtId="0" fontId="32" fillId="4" borderId="0" applyNumberFormat="0" applyBorder="0" applyAlignment="0" applyProtection="0"/>
    <xf numFmtId="0" fontId="60" fillId="0" borderId="0"/>
    <xf numFmtId="3" fontId="63" fillId="41" borderId="43" applyBorder="0" applyAlignment="0" applyProtection="0"/>
    <xf numFmtId="0" fontId="64" fillId="0" borderId="0" applyNumberFormat="0" applyFill="0" applyBorder="0" applyAlignment="0" applyProtection="0"/>
    <xf numFmtId="0" fontId="65" fillId="33" borderId="0" applyNumberFormat="0" applyAlignment="0" applyProtection="0"/>
    <xf numFmtId="0" fontId="65" fillId="33" borderId="44" applyNumberFormat="0" applyAlignment="0" applyProtection="0"/>
    <xf numFmtId="0" fontId="66" fillId="42" borderId="45" applyNumberFormat="0" applyAlignment="0" applyProtection="0"/>
    <xf numFmtId="3" fontId="67" fillId="37" borderId="0"/>
    <xf numFmtId="3" fontId="68" fillId="37" borderId="43" applyBorder="0" applyAlignment="0" applyProtection="0">
      <alignment horizontal="center" vertical="center"/>
    </xf>
    <xf numFmtId="0" fontId="40" fillId="48" borderId="0" applyNumberFormat="0" applyBorder="0" applyAlignment="0" applyProtection="0"/>
    <xf numFmtId="0" fontId="40" fillId="48"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70" fillId="50" borderId="0" applyNumberFormat="0" applyBorder="0" applyAlignment="0" applyProtection="0"/>
    <xf numFmtId="0" fontId="70" fillId="54" borderId="0" applyNumberFormat="0" applyBorder="0" applyAlignment="0" applyProtection="0"/>
    <xf numFmtId="0" fontId="70" fillId="58" borderId="0" applyNumberFormat="0" applyBorder="0" applyAlignment="0" applyProtection="0"/>
    <xf numFmtId="0" fontId="70" fillId="62" borderId="0" applyNumberFormat="0" applyBorder="0" applyAlignment="0" applyProtection="0"/>
    <xf numFmtId="0" fontId="70" fillId="66" borderId="0" applyNumberFormat="0" applyBorder="0" applyAlignment="0" applyProtection="0"/>
    <xf numFmtId="0" fontId="70" fillId="70" borderId="0" applyNumberFormat="0" applyBorder="0" applyAlignment="0" applyProtection="0"/>
    <xf numFmtId="0" fontId="17" fillId="21" borderId="2" applyNumberFormat="0" applyAlignment="0" applyProtection="0"/>
    <xf numFmtId="0" fontId="17" fillId="21" borderId="2" applyNumberFormat="0" applyAlignment="0" applyProtection="0"/>
    <xf numFmtId="173" fontId="11"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8" fontId="35"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8"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0" fontId="72" fillId="43" borderId="0" applyNumberFormat="0" applyBorder="0" applyAlignment="0" applyProtection="0"/>
    <xf numFmtId="0" fontId="73" fillId="0" borderId="0" applyNumberFormat="0" applyFill="0" applyBorder="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164" fontId="39" fillId="0" borderId="0" applyFont="0" applyFill="0" applyBorder="0" applyAlignment="0" applyProtection="0"/>
    <xf numFmtId="0" fontId="69" fillId="45" borderId="46" applyNumberFormat="0" applyAlignment="0" applyProtection="0"/>
    <xf numFmtId="0" fontId="70" fillId="47" borderId="0" applyNumberFormat="0" applyBorder="0" applyAlignment="0" applyProtection="0"/>
    <xf numFmtId="0" fontId="70" fillId="51" borderId="0" applyNumberFormat="0" applyBorder="0" applyAlignment="0" applyProtection="0"/>
    <xf numFmtId="0" fontId="70" fillId="55" borderId="0" applyNumberFormat="0" applyBorder="0" applyAlignment="0" applyProtection="0"/>
    <xf numFmtId="0" fontId="70" fillId="59" borderId="0" applyNumberFormat="0" applyBorder="0" applyAlignment="0" applyProtection="0"/>
    <xf numFmtId="0" fontId="70" fillId="63" borderId="0" applyNumberFormat="0" applyBorder="0" applyAlignment="0" applyProtection="0"/>
    <xf numFmtId="0" fontId="70" fillId="67" borderId="0" applyNumberFormat="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0" fontId="74" fillId="44" borderId="0" applyNumberFormat="0" applyBorder="0" applyAlignment="0" applyProtection="0"/>
    <xf numFmtId="0" fontId="40" fillId="0" borderId="0"/>
    <xf numFmtId="0" fontId="11" fillId="0" borderId="0"/>
    <xf numFmtId="0" fontId="11" fillId="0" borderId="0"/>
    <xf numFmtId="0" fontId="40" fillId="0" borderId="0"/>
    <xf numFmtId="0" fontId="11" fillId="0" borderId="0"/>
    <xf numFmtId="0" fontId="40" fillId="0" borderId="0"/>
    <xf numFmtId="0" fontId="11" fillId="0" borderId="0"/>
    <xf numFmtId="0" fontId="11" fillId="0" borderId="0"/>
    <xf numFmtId="0" fontId="11" fillId="0" borderId="0"/>
    <xf numFmtId="0" fontId="11" fillId="0" borderId="0"/>
    <xf numFmtId="0" fontId="40" fillId="0" borderId="0"/>
    <xf numFmtId="0" fontId="11"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11" fillId="0" borderId="0"/>
    <xf numFmtId="0" fontId="3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40" fillId="0" borderId="0"/>
    <xf numFmtId="0" fontId="40" fillId="0" borderId="0"/>
    <xf numFmtId="0" fontId="11" fillId="0" borderId="0"/>
    <xf numFmtId="0" fontId="11" fillId="0" borderId="0"/>
    <xf numFmtId="0" fontId="11" fillId="0" borderId="0"/>
    <xf numFmtId="0" fontId="11" fillId="0" borderId="0"/>
    <xf numFmtId="0" fontId="11" fillId="0" borderId="0"/>
    <xf numFmtId="0" fontId="11" fillId="0" borderId="0"/>
    <xf numFmtId="0" fontId="40" fillId="0" borderId="0"/>
    <xf numFmtId="0" fontId="11"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11" fillId="0" borderId="0"/>
    <xf numFmtId="0" fontId="40" fillId="0" borderId="0"/>
    <xf numFmtId="0" fontId="40"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44" fillId="0" borderId="0"/>
    <xf numFmtId="0" fontId="44" fillId="0" borderId="0"/>
    <xf numFmtId="0" fontId="44" fillId="0" borderId="0"/>
    <xf numFmtId="0" fontId="44" fillId="0" borderId="0"/>
    <xf numFmtId="0" fontId="11"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11"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11" fillId="25" borderId="9"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0" fontId="23" fillId="21" borderId="10" applyNumberFormat="0" applyAlignment="0" applyProtection="0"/>
    <xf numFmtId="0" fontId="23" fillId="21" borderId="10" applyNumberFormat="0" applyAlignment="0" applyProtection="0"/>
    <xf numFmtId="0" fontId="23" fillId="21" borderId="10" applyNumberFormat="0" applyAlignment="0" applyProtection="0"/>
    <xf numFmtId="9" fontId="11"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0" fontId="62" fillId="73" borderId="1" applyNumberFormat="0" applyProtection="0">
      <alignment horizontal="right"/>
    </xf>
    <xf numFmtId="0" fontId="75" fillId="73" borderId="0" applyNumberFormat="0" applyBorder="0" applyProtection="0">
      <alignment horizontal="left"/>
    </xf>
    <xf numFmtId="0" fontId="62" fillId="73" borderId="1" applyNumberFormat="0" applyProtection="0">
      <alignment horizontal="left"/>
    </xf>
    <xf numFmtId="49" fontId="11" fillId="0" borderId="1" applyFill="0" applyProtection="0">
      <alignment horizontal="right"/>
    </xf>
    <xf numFmtId="0" fontId="76" fillId="74" borderId="0" applyNumberFormat="0" applyBorder="0" applyProtection="0">
      <alignment horizontal="lef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62" fillId="73" borderId="1" applyNumberFormat="0" applyProtection="0">
      <alignment horizontal="right"/>
    </xf>
    <xf numFmtId="0" fontId="75" fillId="73" borderId="0" applyNumberFormat="0" applyBorder="0" applyProtection="0">
      <alignment horizontal="left"/>
    </xf>
    <xf numFmtId="0" fontId="62" fillId="73" borderId="1" applyNumberFormat="0" applyProtection="0">
      <alignment horizontal="left"/>
    </xf>
    <xf numFmtId="49" fontId="11" fillId="0" borderId="1" applyFill="0" applyProtection="0">
      <alignment horizontal="right"/>
    </xf>
    <xf numFmtId="0" fontId="76" fillId="74" borderId="0" applyNumberFormat="0" applyBorder="0" applyProtection="0">
      <alignment horizontal="lef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62" fillId="73" borderId="1" applyNumberFormat="0" applyProtection="0">
      <alignment horizontal="right"/>
    </xf>
    <xf numFmtId="0" fontId="75" fillId="73" borderId="0" applyNumberFormat="0" applyBorder="0" applyProtection="0">
      <alignment horizontal="left"/>
    </xf>
    <xf numFmtId="0" fontId="62" fillId="73" borderId="1" applyNumberFormat="0" applyProtection="0">
      <alignment horizontal="left"/>
    </xf>
    <xf numFmtId="49" fontId="11" fillId="0" borderId="1" applyFill="0" applyProtection="0">
      <alignment horizontal="right"/>
    </xf>
    <xf numFmtId="0" fontId="76" fillId="74" borderId="0" applyNumberFormat="0" applyBorder="0" applyProtection="0">
      <alignment horizontal="lef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62" fillId="73" borderId="1" applyNumberFormat="0" applyProtection="0">
      <alignment horizontal="righ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62" fillId="73" borderId="1" applyNumberFormat="0" applyProtection="0">
      <alignment horizontal="right"/>
    </xf>
    <xf numFmtId="0" fontId="75" fillId="73" borderId="0" applyNumberFormat="0" applyBorder="0" applyProtection="0">
      <alignment horizontal="left"/>
    </xf>
    <xf numFmtId="0" fontId="62" fillId="73" borderId="1" applyNumberFormat="0" applyProtection="0">
      <alignment horizontal="left"/>
    </xf>
    <xf numFmtId="49" fontId="11" fillId="0" borderId="1" applyFill="0" applyProtection="0">
      <alignment horizontal="right"/>
    </xf>
    <xf numFmtId="0" fontId="76" fillId="74" borderId="0" applyNumberFormat="0" applyBorder="0" applyProtection="0">
      <alignment horizontal="lef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62" fillId="73" borderId="1" applyNumberFormat="0" applyProtection="0">
      <alignment horizontal="right"/>
    </xf>
    <xf numFmtId="0" fontId="75" fillId="73" borderId="0" applyNumberFormat="0" applyBorder="0" applyProtection="0">
      <alignment horizontal="left"/>
    </xf>
    <xf numFmtId="0" fontId="62" fillId="73" borderId="1" applyNumberFormat="0" applyProtection="0">
      <alignment horizontal="left"/>
    </xf>
    <xf numFmtId="49" fontId="11" fillId="0" borderId="1" applyFill="0" applyProtection="0">
      <alignment horizontal="right"/>
    </xf>
    <xf numFmtId="0" fontId="76" fillId="74" borderId="0" applyNumberFormat="0" applyBorder="0" applyProtection="0">
      <alignment horizontal="lef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62" fillId="73" borderId="1" applyNumberFormat="0" applyProtection="0">
      <alignment horizontal="right"/>
    </xf>
    <xf numFmtId="0" fontId="75" fillId="73" borderId="0" applyNumberFormat="0" applyBorder="0" applyProtection="0">
      <alignment horizontal="left"/>
    </xf>
    <xf numFmtId="0" fontId="62" fillId="73" borderId="1" applyNumberFormat="0" applyProtection="0">
      <alignment horizontal="left"/>
    </xf>
    <xf numFmtId="49" fontId="11" fillId="0" borderId="1" applyFill="0" applyProtection="0">
      <alignment horizontal="right"/>
    </xf>
    <xf numFmtId="0" fontId="76" fillId="74" borderId="0" applyNumberFormat="0" applyBorder="0" applyProtection="0">
      <alignment horizontal="lef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40" fillId="48" borderId="0" applyNumberFormat="0" applyBorder="0" applyAlignment="0" applyProtection="0"/>
    <xf numFmtId="0" fontId="40" fillId="52" borderId="0" applyNumberFormat="0" applyBorder="0" applyAlignment="0" applyProtection="0"/>
    <xf numFmtId="0" fontId="40" fillId="56" borderId="0" applyNumberFormat="0" applyBorder="0" applyAlignment="0" applyProtection="0"/>
    <xf numFmtId="0" fontId="40" fillId="60" borderId="0" applyNumberFormat="0" applyBorder="0" applyAlignment="0" applyProtection="0"/>
    <xf numFmtId="0" fontId="40" fillId="64" borderId="0" applyNumberFormat="0" applyBorder="0" applyAlignment="0" applyProtection="0"/>
    <xf numFmtId="0" fontId="40" fillId="68" borderId="0" applyNumberFormat="0" applyBorder="0" applyAlignment="0" applyProtection="0"/>
    <xf numFmtId="0" fontId="40" fillId="49" borderId="0" applyNumberFormat="0" applyBorder="0" applyAlignment="0" applyProtection="0"/>
    <xf numFmtId="0" fontId="40" fillId="53" borderId="0" applyNumberFormat="0" applyBorder="0" applyAlignment="0" applyProtection="0"/>
    <xf numFmtId="0" fontId="40" fillId="57" borderId="0" applyNumberFormat="0" applyBorder="0" applyAlignment="0" applyProtection="0"/>
    <xf numFmtId="0" fontId="40" fillId="61" borderId="0" applyNumberFormat="0" applyBorder="0" applyAlignment="0" applyProtection="0"/>
    <xf numFmtId="0" fontId="40" fillId="65" borderId="0" applyNumberFormat="0" applyBorder="0" applyAlignment="0" applyProtection="0"/>
    <xf numFmtId="0" fontId="40" fillId="69" borderId="0" applyNumberFormat="0" applyBorder="0" applyAlignment="0" applyProtection="0"/>
    <xf numFmtId="0" fontId="11" fillId="0" borderId="0" applyNumberFormat="0" applyFont="0" applyFill="0" applyBorder="0" applyProtection="0">
      <alignment horizontal="left" vertical="center" indent="5"/>
    </xf>
    <xf numFmtId="0" fontId="70" fillId="50" borderId="0" applyNumberFormat="0" applyBorder="0" applyAlignment="0" applyProtection="0"/>
    <xf numFmtId="0" fontId="70" fillId="54" borderId="0" applyNumberFormat="0" applyBorder="0" applyAlignment="0" applyProtection="0"/>
    <xf numFmtId="0" fontId="70" fillId="58" borderId="0" applyNumberFormat="0" applyBorder="0" applyAlignment="0" applyProtection="0"/>
    <xf numFmtId="0" fontId="70" fillId="62" borderId="0" applyNumberFormat="0" applyBorder="0" applyAlignment="0" applyProtection="0"/>
    <xf numFmtId="0" fontId="70" fillId="66" borderId="0" applyNumberFormat="0" applyBorder="0" applyAlignment="0" applyProtection="0"/>
    <xf numFmtId="0" fontId="70" fillId="70" borderId="0" applyNumberFormat="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84" fillId="0" borderId="0" applyFont="0" applyFill="0" applyBorder="0" applyAlignment="0" applyProtection="0"/>
    <xf numFmtId="43" fontId="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0" fontId="37" fillId="0" borderId="5">
      <alignment horizontal="left" vertical="center" wrapText="1" indent="2"/>
    </xf>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8" fontId="11" fillId="0" borderId="0" applyFont="0" applyFill="0" applyBorder="0" applyAlignment="0" applyProtection="0"/>
    <xf numFmtId="171"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0"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8"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0" fontId="81" fillId="78" borderId="43" applyNumberFormat="0" applyAlignment="0" applyProtection="0"/>
    <xf numFmtId="164" fontId="1" fillId="0" borderId="0" applyFont="0" applyFill="0" applyBorder="0" applyAlignment="0" applyProtection="0"/>
    <xf numFmtId="43" fontId="1" fillId="0" borderId="0" applyFont="0" applyFill="0" applyBorder="0" applyAlignment="0" applyProtection="0"/>
    <xf numFmtId="0" fontId="69" fillId="45" borderId="46" applyNumberFormat="0" applyAlignment="0" applyProtection="0"/>
    <xf numFmtId="0" fontId="85" fillId="0" borderId="0" applyNumberFormat="0" applyFill="0" applyBorder="0" applyAlignment="0" applyProtection="0"/>
    <xf numFmtId="0" fontId="70" fillId="47" borderId="0" applyNumberFormat="0" applyBorder="0" applyAlignment="0" applyProtection="0"/>
    <xf numFmtId="0" fontId="70" fillId="51" borderId="0" applyNumberFormat="0" applyBorder="0" applyAlignment="0" applyProtection="0"/>
    <xf numFmtId="0" fontId="70" fillId="55" borderId="0" applyNumberFormat="0" applyBorder="0" applyAlignment="0" applyProtection="0"/>
    <xf numFmtId="0" fontId="70" fillId="59" borderId="0" applyNumberFormat="0" applyBorder="0" applyAlignment="0" applyProtection="0"/>
    <xf numFmtId="0" fontId="70" fillId="63" borderId="0" applyNumberFormat="0" applyBorder="0" applyAlignment="0" applyProtection="0"/>
    <xf numFmtId="0" fontId="70" fillId="67" borderId="0" applyNumberFormat="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83" fillId="0" borderId="0" applyFill="0" applyBorder="0"/>
    <xf numFmtId="0" fontId="11" fillId="0" borderId="0"/>
    <xf numFmtId="0" fontId="40" fillId="0" borderId="0"/>
    <xf numFmtId="0" fontId="40" fillId="0" borderId="0"/>
    <xf numFmtId="0" fontId="39" fillId="0" borderId="0"/>
    <xf numFmtId="0" fontId="40" fillId="0" borderId="0"/>
    <xf numFmtId="0" fontId="44" fillId="0" borderId="0"/>
    <xf numFmtId="0" fontId="35" fillId="0" borderId="0"/>
    <xf numFmtId="4" fontId="37" fillId="0" borderId="1" applyFill="0" applyBorder="0" applyProtection="0">
      <alignment horizontal="right" vertical="center"/>
    </xf>
    <xf numFmtId="0" fontId="11" fillId="24" borderId="0" applyNumberFormat="0" applyFont="0" applyBorder="0" applyAlignment="0" applyProtection="0"/>
    <xf numFmtId="0" fontId="11" fillId="25" borderId="9" applyNumberFormat="0" applyFont="0" applyAlignment="0" applyProtection="0"/>
    <xf numFmtId="0" fontId="11" fillId="25" borderId="9" applyNumberFormat="0" applyFont="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0" fontId="82" fillId="31" borderId="71" applyNumberFormat="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 fillId="0" borderId="0" applyFont="0" applyFill="0" applyBorder="0" applyAlignment="0" applyProtection="0"/>
    <xf numFmtId="0" fontId="29" fillId="0" borderId="8" applyNumberFormat="0" applyFill="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84" fillId="0" borderId="0" applyFont="0" applyFill="0" applyBorder="0" applyAlignment="0" applyProtection="0"/>
    <xf numFmtId="43" fontId="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84" fillId="0" borderId="0" applyFont="0" applyFill="0" applyBorder="0" applyAlignment="0" applyProtection="0"/>
    <xf numFmtId="43" fontId="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44" fillId="0" borderId="0"/>
    <xf numFmtId="0" fontId="11" fillId="0" borderId="0"/>
    <xf numFmtId="0" fontId="124" fillId="0" borderId="0"/>
    <xf numFmtId="0" fontId="11" fillId="0" borderId="0"/>
    <xf numFmtId="0" fontId="40" fillId="0" borderId="0"/>
    <xf numFmtId="0" fontId="124" fillId="0" borderId="0"/>
    <xf numFmtId="9" fontId="124" fillId="0" borderId="0" applyFont="0" applyFill="0" applyBorder="0" applyAlignment="0" applyProtection="0"/>
    <xf numFmtId="0" fontId="40" fillId="0" borderId="0"/>
    <xf numFmtId="0" fontId="40" fillId="0" borderId="0"/>
    <xf numFmtId="0" fontId="85" fillId="0" borderId="0" applyNumberFormat="0" applyFill="0" applyBorder="0" applyAlignment="0" applyProtection="0"/>
    <xf numFmtId="0" fontId="124" fillId="0" borderId="0"/>
    <xf numFmtId="0" fontId="141" fillId="0" borderId="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8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40" fillId="0" borderId="0"/>
    <xf numFmtId="43" fontId="11" fillId="0" borderId="0" applyFont="0" applyFill="0" applyBorder="0" applyAlignment="0" applyProtection="0"/>
    <xf numFmtId="164" fontId="40"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8"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0" fontId="20" fillId="7" borderId="2" applyNumberFormat="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39" fillId="0" borderId="0"/>
    <xf numFmtId="0" fontId="11" fillId="0" borderId="0"/>
    <xf numFmtId="0" fontId="11" fillId="0" borderId="0"/>
    <xf numFmtId="0" fontId="44" fillId="0" borderId="0"/>
    <xf numFmtId="0" fontId="11" fillId="0" borderId="0"/>
    <xf numFmtId="0" fontId="40" fillId="0" borderId="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0" fontId="23" fillId="21" borderId="10" applyNumberFormat="0" applyAlignment="0" applyProtection="0"/>
    <xf numFmtId="9" fontId="40"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40" fillId="0" borderId="0"/>
    <xf numFmtId="0" fontId="40" fillId="0" borderId="0"/>
    <xf numFmtId="181" fontId="11" fillId="0" borderId="0"/>
    <xf numFmtId="181" fontId="11" fillId="0" borderId="0"/>
    <xf numFmtId="3" fontId="11" fillId="37" borderId="43" applyFont="0" applyFill="0" applyBorder="0" applyAlignment="0" applyProtection="0"/>
    <xf numFmtId="3" fontId="11" fillId="37" borderId="43" applyFont="0" applyFill="0" applyBorder="0" applyAlignment="0" applyProtection="0"/>
    <xf numFmtId="3" fontId="142" fillId="95" borderId="43" applyNumberFormat="0" applyBorder="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7" fillId="37" borderId="43" applyNumberFormat="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0" fontId="37" fillId="0" borderId="5">
      <alignment horizontal="left" vertical="center" wrapText="1" indent="2"/>
    </xf>
    <xf numFmtId="0" fontId="37" fillId="0" borderId="5">
      <alignment horizontal="left" vertical="center" wrapText="1" indent="2"/>
    </xf>
    <xf numFmtId="0" fontId="37" fillId="0" borderId="5">
      <alignment horizontal="left" vertical="center" wrapText="1" indent="2"/>
    </xf>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81"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0" fontId="85" fillId="0" borderId="0" applyNumberFormat="0" applyFill="0" applyBorder="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82" fontId="67" fillId="96" borderId="0" applyNumberFormat="0" applyBorder="0" applyAlignment="0" applyProtection="0">
      <alignment horizontal="center" vertical="top" wrapText="1"/>
    </xf>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0" fontId="23" fillId="21" borderId="10" applyNumberFormat="0" applyAlignment="0" applyProtection="0"/>
    <xf numFmtId="0" fontId="23" fillId="21" borderId="10" applyNumberFormat="0" applyAlignment="0" applyProtection="0"/>
    <xf numFmtId="0" fontId="23" fillId="21" borderId="10" applyNumberFormat="0" applyAlignment="0" applyProtection="0"/>
    <xf numFmtId="0" fontId="23" fillId="21" borderId="10" applyNumberFormat="0" applyAlignment="0" applyProtection="0"/>
    <xf numFmtId="0" fontId="23" fillId="21" borderId="10" applyNumberFormat="0" applyAlignment="0" applyProtection="0"/>
    <xf numFmtId="0" fontId="23" fillId="21" borderId="10" applyNumberFormat="0" applyAlignment="0" applyProtection="0"/>
    <xf numFmtId="0" fontId="143" fillId="33" borderId="0" applyNumberFormat="0" applyAlignment="0" applyProtection="0"/>
    <xf numFmtId="0" fontId="144" fillId="36" borderId="0" applyNumberFormat="0" applyAlignment="0" applyProtection="0"/>
    <xf numFmtId="0" fontId="66" fillId="42" borderId="0" applyNumberFormat="0" applyAlignment="0" applyProtection="0"/>
    <xf numFmtId="182" fontId="145" fillId="97" borderId="0" applyNumberFormat="0" applyFill="0" applyBorder="0" applyAlignment="0">
      <alignment horizontal="center"/>
    </xf>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0" fontId="2" fillId="0" borderId="11" applyNumberFormat="0" applyFill="0" applyAlignment="0" applyProtection="0"/>
    <xf numFmtId="0" fontId="2" fillId="0" borderId="11" applyNumberFormat="0" applyFill="0" applyAlignment="0" applyProtection="0"/>
    <xf numFmtId="0" fontId="68" fillId="31" borderId="43" applyNumberFormat="0" applyFill="0" applyBorder="0" applyAlignment="0" applyProtection="0"/>
    <xf numFmtId="0" fontId="146" fillId="31" borderId="43" applyFill="0" applyBorder="0" applyAlignment="0" applyProtection="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8"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40" fillId="0" borderId="0"/>
    <xf numFmtId="0" fontId="11" fillId="25" borderId="9" applyNumberFormat="0" applyFont="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164" fontId="1"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9" fontId="40"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40" fillId="0" borderId="0"/>
    <xf numFmtId="0" fontId="40"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164" fontId="1"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164" fontId="1"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0" fontId="40" fillId="0" borderId="0"/>
    <xf numFmtId="164" fontId="1"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164" fontId="1"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0" fontId="40" fillId="0" borderId="0"/>
    <xf numFmtId="164" fontId="1"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164" fontId="1"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164" fontId="1"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164" fontId="1"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0" fontId="40" fillId="0" borderId="0"/>
    <xf numFmtId="164" fontId="1"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164" fontId="1"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0" fontId="40" fillId="0" borderId="0"/>
    <xf numFmtId="164" fontId="1"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164" fontId="1"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0" fontId="40" fillId="0" borderId="0"/>
    <xf numFmtId="164" fontId="1"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164" fontId="1"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9" fontId="40" fillId="0" borderId="0" applyFont="0" applyFill="0" applyBorder="0" applyAlignment="0" applyProtection="0"/>
    <xf numFmtId="9" fontId="40"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3" fontId="63" fillId="41" borderId="43" applyBorder="0" applyAlignment="0" applyProtection="0"/>
    <xf numFmtId="164" fontId="11" fillId="0" borderId="0" applyFont="0" applyFill="0" applyBorder="0" applyAlignment="0" applyProtection="0"/>
    <xf numFmtId="0" fontId="73" fillId="0" borderId="0" applyNumberFormat="0" applyFill="0" applyBorder="0" applyAlignment="0" applyProtection="0"/>
    <xf numFmtId="0" fontId="20" fillId="7" borderId="2" applyNumberFormat="0" applyAlignment="0" applyProtection="0"/>
    <xf numFmtId="164" fontId="39"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0" fontId="11" fillId="0" borderId="0"/>
    <xf numFmtId="0" fontId="11" fillId="0" borderId="0"/>
    <xf numFmtId="0" fontId="40" fillId="0" borderId="0"/>
    <xf numFmtId="0" fontId="11" fillId="0" borderId="0"/>
    <xf numFmtId="0" fontId="40" fillId="0" borderId="0"/>
    <xf numFmtId="0" fontId="40" fillId="0" borderId="0"/>
    <xf numFmtId="0" fontId="40" fillId="0" borderId="0"/>
    <xf numFmtId="0" fontId="40" fillId="0" borderId="0"/>
    <xf numFmtId="0" fontId="40" fillId="0" borderId="0"/>
    <xf numFmtId="0" fontId="40" fillId="0" borderId="0"/>
    <xf numFmtId="0" fontId="11" fillId="0" borderId="0"/>
    <xf numFmtId="0" fontId="11" fillId="0" borderId="0"/>
    <xf numFmtId="0" fontId="11"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11" fillId="0" borderId="0"/>
    <xf numFmtId="0" fontId="40" fillId="0" borderId="0"/>
    <xf numFmtId="0" fontId="40" fillId="0" borderId="0"/>
    <xf numFmtId="0" fontId="11" fillId="0" borderId="0"/>
    <xf numFmtId="0" fontId="11" fillId="0" borderId="0"/>
    <xf numFmtId="0" fontId="11" fillId="0" borderId="0"/>
    <xf numFmtId="0" fontId="11"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23" fillId="21" borderId="10" applyNumberFormat="0" applyAlignment="0" applyProtection="0"/>
    <xf numFmtId="9" fontId="11" fillId="0" borderId="0" applyFont="0" applyFill="0" applyBorder="0" applyAlignment="0" applyProtection="0"/>
    <xf numFmtId="9" fontId="11"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43"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170"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9"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170"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39" fillId="0" borderId="0"/>
    <xf numFmtId="0" fontId="11" fillId="0" borderId="0"/>
    <xf numFmtId="169" fontId="11" fillId="0" borderId="0" applyFont="0" applyFill="0" applyBorder="0" applyAlignment="0" applyProtection="0"/>
    <xf numFmtId="43" fontId="1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69" fontId="11" fillId="0" borderId="0" applyFont="0" applyFill="0" applyBorder="0" applyAlignment="0" applyProtection="0"/>
    <xf numFmtId="170"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9" fontId="11" fillId="0" borderId="0" applyFont="0" applyFill="0" applyBorder="0" applyAlignment="0" applyProtection="0"/>
    <xf numFmtId="43" fontId="11" fillId="0" borderId="0" applyFont="0" applyFill="0" applyBorder="0" applyAlignment="0" applyProtection="0"/>
    <xf numFmtId="0" fontId="11" fillId="0" borderId="0"/>
    <xf numFmtId="41" fontId="21" fillId="0" borderId="0" applyFont="0" applyFill="0" applyBorder="0" applyAlignment="0" applyProtection="0"/>
    <xf numFmtId="41" fontId="2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40" fillId="0" borderId="0" applyFont="0" applyFill="0" applyBorder="0" applyAlignment="0" applyProtection="0"/>
    <xf numFmtId="164" fontId="40" fillId="0" borderId="0" applyFont="0" applyFill="0" applyBorder="0" applyAlignment="0" applyProtection="0"/>
    <xf numFmtId="43" fontId="40" fillId="0" borderId="0" applyFont="0" applyFill="0" applyBorder="0" applyAlignment="0" applyProtection="0"/>
    <xf numFmtId="164" fontId="39" fillId="0" borderId="0" applyFont="0" applyFill="0" applyBorder="0" applyAlignment="0" applyProtection="0"/>
    <xf numFmtId="0" fontId="22" fillId="23" borderId="0" applyNumberFormat="0" applyBorder="0" applyAlignment="0" applyProtection="0"/>
    <xf numFmtId="168" fontId="11" fillId="0" borderId="0" applyFont="0" applyFill="0" applyBorder="0" applyAlignment="0" applyProtection="0"/>
    <xf numFmtId="43"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170"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9" fontId="11" fillId="0" borderId="0" applyFont="0" applyFill="0" applyBorder="0" applyAlignment="0" applyProtection="0"/>
    <xf numFmtId="43"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170"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9" fontId="11" fillId="0" borderId="0" applyFont="0" applyFill="0" applyBorder="0" applyAlignment="0" applyProtection="0"/>
    <xf numFmtId="41" fontId="21"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170"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9" fontId="11" fillId="0" borderId="0" applyFont="0" applyFill="0" applyBorder="0" applyAlignment="0" applyProtection="0"/>
    <xf numFmtId="43" fontId="1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0" fontId="11" fillId="0" borderId="0"/>
    <xf numFmtId="3" fontId="142" fillId="95" borderId="43" applyNumberFormat="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84"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43" fontId="35" fillId="0" borderId="0" applyFont="0" applyFill="0" applyBorder="0" applyAlignment="0" applyProtection="0"/>
    <xf numFmtId="171" fontId="11" fillId="0" borderId="0" applyFont="0" applyFill="0" applyBorder="0" applyAlignment="0" applyProtection="0"/>
    <xf numFmtId="168"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8" fontId="11" fillId="0" borderId="0" applyFont="0" applyFill="0" applyBorder="0" applyAlignment="0" applyProtection="0"/>
    <xf numFmtId="181" fontId="148" fillId="0" borderId="0" applyNumberFormat="0" applyFill="0" applyBorder="0" applyAlignment="0" applyProtection="0">
      <alignment vertical="top"/>
      <protection locked="0"/>
    </xf>
    <xf numFmtId="0" fontId="81" fillId="78" borderId="43" applyNumberFormat="0" applyAlignment="0" applyProtection="0"/>
    <xf numFmtId="164" fontId="1" fillId="0" borderId="0" applyFont="0" applyFill="0" applyBorder="0" applyAlignment="0" applyProtection="0"/>
    <xf numFmtId="164" fontId="1" fillId="0" borderId="0" applyFont="0" applyFill="0" applyBorder="0" applyAlignment="0" applyProtection="0"/>
    <xf numFmtId="43"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9"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9"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9"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170"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0" fontId="11" fillId="0" borderId="0"/>
    <xf numFmtId="0" fontId="39" fillId="0" borderId="0"/>
    <xf numFmtId="0" fontId="83" fillId="0" borderId="0" applyFill="0" applyBorder="0"/>
    <xf numFmtId="0" fontId="39" fillId="0" borderId="0"/>
    <xf numFmtId="0" fontId="35" fillId="0" borderId="0"/>
    <xf numFmtId="182" fontId="7" fillId="37" borderId="0" applyNumberFormat="0" applyBorder="0" applyAlignment="0"/>
    <xf numFmtId="43" fontId="35" fillId="0" borderId="0" applyFont="0" applyFill="0" applyBorder="0" applyAlignment="0" applyProtection="0"/>
    <xf numFmtId="43" fontId="35" fillId="0" borderId="0" applyFont="0" applyFill="0" applyBorder="0" applyAlignment="0" applyProtection="0"/>
    <xf numFmtId="0" fontId="40" fillId="0" borderId="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20" fillId="7" borderId="2" applyNumberFormat="0" applyAlignment="0" applyProtection="0"/>
    <xf numFmtId="164" fontId="40"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170" fontId="11" fillId="0" borderId="0" applyFont="0" applyFill="0" applyBorder="0" applyAlignment="0" applyProtection="0"/>
    <xf numFmtId="43" fontId="11" fillId="0" borderId="0" applyFont="0" applyFill="0" applyBorder="0" applyAlignment="0" applyProtection="0"/>
    <xf numFmtId="169" fontId="11" fillId="0" borderId="0" applyFont="0" applyFill="0" applyBorder="0" applyAlignment="0" applyProtection="0"/>
    <xf numFmtId="0" fontId="82" fillId="31" borderId="71" applyNumberFormat="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9" fontId="11" fillId="0" borderId="0" applyFont="0" applyFill="0" applyBorder="0" applyAlignment="0" applyProtection="0"/>
    <xf numFmtId="170"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43" fontId="11" fillId="0" borderId="0" applyFont="0" applyFill="0" applyBorder="0" applyAlignment="0" applyProtection="0"/>
    <xf numFmtId="169" fontId="11" fillId="0" borderId="0" applyFont="0" applyFill="0" applyBorder="0" applyAlignment="0" applyProtection="0"/>
    <xf numFmtId="0" fontId="40" fillId="0" borderId="0"/>
    <xf numFmtId="43" fontId="11" fillId="0" borderId="0" applyFont="0" applyFill="0" applyBorder="0" applyAlignment="0" applyProtection="0"/>
    <xf numFmtId="43" fontId="1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0" fillId="0" borderId="0" applyFont="0" applyFill="0" applyBorder="0" applyAlignment="0" applyProtection="0"/>
    <xf numFmtId="0" fontId="40" fillId="0" borderId="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11" fillId="0" borderId="0"/>
    <xf numFmtId="0" fontId="40" fillId="0" borderId="0"/>
    <xf numFmtId="43" fontId="1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9" fontId="11" fillId="0" borderId="0" applyFont="0" applyFill="0" applyBorder="0" applyAlignment="0" applyProtection="0"/>
    <xf numFmtId="9" fontId="40" fillId="0" borderId="0" applyFont="0" applyFill="0" applyBorder="0" applyAlignment="0" applyProtection="0"/>
    <xf numFmtId="0" fontId="40" fillId="0" borderId="0"/>
    <xf numFmtId="164" fontId="40"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9" fontId="11" fillId="0" borderId="0" applyFont="0" applyFill="0" applyBorder="0" applyAlignment="0" applyProtection="0"/>
    <xf numFmtId="0" fontId="140" fillId="30" borderId="0" applyNumberFormat="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9"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43" fontId="11" fillId="0" borderId="0" applyFont="0" applyFill="0" applyBorder="0" applyAlignment="0" applyProtection="0"/>
    <xf numFmtId="169"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81" fontId="148" fillId="0" borderId="0" applyNumberFormat="0" applyFill="0" applyBorder="0" applyAlignment="0" applyProtection="0">
      <alignment vertical="top"/>
      <protection locked="0"/>
    </xf>
    <xf numFmtId="0" fontId="81" fillId="78" borderId="43" applyNumberFormat="0" applyAlignment="0" applyProtection="0"/>
    <xf numFmtId="43" fontId="40"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22" fillId="23" borderId="0" applyNumberFormat="0" applyBorder="0" applyAlignment="0" applyProtection="0"/>
    <xf numFmtId="0" fontId="11" fillId="0" borderId="0"/>
    <xf numFmtId="0" fontId="39" fillId="0" borderId="0"/>
    <xf numFmtId="0" fontId="11" fillId="0" borderId="0"/>
    <xf numFmtId="0" fontId="11" fillId="0" borderId="0"/>
    <xf numFmtId="0" fontId="11" fillId="0" borderId="0"/>
    <xf numFmtId="0" fontId="40" fillId="0" borderId="0"/>
    <xf numFmtId="0" fontId="40" fillId="0" borderId="0"/>
    <xf numFmtId="0" fontId="40" fillId="0" borderId="0"/>
    <xf numFmtId="164" fontId="35" fillId="0" borderId="0" applyFont="0" applyFill="0" applyBorder="0" applyAlignment="0" applyProtection="0"/>
    <xf numFmtId="0" fontId="40" fillId="0" borderId="0"/>
    <xf numFmtId="0" fontId="40" fillId="0" borderId="0"/>
    <xf numFmtId="0" fontId="44" fillId="0" borderId="0"/>
    <xf numFmtId="0" fontId="11" fillId="0" borderId="0"/>
    <xf numFmtId="0" fontId="40" fillId="0" borderId="0"/>
    <xf numFmtId="0" fontId="40" fillId="0" borderId="0"/>
    <xf numFmtId="0" fontId="35" fillId="0" borderId="0"/>
    <xf numFmtId="0" fontId="40" fillId="0" borderId="0"/>
    <xf numFmtId="0" fontId="40" fillId="0" borderId="0"/>
    <xf numFmtId="0" fontId="35" fillId="0" borderId="0"/>
    <xf numFmtId="182" fontId="7" fillId="37" borderId="0" applyNumberFormat="0" applyBorder="0" applyAlignment="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9" fontId="11" fillId="0" borderId="0" applyFont="0" applyFill="0" applyBorder="0" applyAlignment="0" applyProtection="0"/>
    <xf numFmtId="0" fontId="82" fillId="31" borderId="71" applyNumberFormat="0" applyAlignment="0" applyProtection="0"/>
    <xf numFmtId="9" fontId="11" fillId="0" borderId="0" applyFont="0" applyFill="0" applyBorder="0" applyAlignment="0" applyProtection="0"/>
    <xf numFmtId="9" fontId="40" fillId="0" borderId="0" applyFont="0" applyFill="0" applyBorder="0" applyAlignment="0" applyProtection="0"/>
    <xf numFmtId="0" fontId="39" fillId="0" borderId="0"/>
    <xf numFmtId="0" fontId="20" fillId="7" borderId="2" applyNumberFormat="0" applyAlignment="0" applyProtection="0"/>
    <xf numFmtId="164" fontId="11" fillId="0" borderId="0" applyFont="0" applyFill="0" applyBorder="0" applyAlignment="0" applyProtection="0"/>
    <xf numFmtId="164" fontId="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43"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43" fontId="11" fillId="0" borderId="0" applyFont="0" applyFill="0" applyBorder="0" applyAlignment="0" applyProtection="0"/>
    <xf numFmtId="41" fontId="2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9" fontId="11" fillId="0" borderId="0" applyFont="0" applyFill="0" applyBorder="0" applyAlignment="0" applyProtection="0"/>
    <xf numFmtId="9"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169"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0" fontId="85" fillId="0" borderId="0" applyNumberForma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0" fontId="11" fillId="0" borderId="0"/>
    <xf numFmtId="169"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0" fontId="23" fillId="21" borderId="10" applyNumberFormat="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40" fillId="0" borderId="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43" fontId="11" fillId="0" borderId="0" applyFont="0" applyFill="0" applyBorder="0" applyAlignment="0" applyProtection="0"/>
    <xf numFmtId="169"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70" fontId="11" fillId="0" borderId="0" applyFont="0" applyFill="0" applyBorder="0" applyAlignment="0" applyProtection="0"/>
    <xf numFmtId="43"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9" fontId="11" fillId="0" borderId="0" applyFont="0" applyFill="0" applyBorder="0" applyAlignment="0" applyProtection="0"/>
    <xf numFmtId="170" fontId="11" fillId="0" borderId="0" applyFont="0" applyFill="0" applyBorder="0" applyAlignment="0" applyProtection="0"/>
    <xf numFmtId="9" fontId="11" fillId="0" borderId="0" applyFont="0" applyFill="0" applyBorder="0" applyAlignment="0" applyProtection="0"/>
    <xf numFmtId="170"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8"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11" fillId="0" borderId="0"/>
    <xf numFmtId="0" fontId="23" fillId="21" borderId="10" applyNumberFormat="0" applyAlignment="0" applyProtection="0"/>
    <xf numFmtId="0" fontId="11" fillId="0" borderId="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164" fontId="1"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9" fontId="40" fillId="0" borderId="0" applyFont="0" applyFill="0" applyBorder="0" applyAlignment="0" applyProtection="0"/>
    <xf numFmtId="164" fontId="1"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164" fontId="1"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164" fontId="1"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164" fontId="1"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164" fontId="1"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0" fontId="40" fillId="0" borderId="0"/>
    <xf numFmtId="164" fontId="1"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164" fontId="1"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164" fontId="1"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164" fontId="1"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0" fontId="40" fillId="0" borderId="0"/>
    <xf numFmtId="164" fontId="1"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164" fontId="1"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0" fontId="40" fillId="0" borderId="0"/>
    <xf numFmtId="164" fontId="1"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164" fontId="1"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0" fontId="40" fillId="0" borderId="0"/>
    <xf numFmtId="164" fontId="1"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164" fontId="1"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9" fontId="40" fillId="0" borderId="0" applyFont="0" applyFill="0" applyBorder="0" applyAlignment="0" applyProtection="0"/>
    <xf numFmtId="9" fontId="40" fillId="0" borderId="0" applyFont="0" applyFill="0" applyBorder="0" applyAlignment="0" applyProtection="0"/>
    <xf numFmtId="0" fontId="11" fillId="0" borderId="0" applyNumberFormat="0" applyFont="0" applyFill="0" applyBorder="0" applyProtection="0">
      <alignment horizontal="left" vertical="center" indent="5"/>
    </xf>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8" fontId="11" fillId="0" borderId="0" applyFont="0" applyFill="0" applyBorder="0" applyAlignment="0" applyProtection="0"/>
    <xf numFmtId="0"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24" borderId="0" applyNumberFormat="0" applyFont="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0" fontId="11" fillId="0" borderId="0" applyNumberFormat="0" applyFont="0" applyFill="0" applyBorder="0" applyProtection="0">
      <alignment horizontal="left" vertical="center" indent="5"/>
    </xf>
    <xf numFmtId="169"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8"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71" fontId="11" fillId="0" borderId="0" applyFont="0" applyFill="0" applyBorder="0" applyAlignment="0" applyProtection="0"/>
    <xf numFmtId="168" fontId="11" fillId="0" borderId="0" applyFont="0" applyFill="0" applyBorder="0" applyAlignment="0" applyProtection="0"/>
    <xf numFmtId="0"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24" borderId="0" applyNumberFormat="0" applyFont="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25" borderId="9" applyNumberFormat="0" applyFont="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8"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11" fillId="25" borderId="9" applyNumberFormat="0" applyFont="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8"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25" borderId="9" applyNumberFormat="0" applyFont="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11" fillId="0" borderId="0"/>
    <xf numFmtId="0" fontId="11" fillId="0" borderId="0"/>
    <xf numFmtId="0" fontId="11"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11" fillId="0" borderId="0"/>
    <xf numFmtId="0" fontId="11" fillId="0" borderId="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0" fontId="11" fillId="0" borderId="0"/>
    <xf numFmtId="164" fontId="1" fillId="0" borderId="0" applyFont="0" applyFill="0" applyBorder="0" applyAlignment="0" applyProtection="0"/>
    <xf numFmtId="0" fontId="11" fillId="0" borderId="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11"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11" fillId="0" borderId="0"/>
    <xf numFmtId="0" fontId="11" fillId="0" borderId="0"/>
    <xf numFmtId="0" fontId="11" fillId="0" borderId="0"/>
    <xf numFmtId="0" fontId="11"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11" fillId="0" borderId="0"/>
    <xf numFmtId="0" fontId="11" fillId="0" borderId="0"/>
    <xf numFmtId="0" fontId="11" fillId="0" borderId="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0" fontId="11" fillId="0" borderId="0"/>
    <xf numFmtId="164" fontId="1" fillId="0" borderId="0" applyFont="0" applyFill="0" applyBorder="0" applyAlignment="0" applyProtection="0"/>
    <xf numFmtId="0" fontId="11" fillId="0" borderId="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11"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11" fillId="0" borderId="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11" fillId="0" borderId="0"/>
    <xf numFmtId="0" fontId="11" fillId="0" borderId="0"/>
    <xf numFmtId="0" fontId="40" fillId="0" borderId="0"/>
    <xf numFmtId="164" fontId="35"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9"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0" fontId="35" fillId="25" borderId="9" applyNumberFormat="0" applyFont="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0" fontId="2" fillId="0" borderId="11" applyNumberFormat="0" applyFill="0" applyAlignment="0" applyProtection="0"/>
    <xf numFmtId="0" fontId="29" fillId="0" borderId="8" applyNumberFormat="0" applyFill="0" applyAlignment="0" applyProtection="0"/>
    <xf numFmtId="0" fontId="29" fillId="0" borderId="8" applyNumberFormat="0" applyFill="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8"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4" fontId="37" fillId="0" borderId="1" applyFill="0" applyBorder="0" applyProtection="0">
      <alignment horizontal="right" vertical="center"/>
    </xf>
    <xf numFmtId="4" fontId="37" fillId="0" borderId="1" applyFill="0" applyBorder="0" applyProtection="0">
      <alignment horizontal="right" vertical="center"/>
    </xf>
    <xf numFmtId="169" fontId="35" fillId="0" borderId="0" applyFont="0" applyFill="0" applyBorder="0" applyAlignment="0" applyProtection="0"/>
    <xf numFmtId="0" fontId="23" fillId="21" borderId="10" applyNumberFormat="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0" fontId="11" fillId="25" borderId="9" applyNumberFormat="0" applyFont="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0" fontId="11" fillId="25" borderId="9" applyNumberFormat="0" applyFont="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4" fontId="35" fillId="0" borderId="0" applyFont="0" applyFill="0" applyBorder="0" applyAlignment="0" applyProtection="0"/>
    <xf numFmtId="3" fontId="67" fillId="37" borderId="0"/>
    <xf numFmtId="170" fontId="35" fillId="0" borderId="0" applyFont="0" applyFill="0" applyBorder="0" applyAlignment="0" applyProtection="0"/>
    <xf numFmtId="0" fontId="37" fillId="0" borderId="5">
      <alignment horizontal="left" vertical="center" wrapText="1" indent="2"/>
    </xf>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0" fontId="11" fillId="25" borderId="9" applyNumberFormat="0" applyFont="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0" fontId="23" fillId="21" borderId="10" applyNumberFormat="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0" fontId="2" fillId="0" borderId="11" applyNumberFormat="0" applyFill="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168"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41" fontId="21" fillId="0" borderId="0" applyFont="0" applyFill="0" applyBorder="0" applyAlignment="0" applyProtection="0"/>
    <xf numFmtId="0" fontId="29" fillId="0" borderId="8" applyNumberFormat="0" applyFill="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 fillId="0" borderId="0" applyFont="0" applyFill="0" applyBorder="0" applyAlignment="0" applyProtection="0"/>
    <xf numFmtId="43" fontId="84"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0" fontId="2" fillId="0" borderId="11" applyNumberFormat="0" applyFill="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 fontId="37" fillId="0" borderId="1" applyFill="0" applyBorder="0" applyProtection="0">
      <alignment horizontal="right" vertical="center"/>
    </xf>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0" fontId="20" fillId="7" borderId="2" applyNumberFormat="0" applyAlignment="0" applyProtection="0"/>
    <xf numFmtId="0" fontId="37" fillId="0" borderId="5">
      <alignment horizontal="left" vertical="center" wrapText="1" indent="2"/>
    </xf>
    <xf numFmtId="0" fontId="17" fillId="21" borderId="2" applyNumberFormat="0" applyAlignment="0" applyProtection="0"/>
    <xf numFmtId="0" fontId="17" fillId="21" borderId="2" applyNumberFormat="0" applyAlignment="0" applyProtection="0"/>
    <xf numFmtId="0" fontId="29" fillId="0" borderId="8" applyNumberFormat="0" applyFill="0" applyAlignment="0" applyProtection="0"/>
    <xf numFmtId="4" fontId="37" fillId="0" borderId="1" applyFill="0" applyBorder="0" applyProtection="0">
      <alignment horizontal="right" vertical="center"/>
    </xf>
    <xf numFmtId="0" fontId="20" fillId="7" borderId="2" applyNumberFormat="0" applyAlignment="0" applyProtection="0"/>
    <xf numFmtId="0" fontId="37" fillId="0" borderId="5">
      <alignment horizontal="left" vertical="center" wrapText="1" indent="2"/>
    </xf>
    <xf numFmtId="0" fontId="11"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35" fillId="25" borderId="9" applyNumberFormat="0" applyFont="0" applyAlignment="0" applyProtection="0"/>
    <xf numFmtId="0" fontId="11" fillId="25" borderId="9" applyNumberFormat="0" applyFont="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17" fillId="21" borderId="2" applyNumberFormat="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8"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0" fontId="20" fillId="7" borderId="2" applyNumberFormat="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35"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35" fillId="25" borderId="9"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0" fontId="23" fillId="21" borderId="10" applyNumberFormat="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0" fontId="62" fillId="73" borderId="1" applyNumberFormat="0" applyProtection="0">
      <alignment horizontal="right"/>
    </xf>
    <xf numFmtId="0" fontId="62" fillId="73" borderId="1" applyNumberFormat="0" applyProtection="0">
      <alignment horizontal="left"/>
    </xf>
    <xf numFmtId="49" fontId="11" fillId="0" borderId="1" applyFill="0" applyProtection="0">
      <alignment horizontal="righ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62" fillId="73" borderId="1" applyNumberFormat="0" applyProtection="0">
      <alignment horizontal="right"/>
    </xf>
    <xf numFmtId="0" fontId="62" fillId="73" borderId="1" applyNumberFormat="0" applyProtection="0">
      <alignment horizontal="left"/>
    </xf>
    <xf numFmtId="49" fontId="11" fillId="0" borderId="1" applyFill="0" applyProtection="0">
      <alignment horizontal="righ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62" fillId="73" borderId="1" applyNumberFormat="0" applyProtection="0">
      <alignment horizontal="right"/>
    </xf>
    <xf numFmtId="0" fontId="62" fillId="73" borderId="1" applyNumberFormat="0" applyProtection="0">
      <alignment horizontal="left"/>
    </xf>
    <xf numFmtId="49" fontId="11" fillId="0" borderId="1" applyFill="0" applyProtection="0">
      <alignment horizontal="righ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62" fillId="73" borderId="1" applyNumberFormat="0" applyProtection="0">
      <alignment horizontal="righ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62" fillId="73" borderId="1" applyNumberFormat="0" applyProtection="0">
      <alignment horizontal="right"/>
    </xf>
    <xf numFmtId="0" fontId="62" fillId="73" borderId="1" applyNumberFormat="0" applyProtection="0">
      <alignment horizontal="left"/>
    </xf>
    <xf numFmtId="49" fontId="11" fillId="0" borderId="1" applyFill="0" applyProtection="0">
      <alignment horizontal="righ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62" fillId="73" borderId="1" applyNumberFormat="0" applyProtection="0">
      <alignment horizontal="right"/>
    </xf>
    <xf numFmtId="0" fontId="62" fillId="73" borderId="1" applyNumberFormat="0" applyProtection="0">
      <alignment horizontal="left"/>
    </xf>
    <xf numFmtId="49" fontId="11" fillId="0" borderId="1" applyFill="0" applyProtection="0">
      <alignment horizontal="righ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62" fillId="73" borderId="1" applyNumberFormat="0" applyProtection="0">
      <alignment horizontal="right"/>
    </xf>
    <xf numFmtId="0" fontId="62" fillId="73" borderId="1" applyNumberFormat="0" applyProtection="0">
      <alignment horizontal="left"/>
    </xf>
    <xf numFmtId="49" fontId="11" fillId="0" borderId="1" applyFill="0" applyProtection="0">
      <alignment horizontal="righ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2" fillId="0" borderId="11" applyNumberFormat="0" applyFill="0" applyAlignment="0" applyProtection="0"/>
    <xf numFmtId="0" fontId="2" fillId="0" borderId="11" applyNumberFormat="0" applyFill="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20" fillId="7" borderId="2" applyNumberFormat="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164" fontId="40"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43"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71" fontId="11" fillId="0" borderId="0" applyFont="0" applyFill="0" applyBorder="0" applyAlignment="0" applyProtection="0"/>
    <xf numFmtId="181" fontId="11" fillId="0" borderId="0" applyFont="0" applyFill="0" applyBorder="0" applyAlignment="0" applyProtection="0"/>
    <xf numFmtId="43" fontId="1" fillId="0" borderId="0" applyFont="0" applyFill="0" applyBorder="0" applyAlignment="0" applyProtection="0"/>
    <xf numFmtId="164" fontId="40"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0" fontId="83" fillId="0" borderId="0" applyFill="0" applyBorder="0"/>
    <xf numFmtId="43" fontId="11" fillId="0" borderId="0" applyFont="0" applyFill="0" applyBorder="0" applyAlignment="0" applyProtection="0"/>
    <xf numFmtId="43" fontId="11" fillId="0" borderId="0" applyFont="0" applyFill="0" applyBorder="0" applyAlignment="0" applyProtection="0"/>
    <xf numFmtId="0" fontId="40" fillId="0" borderId="0"/>
    <xf numFmtId="0" fontId="40" fillId="0" borderId="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0" fontId="11" fillId="25" borderId="9" applyNumberFormat="0" applyFont="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0" fontId="35" fillId="25" borderId="9" applyNumberFormat="0" applyFont="0" applyAlignment="0" applyProtection="0"/>
    <xf numFmtId="0" fontId="40" fillId="0" borderId="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9" fontId="40" fillId="0" borderId="0" applyFont="0" applyFill="0" applyBorder="0" applyAlignment="0" applyProtection="0"/>
    <xf numFmtId="43" fontId="11"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81"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11" fillId="25" borderId="9" applyNumberFormat="0" applyFont="0" applyAlignment="0" applyProtection="0"/>
    <xf numFmtId="9" fontId="40" fillId="0" borderId="0" applyFont="0" applyFill="0" applyBorder="0" applyAlignment="0" applyProtection="0"/>
    <xf numFmtId="164" fontId="40" fillId="0" borderId="0" applyFont="0" applyFill="0" applyBorder="0" applyAlignment="0" applyProtection="0"/>
    <xf numFmtId="43" fontId="40" fillId="0" borderId="0" applyFont="0" applyFill="0" applyBorder="0" applyAlignment="0" applyProtection="0"/>
    <xf numFmtId="164" fontId="40" fillId="0" borderId="0" applyFont="0" applyFill="0" applyBorder="0" applyAlignment="0" applyProtection="0"/>
    <xf numFmtId="43" fontId="40"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0" fontId="35" fillId="25" borderId="9" applyNumberFormat="0" applyFont="0" applyAlignment="0" applyProtection="0"/>
    <xf numFmtId="0" fontId="11" fillId="0" borderId="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40" fillId="0" borderId="0"/>
    <xf numFmtId="0" fontId="11" fillId="25" borderId="9" applyNumberFormat="0" applyFont="0" applyAlignment="0" applyProtection="0"/>
    <xf numFmtId="0" fontId="40" fillId="0" borderId="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40" fillId="0" borderId="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0" fontId="11" fillId="0" borderId="0"/>
    <xf numFmtId="0" fontId="23" fillId="21" borderId="10" applyNumberFormat="0" applyAlignment="0" applyProtection="0"/>
    <xf numFmtId="0" fontId="40" fillId="0" borderId="0"/>
    <xf numFmtId="0" fontId="40" fillId="0" borderId="0"/>
    <xf numFmtId="0" fontId="11" fillId="25" borderId="9" applyNumberFormat="0" applyFont="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9"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0" fontId="40" fillId="0" borderId="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0" fontId="40" fillId="0" borderId="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0" fontId="40" fillId="0" borderId="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0" fontId="40" fillId="0" borderId="0"/>
    <xf numFmtId="9" fontId="40" fillId="0" borderId="0" applyFont="0" applyFill="0" applyBorder="0" applyAlignment="0" applyProtection="0"/>
    <xf numFmtId="9" fontId="40" fillId="0" borderId="0" applyFont="0" applyFill="0" applyBorder="0" applyAlignment="0" applyProtection="0"/>
    <xf numFmtId="0" fontId="11" fillId="25" borderId="9" applyNumberFormat="0" applyFont="0" applyAlignment="0" applyProtection="0"/>
    <xf numFmtId="0" fontId="11" fillId="25" borderId="9" applyNumberFormat="0" applyFont="0" applyAlignment="0" applyProtection="0"/>
    <xf numFmtId="0" fontId="11" fillId="0" borderId="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164" fontId="40" fillId="0" borderId="0" applyFont="0" applyFill="0" applyBorder="0" applyAlignment="0" applyProtection="0"/>
    <xf numFmtId="164" fontId="40" fillId="0" borderId="0" applyFont="0" applyFill="0" applyBorder="0" applyAlignment="0" applyProtection="0"/>
    <xf numFmtId="0" fontId="11" fillId="0" borderId="0"/>
    <xf numFmtId="0" fontId="11" fillId="0" borderId="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0" fontId="11" fillId="0" borderId="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40" fillId="0" borderId="0" applyFont="0" applyFill="0" applyBorder="0" applyAlignment="0" applyProtection="0"/>
    <xf numFmtId="164" fontId="40" fillId="0" borderId="0" applyFont="0" applyFill="0" applyBorder="0" applyAlignment="0" applyProtection="0"/>
    <xf numFmtId="0" fontId="11" fillId="0" borderId="0"/>
    <xf numFmtId="0" fontId="11" fillId="0" borderId="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0" fontId="11" fillId="0" borderId="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0" fontId="11" fillId="0" borderId="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0" fontId="11" fillId="0" borderId="0"/>
    <xf numFmtId="0" fontId="11" fillId="0" borderId="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35" fillId="25" borderId="9" applyNumberFormat="0" applyFont="0" applyAlignment="0" applyProtection="0"/>
    <xf numFmtId="0" fontId="29" fillId="0" borderId="8" applyNumberFormat="0" applyFill="0" applyAlignment="0" applyProtection="0"/>
    <xf numFmtId="0" fontId="29" fillId="0" borderId="8" applyNumberFormat="0" applyFill="0" applyAlignment="0" applyProtection="0"/>
    <xf numFmtId="0" fontId="11" fillId="25" borderId="9" applyNumberFormat="0" applyFont="0" applyAlignment="0" applyProtection="0"/>
    <xf numFmtId="164" fontId="35" fillId="0" borderId="0" applyFont="0" applyFill="0" applyBorder="0" applyAlignment="0" applyProtection="0"/>
    <xf numFmtId="0" fontId="37" fillId="0" borderId="5">
      <alignment horizontal="left" vertical="center" wrapText="1" indent="2"/>
    </xf>
    <xf numFmtId="4" fontId="37" fillId="0" borderId="1" applyFill="0" applyBorder="0" applyProtection="0">
      <alignment horizontal="right" vertical="center"/>
    </xf>
    <xf numFmtId="4" fontId="37" fillId="0" borderId="1" applyFill="0" applyBorder="0" applyProtection="0">
      <alignment horizontal="right" vertical="center"/>
    </xf>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9"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39"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3" fontId="11" fillId="97" borderId="2" applyFont="0" applyFill="0" applyBorder="0" applyAlignment="0" applyProtection="0"/>
    <xf numFmtId="3" fontId="11" fillId="97" borderId="2" applyFont="0" applyFill="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6" fillId="12" borderId="0" applyNumberFormat="0" applyBorder="0" applyAlignment="0" applyProtection="0"/>
    <xf numFmtId="0" fontId="16" fillId="9" borderId="0" applyNumberFormat="0" applyBorder="0" applyAlignment="0" applyProtection="0"/>
    <xf numFmtId="0" fontId="16" fillId="10" borderId="0" applyNumberFormat="0" applyBorder="0" applyAlignment="0" applyProtection="0"/>
    <xf numFmtId="0" fontId="16" fillId="13"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16" borderId="0" applyNumberFormat="0" applyBorder="0" applyAlignment="0" applyProtection="0"/>
    <xf numFmtId="0" fontId="16" fillId="17" borderId="0" applyNumberFormat="0" applyBorder="0" applyAlignment="0" applyProtection="0"/>
    <xf numFmtId="0" fontId="16" fillId="18" borderId="0" applyNumberFormat="0" applyBorder="0" applyAlignment="0" applyProtection="0"/>
    <xf numFmtId="0" fontId="16" fillId="13" borderId="0" applyNumberFormat="0" applyBorder="0" applyAlignment="0" applyProtection="0"/>
    <xf numFmtId="0" fontId="16" fillId="14" borderId="0" applyNumberFormat="0" applyBorder="0" applyAlignment="0" applyProtection="0"/>
    <xf numFmtId="0" fontId="16" fillId="19" borderId="0" applyNumberFormat="0" applyBorder="0" applyAlignment="0" applyProtection="0"/>
    <xf numFmtId="0" fontId="31" fillId="3" borderId="0" applyNumberFormat="0" applyBorder="0" applyAlignment="0" applyProtection="0"/>
    <xf numFmtId="0" fontId="1" fillId="46" borderId="47" applyNumberFormat="0" applyFont="0" applyAlignment="0" applyProtection="0"/>
    <xf numFmtId="0" fontId="1" fillId="46" borderId="47" applyNumberFormat="0" applyFont="0" applyAlignment="0" applyProtection="0"/>
    <xf numFmtId="0" fontId="1" fillId="46" borderId="47" applyNumberFormat="0" applyFont="0" applyAlignment="0" applyProtection="0"/>
    <xf numFmtId="0" fontId="1" fillId="46" borderId="47" applyNumberFormat="0" applyFont="0" applyAlignment="0" applyProtection="0"/>
    <xf numFmtId="0" fontId="1" fillId="46" borderId="47" applyNumberFormat="0" applyFont="0" applyAlignment="0" applyProtection="0"/>
    <xf numFmtId="0" fontId="1" fillId="46" borderId="47" applyNumberFormat="0" applyFont="0" applyAlignment="0" applyProtection="0"/>
    <xf numFmtId="0" fontId="1" fillId="46" borderId="47" applyNumberFormat="0" applyFont="0" applyAlignment="0" applyProtection="0"/>
    <xf numFmtId="0" fontId="1" fillId="46" borderId="47" applyNumberFormat="0" applyFont="0" applyAlignment="0" applyProtection="0"/>
    <xf numFmtId="0" fontId="1" fillId="46" borderId="47" applyNumberFormat="0" applyFont="0" applyAlignment="0" applyProtection="0"/>
    <xf numFmtId="0" fontId="1" fillId="46" borderId="47" applyNumberFormat="0" applyFont="0" applyAlignment="0" applyProtection="0"/>
    <xf numFmtId="0" fontId="1" fillId="46" borderId="47" applyNumberFormat="0" applyFont="0" applyAlignment="0" applyProtection="0"/>
    <xf numFmtId="0" fontId="1" fillId="46" borderId="47" applyNumberFormat="0" applyFont="0" applyAlignment="0" applyProtection="0"/>
    <xf numFmtId="0" fontId="1" fillId="46" borderId="47" applyNumberFormat="0" applyFont="0" applyAlignment="0" applyProtection="0"/>
    <xf numFmtId="0" fontId="11" fillId="46" borderId="47" applyNumberFormat="0" applyFont="0" applyAlignment="0" applyProtection="0"/>
    <xf numFmtId="0" fontId="1" fillId="46" borderId="47" applyNumberFormat="0" applyFont="0" applyAlignment="0" applyProtection="0"/>
    <xf numFmtId="0" fontId="1" fillId="46" borderId="47" applyNumberFormat="0" applyFont="0" applyAlignment="0" applyProtection="0"/>
    <xf numFmtId="0" fontId="1" fillId="46" borderId="47" applyNumberFormat="0" applyFont="0" applyAlignment="0" applyProtection="0"/>
    <xf numFmtId="0" fontId="11" fillId="46" borderId="47" applyNumberFormat="0" applyFont="0" applyAlignment="0" applyProtection="0"/>
    <xf numFmtId="0" fontId="11" fillId="46" borderId="47" applyNumberFormat="0" applyFont="0" applyAlignment="0" applyProtection="0"/>
    <xf numFmtId="0" fontId="1" fillId="46" borderId="47" applyNumberFormat="0" applyFont="0" applyAlignment="0" applyProtection="0"/>
    <xf numFmtId="0" fontId="1" fillId="46" borderId="47" applyNumberFormat="0" applyFont="0" applyAlignment="0" applyProtection="0"/>
    <xf numFmtId="0" fontId="11" fillId="46" borderId="47" applyNumberFormat="0" applyFont="0" applyAlignment="0" applyProtection="0"/>
    <xf numFmtId="0" fontId="1" fillId="46" borderId="47" applyNumberFormat="0" applyFont="0" applyAlignment="0" applyProtection="0"/>
    <xf numFmtId="0" fontId="1" fillId="46" borderId="47" applyNumberFormat="0" applyFont="0" applyAlignment="0" applyProtection="0"/>
    <xf numFmtId="3" fontId="142" fillId="95" borderId="2" applyNumberFormat="0" applyBorder="0" applyAlignment="0" applyProtection="0"/>
    <xf numFmtId="0" fontId="149" fillId="0" borderId="0"/>
    <xf numFmtId="0" fontId="150" fillId="0" borderId="0">
      <alignment horizontal="right"/>
    </xf>
    <xf numFmtId="0" fontId="151" fillId="0" borderId="0"/>
    <xf numFmtId="0" fontId="152" fillId="0" borderId="0"/>
    <xf numFmtId="0" fontId="153" fillId="0" borderId="0"/>
    <xf numFmtId="0" fontId="154" fillId="0" borderId="109" applyNumberFormat="0" applyAlignment="0"/>
    <xf numFmtId="0" fontId="155" fillId="0" borderId="0" applyAlignment="0">
      <alignment horizontal="left"/>
    </xf>
    <xf numFmtId="0" fontId="155" fillId="0" borderId="0">
      <alignment horizontal="right"/>
    </xf>
    <xf numFmtId="179" fontId="155" fillId="0" borderId="0">
      <alignment horizontal="right"/>
    </xf>
    <xf numFmtId="167" fontId="156" fillId="0" borderId="0">
      <alignment horizontal="right"/>
    </xf>
    <xf numFmtId="0" fontId="157" fillId="0" borderId="0"/>
    <xf numFmtId="0" fontId="17" fillId="21" borderId="2" applyNumberFormat="0" applyAlignment="0" applyProtection="0"/>
    <xf numFmtId="0" fontId="17" fillId="21" borderId="2" applyNumberFormat="0" applyAlignment="0" applyProtection="0"/>
    <xf numFmtId="0" fontId="42" fillId="31" borderId="43" applyNumberFormat="0" applyAlignment="0" applyProtection="0"/>
    <xf numFmtId="0" fontId="7" fillId="37" borderId="2" applyNumberFormat="0" applyBorder="0" applyAlignment="0" applyProtection="0"/>
    <xf numFmtId="0" fontId="19" fillId="22" borderId="4" applyNumberFormat="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84"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84"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84" fillId="0" borderId="0" applyFont="0" applyFill="0" applyBorder="0" applyAlignment="0" applyProtection="0"/>
    <xf numFmtId="164" fontId="8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4" fillId="0" borderId="0" applyFont="0" applyFill="0" applyBorder="0" applyAlignment="0" applyProtection="0"/>
    <xf numFmtId="43" fontId="1" fillId="0" borderId="0" applyFont="0" applyFill="0" applyBorder="0" applyAlignment="0" applyProtection="0"/>
    <xf numFmtId="164" fontId="35" fillId="0" borderId="0" applyFont="0" applyFill="0" applyBorder="0" applyAlignment="0" applyProtection="0"/>
    <xf numFmtId="164" fontId="84" fillId="0" borderId="0" applyFont="0" applyFill="0" applyBorder="0" applyAlignment="0" applyProtection="0"/>
    <xf numFmtId="164" fontId="1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11" fillId="0" borderId="0" applyFont="0" applyFill="0" applyBorder="0" applyAlignment="0" applyProtection="0"/>
    <xf numFmtId="43" fontId="1" fillId="0" borderId="0" applyFont="0" applyFill="0" applyBorder="0" applyAlignment="0" applyProtection="0"/>
    <xf numFmtId="164"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84" fillId="0" borderId="0" applyFont="0" applyFill="0" applyBorder="0" applyAlignment="0" applyProtection="0"/>
    <xf numFmtId="164" fontId="11" fillId="0" borderId="0" applyFont="0" applyFill="0" applyBorder="0" applyAlignment="0" applyProtection="0"/>
    <xf numFmtId="164" fontId="84"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83" fontId="1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1" fillId="0" borderId="0" applyFont="0" applyFill="0" applyBorder="0" applyAlignment="0" applyProtection="0"/>
    <xf numFmtId="0" fontId="25" fillId="0" borderId="0" applyNumberFormat="0" applyFill="0" applyBorder="0" applyAlignment="0" applyProtection="0"/>
    <xf numFmtId="0" fontId="32" fillId="4" borderId="0" applyNumberFormat="0" applyBorder="0" applyAlignment="0" applyProtection="0"/>
    <xf numFmtId="0" fontId="27" fillId="0" borderId="6" applyNumberFormat="0" applyFill="0" applyAlignment="0" applyProtection="0"/>
    <xf numFmtId="0" fontId="28" fillId="0" borderId="7" applyNumberFormat="0" applyFill="0" applyAlignment="0" applyProtection="0"/>
    <xf numFmtId="0" fontId="29" fillId="0" borderId="8" applyNumberFormat="0" applyFill="0" applyAlignment="0" applyProtection="0"/>
    <xf numFmtId="0" fontId="29" fillId="0" borderId="0" applyNumberFormat="0" applyFill="0" applyBorder="0" applyAlignment="0" applyProtection="0"/>
    <xf numFmtId="0" fontId="148" fillId="0" borderId="0" applyNumberFormat="0" applyFill="0" applyBorder="0" applyAlignment="0" applyProtection="0">
      <alignment vertical="top"/>
      <protection locked="0"/>
    </xf>
    <xf numFmtId="0" fontId="158" fillId="0" borderId="0" applyNumberFormat="0" applyFill="0" applyBorder="0" applyAlignment="0" applyProtection="0">
      <alignment vertical="top"/>
      <protection locked="0"/>
    </xf>
    <xf numFmtId="0" fontId="20" fillId="7" borderId="2" applyNumberFormat="0" applyAlignment="0" applyProtection="0"/>
    <xf numFmtId="164" fontId="11" fillId="0" borderId="0" applyFont="0" applyFill="0" applyBorder="0" applyAlignment="0" applyProtection="0"/>
    <xf numFmtId="164" fontId="11" fillId="0" borderId="0" applyFont="0" applyFill="0" applyBorder="0" applyAlignment="0" applyProtection="0"/>
    <xf numFmtId="0" fontId="81" fillId="78" borderId="43" applyNumberFormat="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39"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43"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159"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148" fillId="0" borderId="0" applyNumberFormat="0" applyFill="0" applyBorder="0" applyAlignment="0" applyProtection="0">
      <alignment vertical="top"/>
      <protection locked="0"/>
    </xf>
    <xf numFmtId="164" fontId="11" fillId="0" borderId="0" applyFont="0" applyFill="0" applyBorder="0" applyAlignment="0" applyProtection="0"/>
    <xf numFmtId="0" fontId="159" fillId="0" borderId="0" applyNumberFormat="0" applyFill="0" applyBorder="0" applyAlignment="0" applyProtection="0"/>
    <xf numFmtId="0" fontId="159" fillId="0" borderId="0" applyNumberFormat="0" applyFill="0" applyBorder="0" applyAlignment="0" applyProtection="0"/>
    <xf numFmtId="0" fontId="85" fillId="0" borderId="0" applyNumberFormat="0" applyFill="0" applyBorder="0" applyAlignment="0" applyProtection="0"/>
    <xf numFmtId="0" fontId="159" fillId="0" borderId="0" applyNumberFormat="0" applyFill="0" applyBorder="0" applyAlignment="0" applyProtection="0">
      <alignment vertical="top"/>
      <protection locked="0"/>
    </xf>
    <xf numFmtId="0" fontId="18" fillId="0" borderId="3" applyNumberFormat="0" applyFill="0" applyAlignment="0" applyProtection="0"/>
    <xf numFmtId="164" fontId="35"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64" fontId="40"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40"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40"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 fillId="0" borderId="0" applyFont="0" applyFill="0" applyBorder="0" applyAlignment="0" applyProtection="0"/>
    <xf numFmtId="180" fontId="2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40"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164" fontId="40"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40" fillId="0" borderId="0" applyFont="0" applyFill="0" applyBorder="0" applyAlignment="0" applyProtection="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9" fontId="40"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180"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80" fontId="2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9" fontId="11" fillId="0" borderId="1" applyFill="0" applyProtection="0">
      <alignment horizontal="right"/>
    </xf>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43" fontId="35"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35"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9"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1" fontId="11" fillId="0" borderId="1" applyFill="0" applyProtection="0">
      <alignment horizontal="right" vertical="top" wrapText="1"/>
    </xf>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9" fontId="40"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80" fontId="21" fillId="0" borderId="0" applyFont="0" applyFill="0" applyBorder="0" applyAlignment="0" applyProtection="0"/>
    <xf numFmtId="164" fontId="1" fillId="0" borderId="0" applyFont="0" applyFill="0" applyBorder="0" applyAlignment="0" applyProtection="0"/>
    <xf numFmtId="43" fontId="35" fillId="0" borderId="0" applyFont="0" applyFill="0" applyBorder="0" applyAlignment="0" applyProtection="0"/>
    <xf numFmtId="180"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43" fontId="35"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9" fontId="40" fillId="0" borderId="0" applyFont="0" applyFill="0" applyBorder="0" applyAlignment="0" applyProtection="0"/>
    <xf numFmtId="164"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0" fontId="40" fillId="0" borderId="0"/>
    <xf numFmtId="164" fontId="40"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43" fontId="35" fillId="0" borderId="0" applyFont="0" applyFill="0" applyBorder="0" applyAlignment="0" applyProtection="0"/>
    <xf numFmtId="0" fontId="40" fillId="0" borderId="0"/>
    <xf numFmtId="0" fontId="40" fillId="0" borderId="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0" fontId="40" fillId="0" borderId="0"/>
    <xf numFmtId="164"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0" fontId="40" fillId="0" borderId="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9"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2" fontId="11" fillId="0" borderId="1" applyFill="0" applyProtection="0">
      <alignment horizontal="right" vertical="top" wrapText="1"/>
    </xf>
    <xf numFmtId="0" fontId="62" fillId="73" borderId="1" applyNumberFormat="0" applyProtection="0">
      <alignment horizontal="right"/>
    </xf>
    <xf numFmtId="0" fontId="40" fillId="0" borderId="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0" fontId="40" fillId="0" borderId="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40" fillId="0" borderId="0"/>
    <xf numFmtId="164" fontId="1" fillId="0" borderId="0" applyFont="0" applyFill="0" applyBorder="0" applyAlignment="0" applyProtection="0"/>
    <xf numFmtId="0" fontId="40" fillId="0" borderId="0"/>
    <xf numFmtId="0" fontId="40" fillId="0" borderId="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0" fontId="11" fillId="0" borderId="1" applyFill="0" applyProtection="0">
      <alignment horizontal="right" vertical="top" wrapText="1"/>
    </xf>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43" fontId="35"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4" fillId="0" borderId="0"/>
    <xf numFmtId="0" fontId="11" fillId="0" borderId="0"/>
    <xf numFmtId="0" fontId="39" fillId="0" borderId="0"/>
    <xf numFmtId="9" fontId="11" fillId="0" borderId="0" applyFont="0" applyFill="0" applyBorder="0" applyAlignment="0" applyProtection="0"/>
    <xf numFmtId="0" fontId="11" fillId="0" borderId="0" applyNumberFormat="0" applyFont="0" applyFill="0" applyBorder="0" applyProtection="0">
      <alignment horizontal="left" vertical="center" indent="2"/>
    </xf>
    <xf numFmtId="4" fontId="37" fillId="98" borderId="1">
      <alignment horizontal="right" vertical="center"/>
    </xf>
    <xf numFmtId="0" fontId="33" fillId="0" borderId="0" applyNumberFormat="0">
      <alignment horizontal="right"/>
    </xf>
    <xf numFmtId="0" fontId="33" fillId="0" borderId="110">
      <alignment horizontal="left" vertical="top" wrapText="1"/>
    </xf>
    <xf numFmtId="0" fontId="11" fillId="0" borderId="15"/>
    <xf numFmtId="0" fontId="161" fillId="0" borderId="0" applyNumberFormat="0" applyFill="0" applyBorder="0" applyAlignment="0" applyProtection="0"/>
    <xf numFmtId="4" fontId="37" fillId="0" borderId="93">
      <alignment horizontal="right" vertical="center"/>
    </xf>
    <xf numFmtId="0" fontId="37" fillId="24" borderId="1"/>
    <xf numFmtId="0" fontId="37" fillId="0" borderId="0"/>
    <xf numFmtId="0" fontId="11" fillId="0" borderId="0"/>
    <xf numFmtId="0" fontId="40" fillId="46" borderId="47" applyNumberFormat="0" applyFont="0" applyAlignment="0" applyProtection="0"/>
    <xf numFmtId="0" fontId="17" fillId="21" borderId="2" applyNumberFormat="0" applyAlignment="0" applyProtection="0"/>
    <xf numFmtId="0" fontId="17" fillId="21" borderId="2" applyNumberFormat="0" applyAlignment="0" applyProtection="0"/>
    <xf numFmtId="0" fontId="20" fillId="7" borderId="2" applyNumberFormat="0" applyAlignment="0" applyProtection="0"/>
    <xf numFmtId="0" fontId="20" fillId="7" borderId="2" applyNumberFormat="0" applyAlignment="0" applyProtection="0"/>
    <xf numFmtId="0" fontId="23" fillId="21" borderId="10" applyNumberFormat="0" applyAlignment="0" applyProtection="0"/>
    <xf numFmtId="0" fontId="23" fillId="21" borderId="10" applyNumberFormat="0" applyAlignment="0" applyProtection="0"/>
    <xf numFmtId="9" fontId="40" fillId="0" borderId="0" applyFont="0" applyFill="0" applyBorder="0" applyAlignment="0" applyProtection="0"/>
    <xf numFmtId="0" fontId="62" fillId="73" borderId="1" applyNumberFormat="0" applyProtection="0">
      <alignment horizontal="right"/>
    </xf>
    <xf numFmtId="1" fontId="11" fillId="0" borderId="1" applyFill="0" applyProtection="0">
      <alignment horizontal="right" vertical="top" wrapText="1"/>
    </xf>
    <xf numFmtId="0" fontId="11" fillId="0" borderId="1" applyFill="0" applyProtection="0">
      <alignment horizontal="right" vertical="top" wrapText="1"/>
    </xf>
    <xf numFmtId="0" fontId="160" fillId="0" borderId="0" applyNumberFormat="0" applyFill="0" applyBorder="0" applyAlignment="0" applyProtection="0"/>
    <xf numFmtId="0" fontId="2" fillId="0" borderId="11" applyNumberFormat="0" applyFill="0" applyAlignment="0" applyProtection="0"/>
    <xf numFmtId="0" fontId="11" fillId="0" borderId="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3" fontId="162" fillId="0" borderId="0" applyFont="0" applyFill="0" applyBorder="0" applyAlignment="0" applyProtection="0"/>
    <xf numFmtId="184" fontId="11" fillId="0" borderId="0"/>
    <xf numFmtId="184" fontId="11" fillId="0" borderId="0"/>
    <xf numFmtId="184" fontId="11" fillId="0" borderId="0"/>
    <xf numFmtId="184" fontId="11" fillId="0" borderId="0"/>
    <xf numFmtId="184" fontId="11" fillId="0" borderId="0"/>
    <xf numFmtId="0" fontId="39" fillId="0" borderId="0"/>
    <xf numFmtId="185" fontId="162" fillId="0" borderId="0" applyFont="0" applyFill="0" applyBorder="0" applyAlignment="0" applyProtection="0"/>
    <xf numFmtId="0" fontId="162" fillId="0" borderId="0" applyFont="0" applyFill="0" applyBorder="0" applyAlignment="0" applyProtection="0"/>
    <xf numFmtId="0" fontId="39" fillId="0" borderId="0"/>
    <xf numFmtId="2" fontId="162"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164" fontId="11" fillId="0" borderId="0" applyFont="0" applyFill="0" applyBorder="0" applyAlignment="0" applyProtection="0"/>
    <xf numFmtId="0" fontId="40" fillId="0" borderId="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164" fontId="11" fillId="0" borderId="0" applyFont="0" applyFill="0" applyBorder="0" applyAlignment="0" applyProtection="0"/>
    <xf numFmtId="164" fontId="11" fillId="0" borderId="0" applyFont="0" applyFill="0" applyBorder="0" applyAlignment="0" applyProtection="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164" fontId="11" fillId="0" borderId="0" applyFont="0" applyFill="0" applyBorder="0" applyAlignment="0" applyProtection="0"/>
    <xf numFmtId="0" fontId="40" fillId="0" borderId="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0" fontId="40" fillId="0" borderId="0"/>
    <xf numFmtId="164" fontId="11" fillId="0" borderId="0" applyFont="0" applyFill="0" applyBorder="0" applyAlignment="0" applyProtection="0"/>
    <xf numFmtId="164" fontId="40" fillId="0" borderId="0" applyFont="0" applyFill="0" applyBorder="0" applyAlignment="0" applyProtection="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62" fillId="73" borderId="1" applyNumberFormat="0" applyProtection="0">
      <alignment horizontal="left"/>
    </xf>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164" fontId="11" fillId="0" borderId="0" applyFont="0" applyFill="0" applyBorder="0" applyAlignment="0" applyProtection="0"/>
    <xf numFmtId="164" fontId="11" fillId="0" borderId="0" applyFont="0" applyFill="0" applyBorder="0" applyAlignment="0" applyProtection="0"/>
    <xf numFmtId="0" fontId="40" fillId="0" borderId="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 fontId="37" fillId="0" borderId="1" applyFill="0" applyBorder="0" applyProtection="0">
      <alignment horizontal="right" vertical="center"/>
    </xf>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9" fontId="40" fillId="0" borderId="0" applyFont="0" applyFill="0" applyBorder="0" applyAlignment="0" applyProtection="0"/>
    <xf numFmtId="0" fontId="40" fillId="0" borderId="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39" fillId="0" borderId="0"/>
    <xf numFmtId="0" fontId="40" fillId="0" borderId="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 fontId="163" fillId="26" borderId="111" applyNumberFormat="0" applyProtection="0">
      <alignment vertical="center"/>
    </xf>
    <xf numFmtId="4" fontId="164" fillId="26" borderId="111" applyNumberFormat="0" applyProtection="0">
      <alignment vertical="center"/>
    </xf>
    <xf numFmtId="4" fontId="165" fillId="23" borderId="111" applyNumberFormat="0" applyProtection="0">
      <alignment horizontal="left" vertical="center" indent="1"/>
    </xf>
    <xf numFmtId="0" fontId="11" fillId="0" borderId="0"/>
    <xf numFmtId="4" fontId="166" fillId="99" borderId="111" applyNumberFormat="0" applyProtection="0">
      <alignment horizontal="left" vertical="center" indent="1"/>
    </xf>
    <xf numFmtId="4" fontId="167" fillId="100" borderId="111" applyNumberFormat="0" applyProtection="0">
      <alignment vertical="center"/>
    </xf>
    <xf numFmtId="0" fontId="11" fillId="0" borderId="0"/>
    <xf numFmtId="0" fontId="11" fillId="0" borderId="0"/>
    <xf numFmtId="0" fontId="11" fillId="0" borderId="0"/>
    <xf numFmtId="4" fontId="147" fillId="20" borderId="111" applyNumberFormat="0" applyProtection="0">
      <alignment vertical="center"/>
    </xf>
    <xf numFmtId="0" fontId="11" fillId="0" borderId="0"/>
    <xf numFmtId="0" fontId="11" fillId="0" borderId="0"/>
    <xf numFmtId="0" fontId="11" fillId="0" borderId="0"/>
    <xf numFmtId="4" fontId="167" fillId="101" borderId="111" applyNumberFormat="0" applyProtection="0">
      <alignment vertical="center"/>
    </xf>
    <xf numFmtId="0" fontId="11" fillId="0" borderId="0"/>
    <xf numFmtId="0" fontId="11" fillId="0" borderId="0"/>
    <xf numFmtId="0" fontId="11" fillId="0" borderId="0"/>
    <xf numFmtId="4" fontId="168" fillId="100" borderId="111" applyNumberFormat="0" applyProtection="0">
      <alignment vertical="center"/>
    </xf>
    <xf numFmtId="4" fontId="169" fillId="102" borderId="111" applyNumberFormat="0" applyProtection="0">
      <alignment horizontal="left" vertical="center" indent="1"/>
    </xf>
    <xf numFmtId="4" fontId="169" fillId="99" borderId="111" applyNumberFormat="0" applyProtection="0">
      <alignment horizontal="left" vertical="center" indent="1"/>
    </xf>
    <xf numFmtId="4" fontId="169" fillId="99" borderId="111" applyNumberFormat="0" applyProtection="0">
      <alignment horizontal="left" vertical="center" indent="1"/>
    </xf>
    <xf numFmtId="4" fontId="170" fillId="93" borderId="111" applyNumberFormat="0" applyProtection="0">
      <alignment vertical="center"/>
    </xf>
    <xf numFmtId="4" fontId="171" fillId="97" borderId="111" applyNumberFormat="0" applyProtection="0">
      <alignment horizontal="left" vertical="center" indent="1"/>
    </xf>
    <xf numFmtId="4" fontId="172" fillId="99" borderId="0" applyNumberFormat="0" applyProtection="0">
      <alignment horizontal="left" vertical="center" indent="1"/>
    </xf>
    <xf numFmtId="4" fontId="173" fillId="99" borderId="0" applyNumberFormat="0" applyProtection="0">
      <alignment horizontal="left" vertical="center" indent="1"/>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4" fontId="174" fillId="97" borderId="111" applyNumberFormat="0" applyProtection="0">
      <alignment vertical="center"/>
    </xf>
    <xf numFmtId="4" fontId="175" fillId="97" borderId="111" applyNumberFormat="0" applyProtection="0">
      <alignment vertical="center"/>
    </xf>
    <xf numFmtId="4" fontId="176" fillId="103" borderId="111" applyNumberFormat="0" applyProtection="0">
      <alignment horizontal="left" vertical="center" indent="1"/>
    </xf>
    <xf numFmtId="0" fontId="11" fillId="0" borderId="0"/>
    <xf numFmtId="4" fontId="177" fillId="97" borderId="111" applyNumberFormat="0" applyProtection="0">
      <alignment horizontal="right" vertical="center"/>
    </xf>
    <xf numFmtId="4" fontId="178" fillId="97" borderId="111" applyNumberFormat="0" applyProtection="0">
      <alignment vertical="center"/>
    </xf>
    <xf numFmtId="4" fontId="177" fillId="25" borderId="111" applyNumberFormat="0" applyProtection="0">
      <alignment horizontal="left" vertical="center"/>
    </xf>
    <xf numFmtId="0" fontId="11" fillId="0" borderId="0"/>
    <xf numFmtId="4" fontId="179" fillId="97" borderId="111" applyNumberFormat="0" applyProtection="0">
      <alignment vertical="center"/>
    </xf>
    <xf numFmtId="4" fontId="180" fillId="97" borderId="111" applyNumberFormat="0" applyProtection="0">
      <alignment vertical="center"/>
    </xf>
    <xf numFmtId="4" fontId="176" fillId="104" borderId="111" applyNumberFormat="0" applyProtection="0">
      <alignment horizontal="left" vertical="center" indent="1"/>
    </xf>
    <xf numFmtId="4" fontId="181" fillId="105" borderId="0" applyNumberFormat="0" applyProtection="0">
      <alignment horizontal="left" indent="1"/>
    </xf>
    <xf numFmtId="4" fontId="182" fillId="97" borderId="111" applyNumberFormat="0" applyProtection="0">
      <alignment vertical="center"/>
    </xf>
    <xf numFmtId="3" fontId="11" fillId="97" borderId="2" applyFont="0" applyFill="0" applyBorder="0" applyAlignment="0" applyProtection="0"/>
    <xf numFmtId="3" fontId="11" fillId="97" borderId="2" applyFont="0" applyFill="0" applyBorder="0" applyAlignment="0" applyProtection="0"/>
    <xf numFmtId="0" fontId="41" fillId="30" borderId="0" applyNumberFormat="0" applyBorder="0" applyAlignment="0" applyProtection="0"/>
    <xf numFmtId="3" fontId="142" fillId="95" borderId="2" applyNumberFormat="0" applyBorder="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7" fillId="37" borderId="2" applyNumberFormat="0" applyBorder="0" applyAlignment="0" applyProtection="0"/>
    <xf numFmtId="0" fontId="37" fillId="0" borderId="5">
      <alignment horizontal="left" vertical="center" wrapText="1" indent="2"/>
    </xf>
    <xf numFmtId="0" fontId="37" fillId="0" borderId="5">
      <alignment horizontal="left" vertical="center" wrapText="1" indent="2"/>
    </xf>
    <xf numFmtId="0" fontId="37" fillId="0" borderId="5">
      <alignment horizontal="left" vertical="center" wrapText="1" indent="2"/>
    </xf>
    <xf numFmtId="0" fontId="37" fillId="0" borderId="5">
      <alignment horizontal="left" vertical="center" wrapText="1" indent="2"/>
    </xf>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4" fontId="37" fillId="0" borderId="1" applyFill="0" applyBorder="0" applyProtection="0">
      <alignment horizontal="right" vertical="center"/>
    </xf>
    <xf numFmtId="4" fontId="37" fillId="0" borderId="1" applyFill="0" applyBorder="0" applyProtection="0">
      <alignment horizontal="right" vertical="center"/>
    </xf>
    <xf numFmtId="4" fontId="37" fillId="0" borderId="1" applyFill="0" applyBorder="0" applyProtection="0">
      <alignment horizontal="right" vertical="center"/>
    </xf>
    <xf numFmtId="4" fontId="37" fillId="0" borderId="1" applyFill="0" applyBorder="0" applyProtection="0">
      <alignment horizontal="right" vertical="center"/>
    </xf>
    <xf numFmtId="4" fontId="37" fillId="0" borderId="1" applyFill="0" applyBorder="0" applyProtection="0">
      <alignment horizontal="right" vertical="center"/>
    </xf>
    <xf numFmtId="4" fontId="37" fillId="0" borderId="1" applyFill="0" applyBorder="0" applyProtection="0">
      <alignment horizontal="right" vertical="center"/>
    </xf>
    <xf numFmtId="4" fontId="37" fillId="0" borderId="1" applyFill="0" applyBorder="0" applyProtection="0">
      <alignment horizontal="right" vertical="center"/>
    </xf>
    <xf numFmtId="4" fontId="37" fillId="0" borderId="1" applyFill="0" applyBorder="0" applyProtection="0">
      <alignment horizontal="right" vertical="center"/>
    </xf>
    <xf numFmtId="4" fontId="37" fillId="0" borderId="1" applyFill="0" applyBorder="0" applyProtection="0">
      <alignment horizontal="right" vertical="center"/>
    </xf>
    <xf numFmtId="164" fontId="35" fillId="0" borderId="0" applyFont="0" applyFill="0" applyBorder="0" applyAlignment="0" applyProtection="0"/>
    <xf numFmtId="0" fontId="23" fillId="21" borderId="10" applyNumberFormat="0" applyAlignment="0" applyProtection="0"/>
    <xf numFmtId="0" fontId="23" fillId="21" borderId="10" applyNumberFormat="0" applyAlignment="0" applyProtection="0"/>
    <xf numFmtId="0" fontId="23" fillId="21" borderId="10" applyNumberFormat="0" applyAlignment="0" applyProtection="0"/>
    <xf numFmtId="0" fontId="23" fillId="21" borderId="10" applyNumberFormat="0" applyAlignment="0" applyProtection="0"/>
    <xf numFmtId="0" fontId="23" fillId="21" borderId="10" applyNumberFormat="0" applyAlignment="0" applyProtection="0"/>
    <xf numFmtId="0" fontId="23" fillId="21" borderId="10" applyNumberFormat="0" applyAlignment="0" applyProtection="0"/>
    <xf numFmtId="0" fontId="23" fillId="21" borderId="10" applyNumberFormat="0" applyAlignment="0" applyProtection="0"/>
    <xf numFmtId="0" fontId="23" fillId="21" borderId="10" applyNumberFormat="0" applyAlignment="0" applyProtection="0"/>
    <xf numFmtId="0" fontId="23" fillId="21" borderId="10" applyNumberFormat="0" applyAlignment="0" applyProtection="0"/>
    <xf numFmtId="0" fontId="23" fillId="21" borderId="10" applyNumberFormat="0" applyAlignment="0" applyProtection="0"/>
    <xf numFmtId="0" fontId="23" fillId="21" borderId="10" applyNumberFormat="0" applyAlignment="0" applyProtection="0"/>
    <xf numFmtId="0" fontId="23" fillId="21" borderId="10" applyNumberFormat="0" applyAlignment="0" applyProtection="0"/>
    <xf numFmtId="0" fontId="23" fillId="21" borderId="10" applyNumberFormat="0" applyAlignment="0" applyProtection="0"/>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3" fontId="11" fillId="97" borderId="2" applyFont="0" applyFill="0" applyBorder="0" applyAlignment="0" applyProtection="0"/>
    <xf numFmtId="3" fontId="11" fillId="97" borderId="2" applyFont="0" applyFill="0" applyBorder="0" applyAlignment="0" applyProtection="0"/>
    <xf numFmtId="3" fontId="142" fillId="95" borderId="2" applyNumberFormat="0" applyBorder="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7" fillId="37" borderId="2" applyNumberFormat="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xf numFmtId="0" fontId="37" fillId="0" borderId="5">
      <alignment horizontal="left" vertical="center" wrapText="1" indent="2"/>
    </xf>
    <xf numFmtId="0" fontId="37" fillId="0" borderId="5">
      <alignment horizontal="left" vertical="center" wrapText="1" indent="2"/>
    </xf>
    <xf numFmtId="0" fontId="37" fillId="0" borderId="5">
      <alignment horizontal="left" vertical="center" wrapText="1" indent="2"/>
    </xf>
    <xf numFmtId="0" fontId="37" fillId="0" borderId="5">
      <alignment horizontal="left" vertical="center" wrapText="1" indent="2"/>
    </xf>
    <xf numFmtId="0" fontId="37" fillId="0" borderId="5">
      <alignment horizontal="left" vertical="center" wrapText="1" indent="2"/>
    </xf>
    <xf numFmtId="0" fontId="37" fillId="0" borderId="5">
      <alignment horizontal="left" vertical="center" wrapText="1" indent="2"/>
    </xf>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43" fontId="1" fillId="0" borderId="0" applyFont="0" applyFill="0" applyBorder="0" applyAlignment="0" applyProtection="0"/>
    <xf numFmtId="164"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80"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2" fontId="11" fillId="0" borderId="1" applyFill="0" applyProtection="0">
      <alignment horizontal="right" vertical="top" wrapText="1"/>
    </xf>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80" fontId="2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2" fontId="11" fillId="0" borderId="1" applyFill="0" applyProtection="0">
      <alignment horizontal="right" vertical="top" wrapText="1"/>
    </xf>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40"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9" fontId="11" fillId="0" borderId="1" applyFill="0" applyProtection="0">
      <alignment horizontal="right"/>
    </xf>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40"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40" fillId="0" borderId="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80"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80"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 fontId="11" fillId="0" borderId="1" applyFill="0" applyProtection="0">
      <alignment horizontal="right" vertical="top" wrapText="1"/>
    </xf>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80"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7" fillId="24" borderId="1"/>
    <xf numFmtId="0" fontId="11" fillId="0" borderId="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62" fillId="73" borderId="1" applyNumberFormat="0" applyProtection="0">
      <alignment horizontal="right"/>
    </xf>
    <xf numFmtId="1" fontId="11" fillId="0" borderId="1" applyFill="0" applyProtection="0">
      <alignment horizontal="right" vertical="top" wrapText="1"/>
    </xf>
    <xf numFmtId="0" fontId="11" fillId="0" borderId="1" applyFill="0" applyProtection="0">
      <alignment horizontal="right" vertical="top" wrapText="1"/>
    </xf>
    <xf numFmtId="0" fontId="17" fillId="21" borderId="2" applyNumberFormat="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0" fontId="37" fillId="0" borderId="5">
      <alignment horizontal="left" vertical="center" wrapText="1" indent="2"/>
    </xf>
    <xf numFmtId="0" fontId="37" fillId="0" borderId="5">
      <alignment horizontal="left" vertical="center" wrapText="1" indent="2"/>
    </xf>
    <xf numFmtId="0" fontId="20" fillId="7" borderId="2" applyNumberFormat="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 fontId="37" fillId="0" borderId="1" applyFill="0" applyBorder="0" applyProtection="0">
      <alignment horizontal="right" vertical="center"/>
    </xf>
    <xf numFmtId="3" fontId="11" fillId="97" borderId="2" applyFont="0" applyFill="0" applyBorder="0" applyAlignment="0" applyProtection="0"/>
    <xf numFmtId="3" fontId="11" fillId="97" borderId="2" applyFont="0" applyFill="0" applyBorder="0" applyAlignment="0" applyProtection="0"/>
    <xf numFmtId="3" fontId="142" fillId="95" borderId="2" applyNumberFormat="0" applyBorder="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7" fillId="37" borderId="2" applyNumberFormat="0" applyBorder="0" applyAlignment="0" applyProtection="0"/>
    <xf numFmtId="0" fontId="37" fillId="0" borderId="5">
      <alignment horizontal="left" vertical="center" wrapText="1" indent="2"/>
    </xf>
    <xf numFmtId="0" fontId="37" fillId="0" borderId="5">
      <alignment horizontal="left" vertical="center" wrapText="1" indent="2"/>
    </xf>
    <xf numFmtId="0" fontId="37" fillId="0" borderId="5">
      <alignment horizontal="left" vertical="center" wrapText="1" indent="2"/>
    </xf>
    <xf numFmtId="0" fontId="37" fillId="0" borderId="5">
      <alignment horizontal="left" vertical="center" wrapText="1" indent="2"/>
    </xf>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4" fontId="37" fillId="0" borderId="1" applyFill="0" applyBorder="0" applyProtection="0">
      <alignment horizontal="right" vertical="center"/>
    </xf>
    <xf numFmtId="4" fontId="37" fillId="0" borderId="1" applyFill="0" applyBorder="0" applyProtection="0">
      <alignment horizontal="right" vertical="center"/>
    </xf>
    <xf numFmtId="4" fontId="37" fillId="0" borderId="1" applyFill="0" applyBorder="0" applyProtection="0">
      <alignment horizontal="right" vertical="center"/>
    </xf>
    <xf numFmtId="4" fontId="37" fillId="0" borderId="1" applyFill="0" applyBorder="0" applyProtection="0">
      <alignment horizontal="right" vertical="center"/>
    </xf>
    <xf numFmtId="4" fontId="37" fillId="0" borderId="1" applyFill="0" applyBorder="0" applyProtection="0">
      <alignment horizontal="right" vertical="center"/>
    </xf>
    <xf numFmtId="4" fontId="37" fillId="0" borderId="1" applyFill="0" applyBorder="0" applyProtection="0">
      <alignment horizontal="right" vertical="center"/>
    </xf>
    <xf numFmtId="4" fontId="37" fillId="0" borderId="1" applyFill="0" applyBorder="0" applyProtection="0">
      <alignment horizontal="right" vertical="center"/>
    </xf>
    <xf numFmtId="4" fontId="37" fillId="0" borderId="1" applyFill="0" applyBorder="0" applyProtection="0">
      <alignment horizontal="right" vertical="center"/>
    </xf>
    <xf numFmtId="4" fontId="37" fillId="0" borderId="1" applyFill="0" applyBorder="0" applyProtection="0">
      <alignment horizontal="right" vertical="center"/>
    </xf>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80"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11" fillId="0" borderId="0" applyFont="0" applyFill="0" applyBorder="0" applyAlignment="0" applyProtection="0"/>
    <xf numFmtId="180"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180" fontId="2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164" fontId="40"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80"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164" fontId="40"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180" fontId="2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80"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164" fontId="40"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164" fontId="40"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164" fontId="40"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80"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0" fontId="62" fillId="73" borderId="1" applyNumberFormat="0" applyProtection="0">
      <alignment horizontal="left"/>
    </xf>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80"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0" fontId="11" fillId="0" borderId="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3" fontId="63" fillId="41" borderId="43"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9" fontId="40" fillId="0" borderId="0" applyFont="0" applyFill="0" applyBorder="0" applyAlignment="0" applyProtection="0"/>
    <xf numFmtId="49" fontId="11" fillId="0" borderId="1" applyFill="0" applyProtection="0">
      <alignment horizontal="right"/>
    </xf>
    <xf numFmtId="0" fontId="11" fillId="0" borderId="1" applyFill="0" applyProtection="0">
      <alignment horizontal="right" vertical="top" wrapText="1"/>
    </xf>
    <xf numFmtId="0" fontId="62" fillId="73" borderId="1" applyNumberFormat="0" applyProtection="0">
      <alignment horizontal="right"/>
    </xf>
    <xf numFmtId="1" fontId="11" fillId="0" borderId="1" applyFill="0" applyProtection="0">
      <alignment horizontal="right" vertical="top" wrapText="1"/>
    </xf>
    <xf numFmtId="49" fontId="11" fillId="0" borderId="1" applyFill="0" applyProtection="0">
      <alignment horizontal="right"/>
    </xf>
    <xf numFmtId="1" fontId="11" fillId="0" borderId="1" applyFill="0" applyProtection="0">
      <alignment horizontal="right" vertical="top" wrapText="1"/>
    </xf>
    <xf numFmtId="43" fontId="40"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0" fontId="40" fillId="0" borderId="0"/>
    <xf numFmtId="0" fontId="40" fillId="0" borderId="0"/>
    <xf numFmtId="0" fontId="40" fillId="0" borderId="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164" fontId="35"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0" fontId="40" fillId="0" borderId="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0" fontId="40" fillId="0" borderId="0"/>
    <xf numFmtId="164" fontId="1" fillId="0" borderId="0" applyFont="0" applyFill="0" applyBorder="0" applyAlignment="0" applyProtection="0"/>
    <xf numFmtId="0" fontId="40" fillId="0" borderId="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164" fontId="40" fillId="0" borderId="0" applyFont="0" applyFill="0" applyBorder="0" applyAlignment="0" applyProtection="0"/>
    <xf numFmtId="0" fontId="40" fillId="0" borderId="0"/>
    <xf numFmtId="0" fontId="40" fillId="0" borderId="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0" fontId="40" fillId="0" borderId="0"/>
    <xf numFmtId="164" fontId="1" fillId="0" borderId="0" applyFont="0" applyFill="0" applyBorder="0" applyAlignment="0" applyProtection="0"/>
    <xf numFmtId="164" fontId="1" fillId="0" borderId="0" applyFont="0" applyFill="0" applyBorder="0" applyAlignment="0" applyProtection="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0" fontId="11" fillId="0" borderId="1" applyFill="0" applyProtection="0">
      <alignment horizontal="right" vertical="top" wrapText="1"/>
    </xf>
    <xf numFmtId="2" fontId="11" fillId="0" borderId="1" applyFill="0" applyProtection="0">
      <alignment horizontal="right" vertical="top" wrapText="1"/>
    </xf>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0" fontId="11" fillId="0" borderId="0"/>
    <xf numFmtId="0" fontId="40" fillId="0" borderId="0"/>
    <xf numFmtId="164" fontId="11" fillId="0" borderId="0" applyFont="0" applyFill="0" applyBorder="0" applyAlignment="0" applyProtection="0"/>
    <xf numFmtId="0" fontId="40" fillId="0" borderId="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0" fontId="40" fillId="0" borderId="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0" fontId="40" fillId="0" borderId="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0" fontId="11" fillId="0" borderId="0"/>
    <xf numFmtId="0" fontId="40" fillId="0" borderId="0"/>
    <xf numFmtId="9" fontId="40" fillId="0" borderId="0" applyFont="0" applyFill="0" applyBorder="0" applyAlignment="0" applyProtection="0"/>
    <xf numFmtId="0" fontId="62" fillId="73" borderId="1" applyNumberFormat="0" applyProtection="0">
      <alignment horizontal="left"/>
    </xf>
    <xf numFmtId="0" fontId="62" fillId="73" borderId="1" applyNumberFormat="0" applyProtection="0">
      <alignment horizontal="right"/>
    </xf>
    <xf numFmtId="2" fontId="11" fillId="0" borderId="1" applyFill="0" applyProtection="0">
      <alignment horizontal="right" vertical="top" wrapText="1"/>
    </xf>
    <xf numFmtId="164" fontId="35"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9" fontId="40"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9" fontId="40" fillId="0" borderId="0" applyFont="0" applyFill="0" applyBorder="0" applyAlignment="0" applyProtection="0"/>
    <xf numFmtId="0" fontId="40" fillId="0" borderId="0"/>
    <xf numFmtId="164" fontId="1" fillId="0" borderId="0" applyFont="0" applyFill="0" applyBorder="0" applyAlignment="0" applyProtection="0"/>
    <xf numFmtId="0" fontId="40" fillId="0" borderId="0"/>
    <xf numFmtId="164" fontId="11"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9" fontId="40"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164" fontId="35"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9" fontId="40" fillId="0" borderId="0" applyFont="0" applyFill="0" applyBorder="0" applyAlignment="0" applyProtection="0"/>
    <xf numFmtId="164" fontId="1" fillId="0" borderId="0" applyFont="0" applyFill="0" applyBorder="0" applyAlignment="0" applyProtection="0"/>
    <xf numFmtId="0" fontId="40" fillId="0" borderId="0"/>
    <xf numFmtId="0" fontId="40" fillId="0" borderId="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9"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40" fillId="0" borderId="0"/>
    <xf numFmtId="0" fontId="40" fillId="0" borderId="0"/>
    <xf numFmtId="0" fontId="40" fillId="0" borderId="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164" fontId="40" fillId="0" borderId="0" applyFont="0" applyFill="0" applyBorder="0" applyAlignment="0" applyProtection="0"/>
    <xf numFmtId="0" fontId="40" fillId="0" borderId="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0" fontId="40" fillId="0" borderId="0"/>
    <xf numFmtId="2" fontId="11" fillId="0" borderId="1" applyFill="0" applyProtection="0">
      <alignment horizontal="right" vertical="top" wrapText="1"/>
    </xf>
    <xf numFmtId="164" fontId="40"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164" fontId="11" fillId="0" borderId="0" applyFont="0" applyFill="0" applyBorder="0" applyAlignment="0" applyProtection="0"/>
    <xf numFmtId="164" fontId="40" fillId="0" borderId="0" applyFont="0" applyFill="0" applyBorder="0" applyAlignment="0" applyProtection="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80" fontId="2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0" fontId="11" fillId="0" borderId="0"/>
    <xf numFmtId="0" fontId="62" fillId="73" borderId="1" applyNumberFormat="0" applyProtection="0">
      <alignment horizontal="left"/>
    </xf>
    <xf numFmtId="180" fontId="2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0" fontId="40"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0" fontId="11" fillId="0" borderId="0"/>
    <xf numFmtId="164" fontId="11" fillId="0" borderId="0" applyFont="0" applyFill="0" applyBorder="0" applyAlignment="0" applyProtection="0"/>
    <xf numFmtId="0" fontId="40" fillId="0" borderId="0"/>
    <xf numFmtId="9"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0" fontId="40" fillId="0" borderId="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0" fontId="62" fillId="73" borderId="1" applyNumberFormat="0" applyProtection="0">
      <alignment horizontal="right"/>
    </xf>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0" fontId="40" fillId="0" borderId="0"/>
    <xf numFmtId="164" fontId="1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0" fontId="40" fillId="0" borderId="0"/>
    <xf numFmtId="164" fontId="35" fillId="0" borderId="0" applyFont="0" applyFill="0" applyBorder="0" applyAlignment="0" applyProtection="0"/>
    <xf numFmtId="164" fontId="40" fillId="0" borderId="0" applyFont="0" applyFill="0" applyBorder="0" applyAlignment="0" applyProtection="0"/>
    <xf numFmtId="0" fontId="40" fillId="0" borderId="0"/>
    <xf numFmtId="9"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9"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 fontId="11" fillId="0" borderId="1" applyFill="0" applyProtection="0">
      <alignment horizontal="right" vertical="top" wrapText="1"/>
    </xf>
    <xf numFmtId="180" fontId="2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0" fontId="40" fillId="0" borderId="0"/>
    <xf numFmtId="0" fontId="11" fillId="0" borderId="1" applyFill="0" applyProtection="0">
      <alignment horizontal="right" vertical="top" wrapText="1"/>
    </xf>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0" fontId="40" fillId="0" borderId="0"/>
    <xf numFmtId="164" fontId="11" fillId="0" borderId="0" applyFont="0" applyFill="0" applyBorder="0" applyAlignment="0" applyProtection="0"/>
    <xf numFmtId="0" fontId="40" fillId="0" borderId="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11" fillId="0" borderId="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0" fontId="40" fillId="0" borderId="0"/>
    <xf numFmtId="180" fontId="21" fillId="0" borderId="0" applyFont="0" applyFill="0" applyBorder="0" applyAlignment="0" applyProtection="0"/>
    <xf numFmtId="180" fontId="21" fillId="0" borderId="0" applyFont="0" applyFill="0" applyBorder="0" applyAlignment="0" applyProtection="0"/>
    <xf numFmtId="0" fontId="40" fillId="0" borderId="0"/>
    <xf numFmtId="0" fontId="62" fillId="73" borderId="1" applyNumberFormat="0" applyProtection="0">
      <alignment horizontal="right"/>
    </xf>
    <xf numFmtId="180" fontId="2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0" fontId="11" fillId="0" borderId="0"/>
    <xf numFmtId="164" fontId="40"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0" fontId="40" fillId="0" borderId="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0" fontId="40" fillId="0" borderId="0"/>
    <xf numFmtId="164" fontId="11" fillId="0" borderId="0" applyFont="0" applyFill="0" applyBorder="0" applyAlignment="0" applyProtection="0"/>
    <xf numFmtId="0" fontId="40" fillId="0" borderId="0"/>
    <xf numFmtId="164" fontId="11" fillId="0" borderId="0" applyFont="0" applyFill="0" applyBorder="0" applyAlignment="0" applyProtection="0"/>
    <xf numFmtId="43" fontId="40"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0" fontId="40" fillId="0" borderId="0"/>
    <xf numFmtId="164" fontId="11" fillId="0" borderId="0" applyFont="0" applyFill="0" applyBorder="0" applyAlignment="0" applyProtection="0"/>
    <xf numFmtId="9"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11" fillId="0" borderId="1" applyFill="0" applyProtection="0">
      <alignment horizontal="right" vertical="top" wrapText="1"/>
    </xf>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0" fontId="40" fillId="0" borderId="0"/>
    <xf numFmtId="164" fontId="40" fillId="0" borderId="0" applyFont="0" applyFill="0" applyBorder="0" applyAlignment="0" applyProtection="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0" fontId="40" fillId="0" borderId="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39" fillId="0" borderId="0" applyFont="0" applyFill="0" applyBorder="0" applyAlignment="0" applyProtection="0"/>
    <xf numFmtId="164" fontId="11" fillId="0" borderId="0" applyFont="0" applyFill="0" applyBorder="0" applyAlignment="0" applyProtection="0"/>
    <xf numFmtId="49" fontId="11" fillId="0" borderId="1" applyFill="0" applyProtection="0">
      <alignment horizontal="right"/>
    </xf>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9"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0" fontId="40"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180" fontId="2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0" fontId="62" fillId="73" borderId="1" applyNumberFormat="0" applyProtection="0">
      <alignment horizontal="left"/>
    </xf>
    <xf numFmtId="164" fontId="40" fillId="0" borderId="0" applyFont="0" applyFill="0" applyBorder="0" applyAlignment="0" applyProtection="0"/>
    <xf numFmtId="164" fontId="11" fillId="0" borderId="0" applyFont="0" applyFill="0" applyBorder="0" applyAlignment="0" applyProtection="0"/>
    <xf numFmtId="0" fontId="40" fillId="0" borderId="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164" fontId="40"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9" fontId="40"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0" fontId="40" fillId="0" borderId="0"/>
    <xf numFmtId="180" fontId="21" fillId="0" borderId="0" applyFont="0" applyFill="0" applyBorder="0" applyAlignment="0" applyProtection="0"/>
    <xf numFmtId="164" fontId="35" fillId="0" borderId="0" applyFont="0" applyFill="0" applyBorder="0" applyAlignment="0" applyProtection="0"/>
    <xf numFmtId="0" fontId="11" fillId="0" borderId="1" applyFill="0" applyProtection="0">
      <alignment horizontal="right" vertical="top" wrapText="1"/>
    </xf>
    <xf numFmtId="164" fontId="40" fillId="0" borderId="0" applyFont="0" applyFill="0" applyBorder="0" applyAlignment="0" applyProtection="0"/>
    <xf numFmtId="180" fontId="2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0" fontId="40" fillId="0" borderId="0"/>
    <xf numFmtId="164" fontId="11" fillId="0" borderId="0" applyFont="0" applyFill="0" applyBorder="0" applyAlignment="0" applyProtection="0"/>
    <xf numFmtId="0" fontId="11" fillId="0" borderId="0"/>
    <xf numFmtId="0" fontId="11" fillId="0" borderId="1" applyFill="0" applyProtection="0">
      <alignment horizontal="right" vertical="top" wrapText="1"/>
    </xf>
    <xf numFmtId="180" fontId="2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40" fillId="0" borderId="0"/>
    <xf numFmtId="164" fontId="1" fillId="0" borderId="0" applyFont="0" applyFill="0" applyBorder="0" applyAlignment="0" applyProtection="0"/>
    <xf numFmtId="164" fontId="11" fillId="0" borderId="0" applyFont="0" applyFill="0" applyBorder="0" applyAlignment="0" applyProtection="0"/>
    <xf numFmtId="0" fontId="40" fillId="0" borderId="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0" fontId="62" fillId="73" borderId="1" applyNumberFormat="0" applyProtection="0">
      <alignment horizontal="right"/>
    </xf>
    <xf numFmtId="164" fontId="40" fillId="0" borderId="0" applyFont="0" applyFill="0" applyBorder="0" applyAlignment="0" applyProtection="0"/>
    <xf numFmtId="180" fontId="21" fillId="0" borderId="0" applyFont="0" applyFill="0" applyBorder="0" applyAlignment="0" applyProtection="0"/>
    <xf numFmtId="164" fontId="40" fillId="0" borderId="0" applyFont="0" applyFill="0" applyBorder="0" applyAlignment="0" applyProtection="0"/>
    <xf numFmtId="0" fontId="40" fillId="0" borderId="0"/>
    <xf numFmtId="164" fontId="40"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 fontId="11" fillId="0" borderId="1" applyFill="0" applyProtection="0">
      <alignment horizontal="right" vertical="top" wrapText="1"/>
    </xf>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0" fontId="40" fillId="0" borderId="0"/>
    <xf numFmtId="164" fontId="35"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0" fontId="40" fillId="0" borderId="0"/>
    <xf numFmtId="164" fontId="11" fillId="0" borderId="0" applyFont="0" applyFill="0" applyBorder="0" applyAlignment="0" applyProtection="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2" fontId="11" fillId="0" borderId="1" applyFill="0" applyProtection="0">
      <alignment horizontal="right" vertical="top" wrapText="1"/>
    </xf>
    <xf numFmtId="180" fontId="2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0" fontId="40" fillId="0" borderId="0"/>
    <xf numFmtId="0" fontId="40" fillId="0" borderId="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0" fontId="40" fillId="0" borderId="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9" fontId="40" fillId="0" borderId="0" applyFont="0" applyFill="0" applyBorder="0" applyAlignment="0" applyProtection="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0" fontId="11"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0" fontId="40" fillId="0" borderId="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0" fontId="40" fillId="0" borderId="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0" fontId="11" fillId="0" borderId="0"/>
    <xf numFmtId="0" fontId="11" fillId="0" borderId="0"/>
    <xf numFmtId="164" fontId="40"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0" fontId="40" fillId="0" borderId="0"/>
    <xf numFmtId="180" fontId="2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0" fontId="62" fillId="73" borderId="1" applyNumberFormat="0" applyProtection="0">
      <alignment horizontal="left"/>
    </xf>
    <xf numFmtId="164" fontId="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0" fontId="40" fillId="0" borderId="0"/>
    <xf numFmtId="1" fontId="11" fillId="0" borderId="1" applyFill="0" applyProtection="0">
      <alignment horizontal="right" vertical="top" wrapText="1"/>
    </xf>
    <xf numFmtId="9" fontId="40" fillId="0" borderId="0" applyFont="0" applyFill="0" applyBorder="0" applyAlignment="0" applyProtection="0"/>
    <xf numFmtId="164" fontId="40"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164" fontId="11" fillId="0" borderId="0" applyFont="0" applyFill="0" applyBorder="0" applyAlignment="0" applyProtection="0"/>
    <xf numFmtId="0" fontId="40" fillId="0" borderId="0"/>
    <xf numFmtId="9" fontId="40" fillId="0" borderId="0" applyFont="0" applyFill="0" applyBorder="0" applyAlignment="0" applyProtection="0"/>
    <xf numFmtId="164" fontId="1" fillId="0" borderId="0" applyFont="0" applyFill="0" applyBorder="0" applyAlignment="0" applyProtection="0"/>
    <xf numFmtId="0" fontId="40" fillId="0" borderId="0"/>
    <xf numFmtId="164" fontId="40" fillId="0" borderId="0" applyFont="0" applyFill="0" applyBorder="0" applyAlignment="0" applyProtection="0"/>
    <xf numFmtId="164" fontId="1" fillId="0" borderId="0" applyFont="0" applyFill="0" applyBorder="0" applyAlignment="0" applyProtection="0"/>
    <xf numFmtId="0" fontId="40" fillId="0" borderId="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9" fontId="11" fillId="0" borderId="1" applyFill="0" applyProtection="0">
      <alignment horizontal="right"/>
    </xf>
    <xf numFmtId="164" fontId="40"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9" fontId="40" fillId="0" borderId="0" applyFont="0" applyFill="0" applyBorder="0" applyAlignment="0" applyProtection="0"/>
    <xf numFmtId="0" fontId="40" fillId="0" borderId="0"/>
    <xf numFmtId="164" fontId="11" fillId="0" borderId="0" applyFont="0" applyFill="0" applyBorder="0" applyAlignment="0" applyProtection="0"/>
    <xf numFmtId="164" fontId="11" fillId="0" borderId="0" applyFont="0" applyFill="0" applyBorder="0" applyAlignment="0" applyProtection="0"/>
    <xf numFmtId="0" fontId="40" fillId="0" borderId="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62" fillId="73" borderId="1" applyNumberFormat="0" applyProtection="0">
      <alignment horizontal="right"/>
    </xf>
    <xf numFmtId="164" fontId="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0" fontId="40" fillId="0" borderId="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9" fontId="40"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0" fontId="40" fillId="0" borderId="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84"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84"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84" fillId="0" borderId="0" applyFont="0" applyFill="0" applyBorder="0" applyAlignment="0" applyProtection="0"/>
    <xf numFmtId="164" fontId="84"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164" fontId="35" fillId="0" borderId="0" applyFont="0" applyFill="0" applyBorder="0" applyAlignment="0" applyProtection="0"/>
    <xf numFmtId="164" fontId="84" fillId="0" borderId="0" applyFont="0" applyFill="0" applyBorder="0" applyAlignment="0" applyProtection="0"/>
    <xf numFmtId="164" fontId="1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84" fillId="0" borderId="0" applyFont="0" applyFill="0" applyBorder="0" applyAlignment="0" applyProtection="0"/>
    <xf numFmtId="164" fontId="11" fillId="0" borderId="0" applyFont="0" applyFill="0" applyBorder="0" applyAlignment="0" applyProtection="0"/>
    <xf numFmtId="164" fontId="84"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0" fontId="44" fillId="0" borderId="0"/>
    <xf numFmtId="0" fontId="11" fillId="0" borderId="0"/>
    <xf numFmtId="0" fontId="11" fillId="0" borderId="0"/>
    <xf numFmtId="0" fontId="11" fillId="0" borderId="0"/>
    <xf numFmtId="0" fontId="11" fillId="0" borderId="0"/>
    <xf numFmtId="182" fontId="11" fillId="0" borderId="0"/>
    <xf numFmtId="0" fontId="11" fillId="0" borderId="0"/>
    <xf numFmtId="0" fontId="11" fillId="0" borderId="0"/>
    <xf numFmtId="182" fontId="11" fillId="0" borderId="0"/>
    <xf numFmtId="181" fontId="11" fillId="0" borderId="0"/>
    <xf numFmtId="0" fontId="83" fillId="0" borderId="0" applyFill="0" applyBorder="0"/>
    <xf numFmtId="181" fontId="11" fillId="0" borderId="0"/>
    <xf numFmtId="0" fontId="83" fillId="0" borderId="0" applyFill="0" applyBorder="0"/>
    <xf numFmtId="181" fontId="11" fillId="0" borderId="0"/>
    <xf numFmtId="0" fontId="11" fillId="0" borderId="0"/>
    <xf numFmtId="0" fontId="11" fillId="0" borderId="0"/>
    <xf numFmtId="0" fontId="98" fillId="0" borderId="0"/>
    <xf numFmtId="0" fontId="98" fillId="0" borderId="0"/>
    <xf numFmtId="0" fontId="98" fillId="0" borderId="0"/>
    <xf numFmtId="0" fontId="98" fillId="0" borderId="0"/>
    <xf numFmtId="0" fontId="98" fillId="0" borderId="0"/>
    <xf numFmtId="0" fontId="98" fillId="0" borderId="0"/>
    <xf numFmtId="181" fontId="183" fillId="0" borderId="0"/>
    <xf numFmtId="0" fontId="39" fillId="0" borderId="0"/>
    <xf numFmtId="181" fontId="183" fillId="0" borderId="0"/>
    <xf numFmtId="0" fontId="11" fillId="0" borderId="0"/>
    <xf numFmtId="0" fontId="11" fillId="0" borderId="0"/>
    <xf numFmtId="0" fontId="98" fillId="0" borderId="0"/>
    <xf numFmtId="0" fontId="98" fillId="0" borderId="0"/>
    <xf numFmtId="0" fontId="98" fillId="0" borderId="0"/>
    <xf numFmtId="182" fontId="7" fillId="37" borderId="0" applyNumberFormat="0" applyBorder="0" applyAlignment="0"/>
    <xf numFmtId="0" fontId="83" fillId="0" borderId="0" applyFill="0" applyBorder="0"/>
    <xf numFmtId="0" fontId="11" fillId="0" borderId="0"/>
    <xf numFmtId="0" fontId="83" fillId="0" borderId="0" applyFill="0" applyBorder="0"/>
    <xf numFmtId="0" fontId="83" fillId="0" borderId="0" applyFill="0" applyBorder="0"/>
    <xf numFmtId="182" fontId="7" fillId="37" borderId="0" applyNumberFormat="0" applyBorder="0" applyAlignment="0"/>
    <xf numFmtId="0" fontId="11" fillId="0" borderId="0"/>
    <xf numFmtId="0" fontId="11" fillId="0" borderId="0"/>
    <xf numFmtId="0" fontId="44" fillId="0" borderId="0"/>
    <xf numFmtId="0" fontId="11" fillId="0" borderId="0"/>
    <xf numFmtId="0" fontId="11" fillId="0" borderId="0"/>
    <xf numFmtId="0" fontId="44" fillId="0" borderId="0"/>
    <xf numFmtId="0" fontId="11" fillId="0" borderId="0"/>
    <xf numFmtId="0" fontId="11" fillId="0" borderId="0"/>
    <xf numFmtId="0" fontId="39" fillId="0" borderId="0"/>
    <xf numFmtId="182" fontId="7" fillId="37" borderId="0" applyNumberFormat="0" applyBorder="0" applyAlignment="0"/>
    <xf numFmtId="0" fontId="35"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1" fillId="46" borderId="47" applyNumberFormat="0" applyFont="0" applyAlignment="0" applyProtection="0"/>
    <xf numFmtId="0" fontId="40" fillId="46" borderId="47" applyNumberFormat="0" applyFont="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0" fontId="82" fillId="31" borderId="71" applyNumberFormat="0" applyAlignment="0" applyProtection="0"/>
    <xf numFmtId="0" fontId="39" fillId="0" borderId="0"/>
    <xf numFmtId="179" fontId="8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40" fillId="0" borderId="0" applyFon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139" fillId="0" borderId="0" applyNumberFormat="0" applyFill="0" applyBorder="0" applyAlignment="0" applyProtection="0"/>
    <xf numFmtId="0" fontId="26" fillId="0" borderId="0" applyNumberFormat="0" applyFill="0" applyBorder="0" applyAlignment="0" applyProtection="0"/>
    <xf numFmtId="0" fontId="27" fillId="0" borderId="6" applyNumberFormat="0" applyFill="0" applyAlignment="0" applyProtection="0"/>
    <xf numFmtId="0" fontId="28" fillId="0" borderId="7" applyNumberFormat="0" applyFill="0" applyAlignment="0" applyProtection="0"/>
    <xf numFmtId="0" fontId="29" fillId="0" borderId="8" applyNumberFormat="0" applyFill="0" applyAlignment="0" applyProtection="0"/>
    <xf numFmtId="0" fontId="29" fillId="0" borderId="0" applyNumberFormat="0" applyFill="0" applyBorder="0" applyAlignment="0" applyProtection="0"/>
    <xf numFmtId="0" fontId="26" fillId="0" borderId="0" applyNumberFormat="0" applyFill="0" applyBorder="0" applyAlignment="0" applyProtection="0"/>
    <xf numFmtId="0" fontId="46" fillId="0" borderId="108" applyNumberFormat="0" applyFill="0" applyAlignment="0" applyProtection="0"/>
    <xf numFmtId="0" fontId="31" fillId="3" borderId="0" applyNumberFormat="0" applyBorder="0" applyAlignment="0" applyProtection="0"/>
    <xf numFmtId="0" fontId="32" fillId="4" borderId="0" applyNumberFormat="0" applyBorder="0" applyAlignment="0" applyProtection="0"/>
    <xf numFmtId="0" fontId="24" fillId="0" borderId="0" applyNumberFormat="0" applyFill="0" applyBorder="0" applyAlignment="0" applyProtection="0"/>
    <xf numFmtId="0" fontId="47" fillId="0" borderId="0" applyNumberForma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84"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84"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84" fillId="0" borderId="0" applyFont="0" applyFill="0" applyBorder="0" applyAlignment="0" applyProtection="0"/>
    <xf numFmtId="164" fontId="84" fillId="0" borderId="0" applyFont="0" applyFill="0" applyBorder="0" applyAlignment="0" applyProtection="0"/>
    <xf numFmtId="164" fontId="35" fillId="0" borderId="0" applyFont="0" applyFill="0" applyBorder="0" applyAlignment="0" applyProtection="0"/>
    <xf numFmtId="164" fontId="84" fillId="0" borderId="0" applyFont="0" applyFill="0" applyBorder="0" applyAlignment="0" applyProtection="0"/>
    <xf numFmtId="164" fontId="1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84" fillId="0" borderId="0" applyFont="0" applyFill="0" applyBorder="0" applyAlignment="0" applyProtection="0"/>
    <xf numFmtId="164" fontId="11" fillId="0" borderId="0" applyFont="0" applyFill="0" applyBorder="0" applyAlignment="0" applyProtection="0"/>
    <xf numFmtId="164" fontId="84"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11"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39"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39"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84"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11"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11"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39"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39"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84"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164" fontId="40" fillId="0" borderId="0" applyFont="0" applyFill="0" applyBorder="0" applyAlignment="0" applyProtection="0"/>
    <xf numFmtId="9" fontId="40" fillId="0" borderId="0" applyFont="0" applyFill="0" applyBorder="0" applyAlignment="0" applyProtection="0"/>
    <xf numFmtId="0" fontId="40" fillId="0" borderId="0"/>
  </cellStyleXfs>
  <cellXfs count="1363">
    <xf numFmtId="0" fontId="0" fillId="0" borderId="0" xfId="0"/>
    <xf numFmtId="0" fontId="48" fillId="0" borderId="12" xfId="0" applyFont="1" applyBorder="1" applyAlignment="1">
      <alignment wrapText="1"/>
    </xf>
    <xf numFmtId="0" fontId="49" fillId="0" borderId="13" xfId="0" applyFont="1" applyBorder="1" applyAlignment="1">
      <alignment horizontal="center" wrapText="1"/>
    </xf>
    <xf numFmtId="0" fontId="50" fillId="0" borderId="14" xfId="0" applyFont="1" applyBorder="1" applyAlignment="1">
      <alignment wrapText="1"/>
    </xf>
    <xf numFmtId="0" fontId="51" fillId="0" borderId="15" xfId="0" applyFont="1" applyBorder="1" applyAlignment="1">
      <alignment horizontal="center" wrapText="1"/>
    </xf>
    <xf numFmtId="0" fontId="51" fillId="0" borderId="13" xfId="0" applyFont="1" applyBorder="1" applyAlignment="1">
      <alignment horizontal="center" wrapText="1"/>
    </xf>
    <xf numFmtId="0" fontId="48" fillId="0" borderId="16" xfId="0" applyFont="1" applyBorder="1" applyAlignment="1">
      <alignment wrapText="1"/>
    </xf>
    <xf numFmtId="0" fontId="49" fillId="0" borderId="17" xfId="0" applyFont="1" applyBorder="1" applyAlignment="1">
      <alignment horizontal="center" wrapText="1"/>
    </xf>
    <xf numFmtId="0" fontId="46" fillId="0" borderId="0" xfId="0" applyFont="1"/>
    <xf numFmtId="0" fontId="48" fillId="0" borderId="13" xfId="0" applyFont="1" applyBorder="1" applyAlignment="1">
      <alignment horizontal="center" wrapText="1"/>
    </xf>
    <xf numFmtId="3" fontId="49" fillId="0" borderId="13" xfId="0" applyNumberFormat="1" applyFont="1" applyBorder="1" applyAlignment="1">
      <alignment horizontal="center" wrapText="1"/>
    </xf>
    <xf numFmtId="17" fontId="49" fillId="0" borderId="13" xfId="0" applyNumberFormat="1" applyFont="1" applyBorder="1" applyAlignment="1">
      <alignment horizontal="center" wrapText="1"/>
    </xf>
    <xf numFmtId="0" fontId="48" fillId="0" borderId="15" xfId="0" applyFont="1" applyBorder="1" applyAlignment="1">
      <alignment horizontal="center" vertical="top" wrapText="1"/>
    </xf>
    <xf numFmtId="0" fontId="48" fillId="0" borderId="13" xfId="0" applyFont="1" applyBorder="1" applyAlignment="1">
      <alignment horizontal="center" vertical="top" wrapText="1"/>
    </xf>
    <xf numFmtId="0" fontId="48" fillId="0" borderId="17" xfId="0" applyFont="1" applyBorder="1" applyAlignment="1">
      <alignment horizontal="center" wrapText="1"/>
    </xf>
    <xf numFmtId="0" fontId="52" fillId="0" borderId="13" xfId="0" applyFont="1" applyBorder="1" applyAlignment="1">
      <alignment vertical="top" wrapText="1"/>
    </xf>
    <xf numFmtId="0" fontId="48" fillId="0" borderId="15" xfId="0" applyFont="1" applyBorder="1" applyAlignment="1">
      <alignment horizontal="center" wrapText="1"/>
    </xf>
    <xf numFmtId="0" fontId="48" fillId="0" borderId="17" xfId="0" applyFont="1" applyBorder="1" applyAlignment="1">
      <alignment horizontal="center" vertical="top" wrapText="1"/>
    </xf>
    <xf numFmtId="0" fontId="49" fillId="0" borderId="15" xfId="0" applyFont="1" applyBorder="1" applyAlignment="1">
      <alignment horizontal="center" wrapText="1"/>
    </xf>
    <xf numFmtId="16" fontId="49" fillId="0" borderId="13" xfId="0" applyNumberFormat="1" applyFont="1" applyBorder="1" applyAlignment="1">
      <alignment horizontal="center" wrapText="1"/>
    </xf>
    <xf numFmtId="0" fontId="49" fillId="0" borderId="15" xfId="0" applyFont="1" applyBorder="1" applyAlignment="1">
      <alignment horizontal="center" vertical="top" wrapText="1"/>
    </xf>
    <xf numFmtId="0" fontId="49" fillId="0" borderId="13" xfId="0" applyFont="1" applyBorder="1" applyAlignment="1">
      <alignment horizontal="center" vertical="top" wrapText="1"/>
    </xf>
    <xf numFmtId="0" fontId="48" fillId="0" borderId="12" xfId="0" applyFont="1" applyBorder="1" applyAlignment="1"/>
    <xf numFmtId="0" fontId="43" fillId="0" borderId="0" xfId="1257" applyNumberFormat="1" applyFont="1" applyFill="1" applyAlignment="1" applyProtection="1"/>
    <xf numFmtId="0" fontId="50" fillId="0" borderId="18" xfId="0" applyFont="1" applyBorder="1" applyAlignment="1">
      <alignment wrapText="1"/>
    </xf>
    <xf numFmtId="17" fontId="48" fillId="0" borderId="13" xfId="0" quotePrefix="1" applyNumberFormat="1" applyFont="1" applyBorder="1" applyAlignment="1">
      <alignment horizontal="center" wrapText="1"/>
    </xf>
    <xf numFmtId="17" fontId="49" fillId="0" borderId="17" xfId="0" quotePrefix="1" applyNumberFormat="1" applyFont="1" applyBorder="1" applyAlignment="1">
      <alignment horizontal="center" wrapText="1"/>
    </xf>
    <xf numFmtId="17" fontId="49" fillId="0" borderId="13" xfId="0" quotePrefix="1" applyNumberFormat="1" applyFont="1" applyBorder="1" applyAlignment="1">
      <alignment horizontal="center" wrapText="1"/>
    </xf>
    <xf numFmtId="16" fontId="49" fillId="0" borderId="17" xfId="0" quotePrefix="1" applyNumberFormat="1" applyFont="1" applyBorder="1" applyAlignment="1">
      <alignment horizontal="center" wrapText="1"/>
    </xf>
    <xf numFmtId="0" fontId="49" fillId="0" borderId="17" xfId="0" quotePrefix="1" applyFont="1" applyBorder="1" applyAlignment="1">
      <alignment horizontal="center" wrapText="1"/>
    </xf>
    <xf numFmtId="0" fontId="48" fillId="0" borderId="17" xfId="0" quotePrefix="1" applyFont="1" applyBorder="1" applyAlignment="1">
      <alignment horizontal="center" wrapText="1"/>
    </xf>
    <xf numFmtId="16" fontId="48" fillId="0" borderId="17" xfId="0" quotePrefix="1" applyNumberFormat="1" applyFont="1" applyBorder="1" applyAlignment="1">
      <alignment horizontal="center" wrapText="1"/>
    </xf>
    <xf numFmtId="16" fontId="48" fillId="0" borderId="13" xfId="0" quotePrefix="1" applyNumberFormat="1" applyFont="1" applyBorder="1" applyAlignment="1">
      <alignment horizontal="center" wrapText="1"/>
    </xf>
    <xf numFmtId="0" fontId="48" fillId="0" borderId="13" xfId="0" quotePrefix="1" applyFont="1" applyBorder="1" applyAlignment="1">
      <alignment horizontal="center" wrapText="1"/>
    </xf>
    <xf numFmtId="16" fontId="49" fillId="0" borderId="13" xfId="0" quotePrefix="1" applyNumberFormat="1" applyFont="1" applyBorder="1" applyAlignment="1">
      <alignment horizontal="center" wrapText="1"/>
    </xf>
    <xf numFmtId="0" fontId="49" fillId="32" borderId="13" xfId="0" applyFont="1" applyFill="1" applyBorder="1" applyAlignment="1">
      <alignment horizontal="center" wrapText="1"/>
    </xf>
    <xf numFmtId="0" fontId="0" fillId="32" borderId="0" xfId="0" applyFill="1"/>
    <xf numFmtId="2" fontId="0" fillId="0" borderId="0" xfId="0" applyNumberFormat="1"/>
    <xf numFmtId="0" fontId="49" fillId="0" borderId="15" xfId="0" applyFont="1" applyBorder="1" applyAlignment="1">
      <alignment horizontal="center" wrapText="1"/>
    </xf>
    <xf numFmtId="0" fontId="49" fillId="0" borderId="13" xfId="0" applyFont="1" applyBorder="1" applyAlignment="1">
      <alignment horizontal="center" wrapText="1"/>
    </xf>
    <xf numFmtId="0" fontId="0" fillId="33" borderId="0" xfId="0" applyFill="1"/>
    <xf numFmtId="165" fontId="49" fillId="33" borderId="13" xfId="0" applyNumberFormat="1" applyFont="1" applyFill="1" applyBorder="1" applyAlignment="1">
      <alignment horizontal="center" wrapText="1"/>
    </xf>
    <xf numFmtId="166" fontId="40" fillId="32" borderId="0" xfId="47" applyNumberFormat="1" applyFont="1" applyFill="1"/>
    <xf numFmtId="0" fontId="49" fillId="33" borderId="13" xfId="0" applyFont="1" applyFill="1" applyBorder="1" applyAlignment="1">
      <alignment horizontal="center" wrapText="1"/>
    </xf>
    <xf numFmtId="0" fontId="51" fillId="33" borderId="15" xfId="0" applyFont="1" applyFill="1" applyBorder="1" applyAlignment="1">
      <alignment horizontal="center" wrapText="1"/>
    </xf>
    <xf numFmtId="166" fontId="47" fillId="32" borderId="0" xfId="47" applyNumberFormat="1" applyFont="1" applyFill="1"/>
    <xf numFmtId="0" fontId="7" fillId="26" borderId="19" xfId="0" applyFont="1" applyFill="1" applyBorder="1" applyAlignment="1">
      <alignment horizontal="left" vertical="center" wrapText="1"/>
    </xf>
    <xf numFmtId="0" fontId="7" fillId="26" borderId="19" xfId="0" applyFont="1" applyFill="1" applyBorder="1" applyAlignment="1">
      <alignment horizontal="center" vertical="center" wrapText="1"/>
    </xf>
    <xf numFmtId="0" fontId="7" fillId="26" borderId="19" xfId="0" applyFont="1" applyFill="1" applyBorder="1" applyAlignment="1">
      <alignment horizontal="center" vertical="center"/>
    </xf>
    <xf numFmtId="0" fontId="7" fillId="26" borderId="19" xfId="0" applyFont="1" applyFill="1" applyBorder="1" applyAlignment="1">
      <alignment horizontal="right" vertical="center" wrapText="1"/>
    </xf>
    <xf numFmtId="0" fontId="8" fillId="34" borderId="20" xfId="0" applyFont="1" applyFill="1" applyBorder="1" applyAlignment="1">
      <alignment horizontal="right" vertical="center" wrapText="1"/>
    </xf>
    <xf numFmtId="0" fontId="8" fillId="34" borderId="20" xfId="0" applyFont="1" applyFill="1" applyBorder="1" applyAlignment="1">
      <alignment horizontal="center" vertical="center" wrapText="1"/>
    </xf>
    <xf numFmtId="0" fontId="8" fillId="34" borderId="20" xfId="0" applyFont="1" applyFill="1" applyBorder="1" applyAlignment="1">
      <alignment horizontal="center" vertical="center"/>
    </xf>
    <xf numFmtId="0" fontId="53" fillId="32" borderId="0" xfId="0" applyFont="1" applyFill="1"/>
    <xf numFmtId="0" fontId="49" fillId="0" borderId="0" xfId="0" applyFont="1" applyBorder="1" applyAlignment="1">
      <alignment horizontal="center" wrapText="1"/>
    </xf>
    <xf numFmtId="0" fontId="0" fillId="0" borderId="0" xfId="0" applyBorder="1"/>
    <xf numFmtId="0" fontId="8" fillId="27" borderId="19" xfId="0" applyFont="1" applyFill="1" applyBorder="1" applyAlignment="1">
      <alignment horizontal="right"/>
    </xf>
    <xf numFmtId="0" fontId="8" fillId="27" borderId="19" xfId="0" applyFont="1" applyFill="1" applyBorder="1" applyAlignment="1">
      <alignment horizontal="center"/>
    </xf>
    <xf numFmtId="0" fontId="54" fillId="0" borderId="1" xfId="0" applyFont="1" applyBorder="1"/>
    <xf numFmtId="166" fontId="54" fillId="0" borderId="1" xfId="0" applyNumberFormat="1" applyFont="1" applyBorder="1"/>
    <xf numFmtId="166" fontId="40" fillId="32" borderId="1" xfId="47" applyNumberFormat="1" applyFont="1" applyFill="1" applyBorder="1"/>
    <xf numFmtId="0" fontId="0" fillId="0" borderId="1" xfId="0" applyBorder="1"/>
    <xf numFmtId="0" fontId="0" fillId="0" borderId="21" xfId="0" applyBorder="1"/>
    <xf numFmtId="0" fontId="55" fillId="33" borderId="0" xfId="0" applyFont="1" applyFill="1"/>
    <xf numFmtId="0" fontId="0" fillId="0" borderId="0" xfId="0" applyFill="1"/>
    <xf numFmtId="0" fontId="55" fillId="0" borderId="0" xfId="0" applyFont="1" applyFill="1"/>
    <xf numFmtId="0" fontId="55" fillId="33" borderId="22" xfId="0" applyFont="1" applyFill="1" applyBorder="1"/>
    <xf numFmtId="0" fontId="47" fillId="32" borderId="0" xfId="0" applyFont="1" applyFill="1"/>
    <xf numFmtId="0" fontId="55" fillId="32" borderId="0" xfId="0" applyFont="1" applyFill="1"/>
    <xf numFmtId="0" fontId="55" fillId="33" borderId="1" xfId="0" applyFont="1" applyFill="1" applyBorder="1"/>
    <xf numFmtId="0" fontId="47" fillId="32" borderId="1" xfId="0" applyFont="1" applyFill="1" applyBorder="1"/>
    <xf numFmtId="0" fontId="47" fillId="0" borderId="0" xfId="0" applyFont="1"/>
    <xf numFmtId="0" fontId="47" fillId="32" borderId="18" xfId="0" applyFont="1" applyFill="1" applyBorder="1" applyAlignment="1">
      <alignment horizontal="center"/>
    </xf>
    <xf numFmtId="0" fontId="55" fillId="32" borderId="18" xfId="0" applyFont="1" applyFill="1" applyBorder="1"/>
    <xf numFmtId="0" fontId="0" fillId="0" borderId="0" xfId="0" applyAlignment="1">
      <alignment wrapText="1"/>
    </xf>
    <xf numFmtId="16" fontId="49" fillId="0" borderId="0" xfId="0" quotePrefix="1" applyNumberFormat="1" applyFont="1" applyBorder="1" applyAlignment="1">
      <alignment horizontal="center" wrapText="1"/>
    </xf>
    <xf numFmtId="0" fontId="49" fillId="0" borderId="0" xfId="0" quotePrefix="1" applyFont="1" applyBorder="1" applyAlignment="1">
      <alignment horizontal="center" wrapText="1"/>
    </xf>
    <xf numFmtId="0" fontId="48" fillId="0" borderId="21" xfId="0" applyFont="1" applyBorder="1" applyAlignment="1">
      <alignment wrapText="1"/>
    </xf>
    <xf numFmtId="0" fontId="54" fillId="0" borderId="0" xfId="0" applyFont="1"/>
    <xf numFmtId="0" fontId="49" fillId="0" borderId="15" xfId="0" applyFont="1" applyBorder="1" applyAlignment="1">
      <alignment horizontal="center" wrapText="1"/>
    </xf>
    <xf numFmtId="0" fontId="49" fillId="0" borderId="13" xfId="0" applyFont="1" applyBorder="1" applyAlignment="1">
      <alignment horizontal="center" wrapText="1"/>
    </xf>
    <xf numFmtId="0" fontId="54" fillId="0" borderId="1" xfId="0" applyFont="1" applyFill="1" applyBorder="1" applyAlignment="1">
      <alignment horizontal="center"/>
    </xf>
    <xf numFmtId="0" fontId="54" fillId="0" borderId="1" xfId="0" applyFont="1" applyBorder="1" applyAlignment="1">
      <alignment horizontal="center"/>
    </xf>
    <xf numFmtId="0" fontId="0" fillId="35" borderId="1" xfId="0" applyFill="1" applyBorder="1"/>
    <xf numFmtId="0" fontId="56" fillId="0" borderId="0" xfId="0" applyFont="1"/>
    <xf numFmtId="0" fontId="0" fillId="0" borderId="0" xfId="0" applyAlignment="1">
      <alignment horizontal="center"/>
    </xf>
    <xf numFmtId="0" fontId="50" fillId="0" borderId="23" xfId="0" applyFont="1" applyBorder="1" applyAlignment="1">
      <alignment vertical="top" wrapText="1"/>
    </xf>
    <xf numFmtId="0" fontId="48" fillId="0" borderId="18" xfId="0" applyFont="1" applyBorder="1" applyAlignment="1">
      <alignment vertical="top" wrapText="1"/>
    </xf>
    <xf numFmtId="0" fontId="48" fillId="0" borderId="24" xfId="0" applyFont="1" applyBorder="1" applyAlignment="1">
      <alignment horizontal="center" vertical="top" wrapText="1"/>
    </xf>
    <xf numFmtId="0" fontId="48" fillId="0" borderId="25" xfId="0" applyFont="1" applyBorder="1" applyAlignment="1">
      <alignment horizontal="center" vertical="top" wrapText="1"/>
    </xf>
    <xf numFmtId="0" fontId="48" fillId="0" borderId="23" xfId="0" applyFont="1" applyBorder="1" applyAlignment="1">
      <alignment vertical="top" wrapText="1"/>
    </xf>
    <xf numFmtId="0" fontId="48" fillId="0" borderId="18" xfId="0" applyFont="1" applyBorder="1" applyAlignment="1">
      <alignment wrapText="1"/>
    </xf>
    <xf numFmtId="0" fontId="48" fillId="0" borderId="13" xfId="0" applyFont="1" applyFill="1" applyBorder="1" applyAlignment="1">
      <alignment wrapText="1"/>
    </xf>
    <xf numFmtId="0" fontId="56" fillId="0" borderId="0" xfId="0" applyFont="1" applyAlignment="1">
      <alignment horizontal="left" indent="6"/>
    </xf>
    <xf numFmtId="0" fontId="57" fillId="0" borderId="0" xfId="0" applyFont="1"/>
    <xf numFmtId="0" fontId="48" fillId="0" borderId="15" xfId="0" applyFont="1" applyFill="1" applyBorder="1" applyAlignment="1">
      <alignment horizontal="center" vertical="top" wrapText="1"/>
    </xf>
    <xf numFmtId="0" fontId="48" fillId="0" borderId="18" xfId="0" applyFont="1" applyFill="1" applyBorder="1" applyAlignment="1">
      <alignment horizontal="center" wrapText="1"/>
    </xf>
    <xf numFmtId="0" fontId="48" fillId="0" borderId="23" xfId="0" applyFont="1" applyBorder="1" applyAlignment="1">
      <alignment wrapText="1"/>
    </xf>
    <xf numFmtId="0" fontId="48" fillId="0" borderId="26" xfId="0" applyFont="1" applyFill="1" applyBorder="1" applyAlignment="1">
      <alignment wrapText="1"/>
    </xf>
    <xf numFmtId="0" fontId="48" fillId="0" borderId="27" xfId="0" applyFont="1" applyFill="1" applyBorder="1" applyAlignment="1">
      <alignment wrapText="1"/>
    </xf>
    <xf numFmtId="0" fontId="48" fillId="0" borderId="28" xfId="0" applyFont="1" applyFill="1" applyBorder="1" applyAlignment="1">
      <alignment wrapText="1"/>
    </xf>
    <xf numFmtId="0" fontId="48" fillId="0" borderId="17" xfId="0" applyFont="1" applyFill="1" applyBorder="1" applyAlignment="1">
      <alignment wrapText="1"/>
    </xf>
    <xf numFmtId="0" fontId="48" fillId="0" borderId="18" xfId="0" applyFont="1" applyBorder="1" applyAlignment="1">
      <alignment vertical="center" wrapText="1"/>
    </xf>
    <xf numFmtId="1" fontId="0" fillId="32" borderId="0" xfId="0" applyNumberFormat="1" applyFill="1"/>
    <xf numFmtId="0" fontId="48" fillId="0" borderId="24" xfId="0" applyFont="1" applyBorder="1" applyAlignment="1">
      <alignment horizontal="center" vertical="top" wrapText="1"/>
    </xf>
    <xf numFmtId="0" fontId="48" fillId="0" borderId="25" xfId="0" applyFont="1" applyBorder="1" applyAlignment="1">
      <alignment horizontal="center" vertical="top" wrapText="1"/>
    </xf>
    <xf numFmtId="164" fontId="40" fillId="32" borderId="0" xfId="47" applyNumberFormat="1" applyFont="1" applyFill="1"/>
    <xf numFmtId="0" fontId="48" fillId="0" borderId="12" xfId="0" applyFont="1" applyBorder="1" applyAlignment="1">
      <alignment wrapText="1"/>
    </xf>
    <xf numFmtId="0" fontId="48" fillId="0" borderId="15" xfId="0" applyFont="1" applyBorder="1" applyAlignment="1">
      <alignment horizontal="center" vertical="top" wrapText="1"/>
    </xf>
    <xf numFmtId="0" fontId="48" fillId="0" borderId="13" xfId="0" applyFont="1" applyBorder="1" applyAlignment="1">
      <alignment horizontal="center" vertical="top" wrapText="1"/>
    </xf>
    <xf numFmtId="0" fontId="50" fillId="0" borderId="23" xfId="0" applyFont="1" applyBorder="1" applyAlignment="1">
      <alignment vertical="top" wrapText="1"/>
    </xf>
    <xf numFmtId="0" fontId="48" fillId="0" borderId="18" xfId="0" applyFont="1" applyBorder="1" applyAlignment="1">
      <alignment vertical="top" wrapText="1"/>
    </xf>
    <xf numFmtId="0" fontId="48" fillId="0" borderId="24" xfId="0" applyFont="1" applyBorder="1" applyAlignment="1">
      <alignment horizontal="center" vertical="top" wrapText="1"/>
    </xf>
    <xf numFmtId="0" fontId="48" fillId="0" borderId="25" xfId="0" applyFont="1" applyBorder="1" applyAlignment="1">
      <alignment horizontal="center" vertical="top" wrapText="1"/>
    </xf>
    <xf numFmtId="0" fontId="48" fillId="0" borderId="23" xfId="0" applyFont="1" applyBorder="1" applyAlignment="1">
      <alignment vertical="top" wrapText="1"/>
    </xf>
    <xf numFmtId="0" fontId="48" fillId="0" borderId="18" xfId="0" applyFont="1" applyBorder="1" applyAlignment="1">
      <alignment wrapText="1"/>
    </xf>
    <xf numFmtId="0" fontId="48" fillId="0" borderId="25" xfId="0" applyFont="1" applyBorder="1" applyAlignment="1">
      <alignment wrapText="1"/>
    </xf>
    <xf numFmtId="0" fontId="48" fillId="0" borderId="25" xfId="0" applyFont="1" applyBorder="1" applyAlignment="1">
      <alignment horizontal="center" wrapText="1"/>
    </xf>
    <xf numFmtId="0" fontId="48" fillId="0" borderId="13" xfId="0" applyFont="1" applyBorder="1" applyAlignment="1">
      <alignment wrapText="1"/>
    </xf>
    <xf numFmtId="9" fontId="48" fillId="0" borderId="13" xfId="968" applyFont="1" applyBorder="1" applyAlignment="1">
      <alignment wrapText="1"/>
    </xf>
    <xf numFmtId="0" fontId="48" fillId="0" borderId="13" xfId="0" applyFont="1" applyFill="1" applyBorder="1" applyAlignment="1">
      <alignment wrapText="1"/>
    </xf>
    <xf numFmtId="0" fontId="48" fillId="0" borderId="12" xfId="0" applyFont="1" applyFill="1" applyBorder="1" applyAlignment="1">
      <alignment wrapText="1"/>
    </xf>
    <xf numFmtId="0" fontId="48" fillId="0" borderId="18" xfId="0" applyFont="1" applyFill="1" applyBorder="1" applyAlignment="1">
      <alignment wrapText="1"/>
    </xf>
    <xf numFmtId="166" fontId="48" fillId="0" borderId="18" xfId="47" quotePrefix="1" applyNumberFormat="1" applyFont="1" applyBorder="1" applyAlignment="1">
      <alignment wrapText="1"/>
    </xf>
    <xf numFmtId="0" fontId="0" fillId="0" borderId="0" xfId="0"/>
    <xf numFmtId="0" fontId="48" fillId="0" borderId="12" xfId="0" applyFont="1" applyBorder="1" applyAlignment="1">
      <alignment wrapText="1"/>
    </xf>
    <xf numFmtId="0" fontId="49" fillId="0" borderId="13" xfId="0" applyFont="1" applyBorder="1" applyAlignment="1">
      <alignment horizontal="center" wrapText="1"/>
    </xf>
    <xf numFmtId="0" fontId="50" fillId="0" borderId="14" xfId="0" applyFont="1" applyBorder="1" applyAlignment="1">
      <alignment wrapText="1"/>
    </xf>
    <xf numFmtId="0" fontId="51" fillId="0" borderId="15" xfId="0" applyFont="1" applyBorder="1" applyAlignment="1">
      <alignment horizontal="center" wrapText="1"/>
    </xf>
    <xf numFmtId="0" fontId="51" fillId="0" borderId="13" xfId="0" applyFont="1" applyBorder="1" applyAlignment="1">
      <alignment horizontal="center" wrapText="1"/>
    </xf>
    <xf numFmtId="0" fontId="48" fillId="0" borderId="16" xfId="0" applyFont="1" applyBorder="1" applyAlignment="1">
      <alignment wrapText="1"/>
    </xf>
    <xf numFmtId="0" fontId="49" fillId="0" borderId="17" xfId="0" applyFont="1" applyBorder="1" applyAlignment="1">
      <alignment horizontal="center" wrapText="1"/>
    </xf>
    <xf numFmtId="0" fontId="48" fillId="0" borderId="13" xfId="0" applyFont="1" applyBorder="1" applyAlignment="1">
      <alignment horizontal="center" wrapText="1"/>
    </xf>
    <xf numFmtId="0" fontId="48" fillId="0" borderId="15" xfId="0" applyFont="1" applyBorder="1" applyAlignment="1">
      <alignment horizontal="center" vertical="top" wrapText="1"/>
    </xf>
    <xf numFmtId="0" fontId="48" fillId="0" borderId="13" xfId="0" applyFont="1" applyBorder="1" applyAlignment="1">
      <alignment horizontal="center" vertical="top" wrapText="1"/>
    </xf>
    <xf numFmtId="0" fontId="49" fillId="0" borderId="29" xfId="0" applyFont="1" applyBorder="1" applyAlignment="1">
      <alignment horizontal="center" vertical="center" wrapText="1"/>
    </xf>
    <xf numFmtId="0" fontId="49" fillId="0" borderId="17" xfId="0" applyFont="1" applyBorder="1" applyAlignment="1">
      <alignment horizontal="center" vertical="center" wrapText="1"/>
    </xf>
    <xf numFmtId="0" fontId="49" fillId="0" borderId="13" xfId="0" applyFont="1" applyBorder="1" applyAlignment="1">
      <alignment horizontal="center" vertical="center" wrapText="1"/>
    </xf>
    <xf numFmtId="17" fontId="48" fillId="0" borderId="13" xfId="0" quotePrefix="1" applyNumberFormat="1" applyFont="1" applyBorder="1" applyAlignment="1">
      <alignment horizontal="center" wrapText="1"/>
    </xf>
    <xf numFmtId="17" fontId="49" fillId="0" borderId="17" xfId="0" quotePrefix="1" applyNumberFormat="1" applyFont="1" applyBorder="1" applyAlignment="1">
      <alignment horizontal="center" wrapText="1"/>
    </xf>
    <xf numFmtId="0" fontId="48" fillId="0" borderId="30" xfId="0" applyFont="1" applyBorder="1" applyAlignment="1">
      <alignment vertical="center" wrapText="1"/>
    </xf>
    <xf numFmtId="0" fontId="48" fillId="0" borderId="16" xfId="0" applyFont="1" applyBorder="1" applyAlignment="1">
      <alignment vertical="center" wrapText="1"/>
    </xf>
    <xf numFmtId="0" fontId="48" fillId="0" borderId="12" xfId="0" applyFont="1" applyBorder="1" applyAlignment="1">
      <alignment vertical="center" wrapText="1"/>
    </xf>
    <xf numFmtId="0" fontId="50" fillId="0" borderId="23" xfId="0" applyFont="1" applyBorder="1" applyAlignment="1">
      <alignment vertical="top" wrapText="1"/>
    </xf>
    <xf numFmtId="0" fontId="48" fillId="0" borderId="18" xfId="0" applyFont="1" applyBorder="1" applyAlignment="1">
      <alignment vertical="top" wrapText="1"/>
    </xf>
    <xf numFmtId="0" fontId="48" fillId="0" borderId="24" xfId="0" applyFont="1" applyBorder="1" applyAlignment="1">
      <alignment horizontal="center" vertical="top" wrapText="1"/>
    </xf>
    <xf numFmtId="0" fontId="48" fillId="0" borderId="25" xfId="0" applyFont="1" applyBorder="1" applyAlignment="1">
      <alignment horizontal="center" vertical="top" wrapText="1"/>
    </xf>
    <xf numFmtId="0" fontId="48" fillId="0" borderId="23" xfId="0" applyFont="1" applyBorder="1" applyAlignment="1">
      <alignment vertical="top" wrapText="1"/>
    </xf>
    <xf numFmtId="0" fontId="48" fillId="0" borderId="18" xfId="0" applyFont="1" applyBorder="1" applyAlignment="1">
      <alignment wrapText="1"/>
    </xf>
    <xf numFmtId="0" fontId="48" fillId="0" borderId="25" xfId="0" applyFont="1" applyBorder="1" applyAlignment="1">
      <alignment wrapText="1"/>
    </xf>
    <xf numFmtId="0" fontId="48" fillId="0" borderId="25" xfId="0" applyFont="1" applyBorder="1" applyAlignment="1">
      <alignment horizontal="center" wrapText="1"/>
    </xf>
    <xf numFmtId="0" fontId="48" fillId="0" borderId="13" xfId="0" applyFont="1" applyBorder="1" applyAlignment="1">
      <alignment wrapText="1"/>
    </xf>
    <xf numFmtId="0" fontId="48" fillId="0" borderId="13" xfId="0" applyFont="1" applyFill="1" applyBorder="1" applyAlignment="1">
      <alignment wrapText="1"/>
    </xf>
    <xf numFmtId="9" fontId="48" fillId="0" borderId="13" xfId="968" applyFont="1" applyFill="1" applyBorder="1" applyAlignment="1">
      <alignment wrapText="1"/>
    </xf>
    <xf numFmtId="0" fontId="48" fillId="0" borderId="12" xfId="0" applyFont="1" applyFill="1" applyBorder="1" applyAlignment="1">
      <alignment wrapText="1"/>
    </xf>
    <xf numFmtId="0" fontId="58" fillId="0" borderId="13" xfId="0" applyFont="1" applyFill="1" applyBorder="1" applyAlignment="1">
      <alignment wrapText="1"/>
    </xf>
    <xf numFmtId="0" fontId="48" fillId="0" borderId="13" xfId="0" applyFont="1" applyBorder="1" applyAlignment="1">
      <alignment vertical="top" wrapText="1"/>
    </xf>
    <xf numFmtId="0" fontId="48" fillId="0" borderId="30" xfId="0" applyFont="1" applyFill="1" applyBorder="1" applyAlignment="1">
      <alignment wrapText="1"/>
    </xf>
    <xf numFmtId="0" fontId="48" fillId="0" borderId="30" xfId="0" applyFont="1" applyBorder="1" applyAlignment="1">
      <alignment wrapText="1"/>
    </xf>
    <xf numFmtId="0" fontId="48" fillId="0" borderId="18" xfId="0" applyFont="1" applyFill="1" applyBorder="1" applyAlignment="1">
      <alignment wrapText="1"/>
    </xf>
    <xf numFmtId="0" fontId="48" fillId="0" borderId="25" xfId="0" applyFont="1" applyFill="1" applyBorder="1" applyAlignment="1">
      <alignment wrapText="1"/>
    </xf>
    <xf numFmtId="0" fontId="48" fillId="0" borderId="25" xfId="0" applyFont="1" applyFill="1" applyBorder="1" applyAlignment="1">
      <alignment horizontal="center" wrapText="1"/>
    </xf>
    <xf numFmtId="9" fontId="48" fillId="0" borderId="13" xfId="0" applyNumberFormat="1" applyFont="1" applyFill="1" applyBorder="1" applyAlignment="1">
      <alignment wrapText="1"/>
    </xf>
    <xf numFmtId="0" fontId="48" fillId="0" borderId="18" xfId="0" applyFont="1" applyBorder="1" applyAlignment="1">
      <alignment vertical="center" wrapText="1"/>
    </xf>
    <xf numFmtId="0" fontId="48" fillId="0" borderId="25" xfId="0" applyFont="1" applyBorder="1" applyAlignment="1">
      <alignment vertical="center" wrapText="1"/>
    </xf>
    <xf numFmtId="166" fontId="40" fillId="0" borderId="0" xfId="47" applyNumberFormat="1" applyFont="1" applyAlignment="1">
      <alignment horizontal="center"/>
    </xf>
    <xf numFmtId="0" fontId="7" fillId="26" borderId="31" xfId="0" applyFont="1" applyFill="1" applyBorder="1" applyAlignment="1">
      <alignment horizontal="left" vertical="center" wrapText="1"/>
    </xf>
    <xf numFmtId="0" fontId="8" fillId="34" borderId="20" xfId="0" applyFont="1" applyFill="1" applyBorder="1" applyAlignment="1">
      <alignment horizontal="left" vertical="center" wrapText="1"/>
    </xf>
    <xf numFmtId="0" fontId="8" fillId="34" borderId="32" xfId="0" applyFont="1" applyFill="1" applyBorder="1" applyAlignment="1">
      <alignment horizontal="right" vertical="center" wrapText="1"/>
    </xf>
    <xf numFmtId="0" fontId="11" fillId="0" borderId="0" xfId="550"/>
    <xf numFmtId="0" fontId="11" fillId="0" borderId="0" xfId="550" applyFill="1"/>
    <xf numFmtId="0" fontId="11" fillId="0" borderId="0" xfId="550" applyFont="1" applyFill="1"/>
    <xf numFmtId="0" fontId="11" fillId="28" borderId="0" xfId="550" applyFill="1"/>
    <xf numFmtId="0" fontId="0" fillId="0" borderId="0" xfId="0" applyAlignment="1">
      <alignment horizontal="left"/>
    </xf>
    <xf numFmtId="0" fontId="0" fillId="0" borderId="0" xfId="0" applyBorder="1" applyAlignment="1">
      <alignment horizontal="left"/>
    </xf>
    <xf numFmtId="0" fontId="48" fillId="0" borderId="29" xfId="0" applyFont="1" applyBorder="1" applyAlignment="1">
      <alignment vertical="center" wrapText="1"/>
    </xf>
    <xf numFmtId="0" fontId="48" fillId="0" borderId="17" xfId="0" applyFont="1" applyBorder="1" applyAlignment="1">
      <alignment vertical="center" wrapText="1"/>
    </xf>
    <xf numFmtId="0" fontId="48" fillId="0" borderId="13" xfId="0" applyFont="1" applyBorder="1" applyAlignment="1">
      <alignment vertical="center" wrapText="1"/>
    </xf>
    <xf numFmtId="0" fontId="49" fillId="0" borderId="13" xfId="0" applyFont="1" applyBorder="1" applyAlignment="1">
      <alignment horizontal="center" wrapText="1"/>
    </xf>
    <xf numFmtId="0" fontId="48" fillId="32" borderId="13" xfId="0" applyFont="1" applyFill="1" applyBorder="1" applyAlignment="1">
      <alignment horizontal="center" wrapText="1"/>
    </xf>
    <xf numFmtId="0" fontId="48" fillId="32" borderId="18" xfId="0" applyFont="1" applyFill="1" applyBorder="1" applyAlignment="1">
      <alignment wrapText="1"/>
    </xf>
    <xf numFmtId="0" fontId="48" fillId="32" borderId="12" xfId="0" applyFont="1" applyFill="1" applyBorder="1" applyAlignment="1">
      <alignment wrapText="1"/>
    </xf>
    <xf numFmtId="0" fontId="48" fillId="33" borderId="12" xfId="0" quotePrefix="1" applyNumberFormat="1" applyFont="1" applyFill="1" applyBorder="1" applyAlignment="1">
      <alignment wrapText="1"/>
    </xf>
    <xf numFmtId="0" fontId="48" fillId="33" borderId="13" xfId="0" applyFont="1" applyFill="1" applyBorder="1" applyAlignment="1">
      <alignment wrapText="1"/>
    </xf>
    <xf numFmtId="0" fontId="48" fillId="33" borderId="12" xfId="0" applyFont="1" applyFill="1" applyBorder="1" applyAlignment="1">
      <alignment wrapText="1"/>
    </xf>
    <xf numFmtId="0" fontId="49" fillId="32" borderId="17" xfId="0" applyFont="1" applyFill="1" applyBorder="1" applyAlignment="1">
      <alignment horizontal="center" wrapText="1"/>
    </xf>
    <xf numFmtId="0" fontId="40" fillId="32" borderId="1" xfId="47" applyNumberFormat="1" applyFont="1" applyFill="1" applyBorder="1"/>
    <xf numFmtId="0" fontId="49" fillId="37" borderId="17" xfId="0" applyFont="1" applyFill="1" applyBorder="1" applyAlignment="1">
      <alignment horizontal="center" wrapText="1"/>
    </xf>
    <xf numFmtId="0" fontId="40" fillId="32" borderId="0" xfId="47" applyNumberFormat="1" applyFont="1" applyFill="1"/>
    <xf numFmtId="0" fontId="49" fillId="32" borderId="0" xfId="0" applyFont="1" applyFill="1" applyBorder="1" applyAlignment="1">
      <alignment horizontal="center" wrapText="1"/>
    </xf>
    <xf numFmtId="0" fontId="49" fillId="32" borderId="33" xfId="0" applyFont="1" applyFill="1" applyBorder="1" applyAlignment="1">
      <alignment horizontal="center" wrapText="1"/>
    </xf>
    <xf numFmtId="0" fontId="49" fillId="32" borderId="34" xfId="0" applyFont="1" applyFill="1" applyBorder="1" applyAlignment="1">
      <alignment horizontal="center" wrapText="1"/>
    </xf>
    <xf numFmtId="0" fontId="49" fillId="32" borderId="29" xfId="0" applyFont="1" applyFill="1" applyBorder="1" applyAlignment="1">
      <alignment horizontal="center" wrapText="1"/>
    </xf>
    <xf numFmtId="0" fontId="49" fillId="32" borderId="35" xfId="0" applyFont="1" applyFill="1" applyBorder="1" applyAlignment="1">
      <alignment horizontal="center" wrapText="1"/>
    </xf>
    <xf numFmtId="0" fontId="49" fillId="32" borderId="14" xfId="0" applyFont="1" applyFill="1" applyBorder="1" applyAlignment="1">
      <alignment horizontal="center" wrapText="1"/>
    </xf>
    <xf numFmtId="0" fontId="49" fillId="32" borderId="15" xfId="0" applyFont="1" applyFill="1" applyBorder="1" applyAlignment="1">
      <alignment horizontal="center" wrapText="1"/>
    </xf>
    <xf numFmtId="0" fontId="48" fillId="32" borderId="33" xfId="0" applyFont="1" applyFill="1" applyBorder="1" applyAlignment="1">
      <alignment vertical="center" wrapText="1"/>
    </xf>
    <xf numFmtId="0" fontId="54" fillId="0" borderId="1" xfId="0" applyNumberFormat="1" applyFont="1" applyBorder="1"/>
    <xf numFmtId="0" fontId="54" fillId="0" borderId="0" xfId="0" applyFont="1" applyBorder="1" applyAlignment="1">
      <alignment horizontal="center"/>
    </xf>
    <xf numFmtId="2" fontId="54" fillId="0" borderId="1" xfId="0" applyNumberFormat="1" applyFont="1" applyFill="1" applyBorder="1" applyAlignment="1">
      <alignment horizontal="center"/>
    </xf>
    <xf numFmtId="0" fontId="54" fillId="0" borderId="0" xfId="0" applyFont="1" applyFill="1" applyBorder="1" applyAlignment="1">
      <alignment horizontal="center"/>
    </xf>
    <xf numFmtId="2" fontId="0" fillId="0" borderId="1" xfId="0" applyNumberFormat="1" applyFill="1" applyBorder="1" applyAlignment="1">
      <alignment horizontal="center"/>
    </xf>
    <xf numFmtId="2" fontId="0" fillId="0" borderId="0" xfId="0" applyNumberFormat="1" applyFill="1" applyBorder="1" applyAlignment="1">
      <alignment horizontal="center"/>
    </xf>
    <xf numFmtId="0" fontId="0" fillId="0" borderId="36" xfId="0" applyBorder="1"/>
    <xf numFmtId="0" fontId="54" fillId="37" borderId="0" xfId="0" applyFont="1" applyFill="1" applyBorder="1" applyAlignment="1">
      <alignment horizontal="center"/>
    </xf>
    <xf numFmtId="0" fontId="54" fillId="37" borderId="0" xfId="47" applyNumberFormat="1" applyFont="1" applyFill="1" applyBorder="1" applyAlignment="1"/>
    <xf numFmtId="0" fontId="59" fillId="0" borderId="0" xfId="0" applyFont="1" applyFill="1" applyBorder="1" applyAlignment="1">
      <alignment horizontal="center"/>
    </xf>
    <xf numFmtId="172" fontId="11" fillId="28" borderId="0" xfId="550" applyNumberFormat="1" applyFill="1"/>
    <xf numFmtId="172" fontId="11" fillId="0" borderId="0" xfId="550" applyNumberFormat="1" applyFont="1"/>
    <xf numFmtId="172" fontId="7" fillId="26" borderId="19" xfId="550" applyNumberFormat="1" applyFont="1" applyFill="1" applyBorder="1" applyAlignment="1">
      <alignment horizontal="left" vertical="center" wrapText="1"/>
    </xf>
    <xf numFmtId="172" fontId="14" fillId="29" borderId="15" xfId="550" quotePrefix="1" applyNumberFormat="1" applyFont="1" applyFill="1" applyBorder="1" applyAlignment="1">
      <alignment horizontal="left" vertical="top" wrapText="1"/>
    </xf>
    <xf numFmtId="172" fontId="11" fillId="0" borderId="0" xfId="550" applyNumberFormat="1" applyFill="1"/>
    <xf numFmtId="172" fontId="0" fillId="0" borderId="0" xfId="0" applyNumberFormat="1"/>
    <xf numFmtId="172" fontId="13" fillId="0" borderId="0" xfId="550" applyNumberFormat="1" applyFont="1"/>
    <xf numFmtId="172" fontId="11" fillId="0" borderId="0" xfId="550" applyNumberFormat="1"/>
    <xf numFmtId="172" fontId="14" fillId="29" borderId="20" xfId="550" applyNumberFormat="1" applyFont="1" applyFill="1" applyBorder="1" applyAlignment="1">
      <alignment horizontal="left" vertical="top" wrapText="1"/>
    </xf>
    <xf numFmtId="172" fontId="14" fillId="29" borderId="20" xfId="550" quotePrefix="1" applyNumberFormat="1" applyFont="1" applyFill="1" applyBorder="1" applyAlignment="1">
      <alignment horizontal="left" vertical="top" wrapText="1"/>
    </xf>
    <xf numFmtId="172" fontId="12" fillId="0" borderId="0" xfId="550" applyNumberFormat="1" applyFont="1" applyFill="1" applyBorder="1" applyAlignment="1">
      <alignment horizontal="left"/>
    </xf>
    <xf numFmtId="172" fontId="13" fillId="0" borderId="0" xfId="550" applyNumberFormat="1" applyFont="1" applyFill="1" applyBorder="1" applyAlignment="1">
      <alignment horizontal="left" wrapText="1"/>
    </xf>
    <xf numFmtId="172" fontId="12" fillId="0" borderId="0" xfId="550" applyNumberFormat="1" applyFont="1" applyFill="1" applyBorder="1"/>
    <xf numFmtId="0" fontId="15" fillId="3" borderId="0" xfId="3"/>
    <xf numFmtId="0" fontId="15" fillId="3" borderId="19" xfId="3" applyBorder="1" applyAlignment="1">
      <alignment horizontal="center" vertical="center" wrapText="1"/>
    </xf>
    <xf numFmtId="0" fontId="15" fillId="3" borderId="20" xfId="3" applyBorder="1" applyAlignment="1">
      <alignment horizontal="center" vertical="center" wrapText="1"/>
    </xf>
    <xf numFmtId="0" fontId="59" fillId="0" borderId="0" xfId="0" applyFont="1"/>
    <xf numFmtId="0" fontId="0" fillId="0" borderId="0" xfId="0"/>
    <xf numFmtId="0" fontId="59" fillId="0" borderId="0" xfId="0" applyFont="1" applyFill="1" applyBorder="1" applyAlignment="1">
      <alignment horizontal="left"/>
    </xf>
    <xf numFmtId="0" fontId="0" fillId="0" borderId="0" xfId="0" applyFill="1" applyBorder="1"/>
    <xf numFmtId="2" fontId="0" fillId="0" borderId="0" xfId="0" applyNumberFormat="1" applyFill="1" applyBorder="1"/>
    <xf numFmtId="2" fontId="59" fillId="0" borderId="0" xfId="0" applyNumberFormat="1" applyFont="1" applyFill="1" applyBorder="1" applyAlignment="1">
      <alignment horizontal="center"/>
    </xf>
    <xf numFmtId="0" fontId="0" fillId="38" borderId="0" xfId="0" applyFill="1"/>
    <xf numFmtId="0" fontId="51" fillId="0" borderId="0" xfId="0" applyFont="1" applyBorder="1" applyAlignment="1">
      <alignment horizontal="center" wrapText="1"/>
    </xf>
    <xf numFmtId="0" fontId="49" fillId="0" borderId="1" xfId="0" applyFont="1" applyFill="1" applyBorder="1" applyAlignment="1">
      <alignment horizontal="center" wrapText="1"/>
    </xf>
    <xf numFmtId="0" fontId="49" fillId="0" borderId="1" xfId="0" applyFont="1" applyBorder="1" applyAlignment="1">
      <alignment horizontal="center" wrapText="1"/>
    </xf>
    <xf numFmtId="0" fontId="48" fillId="0" borderId="1" xfId="0" applyFont="1" applyBorder="1" applyAlignment="1">
      <alignment wrapText="1"/>
    </xf>
    <xf numFmtId="0" fontId="49" fillId="0" borderId="26" xfId="0" applyFont="1" applyBorder="1" applyAlignment="1">
      <alignment horizontal="center" wrapText="1"/>
    </xf>
    <xf numFmtId="0" fontId="50" fillId="0" borderId="35" xfId="0" applyFont="1" applyBorder="1" applyAlignment="1">
      <alignment wrapText="1"/>
    </xf>
    <xf numFmtId="0" fontId="51" fillId="0" borderId="17" xfId="0" applyFont="1" applyBorder="1" applyAlignment="1">
      <alignment horizontal="center" wrapText="1"/>
    </xf>
    <xf numFmtId="49" fontId="49" fillId="0" borderId="1" xfId="0" quotePrefix="1" applyNumberFormat="1" applyFont="1" applyBorder="1" applyAlignment="1">
      <alignment horizontal="center" wrapText="1"/>
    </xf>
    <xf numFmtId="49" fontId="49" fillId="0" borderId="1" xfId="0" applyNumberFormat="1" applyFont="1" applyBorder="1" applyAlignment="1">
      <alignment horizontal="center" wrapText="1"/>
    </xf>
    <xf numFmtId="0" fontId="50" fillId="0" borderId="1" xfId="0" applyFont="1" applyBorder="1" applyAlignment="1">
      <alignment wrapText="1"/>
    </xf>
    <xf numFmtId="0" fontId="51" fillId="0" borderId="1" xfId="0" applyFont="1" applyBorder="1" applyAlignment="1">
      <alignment horizontal="center" wrapText="1"/>
    </xf>
    <xf numFmtId="49" fontId="51" fillId="0" borderId="1" xfId="0" applyNumberFormat="1" applyFont="1" applyBorder="1" applyAlignment="1">
      <alignment horizontal="center" wrapText="1"/>
    </xf>
    <xf numFmtId="0" fontId="48" fillId="0" borderId="0" xfId="0" applyFont="1" applyBorder="1" applyAlignment="1">
      <alignment wrapText="1"/>
    </xf>
    <xf numFmtId="0" fontId="50" fillId="0" borderId="37" xfId="0" applyFont="1" applyBorder="1" applyAlignment="1">
      <alignment wrapText="1"/>
    </xf>
    <xf numFmtId="0" fontId="49" fillId="0" borderId="28" xfId="0" applyFont="1" applyBorder="1" applyAlignment="1">
      <alignment horizontal="center" wrapText="1"/>
    </xf>
    <xf numFmtId="0" fontId="51" fillId="0" borderId="37" xfId="0" applyFont="1" applyBorder="1" applyAlignment="1">
      <alignment horizontal="center" wrapText="1"/>
    </xf>
    <xf numFmtId="0" fontId="51" fillId="0" borderId="38" xfId="0" applyFont="1" applyBorder="1" applyAlignment="1">
      <alignment horizontal="center" wrapText="1"/>
    </xf>
    <xf numFmtId="0" fontId="55" fillId="0" borderId="38" xfId="0" applyFont="1" applyFill="1" applyBorder="1"/>
    <xf numFmtId="49" fontId="49" fillId="0" borderId="39" xfId="0" applyNumberFormat="1" applyFont="1" applyBorder="1" applyAlignment="1">
      <alignment horizontal="center" wrapText="1"/>
    </xf>
    <xf numFmtId="165" fontId="49" fillId="0" borderId="26" xfId="0" applyNumberFormat="1" applyFont="1" applyFill="1" applyBorder="1" applyAlignment="1">
      <alignment horizontal="center" wrapText="1"/>
    </xf>
    <xf numFmtId="0" fontId="55" fillId="0" borderId="26" xfId="0" applyFont="1" applyFill="1" applyBorder="1"/>
    <xf numFmtId="167" fontId="0" fillId="32" borderId="0" xfId="0" applyNumberFormat="1" applyFill="1"/>
    <xf numFmtId="0" fontId="54" fillId="37" borderId="27" xfId="0" applyFont="1" applyFill="1" applyBorder="1" applyAlignment="1">
      <alignment horizontal="center"/>
    </xf>
    <xf numFmtId="2" fontId="0" fillId="33" borderId="1" xfId="0" applyNumberFormat="1" applyFill="1" applyBorder="1"/>
    <xf numFmtId="2" fontId="0" fillId="0" borderId="1" xfId="0" applyNumberFormat="1" applyFill="1" applyBorder="1"/>
    <xf numFmtId="0" fontId="0" fillId="0" borderId="1" xfId="0" applyFill="1" applyBorder="1"/>
    <xf numFmtId="0" fontId="59" fillId="0" borderId="1" xfId="0" applyFont="1" applyFill="1" applyBorder="1" applyAlignment="1">
      <alignment horizontal="center"/>
    </xf>
    <xf numFmtId="0" fontId="59" fillId="0" borderId="1" xfId="0" applyFont="1" applyBorder="1"/>
    <xf numFmtId="0" fontId="0" fillId="32" borderId="0" xfId="0" applyFill="1" applyBorder="1"/>
    <xf numFmtId="0" fontId="59" fillId="0" borderId="36" xfId="0" applyFont="1" applyFill="1" applyBorder="1" applyAlignment="1">
      <alignment horizontal="left"/>
    </xf>
    <xf numFmtId="172" fontId="11" fillId="0" borderId="0" xfId="550" applyNumberFormat="1" applyFont="1" applyFill="1" applyBorder="1" applyAlignment="1">
      <alignment horizontal="left"/>
    </xf>
    <xf numFmtId="172" fontId="0" fillId="0" borderId="0" xfId="0" applyNumberFormat="1" applyBorder="1"/>
    <xf numFmtId="172" fontId="11" fillId="0" borderId="0" xfId="550" applyNumberFormat="1" applyFill="1" applyBorder="1"/>
    <xf numFmtId="172" fontId="11" fillId="0" borderId="0" xfId="550" applyNumberFormat="1" applyFont="1" applyFill="1" applyBorder="1"/>
    <xf numFmtId="172" fontId="11" fillId="0" borderId="0" xfId="550" applyNumberFormat="1" applyFont="1" applyBorder="1"/>
    <xf numFmtId="0" fontId="59" fillId="0" borderId="40" xfId="0" applyFont="1" applyFill="1" applyBorder="1" applyAlignment="1">
      <alignment horizontal="left"/>
    </xf>
    <xf numFmtId="0" fontId="0" fillId="0" borderId="40" xfId="0" applyBorder="1" applyAlignment="1">
      <alignment horizontal="left"/>
    </xf>
    <xf numFmtId="0" fontId="0" fillId="0" borderId="0" xfId="0" applyFont="1" applyAlignment="1">
      <alignment horizontal="left"/>
    </xf>
    <xf numFmtId="14" fontId="0" fillId="0" borderId="0" xfId="0" applyNumberFormat="1" applyFont="1" applyAlignment="1">
      <alignment horizontal="left"/>
    </xf>
    <xf numFmtId="14" fontId="0" fillId="0" borderId="0" xfId="0" applyNumberFormat="1" applyAlignment="1">
      <alignment horizontal="left"/>
    </xf>
    <xf numFmtId="172" fontId="0" fillId="0" borderId="0" xfId="48" applyNumberFormat="1" applyFont="1"/>
    <xf numFmtId="0" fontId="0" fillId="0" borderId="42" xfId="0" applyBorder="1"/>
    <xf numFmtId="0" fontId="0" fillId="0" borderId="27" xfId="0" applyBorder="1"/>
    <xf numFmtId="0" fontId="54" fillId="0" borderId="37" xfId="0" applyFont="1" applyFill="1" applyBorder="1" applyAlignment="1">
      <alignment horizontal="center"/>
    </xf>
    <xf numFmtId="0" fontId="54" fillId="37" borderId="21" xfId="0" applyFont="1" applyFill="1" applyBorder="1" applyAlignment="1">
      <alignment horizontal="center"/>
    </xf>
    <xf numFmtId="2" fontId="59" fillId="0" borderId="37" xfId="0" applyNumberFormat="1" applyFont="1" applyFill="1" applyBorder="1" applyAlignment="1">
      <alignment horizontal="center"/>
    </xf>
    <xf numFmtId="0" fontId="0" fillId="0" borderId="37" xfId="0" applyBorder="1"/>
    <xf numFmtId="0" fontId="54" fillId="0" borderId="39" xfId="0" applyFont="1" applyFill="1" applyBorder="1" applyAlignment="1">
      <alignment horizontal="center"/>
    </xf>
    <xf numFmtId="0" fontId="0" fillId="0" borderId="39" xfId="0" applyBorder="1"/>
    <xf numFmtId="0" fontId="0" fillId="0" borderId="39" xfId="0" applyFill="1" applyBorder="1"/>
    <xf numFmtId="0" fontId="7" fillId="39" borderId="19" xfId="0" applyFont="1" applyFill="1" applyBorder="1" applyAlignment="1">
      <alignment horizontal="right" vertical="center" wrapText="1"/>
    </xf>
    <xf numFmtId="0" fontId="59" fillId="0" borderId="0" xfId="0" quotePrefix="1" applyFont="1" applyFill="1" applyBorder="1" applyAlignment="1">
      <alignment horizontal="left"/>
    </xf>
    <xf numFmtId="0" fontId="0" fillId="0" borderId="0" xfId="0" applyFont="1"/>
    <xf numFmtId="0" fontId="0" fillId="37" borderId="0" xfId="0" applyFill="1" applyBorder="1"/>
    <xf numFmtId="0" fontId="7" fillId="37" borderId="0" xfId="0" applyFont="1" applyFill="1" applyBorder="1" applyAlignment="1">
      <alignment horizontal="right" vertical="center" wrapText="1"/>
    </xf>
    <xf numFmtId="0" fontId="8" fillId="37" borderId="0" xfId="0" applyFont="1" applyFill="1" applyBorder="1" applyAlignment="1">
      <alignment horizontal="right" vertical="center" wrapText="1"/>
    </xf>
    <xf numFmtId="0" fontId="8" fillId="37" borderId="0" xfId="0" applyFont="1" applyFill="1" applyBorder="1" applyAlignment="1">
      <alignment horizontal="center"/>
    </xf>
    <xf numFmtId="2" fontId="59" fillId="37" borderId="0" xfId="0" applyNumberFormat="1" applyFont="1" applyFill="1" applyBorder="1" applyAlignment="1">
      <alignment horizontal="center"/>
    </xf>
    <xf numFmtId="0" fontId="71" fillId="0" borderId="0" xfId="548" applyFont="1"/>
    <xf numFmtId="0" fontId="44" fillId="0" borderId="0" xfId="548"/>
    <xf numFmtId="0" fontId="46" fillId="0" borderId="0" xfId="548" applyFont="1"/>
    <xf numFmtId="0" fontId="46" fillId="0" borderId="36" xfId="548" applyFont="1" applyBorder="1"/>
    <xf numFmtId="0" fontId="0" fillId="0" borderId="0" xfId="548" applyFont="1"/>
    <xf numFmtId="0" fontId="70" fillId="72" borderId="0" xfId="548" applyFont="1" applyFill="1"/>
    <xf numFmtId="0" fontId="0" fillId="71" borderId="0" xfId="548" applyFont="1" applyFill="1"/>
    <xf numFmtId="0" fontId="0" fillId="75" borderId="0" xfId="548" applyFont="1" applyFill="1"/>
    <xf numFmtId="0" fontId="0" fillId="0" borderId="19" xfId="0" applyBorder="1"/>
    <xf numFmtId="0" fontId="0" fillId="76" borderId="0" xfId="548" applyFont="1" applyFill="1"/>
    <xf numFmtId="0" fontId="8" fillId="0" borderId="0" xfId="0" applyFont="1" applyFill="1" applyBorder="1" applyAlignment="1">
      <alignment horizontal="center"/>
    </xf>
    <xf numFmtId="0" fontId="54" fillId="0" borderId="26" xfId="0" applyFont="1" applyFill="1" applyBorder="1" applyAlignment="1">
      <alignment horizontal="center"/>
    </xf>
    <xf numFmtId="0" fontId="77" fillId="0" borderId="0" xfId="0" applyFont="1" applyFill="1" applyBorder="1" applyAlignment="1">
      <alignment horizontal="right"/>
    </xf>
    <xf numFmtId="172" fontId="14" fillId="0" borderId="0" xfId="550" quotePrefix="1" applyNumberFormat="1" applyFont="1" applyFill="1" applyBorder="1" applyAlignment="1">
      <alignment horizontal="left" vertical="top" wrapText="1"/>
    </xf>
    <xf numFmtId="0" fontId="11" fillId="29" borderId="20" xfId="547" applyFont="1" applyFill="1" applyBorder="1" applyAlignment="1">
      <alignment horizontal="center" wrapText="1"/>
    </xf>
    <xf numFmtId="0" fontId="0" fillId="77" borderId="0" xfId="0" applyFill="1"/>
    <xf numFmtId="9" fontId="0" fillId="77" borderId="0" xfId="0" applyNumberFormat="1" applyFill="1"/>
    <xf numFmtId="0" fontId="46" fillId="77" borderId="0" xfId="0" applyFont="1" applyFill="1"/>
    <xf numFmtId="0" fontId="49" fillId="0" borderId="13" xfId="0" applyFont="1" applyBorder="1" applyAlignment="1">
      <alignment horizontal="center" wrapText="1"/>
    </xf>
    <xf numFmtId="175" fontId="40" fillId="32" borderId="1" xfId="47" applyNumberFormat="1" applyFont="1" applyFill="1" applyBorder="1"/>
    <xf numFmtId="0" fontId="0" fillId="32" borderId="48" xfId="0" applyFill="1" applyBorder="1"/>
    <xf numFmtId="0" fontId="0" fillId="0" borderId="49" xfId="0" applyBorder="1"/>
    <xf numFmtId="0" fontId="0" fillId="0" borderId="50" xfId="0" applyBorder="1"/>
    <xf numFmtId="0" fontId="0" fillId="0" borderId="51" xfId="0" applyBorder="1"/>
    <xf numFmtId="9" fontId="0" fillId="32" borderId="52" xfId="968" applyFont="1" applyFill="1" applyBorder="1"/>
    <xf numFmtId="0" fontId="0" fillId="0" borderId="53" xfId="0" applyBorder="1"/>
    <xf numFmtId="0" fontId="0" fillId="0" borderId="52" xfId="0" applyBorder="1"/>
    <xf numFmtId="0" fontId="0" fillId="0" borderId="27" xfId="0" applyFill="1" applyBorder="1"/>
    <xf numFmtId="0" fontId="0" fillId="32" borderId="52" xfId="0" applyFill="1" applyBorder="1"/>
    <xf numFmtId="0" fontId="78" fillId="0" borderId="52" xfId="0" applyFont="1" applyFill="1" applyBorder="1"/>
    <xf numFmtId="0" fontId="78" fillId="0" borderId="27" xfId="0" applyFont="1" applyBorder="1"/>
    <xf numFmtId="0" fontId="78" fillId="0" borderId="54" xfId="0" applyFont="1" applyFill="1" applyBorder="1"/>
    <xf numFmtId="0" fontId="78" fillId="0" borderId="55" xfId="0" applyFont="1" applyBorder="1"/>
    <xf numFmtId="0" fontId="0" fillId="0" borderId="56" xfId="0" applyBorder="1"/>
    <xf numFmtId="0" fontId="0" fillId="0" borderId="57" xfId="0" applyBorder="1"/>
    <xf numFmtId="0" fontId="0" fillId="32" borderId="60" xfId="0" applyFill="1" applyBorder="1"/>
    <xf numFmtId="166" fontId="40" fillId="32" borderId="61" xfId="47" applyNumberFormat="1" applyFont="1" applyFill="1" applyBorder="1"/>
    <xf numFmtId="0" fontId="55" fillId="33" borderId="62" xfId="0" applyFont="1" applyFill="1" applyBorder="1"/>
    <xf numFmtId="0" fontId="55" fillId="33" borderId="63" xfId="0" applyFont="1" applyFill="1" applyBorder="1"/>
    <xf numFmtId="0" fontId="0" fillId="32" borderId="64" xfId="0" applyFill="1" applyBorder="1"/>
    <xf numFmtId="0" fontId="55" fillId="33" borderId="65" xfId="0" applyFont="1" applyFill="1" applyBorder="1"/>
    <xf numFmtId="0" fontId="0" fillId="32" borderId="66" xfId="0" applyFill="1" applyBorder="1"/>
    <xf numFmtId="166" fontId="40" fillId="32" borderId="67" xfId="47" applyNumberFormat="1" applyFont="1" applyFill="1" applyBorder="1"/>
    <xf numFmtId="0" fontId="0" fillId="35" borderId="68" xfId="0" applyFill="1" applyBorder="1"/>
    <xf numFmtId="0" fontId="0" fillId="0" borderId="69" xfId="0" applyBorder="1"/>
    <xf numFmtId="2" fontId="47" fillId="0" borderId="1" xfId="0" applyNumberFormat="1" applyFont="1" applyFill="1" applyBorder="1" applyAlignment="1">
      <alignment horizontal="center"/>
    </xf>
    <xf numFmtId="0" fontId="62" fillId="37" borderId="1" xfId="0" applyFont="1" applyFill="1" applyBorder="1" applyAlignment="1">
      <alignment vertical="top" wrapText="1"/>
    </xf>
    <xf numFmtId="0" fontId="79" fillId="37" borderId="1" xfId="0" applyFont="1" applyFill="1" applyBorder="1" applyAlignment="1">
      <alignment vertical="top" wrapText="1"/>
    </xf>
    <xf numFmtId="0" fontId="62" fillId="37" borderId="1" xfId="0" applyFont="1" applyFill="1" applyBorder="1" applyAlignment="1">
      <alignment horizontal="center" vertical="top" wrapText="1"/>
    </xf>
    <xf numFmtId="0" fontId="79" fillId="37" borderId="1" xfId="0" applyFont="1" applyFill="1" applyBorder="1" applyAlignment="1">
      <alignment horizontal="center" vertical="center" wrapText="1"/>
    </xf>
    <xf numFmtId="0" fontId="79" fillId="37" borderId="1" xfId="0" applyFont="1" applyFill="1" applyBorder="1" applyAlignment="1">
      <alignment horizontal="center" vertical="top" wrapText="1"/>
    </xf>
    <xf numFmtId="1" fontId="79" fillId="37" borderId="1" xfId="0" applyNumberFormat="1" applyFont="1" applyFill="1" applyBorder="1" applyAlignment="1">
      <alignment horizontal="center" vertical="top" wrapText="1"/>
    </xf>
    <xf numFmtId="0" fontId="79" fillId="37" borderId="26" xfId="0" applyFont="1" applyFill="1" applyBorder="1" applyAlignment="1">
      <alignment vertical="top" wrapText="1"/>
    </xf>
    <xf numFmtId="0" fontId="79" fillId="37" borderId="1" xfId="0" applyNumberFormat="1" applyFont="1" applyFill="1" applyBorder="1" applyAlignment="1">
      <alignment horizontal="center" vertical="top"/>
    </xf>
    <xf numFmtId="2" fontId="79" fillId="37" borderId="1" xfId="0" applyNumberFormat="1" applyFont="1" applyFill="1" applyBorder="1" applyAlignment="1">
      <alignment horizontal="center" vertical="top"/>
    </xf>
    <xf numFmtId="2" fontId="79" fillId="37" borderId="1" xfId="0" applyNumberFormat="1" applyFont="1" applyFill="1" applyBorder="1" applyAlignment="1">
      <alignment horizontal="center" vertical="top" wrapText="1"/>
    </xf>
    <xf numFmtId="0" fontId="79" fillId="37" borderId="1" xfId="0" applyNumberFormat="1" applyFont="1" applyFill="1" applyBorder="1" applyAlignment="1">
      <alignment horizontal="center" vertical="top" wrapText="1"/>
    </xf>
    <xf numFmtId="2" fontId="79" fillId="37" borderId="1" xfId="0" applyNumberFormat="1" applyFont="1" applyFill="1" applyBorder="1" applyAlignment="1">
      <alignment horizontal="center" vertical="center" wrapText="1"/>
    </xf>
    <xf numFmtId="0" fontId="79" fillId="37" borderId="1" xfId="0" applyNumberFormat="1" applyFont="1" applyFill="1" applyBorder="1" applyAlignment="1">
      <alignment horizontal="center" vertical="center" wrapText="1"/>
    </xf>
    <xf numFmtId="1" fontId="79" fillId="37" borderId="1" xfId="0" applyNumberFormat="1" applyFont="1" applyFill="1" applyBorder="1" applyAlignment="1">
      <alignment horizontal="center" vertical="center" wrapText="1"/>
    </xf>
    <xf numFmtId="167" fontId="79" fillId="37" borderId="1" xfId="0" applyNumberFormat="1" applyFont="1" applyFill="1" applyBorder="1" applyAlignment="1">
      <alignment horizontal="center" vertical="center" wrapText="1"/>
    </xf>
    <xf numFmtId="0" fontId="79" fillId="37" borderId="1" xfId="0" applyFont="1" applyFill="1" applyBorder="1" applyAlignment="1">
      <alignment vertical="center"/>
    </xf>
    <xf numFmtId="49" fontId="79" fillId="37" borderId="26" xfId="0" applyNumberFormat="1" applyFont="1" applyFill="1" applyBorder="1" applyAlignment="1">
      <alignment vertical="center" wrapText="1"/>
    </xf>
    <xf numFmtId="0" fontId="79" fillId="37" borderId="40" xfId="0" applyFont="1" applyFill="1" applyBorder="1" applyAlignment="1">
      <alignment horizontal="center" vertical="center" wrapText="1"/>
    </xf>
    <xf numFmtId="0" fontId="79" fillId="37" borderId="1" xfId="0" quotePrefix="1" applyFont="1" applyFill="1" applyBorder="1" applyAlignment="1">
      <alignment horizontal="center" vertical="top" wrapText="1"/>
    </xf>
    <xf numFmtId="0" fontId="54" fillId="32" borderId="1" xfId="0" applyFont="1" applyFill="1" applyBorder="1"/>
    <xf numFmtId="166" fontId="54" fillId="32" borderId="1" xfId="0" applyNumberFormat="1" applyFont="1" applyFill="1" applyBorder="1"/>
    <xf numFmtId="175" fontId="54" fillId="32" borderId="1" xfId="0" applyNumberFormat="1" applyFont="1" applyFill="1" applyBorder="1"/>
    <xf numFmtId="0" fontId="0" fillId="0" borderId="40" xfId="0" applyBorder="1"/>
    <xf numFmtId="0" fontId="0" fillId="0" borderId="70" xfId="0" applyBorder="1"/>
    <xf numFmtId="0" fontId="0" fillId="37" borderId="0" xfId="0" applyFill="1"/>
    <xf numFmtId="0" fontId="0" fillId="81" borderId="0" xfId="0" applyFill="1"/>
    <xf numFmtId="0" fontId="46" fillId="82" borderId="0" xfId="0" applyFont="1" applyFill="1"/>
    <xf numFmtId="0" fontId="50" fillId="0" borderId="0" xfId="0" applyFont="1" applyAlignment="1">
      <alignment horizontal="center" wrapText="1"/>
    </xf>
    <xf numFmtId="0" fontId="87" fillId="83" borderId="18" xfId="0" applyFont="1" applyFill="1" applyBorder="1" applyAlignment="1">
      <alignment vertical="center" wrapText="1"/>
    </xf>
    <xf numFmtId="0" fontId="49" fillId="0" borderId="0" xfId="0" applyFont="1" applyAlignment="1">
      <alignment horizontal="center" wrapText="1"/>
    </xf>
    <xf numFmtId="0" fontId="89" fillId="0" borderId="72" xfId="0" applyFont="1" applyBorder="1" applyAlignment="1">
      <alignment vertical="center"/>
    </xf>
    <xf numFmtId="0" fontId="45" fillId="0" borderId="73" xfId="0" applyFont="1" applyBorder="1"/>
    <xf numFmtId="0" fontId="45" fillId="0" borderId="74" xfId="0" applyFont="1" applyBorder="1"/>
    <xf numFmtId="0" fontId="51" fillId="0" borderId="0" xfId="0" applyFont="1" applyAlignment="1">
      <alignment horizontal="center" wrapText="1"/>
    </xf>
    <xf numFmtId="0" fontId="45" fillId="0" borderId="0" xfId="0" applyFont="1"/>
    <xf numFmtId="0" fontId="62" fillId="84" borderId="82" xfId="0" applyFont="1" applyFill="1" applyBorder="1" applyAlignment="1">
      <alignment vertical="top" wrapText="1"/>
    </xf>
    <xf numFmtId="0" fontId="48" fillId="0" borderId="0" xfId="0" applyFont="1" applyAlignment="1">
      <alignment horizontal="center" wrapText="1"/>
    </xf>
    <xf numFmtId="0" fontId="11" fillId="0" borderId="79" xfId="0" applyFont="1" applyBorder="1" applyAlignment="1">
      <alignment vertical="center" wrapText="1"/>
    </xf>
    <xf numFmtId="0" fontId="11" fillId="37" borderId="1" xfId="0" applyFont="1" applyFill="1" applyBorder="1" applyAlignment="1">
      <alignment horizontal="center" vertical="center" wrapText="1"/>
    </xf>
    <xf numFmtId="0" fontId="11" fillId="83" borderId="81" xfId="0" applyFont="1" applyFill="1" applyBorder="1" applyAlignment="1">
      <alignment horizontal="center" vertical="center" wrapText="1"/>
    </xf>
    <xf numFmtId="0" fontId="90" fillId="0" borderId="28" xfId="0" applyFont="1" applyBorder="1" applyAlignment="1">
      <alignment horizontal="center" wrapText="1"/>
    </xf>
    <xf numFmtId="0" fontId="90" fillId="0" borderId="84" xfId="0" applyFont="1" applyBorder="1" applyAlignment="1">
      <alignment horizontal="center" wrapText="1"/>
    </xf>
    <xf numFmtId="0" fontId="11" fillId="84" borderId="80" xfId="0" applyFont="1" applyFill="1" applyBorder="1" applyAlignment="1">
      <alignment vertical="center" wrapText="1"/>
    </xf>
    <xf numFmtId="0" fontId="11" fillId="84" borderId="1" xfId="968" applyNumberFormat="1" applyFont="1" applyFill="1" applyBorder="1" applyAlignment="1">
      <alignment horizontal="center" vertical="center" wrapText="1"/>
    </xf>
    <xf numFmtId="0" fontId="11" fillId="84" borderId="0" xfId="0" applyFont="1" applyFill="1" applyAlignment="1">
      <alignment horizontal="center"/>
    </xf>
    <xf numFmtId="0" fontId="11" fillId="84" borderId="1" xfId="0" applyFont="1" applyFill="1" applyBorder="1" applyAlignment="1">
      <alignment horizontal="center" vertical="center" wrapText="1"/>
    </xf>
    <xf numFmtId="0" fontId="11" fillId="84" borderId="81" xfId="0" applyFont="1" applyFill="1" applyBorder="1" applyAlignment="1">
      <alignment horizontal="center" vertical="center" wrapText="1"/>
    </xf>
    <xf numFmtId="0" fontId="45" fillId="0" borderId="33" xfId="0" applyFont="1" applyBorder="1"/>
    <xf numFmtId="9" fontId="45" fillId="0" borderId="86" xfId="0" applyNumberFormat="1" applyFont="1" applyBorder="1" applyAlignment="1">
      <alignment horizontal="center" vertical="center"/>
    </xf>
    <xf numFmtId="0" fontId="11" fillId="33" borderId="80" xfId="0" applyFont="1" applyFill="1" applyBorder="1" applyAlignment="1">
      <alignment vertical="center" wrapText="1"/>
    </xf>
    <xf numFmtId="0" fontId="11" fillId="33" borderId="1" xfId="968" applyNumberFormat="1" applyFont="1" applyFill="1" applyBorder="1" applyAlignment="1">
      <alignment horizontal="center" vertical="center" wrapText="1"/>
    </xf>
    <xf numFmtId="0" fontId="11" fillId="0" borderId="1" xfId="968" applyNumberFormat="1" applyFont="1" applyFill="1" applyBorder="1" applyAlignment="1">
      <alignment horizontal="center" vertical="center" wrapText="1"/>
    </xf>
    <xf numFmtId="0" fontId="11" fillId="0" borderId="1" xfId="0" applyFont="1" applyBorder="1" applyAlignment="1">
      <alignment horizontal="center" vertical="center" wrapText="1"/>
    </xf>
    <xf numFmtId="0" fontId="11" fillId="0" borderId="81" xfId="0" applyFont="1" applyBorder="1" applyAlignment="1">
      <alignment horizontal="center" vertical="center" wrapText="1"/>
    </xf>
    <xf numFmtId="0" fontId="45" fillId="0" borderId="35" xfId="0" applyFont="1" applyBorder="1"/>
    <xf numFmtId="0" fontId="45" fillId="0" borderId="80" xfId="0" applyFont="1" applyBorder="1" applyAlignment="1">
      <alignment horizontal="center" vertical="center"/>
    </xf>
    <xf numFmtId="0" fontId="88" fillId="84" borderId="39" xfId="0" applyFont="1" applyFill="1" applyBorder="1" applyAlignment="1">
      <alignment horizontal="center" vertical="center" wrapText="1"/>
    </xf>
    <xf numFmtId="0" fontId="88" fillId="84" borderId="1" xfId="0" applyFont="1" applyFill="1" applyBorder="1" applyAlignment="1">
      <alignment horizontal="center" vertical="center" wrapText="1"/>
    </xf>
    <xf numFmtId="0" fontId="88" fillId="84" borderId="37" xfId="0" applyFont="1" applyFill="1" applyBorder="1" applyAlignment="1">
      <alignment horizontal="center" vertical="center" wrapText="1"/>
    </xf>
    <xf numFmtId="0" fontId="45" fillId="0" borderId="14" xfId="0" applyFont="1" applyBorder="1"/>
    <xf numFmtId="0" fontId="45" fillId="0" borderId="90" xfId="0" applyFont="1" applyBorder="1" applyAlignment="1">
      <alignment horizontal="center" vertical="center"/>
    </xf>
    <xf numFmtId="0" fontId="45" fillId="0" borderId="80" xfId="0" applyFont="1" applyBorder="1"/>
    <xf numFmtId="0" fontId="45" fillId="0" borderId="1" xfId="0" applyFont="1" applyBorder="1" applyAlignment="1">
      <alignment horizontal="center" vertical="center"/>
    </xf>
    <xf numFmtId="0" fontId="88" fillId="33" borderId="39" xfId="0" applyFont="1" applyFill="1" applyBorder="1" applyAlignment="1">
      <alignment horizontal="center" vertical="center" wrapText="1"/>
    </xf>
    <xf numFmtId="0" fontId="88" fillId="0" borderId="39" xfId="0" applyFont="1" applyBorder="1" applyAlignment="1">
      <alignment horizontal="center" vertical="center" wrapText="1"/>
    </xf>
    <xf numFmtId="0" fontId="88" fillId="83" borderId="39" xfId="0" applyFont="1" applyFill="1" applyBorder="1" applyAlignment="1">
      <alignment horizontal="center" vertical="center" wrapText="1"/>
    </xf>
    <xf numFmtId="0" fontId="61" fillId="83" borderId="81" xfId="0" applyFont="1" applyFill="1" applyBorder="1" applyAlignment="1">
      <alignment horizontal="center" vertical="center" wrapText="1"/>
    </xf>
    <xf numFmtId="0" fontId="62" fillId="0" borderId="18" xfId="0" applyFont="1" applyBorder="1" applyAlignment="1">
      <alignment vertical="center" wrapText="1"/>
    </xf>
    <xf numFmtId="0" fontId="91" fillId="83" borderId="78" xfId="0" applyFont="1" applyFill="1" applyBorder="1" applyAlignment="1">
      <alignment horizontal="center" vertical="center" wrapText="1"/>
    </xf>
    <xf numFmtId="0" fontId="91" fillId="83" borderId="82" xfId="0" applyFont="1" applyFill="1" applyBorder="1" applyAlignment="1">
      <alignment horizontal="center" vertical="center" wrapText="1"/>
    </xf>
    <xf numFmtId="0" fontId="91" fillId="83" borderId="77" xfId="0" applyFont="1" applyFill="1" applyBorder="1" applyAlignment="1">
      <alignment horizontal="center" vertical="center" wrapText="1"/>
    </xf>
    <xf numFmtId="0" fontId="91" fillId="83" borderId="23" xfId="0" applyFont="1" applyFill="1" applyBorder="1" applyAlignment="1">
      <alignment horizontal="center" vertical="center" wrapText="1"/>
    </xf>
    <xf numFmtId="0" fontId="62" fillId="37" borderId="82" xfId="0" applyFont="1" applyFill="1" applyBorder="1" applyAlignment="1">
      <alignment vertical="top" wrapText="1"/>
    </xf>
    <xf numFmtId="0" fontId="86" fillId="0" borderId="82" xfId="0" applyFont="1" applyBorder="1"/>
    <xf numFmtId="0" fontId="93" fillId="0" borderId="92" xfId="0" applyFont="1" applyBorder="1"/>
    <xf numFmtId="0" fontId="45" fillId="0" borderId="90" xfId="0" applyFont="1" applyBorder="1"/>
    <xf numFmtId="0" fontId="45" fillId="0" borderId="93" xfId="0" applyFont="1" applyBorder="1" applyAlignment="1">
      <alignment horizontal="center"/>
    </xf>
    <xf numFmtId="0" fontId="46" fillId="0" borderId="18" xfId="0" applyFont="1" applyBorder="1" applyAlignment="1">
      <alignment horizontal="center" wrapText="1"/>
    </xf>
    <xf numFmtId="0" fontId="45" fillId="0" borderId="15" xfId="0" applyFont="1" applyBorder="1"/>
    <xf numFmtId="0" fontId="45" fillId="0" borderId="82" xfId="0" quotePrefix="1" applyFont="1" applyBorder="1" applyAlignment="1">
      <alignment horizontal="center" vertical="center"/>
    </xf>
    <xf numFmtId="9" fontId="0" fillId="0" borderId="23" xfId="0" applyNumberFormat="1" applyBorder="1" applyAlignment="1">
      <alignment horizontal="center" vertical="center"/>
    </xf>
    <xf numFmtId="9" fontId="0" fillId="0" borderId="24" xfId="0" applyNumberFormat="1" applyBorder="1" applyAlignment="1">
      <alignment horizontal="center" vertical="center"/>
    </xf>
    <xf numFmtId="9" fontId="0" fillId="0" borderId="77" xfId="0" applyNumberFormat="1" applyBorder="1" applyAlignment="1">
      <alignment horizontal="center" vertical="center"/>
    </xf>
    <xf numFmtId="9" fontId="0" fillId="0" borderId="25" xfId="0" applyNumberFormat="1" applyBorder="1" applyAlignment="1">
      <alignment horizontal="center" vertical="center"/>
    </xf>
    <xf numFmtId="0" fontId="11" fillId="84" borderId="40" xfId="0" applyFont="1" applyFill="1" applyBorder="1" applyAlignment="1">
      <alignment horizontal="center" vertical="center" wrapText="1"/>
    </xf>
    <xf numFmtId="0" fontId="86" fillId="84" borderId="1" xfId="0" applyFont="1" applyFill="1" applyBorder="1"/>
    <xf numFmtId="0" fontId="55" fillId="0" borderId="0" xfId="0" applyFont="1"/>
    <xf numFmtId="0" fontId="62" fillId="0" borderId="80" xfId="0" applyFont="1" applyBorder="1" applyAlignment="1">
      <alignment vertical="center" wrapText="1"/>
    </xf>
    <xf numFmtId="0" fontId="91" fillId="83" borderId="1" xfId="0" applyFont="1" applyFill="1" applyBorder="1" applyAlignment="1">
      <alignment vertical="center" wrapText="1"/>
    </xf>
    <xf numFmtId="0" fontId="86" fillId="0" borderId="1" xfId="0" applyFont="1" applyBorder="1"/>
    <xf numFmtId="0" fontId="93" fillId="0" borderId="81" xfId="0" applyFont="1" applyBorder="1"/>
    <xf numFmtId="0" fontId="95" fillId="0" borderId="1" xfId="0" applyFont="1" applyBorder="1"/>
    <xf numFmtId="0" fontId="86" fillId="0" borderId="1" xfId="0" applyFont="1" applyBorder="1" applyAlignment="1">
      <alignment horizontal="center"/>
    </xf>
    <xf numFmtId="0" fontId="86" fillId="0" borderId="81" xfId="0" applyFont="1" applyBorder="1" applyAlignment="1">
      <alignment horizontal="center"/>
    </xf>
    <xf numFmtId="0" fontId="49" fillId="0" borderId="0" xfId="0" applyFont="1" applyAlignment="1">
      <alignment horizontal="center" vertical="center" wrapText="1"/>
    </xf>
    <xf numFmtId="0" fontId="11" fillId="33" borderId="83" xfId="0" applyFont="1" applyFill="1" applyBorder="1" applyAlignment="1">
      <alignment vertical="center" wrapText="1"/>
    </xf>
    <xf numFmtId="0" fontId="88" fillId="33" borderId="31" xfId="0" applyFont="1" applyFill="1" applyBorder="1" applyAlignment="1">
      <alignment horizontal="center" vertical="center" wrapText="1"/>
    </xf>
    <xf numFmtId="0" fontId="62" fillId="0" borderId="23" xfId="0" applyFont="1" applyBorder="1" applyAlignment="1">
      <alignment vertical="center" wrapText="1"/>
    </xf>
    <xf numFmtId="0" fontId="91" fillId="83" borderId="94" xfId="0" applyFont="1" applyFill="1" applyBorder="1" applyAlignment="1">
      <alignment horizontal="center" vertical="center" wrapText="1"/>
    </xf>
    <xf numFmtId="0" fontId="91" fillId="83" borderId="92" xfId="0" applyFont="1" applyFill="1" applyBorder="1" applyAlignment="1">
      <alignment horizontal="center" vertical="center" wrapText="1"/>
    </xf>
    <xf numFmtId="0" fontId="62" fillId="37" borderId="78" xfId="0" applyFont="1" applyFill="1" applyBorder="1" applyAlignment="1">
      <alignment vertical="top" wrapText="1"/>
    </xf>
    <xf numFmtId="0" fontId="96" fillId="0" borderId="0" xfId="0" applyFont="1" applyAlignment="1">
      <alignment wrapText="1"/>
    </xf>
    <xf numFmtId="0" fontId="11" fillId="33" borderId="79" xfId="0" applyFont="1" applyFill="1" applyBorder="1" applyAlignment="1">
      <alignment vertical="center" wrapText="1"/>
    </xf>
    <xf numFmtId="165" fontId="98" fillId="33" borderId="40" xfId="0" applyNumberFormat="1" applyFont="1" applyFill="1" applyBorder="1" applyAlignment="1">
      <alignment horizontal="center" vertical="center" wrapText="1"/>
    </xf>
    <xf numFmtId="165" fontId="98" fillId="33" borderId="26" xfId="0" applyNumberFormat="1" applyFont="1" applyFill="1" applyBorder="1" applyAlignment="1">
      <alignment horizontal="center" vertical="center" wrapText="1"/>
    </xf>
    <xf numFmtId="165" fontId="98" fillId="33" borderId="42" xfId="0" applyNumberFormat="1" applyFont="1" applyFill="1" applyBorder="1" applyAlignment="1">
      <alignment horizontal="center" vertical="center" wrapText="1"/>
    </xf>
    <xf numFmtId="0" fontId="11" fillId="83" borderId="81" xfId="0" quotePrefix="1" applyFont="1" applyFill="1" applyBorder="1" applyAlignment="1">
      <alignment horizontal="center" vertical="center" wrapText="1"/>
    </xf>
    <xf numFmtId="0" fontId="11" fillId="0" borderId="80" xfId="0" applyFont="1" applyBorder="1" applyAlignment="1">
      <alignment vertical="center" wrapText="1"/>
    </xf>
    <xf numFmtId="0" fontId="98" fillId="83" borderId="39" xfId="0" applyFont="1" applyFill="1" applyBorder="1" applyAlignment="1">
      <alignment horizontal="center" vertical="center" wrapText="1"/>
    </xf>
    <xf numFmtId="1" fontId="98" fillId="83" borderId="39" xfId="0" applyNumberFormat="1" applyFont="1" applyFill="1" applyBorder="1" applyAlignment="1">
      <alignment horizontal="center" vertical="center" wrapText="1"/>
    </xf>
    <xf numFmtId="0" fontId="11" fillId="83" borderId="1" xfId="0" applyFont="1" applyFill="1" applyBorder="1" applyAlignment="1">
      <alignment horizontal="center" vertical="center" wrapText="1"/>
    </xf>
    <xf numFmtId="0" fontId="98" fillId="33" borderId="39" xfId="0" applyFont="1" applyFill="1" applyBorder="1" applyAlignment="1">
      <alignment horizontal="center" vertical="center" wrapText="1"/>
    </xf>
    <xf numFmtId="0" fontId="88" fillId="33" borderId="1" xfId="0" applyFont="1" applyFill="1" applyBorder="1" applyAlignment="1">
      <alignment horizontal="center" vertical="center"/>
    </xf>
    <xf numFmtId="0" fontId="88" fillId="33" borderId="37" xfId="0" applyFont="1" applyFill="1" applyBorder="1" applyAlignment="1">
      <alignment horizontal="center" vertical="center"/>
    </xf>
    <xf numFmtId="0" fontId="61" fillId="83" borderId="1" xfId="0" applyFont="1" applyFill="1" applyBorder="1" applyAlignment="1">
      <alignment horizontal="center" vertical="center" wrapText="1"/>
    </xf>
    <xf numFmtId="167" fontId="11" fillId="33" borderId="40" xfId="0" applyNumberFormat="1" applyFont="1" applyFill="1" applyBorder="1" applyAlignment="1">
      <alignment horizontal="center" wrapText="1"/>
    </xf>
    <xf numFmtId="0" fontId="50" fillId="0" borderId="0" xfId="0" applyFont="1" applyAlignment="1">
      <alignment wrapText="1"/>
    </xf>
    <xf numFmtId="0" fontId="11" fillId="84" borderId="86" xfId="0" applyFont="1" applyFill="1" applyBorder="1" applyAlignment="1">
      <alignment vertical="center" wrapText="1"/>
    </xf>
    <xf numFmtId="167" fontId="11" fillId="86" borderId="40" xfId="0" applyNumberFormat="1" applyFont="1" applyFill="1" applyBorder="1" applyAlignment="1">
      <alignment horizontal="center" wrapText="1"/>
    </xf>
    <xf numFmtId="0" fontId="95" fillId="84" borderId="1" xfId="0" applyFont="1" applyFill="1" applyBorder="1"/>
    <xf numFmtId="167" fontId="11" fillId="84" borderId="40" xfId="0" applyNumberFormat="1" applyFont="1" applyFill="1" applyBorder="1" applyAlignment="1">
      <alignment horizontal="center" wrapText="1"/>
    </xf>
    <xf numFmtId="0" fontId="61" fillId="84" borderId="1" xfId="0" applyFont="1" applyFill="1" applyBorder="1" applyAlignment="1">
      <alignment horizontal="center" vertical="center" wrapText="1"/>
    </xf>
    <xf numFmtId="167" fontId="61" fillId="83" borderId="39" xfId="0" applyNumberFormat="1" applyFont="1" applyFill="1" applyBorder="1" applyAlignment="1">
      <alignment horizontal="center" vertical="center" wrapText="1"/>
    </xf>
    <xf numFmtId="0" fontId="98" fillId="83" borderId="1" xfId="0" applyFont="1" applyFill="1" applyBorder="1" applyAlignment="1">
      <alignment horizontal="center" vertical="center" wrapText="1"/>
    </xf>
    <xf numFmtId="0" fontId="98" fillId="83" borderId="37" xfId="0" applyFont="1" applyFill="1" applyBorder="1" applyAlignment="1">
      <alignment horizontal="center" vertical="center" wrapText="1"/>
    </xf>
    <xf numFmtId="0" fontId="95" fillId="0" borderId="82" xfId="0" applyFont="1" applyBorder="1"/>
    <xf numFmtId="0" fontId="95" fillId="0" borderId="92" xfId="0" applyFont="1" applyBorder="1"/>
    <xf numFmtId="0" fontId="0" fillId="81" borderId="0" xfId="0" applyFill="1" applyAlignment="1">
      <alignment wrapText="1"/>
    </xf>
    <xf numFmtId="1" fontId="11" fillId="84" borderId="39" xfId="0" applyNumberFormat="1" applyFont="1" applyFill="1" applyBorder="1" applyAlignment="1">
      <alignment horizontal="center" vertical="center" wrapText="1"/>
    </xf>
    <xf numFmtId="167" fontId="11" fillId="84" borderId="39" xfId="0" applyNumberFormat="1" applyFont="1" applyFill="1" applyBorder="1" applyAlignment="1">
      <alignment horizontal="center" vertical="center" wrapText="1"/>
    </xf>
    <xf numFmtId="0" fontId="61" fillId="84" borderId="81" xfId="0" applyFont="1" applyFill="1" applyBorder="1" applyAlignment="1">
      <alignment horizontal="center" vertical="center" wrapText="1"/>
    </xf>
    <xf numFmtId="0" fontId="47" fillId="81" borderId="0" xfId="0" applyFont="1" applyFill="1"/>
    <xf numFmtId="0" fontId="54" fillId="87" borderId="1" xfId="0" applyFont="1" applyFill="1" applyBorder="1"/>
    <xf numFmtId="166" fontId="54" fillId="87" borderId="1" xfId="0" applyNumberFormat="1" applyFont="1" applyFill="1" applyBorder="1"/>
    <xf numFmtId="0" fontId="54" fillId="87" borderId="0" xfId="0" applyFont="1" applyFill="1"/>
    <xf numFmtId="0" fontId="98" fillId="84" borderId="39" xfId="0" applyFont="1" applyFill="1" applyBorder="1" applyAlignment="1">
      <alignment horizontal="center" vertical="center" wrapText="1"/>
    </xf>
    <xf numFmtId="0" fontId="98" fillId="84" borderId="1" xfId="0" applyFont="1" applyFill="1" applyBorder="1" applyAlignment="1">
      <alignment horizontal="center" vertical="center" wrapText="1"/>
    </xf>
    <xf numFmtId="0" fontId="98" fillId="84" borderId="37" xfId="0" applyFont="1" applyFill="1" applyBorder="1" applyAlignment="1">
      <alignment horizontal="center" vertical="center" wrapText="1"/>
    </xf>
    <xf numFmtId="0" fontId="11" fillId="84" borderId="37" xfId="0" applyFont="1" applyFill="1" applyBorder="1" applyAlignment="1">
      <alignment horizontal="center" vertical="center" wrapText="1"/>
    </xf>
    <xf numFmtId="0" fontId="95" fillId="84" borderId="1" xfId="0" applyFont="1" applyFill="1" applyBorder="1" applyAlignment="1">
      <alignment horizontal="center" vertical="center"/>
    </xf>
    <xf numFmtId="0" fontId="95" fillId="84" borderId="28" xfId="0" applyFont="1" applyFill="1" applyBorder="1"/>
    <xf numFmtId="0" fontId="11" fillId="84" borderId="83" xfId="0" applyFont="1" applyFill="1" applyBorder="1" applyAlignment="1">
      <alignment vertical="center" wrapText="1"/>
    </xf>
    <xf numFmtId="0" fontId="95" fillId="84" borderId="84" xfId="0" applyFont="1" applyFill="1" applyBorder="1"/>
    <xf numFmtId="0" fontId="11" fillId="84" borderId="90" xfId="0" applyFont="1" applyFill="1" applyBorder="1" applyAlignment="1">
      <alignment vertical="center" wrapText="1"/>
    </xf>
    <xf numFmtId="0" fontId="98" fillId="84" borderId="32" xfId="0" applyFont="1" applyFill="1" applyBorder="1" applyAlignment="1">
      <alignment horizontal="center" vertical="center" wrapText="1"/>
    </xf>
    <xf numFmtId="0" fontId="98" fillId="84" borderId="93" xfId="0" applyFont="1" applyFill="1" applyBorder="1" applyAlignment="1">
      <alignment horizontal="center" vertical="center" wrapText="1"/>
    </xf>
    <xf numFmtId="0" fontId="98" fillId="84" borderId="95" xfId="0" applyFont="1" applyFill="1" applyBorder="1" applyAlignment="1">
      <alignment horizontal="center" vertical="center" wrapText="1"/>
    </xf>
    <xf numFmtId="0" fontId="95" fillId="84" borderId="93" xfId="0" applyFont="1" applyFill="1" applyBorder="1"/>
    <xf numFmtId="0" fontId="95" fillId="84" borderId="96" xfId="0" applyFont="1" applyFill="1" applyBorder="1"/>
    <xf numFmtId="166" fontId="40" fillId="81" borderId="0" xfId="47" applyNumberFormat="1" applyFill="1"/>
    <xf numFmtId="166" fontId="40" fillId="0" borderId="0" xfId="47" applyNumberFormat="1" applyFill="1" applyBorder="1"/>
    <xf numFmtId="0" fontId="99" fillId="0" borderId="0" xfId="0" applyFont="1"/>
    <xf numFmtId="166" fontId="99" fillId="0" borderId="0" xfId="47" applyNumberFormat="1" applyFont="1"/>
    <xf numFmtId="2" fontId="0" fillId="81" borderId="0" xfId="0" applyNumberFormat="1" applyFill="1"/>
    <xf numFmtId="0" fontId="4" fillId="37" borderId="0" xfId="0" applyFont="1" applyFill="1" applyAlignment="1">
      <alignment vertical="center" wrapText="1"/>
    </xf>
    <xf numFmtId="0" fontId="102" fillId="37" borderId="0" xfId="0" applyFont="1" applyFill="1"/>
    <xf numFmtId="0" fontId="79" fillId="37" borderId="0" xfId="0" applyFont="1" applyFill="1"/>
    <xf numFmtId="0" fontId="3" fillId="37" borderId="0" xfId="0" applyFont="1" applyFill="1" applyAlignment="1">
      <alignment vertical="center" wrapText="1"/>
    </xf>
    <xf numFmtId="0" fontId="103" fillId="37" borderId="0" xfId="0" applyFont="1" applyFill="1" applyAlignment="1">
      <alignment vertical="center"/>
    </xf>
    <xf numFmtId="0" fontId="48" fillId="0" borderId="0" xfId="0" applyFont="1"/>
    <xf numFmtId="0" fontId="102" fillId="37" borderId="0" xfId="0" applyFont="1" applyFill="1" applyAlignment="1">
      <alignment vertical="center"/>
    </xf>
    <xf numFmtId="0" fontId="103" fillId="37" borderId="0" xfId="0" applyFont="1" applyFill="1"/>
    <xf numFmtId="0" fontId="49" fillId="37" borderId="0" xfId="0" applyFont="1" applyFill="1" applyAlignment="1">
      <alignment horizontal="right" vertical="center" wrapText="1"/>
    </xf>
    <xf numFmtId="0" fontId="104" fillId="37" borderId="0" xfId="0" applyFont="1" applyFill="1"/>
    <xf numFmtId="0" fontId="102" fillId="0" borderId="0" xfId="0" applyFont="1"/>
    <xf numFmtId="0" fontId="62" fillId="88" borderId="82" xfId="0" applyFont="1" applyFill="1" applyBorder="1" applyAlignment="1">
      <alignment vertical="top" wrapText="1"/>
    </xf>
    <xf numFmtId="0" fontId="11" fillId="88" borderId="80" xfId="0" applyFont="1" applyFill="1" applyBorder="1" applyAlignment="1">
      <alignment vertical="center" wrapText="1"/>
    </xf>
    <xf numFmtId="0" fontId="11" fillId="88" borderId="1" xfId="968" applyNumberFormat="1" applyFont="1" applyFill="1" applyBorder="1" applyAlignment="1">
      <alignment horizontal="center" vertical="center" wrapText="1"/>
    </xf>
    <xf numFmtId="0" fontId="11" fillId="88" borderId="0" xfId="0" applyFont="1" applyFill="1" applyAlignment="1">
      <alignment horizontal="center"/>
    </xf>
    <xf numFmtId="0" fontId="11" fillId="88" borderId="1" xfId="0" applyFont="1" applyFill="1" applyBorder="1" applyAlignment="1">
      <alignment horizontal="center" vertical="center" wrapText="1"/>
    </xf>
    <xf numFmtId="0" fontId="11" fillId="88" borderId="81" xfId="0" applyFont="1" applyFill="1" applyBorder="1" applyAlignment="1">
      <alignment horizontal="center" vertical="center" wrapText="1"/>
    </xf>
    <xf numFmtId="0" fontId="11" fillId="37" borderId="1" xfId="968" applyNumberFormat="1" applyFont="1" applyFill="1" applyBorder="1" applyAlignment="1">
      <alignment horizontal="center" vertical="center" wrapText="1"/>
    </xf>
    <xf numFmtId="0" fontId="88" fillId="88" borderId="39" xfId="0" applyFont="1" applyFill="1" applyBorder="1" applyAlignment="1">
      <alignment horizontal="center" vertical="center" wrapText="1"/>
    </xf>
    <xf numFmtId="0" fontId="88" fillId="88" borderId="1" xfId="0" applyFont="1" applyFill="1" applyBorder="1" applyAlignment="1">
      <alignment horizontal="center" vertical="center" wrapText="1"/>
    </xf>
    <xf numFmtId="0" fontId="88" fillId="88" borderId="37" xfId="0" applyFont="1" applyFill="1" applyBorder="1" applyAlignment="1">
      <alignment horizontal="center" vertical="center" wrapText="1"/>
    </xf>
    <xf numFmtId="0" fontId="11" fillId="88" borderId="40" xfId="0" applyFont="1" applyFill="1" applyBorder="1" applyAlignment="1">
      <alignment horizontal="center" vertical="center" wrapText="1"/>
    </xf>
    <xf numFmtId="0" fontId="86" fillId="88" borderId="1" xfId="0" applyFont="1" applyFill="1" applyBorder="1"/>
    <xf numFmtId="0" fontId="98" fillId="33" borderId="40" xfId="0" applyFont="1" applyFill="1" applyBorder="1" applyAlignment="1">
      <alignment horizontal="center" vertical="center" wrapText="1"/>
    </xf>
    <xf numFmtId="0" fontId="98" fillId="33" borderId="26" xfId="0" applyFont="1" applyFill="1" applyBorder="1" applyAlignment="1">
      <alignment horizontal="center" vertical="center" wrapText="1"/>
    </xf>
    <xf numFmtId="0" fontId="98" fillId="33" borderId="42" xfId="0" applyFont="1" applyFill="1" applyBorder="1" applyAlignment="1">
      <alignment horizontal="center" vertical="center" wrapText="1"/>
    </xf>
    <xf numFmtId="167" fontId="11" fillId="89" borderId="40" xfId="0" applyNumberFormat="1" applyFont="1" applyFill="1" applyBorder="1" applyAlignment="1">
      <alignment horizontal="center" wrapText="1"/>
    </xf>
    <xf numFmtId="0" fontId="95" fillId="88" borderId="1" xfId="0" applyFont="1" applyFill="1" applyBorder="1"/>
    <xf numFmtId="167" fontId="11" fillId="88" borderId="40" xfId="0" applyNumberFormat="1" applyFont="1" applyFill="1" applyBorder="1" applyAlignment="1">
      <alignment horizontal="center" wrapText="1"/>
    </xf>
    <xf numFmtId="0" fontId="61" fillId="88" borderId="1" xfId="0" applyFont="1" applyFill="1" applyBorder="1" applyAlignment="1">
      <alignment horizontal="center" vertical="center" wrapText="1"/>
    </xf>
    <xf numFmtId="167" fontId="11" fillId="37" borderId="40" xfId="0" applyNumberFormat="1" applyFont="1" applyFill="1" applyBorder="1" applyAlignment="1">
      <alignment horizontal="center" wrapText="1"/>
    </xf>
    <xf numFmtId="0" fontId="11" fillId="0" borderId="83" xfId="0" applyFont="1" applyBorder="1" applyAlignment="1">
      <alignment vertical="center" wrapText="1"/>
    </xf>
    <xf numFmtId="0" fontId="88" fillId="83" borderId="1" xfId="0" applyFont="1" applyFill="1" applyBorder="1" applyAlignment="1">
      <alignment horizontal="center" vertical="center"/>
    </xf>
    <xf numFmtId="0" fontId="88" fillId="83" borderId="37" xfId="0" applyFont="1" applyFill="1" applyBorder="1" applyAlignment="1">
      <alignment horizontal="center" vertical="center"/>
    </xf>
    <xf numFmtId="0" fontId="11" fillId="88" borderId="86" xfId="0" applyFont="1" applyFill="1" applyBorder="1" applyAlignment="1">
      <alignment vertical="center" wrapText="1"/>
    </xf>
    <xf numFmtId="1" fontId="11" fillId="88" borderId="39" xfId="0" applyNumberFormat="1" applyFont="1" applyFill="1" applyBorder="1" applyAlignment="1">
      <alignment horizontal="center" vertical="center" wrapText="1"/>
    </xf>
    <xf numFmtId="167" fontId="11" fillId="88" borderId="39" xfId="0" applyNumberFormat="1" applyFont="1" applyFill="1" applyBorder="1" applyAlignment="1">
      <alignment horizontal="center" vertical="center" wrapText="1"/>
    </xf>
    <xf numFmtId="0" fontId="61" fillId="88" borderId="81" xfId="0" applyFont="1" applyFill="1" applyBorder="1" applyAlignment="1">
      <alignment horizontal="center" vertical="center" wrapText="1"/>
    </xf>
    <xf numFmtId="0" fontId="98" fillId="88" borderId="39" xfId="0" applyFont="1" applyFill="1" applyBorder="1" applyAlignment="1">
      <alignment horizontal="center" vertical="center" wrapText="1"/>
    </xf>
    <xf numFmtId="0" fontId="98" fillId="88" borderId="1" xfId="0" applyFont="1" applyFill="1" applyBorder="1" applyAlignment="1">
      <alignment horizontal="center" vertical="center" wrapText="1"/>
    </xf>
    <xf numFmtId="0" fontId="98" fillId="88" borderId="37" xfId="0" applyFont="1" applyFill="1" applyBorder="1" applyAlignment="1">
      <alignment horizontal="center" vertical="center" wrapText="1"/>
    </xf>
    <xf numFmtId="0" fontId="11" fillId="88" borderId="37" xfId="0" applyFont="1" applyFill="1" applyBorder="1" applyAlignment="1">
      <alignment horizontal="center" vertical="center" wrapText="1"/>
    </xf>
    <xf numFmtId="0" fontId="95" fillId="88" borderId="1" xfId="0" applyFont="1" applyFill="1" applyBorder="1" applyAlignment="1">
      <alignment horizontal="center" vertical="center"/>
    </xf>
    <xf numFmtId="0" fontId="95" fillId="88" borderId="28" xfId="0" applyFont="1" applyFill="1" applyBorder="1"/>
    <xf numFmtId="0" fontId="11" fillId="88" borderId="83" xfId="0" applyFont="1" applyFill="1" applyBorder="1" applyAlignment="1">
      <alignment vertical="center" wrapText="1"/>
    </xf>
    <xf numFmtId="0" fontId="95" fillId="88" borderId="84" xfId="0" applyFont="1" applyFill="1" applyBorder="1"/>
    <xf numFmtId="0" fontId="11" fillId="88" borderId="90" xfId="0" applyFont="1" applyFill="1" applyBorder="1" applyAlignment="1">
      <alignment vertical="center" wrapText="1"/>
    </xf>
    <xf numFmtId="0" fontId="98" fillId="88" borderId="32" xfId="0" applyFont="1" applyFill="1" applyBorder="1" applyAlignment="1">
      <alignment horizontal="center" vertical="center" wrapText="1"/>
    </xf>
    <xf numFmtId="0" fontId="98" fillId="88" borderId="93" xfId="0" applyFont="1" applyFill="1" applyBorder="1" applyAlignment="1">
      <alignment horizontal="center" vertical="center" wrapText="1"/>
    </xf>
    <xf numFmtId="0" fontId="98" fillId="88" borderId="95" xfId="0" applyFont="1" applyFill="1" applyBorder="1" applyAlignment="1">
      <alignment horizontal="center" vertical="center" wrapText="1"/>
    </xf>
    <xf numFmtId="0" fontId="95" fillId="88" borderId="93" xfId="0" applyFont="1" applyFill="1" applyBorder="1"/>
    <xf numFmtId="0" fontId="95" fillId="88" borderId="96" xfId="0" applyFont="1" applyFill="1" applyBorder="1"/>
    <xf numFmtId="0" fontId="62" fillId="80" borderId="82" xfId="0" applyFont="1" applyFill="1" applyBorder="1" applyAlignment="1">
      <alignment vertical="top" wrapText="1"/>
    </xf>
    <xf numFmtId="0" fontId="11" fillId="80" borderId="80" xfId="0" applyFont="1" applyFill="1" applyBorder="1" applyAlignment="1">
      <alignment vertical="center" wrapText="1"/>
    </xf>
    <xf numFmtId="0" fontId="11" fillId="80" borderId="1" xfId="968" applyNumberFormat="1" applyFont="1" applyFill="1" applyBorder="1" applyAlignment="1">
      <alignment horizontal="center" vertical="center" wrapText="1"/>
    </xf>
    <xf numFmtId="0" fontId="11" fillId="80" borderId="0" xfId="0" applyFont="1" applyFill="1" applyAlignment="1">
      <alignment horizontal="center"/>
    </xf>
    <xf numFmtId="0" fontId="88" fillId="80" borderId="39" xfId="0" applyFont="1" applyFill="1" applyBorder="1" applyAlignment="1">
      <alignment horizontal="center" vertical="center" wrapText="1"/>
    </xf>
    <xf numFmtId="0" fontId="88" fillId="80" borderId="1" xfId="0" applyFont="1" applyFill="1" applyBorder="1" applyAlignment="1">
      <alignment horizontal="center" vertical="center" wrapText="1"/>
    </xf>
    <xf numFmtId="0" fontId="88" fillId="80" borderId="37" xfId="0" applyFont="1" applyFill="1" applyBorder="1" applyAlignment="1">
      <alignment horizontal="center" vertical="center" wrapText="1"/>
    </xf>
    <xf numFmtId="0" fontId="11" fillId="80" borderId="1" xfId="0" applyFont="1" applyFill="1" applyBorder="1" applyAlignment="1">
      <alignment horizontal="center" vertical="center" wrapText="1"/>
    </xf>
    <xf numFmtId="0" fontId="11" fillId="80" borderId="81" xfId="0" applyFont="1" applyFill="1" applyBorder="1" applyAlignment="1">
      <alignment horizontal="center" vertical="center" wrapText="1"/>
    </xf>
    <xf numFmtId="0" fontId="11" fillId="80" borderId="40" xfId="0" applyFont="1" applyFill="1" applyBorder="1" applyAlignment="1">
      <alignment horizontal="center" vertical="center" wrapText="1"/>
    </xf>
    <xf numFmtId="0" fontId="86" fillId="80" borderId="1" xfId="0" applyFont="1" applyFill="1" applyBorder="1"/>
    <xf numFmtId="2" fontId="98" fillId="33" borderId="40" xfId="0" applyNumberFormat="1" applyFont="1" applyFill="1" applyBorder="1" applyAlignment="1">
      <alignment horizontal="center" vertical="center" wrapText="1"/>
    </xf>
    <xf numFmtId="167" fontId="11" fillId="90" borderId="40" xfId="0" applyNumberFormat="1" applyFont="1" applyFill="1" applyBorder="1" applyAlignment="1">
      <alignment horizontal="center" wrapText="1"/>
    </xf>
    <xf numFmtId="0" fontId="95" fillId="80" borderId="1" xfId="0" applyFont="1" applyFill="1" applyBorder="1"/>
    <xf numFmtId="167" fontId="11" fillId="80" borderId="40" xfId="0" applyNumberFormat="1" applyFont="1" applyFill="1" applyBorder="1" applyAlignment="1">
      <alignment horizontal="center" wrapText="1"/>
    </xf>
    <xf numFmtId="0" fontId="61" fillId="80" borderId="1" xfId="0" applyFont="1" applyFill="1" applyBorder="1" applyAlignment="1">
      <alignment horizontal="center" vertical="center" wrapText="1"/>
    </xf>
    <xf numFmtId="0" fontId="11" fillId="80" borderId="86" xfId="0" applyFont="1" applyFill="1" applyBorder="1" applyAlignment="1">
      <alignment vertical="center" wrapText="1"/>
    </xf>
    <xf numFmtId="2" fontId="49" fillId="90" borderId="75" xfId="0" applyNumberFormat="1" applyFont="1" applyFill="1" applyBorder="1" applyAlignment="1">
      <alignment horizontal="center" vertical="center" wrapText="1"/>
    </xf>
    <xf numFmtId="167" fontId="11" fillId="80" borderId="39" xfId="0" applyNumberFormat="1" applyFont="1" applyFill="1" applyBorder="1" applyAlignment="1">
      <alignment horizontal="center" vertical="center" wrapText="1"/>
    </xf>
    <xf numFmtId="0" fontId="61" fillId="80" borderId="81" xfId="0" applyFont="1" applyFill="1" applyBorder="1" applyAlignment="1">
      <alignment horizontal="center" vertical="center" wrapText="1"/>
    </xf>
    <xf numFmtId="0" fontId="98" fillId="80" borderId="39" xfId="0" applyFont="1" applyFill="1" applyBorder="1" applyAlignment="1">
      <alignment horizontal="center" vertical="center" wrapText="1"/>
    </xf>
    <xf numFmtId="0" fontId="98" fillId="80" borderId="1" xfId="0" applyFont="1" applyFill="1" applyBorder="1" applyAlignment="1">
      <alignment horizontal="center" vertical="center" wrapText="1"/>
    </xf>
    <xf numFmtId="0" fontId="98" fillId="80" borderId="37" xfId="0" applyFont="1" applyFill="1" applyBorder="1" applyAlignment="1">
      <alignment horizontal="center" vertical="center" wrapText="1"/>
    </xf>
    <xf numFmtId="0" fontId="11" fillId="80" borderId="37" xfId="0" applyFont="1" applyFill="1" applyBorder="1" applyAlignment="1">
      <alignment horizontal="center" vertical="center" wrapText="1"/>
    </xf>
    <xf numFmtId="0" fontId="95" fillId="80" borderId="1" xfId="0" applyFont="1" applyFill="1" applyBorder="1" applyAlignment="1">
      <alignment horizontal="center" vertical="center"/>
    </xf>
    <xf numFmtId="0" fontId="95" fillId="80" borderId="28" xfId="0" applyFont="1" applyFill="1" applyBorder="1"/>
    <xf numFmtId="0" fontId="11" fillId="80" borderId="83" xfId="0" applyFont="1" applyFill="1" applyBorder="1" applyAlignment="1">
      <alignment vertical="center" wrapText="1"/>
    </xf>
    <xf numFmtId="0" fontId="11" fillId="80" borderId="90" xfId="0" applyFont="1" applyFill="1" applyBorder="1" applyAlignment="1">
      <alignment vertical="center" wrapText="1"/>
    </xf>
    <xf numFmtId="0" fontId="95" fillId="80" borderId="93" xfId="0" applyFont="1" applyFill="1" applyBorder="1"/>
    <xf numFmtId="0" fontId="95" fillId="80" borderId="96" xfId="0" applyFont="1" applyFill="1" applyBorder="1"/>
    <xf numFmtId="0" fontId="49" fillId="37" borderId="0" xfId="0" applyFont="1" applyFill="1" applyAlignment="1">
      <alignment vertical="center" wrapText="1"/>
    </xf>
    <xf numFmtId="0" fontId="102" fillId="0" borderId="0" xfId="0" applyFont="1" applyAlignment="1">
      <alignment vertical="center"/>
    </xf>
    <xf numFmtId="0" fontId="103" fillId="0" borderId="0" xfId="0" applyFont="1" applyAlignment="1">
      <alignment vertical="center"/>
    </xf>
    <xf numFmtId="0" fontId="103" fillId="0" borderId="0" xfId="0" applyFont="1"/>
    <xf numFmtId="0" fontId="11" fillId="82" borderId="80" xfId="0" applyFont="1" applyFill="1" applyBorder="1" applyAlignment="1">
      <alignment vertical="center" wrapText="1"/>
    </xf>
    <xf numFmtId="1" fontId="11" fillId="82" borderId="1" xfId="968" applyNumberFormat="1" applyFont="1" applyFill="1" applyBorder="1" applyAlignment="1">
      <alignment horizontal="center" vertical="center" wrapText="1"/>
    </xf>
    <xf numFmtId="1" fontId="11" fillId="37" borderId="1" xfId="968" applyNumberFormat="1" applyFont="1" applyFill="1" applyBorder="1" applyAlignment="1">
      <alignment horizontal="center" vertical="center" wrapText="1"/>
    </xf>
    <xf numFmtId="1" fontId="11" fillId="33" borderId="1" xfId="968" applyNumberFormat="1" applyFont="1" applyFill="1" applyBorder="1" applyAlignment="1">
      <alignment horizontal="center" vertical="center" wrapText="1"/>
    </xf>
    <xf numFmtId="2" fontId="88" fillId="82" borderId="39" xfId="0" applyNumberFormat="1" applyFont="1" applyFill="1" applyBorder="1" applyAlignment="1">
      <alignment horizontal="center" vertical="center" wrapText="1"/>
    </xf>
    <xf numFmtId="0" fontId="11" fillId="82" borderId="1" xfId="0" applyFont="1" applyFill="1" applyBorder="1" applyAlignment="1">
      <alignment horizontal="center" vertical="center" wrapText="1"/>
    </xf>
    <xf numFmtId="0" fontId="11" fillId="82" borderId="81" xfId="0" applyFont="1" applyFill="1" applyBorder="1" applyAlignment="1">
      <alignment horizontal="center" vertical="center" wrapText="1"/>
    </xf>
    <xf numFmtId="2" fontId="98" fillId="82" borderId="1" xfId="0" applyNumberFormat="1" applyFont="1" applyFill="1" applyBorder="1" applyAlignment="1">
      <alignment horizontal="center" vertical="center" wrapText="1"/>
    </xf>
    <xf numFmtId="0" fontId="88" fillId="82" borderId="39" xfId="0" applyFont="1" applyFill="1" applyBorder="1" applyAlignment="1">
      <alignment horizontal="center" vertical="center" wrapText="1"/>
    </xf>
    <xf numFmtId="0" fontId="62" fillId="83" borderId="78" xfId="0" applyFont="1" applyFill="1" applyBorder="1" applyAlignment="1">
      <alignment horizontal="center" vertical="center" wrapText="1"/>
    </xf>
    <xf numFmtId="0" fontId="62" fillId="83" borderId="82" xfId="0" applyFont="1" applyFill="1" applyBorder="1" applyAlignment="1">
      <alignment horizontal="center" vertical="center" wrapText="1"/>
    </xf>
    <xf numFmtId="0" fontId="62" fillId="83" borderId="77" xfId="0" applyFont="1" applyFill="1" applyBorder="1" applyAlignment="1">
      <alignment horizontal="center" vertical="center" wrapText="1"/>
    </xf>
    <xf numFmtId="0" fontId="62" fillId="83" borderId="23" xfId="0" applyFont="1" applyFill="1" applyBorder="1" applyAlignment="1">
      <alignment horizontal="center" vertical="center" wrapText="1"/>
    </xf>
    <xf numFmtId="0" fontId="86" fillId="0" borderId="92" xfId="0" applyFont="1" applyBorder="1"/>
    <xf numFmtId="1" fontId="88" fillId="82" borderId="39" xfId="0" applyNumberFormat="1" applyFont="1" applyFill="1" applyBorder="1" applyAlignment="1">
      <alignment horizontal="center" vertical="center" wrapText="1"/>
    </xf>
    <xf numFmtId="9" fontId="88" fillId="82" borderId="1" xfId="0" applyNumberFormat="1" applyFont="1" applyFill="1" applyBorder="1" applyAlignment="1">
      <alignment horizontal="center" vertical="center" wrapText="1"/>
    </xf>
    <xf numFmtId="0" fontId="88" fillId="82" borderId="1" xfId="0" applyFont="1" applyFill="1" applyBorder="1" applyAlignment="1">
      <alignment horizontal="center" vertical="center" wrapText="1"/>
    </xf>
    <xf numFmtId="9" fontId="105" fillId="0" borderId="23" xfId="0" applyNumberFormat="1" applyFont="1" applyBorder="1" applyAlignment="1">
      <alignment horizontal="center" vertical="center"/>
    </xf>
    <xf numFmtId="9" fontId="105" fillId="0" borderId="24" xfId="0" applyNumberFormat="1" applyFont="1" applyBorder="1" applyAlignment="1">
      <alignment horizontal="center" vertical="center"/>
    </xf>
    <xf numFmtId="9" fontId="105" fillId="0" borderId="77" xfId="0" applyNumberFormat="1" applyFont="1" applyBorder="1" applyAlignment="1">
      <alignment horizontal="center" vertical="center"/>
    </xf>
    <xf numFmtId="9" fontId="105" fillId="0" borderId="25" xfId="0" applyNumberFormat="1" applyFont="1" applyBorder="1" applyAlignment="1">
      <alignment horizontal="center" vertical="center"/>
    </xf>
    <xf numFmtId="0" fontId="11" fillId="82" borderId="40" xfId="0" applyFont="1" applyFill="1" applyBorder="1" applyAlignment="1">
      <alignment horizontal="center" vertical="center" wrapText="1"/>
    </xf>
    <xf numFmtId="0" fontId="86" fillId="82" borderId="1" xfId="0" applyFont="1" applyFill="1" applyBorder="1"/>
    <xf numFmtId="0" fontId="86" fillId="0" borderId="81" xfId="0" applyFont="1" applyBorder="1"/>
    <xf numFmtId="0" fontId="62" fillId="83" borderId="94" xfId="0" applyFont="1" applyFill="1" applyBorder="1" applyAlignment="1">
      <alignment horizontal="center" vertical="center" wrapText="1"/>
    </xf>
    <xf numFmtId="0" fontId="62" fillId="83" borderId="92" xfId="0" applyFont="1" applyFill="1" applyBorder="1" applyAlignment="1">
      <alignment horizontal="center" vertical="center" wrapText="1"/>
    </xf>
    <xf numFmtId="165" fontId="98" fillId="33" borderId="39" xfId="0" applyNumberFormat="1" applyFont="1" applyFill="1" applyBorder="1" applyAlignment="1">
      <alignment horizontal="center" vertical="center" wrapText="1"/>
    </xf>
    <xf numFmtId="1" fontId="98" fillId="0" borderId="39" xfId="0" applyNumberFormat="1" applyFont="1" applyBorder="1" applyAlignment="1">
      <alignment horizontal="center" vertical="center" wrapText="1"/>
    </xf>
    <xf numFmtId="1" fontId="98" fillId="33" borderId="39" xfId="0" applyNumberFormat="1" applyFont="1" applyFill="1" applyBorder="1" applyAlignment="1">
      <alignment horizontal="center" vertical="center" wrapText="1"/>
    </xf>
    <xf numFmtId="1" fontId="88" fillId="33" borderId="1" xfId="0" applyNumberFormat="1" applyFont="1" applyFill="1" applyBorder="1" applyAlignment="1">
      <alignment horizontal="center" vertical="center"/>
    </xf>
    <xf numFmtId="1" fontId="88" fillId="33" borderId="37" xfId="0" applyNumberFormat="1" applyFont="1" applyFill="1" applyBorder="1" applyAlignment="1">
      <alignment horizontal="center" vertical="center"/>
    </xf>
    <xf numFmtId="2" fontId="11" fillId="33" borderId="40" xfId="0" applyNumberFormat="1" applyFont="1" applyFill="1" applyBorder="1" applyAlignment="1">
      <alignment horizontal="center" wrapText="1"/>
    </xf>
    <xf numFmtId="2" fontId="11" fillId="80" borderId="40" xfId="0" applyNumberFormat="1" applyFont="1" applyFill="1" applyBorder="1" applyAlignment="1">
      <alignment horizontal="center" wrapText="1"/>
    </xf>
    <xf numFmtId="0" fontId="11" fillId="80" borderId="39" xfId="0" applyFont="1" applyFill="1" applyBorder="1" applyAlignment="1">
      <alignment horizontal="center" vertical="center" wrapText="1"/>
    </xf>
    <xf numFmtId="0" fontId="86" fillId="80" borderId="81" xfId="0" applyFont="1" applyFill="1" applyBorder="1"/>
    <xf numFmtId="0" fontId="11" fillId="80" borderId="1" xfId="0" applyFont="1" applyFill="1" applyBorder="1" applyAlignment="1">
      <alignment horizontal="center" vertical="center"/>
    </xf>
    <xf numFmtId="0" fontId="11" fillId="80" borderId="37" xfId="0" applyFont="1" applyFill="1" applyBorder="1" applyAlignment="1">
      <alignment horizontal="center" vertical="center"/>
    </xf>
    <xf numFmtId="0" fontId="62" fillId="80" borderId="18" xfId="0" applyFont="1" applyFill="1" applyBorder="1" applyAlignment="1">
      <alignment vertical="center" wrapText="1"/>
    </xf>
    <xf numFmtId="0" fontId="62" fillId="80" borderId="78" xfId="0" applyFont="1" applyFill="1" applyBorder="1" applyAlignment="1">
      <alignment horizontal="center" vertical="center" wrapText="1"/>
    </xf>
    <xf numFmtId="0" fontId="62" fillId="80" borderId="82" xfId="0" applyFont="1" applyFill="1" applyBorder="1" applyAlignment="1">
      <alignment horizontal="center" vertical="center" wrapText="1"/>
    </xf>
    <xf numFmtId="0" fontId="62" fillId="80" borderId="77" xfId="0" applyFont="1" applyFill="1" applyBorder="1" applyAlignment="1">
      <alignment horizontal="center" vertical="center" wrapText="1"/>
    </xf>
    <xf numFmtId="0" fontId="62" fillId="80" borderId="23" xfId="0" applyFont="1" applyFill="1" applyBorder="1" applyAlignment="1">
      <alignment horizontal="center" vertical="center" wrapText="1"/>
    </xf>
    <xf numFmtId="0" fontId="86" fillId="80" borderId="82" xfId="0" applyFont="1" applyFill="1" applyBorder="1"/>
    <xf numFmtId="0" fontId="86" fillId="80" borderId="92" xfId="0" applyFont="1" applyFill="1" applyBorder="1"/>
    <xf numFmtId="167" fontId="11" fillId="80" borderId="74" xfId="0" applyNumberFormat="1" applyFont="1" applyFill="1" applyBorder="1" applyAlignment="1">
      <alignment horizontal="center" vertical="center" wrapText="1"/>
    </xf>
    <xf numFmtId="0" fontId="11" fillId="80" borderId="76" xfId="0" applyFont="1" applyFill="1" applyBorder="1" applyAlignment="1">
      <alignment horizontal="center" vertical="center" wrapText="1"/>
    </xf>
    <xf numFmtId="1" fontId="47" fillId="81" borderId="0" xfId="0" applyNumberFormat="1" applyFont="1" applyFill="1"/>
    <xf numFmtId="0" fontId="86" fillId="80" borderId="28" xfId="0" applyFont="1" applyFill="1" applyBorder="1"/>
    <xf numFmtId="167" fontId="11" fillId="80" borderId="32" xfId="0" applyNumberFormat="1" applyFont="1" applyFill="1" applyBorder="1" applyAlignment="1">
      <alignment horizontal="center" vertical="center" wrapText="1"/>
    </xf>
    <xf numFmtId="0" fontId="86" fillId="80" borderId="93" xfId="0" applyFont="1" applyFill="1" applyBorder="1"/>
    <xf numFmtId="0" fontId="86" fillId="80" borderId="96" xfId="0" applyFont="1" applyFill="1" applyBorder="1"/>
    <xf numFmtId="0" fontId="95" fillId="37" borderId="0" xfId="0" applyFont="1" applyFill="1"/>
    <xf numFmtId="0" fontId="88" fillId="33" borderId="31" xfId="0" applyFont="1" applyFill="1" applyBorder="1" applyAlignment="1">
      <alignment horizontal="center" vertical="center" wrapText="1"/>
    </xf>
    <xf numFmtId="167" fontId="98" fillId="83" borderId="39" xfId="0" applyNumberFormat="1" applyFont="1" applyFill="1" applyBorder="1" applyAlignment="1">
      <alignment horizontal="center" vertical="center" wrapText="1"/>
    </xf>
    <xf numFmtId="0" fontId="95" fillId="0" borderId="0" xfId="0" applyFont="1"/>
    <xf numFmtId="0" fontId="45" fillId="0" borderId="1" xfId="0" quotePrefix="1" applyFont="1" applyBorder="1" applyAlignment="1">
      <alignment horizontal="center" vertical="center"/>
    </xf>
    <xf numFmtId="0" fontId="45" fillId="0" borderId="82" xfId="0" applyFont="1" applyBorder="1" applyAlignment="1">
      <alignment horizontal="center" vertical="center"/>
    </xf>
    <xf numFmtId="0" fontId="45" fillId="0" borderId="23" xfId="0" applyFont="1" applyBorder="1" applyAlignment="1">
      <alignment horizontal="center"/>
    </xf>
    <xf numFmtId="0" fontId="45" fillId="0" borderId="25" xfId="0" applyFont="1" applyBorder="1" applyAlignment="1">
      <alignment horizontal="center"/>
    </xf>
    <xf numFmtId="2" fontId="11" fillId="84" borderId="39" xfId="0" applyNumberFormat="1" applyFont="1" applyFill="1" applyBorder="1" applyAlignment="1">
      <alignment horizontal="center" vertical="center" wrapText="1"/>
    </xf>
    <xf numFmtId="0" fontId="46" fillId="37" borderId="0" xfId="0" applyFont="1" applyFill="1"/>
    <xf numFmtId="0" fontId="79" fillId="37" borderId="0" xfId="0" applyFont="1" applyFill="1" applyAlignment="1">
      <alignment vertical="top"/>
    </xf>
    <xf numFmtId="3" fontId="67" fillId="37" borderId="0" xfId="1257"/>
    <xf numFmtId="0" fontId="0" fillId="37" borderId="0" xfId="0" applyFill="1" applyAlignment="1">
      <alignment horizontal="right"/>
    </xf>
    <xf numFmtId="3" fontId="46" fillId="0" borderId="0" xfId="0" applyNumberFormat="1" applyFont="1"/>
    <xf numFmtId="1" fontId="11" fillId="84" borderId="1" xfId="968" applyNumberFormat="1" applyFont="1" applyFill="1" applyBorder="1" applyAlignment="1">
      <alignment horizontal="center" vertical="center" wrapText="1"/>
    </xf>
    <xf numFmtId="1" fontId="11" fillId="84" borderId="0" xfId="0" applyNumberFormat="1" applyFont="1" applyFill="1" applyAlignment="1">
      <alignment horizontal="center"/>
    </xf>
    <xf numFmtId="1" fontId="11" fillId="0" borderId="1" xfId="968" applyNumberFormat="1" applyFont="1" applyFill="1" applyBorder="1" applyAlignment="1">
      <alignment horizontal="center" vertical="center" wrapText="1"/>
    </xf>
    <xf numFmtId="0" fontId="61" fillId="83" borderId="39" xfId="0" applyFont="1" applyFill="1" applyBorder="1" applyAlignment="1">
      <alignment horizontal="center" vertical="center" wrapText="1"/>
    </xf>
    <xf numFmtId="0" fontId="11" fillId="84" borderId="39" xfId="0" applyFont="1" applyFill="1" applyBorder="1" applyAlignment="1">
      <alignment horizontal="center" vertical="center" wrapText="1"/>
    </xf>
    <xf numFmtId="167" fontId="98" fillId="84" borderId="32" xfId="0" applyNumberFormat="1" applyFont="1" applyFill="1" applyBorder="1" applyAlignment="1">
      <alignment horizontal="center" vertical="center" wrapText="1"/>
    </xf>
    <xf numFmtId="167" fontId="98" fillId="84" borderId="93" xfId="0" applyNumberFormat="1" applyFont="1" applyFill="1" applyBorder="1" applyAlignment="1">
      <alignment horizontal="center" vertical="center" wrapText="1"/>
    </xf>
    <xf numFmtId="167" fontId="98" fillId="84" borderId="95" xfId="0" applyNumberFormat="1" applyFont="1" applyFill="1" applyBorder="1" applyAlignment="1">
      <alignment horizontal="center" vertical="center" wrapText="1"/>
    </xf>
    <xf numFmtId="2" fontId="98" fillId="33" borderId="26" xfId="0" applyNumberFormat="1" applyFont="1" applyFill="1" applyBorder="1" applyAlignment="1">
      <alignment horizontal="center" vertical="center" wrapText="1"/>
    </xf>
    <xf numFmtId="2" fontId="98" fillId="33" borderId="42" xfId="0" applyNumberFormat="1" applyFont="1" applyFill="1" applyBorder="1" applyAlignment="1">
      <alignment horizontal="center" vertical="center" wrapText="1"/>
    </xf>
    <xf numFmtId="0" fontId="4" fillId="37" borderId="0" xfId="0" applyFont="1" applyFill="1"/>
    <xf numFmtId="0" fontId="79" fillId="91" borderId="0" xfId="0" applyFont="1" applyFill="1" applyAlignment="1">
      <alignment horizontal="right"/>
    </xf>
    <xf numFmtId="0" fontId="79" fillId="91" borderId="0" xfId="0" applyFont="1" applyFill="1"/>
    <xf numFmtId="0" fontId="79" fillId="91" borderId="0" xfId="0" applyFont="1" applyFill="1" applyAlignment="1">
      <alignment vertical="top"/>
    </xf>
    <xf numFmtId="0" fontId="83" fillId="91" borderId="0" xfId="0" applyFont="1" applyFill="1" applyAlignment="1">
      <alignment horizontal="right"/>
    </xf>
    <xf numFmtId="0" fontId="4" fillId="91" borderId="0" xfId="0" applyFont="1" applyFill="1" applyAlignment="1">
      <alignment horizontal="right"/>
    </xf>
    <xf numFmtId="2" fontId="11" fillId="84" borderId="40" xfId="0" applyNumberFormat="1" applyFont="1" applyFill="1" applyBorder="1" applyAlignment="1">
      <alignment horizontal="center" wrapText="1"/>
    </xf>
    <xf numFmtId="0" fontId="79" fillId="37" borderId="0" xfId="0" applyFont="1" applyFill="1" applyAlignment="1">
      <alignment horizontal="right"/>
    </xf>
    <xf numFmtId="0" fontId="107" fillId="83" borderId="0" xfId="0" applyFont="1" applyFill="1" applyAlignment="1">
      <alignment vertical="center" wrapText="1"/>
    </xf>
    <xf numFmtId="0" fontId="11" fillId="37" borderId="0" xfId="0" applyFont="1" applyFill="1" applyAlignment="1">
      <alignment vertical="top"/>
    </xf>
    <xf numFmtId="0" fontId="11" fillId="37" borderId="0" xfId="0" applyFont="1" applyFill="1" applyAlignment="1">
      <alignment vertical="top" wrapText="1"/>
    </xf>
    <xf numFmtId="0" fontId="11" fillId="37" borderId="0" xfId="0" applyFont="1" applyFill="1"/>
    <xf numFmtId="0" fontId="107" fillId="37" borderId="0" xfId="0" applyFont="1" applyFill="1" applyAlignment="1">
      <alignment horizontal="right"/>
    </xf>
    <xf numFmtId="0" fontId="95" fillId="37" borderId="0" xfId="0" applyFont="1" applyFill="1" applyAlignment="1">
      <alignment horizontal="right"/>
    </xf>
    <xf numFmtId="0" fontId="95" fillId="0" borderId="0" xfId="0" applyFont="1" applyAlignment="1">
      <alignment horizontal="right"/>
    </xf>
    <xf numFmtId="0" fontId="4" fillId="0" borderId="0" xfId="0" applyFont="1"/>
    <xf numFmtId="0" fontId="102" fillId="37" borderId="0" xfId="0" applyFont="1" applyFill="1" applyAlignment="1">
      <alignment horizontal="right"/>
    </xf>
    <xf numFmtId="0" fontId="4" fillId="37" borderId="0" xfId="0" applyFont="1" applyFill="1" applyAlignment="1">
      <alignment horizontal="right"/>
    </xf>
    <xf numFmtId="0" fontId="59" fillId="37" borderId="0" xfId="0" applyFont="1" applyFill="1"/>
    <xf numFmtId="1" fontId="11" fillId="88" borderId="1" xfId="968" applyNumberFormat="1" applyFont="1" applyFill="1" applyBorder="1" applyAlignment="1">
      <alignment horizontal="center" vertical="center" wrapText="1"/>
    </xf>
    <xf numFmtId="1" fontId="11" fillId="88" borderId="0" xfId="0" applyNumberFormat="1" applyFont="1" applyFill="1" applyAlignment="1">
      <alignment horizontal="center"/>
    </xf>
    <xf numFmtId="2" fontId="11" fillId="88" borderId="39" xfId="0" applyNumberFormat="1" applyFont="1" applyFill="1" applyBorder="1" applyAlignment="1">
      <alignment horizontal="center" vertical="center" wrapText="1"/>
    </xf>
    <xf numFmtId="0" fontId="11" fillId="88" borderId="39" xfId="0" applyFont="1" applyFill="1" applyBorder="1" applyAlignment="1">
      <alignment horizontal="center" vertical="center" wrapText="1"/>
    </xf>
    <xf numFmtId="0" fontId="71" fillId="0" borderId="23" xfId="0" applyFont="1" applyBorder="1"/>
    <xf numFmtId="0" fontId="0" fillId="0" borderId="25" xfId="0" applyBorder="1"/>
    <xf numFmtId="2" fontId="88" fillId="84" borderId="39" xfId="0" applyNumberFormat="1" applyFont="1" applyFill="1" applyBorder="1" applyAlignment="1">
      <alignment horizontal="center" vertical="center" wrapText="1"/>
    </xf>
    <xf numFmtId="167" fontId="88" fillId="84" borderId="39" xfId="0" applyNumberFormat="1" applyFont="1" applyFill="1" applyBorder="1" applyAlignment="1">
      <alignment horizontal="center" vertical="center" wrapText="1"/>
    </xf>
    <xf numFmtId="0" fontId="109" fillId="0" borderId="0" xfId="0" applyFont="1"/>
    <xf numFmtId="0" fontId="79" fillId="37" borderId="0" xfId="0" applyFont="1" applyFill="1" applyAlignment="1">
      <alignment horizontal="right" vertical="center"/>
    </xf>
    <xf numFmtId="0" fontId="83" fillId="37" borderId="0" xfId="0" applyFont="1" applyFill="1" applyAlignment="1">
      <alignment horizontal="right" vertical="center"/>
    </xf>
    <xf numFmtId="0" fontId="4" fillId="37" borderId="0" xfId="0" applyFont="1" applyFill="1" applyAlignment="1">
      <alignment horizontal="right" vertical="center"/>
    </xf>
    <xf numFmtId="2" fontId="11" fillId="88" borderId="40" xfId="0" applyNumberFormat="1" applyFont="1" applyFill="1" applyBorder="1" applyAlignment="1">
      <alignment horizontal="center" wrapText="1"/>
    </xf>
    <xf numFmtId="0" fontId="11" fillId="37" borderId="40" xfId="0" applyFont="1" applyFill="1" applyBorder="1" applyAlignment="1">
      <alignment horizontal="center" wrapText="1"/>
    </xf>
    <xf numFmtId="167" fontId="98" fillId="88" borderId="32" xfId="0" applyNumberFormat="1" applyFont="1" applyFill="1" applyBorder="1" applyAlignment="1">
      <alignment horizontal="center" vertical="center" wrapText="1"/>
    </xf>
    <xf numFmtId="167" fontId="98" fillId="88" borderId="93" xfId="0" applyNumberFormat="1" applyFont="1" applyFill="1" applyBorder="1" applyAlignment="1">
      <alignment horizontal="center" vertical="center" wrapText="1"/>
    </xf>
    <xf numFmtId="167" fontId="98" fillId="88" borderId="95" xfId="0" applyNumberFormat="1" applyFont="1" applyFill="1" applyBorder="1" applyAlignment="1">
      <alignment horizontal="center" vertical="center" wrapText="1"/>
    </xf>
    <xf numFmtId="0" fontId="95" fillId="88" borderId="1" xfId="0" applyFont="1" applyFill="1" applyBorder="1" applyAlignment="1">
      <alignment horizontal="left" vertical="center"/>
    </xf>
    <xf numFmtId="1" fontId="88" fillId="84" borderId="39" xfId="0" applyNumberFormat="1" applyFont="1" applyFill="1" applyBorder="1" applyAlignment="1">
      <alignment horizontal="center" vertical="center" wrapText="1"/>
    </xf>
    <xf numFmtId="1" fontId="88" fillId="88" borderId="39" xfId="0" applyNumberFormat="1" applyFont="1" applyFill="1" applyBorder="1" applyAlignment="1">
      <alignment horizontal="center" vertical="center" wrapText="1"/>
    </xf>
    <xf numFmtId="0" fontId="50" fillId="0" borderId="0" xfId="0" applyFont="1" applyAlignment="1">
      <alignment wrapText="1"/>
    </xf>
    <xf numFmtId="0" fontId="50" fillId="0" borderId="0" xfId="0" applyFont="1" applyAlignment="1">
      <alignment horizontal="center" wrapText="1"/>
    </xf>
    <xf numFmtId="164" fontId="54" fillId="87" borderId="1" xfId="0" applyNumberFormat="1" applyFont="1" applyFill="1" applyBorder="1"/>
    <xf numFmtId="0" fontId="111" fillId="0" borderId="0" xfId="0" applyFont="1"/>
    <xf numFmtId="0" fontId="112" fillId="0" borderId="0" xfId="0" applyFont="1" applyAlignment="1">
      <alignment wrapText="1"/>
    </xf>
    <xf numFmtId="0" fontId="50" fillId="0" borderId="0" xfId="0" applyFont="1" applyAlignment="1">
      <alignment horizontal="center" wrapText="1"/>
    </xf>
    <xf numFmtId="0" fontId="50" fillId="0" borderId="0" xfId="0" applyFont="1" applyAlignment="1">
      <alignment wrapText="1"/>
    </xf>
    <xf numFmtId="0" fontId="45" fillId="0" borderId="23" xfId="0" applyFont="1" applyBorder="1" applyAlignment="1">
      <alignment horizontal="center"/>
    </xf>
    <xf numFmtId="0" fontId="45" fillId="0" borderId="25" xfId="0" applyFont="1" applyBorder="1" applyAlignment="1">
      <alignment horizontal="center"/>
    </xf>
    <xf numFmtId="0" fontId="88" fillId="33" borderId="31" xfId="0" applyFont="1" applyFill="1" applyBorder="1" applyAlignment="1">
      <alignment horizontal="center" vertical="center" wrapText="1"/>
    </xf>
    <xf numFmtId="0" fontId="54" fillId="0" borderId="1" xfId="0" applyFont="1" applyFill="1" applyBorder="1" applyAlignment="1">
      <alignment horizontal="left"/>
    </xf>
    <xf numFmtId="2" fontId="54" fillId="0" borderId="26" xfId="0" applyNumberFormat="1" applyFont="1" applyFill="1" applyBorder="1" applyAlignment="1">
      <alignment horizontal="center"/>
    </xf>
    <xf numFmtId="0" fontId="15" fillId="3" borderId="0" xfId="3" applyBorder="1"/>
    <xf numFmtId="172" fontId="0" fillId="0" borderId="36" xfId="0" applyNumberFormat="1" applyBorder="1"/>
    <xf numFmtId="0" fontId="0" fillId="0" borderId="36" xfId="0" applyBorder="1" applyAlignment="1">
      <alignment horizontal="left"/>
    </xf>
    <xf numFmtId="0" fontId="77" fillId="0" borderId="36" xfId="0" applyFont="1" applyFill="1" applyBorder="1" applyAlignment="1">
      <alignment horizontal="right"/>
    </xf>
    <xf numFmtId="0" fontId="8" fillId="0" borderId="36" xfId="0" applyFont="1" applyFill="1" applyBorder="1" applyAlignment="1">
      <alignment horizontal="center"/>
    </xf>
    <xf numFmtId="0" fontId="15" fillId="3" borderId="36" xfId="3" applyBorder="1"/>
    <xf numFmtId="0" fontId="54" fillId="0" borderId="28" xfId="0" applyFont="1" applyFill="1" applyBorder="1" applyAlignment="1">
      <alignment horizontal="center"/>
    </xf>
    <xf numFmtId="172" fontId="0" fillId="0" borderId="19" xfId="0" applyNumberFormat="1" applyBorder="1"/>
    <xf numFmtId="0" fontId="0" fillId="0" borderId="19" xfId="0" applyBorder="1" applyAlignment="1">
      <alignment horizontal="left"/>
    </xf>
    <xf numFmtId="0" fontId="8" fillId="0" borderId="19" xfId="0" applyFont="1" applyFill="1" applyBorder="1" applyAlignment="1">
      <alignment horizontal="center"/>
    </xf>
    <xf numFmtId="0" fontId="15" fillId="3" borderId="19" xfId="3" applyBorder="1"/>
    <xf numFmtId="0" fontId="0" fillId="0" borderId="0" xfId="0" quotePrefix="1"/>
    <xf numFmtId="0" fontId="0" fillId="0" borderId="19" xfId="0" applyFill="1" applyBorder="1"/>
    <xf numFmtId="0" fontId="0" fillId="0" borderId="36" xfId="0" applyFill="1" applyBorder="1"/>
    <xf numFmtId="0" fontId="8" fillId="0" borderId="40" xfId="0" applyFont="1" applyFill="1" applyBorder="1" applyAlignment="1">
      <alignment horizontal="center"/>
    </xf>
    <xf numFmtId="0" fontId="8" fillId="34" borderId="32" xfId="0" applyFont="1" applyFill="1" applyBorder="1" applyAlignment="1">
      <alignment horizontal="left" vertical="center" wrapText="1"/>
    </xf>
    <xf numFmtId="0" fontId="0" fillId="0" borderId="31" xfId="0" applyBorder="1"/>
    <xf numFmtId="0" fontId="0" fillId="0" borderId="31" xfId="0" applyFill="1" applyBorder="1"/>
    <xf numFmtId="0" fontId="0" fillId="0" borderId="70" xfId="0" applyFill="1" applyBorder="1"/>
    <xf numFmtId="0" fontId="0" fillId="0" borderId="40" xfId="0" applyFill="1" applyBorder="1"/>
    <xf numFmtId="0" fontId="8" fillId="0" borderId="70" xfId="0" applyFont="1" applyFill="1" applyBorder="1" applyAlignment="1">
      <alignment horizontal="center"/>
    </xf>
    <xf numFmtId="0" fontId="0" fillId="0" borderId="70" xfId="0" applyBorder="1" applyAlignment="1">
      <alignment horizontal="left"/>
    </xf>
    <xf numFmtId="0" fontId="77" fillId="0" borderId="42" xfId="0" applyFont="1" applyFill="1" applyBorder="1" applyAlignment="1">
      <alignment horizontal="right"/>
    </xf>
    <xf numFmtId="165" fontId="54" fillId="0" borderId="1" xfId="0" applyNumberFormat="1" applyFont="1" applyFill="1" applyBorder="1" applyAlignment="1">
      <alignment horizontal="center"/>
    </xf>
    <xf numFmtId="165" fontId="54" fillId="0" borderId="28" xfId="0" applyNumberFormat="1" applyFont="1" applyFill="1" applyBorder="1" applyAlignment="1">
      <alignment horizontal="center"/>
    </xf>
    <xf numFmtId="165" fontId="54" fillId="0" borderId="26" xfId="0" applyNumberFormat="1" applyFont="1" applyFill="1" applyBorder="1" applyAlignment="1">
      <alignment horizontal="center"/>
    </xf>
    <xf numFmtId="0" fontId="0" fillId="0" borderId="12" xfId="0" applyBorder="1" applyAlignment="1">
      <alignment horizontal="center"/>
    </xf>
    <xf numFmtId="0" fontId="0" fillId="0" borderId="30" xfId="0" applyBorder="1" applyAlignment="1">
      <alignment horizontal="center"/>
    </xf>
    <xf numFmtId="0" fontId="0" fillId="0" borderId="0" xfId="0" applyAlignment="1">
      <alignment horizontal="right"/>
    </xf>
    <xf numFmtId="0" fontId="0" fillId="32" borderId="1" xfId="0" applyFill="1" applyBorder="1"/>
    <xf numFmtId="0" fontId="0" fillId="32" borderId="1" xfId="0" applyFont="1" applyFill="1" applyBorder="1"/>
    <xf numFmtId="9" fontId="40" fillId="0" borderId="0" xfId="968" applyFont="1" applyFill="1"/>
    <xf numFmtId="172" fontId="0" fillId="0" borderId="15" xfId="0" applyNumberFormat="1" applyBorder="1"/>
    <xf numFmtId="0" fontId="113" fillId="83" borderId="41" xfId="0" applyFont="1" applyFill="1" applyBorder="1" applyAlignment="1">
      <alignment vertical="center" wrapText="1"/>
    </xf>
    <xf numFmtId="0" fontId="115" fillId="83" borderId="37" xfId="0" applyFont="1" applyFill="1" applyBorder="1" applyAlignment="1">
      <alignment vertical="center" wrapText="1"/>
    </xf>
    <xf numFmtId="0" fontId="116" fillId="83" borderId="70" xfId="0" applyFont="1" applyFill="1" applyBorder="1" applyAlignment="1">
      <alignment horizontal="center" vertical="center" wrapText="1"/>
    </xf>
    <xf numFmtId="0" fontId="116" fillId="83" borderId="39" xfId="0" applyFont="1" applyFill="1" applyBorder="1" applyAlignment="1">
      <alignment vertical="center" wrapText="1"/>
    </xf>
    <xf numFmtId="0" fontId="117" fillId="83" borderId="37" xfId="0" applyFont="1" applyFill="1" applyBorder="1" applyAlignment="1">
      <alignment vertical="center" wrapText="1"/>
    </xf>
    <xf numFmtId="0" fontId="115" fillId="83" borderId="1" xfId="0" applyFont="1" applyFill="1" applyBorder="1" applyAlignment="1">
      <alignment vertical="center" wrapText="1"/>
    </xf>
    <xf numFmtId="0" fontId="115" fillId="83" borderId="1" xfId="0" applyFont="1" applyFill="1" applyBorder="1" applyAlignment="1">
      <alignment horizontal="center" vertical="center" wrapText="1"/>
    </xf>
    <xf numFmtId="49" fontId="119" fillId="83" borderId="26" xfId="0" applyNumberFormat="1" applyFont="1" applyFill="1" applyBorder="1" applyAlignment="1">
      <alignment vertical="center" wrapText="1"/>
    </xf>
    <xf numFmtId="0" fontId="117" fillId="83" borderId="26" xfId="0" applyFont="1" applyFill="1" applyBorder="1" applyAlignment="1">
      <alignment vertical="center" wrapText="1"/>
    </xf>
    <xf numFmtId="0" fontId="115" fillId="83" borderId="28" xfId="0" applyFont="1" applyFill="1" applyBorder="1" applyAlignment="1">
      <alignment vertical="center" wrapText="1"/>
    </xf>
    <xf numFmtId="0" fontId="115" fillId="83" borderId="28" xfId="0" applyFont="1" applyFill="1" applyBorder="1" applyAlignment="1">
      <alignment horizontal="center" vertical="center" wrapText="1"/>
    </xf>
    <xf numFmtId="0" fontId="115" fillId="83" borderId="26" xfId="0" applyFont="1" applyFill="1" applyBorder="1" applyAlignment="1">
      <alignment vertical="center" wrapText="1"/>
    </xf>
    <xf numFmtId="0" fontId="115" fillId="83" borderId="26" xfId="0" applyFont="1" applyFill="1" applyBorder="1" applyAlignment="1">
      <alignment horizontal="center" vertical="center" wrapText="1"/>
    </xf>
    <xf numFmtId="0" fontId="115" fillId="83" borderId="1" xfId="0" applyFont="1" applyFill="1" applyBorder="1" applyAlignment="1">
      <alignment horizontal="left" vertical="center" wrapText="1"/>
    </xf>
    <xf numFmtId="0" fontId="115" fillId="83" borderId="27" xfId="0" applyFont="1" applyFill="1" applyBorder="1" applyAlignment="1">
      <alignment vertical="center" wrapText="1"/>
    </xf>
    <xf numFmtId="0" fontId="117" fillId="83" borderId="1" xfId="0" applyFont="1" applyFill="1" applyBorder="1" applyAlignment="1">
      <alignment vertical="center" wrapText="1"/>
    </xf>
    <xf numFmtId="0" fontId="115" fillId="83" borderId="28" xfId="0" quotePrefix="1" applyFont="1" applyFill="1" applyBorder="1" applyAlignment="1">
      <alignment vertical="center" wrapText="1"/>
    </xf>
    <xf numFmtId="0" fontId="117" fillId="83" borderId="39" xfId="0" applyFont="1" applyFill="1" applyBorder="1" applyAlignment="1">
      <alignment vertical="center" wrapText="1"/>
    </xf>
    <xf numFmtId="0" fontId="121" fillId="83" borderId="37" xfId="0" applyFont="1" applyFill="1" applyBorder="1" applyAlignment="1">
      <alignment horizontal="center" vertical="center" wrapText="1"/>
    </xf>
    <xf numFmtId="0" fontId="121" fillId="83" borderId="1" xfId="0" applyFont="1" applyFill="1" applyBorder="1" applyAlignment="1">
      <alignment horizontal="center" vertical="center" wrapText="1"/>
    </xf>
    <xf numFmtId="0" fontId="121" fillId="83" borderId="0" xfId="0" applyFont="1" applyFill="1" applyAlignment="1">
      <alignment horizontal="center" vertical="center" wrapText="1"/>
    </xf>
    <xf numFmtId="0" fontId="121" fillId="83" borderId="37" xfId="0" applyFont="1" applyFill="1" applyBorder="1" applyAlignment="1">
      <alignment vertical="center" wrapText="1"/>
    </xf>
    <xf numFmtId="0" fontId="121" fillId="83" borderId="36" xfId="0" applyFont="1" applyFill="1" applyBorder="1" applyAlignment="1">
      <alignment vertical="center" wrapText="1"/>
    </xf>
    <xf numFmtId="0" fontId="121" fillId="83" borderId="38" xfId="0" applyFont="1" applyFill="1" applyBorder="1" applyAlignment="1">
      <alignment vertical="center" wrapText="1"/>
    </xf>
    <xf numFmtId="0" fontId="121" fillId="83" borderId="38" xfId="0" applyFont="1" applyFill="1" applyBorder="1" applyAlignment="1">
      <alignment horizontal="center" vertical="center" wrapText="1"/>
    </xf>
    <xf numFmtId="0" fontId="59" fillId="83" borderId="1" xfId="0" applyFont="1" applyFill="1" applyBorder="1" applyAlignment="1">
      <alignment horizontal="center" vertical="center" wrapText="1"/>
    </xf>
    <xf numFmtId="0" fontId="121" fillId="83" borderId="26" xfId="0" applyFont="1" applyFill="1" applyBorder="1" applyAlignment="1">
      <alignment vertical="center" wrapText="1"/>
    </xf>
    <xf numFmtId="0" fontId="59" fillId="83" borderId="28" xfId="0" applyFont="1" applyFill="1" applyBorder="1" applyAlignment="1">
      <alignment horizontal="center" vertical="center" wrapText="1"/>
    </xf>
    <xf numFmtId="0" fontId="59" fillId="83" borderId="26" xfId="0" applyFont="1" applyFill="1" applyBorder="1" applyAlignment="1">
      <alignment horizontal="center" vertical="center" wrapText="1"/>
    </xf>
    <xf numFmtId="0" fontId="47" fillId="83" borderId="1" xfId="0" applyFont="1" applyFill="1" applyBorder="1" applyAlignment="1">
      <alignment horizontal="center" vertical="center" wrapText="1"/>
    </xf>
    <xf numFmtId="0" fontId="121" fillId="83" borderId="1" xfId="0" applyFont="1" applyFill="1" applyBorder="1" applyAlignment="1">
      <alignment vertical="center" wrapText="1"/>
    </xf>
    <xf numFmtId="0" fontId="59" fillId="0" borderId="1" xfId="0" applyFont="1" applyBorder="1" applyAlignment="1">
      <alignment horizontal="center" vertical="center" wrapText="1"/>
    </xf>
    <xf numFmtId="0" fontId="59" fillId="83" borderId="28" xfId="0" applyFont="1" applyFill="1" applyBorder="1" applyAlignment="1">
      <alignment vertical="center" wrapText="1"/>
    </xf>
    <xf numFmtId="0" fontId="59" fillId="83" borderId="1" xfId="0" applyFont="1" applyFill="1" applyBorder="1" applyAlignment="1">
      <alignment vertical="center" wrapText="1"/>
    </xf>
    <xf numFmtId="2" fontId="59" fillId="83" borderId="1" xfId="0" applyNumberFormat="1" applyFont="1" applyFill="1" applyBorder="1" applyAlignment="1">
      <alignment horizontal="center" vertical="center" wrapText="1"/>
    </xf>
    <xf numFmtId="0" fontId="0" fillId="0" borderId="0" xfId="0" applyBorder="1" applyAlignment="1">
      <alignment horizontal="center"/>
    </xf>
    <xf numFmtId="0" fontId="7" fillId="26" borderId="38" xfId="0" applyFont="1" applyFill="1" applyBorder="1" applyAlignment="1">
      <alignment horizontal="center" vertical="center" wrapText="1"/>
    </xf>
    <xf numFmtId="0" fontId="7" fillId="26" borderId="38" xfId="0" applyFont="1" applyFill="1" applyBorder="1" applyAlignment="1">
      <alignment horizontal="right" vertical="center" wrapText="1"/>
    </xf>
    <xf numFmtId="0" fontId="7" fillId="26" borderId="39" xfId="0" applyFont="1" applyFill="1" applyBorder="1" applyAlignment="1">
      <alignment horizontal="left" vertical="center" wrapText="1"/>
    </xf>
    <xf numFmtId="2" fontId="54" fillId="0" borderId="0" xfId="0" applyNumberFormat="1" applyFont="1" applyFill="1" applyBorder="1" applyAlignment="1">
      <alignment horizontal="center"/>
    </xf>
    <xf numFmtId="2" fontId="54" fillId="0" borderId="19" xfId="0" applyNumberFormat="1" applyFont="1" applyFill="1" applyBorder="1" applyAlignment="1">
      <alignment horizontal="center"/>
    </xf>
    <xf numFmtId="2" fontId="54" fillId="0" borderId="28" xfId="0" applyNumberFormat="1" applyFont="1" applyFill="1" applyBorder="1" applyAlignment="1">
      <alignment horizontal="center"/>
    </xf>
    <xf numFmtId="0" fontId="46" fillId="0" borderId="33" xfId="0" applyFont="1" applyBorder="1" applyAlignment="1">
      <alignment horizontal="center"/>
    </xf>
    <xf numFmtId="0" fontId="0" fillId="0" borderId="34" xfId="0" applyBorder="1" applyAlignment="1">
      <alignment horizontal="center"/>
    </xf>
    <xf numFmtId="0" fontId="0" fillId="0" borderId="14" xfId="0" applyBorder="1" applyAlignment="1">
      <alignment horizontal="center"/>
    </xf>
    <xf numFmtId="0" fontId="0" fillId="0" borderId="15" xfId="0" applyBorder="1" applyAlignment="1">
      <alignment horizontal="center"/>
    </xf>
    <xf numFmtId="0" fontId="0" fillId="0" borderId="35" xfId="0" applyBorder="1" applyAlignment="1">
      <alignment horizontal="center"/>
    </xf>
    <xf numFmtId="0" fontId="0" fillId="32" borderId="29" xfId="0" applyFill="1" applyBorder="1"/>
    <xf numFmtId="0" fontId="0" fillId="32" borderId="17" xfId="0" applyFill="1" applyBorder="1"/>
    <xf numFmtId="0" fontId="0" fillId="32" borderId="13" xfId="0" applyFill="1" applyBorder="1"/>
    <xf numFmtId="0" fontId="7" fillId="26" borderId="39" xfId="0" applyFont="1" applyFill="1" applyBorder="1" applyAlignment="1">
      <alignment horizontal="right" vertical="center" wrapText="1"/>
    </xf>
    <xf numFmtId="0" fontId="8" fillId="27" borderId="39" xfId="0" applyFont="1" applyFill="1" applyBorder="1" applyAlignment="1">
      <alignment horizontal="center"/>
    </xf>
    <xf numFmtId="0" fontId="54" fillId="0" borderId="26" xfId="0" applyFont="1" applyFill="1" applyBorder="1" applyAlignment="1">
      <alignment horizontal="left"/>
    </xf>
    <xf numFmtId="0" fontId="0" fillId="0" borderId="100" xfId="0" applyBorder="1"/>
    <xf numFmtId="0" fontId="0" fillId="0" borderId="15" xfId="0" applyBorder="1"/>
    <xf numFmtId="0" fontId="0" fillId="0" borderId="15" xfId="0" applyBorder="1" applyAlignment="1">
      <alignment horizontal="left"/>
    </xf>
    <xf numFmtId="0" fontId="54" fillId="0" borderId="93" xfId="0" applyFont="1" applyFill="1" applyBorder="1" applyAlignment="1">
      <alignment horizontal="center"/>
    </xf>
    <xf numFmtId="2" fontId="54" fillId="0" borderId="93" xfId="0" applyNumberFormat="1" applyFont="1" applyFill="1" applyBorder="1" applyAlignment="1">
      <alignment horizontal="center"/>
    </xf>
    <xf numFmtId="165" fontId="54" fillId="0" borderId="93" xfId="0" applyNumberFormat="1" applyFont="1" applyFill="1" applyBorder="1" applyAlignment="1">
      <alignment horizontal="center"/>
    </xf>
    <xf numFmtId="0" fontId="77" fillId="0" borderId="15" xfId="0" applyFont="1" applyFill="1" applyBorder="1" applyAlignment="1">
      <alignment horizontal="right"/>
    </xf>
    <xf numFmtId="0" fontId="8" fillId="0" borderId="15" xfId="0" applyFont="1" applyFill="1" applyBorder="1" applyAlignment="1">
      <alignment horizontal="center"/>
    </xf>
    <xf numFmtId="0" fontId="54" fillId="0" borderId="93" xfId="0" applyFont="1" applyFill="1" applyBorder="1" applyAlignment="1">
      <alignment horizontal="left"/>
    </xf>
    <xf numFmtId="0" fontId="15" fillId="3" borderId="15" xfId="3" applyBorder="1"/>
    <xf numFmtId="0" fontId="77" fillId="0" borderId="95" xfId="0" applyFont="1" applyFill="1" applyBorder="1" applyAlignment="1">
      <alignment horizontal="right"/>
    </xf>
    <xf numFmtId="0" fontId="122" fillId="37" borderId="0" xfId="0" applyFont="1" applyFill="1"/>
    <xf numFmtId="0" fontId="115" fillId="0" borderId="0" xfId="0" applyFont="1" applyAlignment="1">
      <alignment horizontal="center" vertical="center" wrapText="1"/>
    </xf>
    <xf numFmtId="0" fontId="115" fillId="83" borderId="0" xfId="0" applyFont="1" applyFill="1" applyAlignment="1">
      <alignment horizontal="center" vertical="center" wrapText="1"/>
    </xf>
    <xf numFmtId="0" fontId="115" fillId="0" borderId="0" xfId="0" applyFont="1" applyAlignment="1">
      <alignment vertical="center" wrapText="1"/>
    </xf>
    <xf numFmtId="0" fontId="122" fillId="37" borderId="0" xfId="0" applyFont="1" applyFill="1" applyAlignment="1">
      <alignment vertical="center"/>
    </xf>
    <xf numFmtId="0" fontId="59" fillId="0" borderId="0" xfId="0" applyFont="1" applyAlignment="1">
      <alignment horizontal="right"/>
    </xf>
    <xf numFmtId="17" fontId="0" fillId="0" borderId="0" xfId="0" applyNumberFormat="1"/>
    <xf numFmtId="0" fontId="115" fillId="32" borderId="26" xfId="0" applyFont="1" applyFill="1" applyBorder="1" applyAlignment="1">
      <alignment vertical="center" wrapText="1"/>
    </xf>
    <xf numFmtId="0" fontId="59" fillId="32" borderId="1" xfId="0" applyFont="1" applyFill="1" applyBorder="1" applyAlignment="1">
      <alignment horizontal="center" vertical="center" wrapText="1"/>
    </xf>
    <xf numFmtId="0" fontId="59" fillId="32" borderId="26" xfId="0" applyFont="1" applyFill="1" applyBorder="1" applyAlignment="1">
      <alignment horizontal="center" vertical="center" wrapText="1"/>
    </xf>
    <xf numFmtId="0" fontId="115" fillId="32" borderId="28" xfId="0" applyFont="1" applyFill="1" applyBorder="1" applyAlignment="1">
      <alignment horizontal="left" vertical="center" wrapText="1"/>
    </xf>
    <xf numFmtId="0" fontId="59" fillId="32" borderId="28" xfId="0" applyFont="1" applyFill="1" applyBorder="1" applyAlignment="1">
      <alignment horizontal="center" vertical="center" wrapText="1"/>
    </xf>
    <xf numFmtId="176" fontId="0" fillId="0" borderId="0" xfId="0" applyNumberFormat="1"/>
    <xf numFmtId="0" fontId="88" fillId="33" borderId="31" xfId="0" applyFont="1" applyFill="1" applyBorder="1" applyAlignment="1">
      <alignment horizontal="center" vertical="center" wrapText="1"/>
    </xf>
    <xf numFmtId="0" fontId="45" fillId="0" borderId="23" xfId="0" applyFont="1" applyBorder="1" applyAlignment="1">
      <alignment horizontal="center"/>
    </xf>
    <xf numFmtId="0" fontId="45" fillId="0" borderId="25" xfId="0" applyFont="1" applyBorder="1" applyAlignment="1">
      <alignment horizontal="center"/>
    </xf>
    <xf numFmtId="0" fontId="49" fillId="0" borderId="13" xfId="0" applyFont="1" applyBorder="1" applyAlignment="1">
      <alignment horizontal="center" wrapText="1"/>
    </xf>
    <xf numFmtId="167" fontId="98" fillId="83" borderId="1" xfId="0" applyNumberFormat="1" applyFont="1" applyFill="1" applyBorder="1" applyAlignment="1">
      <alignment horizontal="center" vertical="center" wrapText="1"/>
    </xf>
    <xf numFmtId="167" fontId="98" fillId="83" borderId="37" xfId="0" applyNumberFormat="1" applyFont="1" applyFill="1" applyBorder="1" applyAlignment="1">
      <alignment horizontal="center" vertical="center" wrapText="1"/>
    </xf>
    <xf numFmtId="167" fontId="88" fillId="88" borderId="39" xfId="0" applyNumberFormat="1" applyFont="1" applyFill="1" applyBorder="1" applyAlignment="1">
      <alignment horizontal="center" vertical="center" wrapText="1"/>
    </xf>
    <xf numFmtId="2" fontId="88" fillId="88" borderId="39" xfId="0" applyNumberFormat="1" applyFont="1" applyFill="1" applyBorder="1" applyAlignment="1">
      <alignment horizontal="center" vertical="center" wrapText="1"/>
    </xf>
    <xf numFmtId="167" fontId="88" fillId="33" borderId="39" xfId="0" applyNumberFormat="1" applyFont="1" applyFill="1" applyBorder="1" applyAlignment="1">
      <alignment horizontal="center" vertical="center" wrapText="1"/>
    </xf>
    <xf numFmtId="167" fontId="88" fillId="83" borderId="1" xfId="0" applyNumberFormat="1" applyFont="1" applyFill="1" applyBorder="1" applyAlignment="1">
      <alignment horizontal="center" vertical="center"/>
    </xf>
    <xf numFmtId="167" fontId="88" fillId="83" borderId="37" xfId="0" applyNumberFormat="1" applyFont="1" applyFill="1" applyBorder="1" applyAlignment="1">
      <alignment horizontal="center" vertical="center"/>
    </xf>
    <xf numFmtId="0" fontId="123" fillId="37" borderId="0" xfId="0" applyFont="1" applyFill="1"/>
    <xf numFmtId="0" fontId="70" fillId="37" borderId="0" xfId="0" applyFont="1" applyFill="1"/>
    <xf numFmtId="0" fontId="77" fillId="0" borderId="21" xfId="0" applyFont="1" applyFill="1" applyBorder="1" applyAlignment="1">
      <alignment horizontal="right"/>
    </xf>
    <xf numFmtId="0" fontId="54" fillId="0" borderId="0" xfId="0" applyFont="1" applyFill="1" applyBorder="1" applyAlignment="1">
      <alignment horizontal="left"/>
    </xf>
    <xf numFmtId="0" fontId="54" fillId="0" borderId="36" xfId="0" applyFont="1" applyFill="1" applyBorder="1" applyAlignment="1">
      <alignment horizontal="center"/>
    </xf>
    <xf numFmtId="2" fontId="54" fillId="0" borderId="36" xfId="0" applyNumberFormat="1" applyFont="1" applyFill="1" applyBorder="1" applyAlignment="1">
      <alignment horizontal="center"/>
    </xf>
    <xf numFmtId="0" fontId="54" fillId="0" borderId="36" xfId="0" applyFont="1" applyFill="1" applyBorder="1" applyAlignment="1">
      <alignment horizontal="left"/>
    </xf>
    <xf numFmtId="0" fontId="15" fillId="3" borderId="21" xfId="3" applyBorder="1"/>
    <xf numFmtId="0" fontId="15" fillId="3" borderId="42" xfId="3" applyBorder="1"/>
    <xf numFmtId="0" fontId="15" fillId="3" borderId="41" xfId="3" applyBorder="1"/>
    <xf numFmtId="0" fontId="11" fillId="0" borderId="0" xfId="550" applyBorder="1"/>
    <xf numFmtId="0" fontId="0" fillId="0" borderId="0" xfId="0" applyFill="1" applyAlignment="1">
      <alignment horizontal="left"/>
    </xf>
    <xf numFmtId="0" fontId="59" fillId="34" borderId="20" xfId="0" applyFont="1" applyFill="1" applyBorder="1" applyAlignment="1">
      <alignment vertical="top" wrapText="1"/>
    </xf>
    <xf numFmtId="0" fontId="77" fillId="34" borderId="20" xfId="0" applyFont="1" applyFill="1" applyBorder="1" applyAlignment="1">
      <alignment horizontal="right" vertical="center" wrapText="1"/>
    </xf>
    <xf numFmtId="0" fontId="77" fillId="34" borderId="32" xfId="0" applyFont="1" applyFill="1" applyBorder="1" applyAlignment="1">
      <alignment horizontal="right" vertical="center" wrapText="1"/>
    </xf>
    <xf numFmtId="0" fontId="115" fillId="75" borderId="1" xfId="0" applyFont="1" applyFill="1" applyBorder="1" applyAlignment="1">
      <alignment vertical="center" wrapText="1"/>
    </xf>
    <xf numFmtId="0" fontId="59" fillId="75" borderId="1" xfId="0" applyFont="1" applyFill="1" applyBorder="1" applyAlignment="1">
      <alignment horizontal="center" vertical="center" wrapText="1"/>
    </xf>
    <xf numFmtId="0" fontId="115" fillId="75" borderId="1" xfId="0" applyFont="1" applyFill="1" applyBorder="1" applyAlignment="1">
      <alignment horizontal="center" vertical="center" wrapText="1"/>
    </xf>
    <xf numFmtId="0" fontId="115" fillId="75" borderId="27" xfId="0" applyFont="1" applyFill="1" applyBorder="1" applyAlignment="1">
      <alignment vertical="center" wrapText="1"/>
    </xf>
    <xf numFmtId="0" fontId="59" fillId="75" borderId="26" xfId="0" applyFont="1" applyFill="1" applyBorder="1" applyAlignment="1">
      <alignment horizontal="center" vertical="center" wrapText="1"/>
    </xf>
    <xf numFmtId="0" fontId="115" fillId="75" borderId="26" xfId="0" applyFont="1" applyFill="1" applyBorder="1" applyAlignment="1">
      <alignment horizontal="center" vertical="center" wrapText="1"/>
    </xf>
    <xf numFmtId="0" fontId="115" fillId="75" borderId="28" xfId="0" applyFont="1" applyFill="1" applyBorder="1" applyAlignment="1">
      <alignment vertical="center" wrapText="1"/>
    </xf>
    <xf numFmtId="0" fontId="59" fillId="75" borderId="1" xfId="0" applyFont="1" applyFill="1" applyBorder="1"/>
    <xf numFmtId="0" fontId="7" fillId="26" borderId="38" xfId="6969" applyFont="1" applyFill="1" applyBorder="1" applyAlignment="1">
      <alignment horizontal="left" vertical="center" wrapText="1"/>
    </xf>
    <xf numFmtId="1" fontId="7" fillId="82" borderId="37" xfId="6969" applyNumberFormat="1" applyFont="1" applyFill="1" applyBorder="1" applyAlignment="1">
      <alignment horizontal="right"/>
    </xf>
    <xf numFmtId="1" fontId="7" fillId="82" borderId="38" xfId="6969" applyNumberFormat="1" applyFont="1" applyFill="1" applyBorder="1" applyAlignment="1">
      <alignment horizontal="right"/>
    </xf>
    <xf numFmtId="0" fontId="7" fillId="29" borderId="15" xfId="6969" applyFont="1" applyFill="1" applyBorder="1" applyAlignment="1">
      <alignment horizontal="left" wrapText="1"/>
    </xf>
    <xf numFmtId="0" fontId="7" fillId="29" borderId="15" xfId="6969" applyFont="1" applyFill="1" applyBorder="1" applyAlignment="1">
      <alignment horizontal="right" wrapText="1"/>
    </xf>
    <xf numFmtId="0" fontId="7" fillId="92" borderId="0" xfId="6969" applyFont="1" applyFill="1"/>
    <xf numFmtId="177" fontId="7" fillId="92" borderId="0" xfId="6969" applyNumberFormat="1" applyFont="1" applyFill="1"/>
    <xf numFmtId="0" fontId="0" fillId="0" borderId="34" xfId="0" applyBorder="1"/>
    <xf numFmtId="0" fontId="0" fillId="0" borderId="29" xfId="0" applyBorder="1"/>
    <xf numFmtId="0" fontId="0" fillId="0" borderId="35" xfId="0" applyBorder="1"/>
    <xf numFmtId="0" fontId="0" fillId="0" borderId="17" xfId="0" applyBorder="1"/>
    <xf numFmtId="0" fontId="0" fillId="0" borderId="14" xfId="0" applyBorder="1"/>
    <xf numFmtId="0" fontId="0" fillId="0" borderId="13" xfId="0" applyBorder="1"/>
    <xf numFmtId="0" fontId="46" fillId="0" borderId="33" xfId="0" applyFont="1" applyBorder="1"/>
    <xf numFmtId="0" fontId="46" fillId="0" borderId="34" xfId="0" applyFont="1" applyBorder="1"/>
    <xf numFmtId="0" fontId="46" fillId="0" borderId="34" xfId="0" applyFont="1" applyFill="1" applyBorder="1"/>
    <xf numFmtId="0" fontId="46" fillId="0" borderId="29" xfId="0" applyFont="1" applyBorder="1"/>
    <xf numFmtId="0" fontId="46" fillId="0" borderId="35" xfId="0" applyFont="1" applyBorder="1"/>
    <xf numFmtId="0" fontId="46" fillId="0" borderId="103" xfId="0" applyFont="1" applyBorder="1"/>
    <xf numFmtId="0" fontId="46" fillId="0" borderId="104" xfId="0" applyFont="1" applyBorder="1"/>
    <xf numFmtId="0" fontId="54" fillId="0" borderId="41" xfId="0" applyFont="1" applyBorder="1"/>
    <xf numFmtId="0" fontId="54" fillId="0" borderId="19" xfId="0" applyFont="1" applyBorder="1"/>
    <xf numFmtId="0" fontId="54" fillId="0" borderId="21" xfId="0" applyFont="1" applyBorder="1"/>
    <xf numFmtId="0" fontId="54" fillId="0" borderId="0" xfId="0" applyFont="1" applyBorder="1"/>
    <xf numFmtId="0" fontId="54" fillId="0" borderId="22" xfId="0" applyFont="1" applyBorder="1"/>
    <xf numFmtId="0" fontId="54" fillId="0" borderId="15" xfId="0" applyFont="1" applyBorder="1"/>
    <xf numFmtId="0" fontId="54" fillId="0" borderId="26" xfId="0" applyFont="1" applyBorder="1"/>
    <xf numFmtId="0" fontId="7" fillId="26" borderId="105" xfId="0" applyFont="1" applyFill="1" applyBorder="1" applyAlignment="1">
      <alignment horizontal="right" vertical="center" wrapText="1"/>
    </xf>
    <xf numFmtId="0" fontId="8" fillId="34" borderId="106" xfId="0" applyFont="1" applyFill="1" applyBorder="1" applyAlignment="1">
      <alignment horizontal="right" vertical="center" wrapText="1"/>
    </xf>
    <xf numFmtId="0" fontId="54" fillId="0" borderId="17" xfId="0" applyFont="1" applyBorder="1"/>
    <xf numFmtId="2" fontId="54" fillId="0" borderId="0" xfId="0" applyNumberFormat="1" applyFont="1" applyBorder="1" applyAlignment="1">
      <alignment horizontal="center"/>
    </xf>
    <xf numFmtId="0" fontId="54" fillId="87" borderId="93" xfId="0" applyFont="1" applyFill="1" applyBorder="1"/>
    <xf numFmtId="0" fontId="54" fillId="0" borderId="93" xfId="0" applyFont="1" applyBorder="1" applyAlignment="1">
      <alignment horizontal="center"/>
    </xf>
    <xf numFmtId="2" fontId="54" fillId="0" borderId="15" xfId="0" applyNumberFormat="1" applyFont="1" applyBorder="1" applyAlignment="1">
      <alignment horizontal="center"/>
    </xf>
    <xf numFmtId="0" fontId="54" fillId="0" borderId="13" xfId="0" applyFont="1" applyBorder="1"/>
    <xf numFmtId="0" fontId="78" fillId="0" borderId="35" xfId="0" applyFont="1" applyBorder="1"/>
    <xf numFmtId="0" fontId="7" fillId="26" borderId="38" xfId="0" applyFont="1" applyFill="1" applyBorder="1" applyAlignment="1">
      <alignment horizontal="left" vertical="center" wrapText="1"/>
    </xf>
    <xf numFmtId="0" fontId="59" fillId="26" borderId="38" xfId="0" applyFont="1" applyFill="1" applyBorder="1" applyAlignment="1">
      <alignment horizontal="left" vertical="center"/>
    </xf>
    <xf numFmtId="0" fontId="7" fillId="26" borderId="38" xfId="0" applyFont="1" applyFill="1" applyBorder="1" applyAlignment="1">
      <alignment horizontal="center" vertical="center"/>
    </xf>
    <xf numFmtId="165" fontId="54" fillId="0" borderId="19" xfId="0" applyNumberFormat="1" applyFont="1" applyBorder="1"/>
    <xf numFmtId="165" fontId="54" fillId="0" borderId="0" xfId="0" applyNumberFormat="1" applyFont="1" applyBorder="1"/>
    <xf numFmtId="165" fontId="54" fillId="0" borderId="15" xfId="0" applyNumberFormat="1" applyFont="1" applyBorder="1"/>
    <xf numFmtId="165" fontId="54" fillId="0" borderId="31" xfId="0" applyNumberFormat="1" applyFont="1" applyBorder="1"/>
    <xf numFmtId="165" fontId="54" fillId="0" borderId="70" xfId="0" applyNumberFormat="1" applyFont="1" applyBorder="1"/>
    <xf numFmtId="165" fontId="54" fillId="0" borderId="100" xfId="0" applyNumberFormat="1" applyFont="1" applyBorder="1"/>
    <xf numFmtId="172" fontId="0" fillId="0" borderId="0" xfId="0" applyNumberFormat="1" applyFill="1"/>
    <xf numFmtId="172" fontId="0" fillId="0" borderId="0" xfId="0" applyNumberFormat="1" applyFill="1" applyBorder="1"/>
    <xf numFmtId="0" fontId="48" fillId="0" borderId="16" xfId="0" quotePrefix="1" applyFont="1" applyBorder="1" applyAlignment="1">
      <alignment wrapText="1"/>
    </xf>
    <xf numFmtId="0" fontId="48" fillId="0" borderId="12" xfId="0" quotePrefix="1" applyFont="1" applyBorder="1" applyAlignment="1">
      <alignment wrapText="1"/>
    </xf>
    <xf numFmtId="0" fontId="48" fillId="35" borderId="12" xfId="0" applyFont="1" applyFill="1" applyBorder="1" applyAlignment="1">
      <alignment wrapText="1"/>
    </xf>
    <xf numFmtId="0" fontId="49" fillId="35" borderId="13" xfId="0" applyFont="1" applyFill="1" applyBorder="1" applyAlignment="1">
      <alignment horizontal="center" wrapText="1"/>
    </xf>
    <xf numFmtId="0" fontId="55" fillId="0" borderId="22" xfId="0" applyFont="1" applyBorder="1"/>
    <xf numFmtId="167" fontId="49" fillId="0" borderId="17" xfId="0" applyNumberFormat="1" applyFont="1" applyBorder="1" applyAlignment="1">
      <alignment horizontal="center" wrapText="1"/>
    </xf>
    <xf numFmtId="167" fontId="49" fillId="0" borderId="13" xfId="0" applyNumberFormat="1" applyFont="1" applyBorder="1" applyAlignment="1">
      <alignment horizontal="center" wrapText="1"/>
    </xf>
    <xf numFmtId="1" fontId="49" fillId="0" borderId="17" xfId="0" applyNumberFormat="1" applyFont="1" applyBorder="1" applyAlignment="1">
      <alignment horizontal="center" wrapText="1"/>
    </xf>
    <xf numFmtId="1" fontId="49" fillId="0" borderId="13" xfId="0" applyNumberFormat="1" applyFont="1" applyBorder="1" applyAlignment="1">
      <alignment horizontal="center" wrapText="1"/>
    </xf>
    <xf numFmtId="0" fontId="11" fillId="0" borderId="36" xfId="550" applyBorder="1"/>
    <xf numFmtId="0" fontId="0" fillId="0" borderId="41" xfId="0" applyFill="1" applyBorder="1"/>
    <xf numFmtId="0" fontId="0" fillId="0" borderId="21" xfId="0" applyFill="1" applyBorder="1"/>
    <xf numFmtId="0" fontId="0" fillId="0" borderId="42" xfId="0" applyFill="1" applyBorder="1"/>
    <xf numFmtId="0" fontId="11" fillId="0" borderId="0" xfId="6970"/>
    <xf numFmtId="0" fontId="124" fillId="0" borderId="0" xfId="6971"/>
    <xf numFmtId="0" fontId="40" fillId="0" borderId="0" xfId="6973"/>
    <xf numFmtId="0" fontId="40" fillId="0" borderId="0" xfId="6973" applyAlignment="1">
      <alignment wrapText="1"/>
    </xf>
    <xf numFmtId="2" fontId="40" fillId="0" borderId="0" xfId="6973" applyNumberFormat="1"/>
    <xf numFmtId="0" fontId="0" fillId="0" borderId="0" xfId="6973" applyFont="1"/>
    <xf numFmtId="0" fontId="0" fillId="0" borderId="0" xfId="6973" applyFont="1" applyAlignment="1">
      <alignment wrapText="1"/>
    </xf>
    <xf numFmtId="0" fontId="124" fillId="0" borderId="0" xfId="6971" applyAlignment="1">
      <alignment horizontal="center"/>
    </xf>
    <xf numFmtId="0" fontId="124" fillId="0" borderId="0" xfId="6974"/>
    <xf numFmtId="0" fontId="59" fillId="0" borderId="0" xfId="2001" applyFont="1"/>
    <xf numFmtId="2" fontId="124" fillId="0" borderId="0" xfId="6974" applyNumberFormat="1"/>
    <xf numFmtId="0" fontId="59" fillId="27" borderId="20" xfId="6974" applyFont="1" applyFill="1" applyBorder="1" applyAlignment="1">
      <alignment horizontal="right"/>
    </xf>
    <xf numFmtId="0" fontId="59" fillId="34" borderId="19" xfId="6974" applyFont="1" applyFill="1" applyBorder="1" applyAlignment="1">
      <alignment vertical="top" wrapText="1"/>
    </xf>
    <xf numFmtId="0" fontId="59" fillId="26" borderId="19" xfId="6974" applyFont="1" applyFill="1" applyBorder="1" applyAlignment="1">
      <alignment horizontal="left" vertical="center" wrapText="1"/>
    </xf>
    <xf numFmtId="0" fontId="59" fillId="87" borderId="19" xfId="6974" applyFont="1" applyFill="1" applyBorder="1" applyAlignment="1">
      <alignment horizontal="left" vertical="center" wrapText="1"/>
    </xf>
    <xf numFmtId="0" fontId="49" fillId="0" borderId="13" xfId="6971" applyFont="1" applyBorder="1" applyAlignment="1">
      <alignment horizontal="center" wrapText="1"/>
    </xf>
    <xf numFmtId="0" fontId="48" fillId="0" borderId="12" xfId="6971" applyFont="1" applyBorder="1" applyAlignment="1">
      <alignment wrapText="1"/>
    </xf>
    <xf numFmtId="3" fontId="49" fillId="0" borderId="13" xfId="6971" applyNumberFormat="1" applyFont="1" applyBorder="1" applyAlignment="1">
      <alignment horizontal="center" wrapText="1"/>
    </xf>
    <xf numFmtId="0" fontId="49" fillId="0" borderId="17" xfId="6971" applyFont="1" applyBorder="1" applyAlignment="1">
      <alignment horizontal="center" wrapText="1"/>
    </xf>
    <xf numFmtId="0" fontId="48" fillId="0" borderId="16" xfId="6971" applyFont="1" applyBorder="1" applyAlignment="1">
      <alignment wrapText="1"/>
    </xf>
    <xf numFmtId="0" fontId="51" fillId="0" borderId="13" xfId="6971" applyFont="1" applyBorder="1" applyAlignment="1">
      <alignment horizontal="center" wrapText="1"/>
    </xf>
    <xf numFmtId="0" fontId="51" fillId="0" borderId="15" xfId="6971" applyFont="1" applyBorder="1" applyAlignment="1">
      <alignment horizontal="center" wrapText="1"/>
    </xf>
    <xf numFmtId="0" fontId="50" fillId="0" borderId="14" xfId="6971" applyFont="1" applyBorder="1" applyAlignment="1">
      <alignment wrapText="1"/>
    </xf>
    <xf numFmtId="2" fontId="124" fillId="0" borderId="0" xfId="6971" applyNumberFormat="1"/>
    <xf numFmtId="0" fontId="124" fillId="0" borderId="0" xfId="6971" applyAlignment="1">
      <alignment wrapText="1"/>
    </xf>
    <xf numFmtId="2" fontId="59" fillId="0" borderId="0" xfId="2001" applyNumberFormat="1" applyFont="1"/>
    <xf numFmtId="0" fontId="126" fillId="0" borderId="0" xfId="2001" applyFont="1"/>
    <xf numFmtId="0" fontId="59" fillId="27" borderId="20" xfId="6971" applyFont="1" applyFill="1" applyBorder="1" applyAlignment="1">
      <alignment horizontal="right"/>
    </xf>
    <xf numFmtId="0" fontId="59" fillId="34" borderId="19" xfId="6971" applyFont="1" applyFill="1" applyBorder="1" applyAlignment="1">
      <alignment vertical="top" wrapText="1"/>
    </xf>
    <xf numFmtId="0" fontId="59" fillId="26" borderId="19" xfId="6971" applyFont="1" applyFill="1" applyBorder="1" applyAlignment="1">
      <alignment horizontal="left" vertical="center" wrapText="1"/>
    </xf>
    <xf numFmtId="0" fontId="59" fillId="87" borderId="19" xfId="6971" applyFont="1" applyFill="1" applyBorder="1" applyAlignment="1">
      <alignment horizontal="left" vertical="center" wrapText="1"/>
    </xf>
    <xf numFmtId="0" fontId="79" fillId="37" borderId="1" xfId="6976" applyFont="1" applyFill="1" applyBorder="1" applyAlignment="1">
      <alignment horizontal="center" vertical="center" wrapText="1"/>
    </xf>
    <xf numFmtId="0" fontId="79" fillId="37" borderId="1" xfId="6976" applyFont="1" applyFill="1" applyBorder="1" applyAlignment="1">
      <alignment vertical="center" wrapText="1"/>
    </xf>
    <xf numFmtId="0" fontId="79" fillId="37" borderId="40" xfId="6976" applyFont="1" applyFill="1" applyBorder="1" applyAlignment="1">
      <alignment horizontal="center" vertical="center" wrapText="1"/>
    </xf>
    <xf numFmtId="167" fontId="79" fillId="37" borderId="40" xfId="6976" applyNumberFormat="1" applyFont="1" applyFill="1" applyBorder="1" applyAlignment="1">
      <alignment horizontal="center" wrapText="1"/>
    </xf>
    <xf numFmtId="49" fontId="79" fillId="37" borderId="26" xfId="6976" applyNumberFormat="1" applyFont="1" applyFill="1" applyBorder="1" applyAlignment="1">
      <alignment vertical="center" wrapText="1"/>
    </xf>
    <xf numFmtId="0" fontId="79" fillId="37" borderId="26" xfId="6976" applyFont="1" applyFill="1" applyBorder="1" applyAlignment="1">
      <alignment vertical="center" wrapText="1"/>
    </xf>
    <xf numFmtId="2" fontId="79" fillId="37" borderId="40" xfId="6976" applyNumberFormat="1" applyFont="1" applyFill="1" applyBorder="1" applyAlignment="1">
      <alignment horizontal="center" vertical="center" wrapText="1"/>
    </xf>
    <xf numFmtId="167" fontId="79" fillId="37" borderId="40" xfId="6976" applyNumberFormat="1" applyFont="1" applyFill="1" applyBorder="1" applyAlignment="1">
      <alignment horizontal="center" vertical="center" wrapText="1"/>
    </xf>
    <xf numFmtId="0" fontId="79" fillId="37" borderId="40" xfId="6976" quotePrefix="1" applyFont="1" applyFill="1" applyBorder="1" applyAlignment="1">
      <alignment horizontal="center" vertical="center" wrapText="1"/>
    </xf>
    <xf numFmtId="0" fontId="79" fillId="37" borderId="70" xfId="6976" applyFont="1" applyFill="1" applyBorder="1" applyAlignment="1">
      <alignment horizontal="center" vertical="center" wrapText="1"/>
    </xf>
    <xf numFmtId="0" fontId="79" fillId="37" borderId="42" xfId="6976" applyFont="1" applyFill="1" applyBorder="1" applyAlignment="1">
      <alignment vertical="center" wrapText="1"/>
    </xf>
    <xf numFmtId="0" fontId="79" fillId="79" borderId="1" xfId="6976" applyFont="1" applyFill="1" applyBorder="1" applyAlignment="1">
      <alignment horizontal="center" vertical="center" wrapText="1"/>
    </xf>
    <xf numFmtId="0" fontId="79" fillId="79" borderId="40" xfId="6976" applyFont="1" applyFill="1" applyBorder="1" applyAlignment="1">
      <alignment horizontal="center" vertical="center" wrapText="1"/>
    </xf>
    <xf numFmtId="0" fontId="79" fillId="79" borderId="26" xfId="6976" applyFont="1" applyFill="1" applyBorder="1" applyAlignment="1">
      <alignment vertical="center" wrapText="1"/>
    </xf>
    <xf numFmtId="0" fontId="79" fillId="37" borderId="27" xfId="6976" applyFont="1" applyFill="1" applyBorder="1" applyAlignment="1">
      <alignment vertical="center" wrapText="1"/>
    </xf>
    <xf numFmtId="0" fontId="79" fillId="79" borderId="39" xfId="6976" applyFont="1" applyFill="1" applyBorder="1" applyAlignment="1">
      <alignment horizontal="center" vertical="center" wrapText="1"/>
    </xf>
    <xf numFmtId="0" fontId="79" fillId="79" borderId="1" xfId="6976" applyFont="1" applyFill="1" applyBorder="1" applyAlignment="1">
      <alignment vertical="center" wrapText="1"/>
    </xf>
    <xf numFmtId="0" fontId="79" fillId="0" borderId="39" xfId="6976" applyFont="1" applyBorder="1" applyAlignment="1">
      <alignment horizontal="center" vertical="center" wrapText="1"/>
    </xf>
    <xf numFmtId="0" fontId="79" fillId="0" borderId="1" xfId="6976" applyFont="1" applyBorder="1" applyAlignment="1">
      <alignment horizontal="center" vertical="center" wrapText="1"/>
    </xf>
    <xf numFmtId="0" fontId="79" fillId="0" borderId="1" xfId="6976" applyFont="1" applyBorder="1" applyAlignment="1">
      <alignment vertical="center" wrapText="1"/>
    </xf>
    <xf numFmtId="0" fontId="62" fillId="37" borderId="39" xfId="6976" applyFont="1" applyFill="1" applyBorder="1" applyAlignment="1">
      <alignment vertical="center" wrapText="1"/>
    </xf>
    <xf numFmtId="0" fontId="62" fillId="37" borderId="38" xfId="6976" applyFont="1" applyFill="1" applyBorder="1" applyAlignment="1">
      <alignment vertical="center" wrapText="1"/>
    </xf>
    <xf numFmtId="0" fontId="62" fillId="37" borderId="37" xfId="6976" applyFont="1" applyFill="1" applyBorder="1" applyAlignment="1">
      <alignment vertical="center" wrapText="1"/>
    </xf>
    <xf numFmtId="0" fontId="62" fillId="37" borderId="40" xfId="6976" applyFont="1" applyFill="1" applyBorder="1" applyAlignment="1">
      <alignment horizontal="center" vertical="center" wrapText="1"/>
    </xf>
    <xf numFmtId="0" fontId="62" fillId="37" borderId="1" xfId="6976" applyFont="1" applyFill="1" applyBorder="1" applyAlignment="1">
      <alignment vertical="center" wrapText="1"/>
    </xf>
    <xf numFmtId="167" fontId="11" fillId="0" borderId="0" xfId="6970" applyNumberFormat="1"/>
    <xf numFmtId="0" fontId="128" fillId="0" borderId="0" xfId="6971" applyFont="1"/>
    <xf numFmtId="2" fontId="128" fillId="0" borderId="0" xfId="6971" applyNumberFormat="1" applyFont="1"/>
    <xf numFmtId="0" fontId="128" fillId="0" borderId="0" xfId="2001" applyFont="1"/>
    <xf numFmtId="0" fontId="128" fillId="0" borderId="0" xfId="6971" applyFont="1" applyAlignment="1">
      <alignment wrapText="1"/>
    </xf>
    <xf numFmtId="2" fontId="128" fillId="0" borderId="0" xfId="2001" applyNumberFormat="1" applyFont="1"/>
    <xf numFmtId="0" fontId="129" fillId="0" borderId="0" xfId="2001" applyFont="1"/>
    <xf numFmtId="0" fontId="130" fillId="0" borderId="0" xfId="6971" applyFont="1"/>
    <xf numFmtId="165" fontId="124" fillId="0" borderId="0" xfId="6971" applyNumberFormat="1" applyAlignment="1">
      <alignment horizontal="center"/>
    </xf>
    <xf numFmtId="2" fontId="124" fillId="0" borderId="0" xfId="6971" applyNumberFormat="1" applyAlignment="1">
      <alignment horizontal="center"/>
    </xf>
    <xf numFmtId="0" fontId="59" fillId="0" borderId="0" xfId="2001" applyFont="1" applyAlignment="1">
      <alignment horizontal="center"/>
    </xf>
    <xf numFmtId="0" fontId="124" fillId="0" borderId="0" xfId="6971" applyAlignment="1">
      <alignment horizontal="center" wrapText="1"/>
    </xf>
    <xf numFmtId="2" fontId="59" fillId="0" borderId="0" xfId="2001" applyNumberFormat="1" applyFont="1" applyAlignment="1">
      <alignment horizontal="center"/>
    </xf>
    <xf numFmtId="178" fontId="59" fillId="0" borderId="0" xfId="2001" applyNumberFormat="1" applyFont="1" applyAlignment="1">
      <alignment horizontal="center"/>
    </xf>
    <xf numFmtId="167" fontId="124" fillId="0" borderId="0" xfId="6971" applyNumberFormat="1" applyAlignment="1">
      <alignment horizontal="center" wrapText="1"/>
    </xf>
    <xf numFmtId="0" fontId="124" fillId="0" borderId="39" xfId="6971" applyBorder="1"/>
    <xf numFmtId="0" fontId="124" fillId="0" borderId="37" xfId="6971" applyBorder="1"/>
    <xf numFmtId="0" fontId="59" fillId="27" borderId="20" xfId="6971" applyFont="1" applyFill="1" applyBorder="1" applyAlignment="1">
      <alignment horizontal="center"/>
    </xf>
    <xf numFmtId="0" fontId="59" fillId="34" borderId="19" xfId="6971" applyFont="1" applyFill="1" applyBorder="1" applyAlignment="1">
      <alignment horizontal="center" vertical="top" wrapText="1"/>
    </xf>
    <xf numFmtId="0" fontId="124" fillId="0" borderId="0" xfId="6974" applyAlignment="1">
      <alignment wrapText="1"/>
    </xf>
    <xf numFmtId="0" fontId="79" fillId="37" borderId="1" xfId="6977" applyFont="1" applyFill="1" applyBorder="1" applyAlignment="1">
      <alignment horizontal="center" vertical="center" wrapText="1"/>
    </xf>
    <xf numFmtId="0" fontId="79" fillId="37" borderId="1" xfId="6977" applyFont="1" applyFill="1" applyBorder="1" applyAlignment="1">
      <alignment vertical="center" wrapText="1"/>
    </xf>
    <xf numFmtId="0" fontId="79" fillId="37" borderId="40" xfId="6977" applyFont="1" applyFill="1" applyBorder="1" applyAlignment="1">
      <alignment horizontal="center" vertical="center" wrapText="1"/>
    </xf>
    <xf numFmtId="167" fontId="79" fillId="37" borderId="40" xfId="6977" applyNumberFormat="1" applyFont="1" applyFill="1" applyBorder="1" applyAlignment="1">
      <alignment horizontal="center" wrapText="1"/>
    </xf>
    <xf numFmtId="49" fontId="79" fillId="37" borderId="26" xfId="6977" applyNumberFormat="1" applyFont="1" applyFill="1" applyBorder="1" applyAlignment="1">
      <alignment vertical="center" wrapText="1"/>
    </xf>
    <xf numFmtId="0" fontId="79" fillId="37" borderId="26" xfId="6977" applyFont="1" applyFill="1" applyBorder="1" applyAlignment="1">
      <alignment vertical="center" wrapText="1"/>
    </xf>
    <xf numFmtId="2" fontId="79" fillId="37" borderId="40" xfId="6977" applyNumberFormat="1" applyFont="1" applyFill="1" applyBorder="1" applyAlignment="1">
      <alignment horizontal="center" vertical="center" wrapText="1"/>
    </xf>
    <xf numFmtId="167" fontId="79" fillId="37" borderId="40" xfId="6977" applyNumberFormat="1" applyFont="1" applyFill="1" applyBorder="1" applyAlignment="1">
      <alignment horizontal="center" vertical="center" wrapText="1"/>
    </xf>
    <xf numFmtId="0" fontId="79" fillId="37" borderId="40" xfId="6977" quotePrefix="1" applyFont="1" applyFill="1" applyBorder="1" applyAlignment="1">
      <alignment horizontal="center" vertical="center" wrapText="1"/>
    </xf>
    <xf numFmtId="0" fontId="79" fillId="37" borderId="70" xfId="6977" applyFont="1" applyFill="1" applyBorder="1" applyAlignment="1">
      <alignment horizontal="center" vertical="center" wrapText="1"/>
    </xf>
    <xf numFmtId="0" fontId="79" fillId="37" borderId="42" xfId="6977" applyFont="1" applyFill="1" applyBorder="1" applyAlignment="1">
      <alignment vertical="center" wrapText="1"/>
    </xf>
    <xf numFmtId="0" fontId="79" fillId="37" borderId="27" xfId="6977" applyFont="1" applyFill="1" applyBorder="1" applyAlignment="1">
      <alignment vertical="center" wrapText="1"/>
    </xf>
    <xf numFmtId="0" fontId="79" fillId="37" borderId="39" xfId="6977" applyFont="1" applyFill="1" applyBorder="1" applyAlignment="1">
      <alignment horizontal="center" vertical="center" wrapText="1"/>
    </xf>
    <xf numFmtId="0" fontId="62" fillId="37" borderId="39" xfId="6977" applyFont="1" applyFill="1" applyBorder="1" applyAlignment="1">
      <alignment vertical="center" wrapText="1"/>
    </xf>
    <xf numFmtId="0" fontId="62" fillId="37" borderId="38" xfId="6977" applyFont="1" applyFill="1" applyBorder="1" applyAlignment="1">
      <alignment vertical="center" wrapText="1"/>
    </xf>
    <xf numFmtId="0" fontId="62" fillId="37" borderId="37" xfId="6977" applyFont="1" applyFill="1" applyBorder="1" applyAlignment="1">
      <alignment vertical="center" wrapText="1"/>
    </xf>
    <xf numFmtId="0" fontId="62" fillId="37" borderId="40" xfId="6977" applyFont="1" applyFill="1" applyBorder="1" applyAlignment="1">
      <alignment horizontal="center" vertical="center" wrapText="1"/>
    </xf>
    <xf numFmtId="0" fontId="62" fillId="37" borderId="1" xfId="6977" applyFont="1" applyFill="1" applyBorder="1" applyAlignment="1">
      <alignment vertical="center" wrapText="1"/>
    </xf>
    <xf numFmtId="0" fontId="128" fillId="0" borderId="0" xfId="6974" applyFont="1"/>
    <xf numFmtId="2" fontId="128" fillId="0" borderId="0" xfId="6974" applyNumberFormat="1" applyFont="1"/>
    <xf numFmtId="0" fontId="128" fillId="0" borderId="0" xfId="6974" applyFont="1" applyAlignment="1">
      <alignment wrapText="1"/>
    </xf>
    <xf numFmtId="0" fontId="130" fillId="0" borderId="0" xfId="6974" applyFont="1"/>
    <xf numFmtId="0" fontId="49" fillId="0" borderId="13" xfId="6974" applyFont="1" applyBorder="1" applyAlignment="1">
      <alignment horizontal="center" wrapText="1"/>
    </xf>
    <xf numFmtId="0" fontId="48" fillId="0" borderId="12" xfId="6974" applyFont="1" applyBorder="1" applyAlignment="1">
      <alignment wrapText="1"/>
    </xf>
    <xf numFmtId="3" fontId="49" fillId="0" borderId="13" xfId="6974" applyNumberFormat="1" applyFont="1" applyBorder="1" applyAlignment="1">
      <alignment horizontal="center" wrapText="1"/>
    </xf>
    <xf numFmtId="0" fontId="49" fillId="0" borderId="17" xfId="6974" applyFont="1" applyBorder="1" applyAlignment="1">
      <alignment horizontal="center" wrapText="1"/>
    </xf>
    <xf numFmtId="0" fontId="48" fillId="0" borderId="16" xfId="6974" applyFont="1" applyBorder="1" applyAlignment="1">
      <alignment wrapText="1"/>
    </xf>
    <xf numFmtId="0" fontId="51" fillId="0" borderId="13" xfId="6974" applyFont="1" applyBorder="1" applyAlignment="1">
      <alignment horizontal="center" wrapText="1"/>
    </xf>
    <xf numFmtId="0" fontId="51" fillId="0" borderId="15" xfId="6974" applyFont="1" applyBorder="1" applyAlignment="1">
      <alignment horizontal="center" wrapText="1"/>
    </xf>
    <xf numFmtId="0" fontId="50" fillId="0" borderId="14" xfId="6974" applyFont="1" applyBorder="1" applyAlignment="1">
      <alignment wrapText="1"/>
    </xf>
    <xf numFmtId="0" fontId="40" fillId="0" borderId="35" xfId="6973" applyBorder="1"/>
    <xf numFmtId="9" fontId="40" fillId="0" borderId="107" xfId="6973" applyNumberFormat="1" applyBorder="1"/>
    <xf numFmtId="1" fontId="40" fillId="0" borderId="21" xfId="6973" applyNumberFormat="1" applyBorder="1"/>
    <xf numFmtId="3" fontId="40" fillId="0" borderId="70" xfId="6973" applyNumberFormat="1" applyBorder="1"/>
    <xf numFmtId="3" fontId="40" fillId="0" borderId="0" xfId="6973" applyNumberFormat="1"/>
    <xf numFmtId="179" fontId="40" fillId="0" borderId="35" xfId="6973" applyNumberFormat="1" applyBorder="1"/>
    <xf numFmtId="9" fontId="131" fillId="0" borderId="107" xfId="6973" applyNumberFormat="1" applyFont="1" applyBorder="1"/>
    <xf numFmtId="9" fontId="78" fillId="0" borderId="107" xfId="6973" applyNumberFormat="1" applyFont="1" applyBorder="1"/>
    <xf numFmtId="0" fontId="132" fillId="0" borderId="0" xfId="6973" applyFont="1"/>
    <xf numFmtId="9" fontId="132" fillId="0" borderId="40" xfId="6973" applyNumberFormat="1" applyFont="1" applyBorder="1"/>
    <xf numFmtId="1" fontId="132" fillId="0" borderId="42" xfId="6973" applyNumberFormat="1" applyFont="1" applyBorder="1"/>
    <xf numFmtId="3" fontId="132" fillId="0" borderId="40" xfId="6973" applyNumberFormat="1" applyFont="1" applyBorder="1"/>
    <xf numFmtId="3" fontId="132" fillId="0" borderId="36" xfId="6973" applyNumberFormat="1" applyFont="1" applyBorder="1"/>
    <xf numFmtId="3" fontId="132" fillId="0" borderId="42" xfId="6973" applyNumberFormat="1" applyFont="1" applyBorder="1"/>
    <xf numFmtId="179" fontId="132" fillId="0" borderId="40" xfId="6973" applyNumberFormat="1" applyFont="1" applyBorder="1"/>
    <xf numFmtId="0" fontId="132" fillId="0" borderId="26" xfId="6973" applyFont="1" applyBorder="1"/>
    <xf numFmtId="9" fontId="132" fillId="0" borderId="70" xfId="6973" applyNumberFormat="1" applyFont="1" applyBorder="1"/>
    <xf numFmtId="1" fontId="132" fillId="0" borderId="21" xfId="6973" applyNumberFormat="1" applyFont="1" applyBorder="1"/>
    <xf numFmtId="3" fontId="132" fillId="0" borderId="70" xfId="6973" applyNumberFormat="1" applyFont="1" applyBorder="1"/>
    <xf numFmtId="3" fontId="132" fillId="0" borderId="0" xfId="6973" applyNumberFormat="1" applyFont="1"/>
    <xf numFmtId="3" fontId="132" fillId="0" borderId="21" xfId="6973" applyNumberFormat="1" applyFont="1" applyBorder="1"/>
    <xf numFmtId="179" fontId="132" fillId="0" borderId="70" xfId="6973" applyNumberFormat="1" applyFont="1" applyBorder="1"/>
    <xf numFmtId="0" fontId="132" fillId="0" borderId="27" xfId="6973" applyFont="1" applyBorder="1"/>
    <xf numFmtId="0" fontId="132" fillId="0" borderId="70" xfId="6973" applyFont="1" applyBorder="1"/>
    <xf numFmtId="0" fontId="132" fillId="0" borderId="21" xfId="6973" applyFont="1" applyBorder="1"/>
    <xf numFmtId="9" fontId="40" fillId="0" borderId="70" xfId="6973" applyNumberFormat="1" applyBorder="1"/>
    <xf numFmtId="3" fontId="40" fillId="0" borderId="21" xfId="6973" applyNumberFormat="1" applyBorder="1"/>
    <xf numFmtId="179" fontId="40" fillId="0" borderId="70" xfId="6973" applyNumberFormat="1" applyBorder="1"/>
    <xf numFmtId="0" fontId="40" fillId="0" borderId="27" xfId="6973" applyBorder="1"/>
    <xf numFmtId="1" fontId="132" fillId="0" borderId="70" xfId="6973" applyNumberFormat="1" applyFont="1" applyBorder="1"/>
    <xf numFmtId="1" fontId="132" fillId="0" borderId="0" xfId="6973" applyNumberFormat="1" applyFont="1"/>
    <xf numFmtId="9" fontId="133" fillId="0" borderId="107" xfId="6973" applyNumberFormat="1" applyFont="1" applyBorder="1"/>
    <xf numFmtId="0" fontId="134" fillId="0" borderId="0" xfId="6973" applyFont="1"/>
    <xf numFmtId="9" fontId="134" fillId="0" borderId="70" xfId="6973" applyNumberFormat="1" applyFont="1" applyBorder="1"/>
    <xf numFmtId="1" fontId="134" fillId="0" borderId="21" xfId="6973" applyNumberFormat="1" applyFont="1" applyBorder="1"/>
    <xf numFmtId="3" fontId="134" fillId="0" borderId="70" xfId="6973" applyNumberFormat="1" applyFont="1" applyBorder="1"/>
    <xf numFmtId="3" fontId="134" fillId="0" borderId="0" xfId="6973" applyNumberFormat="1" applyFont="1"/>
    <xf numFmtId="3" fontId="134" fillId="0" borderId="21" xfId="6973" applyNumberFormat="1" applyFont="1" applyBorder="1"/>
    <xf numFmtId="179" fontId="134" fillId="0" borderId="70" xfId="6973" applyNumberFormat="1" applyFont="1" applyBorder="1"/>
    <xf numFmtId="0" fontId="134" fillId="0" borderId="27" xfId="6973" applyFont="1" applyBorder="1"/>
    <xf numFmtId="0" fontId="40" fillId="0" borderId="70" xfId="6973" applyBorder="1"/>
    <xf numFmtId="0" fontId="40" fillId="0" borderId="21" xfId="6973" applyBorder="1"/>
    <xf numFmtId="2" fontId="0" fillId="0" borderId="0" xfId="6973" applyNumberFormat="1" applyFont="1"/>
    <xf numFmtId="2" fontId="40" fillId="0" borderId="13" xfId="6973" applyNumberFormat="1" applyBorder="1"/>
    <xf numFmtId="2" fontId="40" fillId="0" borderId="15" xfId="6973" applyNumberFormat="1" applyBorder="1"/>
    <xf numFmtId="0" fontId="135" fillId="0" borderId="14" xfId="6973" applyFont="1" applyBorder="1" applyAlignment="1">
      <alignment vertical="center"/>
    </xf>
    <xf numFmtId="2" fontId="40" fillId="0" borderId="17" xfId="6973" applyNumberFormat="1" applyBorder="1"/>
    <xf numFmtId="0" fontId="135" fillId="0" borderId="35" xfId="6973" applyFont="1" applyBorder="1" applyAlignment="1">
      <alignment vertical="center"/>
    </xf>
    <xf numFmtId="2" fontId="40" fillId="0" borderId="29" xfId="6973" applyNumberFormat="1" applyBorder="1"/>
    <xf numFmtId="2" fontId="40" fillId="0" borderId="34" xfId="6973" applyNumberFormat="1" applyBorder="1"/>
    <xf numFmtId="0" fontId="135" fillId="0" borderId="33" xfId="6973" applyFont="1" applyBorder="1" applyAlignment="1">
      <alignment vertical="center"/>
    </xf>
    <xf numFmtId="1" fontId="136" fillId="40" borderId="13" xfId="6973" applyNumberFormat="1" applyFont="1" applyFill="1" applyBorder="1"/>
    <xf numFmtId="1" fontId="136" fillId="40" borderId="15" xfId="6973" applyNumberFormat="1" applyFont="1" applyFill="1" applyBorder="1"/>
    <xf numFmtId="1" fontId="136" fillId="77" borderId="15" xfId="6973" applyNumberFormat="1" applyFont="1" applyFill="1" applyBorder="1"/>
    <xf numFmtId="167" fontId="136" fillId="79" borderId="15" xfId="6973" applyNumberFormat="1" applyFont="1" applyFill="1" applyBorder="1"/>
    <xf numFmtId="167" fontId="136" fillId="79" borderId="15" xfId="6973" quotePrefix="1" applyNumberFormat="1" applyFont="1" applyFill="1" applyBorder="1"/>
    <xf numFmtId="1" fontId="136" fillId="88" borderId="15" xfId="6973" applyNumberFormat="1" applyFont="1" applyFill="1" applyBorder="1"/>
    <xf numFmtId="1" fontId="136" fillId="40" borderId="17" xfId="6973" applyNumberFormat="1" applyFont="1" applyFill="1" applyBorder="1"/>
    <xf numFmtId="1" fontId="136" fillId="40" borderId="0" xfId="6973" applyNumberFormat="1" applyFont="1" applyFill="1"/>
    <xf numFmtId="1" fontId="136" fillId="77" borderId="0" xfId="6973" applyNumberFormat="1" applyFont="1" applyFill="1"/>
    <xf numFmtId="167" fontId="136" fillId="79" borderId="0" xfId="6973" applyNumberFormat="1" applyFont="1" applyFill="1"/>
    <xf numFmtId="1" fontId="136" fillId="88" borderId="0" xfId="6973" applyNumberFormat="1" applyFont="1" applyFill="1"/>
    <xf numFmtId="0" fontId="137" fillId="40" borderId="29" xfId="6973" applyFont="1" applyFill="1" applyBorder="1"/>
    <xf numFmtId="0" fontId="137" fillId="40" borderId="34" xfId="6973" applyFont="1" applyFill="1" applyBorder="1"/>
    <xf numFmtId="0" fontId="137" fillId="77" borderId="34" xfId="6973" applyFont="1" applyFill="1" applyBorder="1"/>
    <xf numFmtId="0" fontId="137" fillId="79" borderId="34" xfId="6973" applyFont="1" applyFill="1" applyBorder="1"/>
    <xf numFmtId="0" fontId="137" fillId="88" borderId="34" xfId="6973" applyFont="1" applyFill="1" applyBorder="1"/>
    <xf numFmtId="0" fontId="40" fillId="0" borderId="33" xfId="6973" applyBorder="1"/>
    <xf numFmtId="0" fontId="85" fillId="0" borderId="0" xfId="6978"/>
    <xf numFmtId="0" fontId="40" fillId="71" borderId="0" xfId="6973" applyFill="1"/>
    <xf numFmtId="0" fontId="46" fillId="71" borderId="0" xfId="6973" applyFont="1" applyFill="1"/>
    <xf numFmtId="0" fontId="135" fillId="0" borderId="15" xfId="6973" applyFont="1" applyBorder="1"/>
    <xf numFmtId="0" fontId="135" fillId="0" borderId="0" xfId="6973" applyFont="1"/>
    <xf numFmtId="0" fontId="135" fillId="0" borderId="34" xfId="6973" applyFont="1" applyBorder="1"/>
    <xf numFmtId="0" fontId="124" fillId="0" borderId="0" xfId="6979"/>
    <xf numFmtId="1" fontId="124" fillId="0" borderId="0" xfId="6979" applyNumberFormat="1"/>
    <xf numFmtId="1" fontId="136" fillId="79" borderId="15" xfId="6973" applyNumberFormat="1" applyFont="1" applyFill="1" applyBorder="1"/>
    <xf numFmtId="16" fontId="0" fillId="0" borderId="0" xfId="6973" applyNumberFormat="1" applyFont="1"/>
    <xf numFmtId="1" fontId="136" fillId="79" borderId="0" xfId="6973" applyNumberFormat="1" applyFont="1" applyFill="1"/>
    <xf numFmtId="0" fontId="40" fillId="0" borderId="34" xfId="6973" applyBorder="1"/>
    <xf numFmtId="1" fontId="138" fillId="0" borderId="33" xfId="6973" applyNumberFormat="1" applyFont="1" applyBorder="1"/>
    <xf numFmtId="0" fontId="40" fillId="0" borderId="40" xfId="6973" applyBorder="1"/>
    <xf numFmtId="0" fontId="40" fillId="0" borderId="36" xfId="6973" applyBorder="1"/>
    <xf numFmtId="0" fontId="40" fillId="0" borderId="42" xfId="6973" applyBorder="1"/>
    <xf numFmtId="0" fontId="135" fillId="0" borderId="0" xfId="6973" applyFont="1" applyAlignment="1">
      <alignment vertical="center"/>
    </xf>
    <xf numFmtId="0" fontId="0" fillId="0" borderId="21" xfId="6973" applyFont="1" applyBorder="1"/>
    <xf numFmtId="1" fontId="138" fillId="0" borderId="0" xfId="6973" applyNumberFormat="1" applyFont="1"/>
    <xf numFmtId="1" fontId="45" fillId="0" borderId="0" xfId="6973" applyNumberFormat="1" applyFont="1"/>
    <xf numFmtId="0" fontId="40" fillId="0" borderId="31" xfId="6973" applyBorder="1"/>
    <xf numFmtId="0" fontId="40" fillId="0" borderId="19" xfId="6973" applyBorder="1"/>
    <xf numFmtId="0" fontId="137" fillId="0" borderId="19" xfId="6973" applyFont="1" applyBorder="1"/>
    <xf numFmtId="0" fontId="137" fillId="0" borderId="41" xfId="6973" applyFont="1" applyBorder="1"/>
    <xf numFmtId="0" fontId="137" fillId="0" borderId="0" xfId="6973" applyFont="1"/>
    <xf numFmtId="179" fontId="40" fillId="0" borderId="31" xfId="6973" applyNumberFormat="1" applyBorder="1"/>
    <xf numFmtId="0" fontId="40" fillId="0" borderId="28" xfId="6973" applyBorder="1"/>
    <xf numFmtId="0" fontId="40" fillId="0" borderId="107" xfId="6973" applyBorder="1"/>
    <xf numFmtId="43" fontId="0" fillId="0" borderId="0" xfId="0" applyNumberFormat="1"/>
    <xf numFmtId="0" fontId="0" fillId="0" borderId="112" xfId="0" applyBorder="1"/>
    <xf numFmtId="167" fontId="0" fillId="0" borderId="0" xfId="0" applyNumberFormat="1"/>
    <xf numFmtId="1" fontId="0" fillId="0" borderId="0" xfId="0" applyNumberFormat="1"/>
    <xf numFmtId="0" fontId="69" fillId="106" borderId="113" xfId="0" applyFont="1" applyFill="1" applyBorder="1"/>
    <xf numFmtId="0" fontId="69" fillId="106" borderId="112" xfId="0" applyFont="1" applyFill="1" applyBorder="1"/>
    <xf numFmtId="1" fontId="69" fillId="106" borderId="112" xfId="0" applyNumberFormat="1" applyFont="1" applyFill="1" applyBorder="1"/>
    <xf numFmtId="167" fontId="69" fillId="106" borderId="112" xfId="0" applyNumberFormat="1" applyFont="1" applyFill="1" applyBorder="1"/>
    <xf numFmtId="165" fontId="69" fillId="106" borderId="112" xfId="0" applyNumberFormat="1" applyFont="1" applyFill="1" applyBorder="1"/>
    <xf numFmtId="2" fontId="69" fillId="106" borderId="112" xfId="0" applyNumberFormat="1" applyFont="1" applyFill="1" applyBorder="1"/>
    <xf numFmtId="167" fontId="69" fillId="107" borderId="112" xfId="0" applyNumberFormat="1" applyFont="1" applyFill="1" applyBorder="1"/>
    <xf numFmtId="1" fontId="69" fillId="107" borderId="114" xfId="0" applyNumberFormat="1" applyFont="1" applyFill="1" applyBorder="1"/>
    <xf numFmtId="0" fontId="0" fillId="108" borderId="113" xfId="0" applyFill="1" applyBorder="1"/>
    <xf numFmtId="0" fontId="0" fillId="108" borderId="112" xfId="0" applyFill="1" applyBorder="1"/>
    <xf numFmtId="0" fontId="0" fillId="94" borderId="0" xfId="0" applyFill="1"/>
    <xf numFmtId="0" fontId="0" fillId="0" borderId="113" xfId="0" applyBorder="1"/>
    <xf numFmtId="1" fontId="69" fillId="106" borderId="0" xfId="0" applyNumberFormat="1" applyFont="1" applyFill="1" applyBorder="1"/>
    <xf numFmtId="0" fontId="40" fillId="0" borderId="0" xfId="55821"/>
    <xf numFmtId="0" fontId="86" fillId="26" borderId="19" xfId="0" applyFont="1" applyFill="1" applyBorder="1" applyAlignment="1">
      <alignment horizontal="left" vertical="center" wrapText="1"/>
    </xf>
    <xf numFmtId="0" fontId="86" fillId="109" borderId="19" xfId="0" applyFont="1" applyFill="1" applyBorder="1" applyAlignment="1">
      <alignment horizontal="center" vertical="center" wrapText="1"/>
    </xf>
    <xf numFmtId="165" fontId="0" fillId="0" borderId="1" xfId="0" applyNumberFormat="1" applyFill="1" applyBorder="1" applyAlignment="1">
      <alignment horizontal="center"/>
    </xf>
    <xf numFmtId="167" fontId="59" fillId="0" borderId="1" xfId="0" applyNumberFormat="1" applyFont="1" applyFill="1" applyBorder="1" applyAlignment="1">
      <alignment horizontal="center"/>
    </xf>
    <xf numFmtId="0" fontId="47" fillId="0" borderId="1" xfId="0" applyFont="1" applyBorder="1" applyAlignment="1">
      <alignment horizontal="center"/>
    </xf>
    <xf numFmtId="0" fontId="59" fillId="0" borderId="1" xfId="0" applyFont="1" applyBorder="1" applyAlignment="1">
      <alignment horizontal="center"/>
    </xf>
    <xf numFmtId="167" fontId="59" fillId="0" borderId="1" xfId="0" applyNumberFormat="1" applyFont="1" applyBorder="1" applyAlignment="1">
      <alignment horizontal="center"/>
    </xf>
    <xf numFmtId="2" fontId="0" fillId="0" borderId="1" xfId="0" applyNumberFormat="1" applyBorder="1"/>
    <xf numFmtId="2" fontId="0" fillId="0" borderId="1" xfId="0" applyNumberFormat="1" applyBorder="1" applyAlignment="1">
      <alignment horizontal="center"/>
    </xf>
    <xf numFmtId="2" fontId="59" fillId="0" borderId="37" xfId="0" applyNumberFormat="1" applyFont="1" applyBorder="1" applyAlignment="1">
      <alignment horizontal="center"/>
    </xf>
    <xf numFmtId="0" fontId="50" fillId="0" borderId="14" xfId="0" applyFont="1" applyBorder="1" applyAlignment="1">
      <alignment horizontal="center" wrapText="1"/>
    </xf>
    <xf numFmtId="0" fontId="50" fillId="0" borderId="15" xfId="0" applyFont="1" applyBorder="1" applyAlignment="1">
      <alignment horizontal="center" wrapText="1"/>
    </xf>
    <xf numFmtId="0" fontId="50" fillId="0" borderId="13" xfId="0" applyFont="1" applyBorder="1" applyAlignment="1">
      <alignment horizontal="center" wrapText="1"/>
    </xf>
    <xf numFmtId="9" fontId="45" fillId="0" borderId="87" xfId="0" applyNumberFormat="1" applyFont="1" applyBorder="1" applyAlignment="1">
      <alignment horizontal="center" vertical="center"/>
    </xf>
    <xf numFmtId="0" fontId="0" fillId="0" borderId="27" xfId="0" applyBorder="1"/>
    <xf numFmtId="0" fontId="0" fillId="0" borderId="85" xfId="0" applyBorder="1"/>
    <xf numFmtId="9" fontId="45" fillId="0" borderId="27" xfId="0" applyNumberFormat="1" applyFont="1" applyBorder="1" applyAlignment="1">
      <alignment horizontal="center" vertical="center"/>
    </xf>
    <xf numFmtId="9" fontId="45" fillId="0" borderId="85" xfId="0" applyNumberFormat="1" applyFont="1" applyBorder="1" applyAlignment="1">
      <alignment horizontal="center" vertical="center"/>
    </xf>
    <xf numFmtId="0" fontId="50" fillId="0" borderId="35" xfId="0" applyFont="1" applyBorder="1" applyAlignment="1">
      <alignment horizontal="center" wrapText="1"/>
    </xf>
    <xf numFmtId="0" fontId="50" fillId="0" borderId="0" xfId="0" applyFont="1" applyAlignment="1">
      <alignment horizontal="center" wrapText="1"/>
    </xf>
    <xf numFmtId="0" fontId="50" fillId="0" borderId="17" xfId="0" applyFont="1" applyBorder="1" applyAlignment="1">
      <alignment horizontal="center" wrapText="1"/>
    </xf>
    <xf numFmtId="0" fontId="46" fillId="0" borderId="30" xfId="0" applyFont="1" applyBorder="1" applyAlignment="1">
      <alignment horizontal="center" vertical="center" wrapText="1"/>
    </xf>
    <xf numFmtId="0" fontId="46" fillId="0" borderId="16" xfId="0" applyFont="1" applyBorder="1" applyAlignment="1">
      <alignment horizontal="center" vertical="center" wrapText="1"/>
    </xf>
    <xf numFmtId="0" fontId="46" fillId="0" borderId="12" xfId="0" applyFont="1" applyBorder="1" applyAlignment="1">
      <alignment horizontal="center" vertical="center" wrapText="1"/>
    </xf>
    <xf numFmtId="0" fontId="92" fillId="85" borderId="30" xfId="0" applyFont="1" applyFill="1" applyBorder="1" applyAlignment="1">
      <alignment horizontal="center" vertical="center" textRotation="180" wrapText="1"/>
    </xf>
    <xf numFmtId="0" fontId="0" fillId="0" borderId="16" xfId="0" applyBorder="1"/>
    <xf numFmtId="0" fontId="0" fillId="0" borderId="12" xfId="0" applyBorder="1"/>
    <xf numFmtId="9" fontId="45" fillId="0" borderId="88" xfId="0" applyNumberFormat="1" applyFont="1" applyBorder="1" applyAlignment="1">
      <alignment horizontal="center" vertical="center"/>
    </xf>
    <xf numFmtId="9" fontId="45" fillId="0" borderId="89" xfId="0" applyNumberFormat="1" applyFont="1" applyBorder="1" applyAlignment="1">
      <alignment horizontal="center" vertical="center"/>
    </xf>
    <xf numFmtId="9" fontId="45" fillId="0" borderId="91" xfId="0" applyNumberFormat="1" applyFont="1" applyBorder="1" applyAlignment="1">
      <alignment horizontal="center" vertical="center"/>
    </xf>
    <xf numFmtId="0" fontId="90" fillId="0" borderId="30" xfId="0" applyFont="1" applyBorder="1" applyAlignment="1">
      <alignment horizontal="center" vertical="center" wrapText="1"/>
    </xf>
    <xf numFmtId="0" fontId="90" fillId="0" borderId="16" xfId="0" applyFont="1" applyBorder="1" applyAlignment="1">
      <alignment horizontal="center" vertical="center" wrapText="1"/>
    </xf>
    <xf numFmtId="0" fontId="90" fillId="0" borderId="12" xfId="0" applyFont="1" applyBorder="1" applyAlignment="1">
      <alignment horizontal="center" vertical="center" wrapText="1"/>
    </xf>
    <xf numFmtId="9" fontId="45" fillId="0" borderId="97" xfId="0" applyNumberFormat="1" applyFont="1" applyBorder="1" applyAlignment="1">
      <alignment horizontal="center" vertical="center"/>
    </xf>
    <xf numFmtId="9" fontId="45" fillId="0" borderId="98" xfId="0" applyNumberFormat="1" applyFont="1" applyBorder="1" applyAlignment="1">
      <alignment horizontal="center" vertical="center"/>
    </xf>
    <xf numFmtId="9" fontId="45" fillId="0" borderId="99" xfId="0" applyNumberFormat="1" applyFont="1" applyBorder="1" applyAlignment="1">
      <alignment horizontal="center" vertical="center"/>
    </xf>
    <xf numFmtId="0" fontId="90" fillId="0" borderId="75" xfId="0" applyFont="1" applyBorder="1" applyAlignment="1">
      <alignment horizontal="center" vertical="center" wrapText="1"/>
    </xf>
    <xf numFmtId="0" fontId="90" fillId="0" borderId="76" xfId="0" applyFont="1" applyBorder="1" applyAlignment="1">
      <alignment horizontal="center" vertical="center" wrapText="1"/>
    </xf>
    <xf numFmtId="0" fontId="45" fillId="0" borderId="1" xfId="0" applyFont="1" applyBorder="1" applyAlignment="1">
      <alignment wrapText="1"/>
    </xf>
    <xf numFmtId="0" fontId="45" fillId="0" borderId="81" xfId="0" applyFont="1" applyBorder="1" applyAlignment="1">
      <alignment wrapText="1"/>
    </xf>
    <xf numFmtId="0" fontId="91" fillId="33" borderId="30" xfId="0" applyFont="1" applyFill="1" applyBorder="1" applyAlignment="1">
      <alignment vertical="center" wrapText="1"/>
    </xf>
    <xf numFmtId="0" fontId="0" fillId="33" borderId="12" xfId="0" applyFill="1" applyBorder="1" applyAlignment="1">
      <alignment vertical="center" wrapText="1"/>
    </xf>
    <xf numFmtId="0" fontId="91" fillId="33" borderId="30" xfId="0" applyFont="1" applyFill="1" applyBorder="1" applyAlignment="1">
      <alignment horizontal="center" vertical="center" wrapText="1"/>
    </xf>
    <xf numFmtId="0" fontId="0" fillId="33" borderId="12" xfId="0" applyFill="1" applyBorder="1" applyAlignment="1">
      <alignment horizontal="center" vertical="center" wrapText="1"/>
    </xf>
    <xf numFmtId="0" fontId="62" fillId="37" borderId="77" xfId="0" applyFont="1" applyFill="1" applyBorder="1" applyAlignment="1">
      <alignment horizontal="center" vertical="top" wrapText="1"/>
    </xf>
    <xf numFmtId="0" fontId="62" fillId="37" borderId="78" xfId="0" applyFont="1" applyFill="1" applyBorder="1" applyAlignment="1">
      <alignment horizontal="center" vertical="top" wrapText="1"/>
    </xf>
    <xf numFmtId="0" fontId="90" fillId="0" borderId="33" xfId="0" applyFont="1" applyBorder="1" applyAlignment="1">
      <alignment horizontal="center" vertical="center" wrapText="1"/>
    </xf>
    <xf numFmtId="0" fontId="90" fillId="0" borderId="29" xfId="0" applyFont="1" applyBorder="1" applyAlignment="1">
      <alignment horizontal="center" vertical="center" wrapText="1"/>
    </xf>
    <xf numFmtId="0" fontId="90" fillId="0" borderId="35" xfId="0" applyFont="1" applyBorder="1" applyAlignment="1">
      <alignment horizontal="center" vertical="center" wrapText="1"/>
    </xf>
    <xf numFmtId="0" fontId="90" fillId="0" borderId="17" xfId="0" applyFont="1" applyBorder="1" applyAlignment="1">
      <alignment horizontal="center" vertical="center" wrapText="1"/>
    </xf>
    <xf numFmtId="0" fontId="90" fillId="0" borderId="101" xfId="0" applyFont="1" applyBorder="1" applyAlignment="1">
      <alignment horizontal="center" vertical="center" wrapText="1"/>
    </xf>
    <xf numFmtId="0" fontId="90" fillId="0" borderId="102" xfId="0" applyFont="1" applyBorder="1" applyAlignment="1">
      <alignment horizontal="center" vertical="center" wrapText="1"/>
    </xf>
    <xf numFmtId="0" fontId="45" fillId="0" borderId="74" xfId="0" applyFont="1" applyBorder="1" applyAlignment="1">
      <alignment textRotation="180" wrapText="1"/>
    </xf>
    <xf numFmtId="0" fontId="45" fillId="0" borderId="80" xfId="0" applyFont="1" applyBorder="1" applyAlignment="1">
      <alignment textRotation="180" wrapText="1"/>
    </xf>
    <xf numFmtId="0" fontId="45" fillId="0" borderId="39" xfId="0" applyFont="1" applyBorder="1" applyAlignment="1">
      <alignment wrapText="1"/>
    </xf>
    <xf numFmtId="0" fontId="45" fillId="0" borderId="31" xfId="0" applyFont="1" applyBorder="1" applyAlignment="1">
      <alignment wrapText="1"/>
    </xf>
    <xf numFmtId="0" fontId="90" fillId="0" borderId="79" xfId="0" applyFont="1" applyBorder="1" applyAlignment="1">
      <alignment horizontal="center" vertical="center" textRotation="180" wrapText="1"/>
    </xf>
    <xf numFmtId="0" fontId="90" fillId="0" borderId="80" xfId="0" applyFont="1" applyBorder="1" applyAlignment="1">
      <alignment horizontal="center" vertical="center" textRotation="180" wrapText="1"/>
    </xf>
    <xf numFmtId="0" fontId="90" fillId="0" borderId="83" xfId="0" applyFont="1" applyBorder="1" applyAlignment="1">
      <alignment horizontal="center" vertical="center" textRotation="180" wrapText="1"/>
    </xf>
    <xf numFmtId="0" fontId="90" fillId="0" borderId="39" xfId="0" applyFont="1" applyBorder="1" applyAlignment="1">
      <alignment vertical="center" wrapText="1"/>
    </xf>
    <xf numFmtId="0" fontId="90" fillId="0" borderId="1" xfId="0" applyFont="1" applyBorder="1" applyAlignment="1">
      <alignment vertical="center" wrapText="1"/>
    </xf>
    <xf numFmtId="0" fontId="45" fillId="0" borderId="28" xfId="0" applyFont="1" applyBorder="1" applyAlignment="1">
      <alignment wrapText="1"/>
    </xf>
    <xf numFmtId="3" fontId="46" fillId="83" borderId="23" xfId="1257" applyFont="1" applyFill="1" applyBorder="1" applyAlignment="1">
      <alignment horizontal="left" vertical="center" wrapText="1"/>
    </xf>
    <xf numFmtId="0" fontId="91" fillId="83" borderId="24" xfId="0" applyFont="1" applyFill="1" applyBorder="1" applyAlignment="1">
      <alignment horizontal="left" vertical="center" wrapText="1"/>
    </xf>
    <xf numFmtId="0" fontId="91" fillId="83" borderId="25" xfId="0" applyFont="1" applyFill="1" applyBorder="1" applyAlignment="1">
      <alignment horizontal="left" vertical="center" wrapText="1"/>
    </xf>
    <xf numFmtId="0" fontId="91" fillId="83" borderId="30" xfId="0" applyFont="1" applyFill="1" applyBorder="1" applyAlignment="1">
      <alignment horizontal="center" vertical="center" wrapText="1"/>
    </xf>
    <xf numFmtId="0" fontId="0" fillId="0" borderId="12" xfId="0" applyBorder="1" applyAlignment="1">
      <alignment horizontal="center" vertical="center" wrapText="1"/>
    </xf>
    <xf numFmtId="0" fontId="45" fillId="0" borderId="27" xfId="0" applyFont="1" applyBorder="1" applyAlignment="1">
      <alignment horizontal="center" vertical="center"/>
    </xf>
    <xf numFmtId="0" fontId="45" fillId="0" borderId="85" xfId="0" applyFont="1" applyBorder="1" applyAlignment="1">
      <alignment horizontal="center" vertical="center"/>
    </xf>
    <xf numFmtId="0" fontId="45" fillId="0" borderId="89" xfId="0" applyFont="1" applyBorder="1" applyAlignment="1">
      <alignment horizontal="center" vertical="center"/>
    </xf>
    <xf numFmtId="0" fontId="45" fillId="0" borderId="91" xfId="0" applyFont="1" applyBorder="1" applyAlignment="1">
      <alignment horizontal="center" vertical="center"/>
    </xf>
    <xf numFmtId="0" fontId="92" fillId="85" borderId="16" xfId="0" applyFont="1" applyFill="1" applyBorder="1" applyAlignment="1">
      <alignment horizontal="center" vertical="center" textRotation="180" wrapText="1"/>
    </xf>
    <xf numFmtId="0" fontId="92" fillId="85" borderId="12" xfId="0" applyFont="1" applyFill="1" applyBorder="1" applyAlignment="1">
      <alignment horizontal="center" vertical="center" textRotation="180" wrapText="1"/>
    </xf>
    <xf numFmtId="0" fontId="90" fillId="0" borderId="28" xfId="0" applyFont="1" applyBorder="1" applyAlignment="1">
      <alignment vertical="center" wrapText="1"/>
    </xf>
    <xf numFmtId="0" fontId="90" fillId="0" borderId="85" xfId="0" applyFont="1" applyBorder="1" applyAlignment="1">
      <alignment vertical="center" wrapText="1"/>
    </xf>
    <xf numFmtId="3" fontId="92" fillId="85" borderId="30" xfId="0" applyNumberFormat="1" applyFont="1" applyFill="1" applyBorder="1" applyAlignment="1">
      <alignment horizontal="center" vertical="center" textRotation="180" wrapText="1"/>
    </xf>
    <xf numFmtId="0" fontId="62" fillId="88" borderId="77" xfId="0" applyFont="1" applyFill="1" applyBorder="1" applyAlignment="1">
      <alignment horizontal="center" vertical="top" wrapText="1"/>
    </xf>
    <xf numFmtId="0" fontId="62" fillId="88" borderId="78" xfId="0" applyFont="1" applyFill="1" applyBorder="1" applyAlignment="1">
      <alignment horizontal="center" vertical="top" wrapText="1"/>
    </xf>
    <xf numFmtId="0" fontId="91" fillId="88" borderId="30" xfId="0" applyFont="1" applyFill="1" applyBorder="1" applyAlignment="1">
      <alignment horizontal="center" vertical="center" wrapText="1"/>
    </xf>
    <xf numFmtId="0" fontId="0" fillId="88" borderId="12" xfId="0" applyFill="1" applyBorder="1" applyAlignment="1">
      <alignment horizontal="center" vertical="center" wrapText="1"/>
    </xf>
    <xf numFmtId="0" fontId="46" fillId="83" borderId="23" xfId="1257" applyNumberFormat="1" applyFont="1" applyFill="1" applyBorder="1" applyAlignment="1">
      <alignment horizontal="left" vertical="center" wrapText="1"/>
    </xf>
    <xf numFmtId="0" fontId="88" fillId="83" borderId="24" xfId="0" applyFont="1" applyFill="1" applyBorder="1" applyAlignment="1">
      <alignment horizontal="left" vertical="center" wrapText="1"/>
    </xf>
    <xf numFmtId="0" fontId="88" fillId="83" borderId="25" xfId="0" applyFont="1" applyFill="1" applyBorder="1" applyAlignment="1">
      <alignment horizontal="left" vertical="center" wrapText="1"/>
    </xf>
    <xf numFmtId="0" fontId="50" fillId="0" borderId="0" xfId="0" applyFont="1" applyAlignment="1">
      <alignment wrapText="1"/>
    </xf>
    <xf numFmtId="3" fontId="114" fillId="83" borderId="37" xfId="1257" applyFont="1" applyFill="1" applyBorder="1" applyAlignment="1">
      <alignment horizontal="center" vertical="center" wrapText="1"/>
    </xf>
    <xf numFmtId="3" fontId="114" fillId="83" borderId="38" xfId="1257" applyFont="1" applyFill="1" applyBorder="1" applyAlignment="1">
      <alignment horizontal="center" vertical="center" wrapText="1"/>
    </xf>
    <xf numFmtId="3" fontId="114" fillId="83" borderId="39" xfId="1257" applyFont="1" applyFill="1" applyBorder="1" applyAlignment="1">
      <alignment horizontal="center" vertical="center" wrapText="1"/>
    </xf>
    <xf numFmtId="0" fontId="121" fillId="83" borderId="37" xfId="0" applyFont="1" applyFill="1" applyBorder="1" applyAlignment="1">
      <alignment horizontal="center" vertical="center" wrapText="1"/>
    </xf>
    <xf numFmtId="0" fontId="121" fillId="83" borderId="39" xfId="0" applyFont="1" applyFill="1" applyBorder="1" applyAlignment="1">
      <alignment horizontal="center" vertical="center" wrapText="1"/>
    </xf>
    <xf numFmtId="0" fontId="113" fillId="83" borderId="38" xfId="0" applyFont="1" applyFill="1" applyBorder="1" applyAlignment="1">
      <alignment horizontal="center" vertical="center" wrapText="1"/>
    </xf>
    <xf numFmtId="0" fontId="113" fillId="83" borderId="39" xfId="0" applyFont="1" applyFill="1" applyBorder="1" applyAlignment="1">
      <alignment horizontal="center" vertical="center" wrapText="1"/>
    </xf>
    <xf numFmtId="1" fontId="0" fillId="0" borderId="0" xfId="0" applyNumberFormat="1" applyAlignment="1">
      <alignment horizontal="center"/>
    </xf>
    <xf numFmtId="165" fontId="0" fillId="0" borderId="0" xfId="0" applyNumberFormat="1" applyAlignment="1">
      <alignment horizontal="center"/>
    </xf>
    <xf numFmtId="0" fontId="62" fillId="84" borderId="77" xfId="0" applyFont="1" applyFill="1" applyBorder="1" applyAlignment="1">
      <alignment horizontal="center" vertical="top" wrapText="1"/>
    </xf>
    <xf numFmtId="0" fontId="62" fillId="84" borderId="78" xfId="0" applyFont="1" applyFill="1" applyBorder="1" applyAlignment="1">
      <alignment horizontal="center" vertical="top" wrapText="1"/>
    </xf>
    <xf numFmtId="0" fontId="91" fillId="84" borderId="30" xfId="0" applyFont="1" applyFill="1" applyBorder="1" applyAlignment="1">
      <alignment horizontal="center" vertical="center" wrapText="1"/>
    </xf>
    <xf numFmtId="0" fontId="0" fillId="84" borderId="12" xfId="0" applyFill="1" applyBorder="1" applyAlignment="1">
      <alignment horizontal="center" vertical="center" wrapText="1"/>
    </xf>
    <xf numFmtId="0" fontId="62" fillId="80" borderId="77" xfId="0" applyFont="1" applyFill="1" applyBorder="1" applyAlignment="1">
      <alignment horizontal="center" vertical="top" wrapText="1"/>
    </xf>
    <xf numFmtId="0" fontId="62" fillId="80" borderId="78" xfId="0" applyFont="1" applyFill="1" applyBorder="1" applyAlignment="1">
      <alignment horizontal="center" vertical="top" wrapText="1"/>
    </xf>
    <xf numFmtId="0" fontId="106" fillId="37" borderId="23" xfId="1257" applyNumberFormat="1" applyFont="1" applyBorder="1" applyAlignment="1">
      <alignment horizontal="left"/>
    </xf>
    <xf numFmtId="0" fontId="106" fillId="37" borderId="24" xfId="1257" applyNumberFormat="1" applyFont="1" applyBorder="1" applyAlignment="1">
      <alignment horizontal="left"/>
    </xf>
    <xf numFmtId="0" fontId="106" fillId="37" borderId="25" xfId="1257" applyNumberFormat="1" applyFont="1" applyBorder="1" applyAlignment="1">
      <alignment horizontal="left"/>
    </xf>
    <xf numFmtId="0" fontId="62" fillId="84" borderId="25" xfId="0" applyFont="1" applyFill="1" applyBorder="1" applyAlignment="1">
      <alignment horizontal="center" vertical="top" wrapText="1"/>
    </xf>
    <xf numFmtId="0" fontId="91" fillId="84" borderId="12" xfId="0" applyFont="1" applyFill="1" applyBorder="1" applyAlignment="1">
      <alignment horizontal="center" vertical="center" wrapText="1"/>
    </xf>
    <xf numFmtId="0" fontId="91" fillId="33" borderId="12" xfId="0" applyFont="1" applyFill="1" applyBorder="1" applyAlignment="1">
      <alignment vertical="center" wrapText="1"/>
    </xf>
    <xf numFmtId="0" fontId="91" fillId="33" borderId="12" xfId="0" applyFont="1" applyFill="1" applyBorder="1" applyAlignment="1">
      <alignment horizontal="center" vertical="center" wrapText="1"/>
    </xf>
    <xf numFmtId="0" fontId="62" fillId="84" borderId="23" xfId="0" applyFont="1" applyFill="1" applyBorder="1" applyAlignment="1">
      <alignment horizontal="center" vertical="top" wrapText="1"/>
    </xf>
    <xf numFmtId="0" fontId="88" fillId="33" borderId="41" xfId="0" applyFont="1" applyFill="1" applyBorder="1" applyAlignment="1">
      <alignment horizontal="center" vertical="center" wrapText="1"/>
    </xf>
    <xf numFmtId="0" fontId="88" fillId="33" borderId="19" xfId="0" applyFont="1" applyFill="1" applyBorder="1" applyAlignment="1">
      <alignment horizontal="center" vertical="center" wrapText="1"/>
    </xf>
    <xf numFmtId="0" fontId="88" fillId="33" borderId="31" xfId="0" applyFont="1" applyFill="1" applyBorder="1" applyAlignment="1">
      <alignment horizontal="center" vertical="center" wrapText="1"/>
    </xf>
    <xf numFmtId="0" fontId="88" fillId="33" borderId="21" xfId="0" applyFont="1" applyFill="1" applyBorder="1" applyAlignment="1">
      <alignment horizontal="center" vertical="center" wrapText="1"/>
    </xf>
    <xf numFmtId="0" fontId="88" fillId="33" borderId="0" xfId="0" applyFont="1" applyFill="1" applyBorder="1" applyAlignment="1">
      <alignment horizontal="center" vertical="center" wrapText="1"/>
    </xf>
    <xf numFmtId="0" fontId="88" fillId="33" borderId="70" xfId="0" applyFont="1" applyFill="1" applyBorder="1" applyAlignment="1">
      <alignment horizontal="center" vertical="center" wrapText="1"/>
    </xf>
    <xf numFmtId="0" fontId="88" fillId="33" borderId="22" xfId="0" applyFont="1" applyFill="1" applyBorder="1" applyAlignment="1">
      <alignment horizontal="center" vertical="center" wrapText="1"/>
    </xf>
    <xf numFmtId="0" fontId="88" fillId="33" borderId="15" xfId="0" applyFont="1" applyFill="1" applyBorder="1" applyAlignment="1">
      <alignment horizontal="center" vertical="center" wrapText="1"/>
    </xf>
    <xf numFmtId="0" fontId="88" fillId="33" borderId="100" xfId="0" applyFont="1" applyFill="1" applyBorder="1" applyAlignment="1">
      <alignment horizontal="center" vertical="center" wrapText="1"/>
    </xf>
    <xf numFmtId="0" fontId="95" fillId="84" borderId="37" xfId="0" applyFont="1" applyFill="1" applyBorder="1" applyAlignment="1">
      <alignment horizontal="center" vertical="center"/>
    </xf>
    <xf numFmtId="0" fontId="95" fillId="84" borderId="38" xfId="0" applyFont="1" applyFill="1" applyBorder="1" applyAlignment="1">
      <alignment horizontal="center" vertical="center"/>
    </xf>
    <xf numFmtId="0" fontId="95" fillId="84" borderId="39" xfId="0" applyFont="1" applyFill="1" applyBorder="1" applyAlignment="1">
      <alignment horizontal="center" vertical="center"/>
    </xf>
    <xf numFmtId="167" fontId="88" fillId="33" borderId="41" xfId="0" applyNumberFormat="1" applyFont="1" applyFill="1" applyBorder="1" applyAlignment="1">
      <alignment horizontal="center" vertical="center" wrapText="1"/>
    </xf>
    <xf numFmtId="167" fontId="88" fillId="33" borderId="19" xfId="0" applyNumberFormat="1" applyFont="1" applyFill="1" applyBorder="1" applyAlignment="1">
      <alignment horizontal="center" vertical="center" wrapText="1"/>
    </xf>
    <xf numFmtId="167" fontId="88" fillId="33" borderId="31" xfId="0" applyNumberFormat="1" applyFont="1" applyFill="1" applyBorder="1" applyAlignment="1">
      <alignment horizontal="center" vertical="center" wrapText="1"/>
    </xf>
    <xf numFmtId="167" fontId="88" fillId="33" borderId="21" xfId="0" applyNumberFormat="1" applyFont="1" applyFill="1" applyBorder="1" applyAlignment="1">
      <alignment horizontal="center" vertical="center" wrapText="1"/>
    </xf>
    <xf numFmtId="167" fontId="88" fillId="33" borderId="0" xfId="0" applyNumberFormat="1" applyFont="1" applyFill="1" applyBorder="1" applyAlignment="1">
      <alignment horizontal="center" vertical="center" wrapText="1"/>
    </xf>
    <xf numFmtId="167" fontId="88" fillId="33" borderId="70" xfId="0" applyNumberFormat="1" applyFont="1" applyFill="1" applyBorder="1" applyAlignment="1">
      <alignment horizontal="center" vertical="center" wrapText="1"/>
    </xf>
    <xf numFmtId="0" fontId="45" fillId="0" borderId="23" xfId="0" applyFont="1" applyBorder="1" applyAlignment="1">
      <alignment horizontal="center"/>
    </xf>
    <xf numFmtId="0" fontId="45" fillId="0" borderId="25" xfId="0" applyFont="1" applyBorder="1" applyAlignment="1">
      <alignment horizontal="center"/>
    </xf>
    <xf numFmtId="0" fontId="88" fillId="33" borderId="0" xfId="0" applyFont="1" applyFill="1" applyAlignment="1">
      <alignment horizontal="center" vertical="center" wrapText="1"/>
    </xf>
    <xf numFmtId="3" fontId="106" fillId="37" borderId="23" xfId="1257" applyFont="1" applyBorder="1" applyAlignment="1">
      <alignment horizontal="left"/>
    </xf>
    <xf numFmtId="0" fontId="95" fillId="37" borderId="24" xfId="0" applyFont="1" applyFill="1" applyBorder="1" applyAlignment="1">
      <alignment horizontal="left"/>
    </xf>
    <xf numFmtId="0" fontId="95" fillId="37" borderId="25" xfId="0" applyFont="1" applyFill="1" applyBorder="1" applyAlignment="1">
      <alignment horizontal="left"/>
    </xf>
    <xf numFmtId="0" fontId="0" fillId="0" borderId="89" xfId="0" applyBorder="1"/>
    <xf numFmtId="0" fontId="0" fillId="0" borderId="91" xfId="0" applyBorder="1"/>
    <xf numFmtId="0" fontId="50" fillId="0" borderId="30" xfId="0" applyFont="1" applyBorder="1" applyAlignment="1">
      <alignment wrapText="1"/>
    </xf>
    <xf numFmtId="0" fontId="50" fillId="0" borderId="12" xfId="0" applyFont="1" applyBorder="1" applyAlignment="1">
      <alignment wrapText="1"/>
    </xf>
    <xf numFmtId="0" fontId="50" fillId="0" borderId="33" xfId="0" applyFont="1" applyBorder="1" applyAlignment="1">
      <alignment horizontal="center" wrapText="1"/>
    </xf>
    <xf numFmtId="0" fontId="50" fillId="0" borderId="34" xfId="0" applyFont="1" applyBorder="1" applyAlignment="1">
      <alignment horizontal="center" wrapText="1"/>
    </xf>
    <xf numFmtId="0" fontId="50" fillId="0" borderId="29" xfId="0" applyFont="1" applyBorder="1" applyAlignment="1">
      <alignment horizontal="center" wrapText="1"/>
    </xf>
    <xf numFmtId="0" fontId="50" fillId="0" borderId="23" xfId="0" applyFont="1" applyBorder="1" applyAlignment="1">
      <alignment horizontal="center" wrapText="1"/>
    </xf>
    <xf numFmtId="0" fontId="50" fillId="0" borderId="24" xfId="0" applyFont="1" applyBorder="1" applyAlignment="1">
      <alignment horizontal="center" wrapText="1"/>
    </xf>
    <xf numFmtId="0" fontId="50" fillId="0" borderId="25" xfId="0" applyFont="1" applyBorder="1" applyAlignment="1">
      <alignment horizontal="center" wrapText="1"/>
    </xf>
    <xf numFmtId="0" fontId="50" fillId="0" borderId="59" xfId="0" applyFont="1" applyBorder="1" applyAlignment="1">
      <alignment wrapText="1"/>
    </xf>
    <xf numFmtId="0" fontId="50" fillId="0" borderId="58" xfId="0" applyFont="1" applyBorder="1" applyAlignment="1">
      <alignment wrapText="1"/>
    </xf>
    <xf numFmtId="0" fontId="50" fillId="0" borderId="0" xfId="0" applyFont="1" applyBorder="1" applyAlignment="1">
      <alignment horizontal="center" wrapText="1"/>
    </xf>
    <xf numFmtId="0" fontId="50" fillId="0" borderId="37" xfId="0" applyFont="1" applyBorder="1" applyAlignment="1">
      <alignment wrapText="1"/>
    </xf>
    <xf numFmtId="0" fontId="50" fillId="0" borderId="41" xfId="0" applyFont="1" applyBorder="1" applyAlignment="1">
      <alignment horizontal="center" wrapText="1"/>
    </xf>
    <xf numFmtId="0" fontId="50" fillId="0" borderId="19" xfId="0" applyFont="1" applyBorder="1" applyAlignment="1">
      <alignment horizontal="center" wrapText="1"/>
    </xf>
    <xf numFmtId="0" fontId="50" fillId="0" borderId="31" xfId="0" applyFont="1" applyBorder="1" applyAlignment="1">
      <alignment horizontal="center" wrapText="1"/>
    </xf>
    <xf numFmtId="0" fontId="50" fillId="0" borderId="42" xfId="0" applyFont="1" applyBorder="1" applyAlignment="1">
      <alignment horizontal="center" wrapText="1"/>
    </xf>
    <xf numFmtId="0" fontId="50" fillId="0" borderId="36" xfId="0" applyFont="1" applyBorder="1" applyAlignment="1">
      <alignment horizontal="center" wrapText="1"/>
    </xf>
    <xf numFmtId="0" fontId="50" fillId="0" borderId="40" xfId="0" applyFont="1" applyBorder="1" applyAlignment="1">
      <alignment horizontal="center" wrapText="1"/>
    </xf>
    <xf numFmtId="0" fontId="48" fillId="0" borderId="34" xfId="0" applyFont="1" applyBorder="1" applyAlignment="1">
      <alignment horizontal="center" vertical="center" wrapText="1"/>
    </xf>
    <xf numFmtId="0" fontId="48" fillId="0" borderId="0" xfId="0" applyFont="1" applyBorder="1" applyAlignment="1">
      <alignment horizontal="center" vertical="center" wrapText="1"/>
    </xf>
    <xf numFmtId="0" fontId="48" fillId="0" borderId="15" xfId="0" applyFont="1" applyBorder="1" applyAlignment="1">
      <alignment horizontal="center" vertical="center" wrapText="1"/>
    </xf>
    <xf numFmtId="0" fontId="50" fillId="0" borderId="16" xfId="0" applyFont="1" applyBorder="1" applyAlignment="1">
      <alignment wrapText="1"/>
    </xf>
    <xf numFmtId="0" fontId="48" fillId="0" borderId="33" xfId="0" applyFont="1" applyBorder="1" applyAlignment="1">
      <alignment vertical="center" wrapText="1"/>
    </xf>
    <xf numFmtId="0" fontId="48" fillId="0" borderId="34" xfId="0" applyFont="1" applyBorder="1" applyAlignment="1">
      <alignment vertical="center" wrapText="1"/>
    </xf>
    <xf numFmtId="0" fontId="48" fillId="0" borderId="29" xfId="0" applyFont="1" applyBorder="1" applyAlignment="1">
      <alignment vertical="center" wrapText="1"/>
    </xf>
    <xf numFmtId="0" fontId="48" fillId="0" borderId="35" xfId="0" applyFont="1" applyBorder="1" applyAlignment="1">
      <alignment vertical="center" wrapText="1"/>
    </xf>
    <xf numFmtId="0" fontId="48" fillId="0" borderId="0" xfId="0" applyFont="1" applyBorder="1" applyAlignment="1">
      <alignment vertical="center" wrapText="1"/>
    </xf>
    <xf numFmtId="0" fontId="48" fillId="0" borderId="17" xfId="0" applyFont="1" applyBorder="1" applyAlignment="1">
      <alignment vertical="center" wrapText="1"/>
    </xf>
    <xf numFmtId="0" fontId="48" fillId="0" borderId="14" xfId="0" applyFont="1" applyBorder="1" applyAlignment="1">
      <alignment vertical="center" wrapText="1"/>
    </xf>
    <xf numFmtId="0" fontId="48" fillId="0" borderId="15" xfId="0" applyFont="1" applyBorder="1" applyAlignment="1">
      <alignment vertical="center" wrapText="1"/>
    </xf>
    <xf numFmtId="0" fontId="48" fillId="0" borderId="13" xfId="0" applyFont="1" applyBorder="1" applyAlignment="1">
      <alignment vertical="center" wrapText="1"/>
    </xf>
    <xf numFmtId="0" fontId="50" fillId="0" borderId="24" xfId="0" applyFont="1" applyBorder="1" applyAlignment="1">
      <alignment horizontal="center" vertical="top" wrapText="1"/>
    </xf>
    <xf numFmtId="0" fontId="50" fillId="0" borderId="25" xfId="0" applyFont="1" applyBorder="1" applyAlignment="1">
      <alignment horizontal="center" vertical="top" wrapText="1"/>
    </xf>
    <xf numFmtId="0" fontId="50" fillId="0" borderId="23" xfId="0" applyFont="1" applyBorder="1" applyAlignment="1">
      <alignment horizontal="center" vertical="top" wrapText="1"/>
    </xf>
    <xf numFmtId="0" fontId="48" fillId="0" borderId="24" xfId="0" applyFont="1" applyFill="1" applyBorder="1" applyAlignment="1">
      <alignment horizontal="center" vertical="top" wrapText="1"/>
    </xf>
    <xf numFmtId="0" fontId="48" fillId="0" borderId="25" xfId="0" applyFont="1" applyFill="1" applyBorder="1" applyAlignment="1">
      <alignment horizontal="center" vertical="top" wrapText="1"/>
    </xf>
    <xf numFmtId="0" fontId="48" fillId="0" borderId="24" xfId="0" applyFont="1" applyBorder="1" applyAlignment="1">
      <alignment horizontal="center" vertical="top" wrapText="1"/>
    </xf>
    <xf numFmtId="0" fontId="48" fillId="0" borderId="25" xfId="0" applyFont="1" applyBorder="1" applyAlignment="1">
      <alignment horizontal="center" vertical="top" wrapText="1"/>
    </xf>
    <xf numFmtId="0" fontId="62" fillId="37" borderId="1" xfId="0" applyFont="1" applyFill="1" applyBorder="1" applyAlignment="1">
      <alignment vertical="top" wrapText="1"/>
    </xf>
    <xf numFmtId="0" fontId="79" fillId="37" borderId="1" xfId="0" applyFont="1" applyFill="1" applyBorder="1" applyAlignment="1">
      <alignment horizontal="center" vertical="top" wrapText="1"/>
    </xf>
    <xf numFmtId="0" fontId="79" fillId="37" borderId="41" xfId="0" applyFont="1" applyFill="1" applyBorder="1" applyAlignment="1">
      <alignment horizontal="center" vertical="center" wrapText="1"/>
    </xf>
    <xf numFmtId="0" fontId="79" fillId="37" borderId="19" xfId="0" applyFont="1" applyFill="1" applyBorder="1" applyAlignment="1">
      <alignment horizontal="center" vertical="center" wrapText="1"/>
    </xf>
    <xf numFmtId="0" fontId="79" fillId="37" borderId="31" xfId="0" applyFont="1" applyFill="1" applyBorder="1" applyAlignment="1">
      <alignment horizontal="center" vertical="center" wrapText="1"/>
    </xf>
    <xf numFmtId="0" fontId="79" fillId="37" borderId="21" xfId="0" applyFont="1" applyFill="1" applyBorder="1" applyAlignment="1">
      <alignment horizontal="center" vertical="center" wrapText="1"/>
    </xf>
    <xf numFmtId="0" fontId="79" fillId="37" borderId="0" xfId="0" applyFont="1" applyFill="1" applyBorder="1" applyAlignment="1">
      <alignment horizontal="center" vertical="center" wrapText="1"/>
    </xf>
    <xf numFmtId="0" fontId="79" fillId="37" borderId="70" xfId="0" applyFont="1" applyFill="1" applyBorder="1" applyAlignment="1">
      <alignment horizontal="center" vertical="center" wrapText="1"/>
    </xf>
    <xf numFmtId="0" fontId="79" fillId="37" borderId="42" xfId="0" applyFont="1" applyFill="1" applyBorder="1" applyAlignment="1">
      <alignment horizontal="center" vertical="center" wrapText="1"/>
    </xf>
    <xf numFmtId="0" fontId="79" fillId="37" borderId="36" xfId="0" applyFont="1" applyFill="1" applyBorder="1" applyAlignment="1">
      <alignment horizontal="center" vertical="center" wrapText="1"/>
    </xf>
    <xf numFmtId="0" fontId="79" fillId="37" borderId="40" xfId="0" applyFont="1" applyFill="1" applyBorder="1" applyAlignment="1">
      <alignment horizontal="center" vertical="center" wrapText="1"/>
    </xf>
    <xf numFmtId="0" fontId="62" fillId="37" borderId="1" xfId="0" applyFont="1" applyFill="1" applyBorder="1" applyAlignment="1">
      <alignment horizontal="center" vertical="top" wrapText="1"/>
    </xf>
    <xf numFmtId="0" fontId="0" fillId="37" borderId="1" xfId="0" applyFill="1" applyBorder="1" applyAlignment="1">
      <alignment horizontal="center" vertical="top" wrapText="1"/>
    </xf>
    <xf numFmtId="0" fontId="49" fillId="0" borderId="33" xfId="0" applyFont="1" applyBorder="1" applyAlignment="1">
      <alignment horizontal="center" vertical="center" wrapText="1"/>
    </xf>
    <xf numFmtId="0" fontId="49" fillId="0" borderId="34" xfId="0" applyFont="1" applyBorder="1" applyAlignment="1">
      <alignment horizontal="center" vertical="center" wrapText="1"/>
    </xf>
    <xf numFmtId="0" fontId="49" fillId="0" borderId="29" xfId="0" applyFont="1" applyBorder="1" applyAlignment="1">
      <alignment horizontal="center" vertical="center" wrapText="1"/>
    </xf>
    <xf numFmtId="0" fontId="49" fillId="0" borderId="35" xfId="0" applyFont="1" applyBorder="1" applyAlignment="1">
      <alignment horizontal="center" vertical="center" wrapText="1"/>
    </xf>
    <xf numFmtId="0" fontId="49" fillId="0" borderId="0" xfId="0" applyFont="1" applyBorder="1" applyAlignment="1">
      <alignment horizontal="center" vertical="center" wrapText="1"/>
    </xf>
    <xf numFmtId="0" fontId="49" fillId="0" borderId="17" xfId="0" applyFont="1" applyBorder="1" applyAlignment="1">
      <alignment horizontal="center" vertical="center" wrapText="1"/>
    </xf>
    <xf numFmtId="0" fontId="49" fillId="0" borderId="14" xfId="0" applyFont="1" applyBorder="1" applyAlignment="1">
      <alignment horizontal="center" vertical="center" wrapText="1"/>
    </xf>
    <xf numFmtId="0" fontId="49" fillId="0" borderId="15" xfId="0" applyFont="1" applyBorder="1" applyAlignment="1">
      <alignment horizontal="center" vertical="center" wrapText="1"/>
    </xf>
    <xf numFmtId="0" fontId="49" fillId="0" borderId="13" xfId="0" applyFont="1" applyBorder="1" applyAlignment="1">
      <alignment horizontal="center" vertical="center" wrapText="1"/>
    </xf>
    <xf numFmtId="0" fontId="49" fillId="0" borderId="14" xfId="0" applyFont="1" applyBorder="1" applyAlignment="1">
      <alignment horizontal="center" wrapText="1"/>
    </xf>
    <xf numFmtId="0" fontId="49" fillId="0" borderId="15" xfId="0" applyFont="1" applyBorder="1" applyAlignment="1">
      <alignment horizontal="center" wrapText="1"/>
    </xf>
    <xf numFmtId="0" fontId="49" fillId="0" borderId="13" xfId="0" applyFont="1" applyBorder="1" applyAlignment="1">
      <alignment horizontal="center" wrapText="1"/>
    </xf>
    <xf numFmtId="0" fontId="50" fillId="0" borderId="30" xfId="6971" applyFont="1" applyBorder="1" applyAlignment="1">
      <alignment wrapText="1"/>
    </xf>
    <xf numFmtId="0" fontId="50" fillId="0" borderId="12" xfId="6971" applyFont="1" applyBorder="1" applyAlignment="1">
      <alignment wrapText="1"/>
    </xf>
    <xf numFmtId="0" fontId="50" fillId="0" borderId="33" xfId="6971" applyFont="1" applyBorder="1" applyAlignment="1">
      <alignment horizontal="center" wrapText="1"/>
    </xf>
    <xf numFmtId="0" fontId="50" fillId="0" borderId="34" xfId="6971" applyFont="1" applyBorder="1" applyAlignment="1">
      <alignment horizontal="center" wrapText="1"/>
    </xf>
    <xf numFmtId="0" fontId="50" fillId="0" borderId="29" xfId="6971" applyFont="1" applyBorder="1" applyAlignment="1">
      <alignment horizontal="center" wrapText="1"/>
    </xf>
    <xf numFmtId="0" fontId="50" fillId="0" borderId="14" xfId="6971" applyFont="1" applyBorder="1" applyAlignment="1">
      <alignment horizontal="center" wrapText="1"/>
    </xf>
    <xf numFmtId="0" fontId="50" fillId="0" borderId="15" xfId="6971" applyFont="1" applyBorder="1" applyAlignment="1">
      <alignment horizontal="center" wrapText="1"/>
    </xf>
    <xf numFmtId="0" fontId="50" fillId="0" borderId="13" xfId="6971" applyFont="1" applyBorder="1" applyAlignment="1">
      <alignment horizontal="center" wrapText="1"/>
    </xf>
    <xf numFmtId="0" fontId="124" fillId="0" borderId="37" xfId="6971" applyBorder="1" applyAlignment="1">
      <alignment horizontal="center" vertical="center" wrapText="1"/>
    </xf>
    <xf numFmtId="0" fontId="124" fillId="0" borderId="39" xfId="6971" applyBorder="1" applyAlignment="1">
      <alignment horizontal="center" vertical="center" wrapText="1"/>
    </xf>
    <xf numFmtId="0" fontId="62" fillId="37" borderId="37" xfId="6976" applyFont="1" applyFill="1" applyBorder="1" applyAlignment="1">
      <alignment vertical="center" wrapText="1"/>
    </xf>
    <xf numFmtId="0" fontId="62" fillId="37" borderId="38" xfId="6976" applyFont="1" applyFill="1" applyBorder="1" applyAlignment="1">
      <alignment vertical="center" wrapText="1"/>
    </xf>
    <xf numFmtId="0" fontId="62" fillId="37" borderId="39" xfId="6976" applyFont="1" applyFill="1" applyBorder="1" applyAlignment="1">
      <alignment vertical="center" wrapText="1"/>
    </xf>
    <xf numFmtId="0" fontId="62" fillId="37" borderId="1" xfId="6976" applyFont="1" applyFill="1" applyBorder="1" applyAlignment="1">
      <alignment vertical="center" wrapText="1"/>
    </xf>
    <xf numFmtId="0" fontId="62" fillId="37" borderId="37" xfId="6976" applyFont="1" applyFill="1" applyBorder="1" applyAlignment="1">
      <alignment horizontal="center" vertical="center" wrapText="1"/>
    </xf>
    <xf numFmtId="0" fontId="40" fillId="37" borderId="38" xfId="6976" applyFill="1" applyBorder="1" applyAlignment="1">
      <alignment horizontal="center" vertical="center" wrapText="1"/>
    </xf>
    <xf numFmtId="0" fontId="40" fillId="37" borderId="39" xfId="6976" applyFill="1" applyBorder="1" applyAlignment="1">
      <alignment horizontal="center" vertical="center" wrapText="1"/>
    </xf>
    <xf numFmtId="0" fontId="62" fillId="37" borderId="39" xfId="6976" applyFont="1" applyFill="1" applyBorder="1" applyAlignment="1">
      <alignment horizontal="center" vertical="center" wrapText="1"/>
    </xf>
    <xf numFmtId="0" fontId="62" fillId="37" borderId="37" xfId="6977" applyFont="1" applyFill="1" applyBorder="1" applyAlignment="1">
      <alignment vertical="center" wrapText="1"/>
    </xf>
    <xf numFmtId="0" fontId="62" fillId="37" borderId="38" xfId="6977" applyFont="1" applyFill="1" applyBorder="1" applyAlignment="1">
      <alignment vertical="center" wrapText="1"/>
    </xf>
    <xf numFmtId="0" fontId="62" fillId="37" borderId="39" xfId="6977" applyFont="1" applyFill="1" applyBorder="1" applyAlignment="1">
      <alignment vertical="center" wrapText="1"/>
    </xf>
    <xf numFmtId="0" fontId="62" fillId="37" borderId="1" xfId="6977" applyFont="1" applyFill="1" applyBorder="1" applyAlignment="1">
      <alignment vertical="center" wrapText="1"/>
    </xf>
    <xf numFmtId="0" fontId="62" fillId="37" borderId="37" xfId="6977" applyFont="1" applyFill="1" applyBorder="1" applyAlignment="1">
      <alignment horizontal="center" vertical="center" wrapText="1"/>
    </xf>
    <xf numFmtId="0" fontId="40" fillId="37" borderId="38" xfId="6977" applyFill="1" applyBorder="1" applyAlignment="1">
      <alignment horizontal="center" vertical="center" wrapText="1"/>
    </xf>
    <xf numFmtId="0" fontId="40" fillId="37" borderId="39" xfId="6977" applyFill="1" applyBorder="1" applyAlignment="1">
      <alignment horizontal="center" vertical="center" wrapText="1"/>
    </xf>
    <xf numFmtId="0" fontId="62" fillId="37" borderId="39" xfId="6977" applyFont="1" applyFill="1" applyBorder="1" applyAlignment="1">
      <alignment horizontal="center" vertical="center" wrapText="1"/>
    </xf>
    <xf numFmtId="0" fontId="50" fillId="0" borderId="30" xfId="6974" applyFont="1" applyBorder="1" applyAlignment="1">
      <alignment wrapText="1"/>
    </xf>
    <xf numFmtId="0" fontId="50" fillId="0" borderId="12" xfId="6974" applyFont="1" applyBorder="1" applyAlignment="1">
      <alignment wrapText="1"/>
    </xf>
    <xf numFmtId="0" fontId="50" fillId="0" borderId="33" xfId="6974" applyFont="1" applyBorder="1" applyAlignment="1">
      <alignment horizontal="center" wrapText="1"/>
    </xf>
    <xf numFmtId="0" fontId="50" fillId="0" borderId="34" xfId="6974" applyFont="1" applyBorder="1" applyAlignment="1">
      <alignment horizontal="center" wrapText="1"/>
    </xf>
    <xf numFmtId="0" fontId="50" fillId="0" borderId="29" xfId="6974" applyFont="1" applyBorder="1" applyAlignment="1">
      <alignment horizontal="center" wrapText="1"/>
    </xf>
    <xf numFmtId="0" fontId="50" fillId="0" borderId="14" xfId="6974" applyFont="1" applyBorder="1" applyAlignment="1">
      <alignment horizontal="center" wrapText="1"/>
    </xf>
    <xf numFmtId="0" fontId="50" fillId="0" borderId="15" xfId="6974" applyFont="1" applyBorder="1" applyAlignment="1">
      <alignment horizontal="center" wrapText="1"/>
    </xf>
    <xf numFmtId="0" fontId="50" fillId="0" borderId="13" xfId="6974" applyFont="1" applyBorder="1" applyAlignment="1">
      <alignment horizontal="center" wrapText="1"/>
    </xf>
    <xf numFmtId="0" fontId="40" fillId="0" borderId="0" xfId="6973" applyAlignment="1">
      <alignment horizontal="center" wrapText="1"/>
    </xf>
    <xf numFmtId="0" fontId="40" fillId="0" borderId="0" xfId="6973" applyAlignment="1">
      <alignment horizontal="center"/>
    </xf>
    <xf numFmtId="0" fontId="40" fillId="88" borderId="0" xfId="6973" applyFill="1" applyAlignment="1">
      <alignment horizontal="center"/>
    </xf>
    <xf numFmtId="0" fontId="40" fillId="79" borderId="0" xfId="6973" applyFill="1" applyAlignment="1">
      <alignment horizontal="center"/>
    </xf>
    <xf numFmtId="0" fontId="40" fillId="77" borderId="0" xfId="6973" applyFill="1" applyAlignment="1">
      <alignment horizontal="center"/>
    </xf>
    <xf numFmtId="0" fontId="40" fillId="40" borderId="0" xfId="6973" applyFill="1" applyAlignment="1">
      <alignment horizontal="center"/>
    </xf>
    <xf numFmtId="0" fontId="135" fillId="0" borderId="35" xfId="6973" applyFont="1" applyBorder="1" applyAlignment="1">
      <alignment horizontal="left" vertical="center"/>
    </xf>
    <xf numFmtId="0" fontId="135" fillId="0" borderId="14" xfId="6973" applyFont="1" applyBorder="1" applyAlignment="1">
      <alignment horizontal="left" vertical="center"/>
    </xf>
    <xf numFmtId="0" fontId="135" fillId="0" borderId="33" xfId="6973" applyFont="1" applyBorder="1" applyAlignment="1">
      <alignment horizontal="left" vertical="center"/>
    </xf>
  </cellXfs>
  <cellStyles count="55822">
    <cellStyle name="_x000a_shell=progma 2" xfId="8909" xr:uid="{C2175498-ED50-43A1-A815-4890E9539A2C}"/>
    <cellStyle name="_x000a_shell=progma 2 2" xfId="8910" xr:uid="{F6E05FE1-02B1-40BD-903C-BBA462B34F36}"/>
    <cellStyle name="1.000" xfId="8911" xr:uid="{D92B6DDE-62BD-45E7-940E-E8898FA27ADA}"/>
    <cellStyle name="1.000 2" xfId="8912" xr:uid="{2ACE5F56-E592-41A6-8B4F-7BF1856BE0DB}"/>
    <cellStyle name="1.000 2 2" xfId="32602" xr:uid="{EB9132B4-BC60-4A5D-8080-4AF1DC61AC0A}"/>
    <cellStyle name="1.000 2 2 2" xfId="35551" xr:uid="{27C5832C-2E78-4DBD-BFFB-8BBC8FFC681E}"/>
    <cellStyle name="1.000 2 3" xfId="32671" xr:uid="{4AA492EF-F12E-44F5-9766-C024090DAC75}"/>
    <cellStyle name="1.000 2 4" xfId="23465" xr:uid="{D0602348-CE86-48B6-A031-B0800504DF3F}"/>
    <cellStyle name="1.000 3" xfId="32603" xr:uid="{21343C24-8118-4876-8DE7-1C17D3439A84}"/>
    <cellStyle name="1.000 3 2" xfId="35552" xr:uid="{30238A45-E185-4574-8F24-25E25F275357}"/>
    <cellStyle name="1.000 4" xfId="32670" xr:uid="{942179DF-960D-42C5-B69A-31A9C3A01BD7}"/>
    <cellStyle name="1.000 5" xfId="23464" xr:uid="{9BF65B02-15AB-4E30-9BC4-5306A0C7CD36}"/>
    <cellStyle name="20 % - Markeringsfarve1" xfId="1259" xr:uid="{00000000-0005-0000-0000-000000000000}"/>
    <cellStyle name="20 % - Markeringsfarve1 10" xfId="30255" xr:uid="{B9DE4457-15A2-4C61-9773-0E8D9A9A0EF7}"/>
    <cellStyle name="20 % - Markeringsfarve1 10 2" xfId="30256" xr:uid="{38359D8D-A86D-44E1-8F78-0CC6DA2D43EF}"/>
    <cellStyle name="20 % - Markeringsfarve1 11" xfId="30257" xr:uid="{09850DF8-CED9-446F-9CF6-D6B9438801E1}"/>
    <cellStyle name="20 % - Markeringsfarve1 12" xfId="17717" xr:uid="{155FD0DF-4308-4486-8ED1-80DFEB34100F}"/>
    <cellStyle name="20 % - Markeringsfarve1 2" xfId="1260" xr:uid="{00000000-0005-0000-0000-000001000000}"/>
    <cellStyle name="20 % - Markeringsfarve1 2 10" xfId="30258" xr:uid="{B78C7982-E192-491B-B6CE-867DCF9E2F0D}"/>
    <cellStyle name="20 % - Markeringsfarve1 2 11" xfId="17718" xr:uid="{6BE4D6DD-8C57-4137-82D2-AAEEC16F2F19}"/>
    <cellStyle name="20 % - Markeringsfarve1 2 2" xfId="23466" xr:uid="{55F207A1-3346-4FCC-ACD7-FD97DDB1F0FE}"/>
    <cellStyle name="20 % - Markeringsfarve1 2 2 2" xfId="23467" xr:uid="{DA9AC242-608E-4DAE-8455-59CC32671530}"/>
    <cellStyle name="20 % - Markeringsfarve1 2 2 2 2" xfId="30259" xr:uid="{B3BC2F25-5024-4E54-99B4-5931EC086834}"/>
    <cellStyle name="20 % - Markeringsfarve1 2 2 2 3" xfId="30260" xr:uid="{73A3324E-2A9D-4CE1-835C-E47EE6E1B9A2}"/>
    <cellStyle name="20 % - Markeringsfarve1 2 2 3" xfId="30261" xr:uid="{1A06A86B-4520-4150-AC67-DB875498A140}"/>
    <cellStyle name="20 % - Markeringsfarve1 2 2 3 2" xfId="30262" xr:uid="{63B41DF0-3ABC-4E9B-A5C2-001E35291616}"/>
    <cellStyle name="20 % - Markeringsfarve1 2 2 3 3" xfId="30263" xr:uid="{0090069C-EC1E-4E02-BA30-F13E0B0C2E8B}"/>
    <cellStyle name="20 % - Markeringsfarve1 2 2 4" xfId="30264" xr:uid="{E564855B-C60C-49FD-8F18-81409F29F990}"/>
    <cellStyle name="20 % - Markeringsfarve1 2 2 4 2" xfId="30265" xr:uid="{05C49F6C-85D7-46A6-844E-6C8F68FEF0E6}"/>
    <cellStyle name="20 % - Markeringsfarve1 2 2 4 3" xfId="30266" xr:uid="{CAD4803E-CA29-47F1-A440-0599DB0379F7}"/>
    <cellStyle name="20 % - Markeringsfarve1 2 2 5" xfId="30267" xr:uid="{828246A1-1B9D-4235-AFB4-E66948E63CD5}"/>
    <cellStyle name="20 % - Markeringsfarve1 2 2 5 2" xfId="30268" xr:uid="{5F10E29C-3102-453C-84DE-4ACE8A5E07CA}"/>
    <cellStyle name="20 % - Markeringsfarve1 2 2 5 3" xfId="30269" xr:uid="{A21CCE97-7F70-41E3-90CA-D1F60156B5BB}"/>
    <cellStyle name="20 % - Markeringsfarve1 2 2 6" xfId="30270" xr:uid="{6C817095-2629-4206-BBB2-A02559D13A6C}"/>
    <cellStyle name="20 % - Markeringsfarve1 2 2 6 2" xfId="30271" xr:uid="{F5DDBC7F-9BB1-497B-86BA-D703F0D7EA40}"/>
    <cellStyle name="20 % - Markeringsfarve1 2 2 6 3" xfId="30272" xr:uid="{4E351488-9AB5-4E4A-833D-49CB67524B98}"/>
    <cellStyle name="20 % - Markeringsfarve1 2 2 7" xfId="30273" xr:uid="{C89E9907-4215-40F1-A764-09617A84A0D1}"/>
    <cellStyle name="20 % - Markeringsfarve1 2 2 7 2" xfId="30274" xr:uid="{9F3EFE34-8773-4625-9D6B-6B5FCB7D9BBB}"/>
    <cellStyle name="20 % - Markeringsfarve1 2 2 8" xfId="30275" xr:uid="{23CAEC1A-1180-4123-A561-99282D1925D2}"/>
    <cellStyle name="20 % - Markeringsfarve1 2 3" xfId="23468" xr:uid="{1F1B7BDF-06B5-4ACA-A3EF-F2220578E239}"/>
    <cellStyle name="20 % - Markeringsfarve1 2 3 2" xfId="23469" xr:uid="{0EEA252C-6E82-4CF7-90B7-747FFBB9D0A9}"/>
    <cellStyle name="20 % - Markeringsfarve1 2 3 2 2" xfId="30276" xr:uid="{F05A224C-A60B-4F58-84E3-EDCC86C6259D}"/>
    <cellStyle name="20 % - Markeringsfarve1 2 3 2 3" xfId="30277" xr:uid="{D902CD73-293F-4057-8E9B-A9EC271DECF2}"/>
    <cellStyle name="20 % - Markeringsfarve1 2 3 3" xfId="30278" xr:uid="{67639BCD-E52B-4BD5-A3D2-8669B5592889}"/>
    <cellStyle name="20 % - Markeringsfarve1 2 3 3 2" xfId="30279" xr:uid="{81FC1148-9820-4CD5-AB43-FF22DBD748A4}"/>
    <cellStyle name="20 % - Markeringsfarve1 2 3 3 3" xfId="30280" xr:uid="{4E8FBBA3-8F46-4A0A-8BCD-5369336749C2}"/>
    <cellStyle name="20 % - Markeringsfarve1 2 3 4" xfId="30281" xr:uid="{A41601C5-32A0-43CE-9619-44DE3E687BE5}"/>
    <cellStyle name="20 % - Markeringsfarve1 2 3 4 2" xfId="30282" xr:uid="{B94647A8-984F-4A9E-BD94-D1BDFD1D03ED}"/>
    <cellStyle name="20 % - Markeringsfarve1 2 3 4 3" xfId="30283" xr:uid="{C9F0E519-F604-42CF-BD0E-A53087CD8215}"/>
    <cellStyle name="20 % - Markeringsfarve1 2 3 5" xfId="30284" xr:uid="{5891D469-A02E-43E2-A15C-57A976A786B6}"/>
    <cellStyle name="20 % - Markeringsfarve1 2 3 5 2" xfId="30285" xr:uid="{78D0225F-4FA7-414A-B465-7757451719D4}"/>
    <cellStyle name="20 % - Markeringsfarve1 2 3 5 3" xfId="30286" xr:uid="{94A5554F-D5A8-4CF3-BC68-EA07D7CC71DB}"/>
    <cellStyle name="20 % - Markeringsfarve1 2 3 6" xfId="30287" xr:uid="{B7B254DB-0C73-44AE-900C-8666C7291665}"/>
    <cellStyle name="20 % - Markeringsfarve1 2 3 6 2" xfId="30288" xr:uid="{A7B0BE6E-1595-4961-91E7-A6D31BB23968}"/>
    <cellStyle name="20 % - Markeringsfarve1 2 3 6 3" xfId="30289" xr:uid="{4DCFB0C1-E4C4-4609-9206-56BAAB132ED2}"/>
    <cellStyle name="20 % - Markeringsfarve1 2 3 7" xfId="30290" xr:uid="{3AD58DA2-FC79-4EE0-A8B7-7135364CA3BD}"/>
    <cellStyle name="20 % - Markeringsfarve1 2 3 7 2" xfId="30291" xr:uid="{A06959C6-0AB2-40FB-9602-7E42A4172677}"/>
    <cellStyle name="20 % - Markeringsfarve1 2 3 8" xfId="30292" xr:uid="{9A8B211E-F0EB-428A-A450-44B89A7D8922}"/>
    <cellStyle name="20 % - Markeringsfarve1 2 4" xfId="23470" xr:uid="{DAFB96E6-6A42-4759-88DF-63C6BCA8C6CD}"/>
    <cellStyle name="20 % - Markeringsfarve1 2 4 2" xfId="30293" xr:uid="{042444BE-29BC-4438-8B71-C0790EC91FC1}"/>
    <cellStyle name="20 % - Markeringsfarve1 2 4 3" xfId="30294" xr:uid="{05E8F589-EFB6-4182-8EBE-4B3D1971FFF0}"/>
    <cellStyle name="20 % - Markeringsfarve1 2 5" xfId="30295" xr:uid="{128A4C30-C62B-42A6-BE0E-09B7FD807420}"/>
    <cellStyle name="20 % - Markeringsfarve1 2 5 2" xfId="30296" xr:uid="{A0823D3C-B900-45D5-86EE-4BC22EE18B99}"/>
    <cellStyle name="20 % - Markeringsfarve1 2 5 3" xfId="30297" xr:uid="{4607CA98-24CD-4459-8EE6-719240180ACE}"/>
    <cellStyle name="20 % - Markeringsfarve1 2 6" xfId="30298" xr:uid="{94B7607D-62C2-41BE-923E-5D9AD2A3271C}"/>
    <cellStyle name="20 % - Markeringsfarve1 2 6 2" xfId="30299" xr:uid="{B118E4B2-E54F-414C-8E54-FEC0B7E4020B}"/>
    <cellStyle name="20 % - Markeringsfarve1 2 6 3" xfId="30300" xr:uid="{7F983BC4-69E7-4F41-BB04-1C8BD0A0B024}"/>
    <cellStyle name="20 % - Markeringsfarve1 2 7" xfId="30301" xr:uid="{6398EC07-7E25-418D-A999-38F08F58002C}"/>
    <cellStyle name="20 % - Markeringsfarve1 2 7 2" xfId="30302" xr:uid="{03BBBEE0-624F-4103-9919-7EE721D3CE62}"/>
    <cellStyle name="20 % - Markeringsfarve1 2 7 3" xfId="30303" xr:uid="{E5129C50-39E5-4EFA-BC7A-C66106428DCE}"/>
    <cellStyle name="20 % - Markeringsfarve1 2 8" xfId="30304" xr:uid="{50FB14DA-6D69-421F-AE8F-035BDC8CC90E}"/>
    <cellStyle name="20 % - Markeringsfarve1 2 8 2" xfId="30305" xr:uid="{826898EC-8711-4D66-9C04-AAA89DC80633}"/>
    <cellStyle name="20 % - Markeringsfarve1 2 8 3" xfId="30306" xr:uid="{52A67DEA-D514-4E36-B8CE-EC570B5E2526}"/>
    <cellStyle name="20 % - Markeringsfarve1 2 9" xfId="30307" xr:uid="{3617CA98-DB8E-4B72-B2EF-EFD87093DB13}"/>
    <cellStyle name="20 % - Markeringsfarve1 2 9 2" xfId="30308" xr:uid="{96332CF6-0785-4AEF-831D-C74AE75590FD}"/>
    <cellStyle name="20 % - Markeringsfarve1 3" xfId="2585" xr:uid="{135F4595-F8BD-4459-9134-0C53A788ADAC}"/>
    <cellStyle name="20 % - Markeringsfarve1 3 10" xfId="30309" xr:uid="{A7038E5A-A301-42CD-B818-3483EA1E40C7}"/>
    <cellStyle name="20 % - Markeringsfarve1 3 2" xfId="23471" xr:uid="{9F58CD80-8149-4653-8401-B2327F473B5A}"/>
    <cellStyle name="20 % - Markeringsfarve1 3 2 2" xfId="23472" xr:uid="{FACB055F-CDD7-4EAE-A793-73E4F8EE9744}"/>
    <cellStyle name="20 % - Markeringsfarve1 3 2 2 2" xfId="30310" xr:uid="{FFECB4AC-2A8F-4805-AC1C-70D68208E6BD}"/>
    <cellStyle name="20 % - Markeringsfarve1 3 2 2 3" xfId="30311" xr:uid="{9EC41035-7EE6-4D85-9288-F425C342111A}"/>
    <cellStyle name="20 % - Markeringsfarve1 3 2 3" xfId="30312" xr:uid="{B670B544-7578-4AAD-B623-0C61E2F3B3E8}"/>
    <cellStyle name="20 % - Markeringsfarve1 3 2 3 2" xfId="30313" xr:uid="{1284774C-A9DB-46C8-B3AF-2448DE0AB78D}"/>
    <cellStyle name="20 % - Markeringsfarve1 3 2 3 3" xfId="30314" xr:uid="{C0A9831F-DD3F-4697-B7DF-5EA294A9FCAF}"/>
    <cellStyle name="20 % - Markeringsfarve1 3 2 4" xfId="30315" xr:uid="{AAD702C0-4871-48CF-9616-537F8411DB2B}"/>
    <cellStyle name="20 % - Markeringsfarve1 3 2 4 2" xfId="30316" xr:uid="{EBBA596B-FD6D-43C9-A65E-51637A09B7DC}"/>
    <cellStyle name="20 % - Markeringsfarve1 3 2 4 3" xfId="30317" xr:uid="{F48B6BB1-A967-4AB0-97F7-9322847F7F68}"/>
    <cellStyle name="20 % - Markeringsfarve1 3 2 5" xfId="30318" xr:uid="{2644C61C-A27B-44DB-BD09-4CF39B3417DA}"/>
    <cellStyle name="20 % - Markeringsfarve1 3 2 5 2" xfId="30319" xr:uid="{122875BB-510D-47A7-A110-2BB4DF160D76}"/>
    <cellStyle name="20 % - Markeringsfarve1 3 2 5 3" xfId="30320" xr:uid="{9875DD9D-39DF-4BC8-B4AF-D3A7A3F9C5E4}"/>
    <cellStyle name="20 % - Markeringsfarve1 3 2 6" xfId="30321" xr:uid="{08BF653C-9C97-48FC-BC19-9A2ABB396906}"/>
    <cellStyle name="20 % - Markeringsfarve1 3 2 6 2" xfId="30322" xr:uid="{E5D006E8-F4D7-4F79-ADBA-1400BB781FE9}"/>
    <cellStyle name="20 % - Markeringsfarve1 3 2 6 3" xfId="30323" xr:uid="{C248C034-2A82-43DD-AD0F-CE92BE2D17A0}"/>
    <cellStyle name="20 % - Markeringsfarve1 3 2 7" xfId="30324" xr:uid="{C0769044-4CBB-42DB-AF03-09047840267C}"/>
    <cellStyle name="20 % - Markeringsfarve1 3 2 7 2" xfId="30325" xr:uid="{35DF65C9-379C-44D0-8C60-6A4D1B10677A}"/>
    <cellStyle name="20 % - Markeringsfarve1 3 2 8" xfId="30326" xr:uid="{ECCA4E8F-6675-4FEA-AE55-2B0821B8815E}"/>
    <cellStyle name="20 % - Markeringsfarve1 3 3" xfId="23473" xr:uid="{BB2043AC-8DCB-4432-AE50-82A0D06F816F}"/>
    <cellStyle name="20 % - Markeringsfarve1 3 3 2" xfId="30327" xr:uid="{36BE3FBF-A1B3-47D5-B256-C499ED1D76DF}"/>
    <cellStyle name="20 % - Markeringsfarve1 3 3 2 2" xfId="30328" xr:uid="{F616B62B-AD13-4282-9B87-6F3974275CB4}"/>
    <cellStyle name="20 % - Markeringsfarve1 3 3 2 3" xfId="30329" xr:uid="{B403BC4F-62F4-42ED-9751-630E21BC8D20}"/>
    <cellStyle name="20 % - Markeringsfarve1 3 3 3" xfId="30330" xr:uid="{DE07C238-BC68-4AE9-99F3-A79127E25BC4}"/>
    <cellStyle name="20 % - Markeringsfarve1 3 3 3 2" xfId="30331" xr:uid="{A190DE1C-6BD1-4EED-9762-44ECB72DDABD}"/>
    <cellStyle name="20 % - Markeringsfarve1 3 3 3 3" xfId="30332" xr:uid="{3991256C-5492-4168-8CCB-5F455609374D}"/>
    <cellStyle name="20 % - Markeringsfarve1 3 3 4" xfId="30333" xr:uid="{0063970E-A894-4330-AB87-C02EFFBFD2A8}"/>
    <cellStyle name="20 % - Markeringsfarve1 3 3 4 2" xfId="30334" xr:uid="{E75EA47B-A0E6-472D-9E1D-ED03E54A2A02}"/>
    <cellStyle name="20 % - Markeringsfarve1 3 3 4 3" xfId="30335" xr:uid="{2BFB2844-9483-49BC-8238-4F4CE2FFA972}"/>
    <cellStyle name="20 % - Markeringsfarve1 3 3 5" xfId="30336" xr:uid="{77DA2B49-8F38-40ED-945F-52F9AFA2FB3B}"/>
    <cellStyle name="20 % - Markeringsfarve1 3 3 5 2" xfId="30337" xr:uid="{6D77868F-A6EC-4F23-BBAA-A47169486645}"/>
    <cellStyle name="20 % - Markeringsfarve1 3 3 5 3" xfId="30338" xr:uid="{1C51EF3E-8EB0-4CD3-80DC-E39114CB16D5}"/>
    <cellStyle name="20 % - Markeringsfarve1 3 3 6" xfId="30339" xr:uid="{6C6428D9-F924-4B80-96DA-183CC0361805}"/>
    <cellStyle name="20 % - Markeringsfarve1 3 3 6 2" xfId="30340" xr:uid="{951D4A7F-3C40-4DB7-9028-7F98BC80BBDE}"/>
    <cellStyle name="20 % - Markeringsfarve1 3 3 6 3" xfId="30341" xr:uid="{6F0E7ACA-3EC1-4447-9821-D2EC2BA772A7}"/>
    <cellStyle name="20 % - Markeringsfarve1 3 3 7" xfId="30342" xr:uid="{2CBD4726-E9C3-444A-8841-F21973B259F6}"/>
    <cellStyle name="20 % - Markeringsfarve1 3 3 7 2" xfId="30343" xr:uid="{77895C77-659C-4FBB-BC12-06FC2AC11F3A}"/>
    <cellStyle name="20 % - Markeringsfarve1 3 3 8" xfId="30344" xr:uid="{574894F7-BE9A-443C-82A6-9BD94DA8A965}"/>
    <cellStyle name="20 % - Markeringsfarve1 3 4" xfId="30345" xr:uid="{7329AB1C-B29F-4BFB-A389-45BE957650DC}"/>
    <cellStyle name="20 % - Markeringsfarve1 3 4 2" xfId="30346" xr:uid="{98F12051-A526-4836-9013-5A8D39D89514}"/>
    <cellStyle name="20 % - Markeringsfarve1 3 4 3" xfId="30347" xr:uid="{031EAB5D-38EA-4370-B8C1-E6B8C983E05D}"/>
    <cellStyle name="20 % - Markeringsfarve1 3 5" xfId="30348" xr:uid="{EE399A5F-FA15-4D17-A832-BF1327FA0886}"/>
    <cellStyle name="20 % - Markeringsfarve1 3 5 2" xfId="30349" xr:uid="{2FBDD63E-805B-4DE8-BBED-FA75678A6D52}"/>
    <cellStyle name="20 % - Markeringsfarve1 3 5 3" xfId="30350" xr:uid="{320F462C-1806-4FDF-84B6-3B3F678EA0F0}"/>
    <cellStyle name="20 % - Markeringsfarve1 3 6" xfId="30351" xr:uid="{BA3AB97D-99C2-4FEA-9764-441662421566}"/>
    <cellStyle name="20 % - Markeringsfarve1 3 6 2" xfId="30352" xr:uid="{EE94F2B2-75E5-4944-BAAA-1E3814408623}"/>
    <cellStyle name="20 % - Markeringsfarve1 3 6 3" xfId="30353" xr:uid="{97F329D1-F0C9-4CA1-8AB5-A85354754C39}"/>
    <cellStyle name="20 % - Markeringsfarve1 3 7" xfId="30354" xr:uid="{7359ACD1-5234-43C7-A4A1-54B0876E2FD1}"/>
    <cellStyle name="20 % - Markeringsfarve1 3 7 2" xfId="30355" xr:uid="{12D4EFE8-C931-45F1-BE6F-6C5C50A49817}"/>
    <cellStyle name="20 % - Markeringsfarve1 3 7 3" xfId="30356" xr:uid="{26E13993-3C0A-46A0-96D3-406DD8B80C11}"/>
    <cellStyle name="20 % - Markeringsfarve1 3 8" xfId="30357" xr:uid="{004C4A57-51A0-4A42-AD16-0E5A9A3C63FF}"/>
    <cellStyle name="20 % - Markeringsfarve1 3 8 2" xfId="30358" xr:uid="{326DD8EC-B40A-4A09-89F1-7E722A464D2A}"/>
    <cellStyle name="20 % - Markeringsfarve1 3 8 3" xfId="30359" xr:uid="{3C989517-ED08-4343-80CC-7FFFD97697C8}"/>
    <cellStyle name="20 % - Markeringsfarve1 3 9" xfId="30360" xr:uid="{9592E2EB-9EEC-4B03-AAF3-C115AC266267}"/>
    <cellStyle name="20 % - Markeringsfarve1 3 9 2" xfId="30361" xr:uid="{8A0B1EC2-E810-4DF3-85FB-8DF6E21E5CAC}"/>
    <cellStyle name="20 % - Markeringsfarve1 4" xfId="23474" xr:uid="{620E51C8-5A90-4EA2-88E2-E8EEA101EAB5}"/>
    <cellStyle name="20 % - Markeringsfarve1 4 2" xfId="23475" xr:uid="{83E5902A-6A90-4DA5-A4B6-11363877B9B2}"/>
    <cellStyle name="20 % - Markeringsfarve1 4 2 2" xfId="30362" xr:uid="{82A9559B-5A17-48CD-8545-46D97A95F0CA}"/>
    <cellStyle name="20 % - Markeringsfarve1 4 2 3" xfId="30363" xr:uid="{CEE83DB2-271E-4ED3-BA45-E4B06A541593}"/>
    <cellStyle name="20 % - Markeringsfarve1 4 3" xfId="30364" xr:uid="{E9EF4B98-709B-4D5B-986E-13FB3C33334E}"/>
    <cellStyle name="20 % - Markeringsfarve1 4 3 2" xfId="30365" xr:uid="{1DB1A185-6F3A-4E79-96E3-73399A87E7EE}"/>
    <cellStyle name="20 % - Markeringsfarve1 4 3 3" xfId="30366" xr:uid="{47197A8F-9D41-4331-B082-50C6EAB23C2E}"/>
    <cellStyle name="20 % - Markeringsfarve1 4 4" xfId="30367" xr:uid="{42BA1925-B9DB-4945-BDA1-47F4D3320D85}"/>
    <cellStyle name="20 % - Markeringsfarve1 4 4 2" xfId="30368" xr:uid="{2E7FFCD9-91B6-4C98-9C0B-B31D3167A3ED}"/>
    <cellStyle name="20 % - Markeringsfarve1 4 4 3" xfId="30369" xr:uid="{D63D7ED8-9A36-46DE-9225-03493B42C7F8}"/>
    <cellStyle name="20 % - Markeringsfarve1 4 5" xfId="30370" xr:uid="{D054FF4F-1387-4EF8-A186-70A17BCBFB2C}"/>
    <cellStyle name="20 % - Markeringsfarve1 4 5 2" xfId="30371" xr:uid="{C7398972-8E23-493C-B20D-155BEE421E68}"/>
    <cellStyle name="20 % - Markeringsfarve1 4 5 3" xfId="30372" xr:uid="{56D42B5F-C59A-47AB-8136-989D0B3C7358}"/>
    <cellStyle name="20 % - Markeringsfarve1 4 6" xfId="30373" xr:uid="{68CB70AE-DAA0-43F5-BA86-E51799D0D772}"/>
    <cellStyle name="20 % - Markeringsfarve1 4 6 2" xfId="30374" xr:uid="{F0129780-11B8-4EB8-8C45-6927186A4ADE}"/>
    <cellStyle name="20 % - Markeringsfarve1 4 6 3" xfId="30375" xr:uid="{E0CB1C4C-274B-4E1D-966B-37BDBDCF0016}"/>
    <cellStyle name="20 % - Markeringsfarve1 4 7" xfId="30376" xr:uid="{06B10C62-9952-437B-A498-81CDB2FF770F}"/>
    <cellStyle name="20 % - Markeringsfarve1 4 7 2" xfId="30377" xr:uid="{7D85C6BC-045A-41AD-8F38-947ACE15385B}"/>
    <cellStyle name="20 % - Markeringsfarve1 4 8" xfId="30378" xr:uid="{9C0B5FBD-0FAB-4BAD-908F-93D277BC3917}"/>
    <cellStyle name="20 % - Markeringsfarve1 5" xfId="23476" xr:uid="{86859FDB-0DAA-4386-9FA2-B1E0E5C8BDF2}"/>
    <cellStyle name="20 % - Markeringsfarve1 5 2" xfId="23477" xr:uid="{CAE29328-9B7D-44D2-AE84-B54BD2596335}"/>
    <cellStyle name="20 % - Markeringsfarve1 5 2 2" xfId="30379" xr:uid="{EB8C2EB3-C817-4146-8185-C63C00E1E6C3}"/>
    <cellStyle name="20 % - Markeringsfarve1 5 2 3" xfId="30380" xr:uid="{57E73FE7-B867-4DBF-A61F-0122A81529CA}"/>
    <cellStyle name="20 % - Markeringsfarve1 5 3" xfId="30381" xr:uid="{1A8CFDDD-9CAC-4341-9B7A-268E19DC300F}"/>
    <cellStyle name="20 % - Markeringsfarve1 5 3 2" xfId="30382" xr:uid="{46343047-1306-4A4F-A0E2-3ABB3A6D1687}"/>
    <cellStyle name="20 % - Markeringsfarve1 5 3 3" xfId="30383" xr:uid="{4CD1130C-8353-4E90-926D-3B1929C32510}"/>
    <cellStyle name="20 % - Markeringsfarve1 5 4" xfId="30384" xr:uid="{31351FCE-EE87-4974-A1D0-15B2F2F47765}"/>
    <cellStyle name="20 % - Markeringsfarve1 5 4 2" xfId="30385" xr:uid="{B8962554-2EE6-4A29-A208-5C1A1C298E8E}"/>
    <cellStyle name="20 % - Markeringsfarve1 5 4 3" xfId="30386" xr:uid="{FEFD3A51-CB88-4EA0-9BB3-8EC5A1CA4F25}"/>
    <cellStyle name="20 % - Markeringsfarve1 5 5" xfId="30387" xr:uid="{11BEB3ED-7DDF-483A-BD30-B781F734713E}"/>
    <cellStyle name="20 % - Markeringsfarve1 5 5 2" xfId="30388" xr:uid="{27B944F6-623D-40D9-80C3-00440A5BD24E}"/>
    <cellStyle name="20 % - Markeringsfarve1 5 5 3" xfId="30389" xr:uid="{633D4CBC-4CDC-4683-B1EA-C7C0B6E5CF5E}"/>
    <cellStyle name="20 % - Markeringsfarve1 5 6" xfId="30390" xr:uid="{AA762771-E9D5-4ECB-9F7A-A005EAA9628E}"/>
    <cellStyle name="20 % - Markeringsfarve1 5 6 2" xfId="30391" xr:uid="{8668DE0C-8AC1-4343-B585-43F66485D2C2}"/>
    <cellStyle name="20 % - Markeringsfarve1 5 6 3" xfId="30392" xr:uid="{71F5852B-DF75-4F6D-AE81-A1D00CF47F82}"/>
    <cellStyle name="20 % - Markeringsfarve1 5 7" xfId="30393" xr:uid="{DC12C120-72F9-4F9F-9F00-9BBC6D5A55C6}"/>
    <cellStyle name="20 % - Markeringsfarve1 5 7 2" xfId="30394" xr:uid="{D195999C-807B-4839-95B1-D18437EE301C}"/>
    <cellStyle name="20 % - Markeringsfarve1 5 8" xfId="30395" xr:uid="{52D8671D-0164-4E04-8282-C5A0E19309A9}"/>
    <cellStyle name="20 % - Markeringsfarve1 6" xfId="23478" xr:uid="{751B8039-082E-4B1D-9B33-4314F757D264}"/>
    <cellStyle name="20 % - Markeringsfarve1 6 2" xfId="23479" xr:uid="{09BA19E6-8019-48C8-83C8-1D174C57F711}"/>
    <cellStyle name="20 % - Markeringsfarve1 6 2 2" xfId="30396" xr:uid="{FD3C1566-1ED9-4FE8-93A1-80E35C100C23}"/>
    <cellStyle name="20 % - Markeringsfarve1 6 2 3" xfId="30397" xr:uid="{16745440-080D-4095-BFF4-BB1FA5DD03DD}"/>
    <cellStyle name="20 % - Markeringsfarve1 6 3" xfId="30398" xr:uid="{42DCDED7-3D60-4773-85CC-FE7D39192BE3}"/>
    <cellStyle name="20 % - Markeringsfarve1 6 4" xfId="30399" xr:uid="{E3ED02B9-4C44-40FA-9264-EF6376E51116}"/>
    <cellStyle name="20 % - Markeringsfarve1 7" xfId="23480" xr:uid="{DC5B08B6-CE2B-4CD6-B331-E957DD92F423}"/>
    <cellStyle name="20 % - Markeringsfarve1 7 2" xfId="30400" xr:uid="{2B7BCB89-5332-4FAF-A020-ECD75E3CCA68}"/>
    <cellStyle name="20 % - Markeringsfarve1 7 3" xfId="30401" xr:uid="{D051AC0A-4DB0-4C25-A099-4F2D636C2B2F}"/>
    <cellStyle name="20 % - Markeringsfarve1 8" xfId="30402" xr:uid="{588A7C88-514E-4AB7-8F01-9A869970B03A}"/>
    <cellStyle name="20 % - Markeringsfarve1 8 2" xfId="30403" xr:uid="{B4DDE1B3-3D45-4345-89C7-259C4CB987CC}"/>
    <cellStyle name="20 % - Markeringsfarve1 8 3" xfId="30404" xr:uid="{977B5005-F67F-4F83-A142-E2100E44E6E2}"/>
    <cellStyle name="20 % - Markeringsfarve1 9" xfId="30405" xr:uid="{D2B6DAAB-05D3-4511-894B-6E1C529976CE}"/>
    <cellStyle name="20 % - Markeringsfarve1 9 2" xfId="30406" xr:uid="{C2ABC2E1-0BBF-43AF-AA8A-7586F077F705}"/>
    <cellStyle name="20 % - Markeringsfarve1 9 3" xfId="30407" xr:uid="{859BB95C-F1CC-4255-8367-6B6F9DCF2343}"/>
    <cellStyle name="20 % - Markeringsfarve2" xfId="1261" xr:uid="{00000000-0005-0000-0000-000002000000}"/>
    <cellStyle name="20 % - Markeringsfarve2 10" xfId="30408" xr:uid="{8948C716-099D-49D2-8BD4-CAC207CD51F3}"/>
    <cellStyle name="20 % - Markeringsfarve2 10 2" xfId="30409" xr:uid="{26959A30-4D70-4CF7-9313-20EEC2DED76F}"/>
    <cellStyle name="20 % - Markeringsfarve2 11" xfId="30410" xr:uid="{3677FA9F-2234-4C7A-8C2E-0C9F1C6DED6A}"/>
    <cellStyle name="20 % - Markeringsfarve2 12" xfId="17719" xr:uid="{133806A5-EC87-4F4F-A985-6FC7924BDC8B}"/>
    <cellStyle name="20 % - Markeringsfarve2 2" xfId="1262" xr:uid="{00000000-0005-0000-0000-000003000000}"/>
    <cellStyle name="20 % - Markeringsfarve2 2 10" xfId="30411" xr:uid="{D7E64765-EAC8-42CC-A73A-8F44DB0B7F07}"/>
    <cellStyle name="20 % - Markeringsfarve2 2 11" xfId="17720" xr:uid="{A4D8B056-3CB0-4210-BC4A-FB33D351707C}"/>
    <cellStyle name="20 % - Markeringsfarve2 2 2" xfId="23481" xr:uid="{C28B5AE4-F7DB-4C87-9BC0-A713206DD8AA}"/>
    <cellStyle name="20 % - Markeringsfarve2 2 2 2" xfId="23482" xr:uid="{C157CBC8-40C2-4318-9BF9-238F7DB27077}"/>
    <cellStyle name="20 % - Markeringsfarve2 2 2 2 2" xfId="30412" xr:uid="{7FFA3B6A-0276-4F55-97D2-349622272C5F}"/>
    <cellStyle name="20 % - Markeringsfarve2 2 2 2 3" xfId="30413" xr:uid="{D2B7CB4F-C047-4661-A7A2-52631AACCCDC}"/>
    <cellStyle name="20 % - Markeringsfarve2 2 2 3" xfId="30414" xr:uid="{E784909C-F0F7-4FD1-9906-22B459408BED}"/>
    <cellStyle name="20 % - Markeringsfarve2 2 2 3 2" xfId="30415" xr:uid="{1396724D-9FC3-477D-83B4-C13526264120}"/>
    <cellStyle name="20 % - Markeringsfarve2 2 2 3 3" xfId="30416" xr:uid="{74EFD3A6-6947-4402-9798-B14CEEE81A01}"/>
    <cellStyle name="20 % - Markeringsfarve2 2 2 4" xfId="30417" xr:uid="{9D49DCFD-F172-40C9-B381-F1D9C9E18465}"/>
    <cellStyle name="20 % - Markeringsfarve2 2 2 4 2" xfId="30418" xr:uid="{770DA7E4-E46F-408F-9C19-AD8D4F19FA19}"/>
    <cellStyle name="20 % - Markeringsfarve2 2 2 4 3" xfId="30419" xr:uid="{F58F7C9F-F21E-4015-94A7-09E4AC994C0B}"/>
    <cellStyle name="20 % - Markeringsfarve2 2 2 5" xfId="30420" xr:uid="{9F2D272E-9CDF-4D64-8566-88CE9FF81EF2}"/>
    <cellStyle name="20 % - Markeringsfarve2 2 2 5 2" xfId="30421" xr:uid="{3DF2609E-8A87-4B9B-AC3B-48381BF7DF1B}"/>
    <cellStyle name="20 % - Markeringsfarve2 2 2 5 3" xfId="30422" xr:uid="{2146917F-9E4A-47AE-96D3-0DA11ECF9210}"/>
    <cellStyle name="20 % - Markeringsfarve2 2 2 6" xfId="30423" xr:uid="{63CE31C8-102C-454F-B822-2DDD5EC0828A}"/>
    <cellStyle name="20 % - Markeringsfarve2 2 2 6 2" xfId="30424" xr:uid="{A68F2DD4-CFEE-45F2-9CA2-701B93E89762}"/>
    <cellStyle name="20 % - Markeringsfarve2 2 2 6 3" xfId="30425" xr:uid="{220E2EA4-8E23-48A9-A4F9-A9AEC3584AA8}"/>
    <cellStyle name="20 % - Markeringsfarve2 2 2 7" xfId="30426" xr:uid="{65AC8BC9-E016-4DFF-B909-CD33DB799236}"/>
    <cellStyle name="20 % - Markeringsfarve2 2 2 7 2" xfId="30427" xr:uid="{12FEC24C-2DAB-4D42-9897-1B12FD2DCEEF}"/>
    <cellStyle name="20 % - Markeringsfarve2 2 2 8" xfId="30428" xr:uid="{33CE2C0B-4A88-494C-87B6-ABB26B0F3831}"/>
    <cellStyle name="20 % - Markeringsfarve2 2 3" xfId="23483" xr:uid="{603C88D6-D9DB-48A7-AB64-28D75ACC59A1}"/>
    <cellStyle name="20 % - Markeringsfarve2 2 3 2" xfId="23484" xr:uid="{8E21AB7B-E2EA-479E-A95F-CD6E21D4460C}"/>
    <cellStyle name="20 % - Markeringsfarve2 2 3 2 2" xfId="30429" xr:uid="{350B64B2-D0D3-4A5C-9291-25CB3611C628}"/>
    <cellStyle name="20 % - Markeringsfarve2 2 3 2 3" xfId="30430" xr:uid="{0C854F73-B24E-4748-905C-5560CD88586C}"/>
    <cellStyle name="20 % - Markeringsfarve2 2 3 3" xfId="30431" xr:uid="{77B26B53-09FB-472F-A208-B1FA12D9E13C}"/>
    <cellStyle name="20 % - Markeringsfarve2 2 3 3 2" xfId="30432" xr:uid="{EB708E52-1972-4CDA-BD65-A4426FB9ED60}"/>
    <cellStyle name="20 % - Markeringsfarve2 2 3 3 3" xfId="30433" xr:uid="{8B953ED6-93BD-49BD-8572-AFD1FD4B72DC}"/>
    <cellStyle name="20 % - Markeringsfarve2 2 3 4" xfId="30434" xr:uid="{C7A96FDE-E952-4F8E-9E4E-B9CE9DAC9B78}"/>
    <cellStyle name="20 % - Markeringsfarve2 2 3 4 2" xfId="30435" xr:uid="{585F9FDA-E358-4964-AEED-3F20FED70EF0}"/>
    <cellStyle name="20 % - Markeringsfarve2 2 3 4 3" xfId="30436" xr:uid="{7CA1A377-5559-4E33-ABBA-419E167BC29F}"/>
    <cellStyle name="20 % - Markeringsfarve2 2 3 5" xfId="30437" xr:uid="{02514648-0795-4638-927F-566FA0CC9C54}"/>
    <cellStyle name="20 % - Markeringsfarve2 2 3 5 2" xfId="30438" xr:uid="{F8CF6D98-D2ED-4AC3-962D-4FE38F16E12A}"/>
    <cellStyle name="20 % - Markeringsfarve2 2 3 5 3" xfId="30439" xr:uid="{D75C351F-9BED-4591-88C3-1C73804A51A2}"/>
    <cellStyle name="20 % - Markeringsfarve2 2 3 6" xfId="30440" xr:uid="{8C54ECB7-F7AF-4D50-B6F8-989B65293CE2}"/>
    <cellStyle name="20 % - Markeringsfarve2 2 3 6 2" xfId="30441" xr:uid="{D9B6B6AA-4748-4DB4-8E6A-C3762A04C3C8}"/>
    <cellStyle name="20 % - Markeringsfarve2 2 3 6 3" xfId="30442" xr:uid="{EF641003-204B-4956-B86A-1253B233721D}"/>
    <cellStyle name="20 % - Markeringsfarve2 2 3 7" xfId="30443" xr:uid="{3C6A40F1-E797-49CF-9CFE-E983642424B8}"/>
    <cellStyle name="20 % - Markeringsfarve2 2 3 7 2" xfId="30444" xr:uid="{A2775188-D673-4BB1-87E6-E00255B292B0}"/>
    <cellStyle name="20 % - Markeringsfarve2 2 3 8" xfId="30445" xr:uid="{2972AA28-E6F4-45F1-AFC3-89BBBFF1CD25}"/>
    <cellStyle name="20 % - Markeringsfarve2 2 4" xfId="23485" xr:uid="{5C1334A4-1F6F-40C6-BC89-ED88708DE7F3}"/>
    <cellStyle name="20 % - Markeringsfarve2 2 4 2" xfId="30446" xr:uid="{96C265BA-EB59-417B-8C85-27416F1FDC0B}"/>
    <cellStyle name="20 % - Markeringsfarve2 2 4 3" xfId="30447" xr:uid="{7F9B47B3-D193-49DD-9556-D52DC4F4D913}"/>
    <cellStyle name="20 % - Markeringsfarve2 2 5" xfId="30448" xr:uid="{FC6210DF-CB69-438E-B15A-F27998699CBD}"/>
    <cellStyle name="20 % - Markeringsfarve2 2 5 2" xfId="30449" xr:uid="{565EA13B-2019-43F2-8F12-965CAE5898BA}"/>
    <cellStyle name="20 % - Markeringsfarve2 2 5 3" xfId="30450" xr:uid="{4D945403-F91C-4C17-BD2E-5562545C800C}"/>
    <cellStyle name="20 % - Markeringsfarve2 2 6" xfId="30451" xr:uid="{215FBB4D-0981-4624-ACBB-9D488B3D1321}"/>
    <cellStyle name="20 % - Markeringsfarve2 2 6 2" xfId="30452" xr:uid="{C34DBC5E-1FD2-48B2-A896-185488E68FF3}"/>
    <cellStyle name="20 % - Markeringsfarve2 2 6 3" xfId="30453" xr:uid="{96A8042F-6AD8-455F-8E6F-65F2ED442072}"/>
    <cellStyle name="20 % - Markeringsfarve2 2 7" xfId="30454" xr:uid="{8CD61F4D-CBDA-436F-9099-4EAA00BF1D13}"/>
    <cellStyle name="20 % - Markeringsfarve2 2 7 2" xfId="30455" xr:uid="{CCB0F5E4-6ABA-46A4-A0FB-BD56E9105F07}"/>
    <cellStyle name="20 % - Markeringsfarve2 2 7 3" xfId="30456" xr:uid="{A473EE24-13C0-4D53-AF85-F9E8AD943F90}"/>
    <cellStyle name="20 % - Markeringsfarve2 2 8" xfId="30457" xr:uid="{78532AEC-D477-4C97-8BB6-712336FB7168}"/>
    <cellStyle name="20 % - Markeringsfarve2 2 8 2" xfId="30458" xr:uid="{A082716D-AA77-4DDC-BCF5-3149B8409619}"/>
    <cellStyle name="20 % - Markeringsfarve2 2 8 3" xfId="30459" xr:uid="{B31C4F1C-4695-4E54-B2B7-7BC5B9C81825}"/>
    <cellStyle name="20 % - Markeringsfarve2 2 9" xfId="30460" xr:uid="{DFA5CCB9-5414-4F77-B6FF-87C86242F29D}"/>
    <cellStyle name="20 % - Markeringsfarve2 2 9 2" xfId="30461" xr:uid="{8776C54A-0E28-4A25-91C2-D584355571FE}"/>
    <cellStyle name="20 % - Markeringsfarve2 3" xfId="2586" xr:uid="{22A9BFCA-D7A2-4454-B925-5331D14C4E61}"/>
    <cellStyle name="20 % - Markeringsfarve2 3 10" xfId="30462" xr:uid="{853A22AC-7F14-49FD-860D-97F0A516242B}"/>
    <cellStyle name="20 % - Markeringsfarve2 3 2" xfId="23486" xr:uid="{BC93B78D-1652-4468-9F7E-C20E83A9B3DC}"/>
    <cellStyle name="20 % - Markeringsfarve2 3 2 2" xfId="30463" xr:uid="{CC0FBB36-5961-4EA9-8476-5A10C9D445D0}"/>
    <cellStyle name="20 % - Markeringsfarve2 3 2 2 2" xfId="30464" xr:uid="{0831AF86-D6A6-4C48-9974-082A73CF99CC}"/>
    <cellStyle name="20 % - Markeringsfarve2 3 2 2 3" xfId="30465" xr:uid="{2B6E089D-1F3A-4BAB-A495-CDAF4BDD3CB4}"/>
    <cellStyle name="20 % - Markeringsfarve2 3 2 3" xfId="30466" xr:uid="{3237FA4F-1A65-49E8-9B89-FD553BED39E1}"/>
    <cellStyle name="20 % - Markeringsfarve2 3 2 3 2" xfId="30467" xr:uid="{93862841-B65D-478D-8B0F-0BE7263C1525}"/>
    <cellStyle name="20 % - Markeringsfarve2 3 2 3 3" xfId="30468" xr:uid="{C9EA417A-71E3-423A-B4AC-88E2F61725EE}"/>
    <cellStyle name="20 % - Markeringsfarve2 3 2 4" xfId="30469" xr:uid="{47882B73-2B15-49CA-845E-B7435574C62E}"/>
    <cellStyle name="20 % - Markeringsfarve2 3 2 4 2" xfId="30470" xr:uid="{563781E4-543A-4190-B8D2-4919F92048FC}"/>
    <cellStyle name="20 % - Markeringsfarve2 3 2 4 3" xfId="30471" xr:uid="{3AD1AC21-2A7F-4B71-9C09-BCFB91400443}"/>
    <cellStyle name="20 % - Markeringsfarve2 3 2 5" xfId="30472" xr:uid="{09F7A5BC-5267-454F-AD8C-C5EA38EDF127}"/>
    <cellStyle name="20 % - Markeringsfarve2 3 2 5 2" xfId="30473" xr:uid="{F3BA9F62-5D3D-469A-BC5C-1B8A371D1973}"/>
    <cellStyle name="20 % - Markeringsfarve2 3 2 5 3" xfId="30474" xr:uid="{C07AC0E1-506D-4D2F-BC48-F922EA59A0BE}"/>
    <cellStyle name="20 % - Markeringsfarve2 3 2 6" xfId="30475" xr:uid="{9189CCFC-4EFD-497C-8120-0E6C9E31EBEC}"/>
    <cellStyle name="20 % - Markeringsfarve2 3 2 6 2" xfId="30476" xr:uid="{92D8B8A3-3EEA-47BC-AB37-F56DF3020FB7}"/>
    <cellStyle name="20 % - Markeringsfarve2 3 2 6 3" xfId="30477" xr:uid="{5A1523E5-5449-426A-B684-D8963B729AE2}"/>
    <cellStyle name="20 % - Markeringsfarve2 3 2 7" xfId="30478" xr:uid="{01A4D0A4-21EB-4E15-8DF8-E38675AF7594}"/>
    <cellStyle name="20 % - Markeringsfarve2 3 2 7 2" xfId="30479" xr:uid="{66B2D591-23FB-4334-9667-935BFCFA2C29}"/>
    <cellStyle name="20 % - Markeringsfarve2 3 2 8" xfId="30480" xr:uid="{43667715-3C2D-467F-A902-76ED1B60CE5D}"/>
    <cellStyle name="20 % - Markeringsfarve2 3 3" xfId="30481" xr:uid="{9CF83D00-6FE9-49F9-B51F-3AB285E3EFF3}"/>
    <cellStyle name="20 % - Markeringsfarve2 3 3 2" xfId="30482" xr:uid="{B57A8555-C4BD-4DDA-B3C4-6CD115D0EEED}"/>
    <cellStyle name="20 % - Markeringsfarve2 3 3 2 2" xfId="30483" xr:uid="{956BFC47-E492-42CD-BF4C-6F1EA00BA23E}"/>
    <cellStyle name="20 % - Markeringsfarve2 3 3 2 3" xfId="30484" xr:uid="{AF8CEBAD-A937-4FFA-8509-3AE3FFC1FA11}"/>
    <cellStyle name="20 % - Markeringsfarve2 3 3 3" xfId="30485" xr:uid="{D85D482E-6881-460E-B9A4-4FA09E8E9303}"/>
    <cellStyle name="20 % - Markeringsfarve2 3 3 3 2" xfId="30486" xr:uid="{43ABD234-DBE7-425B-BF7E-72F50541A30A}"/>
    <cellStyle name="20 % - Markeringsfarve2 3 3 3 3" xfId="30487" xr:uid="{2BEB1D3C-C0F3-4166-8686-BE77D979BF9D}"/>
    <cellStyle name="20 % - Markeringsfarve2 3 3 4" xfId="30488" xr:uid="{DFE84A85-8B49-4575-8769-02C72193F750}"/>
    <cellStyle name="20 % - Markeringsfarve2 3 3 4 2" xfId="30489" xr:uid="{DDBAB80A-E8CB-411E-A7AF-F6D2B705253B}"/>
    <cellStyle name="20 % - Markeringsfarve2 3 3 4 3" xfId="30490" xr:uid="{E38ACD31-0BA8-4302-9513-E19B21202CBF}"/>
    <cellStyle name="20 % - Markeringsfarve2 3 3 5" xfId="30491" xr:uid="{B69F41D3-6668-42AF-8CF3-9DE4609A92A9}"/>
    <cellStyle name="20 % - Markeringsfarve2 3 3 5 2" xfId="30492" xr:uid="{2912F58D-3C3E-425E-A6FF-F471A0C5B90F}"/>
    <cellStyle name="20 % - Markeringsfarve2 3 3 5 3" xfId="30493" xr:uid="{B1BBE3B1-7D06-4BEB-B645-5784FBE0280B}"/>
    <cellStyle name="20 % - Markeringsfarve2 3 3 6" xfId="30494" xr:uid="{CE9A7737-B371-4D47-A1B5-B46F8A4299A2}"/>
    <cellStyle name="20 % - Markeringsfarve2 3 3 6 2" xfId="30495" xr:uid="{78F26028-5AD7-4679-9E7D-AF6E11F643F0}"/>
    <cellStyle name="20 % - Markeringsfarve2 3 3 6 3" xfId="30496" xr:uid="{5F56C6DF-5F0C-44A6-A8C0-1421C68F74C8}"/>
    <cellStyle name="20 % - Markeringsfarve2 3 3 7" xfId="30497" xr:uid="{E84C6B06-3941-44CD-9460-20E7795BC910}"/>
    <cellStyle name="20 % - Markeringsfarve2 3 3 7 2" xfId="30498" xr:uid="{EC94142E-50E8-47CE-8EB9-616E66D3CF73}"/>
    <cellStyle name="20 % - Markeringsfarve2 3 3 8" xfId="30499" xr:uid="{E1CA7A79-4CAB-44DC-A236-285383D1CB20}"/>
    <cellStyle name="20 % - Markeringsfarve2 3 4" xfId="30500" xr:uid="{29CAC85D-72A4-48AD-A526-C96C6286374B}"/>
    <cellStyle name="20 % - Markeringsfarve2 3 4 2" xfId="30501" xr:uid="{AFCA1C56-6409-4FD4-818C-FACA7CA21789}"/>
    <cellStyle name="20 % - Markeringsfarve2 3 4 3" xfId="30502" xr:uid="{E2DD20BE-0A2A-4135-9412-9A46C59A4E39}"/>
    <cellStyle name="20 % - Markeringsfarve2 3 5" xfId="30503" xr:uid="{DA9629BD-FCA1-4CAD-B7C1-A0532233249F}"/>
    <cellStyle name="20 % - Markeringsfarve2 3 5 2" xfId="30504" xr:uid="{FE7FFC4B-7F6D-4A93-99D8-21A9FC1B9C41}"/>
    <cellStyle name="20 % - Markeringsfarve2 3 5 3" xfId="30505" xr:uid="{B8309F84-B270-4D54-A635-75B46EF88339}"/>
    <cellStyle name="20 % - Markeringsfarve2 3 6" xfId="30506" xr:uid="{FDA84867-9728-4778-81E6-81778C7234E3}"/>
    <cellStyle name="20 % - Markeringsfarve2 3 6 2" xfId="30507" xr:uid="{0B4A40D1-B717-4D04-8DF4-0CA72E1C6081}"/>
    <cellStyle name="20 % - Markeringsfarve2 3 6 3" xfId="30508" xr:uid="{79EA2421-EF41-414B-82BE-E9D47631115B}"/>
    <cellStyle name="20 % - Markeringsfarve2 3 7" xfId="30509" xr:uid="{BDF144BA-FC42-4F1D-97BD-127DA7BB1B3C}"/>
    <cellStyle name="20 % - Markeringsfarve2 3 7 2" xfId="30510" xr:uid="{2FB1E709-0D10-4557-99F8-7725650583C4}"/>
    <cellStyle name="20 % - Markeringsfarve2 3 7 3" xfId="30511" xr:uid="{FC4454EC-E37B-4838-9A4D-95BBCCDCF731}"/>
    <cellStyle name="20 % - Markeringsfarve2 3 8" xfId="30512" xr:uid="{3A934D22-EB85-4A5B-81FF-0A426F6BD308}"/>
    <cellStyle name="20 % - Markeringsfarve2 3 8 2" xfId="30513" xr:uid="{7E568AF9-0E8F-4CC9-B650-62B8549DD816}"/>
    <cellStyle name="20 % - Markeringsfarve2 3 8 3" xfId="30514" xr:uid="{2D6F2A85-96F9-4B96-8597-6D72DC436A07}"/>
    <cellStyle name="20 % - Markeringsfarve2 3 9" xfId="30515" xr:uid="{5C436FD0-4CE8-46A9-9743-FBCA791E7993}"/>
    <cellStyle name="20 % - Markeringsfarve2 3 9 2" xfId="30516" xr:uid="{5C1AF9EB-9DB9-4DBB-9DFD-053B4E580B99}"/>
    <cellStyle name="20 % - Markeringsfarve2 4" xfId="23487" xr:uid="{CC4EB750-CB11-4B7A-BCC3-A2D1F1FDACD6}"/>
    <cellStyle name="20 % - Markeringsfarve2 4 2" xfId="23488" xr:uid="{50D1B507-0361-4D03-9C78-B20F4CB4DAED}"/>
    <cellStyle name="20 % - Markeringsfarve2 4 2 2" xfId="30517" xr:uid="{BC54C7A1-2701-430E-B8FF-DF0CAA877A0F}"/>
    <cellStyle name="20 % - Markeringsfarve2 4 2 3" xfId="30518" xr:uid="{CF1D22F0-1AE7-4A34-B325-6D354BE96525}"/>
    <cellStyle name="20 % - Markeringsfarve2 4 3" xfId="30519" xr:uid="{E6FB7AEA-6651-4F4A-A35D-9B693AEB8C07}"/>
    <cellStyle name="20 % - Markeringsfarve2 4 3 2" xfId="30520" xr:uid="{DD8094CC-EA9A-4447-994F-40C8C547E973}"/>
    <cellStyle name="20 % - Markeringsfarve2 4 3 3" xfId="30521" xr:uid="{B7FBC3C1-53F8-4B6D-B34B-BC3754D3D8B0}"/>
    <cellStyle name="20 % - Markeringsfarve2 4 4" xfId="30522" xr:uid="{B2BB3F40-3400-4BAE-BF20-93C94EC32491}"/>
    <cellStyle name="20 % - Markeringsfarve2 4 4 2" xfId="30523" xr:uid="{3D89548E-2F64-4FB5-A29A-B8283C4773E7}"/>
    <cellStyle name="20 % - Markeringsfarve2 4 4 3" xfId="30524" xr:uid="{ECCC0E8D-803D-44E0-B11F-37E06655EE55}"/>
    <cellStyle name="20 % - Markeringsfarve2 4 5" xfId="30525" xr:uid="{72C2904C-4276-48A8-83BE-8F1955DE2FFE}"/>
    <cellStyle name="20 % - Markeringsfarve2 4 5 2" xfId="30526" xr:uid="{0A81BCC9-C5AE-49D1-BE68-76DF9211D507}"/>
    <cellStyle name="20 % - Markeringsfarve2 4 5 3" xfId="30527" xr:uid="{382D5903-FA2A-4248-80FD-A1D082F80149}"/>
    <cellStyle name="20 % - Markeringsfarve2 4 6" xfId="30528" xr:uid="{23AD13B5-187C-452E-9E64-4630435F1E01}"/>
    <cellStyle name="20 % - Markeringsfarve2 4 6 2" xfId="30529" xr:uid="{960E3135-99F0-474D-9AAE-735DC4EEBD0D}"/>
    <cellStyle name="20 % - Markeringsfarve2 4 6 3" xfId="30530" xr:uid="{B0028005-F7D0-4D43-9629-7312E559FF0B}"/>
    <cellStyle name="20 % - Markeringsfarve2 4 7" xfId="30531" xr:uid="{CEE10B8B-BDE6-4BBE-ACEC-7F3F6C60A3AB}"/>
    <cellStyle name="20 % - Markeringsfarve2 4 7 2" xfId="30532" xr:uid="{2098212A-FEC6-48DE-8480-498401B5D8C1}"/>
    <cellStyle name="20 % - Markeringsfarve2 4 8" xfId="30533" xr:uid="{6AF1A9F4-E461-40CC-9CC5-09A5732514A2}"/>
    <cellStyle name="20 % - Markeringsfarve2 5" xfId="23489" xr:uid="{972CF4D2-E85E-40EE-AC18-E441ECC97AE8}"/>
    <cellStyle name="20 % - Markeringsfarve2 5 2" xfId="23490" xr:uid="{52FC7F30-BE45-42A6-ABB3-4F4412B5E279}"/>
    <cellStyle name="20 % - Markeringsfarve2 5 2 2" xfId="30534" xr:uid="{F65B758D-C28B-4DF5-B67B-67FB5BC39C38}"/>
    <cellStyle name="20 % - Markeringsfarve2 5 2 3" xfId="30535" xr:uid="{0B07B882-FA74-4D7C-A341-711518E46170}"/>
    <cellStyle name="20 % - Markeringsfarve2 5 3" xfId="30536" xr:uid="{C5B184B4-AFF1-4DF1-AFAF-70F29D16BC58}"/>
    <cellStyle name="20 % - Markeringsfarve2 5 3 2" xfId="30537" xr:uid="{29B0C3D1-4912-419B-8F2A-651895E11A22}"/>
    <cellStyle name="20 % - Markeringsfarve2 5 3 3" xfId="30538" xr:uid="{E5EAA523-BD7E-4385-AB6A-2B49056AD53F}"/>
    <cellStyle name="20 % - Markeringsfarve2 5 4" xfId="30539" xr:uid="{F9FA0080-1B65-452A-9B26-E03C5DE0B201}"/>
    <cellStyle name="20 % - Markeringsfarve2 5 4 2" xfId="30540" xr:uid="{9357777D-9438-4842-8310-614BC5EBDD2D}"/>
    <cellStyle name="20 % - Markeringsfarve2 5 4 3" xfId="30541" xr:uid="{DEF99A39-B519-4750-BF3A-F00F814D2038}"/>
    <cellStyle name="20 % - Markeringsfarve2 5 5" xfId="30542" xr:uid="{1C4A4524-4B83-4EE8-A6FA-FF3ED3739E4D}"/>
    <cellStyle name="20 % - Markeringsfarve2 5 5 2" xfId="30543" xr:uid="{69278BCB-AAB9-43C4-BB00-3E896A2170BF}"/>
    <cellStyle name="20 % - Markeringsfarve2 5 5 3" xfId="30544" xr:uid="{782984DF-9D8B-47DE-A74D-2EA54913D762}"/>
    <cellStyle name="20 % - Markeringsfarve2 5 6" xfId="30545" xr:uid="{DF3A8A8D-1656-4B1C-B689-7522A4AB0A97}"/>
    <cellStyle name="20 % - Markeringsfarve2 5 6 2" xfId="30546" xr:uid="{1126A474-19B7-4296-9462-100BE616F41B}"/>
    <cellStyle name="20 % - Markeringsfarve2 5 6 3" xfId="30547" xr:uid="{C2F54AA5-383F-4515-8795-7F38072312AA}"/>
    <cellStyle name="20 % - Markeringsfarve2 5 7" xfId="30548" xr:uid="{3BD3ED53-E2BB-45D3-A50E-FCA87DAA8376}"/>
    <cellStyle name="20 % - Markeringsfarve2 5 7 2" xfId="30549" xr:uid="{D175EBD9-7C61-4FF3-A3A4-87B694FE00B6}"/>
    <cellStyle name="20 % - Markeringsfarve2 5 8" xfId="30550" xr:uid="{25FF214F-52AC-4431-8ADE-A297A68D5C93}"/>
    <cellStyle name="20 % - Markeringsfarve2 6" xfId="23491" xr:uid="{3385A10D-2516-4DE5-B4BD-E3DF7817AFD2}"/>
    <cellStyle name="20 % - Markeringsfarve2 6 2" xfId="23492" xr:uid="{6C590BE0-D1B3-418D-8371-B838467FC616}"/>
    <cellStyle name="20 % - Markeringsfarve2 6 2 2" xfId="30551" xr:uid="{DF154F75-BC12-43CA-8438-6105BB764F5D}"/>
    <cellStyle name="20 % - Markeringsfarve2 6 2 3" xfId="30552" xr:uid="{2D629FFC-3EE4-49F8-92D1-FDA5F02426C0}"/>
    <cellStyle name="20 % - Markeringsfarve2 6 3" xfId="30553" xr:uid="{3C3D4971-80B2-4226-BDD6-979AE39C1343}"/>
    <cellStyle name="20 % - Markeringsfarve2 6 4" xfId="30554" xr:uid="{85A3B220-2950-4DA7-8B20-D78C22CF9015}"/>
    <cellStyle name="20 % - Markeringsfarve2 7" xfId="23493" xr:uid="{77957283-14B6-4ED8-B839-AAEB0C980AA9}"/>
    <cellStyle name="20 % - Markeringsfarve2 7 2" xfId="30555" xr:uid="{00CC7D74-D044-4B62-B300-4CE1870D0F52}"/>
    <cellStyle name="20 % - Markeringsfarve2 7 3" xfId="30556" xr:uid="{E432E0A1-AF52-4B10-9E2F-980BDAA96243}"/>
    <cellStyle name="20 % - Markeringsfarve2 8" xfId="30557" xr:uid="{A6F0896E-F7C9-461B-A211-C6C038667CCD}"/>
    <cellStyle name="20 % - Markeringsfarve2 8 2" xfId="30558" xr:uid="{D8558587-7A0B-4C5C-8572-50CC2D054D70}"/>
    <cellStyle name="20 % - Markeringsfarve2 8 3" xfId="30559" xr:uid="{326EBEF2-1F67-4747-9366-4F8E9FD2623B}"/>
    <cellStyle name="20 % - Markeringsfarve2 9" xfId="30560" xr:uid="{C1307B08-EE51-4F31-B1E2-615BF9408888}"/>
    <cellStyle name="20 % - Markeringsfarve2 9 2" xfId="30561" xr:uid="{348BD3E0-2E4B-45D1-B508-1A5C73B3E485}"/>
    <cellStyle name="20 % - Markeringsfarve2 9 3" xfId="30562" xr:uid="{4B64CE94-BC35-4E0E-9D28-357ECB030A4F}"/>
    <cellStyle name="20 % - Markeringsfarve3" xfId="1263" xr:uid="{00000000-0005-0000-0000-000004000000}"/>
    <cellStyle name="20 % - Markeringsfarve3 10" xfId="30563" xr:uid="{5A8090B8-8CEE-473A-B553-6243665AA7E1}"/>
    <cellStyle name="20 % - Markeringsfarve3 10 2" xfId="30564" xr:uid="{82C81F3A-377C-43E8-9625-BF390839D856}"/>
    <cellStyle name="20 % - Markeringsfarve3 11" xfId="30565" xr:uid="{97D8BE5B-C8C2-4E63-8F96-9130D1E0D207}"/>
    <cellStyle name="20 % - Markeringsfarve3 12" xfId="17721" xr:uid="{9FE9A627-719A-4700-8D38-844B21FF6A87}"/>
    <cellStyle name="20 % - Markeringsfarve3 2" xfId="1264" xr:uid="{00000000-0005-0000-0000-000005000000}"/>
    <cellStyle name="20 % - Markeringsfarve3 2 10" xfId="30566" xr:uid="{DBC16257-B48B-46BF-9EFC-D068D078CC99}"/>
    <cellStyle name="20 % - Markeringsfarve3 2 11" xfId="17722" xr:uid="{8EACFD2E-B424-477A-945A-F729C16042C9}"/>
    <cellStyle name="20 % - Markeringsfarve3 2 2" xfId="23494" xr:uid="{2C008516-64BC-4735-930B-6921721354D5}"/>
    <cellStyle name="20 % - Markeringsfarve3 2 2 2" xfId="23495" xr:uid="{3E6386D8-65D2-4F0D-8BFE-6441984C1FFA}"/>
    <cellStyle name="20 % - Markeringsfarve3 2 2 2 2" xfId="30567" xr:uid="{D748036A-0F25-4B7E-B632-61ED85693689}"/>
    <cellStyle name="20 % - Markeringsfarve3 2 2 2 3" xfId="30568" xr:uid="{3D102298-B00D-4C2F-AE00-C58A121602A3}"/>
    <cellStyle name="20 % - Markeringsfarve3 2 2 3" xfId="30569" xr:uid="{E2952DBD-4C59-475E-A72F-489951E379EF}"/>
    <cellStyle name="20 % - Markeringsfarve3 2 2 3 2" xfId="30570" xr:uid="{83FDFC82-583A-4679-8A74-187284D049BC}"/>
    <cellStyle name="20 % - Markeringsfarve3 2 2 3 3" xfId="30571" xr:uid="{5C8D9B35-3760-4063-8570-8F03C8E3146E}"/>
    <cellStyle name="20 % - Markeringsfarve3 2 2 4" xfId="30572" xr:uid="{B899A67B-322A-46A1-B030-1D67F3B27452}"/>
    <cellStyle name="20 % - Markeringsfarve3 2 2 4 2" xfId="30573" xr:uid="{3207CE07-F821-4BBD-924F-AE94547D1D58}"/>
    <cellStyle name="20 % - Markeringsfarve3 2 2 4 3" xfId="30574" xr:uid="{DEFC84FD-9511-47D2-97B7-E7544EC2F4AD}"/>
    <cellStyle name="20 % - Markeringsfarve3 2 2 5" xfId="30575" xr:uid="{CAA20930-E574-4430-B0D1-3709D9E86485}"/>
    <cellStyle name="20 % - Markeringsfarve3 2 2 5 2" xfId="30576" xr:uid="{47A84042-A143-4F75-9F70-6AC2B755BC2C}"/>
    <cellStyle name="20 % - Markeringsfarve3 2 2 5 3" xfId="30577" xr:uid="{906C2527-113E-48B1-8B26-4CDA8E76257D}"/>
    <cellStyle name="20 % - Markeringsfarve3 2 2 6" xfId="30578" xr:uid="{53D9C553-C621-40C0-8E9D-20B42BE63404}"/>
    <cellStyle name="20 % - Markeringsfarve3 2 2 6 2" xfId="30579" xr:uid="{11271948-4A91-4396-9557-82AE7C81DA36}"/>
    <cellStyle name="20 % - Markeringsfarve3 2 2 6 3" xfId="30580" xr:uid="{8DCA5871-F54E-43A7-8C39-116B590CBEDF}"/>
    <cellStyle name="20 % - Markeringsfarve3 2 2 7" xfId="30581" xr:uid="{CDA2B927-669B-4FEC-AB11-30C1C3D91D6B}"/>
    <cellStyle name="20 % - Markeringsfarve3 2 2 7 2" xfId="30582" xr:uid="{1A2388D1-7230-436B-B39D-270236340188}"/>
    <cellStyle name="20 % - Markeringsfarve3 2 2 8" xfId="30583" xr:uid="{40EA5854-DC45-4E7C-8F2A-732EA96CA08D}"/>
    <cellStyle name="20 % - Markeringsfarve3 2 3" xfId="23496" xr:uid="{9DD3D151-35C0-40BA-940F-684D8D72AF7C}"/>
    <cellStyle name="20 % - Markeringsfarve3 2 3 2" xfId="23497" xr:uid="{9289A3CD-6200-4CF3-B9D7-0F35AC1A0BE4}"/>
    <cellStyle name="20 % - Markeringsfarve3 2 3 2 2" xfId="30584" xr:uid="{0976A378-F61D-4FF0-9BC2-4DF4ECBDED7C}"/>
    <cellStyle name="20 % - Markeringsfarve3 2 3 2 3" xfId="30585" xr:uid="{4A710459-C3A8-4AB0-883B-5EFD81411BE4}"/>
    <cellStyle name="20 % - Markeringsfarve3 2 3 3" xfId="30586" xr:uid="{53F2CFEC-F069-4190-A51E-8C20708DF88F}"/>
    <cellStyle name="20 % - Markeringsfarve3 2 3 3 2" xfId="30587" xr:uid="{DE41B7C1-B777-452E-A2A3-B452986FDE2A}"/>
    <cellStyle name="20 % - Markeringsfarve3 2 3 3 3" xfId="30588" xr:uid="{A1176FA3-74AA-4D01-A8D2-2F3CA3293E1C}"/>
    <cellStyle name="20 % - Markeringsfarve3 2 3 4" xfId="30589" xr:uid="{EAD2439E-3274-4DF0-982D-55F0E64A9D1F}"/>
    <cellStyle name="20 % - Markeringsfarve3 2 3 4 2" xfId="30590" xr:uid="{20687603-EAB5-475F-8FC4-52A94CB53CF1}"/>
    <cellStyle name="20 % - Markeringsfarve3 2 3 4 3" xfId="30591" xr:uid="{F3BAFAFA-75F1-49D7-8039-3C161394DA68}"/>
    <cellStyle name="20 % - Markeringsfarve3 2 3 5" xfId="30592" xr:uid="{D250D7B1-FD65-4C1E-AE23-E504A3195F80}"/>
    <cellStyle name="20 % - Markeringsfarve3 2 3 5 2" xfId="30593" xr:uid="{446D0AD2-15AB-4730-A055-FC9724BECC79}"/>
    <cellStyle name="20 % - Markeringsfarve3 2 3 5 3" xfId="30594" xr:uid="{DE46DEE3-541B-4F41-A4B0-CBE7393BA28A}"/>
    <cellStyle name="20 % - Markeringsfarve3 2 3 6" xfId="30595" xr:uid="{D46A75C6-82A7-46ED-86A2-2F9AF7CAAF0D}"/>
    <cellStyle name="20 % - Markeringsfarve3 2 3 6 2" xfId="30596" xr:uid="{64459389-2959-45AE-80F9-C80F00C00EFF}"/>
    <cellStyle name="20 % - Markeringsfarve3 2 3 6 3" xfId="30597" xr:uid="{4BC7CCB4-4997-447D-9EE3-B14E93E84238}"/>
    <cellStyle name="20 % - Markeringsfarve3 2 3 7" xfId="30598" xr:uid="{C6EE48D7-7C23-4FD2-902D-E7B363FB575F}"/>
    <cellStyle name="20 % - Markeringsfarve3 2 3 7 2" xfId="30599" xr:uid="{69049EA3-5C60-4971-99B6-1802F0D3BE86}"/>
    <cellStyle name="20 % - Markeringsfarve3 2 3 8" xfId="30600" xr:uid="{B7F715FC-D658-4CBD-87C9-E84E90A13557}"/>
    <cellStyle name="20 % - Markeringsfarve3 2 4" xfId="23498" xr:uid="{B66DCF4A-632E-4E75-86EC-0AADAFAFE28B}"/>
    <cellStyle name="20 % - Markeringsfarve3 2 4 2" xfId="23499" xr:uid="{CBC18479-C2ED-4ED7-907B-C7AE8EC4E5A7}"/>
    <cellStyle name="20 % - Markeringsfarve3 2 4 3" xfId="30601" xr:uid="{5C130B9C-82BF-4B37-8164-78D64FA65530}"/>
    <cellStyle name="20 % - Markeringsfarve3 2 5" xfId="23500" xr:uid="{38BC05F7-C995-4C60-B7FB-F4C382DAEDD2}"/>
    <cellStyle name="20 % - Markeringsfarve3 2 5 2" xfId="30602" xr:uid="{D6C837B9-F1B1-447B-B4C0-B83D82C4A471}"/>
    <cellStyle name="20 % - Markeringsfarve3 2 5 3" xfId="30603" xr:uid="{1C52AA9F-763E-473F-AF7D-34924631CD00}"/>
    <cellStyle name="20 % - Markeringsfarve3 2 6" xfId="30604" xr:uid="{AE8DFC05-1E82-46EF-9579-3F8E38ED9E4E}"/>
    <cellStyle name="20 % - Markeringsfarve3 2 6 2" xfId="30605" xr:uid="{832485B7-1958-4FA7-BEF7-18CCB7B8610C}"/>
    <cellStyle name="20 % - Markeringsfarve3 2 6 3" xfId="30606" xr:uid="{7116580C-2E45-499C-AD32-F790FB3C4B60}"/>
    <cellStyle name="20 % - Markeringsfarve3 2 7" xfId="30607" xr:uid="{C0076BFC-7B9D-47AC-BA09-86C9B0260AE7}"/>
    <cellStyle name="20 % - Markeringsfarve3 2 7 2" xfId="30608" xr:uid="{9B624048-7C71-4132-B1AD-100575807715}"/>
    <cellStyle name="20 % - Markeringsfarve3 2 7 3" xfId="30609" xr:uid="{02B86205-5813-4AC7-BE30-C6B9E16EA2AD}"/>
    <cellStyle name="20 % - Markeringsfarve3 2 8" xfId="30610" xr:uid="{97FD404C-1572-4348-A3C4-F44C4DCE7F7F}"/>
    <cellStyle name="20 % - Markeringsfarve3 2 8 2" xfId="30611" xr:uid="{9B36835B-E77F-4DB5-B269-50E18D4C8AAA}"/>
    <cellStyle name="20 % - Markeringsfarve3 2 8 3" xfId="30612" xr:uid="{EB5A203F-8D43-4E91-8F38-1A8D227C1775}"/>
    <cellStyle name="20 % - Markeringsfarve3 2 9" xfId="30613" xr:uid="{A1256460-416A-46F6-8A33-F608F94E76CD}"/>
    <cellStyle name="20 % - Markeringsfarve3 2 9 2" xfId="30614" xr:uid="{5EA57434-FF51-4F50-BB24-A85839B2B118}"/>
    <cellStyle name="20 % - Markeringsfarve3 3" xfId="2587" xr:uid="{CFC757D9-9939-472D-BD3A-638858576F1A}"/>
    <cellStyle name="20 % - Markeringsfarve3 3 10" xfId="30615" xr:uid="{B7826102-FA8A-4771-85A2-299AB3206EB2}"/>
    <cellStyle name="20 % - Markeringsfarve3 3 2" xfId="23501" xr:uid="{492C61F7-E8F3-43F5-9326-D8E5CCF7BD69}"/>
    <cellStyle name="20 % - Markeringsfarve3 3 2 2" xfId="30616" xr:uid="{6F8C0766-0590-49A3-AC28-DCFC38C26677}"/>
    <cellStyle name="20 % - Markeringsfarve3 3 2 2 2" xfId="30617" xr:uid="{FC6FC0B7-127F-43FF-AF96-C1EDC77CA07A}"/>
    <cellStyle name="20 % - Markeringsfarve3 3 2 2 3" xfId="30618" xr:uid="{2CBF8B4F-080C-48C0-856B-19AEAE89837E}"/>
    <cellStyle name="20 % - Markeringsfarve3 3 2 3" xfId="30619" xr:uid="{427D7FB8-A2B5-4752-9ED3-6A798B2204F8}"/>
    <cellStyle name="20 % - Markeringsfarve3 3 2 3 2" xfId="30620" xr:uid="{357E2E2D-E0A2-45BD-843C-C21532A7E23E}"/>
    <cellStyle name="20 % - Markeringsfarve3 3 2 3 3" xfId="30621" xr:uid="{D0FFE73F-A868-45AE-BB4B-74BDE7583133}"/>
    <cellStyle name="20 % - Markeringsfarve3 3 2 4" xfId="30622" xr:uid="{CED331A3-AFFF-447F-A29D-C6E7AE3A4954}"/>
    <cellStyle name="20 % - Markeringsfarve3 3 2 4 2" xfId="30623" xr:uid="{AB99F14F-8365-410B-8FD9-EC3A3A367E85}"/>
    <cellStyle name="20 % - Markeringsfarve3 3 2 4 3" xfId="30624" xr:uid="{4EA16873-4021-4E63-971B-F05EA5D3A1CB}"/>
    <cellStyle name="20 % - Markeringsfarve3 3 2 5" xfId="30625" xr:uid="{5818D104-8504-4FE7-B255-3068D959BF9B}"/>
    <cellStyle name="20 % - Markeringsfarve3 3 2 5 2" xfId="30626" xr:uid="{64538737-1609-48B1-A646-2A8D5A220E5A}"/>
    <cellStyle name="20 % - Markeringsfarve3 3 2 5 3" xfId="30627" xr:uid="{9A90CD03-2F52-4635-9970-E347ED879B30}"/>
    <cellStyle name="20 % - Markeringsfarve3 3 2 6" xfId="30628" xr:uid="{93CAC5AC-DB38-405B-8FFE-F640558CA7B5}"/>
    <cellStyle name="20 % - Markeringsfarve3 3 2 6 2" xfId="30629" xr:uid="{DBD43D16-5E8B-44AD-AF98-E2709DCBB2B0}"/>
    <cellStyle name="20 % - Markeringsfarve3 3 2 6 3" xfId="30630" xr:uid="{55A7DA6C-EBFB-415D-AF93-531181ED2F0D}"/>
    <cellStyle name="20 % - Markeringsfarve3 3 2 7" xfId="30631" xr:uid="{1F9484B6-F679-4599-998B-21E60DAE7AD4}"/>
    <cellStyle name="20 % - Markeringsfarve3 3 2 7 2" xfId="30632" xr:uid="{35E824D8-E0C5-4140-BEAA-22242E9B3F9C}"/>
    <cellStyle name="20 % - Markeringsfarve3 3 2 8" xfId="30633" xr:uid="{AD6DB336-DBBB-40BA-8A94-04E3C372EF49}"/>
    <cellStyle name="20 % - Markeringsfarve3 3 3" xfId="30634" xr:uid="{4CFDD4A8-34FB-419B-A5E0-03A451FC1D97}"/>
    <cellStyle name="20 % - Markeringsfarve3 3 3 2" xfId="30635" xr:uid="{21CE5DF7-0A48-46ED-9BC7-9241EECFF412}"/>
    <cellStyle name="20 % - Markeringsfarve3 3 3 2 2" xfId="30636" xr:uid="{354644E8-B738-440E-BF05-CF843080162B}"/>
    <cellStyle name="20 % - Markeringsfarve3 3 3 2 3" xfId="30637" xr:uid="{E1A80A65-D8A9-40E3-A1D1-DD9CA23296BA}"/>
    <cellStyle name="20 % - Markeringsfarve3 3 3 3" xfId="30638" xr:uid="{4B767552-B69F-47DA-A345-055BA133883A}"/>
    <cellStyle name="20 % - Markeringsfarve3 3 3 3 2" xfId="30639" xr:uid="{D09535B1-36BB-4DCF-8942-08E5375741BD}"/>
    <cellStyle name="20 % - Markeringsfarve3 3 3 3 3" xfId="30640" xr:uid="{E14BA535-C532-4B82-B43C-A1386C9CB345}"/>
    <cellStyle name="20 % - Markeringsfarve3 3 3 4" xfId="30641" xr:uid="{E0C37B8B-51CC-44F7-87A8-312723821017}"/>
    <cellStyle name="20 % - Markeringsfarve3 3 3 4 2" xfId="30642" xr:uid="{DFDE1129-E6EF-4028-BDE3-2CD609EFA19E}"/>
    <cellStyle name="20 % - Markeringsfarve3 3 3 4 3" xfId="30643" xr:uid="{329703A8-7599-4751-9032-06F02A665879}"/>
    <cellStyle name="20 % - Markeringsfarve3 3 3 5" xfId="30644" xr:uid="{17501D6D-D5AE-4FAC-92F9-A792B2F96372}"/>
    <cellStyle name="20 % - Markeringsfarve3 3 3 5 2" xfId="30645" xr:uid="{A2084617-8A48-4275-958E-331AD5368D79}"/>
    <cellStyle name="20 % - Markeringsfarve3 3 3 5 3" xfId="30646" xr:uid="{FE4C074D-75C8-4578-B7E1-BBEC2A1E8AFF}"/>
    <cellStyle name="20 % - Markeringsfarve3 3 3 6" xfId="30647" xr:uid="{9F06E7BE-3E07-432F-A75E-DDEA4C888787}"/>
    <cellStyle name="20 % - Markeringsfarve3 3 3 6 2" xfId="30648" xr:uid="{E8ED444C-F91D-4612-A13C-C108B506E661}"/>
    <cellStyle name="20 % - Markeringsfarve3 3 3 6 3" xfId="30649" xr:uid="{B31B0D14-1761-4C5C-861E-E01A8BD5D316}"/>
    <cellStyle name="20 % - Markeringsfarve3 3 3 7" xfId="30650" xr:uid="{E36D1BE3-8400-4E40-BC8C-CD1D7E93B319}"/>
    <cellStyle name="20 % - Markeringsfarve3 3 3 7 2" xfId="30651" xr:uid="{B73CF6FE-B72A-4335-9A7B-6F759ABF9215}"/>
    <cellStyle name="20 % - Markeringsfarve3 3 3 8" xfId="30652" xr:uid="{D06349E0-E18D-4443-8B93-F5095E374FED}"/>
    <cellStyle name="20 % - Markeringsfarve3 3 4" xfId="30653" xr:uid="{A229F7FB-81BC-448A-960F-32DC51F48773}"/>
    <cellStyle name="20 % - Markeringsfarve3 3 4 2" xfId="30654" xr:uid="{8598FD50-9FD7-470A-98AB-6C7F4C9E7B2D}"/>
    <cellStyle name="20 % - Markeringsfarve3 3 4 3" xfId="30655" xr:uid="{491D13B1-BEDA-434B-ADAA-5F9F43501453}"/>
    <cellStyle name="20 % - Markeringsfarve3 3 5" xfId="30656" xr:uid="{451524F5-6299-45E4-AF26-DC1D2FF6388D}"/>
    <cellStyle name="20 % - Markeringsfarve3 3 5 2" xfId="30657" xr:uid="{A810A07C-A288-46DA-82C1-F679373EA715}"/>
    <cellStyle name="20 % - Markeringsfarve3 3 5 3" xfId="30658" xr:uid="{D5CE933F-5466-434E-B2EC-B7297C238C7C}"/>
    <cellStyle name="20 % - Markeringsfarve3 3 6" xfId="30659" xr:uid="{FB3859E9-2512-4223-973F-AE5F95B0765B}"/>
    <cellStyle name="20 % - Markeringsfarve3 3 6 2" xfId="30660" xr:uid="{F9CADC96-8FD2-4BA5-8A45-74B6FC52ED1C}"/>
    <cellStyle name="20 % - Markeringsfarve3 3 6 3" xfId="30661" xr:uid="{85B604F7-497F-4A74-904D-B01DB4307EF5}"/>
    <cellStyle name="20 % - Markeringsfarve3 3 7" xfId="30662" xr:uid="{1A6032EC-2269-45D5-A445-DEB146073331}"/>
    <cellStyle name="20 % - Markeringsfarve3 3 7 2" xfId="30663" xr:uid="{A0ECD616-5BF7-423C-BE92-F081A15BE54D}"/>
    <cellStyle name="20 % - Markeringsfarve3 3 7 3" xfId="30664" xr:uid="{E2D8A60F-22AB-4F57-A2A3-46B5FAD2172B}"/>
    <cellStyle name="20 % - Markeringsfarve3 3 8" xfId="30665" xr:uid="{4436687E-8AC9-4FA5-B0AE-BFDAFB1DF64A}"/>
    <cellStyle name="20 % - Markeringsfarve3 3 8 2" xfId="30666" xr:uid="{34143D6A-2BFB-497A-A630-548AC953727F}"/>
    <cellStyle name="20 % - Markeringsfarve3 3 8 3" xfId="30667" xr:uid="{5B55BB76-0E9A-4AEA-A7D8-8F03371D8FD9}"/>
    <cellStyle name="20 % - Markeringsfarve3 3 9" xfId="30668" xr:uid="{401D0C7B-5583-4E62-94BC-494898C56654}"/>
    <cellStyle name="20 % - Markeringsfarve3 3 9 2" xfId="30669" xr:uid="{6E962AAF-D66B-43D6-9F8C-02D4F1F8E38A}"/>
    <cellStyle name="20 % - Markeringsfarve3 4" xfId="23502" xr:uid="{9642BFC1-5187-49C7-AF11-1DCF150FD88F}"/>
    <cellStyle name="20 % - Markeringsfarve3 4 2" xfId="23503" xr:uid="{D1E6838E-1B34-4D86-B3FD-A9AB0C73FA6D}"/>
    <cellStyle name="20 % - Markeringsfarve3 4 2 2" xfId="30670" xr:uid="{B8E1FC65-464C-4B0F-8AF2-5828BF8315A1}"/>
    <cellStyle name="20 % - Markeringsfarve3 4 2 3" xfId="30671" xr:uid="{D4DE7362-3DFA-4C91-A0C3-2CD0A524E9B1}"/>
    <cellStyle name="20 % - Markeringsfarve3 4 3" xfId="30672" xr:uid="{F2E0AB79-35F3-4E13-BC2C-060198606AC0}"/>
    <cellStyle name="20 % - Markeringsfarve3 4 3 2" xfId="30673" xr:uid="{9ECF99A2-E49F-4E1A-8179-5E34958290D1}"/>
    <cellStyle name="20 % - Markeringsfarve3 4 3 3" xfId="30674" xr:uid="{2A3ECBCE-6766-487C-9BF1-A77F52CF8927}"/>
    <cellStyle name="20 % - Markeringsfarve3 4 4" xfId="30675" xr:uid="{77A012C7-B342-48A1-8EA8-5FB692C5392F}"/>
    <cellStyle name="20 % - Markeringsfarve3 4 4 2" xfId="30676" xr:uid="{856C9928-7A9E-4C66-991F-2603093C8670}"/>
    <cellStyle name="20 % - Markeringsfarve3 4 4 3" xfId="30677" xr:uid="{9D065062-7AFE-43EB-88A2-6259E36E32BB}"/>
    <cellStyle name="20 % - Markeringsfarve3 4 5" xfId="30678" xr:uid="{27BA8CB9-369B-4E3F-868A-D1D59A2FD4A0}"/>
    <cellStyle name="20 % - Markeringsfarve3 4 5 2" xfId="30679" xr:uid="{BEE0BEF2-1099-43A3-BED9-F01AC7589F3B}"/>
    <cellStyle name="20 % - Markeringsfarve3 4 5 3" xfId="30680" xr:uid="{8B0CEF43-DF42-4D0B-B9DB-33638FBB98ED}"/>
    <cellStyle name="20 % - Markeringsfarve3 4 6" xfId="30681" xr:uid="{8EA0AF9C-68C3-49FF-9ACA-0A78C65BE0BA}"/>
    <cellStyle name="20 % - Markeringsfarve3 4 6 2" xfId="30682" xr:uid="{DF6A8928-43BE-4DDE-95B2-F03CF3A09499}"/>
    <cellStyle name="20 % - Markeringsfarve3 4 6 3" xfId="30683" xr:uid="{0C10779E-8C08-4F12-B4A6-FAAAE06FB957}"/>
    <cellStyle name="20 % - Markeringsfarve3 4 7" xfId="30684" xr:uid="{6734BB8F-4C28-4647-839C-C5A4CD9DD2AE}"/>
    <cellStyle name="20 % - Markeringsfarve3 4 7 2" xfId="30685" xr:uid="{8D8A2126-61D1-442E-9CD8-721F5EAE5AF1}"/>
    <cellStyle name="20 % - Markeringsfarve3 4 8" xfId="30686" xr:uid="{7DA20B39-7877-4847-B28D-6462D5857D72}"/>
    <cellStyle name="20 % - Markeringsfarve3 5" xfId="23504" xr:uid="{D6A327F5-A7BE-42EB-BC9C-FAAB9058A70C}"/>
    <cellStyle name="20 % - Markeringsfarve3 5 2" xfId="23505" xr:uid="{905BE758-49D1-467C-885C-B50EEB63B8C2}"/>
    <cellStyle name="20 % - Markeringsfarve3 5 2 2" xfId="30687" xr:uid="{03772C10-E730-4B10-8BE1-EE40AC387312}"/>
    <cellStyle name="20 % - Markeringsfarve3 5 2 3" xfId="30688" xr:uid="{92630C21-AC5B-41CD-9493-2F7ADB11C88D}"/>
    <cellStyle name="20 % - Markeringsfarve3 5 3" xfId="30689" xr:uid="{6EDE850B-0D39-45B6-B971-370A656FE805}"/>
    <cellStyle name="20 % - Markeringsfarve3 5 3 2" xfId="30690" xr:uid="{8C9BD42B-779F-4A02-8D5D-C267A440E3AB}"/>
    <cellStyle name="20 % - Markeringsfarve3 5 3 3" xfId="30691" xr:uid="{48F5D908-9BA9-4984-BDE4-414D89DF66B3}"/>
    <cellStyle name="20 % - Markeringsfarve3 5 4" xfId="30692" xr:uid="{4999A083-F56B-4BD5-942E-AE2E26068FFF}"/>
    <cellStyle name="20 % - Markeringsfarve3 5 4 2" xfId="30693" xr:uid="{38F61F28-99FF-4099-9E31-C7DF5B0B3F6F}"/>
    <cellStyle name="20 % - Markeringsfarve3 5 4 3" xfId="30694" xr:uid="{7545E1BD-2BB0-49FA-8E40-77AF58620B8A}"/>
    <cellStyle name="20 % - Markeringsfarve3 5 5" xfId="30695" xr:uid="{2A3A4CD4-A1BD-481C-B97E-B5FBCF64B4B2}"/>
    <cellStyle name="20 % - Markeringsfarve3 5 5 2" xfId="30696" xr:uid="{0DB2F0E4-4085-420A-BB52-67E36D9B80E1}"/>
    <cellStyle name="20 % - Markeringsfarve3 5 5 3" xfId="30697" xr:uid="{57E749CA-9ACB-4ABA-B08F-2246E8B03E4E}"/>
    <cellStyle name="20 % - Markeringsfarve3 5 6" xfId="30698" xr:uid="{73C004EC-8949-4259-A3A1-ECF607A6601E}"/>
    <cellStyle name="20 % - Markeringsfarve3 5 6 2" xfId="30699" xr:uid="{E3071F3D-AB89-46BD-9DDC-0275C2C1CD4D}"/>
    <cellStyle name="20 % - Markeringsfarve3 5 6 3" xfId="30700" xr:uid="{FAB479E7-650A-4D2B-B0F0-C18994DE9A70}"/>
    <cellStyle name="20 % - Markeringsfarve3 5 7" xfId="30701" xr:uid="{C7028EBF-7521-4C9E-8774-12DB3235D326}"/>
    <cellStyle name="20 % - Markeringsfarve3 5 7 2" xfId="30702" xr:uid="{9478EAC2-3DDE-416A-B54E-1FAC52E34DA3}"/>
    <cellStyle name="20 % - Markeringsfarve3 5 8" xfId="30703" xr:uid="{53C8ECA8-CD80-4DA3-BEC5-6525A2595097}"/>
    <cellStyle name="20 % - Markeringsfarve3 6" xfId="23506" xr:uid="{7DA92D3F-4370-4797-9241-2E7D45CD6291}"/>
    <cellStyle name="20 % - Markeringsfarve3 6 2" xfId="23507" xr:uid="{617CF3ED-409F-450F-9B40-65B0762B7093}"/>
    <cellStyle name="20 % - Markeringsfarve3 6 2 2" xfId="30704" xr:uid="{BFA0AC2C-F3AC-4265-BF8F-3FA43446F40E}"/>
    <cellStyle name="20 % - Markeringsfarve3 6 2 3" xfId="30705" xr:uid="{DF804A8C-AA37-48FD-A6CC-5FE8B82F2B12}"/>
    <cellStyle name="20 % - Markeringsfarve3 6 3" xfId="30706" xr:uid="{805A9C0D-F011-4E96-B6CE-653958B92055}"/>
    <cellStyle name="20 % - Markeringsfarve3 6 4" xfId="30707" xr:uid="{B565CA76-F7D9-492E-B025-CEF326C54493}"/>
    <cellStyle name="20 % - Markeringsfarve3 7" xfId="23508" xr:uid="{63A02281-0E5E-4ADC-BB41-158CD8EC7359}"/>
    <cellStyle name="20 % - Markeringsfarve3 7 2" xfId="30708" xr:uid="{D018BAE3-678D-4CAB-A92B-EF4472E07326}"/>
    <cellStyle name="20 % - Markeringsfarve3 7 3" xfId="30709" xr:uid="{BE195745-D604-4207-8AA8-301E96B8F1F2}"/>
    <cellStyle name="20 % - Markeringsfarve3 8" xfId="30710" xr:uid="{9DFB114E-02D1-48AE-8A58-E055B75FF52F}"/>
    <cellStyle name="20 % - Markeringsfarve3 8 2" xfId="30711" xr:uid="{005BD7C4-B33D-4B17-A8B3-A1698CAFFBAE}"/>
    <cellStyle name="20 % - Markeringsfarve3 8 3" xfId="30712" xr:uid="{8D7919F7-2B60-491A-B769-9A9B1168371D}"/>
    <cellStyle name="20 % - Markeringsfarve3 9" xfId="30713" xr:uid="{0F7C5AE0-EC83-4E82-8B14-D3C11A4DA922}"/>
    <cellStyle name="20 % - Markeringsfarve3 9 2" xfId="30714" xr:uid="{C4216167-B7C1-4A7E-9C2E-BAE4F9B95DD9}"/>
    <cellStyle name="20 % - Markeringsfarve3 9 3" xfId="30715" xr:uid="{1DD7A714-8D5D-40C0-83C0-52FC7B516EC1}"/>
    <cellStyle name="20 % - Markeringsfarve4" xfId="1265" xr:uid="{00000000-0005-0000-0000-000006000000}"/>
    <cellStyle name="20 % - Markeringsfarve4 10" xfId="30716" xr:uid="{10F45A80-A961-4E4C-80D3-AF70002C861D}"/>
    <cellStyle name="20 % - Markeringsfarve4 10 2" xfId="30717" xr:uid="{C2A03FE7-518D-4FB2-84AA-B3CBAB88E077}"/>
    <cellStyle name="20 % - Markeringsfarve4 11" xfId="30718" xr:uid="{AFDDBBCC-2336-44F3-9552-8D9AC8812615}"/>
    <cellStyle name="20 % - Markeringsfarve4 12" xfId="17723" xr:uid="{AA23FA41-3073-4F01-8023-1EBBB0E57176}"/>
    <cellStyle name="20 % - Markeringsfarve4 2" xfId="1266" xr:uid="{00000000-0005-0000-0000-000007000000}"/>
    <cellStyle name="20 % - Markeringsfarve4 2 10" xfId="30719" xr:uid="{A12F9272-587B-4DBA-A281-C113E880B61F}"/>
    <cellStyle name="20 % - Markeringsfarve4 2 11" xfId="17724" xr:uid="{5F54CEDA-D680-4260-AEFC-D0D4710C2877}"/>
    <cellStyle name="20 % - Markeringsfarve4 2 2" xfId="23509" xr:uid="{B44B7212-9E03-4C64-B560-D5B86494130E}"/>
    <cellStyle name="20 % - Markeringsfarve4 2 2 2" xfId="23510" xr:uid="{B6DEE020-BBFD-4DDA-BCDF-5C29ED33BF29}"/>
    <cellStyle name="20 % - Markeringsfarve4 2 2 2 2" xfId="30720" xr:uid="{944AD7A3-632D-43D8-A88A-A370BBE9FE18}"/>
    <cellStyle name="20 % - Markeringsfarve4 2 2 2 3" xfId="30721" xr:uid="{00417209-9A89-43CE-BAEE-7698A3606EBF}"/>
    <cellStyle name="20 % - Markeringsfarve4 2 2 3" xfId="30722" xr:uid="{1BBB575F-908C-4232-804E-4ACCC1CC4B56}"/>
    <cellStyle name="20 % - Markeringsfarve4 2 2 3 2" xfId="30723" xr:uid="{1BD35A05-0393-4FC8-BFC5-EA49A85D3CBF}"/>
    <cellStyle name="20 % - Markeringsfarve4 2 2 3 3" xfId="30724" xr:uid="{691FE5FE-49FB-40F3-8F0F-9CE0C3A29792}"/>
    <cellStyle name="20 % - Markeringsfarve4 2 2 4" xfId="30725" xr:uid="{7857FFAB-04C5-483E-B8AE-F3A27056E868}"/>
    <cellStyle name="20 % - Markeringsfarve4 2 2 4 2" xfId="30726" xr:uid="{8AB6E39C-9E7E-44E7-B6EA-2A755748A03F}"/>
    <cellStyle name="20 % - Markeringsfarve4 2 2 4 3" xfId="30727" xr:uid="{A0F23273-F2A6-4889-B5A1-7894504898B9}"/>
    <cellStyle name="20 % - Markeringsfarve4 2 2 5" xfId="30728" xr:uid="{3F364F5E-7DAF-43F8-9366-10ECA3AD42BC}"/>
    <cellStyle name="20 % - Markeringsfarve4 2 2 5 2" xfId="30729" xr:uid="{588A74BA-C380-4491-BDB2-F61C66B572F5}"/>
    <cellStyle name="20 % - Markeringsfarve4 2 2 5 3" xfId="30730" xr:uid="{581AFD19-F7F6-4356-BBFE-4B4980C0CB78}"/>
    <cellStyle name="20 % - Markeringsfarve4 2 2 6" xfId="30731" xr:uid="{F2494B07-4A63-486C-9722-995C61167845}"/>
    <cellStyle name="20 % - Markeringsfarve4 2 2 6 2" xfId="30732" xr:uid="{3107B9CC-4159-4247-B535-0CEFE4AECC52}"/>
    <cellStyle name="20 % - Markeringsfarve4 2 2 6 3" xfId="30733" xr:uid="{4CFCBBEA-B889-4D0C-A1C0-08DD24367417}"/>
    <cellStyle name="20 % - Markeringsfarve4 2 2 7" xfId="30734" xr:uid="{E185C125-0C81-43FD-BF9E-579627669C36}"/>
    <cellStyle name="20 % - Markeringsfarve4 2 2 7 2" xfId="30735" xr:uid="{A61750F2-0D66-4033-9195-1BD7FBB40FE8}"/>
    <cellStyle name="20 % - Markeringsfarve4 2 2 8" xfId="30736" xr:uid="{B6C88812-7C9B-4584-B936-FE2D08F4DF63}"/>
    <cellStyle name="20 % - Markeringsfarve4 2 3" xfId="23511" xr:uid="{29C0D80A-6642-4F91-97F0-245891F52D66}"/>
    <cellStyle name="20 % - Markeringsfarve4 2 3 2" xfId="23512" xr:uid="{74516851-5442-44C1-B52F-15CB99E872CE}"/>
    <cellStyle name="20 % - Markeringsfarve4 2 3 2 2" xfId="30737" xr:uid="{9DA744C1-B4CC-4902-A513-EE53AE0BB236}"/>
    <cellStyle name="20 % - Markeringsfarve4 2 3 2 3" xfId="30738" xr:uid="{9836D709-25D5-4811-BAA3-4AFCDD1AFC03}"/>
    <cellStyle name="20 % - Markeringsfarve4 2 3 3" xfId="30739" xr:uid="{E77D2EDC-CA54-4490-BA04-F0EF289DBE0E}"/>
    <cellStyle name="20 % - Markeringsfarve4 2 3 3 2" xfId="30740" xr:uid="{B47C3A8B-1224-45B7-B531-1582CDA27F50}"/>
    <cellStyle name="20 % - Markeringsfarve4 2 3 3 3" xfId="30741" xr:uid="{AE38E7DE-DEDB-4D8B-822A-5D22E31D243C}"/>
    <cellStyle name="20 % - Markeringsfarve4 2 3 4" xfId="30742" xr:uid="{77E87570-8373-4052-9B99-C8947400A245}"/>
    <cellStyle name="20 % - Markeringsfarve4 2 3 4 2" xfId="30743" xr:uid="{C0808E71-31AF-402B-961D-028C3DD4CF9C}"/>
    <cellStyle name="20 % - Markeringsfarve4 2 3 4 3" xfId="30744" xr:uid="{C1817886-BA6F-466E-BDE5-39FBE586F0EF}"/>
    <cellStyle name="20 % - Markeringsfarve4 2 3 5" xfId="30745" xr:uid="{4394856F-97BD-4E11-9A11-D7B925148F7E}"/>
    <cellStyle name="20 % - Markeringsfarve4 2 3 5 2" xfId="30746" xr:uid="{0261B2E9-68ED-45D1-8483-322DEB99F6E0}"/>
    <cellStyle name="20 % - Markeringsfarve4 2 3 5 3" xfId="30747" xr:uid="{AFB4AF16-796B-40A9-98A6-80374393A433}"/>
    <cellStyle name="20 % - Markeringsfarve4 2 3 6" xfId="30748" xr:uid="{B6C6D7A8-5A7A-42EA-BF2C-267B35C9358F}"/>
    <cellStyle name="20 % - Markeringsfarve4 2 3 6 2" xfId="30749" xr:uid="{1C65FCF6-9E3C-4462-8BB2-6529B3759254}"/>
    <cellStyle name="20 % - Markeringsfarve4 2 3 6 3" xfId="30750" xr:uid="{F2BDCFCF-68AC-4E64-91EF-1D22A7964C5C}"/>
    <cellStyle name="20 % - Markeringsfarve4 2 3 7" xfId="30751" xr:uid="{BA4F6D50-72C6-4566-A377-D8DF517EEBEA}"/>
    <cellStyle name="20 % - Markeringsfarve4 2 3 7 2" xfId="30752" xr:uid="{52EDCDF9-ABA4-4C19-9726-D5B724D13E66}"/>
    <cellStyle name="20 % - Markeringsfarve4 2 3 8" xfId="30753" xr:uid="{E53F7F9C-4363-46C8-9586-433AB4430C07}"/>
    <cellStyle name="20 % - Markeringsfarve4 2 4" xfId="23513" xr:uid="{5E71F09B-6F68-435B-B177-2839206F71FE}"/>
    <cellStyle name="20 % - Markeringsfarve4 2 4 2" xfId="30754" xr:uid="{577ABD1B-B8CD-47F0-8941-C317BEEAE4F0}"/>
    <cellStyle name="20 % - Markeringsfarve4 2 4 3" xfId="30755" xr:uid="{91609C46-4475-4A91-A66C-A760A8637100}"/>
    <cellStyle name="20 % - Markeringsfarve4 2 5" xfId="30756" xr:uid="{C01DBC8A-DEBB-4FEE-9CE3-FAB47DC11F5C}"/>
    <cellStyle name="20 % - Markeringsfarve4 2 5 2" xfId="30757" xr:uid="{06258D1B-FB47-4F6C-873A-2CDABB3398F7}"/>
    <cellStyle name="20 % - Markeringsfarve4 2 5 3" xfId="30758" xr:uid="{FAA744E8-A68D-4EF9-8972-132713FC9BCA}"/>
    <cellStyle name="20 % - Markeringsfarve4 2 6" xfId="30759" xr:uid="{5BA7CC65-53C4-46F3-AD89-858ECCACF353}"/>
    <cellStyle name="20 % - Markeringsfarve4 2 6 2" xfId="30760" xr:uid="{84991C0B-4F10-4334-870D-3E3668C348D1}"/>
    <cellStyle name="20 % - Markeringsfarve4 2 6 3" xfId="30761" xr:uid="{7C8A045E-7ADE-48F9-9EBC-D40E88588485}"/>
    <cellStyle name="20 % - Markeringsfarve4 2 7" xfId="30762" xr:uid="{2ECCAB0E-6B34-4AE4-B6C0-9DD30BAA2826}"/>
    <cellStyle name="20 % - Markeringsfarve4 2 7 2" xfId="30763" xr:uid="{0C98BFF9-160F-43BE-B64C-6A0E4CB0CA23}"/>
    <cellStyle name="20 % - Markeringsfarve4 2 7 3" xfId="30764" xr:uid="{83AAD639-04A7-4423-ABB6-7BE96A69C07D}"/>
    <cellStyle name="20 % - Markeringsfarve4 2 8" xfId="30765" xr:uid="{48B80C9E-5267-4B47-A50F-9E89F60D69D7}"/>
    <cellStyle name="20 % - Markeringsfarve4 2 8 2" xfId="30766" xr:uid="{D006B080-B765-491C-9A70-6F07C90223B8}"/>
    <cellStyle name="20 % - Markeringsfarve4 2 8 3" xfId="30767" xr:uid="{9C6FD6EE-238A-46B6-AB94-BDC65D0D8630}"/>
    <cellStyle name="20 % - Markeringsfarve4 2 9" xfId="30768" xr:uid="{6435A37A-79FA-44CF-BCBB-66CE94F534A8}"/>
    <cellStyle name="20 % - Markeringsfarve4 2 9 2" xfId="30769" xr:uid="{39878A1C-2C2B-4E24-9156-98806FCAC101}"/>
    <cellStyle name="20 % - Markeringsfarve4 3" xfId="2588" xr:uid="{FA2BC2EA-70C8-4419-A7C4-5B4C20F7E1CB}"/>
    <cellStyle name="20 % - Markeringsfarve4 3 10" xfId="30770" xr:uid="{93529D16-2F51-4ABE-92BC-BDA2C136E545}"/>
    <cellStyle name="20 % - Markeringsfarve4 3 2" xfId="23514" xr:uid="{31AC4709-C650-4F4D-BC47-3ABB9838D635}"/>
    <cellStyle name="20 % - Markeringsfarve4 3 2 2" xfId="30771" xr:uid="{2E234536-8383-4B37-935B-A52BD725AC89}"/>
    <cellStyle name="20 % - Markeringsfarve4 3 2 2 2" xfId="30772" xr:uid="{230925EC-4CF2-4C9F-9309-ECC026D9CD6D}"/>
    <cellStyle name="20 % - Markeringsfarve4 3 2 2 3" xfId="30773" xr:uid="{7E9788C9-5CD7-46B4-886E-6193067FF5CE}"/>
    <cellStyle name="20 % - Markeringsfarve4 3 2 3" xfId="30774" xr:uid="{DD43218F-8B89-4969-85E2-BF604CCA0369}"/>
    <cellStyle name="20 % - Markeringsfarve4 3 2 3 2" xfId="30775" xr:uid="{4EF8FB04-4A98-45FB-A977-F29600094371}"/>
    <cellStyle name="20 % - Markeringsfarve4 3 2 3 3" xfId="30776" xr:uid="{5E20A330-70AB-430D-B0D9-9C7E307A90C6}"/>
    <cellStyle name="20 % - Markeringsfarve4 3 2 4" xfId="30777" xr:uid="{FFD670BA-1412-4AEA-8315-69DC4E5830EB}"/>
    <cellStyle name="20 % - Markeringsfarve4 3 2 4 2" xfId="30778" xr:uid="{4347C1CE-5475-41EB-8339-15291A47AC65}"/>
    <cellStyle name="20 % - Markeringsfarve4 3 2 4 3" xfId="30779" xr:uid="{CBBBDC65-1C90-4544-BBAC-2182001576B7}"/>
    <cellStyle name="20 % - Markeringsfarve4 3 2 5" xfId="30780" xr:uid="{BAF60834-380F-4583-B99E-1740BF20D7C9}"/>
    <cellStyle name="20 % - Markeringsfarve4 3 2 5 2" xfId="30781" xr:uid="{B0FCE032-4AE1-44B3-928C-C694F4BDE581}"/>
    <cellStyle name="20 % - Markeringsfarve4 3 2 5 3" xfId="30782" xr:uid="{FDF90241-5184-4377-9DBA-0018D5797FF3}"/>
    <cellStyle name="20 % - Markeringsfarve4 3 2 6" xfId="30783" xr:uid="{1B6BB51C-E690-4308-B3D2-AED58333D966}"/>
    <cellStyle name="20 % - Markeringsfarve4 3 2 6 2" xfId="30784" xr:uid="{F223FAB7-35EE-4523-9D0A-0198754518B9}"/>
    <cellStyle name="20 % - Markeringsfarve4 3 2 6 3" xfId="30785" xr:uid="{40BC6857-32DA-4D6A-ADAB-124C0F7D09FB}"/>
    <cellStyle name="20 % - Markeringsfarve4 3 2 7" xfId="30786" xr:uid="{69B9F1DA-9720-4C1A-B003-58B29FC76B33}"/>
    <cellStyle name="20 % - Markeringsfarve4 3 2 7 2" xfId="30787" xr:uid="{F8DC72A0-0129-44DD-9EEE-C44E8C63C700}"/>
    <cellStyle name="20 % - Markeringsfarve4 3 2 8" xfId="30788" xr:uid="{A97A8CFB-DA57-4FCB-8EAC-A2E2ED32D359}"/>
    <cellStyle name="20 % - Markeringsfarve4 3 3" xfId="30789" xr:uid="{AFD8BA24-E3D5-4B2C-A06A-05749511A016}"/>
    <cellStyle name="20 % - Markeringsfarve4 3 3 2" xfId="30790" xr:uid="{CA2BFC33-C465-4E16-B84C-2E64FADB2BF1}"/>
    <cellStyle name="20 % - Markeringsfarve4 3 3 2 2" xfId="30791" xr:uid="{62330454-D4B2-4CED-8CF0-3AFD2D7A4979}"/>
    <cellStyle name="20 % - Markeringsfarve4 3 3 2 3" xfId="30792" xr:uid="{5DFA46E6-9FBD-4CD1-BBC0-EAADDB1B8E08}"/>
    <cellStyle name="20 % - Markeringsfarve4 3 3 3" xfId="30793" xr:uid="{97E69857-A03E-4E40-B44B-551400B6915B}"/>
    <cellStyle name="20 % - Markeringsfarve4 3 3 3 2" xfId="30794" xr:uid="{69A7F8CF-12FE-4481-A67C-F75C08D4A2B1}"/>
    <cellStyle name="20 % - Markeringsfarve4 3 3 3 3" xfId="30795" xr:uid="{9048D394-F25E-4041-9536-EFB44EFC4040}"/>
    <cellStyle name="20 % - Markeringsfarve4 3 3 4" xfId="30796" xr:uid="{02ADF0EA-466E-4CFF-BB8A-B7F3535EB377}"/>
    <cellStyle name="20 % - Markeringsfarve4 3 3 4 2" xfId="30797" xr:uid="{44D1D2CE-97EB-48B5-819D-6DFE568873BE}"/>
    <cellStyle name="20 % - Markeringsfarve4 3 3 4 3" xfId="30798" xr:uid="{4C832B97-452B-478D-A1BD-EA647AC3CF27}"/>
    <cellStyle name="20 % - Markeringsfarve4 3 3 5" xfId="30799" xr:uid="{C8EBEAAF-6289-4864-B575-AEDDB3CDAE26}"/>
    <cellStyle name="20 % - Markeringsfarve4 3 3 5 2" xfId="30800" xr:uid="{59101D5D-6CAA-4D98-AA1E-249E735DFA59}"/>
    <cellStyle name="20 % - Markeringsfarve4 3 3 5 3" xfId="30801" xr:uid="{4D94E36E-BF48-490E-B6AA-A87A7A90F356}"/>
    <cellStyle name="20 % - Markeringsfarve4 3 3 6" xfId="30802" xr:uid="{5504A015-67AB-46D1-BFDC-1EF90B99CE28}"/>
    <cellStyle name="20 % - Markeringsfarve4 3 3 6 2" xfId="30803" xr:uid="{DAD20A40-ED65-4194-A8C8-21DAEBC8AEDB}"/>
    <cellStyle name="20 % - Markeringsfarve4 3 3 6 3" xfId="30804" xr:uid="{8B444191-19FD-43A4-861A-198C076B93FC}"/>
    <cellStyle name="20 % - Markeringsfarve4 3 3 7" xfId="30805" xr:uid="{C932AA3D-7D00-4CD9-9D3A-9A90B3DE3AF6}"/>
    <cellStyle name="20 % - Markeringsfarve4 3 3 7 2" xfId="30806" xr:uid="{F59FDB7D-00CC-4B38-BE53-EFB4C1AF11B5}"/>
    <cellStyle name="20 % - Markeringsfarve4 3 3 8" xfId="30807" xr:uid="{03373BF9-B484-4D0E-B4DF-07DC1DCD5FA7}"/>
    <cellStyle name="20 % - Markeringsfarve4 3 4" xfId="30808" xr:uid="{7EC42613-CE36-49D2-84B4-50A4681CA8EE}"/>
    <cellStyle name="20 % - Markeringsfarve4 3 4 2" xfId="30809" xr:uid="{087A2EA2-4C52-43C9-A2AC-4E879FAAAD6D}"/>
    <cellStyle name="20 % - Markeringsfarve4 3 4 3" xfId="30810" xr:uid="{6A44BDD3-5CBB-46D8-8E66-D83067565037}"/>
    <cellStyle name="20 % - Markeringsfarve4 3 5" xfId="30811" xr:uid="{B8286952-36ED-448F-91EB-F12112DCC610}"/>
    <cellStyle name="20 % - Markeringsfarve4 3 5 2" xfId="30812" xr:uid="{A6803734-C2D7-4DC2-8CD7-731B4FC42213}"/>
    <cellStyle name="20 % - Markeringsfarve4 3 5 3" xfId="30813" xr:uid="{B2AEA8B1-459D-499F-BB61-2656D1D92293}"/>
    <cellStyle name="20 % - Markeringsfarve4 3 6" xfId="30814" xr:uid="{6F3528D6-609E-42AC-A68D-DC109AF62F1A}"/>
    <cellStyle name="20 % - Markeringsfarve4 3 6 2" xfId="30815" xr:uid="{522563C3-A37A-4FB6-AE92-A389B9EC1EC4}"/>
    <cellStyle name="20 % - Markeringsfarve4 3 6 3" xfId="30816" xr:uid="{49671B4B-947F-4E57-923E-BDF32749FD9E}"/>
    <cellStyle name="20 % - Markeringsfarve4 3 7" xfId="30817" xr:uid="{6035B7CA-CF38-4D77-9D27-1055E760FA74}"/>
    <cellStyle name="20 % - Markeringsfarve4 3 7 2" xfId="30818" xr:uid="{80E8549F-1513-4BFD-AC76-0339FF47A51D}"/>
    <cellStyle name="20 % - Markeringsfarve4 3 7 3" xfId="30819" xr:uid="{0CF7C308-D3BD-4563-90BB-77E7D791B83B}"/>
    <cellStyle name="20 % - Markeringsfarve4 3 8" xfId="30820" xr:uid="{EA8D404C-4E43-43F9-9F5D-A2B3A221E60F}"/>
    <cellStyle name="20 % - Markeringsfarve4 3 8 2" xfId="30821" xr:uid="{F561DE53-8E98-4CBB-A7EB-14A52FD5DBDF}"/>
    <cellStyle name="20 % - Markeringsfarve4 3 8 3" xfId="30822" xr:uid="{6A10928E-FCFA-428A-925D-D7F980A97AC0}"/>
    <cellStyle name="20 % - Markeringsfarve4 3 9" xfId="30823" xr:uid="{585B976B-5779-47CB-B004-D82EEF268305}"/>
    <cellStyle name="20 % - Markeringsfarve4 3 9 2" xfId="30824" xr:uid="{FA4CB637-282C-45CC-B231-446EFE7C0E15}"/>
    <cellStyle name="20 % - Markeringsfarve4 4" xfId="23515" xr:uid="{210BCE37-01EF-4184-8EB8-1B3FD6C79871}"/>
    <cellStyle name="20 % - Markeringsfarve4 4 2" xfId="23516" xr:uid="{525BE00E-E608-4908-A5A6-6623F696BD84}"/>
    <cellStyle name="20 % - Markeringsfarve4 4 2 2" xfId="30825" xr:uid="{776F431F-0B37-4382-AFAC-26CAC60931F7}"/>
    <cellStyle name="20 % - Markeringsfarve4 4 2 3" xfId="30826" xr:uid="{7FA18EF3-5FCA-43DA-A59B-F233F12CA190}"/>
    <cellStyle name="20 % - Markeringsfarve4 4 3" xfId="30827" xr:uid="{8196FD17-2B6C-48CB-B7CD-20B898C873E1}"/>
    <cellStyle name="20 % - Markeringsfarve4 4 3 2" xfId="30828" xr:uid="{1C45C061-99A0-4799-8A39-76B6DFF3C438}"/>
    <cellStyle name="20 % - Markeringsfarve4 4 3 3" xfId="30829" xr:uid="{7282CDEF-4BA0-4D77-B2CD-F99CD5F1AA09}"/>
    <cellStyle name="20 % - Markeringsfarve4 4 4" xfId="30830" xr:uid="{0F1E049F-0260-4BFA-A075-BC493D3B3D38}"/>
    <cellStyle name="20 % - Markeringsfarve4 4 4 2" xfId="30831" xr:uid="{56C521F2-C5F9-4460-9B9F-1017D7904A51}"/>
    <cellStyle name="20 % - Markeringsfarve4 4 4 3" xfId="30832" xr:uid="{8B5D0A84-44A6-45AF-B797-0CCA31DAFA83}"/>
    <cellStyle name="20 % - Markeringsfarve4 4 5" xfId="30833" xr:uid="{88B7094B-DD81-47A5-BC98-716899844B97}"/>
    <cellStyle name="20 % - Markeringsfarve4 4 5 2" xfId="30834" xr:uid="{CA19E63E-F2ED-4A6D-B0AF-EE35D99D696A}"/>
    <cellStyle name="20 % - Markeringsfarve4 4 5 3" xfId="30835" xr:uid="{2E0B2EDE-0379-4C74-BF3A-603DF208D3B6}"/>
    <cellStyle name="20 % - Markeringsfarve4 4 6" xfId="30836" xr:uid="{4B4C6DD6-5BFE-49BD-8CDA-DE35A4311CDB}"/>
    <cellStyle name="20 % - Markeringsfarve4 4 6 2" xfId="30837" xr:uid="{4EF933C2-12CD-4B84-8CA5-2E37C4A4839A}"/>
    <cellStyle name="20 % - Markeringsfarve4 4 6 3" xfId="30838" xr:uid="{8E1C3577-73EF-490C-BC99-67D5B1B97A2B}"/>
    <cellStyle name="20 % - Markeringsfarve4 4 7" xfId="30839" xr:uid="{D670E7EF-E549-4E68-A248-781287642BEE}"/>
    <cellStyle name="20 % - Markeringsfarve4 4 7 2" xfId="30840" xr:uid="{0021DB1D-3E53-4969-BEF8-3ABD682B5104}"/>
    <cellStyle name="20 % - Markeringsfarve4 4 8" xfId="30841" xr:uid="{5001619E-1836-49F3-ABD4-1BA5B63EA56F}"/>
    <cellStyle name="20 % - Markeringsfarve4 5" xfId="23517" xr:uid="{53B12592-33FA-4A66-AB94-2C15D90734A4}"/>
    <cellStyle name="20 % - Markeringsfarve4 5 2" xfId="23518" xr:uid="{0E597F01-E963-4B43-8EB3-D54627C89DB4}"/>
    <cellStyle name="20 % - Markeringsfarve4 5 2 2" xfId="30842" xr:uid="{5510A386-B817-4FFD-A935-41B28CD78EE0}"/>
    <cellStyle name="20 % - Markeringsfarve4 5 2 3" xfId="30843" xr:uid="{7299F4AC-732E-4B92-9E97-BBF9F6D76073}"/>
    <cellStyle name="20 % - Markeringsfarve4 5 3" xfId="30844" xr:uid="{A6F6FA65-B104-4197-8BF3-28D914002EE2}"/>
    <cellStyle name="20 % - Markeringsfarve4 5 3 2" xfId="30845" xr:uid="{20339B54-838A-46B8-948B-DD071E8CAFF8}"/>
    <cellStyle name="20 % - Markeringsfarve4 5 3 3" xfId="30846" xr:uid="{2FDA8933-DD5C-44B3-9CC9-01C64C4FDB87}"/>
    <cellStyle name="20 % - Markeringsfarve4 5 4" xfId="30847" xr:uid="{C2365058-2D76-405E-9ABE-E39AAF6150BC}"/>
    <cellStyle name="20 % - Markeringsfarve4 5 4 2" xfId="30848" xr:uid="{72695F80-15DD-41CA-BED2-46E3053A3CA6}"/>
    <cellStyle name="20 % - Markeringsfarve4 5 4 3" xfId="30849" xr:uid="{DF331A8A-0C91-4131-8D82-C2FB3BAA6248}"/>
    <cellStyle name="20 % - Markeringsfarve4 5 5" xfId="30850" xr:uid="{8185B991-9338-44BE-9F03-C60F1F9DDB01}"/>
    <cellStyle name="20 % - Markeringsfarve4 5 5 2" xfId="30851" xr:uid="{4806CE00-58DD-44FE-8B84-D3B837215C3E}"/>
    <cellStyle name="20 % - Markeringsfarve4 5 5 3" xfId="30852" xr:uid="{BA7A5934-7ACD-4F50-B224-ACCCDECBECCF}"/>
    <cellStyle name="20 % - Markeringsfarve4 5 6" xfId="30853" xr:uid="{9B0DA2A4-F7AF-4A5B-86D6-F2A3E0B2856A}"/>
    <cellStyle name="20 % - Markeringsfarve4 5 6 2" xfId="30854" xr:uid="{825016AC-A7D7-4A6F-BC7E-2A62DAC66B22}"/>
    <cellStyle name="20 % - Markeringsfarve4 5 6 3" xfId="30855" xr:uid="{40593D60-ED05-464F-A711-39DC3DD73CCD}"/>
    <cellStyle name="20 % - Markeringsfarve4 5 7" xfId="30856" xr:uid="{3D8847FC-CA12-4F3C-BCFA-1EBFF76A71A3}"/>
    <cellStyle name="20 % - Markeringsfarve4 5 7 2" xfId="30857" xr:uid="{D3569462-84EF-4B6A-AEDB-9EC18C6AB09F}"/>
    <cellStyle name="20 % - Markeringsfarve4 5 8" xfId="30858" xr:uid="{F41FF878-F3F7-49F3-AC62-FB83DB113757}"/>
    <cellStyle name="20 % - Markeringsfarve4 6" xfId="23519" xr:uid="{9CACDB51-0B41-4649-8FC4-A9DF022FD21E}"/>
    <cellStyle name="20 % - Markeringsfarve4 6 2" xfId="23520" xr:uid="{D080775D-7B9F-465B-ABEC-A0C97BDB9516}"/>
    <cellStyle name="20 % - Markeringsfarve4 6 2 2" xfId="30859" xr:uid="{B1CD0056-13ED-4A1B-8289-6C5E5000C1A5}"/>
    <cellStyle name="20 % - Markeringsfarve4 6 2 3" xfId="30860" xr:uid="{44A347B9-CBEB-4DD4-AE05-DE95E13F8AED}"/>
    <cellStyle name="20 % - Markeringsfarve4 6 3" xfId="30861" xr:uid="{F72EDEF5-CE12-461A-A596-4EB6855A9DB9}"/>
    <cellStyle name="20 % - Markeringsfarve4 6 4" xfId="30862" xr:uid="{0F2A51E4-7839-4A28-A7F5-1BD9CB60A45C}"/>
    <cellStyle name="20 % - Markeringsfarve4 7" xfId="23521" xr:uid="{ABCE4E8B-689F-4FB1-B3C4-C3615D211249}"/>
    <cellStyle name="20 % - Markeringsfarve4 7 2" xfId="30863" xr:uid="{2C017546-DC86-4B0C-BFD4-657642516E2E}"/>
    <cellStyle name="20 % - Markeringsfarve4 7 3" xfId="30864" xr:uid="{F2D5B4CE-AB0D-4E3A-88A5-12A402EAD36D}"/>
    <cellStyle name="20 % - Markeringsfarve4 8" xfId="30865" xr:uid="{878F3404-9F73-4766-8179-10D4303006F1}"/>
    <cellStyle name="20 % - Markeringsfarve4 8 2" xfId="30866" xr:uid="{B8ADB360-2C7E-4A2A-B51A-6404145B2954}"/>
    <cellStyle name="20 % - Markeringsfarve4 8 3" xfId="30867" xr:uid="{25A98A22-63FC-458B-9A79-E85EB146982F}"/>
    <cellStyle name="20 % - Markeringsfarve4 9" xfId="30868" xr:uid="{18A5AF08-BDB2-41A2-B69E-F583703A51DC}"/>
    <cellStyle name="20 % - Markeringsfarve4 9 2" xfId="30869" xr:uid="{6DDFEFEC-E020-48DC-89CF-72BC78D5D0A7}"/>
    <cellStyle name="20 % - Markeringsfarve4 9 3" xfId="30870" xr:uid="{94FB692E-86C4-426D-8FF0-86949C77440C}"/>
    <cellStyle name="20 % - Markeringsfarve5" xfId="1267" xr:uid="{00000000-0005-0000-0000-000008000000}"/>
    <cellStyle name="20 % - Markeringsfarve5 10" xfId="30871" xr:uid="{7F026E19-D0EA-4AC8-989C-56677445257C}"/>
    <cellStyle name="20 % - Markeringsfarve5 10 2" xfId="30872" xr:uid="{4CE4C340-5AD8-422F-97EC-CBE7416C8247}"/>
    <cellStyle name="20 % - Markeringsfarve5 10 3" xfId="30873" xr:uid="{AB046B27-915B-43D1-8BF7-94DCE64E9EA9}"/>
    <cellStyle name="20 % - Markeringsfarve5 11" xfId="30874" xr:uid="{D02CC2AC-00C4-43AB-8C8D-2ABF2388C253}"/>
    <cellStyle name="20 % - Markeringsfarve5 11 2" xfId="30875" xr:uid="{D0788480-F791-4D16-890F-E836E0A21671}"/>
    <cellStyle name="20 % - Markeringsfarve5 12" xfId="30876" xr:uid="{2AAC7A56-8869-423A-A0D9-C8A0190A9C65}"/>
    <cellStyle name="20 % - Markeringsfarve5 13" xfId="17725" xr:uid="{30AE7A6C-B36F-4381-8168-94F90BF85C3D}"/>
    <cellStyle name="20 % - Markeringsfarve5 2" xfId="1268" xr:uid="{00000000-0005-0000-0000-000009000000}"/>
    <cellStyle name="20 % - Markeringsfarve5 2 10" xfId="30877" xr:uid="{51DD74C5-D37E-445A-AC94-B8E5A49F49B2}"/>
    <cellStyle name="20 % - Markeringsfarve5 2 11" xfId="17726" xr:uid="{8EF6A82B-FB15-4167-A799-F6CE91C67A1A}"/>
    <cellStyle name="20 % - Markeringsfarve5 2 2" xfId="23522" xr:uid="{0AD83951-4E72-4DC8-9E6C-D88991FA1571}"/>
    <cellStyle name="20 % - Markeringsfarve5 2 2 2" xfId="23523" xr:uid="{9E8F0E33-3DDA-4B29-94A5-28E67ECA9C5E}"/>
    <cellStyle name="20 % - Markeringsfarve5 2 2 2 2" xfId="30878" xr:uid="{08741790-4509-46EF-8638-2EA5712BF674}"/>
    <cellStyle name="20 % - Markeringsfarve5 2 2 2 3" xfId="30879" xr:uid="{2F95A15A-381C-48B0-A678-DFC3C6BE4E39}"/>
    <cellStyle name="20 % - Markeringsfarve5 2 2 3" xfId="30880" xr:uid="{39EA546D-8908-43E0-8D14-E787F29B7060}"/>
    <cellStyle name="20 % - Markeringsfarve5 2 2 3 2" xfId="30881" xr:uid="{7120384C-B9BC-410A-86BC-116C6B9FBA02}"/>
    <cellStyle name="20 % - Markeringsfarve5 2 2 3 3" xfId="30882" xr:uid="{3C47D7B4-4E7F-42D9-A762-2EE98FBBF8E2}"/>
    <cellStyle name="20 % - Markeringsfarve5 2 2 4" xfId="30883" xr:uid="{3EA211D4-931B-4C68-A631-87D92781EB48}"/>
    <cellStyle name="20 % - Markeringsfarve5 2 2 4 2" xfId="30884" xr:uid="{AA470512-83D0-4539-9A0A-B624E3FF67BF}"/>
    <cellStyle name="20 % - Markeringsfarve5 2 2 4 3" xfId="30885" xr:uid="{9ECE4473-AD31-4A7E-B69A-5861C8053578}"/>
    <cellStyle name="20 % - Markeringsfarve5 2 2 5" xfId="30886" xr:uid="{954F4D23-06A3-4BE5-BDE6-311F27432B10}"/>
    <cellStyle name="20 % - Markeringsfarve5 2 2 5 2" xfId="30887" xr:uid="{ECAB8B72-4C46-4A35-99F9-1858724D0EC4}"/>
    <cellStyle name="20 % - Markeringsfarve5 2 2 5 3" xfId="30888" xr:uid="{0649E7F8-90DC-4182-9FAB-68AFC3788425}"/>
    <cellStyle name="20 % - Markeringsfarve5 2 2 6" xfId="30889" xr:uid="{E9D9E129-9E2E-4AA6-88D4-54A90F7938D0}"/>
    <cellStyle name="20 % - Markeringsfarve5 2 2 6 2" xfId="30890" xr:uid="{46EB555C-956B-4687-98B2-E5FD2E0DDCBF}"/>
    <cellStyle name="20 % - Markeringsfarve5 2 2 6 3" xfId="30891" xr:uid="{6121AAC8-EAB2-4A14-996C-39F36B2FCC82}"/>
    <cellStyle name="20 % - Markeringsfarve5 2 2 7" xfId="30892" xr:uid="{5320F684-A6C9-46D2-9592-B53EFD259508}"/>
    <cellStyle name="20 % - Markeringsfarve5 2 2 7 2" xfId="30893" xr:uid="{E46E18AD-4B51-4934-AC6E-28300EFF2E00}"/>
    <cellStyle name="20 % - Markeringsfarve5 2 2 8" xfId="30894" xr:uid="{84E664F9-4271-4975-8A24-BFA48634252D}"/>
    <cellStyle name="20 % - Markeringsfarve5 2 3" xfId="23524" xr:uid="{8C0D3148-8037-4A8C-8202-AB3159335932}"/>
    <cellStyle name="20 % - Markeringsfarve5 2 3 2" xfId="23525" xr:uid="{5D82D755-0356-48CE-BBBC-961D39A568F1}"/>
    <cellStyle name="20 % - Markeringsfarve5 2 3 2 2" xfId="30895" xr:uid="{866BD609-8F26-40EA-9A44-EC27A27BEA70}"/>
    <cellStyle name="20 % - Markeringsfarve5 2 3 2 3" xfId="30896" xr:uid="{55DEC528-1C1E-4EC1-B536-3F8832D47545}"/>
    <cellStyle name="20 % - Markeringsfarve5 2 3 3" xfId="30897" xr:uid="{A67A1CAC-6AF9-4E13-8A1C-8CBAAE863F34}"/>
    <cellStyle name="20 % - Markeringsfarve5 2 3 3 2" xfId="30898" xr:uid="{E9536268-69B2-44E1-8144-1FCC8C9BA1C6}"/>
    <cellStyle name="20 % - Markeringsfarve5 2 3 3 3" xfId="30899" xr:uid="{027D7739-01E2-472B-B500-DA0FC18B111E}"/>
    <cellStyle name="20 % - Markeringsfarve5 2 3 4" xfId="30900" xr:uid="{429B9C0E-58D1-42E4-83EB-9CFDB585ACBE}"/>
    <cellStyle name="20 % - Markeringsfarve5 2 3 4 2" xfId="30901" xr:uid="{FB79CA83-E375-418D-BD9C-379BCC6F0689}"/>
    <cellStyle name="20 % - Markeringsfarve5 2 3 4 3" xfId="30902" xr:uid="{702AD685-CFFC-44A5-BEE6-38383A5EBE78}"/>
    <cellStyle name="20 % - Markeringsfarve5 2 3 5" xfId="30903" xr:uid="{4D2D7FAF-2E1E-4F2C-8F27-5ABAAEF3B7B0}"/>
    <cellStyle name="20 % - Markeringsfarve5 2 3 5 2" xfId="30904" xr:uid="{9076691B-2688-4495-8B7F-BCD4E263683C}"/>
    <cellStyle name="20 % - Markeringsfarve5 2 3 5 3" xfId="30905" xr:uid="{F7C8ED78-7A30-42F3-9BDB-98EF65152D98}"/>
    <cellStyle name="20 % - Markeringsfarve5 2 3 6" xfId="30906" xr:uid="{454191B3-C711-47E8-A756-2A4A839FA4FB}"/>
    <cellStyle name="20 % - Markeringsfarve5 2 3 6 2" xfId="30907" xr:uid="{BC777AAF-1B04-4236-AF2B-3DB215637B90}"/>
    <cellStyle name="20 % - Markeringsfarve5 2 3 6 3" xfId="30908" xr:uid="{D0139AAC-FA4A-4F28-A680-CB8EFCA5E04A}"/>
    <cellStyle name="20 % - Markeringsfarve5 2 3 7" xfId="30909" xr:uid="{90F669F0-7F20-4784-83C1-96978E380FD0}"/>
    <cellStyle name="20 % - Markeringsfarve5 2 3 7 2" xfId="30910" xr:uid="{E9D08890-6CC4-47DC-AE90-8EE916DE670D}"/>
    <cellStyle name="20 % - Markeringsfarve5 2 3 8" xfId="30911" xr:uid="{223E43BC-23F0-4A74-BB17-3972593EFA56}"/>
    <cellStyle name="20 % - Markeringsfarve5 2 4" xfId="23526" xr:uid="{2672A067-0697-498E-BFC5-96D46E547D7C}"/>
    <cellStyle name="20 % - Markeringsfarve5 2 4 2" xfId="30912" xr:uid="{FBFBB97D-1462-440F-9506-88DB929D5CBA}"/>
    <cellStyle name="20 % - Markeringsfarve5 2 4 3" xfId="30913" xr:uid="{B8E061AD-A453-4840-A966-42A38B8180D6}"/>
    <cellStyle name="20 % - Markeringsfarve5 2 5" xfId="30914" xr:uid="{0F9C5FE2-8A20-43DD-8D97-4DAF91F8734D}"/>
    <cellStyle name="20 % - Markeringsfarve5 2 5 2" xfId="30915" xr:uid="{D8F68F3C-2F11-4057-B1BD-6B24557E7F35}"/>
    <cellStyle name="20 % - Markeringsfarve5 2 5 3" xfId="30916" xr:uid="{8428FDEB-3E89-4AA4-80B4-403E6F91B5D2}"/>
    <cellStyle name="20 % - Markeringsfarve5 2 6" xfId="30917" xr:uid="{B5891DDE-7B45-4A2D-B2D4-780D9806A763}"/>
    <cellStyle name="20 % - Markeringsfarve5 2 6 2" xfId="30918" xr:uid="{893DF7C9-4A9D-4352-BB45-CFBFA40E1D90}"/>
    <cellStyle name="20 % - Markeringsfarve5 2 6 3" xfId="30919" xr:uid="{0FEAB717-9C78-41AD-806C-F4369E8F87D7}"/>
    <cellStyle name="20 % - Markeringsfarve5 2 7" xfId="30920" xr:uid="{2B543CAB-41D2-4047-AB67-3CE5EDBB933E}"/>
    <cellStyle name="20 % - Markeringsfarve5 2 7 2" xfId="30921" xr:uid="{7755E689-6C65-4038-ABEE-4C54BCE9777E}"/>
    <cellStyle name="20 % - Markeringsfarve5 2 7 3" xfId="30922" xr:uid="{FDE35EC8-D960-4BB2-B624-CF3FE23D02D5}"/>
    <cellStyle name="20 % - Markeringsfarve5 2 8" xfId="30923" xr:uid="{723C2524-203A-42F0-B246-099E41FCF254}"/>
    <cellStyle name="20 % - Markeringsfarve5 2 8 2" xfId="30924" xr:uid="{C6A77272-29BE-4853-822A-160249867A16}"/>
    <cellStyle name="20 % - Markeringsfarve5 2 8 3" xfId="30925" xr:uid="{C597CBB3-EFDD-42E0-8F48-5EF3C313A334}"/>
    <cellStyle name="20 % - Markeringsfarve5 2 9" xfId="30926" xr:uid="{4BEB118F-A222-4685-9968-5DE84E725D64}"/>
    <cellStyle name="20 % - Markeringsfarve5 2 9 2" xfId="30927" xr:uid="{EDE21009-EB07-4F61-BEA9-B49E8F8E7261}"/>
    <cellStyle name="20 % - Markeringsfarve5 3" xfId="2589" xr:uid="{AE95A634-372A-4AA5-AFE6-1E2FEBDD4A25}"/>
    <cellStyle name="20 % - Markeringsfarve5 3 10" xfId="30928" xr:uid="{90E005AE-8A6C-4F70-B62D-36378BAE836D}"/>
    <cellStyle name="20 % - Markeringsfarve5 3 2" xfId="23527" xr:uid="{1E0E5DD4-E686-4C35-B9AD-2E31AFA18A96}"/>
    <cellStyle name="20 % - Markeringsfarve5 3 2 2" xfId="30929" xr:uid="{F5880C7E-BE05-4E39-9054-F94C329418D3}"/>
    <cellStyle name="20 % - Markeringsfarve5 3 2 2 2" xfId="30930" xr:uid="{313C8732-D0E5-44CA-99C3-1F8A33619B9A}"/>
    <cellStyle name="20 % - Markeringsfarve5 3 2 2 3" xfId="30931" xr:uid="{E88D96E3-0B99-4AF3-885D-22F7B061A3FE}"/>
    <cellStyle name="20 % - Markeringsfarve5 3 2 3" xfId="30932" xr:uid="{213062CA-CDBE-437D-A699-850DB78CA784}"/>
    <cellStyle name="20 % - Markeringsfarve5 3 2 3 2" xfId="30933" xr:uid="{F6989E06-B3C3-4F18-803F-7BA813868BC0}"/>
    <cellStyle name="20 % - Markeringsfarve5 3 2 3 3" xfId="30934" xr:uid="{CFC3E3FF-5DF6-4E58-B29C-E2DB6E4D3C4F}"/>
    <cellStyle name="20 % - Markeringsfarve5 3 2 4" xfId="30935" xr:uid="{9911BB6D-2BD3-4591-8083-5BB269B69FBA}"/>
    <cellStyle name="20 % - Markeringsfarve5 3 2 4 2" xfId="30936" xr:uid="{80A71289-8CF5-403E-BA82-B101D6AE53A7}"/>
    <cellStyle name="20 % - Markeringsfarve5 3 2 4 3" xfId="30937" xr:uid="{BD61A794-63B8-4993-830C-DA735946127E}"/>
    <cellStyle name="20 % - Markeringsfarve5 3 2 5" xfId="30938" xr:uid="{60EDB16C-3A31-4DB0-8BF7-11C3CDC0DD9B}"/>
    <cellStyle name="20 % - Markeringsfarve5 3 2 5 2" xfId="30939" xr:uid="{0794ADDF-1990-4D77-A9B6-70E04BE7CBEC}"/>
    <cellStyle name="20 % - Markeringsfarve5 3 2 5 3" xfId="30940" xr:uid="{E9D940C3-40C3-41C2-B379-E6069E6B2242}"/>
    <cellStyle name="20 % - Markeringsfarve5 3 2 6" xfId="30941" xr:uid="{4BCA41CB-4197-4304-91C8-9937439DE7A7}"/>
    <cellStyle name="20 % - Markeringsfarve5 3 2 6 2" xfId="30942" xr:uid="{026E9D36-F8D6-4528-A59A-862F1D4F1F30}"/>
    <cellStyle name="20 % - Markeringsfarve5 3 2 6 3" xfId="30943" xr:uid="{3302DD99-371C-4A62-9A51-56D5044AD306}"/>
    <cellStyle name="20 % - Markeringsfarve5 3 2 7" xfId="30944" xr:uid="{18A5BE33-3032-4665-914B-B1DAD571EE18}"/>
    <cellStyle name="20 % - Markeringsfarve5 3 2 7 2" xfId="30945" xr:uid="{5B4192E2-8C7C-4171-BB85-D19C3D95F17D}"/>
    <cellStyle name="20 % - Markeringsfarve5 3 2 8" xfId="30946" xr:uid="{04D62E31-1415-43C9-83A8-ACE5060EE67D}"/>
    <cellStyle name="20 % - Markeringsfarve5 3 3" xfId="30947" xr:uid="{A29C2FEA-B969-4A38-A107-330A05B5AA18}"/>
    <cellStyle name="20 % - Markeringsfarve5 3 3 2" xfId="30948" xr:uid="{E5B89572-1F0F-410E-95E1-914633A822C6}"/>
    <cellStyle name="20 % - Markeringsfarve5 3 3 2 2" xfId="30949" xr:uid="{C9700447-AB69-400D-A24C-E6EDE87A5065}"/>
    <cellStyle name="20 % - Markeringsfarve5 3 3 2 3" xfId="30950" xr:uid="{4CEBFF7A-A239-408D-BD2E-54830C2C7784}"/>
    <cellStyle name="20 % - Markeringsfarve5 3 3 3" xfId="30951" xr:uid="{E6D952A3-0C62-47A0-A9D9-E215861D8E23}"/>
    <cellStyle name="20 % - Markeringsfarve5 3 3 3 2" xfId="30952" xr:uid="{73E231A7-AC66-4574-B326-D85170608809}"/>
    <cellStyle name="20 % - Markeringsfarve5 3 3 3 3" xfId="30953" xr:uid="{7358B8E1-FDBF-4928-8E35-9F99D0423F9E}"/>
    <cellStyle name="20 % - Markeringsfarve5 3 3 4" xfId="30954" xr:uid="{365A0EB5-A41D-4A80-8677-2CE98CEE1F9C}"/>
    <cellStyle name="20 % - Markeringsfarve5 3 3 4 2" xfId="30955" xr:uid="{6C038E5F-DAA8-4B03-B5E8-51230AC66DE7}"/>
    <cellStyle name="20 % - Markeringsfarve5 3 3 4 3" xfId="30956" xr:uid="{927078F6-FC65-477E-AA9E-9B44943C2E6C}"/>
    <cellStyle name="20 % - Markeringsfarve5 3 3 5" xfId="30957" xr:uid="{B2101BCA-0695-4474-AFEF-2CC97193D31A}"/>
    <cellStyle name="20 % - Markeringsfarve5 3 3 5 2" xfId="30958" xr:uid="{3DFCDD1F-3267-4BBC-A183-3E35E490C969}"/>
    <cellStyle name="20 % - Markeringsfarve5 3 3 5 3" xfId="30959" xr:uid="{AB29C956-9386-4A14-BF41-B3CC99A2BCFE}"/>
    <cellStyle name="20 % - Markeringsfarve5 3 3 6" xfId="30960" xr:uid="{F5724AC0-49E1-4014-9847-C99E24E8F760}"/>
    <cellStyle name="20 % - Markeringsfarve5 3 3 6 2" xfId="30961" xr:uid="{B89491BF-E63E-4F6C-97F9-58C5C1351A23}"/>
    <cellStyle name="20 % - Markeringsfarve5 3 3 6 3" xfId="30962" xr:uid="{7FA7194F-A380-40AD-BFE4-156C9595348B}"/>
    <cellStyle name="20 % - Markeringsfarve5 3 3 7" xfId="30963" xr:uid="{7256594D-0BCC-47B1-A3D1-070C2236E573}"/>
    <cellStyle name="20 % - Markeringsfarve5 3 3 7 2" xfId="30964" xr:uid="{4E1E2706-CE60-43B4-A61C-373E5239AA83}"/>
    <cellStyle name="20 % - Markeringsfarve5 3 3 8" xfId="30965" xr:uid="{A3AC0DE1-9785-405C-AA9F-8C663EEA0182}"/>
    <cellStyle name="20 % - Markeringsfarve5 3 4" xfId="30966" xr:uid="{59FC358B-8BA2-4A5C-8E75-33A876234AA9}"/>
    <cellStyle name="20 % - Markeringsfarve5 3 4 2" xfId="30967" xr:uid="{F0707B5D-3BB4-409B-B3B7-CFA30694A332}"/>
    <cellStyle name="20 % - Markeringsfarve5 3 4 3" xfId="30968" xr:uid="{7565E798-C5A2-4453-AEA8-7E4DD60BE008}"/>
    <cellStyle name="20 % - Markeringsfarve5 3 5" xfId="30969" xr:uid="{6C7903DC-AC48-4AFA-AF34-D1E2059B89D3}"/>
    <cellStyle name="20 % - Markeringsfarve5 3 5 2" xfId="30970" xr:uid="{4AC6A846-E5F8-463F-9610-4EF871AE92DF}"/>
    <cellStyle name="20 % - Markeringsfarve5 3 5 3" xfId="30971" xr:uid="{D743DB52-6F5F-4B46-9744-0DB24035C3EE}"/>
    <cellStyle name="20 % - Markeringsfarve5 3 6" xfId="30972" xr:uid="{7AE47CD7-7800-4B12-B1D3-8D40358A9FE4}"/>
    <cellStyle name="20 % - Markeringsfarve5 3 6 2" xfId="30973" xr:uid="{980B4E65-ECEE-4BB2-9E72-C4B20A43CDFA}"/>
    <cellStyle name="20 % - Markeringsfarve5 3 6 3" xfId="30974" xr:uid="{740F64CC-11DE-4E6A-B3F9-CA703381464C}"/>
    <cellStyle name="20 % - Markeringsfarve5 3 7" xfId="30975" xr:uid="{3D7A6EB8-A953-44AF-BBDD-8E70014C90EA}"/>
    <cellStyle name="20 % - Markeringsfarve5 3 7 2" xfId="30976" xr:uid="{87947BFD-BCAA-421E-B9D7-91D95CB6C5D6}"/>
    <cellStyle name="20 % - Markeringsfarve5 3 7 3" xfId="30977" xr:uid="{70424544-3818-4CAD-9440-B4F3E0343D6A}"/>
    <cellStyle name="20 % - Markeringsfarve5 3 8" xfId="30978" xr:uid="{C24F9BA6-CD68-424C-A88E-D7E895E55EFA}"/>
    <cellStyle name="20 % - Markeringsfarve5 3 8 2" xfId="30979" xr:uid="{8FCF4166-0E68-4977-A676-B4D14389BD11}"/>
    <cellStyle name="20 % - Markeringsfarve5 3 8 3" xfId="30980" xr:uid="{3C5AAA66-5AB4-42C0-BC82-903A33685669}"/>
    <cellStyle name="20 % - Markeringsfarve5 3 9" xfId="30981" xr:uid="{14C4B1EE-294E-4F01-997E-4549632633B0}"/>
    <cellStyle name="20 % - Markeringsfarve5 3 9 2" xfId="30982" xr:uid="{368855DB-6C31-4DBD-A80A-C10223995A62}"/>
    <cellStyle name="20 % - Markeringsfarve5 4" xfId="23528" xr:uid="{6952584D-D674-422C-9F49-BBEF37267350}"/>
    <cellStyle name="20 % - Markeringsfarve5 4 2" xfId="23529" xr:uid="{15C86A69-807A-4848-9C36-3A7FD9D2E44F}"/>
    <cellStyle name="20 % - Markeringsfarve5 4 2 2" xfId="30983" xr:uid="{9C2ED396-AC2A-41B4-B2D7-0DCFB5F892EE}"/>
    <cellStyle name="20 % - Markeringsfarve5 4 2 3" xfId="30984" xr:uid="{34BBC247-0C3F-43D8-B945-34274D4949FE}"/>
    <cellStyle name="20 % - Markeringsfarve5 4 3" xfId="30985" xr:uid="{16FAB2A6-7F20-4A28-B8DE-8F5E00084723}"/>
    <cellStyle name="20 % - Markeringsfarve5 4 3 2" xfId="30986" xr:uid="{FB2B9953-066E-4E2E-AFA3-EB6DB11C5137}"/>
    <cellStyle name="20 % - Markeringsfarve5 4 3 3" xfId="30987" xr:uid="{43A089A5-19CE-41AB-81E3-4E3CCD7A77C9}"/>
    <cellStyle name="20 % - Markeringsfarve5 4 4" xfId="30988" xr:uid="{8C8EAF5A-9350-4387-96A4-E9ECAE6C1026}"/>
    <cellStyle name="20 % - Markeringsfarve5 4 4 2" xfId="30989" xr:uid="{865415DB-4B4C-4F1E-9463-758B23F95825}"/>
    <cellStyle name="20 % - Markeringsfarve5 4 4 3" xfId="30990" xr:uid="{2048BC1B-D7E3-4B68-BE6E-422E2E4204C4}"/>
    <cellStyle name="20 % - Markeringsfarve5 4 5" xfId="30991" xr:uid="{61CF3F2F-C24B-4ECF-9701-F5D0EC0C1EA3}"/>
    <cellStyle name="20 % - Markeringsfarve5 4 5 2" xfId="30992" xr:uid="{10CFB641-E279-4AD2-9C07-A0FFA9B8F3F7}"/>
    <cellStyle name="20 % - Markeringsfarve5 4 5 3" xfId="30993" xr:uid="{3F9301AB-71C2-4731-8235-DB285CE339BB}"/>
    <cellStyle name="20 % - Markeringsfarve5 4 6" xfId="30994" xr:uid="{9D9A569F-C041-4E51-A293-C0D9FCACEED9}"/>
    <cellStyle name="20 % - Markeringsfarve5 4 6 2" xfId="30995" xr:uid="{2DAE9638-9ACF-46EE-A482-7EA6777A49DD}"/>
    <cellStyle name="20 % - Markeringsfarve5 4 6 3" xfId="30996" xr:uid="{EA12C286-3698-47B7-A67F-FFEB7751DC1F}"/>
    <cellStyle name="20 % - Markeringsfarve5 4 7" xfId="30997" xr:uid="{34C125BC-A3B3-4AB5-A0CB-359450DC0067}"/>
    <cellStyle name="20 % - Markeringsfarve5 4 7 2" xfId="30998" xr:uid="{7A0CC4E3-A700-4BD4-AD69-25966CC73AF7}"/>
    <cellStyle name="20 % - Markeringsfarve5 4 8" xfId="30999" xr:uid="{09234CB3-2835-4737-93A7-A7C9FC81ACEE}"/>
    <cellStyle name="20 % - Markeringsfarve5 5" xfId="23530" xr:uid="{FE20E8AC-A02F-45A7-9EC9-28D6237B02D8}"/>
    <cellStyle name="20 % - Markeringsfarve5 5 2" xfId="23531" xr:uid="{363D08D6-51D1-4685-B012-DC12BB91E95E}"/>
    <cellStyle name="20 % - Markeringsfarve5 5 2 2" xfId="31000" xr:uid="{9E12AC3F-2EDA-47E5-823D-864D94470800}"/>
    <cellStyle name="20 % - Markeringsfarve5 5 2 3" xfId="31001" xr:uid="{DFED71F8-0171-4DE3-BB38-0FB149124A13}"/>
    <cellStyle name="20 % - Markeringsfarve5 5 3" xfId="31002" xr:uid="{CE629A35-1013-4918-B06C-F71DFC90EC06}"/>
    <cellStyle name="20 % - Markeringsfarve5 5 3 2" xfId="31003" xr:uid="{AB5E202E-3DC8-4B85-A5B0-A6F519B98788}"/>
    <cellStyle name="20 % - Markeringsfarve5 5 3 3" xfId="31004" xr:uid="{236A1ECA-3FF9-4BB2-9686-1B02CB07CFA3}"/>
    <cellStyle name="20 % - Markeringsfarve5 5 4" xfId="31005" xr:uid="{623160F6-FB60-4C91-AF51-657688F99E30}"/>
    <cellStyle name="20 % - Markeringsfarve5 5 4 2" xfId="31006" xr:uid="{1C68B5C1-820E-44BD-821D-6D49339C5656}"/>
    <cellStyle name="20 % - Markeringsfarve5 5 4 3" xfId="31007" xr:uid="{BD2540CB-8BE3-41F4-B52E-90AB9AAE58F0}"/>
    <cellStyle name="20 % - Markeringsfarve5 5 5" xfId="31008" xr:uid="{4EDA3397-0A56-44EF-8CF1-37ABA8AFDD23}"/>
    <cellStyle name="20 % - Markeringsfarve5 5 5 2" xfId="31009" xr:uid="{4C8CD38D-3001-4666-B454-EE4654B73F6C}"/>
    <cellStyle name="20 % - Markeringsfarve5 5 5 3" xfId="31010" xr:uid="{32030D5C-B61D-4BCB-B107-C7DA37F0D6E2}"/>
    <cellStyle name="20 % - Markeringsfarve5 5 6" xfId="31011" xr:uid="{10DD1399-C42B-41BF-9C3A-2153C6E3D71E}"/>
    <cellStyle name="20 % - Markeringsfarve5 5 6 2" xfId="31012" xr:uid="{50B16615-4813-4DB0-A191-60F8D56D573B}"/>
    <cellStyle name="20 % - Markeringsfarve5 5 6 3" xfId="31013" xr:uid="{286BD72D-E858-4885-8F7B-86D7DB2C02D4}"/>
    <cellStyle name="20 % - Markeringsfarve5 5 7" xfId="31014" xr:uid="{17288F4C-2D21-42BD-8E7A-0B1F71E10660}"/>
    <cellStyle name="20 % - Markeringsfarve5 5 7 2" xfId="31015" xr:uid="{F53094CE-5EAF-4D1C-925A-C7BAFFF4B8D2}"/>
    <cellStyle name="20 % - Markeringsfarve5 5 8" xfId="31016" xr:uid="{ECE2436A-4773-4F72-B1CB-D0F581CF3E4B}"/>
    <cellStyle name="20 % - Markeringsfarve5 6" xfId="23532" xr:uid="{D52FF4DD-4DAD-4973-BE01-24ED2D055A17}"/>
    <cellStyle name="20 % - Markeringsfarve5 6 2" xfId="23533" xr:uid="{8AFA9BE4-C8FF-423D-9B8D-C0F1D2F681E1}"/>
    <cellStyle name="20 % - Markeringsfarve5 6 3" xfId="31017" xr:uid="{B8096FA5-332A-4B85-88F0-8EC77F52623C}"/>
    <cellStyle name="20 % - Markeringsfarve5 7" xfId="23534" xr:uid="{61739860-380E-41CA-9811-2A9B82589791}"/>
    <cellStyle name="20 % - Markeringsfarve5 7 2" xfId="31018" xr:uid="{1EDEF7CB-FEF5-404D-B646-EC9453DDAA41}"/>
    <cellStyle name="20 % - Markeringsfarve5 7 3" xfId="31019" xr:uid="{3492BD6E-2D14-4F1E-B899-C1EDA5987B83}"/>
    <cellStyle name="20 % - Markeringsfarve5 8" xfId="31020" xr:uid="{BF909C62-7C6B-42ED-824B-F6229DA20A47}"/>
    <cellStyle name="20 % - Markeringsfarve5 8 2" xfId="31021" xr:uid="{D4C4503C-FFEC-4F7A-9A53-4D7405F97AB8}"/>
    <cellStyle name="20 % - Markeringsfarve5 8 3" xfId="31022" xr:uid="{F544F74D-44F3-4451-BFF2-9B92D00B9AA0}"/>
    <cellStyle name="20 % - Markeringsfarve5 9" xfId="31023" xr:uid="{9862580C-97F1-49C1-9E62-87D867553F9E}"/>
    <cellStyle name="20 % - Markeringsfarve5 9 2" xfId="31024" xr:uid="{643FEB67-0B33-4618-B206-32E85667BDED}"/>
    <cellStyle name="20 % - Markeringsfarve5 9 3" xfId="31025" xr:uid="{0080617B-A8A4-4CF0-A0FA-03C3EF019EEA}"/>
    <cellStyle name="20 % - Markeringsfarve6" xfId="1269" xr:uid="{00000000-0005-0000-0000-00000A000000}"/>
    <cellStyle name="20 % - Markeringsfarve6 10" xfId="31026" xr:uid="{64B9A4C1-3F3B-4752-ACA8-EBC00A3B24BE}"/>
    <cellStyle name="20 % - Markeringsfarve6 10 2" xfId="31027" xr:uid="{4893F16F-758C-4E5E-87D7-16E1121C6061}"/>
    <cellStyle name="20 % - Markeringsfarve6 10 3" xfId="31028" xr:uid="{5E6D2A97-D506-43F1-8B81-16423147A371}"/>
    <cellStyle name="20 % - Markeringsfarve6 11" xfId="31029" xr:uid="{B6B75A23-D645-4952-903A-06E8316A5ACD}"/>
    <cellStyle name="20 % - Markeringsfarve6 11 2" xfId="31030" xr:uid="{D847E291-5DE4-4FF8-B33A-7343C6244936}"/>
    <cellStyle name="20 % - Markeringsfarve6 12" xfId="31031" xr:uid="{8B0C5FDE-8999-4E7B-B6B7-1712C90B5F27}"/>
    <cellStyle name="20 % - Markeringsfarve6 13" xfId="17727" xr:uid="{7BC13CDE-1011-417D-9C77-51C9097BA1D0}"/>
    <cellStyle name="20 % - Markeringsfarve6 2" xfId="1270" xr:uid="{00000000-0005-0000-0000-00000B000000}"/>
    <cellStyle name="20 % - Markeringsfarve6 2 10" xfId="31032" xr:uid="{2BCF237C-5FFA-4412-A5AD-6FFD68E587C3}"/>
    <cellStyle name="20 % - Markeringsfarve6 2 11" xfId="17728" xr:uid="{C7391E4C-78E7-40AF-AD0E-76718D89D373}"/>
    <cellStyle name="20 % - Markeringsfarve6 2 2" xfId="23535" xr:uid="{71162D93-4F96-437B-A1EB-EC2156300B3E}"/>
    <cellStyle name="20 % - Markeringsfarve6 2 2 2" xfId="23536" xr:uid="{DA7492EA-3D8E-4FAF-8698-AF6E40234BD8}"/>
    <cellStyle name="20 % - Markeringsfarve6 2 2 2 2" xfId="31033" xr:uid="{F5047E13-9840-4F57-80B7-A1032C5BC66B}"/>
    <cellStyle name="20 % - Markeringsfarve6 2 2 2 3" xfId="31034" xr:uid="{FFCF6093-6D60-440A-84A9-C407D3BA3917}"/>
    <cellStyle name="20 % - Markeringsfarve6 2 2 3" xfId="31035" xr:uid="{35636129-77D0-4C90-83E9-D11535AE638E}"/>
    <cellStyle name="20 % - Markeringsfarve6 2 2 3 2" xfId="31036" xr:uid="{0D35ECDF-5857-40F9-A2D0-1B281318F589}"/>
    <cellStyle name="20 % - Markeringsfarve6 2 2 3 3" xfId="31037" xr:uid="{B8FAD5C0-E03D-467C-B871-735A4A19093F}"/>
    <cellStyle name="20 % - Markeringsfarve6 2 2 4" xfId="31038" xr:uid="{B50B24DD-E892-4133-90D9-0A0B9916D118}"/>
    <cellStyle name="20 % - Markeringsfarve6 2 2 4 2" xfId="31039" xr:uid="{6536C33B-1358-4BB5-9F13-92D7E9411CD9}"/>
    <cellStyle name="20 % - Markeringsfarve6 2 2 4 3" xfId="31040" xr:uid="{29F8BF35-9BA4-45F0-A63F-3718D96195E0}"/>
    <cellStyle name="20 % - Markeringsfarve6 2 2 5" xfId="31041" xr:uid="{F92DD6CC-30CE-4224-92A0-9EA44582B747}"/>
    <cellStyle name="20 % - Markeringsfarve6 2 2 5 2" xfId="31042" xr:uid="{2F266664-3487-48B3-84F6-B8E922EEFFBC}"/>
    <cellStyle name="20 % - Markeringsfarve6 2 2 5 3" xfId="31043" xr:uid="{44C7ED03-7E31-4A21-9120-AFA0BDE841D8}"/>
    <cellStyle name="20 % - Markeringsfarve6 2 2 6" xfId="31044" xr:uid="{272FD545-530A-4C99-AF3F-8DFE548997F5}"/>
    <cellStyle name="20 % - Markeringsfarve6 2 2 6 2" xfId="31045" xr:uid="{55700BC3-D66B-48B7-8303-EB5D01F3C832}"/>
    <cellStyle name="20 % - Markeringsfarve6 2 2 6 3" xfId="31046" xr:uid="{8C0B69E2-3E19-4F12-A57D-32199E3EF998}"/>
    <cellStyle name="20 % - Markeringsfarve6 2 2 7" xfId="31047" xr:uid="{170C731D-4173-4F99-A5A7-14ABA6097673}"/>
    <cellStyle name="20 % - Markeringsfarve6 2 2 7 2" xfId="31048" xr:uid="{EF24C74A-A6AF-46F1-9166-3AE5DCAA833F}"/>
    <cellStyle name="20 % - Markeringsfarve6 2 2 8" xfId="31049" xr:uid="{ED098C8A-DB43-4375-876B-29B177B3255C}"/>
    <cellStyle name="20 % - Markeringsfarve6 2 3" xfId="23537" xr:uid="{A874BD46-A3DF-4559-9263-CF1565790969}"/>
    <cellStyle name="20 % - Markeringsfarve6 2 3 2" xfId="23538" xr:uid="{748552C3-B8B7-4BFD-99EB-647E2A285D43}"/>
    <cellStyle name="20 % - Markeringsfarve6 2 3 2 2" xfId="31050" xr:uid="{54497B61-C46D-48B0-A8B7-F0E94F983812}"/>
    <cellStyle name="20 % - Markeringsfarve6 2 3 2 3" xfId="31051" xr:uid="{E10B42D1-13F4-4A2C-AE4C-3C08DBFFB157}"/>
    <cellStyle name="20 % - Markeringsfarve6 2 3 3" xfId="31052" xr:uid="{5DDF0D48-1BC8-410C-8F65-93A45B7A488A}"/>
    <cellStyle name="20 % - Markeringsfarve6 2 3 3 2" xfId="31053" xr:uid="{91510A3D-74E4-4FCE-A739-3393DDA0649D}"/>
    <cellStyle name="20 % - Markeringsfarve6 2 3 3 3" xfId="31054" xr:uid="{32019A80-AF25-4640-9F24-3192617E0948}"/>
    <cellStyle name="20 % - Markeringsfarve6 2 3 4" xfId="31055" xr:uid="{4783A03B-5461-4C89-A527-8DF0BA9C7C78}"/>
    <cellStyle name="20 % - Markeringsfarve6 2 3 4 2" xfId="31056" xr:uid="{F0BA927A-6BAF-45C7-92CE-EDBA61F14632}"/>
    <cellStyle name="20 % - Markeringsfarve6 2 3 4 3" xfId="31057" xr:uid="{CBB85D5D-2BCC-4518-8C65-FF966EB3721F}"/>
    <cellStyle name="20 % - Markeringsfarve6 2 3 5" xfId="31058" xr:uid="{EB195F7E-7CA4-4D0B-ABC4-37B2F997353C}"/>
    <cellStyle name="20 % - Markeringsfarve6 2 3 5 2" xfId="31059" xr:uid="{4D5463F2-597D-4070-AC89-7619BAC9C310}"/>
    <cellStyle name="20 % - Markeringsfarve6 2 3 5 3" xfId="31060" xr:uid="{A21130A3-8D84-4998-9179-3563830871EC}"/>
    <cellStyle name="20 % - Markeringsfarve6 2 3 6" xfId="31061" xr:uid="{67987420-1342-4F88-8599-57C7B8AFD3BF}"/>
    <cellStyle name="20 % - Markeringsfarve6 2 3 6 2" xfId="31062" xr:uid="{86F1A97F-DF7F-4736-A458-E26B939B347D}"/>
    <cellStyle name="20 % - Markeringsfarve6 2 3 6 3" xfId="31063" xr:uid="{B9B4EB0A-E37F-49D6-8665-B88B820D351C}"/>
    <cellStyle name="20 % - Markeringsfarve6 2 3 7" xfId="31064" xr:uid="{C2BE37FC-6436-4D53-A7A1-1B01957A3A8B}"/>
    <cellStyle name="20 % - Markeringsfarve6 2 3 7 2" xfId="31065" xr:uid="{9E40AFFE-130E-4110-8C3D-380A1CFB728C}"/>
    <cellStyle name="20 % - Markeringsfarve6 2 3 8" xfId="31066" xr:uid="{08C0B042-CE58-4CC9-B0AE-8072DD53B61A}"/>
    <cellStyle name="20 % - Markeringsfarve6 2 4" xfId="23539" xr:uid="{AB08F4EE-6E78-4B44-A8DF-6196808EA45D}"/>
    <cellStyle name="20 % - Markeringsfarve6 2 4 2" xfId="31067" xr:uid="{32A37BEE-A515-4F1F-BD92-DC27F70BDB20}"/>
    <cellStyle name="20 % - Markeringsfarve6 2 4 3" xfId="31068" xr:uid="{EA4F68DD-758B-417A-84A5-EA2B1D5F1DF9}"/>
    <cellStyle name="20 % - Markeringsfarve6 2 5" xfId="31069" xr:uid="{A43FB74E-CE05-431E-B477-3B15D4F97380}"/>
    <cellStyle name="20 % - Markeringsfarve6 2 5 2" xfId="31070" xr:uid="{BC881BBA-3ADC-435C-9F42-3395AA907E8E}"/>
    <cellStyle name="20 % - Markeringsfarve6 2 5 3" xfId="31071" xr:uid="{96CB9F7E-1083-441F-A5DF-7D0EE050BB00}"/>
    <cellStyle name="20 % - Markeringsfarve6 2 6" xfId="31072" xr:uid="{613FF43E-C62C-41AB-8CD3-95DF60805F2B}"/>
    <cellStyle name="20 % - Markeringsfarve6 2 6 2" xfId="31073" xr:uid="{B3583C5F-6634-40B6-83F8-6E1DDBA5B6D6}"/>
    <cellStyle name="20 % - Markeringsfarve6 2 6 3" xfId="31074" xr:uid="{57EED93A-DE91-42D6-A4C4-29DDD071B2B7}"/>
    <cellStyle name="20 % - Markeringsfarve6 2 7" xfId="31075" xr:uid="{5AAC8A4E-EB93-4319-AFE1-FFBEBC8AD3F4}"/>
    <cellStyle name="20 % - Markeringsfarve6 2 7 2" xfId="31076" xr:uid="{E86F2321-5E4D-4AD9-923A-9454A380A498}"/>
    <cellStyle name="20 % - Markeringsfarve6 2 7 3" xfId="31077" xr:uid="{5AABDD2A-8D5B-42AA-8903-5DC202611BF6}"/>
    <cellStyle name="20 % - Markeringsfarve6 2 8" xfId="31078" xr:uid="{4FB46617-B67F-4348-AD38-9EF672488B0E}"/>
    <cellStyle name="20 % - Markeringsfarve6 2 8 2" xfId="31079" xr:uid="{EAB24DDC-88ED-441E-A34D-F653F0569D12}"/>
    <cellStyle name="20 % - Markeringsfarve6 2 8 3" xfId="31080" xr:uid="{EDB33D06-DF78-4199-B620-598B2A6FD466}"/>
    <cellStyle name="20 % - Markeringsfarve6 2 9" xfId="31081" xr:uid="{07CEBC58-0C08-47C2-98E6-FEEEEFE4353E}"/>
    <cellStyle name="20 % - Markeringsfarve6 2 9 2" xfId="31082" xr:uid="{C4A88F5E-ACA8-478E-9E50-DE62593CA018}"/>
    <cellStyle name="20 % - Markeringsfarve6 3" xfId="2590" xr:uid="{B5B46348-71F9-4DF7-995E-D376E5D3C56D}"/>
    <cellStyle name="20 % - Markeringsfarve6 3 10" xfId="31083" xr:uid="{63D758C4-F5B9-4EE1-A6E5-1C140528B356}"/>
    <cellStyle name="20 % - Markeringsfarve6 3 2" xfId="23540" xr:uid="{12DA3580-D2CF-4A3F-BCEB-28126F223231}"/>
    <cellStyle name="20 % - Markeringsfarve6 3 2 2" xfId="31084" xr:uid="{4CCA6B6C-1D0B-4385-BD5B-2A18D0C800F9}"/>
    <cellStyle name="20 % - Markeringsfarve6 3 2 2 2" xfId="31085" xr:uid="{D9B37DA1-734B-437D-933D-55574C05DA85}"/>
    <cellStyle name="20 % - Markeringsfarve6 3 2 2 3" xfId="31086" xr:uid="{5D2A5E59-32DD-4518-B959-D194C5EF1C13}"/>
    <cellStyle name="20 % - Markeringsfarve6 3 2 3" xfId="31087" xr:uid="{FBF2E38A-5E75-4F41-8E35-DCE137E65976}"/>
    <cellStyle name="20 % - Markeringsfarve6 3 2 3 2" xfId="31088" xr:uid="{D42134CF-DCA4-470C-90AC-4AA24B65C363}"/>
    <cellStyle name="20 % - Markeringsfarve6 3 2 3 3" xfId="31089" xr:uid="{CF9C8A19-055A-40F1-8CB9-C89B8209C8DC}"/>
    <cellStyle name="20 % - Markeringsfarve6 3 2 4" xfId="31090" xr:uid="{4C46E89D-1961-4D8B-BA83-49FEAFBC9C9B}"/>
    <cellStyle name="20 % - Markeringsfarve6 3 2 4 2" xfId="31091" xr:uid="{14FF7666-3F71-4816-8B1E-5C262A4103A6}"/>
    <cellStyle name="20 % - Markeringsfarve6 3 2 4 3" xfId="31092" xr:uid="{2CF37CCF-B276-423D-8801-813286BB7760}"/>
    <cellStyle name="20 % - Markeringsfarve6 3 2 5" xfId="31093" xr:uid="{8E30706A-1EB5-4D71-BBD9-EAD6A9B46D37}"/>
    <cellStyle name="20 % - Markeringsfarve6 3 2 5 2" xfId="31094" xr:uid="{44E73774-47D0-47D4-B84A-874050CA8E14}"/>
    <cellStyle name="20 % - Markeringsfarve6 3 2 5 3" xfId="31095" xr:uid="{097BFDE8-2B1E-4B4D-84C1-6BBF145C0D46}"/>
    <cellStyle name="20 % - Markeringsfarve6 3 2 6" xfId="31096" xr:uid="{F73F670E-8720-48EF-B19C-2336294B8EBC}"/>
    <cellStyle name="20 % - Markeringsfarve6 3 2 6 2" xfId="31097" xr:uid="{9A5D49FA-8445-4A31-8C3C-DDF86FCBC313}"/>
    <cellStyle name="20 % - Markeringsfarve6 3 2 6 3" xfId="31098" xr:uid="{F5869595-F325-4B3F-A059-05F3EF254E0D}"/>
    <cellStyle name="20 % - Markeringsfarve6 3 2 7" xfId="31099" xr:uid="{EEBC78AE-E532-4232-A281-10FC37A2D75A}"/>
    <cellStyle name="20 % - Markeringsfarve6 3 2 7 2" xfId="31100" xr:uid="{889E17D9-71E4-4D17-95D5-18DDA07CD620}"/>
    <cellStyle name="20 % - Markeringsfarve6 3 2 8" xfId="31101" xr:uid="{6E5B4692-CBC8-4E8A-96AD-8A2F2A22E1FA}"/>
    <cellStyle name="20 % - Markeringsfarve6 3 3" xfId="31102" xr:uid="{7F4F648F-F2B0-4539-8DFC-F07694050221}"/>
    <cellStyle name="20 % - Markeringsfarve6 3 3 2" xfId="31103" xr:uid="{599D6FB2-2130-40F3-A1BD-8BD80369C2F1}"/>
    <cellStyle name="20 % - Markeringsfarve6 3 3 2 2" xfId="31104" xr:uid="{F723D23E-D9A9-4035-90B7-A6AE67B593B2}"/>
    <cellStyle name="20 % - Markeringsfarve6 3 3 2 3" xfId="31105" xr:uid="{F4B35A18-8BD0-4775-B947-15F320581EDA}"/>
    <cellStyle name="20 % - Markeringsfarve6 3 3 3" xfId="31106" xr:uid="{3D8E2CDF-8C36-42D0-8236-0F93505326E0}"/>
    <cellStyle name="20 % - Markeringsfarve6 3 3 3 2" xfId="31107" xr:uid="{1D7DA984-B36E-4EC8-B047-30D9D0E90849}"/>
    <cellStyle name="20 % - Markeringsfarve6 3 3 3 3" xfId="31108" xr:uid="{C2C03899-5B6C-4365-8022-C1A196080BE0}"/>
    <cellStyle name="20 % - Markeringsfarve6 3 3 4" xfId="31109" xr:uid="{ABF63AB7-11D3-4A44-A0F8-FD140CA48F8F}"/>
    <cellStyle name="20 % - Markeringsfarve6 3 3 4 2" xfId="31110" xr:uid="{D172544C-391F-4E11-9C01-9C92EAD57FD7}"/>
    <cellStyle name="20 % - Markeringsfarve6 3 3 4 3" xfId="31111" xr:uid="{77BAB1B8-2A1E-46BD-9530-629D94C8D540}"/>
    <cellStyle name="20 % - Markeringsfarve6 3 3 5" xfId="31112" xr:uid="{5C01A81B-6E31-4E56-B1A0-4393F728DFA4}"/>
    <cellStyle name="20 % - Markeringsfarve6 3 3 5 2" xfId="31113" xr:uid="{779CABDC-6512-4B8B-95BB-AB4ECAD16C5F}"/>
    <cellStyle name="20 % - Markeringsfarve6 3 3 5 3" xfId="31114" xr:uid="{A76B0691-A5F2-4EBB-8B19-67F4893F221D}"/>
    <cellStyle name="20 % - Markeringsfarve6 3 3 6" xfId="31115" xr:uid="{1BE488AD-3EF1-4A20-9EF8-170AFDF8011B}"/>
    <cellStyle name="20 % - Markeringsfarve6 3 3 6 2" xfId="31116" xr:uid="{CFAAE62C-F1D8-4977-9AF0-39BDB530CB42}"/>
    <cellStyle name="20 % - Markeringsfarve6 3 3 6 3" xfId="31117" xr:uid="{8F1CE1D3-3DD0-4226-8B25-512D93B86EAD}"/>
    <cellStyle name="20 % - Markeringsfarve6 3 3 7" xfId="31118" xr:uid="{4FDE42A9-F92B-4AE3-8475-55061E106B3C}"/>
    <cellStyle name="20 % - Markeringsfarve6 3 3 7 2" xfId="31119" xr:uid="{66249FDC-95D5-44B8-BDAE-F733F263FC26}"/>
    <cellStyle name="20 % - Markeringsfarve6 3 3 8" xfId="31120" xr:uid="{A5252C4D-D52B-440B-B89E-7E007A9A5898}"/>
    <cellStyle name="20 % - Markeringsfarve6 3 4" xfId="31121" xr:uid="{56C57F13-C8C7-49DD-845C-FBE80548E2FC}"/>
    <cellStyle name="20 % - Markeringsfarve6 3 4 2" xfId="31122" xr:uid="{C3445EFF-F01C-498C-A8DE-C2BDEB05F62D}"/>
    <cellStyle name="20 % - Markeringsfarve6 3 4 3" xfId="31123" xr:uid="{EE2F853B-5A65-43B1-AFB9-03CAB78AF55A}"/>
    <cellStyle name="20 % - Markeringsfarve6 3 5" xfId="31124" xr:uid="{80CF811C-7C5B-4A4C-9808-399ECD93BF14}"/>
    <cellStyle name="20 % - Markeringsfarve6 3 5 2" xfId="31125" xr:uid="{492E21B4-4296-4B55-922A-99EA33E7A22D}"/>
    <cellStyle name="20 % - Markeringsfarve6 3 5 3" xfId="31126" xr:uid="{8171F05A-1AFB-4D2F-AAEF-DC2EDD748579}"/>
    <cellStyle name="20 % - Markeringsfarve6 3 6" xfId="31127" xr:uid="{C18C71FA-73DB-44F0-A316-A616BECD9976}"/>
    <cellStyle name="20 % - Markeringsfarve6 3 6 2" xfId="31128" xr:uid="{8B79DFAF-3A6A-47FC-ACC2-158D8D002990}"/>
    <cellStyle name="20 % - Markeringsfarve6 3 6 3" xfId="31129" xr:uid="{68A24139-057E-4947-98BD-B9B1F426D1E2}"/>
    <cellStyle name="20 % - Markeringsfarve6 3 7" xfId="31130" xr:uid="{DCA40062-2964-4CC5-A515-4B3E56189F13}"/>
    <cellStyle name="20 % - Markeringsfarve6 3 7 2" xfId="31131" xr:uid="{F18AF363-1C6B-4751-94D2-20E28724D302}"/>
    <cellStyle name="20 % - Markeringsfarve6 3 7 3" xfId="31132" xr:uid="{76A618B5-D47F-4D93-80C6-ED9E9E648522}"/>
    <cellStyle name="20 % - Markeringsfarve6 3 8" xfId="31133" xr:uid="{606BBD86-424D-4227-973D-A44753F9CCD4}"/>
    <cellStyle name="20 % - Markeringsfarve6 3 8 2" xfId="31134" xr:uid="{C6AC60FC-A20C-4123-8F2B-6C5AC5F21060}"/>
    <cellStyle name="20 % - Markeringsfarve6 3 8 3" xfId="31135" xr:uid="{19FF31C4-D4B8-4238-9135-90B9726F1E74}"/>
    <cellStyle name="20 % - Markeringsfarve6 3 9" xfId="31136" xr:uid="{46084FCC-4E2A-43A6-9630-1F2649AA4A96}"/>
    <cellStyle name="20 % - Markeringsfarve6 3 9 2" xfId="31137" xr:uid="{1DDB66E7-983E-4C42-BDF5-1E1A0D400436}"/>
    <cellStyle name="20 % - Markeringsfarve6 4" xfId="23541" xr:uid="{CDF501CC-E88C-467E-AFAD-A3512FD85290}"/>
    <cellStyle name="20 % - Markeringsfarve6 4 2" xfId="23542" xr:uid="{7576FBA1-71EC-41A5-89F5-81A23CB705A3}"/>
    <cellStyle name="20 % - Markeringsfarve6 4 2 2" xfId="31138" xr:uid="{61276270-218F-4EEF-B3D1-28ED20B90AEC}"/>
    <cellStyle name="20 % - Markeringsfarve6 4 2 3" xfId="31139" xr:uid="{E7FAD0E6-8F77-4E6B-B7E0-24CDC7363232}"/>
    <cellStyle name="20 % - Markeringsfarve6 4 3" xfId="31140" xr:uid="{BC3AF1B0-A51C-4F37-BFAF-3D45069AA484}"/>
    <cellStyle name="20 % - Markeringsfarve6 4 3 2" xfId="31141" xr:uid="{6131BBBA-F082-4B73-9257-D45B8053F6F9}"/>
    <cellStyle name="20 % - Markeringsfarve6 4 3 3" xfId="31142" xr:uid="{D380D0F7-D243-493B-AFE7-41C5329F4D94}"/>
    <cellStyle name="20 % - Markeringsfarve6 4 4" xfId="31143" xr:uid="{50DD9D8D-6641-4426-9980-FFBA75B722DE}"/>
    <cellStyle name="20 % - Markeringsfarve6 4 4 2" xfId="31144" xr:uid="{0652E300-10D4-4F04-ACC2-12A2168555CA}"/>
    <cellStyle name="20 % - Markeringsfarve6 4 4 3" xfId="31145" xr:uid="{ECD96A45-3220-4D2C-93C1-16DEEB32A9E3}"/>
    <cellStyle name="20 % - Markeringsfarve6 4 5" xfId="31146" xr:uid="{BAE3E9CC-0D95-46A9-BBD4-B0C7B572D689}"/>
    <cellStyle name="20 % - Markeringsfarve6 4 5 2" xfId="31147" xr:uid="{FEAE5EBD-4D5D-4875-AC88-7450576EAAE6}"/>
    <cellStyle name="20 % - Markeringsfarve6 4 5 3" xfId="31148" xr:uid="{B754F951-BDCA-431D-8504-47BF51EC180B}"/>
    <cellStyle name="20 % - Markeringsfarve6 4 6" xfId="31149" xr:uid="{2F6BED99-CCE1-449C-863D-73672CCEF29A}"/>
    <cellStyle name="20 % - Markeringsfarve6 4 6 2" xfId="31150" xr:uid="{A734B4A9-D276-471D-81F5-5C5EB19BD7B7}"/>
    <cellStyle name="20 % - Markeringsfarve6 4 6 3" xfId="31151" xr:uid="{C9E152A1-53D9-481C-A3F2-3F7225C48F4B}"/>
    <cellStyle name="20 % - Markeringsfarve6 4 7" xfId="31152" xr:uid="{08000811-E42A-4764-8849-3F6B21A36D37}"/>
    <cellStyle name="20 % - Markeringsfarve6 4 7 2" xfId="31153" xr:uid="{62C943B5-220E-4729-88D4-A5F6C48F6EB9}"/>
    <cellStyle name="20 % - Markeringsfarve6 4 8" xfId="31154" xr:uid="{C490BCD0-E22A-414E-8961-B961C48C0DD0}"/>
    <cellStyle name="20 % - Markeringsfarve6 5" xfId="23543" xr:uid="{70EEDDEF-0D0F-44F5-B186-C1EB1FC23ABA}"/>
    <cellStyle name="20 % - Markeringsfarve6 5 2" xfId="23544" xr:uid="{4B5B8E4E-7C44-4BB0-8293-97C7B95D0F3C}"/>
    <cellStyle name="20 % - Markeringsfarve6 5 2 2" xfId="31155" xr:uid="{2D6863CA-1820-4D13-848E-5B5ECFE32CD7}"/>
    <cellStyle name="20 % - Markeringsfarve6 5 2 3" xfId="31156" xr:uid="{608B79E9-FC44-46BD-9C00-3D63136B0005}"/>
    <cellStyle name="20 % - Markeringsfarve6 5 3" xfId="31157" xr:uid="{84C5DF62-7F25-4D78-82E8-B2FD3C1DA352}"/>
    <cellStyle name="20 % - Markeringsfarve6 5 3 2" xfId="31158" xr:uid="{96F4B578-FCEF-4A98-BE38-0F6D84CC8B7E}"/>
    <cellStyle name="20 % - Markeringsfarve6 5 3 3" xfId="31159" xr:uid="{FC09B64D-8358-44B3-8B25-ABADCEBD29B3}"/>
    <cellStyle name="20 % - Markeringsfarve6 5 4" xfId="31160" xr:uid="{AB1BAE92-D735-4D29-99E4-99816A3AFDA2}"/>
    <cellStyle name="20 % - Markeringsfarve6 5 4 2" xfId="31161" xr:uid="{D00E0238-025D-4D9A-B9AC-0B0DF073717D}"/>
    <cellStyle name="20 % - Markeringsfarve6 5 4 3" xfId="31162" xr:uid="{F7F70B38-AAD4-4FC5-B938-9C53DFCF26CF}"/>
    <cellStyle name="20 % - Markeringsfarve6 5 5" xfId="31163" xr:uid="{B510770B-FE03-47EE-A33F-023E5AC4D941}"/>
    <cellStyle name="20 % - Markeringsfarve6 5 5 2" xfId="31164" xr:uid="{395C65DA-1BD8-4F58-98FB-2D0C365AEE4C}"/>
    <cellStyle name="20 % - Markeringsfarve6 5 5 3" xfId="31165" xr:uid="{CC8C6AA8-7A02-4B14-9FDA-B8F3074941AE}"/>
    <cellStyle name="20 % - Markeringsfarve6 5 6" xfId="31166" xr:uid="{991BC2AD-B5BA-43B9-9F51-6D63CCE92DB1}"/>
    <cellStyle name="20 % - Markeringsfarve6 5 6 2" xfId="31167" xr:uid="{7BA17932-A7A2-4E64-8587-B0AE56EFAF6E}"/>
    <cellStyle name="20 % - Markeringsfarve6 5 6 3" xfId="31168" xr:uid="{17D1CE68-E6E4-4C79-B001-02C5B27100F6}"/>
    <cellStyle name="20 % - Markeringsfarve6 5 7" xfId="31169" xr:uid="{13F370F9-7B14-4B30-B7C3-9EBC96852677}"/>
    <cellStyle name="20 % - Markeringsfarve6 5 7 2" xfId="31170" xr:uid="{FFDEE673-B054-4119-B242-621996D80112}"/>
    <cellStyle name="20 % - Markeringsfarve6 5 8" xfId="31171" xr:uid="{92324F24-D766-4F2F-AC58-E1CF16854C95}"/>
    <cellStyle name="20 % - Markeringsfarve6 6" xfId="23545" xr:uid="{B10AA89B-BDDE-4D20-B3DD-6C208DEE8029}"/>
    <cellStyle name="20 % - Markeringsfarve6 6 2" xfId="23546" xr:uid="{A2605F20-69C1-4A42-B584-D1BAA2A78849}"/>
    <cellStyle name="20 % - Markeringsfarve6 6 3" xfId="31172" xr:uid="{5C5CE64B-68AB-4269-86D8-48EFC96732C6}"/>
    <cellStyle name="20 % - Markeringsfarve6 7" xfId="23547" xr:uid="{2C4EA3CB-545E-44A7-B27E-E073330A8015}"/>
    <cellStyle name="20 % - Markeringsfarve6 7 2" xfId="31173" xr:uid="{FC233293-243C-4DFF-8064-39778D181755}"/>
    <cellStyle name="20 % - Markeringsfarve6 7 3" xfId="31174" xr:uid="{C2C6829E-64DE-42FD-AC1B-CB0694A68C0D}"/>
    <cellStyle name="20 % - Markeringsfarve6 8" xfId="31175" xr:uid="{E3841762-E7A0-4E1C-BDBE-97BB1EC983F3}"/>
    <cellStyle name="20 % - Markeringsfarve6 8 2" xfId="31176" xr:uid="{86DCD0FA-1BDE-4319-94F5-CBEFD13551A5}"/>
    <cellStyle name="20 % - Markeringsfarve6 8 3" xfId="31177" xr:uid="{7ED45D65-F3A1-4CCF-AADA-CAA51A9CE88A}"/>
    <cellStyle name="20 % - Markeringsfarve6 9" xfId="31178" xr:uid="{C3EFB7AC-8203-4E65-A04B-36450B7D8707}"/>
    <cellStyle name="20 % - Markeringsfarve6 9 2" xfId="31179" xr:uid="{A6EAADD4-C498-4B2F-AEEE-3AA64B8F6E3C}"/>
    <cellStyle name="20 % - Markeringsfarve6 9 3" xfId="31180" xr:uid="{835B799A-C1F1-4EAE-A9E0-C62157D81ADE}"/>
    <cellStyle name="20% - Accent1 2" xfId="23548" xr:uid="{DD86783D-1E7C-4654-B9D7-E87B880B5362}"/>
    <cellStyle name="20% - Accent2 2" xfId="23549" xr:uid="{1219D04F-4F36-4635-80A0-5A7A08EF8157}"/>
    <cellStyle name="20% - Accent3 2" xfId="23550" xr:uid="{CF729CE7-30AE-40E8-A4A2-189DC7E90FD2}"/>
    <cellStyle name="20% - Accent4 2" xfId="23551" xr:uid="{E9318D6A-8B70-4C09-B7F4-4EB19F4D4B4F}"/>
    <cellStyle name="20% - Accent5 2" xfId="23552" xr:uid="{9B832F5C-2748-4065-AE78-44142AECAC09}"/>
    <cellStyle name="20% - Accent6 2" xfId="23553" xr:uid="{F31645F1-75D9-4A37-BDC9-D77A0609040F}"/>
    <cellStyle name="20% - Colore 1" xfId="1" xr:uid="{00000000-0005-0000-0000-00000C000000}"/>
    <cellStyle name="20% - Colore 1 2" xfId="2" xr:uid="{00000000-0005-0000-0000-00000D000000}"/>
    <cellStyle name="20% - Colore 2" xfId="3" xr:uid="{00000000-0005-0000-0000-00000E000000}"/>
    <cellStyle name="20% - Colore 2 2" xfId="4" xr:uid="{00000000-0005-0000-0000-00000F000000}"/>
    <cellStyle name="20% - Colore 3" xfId="5" xr:uid="{00000000-0005-0000-0000-000010000000}"/>
    <cellStyle name="20% - Colore 3 2" xfId="6" xr:uid="{00000000-0005-0000-0000-000011000000}"/>
    <cellStyle name="20% - Colore 4" xfId="7" xr:uid="{00000000-0005-0000-0000-000012000000}"/>
    <cellStyle name="20% - Colore 4 2" xfId="8" xr:uid="{00000000-0005-0000-0000-000013000000}"/>
    <cellStyle name="20% - Colore 5" xfId="9" xr:uid="{00000000-0005-0000-0000-000014000000}"/>
    <cellStyle name="20% - Colore 5 2" xfId="10" xr:uid="{00000000-0005-0000-0000-000015000000}"/>
    <cellStyle name="20% - Colore 6" xfId="11" xr:uid="{00000000-0005-0000-0000-000016000000}"/>
    <cellStyle name="20% - Colore 6 2" xfId="12" xr:uid="{00000000-0005-0000-0000-000017000000}"/>
    <cellStyle name="2x indented GHG Textfiels" xfId="30231" xr:uid="{18A2797C-E355-4D28-9952-9335090C98DC}"/>
    <cellStyle name="40 % - Markeringsfarve1" xfId="1271" xr:uid="{00000000-0005-0000-0000-000018000000}"/>
    <cellStyle name="40 % - Markeringsfarve1 10" xfId="31181" xr:uid="{754A9B5B-DC4D-4DE6-8531-BFBAAD1BC948}"/>
    <cellStyle name="40 % - Markeringsfarve1 10 2" xfId="31182" xr:uid="{6CE5E172-69FB-401F-B210-5A02885A086C}"/>
    <cellStyle name="40 % - Markeringsfarve1 10 3" xfId="31183" xr:uid="{958D1080-4361-4489-9194-83EFC40DCD02}"/>
    <cellStyle name="40 % - Markeringsfarve1 11" xfId="31184" xr:uid="{9C8BB0C7-3547-4AA4-B3CF-4FB5C789681B}"/>
    <cellStyle name="40 % - Markeringsfarve1 11 2" xfId="31185" xr:uid="{2D087EB0-E844-4133-8F7F-A3B263C0C448}"/>
    <cellStyle name="40 % - Markeringsfarve1 12" xfId="31186" xr:uid="{4F766CBA-7889-436B-B468-C56E87152860}"/>
    <cellStyle name="40 % - Markeringsfarve1 13" xfId="17729" xr:uid="{430B612F-FB94-4738-A46B-79F28A4446C9}"/>
    <cellStyle name="40 % - Markeringsfarve1 2" xfId="1272" xr:uid="{00000000-0005-0000-0000-000019000000}"/>
    <cellStyle name="40 % - Markeringsfarve1 2 10" xfId="31187" xr:uid="{2C3E6472-68B9-41AB-8F9B-A68CA2451FEB}"/>
    <cellStyle name="40 % - Markeringsfarve1 2 11" xfId="17730" xr:uid="{909B46D3-ECA6-407D-81A5-582DA74544BE}"/>
    <cellStyle name="40 % - Markeringsfarve1 2 2" xfId="23554" xr:uid="{E938EDD8-552E-4A8C-88F0-9D95205A9D55}"/>
    <cellStyle name="40 % - Markeringsfarve1 2 2 2" xfId="23555" xr:uid="{8CBCE1B8-D570-437D-9C99-39F95F8CE793}"/>
    <cellStyle name="40 % - Markeringsfarve1 2 2 2 2" xfId="31188" xr:uid="{8936E664-42C3-4DB8-B347-96BFC3A2C0EE}"/>
    <cellStyle name="40 % - Markeringsfarve1 2 2 2 3" xfId="31189" xr:uid="{41DC6CA6-41DE-47C2-AA12-C601CB9C9935}"/>
    <cellStyle name="40 % - Markeringsfarve1 2 2 3" xfId="31190" xr:uid="{F8A0FA14-FB6E-4460-88A7-D88F383B0D49}"/>
    <cellStyle name="40 % - Markeringsfarve1 2 2 3 2" xfId="31191" xr:uid="{39FBFE5B-AB1C-4516-ADE7-9BB10AA2B3D9}"/>
    <cellStyle name="40 % - Markeringsfarve1 2 2 3 3" xfId="31192" xr:uid="{01F46432-6F33-4A54-8B94-C3105187AEC0}"/>
    <cellStyle name="40 % - Markeringsfarve1 2 2 4" xfId="31193" xr:uid="{BEC04778-8CC0-4F1E-B1DF-07EB5C4EFFC9}"/>
    <cellStyle name="40 % - Markeringsfarve1 2 2 4 2" xfId="31194" xr:uid="{69D4B903-0DDE-4483-BE55-9D99CC67CBBF}"/>
    <cellStyle name="40 % - Markeringsfarve1 2 2 4 3" xfId="31195" xr:uid="{0B4A8A4B-C1CF-4C2B-BAF3-F9F9D822F7EE}"/>
    <cellStyle name="40 % - Markeringsfarve1 2 2 5" xfId="31196" xr:uid="{39A733E0-8DA6-4028-B4C6-2242B584DD4F}"/>
    <cellStyle name="40 % - Markeringsfarve1 2 2 5 2" xfId="31197" xr:uid="{7A8F5F1A-ADDD-4B8A-9F30-D5AE55A35463}"/>
    <cellStyle name="40 % - Markeringsfarve1 2 2 5 3" xfId="31198" xr:uid="{9DB1705B-973E-4A71-B463-6967AE3E2EE9}"/>
    <cellStyle name="40 % - Markeringsfarve1 2 2 6" xfId="31199" xr:uid="{7AE9CE08-4703-47F3-B82E-F03572E501FD}"/>
    <cellStyle name="40 % - Markeringsfarve1 2 2 6 2" xfId="31200" xr:uid="{2412BB32-5D51-4E0A-9183-4495081307D4}"/>
    <cellStyle name="40 % - Markeringsfarve1 2 2 6 3" xfId="31201" xr:uid="{4761C4B5-B420-4681-BD07-415D4078C343}"/>
    <cellStyle name="40 % - Markeringsfarve1 2 2 7" xfId="31202" xr:uid="{6ED5CEF6-21C2-4D54-9F5D-7790CAFA47ED}"/>
    <cellStyle name="40 % - Markeringsfarve1 2 2 7 2" xfId="31203" xr:uid="{D64C1101-505E-4DA8-BC58-CFB85DCA60BD}"/>
    <cellStyle name="40 % - Markeringsfarve1 2 2 8" xfId="31204" xr:uid="{B150B478-0AAE-4509-B92A-6F076E67AED0}"/>
    <cellStyle name="40 % - Markeringsfarve1 2 3" xfId="23556" xr:uid="{DCFA0D44-87DC-4298-9D3F-5CBB71A01858}"/>
    <cellStyle name="40 % - Markeringsfarve1 2 3 2" xfId="23557" xr:uid="{775C4673-EE36-4EBA-8A07-C7C6088D070E}"/>
    <cellStyle name="40 % - Markeringsfarve1 2 3 2 2" xfId="31205" xr:uid="{1C3B6476-777D-4BE8-A7A6-CD941A456523}"/>
    <cellStyle name="40 % - Markeringsfarve1 2 3 2 3" xfId="31206" xr:uid="{5427FC99-A680-468A-A9BA-9B0391E1F588}"/>
    <cellStyle name="40 % - Markeringsfarve1 2 3 3" xfId="31207" xr:uid="{181FDEBA-822C-4C9C-AF9F-DE59B8FAEF50}"/>
    <cellStyle name="40 % - Markeringsfarve1 2 3 3 2" xfId="31208" xr:uid="{8E5D7DF1-2CD9-4450-9191-D21633250043}"/>
    <cellStyle name="40 % - Markeringsfarve1 2 3 3 3" xfId="31209" xr:uid="{02F6D3A2-090E-46F3-AA02-BD3FA0E3D474}"/>
    <cellStyle name="40 % - Markeringsfarve1 2 3 4" xfId="31210" xr:uid="{3A4231B8-49EE-4C1E-9159-BA5E09D79CEA}"/>
    <cellStyle name="40 % - Markeringsfarve1 2 3 4 2" xfId="31211" xr:uid="{AF91965A-EE52-40C6-871C-D7D89E5C28A9}"/>
    <cellStyle name="40 % - Markeringsfarve1 2 3 4 3" xfId="31212" xr:uid="{7C8CE79A-B2CF-4E34-AD99-C2B5B1787E87}"/>
    <cellStyle name="40 % - Markeringsfarve1 2 3 5" xfId="31213" xr:uid="{B8185520-ED0B-4BEA-8AC5-F4B58F862EEA}"/>
    <cellStyle name="40 % - Markeringsfarve1 2 3 5 2" xfId="31214" xr:uid="{544C4FAD-34EE-4903-A2CA-5B5F57EA92F7}"/>
    <cellStyle name="40 % - Markeringsfarve1 2 3 5 3" xfId="31215" xr:uid="{2DCE0B1C-3B5B-4726-9E4F-1C945EE3F38C}"/>
    <cellStyle name="40 % - Markeringsfarve1 2 3 6" xfId="31216" xr:uid="{167D6C17-5493-4609-905A-5A397656DE4D}"/>
    <cellStyle name="40 % - Markeringsfarve1 2 3 6 2" xfId="31217" xr:uid="{50364191-7ECE-46E3-8DB1-F0CBEE8E1A64}"/>
    <cellStyle name="40 % - Markeringsfarve1 2 3 6 3" xfId="31218" xr:uid="{8B4F63E2-D878-472F-ADCC-3B64C077A233}"/>
    <cellStyle name="40 % - Markeringsfarve1 2 3 7" xfId="31219" xr:uid="{61E8E132-D74C-4D27-B961-2D48A212AC97}"/>
    <cellStyle name="40 % - Markeringsfarve1 2 3 7 2" xfId="31220" xr:uid="{7D3CD01F-3D24-4F2C-B4F0-307A10BB5DAA}"/>
    <cellStyle name="40 % - Markeringsfarve1 2 3 8" xfId="31221" xr:uid="{A279D220-1B39-4945-8255-5DBBCC6B8512}"/>
    <cellStyle name="40 % - Markeringsfarve1 2 4" xfId="23558" xr:uid="{8C8B98F1-1F32-40D4-8A09-0CF7C7B9D670}"/>
    <cellStyle name="40 % - Markeringsfarve1 2 4 2" xfId="31222" xr:uid="{FE7E65AB-E630-474C-8E84-7AD95D549E30}"/>
    <cellStyle name="40 % - Markeringsfarve1 2 4 3" xfId="31223" xr:uid="{8AB4A9FE-0775-4E96-AF97-6001F3733039}"/>
    <cellStyle name="40 % - Markeringsfarve1 2 5" xfId="31224" xr:uid="{FA063C44-050F-4284-B653-466C59EF8CF9}"/>
    <cellStyle name="40 % - Markeringsfarve1 2 5 2" xfId="31225" xr:uid="{FF082F8F-8DF3-4985-B4DD-32FE774DCA52}"/>
    <cellStyle name="40 % - Markeringsfarve1 2 5 3" xfId="31226" xr:uid="{A2B8C09E-3BEE-4ED0-9597-050283C44687}"/>
    <cellStyle name="40 % - Markeringsfarve1 2 6" xfId="31227" xr:uid="{F814B800-28D9-47BB-9017-3EEE01467925}"/>
    <cellStyle name="40 % - Markeringsfarve1 2 6 2" xfId="31228" xr:uid="{5408926E-0ED1-46B1-9B6A-BC3997F8C03C}"/>
    <cellStyle name="40 % - Markeringsfarve1 2 6 3" xfId="31229" xr:uid="{99239901-63C4-4979-AE70-5B7AD23E4B8F}"/>
    <cellStyle name="40 % - Markeringsfarve1 2 7" xfId="31230" xr:uid="{52AA5351-8B5D-41A6-9DC6-BB10427275C4}"/>
    <cellStyle name="40 % - Markeringsfarve1 2 7 2" xfId="31231" xr:uid="{AAD93BCB-1C84-45EF-A87D-D1FE6D8501FD}"/>
    <cellStyle name="40 % - Markeringsfarve1 2 7 3" xfId="31232" xr:uid="{EDF51C58-5C70-4955-AF26-EE1C3E34079F}"/>
    <cellStyle name="40 % - Markeringsfarve1 2 8" xfId="31233" xr:uid="{0640854A-6C7E-45E4-B98A-46C7BAB077B8}"/>
    <cellStyle name="40 % - Markeringsfarve1 2 8 2" xfId="31234" xr:uid="{7C53F166-A09F-45C1-A06D-BF7456BAB9BE}"/>
    <cellStyle name="40 % - Markeringsfarve1 2 8 3" xfId="31235" xr:uid="{233A68E6-FCE2-4EDD-99F3-C5FB971F6165}"/>
    <cellStyle name="40 % - Markeringsfarve1 2 9" xfId="31236" xr:uid="{9CC62FDE-A8D8-43A2-ADB8-BFCF1964F97E}"/>
    <cellStyle name="40 % - Markeringsfarve1 2 9 2" xfId="31237" xr:uid="{F1E66E8B-DD40-4875-B867-033B57E5E2D3}"/>
    <cellStyle name="40 % - Markeringsfarve1 3" xfId="2591" xr:uid="{F1D287DE-09C5-4118-AEA0-C4812786FA53}"/>
    <cellStyle name="40 % - Markeringsfarve1 3 10" xfId="31238" xr:uid="{B727EB35-34BD-4477-ABF8-A43DD0A0D8DA}"/>
    <cellStyle name="40 % - Markeringsfarve1 3 2" xfId="23559" xr:uid="{B2ACC7B2-B4E1-4827-A9D7-0856DC67CD45}"/>
    <cellStyle name="40 % - Markeringsfarve1 3 2 2" xfId="31239" xr:uid="{BBA9956B-77B7-4AB3-A613-0D969248F788}"/>
    <cellStyle name="40 % - Markeringsfarve1 3 2 2 2" xfId="31240" xr:uid="{EAD1D8DF-11AD-44B1-A673-B5FFC8A2374A}"/>
    <cellStyle name="40 % - Markeringsfarve1 3 2 2 3" xfId="31241" xr:uid="{05D2E921-2402-4086-AA1D-788F8E63D470}"/>
    <cellStyle name="40 % - Markeringsfarve1 3 2 3" xfId="31242" xr:uid="{CF29AC69-D944-4FAC-A457-E25C8A08535D}"/>
    <cellStyle name="40 % - Markeringsfarve1 3 2 3 2" xfId="31243" xr:uid="{D468BC0E-B401-45B2-BBB2-3A9BBEFA9122}"/>
    <cellStyle name="40 % - Markeringsfarve1 3 2 3 3" xfId="31244" xr:uid="{67BB5A27-9206-4C10-8A20-E331F3D9D9AE}"/>
    <cellStyle name="40 % - Markeringsfarve1 3 2 4" xfId="31245" xr:uid="{C4C57367-55C4-4928-A6A8-7A666A1B8621}"/>
    <cellStyle name="40 % - Markeringsfarve1 3 2 4 2" xfId="31246" xr:uid="{49DDE76C-9707-4F40-874E-17CA0AED762C}"/>
    <cellStyle name="40 % - Markeringsfarve1 3 2 4 3" xfId="31247" xr:uid="{9E64C787-A7D1-49DE-816E-68BDCD83D08F}"/>
    <cellStyle name="40 % - Markeringsfarve1 3 2 5" xfId="31248" xr:uid="{1814AC1A-ACD8-45E1-859D-FF17AF055854}"/>
    <cellStyle name="40 % - Markeringsfarve1 3 2 5 2" xfId="31249" xr:uid="{64ED8D6A-2EF6-46C5-91AC-11B3B17ED5B6}"/>
    <cellStyle name="40 % - Markeringsfarve1 3 2 5 3" xfId="31250" xr:uid="{F4DDD204-4D9D-47A8-9448-B8F1B5368C35}"/>
    <cellStyle name="40 % - Markeringsfarve1 3 2 6" xfId="31251" xr:uid="{30026527-E287-481F-9A01-030CD92ABD91}"/>
    <cellStyle name="40 % - Markeringsfarve1 3 2 6 2" xfId="31252" xr:uid="{BE43E6CE-6BA3-4012-BFD5-F7A5DE4EBF22}"/>
    <cellStyle name="40 % - Markeringsfarve1 3 2 6 3" xfId="31253" xr:uid="{0B120881-71CE-4603-823F-6075143E470C}"/>
    <cellStyle name="40 % - Markeringsfarve1 3 2 7" xfId="31254" xr:uid="{9B481735-3A88-407C-927A-D83815BB3716}"/>
    <cellStyle name="40 % - Markeringsfarve1 3 2 7 2" xfId="31255" xr:uid="{7E06EDE6-3361-4F5C-9841-5D69AD435D16}"/>
    <cellStyle name="40 % - Markeringsfarve1 3 2 8" xfId="31256" xr:uid="{EAB03D78-BA67-47C4-A3EB-200185ACE509}"/>
    <cellStyle name="40 % - Markeringsfarve1 3 3" xfId="31257" xr:uid="{6672053F-5089-4EE3-8061-49E9DAA73E41}"/>
    <cellStyle name="40 % - Markeringsfarve1 3 3 2" xfId="31258" xr:uid="{A94059A8-E62E-41D8-91C4-54444174CAE9}"/>
    <cellStyle name="40 % - Markeringsfarve1 3 3 2 2" xfId="31259" xr:uid="{A6307EF9-C734-4B8F-89AD-C5E94FF4DB4C}"/>
    <cellStyle name="40 % - Markeringsfarve1 3 3 2 3" xfId="31260" xr:uid="{D4224E4D-670F-4FB1-ACC7-2CDD295B439E}"/>
    <cellStyle name="40 % - Markeringsfarve1 3 3 3" xfId="31261" xr:uid="{4AD39D84-BCD5-400F-AF3E-460F54A636C8}"/>
    <cellStyle name="40 % - Markeringsfarve1 3 3 3 2" xfId="31262" xr:uid="{D2E8AA7F-84E2-4476-A92D-82968D4006E2}"/>
    <cellStyle name="40 % - Markeringsfarve1 3 3 3 3" xfId="31263" xr:uid="{0714A3C3-8C29-4A51-A979-8E64E71ADBF9}"/>
    <cellStyle name="40 % - Markeringsfarve1 3 3 4" xfId="31264" xr:uid="{BB706464-5C6B-42EC-9E44-1AC0D38E1D06}"/>
    <cellStyle name="40 % - Markeringsfarve1 3 3 4 2" xfId="31265" xr:uid="{0E59D3C9-169C-4EF4-A4A8-8AB165D9B509}"/>
    <cellStyle name="40 % - Markeringsfarve1 3 3 4 3" xfId="31266" xr:uid="{D09D64D3-AC09-4709-9409-6D66292AA0DA}"/>
    <cellStyle name="40 % - Markeringsfarve1 3 3 5" xfId="31267" xr:uid="{0D5FEC0E-3614-4970-9D09-8958802B3202}"/>
    <cellStyle name="40 % - Markeringsfarve1 3 3 5 2" xfId="31268" xr:uid="{A9611006-5746-46E9-A8FE-D22B09B46E7F}"/>
    <cellStyle name="40 % - Markeringsfarve1 3 3 5 3" xfId="31269" xr:uid="{C7221DD8-C567-45F2-B1BF-D352A6DEE1C1}"/>
    <cellStyle name="40 % - Markeringsfarve1 3 3 6" xfId="31270" xr:uid="{953DC9E1-C23B-4359-95D1-D752FFC35DC4}"/>
    <cellStyle name="40 % - Markeringsfarve1 3 3 6 2" xfId="31271" xr:uid="{72E755FA-195B-4A9A-BA1F-24E3C134561F}"/>
    <cellStyle name="40 % - Markeringsfarve1 3 3 6 3" xfId="31272" xr:uid="{DA5394D4-C76D-448F-97B5-716C95237374}"/>
    <cellStyle name="40 % - Markeringsfarve1 3 3 7" xfId="31273" xr:uid="{8C2418A0-92FD-4580-AD6B-8F32F22BDDBA}"/>
    <cellStyle name="40 % - Markeringsfarve1 3 3 7 2" xfId="31274" xr:uid="{D6142766-3810-4C52-898D-A39D94544C63}"/>
    <cellStyle name="40 % - Markeringsfarve1 3 3 8" xfId="31275" xr:uid="{344565BC-76D6-46CD-B4D5-F3A3F5B3816E}"/>
    <cellStyle name="40 % - Markeringsfarve1 3 4" xfId="31276" xr:uid="{3BB28A5C-94F3-4CA6-B4E0-183A0E3A0BF8}"/>
    <cellStyle name="40 % - Markeringsfarve1 3 4 2" xfId="31277" xr:uid="{07449BEC-2FB9-4D49-8FB1-89BEC9F7B1EE}"/>
    <cellStyle name="40 % - Markeringsfarve1 3 4 3" xfId="31278" xr:uid="{6D3A8D18-6548-4428-9C77-93C29DC1938D}"/>
    <cellStyle name="40 % - Markeringsfarve1 3 5" xfId="31279" xr:uid="{D0F92088-74BF-41F0-9636-0216E82F12A2}"/>
    <cellStyle name="40 % - Markeringsfarve1 3 5 2" xfId="31280" xr:uid="{E3BCB28B-F0BC-42A9-A4ED-8FC53E91B45E}"/>
    <cellStyle name="40 % - Markeringsfarve1 3 5 3" xfId="31281" xr:uid="{39991177-3F3F-4AED-9A5B-C6BB322929EB}"/>
    <cellStyle name="40 % - Markeringsfarve1 3 6" xfId="31282" xr:uid="{BA48508B-D940-45BC-8D34-AA20226F527C}"/>
    <cellStyle name="40 % - Markeringsfarve1 3 6 2" xfId="31283" xr:uid="{1E718622-2523-4D0A-990C-F0323700F783}"/>
    <cellStyle name="40 % - Markeringsfarve1 3 6 3" xfId="31284" xr:uid="{BF29723F-11D5-467B-B532-B64A63A9EBFA}"/>
    <cellStyle name="40 % - Markeringsfarve1 3 7" xfId="31285" xr:uid="{0D684484-53A4-4398-98D1-62CF7D4E8C14}"/>
    <cellStyle name="40 % - Markeringsfarve1 3 7 2" xfId="31286" xr:uid="{26680639-6D96-411C-9D1B-73ACA82B3AF2}"/>
    <cellStyle name="40 % - Markeringsfarve1 3 7 3" xfId="31287" xr:uid="{307C0BB8-C7D2-4A05-BACE-0A5C435CAB23}"/>
    <cellStyle name="40 % - Markeringsfarve1 3 8" xfId="31288" xr:uid="{457AB07D-B00F-40CA-B41C-23FE7CD8F632}"/>
    <cellStyle name="40 % - Markeringsfarve1 3 8 2" xfId="31289" xr:uid="{3E9380CA-6F30-429A-B5E8-414055392C26}"/>
    <cellStyle name="40 % - Markeringsfarve1 3 8 3" xfId="31290" xr:uid="{71F6C1A4-7273-489E-8A47-4104D8488DD8}"/>
    <cellStyle name="40 % - Markeringsfarve1 3 9" xfId="31291" xr:uid="{2CE17BFD-7CEA-42E3-8AF6-169BD3C9E550}"/>
    <cellStyle name="40 % - Markeringsfarve1 3 9 2" xfId="31292" xr:uid="{6C926A71-AAEA-473D-B693-704D60A328B9}"/>
    <cellStyle name="40 % - Markeringsfarve1 4" xfId="23560" xr:uid="{2173E19B-936C-4058-A3F1-4A40AC489D86}"/>
    <cellStyle name="40 % - Markeringsfarve1 4 2" xfId="23561" xr:uid="{89C9F172-8089-46C9-8BE6-33A518089120}"/>
    <cellStyle name="40 % - Markeringsfarve1 4 2 2" xfId="31293" xr:uid="{42910B5C-C7A1-472F-B12D-EA921B7FB29E}"/>
    <cellStyle name="40 % - Markeringsfarve1 4 2 3" xfId="31294" xr:uid="{9E4916C4-20DC-44C4-869A-71623B0DA798}"/>
    <cellStyle name="40 % - Markeringsfarve1 4 3" xfId="31295" xr:uid="{2EFAC741-4077-479F-B52C-4977C9A57FE2}"/>
    <cellStyle name="40 % - Markeringsfarve1 4 3 2" xfId="31296" xr:uid="{5D6545F1-E8A1-40B6-8991-A7296A837FAD}"/>
    <cellStyle name="40 % - Markeringsfarve1 4 3 3" xfId="31297" xr:uid="{4B7FE20C-9A3F-4169-BD44-F0DFD0BB619A}"/>
    <cellStyle name="40 % - Markeringsfarve1 4 4" xfId="31298" xr:uid="{250298AB-6898-48D3-B898-8A3FF06BF2F4}"/>
    <cellStyle name="40 % - Markeringsfarve1 4 4 2" xfId="31299" xr:uid="{2AAFABC3-1BC6-4695-AE38-A908FF4121A1}"/>
    <cellStyle name="40 % - Markeringsfarve1 4 4 3" xfId="31300" xr:uid="{D79815C3-A96A-4AD8-9D63-B978FEF5E506}"/>
    <cellStyle name="40 % - Markeringsfarve1 4 5" xfId="31301" xr:uid="{D1D0386A-5321-416E-831B-1BC8CE945AFA}"/>
    <cellStyle name="40 % - Markeringsfarve1 4 5 2" xfId="31302" xr:uid="{89E6D132-3A17-4D34-9FEE-5B7D33C38B5C}"/>
    <cellStyle name="40 % - Markeringsfarve1 4 5 3" xfId="31303" xr:uid="{6AC1557C-95C6-40FA-9CDE-2BBCEC188322}"/>
    <cellStyle name="40 % - Markeringsfarve1 4 6" xfId="31304" xr:uid="{D067BF8F-2CA2-4851-AB72-D6802FAF17F0}"/>
    <cellStyle name="40 % - Markeringsfarve1 4 6 2" xfId="31305" xr:uid="{8197B634-905E-4E42-A89C-18ADE104E70A}"/>
    <cellStyle name="40 % - Markeringsfarve1 4 6 3" xfId="31306" xr:uid="{412C7245-8CF6-43DC-B176-FE9C4A18FF1C}"/>
    <cellStyle name="40 % - Markeringsfarve1 4 7" xfId="31307" xr:uid="{6840B232-535A-4F1E-A24C-972D7D5F04AD}"/>
    <cellStyle name="40 % - Markeringsfarve1 4 7 2" xfId="31308" xr:uid="{25953460-81A5-4E99-8BF6-ABF77833F6F0}"/>
    <cellStyle name="40 % - Markeringsfarve1 4 8" xfId="31309" xr:uid="{44B620ED-E94F-4A7E-90FC-642853FF1CA3}"/>
    <cellStyle name="40 % - Markeringsfarve1 5" xfId="23562" xr:uid="{10B2D19E-ABA2-4906-AB51-A4D5A23918A6}"/>
    <cellStyle name="40 % - Markeringsfarve1 5 2" xfId="23563" xr:uid="{C8996C41-2251-4F82-AA2D-154FA5CE5A41}"/>
    <cellStyle name="40 % - Markeringsfarve1 5 2 2" xfId="31310" xr:uid="{6D3E5041-15D8-4B77-B954-087C768A9A0E}"/>
    <cellStyle name="40 % - Markeringsfarve1 5 2 3" xfId="31311" xr:uid="{DD2EF52C-8D13-4C05-884D-2016336AAC2D}"/>
    <cellStyle name="40 % - Markeringsfarve1 5 3" xfId="31312" xr:uid="{16589480-32EB-47F9-AF75-643747B63180}"/>
    <cellStyle name="40 % - Markeringsfarve1 5 3 2" xfId="31313" xr:uid="{E2EA57D7-1926-4787-9D58-3C6BF055CFD6}"/>
    <cellStyle name="40 % - Markeringsfarve1 5 3 3" xfId="31314" xr:uid="{4E32FF56-4082-4951-8749-6EDF26CBAF36}"/>
    <cellStyle name="40 % - Markeringsfarve1 5 4" xfId="31315" xr:uid="{6B006EF8-C8FD-4EB8-A898-A9EEDEE1FACA}"/>
    <cellStyle name="40 % - Markeringsfarve1 5 4 2" xfId="31316" xr:uid="{A6F591C2-8474-4AB5-8855-13D832D7CF40}"/>
    <cellStyle name="40 % - Markeringsfarve1 5 4 3" xfId="31317" xr:uid="{4A830092-BCC9-4DD7-9FB8-78DA12F7DC67}"/>
    <cellStyle name="40 % - Markeringsfarve1 5 5" xfId="31318" xr:uid="{F60F8A7B-B0D5-4F4D-AC1D-0D698A1EFAD2}"/>
    <cellStyle name="40 % - Markeringsfarve1 5 5 2" xfId="31319" xr:uid="{8C9DC8D5-0F7B-4EF2-8BEC-F8E8A527B104}"/>
    <cellStyle name="40 % - Markeringsfarve1 5 5 3" xfId="31320" xr:uid="{F2F252D3-4B48-49B0-B8E0-B05D47AC887D}"/>
    <cellStyle name="40 % - Markeringsfarve1 5 6" xfId="31321" xr:uid="{4126B669-CF82-43EF-BC0B-5E9A3C0A96D1}"/>
    <cellStyle name="40 % - Markeringsfarve1 5 6 2" xfId="31322" xr:uid="{DB19BDDC-5556-4A1D-8B49-6E60F12AABF3}"/>
    <cellStyle name="40 % - Markeringsfarve1 5 6 3" xfId="31323" xr:uid="{61FE6E7B-CF5B-4608-9040-51DE3A657E2A}"/>
    <cellStyle name="40 % - Markeringsfarve1 5 7" xfId="31324" xr:uid="{967A44FB-ED1F-4B65-8335-FEB18A362C68}"/>
    <cellStyle name="40 % - Markeringsfarve1 5 7 2" xfId="31325" xr:uid="{0BCB15D6-BC4B-4FC2-9B78-439806B15E50}"/>
    <cellStyle name="40 % - Markeringsfarve1 5 8" xfId="31326" xr:uid="{81965027-3EFC-42FB-BF8C-E3526F45D43B}"/>
    <cellStyle name="40 % - Markeringsfarve1 6" xfId="23564" xr:uid="{6D2ABF1F-5552-4478-AF0B-C3C124E58037}"/>
    <cellStyle name="40 % - Markeringsfarve1 6 2" xfId="23565" xr:uid="{E332AB53-1BB4-4059-99D7-532A2EFA1B30}"/>
    <cellStyle name="40 % - Markeringsfarve1 6 3" xfId="31327" xr:uid="{E1C4E005-3706-47A9-B8C5-8BBA0E4BA836}"/>
    <cellStyle name="40 % - Markeringsfarve1 7" xfId="23566" xr:uid="{F2178E5E-2FB9-446E-86B1-D6AFB055BEC2}"/>
    <cellStyle name="40 % - Markeringsfarve1 7 2" xfId="31328" xr:uid="{3892E2F9-BAB3-4D91-A73D-69D876C44BD3}"/>
    <cellStyle name="40 % - Markeringsfarve1 7 3" xfId="31329" xr:uid="{E12BC252-3EEC-4764-8744-49DF5ACCC37D}"/>
    <cellStyle name="40 % - Markeringsfarve1 8" xfId="31330" xr:uid="{E504C238-99E3-4412-B844-E261887C185E}"/>
    <cellStyle name="40 % - Markeringsfarve1 8 2" xfId="31331" xr:uid="{4F5D58E5-C50A-4933-B06C-5F2499E3036B}"/>
    <cellStyle name="40 % - Markeringsfarve1 8 3" xfId="31332" xr:uid="{C6C73769-DCB4-49FB-9C9B-1F3629464FBF}"/>
    <cellStyle name="40 % - Markeringsfarve1 9" xfId="31333" xr:uid="{F8F74EBA-2374-46DA-BA9D-0A6C7EEB0791}"/>
    <cellStyle name="40 % - Markeringsfarve1 9 2" xfId="31334" xr:uid="{6DDBBB6F-EDC6-46E8-B3EA-4FDF387E5267}"/>
    <cellStyle name="40 % - Markeringsfarve1 9 3" xfId="31335" xr:uid="{8BC0FD0C-6762-4CA1-A7C4-102E1E313817}"/>
    <cellStyle name="40 % - Markeringsfarve2" xfId="1273" xr:uid="{00000000-0005-0000-0000-00001A000000}"/>
    <cellStyle name="40 % - Markeringsfarve2 10" xfId="31336" xr:uid="{4DED7AFA-D610-48AF-B07F-7915EE190ABE}"/>
    <cellStyle name="40 % - Markeringsfarve2 10 2" xfId="31337" xr:uid="{660B71C8-2EB9-4C8A-A928-B9298EBD3E67}"/>
    <cellStyle name="40 % - Markeringsfarve2 10 3" xfId="31338" xr:uid="{929CC669-C37D-4FC0-82D3-ED9CF9BD3FD2}"/>
    <cellStyle name="40 % - Markeringsfarve2 11" xfId="31339" xr:uid="{D565961F-FED2-41C5-BC77-0DC9C4291056}"/>
    <cellStyle name="40 % - Markeringsfarve2 11 2" xfId="31340" xr:uid="{5BE68803-2E45-4501-BBD3-DCEE9D03B6A4}"/>
    <cellStyle name="40 % - Markeringsfarve2 12" xfId="31341" xr:uid="{CBCA8456-989C-4681-BBC8-B50702BD7E0C}"/>
    <cellStyle name="40 % - Markeringsfarve2 13" xfId="17731" xr:uid="{8D5B3B87-2FD9-456A-B8CB-1848FC2472D4}"/>
    <cellStyle name="40 % - Markeringsfarve2 2" xfId="1274" xr:uid="{00000000-0005-0000-0000-00001B000000}"/>
    <cellStyle name="40 % - Markeringsfarve2 2 10" xfId="31342" xr:uid="{68FFC557-93E8-4FBA-98F0-A5FF913ECAC4}"/>
    <cellStyle name="40 % - Markeringsfarve2 2 11" xfId="17732" xr:uid="{D164C4B4-34CE-4B5C-B75E-474948711B14}"/>
    <cellStyle name="40 % - Markeringsfarve2 2 2" xfId="23567" xr:uid="{42C07D6F-176B-4AA7-9F79-89AE33BD6E81}"/>
    <cellStyle name="40 % - Markeringsfarve2 2 2 2" xfId="23568" xr:uid="{18441E0D-CD22-488D-B807-31D582BC193C}"/>
    <cellStyle name="40 % - Markeringsfarve2 2 2 2 2" xfId="31343" xr:uid="{2F040F8A-9E8B-4AC3-A366-DBB7939AC070}"/>
    <cellStyle name="40 % - Markeringsfarve2 2 2 2 3" xfId="31344" xr:uid="{F950EAA8-B8C1-4331-9483-8B73068A8EDC}"/>
    <cellStyle name="40 % - Markeringsfarve2 2 2 3" xfId="31345" xr:uid="{1F473F59-0BBD-4CAF-A69D-1EAA8BC37161}"/>
    <cellStyle name="40 % - Markeringsfarve2 2 2 3 2" xfId="31346" xr:uid="{D49152F8-CB8C-4104-A8D4-75125E87071C}"/>
    <cellStyle name="40 % - Markeringsfarve2 2 2 3 3" xfId="31347" xr:uid="{954B7B35-6C8C-41AC-B259-CB0CA6C0368C}"/>
    <cellStyle name="40 % - Markeringsfarve2 2 2 4" xfId="31348" xr:uid="{93262038-B52D-40E2-BC3B-315EDC75CC21}"/>
    <cellStyle name="40 % - Markeringsfarve2 2 2 4 2" xfId="31349" xr:uid="{C2415E53-2383-43FC-878C-1301436D2521}"/>
    <cellStyle name="40 % - Markeringsfarve2 2 2 4 3" xfId="31350" xr:uid="{C5B01F66-9577-413C-A6C6-11E602C144D1}"/>
    <cellStyle name="40 % - Markeringsfarve2 2 2 5" xfId="31351" xr:uid="{B2CC60B6-8A35-447B-9735-4D4BDEC6661A}"/>
    <cellStyle name="40 % - Markeringsfarve2 2 2 5 2" xfId="31352" xr:uid="{DF1496C1-266B-4749-B18F-A1C0FBD17DAA}"/>
    <cellStyle name="40 % - Markeringsfarve2 2 2 5 3" xfId="31353" xr:uid="{D03EDE31-5943-42D8-9162-7FE0C9062C57}"/>
    <cellStyle name="40 % - Markeringsfarve2 2 2 6" xfId="31354" xr:uid="{3093355E-2A01-442C-8AC9-F29C45CDDC52}"/>
    <cellStyle name="40 % - Markeringsfarve2 2 2 6 2" xfId="31355" xr:uid="{251CEE27-B703-4584-9A84-B189A912C2B7}"/>
    <cellStyle name="40 % - Markeringsfarve2 2 2 6 3" xfId="31356" xr:uid="{297EFF1A-59C9-4511-9754-F45A7F42616C}"/>
    <cellStyle name="40 % - Markeringsfarve2 2 2 7" xfId="31357" xr:uid="{23EEFBFE-F7F8-4657-8EA5-7CC9F6601B5E}"/>
    <cellStyle name="40 % - Markeringsfarve2 2 2 7 2" xfId="31358" xr:uid="{6B6C595B-39EE-4808-8296-7C00E9A5893C}"/>
    <cellStyle name="40 % - Markeringsfarve2 2 2 8" xfId="31359" xr:uid="{618A1C44-AD82-46FD-8DCF-0E0D50EE8028}"/>
    <cellStyle name="40 % - Markeringsfarve2 2 3" xfId="23569" xr:uid="{A55D2A89-42FD-4E68-8A77-A826AAFB5EF8}"/>
    <cellStyle name="40 % - Markeringsfarve2 2 3 2" xfId="23570" xr:uid="{C4E57587-7917-48D8-8A99-206C3C91B467}"/>
    <cellStyle name="40 % - Markeringsfarve2 2 3 2 2" xfId="31360" xr:uid="{74BE3748-EA8E-4F5A-9FBC-85AAFC7EE9EF}"/>
    <cellStyle name="40 % - Markeringsfarve2 2 3 2 3" xfId="31361" xr:uid="{0B6446D0-7D77-4F5A-A824-36E6CDA2D181}"/>
    <cellStyle name="40 % - Markeringsfarve2 2 3 3" xfId="31362" xr:uid="{9FA2119E-9943-4DE6-8B5D-3D5C157DA9BE}"/>
    <cellStyle name="40 % - Markeringsfarve2 2 3 3 2" xfId="31363" xr:uid="{A598CE34-E017-483C-A275-520430C7CDC1}"/>
    <cellStyle name="40 % - Markeringsfarve2 2 3 3 3" xfId="31364" xr:uid="{2428A835-5B3A-487B-9940-FA21B9D504A8}"/>
    <cellStyle name="40 % - Markeringsfarve2 2 3 4" xfId="31365" xr:uid="{FB23E754-A7F6-4D2C-9870-A931F50DC6FB}"/>
    <cellStyle name="40 % - Markeringsfarve2 2 3 4 2" xfId="31366" xr:uid="{FAE1577E-009E-40B0-A2F3-7BB6A8E562D9}"/>
    <cellStyle name="40 % - Markeringsfarve2 2 3 4 3" xfId="31367" xr:uid="{C3F64F9C-9411-4D2E-9229-EBEA06FE9AAA}"/>
    <cellStyle name="40 % - Markeringsfarve2 2 3 5" xfId="31368" xr:uid="{A770E128-FACE-4CA9-90DD-5147D89F682A}"/>
    <cellStyle name="40 % - Markeringsfarve2 2 3 5 2" xfId="31369" xr:uid="{77B1A02D-4997-45C9-B225-66A89DF74B73}"/>
    <cellStyle name="40 % - Markeringsfarve2 2 3 5 3" xfId="31370" xr:uid="{3176ECA7-31FB-4A8A-954C-2A27BD53F717}"/>
    <cellStyle name="40 % - Markeringsfarve2 2 3 6" xfId="31371" xr:uid="{75CD085E-DDC2-4D1D-A407-8F5349F084AA}"/>
    <cellStyle name="40 % - Markeringsfarve2 2 3 6 2" xfId="31372" xr:uid="{A72DFB5D-9C36-4CCA-B6FA-154A7D27EF02}"/>
    <cellStyle name="40 % - Markeringsfarve2 2 3 6 3" xfId="31373" xr:uid="{466113D1-A546-463B-8A7A-9351E891B498}"/>
    <cellStyle name="40 % - Markeringsfarve2 2 3 7" xfId="31374" xr:uid="{7B329BB0-D781-4E43-A322-80CDBA14B4A0}"/>
    <cellStyle name="40 % - Markeringsfarve2 2 3 7 2" xfId="31375" xr:uid="{33C3779A-6E9D-4937-8DBB-A44125A9AB5D}"/>
    <cellStyle name="40 % - Markeringsfarve2 2 3 8" xfId="31376" xr:uid="{2BCA0647-EB7C-4F67-A646-00B6B62B5625}"/>
    <cellStyle name="40 % - Markeringsfarve2 2 4" xfId="23571" xr:uid="{5400E6FA-F143-4D3B-900A-E2574859712A}"/>
    <cellStyle name="40 % - Markeringsfarve2 2 4 2" xfId="31377" xr:uid="{FEDBCE1C-EFCE-4500-A551-4D1D4698B78B}"/>
    <cellStyle name="40 % - Markeringsfarve2 2 4 3" xfId="31378" xr:uid="{BA76E42A-79EE-4127-B279-696B63222179}"/>
    <cellStyle name="40 % - Markeringsfarve2 2 5" xfId="31379" xr:uid="{B8D8BE9A-4250-4AF4-B797-C3E3685D0AEB}"/>
    <cellStyle name="40 % - Markeringsfarve2 2 5 2" xfId="31380" xr:uid="{3AE0B5D4-141A-4C57-9A07-59A065B47F66}"/>
    <cellStyle name="40 % - Markeringsfarve2 2 5 3" xfId="31381" xr:uid="{9492A1B9-D5B6-418A-A2DB-733B9C665684}"/>
    <cellStyle name="40 % - Markeringsfarve2 2 6" xfId="31382" xr:uid="{6265EE46-8E2B-4A4F-940B-1EC5CBAE3AB8}"/>
    <cellStyle name="40 % - Markeringsfarve2 2 6 2" xfId="31383" xr:uid="{BB5F4EE9-5ED8-4F66-B7E2-F8EA32F50D7D}"/>
    <cellStyle name="40 % - Markeringsfarve2 2 6 3" xfId="31384" xr:uid="{DD979DDE-E194-462D-A729-1DF8840AA6C9}"/>
    <cellStyle name="40 % - Markeringsfarve2 2 7" xfId="31385" xr:uid="{96E3CB3C-368D-4AA6-B1FD-998ED57602CE}"/>
    <cellStyle name="40 % - Markeringsfarve2 2 7 2" xfId="31386" xr:uid="{7ECAF6AF-C72A-4210-88FE-C9874B4CE1EA}"/>
    <cellStyle name="40 % - Markeringsfarve2 2 7 3" xfId="31387" xr:uid="{FCDED0CE-4AB3-466A-A8D3-76E7DED83C0C}"/>
    <cellStyle name="40 % - Markeringsfarve2 2 8" xfId="31388" xr:uid="{23846CD6-C602-41A8-96B8-BC6A4BE8A755}"/>
    <cellStyle name="40 % - Markeringsfarve2 2 8 2" xfId="31389" xr:uid="{2F4892ED-7880-459B-A43C-BDF3229D46E9}"/>
    <cellStyle name="40 % - Markeringsfarve2 2 8 3" xfId="31390" xr:uid="{E15603DB-FFD0-45C8-B7F1-61F1E80BF12D}"/>
    <cellStyle name="40 % - Markeringsfarve2 2 9" xfId="31391" xr:uid="{C9F07979-5900-47D8-A48C-72C3F872261E}"/>
    <cellStyle name="40 % - Markeringsfarve2 2 9 2" xfId="31392" xr:uid="{94D3F74D-CED6-42FC-88D3-4A2D731CDA1D}"/>
    <cellStyle name="40 % - Markeringsfarve2 3" xfId="2592" xr:uid="{CB06E381-6186-464D-BFF6-591602C798FB}"/>
    <cellStyle name="40 % - Markeringsfarve2 3 10" xfId="31393" xr:uid="{FE3CD0EC-D6FC-4FE1-B9B8-23CA475D7D3D}"/>
    <cellStyle name="40 % - Markeringsfarve2 3 2" xfId="23572" xr:uid="{C2C132AD-65E3-4866-A098-82B2784DFF2D}"/>
    <cellStyle name="40 % - Markeringsfarve2 3 2 2" xfId="31394" xr:uid="{10FDFF0B-73F9-4647-AA46-D732E2C4FCA5}"/>
    <cellStyle name="40 % - Markeringsfarve2 3 2 2 2" xfId="31395" xr:uid="{D0C6BFFA-0C0A-40E4-95E8-8016F6CBC81A}"/>
    <cellStyle name="40 % - Markeringsfarve2 3 2 2 3" xfId="31396" xr:uid="{CFFA175D-760B-4036-8154-70A2109545C5}"/>
    <cellStyle name="40 % - Markeringsfarve2 3 2 3" xfId="31397" xr:uid="{F2A89D4A-F17E-4797-858C-DEB2223AF287}"/>
    <cellStyle name="40 % - Markeringsfarve2 3 2 3 2" xfId="31398" xr:uid="{A00106EE-18E7-4AFF-BA9C-9BDBFD55E6D7}"/>
    <cellStyle name="40 % - Markeringsfarve2 3 2 3 3" xfId="31399" xr:uid="{7C02A6E7-69E7-437E-BA3C-043CDC5B4036}"/>
    <cellStyle name="40 % - Markeringsfarve2 3 2 4" xfId="31400" xr:uid="{95E8D49A-1D33-4F26-9D74-5180D9BB8034}"/>
    <cellStyle name="40 % - Markeringsfarve2 3 2 4 2" xfId="31401" xr:uid="{C4E386C0-9FA9-4CC1-9980-8DE0F897E72A}"/>
    <cellStyle name="40 % - Markeringsfarve2 3 2 4 3" xfId="31402" xr:uid="{41247D88-C644-4863-8431-084A694CDDB4}"/>
    <cellStyle name="40 % - Markeringsfarve2 3 2 5" xfId="31403" xr:uid="{A715E420-91DE-4EB7-B8A0-050302DB3FCB}"/>
    <cellStyle name="40 % - Markeringsfarve2 3 2 5 2" xfId="31404" xr:uid="{69A23B63-14C9-440A-AC1C-473D3CC30B43}"/>
    <cellStyle name="40 % - Markeringsfarve2 3 2 5 3" xfId="31405" xr:uid="{00BDF2C8-FB80-4754-9D3B-8FFD98B9A205}"/>
    <cellStyle name="40 % - Markeringsfarve2 3 2 6" xfId="31406" xr:uid="{ED9C6843-2272-4B24-A615-E4CF8A9D2677}"/>
    <cellStyle name="40 % - Markeringsfarve2 3 2 6 2" xfId="31407" xr:uid="{5F007FBD-0153-4E81-92DB-4A96713A257A}"/>
    <cellStyle name="40 % - Markeringsfarve2 3 2 6 3" xfId="31408" xr:uid="{8DAA9B7B-B63D-4A20-9F7D-79E246D1D4BC}"/>
    <cellStyle name="40 % - Markeringsfarve2 3 2 7" xfId="31409" xr:uid="{DDFC3ADA-1565-42B9-AF08-C3F07F9F8D19}"/>
    <cellStyle name="40 % - Markeringsfarve2 3 2 7 2" xfId="31410" xr:uid="{6A8917E8-BEF9-49BB-B42E-4CD71D74AC21}"/>
    <cellStyle name="40 % - Markeringsfarve2 3 2 8" xfId="31411" xr:uid="{6FC6C96D-0C5E-4A3D-BC4F-5FB211A85D80}"/>
    <cellStyle name="40 % - Markeringsfarve2 3 3" xfId="31412" xr:uid="{30D59D08-355E-4679-80F6-998724A6AB39}"/>
    <cellStyle name="40 % - Markeringsfarve2 3 3 2" xfId="31413" xr:uid="{D98F6708-7D7D-4337-A7D0-F5B66E440683}"/>
    <cellStyle name="40 % - Markeringsfarve2 3 3 2 2" xfId="31414" xr:uid="{EC314F44-B9E3-4023-B6CC-32AE9309EDA4}"/>
    <cellStyle name="40 % - Markeringsfarve2 3 3 2 3" xfId="31415" xr:uid="{86D39835-353D-41ED-821A-3DCE4785951D}"/>
    <cellStyle name="40 % - Markeringsfarve2 3 3 3" xfId="31416" xr:uid="{5FB52202-9A21-4BA8-B171-C9FF21327DE8}"/>
    <cellStyle name="40 % - Markeringsfarve2 3 3 3 2" xfId="31417" xr:uid="{F299B295-E993-425B-84A1-F8534DD80B01}"/>
    <cellStyle name="40 % - Markeringsfarve2 3 3 3 3" xfId="31418" xr:uid="{B762BDCC-C8E8-423D-8B04-D32126920AE0}"/>
    <cellStyle name="40 % - Markeringsfarve2 3 3 4" xfId="31419" xr:uid="{3BC3A8F8-0E51-4784-89A8-EE4251869DBF}"/>
    <cellStyle name="40 % - Markeringsfarve2 3 3 4 2" xfId="31420" xr:uid="{8993577E-DF96-4639-AA46-A03974614A67}"/>
    <cellStyle name="40 % - Markeringsfarve2 3 3 4 3" xfId="31421" xr:uid="{E37A9F83-7341-4FCB-ADC7-55CB5970845C}"/>
    <cellStyle name="40 % - Markeringsfarve2 3 3 5" xfId="31422" xr:uid="{37DB1229-7F77-457B-82EF-4065C9ECA3ED}"/>
    <cellStyle name="40 % - Markeringsfarve2 3 3 5 2" xfId="31423" xr:uid="{1BB06576-AD3A-4560-9325-3112FE54FE86}"/>
    <cellStyle name="40 % - Markeringsfarve2 3 3 5 3" xfId="31424" xr:uid="{968B6649-DDCC-47D2-B38E-1C34DD1382BA}"/>
    <cellStyle name="40 % - Markeringsfarve2 3 3 6" xfId="31425" xr:uid="{45514989-6FF1-452F-9141-C8F409BAB7A9}"/>
    <cellStyle name="40 % - Markeringsfarve2 3 3 6 2" xfId="31426" xr:uid="{0B1700D4-373A-4601-931F-218B296FB69A}"/>
    <cellStyle name="40 % - Markeringsfarve2 3 3 6 3" xfId="31427" xr:uid="{57A45972-C9E0-4C95-B2AC-BA3CD388893B}"/>
    <cellStyle name="40 % - Markeringsfarve2 3 3 7" xfId="31428" xr:uid="{92430AB1-E65A-4D7E-973B-4DA3D76C7EC9}"/>
    <cellStyle name="40 % - Markeringsfarve2 3 3 7 2" xfId="31429" xr:uid="{15FD15F3-43DE-475E-B426-05A494D274F7}"/>
    <cellStyle name="40 % - Markeringsfarve2 3 3 8" xfId="31430" xr:uid="{85ECB636-0A80-418C-B40C-9E9B57ACFADE}"/>
    <cellStyle name="40 % - Markeringsfarve2 3 4" xfId="31431" xr:uid="{F6992595-A117-456A-83C5-4C8032B0795B}"/>
    <cellStyle name="40 % - Markeringsfarve2 3 4 2" xfId="31432" xr:uid="{B9D28ED5-41C3-4182-A953-E5F840ADACC3}"/>
    <cellStyle name="40 % - Markeringsfarve2 3 4 3" xfId="31433" xr:uid="{8295AD96-DF38-413E-B0EB-E122D97E5DE9}"/>
    <cellStyle name="40 % - Markeringsfarve2 3 5" xfId="31434" xr:uid="{4543D5FD-3551-4BDF-A694-1AD3CD18CD68}"/>
    <cellStyle name="40 % - Markeringsfarve2 3 5 2" xfId="31435" xr:uid="{BA90D456-E160-4244-A644-F63F8A9EE4BC}"/>
    <cellStyle name="40 % - Markeringsfarve2 3 5 3" xfId="31436" xr:uid="{352BD718-8748-451E-8303-B4B2B87FF303}"/>
    <cellStyle name="40 % - Markeringsfarve2 3 6" xfId="31437" xr:uid="{1AAFBC35-96BA-455B-AD4A-87EA7055DFE6}"/>
    <cellStyle name="40 % - Markeringsfarve2 3 6 2" xfId="31438" xr:uid="{D975F4F7-8EC5-4412-BA8D-2868E87574FD}"/>
    <cellStyle name="40 % - Markeringsfarve2 3 6 3" xfId="31439" xr:uid="{7D8B96E4-1AED-477D-A0BD-17D83BE9B1BC}"/>
    <cellStyle name="40 % - Markeringsfarve2 3 7" xfId="31440" xr:uid="{86D25207-4E9A-47AD-870F-2DC0818CD34C}"/>
    <cellStyle name="40 % - Markeringsfarve2 3 7 2" xfId="31441" xr:uid="{3E186B0B-536B-4957-AC78-0A31BC8400CE}"/>
    <cellStyle name="40 % - Markeringsfarve2 3 7 3" xfId="31442" xr:uid="{F8CAD827-DE00-4537-999E-229F4A1230B2}"/>
    <cellStyle name="40 % - Markeringsfarve2 3 8" xfId="31443" xr:uid="{671B1406-802C-4B29-A3CF-1D5A9A0A4C08}"/>
    <cellStyle name="40 % - Markeringsfarve2 3 8 2" xfId="31444" xr:uid="{521CB500-5967-4279-A134-C0271D5C9C3B}"/>
    <cellStyle name="40 % - Markeringsfarve2 3 8 3" xfId="31445" xr:uid="{83EC2FAD-A8C6-4433-B045-E5E1CF419F30}"/>
    <cellStyle name="40 % - Markeringsfarve2 3 9" xfId="31446" xr:uid="{E138ACF7-BA09-49AC-8298-6FB7A34DDD77}"/>
    <cellStyle name="40 % - Markeringsfarve2 3 9 2" xfId="31447" xr:uid="{86516FD3-15D8-452E-A2BB-8273B7649F2A}"/>
    <cellStyle name="40 % - Markeringsfarve2 4" xfId="23573" xr:uid="{26BA2AF4-A904-45A4-88AF-EE8BE3CF73D4}"/>
    <cellStyle name="40 % - Markeringsfarve2 4 2" xfId="23574" xr:uid="{F0CE72D3-1ACB-4CB0-9241-1AE77281C159}"/>
    <cellStyle name="40 % - Markeringsfarve2 4 2 2" xfId="31448" xr:uid="{140FA812-87FB-4CB8-A5B4-F00A4B9F331D}"/>
    <cellStyle name="40 % - Markeringsfarve2 4 2 3" xfId="31449" xr:uid="{D76451CF-05A8-42E3-A34B-5436FB10EF13}"/>
    <cellStyle name="40 % - Markeringsfarve2 4 3" xfId="31450" xr:uid="{D82570FA-85D8-4717-8729-5A7D69C1584E}"/>
    <cellStyle name="40 % - Markeringsfarve2 4 3 2" xfId="31451" xr:uid="{47BB702C-16D1-4BB0-8232-E76E1541B764}"/>
    <cellStyle name="40 % - Markeringsfarve2 4 3 3" xfId="31452" xr:uid="{6C34C8DD-543F-4D14-AFC6-E99909562559}"/>
    <cellStyle name="40 % - Markeringsfarve2 4 4" xfId="31453" xr:uid="{342F5549-2166-49CD-AA02-639238033379}"/>
    <cellStyle name="40 % - Markeringsfarve2 4 4 2" xfId="31454" xr:uid="{3E2CA7FD-8F61-4172-B83A-2F5FAD675585}"/>
    <cellStyle name="40 % - Markeringsfarve2 4 4 3" xfId="31455" xr:uid="{8DFEC899-6D05-4D37-91A9-AC4FA9645179}"/>
    <cellStyle name="40 % - Markeringsfarve2 4 5" xfId="31456" xr:uid="{0B6D28A4-01CC-4513-85AF-1CE71CCF332E}"/>
    <cellStyle name="40 % - Markeringsfarve2 4 5 2" xfId="31457" xr:uid="{AC3E73CD-DDBF-40BF-A340-6B0163E0D1C4}"/>
    <cellStyle name="40 % - Markeringsfarve2 4 5 3" xfId="31458" xr:uid="{5D38EA77-C4F4-48A0-9421-E012CA9B06F8}"/>
    <cellStyle name="40 % - Markeringsfarve2 4 6" xfId="31459" xr:uid="{5F09DF1D-F663-40E5-867D-FE28A1EB18B7}"/>
    <cellStyle name="40 % - Markeringsfarve2 4 6 2" xfId="31460" xr:uid="{5652B94F-C21C-4799-B22E-D6D8D42BE77B}"/>
    <cellStyle name="40 % - Markeringsfarve2 4 6 3" xfId="31461" xr:uid="{AD56B10A-781A-4F1C-8D93-4E67825DDF49}"/>
    <cellStyle name="40 % - Markeringsfarve2 4 7" xfId="31462" xr:uid="{771E4A45-6CE8-4933-9764-3EE00BE539E6}"/>
    <cellStyle name="40 % - Markeringsfarve2 4 7 2" xfId="31463" xr:uid="{8FF9FF1E-F449-4E0C-9444-606F82C107BC}"/>
    <cellStyle name="40 % - Markeringsfarve2 4 8" xfId="31464" xr:uid="{500DD62A-CD8C-41FC-B86F-554FB3A71642}"/>
    <cellStyle name="40 % - Markeringsfarve2 5" xfId="23575" xr:uid="{B850BB25-C4AC-499F-A079-5194B9AFF75C}"/>
    <cellStyle name="40 % - Markeringsfarve2 5 2" xfId="23576" xr:uid="{3C939DED-4FA1-4734-9021-F2B52774515B}"/>
    <cellStyle name="40 % - Markeringsfarve2 5 2 2" xfId="31465" xr:uid="{3DC6EEFB-44E7-4327-8BE2-AE6D34DB0BD2}"/>
    <cellStyle name="40 % - Markeringsfarve2 5 2 3" xfId="31466" xr:uid="{474A8C52-8433-41E2-A5C9-BFE4C32E1E41}"/>
    <cellStyle name="40 % - Markeringsfarve2 5 3" xfId="31467" xr:uid="{27600280-C2A9-4838-BEE5-AAC6B2AD8FDE}"/>
    <cellStyle name="40 % - Markeringsfarve2 5 3 2" xfId="31468" xr:uid="{1F397DC7-6E5C-41C7-A076-45CFE14DB155}"/>
    <cellStyle name="40 % - Markeringsfarve2 5 3 3" xfId="31469" xr:uid="{9126C0EC-1A26-42FF-9B97-8405E3494034}"/>
    <cellStyle name="40 % - Markeringsfarve2 5 4" xfId="31470" xr:uid="{CD0A5759-13FD-4838-B96A-CEF8CCF21EFE}"/>
    <cellStyle name="40 % - Markeringsfarve2 5 4 2" xfId="31471" xr:uid="{58E609A8-AE9F-4E09-89BB-06C8D263B1D5}"/>
    <cellStyle name="40 % - Markeringsfarve2 5 4 3" xfId="31472" xr:uid="{9EF093B6-C6AE-4493-80D8-6BCB48BF1730}"/>
    <cellStyle name="40 % - Markeringsfarve2 5 5" xfId="31473" xr:uid="{5E1BC8D6-E613-4B8C-8FF2-54A0A5C616DC}"/>
    <cellStyle name="40 % - Markeringsfarve2 5 5 2" xfId="31474" xr:uid="{3D461708-D09F-44C8-822F-7E46E39319E0}"/>
    <cellStyle name="40 % - Markeringsfarve2 5 5 3" xfId="31475" xr:uid="{62279C92-6A74-45AD-8079-37ED90EA5B3F}"/>
    <cellStyle name="40 % - Markeringsfarve2 5 6" xfId="31476" xr:uid="{160FD8F2-E423-4FD6-B088-BBB5DD5B99B5}"/>
    <cellStyle name="40 % - Markeringsfarve2 5 6 2" xfId="31477" xr:uid="{FB1F6905-D859-452C-86CA-DA4974B28EBF}"/>
    <cellStyle name="40 % - Markeringsfarve2 5 6 3" xfId="31478" xr:uid="{1546547A-2014-4935-B81C-2D186C3B50F8}"/>
    <cellStyle name="40 % - Markeringsfarve2 5 7" xfId="31479" xr:uid="{4D64DDAA-5536-4F73-ACDE-9F79D38F1EAD}"/>
    <cellStyle name="40 % - Markeringsfarve2 5 7 2" xfId="31480" xr:uid="{CD07ABDD-E030-4475-ADE9-038595016A75}"/>
    <cellStyle name="40 % - Markeringsfarve2 5 8" xfId="31481" xr:uid="{09EDB3FD-7566-4751-BD18-ED7DB9DC9EA8}"/>
    <cellStyle name="40 % - Markeringsfarve2 6" xfId="23577" xr:uid="{12C8C011-DBBD-4CF9-B714-6F69BF9466B4}"/>
    <cellStyle name="40 % - Markeringsfarve2 6 2" xfId="23578" xr:uid="{D5CC744C-DA8F-4A57-9DB5-9E61DA2123ED}"/>
    <cellStyle name="40 % - Markeringsfarve2 6 3" xfId="31482" xr:uid="{05555FA4-C17F-4E91-AA9E-58E89A95B81C}"/>
    <cellStyle name="40 % - Markeringsfarve2 7" xfId="23579" xr:uid="{871FF48B-7102-4999-9CF1-8AE63D0C982C}"/>
    <cellStyle name="40 % - Markeringsfarve2 7 2" xfId="31483" xr:uid="{3A3CCD33-D3EF-4EA9-A69B-6A21AA24612E}"/>
    <cellStyle name="40 % - Markeringsfarve2 7 3" xfId="31484" xr:uid="{07867C4B-5844-4C7D-8BA8-6296A903ACCD}"/>
    <cellStyle name="40 % - Markeringsfarve2 8" xfId="31485" xr:uid="{D4C29018-6603-4DBB-B48C-753907060968}"/>
    <cellStyle name="40 % - Markeringsfarve2 8 2" xfId="31486" xr:uid="{610788F1-33F9-4E15-9B5F-F163ABAE94C3}"/>
    <cellStyle name="40 % - Markeringsfarve2 8 3" xfId="31487" xr:uid="{27A6216C-9041-4D4B-A8F1-76C0A00BB012}"/>
    <cellStyle name="40 % - Markeringsfarve2 9" xfId="31488" xr:uid="{86A8C153-D282-4682-AC46-97B8B839D056}"/>
    <cellStyle name="40 % - Markeringsfarve2 9 2" xfId="31489" xr:uid="{DDF3EC79-4778-4485-924D-B5832297B402}"/>
    <cellStyle name="40 % - Markeringsfarve2 9 3" xfId="31490" xr:uid="{A58856FD-1737-4A76-8826-80B3D08499EB}"/>
    <cellStyle name="40 % - Markeringsfarve3" xfId="1275" xr:uid="{00000000-0005-0000-0000-00001C000000}"/>
    <cellStyle name="40 % - Markeringsfarve3 10" xfId="31491" xr:uid="{3B5BFDE9-87BC-4F68-A184-87A2A1A66266}"/>
    <cellStyle name="40 % - Markeringsfarve3 10 2" xfId="31492" xr:uid="{12E936E4-18BB-4207-8F34-4625A0D40BE0}"/>
    <cellStyle name="40 % - Markeringsfarve3 11" xfId="31493" xr:uid="{A7960F74-4546-42FF-B64B-4B314CCFE3B7}"/>
    <cellStyle name="40 % - Markeringsfarve3 12" xfId="17733" xr:uid="{C41C59E3-2DD6-4DFA-B9D1-559CA0788B80}"/>
    <cellStyle name="40 % - Markeringsfarve3 2" xfId="1276" xr:uid="{00000000-0005-0000-0000-00001D000000}"/>
    <cellStyle name="40 % - Markeringsfarve3 2 10" xfId="31494" xr:uid="{66B26A0A-3AE6-4111-ADC4-4D49820FE3AB}"/>
    <cellStyle name="40 % - Markeringsfarve3 2 11" xfId="17734" xr:uid="{1EB8EDF9-8514-4295-B77A-C657772ABFCB}"/>
    <cellStyle name="40 % - Markeringsfarve3 2 2" xfId="23580" xr:uid="{0DB45BE1-48AC-4790-AEE4-24F6461EC84B}"/>
    <cellStyle name="40 % - Markeringsfarve3 2 2 2" xfId="23581" xr:uid="{2BD8327B-92FC-4F87-A1FB-B8228409AB8B}"/>
    <cellStyle name="40 % - Markeringsfarve3 2 2 2 2" xfId="31495" xr:uid="{0E97581C-2642-4843-B178-677F73A89383}"/>
    <cellStyle name="40 % - Markeringsfarve3 2 2 2 3" xfId="31496" xr:uid="{A029EB41-7A20-4C36-B29E-41CBDCE31855}"/>
    <cellStyle name="40 % - Markeringsfarve3 2 2 3" xfId="31497" xr:uid="{FB90316F-77E4-41BF-B47A-A7E3A1C2D18A}"/>
    <cellStyle name="40 % - Markeringsfarve3 2 2 3 2" xfId="31498" xr:uid="{591AE13C-8D8B-4A30-88DA-E6D9FA1BE49A}"/>
    <cellStyle name="40 % - Markeringsfarve3 2 2 3 3" xfId="31499" xr:uid="{A5EE6B6C-C3F2-43B2-8393-220401FA7872}"/>
    <cellStyle name="40 % - Markeringsfarve3 2 2 4" xfId="31500" xr:uid="{42565CC0-1EA6-41C1-9486-6C42B5E44EFB}"/>
    <cellStyle name="40 % - Markeringsfarve3 2 2 4 2" xfId="31501" xr:uid="{2E5CD19D-FFB8-45F4-9D83-F7526A92DE2B}"/>
    <cellStyle name="40 % - Markeringsfarve3 2 2 4 3" xfId="31502" xr:uid="{6404DDA0-B787-4830-BAC1-4AB16130141A}"/>
    <cellStyle name="40 % - Markeringsfarve3 2 2 5" xfId="31503" xr:uid="{B3EDC425-D1D1-4FBD-8DD1-FE9EF54D535F}"/>
    <cellStyle name="40 % - Markeringsfarve3 2 2 5 2" xfId="31504" xr:uid="{20CB9FC0-9CF1-4920-87E7-3C1C9EBFFAB7}"/>
    <cellStyle name="40 % - Markeringsfarve3 2 2 5 3" xfId="31505" xr:uid="{96F7E950-6D65-41D1-9985-F8761CB85E31}"/>
    <cellStyle name="40 % - Markeringsfarve3 2 2 6" xfId="31506" xr:uid="{35F77BB4-99CA-4850-85C5-BF31B88546DD}"/>
    <cellStyle name="40 % - Markeringsfarve3 2 2 6 2" xfId="31507" xr:uid="{5B88E60A-0DC0-4371-BF40-9C2DD6F2ECC2}"/>
    <cellStyle name="40 % - Markeringsfarve3 2 2 6 3" xfId="31508" xr:uid="{DAA6A91A-2510-4863-B74C-98645A060A68}"/>
    <cellStyle name="40 % - Markeringsfarve3 2 2 7" xfId="31509" xr:uid="{E1F81C12-7E0B-4AF2-958B-8DFE7970ECF9}"/>
    <cellStyle name="40 % - Markeringsfarve3 2 2 7 2" xfId="31510" xr:uid="{DEBA881F-AFB9-4701-9D63-A2FDD7CA3719}"/>
    <cellStyle name="40 % - Markeringsfarve3 2 2 8" xfId="31511" xr:uid="{8003DDB1-353F-48E3-A9BE-B401B568152F}"/>
    <cellStyle name="40 % - Markeringsfarve3 2 3" xfId="23582" xr:uid="{25079CE7-097F-4FC8-B858-AFB44A0AC413}"/>
    <cellStyle name="40 % - Markeringsfarve3 2 3 2" xfId="23583" xr:uid="{1083FDB0-D976-4E74-9E20-FE91679372DB}"/>
    <cellStyle name="40 % - Markeringsfarve3 2 3 2 2" xfId="31512" xr:uid="{17EE4FE7-77DB-4AF3-8765-2FE0F6579079}"/>
    <cellStyle name="40 % - Markeringsfarve3 2 3 2 3" xfId="31513" xr:uid="{A59511D6-8C9B-4816-BC21-93619908CEB6}"/>
    <cellStyle name="40 % - Markeringsfarve3 2 3 3" xfId="31514" xr:uid="{C5504548-FB1C-4C8C-B3B8-94B9E7687C28}"/>
    <cellStyle name="40 % - Markeringsfarve3 2 3 3 2" xfId="31515" xr:uid="{55E8C7E5-377C-4435-AAA2-442FCA1D94E9}"/>
    <cellStyle name="40 % - Markeringsfarve3 2 3 3 3" xfId="31516" xr:uid="{A8AC71CE-EA6C-4C8B-ACBE-1B1AE2304D37}"/>
    <cellStyle name="40 % - Markeringsfarve3 2 3 4" xfId="31517" xr:uid="{088F9F34-EE16-4DE2-8FAF-4B7B26C7EB8D}"/>
    <cellStyle name="40 % - Markeringsfarve3 2 3 4 2" xfId="31518" xr:uid="{3D128780-429D-4727-8AB8-2CAEB1FF8438}"/>
    <cellStyle name="40 % - Markeringsfarve3 2 3 4 3" xfId="31519" xr:uid="{BBEA81B6-A4B1-454F-8E56-3B4217370BDB}"/>
    <cellStyle name="40 % - Markeringsfarve3 2 3 5" xfId="31520" xr:uid="{1003C24F-F68C-47D5-B7C8-61259E9B7D0E}"/>
    <cellStyle name="40 % - Markeringsfarve3 2 3 5 2" xfId="31521" xr:uid="{2DE9F5F8-3029-4B93-AACA-74DE9257373A}"/>
    <cellStyle name="40 % - Markeringsfarve3 2 3 5 3" xfId="31522" xr:uid="{B2CB60F2-E1DD-48AB-AE95-862B71C90D0D}"/>
    <cellStyle name="40 % - Markeringsfarve3 2 3 6" xfId="31523" xr:uid="{79F39A80-9397-46CD-8398-6705CD4B7979}"/>
    <cellStyle name="40 % - Markeringsfarve3 2 3 6 2" xfId="31524" xr:uid="{CE035F89-776A-4C4A-AB8D-6E4B5206B484}"/>
    <cellStyle name="40 % - Markeringsfarve3 2 3 6 3" xfId="31525" xr:uid="{D3D2A8DB-4949-4EB0-94CC-AC06FB6AB270}"/>
    <cellStyle name="40 % - Markeringsfarve3 2 3 7" xfId="31526" xr:uid="{5EC44992-60D6-420C-9D0C-BA0ED7910BD3}"/>
    <cellStyle name="40 % - Markeringsfarve3 2 3 7 2" xfId="31527" xr:uid="{F97CCD00-BA10-45C0-9A51-541670D28790}"/>
    <cellStyle name="40 % - Markeringsfarve3 2 3 8" xfId="31528" xr:uid="{8BE05532-C1A9-402E-A6DC-893CE1ED4C91}"/>
    <cellStyle name="40 % - Markeringsfarve3 2 4" xfId="23584" xr:uid="{7F78B118-01FB-4D73-AA72-BED10173F4D4}"/>
    <cellStyle name="40 % - Markeringsfarve3 2 4 2" xfId="31529" xr:uid="{2CC8727B-B511-40E5-AEB3-EFE1AFFD6B5C}"/>
    <cellStyle name="40 % - Markeringsfarve3 2 4 3" xfId="31530" xr:uid="{7E3F01E4-5CEA-4714-B40B-EBC413F3FDFA}"/>
    <cellStyle name="40 % - Markeringsfarve3 2 5" xfId="31531" xr:uid="{3EC2EED3-0DC7-4CD2-A865-57C9DFC7D1F1}"/>
    <cellStyle name="40 % - Markeringsfarve3 2 5 2" xfId="31532" xr:uid="{5C216097-D45C-4524-892E-9B87695F4103}"/>
    <cellStyle name="40 % - Markeringsfarve3 2 5 3" xfId="31533" xr:uid="{A60E3930-7A05-4BC1-8977-8D5D2704A735}"/>
    <cellStyle name="40 % - Markeringsfarve3 2 6" xfId="31534" xr:uid="{EDBC5C46-8857-4A28-BF73-D8442F95CBDD}"/>
    <cellStyle name="40 % - Markeringsfarve3 2 6 2" xfId="31535" xr:uid="{3559A701-AFB8-49F6-8575-CCDA8F5F8222}"/>
    <cellStyle name="40 % - Markeringsfarve3 2 6 3" xfId="31536" xr:uid="{77FC19C4-8076-47F4-B95B-54A3806371CD}"/>
    <cellStyle name="40 % - Markeringsfarve3 2 7" xfId="31537" xr:uid="{E455C92C-1E55-4523-97C1-7D187C0E188D}"/>
    <cellStyle name="40 % - Markeringsfarve3 2 7 2" xfId="31538" xr:uid="{BDC1F23B-A9CC-4B60-BC8F-CC1E9C61F820}"/>
    <cellStyle name="40 % - Markeringsfarve3 2 7 3" xfId="31539" xr:uid="{CAA48C83-4B50-4638-8A1A-DA95741B8400}"/>
    <cellStyle name="40 % - Markeringsfarve3 2 8" xfId="31540" xr:uid="{5DA8B5D7-6395-4F0A-B7D7-7459DAF43E7A}"/>
    <cellStyle name="40 % - Markeringsfarve3 2 8 2" xfId="31541" xr:uid="{6BF4D697-3E82-4191-AE65-71914DFD7CBF}"/>
    <cellStyle name="40 % - Markeringsfarve3 2 8 3" xfId="31542" xr:uid="{50350A23-2F45-4D49-A519-1E9A4D84461D}"/>
    <cellStyle name="40 % - Markeringsfarve3 2 9" xfId="31543" xr:uid="{764CB302-C196-41CC-9B4A-029FF3187F2A}"/>
    <cellStyle name="40 % - Markeringsfarve3 2 9 2" xfId="31544" xr:uid="{F71781D5-EC52-48A1-9783-141E2761FD90}"/>
    <cellStyle name="40 % - Markeringsfarve3 3" xfId="2593" xr:uid="{9F89632D-0223-44FB-BEFB-F194ED332DA0}"/>
    <cellStyle name="40 % - Markeringsfarve3 3 10" xfId="31545" xr:uid="{F9E7E916-0CF4-4780-83EC-EBF709B35586}"/>
    <cellStyle name="40 % - Markeringsfarve3 3 2" xfId="23585" xr:uid="{DB07E96F-5326-4B92-9516-6539FAE121BB}"/>
    <cellStyle name="40 % - Markeringsfarve3 3 2 2" xfId="31546" xr:uid="{919B8F5B-CCDD-4D8B-AFD0-DF4DCA18F788}"/>
    <cellStyle name="40 % - Markeringsfarve3 3 2 2 2" xfId="31547" xr:uid="{F8155201-9090-4A04-ACC8-D1E33C4CB86E}"/>
    <cellStyle name="40 % - Markeringsfarve3 3 2 2 3" xfId="31548" xr:uid="{B7489D2B-B0E1-4119-8E3F-5888AD6D308B}"/>
    <cellStyle name="40 % - Markeringsfarve3 3 2 3" xfId="31549" xr:uid="{736DB73E-1812-4785-B0B1-53F23248FF71}"/>
    <cellStyle name="40 % - Markeringsfarve3 3 2 3 2" xfId="31550" xr:uid="{B2071758-0258-43CD-9FD1-359CFE6ED16D}"/>
    <cellStyle name="40 % - Markeringsfarve3 3 2 3 3" xfId="31551" xr:uid="{2A57465D-B492-4D9C-9119-34B2DD416E40}"/>
    <cellStyle name="40 % - Markeringsfarve3 3 2 4" xfId="31552" xr:uid="{1E3F5C9B-80EC-486E-926D-EA2CFE785D1B}"/>
    <cellStyle name="40 % - Markeringsfarve3 3 2 4 2" xfId="31553" xr:uid="{960AC69F-4BE2-4ED7-9172-A37DFFFE5E59}"/>
    <cellStyle name="40 % - Markeringsfarve3 3 2 4 3" xfId="31554" xr:uid="{6AB83AA8-6A09-4AB0-9821-8091B8FDEA8D}"/>
    <cellStyle name="40 % - Markeringsfarve3 3 2 5" xfId="31555" xr:uid="{3EC47751-B567-4714-96E2-AE6D0CF6DA90}"/>
    <cellStyle name="40 % - Markeringsfarve3 3 2 5 2" xfId="31556" xr:uid="{7847831D-0603-4773-9901-C435BD0C3A18}"/>
    <cellStyle name="40 % - Markeringsfarve3 3 2 5 3" xfId="31557" xr:uid="{0536C868-1475-485A-B217-08426A4B9655}"/>
    <cellStyle name="40 % - Markeringsfarve3 3 2 6" xfId="31558" xr:uid="{D0B312A8-8B13-4349-9618-42EBC5712E9D}"/>
    <cellStyle name="40 % - Markeringsfarve3 3 2 6 2" xfId="31559" xr:uid="{468F9B18-F4DB-4235-8E3A-5E428B9F90F8}"/>
    <cellStyle name="40 % - Markeringsfarve3 3 2 6 3" xfId="31560" xr:uid="{56D2AFFB-5F63-42E1-A49D-8792EEB40197}"/>
    <cellStyle name="40 % - Markeringsfarve3 3 2 7" xfId="31561" xr:uid="{6981486D-2C75-4557-A0A4-E39830FB7AFE}"/>
    <cellStyle name="40 % - Markeringsfarve3 3 2 7 2" xfId="31562" xr:uid="{DFC7A259-A552-44B2-AA81-2F2AB388E2BC}"/>
    <cellStyle name="40 % - Markeringsfarve3 3 2 8" xfId="31563" xr:uid="{7B16FF3E-E241-483C-BCCC-17BD53F45BCE}"/>
    <cellStyle name="40 % - Markeringsfarve3 3 3" xfId="31564" xr:uid="{6E64A3DA-7D17-4AA9-B52C-02BD397B2E64}"/>
    <cellStyle name="40 % - Markeringsfarve3 3 3 2" xfId="31565" xr:uid="{00ADC3FB-68C4-44CB-876D-58C3367D9EB2}"/>
    <cellStyle name="40 % - Markeringsfarve3 3 3 2 2" xfId="31566" xr:uid="{49106429-9C9E-4D5A-A180-2D2588FD8AC6}"/>
    <cellStyle name="40 % - Markeringsfarve3 3 3 2 3" xfId="31567" xr:uid="{E8CFA7B3-A1D9-4B0B-A455-2212F50798EE}"/>
    <cellStyle name="40 % - Markeringsfarve3 3 3 3" xfId="31568" xr:uid="{2433D2E7-2F9B-4E07-8678-D9F09B4E7000}"/>
    <cellStyle name="40 % - Markeringsfarve3 3 3 3 2" xfId="31569" xr:uid="{93541A2A-7651-4607-BE9A-DBFACD1DCC0B}"/>
    <cellStyle name="40 % - Markeringsfarve3 3 3 3 3" xfId="31570" xr:uid="{5E7BB51A-8121-4A36-94BD-B68CAA93B8E4}"/>
    <cellStyle name="40 % - Markeringsfarve3 3 3 4" xfId="31571" xr:uid="{15198328-7F30-4A95-905C-B1C1F01FB204}"/>
    <cellStyle name="40 % - Markeringsfarve3 3 3 4 2" xfId="31572" xr:uid="{E8C5F9CE-C110-4C4F-BF2E-F1C554CF53D4}"/>
    <cellStyle name="40 % - Markeringsfarve3 3 3 4 3" xfId="31573" xr:uid="{3C2FE18B-6C9C-4A4E-A7E9-D936C75D789E}"/>
    <cellStyle name="40 % - Markeringsfarve3 3 3 5" xfId="31574" xr:uid="{3BF161D6-D242-4B53-A4D5-91657C675636}"/>
    <cellStyle name="40 % - Markeringsfarve3 3 3 5 2" xfId="31575" xr:uid="{5B0257E6-9D0D-416B-B927-B7F3A5796CB8}"/>
    <cellStyle name="40 % - Markeringsfarve3 3 3 5 3" xfId="31576" xr:uid="{DEBAF938-BB29-45BE-84D5-9252017B3F9B}"/>
    <cellStyle name="40 % - Markeringsfarve3 3 3 6" xfId="31577" xr:uid="{DC87291F-819C-43C1-B626-A39F0735F496}"/>
    <cellStyle name="40 % - Markeringsfarve3 3 3 6 2" xfId="31578" xr:uid="{D8192D05-DD7D-435D-B0C4-F483C4FAC174}"/>
    <cellStyle name="40 % - Markeringsfarve3 3 3 6 3" xfId="31579" xr:uid="{0A2D4A6A-7AC6-4B79-8531-5EC21C261BC4}"/>
    <cellStyle name="40 % - Markeringsfarve3 3 3 7" xfId="31580" xr:uid="{EBA65332-FB87-4CD8-B112-F0D809385B68}"/>
    <cellStyle name="40 % - Markeringsfarve3 3 3 7 2" xfId="31581" xr:uid="{196AB7A1-2319-42B8-9ADC-D42849EAA239}"/>
    <cellStyle name="40 % - Markeringsfarve3 3 3 8" xfId="31582" xr:uid="{DF7A66FC-DAE5-4DA7-A0D7-F0C0ED21220B}"/>
    <cellStyle name="40 % - Markeringsfarve3 3 4" xfId="31583" xr:uid="{F5AC744E-4D0F-4241-86E5-C8E5B8EB49F2}"/>
    <cellStyle name="40 % - Markeringsfarve3 3 4 2" xfId="31584" xr:uid="{A821429B-F69F-4811-BDD4-E3682A39B0DC}"/>
    <cellStyle name="40 % - Markeringsfarve3 3 4 3" xfId="31585" xr:uid="{0FCB1B69-2D9B-42D4-A871-653533FE0485}"/>
    <cellStyle name="40 % - Markeringsfarve3 3 5" xfId="31586" xr:uid="{0214B028-51A9-4C96-B015-E888891B9F43}"/>
    <cellStyle name="40 % - Markeringsfarve3 3 5 2" xfId="31587" xr:uid="{B633A31A-C14C-44DB-9B9B-558F4A40CE36}"/>
    <cellStyle name="40 % - Markeringsfarve3 3 5 3" xfId="31588" xr:uid="{A77C25DC-781C-4381-99A4-FB589529FF0C}"/>
    <cellStyle name="40 % - Markeringsfarve3 3 6" xfId="31589" xr:uid="{17CEC948-23AB-4AA7-B2AD-52649144D2ED}"/>
    <cellStyle name="40 % - Markeringsfarve3 3 6 2" xfId="31590" xr:uid="{D55351D0-F27D-4792-BCC4-0399D002E555}"/>
    <cellStyle name="40 % - Markeringsfarve3 3 6 3" xfId="31591" xr:uid="{2E72C698-6F01-462D-ADF2-C65308B870BD}"/>
    <cellStyle name="40 % - Markeringsfarve3 3 7" xfId="31592" xr:uid="{57469B23-025C-4444-8407-6FFA1C6FC8D2}"/>
    <cellStyle name="40 % - Markeringsfarve3 3 7 2" xfId="31593" xr:uid="{564BEBCE-4DA2-4F59-97B5-B35E695F6101}"/>
    <cellStyle name="40 % - Markeringsfarve3 3 7 3" xfId="31594" xr:uid="{429F2312-DF81-4A50-AA1D-3A142F30E61A}"/>
    <cellStyle name="40 % - Markeringsfarve3 3 8" xfId="31595" xr:uid="{683A6DB4-D48D-483E-BDC7-C8B93220FA86}"/>
    <cellStyle name="40 % - Markeringsfarve3 3 8 2" xfId="31596" xr:uid="{1B57BAB4-3E5B-49B2-84B5-E5742181CC0D}"/>
    <cellStyle name="40 % - Markeringsfarve3 3 8 3" xfId="31597" xr:uid="{39A4652B-D407-44D5-ACF8-78E5C0EED72F}"/>
    <cellStyle name="40 % - Markeringsfarve3 3 9" xfId="31598" xr:uid="{30A81022-2F40-400C-89B5-7275164D7F8D}"/>
    <cellStyle name="40 % - Markeringsfarve3 3 9 2" xfId="31599" xr:uid="{7E2587CD-79D6-427C-A974-E10BF9CB24DE}"/>
    <cellStyle name="40 % - Markeringsfarve3 4" xfId="23586" xr:uid="{8B9AAE0E-1C2D-4EF0-A641-7F7848456DED}"/>
    <cellStyle name="40 % - Markeringsfarve3 4 2" xfId="23587" xr:uid="{F931D371-7C67-48E8-A3F0-653AB1139D8F}"/>
    <cellStyle name="40 % - Markeringsfarve3 4 2 2" xfId="31600" xr:uid="{7BB78C2F-A309-43DD-9878-703DDA710947}"/>
    <cellStyle name="40 % - Markeringsfarve3 4 2 3" xfId="31601" xr:uid="{654555DD-6186-46D2-B8C7-8D7846803C7E}"/>
    <cellStyle name="40 % - Markeringsfarve3 4 3" xfId="31602" xr:uid="{56955656-FA15-402D-9F77-26B70C403C63}"/>
    <cellStyle name="40 % - Markeringsfarve3 4 3 2" xfId="31603" xr:uid="{C587BFE2-64EC-46EC-959E-732CB48B4DEB}"/>
    <cellStyle name="40 % - Markeringsfarve3 4 3 3" xfId="31604" xr:uid="{7FC89EA7-1943-42FC-BB92-F492D7DA2D4B}"/>
    <cellStyle name="40 % - Markeringsfarve3 4 4" xfId="31605" xr:uid="{A1A3CA8E-5318-4C99-B6CD-A448237C8FD0}"/>
    <cellStyle name="40 % - Markeringsfarve3 4 4 2" xfId="31606" xr:uid="{B7E4F8F6-B353-4A57-8815-4D088E3DCBF7}"/>
    <cellStyle name="40 % - Markeringsfarve3 4 4 3" xfId="31607" xr:uid="{D2183994-8E54-461F-A2C6-CB91D62435D6}"/>
    <cellStyle name="40 % - Markeringsfarve3 4 5" xfId="31608" xr:uid="{654714C2-6A7A-4650-8D88-CDB57E5D2279}"/>
    <cellStyle name="40 % - Markeringsfarve3 4 5 2" xfId="31609" xr:uid="{933ECCF5-B199-4788-AFFE-C4389CAA8FE7}"/>
    <cellStyle name="40 % - Markeringsfarve3 4 5 3" xfId="31610" xr:uid="{5B2432DB-E8F4-452B-8576-192EA1CFEE4E}"/>
    <cellStyle name="40 % - Markeringsfarve3 4 6" xfId="31611" xr:uid="{E5257365-C61C-432E-8CBC-9E0A4BC7A81B}"/>
    <cellStyle name="40 % - Markeringsfarve3 4 6 2" xfId="31612" xr:uid="{19A62D03-719F-49A2-A56B-D51D41DDF36B}"/>
    <cellStyle name="40 % - Markeringsfarve3 4 6 3" xfId="31613" xr:uid="{EDE60570-B29E-4B7A-90B5-6187627AC3B2}"/>
    <cellStyle name="40 % - Markeringsfarve3 4 7" xfId="31614" xr:uid="{2277A63E-F715-4882-985F-C8E679E0DFD5}"/>
    <cellStyle name="40 % - Markeringsfarve3 4 7 2" xfId="31615" xr:uid="{5AB5507D-E569-4E1C-AC06-165850407CA7}"/>
    <cellStyle name="40 % - Markeringsfarve3 4 8" xfId="31616" xr:uid="{1C77ABA4-FDD4-4715-B3CA-CD1B9BA23CF7}"/>
    <cellStyle name="40 % - Markeringsfarve3 5" xfId="23588" xr:uid="{0C6EED2B-65FB-46C7-ABCD-6C1306F028DD}"/>
    <cellStyle name="40 % - Markeringsfarve3 5 2" xfId="23589" xr:uid="{9DAB96F8-D767-490E-8602-84B42B5E9D1B}"/>
    <cellStyle name="40 % - Markeringsfarve3 5 2 2" xfId="31617" xr:uid="{99C4628A-1482-4173-A3D3-4ED152EB1A15}"/>
    <cellStyle name="40 % - Markeringsfarve3 5 2 3" xfId="31618" xr:uid="{DC70B12E-4595-4162-AA7F-4005F1121D07}"/>
    <cellStyle name="40 % - Markeringsfarve3 5 3" xfId="31619" xr:uid="{AE54E5FB-C2FE-4149-99EA-D75F3D19449B}"/>
    <cellStyle name="40 % - Markeringsfarve3 5 3 2" xfId="31620" xr:uid="{17D93C02-219D-4369-8CCB-2B7D95CFC830}"/>
    <cellStyle name="40 % - Markeringsfarve3 5 3 3" xfId="31621" xr:uid="{8D7CB4D4-5CB2-4651-9833-498ABBB28BB4}"/>
    <cellStyle name="40 % - Markeringsfarve3 5 4" xfId="31622" xr:uid="{A71FD295-64C6-440F-AD35-C8F83676B404}"/>
    <cellStyle name="40 % - Markeringsfarve3 5 4 2" xfId="31623" xr:uid="{9D28D147-0B5F-4E5E-8903-8321763842A4}"/>
    <cellStyle name="40 % - Markeringsfarve3 5 4 3" xfId="31624" xr:uid="{11A97D17-E3DE-4776-A2EE-874489FDDB0D}"/>
    <cellStyle name="40 % - Markeringsfarve3 5 5" xfId="31625" xr:uid="{BFF4CDC4-86F7-4BB6-8E46-EA926AE71512}"/>
    <cellStyle name="40 % - Markeringsfarve3 5 5 2" xfId="31626" xr:uid="{7B05A7D7-2FA2-4323-ACEC-9808F0E0DD75}"/>
    <cellStyle name="40 % - Markeringsfarve3 5 5 3" xfId="31627" xr:uid="{8C5A50E1-B69F-494B-A2F8-754FD0F480F3}"/>
    <cellStyle name="40 % - Markeringsfarve3 5 6" xfId="31628" xr:uid="{7A02F2CA-3E95-4CD1-ADE2-2E2C496644C5}"/>
    <cellStyle name="40 % - Markeringsfarve3 5 6 2" xfId="31629" xr:uid="{44420E22-AD51-445A-8A40-D5BDEBC3BB09}"/>
    <cellStyle name="40 % - Markeringsfarve3 5 6 3" xfId="31630" xr:uid="{3A8F6EC5-6BBB-44A0-8E03-50A033922B1D}"/>
    <cellStyle name="40 % - Markeringsfarve3 5 7" xfId="31631" xr:uid="{5C9B46B0-6D3B-4074-848F-1411E9F3D00F}"/>
    <cellStyle name="40 % - Markeringsfarve3 5 7 2" xfId="31632" xr:uid="{07472225-1A8B-47E3-B7E3-FB61107F3F32}"/>
    <cellStyle name="40 % - Markeringsfarve3 5 8" xfId="31633" xr:uid="{F1908B39-BCD9-4957-B678-28AC9ECA69D4}"/>
    <cellStyle name="40 % - Markeringsfarve3 6" xfId="23590" xr:uid="{03178BB1-4C40-4E82-AD0A-D6626B4F45CB}"/>
    <cellStyle name="40 % - Markeringsfarve3 6 2" xfId="23591" xr:uid="{BAC4A3DB-9253-4493-B49B-D29BE3591121}"/>
    <cellStyle name="40 % - Markeringsfarve3 6 2 2" xfId="31634" xr:uid="{423572D2-973D-48C6-9D69-5CD8D66D6C35}"/>
    <cellStyle name="40 % - Markeringsfarve3 6 2 3" xfId="31635" xr:uid="{D473EC47-7D58-4FDD-A152-FBF9C3CBC943}"/>
    <cellStyle name="40 % - Markeringsfarve3 6 3" xfId="31636" xr:uid="{C91C252C-5C26-4296-B0F0-CAE4FEF6C279}"/>
    <cellStyle name="40 % - Markeringsfarve3 6 4" xfId="31637" xr:uid="{BD0A3FBB-87FD-406A-82C0-3220FB196D99}"/>
    <cellStyle name="40 % - Markeringsfarve3 7" xfId="23592" xr:uid="{832EFF4E-390B-4D20-9C2A-A637A136DC46}"/>
    <cellStyle name="40 % - Markeringsfarve3 7 2" xfId="31638" xr:uid="{D0D2BF2C-C301-47CC-BCDE-BDFBB1941888}"/>
    <cellStyle name="40 % - Markeringsfarve3 7 3" xfId="31639" xr:uid="{B15699D3-DA2A-42BA-A764-2B647F65BD70}"/>
    <cellStyle name="40 % - Markeringsfarve3 8" xfId="31640" xr:uid="{22D8F4AA-E3B3-47BD-AA8C-2121D2702DFB}"/>
    <cellStyle name="40 % - Markeringsfarve3 8 2" xfId="31641" xr:uid="{A783B227-B3FB-4B28-9F2A-D7A8FE8EEE50}"/>
    <cellStyle name="40 % - Markeringsfarve3 8 3" xfId="31642" xr:uid="{85D293C6-AEBF-495A-A3A9-B9388B9BA990}"/>
    <cellStyle name="40 % - Markeringsfarve3 9" xfId="31643" xr:uid="{81D2F152-F6A7-4367-986C-E20BD795D972}"/>
    <cellStyle name="40 % - Markeringsfarve3 9 2" xfId="31644" xr:uid="{7A2DD291-DCD6-41D3-9268-4E564F9E1CC9}"/>
    <cellStyle name="40 % - Markeringsfarve3 9 3" xfId="31645" xr:uid="{7AAEE393-37C0-423B-A412-1501A4A484A5}"/>
    <cellStyle name="40 % - Markeringsfarve4" xfId="1277" xr:uid="{00000000-0005-0000-0000-00001E000000}"/>
    <cellStyle name="40 % - Markeringsfarve4 10" xfId="31646" xr:uid="{7EF53806-9F8F-4D48-8BC8-0A543359D61C}"/>
    <cellStyle name="40 % - Markeringsfarve4 10 2" xfId="31647" xr:uid="{0359C418-31FD-408A-879F-462DD4A733E4}"/>
    <cellStyle name="40 % - Markeringsfarve4 10 3" xfId="31648" xr:uid="{7A1D4978-251F-41CE-98DD-9F30F4783EB0}"/>
    <cellStyle name="40 % - Markeringsfarve4 11" xfId="31649" xr:uid="{47373802-67ED-4B06-8B23-8C86995390A2}"/>
    <cellStyle name="40 % - Markeringsfarve4 11 2" xfId="31650" xr:uid="{3D4B7A64-DD58-436C-BEEB-EFC91C4F514A}"/>
    <cellStyle name="40 % - Markeringsfarve4 12" xfId="31651" xr:uid="{1D74DC19-9625-4729-9B33-77F2A25BB2E4}"/>
    <cellStyle name="40 % - Markeringsfarve4 13" xfId="17735" xr:uid="{51E71722-15D4-458E-B7C7-BFE81C47F7E7}"/>
    <cellStyle name="40 % - Markeringsfarve4 2" xfId="1278" xr:uid="{00000000-0005-0000-0000-00001F000000}"/>
    <cellStyle name="40 % - Markeringsfarve4 2 10" xfId="31652" xr:uid="{E84B310C-83C8-4178-9C91-09BBEE00CA57}"/>
    <cellStyle name="40 % - Markeringsfarve4 2 11" xfId="17736" xr:uid="{67ABDB2C-C1E5-4C9F-B2DA-8509CF5CE3D3}"/>
    <cellStyle name="40 % - Markeringsfarve4 2 2" xfId="23593" xr:uid="{3B5BA8DE-4AE2-4A9B-BDBA-DAB02BAB2105}"/>
    <cellStyle name="40 % - Markeringsfarve4 2 2 2" xfId="23594" xr:uid="{31F9A5DF-F544-4F56-B1D2-DA39A8A77B54}"/>
    <cellStyle name="40 % - Markeringsfarve4 2 2 2 2" xfId="31653" xr:uid="{23858516-B1C9-40E7-AD9A-1734BDCD75EB}"/>
    <cellStyle name="40 % - Markeringsfarve4 2 2 2 3" xfId="31654" xr:uid="{C40F2903-D7BB-4690-B16B-99C734AF16A3}"/>
    <cellStyle name="40 % - Markeringsfarve4 2 2 3" xfId="31655" xr:uid="{1F1C2841-9421-432B-B2D8-FD0FDC6F300B}"/>
    <cellStyle name="40 % - Markeringsfarve4 2 2 3 2" xfId="31656" xr:uid="{292B6D4D-8ED0-46BF-91FA-5A80C4E7B1AD}"/>
    <cellStyle name="40 % - Markeringsfarve4 2 2 3 3" xfId="31657" xr:uid="{1FEE0DC2-9215-44EE-BB41-AE6AE32C122F}"/>
    <cellStyle name="40 % - Markeringsfarve4 2 2 4" xfId="31658" xr:uid="{20B8AFD1-57C6-4D39-BF9B-E54CFAA84464}"/>
    <cellStyle name="40 % - Markeringsfarve4 2 2 4 2" xfId="31659" xr:uid="{47665F02-3F63-438B-94DA-2A34C7673F28}"/>
    <cellStyle name="40 % - Markeringsfarve4 2 2 4 3" xfId="31660" xr:uid="{7117A783-8A93-4D3B-9398-94C2D00677D4}"/>
    <cellStyle name="40 % - Markeringsfarve4 2 2 5" xfId="31661" xr:uid="{8179B18D-640C-4863-AFF4-75BE726B5250}"/>
    <cellStyle name="40 % - Markeringsfarve4 2 2 5 2" xfId="31662" xr:uid="{3CEB8E30-00B2-4720-A271-DBDAB13B871B}"/>
    <cellStyle name="40 % - Markeringsfarve4 2 2 5 3" xfId="31663" xr:uid="{012B031E-D47A-4229-987F-B19159D582A2}"/>
    <cellStyle name="40 % - Markeringsfarve4 2 2 6" xfId="31664" xr:uid="{D36F267A-1297-4DDE-89E3-9E40A884E586}"/>
    <cellStyle name="40 % - Markeringsfarve4 2 2 6 2" xfId="31665" xr:uid="{F6221EFA-A345-4114-9303-D3781CA92E39}"/>
    <cellStyle name="40 % - Markeringsfarve4 2 2 6 3" xfId="31666" xr:uid="{05A264B2-30B7-490F-B40F-F3D0758F6781}"/>
    <cellStyle name="40 % - Markeringsfarve4 2 2 7" xfId="31667" xr:uid="{D2AE48A2-E3E9-4BB3-9EE2-AC7B4AD5041A}"/>
    <cellStyle name="40 % - Markeringsfarve4 2 2 7 2" xfId="31668" xr:uid="{385B64B2-3386-43DA-83B6-D17915213046}"/>
    <cellStyle name="40 % - Markeringsfarve4 2 2 8" xfId="31669" xr:uid="{09643633-90E1-4979-93AD-DA887D279758}"/>
    <cellStyle name="40 % - Markeringsfarve4 2 3" xfId="23595" xr:uid="{E0ECC885-E476-4AB3-9AB5-BA7B55C850DC}"/>
    <cellStyle name="40 % - Markeringsfarve4 2 3 2" xfId="23596" xr:uid="{020605B7-2B37-463E-AABA-4C3C7D5E14C2}"/>
    <cellStyle name="40 % - Markeringsfarve4 2 3 2 2" xfId="31670" xr:uid="{09711237-2AE0-494B-A212-B4C8A8D2A62E}"/>
    <cellStyle name="40 % - Markeringsfarve4 2 3 2 3" xfId="31671" xr:uid="{EC67ECE5-90AC-4202-BFC4-EF286491D20D}"/>
    <cellStyle name="40 % - Markeringsfarve4 2 3 3" xfId="31672" xr:uid="{067130BC-8ECD-4259-B035-5B402CF0FD11}"/>
    <cellStyle name="40 % - Markeringsfarve4 2 3 3 2" xfId="31673" xr:uid="{676CE507-5672-4C0D-ADBF-BF64E543CE12}"/>
    <cellStyle name="40 % - Markeringsfarve4 2 3 3 3" xfId="31674" xr:uid="{ADC0670C-62D2-436C-8900-DE136C81171A}"/>
    <cellStyle name="40 % - Markeringsfarve4 2 3 4" xfId="31675" xr:uid="{DBD944C8-CB0E-4B62-B292-56E926F0954D}"/>
    <cellStyle name="40 % - Markeringsfarve4 2 3 4 2" xfId="31676" xr:uid="{4F2A2992-F451-4EA9-974F-A768B068C720}"/>
    <cellStyle name="40 % - Markeringsfarve4 2 3 4 3" xfId="31677" xr:uid="{4C9FC24E-C2DD-4702-B4A0-2DCC5394C315}"/>
    <cellStyle name="40 % - Markeringsfarve4 2 3 5" xfId="31678" xr:uid="{28DE9F73-C60D-45E2-95D9-C8618A7FDAB7}"/>
    <cellStyle name="40 % - Markeringsfarve4 2 3 5 2" xfId="31679" xr:uid="{2958E1C7-6E9A-4F76-8287-D1C6B9C8333E}"/>
    <cellStyle name="40 % - Markeringsfarve4 2 3 5 3" xfId="31680" xr:uid="{C78871E2-68FA-43DA-ACCF-98033EAD0597}"/>
    <cellStyle name="40 % - Markeringsfarve4 2 3 6" xfId="31681" xr:uid="{9B445A06-EB0A-42F1-AE8D-5E4D787EFC90}"/>
    <cellStyle name="40 % - Markeringsfarve4 2 3 6 2" xfId="31682" xr:uid="{16AD59EF-2EC8-4AA4-8DAA-4D42426383A2}"/>
    <cellStyle name="40 % - Markeringsfarve4 2 3 6 3" xfId="31683" xr:uid="{91D022A0-0555-41F9-BA26-C8AF60906861}"/>
    <cellStyle name="40 % - Markeringsfarve4 2 3 7" xfId="31684" xr:uid="{0E20F933-2ED3-4C15-AE53-26A049D12DE0}"/>
    <cellStyle name="40 % - Markeringsfarve4 2 3 7 2" xfId="31685" xr:uid="{DA3395C4-155E-404F-AD9A-564618DC1AC6}"/>
    <cellStyle name="40 % - Markeringsfarve4 2 3 8" xfId="31686" xr:uid="{728ACC72-88A4-48C4-9CCC-07F4E46784CA}"/>
    <cellStyle name="40 % - Markeringsfarve4 2 4" xfId="23597" xr:uid="{31E97C1A-1F0C-4F59-8197-FE5E81F6D6AB}"/>
    <cellStyle name="40 % - Markeringsfarve4 2 4 2" xfId="31687" xr:uid="{28A7A3F2-E1D1-436B-9C66-6584EC61FC23}"/>
    <cellStyle name="40 % - Markeringsfarve4 2 4 3" xfId="31688" xr:uid="{EC0A0284-6528-4B84-AF3B-808E8BBEBF3F}"/>
    <cellStyle name="40 % - Markeringsfarve4 2 5" xfId="31689" xr:uid="{C92A7DDE-94AB-48C4-8012-310AF701AEE0}"/>
    <cellStyle name="40 % - Markeringsfarve4 2 5 2" xfId="31690" xr:uid="{1A67B102-B273-43EA-98DE-90F910E64463}"/>
    <cellStyle name="40 % - Markeringsfarve4 2 5 3" xfId="31691" xr:uid="{927718D5-4127-4278-8871-A879CEAD47BD}"/>
    <cellStyle name="40 % - Markeringsfarve4 2 6" xfId="31692" xr:uid="{6EC2091D-AD59-4D2A-9453-D59E950FBE58}"/>
    <cellStyle name="40 % - Markeringsfarve4 2 6 2" xfId="31693" xr:uid="{467A3A50-D035-4910-AA77-33963511F576}"/>
    <cellStyle name="40 % - Markeringsfarve4 2 6 3" xfId="31694" xr:uid="{DD88A6F4-10ED-4B7B-B8D1-7F93F8933966}"/>
    <cellStyle name="40 % - Markeringsfarve4 2 7" xfId="31695" xr:uid="{B57865FB-2328-4527-9690-F1000A03F315}"/>
    <cellStyle name="40 % - Markeringsfarve4 2 7 2" xfId="31696" xr:uid="{36A463F3-BAB5-41F5-952E-AC0F2D0CD99E}"/>
    <cellStyle name="40 % - Markeringsfarve4 2 7 3" xfId="31697" xr:uid="{D99E3B4D-1360-4C50-957B-734CE9430CBF}"/>
    <cellStyle name="40 % - Markeringsfarve4 2 8" xfId="31698" xr:uid="{1205C3C9-5FC9-4F82-BFE4-74BE44454EAB}"/>
    <cellStyle name="40 % - Markeringsfarve4 2 8 2" xfId="31699" xr:uid="{96604D63-827E-462A-833A-B54D47AD9D36}"/>
    <cellStyle name="40 % - Markeringsfarve4 2 8 3" xfId="31700" xr:uid="{5D774DC9-F446-44D1-A65C-B515648AEA51}"/>
    <cellStyle name="40 % - Markeringsfarve4 2 9" xfId="31701" xr:uid="{491E4A00-BCC5-4FA8-BCED-DC33ECE4B65F}"/>
    <cellStyle name="40 % - Markeringsfarve4 2 9 2" xfId="31702" xr:uid="{5A733909-BAFC-4473-A131-A1A0D8F47FF0}"/>
    <cellStyle name="40 % - Markeringsfarve4 3" xfId="2594" xr:uid="{6B6FA26D-D7D9-49D8-9C74-7977749D407E}"/>
    <cellStyle name="40 % - Markeringsfarve4 3 10" xfId="31703" xr:uid="{A24CA5AF-0A5C-47C7-A8F0-72B885FAE6D0}"/>
    <cellStyle name="40 % - Markeringsfarve4 3 2" xfId="23598" xr:uid="{57F79A36-A4CF-4B46-A9D5-19B52CB175C5}"/>
    <cellStyle name="40 % - Markeringsfarve4 3 2 2" xfId="31704" xr:uid="{0B38F272-A4F3-4C3C-B8B6-020E6BEE70C6}"/>
    <cellStyle name="40 % - Markeringsfarve4 3 2 2 2" xfId="31705" xr:uid="{D0CD2C7B-1358-412D-B242-D5F7B714D006}"/>
    <cellStyle name="40 % - Markeringsfarve4 3 2 2 3" xfId="31706" xr:uid="{98F5413B-3A39-498E-9EAF-EAE35000C0B1}"/>
    <cellStyle name="40 % - Markeringsfarve4 3 2 3" xfId="31707" xr:uid="{0BFB5AA1-7E88-4CE0-80BC-2326AB1F6C3F}"/>
    <cellStyle name="40 % - Markeringsfarve4 3 2 3 2" xfId="31708" xr:uid="{B731E6C1-C13B-47E0-AAA8-1D586A08F6AA}"/>
    <cellStyle name="40 % - Markeringsfarve4 3 2 3 3" xfId="31709" xr:uid="{530C9E46-8AB9-4562-9DCE-FCAF0960916E}"/>
    <cellStyle name="40 % - Markeringsfarve4 3 2 4" xfId="31710" xr:uid="{C33AA668-37EB-4283-8690-BC252D013741}"/>
    <cellStyle name="40 % - Markeringsfarve4 3 2 4 2" xfId="31711" xr:uid="{350AF5AD-22B6-4971-B671-763F18548EB4}"/>
    <cellStyle name="40 % - Markeringsfarve4 3 2 4 3" xfId="31712" xr:uid="{41CE3A97-483D-45E2-9C27-413F1C89AC98}"/>
    <cellStyle name="40 % - Markeringsfarve4 3 2 5" xfId="31713" xr:uid="{136B0B69-7F42-4379-9C08-B1A730A515BA}"/>
    <cellStyle name="40 % - Markeringsfarve4 3 2 5 2" xfId="31714" xr:uid="{0D2FAD8C-2D3B-4A2D-BFE0-D5B5F2FCF835}"/>
    <cellStyle name="40 % - Markeringsfarve4 3 2 5 3" xfId="31715" xr:uid="{7445E274-95F3-4748-85E8-BC275006D252}"/>
    <cellStyle name="40 % - Markeringsfarve4 3 2 6" xfId="31716" xr:uid="{7C0BC8B2-DCF2-40C6-AC75-FAC72813F5B9}"/>
    <cellStyle name="40 % - Markeringsfarve4 3 2 6 2" xfId="31717" xr:uid="{B43EC0C9-D58D-415B-952A-D35F6DCAEAE4}"/>
    <cellStyle name="40 % - Markeringsfarve4 3 2 6 3" xfId="31718" xr:uid="{5AFC34E4-487B-4713-8125-4825BDF4E6AA}"/>
    <cellStyle name="40 % - Markeringsfarve4 3 2 7" xfId="31719" xr:uid="{1543514E-9EA1-4CBA-8C4C-1E9D6C19D959}"/>
    <cellStyle name="40 % - Markeringsfarve4 3 2 7 2" xfId="31720" xr:uid="{D14EA5B5-FAB8-4841-8174-7FEDAC35A11B}"/>
    <cellStyle name="40 % - Markeringsfarve4 3 2 8" xfId="31721" xr:uid="{0581E140-0BFF-44D3-8E6A-3D1F87C241D1}"/>
    <cellStyle name="40 % - Markeringsfarve4 3 3" xfId="31722" xr:uid="{AC89C4A7-AB7C-4E50-9612-E22C1EC8BCD5}"/>
    <cellStyle name="40 % - Markeringsfarve4 3 3 2" xfId="31723" xr:uid="{D8BDBEDD-444D-44B7-A902-3945C4F3A921}"/>
    <cellStyle name="40 % - Markeringsfarve4 3 3 2 2" xfId="31724" xr:uid="{75365845-B89B-4E40-BCB3-34B90D944534}"/>
    <cellStyle name="40 % - Markeringsfarve4 3 3 2 3" xfId="31725" xr:uid="{404C30FE-68C6-4114-8A6C-C6C796AA10A1}"/>
    <cellStyle name="40 % - Markeringsfarve4 3 3 3" xfId="31726" xr:uid="{56644C08-87FE-4880-A4A1-90007188F36A}"/>
    <cellStyle name="40 % - Markeringsfarve4 3 3 3 2" xfId="31727" xr:uid="{D35B23FC-A862-4D9A-87E0-E26F5A3AF241}"/>
    <cellStyle name="40 % - Markeringsfarve4 3 3 3 3" xfId="31728" xr:uid="{70CAFB66-0FE9-4CAF-83A8-049866CE3403}"/>
    <cellStyle name="40 % - Markeringsfarve4 3 3 4" xfId="31729" xr:uid="{BDEFA79C-E275-4D6A-A174-FC5FEC4CFD10}"/>
    <cellStyle name="40 % - Markeringsfarve4 3 3 4 2" xfId="31730" xr:uid="{E535E366-5529-4A21-896D-AD6471C112D8}"/>
    <cellStyle name="40 % - Markeringsfarve4 3 3 4 3" xfId="31731" xr:uid="{5F7B2C0F-642D-4DD3-940C-FEB5A979915A}"/>
    <cellStyle name="40 % - Markeringsfarve4 3 3 5" xfId="31732" xr:uid="{69F5E8F1-811E-4D91-A02C-1A00C23406E0}"/>
    <cellStyle name="40 % - Markeringsfarve4 3 3 5 2" xfId="31733" xr:uid="{E073D31A-F8AD-48C7-902E-D2B5F4AF6821}"/>
    <cellStyle name="40 % - Markeringsfarve4 3 3 5 3" xfId="31734" xr:uid="{2050EEF2-EDAC-4F85-B9C1-3E33D218A559}"/>
    <cellStyle name="40 % - Markeringsfarve4 3 3 6" xfId="31735" xr:uid="{85E00A2A-4FA7-423B-AAF1-AAF10240AED8}"/>
    <cellStyle name="40 % - Markeringsfarve4 3 3 6 2" xfId="31736" xr:uid="{6CC6D744-BAC2-464B-A586-17F0BDB45D0F}"/>
    <cellStyle name="40 % - Markeringsfarve4 3 3 6 3" xfId="31737" xr:uid="{DE903C0F-D4C0-4B7D-8B7B-1027910CBFA8}"/>
    <cellStyle name="40 % - Markeringsfarve4 3 3 7" xfId="31738" xr:uid="{AF2F1970-3106-480E-A735-CD20D4378C13}"/>
    <cellStyle name="40 % - Markeringsfarve4 3 3 7 2" xfId="31739" xr:uid="{EA461999-0C93-4879-987A-14912880182D}"/>
    <cellStyle name="40 % - Markeringsfarve4 3 3 8" xfId="31740" xr:uid="{F3122871-FBF2-48F7-8484-45A6E1DD6477}"/>
    <cellStyle name="40 % - Markeringsfarve4 3 4" xfId="31741" xr:uid="{D9CEF9BC-2FCD-4EF0-9306-F5C2F5E892B0}"/>
    <cellStyle name="40 % - Markeringsfarve4 3 4 2" xfId="31742" xr:uid="{727A612E-7075-4E9D-8B89-DF84A3854953}"/>
    <cellStyle name="40 % - Markeringsfarve4 3 4 3" xfId="31743" xr:uid="{09143E3A-E196-497B-B336-26229F38AE93}"/>
    <cellStyle name="40 % - Markeringsfarve4 3 5" xfId="31744" xr:uid="{37FEB273-281A-484E-BFBF-FE9DC77D653E}"/>
    <cellStyle name="40 % - Markeringsfarve4 3 5 2" xfId="31745" xr:uid="{E0282D7F-9043-41ED-9ED2-1E32B531F5CE}"/>
    <cellStyle name="40 % - Markeringsfarve4 3 5 3" xfId="31746" xr:uid="{DBCE11C1-DBA7-44E0-89B8-1DA32444EE06}"/>
    <cellStyle name="40 % - Markeringsfarve4 3 6" xfId="31747" xr:uid="{D931C9A8-ACCD-46FF-86CF-2BB8E5167F2C}"/>
    <cellStyle name="40 % - Markeringsfarve4 3 6 2" xfId="31748" xr:uid="{3B27C919-1F9C-4C40-B471-95C1C7F8EB1D}"/>
    <cellStyle name="40 % - Markeringsfarve4 3 6 3" xfId="31749" xr:uid="{450324A0-E8E4-48CA-9007-C4CFE5FAF2EA}"/>
    <cellStyle name="40 % - Markeringsfarve4 3 7" xfId="31750" xr:uid="{52C85B57-48FB-4590-84F7-998ED4BA6BAD}"/>
    <cellStyle name="40 % - Markeringsfarve4 3 7 2" xfId="31751" xr:uid="{347FCB41-E0C9-453A-91F6-09AE363DB7C4}"/>
    <cellStyle name="40 % - Markeringsfarve4 3 7 3" xfId="31752" xr:uid="{E650A1E7-4B84-4551-9CC0-300348308181}"/>
    <cellStyle name="40 % - Markeringsfarve4 3 8" xfId="31753" xr:uid="{2C07C8A3-7674-421A-AC58-68E38FB6FE55}"/>
    <cellStyle name="40 % - Markeringsfarve4 3 8 2" xfId="31754" xr:uid="{3DEC3B57-92DA-470C-8632-05DE7731F4EE}"/>
    <cellStyle name="40 % - Markeringsfarve4 3 8 3" xfId="31755" xr:uid="{892E5B21-0F6B-4D05-B96E-24082483E0D5}"/>
    <cellStyle name="40 % - Markeringsfarve4 3 9" xfId="31756" xr:uid="{C343CD5C-32FE-4E49-80D8-DB6452123BD7}"/>
    <cellStyle name="40 % - Markeringsfarve4 3 9 2" xfId="31757" xr:uid="{290C5198-8650-4163-870E-3D5BC6357813}"/>
    <cellStyle name="40 % - Markeringsfarve4 4" xfId="23599" xr:uid="{65D2686E-06B3-49B1-81A1-8BD43D1221AD}"/>
    <cellStyle name="40 % - Markeringsfarve4 4 2" xfId="23600" xr:uid="{0261A3ED-5293-442B-8248-81F13AAC20CF}"/>
    <cellStyle name="40 % - Markeringsfarve4 4 2 2" xfId="31758" xr:uid="{C27AFCAE-C08F-4FFF-A2BB-01EC2F28533F}"/>
    <cellStyle name="40 % - Markeringsfarve4 4 2 3" xfId="31759" xr:uid="{B11F1EFB-837D-4F29-B0C5-9D374FFC0F6B}"/>
    <cellStyle name="40 % - Markeringsfarve4 4 3" xfId="31760" xr:uid="{66FF0703-6A0B-4DB8-84FE-C9FB33AC7C3D}"/>
    <cellStyle name="40 % - Markeringsfarve4 4 3 2" xfId="31761" xr:uid="{49787788-9CFF-494D-A255-190564840952}"/>
    <cellStyle name="40 % - Markeringsfarve4 4 3 3" xfId="31762" xr:uid="{8D4177A8-567B-4232-BF16-3D765CE252EE}"/>
    <cellStyle name="40 % - Markeringsfarve4 4 4" xfId="31763" xr:uid="{27EA0D10-CABB-4D17-81BA-754CF98490A9}"/>
    <cellStyle name="40 % - Markeringsfarve4 4 4 2" xfId="31764" xr:uid="{7B562395-E76C-4816-B86F-9D4E96872AD1}"/>
    <cellStyle name="40 % - Markeringsfarve4 4 4 3" xfId="31765" xr:uid="{73B3CA51-783E-4792-B932-BB33D19BC9D5}"/>
    <cellStyle name="40 % - Markeringsfarve4 4 5" xfId="31766" xr:uid="{1A10FE00-BF54-44F1-A566-CB7592E9C020}"/>
    <cellStyle name="40 % - Markeringsfarve4 4 5 2" xfId="31767" xr:uid="{B2CFB740-8075-4BF0-83C9-527217EA6FE7}"/>
    <cellStyle name="40 % - Markeringsfarve4 4 5 3" xfId="31768" xr:uid="{6CC696DC-99B5-42E4-8E64-D093D6A35D15}"/>
    <cellStyle name="40 % - Markeringsfarve4 4 6" xfId="31769" xr:uid="{5FF2B6DD-2B26-4343-B7EF-997776C9335C}"/>
    <cellStyle name="40 % - Markeringsfarve4 4 6 2" xfId="31770" xr:uid="{F53E191E-347C-451D-B0D4-52BC4FBC8D0E}"/>
    <cellStyle name="40 % - Markeringsfarve4 4 6 3" xfId="31771" xr:uid="{F068CAB2-95BB-4097-886B-BAE419AAADD3}"/>
    <cellStyle name="40 % - Markeringsfarve4 4 7" xfId="31772" xr:uid="{AC4DBD26-3E3B-430F-828C-4D329617F3B8}"/>
    <cellStyle name="40 % - Markeringsfarve4 4 7 2" xfId="31773" xr:uid="{952823B4-0F99-4EB7-BB0A-8F4F25CFEA62}"/>
    <cellStyle name="40 % - Markeringsfarve4 4 8" xfId="31774" xr:uid="{3C19B8FD-E5F0-46DD-8B31-CC48572B5F91}"/>
    <cellStyle name="40 % - Markeringsfarve4 5" xfId="23601" xr:uid="{FAA08A51-E376-45ED-9101-67FB764BA201}"/>
    <cellStyle name="40 % - Markeringsfarve4 5 2" xfId="23602" xr:uid="{5B95315F-8581-4690-80FD-25D1A5EA249A}"/>
    <cellStyle name="40 % - Markeringsfarve4 5 2 2" xfId="31775" xr:uid="{3F0170D5-0F14-4849-9AD3-22C460EF40CF}"/>
    <cellStyle name="40 % - Markeringsfarve4 5 2 3" xfId="31776" xr:uid="{126DCA5A-0563-4437-85F3-C506797C5508}"/>
    <cellStyle name="40 % - Markeringsfarve4 5 3" xfId="31777" xr:uid="{6D55DA98-AF0E-4808-B0DB-0746A489B74F}"/>
    <cellStyle name="40 % - Markeringsfarve4 5 3 2" xfId="31778" xr:uid="{126C7AAB-54D7-4B7F-BB9D-C403347845F3}"/>
    <cellStyle name="40 % - Markeringsfarve4 5 3 3" xfId="31779" xr:uid="{C75EA6AB-930F-40FE-A488-E9EA316D9808}"/>
    <cellStyle name="40 % - Markeringsfarve4 5 4" xfId="31780" xr:uid="{F47F0A10-5C9F-4F45-8AE9-3669DD42CBDB}"/>
    <cellStyle name="40 % - Markeringsfarve4 5 4 2" xfId="31781" xr:uid="{DA7D9B5E-7C32-4E84-BDAE-7064D40BF50F}"/>
    <cellStyle name="40 % - Markeringsfarve4 5 4 3" xfId="31782" xr:uid="{A0E02CF5-FFF1-47E6-9231-460487BBC139}"/>
    <cellStyle name="40 % - Markeringsfarve4 5 5" xfId="31783" xr:uid="{00C8D691-AE58-40B2-9A6F-AC43E8649FD0}"/>
    <cellStyle name="40 % - Markeringsfarve4 5 5 2" xfId="31784" xr:uid="{21DA8EDC-DA7E-4164-A9A5-C8101E38DB65}"/>
    <cellStyle name="40 % - Markeringsfarve4 5 5 3" xfId="31785" xr:uid="{016E98AC-064C-4776-A5E2-5A63501E5151}"/>
    <cellStyle name="40 % - Markeringsfarve4 5 6" xfId="31786" xr:uid="{94ECE25D-0363-4A5A-86EA-6BFAA9114BCE}"/>
    <cellStyle name="40 % - Markeringsfarve4 5 6 2" xfId="31787" xr:uid="{56C0429D-3206-41A3-A22B-EBB0C62302AF}"/>
    <cellStyle name="40 % - Markeringsfarve4 5 6 3" xfId="31788" xr:uid="{F1F1BD71-1F22-4926-AFF9-4029E89A8D74}"/>
    <cellStyle name="40 % - Markeringsfarve4 5 7" xfId="31789" xr:uid="{79511C73-FAD7-43A4-82C7-5339D329A78A}"/>
    <cellStyle name="40 % - Markeringsfarve4 5 7 2" xfId="31790" xr:uid="{E4AC8180-D8FB-4FE0-9CE0-8DAB60A42CB1}"/>
    <cellStyle name="40 % - Markeringsfarve4 5 8" xfId="31791" xr:uid="{0DA72083-3097-44A9-A3BF-D91BAD38654C}"/>
    <cellStyle name="40 % - Markeringsfarve4 6" xfId="23603" xr:uid="{9A5E3BFC-C310-488B-A7F9-7813D158FFF1}"/>
    <cellStyle name="40 % - Markeringsfarve4 6 2" xfId="23604" xr:uid="{45ADDF8B-2D8D-44DC-940C-A106DBCFF905}"/>
    <cellStyle name="40 % - Markeringsfarve4 6 3" xfId="31792" xr:uid="{F4044E54-30BA-4021-A51F-2CF4B64D1ECE}"/>
    <cellStyle name="40 % - Markeringsfarve4 7" xfId="23605" xr:uid="{BD87218B-E060-4D1B-9957-452925653E0B}"/>
    <cellStyle name="40 % - Markeringsfarve4 7 2" xfId="31793" xr:uid="{0FBB17F9-DF5A-4D21-8904-C56644D2F110}"/>
    <cellStyle name="40 % - Markeringsfarve4 7 3" xfId="31794" xr:uid="{4CE64C2D-FF40-4D33-94E2-5113C4BE316B}"/>
    <cellStyle name="40 % - Markeringsfarve4 8" xfId="31795" xr:uid="{381626C9-D08A-4A33-B5B1-4369D4B0C031}"/>
    <cellStyle name="40 % - Markeringsfarve4 8 2" xfId="31796" xr:uid="{44F80F46-5A84-4D65-9C88-FFA14C9D20D9}"/>
    <cellStyle name="40 % - Markeringsfarve4 8 3" xfId="31797" xr:uid="{5B4D36B9-5F6E-4094-8F19-CEF232D6185F}"/>
    <cellStyle name="40 % - Markeringsfarve4 9" xfId="31798" xr:uid="{CEC73817-3CCA-4AA4-B17B-5FC23223C923}"/>
    <cellStyle name="40 % - Markeringsfarve4 9 2" xfId="31799" xr:uid="{BA86EEA2-5882-45FE-9556-A6E20C70E5AE}"/>
    <cellStyle name="40 % - Markeringsfarve4 9 3" xfId="31800" xr:uid="{D6D0C9E2-F1B5-4A5C-B683-1A51B1C76C54}"/>
    <cellStyle name="40 % - Markeringsfarve5" xfId="1279" xr:uid="{00000000-0005-0000-0000-000020000000}"/>
    <cellStyle name="40 % - Markeringsfarve5 10" xfId="31801" xr:uid="{29D9C160-9327-4BCA-BA0C-44D43C1B8F30}"/>
    <cellStyle name="40 % - Markeringsfarve5 10 2" xfId="31802" xr:uid="{4570428D-1FE9-4174-BA60-5681D07DA691}"/>
    <cellStyle name="40 % - Markeringsfarve5 10 3" xfId="31803" xr:uid="{2D1B73F1-4277-44FD-8610-DC80F85A0DE8}"/>
    <cellStyle name="40 % - Markeringsfarve5 11" xfId="31804" xr:uid="{988A3624-1ECB-4944-AF09-81C3AF3684FF}"/>
    <cellStyle name="40 % - Markeringsfarve5 11 2" xfId="31805" xr:uid="{7831BF20-88E1-4F0C-BEA9-692902903F64}"/>
    <cellStyle name="40 % - Markeringsfarve5 12" xfId="31806" xr:uid="{3D3A026F-62EF-4375-87C5-D08698D1185E}"/>
    <cellStyle name="40 % - Markeringsfarve5 13" xfId="17737" xr:uid="{B4AEFC90-F02D-480E-8FF5-4AE964192F87}"/>
    <cellStyle name="40 % - Markeringsfarve5 2" xfId="1280" xr:uid="{00000000-0005-0000-0000-000021000000}"/>
    <cellStyle name="40 % - Markeringsfarve5 2 10" xfId="31807" xr:uid="{0A2A87CB-4B34-48F9-8837-B09DD06E558F}"/>
    <cellStyle name="40 % - Markeringsfarve5 2 11" xfId="17738" xr:uid="{DBE9A9FD-F91F-44AE-B155-FC3A273479E8}"/>
    <cellStyle name="40 % - Markeringsfarve5 2 2" xfId="23606" xr:uid="{3E8D5AC5-12C9-4595-97B2-A60100FB33EA}"/>
    <cellStyle name="40 % - Markeringsfarve5 2 2 2" xfId="23607" xr:uid="{B1CD5133-94AD-4302-A86C-81182420DDEB}"/>
    <cellStyle name="40 % - Markeringsfarve5 2 2 2 2" xfId="31808" xr:uid="{6383760D-B570-4AC3-AD1E-4C74D7911EE4}"/>
    <cellStyle name="40 % - Markeringsfarve5 2 2 2 3" xfId="31809" xr:uid="{464B9D19-E457-49B3-A3DF-4B77CC0AEB4F}"/>
    <cellStyle name="40 % - Markeringsfarve5 2 2 3" xfId="31810" xr:uid="{309C46C9-4F51-4F82-A5FC-EDFB2AD58D5B}"/>
    <cellStyle name="40 % - Markeringsfarve5 2 2 3 2" xfId="31811" xr:uid="{7493D54D-617F-41ED-B27C-0405A0E52B25}"/>
    <cellStyle name="40 % - Markeringsfarve5 2 2 3 3" xfId="31812" xr:uid="{5C414FF2-4D73-4717-877A-41E7F31983DC}"/>
    <cellStyle name="40 % - Markeringsfarve5 2 2 4" xfId="31813" xr:uid="{A1DDBCC5-8407-448F-8D38-D514E12028A9}"/>
    <cellStyle name="40 % - Markeringsfarve5 2 2 4 2" xfId="31814" xr:uid="{F01A3DDB-B51D-4F66-9727-BCDFE4E138B6}"/>
    <cellStyle name="40 % - Markeringsfarve5 2 2 4 3" xfId="31815" xr:uid="{A4CAECA1-8506-48B8-A099-4E5B41118783}"/>
    <cellStyle name="40 % - Markeringsfarve5 2 2 5" xfId="31816" xr:uid="{FD879C7C-506F-4408-B718-A67D0674B13F}"/>
    <cellStyle name="40 % - Markeringsfarve5 2 2 5 2" xfId="31817" xr:uid="{7F930B7B-E76F-4EFB-907C-E569D2B95A13}"/>
    <cellStyle name="40 % - Markeringsfarve5 2 2 5 3" xfId="31818" xr:uid="{A6E5D123-382B-4142-9ED8-9FB4B43DF274}"/>
    <cellStyle name="40 % - Markeringsfarve5 2 2 6" xfId="31819" xr:uid="{A5F0CE21-37A6-4CBA-B1AD-13183DE611E5}"/>
    <cellStyle name="40 % - Markeringsfarve5 2 2 6 2" xfId="31820" xr:uid="{2D461269-BBBF-4D39-85A0-8BFCE7CE026D}"/>
    <cellStyle name="40 % - Markeringsfarve5 2 2 6 3" xfId="31821" xr:uid="{83E8BF6D-CA73-4AF5-8F63-2B9B00068995}"/>
    <cellStyle name="40 % - Markeringsfarve5 2 2 7" xfId="31822" xr:uid="{0B0211F5-D787-4B73-8746-147143EFD789}"/>
    <cellStyle name="40 % - Markeringsfarve5 2 2 7 2" xfId="31823" xr:uid="{E8B417CD-5027-40DC-BFC1-399E78AEE196}"/>
    <cellStyle name="40 % - Markeringsfarve5 2 2 8" xfId="31824" xr:uid="{676478AD-E601-4CB6-B93A-44DA37930587}"/>
    <cellStyle name="40 % - Markeringsfarve5 2 3" xfId="23608" xr:uid="{22EDCD09-98ED-45B7-B2B8-7DD36B72E2FB}"/>
    <cellStyle name="40 % - Markeringsfarve5 2 3 2" xfId="23609" xr:uid="{FABD1368-3EA9-4D31-8EA1-95C840402F26}"/>
    <cellStyle name="40 % - Markeringsfarve5 2 3 2 2" xfId="31825" xr:uid="{2C28FDFF-AA9F-447F-A7B4-2F7BF617C14C}"/>
    <cellStyle name="40 % - Markeringsfarve5 2 3 2 3" xfId="31826" xr:uid="{3D1E7B3C-D77C-4442-BD1E-2D2C9B36D00E}"/>
    <cellStyle name="40 % - Markeringsfarve5 2 3 3" xfId="31827" xr:uid="{48B0D09F-878F-46E3-9791-8BFAE6C40BA4}"/>
    <cellStyle name="40 % - Markeringsfarve5 2 3 3 2" xfId="31828" xr:uid="{7C59D820-65F9-4188-BD77-FF8F236D2E10}"/>
    <cellStyle name="40 % - Markeringsfarve5 2 3 3 3" xfId="31829" xr:uid="{201C73DC-0668-4935-A59D-66607C5B6B39}"/>
    <cellStyle name="40 % - Markeringsfarve5 2 3 4" xfId="31830" xr:uid="{F9111929-C137-49B0-BB99-886C36563D33}"/>
    <cellStyle name="40 % - Markeringsfarve5 2 3 4 2" xfId="31831" xr:uid="{CD4CE431-28AC-4AA3-AABE-17EB87F4A7C1}"/>
    <cellStyle name="40 % - Markeringsfarve5 2 3 4 3" xfId="31832" xr:uid="{E897E88B-B9F8-40CB-BD24-1104072D4544}"/>
    <cellStyle name="40 % - Markeringsfarve5 2 3 5" xfId="31833" xr:uid="{E707136D-2516-4511-A0EF-19B38E2A7E17}"/>
    <cellStyle name="40 % - Markeringsfarve5 2 3 5 2" xfId="31834" xr:uid="{FF45DC89-862D-41C9-8C48-A7807F52486E}"/>
    <cellStyle name="40 % - Markeringsfarve5 2 3 5 3" xfId="31835" xr:uid="{36E118FB-8502-4639-97AF-DE0E5C084989}"/>
    <cellStyle name="40 % - Markeringsfarve5 2 3 6" xfId="31836" xr:uid="{5CD7944A-08F8-40A5-ACDC-5C76FC38FFDE}"/>
    <cellStyle name="40 % - Markeringsfarve5 2 3 6 2" xfId="31837" xr:uid="{676E4561-D50F-450C-B282-90831E3235E0}"/>
    <cellStyle name="40 % - Markeringsfarve5 2 3 6 3" xfId="31838" xr:uid="{EF7CAA4D-3769-40E0-98C6-9781F1EA674E}"/>
    <cellStyle name="40 % - Markeringsfarve5 2 3 7" xfId="31839" xr:uid="{511FF2DB-BFE3-43B5-B62E-FFFFA06B3A3C}"/>
    <cellStyle name="40 % - Markeringsfarve5 2 3 7 2" xfId="31840" xr:uid="{0C8ADF69-6BB3-42F0-AA6A-99163B17EC1C}"/>
    <cellStyle name="40 % - Markeringsfarve5 2 3 8" xfId="31841" xr:uid="{E2A5B185-40D5-41CF-B1D9-772898021CA2}"/>
    <cellStyle name="40 % - Markeringsfarve5 2 4" xfId="23610" xr:uid="{E4086B6D-BF9C-495D-831D-2432E211E634}"/>
    <cellStyle name="40 % - Markeringsfarve5 2 4 2" xfId="31842" xr:uid="{888462B9-65F9-422E-8918-E62DCEE9B955}"/>
    <cellStyle name="40 % - Markeringsfarve5 2 4 3" xfId="31843" xr:uid="{BD2FE467-C0F0-41AE-8B20-BA42DE290F58}"/>
    <cellStyle name="40 % - Markeringsfarve5 2 5" xfId="31844" xr:uid="{6F91B52A-EE13-48C7-AA3E-1036335910F5}"/>
    <cellStyle name="40 % - Markeringsfarve5 2 5 2" xfId="31845" xr:uid="{94EC29F5-3626-48FE-82CC-22EE9D800CE1}"/>
    <cellStyle name="40 % - Markeringsfarve5 2 5 3" xfId="31846" xr:uid="{BF39A8DF-0E34-495D-8893-DAA7BC55157E}"/>
    <cellStyle name="40 % - Markeringsfarve5 2 6" xfId="31847" xr:uid="{7245EEE9-EF3F-4546-99AD-3E982013F99D}"/>
    <cellStyle name="40 % - Markeringsfarve5 2 6 2" xfId="31848" xr:uid="{EEA4B3A3-C9E9-412B-90D4-198A255EDDA8}"/>
    <cellStyle name="40 % - Markeringsfarve5 2 6 3" xfId="31849" xr:uid="{F6C3BA28-B452-4CB9-A1CE-B6D4C60A550D}"/>
    <cellStyle name="40 % - Markeringsfarve5 2 7" xfId="31850" xr:uid="{2ABDAEA1-40D8-4883-A91F-D024C75ABAD6}"/>
    <cellStyle name="40 % - Markeringsfarve5 2 7 2" xfId="31851" xr:uid="{E1A1BC12-94B3-4FFF-9781-99AC5D2886C1}"/>
    <cellStyle name="40 % - Markeringsfarve5 2 7 3" xfId="31852" xr:uid="{E292CA6E-2D43-4859-8A9A-013CAED5CA0C}"/>
    <cellStyle name="40 % - Markeringsfarve5 2 8" xfId="31853" xr:uid="{7126FE6B-10B9-46D6-9A8A-84A3A57D9AF6}"/>
    <cellStyle name="40 % - Markeringsfarve5 2 8 2" xfId="31854" xr:uid="{FA63A2FD-5BD5-47D6-8D27-991A4259D238}"/>
    <cellStyle name="40 % - Markeringsfarve5 2 8 3" xfId="31855" xr:uid="{336D1F01-66CF-458C-AB1E-143682999656}"/>
    <cellStyle name="40 % - Markeringsfarve5 2 9" xfId="31856" xr:uid="{97AD421E-62F8-47F8-A043-246005876A70}"/>
    <cellStyle name="40 % - Markeringsfarve5 2 9 2" xfId="31857" xr:uid="{D14EAD69-D1FA-423F-A157-F72FBB97077E}"/>
    <cellStyle name="40 % - Markeringsfarve5 3" xfId="2595" xr:uid="{6BEDEBE0-9333-4464-909A-6646045222C4}"/>
    <cellStyle name="40 % - Markeringsfarve5 3 10" xfId="31858" xr:uid="{B73A3AD5-8C87-4C22-9D85-E476F8BABEAF}"/>
    <cellStyle name="40 % - Markeringsfarve5 3 2" xfId="23611" xr:uid="{748F3534-1A92-4EFB-998E-A1909BF29871}"/>
    <cellStyle name="40 % - Markeringsfarve5 3 2 2" xfId="31859" xr:uid="{A50D0E6A-5F9E-4B43-9469-663F78B92870}"/>
    <cellStyle name="40 % - Markeringsfarve5 3 2 2 2" xfId="31860" xr:uid="{A02965D6-D14B-4283-8E87-55698638F689}"/>
    <cellStyle name="40 % - Markeringsfarve5 3 2 2 3" xfId="31861" xr:uid="{4F3DC080-3392-47E9-ABEE-35F7DEE70C6A}"/>
    <cellStyle name="40 % - Markeringsfarve5 3 2 3" xfId="31862" xr:uid="{DED4741C-14FE-4E2A-855C-1DE8D750E298}"/>
    <cellStyle name="40 % - Markeringsfarve5 3 2 3 2" xfId="31863" xr:uid="{1D532E8B-1CCD-4F5A-BB4C-0A4B18230A57}"/>
    <cellStyle name="40 % - Markeringsfarve5 3 2 3 3" xfId="31864" xr:uid="{2F9785CB-1647-4C9F-A577-7B8A1F12FC5E}"/>
    <cellStyle name="40 % - Markeringsfarve5 3 2 4" xfId="31865" xr:uid="{C2EF0179-F9D9-4705-9807-58CB70CA7D2B}"/>
    <cellStyle name="40 % - Markeringsfarve5 3 2 4 2" xfId="31866" xr:uid="{4333A3DA-EE23-4E1C-9A98-4A040BB61039}"/>
    <cellStyle name="40 % - Markeringsfarve5 3 2 4 3" xfId="31867" xr:uid="{3E83F244-83E2-4E45-9C50-4B5D2EBF6E6E}"/>
    <cellStyle name="40 % - Markeringsfarve5 3 2 5" xfId="31868" xr:uid="{C58F4B31-B3DC-499C-B5B8-C2F617F1A573}"/>
    <cellStyle name="40 % - Markeringsfarve5 3 2 5 2" xfId="31869" xr:uid="{9D80C8D3-F988-40DE-8B70-4B678CFA748F}"/>
    <cellStyle name="40 % - Markeringsfarve5 3 2 5 3" xfId="31870" xr:uid="{C2E867C2-0AAC-4587-9E8A-39160809F047}"/>
    <cellStyle name="40 % - Markeringsfarve5 3 2 6" xfId="31871" xr:uid="{176650D9-DCF9-4487-911C-09E07070FAEE}"/>
    <cellStyle name="40 % - Markeringsfarve5 3 2 6 2" xfId="31872" xr:uid="{EA3B2B47-994A-43A6-B7C3-BFF424AE6EF0}"/>
    <cellStyle name="40 % - Markeringsfarve5 3 2 6 3" xfId="31873" xr:uid="{FD87B69F-D570-457D-8733-52BD754C85A6}"/>
    <cellStyle name="40 % - Markeringsfarve5 3 2 7" xfId="31874" xr:uid="{8122F399-BB86-4DA9-9249-C368435BEE79}"/>
    <cellStyle name="40 % - Markeringsfarve5 3 2 7 2" xfId="31875" xr:uid="{0CDB1ABC-676D-4D9A-988B-7611C0007E10}"/>
    <cellStyle name="40 % - Markeringsfarve5 3 2 8" xfId="31876" xr:uid="{8B4A6133-7400-4A35-941E-03BC29853CD6}"/>
    <cellStyle name="40 % - Markeringsfarve5 3 3" xfId="31877" xr:uid="{EA2CBAE1-4079-494C-9404-AB332C5F2A79}"/>
    <cellStyle name="40 % - Markeringsfarve5 3 3 2" xfId="31878" xr:uid="{3AB73830-A0BD-4D49-AEDF-70FFAC09066E}"/>
    <cellStyle name="40 % - Markeringsfarve5 3 3 2 2" xfId="31879" xr:uid="{374D29F7-0B95-4A01-AD42-A2CB9F4575D9}"/>
    <cellStyle name="40 % - Markeringsfarve5 3 3 2 3" xfId="31880" xr:uid="{C62EAFD9-9096-4D73-B089-1ED6FB5BA65C}"/>
    <cellStyle name="40 % - Markeringsfarve5 3 3 3" xfId="31881" xr:uid="{891FDF5F-A512-484D-8BB5-DBA475413389}"/>
    <cellStyle name="40 % - Markeringsfarve5 3 3 3 2" xfId="31882" xr:uid="{641C0D33-8AF9-45B3-AACC-D9E710460158}"/>
    <cellStyle name="40 % - Markeringsfarve5 3 3 3 3" xfId="31883" xr:uid="{8CFA081D-36BF-4C02-94CF-43F601A5396B}"/>
    <cellStyle name="40 % - Markeringsfarve5 3 3 4" xfId="31884" xr:uid="{74C4C348-5353-434A-A3EE-4695472723CC}"/>
    <cellStyle name="40 % - Markeringsfarve5 3 3 4 2" xfId="31885" xr:uid="{7D9E7522-23B0-44C7-92C5-E0AE257DCCA9}"/>
    <cellStyle name="40 % - Markeringsfarve5 3 3 4 3" xfId="31886" xr:uid="{F6572C32-788A-400B-9F95-31F3FA0CF95B}"/>
    <cellStyle name="40 % - Markeringsfarve5 3 3 5" xfId="31887" xr:uid="{DACE5517-3FC0-435A-97DF-F9D3AC80BA42}"/>
    <cellStyle name="40 % - Markeringsfarve5 3 3 5 2" xfId="31888" xr:uid="{77697459-60DD-468C-BCAD-1EB128343798}"/>
    <cellStyle name="40 % - Markeringsfarve5 3 3 5 3" xfId="31889" xr:uid="{65EAEBE1-C554-4535-A6BF-952862029498}"/>
    <cellStyle name="40 % - Markeringsfarve5 3 3 6" xfId="31890" xr:uid="{062EFE93-1103-45AB-BA66-F9DA03093A8F}"/>
    <cellStyle name="40 % - Markeringsfarve5 3 3 6 2" xfId="31891" xr:uid="{725EB24E-9A3B-4056-82C9-8A3C5C61FF7E}"/>
    <cellStyle name="40 % - Markeringsfarve5 3 3 6 3" xfId="31892" xr:uid="{AC7D07EE-A0E0-47D9-9847-D02F842099A3}"/>
    <cellStyle name="40 % - Markeringsfarve5 3 3 7" xfId="31893" xr:uid="{A1460A30-0BC1-4AEA-A93D-2B97745285DB}"/>
    <cellStyle name="40 % - Markeringsfarve5 3 3 7 2" xfId="31894" xr:uid="{91F7AD2B-0008-43CD-9539-5653AABDE5D5}"/>
    <cellStyle name="40 % - Markeringsfarve5 3 3 8" xfId="31895" xr:uid="{20A7405C-58FF-4FC3-BF25-3F1D7149E576}"/>
    <cellStyle name="40 % - Markeringsfarve5 3 4" xfId="31896" xr:uid="{FD814917-81DF-4C01-BB27-9A0B108C3299}"/>
    <cellStyle name="40 % - Markeringsfarve5 3 4 2" xfId="31897" xr:uid="{52E94C91-CE04-4153-A9F0-91A740F0CA9E}"/>
    <cellStyle name="40 % - Markeringsfarve5 3 4 3" xfId="31898" xr:uid="{D9E1BA70-63EC-42CE-B140-A585DB2CDC54}"/>
    <cellStyle name="40 % - Markeringsfarve5 3 5" xfId="31899" xr:uid="{DB5F7C81-558F-404F-96E1-233B9BB60EF2}"/>
    <cellStyle name="40 % - Markeringsfarve5 3 5 2" xfId="31900" xr:uid="{427B9040-3F22-4561-AC32-37678D2AA303}"/>
    <cellStyle name="40 % - Markeringsfarve5 3 5 3" xfId="31901" xr:uid="{4131DB03-D30B-4107-9CC3-895C330A6B19}"/>
    <cellStyle name="40 % - Markeringsfarve5 3 6" xfId="31902" xr:uid="{29398C6A-C263-4CDC-8D08-D36DF2A475C2}"/>
    <cellStyle name="40 % - Markeringsfarve5 3 6 2" xfId="31903" xr:uid="{C455D4AF-DF65-411C-999F-E81EF2761DEA}"/>
    <cellStyle name="40 % - Markeringsfarve5 3 6 3" xfId="31904" xr:uid="{759971A0-0EAE-4D3B-89D0-F8ED5B5FC1AD}"/>
    <cellStyle name="40 % - Markeringsfarve5 3 7" xfId="31905" xr:uid="{DCF13669-A82D-460D-ABA7-85E56B5E0AD1}"/>
    <cellStyle name="40 % - Markeringsfarve5 3 7 2" xfId="31906" xr:uid="{CBD889EA-7FCC-422A-A0EE-5C44DFACED18}"/>
    <cellStyle name="40 % - Markeringsfarve5 3 7 3" xfId="31907" xr:uid="{5F0FDFAD-D0B5-47F5-8A02-0EC4175271DF}"/>
    <cellStyle name="40 % - Markeringsfarve5 3 8" xfId="31908" xr:uid="{66A0B4FD-6DA2-4D66-8F4E-0C368D6EE3CF}"/>
    <cellStyle name="40 % - Markeringsfarve5 3 8 2" xfId="31909" xr:uid="{E71270D9-13CE-4D74-AF3F-72CD68E676B6}"/>
    <cellStyle name="40 % - Markeringsfarve5 3 8 3" xfId="31910" xr:uid="{12A317A5-ADED-46B5-AC4A-6F611A18877D}"/>
    <cellStyle name="40 % - Markeringsfarve5 3 9" xfId="31911" xr:uid="{9F6DEC67-5150-47F0-9691-4732129965EE}"/>
    <cellStyle name="40 % - Markeringsfarve5 3 9 2" xfId="31912" xr:uid="{84808B93-63BF-41DF-A6DB-9199263E00F9}"/>
    <cellStyle name="40 % - Markeringsfarve5 4" xfId="23612" xr:uid="{63F869E4-23EA-4E1F-A049-4C43F92446C5}"/>
    <cellStyle name="40 % - Markeringsfarve5 4 2" xfId="23613" xr:uid="{44566414-B6EC-4C30-96E4-91AC240635BE}"/>
    <cellStyle name="40 % - Markeringsfarve5 4 2 2" xfId="31913" xr:uid="{A02E2831-2A12-4FB3-8CF3-282263148AB3}"/>
    <cellStyle name="40 % - Markeringsfarve5 4 2 3" xfId="31914" xr:uid="{EB48EDE7-E67E-440C-84F0-43A5623526F9}"/>
    <cellStyle name="40 % - Markeringsfarve5 4 3" xfId="31915" xr:uid="{76B210EC-C3BD-47F0-96A9-C4F42E3A1FC8}"/>
    <cellStyle name="40 % - Markeringsfarve5 4 3 2" xfId="31916" xr:uid="{061290B3-DFEE-4A27-96A6-69948ECE561F}"/>
    <cellStyle name="40 % - Markeringsfarve5 4 3 3" xfId="31917" xr:uid="{16DF8AAB-AB76-4839-A40E-105FC76BBF15}"/>
    <cellStyle name="40 % - Markeringsfarve5 4 4" xfId="31918" xr:uid="{2F8A9D6A-7913-43AF-BABE-2DE95BAF8297}"/>
    <cellStyle name="40 % - Markeringsfarve5 4 4 2" xfId="31919" xr:uid="{7A8CDD14-3FA7-48C8-8381-416F6D151025}"/>
    <cellStyle name="40 % - Markeringsfarve5 4 4 3" xfId="31920" xr:uid="{C2B4EBA1-1735-497E-BABF-42F088F130DB}"/>
    <cellStyle name="40 % - Markeringsfarve5 4 5" xfId="31921" xr:uid="{A9A80B17-E933-43C7-8B7F-D5DBD162AFDB}"/>
    <cellStyle name="40 % - Markeringsfarve5 4 5 2" xfId="31922" xr:uid="{CE0C9813-D61E-4430-9304-A6AC1FD49931}"/>
    <cellStyle name="40 % - Markeringsfarve5 4 5 3" xfId="31923" xr:uid="{271FA1A7-5A87-474D-861D-7B6A62848C5D}"/>
    <cellStyle name="40 % - Markeringsfarve5 4 6" xfId="31924" xr:uid="{695D979F-5551-494B-9269-F3D7F124A331}"/>
    <cellStyle name="40 % - Markeringsfarve5 4 6 2" xfId="31925" xr:uid="{9F4CE42D-7D11-43A8-8DC7-C8684C15B515}"/>
    <cellStyle name="40 % - Markeringsfarve5 4 6 3" xfId="31926" xr:uid="{96583D10-FA95-42B1-93D9-80A3F2E9CED7}"/>
    <cellStyle name="40 % - Markeringsfarve5 4 7" xfId="31927" xr:uid="{3B8A4C4C-178B-4C7C-A6F7-3260A4742020}"/>
    <cellStyle name="40 % - Markeringsfarve5 4 7 2" xfId="31928" xr:uid="{C2943E51-3E8B-47D7-A79F-0F0634A6F294}"/>
    <cellStyle name="40 % - Markeringsfarve5 4 8" xfId="31929" xr:uid="{71B704F5-8F9A-4D15-8A9A-C5791AB87940}"/>
    <cellStyle name="40 % - Markeringsfarve5 5" xfId="23614" xr:uid="{83BDF34E-B842-4529-B05A-C7E7CFD724F1}"/>
    <cellStyle name="40 % - Markeringsfarve5 5 2" xfId="23615" xr:uid="{3C2E5713-0A57-4E01-B8F0-150B5CAEA634}"/>
    <cellStyle name="40 % - Markeringsfarve5 5 2 2" xfId="31930" xr:uid="{BFB54B7B-0DC2-4AD4-BF75-62E997DF428B}"/>
    <cellStyle name="40 % - Markeringsfarve5 5 2 3" xfId="31931" xr:uid="{280E98F4-E16D-456A-88A8-16C175A74F0C}"/>
    <cellStyle name="40 % - Markeringsfarve5 5 3" xfId="31932" xr:uid="{C6FDC8CB-4D81-450E-B7B5-3CCA546E20D7}"/>
    <cellStyle name="40 % - Markeringsfarve5 5 3 2" xfId="31933" xr:uid="{06D2E730-2D95-407D-B564-1C4B91FA8E71}"/>
    <cellStyle name="40 % - Markeringsfarve5 5 3 3" xfId="31934" xr:uid="{7ECEBAA8-99B0-44EE-BE3D-BE5ABF2683E2}"/>
    <cellStyle name="40 % - Markeringsfarve5 5 4" xfId="31935" xr:uid="{A66A4CE1-5907-4A77-AD38-E201ADC35725}"/>
    <cellStyle name="40 % - Markeringsfarve5 5 4 2" xfId="31936" xr:uid="{09537570-6099-4854-A734-F64D04F2366D}"/>
    <cellStyle name="40 % - Markeringsfarve5 5 4 3" xfId="31937" xr:uid="{58B25154-6973-4DD1-9F1C-DC91DBDD759E}"/>
    <cellStyle name="40 % - Markeringsfarve5 5 5" xfId="31938" xr:uid="{0424BA80-FCD7-4037-AEC1-53E1EFCC1859}"/>
    <cellStyle name="40 % - Markeringsfarve5 5 5 2" xfId="31939" xr:uid="{F77B1801-62AE-47EB-AA12-866AA064841A}"/>
    <cellStyle name="40 % - Markeringsfarve5 5 5 3" xfId="31940" xr:uid="{DF53B6FD-CDA1-4BB4-93D0-F6984B78CFE3}"/>
    <cellStyle name="40 % - Markeringsfarve5 5 6" xfId="31941" xr:uid="{3E1275A1-FCC4-4180-A7B7-EE17607254BB}"/>
    <cellStyle name="40 % - Markeringsfarve5 5 6 2" xfId="31942" xr:uid="{E26660B4-547B-44D4-A734-7E5F1B7BDF5B}"/>
    <cellStyle name="40 % - Markeringsfarve5 5 6 3" xfId="31943" xr:uid="{C1BE81D4-B652-4540-A66A-F571A5F75FB3}"/>
    <cellStyle name="40 % - Markeringsfarve5 5 7" xfId="31944" xr:uid="{510FC001-1367-4DF1-9C72-5C7185E5FDED}"/>
    <cellStyle name="40 % - Markeringsfarve5 5 7 2" xfId="31945" xr:uid="{03324C39-E9FB-4A60-859F-AAC0DDA1D5E1}"/>
    <cellStyle name="40 % - Markeringsfarve5 5 8" xfId="31946" xr:uid="{0DD7455A-2296-4BB8-8705-F14B002B0568}"/>
    <cellStyle name="40 % - Markeringsfarve5 6" xfId="23616" xr:uid="{56BB0587-E464-4DD4-8CA1-3E7A0B4238E4}"/>
    <cellStyle name="40 % - Markeringsfarve5 6 2" xfId="23617" xr:uid="{273B1F06-D4F6-4EED-8975-C7DE0796FA09}"/>
    <cellStyle name="40 % - Markeringsfarve5 6 3" xfId="31947" xr:uid="{F5A3D9E2-F0E5-4756-A75F-F3B180D4D436}"/>
    <cellStyle name="40 % - Markeringsfarve5 7" xfId="23618" xr:uid="{4BA96272-AD16-4CB2-9AAD-3AA6C55DAF94}"/>
    <cellStyle name="40 % - Markeringsfarve5 7 2" xfId="31948" xr:uid="{942AE209-79A0-4524-91F6-F1ECAC9734B4}"/>
    <cellStyle name="40 % - Markeringsfarve5 7 3" xfId="31949" xr:uid="{CECAAB17-172E-4A0A-A222-2BC0E5B750D2}"/>
    <cellStyle name="40 % - Markeringsfarve5 8" xfId="31950" xr:uid="{D9BDEDBA-3298-4CD8-8662-885DD1E39FCC}"/>
    <cellStyle name="40 % - Markeringsfarve5 8 2" xfId="31951" xr:uid="{61BDB8C1-4EB4-46AC-89F9-F4DF67E72B67}"/>
    <cellStyle name="40 % - Markeringsfarve5 8 3" xfId="31952" xr:uid="{A72AC75D-77C9-4E97-A34D-226C2963CC5C}"/>
    <cellStyle name="40 % - Markeringsfarve5 9" xfId="31953" xr:uid="{7CF2E59C-64E6-4538-A69B-F6AC97BF3EAE}"/>
    <cellStyle name="40 % - Markeringsfarve5 9 2" xfId="31954" xr:uid="{80A93F8B-088C-46EE-83CB-C26CC3E30016}"/>
    <cellStyle name="40 % - Markeringsfarve5 9 3" xfId="31955" xr:uid="{C29BEADE-D498-455A-A53E-99943BE70B9D}"/>
    <cellStyle name="40 % - Markeringsfarve6" xfId="1281" xr:uid="{00000000-0005-0000-0000-000022000000}"/>
    <cellStyle name="40 % - Markeringsfarve6 10" xfId="31956" xr:uid="{EC5AAE7B-0F76-4A4A-B7B3-C20260F1312C}"/>
    <cellStyle name="40 % - Markeringsfarve6 10 2" xfId="31957" xr:uid="{98F2D6C6-7539-448B-81B5-BBF10742C831}"/>
    <cellStyle name="40 % - Markeringsfarve6 10 3" xfId="31958" xr:uid="{91057D61-72EC-426E-8D0E-FA63B58781A5}"/>
    <cellStyle name="40 % - Markeringsfarve6 11" xfId="31959" xr:uid="{9DEEEA39-BAA5-40F3-83B7-8B810675CC1E}"/>
    <cellStyle name="40 % - Markeringsfarve6 11 2" xfId="31960" xr:uid="{E491FFFF-DD6A-4811-B3BD-9B4C27033A62}"/>
    <cellStyle name="40 % - Markeringsfarve6 12" xfId="31961" xr:uid="{7AEB2CC0-DCFA-4E8B-BA58-0A79970EA1AD}"/>
    <cellStyle name="40 % - Markeringsfarve6 13" xfId="17739" xr:uid="{C87B72B5-541C-4DCD-B72D-00376F1ADDEE}"/>
    <cellStyle name="40 % - Markeringsfarve6 2" xfId="1282" xr:uid="{00000000-0005-0000-0000-000023000000}"/>
    <cellStyle name="40 % - Markeringsfarve6 2 10" xfId="31962" xr:uid="{148D4243-947E-4A7F-A278-C7C0DA298D59}"/>
    <cellStyle name="40 % - Markeringsfarve6 2 11" xfId="17740" xr:uid="{7EDB3965-2365-439C-BB2C-02738990AFBA}"/>
    <cellStyle name="40 % - Markeringsfarve6 2 2" xfId="23619" xr:uid="{128F2C9D-CBBC-41C5-B1C1-217F97DD5B13}"/>
    <cellStyle name="40 % - Markeringsfarve6 2 2 2" xfId="23620" xr:uid="{C0BC3B00-5223-4EC2-A12E-AFB6E26C9226}"/>
    <cellStyle name="40 % - Markeringsfarve6 2 2 2 2" xfId="31963" xr:uid="{590DB729-ABDB-4EF9-A9D8-4E0793202211}"/>
    <cellStyle name="40 % - Markeringsfarve6 2 2 2 3" xfId="31964" xr:uid="{92E54B89-7671-4CA0-95E9-7E50CDCAC225}"/>
    <cellStyle name="40 % - Markeringsfarve6 2 2 3" xfId="31965" xr:uid="{40D2C87D-BB33-481B-8751-CEEDEFBBCEA4}"/>
    <cellStyle name="40 % - Markeringsfarve6 2 2 3 2" xfId="31966" xr:uid="{C31CD303-B205-4B2E-AB42-2EED0B3F1D82}"/>
    <cellStyle name="40 % - Markeringsfarve6 2 2 3 3" xfId="31967" xr:uid="{89D7AABB-26DB-4690-A8A2-6788AA97A0B8}"/>
    <cellStyle name="40 % - Markeringsfarve6 2 2 4" xfId="31968" xr:uid="{2CE919DC-DF51-4BAC-A703-0ADB7A1A6D81}"/>
    <cellStyle name="40 % - Markeringsfarve6 2 2 4 2" xfId="31969" xr:uid="{B93327D5-0084-4D39-96A6-FAC54612D62D}"/>
    <cellStyle name="40 % - Markeringsfarve6 2 2 4 3" xfId="31970" xr:uid="{BEA2B190-384C-4908-BB02-B3440CFC6A32}"/>
    <cellStyle name="40 % - Markeringsfarve6 2 2 5" xfId="31971" xr:uid="{3D47101A-1E2C-4921-8E03-80733991EE53}"/>
    <cellStyle name="40 % - Markeringsfarve6 2 2 5 2" xfId="31972" xr:uid="{D7732CE8-2FFC-46A7-9B6D-CE05D52F990F}"/>
    <cellStyle name="40 % - Markeringsfarve6 2 2 5 3" xfId="31973" xr:uid="{A375FC63-A4EA-4892-82B8-9F3ECA20DF04}"/>
    <cellStyle name="40 % - Markeringsfarve6 2 2 6" xfId="31974" xr:uid="{D5B880BF-805C-470C-83A3-4115C1A4B2E5}"/>
    <cellStyle name="40 % - Markeringsfarve6 2 2 6 2" xfId="31975" xr:uid="{E63BFA38-FAF5-4ABD-BD01-72E2CD8B768B}"/>
    <cellStyle name="40 % - Markeringsfarve6 2 2 6 3" xfId="31976" xr:uid="{7AFDC77B-1376-4EAD-9DAE-92E3D691EC9D}"/>
    <cellStyle name="40 % - Markeringsfarve6 2 2 7" xfId="31977" xr:uid="{235DBEB9-C6ED-4E8B-A858-F5C4BCB1F864}"/>
    <cellStyle name="40 % - Markeringsfarve6 2 2 7 2" xfId="31978" xr:uid="{552000B7-9713-4B58-B813-C3C6F93AF39C}"/>
    <cellStyle name="40 % - Markeringsfarve6 2 2 8" xfId="31979" xr:uid="{8C754C1A-39ED-459A-AB00-9568B016DEE6}"/>
    <cellStyle name="40 % - Markeringsfarve6 2 3" xfId="23621" xr:uid="{F4D57D28-41AD-476A-A855-B8C1B5C927DB}"/>
    <cellStyle name="40 % - Markeringsfarve6 2 3 2" xfId="23622" xr:uid="{D4FCE1F5-016D-471C-897B-9BEA3F6E1B4C}"/>
    <cellStyle name="40 % - Markeringsfarve6 2 3 2 2" xfId="31980" xr:uid="{8C8C01D3-00BF-443F-8002-99218F7BED7F}"/>
    <cellStyle name="40 % - Markeringsfarve6 2 3 2 3" xfId="31981" xr:uid="{CE13D54B-E3DD-4E21-BAD9-38089CFEE2EA}"/>
    <cellStyle name="40 % - Markeringsfarve6 2 3 3" xfId="31982" xr:uid="{0F9AF3F1-1574-438D-B5CF-F46891503082}"/>
    <cellStyle name="40 % - Markeringsfarve6 2 3 3 2" xfId="31983" xr:uid="{90EFB016-E4A8-4B51-ACC1-5F41192C2913}"/>
    <cellStyle name="40 % - Markeringsfarve6 2 3 3 3" xfId="31984" xr:uid="{ED8CE86D-AE17-481A-AEA9-7E3021455717}"/>
    <cellStyle name="40 % - Markeringsfarve6 2 3 4" xfId="31985" xr:uid="{F431A925-9F81-4E3E-8786-007B0ECECD90}"/>
    <cellStyle name="40 % - Markeringsfarve6 2 3 4 2" xfId="31986" xr:uid="{0C73FAD4-97AA-4E3B-81B7-D24D35AD7D0A}"/>
    <cellStyle name="40 % - Markeringsfarve6 2 3 4 3" xfId="31987" xr:uid="{B3E29245-17B8-42ED-84E3-916A746D12F1}"/>
    <cellStyle name="40 % - Markeringsfarve6 2 3 5" xfId="31988" xr:uid="{46183080-0B90-448D-8501-BAAC70C1DFF3}"/>
    <cellStyle name="40 % - Markeringsfarve6 2 3 5 2" xfId="31989" xr:uid="{9D225A50-13D1-4F8A-9125-97CCEC47A8B0}"/>
    <cellStyle name="40 % - Markeringsfarve6 2 3 5 3" xfId="31990" xr:uid="{9D068593-3CCB-4248-8A14-8BB4EBFA95ED}"/>
    <cellStyle name="40 % - Markeringsfarve6 2 3 6" xfId="31991" xr:uid="{B65C4E88-D9EF-451E-88D7-699A810EA313}"/>
    <cellStyle name="40 % - Markeringsfarve6 2 3 6 2" xfId="31992" xr:uid="{0E4BDEA3-1EE2-47CC-A2F8-BD8C6ECFD8BA}"/>
    <cellStyle name="40 % - Markeringsfarve6 2 3 6 3" xfId="31993" xr:uid="{88591462-1D59-470A-8804-C885D2EAC3A2}"/>
    <cellStyle name="40 % - Markeringsfarve6 2 3 7" xfId="31994" xr:uid="{0C485E4D-B425-4F5E-AD87-7C75D8F25A15}"/>
    <cellStyle name="40 % - Markeringsfarve6 2 3 7 2" xfId="31995" xr:uid="{60132DF5-9ED1-464D-83F6-2B07D9CCC486}"/>
    <cellStyle name="40 % - Markeringsfarve6 2 3 8" xfId="31996" xr:uid="{9BC46B2E-8F95-4430-A823-46BD0397BC76}"/>
    <cellStyle name="40 % - Markeringsfarve6 2 4" xfId="23623" xr:uid="{429B215E-41F3-434D-A54C-C3203BE4AE3C}"/>
    <cellStyle name="40 % - Markeringsfarve6 2 4 2" xfId="31997" xr:uid="{A97FD553-6AD1-4EF4-B4DE-A325613B2130}"/>
    <cellStyle name="40 % - Markeringsfarve6 2 4 3" xfId="31998" xr:uid="{EFADC3A4-057A-4B59-B043-1C0C2FD31C96}"/>
    <cellStyle name="40 % - Markeringsfarve6 2 5" xfId="31999" xr:uid="{86C56A49-0BE0-4DC9-A548-A96953DADEE8}"/>
    <cellStyle name="40 % - Markeringsfarve6 2 5 2" xfId="32000" xr:uid="{8412EF1E-A5B1-4684-8F7D-923E4329EB4E}"/>
    <cellStyle name="40 % - Markeringsfarve6 2 5 3" xfId="32001" xr:uid="{6D2F4697-3BF1-4507-9540-F5A83A08ED51}"/>
    <cellStyle name="40 % - Markeringsfarve6 2 6" xfId="32002" xr:uid="{C9F4ACAE-E2C8-457E-A6A4-2FE329637942}"/>
    <cellStyle name="40 % - Markeringsfarve6 2 6 2" xfId="32003" xr:uid="{7C292225-7595-48F5-ABB0-07FA69104133}"/>
    <cellStyle name="40 % - Markeringsfarve6 2 6 3" xfId="32004" xr:uid="{A5650298-7A0F-44C9-B9E5-FF356A08A047}"/>
    <cellStyle name="40 % - Markeringsfarve6 2 7" xfId="32005" xr:uid="{684C5E67-F399-4244-814C-7B1B2422B4EB}"/>
    <cellStyle name="40 % - Markeringsfarve6 2 7 2" xfId="32006" xr:uid="{C8E1DE88-E5CE-4AD0-A429-FF7F991BB09F}"/>
    <cellStyle name="40 % - Markeringsfarve6 2 7 3" xfId="32007" xr:uid="{CB0FD41F-6255-4C97-8D87-5C8BDDB36A0D}"/>
    <cellStyle name="40 % - Markeringsfarve6 2 8" xfId="32008" xr:uid="{16B552E7-2490-4D79-BFA6-01FCE895A977}"/>
    <cellStyle name="40 % - Markeringsfarve6 2 8 2" xfId="32009" xr:uid="{172BF27D-1089-4074-83E7-75703DDA721C}"/>
    <cellStyle name="40 % - Markeringsfarve6 2 8 3" xfId="32010" xr:uid="{5B4F2686-A31A-4387-A8CC-94F09231AA66}"/>
    <cellStyle name="40 % - Markeringsfarve6 2 9" xfId="32011" xr:uid="{C870165E-D4E2-47A8-8CEE-B149FB8AB307}"/>
    <cellStyle name="40 % - Markeringsfarve6 2 9 2" xfId="32012" xr:uid="{4B4BEE55-9215-4A59-BA17-D467810C2783}"/>
    <cellStyle name="40 % - Markeringsfarve6 3" xfId="2596" xr:uid="{6FBBB8E0-3B6E-43BD-80D9-D7AAD483C000}"/>
    <cellStyle name="40 % - Markeringsfarve6 3 10" xfId="32013" xr:uid="{82B72161-D74E-4DD9-96EB-D1BE64F2FEFE}"/>
    <cellStyle name="40 % - Markeringsfarve6 3 2" xfId="23624" xr:uid="{22B7C103-371F-44A1-AAD1-3068EE4F917B}"/>
    <cellStyle name="40 % - Markeringsfarve6 3 2 2" xfId="32014" xr:uid="{786F043D-CDB3-48E8-A367-72B0A50BA88B}"/>
    <cellStyle name="40 % - Markeringsfarve6 3 2 2 2" xfId="32015" xr:uid="{EDCB024E-9E42-4CCD-A518-8172B94A0292}"/>
    <cellStyle name="40 % - Markeringsfarve6 3 2 2 3" xfId="32016" xr:uid="{9BC17F36-7B3F-4D3D-82B0-14FE9DBCCD84}"/>
    <cellStyle name="40 % - Markeringsfarve6 3 2 3" xfId="32017" xr:uid="{EDFF1535-DBF0-4B86-B4CC-EBCA697F9E9A}"/>
    <cellStyle name="40 % - Markeringsfarve6 3 2 3 2" xfId="32018" xr:uid="{C95C8301-CBC2-40CF-A948-291D2E42A16B}"/>
    <cellStyle name="40 % - Markeringsfarve6 3 2 3 3" xfId="32019" xr:uid="{6C903CF0-8363-4BBD-BFCD-31ED200B87BA}"/>
    <cellStyle name="40 % - Markeringsfarve6 3 2 4" xfId="32020" xr:uid="{0E5868E0-561E-4916-BD38-E6AD2CE5FE12}"/>
    <cellStyle name="40 % - Markeringsfarve6 3 2 4 2" xfId="32021" xr:uid="{7FDD3ADA-BA38-4E7D-86F7-E780D84977EE}"/>
    <cellStyle name="40 % - Markeringsfarve6 3 2 4 3" xfId="32022" xr:uid="{6D030073-5F44-4A8D-BCB0-69EAA7652B45}"/>
    <cellStyle name="40 % - Markeringsfarve6 3 2 5" xfId="32023" xr:uid="{11AA8930-D372-41FF-93BB-35ED474C278C}"/>
    <cellStyle name="40 % - Markeringsfarve6 3 2 5 2" xfId="32024" xr:uid="{97FF1D60-FB7F-4441-91B8-324E70233384}"/>
    <cellStyle name="40 % - Markeringsfarve6 3 2 5 3" xfId="32025" xr:uid="{EC0416C7-7218-4ADB-A8BA-67DB5298C322}"/>
    <cellStyle name="40 % - Markeringsfarve6 3 2 6" xfId="32026" xr:uid="{EE0AB542-5333-40A6-A6F7-EE6AB0FAF20E}"/>
    <cellStyle name="40 % - Markeringsfarve6 3 2 6 2" xfId="32027" xr:uid="{629B03DC-E66C-4325-9295-030DAD99B058}"/>
    <cellStyle name="40 % - Markeringsfarve6 3 2 6 3" xfId="32028" xr:uid="{CE1AA16C-0AD9-4BCC-B839-88C32DEE7947}"/>
    <cellStyle name="40 % - Markeringsfarve6 3 2 7" xfId="32029" xr:uid="{0ED76318-E899-4483-93ED-BFD88D5B856D}"/>
    <cellStyle name="40 % - Markeringsfarve6 3 2 7 2" xfId="32030" xr:uid="{0BF9132D-FC50-461A-A77C-39F76F419429}"/>
    <cellStyle name="40 % - Markeringsfarve6 3 2 8" xfId="32031" xr:uid="{14B6F125-C55D-4E3B-BF49-34A3443615A5}"/>
    <cellStyle name="40 % - Markeringsfarve6 3 3" xfId="32032" xr:uid="{22CC63A7-97D8-48BB-9BC6-5623204EC1B2}"/>
    <cellStyle name="40 % - Markeringsfarve6 3 3 2" xfId="32033" xr:uid="{EEAD151D-2465-45E5-95DB-E18319616632}"/>
    <cellStyle name="40 % - Markeringsfarve6 3 3 2 2" xfId="32034" xr:uid="{A994C82A-F8F0-4687-8D7B-66F3E2152BEC}"/>
    <cellStyle name="40 % - Markeringsfarve6 3 3 2 3" xfId="32035" xr:uid="{9303702E-E841-4DCF-B8A0-766CB90863E7}"/>
    <cellStyle name="40 % - Markeringsfarve6 3 3 3" xfId="32036" xr:uid="{120B48E2-4E53-4A91-A537-B2FAC4BCB4F5}"/>
    <cellStyle name="40 % - Markeringsfarve6 3 3 3 2" xfId="32037" xr:uid="{8F1963A0-4741-427A-99F9-A10755FE4CF8}"/>
    <cellStyle name="40 % - Markeringsfarve6 3 3 3 3" xfId="32038" xr:uid="{296A7086-AD10-4678-9592-CC954DC0FEFC}"/>
    <cellStyle name="40 % - Markeringsfarve6 3 3 4" xfId="32039" xr:uid="{B408A020-F392-480B-9F3B-74BFCABC0B84}"/>
    <cellStyle name="40 % - Markeringsfarve6 3 3 4 2" xfId="32040" xr:uid="{2D764744-B478-401A-8BAA-4B359E956EAA}"/>
    <cellStyle name="40 % - Markeringsfarve6 3 3 4 3" xfId="32041" xr:uid="{9C4D4359-8BBC-42F2-96B3-F7B3B514B3B8}"/>
    <cellStyle name="40 % - Markeringsfarve6 3 3 5" xfId="32042" xr:uid="{CA6DE8A8-D3D6-46CE-BE2B-2DD55E12FF46}"/>
    <cellStyle name="40 % - Markeringsfarve6 3 3 5 2" xfId="32043" xr:uid="{95E42FD3-2243-441E-854D-7D2F567079F8}"/>
    <cellStyle name="40 % - Markeringsfarve6 3 3 5 3" xfId="32044" xr:uid="{829E8179-B35D-4E6D-B25F-4791CC1A7444}"/>
    <cellStyle name="40 % - Markeringsfarve6 3 3 6" xfId="32045" xr:uid="{E587E1D7-9976-45A1-A83B-722067746A03}"/>
    <cellStyle name="40 % - Markeringsfarve6 3 3 6 2" xfId="32046" xr:uid="{500C6C5F-3765-478D-9333-A53C5921C001}"/>
    <cellStyle name="40 % - Markeringsfarve6 3 3 6 3" xfId="32047" xr:uid="{DE8AB853-EEF6-45FD-B6D6-93DDC451C9DD}"/>
    <cellStyle name="40 % - Markeringsfarve6 3 3 7" xfId="32048" xr:uid="{FD58D339-FB96-4E69-AC14-6AB762035AFC}"/>
    <cellStyle name="40 % - Markeringsfarve6 3 3 7 2" xfId="32049" xr:uid="{E3AC4E95-0DEF-490C-AD2C-780E3A910D9F}"/>
    <cellStyle name="40 % - Markeringsfarve6 3 3 8" xfId="32050" xr:uid="{49DD4818-6C5E-462B-9A68-BAD45591E630}"/>
    <cellStyle name="40 % - Markeringsfarve6 3 4" xfId="32051" xr:uid="{FA7E45C0-6E05-4F92-89C6-BED517622127}"/>
    <cellStyle name="40 % - Markeringsfarve6 3 4 2" xfId="32052" xr:uid="{7906519E-DBBD-41CD-BE42-F82CD75C5979}"/>
    <cellStyle name="40 % - Markeringsfarve6 3 4 3" xfId="32053" xr:uid="{E0ED768C-EADF-46E0-A3A3-40186D6BC51B}"/>
    <cellStyle name="40 % - Markeringsfarve6 3 5" xfId="32054" xr:uid="{AB93E065-44B8-4831-9844-C56A16823924}"/>
    <cellStyle name="40 % - Markeringsfarve6 3 5 2" xfId="32055" xr:uid="{D0EBF93D-04DE-4C96-A495-B7A9F8ED17D7}"/>
    <cellStyle name="40 % - Markeringsfarve6 3 5 3" xfId="32056" xr:uid="{D396BD59-85B2-4C35-9FAB-1A000221F034}"/>
    <cellStyle name="40 % - Markeringsfarve6 3 6" xfId="32057" xr:uid="{1D8DE9CB-531E-4A03-9C16-B00BF011F2F8}"/>
    <cellStyle name="40 % - Markeringsfarve6 3 6 2" xfId="32058" xr:uid="{DFE5C0A4-1533-4C16-A426-EF345916D678}"/>
    <cellStyle name="40 % - Markeringsfarve6 3 6 3" xfId="32059" xr:uid="{F013284F-E7DA-47F4-A54D-6C7DBDB4C0C5}"/>
    <cellStyle name="40 % - Markeringsfarve6 3 7" xfId="32060" xr:uid="{2346979D-D5AA-4AB6-95E9-DB5EDFF073B8}"/>
    <cellStyle name="40 % - Markeringsfarve6 3 7 2" xfId="32061" xr:uid="{23D4AD17-996D-4895-80C0-6FB34F66B452}"/>
    <cellStyle name="40 % - Markeringsfarve6 3 7 3" xfId="32062" xr:uid="{A212928A-A4AE-48A2-B128-D2355E6C6609}"/>
    <cellStyle name="40 % - Markeringsfarve6 3 8" xfId="32063" xr:uid="{0FA6A509-0F62-46A9-B708-540A7371900D}"/>
    <cellStyle name="40 % - Markeringsfarve6 3 8 2" xfId="32064" xr:uid="{4634F908-98BD-429F-8FD1-DF8C78B4B7EA}"/>
    <cellStyle name="40 % - Markeringsfarve6 3 8 3" xfId="32065" xr:uid="{942E4D4F-AF46-48CC-8F67-5D9DCE1F437A}"/>
    <cellStyle name="40 % - Markeringsfarve6 3 9" xfId="32066" xr:uid="{2951B334-4BAA-4F85-A095-8FE9085E031C}"/>
    <cellStyle name="40 % - Markeringsfarve6 3 9 2" xfId="32067" xr:uid="{49993DB7-C19E-4931-ADC4-D72F7FB0140D}"/>
    <cellStyle name="40 % - Markeringsfarve6 4" xfId="23625" xr:uid="{8B669A73-835F-4A26-AD87-C1150B24EB92}"/>
    <cellStyle name="40 % - Markeringsfarve6 4 2" xfId="23626" xr:uid="{85289CDB-C002-4FEF-9C9F-B86043E8BEF5}"/>
    <cellStyle name="40 % - Markeringsfarve6 4 2 2" xfId="32068" xr:uid="{35FAFEC7-93ED-4F00-B210-9898AC4C9185}"/>
    <cellStyle name="40 % - Markeringsfarve6 4 2 3" xfId="32069" xr:uid="{7DC82E38-0579-47F2-ADEC-5F3D1E31E596}"/>
    <cellStyle name="40 % - Markeringsfarve6 4 3" xfId="32070" xr:uid="{7DEECB36-63AA-476E-AEFF-9AEA355C54F0}"/>
    <cellStyle name="40 % - Markeringsfarve6 4 3 2" xfId="32071" xr:uid="{CF49037A-FBB9-4606-8DC1-0CC5B4A812A0}"/>
    <cellStyle name="40 % - Markeringsfarve6 4 3 3" xfId="32072" xr:uid="{7642EF24-794F-4361-B0C4-B3A0CA0F271F}"/>
    <cellStyle name="40 % - Markeringsfarve6 4 4" xfId="32073" xr:uid="{79DB3D27-2ED3-41DB-9606-305D6367B281}"/>
    <cellStyle name="40 % - Markeringsfarve6 4 4 2" xfId="32074" xr:uid="{98662FFA-744D-49B6-BD64-8FDCAE5B78D7}"/>
    <cellStyle name="40 % - Markeringsfarve6 4 4 3" xfId="32075" xr:uid="{D12F6088-4E90-4D2D-9436-227D174B5F7E}"/>
    <cellStyle name="40 % - Markeringsfarve6 4 5" xfId="32076" xr:uid="{F3D5FD55-9F8C-4827-8D16-FD582FA34F3E}"/>
    <cellStyle name="40 % - Markeringsfarve6 4 5 2" xfId="32077" xr:uid="{3D486588-169D-4556-BE17-984D7F36B81E}"/>
    <cellStyle name="40 % - Markeringsfarve6 4 5 3" xfId="32078" xr:uid="{0EDCADAA-5046-495D-935A-4451FBE03386}"/>
    <cellStyle name="40 % - Markeringsfarve6 4 6" xfId="32079" xr:uid="{74E8D3FA-08E7-4F41-B503-BAAA52A91030}"/>
    <cellStyle name="40 % - Markeringsfarve6 4 6 2" xfId="32080" xr:uid="{9F49047D-A249-4047-B2FB-F58911D36522}"/>
    <cellStyle name="40 % - Markeringsfarve6 4 6 3" xfId="32081" xr:uid="{C88B1833-9B5B-4FED-B6DF-8F1317749F93}"/>
    <cellStyle name="40 % - Markeringsfarve6 4 7" xfId="32082" xr:uid="{59D15DC1-3E8A-45F3-B606-7CAA4DD9FFA2}"/>
    <cellStyle name="40 % - Markeringsfarve6 4 7 2" xfId="32083" xr:uid="{8B830FCD-D55C-4C13-8286-6B384F0C09DA}"/>
    <cellStyle name="40 % - Markeringsfarve6 4 8" xfId="32084" xr:uid="{DA75186C-A091-4720-A527-4F299C070228}"/>
    <cellStyle name="40 % - Markeringsfarve6 5" xfId="23627" xr:uid="{DFF24C8F-0645-4F3F-8ECB-B1CB753C6D86}"/>
    <cellStyle name="40 % - Markeringsfarve6 5 2" xfId="23628" xr:uid="{F8F32FF3-4F96-4E78-ABB9-3070F6427F22}"/>
    <cellStyle name="40 % - Markeringsfarve6 5 2 2" xfId="32085" xr:uid="{3E665619-D13F-4CA6-A7CB-456F6080F0A4}"/>
    <cellStyle name="40 % - Markeringsfarve6 5 2 3" xfId="32086" xr:uid="{00DA536F-D285-4AFC-90B7-D3FC885F6AB3}"/>
    <cellStyle name="40 % - Markeringsfarve6 5 3" xfId="32087" xr:uid="{F280E1D8-C782-4BB8-A271-47470E636828}"/>
    <cellStyle name="40 % - Markeringsfarve6 5 3 2" xfId="32088" xr:uid="{BDF7A9EE-0D31-46D6-9EFE-293259E54742}"/>
    <cellStyle name="40 % - Markeringsfarve6 5 3 3" xfId="32089" xr:uid="{E6F98FEC-412B-451C-82D3-EE87117C3FDD}"/>
    <cellStyle name="40 % - Markeringsfarve6 5 4" xfId="32090" xr:uid="{F2C80958-484D-4742-A4D2-32E70ED80031}"/>
    <cellStyle name="40 % - Markeringsfarve6 5 4 2" xfId="32091" xr:uid="{BBAE0DEB-D70D-42E2-A119-BEDEDF9C9A7A}"/>
    <cellStyle name="40 % - Markeringsfarve6 5 4 3" xfId="32092" xr:uid="{E673ECAB-C5CE-4467-908A-5811553413F6}"/>
    <cellStyle name="40 % - Markeringsfarve6 5 5" xfId="32093" xr:uid="{E99A8961-079D-482C-9066-841F00CC7111}"/>
    <cellStyle name="40 % - Markeringsfarve6 5 5 2" xfId="32094" xr:uid="{86E9B85B-B1F3-4956-9520-014399AB57B7}"/>
    <cellStyle name="40 % - Markeringsfarve6 5 5 3" xfId="32095" xr:uid="{FF6F1CF4-FB4C-4099-B0CA-FF654D17AA9F}"/>
    <cellStyle name="40 % - Markeringsfarve6 5 6" xfId="32096" xr:uid="{EE608A0C-FACA-45FE-9D8B-3688A323BD2C}"/>
    <cellStyle name="40 % - Markeringsfarve6 5 6 2" xfId="32097" xr:uid="{47FA2A2B-5A27-4569-BCBE-1A06F6E5D1DF}"/>
    <cellStyle name="40 % - Markeringsfarve6 5 6 3" xfId="32098" xr:uid="{81BBD36E-0B76-4E2B-A7F8-32815328CB2D}"/>
    <cellStyle name="40 % - Markeringsfarve6 5 7" xfId="32099" xr:uid="{F1C46960-9699-46AB-90EC-E666ED2807F4}"/>
    <cellStyle name="40 % - Markeringsfarve6 5 7 2" xfId="32100" xr:uid="{317525FD-2ED1-4A21-B3F5-52138B4A5B38}"/>
    <cellStyle name="40 % - Markeringsfarve6 5 8" xfId="32101" xr:uid="{0F1E9AFD-C5B7-43AD-BA7A-2980A650AA8A}"/>
    <cellStyle name="40 % - Markeringsfarve6 6" xfId="23629" xr:uid="{61FF83E9-43D1-4F6E-BDDF-D9059E1C7ACE}"/>
    <cellStyle name="40 % - Markeringsfarve6 6 2" xfId="23630" xr:uid="{124F9F70-08BE-4680-AC49-725640823113}"/>
    <cellStyle name="40 % - Markeringsfarve6 6 3" xfId="32102" xr:uid="{9FD7885A-8EF7-414B-BCA4-8D082BE8575A}"/>
    <cellStyle name="40 % - Markeringsfarve6 7" xfId="23631" xr:uid="{F375B9C4-C4C1-467F-9DAC-A38E862F7160}"/>
    <cellStyle name="40 % - Markeringsfarve6 7 2" xfId="32103" xr:uid="{2EB3EAB9-09CE-4137-9A52-041E7C790EB1}"/>
    <cellStyle name="40 % - Markeringsfarve6 7 3" xfId="32104" xr:uid="{3442B480-24C9-4840-80C9-58447415CCE6}"/>
    <cellStyle name="40 % - Markeringsfarve6 8" xfId="32105" xr:uid="{9383DB0B-7110-4D38-92E3-A418165B7D46}"/>
    <cellStyle name="40 % - Markeringsfarve6 8 2" xfId="32106" xr:uid="{06C990DE-7837-4877-818D-E10C4F392140}"/>
    <cellStyle name="40 % - Markeringsfarve6 8 3" xfId="32107" xr:uid="{639E9F8B-3776-4EEF-B79F-6A078EC47BB4}"/>
    <cellStyle name="40 % - Markeringsfarve6 9" xfId="32108" xr:uid="{FD7C7D1B-CE31-47A0-ACC7-2FD9CA49A8C7}"/>
    <cellStyle name="40 % - Markeringsfarve6 9 2" xfId="32109" xr:uid="{C6963BAD-7375-4911-B2C5-9E2560EBF025}"/>
    <cellStyle name="40 % - Markeringsfarve6 9 3" xfId="32110" xr:uid="{CFDBFEF0-5BB3-4130-8128-33F27D483223}"/>
    <cellStyle name="40% - Accent1 2" xfId="23632" xr:uid="{6418353F-4D5B-4974-B10D-F356A2EC0461}"/>
    <cellStyle name="40% - Accent2 2" xfId="23633" xr:uid="{91D0976E-C358-41FE-BF01-08754447FCF7}"/>
    <cellStyle name="40% - Accent3 2" xfId="23634" xr:uid="{5805ECBF-3415-4C73-BD59-36715F2A5FC6}"/>
    <cellStyle name="40% - Accent4 2" xfId="23635" xr:uid="{53BD2906-FF9D-4228-9875-0BDB6F4922C1}"/>
    <cellStyle name="40% - Accent5 2" xfId="23636" xr:uid="{189E0385-4264-401E-B5C2-5642F02D970D}"/>
    <cellStyle name="40% - Accent6 2" xfId="23637" xr:uid="{733EF9E3-C673-4D27-97EA-F82148D6E7A0}"/>
    <cellStyle name="40% - Colore 1" xfId="13" xr:uid="{00000000-0005-0000-0000-000024000000}"/>
    <cellStyle name="40% - Colore 1 2" xfId="14" xr:uid="{00000000-0005-0000-0000-000025000000}"/>
    <cellStyle name="40% - Colore 2" xfId="15" xr:uid="{00000000-0005-0000-0000-000026000000}"/>
    <cellStyle name="40% - Colore 2 2" xfId="16" xr:uid="{00000000-0005-0000-0000-000027000000}"/>
    <cellStyle name="40% - Colore 3" xfId="17" xr:uid="{00000000-0005-0000-0000-000028000000}"/>
    <cellStyle name="40% - Colore 3 2" xfId="18" xr:uid="{00000000-0005-0000-0000-000029000000}"/>
    <cellStyle name="40% - Colore 4" xfId="19" xr:uid="{00000000-0005-0000-0000-00002A000000}"/>
    <cellStyle name="40% - Colore 4 2" xfId="20" xr:uid="{00000000-0005-0000-0000-00002B000000}"/>
    <cellStyle name="40% - Colore 5" xfId="21" xr:uid="{00000000-0005-0000-0000-00002C000000}"/>
    <cellStyle name="40% - Colore 5 2" xfId="22" xr:uid="{00000000-0005-0000-0000-00002D000000}"/>
    <cellStyle name="40% - Colore 6" xfId="23" xr:uid="{00000000-0005-0000-0000-00002E000000}"/>
    <cellStyle name="40% - Colore 6 2" xfId="24" xr:uid="{00000000-0005-0000-0000-00002F000000}"/>
    <cellStyle name="5x indented GHG Textfiels" xfId="25" xr:uid="{00000000-0005-0000-0000-000030000000}"/>
    <cellStyle name="5x indented GHG Textfiels 2" xfId="2597" xr:uid="{157CEF8C-1040-4470-AB58-985C8ACB82FC}"/>
    <cellStyle name="5x indented GHG Textfiels 2 2" xfId="13371" xr:uid="{1CDE7098-E6CE-47B7-A730-386AFC88299D}"/>
    <cellStyle name="5x indented GHG Textfiels 3" xfId="13054" xr:uid="{576B58E4-0AA3-4411-9023-7384A1682630}"/>
    <cellStyle name="60 % - Markeringsfarve1" xfId="1283" xr:uid="{00000000-0005-0000-0000-000031000000}"/>
    <cellStyle name="60 % - Markeringsfarve1 2" xfId="2598" xr:uid="{1B8F605D-9069-431D-87E1-008003429B0D}"/>
    <cellStyle name="60 % - Markeringsfarve2" xfId="1284" xr:uid="{00000000-0005-0000-0000-000032000000}"/>
    <cellStyle name="60 % - Markeringsfarve2 2" xfId="2599" xr:uid="{C344133D-C7FB-4DAA-9C9F-28FCE077B531}"/>
    <cellStyle name="60 % - Markeringsfarve3" xfId="1285" xr:uid="{00000000-0005-0000-0000-000033000000}"/>
    <cellStyle name="60 % - Markeringsfarve3 2" xfId="2600" xr:uid="{5423C402-57E4-4496-85B8-A2C87C957B0B}"/>
    <cellStyle name="60 % - Markeringsfarve4" xfId="1286" xr:uid="{00000000-0005-0000-0000-000034000000}"/>
    <cellStyle name="60 % - Markeringsfarve4 2" xfId="2601" xr:uid="{B907310D-3C65-4E0A-B4C6-EDE5FC4476CF}"/>
    <cellStyle name="60 % - Markeringsfarve5" xfId="1287" xr:uid="{00000000-0005-0000-0000-000035000000}"/>
    <cellStyle name="60 % - Markeringsfarve5 2" xfId="2602" xr:uid="{30D1AE32-EBAF-4A07-9CAC-C6C384153BD8}"/>
    <cellStyle name="60 % - Markeringsfarve6" xfId="1288" xr:uid="{00000000-0005-0000-0000-000036000000}"/>
    <cellStyle name="60 % - Markeringsfarve6 2" xfId="2603" xr:uid="{117988F5-4355-4526-8A7F-7B02821EF8BC}"/>
    <cellStyle name="60% - Accent1 2" xfId="23638" xr:uid="{C60610E2-15A7-4EF7-896B-ADE826D4AFF2}"/>
    <cellStyle name="60% - Accent2 2" xfId="23639" xr:uid="{47F3B249-8692-488B-A725-BDC1122C41EE}"/>
    <cellStyle name="60% - Accent3 2" xfId="23640" xr:uid="{45C01F27-4883-4049-8855-69E100136CDE}"/>
    <cellStyle name="60% - Accent4 2" xfId="23641" xr:uid="{60F23594-890D-4BEA-AF8C-45A0EE03E25B}"/>
    <cellStyle name="60% - Accent5 2" xfId="23642" xr:uid="{3CBD943A-06B6-491C-847D-C509308CA74F}"/>
    <cellStyle name="60% - Accent6 2" xfId="23643" xr:uid="{A6237FED-C582-4C69-BC1A-39F472D429DB}"/>
    <cellStyle name="60% - Colore 1" xfId="26" xr:uid="{00000000-0005-0000-0000-000037000000}"/>
    <cellStyle name="60% - Colore 2" xfId="27" xr:uid="{00000000-0005-0000-0000-000038000000}"/>
    <cellStyle name="60% - Colore 3" xfId="28" xr:uid="{00000000-0005-0000-0000-000039000000}"/>
    <cellStyle name="60% - Colore 4" xfId="29" xr:uid="{00000000-0005-0000-0000-00003A000000}"/>
    <cellStyle name="60% - Colore 5" xfId="30" xr:uid="{00000000-0005-0000-0000-00003B000000}"/>
    <cellStyle name="60% - Colore 6" xfId="31" xr:uid="{00000000-0005-0000-0000-00003C000000}"/>
    <cellStyle name="Accent1 2" xfId="23644" xr:uid="{BF52DB7E-C933-4524-8563-4F016F3D0436}"/>
    <cellStyle name="Accent2 2" xfId="23645" xr:uid="{6F38CD80-A80D-42C2-AA31-A3C59BBD5D69}"/>
    <cellStyle name="Accent3 2" xfId="23646" xr:uid="{4DDDC3A0-3417-41C3-9CEB-E978406F78C8}"/>
    <cellStyle name="Accent4 2" xfId="23647" xr:uid="{24D70446-8433-43FC-9A1D-F7FAF3103FF6}"/>
    <cellStyle name="Accent5 2" xfId="23648" xr:uid="{528DB808-7F67-431C-8329-8C11930ADDFC}"/>
    <cellStyle name="Accent6 2" xfId="23649" xr:uid="{C1220620-4508-4ABE-B486-A522AF791977}"/>
    <cellStyle name="AggblueCels_1x" xfId="30232" xr:uid="{0060BB5F-2BFF-4ADE-A73F-9E42C3B49485}"/>
    <cellStyle name="AggOrange_CRFReport-template" xfId="32" xr:uid="{00000000-0005-0000-0000-00003D000000}"/>
    <cellStyle name="AggOrange9_CRFReport-template" xfId="33" xr:uid="{00000000-0005-0000-0000-00003E000000}"/>
    <cellStyle name="Bad 2" xfId="34" xr:uid="{00000000-0005-0000-0000-00003F000000}"/>
    <cellStyle name="Bad 2 2" xfId="23650" xr:uid="{3425F975-D6FB-4985-8344-EF95503322E6}"/>
    <cellStyle name="Bad 3" xfId="35" xr:uid="{00000000-0005-0000-0000-000040000000}"/>
    <cellStyle name="Bad 4" xfId="11691" xr:uid="{3FACBD33-5963-497D-9C4F-5CD278FD285B}"/>
    <cellStyle name="Bad 5" xfId="32604" xr:uid="{746EB2D7-1581-4C91-8ABE-69082A10C16B}"/>
    <cellStyle name="Bemærk! 2" xfId="23651" xr:uid="{9373BE6E-2A29-42EF-BD0F-7406C4A017D0}"/>
    <cellStyle name="Bemærk! 2 10" xfId="32111" xr:uid="{D5AC8EFC-E589-400A-B26F-D2BB9BF1C837}"/>
    <cellStyle name="Bemærk! 2 10 2" xfId="32112" xr:uid="{84DC33B0-F1D1-44A7-BBE4-35E514EF4764}"/>
    <cellStyle name="Bemærk! 2 11" xfId="32113" xr:uid="{6F956C17-EFC8-41C7-B9BC-108AFE4DF890}"/>
    <cellStyle name="Bemærk! 2 2" xfId="23652" xr:uid="{BAA52B5B-9EB5-4581-BD8E-97F36BBDBAB4}"/>
    <cellStyle name="Bemærk! 2 2 10" xfId="32114" xr:uid="{821F02A5-6DC0-46C3-A16B-2EB424FAB241}"/>
    <cellStyle name="Bemærk! 2 2 2" xfId="23653" xr:uid="{241E8B99-FEBD-4373-8C32-00F2EA78E308}"/>
    <cellStyle name="Bemærk! 2 2 2 2" xfId="23654" xr:uid="{4A87E84F-BD1B-4718-A6A1-D7649D3D45FF}"/>
    <cellStyle name="Bemærk! 2 2 2 2 2" xfId="32115" xr:uid="{16D36176-82DD-4027-9D37-F1324AD2334D}"/>
    <cellStyle name="Bemærk! 2 2 2 2 3" xfId="32116" xr:uid="{667073C9-EFEE-4490-B7C6-5C225495CF52}"/>
    <cellStyle name="Bemærk! 2 2 2 3" xfId="32117" xr:uid="{D2FFD611-2391-49B9-BCEB-89CB5A2512B7}"/>
    <cellStyle name="Bemærk! 2 2 2 3 2" xfId="32118" xr:uid="{009CE85E-87CB-4D6C-9675-6202B1B9F086}"/>
    <cellStyle name="Bemærk! 2 2 2 3 3" xfId="32119" xr:uid="{B775F0A9-01DE-41E8-8BAC-EF7A1B278749}"/>
    <cellStyle name="Bemærk! 2 2 2 4" xfId="32120" xr:uid="{09B00C6E-8672-4BA5-BF14-FE13F409A602}"/>
    <cellStyle name="Bemærk! 2 2 2 4 2" xfId="32121" xr:uid="{4C11AF43-27E9-494D-9351-1E81B8ABAC97}"/>
    <cellStyle name="Bemærk! 2 2 2 4 3" xfId="32122" xr:uid="{8F0F8E7F-2BE7-45AE-88EA-F1E1340C963E}"/>
    <cellStyle name="Bemærk! 2 2 2 5" xfId="32123" xr:uid="{E94315C9-1AE9-4060-A008-3336AF95E170}"/>
    <cellStyle name="Bemærk! 2 2 2 5 2" xfId="32124" xr:uid="{73E16088-1B90-4D89-9F6C-B9903E46ABDB}"/>
    <cellStyle name="Bemærk! 2 2 2 5 3" xfId="32125" xr:uid="{1E146DDD-60BF-40CD-B245-A9BCE80E51DE}"/>
    <cellStyle name="Bemærk! 2 2 2 6" xfId="32126" xr:uid="{75B8C2EB-9374-4457-9C1E-BB7148A68E39}"/>
    <cellStyle name="Bemærk! 2 2 2 6 2" xfId="32127" xr:uid="{CDD40E75-4ECD-4AEE-BCB8-CCADCF27A457}"/>
    <cellStyle name="Bemærk! 2 2 2 6 3" xfId="32128" xr:uid="{3613587B-BFAD-404F-8C1F-D2511A05B7EC}"/>
    <cellStyle name="Bemærk! 2 2 2 7" xfId="32129" xr:uid="{C69B8693-980D-48E1-A7DE-6797E7A9BF43}"/>
    <cellStyle name="Bemærk! 2 2 2 7 2" xfId="32130" xr:uid="{3BA17DE0-3ACD-4948-95C7-18C198BC34F7}"/>
    <cellStyle name="Bemærk! 2 2 2 8" xfId="32131" xr:uid="{CE5D96F5-BDBB-4DB0-A9E0-B008FB486E37}"/>
    <cellStyle name="Bemærk! 2 2 3" xfId="23655" xr:uid="{51C9A40B-4AE6-47D9-9C93-28079F518509}"/>
    <cellStyle name="Bemærk! 2 2 3 2" xfId="23656" xr:uid="{D1B9E8EB-57BC-4373-85EA-1C033A17DAEE}"/>
    <cellStyle name="Bemærk! 2 2 3 2 2" xfId="32132" xr:uid="{39C525D6-D734-44B9-8D9D-B80131B37C1D}"/>
    <cellStyle name="Bemærk! 2 2 3 2 3" xfId="32133" xr:uid="{E40DCC2C-F19D-4175-A0DA-45B802B75D78}"/>
    <cellStyle name="Bemærk! 2 2 3 3" xfId="32134" xr:uid="{391F1EFC-E17D-4FB9-A178-A7CCCFDD53CF}"/>
    <cellStyle name="Bemærk! 2 2 3 3 2" xfId="32135" xr:uid="{3E726B34-DDF2-427F-BCA3-7F956341C64D}"/>
    <cellStyle name="Bemærk! 2 2 3 3 3" xfId="32136" xr:uid="{9F4B61C8-5B3B-4F6A-A463-194C89E58139}"/>
    <cellStyle name="Bemærk! 2 2 3 4" xfId="32137" xr:uid="{16B8CE36-6FB3-42AC-81ED-CEEE198AB99F}"/>
    <cellStyle name="Bemærk! 2 2 3 4 2" xfId="32138" xr:uid="{9FCDA293-3AE9-41F2-A8F9-164721FA9204}"/>
    <cellStyle name="Bemærk! 2 2 3 4 3" xfId="32139" xr:uid="{FEF5D38B-C00F-41C4-A38C-7E8FCCF6BA01}"/>
    <cellStyle name="Bemærk! 2 2 3 5" xfId="32140" xr:uid="{487E6CD6-2960-43E2-9D24-E46CD94D673A}"/>
    <cellStyle name="Bemærk! 2 2 3 5 2" xfId="32141" xr:uid="{8741D509-532E-4862-9F59-3B24F0FA5A45}"/>
    <cellStyle name="Bemærk! 2 2 3 5 3" xfId="32142" xr:uid="{D53BE8C4-8E13-48D6-87A6-BE4B18D4B589}"/>
    <cellStyle name="Bemærk! 2 2 3 6" xfId="32143" xr:uid="{72E7C6A1-FAC0-4806-9EA5-E026E0E4C121}"/>
    <cellStyle name="Bemærk! 2 2 3 6 2" xfId="32144" xr:uid="{6174E723-08CE-490F-9289-A1182806772A}"/>
    <cellStyle name="Bemærk! 2 2 3 6 3" xfId="32145" xr:uid="{F3752584-D129-45D9-91D4-0522D13AFD49}"/>
    <cellStyle name="Bemærk! 2 2 3 7" xfId="32146" xr:uid="{B44D26AE-EAEF-4587-BE71-11E9340FB9A9}"/>
    <cellStyle name="Bemærk! 2 2 3 7 2" xfId="32147" xr:uid="{64298D16-15FB-4ED4-9F9C-38E1D57A4C67}"/>
    <cellStyle name="Bemærk! 2 2 3 8" xfId="32148" xr:uid="{44703A25-0E8B-4DD4-B312-666447E2F9A5}"/>
    <cellStyle name="Bemærk! 2 2 4" xfId="23657" xr:uid="{1FBADDEE-71C6-4E90-85D9-6EA56DFFAB44}"/>
    <cellStyle name="Bemærk! 2 2 4 2" xfId="32149" xr:uid="{E5907336-B529-4B38-B37C-01AB86FD0218}"/>
    <cellStyle name="Bemærk! 2 2 4 3" xfId="32150" xr:uid="{62D330E7-C025-4258-8C8B-F8CFFD41EA45}"/>
    <cellStyle name="Bemærk! 2 2 5" xfId="32151" xr:uid="{95E1DE6D-8072-4692-9B3C-29CAC23D4ED6}"/>
    <cellStyle name="Bemærk! 2 2 5 2" xfId="32152" xr:uid="{13672071-284F-48B5-9BBC-2A67E8B4F49C}"/>
    <cellStyle name="Bemærk! 2 2 5 3" xfId="32153" xr:uid="{B0104D63-C42E-48F5-B427-5CCE2F2B7B04}"/>
    <cellStyle name="Bemærk! 2 2 6" xfId="32154" xr:uid="{AE8FA86E-43AF-4D9B-B83C-03234205934C}"/>
    <cellStyle name="Bemærk! 2 2 6 2" xfId="32155" xr:uid="{9BE2DC3E-CD21-4840-9C91-7A2D1288912D}"/>
    <cellStyle name="Bemærk! 2 2 6 3" xfId="32156" xr:uid="{1E31B04B-0009-4F45-8C1B-3CAE193C43AD}"/>
    <cellStyle name="Bemærk! 2 2 7" xfId="32157" xr:uid="{157C475D-294B-4C8A-9C2D-C19645EE3D85}"/>
    <cellStyle name="Bemærk! 2 2 7 2" xfId="32158" xr:uid="{97F29DA9-5367-4DEC-9810-6075C302ABB5}"/>
    <cellStyle name="Bemærk! 2 2 7 3" xfId="32159" xr:uid="{5D8E0BC8-FE04-4719-AAC0-2BC2E6656720}"/>
    <cellStyle name="Bemærk! 2 2 8" xfId="32160" xr:uid="{8F7F9DC7-D15B-48DE-9B48-1D08CDDA0756}"/>
    <cellStyle name="Bemærk! 2 2 8 2" xfId="32161" xr:uid="{65917F22-162D-44FC-9975-92AC0CF8634C}"/>
    <cellStyle name="Bemærk! 2 2 8 3" xfId="32162" xr:uid="{73B3EFF5-8AF5-4D72-8B3E-6F1D5B8BB781}"/>
    <cellStyle name="Bemærk! 2 2 9" xfId="32163" xr:uid="{D8C68C16-3194-4357-8ACA-C6F74933B5FD}"/>
    <cellStyle name="Bemærk! 2 2 9 2" xfId="32164" xr:uid="{ED83D84C-0ED0-4195-A2E9-533F7D03598C}"/>
    <cellStyle name="Bemærk! 2 3" xfId="23658" xr:uid="{BB798888-60E6-4583-BD05-C70AA10B4E15}"/>
    <cellStyle name="Bemærk! 2 3 2" xfId="23659" xr:uid="{F69B055C-3206-4BB3-A8E7-18DBE3B15C69}"/>
    <cellStyle name="Bemærk! 2 3 2 2" xfId="32165" xr:uid="{5E5FEF19-DD04-4505-960E-0561552931FF}"/>
    <cellStyle name="Bemærk! 2 3 2 3" xfId="32166" xr:uid="{A9FBCC9E-87FB-4A71-A966-76E0F22C59DC}"/>
    <cellStyle name="Bemærk! 2 3 3" xfId="32167" xr:uid="{AB7A0A12-0917-4D60-B264-1C1631613E9F}"/>
    <cellStyle name="Bemærk! 2 3 3 2" xfId="32168" xr:uid="{956A6DCB-B725-464A-9B4E-9D8D1418F2C2}"/>
    <cellStyle name="Bemærk! 2 3 3 3" xfId="32169" xr:uid="{ED6DF28E-5D7C-4606-B0D3-56B77ED4A880}"/>
    <cellStyle name="Bemærk! 2 3 4" xfId="32170" xr:uid="{82FC0555-3A30-4CEC-9282-0B9DCAFDC02A}"/>
    <cellStyle name="Bemærk! 2 3 4 2" xfId="32171" xr:uid="{534FA03D-B08D-43B2-9336-ED83CB92F500}"/>
    <cellStyle name="Bemærk! 2 3 4 3" xfId="32172" xr:uid="{94A496EA-D922-4DAE-B081-13263A6EDF2D}"/>
    <cellStyle name="Bemærk! 2 3 5" xfId="32173" xr:uid="{30300AEF-9DCB-4853-B386-050FAE4E67DD}"/>
    <cellStyle name="Bemærk! 2 3 5 2" xfId="32174" xr:uid="{12FB387D-0E38-4EC6-ACC1-C8895FD01A03}"/>
    <cellStyle name="Bemærk! 2 3 5 3" xfId="32175" xr:uid="{C357A56E-4524-4932-A02A-4EA0C5281A3A}"/>
    <cellStyle name="Bemærk! 2 3 6" xfId="32176" xr:uid="{F151A788-6443-4847-A4DB-F364703E34CC}"/>
    <cellStyle name="Bemærk! 2 3 6 2" xfId="32177" xr:uid="{B236B3CF-EC60-4593-8E3E-22558A84A040}"/>
    <cellStyle name="Bemærk! 2 3 6 3" xfId="32178" xr:uid="{4308D5AF-4156-4CA9-92A3-7DE8887D04BB}"/>
    <cellStyle name="Bemærk! 2 3 7" xfId="32179" xr:uid="{1FA27D3F-952A-4BAB-B9AA-17203F377BC0}"/>
    <cellStyle name="Bemærk! 2 3 7 2" xfId="32180" xr:uid="{C2C662CC-94EA-43AD-ADBE-874CD0CB3625}"/>
    <cellStyle name="Bemærk! 2 3 8" xfId="32181" xr:uid="{544D831A-DAB3-4A4E-B147-B61AB68A4B73}"/>
    <cellStyle name="Bemærk! 2 4" xfId="23660" xr:uid="{353858F9-B6CF-4FA4-9F26-BBE42A6AE029}"/>
    <cellStyle name="Bemærk! 2 4 2" xfId="23661" xr:uid="{8540102A-7B43-4513-B1B2-E0FD3F3C4F0F}"/>
    <cellStyle name="Bemærk! 2 4 2 2" xfId="32182" xr:uid="{206A998D-383A-4145-B058-C96D303A111E}"/>
    <cellStyle name="Bemærk! 2 4 2 3" xfId="32183" xr:uid="{4669F828-4A07-4388-89DE-7C07C2EBF949}"/>
    <cellStyle name="Bemærk! 2 4 3" xfId="32184" xr:uid="{B3E5C603-0537-41BA-8B90-8E0C04E5B6B8}"/>
    <cellStyle name="Bemærk! 2 4 3 2" xfId="32185" xr:uid="{04CE8552-D5F5-41AD-8659-4B62407FDB0D}"/>
    <cellStyle name="Bemærk! 2 4 3 3" xfId="32186" xr:uid="{0FB6B356-5774-4C98-BA25-5C2E37173D54}"/>
    <cellStyle name="Bemærk! 2 4 4" xfId="32187" xr:uid="{577A2A27-DF3F-4661-BF4E-ACF919705C5D}"/>
    <cellStyle name="Bemærk! 2 4 4 2" xfId="32188" xr:uid="{04158F11-DCC2-419B-9FA9-C373B79B12CF}"/>
    <cellStyle name="Bemærk! 2 4 4 3" xfId="32189" xr:uid="{4FD1BFA3-252F-4D9B-B3FE-DD9609DD3B55}"/>
    <cellStyle name="Bemærk! 2 4 5" xfId="32190" xr:uid="{E2D021F8-9C72-4333-85BE-14E28E9217AD}"/>
    <cellStyle name="Bemærk! 2 4 5 2" xfId="32191" xr:uid="{F96B879D-A96D-474B-B79F-8DAFD607CF00}"/>
    <cellStyle name="Bemærk! 2 4 5 3" xfId="32192" xr:uid="{204010CE-5A4F-4502-9C0E-52F6996BA965}"/>
    <cellStyle name="Bemærk! 2 4 6" xfId="32193" xr:uid="{D8A95BC3-D050-4DB6-9785-A7A119ACD6DC}"/>
    <cellStyle name="Bemærk! 2 4 6 2" xfId="32194" xr:uid="{D9CAE6CE-36D2-4835-BA37-BA41F0CB2157}"/>
    <cellStyle name="Bemærk! 2 4 6 3" xfId="32195" xr:uid="{1964F598-1E7B-46A1-8CCB-5977D9E8CDF4}"/>
    <cellStyle name="Bemærk! 2 4 7" xfId="32196" xr:uid="{18864F8D-D6AC-41BD-8C5B-F60B3DFC674F}"/>
    <cellStyle name="Bemærk! 2 4 7 2" xfId="32197" xr:uid="{45CB0B17-D0B7-41BE-997A-5CA8A977E716}"/>
    <cellStyle name="Bemærk! 2 4 8" xfId="32198" xr:uid="{7B85F6E9-34B6-42E8-957D-560649B0C4DB}"/>
    <cellStyle name="Bemærk! 2 5" xfId="23662" xr:uid="{B3D43376-5593-401B-A005-6B63BFE5625F}"/>
    <cellStyle name="Bemærk! 2 5 2" xfId="23663" xr:uid="{1B59DA08-37E7-4AB7-AEC4-62752A1E7F4A}"/>
    <cellStyle name="Bemærk! 2 5 3" xfId="32199" xr:uid="{4C1962C6-5258-475A-B0E4-4EB9EFB8F424}"/>
    <cellStyle name="Bemærk! 2 6" xfId="23664" xr:uid="{4C161280-FA25-49D9-B7D6-6242062D4491}"/>
    <cellStyle name="Bemærk! 2 6 2" xfId="32200" xr:uid="{551EE91B-ABF2-4599-A584-E23C16DB6464}"/>
    <cellStyle name="Bemærk! 2 6 3" xfId="32201" xr:uid="{BEC2C808-9616-43A9-BB83-45B06FC70063}"/>
    <cellStyle name="Bemærk! 2 7" xfId="23665" xr:uid="{F58A2777-A252-4AA4-817D-565554A0EB75}"/>
    <cellStyle name="Bemærk! 2 7 2" xfId="23666" xr:uid="{B6E09C6C-6BDB-4320-9642-46D20DE40B07}"/>
    <cellStyle name="Bemærk! 2 7 3" xfId="32202" xr:uid="{E05CE911-10ED-4845-8D64-4EC1F5D69C18}"/>
    <cellStyle name="Bemærk! 2 8" xfId="23667" xr:uid="{977A57F4-B207-420C-8477-07C36C5AA819}"/>
    <cellStyle name="Bemærk! 2 8 2" xfId="32203" xr:uid="{6C97BB3C-3CF7-4172-A575-653DEA0EA651}"/>
    <cellStyle name="Bemærk! 2 8 3" xfId="32204" xr:uid="{B50A274E-1FA5-4D93-A99B-C604A7832F7C}"/>
    <cellStyle name="Bemærk! 2 9" xfId="32205" xr:uid="{D6C6FC33-03B3-484D-AD58-3CAD66A9E5D7}"/>
    <cellStyle name="Bemærk! 2 9 2" xfId="32206" xr:uid="{E950A389-4E0E-44FD-9B85-038ACD765FF7}"/>
    <cellStyle name="Bemærk! 2 9 3" xfId="32207" xr:uid="{D4FEFA5C-EA53-44E3-A4CF-797E36032787}"/>
    <cellStyle name="Bemærk! 3" xfId="23668" xr:uid="{096AA7AC-4A8B-4A96-9567-5E09EAFD60B3}"/>
    <cellStyle name="Bemærk! 3 10" xfId="32208" xr:uid="{6941CA3B-8B21-4515-A72D-CB26E606C85D}"/>
    <cellStyle name="Bemærk! 3 2" xfId="30241" xr:uid="{2BC5965A-7B8A-4604-8FAB-77921E59B430}"/>
    <cellStyle name="Bemærk! 3 2 2" xfId="32209" xr:uid="{CFCB5BFD-5C47-4D9E-806C-075F1C0E6A48}"/>
    <cellStyle name="Bemærk! 3 2 2 2" xfId="32210" xr:uid="{D13708B7-D779-4145-BAAB-F80DC7BBEE35}"/>
    <cellStyle name="Bemærk! 3 2 2 3" xfId="32211" xr:uid="{7958ADE0-A42F-4252-B468-B4E458A12B06}"/>
    <cellStyle name="Bemærk! 3 2 3" xfId="32212" xr:uid="{E12850D1-5490-4483-99BE-BB6AEC626A81}"/>
    <cellStyle name="Bemærk! 3 2 3 2" xfId="32213" xr:uid="{D9547874-02BB-4CE8-A2E0-BEE9AD7165CF}"/>
    <cellStyle name="Bemærk! 3 2 3 3" xfId="32214" xr:uid="{791F691B-7C1E-4C9C-8D37-01D5D97E62F6}"/>
    <cellStyle name="Bemærk! 3 2 4" xfId="32215" xr:uid="{B09C661F-CADD-4D16-86A2-53B51BB9FD07}"/>
    <cellStyle name="Bemærk! 3 2 4 2" xfId="32216" xr:uid="{40FDEAF1-1EB0-4344-8D93-32BAFC034894}"/>
    <cellStyle name="Bemærk! 3 2 4 3" xfId="32217" xr:uid="{37B4F4EB-D431-4398-88A4-4520C74FDBF3}"/>
    <cellStyle name="Bemærk! 3 2 5" xfId="32218" xr:uid="{5F75D2B4-FC6D-43FA-B456-862D8BEC3E8D}"/>
    <cellStyle name="Bemærk! 3 2 5 2" xfId="32219" xr:uid="{06EE941D-7262-41A2-B2D9-0B4BA20A6EA3}"/>
    <cellStyle name="Bemærk! 3 2 5 3" xfId="32220" xr:uid="{BD92392B-53C5-43D5-843E-33C7D8CE5D1A}"/>
    <cellStyle name="Bemærk! 3 2 6" xfId="32221" xr:uid="{10A9BA7F-F06A-48FC-A3AE-061566A99583}"/>
    <cellStyle name="Bemærk! 3 2 6 2" xfId="32222" xr:uid="{00449C5D-7DE8-419E-9C9F-3A725E2CCD25}"/>
    <cellStyle name="Bemærk! 3 2 6 3" xfId="32223" xr:uid="{D9F04010-1F82-4A1E-8742-B7C21062BC8E}"/>
    <cellStyle name="Bemærk! 3 2 7" xfId="32224" xr:uid="{3F02C871-37C0-4A74-A38C-D5CBFC06215D}"/>
    <cellStyle name="Bemærk! 3 2 7 2" xfId="32225" xr:uid="{B24A5F66-D1AA-46DF-8159-21D9957566CC}"/>
    <cellStyle name="Bemærk! 3 2 8" xfId="32226" xr:uid="{34D2C64E-F7BD-4084-A5B5-0C5F40A5D845}"/>
    <cellStyle name="Bemærk! 3 3" xfId="32227" xr:uid="{F65A2F66-9E5A-4230-9D05-411298248526}"/>
    <cellStyle name="Bemærk! 3 3 2" xfId="32228" xr:uid="{2D2B8C1A-D52A-4562-8F9E-2D5F980207C6}"/>
    <cellStyle name="Bemærk! 3 3 2 2" xfId="32229" xr:uid="{18395612-0036-412F-BF5C-2DC112F358B1}"/>
    <cellStyle name="Bemærk! 3 3 2 3" xfId="32230" xr:uid="{24C6A305-A6DE-454D-8036-347749997263}"/>
    <cellStyle name="Bemærk! 3 3 3" xfId="32231" xr:uid="{CA087CA6-9142-4437-B29C-486C93CDFC1B}"/>
    <cellStyle name="Bemærk! 3 3 3 2" xfId="32232" xr:uid="{E58C7B28-CDEC-404F-A6E3-3226FD433A11}"/>
    <cellStyle name="Bemærk! 3 3 3 3" xfId="32233" xr:uid="{0EAF0F51-198D-4FD9-804C-1DD9C381FA87}"/>
    <cellStyle name="Bemærk! 3 3 4" xfId="32234" xr:uid="{ABDCE1E2-AADD-4C5C-A6A8-E44421E6497A}"/>
    <cellStyle name="Bemærk! 3 3 4 2" xfId="32235" xr:uid="{C3F40BB0-06C1-4AC4-9EA3-7CD27B814A08}"/>
    <cellStyle name="Bemærk! 3 3 4 3" xfId="32236" xr:uid="{72336176-852A-4D47-9FE3-D845339DFAFB}"/>
    <cellStyle name="Bemærk! 3 3 5" xfId="32237" xr:uid="{94521ABA-1AB2-4D4A-AA91-F9539D31DD19}"/>
    <cellStyle name="Bemærk! 3 3 5 2" xfId="32238" xr:uid="{1B4A1A3B-8B8B-436F-9813-B25D86D48391}"/>
    <cellStyle name="Bemærk! 3 3 5 3" xfId="32239" xr:uid="{E3487D6F-0C0A-4C29-9277-7880F12B0EE0}"/>
    <cellStyle name="Bemærk! 3 3 6" xfId="32240" xr:uid="{BA28B80A-BD88-4A37-8830-B42AA122FAE2}"/>
    <cellStyle name="Bemærk! 3 3 6 2" xfId="32241" xr:uid="{6763118E-78D5-485B-BFB2-083E09AFBE40}"/>
    <cellStyle name="Bemærk! 3 3 6 3" xfId="32242" xr:uid="{3CE0DBE0-1A2F-45A8-A9E5-D4083FD82D9B}"/>
    <cellStyle name="Bemærk! 3 3 7" xfId="32243" xr:uid="{0C508413-EA9E-4547-9BED-80ACAB5B870C}"/>
    <cellStyle name="Bemærk! 3 3 7 2" xfId="32244" xr:uid="{7A69D936-FBF4-49E8-8615-C8FD6D026B0D}"/>
    <cellStyle name="Bemærk! 3 3 8" xfId="32245" xr:uid="{86399F2D-697F-49F2-8829-F57F6B59A57F}"/>
    <cellStyle name="Bemærk! 3 4" xfId="32246" xr:uid="{2A10A7AF-B410-467B-ABC4-067DE2496E02}"/>
    <cellStyle name="Bemærk! 3 4 2" xfId="32247" xr:uid="{F5BBAAD8-5F2A-4812-9974-01FEF492EA06}"/>
    <cellStyle name="Bemærk! 3 4 3" xfId="32248" xr:uid="{E40EC000-B289-4341-A9F1-7420DB0703D4}"/>
    <cellStyle name="Bemærk! 3 5" xfId="32249" xr:uid="{0BF8C58B-FDF2-478A-9159-11402D1D9650}"/>
    <cellStyle name="Bemærk! 3 5 2" xfId="32250" xr:uid="{F59A8A4E-9912-4EF1-92AD-4834FE61C066}"/>
    <cellStyle name="Bemærk! 3 5 3" xfId="32251" xr:uid="{EEF4A43E-E70E-46A5-BAE7-F2C237B8CCA4}"/>
    <cellStyle name="Bemærk! 3 6" xfId="32252" xr:uid="{BB57616A-A766-4C32-89D8-BF972D5ADA86}"/>
    <cellStyle name="Bemærk! 3 6 2" xfId="32253" xr:uid="{357F80F0-4645-4E24-BB19-803158240F27}"/>
    <cellStyle name="Bemærk! 3 6 3" xfId="32254" xr:uid="{536619DD-5415-4BC1-AE88-237E22C74D31}"/>
    <cellStyle name="Bemærk! 3 7" xfId="32255" xr:uid="{7F543918-3317-4D58-8FAF-40C934A06E55}"/>
    <cellStyle name="Bemærk! 3 7 2" xfId="32256" xr:uid="{23AA626F-59BC-4E00-9767-3744DEC8ABB8}"/>
    <cellStyle name="Bemærk! 3 7 3" xfId="32257" xr:uid="{9008F13C-298C-46EA-BFA1-31AE6B83A2B8}"/>
    <cellStyle name="Bemærk! 3 8" xfId="32258" xr:uid="{CC097227-2521-4827-B894-BBE5BF263BB6}"/>
    <cellStyle name="Bemærk! 3 8 2" xfId="32259" xr:uid="{0AD2229A-BEEE-45B5-8992-E1ACA91154F0}"/>
    <cellStyle name="Bemærk! 3 8 3" xfId="32260" xr:uid="{2D270FB3-4669-4E39-8B88-03A3D85782AD}"/>
    <cellStyle name="Bemærk! 3 9" xfId="32261" xr:uid="{8579FBF9-8621-451C-B4FB-CF96D05A01CA}"/>
    <cellStyle name="Bemærk! 3 9 2" xfId="32262" xr:uid="{3908DCD4-0DA3-4858-9BA8-D8207D798F02}"/>
    <cellStyle name="Bemærk! 4" xfId="23669" xr:uid="{05967FC9-1B9D-413B-8CC3-3A13B4FED043}"/>
    <cellStyle name="Bemærk! 4 2" xfId="23670" xr:uid="{71477C25-5586-4D84-A55F-AAD6687049F3}"/>
    <cellStyle name="Bemærk! 4 2 2" xfId="23671" xr:uid="{2F466FB9-D821-43CB-9019-AF896C31A6C5}"/>
    <cellStyle name="Bemærk! 5" xfId="23672" xr:uid="{DDA4CC00-1A79-49E7-AA7E-5E6BE2E9D9B2}"/>
    <cellStyle name="Bemærk! 6" xfId="23673" xr:uid="{D4C899B0-5DAF-4BFC-8F66-51F97FFC0AAF}"/>
    <cellStyle name="Bemærk! 6 2" xfId="23674" xr:uid="{D5FD9BC6-5CA6-4055-AE62-74A10C435C44}"/>
    <cellStyle name="Bruger data" xfId="1252" xr:uid="{00000000-0005-0000-0000-000041000000}"/>
    <cellStyle name="Bruger data 2" xfId="11180" xr:uid="{AA6211FD-E3A6-4980-A31E-1D9961236792}"/>
    <cellStyle name="Bruger data 2 2" xfId="35553" xr:uid="{636E144F-223D-4B1A-98A2-6CC01E386B70}"/>
    <cellStyle name="Bruger data 2 3" xfId="32605" xr:uid="{14870784-EC10-4BA7-B9EA-82E259937C80}"/>
    <cellStyle name="Bruger data 3" xfId="10614" xr:uid="{F54873D6-FF5E-4707-940C-ABFECAA5487D}"/>
    <cellStyle name="Bruger data 3 2" xfId="46160" xr:uid="{6B86526D-0FD0-47C8-B220-8C63BCB99015}"/>
    <cellStyle name="Bruger data 3 3" xfId="32672" xr:uid="{6A0D491F-B90D-44E0-ADB8-BBC6C7B83A3A}"/>
    <cellStyle name="Bruger data 4" xfId="23675" xr:uid="{FF46509F-0D6E-4B9E-B89F-1430096DE960}"/>
    <cellStyle name="Bruger data 5" xfId="8913" xr:uid="{2600EE64-30B2-4BAD-A3E5-3763188A75C1}"/>
    <cellStyle name="C01_Main head" xfId="23676" xr:uid="{6588FF2C-182A-472D-909C-4D55764415F7}"/>
    <cellStyle name="C02_Column heads" xfId="23677" xr:uid="{C0648930-AF9E-4E38-8521-93E58EFB7397}"/>
    <cellStyle name="C03_Sub head bold" xfId="23678" xr:uid="{2818F8A4-726D-4507-A778-E339B2AE735A}"/>
    <cellStyle name="C03a_Sub head" xfId="23679" xr:uid="{8D818374-198D-4C43-8FE8-0F4B4D75C5BF}"/>
    <cellStyle name="C04_Total text white bold" xfId="23680" xr:uid="{D8FC01BB-3413-46AE-A5D6-0828587CC0FF}"/>
    <cellStyle name="C04a_Total text black with rule" xfId="23681" xr:uid="{0A57416A-AFDE-4B7A-8248-6E33EFEC82F6}"/>
    <cellStyle name="C05_Main text" xfId="23682" xr:uid="{5ABE3232-AEB2-4BC7-A59E-B24667E02740}"/>
    <cellStyle name="C06_Figs" xfId="23683" xr:uid="{55CB9D6B-87D5-4422-A1E8-41857260D471}"/>
    <cellStyle name="C07_Figs 1 dec percent" xfId="23684" xr:uid="{925351D2-7284-4CDF-9968-9C0A0EC29AAC}"/>
    <cellStyle name="C08_Figs 1 decimal" xfId="23685" xr:uid="{E841B24E-87F4-4C7C-AD79-5F174B117CD1}"/>
    <cellStyle name="C09_Notes" xfId="23686" xr:uid="{F902C3F2-CE6B-4FC3-BEFF-F636D451F084}"/>
    <cellStyle name="Calcolo" xfId="36" xr:uid="{00000000-0005-0000-0000-000042000000}"/>
    <cellStyle name="Calcolo 2" xfId="37" xr:uid="{00000000-0005-0000-0000-000043000000}"/>
    <cellStyle name="Calcolo 2 2" xfId="1289" xr:uid="{00000000-0005-0000-0000-000044000000}"/>
    <cellStyle name="Calcolo 2 2 2" xfId="17741" xr:uid="{124121E2-FBD2-4F73-82DA-53794C277F53}"/>
    <cellStyle name="Calcolo 2 2 2 2" xfId="35554" xr:uid="{0BA870E7-BAD0-4E5D-B8CD-24DB6860CB82}"/>
    <cellStyle name="Calcolo 2 2 3" xfId="32675" xr:uid="{F7A2E818-AD7F-45D5-865F-033CE2B0E8F8}"/>
    <cellStyle name="Calcolo 2 3" xfId="17703" xr:uid="{C6B35C0C-113D-4ED5-B4DF-34B4F5F7248C}"/>
    <cellStyle name="Calcolo 2 3 2" xfId="35054" xr:uid="{8DDB848F-2464-43BE-9B2E-0342E00229AF}"/>
    <cellStyle name="Calcolo 2 4" xfId="30242" xr:uid="{92E214D9-A962-41A1-B761-3B45EA25F18A}"/>
    <cellStyle name="Calcolo 2 4 2" xfId="35055" xr:uid="{60647F3B-200A-4BB3-B290-1826EE8F49D8}"/>
    <cellStyle name="Calcolo 2 5" xfId="30243" xr:uid="{090CA611-32BF-4FC4-8791-5362DF0BC0AB}"/>
    <cellStyle name="Calcolo 2 5 2" xfId="35056" xr:uid="{E60C48C7-0A37-4646-8158-D0E345F92E23}"/>
    <cellStyle name="Calcolo 2 6" xfId="32674" xr:uid="{5EBC7040-7A00-48AE-8D68-2CBCFE9BE885}"/>
    <cellStyle name="Calcolo 3" xfId="1290" xr:uid="{00000000-0005-0000-0000-000045000000}"/>
    <cellStyle name="Calcolo 3 2" xfId="17704" xr:uid="{1CA09E77-AB06-41F4-A318-722F10201A51}"/>
    <cellStyle name="Calcolo 3 2 2" xfId="35063" xr:uid="{20FC001F-FC79-42BD-87E0-055199A0E158}"/>
    <cellStyle name="Calcolo 3 3" xfId="32676" xr:uid="{A2D12F59-8F60-4042-8F24-B2B9FD300ACF}"/>
    <cellStyle name="Calcolo 4" xfId="8914" xr:uid="{95F318DA-1978-4390-BECB-400C20A6DE51}"/>
    <cellStyle name="Calcolo 4 2" xfId="32606" xr:uid="{33B9381E-4CA2-41CD-B1A5-0C0126357A32}"/>
    <cellStyle name="Calcolo 4 2 2" xfId="35555" xr:uid="{DE822BAD-DB7B-4E96-9AC6-9D3FFF9CECD6}"/>
    <cellStyle name="Calcolo 4 3" xfId="32607" xr:uid="{6C900488-D358-43AA-BE9B-CC99D47821D0}"/>
    <cellStyle name="Calcolo 4 3 2" xfId="35556" xr:uid="{AE598EF9-6E74-4BC5-9D0C-E04E491D008A}"/>
    <cellStyle name="Calcolo 4 4" xfId="32677" xr:uid="{4C0DEF7C-9C39-4377-89F9-D0AB650CE46D}"/>
    <cellStyle name="Calcolo 5" xfId="8915" xr:uid="{D51325E7-78BD-4F6E-9F91-501B5D6C6F42}"/>
    <cellStyle name="Calcolo 5 2" xfId="32608" xr:uid="{3D1618D7-F1E6-459A-BFFA-8B468F93F103}"/>
    <cellStyle name="Calcolo 5 2 2" xfId="35557" xr:uid="{ED588944-300E-4EF7-BFD5-91078B7663FB}"/>
    <cellStyle name="Calcolo 5 3" xfId="32609" xr:uid="{03CBC32C-A7D8-4CDB-922F-275A21D02EE6}"/>
    <cellStyle name="Calcolo 5 3 2" xfId="35558" xr:uid="{B309480E-019B-4AE4-A90E-C0F348E614CB}"/>
    <cellStyle name="Calcolo 5 4" xfId="32678" xr:uid="{9A63F37A-5100-457D-A5CF-BC71EA39D02A}"/>
    <cellStyle name="Calcolo 6" xfId="8916" xr:uid="{922C1E50-262C-412F-93DC-D8028592AB60}"/>
    <cellStyle name="Calcolo 6 2" xfId="32610" xr:uid="{D9457282-7983-4F10-97E1-F9E89AA1B716}"/>
    <cellStyle name="Calcolo 6 2 2" xfId="35559" xr:uid="{6F15812E-6BCF-482F-BE0F-42AF348E90A8}"/>
    <cellStyle name="Calcolo 6 3" xfId="32611" xr:uid="{9B33B142-B894-466B-A8F0-7BBA57165D85}"/>
    <cellStyle name="Calcolo 6 3 2" xfId="35560" xr:uid="{BBE85846-E107-4300-9A0A-9616577E7F5C}"/>
    <cellStyle name="Calcolo 6 4" xfId="32679" xr:uid="{8CBFB15F-428B-4F26-A631-C569F4206723}"/>
    <cellStyle name="Calcolo 7" xfId="8917" xr:uid="{4A9DDAC5-C0CE-47D7-A107-AD7A3DE1C404}"/>
    <cellStyle name="Calcolo 7 2" xfId="32612" xr:uid="{0932CA2C-7684-4171-818C-49E9CBFB3D91}"/>
    <cellStyle name="Calcolo 7 2 2" xfId="35561" xr:uid="{EEB837BB-230C-462B-BD2C-8D729DF1D27E}"/>
    <cellStyle name="Calcolo 7 3" xfId="32613" xr:uid="{B4987D60-259E-480B-92D7-060F0B8A418C}"/>
    <cellStyle name="Calcolo 7 3 2" xfId="35562" xr:uid="{8E8D5DD0-A58E-4A7F-9813-195BFF22F1A6}"/>
    <cellStyle name="Calcolo 7 4" xfId="32680" xr:uid="{BFF2191A-3EDB-4C52-994E-983019BB14B3}"/>
    <cellStyle name="Calcolo 8" xfId="32673" xr:uid="{DEE06948-2ACB-4E39-A4F0-8B7D9BCBD31E}"/>
    <cellStyle name="Calculation 2" xfId="38" xr:uid="{00000000-0005-0000-0000-000046000000}"/>
    <cellStyle name="Calculation 2 2" xfId="23687" xr:uid="{CBC4D063-C28C-466C-8661-7BD62CD6C263}"/>
    <cellStyle name="Calculation 2 2 2" xfId="32614" xr:uid="{89FEA145-8E46-41D3-B383-873D80FF9B41}"/>
    <cellStyle name="Calculation 2 2 2 2" xfId="35563" xr:uid="{112D25D1-B9CA-40A7-A428-5919ADAC3EF6}"/>
    <cellStyle name="Calculation 2 2 3" xfId="32615" xr:uid="{A50A6C8A-15C7-4E07-8106-A1AF35D220CD}"/>
    <cellStyle name="Calculation 2 2 3 2" xfId="35564" xr:uid="{03355C58-0043-4B33-88EA-1F6BC4B4A9B6}"/>
    <cellStyle name="Calculation 2 2 4" xfId="32681" xr:uid="{7C8BD276-716D-4017-AFE6-83FB5626D9C0}"/>
    <cellStyle name="Calculation 2 3" xfId="23688" xr:uid="{45BD1BC8-A8F7-4AC7-898D-3AF2D7530123}"/>
    <cellStyle name="Calculation 2 3 2" xfId="32616" xr:uid="{A7F4D76B-2F27-4DAF-AAA1-AFFC5B1DB2F5}"/>
    <cellStyle name="Calculation 2 3 2 2" xfId="35565" xr:uid="{BE8FF6C0-925C-464B-AF0B-B2ABAADFF45F}"/>
    <cellStyle name="Calculation 2 3 3" xfId="32617" xr:uid="{0452467F-8BF1-464E-A4AD-7048C8956A08}"/>
    <cellStyle name="Calculation 2 3 3 2" xfId="35566" xr:uid="{70288ABE-9266-4E8B-A3EC-DC04B85AA2B8}"/>
    <cellStyle name="Calculation 2 3 4" xfId="32682" xr:uid="{EF0B24F0-EEF7-4897-9884-AA994755B4BE}"/>
    <cellStyle name="Calculation 2 4" xfId="23689" xr:uid="{48549DCA-53B9-428C-91FA-D0F7C2EAB32A}"/>
    <cellStyle name="Calculations" xfId="8918" xr:uid="{AFA0CBB1-B95A-492B-9E6B-431160E8883D}"/>
    <cellStyle name="Calculations 2" xfId="32618" xr:uid="{4115DC77-D2D0-429A-9C6D-EAC8A0C2BA5B}"/>
    <cellStyle name="Calculations 2 2" xfId="35567" xr:uid="{89DF7B0C-4D42-4758-88BD-F22840AC9FD6}"/>
    <cellStyle name="Calculations 3" xfId="32683" xr:uid="{8BFE074A-82D1-49DE-BEB5-77FFCE7DA523}"/>
    <cellStyle name="Calculations 4" xfId="23690" xr:uid="{0684EA46-883C-44D2-A647-A6E15D6C36FD}"/>
    <cellStyle name="Cella collegata" xfId="39" xr:uid="{00000000-0005-0000-0000-000047000000}"/>
    <cellStyle name="Cella da controllare" xfId="40" xr:uid="{00000000-0005-0000-0000-000048000000}"/>
    <cellStyle name="Check Cell 2" xfId="23691" xr:uid="{CBAC0792-33FA-445F-AF6A-2D61E1EDD376}"/>
    <cellStyle name="Colore 1" xfId="41" xr:uid="{00000000-0005-0000-0000-000049000000}"/>
    <cellStyle name="Colore 2" xfId="42" xr:uid="{00000000-0005-0000-0000-00004A000000}"/>
    <cellStyle name="Colore 3" xfId="43" xr:uid="{00000000-0005-0000-0000-00004B000000}"/>
    <cellStyle name="Colore 4" xfId="44" xr:uid="{00000000-0005-0000-0000-00004C000000}"/>
    <cellStyle name="Colore 5" xfId="45" xr:uid="{00000000-0005-0000-0000-00004D000000}"/>
    <cellStyle name="Colore 6" xfId="46" xr:uid="{00000000-0005-0000-0000-00004E000000}"/>
    <cellStyle name="Comma" xfId="47" builtinId="3"/>
    <cellStyle name="Comma 10" xfId="10602" xr:uid="{B2495AA6-265C-41AE-81E6-B3A49B556931}"/>
    <cellStyle name="Comma 10 2" xfId="21247" xr:uid="{29C3F1C1-18BE-4CE6-A244-1FA2F494EA3E}"/>
    <cellStyle name="Comma 10 3" xfId="23692" xr:uid="{2F8BFBD6-D167-4B4B-8474-5363033E029D}"/>
    <cellStyle name="Comma 10 4" xfId="47855" xr:uid="{FCF5D1D8-4FDA-4B10-940D-3EBD6C3DB044}"/>
    <cellStyle name="Comma 10 5" xfId="48585" xr:uid="{590155D4-BF90-403E-A3CF-C969865CE7E9}"/>
    <cellStyle name="Comma 10 6" xfId="49495" xr:uid="{9B7D1D02-AB33-4BB1-87EB-C8F07F62C282}"/>
    <cellStyle name="Comma 10 7" xfId="50265" xr:uid="{C79AFDAD-A6D3-45D4-BDDC-4EAA5EFF2C65}"/>
    <cellStyle name="Comma 10 8" xfId="53281" xr:uid="{8DFB44D3-4E11-4A10-8C53-619C7677268A}"/>
    <cellStyle name="Comma 10 9" xfId="17715" xr:uid="{16529C12-FF40-4A4B-8E0D-AD4875F6E72F}"/>
    <cellStyle name="Comma 11" xfId="23693" xr:uid="{BC26AA5A-DFA6-4B4E-9782-39E048680D64}"/>
    <cellStyle name="Comma 11 2" xfId="48586" xr:uid="{599AA06F-A351-40F1-915F-ED9F32AB5885}"/>
    <cellStyle name="Comma 11 3" xfId="49496" xr:uid="{B6D3DA87-87B9-4125-A315-3F55BE5F5A81}"/>
    <cellStyle name="Comma 12" xfId="23694" xr:uid="{77E2CAA8-FDAD-44F5-91B4-77567048DFF5}"/>
    <cellStyle name="Comma 12 2" xfId="48587" xr:uid="{425A5421-BCFB-4771-B370-1183F06A410F}"/>
    <cellStyle name="Comma 12 3" xfId="49497" xr:uid="{39D53C45-AA6C-43CF-A23F-B0722F07083D}"/>
    <cellStyle name="Comma 13" xfId="23695" xr:uid="{BE5FC36E-88E3-466F-A964-6AEEDB038C31}"/>
    <cellStyle name="Comma 13 2" xfId="32684" xr:uid="{196D2C47-39F8-4177-816C-B62E64ED694C}"/>
    <cellStyle name="Comma 13 3" xfId="48588" xr:uid="{E7C9C900-95DC-4FD2-9AA0-3A02031FC3D8}"/>
    <cellStyle name="Comma 13 4" xfId="49498" xr:uid="{699DD753-E8A2-4275-875B-D79D8604807B}"/>
    <cellStyle name="Comma 14" xfId="55819" xr:uid="{27E49B0A-2530-4D8D-A2A3-E121A8EAA585}"/>
    <cellStyle name="Comma 15" xfId="6981" xr:uid="{0E51ADE3-AE6F-4EF4-9E84-0ACDB4CC6201}"/>
    <cellStyle name="Comma 2" xfId="48" xr:uid="{00000000-0005-0000-0000-000050000000}"/>
    <cellStyle name="Comma 2 10" xfId="2604" xr:uid="{07072C41-71DE-4EF3-A4AC-0329D0C5C78E}"/>
    <cellStyle name="Comma 2 10 2" xfId="23696" xr:uid="{6A11E770-453C-4462-9437-2CFD97B53C4C}"/>
    <cellStyle name="Comma 2 10 3" xfId="48590" xr:uid="{0C3AE32F-A71B-490A-8167-88F127BFF6F6}"/>
    <cellStyle name="Comma 2 10 4" xfId="49500" xr:uid="{DB19570D-EDD5-49DC-A9F7-B24698F8DEFB}"/>
    <cellStyle name="Comma 2 10 5" xfId="19466" xr:uid="{F1C2F289-B466-4DD8-BBFF-8D51DAD5593F}"/>
    <cellStyle name="Comma 2 11" xfId="23697" xr:uid="{A234C552-AF97-4211-B958-2851B2351C08}"/>
    <cellStyle name="Comma 2 12" xfId="32685" xr:uid="{77D5B730-09C7-4EED-8190-B0D1A646EAEF}"/>
    <cellStyle name="Comma 2 12 2" xfId="38059" xr:uid="{D7090DC4-AF7E-4118-9327-A008D0D6910E}"/>
    <cellStyle name="Comma 2 12 3" xfId="43361" xr:uid="{D829579E-A8DF-4F98-A1C5-88C02D51FE58}"/>
    <cellStyle name="Comma 2 13" xfId="35594" xr:uid="{A9528D90-0284-43A6-8FE7-409CF2E85620}"/>
    <cellStyle name="Comma 2 14" xfId="40710" xr:uid="{D2A5D7A7-BFE9-4038-9310-7C19438299F2}"/>
    <cellStyle name="Comma 2 15" xfId="48589" xr:uid="{6B20BAF4-B212-4AE8-AACF-919642295793}"/>
    <cellStyle name="Comma 2 16" xfId="49499" xr:uid="{9A7C8100-C653-43F4-BBDF-9B9E65888906}"/>
    <cellStyle name="Comma 2 17" xfId="6982" xr:uid="{D9EA276E-938A-4F83-AFD1-4A374F0F80CD}"/>
    <cellStyle name="Comma 2 2" xfId="49" xr:uid="{00000000-0005-0000-0000-000051000000}"/>
    <cellStyle name="Comma 2 2 10" xfId="6983" xr:uid="{4FAA9659-A276-40C1-BE52-C4BFB6F14CEE}"/>
    <cellStyle name="Comma 2 2 2" xfId="2606" xr:uid="{8E5D7C90-9CB3-45D5-8CF3-5DBFA3CCB7B7}"/>
    <cellStyle name="Comma 2 2 2 10" xfId="15939" xr:uid="{5B7213FD-B013-45D7-9C3E-BA87FD3A569F}"/>
    <cellStyle name="Comma 2 2 2 11" xfId="7230" xr:uid="{C99BC8A3-30E5-4F2C-B43C-2AD489F0DA46}"/>
    <cellStyle name="Comma 2 2 2 2" xfId="2607" xr:uid="{2130FD32-2C64-4223-B287-6CA4A9FCF640}"/>
    <cellStyle name="Comma 2 2 2 2 10" xfId="15455" xr:uid="{3A72FF15-C6BC-461B-BF80-DC50D6B5B396}"/>
    <cellStyle name="Comma 2 2 2 2 10 2" xfId="22990" xr:uid="{52D349F8-5F86-4268-8A36-A7D346BE90D7}"/>
    <cellStyle name="Comma 2 2 2 2 10 3" xfId="47495" xr:uid="{C882876C-D6FC-4328-93B8-DB05BC1C30F7}"/>
    <cellStyle name="Comma 2 2 2 2 10 4" xfId="52328" xr:uid="{CA88D0A8-4824-46B6-B8B2-81B7BFDB5CC9}"/>
    <cellStyle name="Comma 2 2 2 2 10 5" xfId="55344" xr:uid="{F9F041A4-F157-484A-8E76-2C4DA2A2EE52}"/>
    <cellStyle name="Comma 2 2 2 2 11" xfId="11580" xr:uid="{5B8AC5B7-3550-4B90-A408-D6B53BDD26D6}"/>
    <cellStyle name="Comma 2 2 2 2 11 2" xfId="21704" xr:uid="{EEC4AE3C-7C96-46DB-950C-A72D06B9B683}"/>
    <cellStyle name="Comma 2 2 2 2 11 3" xfId="37214" xr:uid="{09498DFB-D205-4831-A229-FE13D3ACF59B}"/>
    <cellStyle name="Comma 2 2 2 2 11 4" xfId="50727" xr:uid="{CF1437E8-2DE6-4B9C-A147-6AEB65665660}"/>
    <cellStyle name="Comma 2 2 2 2 11 5" xfId="53743" xr:uid="{94A65E27-5798-4311-8B00-D6BCFFE15E6D}"/>
    <cellStyle name="Comma 2 2 2 2 12" xfId="19469" xr:uid="{A2FE0AA6-9E27-4F74-86B5-CBCCE3E9CF5F}"/>
    <cellStyle name="Comma 2 2 2 2 13" xfId="23700" xr:uid="{0B352EE0-A643-4783-8955-14B87A680AE0}"/>
    <cellStyle name="Comma 2 2 2 2 14" xfId="48593" xr:uid="{0EDC620B-DCD2-4CD7-93C8-4806890A4EFC}"/>
    <cellStyle name="Comma 2 2 2 2 15" xfId="49503" xr:uid="{E0CF1DA3-4605-4826-88EA-F84C2F573BD5}"/>
    <cellStyle name="Comma 2 2 2 2 16" xfId="49791" xr:uid="{BCA0DE54-187A-4F7F-9AAD-0293FD66365B}"/>
    <cellStyle name="Comma 2 2 2 2 17" xfId="52806" xr:uid="{C76A3272-042D-4846-8D89-652323A703CE}"/>
    <cellStyle name="Comma 2 2 2 2 2" xfId="8919" xr:uid="{B4F07312-EE6B-4E91-BB2D-8925E69360F9}"/>
    <cellStyle name="Comma 2 2 2 2 2 10" xfId="12316" xr:uid="{505BDF99-C44C-4CD4-A2E3-DA6E74E36C36}"/>
    <cellStyle name="Comma 2 2 2 2 2 10 2" xfId="47662" xr:uid="{BE3485BE-7E21-4135-86F3-BE7108EA7F69}"/>
    <cellStyle name="Comma 2 2 2 2 2 10 3" xfId="50945" xr:uid="{D2F95A2D-5E48-4D9C-8C1C-D148E045F6B5}"/>
    <cellStyle name="Comma 2 2 2 2 2 10 4" xfId="53961" xr:uid="{30B6E461-79CA-42E4-8745-77A03D6F34EF}"/>
    <cellStyle name="Comma 2 2 2 2 2 11" xfId="23701" xr:uid="{DF2EEB08-D18E-44E4-B4C1-71DA638151B9}"/>
    <cellStyle name="Comma 2 2 2 2 2 12" xfId="48594" xr:uid="{21EB4CB9-6517-4E49-B9AC-435D75E07F33}"/>
    <cellStyle name="Comma 2 2 2 2 2 13" xfId="49504" xr:uid="{C179FCCE-CF9B-4877-9794-F3A384F85B2A}"/>
    <cellStyle name="Comma 2 2 2 2 2 14" xfId="49796" xr:uid="{3396E409-2E62-42F8-BA9D-964A538D0BD8}"/>
    <cellStyle name="Comma 2 2 2 2 2 15" xfId="52811" xr:uid="{60B0C435-0062-492B-B903-F0E972D36E92}"/>
    <cellStyle name="Comma 2 2 2 2 2 2" xfId="10006" xr:uid="{2E4663C2-EE9B-4023-94E0-086F74B3B7C0}"/>
    <cellStyle name="Comma 2 2 2 2 2 2 2" xfId="10314" xr:uid="{9FCE9BC6-DE1C-4A4D-9B0D-F2B511ABA869}"/>
    <cellStyle name="Comma 2 2 2 2 2 2 2 2" xfId="14759" xr:uid="{CFEB6229-5F39-437D-8D97-04D62DEBA073}"/>
    <cellStyle name="Comma 2 2 2 2 2 2 2 2 2" xfId="22306" xr:uid="{8D06D761-8E61-45F6-A447-E9E5DDE6A1A4}"/>
    <cellStyle name="Comma 2 2 2 2 2 2 2 2 3" xfId="46431" xr:uid="{2AA5E9F0-97BD-4F4D-868A-FBB388F1CB75}"/>
    <cellStyle name="Comma 2 2 2 2 2 2 2 2 4" xfId="51644" xr:uid="{8A3464D1-D7C4-4012-A7D3-F81CF7B7A8BA}"/>
    <cellStyle name="Comma 2 2 2 2 2 2 2 2 5" xfId="54660" xr:uid="{A1DD82F1-CFBB-4CF5-80A4-BA8863B768C1}"/>
    <cellStyle name="Comma 2 2 2 2 2 2 2 3" xfId="15244" xr:uid="{AE5A68D4-E4CA-4ECE-A2FD-0BC22A5E5094}"/>
    <cellStyle name="Comma 2 2 2 2 2 2 2 3 2" xfId="22783" xr:uid="{C6B26DA0-A2F3-433F-83C7-C7F82916EF5B}"/>
    <cellStyle name="Comma 2 2 2 2 2 2 2 3 3" xfId="46501" xr:uid="{A0A8AF6A-7EDC-479B-9C08-EF3F51F613BB}"/>
    <cellStyle name="Comma 2 2 2 2 2 2 2 3 4" xfId="52121" xr:uid="{F6DF0E6A-4DC6-4026-8024-CB1C0DC43C3A}"/>
    <cellStyle name="Comma 2 2 2 2 2 2 2 3 5" xfId="55137" xr:uid="{3AAFF37A-69AD-46F6-BE21-FD7CD826643E}"/>
    <cellStyle name="Comma 2 2 2 2 2 2 2 4" xfId="15731" xr:uid="{A3E7E8A4-AD54-4BA5-8FBC-D0B46500E092}"/>
    <cellStyle name="Comma 2 2 2 2 2 2 2 4 2" xfId="23260" xr:uid="{1FA81DBE-6620-4818-B161-1CF5BA3F1AE5}"/>
    <cellStyle name="Comma 2 2 2 2 2 2 2 4 3" xfId="25284" xr:uid="{960355A4-3F47-42EC-917A-BD78258A6848}"/>
    <cellStyle name="Comma 2 2 2 2 2 2 2 4 4" xfId="52598" xr:uid="{26BD4CF0-2460-44F8-9482-CEF24287FB8D}"/>
    <cellStyle name="Comma 2 2 2 2 2 2 2 4 5" xfId="55614" xr:uid="{7F0A4995-D171-450A-BD99-390C73A18D40}"/>
    <cellStyle name="Comma 2 2 2 2 2 2 2 5" xfId="12767" xr:uid="{81FB8099-5E58-4484-A30A-19FC559C9722}"/>
    <cellStyle name="Comma 2 2 2 2 2 2 2 5 2" xfId="34159" xr:uid="{3693B33A-9DB1-45FF-A967-20EC5190A5F4}"/>
    <cellStyle name="Comma 2 2 2 2 2 2 2 5 3" xfId="51167" xr:uid="{225C9A37-BE33-42F9-B1A9-441EFE3A5230}"/>
    <cellStyle name="Comma 2 2 2 2 2 2 2 5 4" xfId="54183" xr:uid="{7E882375-CB32-4A3B-B4DD-E1A9EAC72251}"/>
    <cellStyle name="Comma 2 2 2 2 2 2 2 6" xfId="48453" xr:uid="{A95F68C4-26B7-4D5F-9C9E-A44353A2F0EB}"/>
    <cellStyle name="Comma 2 2 2 2 2 2 2 7" xfId="50061" xr:uid="{7C6BF1C6-1376-40C3-8C83-363076C3EF3B}"/>
    <cellStyle name="Comma 2 2 2 2 2 2 2 8" xfId="53077" xr:uid="{A1789CD0-CBCD-4CE1-ABC4-23598921BFAE}"/>
    <cellStyle name="Comma 2 2 2 2 2 2 3" xfId="14547" xr:uid="{8658C64B-6469-4A6B-B0B1-BCF8437B4937}"/>
    <cellStyle name="Comma 2 2 2 2 2 2 3 2" xfId="22094" xr:uid="{E357FAFA-1553-44AB-B8DE-E193D8F6AD84}"/>
    <cellStyle name="Comma 2 2 2 2 2 2 3 3" xfId="34064" xr:uid="{5764C349-7CF0-4D8E-BDC8-AC15D2876064}"/>
    <cellStyle name="Comma 2 2 2 2 2 2 3 4" xfId="51432" xr:uid="{23EA88CA-CEDB-4596-B0F7-D3AACC66F157}"/>
    <cellStyle name="Comma 2 2 2 2 2 2 3 5" xfId="54448" xr:uid="{289BABBA-7264-4031-9DAD-D0DF56E443FE}"/>
    <cellStyle name="Comma 2 2 2 2 2 2 4" xfId="15031" xr:uid="{783B96A2-BB2A-467D-9F17-1D16C9CF19DA}"/>
    <cellStyle name="Comma 2 2 2 2 2 2 4 2" xfId="22571" xr:uid="{67B9256D-2DD9-4ACB-A2E8-914759D073EB}"/>
    <cellStyle name="Comma 2 2 2 2 2 2 4 3" xfId="47484" xr:uid="{12DAC970-375A-4CC9-A7F4-3ACDD0E1357D}"/>
    <cellStyle name="Comma 2 2 2 2 2 2 4 4" xfId="51909" xr:uid="{23725452-5364-4B42-9DAD-39851135EBFD}"/>
    <cellStyle name="Comma 2 2 2 2 2 2 4 5" xfId="54925" xr:uid="{B197A2E8-1721-4A7A-96A4-6CD961E015FD}"/>
    <cellStyle name="Comma 2 2 2 2 2 2 5" xfId="15518" xr:uid="{AF6FEBEC-BE82-424A-BDCD-16500AFB273F}"/>
    <cellStyle name="Comma 2 2 2 2 2 2 5 2" xfId="23048" xr:uid="{000BC2A9-836F-4213-8041-B8461235A421}"/>
    <cellStyle name="Comma 2 2 2 2 2 2 5 3" xfId="46544" xr:uid="{48B7AE38-8FD3-47EC-AE86-6B9ABC4C9853}"/>
    <cellStyle name="Comma 2 2 2 2 2 2 5 4" xfId="52386" xr:uid="{FE4DD2A8-3AF1-414B-9C90-301F75C6A7BE}"/>
    <cellStyle name="Comma 2 2 2 2 2 2 5 5" xfId="55402" xr:uid="{DEEDB44E-1420-45E8-8036-0E96736ABD50}"/>
    <cellStyle name="Comma 2 2 2 2 2 2 6" xfId="12466" xr:uid="{869BCB60-85E6-430E-8912-645CC3355A55}"/>
    <cellStyle name="Comma 2 2 2 2 2 2 6 2" xfId="47612" xr:uid="{119A369E-39C3-42CF-980C-CB672C810DCE}"/>
    <cellStyle name="Comma 2 2 2 2 2 2 6 3" xfId="50955" xr:uid="{27A55F2A-DC32-4404-8169-B2124B6ADFDC}"/>
    <cellStyle name="Comma 2 2 2 2 2 2 6 4" xfId="53971" xr:uid="{86BEB2C1-4DC2-41D0-B70F-70F65CD4C270}"/>
    <cellStyle name="Comma 2 2 2 2 2 2 7" xfId="47571" xr:uid="{E2AA023B-5B1E-407B-B229-F2E4C5DF300B}"/>
    <cellStyle name="Comma 2 2 2 2 2 2 8" xfId="49849" xr:uid="{D0430B2D-D7CE-4728-AF37-8DCEE02D7C6D}"/>
    <cellStyle name="Comma 2 2 2 2 2 2 9" xfId="52865" xr:uid="{AA733D7F-7234-46EF-8974-44469D57BBA2}"/>
    <cellStyle name="Comma 2 2 2 2 2 3" xfId="10080" xr:uid="{970F714D-CB1C-477C-8A88-3048DFFD1C72}"/>
    <cellStyle name="Comma 2 2 2 2 2 3 2" xfId="10393" xr:uid="{C142E82A-5F2F-4776-8138-B4C6038B4006}"/>
    <cellStyle name="Comma 2 2 2 2 2 3 2 2" xfId="14812" xr:uid="{55C5121F-8B72-4238-9408-ED3F2AA22108}"/>
    <cellStyle name="Comma 2 2 2 2 2 3 2 2 2" xfId="22359" xr:uid="{A6DFC0A6-DCEF-415D-822C-8E0C6D043197}"/>
    <cellStyle name="Comma 2 2 2 2 2 3 2 2 3" xfId="47335" xr:uid="{9E6D4D50-4CB5-4E21-A9DD-61DCB0332764}"/>
    <cellStyle name="Comma 2 2 2 2 2 3 2 2 4" xfId="51697" xr:uid="{49CF1385-AC72-440C-AF4D-ADF9668D6FF3}"/>
    <cellStyle name="Comma 2 2 2 2 2 3 2 2 5" xfId="54713" xr:uid="{3DA96183-08CF-45B6-88E2-664BE5500066}"/>
    <cellStyle name="Comma 2 2 2 2 2 3 2 3" xfId="15297" xr:uid="{93E1C2FA-7135-4E6A-96E4-C21AECBD0BFD}"/>
    <cellStyle name="Comma 2 2 2 2 2 3 2 3 2" xfId="22836" xr:uid="{756DA5D5-8AFE-4EDE-86F2-4647DEA5C806}"/>
    <cellStyle name="Comma 2 2 2 2 2 3 2 3 3" xfId="24448" xr:uid="{C8C75282-563A-404E-ADAC-809CAEAF0700}"/>
    <cellStyle name="Comma 2 2 2 2 2 3 2 3 4" xfId="52174" xr:uid="{925BD59B-2F3A-4428-8401-75550C5CB675}"/>
    <cellStyle name="Comma 2 2 2 2 2 3 2 3 5" xfId="55190" xr:uid="{1C980DFC-6654-4114-B1AD-240C506557DC}"/>
    <cellStyle name="Comma 2 2 2 2 2 3 2 4" xfId="15784" xr:uid="{77723292-3D9B-413B-9EB7-64AABDB92DBF}"/>
    <cellStyle name="Comma 2 2 2 2 2 3 2 4 2" xfId="23313" xr:uid="{A362F127-8A89-42BE-B9F1-0733F34CFCD7}"/>
    <cellStyle name="Comma 2 2 2 2 2 3 2 4 3" xfId="47502" xr:uid="{DB76F9AD-9166-4DA4-9DA0-63AA452BD6C5}"/>
    <cellStyle name="Comma 2 2 2 2 2 3 2 4 4" xfId="52651" xr:uid="{19BEE77E-09FE-45AD-BB6D-6558A4541692}"/>
    <cellStyle name="Comma 2 2 2 2 2 3 2 4 5" xfId="55667" xr:uid="{7C8AC423-0F70-4898-8582-5B24803937FD}"/>
    <cellStyle name="Comma 2 2 2 2 2 3 2 5" xfId="12846" xr:uid="{5B07B445-9DBD-49B8-ADB7-FF80CB5C7E78}"/>
    <cellStyle name="Comma 2 2 2 2 2 3 2 5 2" xfId="48202" xr:uid="{29731AAE-BF57-49A6-AE26-F6463016A967}"/>
    <cellStyle name="Comma 2 2 2 2 2 3 2 5 3" xfId="51220" xr:uid="{6E82D698-96B4-4D2B-A981-33C63325FA42}"/>
    <cellStyle name="Comma 2 2 2 2 2 3 2 5 4" xfId="54236" xr:uid="{DE262B3E-F0FD-4A67-B1E2-C471B406BA9B}"/>
    <cellStyle name="Comma 2 2 2 2 2 3 2 6" xfId="24265" xr:uid="{3785C0F0-39C6-4EC0-A1A8-3272A865FA32}"/>
    <cellStyle name="Comma 2 2 2 2 2 3 2 7" xfId="50114" xr:uid="{E9BF7258-5987-4EB0-9C11-07832AFC6ED0}"/>
    <cellStyle name="Comma 2 2 2 2 2 3 2 8" xfId="53130" xr:uid="{5F16275A-5277-4E75-BF76-F4C097A1F6E9}"/>
    <cellStyle name="Comma 2 2 2 2 2 3 3" xfId="14600" xr:uid="{0B76994E-89DD-48DE-B587-8B88460CC15D}"/>
    <cellStyle name="Comma 2 2 2 2 2 3 3 2" xfId="22147" xr:uid="{EE0BA41D-F67D-4E0D-AEDE-83B909A16399}"/>
    <cellStyle name="Comma 2 2 2 2 2 3 3 3" xfId="32378" xr:uid="{459AA75B-8BA7-438F-9C45-7DCE02591519}"/>
    <cellStyle name="Comma 2 2 2 2 2 3 3 4" xfId="51485" xr:uid="{A849E47D-B3AF-4975-AB97-F07DA27346A4}"/>
    <cellStyle name="Comma 2 2 2 2 2 3 3 5" xfId="54501" xr:uid="{9C15F928-15EE-4E5B-81A9-71C3075F2E45}"/>
    <cellStyle name="Comma 2 2 2 2 2 3 4" xfId="15085" xr:uid="{B2BCDD78-80BA-469C-BB15-C893BFE3565D}"/>
    <cellStyle name="Comma 2 2 2 2 2 3 4 2" xfId="22624" xr:uid="{0E89A623-FA31-46D1-9BE5-D953784501C7}"/>
    <cellStyle name="Comma 2 2 2 2 2 3 4 3" xfId="47979" xr:uid="{E425703B-BD91-4C39-AB8F-FAF91E0A15A1}"/>
    <cellStyle name="Comma 2 2 2 2 2 3 4 4" xfId="51962" xr:uid="{34D3BE25-5719-499A-A4EF-680346D7CDF0}"/>
    <cellStyle name="Comma 2 2 2 2 2 3 4 5" xfId="54978" xr:uid="{820A08E2-066D-41A3-8FA4-0053E7021F49}"/>
    <cellStyle name="Comma 2 2 2 2 2 3 5" xfId="15572" xr:uid="{CAA3C18F-824B-4839-B54C-1B60D0D5D15C}"/>
    <cellStyle name="Comma 2 2 2 2 2 3 5 2" xfId="23101" xr:uid="{E2B3A1D2-257A-42A2-82EE-8B8DC0431C0D}"/>
    <cellStyle name="Comma 2 2 2 2 2 3 5 3" xfId="46937" xr:uid="{3555D337-5A3C-4115-A595-CF49F9581390}"/>
    <cellStyle name="Comma 2 2 2 2 2 3 5 4" xfId="52439" xr:uid="{84CCAF27-CB5A-4C6A-A30E-60B7C2C2D241}"/>
    <cellStyle name="Comma 2 2 2 2 2 3 5 5" xfId="55455" xr:uid="{344E05F5-421B-4234-BA4F-10BD711C976A}"/>
    <cellStyle name="Comma 2 2 2 2 2 3 6" xfId="12537" xr:uid="{7AD45FF8-B690-4EA0-9FD7-074150ED9B9C}"/>
    <cellStyle name="Comma 2 2 2 2 2 3 6 2" xfId="47049" xr:uid="{54499611-F365-49F5-818D-8CAF7C88C0E7}"/>
    <cellStyle name="Comma 2 2 2 2 2 3 6 3" xfId="51008" xr:uid="{266D4795-A9A8-48A3-B2F7-1CC430E62F28}"/>
    <cellStyle name="Comma 2 2 2 2 2 3 6 4" xfId="54024" xr:uid="{3D978921-DAFC-4F4B-8FB9-C92789C38EF0}"/>
    <cellStyle name="Comma 2 2 2 2 2 3 7" xfId="47868" xr:uid="{34651C98-D292-4401-8341-1F0E46E39B5B}"/>
    <cellStyle name="Comma 2 2 2 2 2 3 8" xfId="49902" xr:uid="{25E4BC19-6E8F-423D-82A1-BBEA4A3880A4}"/>
    <cellStyle name="Comma 2 2 2 2 2 3 9" xfId="52918" xr:uid="{49EE71A9-ED4E-461E-99D1-881A1486DE58}"/>
    <cellStyle name="Comma 2 2 2 2 2 4" xfId="10159" xr:uid="{FACD275E-614A-44B1-BA26-C424803A2CF9}"/>
    <cellStyle name="Comma 2 2 2 2 2 4 2" xfId="10473" xr:uid="{FE84EF5C-7DB3-4C4E-A30C-FCA1E0D318A2}"/>
    <cellStyle name="Comma 2 2 2 2 2 4 2 2" xfId="14865" xr:uid="{80389E93-90B1-4AA3-9748-0361EF8DB92D}"/>
    <cellStyle name="Comma 2 2 2 2 2 4 2 2 2" xfId="22412" xr:uid="{199CE776-CC1B-4A96-A781-3F4948CDC636}"/>
    <cellStyle name="Comma 2 2 2 2 2 4 2 2 3" xfId="46448" xr:uid="{0B5D240B-BE6A-42B9-ADEB-A7965FA53434}"/>
    <cellStyle name="Comma 2 2 2 2 2 4 2 2 4" xfId="51750" xr:uid="{5BB876BC-D519-44C2-8D95-DF41F936273D}"/>
    <cellStyle name="Comma 2 2 2 2 2 4 2 2 5" xfId="54766" xr:uid="{D78F6095-2F09-4880-8940-5E8A892C87CA}"/>
    <cellStyle name="Comma 2 2 2 2 2 4 2 3" xfId="15350" xr:uid="{7E544995-A8F5-49D0-8D7C-3B35B59E17D1}"/>
    <cellStyle name="Comma 2 2 2 2 2 4 2 3 2" xfId="22889" xr:uid="{3DDBFA63-2E0E-4425-81C9-B654243AF80F}"/>
    <cellStyle name="Comma 2 2 2 2 2 4 2 3 3" xfId="48015" xr:uid="{D4F286EF-87FC-4925-B331-54AE32CF22BB}"/>
    <cellStyle name="Comma 2 2 2 2 2 4 2 3 4" xfId="52227" xr:uid="{9011DF74-8583-4934-B6DC-0A54B695D27B}"/>
    <cellStyle name="Comma 2 2 2 2 2 4 2 3 5" xfId="55243" xr:uid="{FC90E913-32A0-44F4-8ABA-A3C2F7BC70A1}"/>
    <cellStyle name="Comma 2 2 2 2 2 4 2 4" xfId="15837" xr:uid="{2E9958A5-F78C-48D0-9679-C2F7839C14DC}"/>
    <cellStyle name="Comma 2 2 2 2 2 4 2 4 2" xfId="23366" xr:uid="{3B16856C-DD71-4760-9A8C-15EB5DE0B75F}"/>
    <cellStyle name="Comma 2 2 2 2 2 4 2 4 3" xfId="47113" xr:uid="{50346FA3-B773-4FAB-B9C1-E9BDB6D15F18}"/>
    <cellStyle name="Comma 2 2 2 2 2 4 2 4 4" xfId="52704" xr:uid="{B7041E99-4155-4055-82F1-6159023EEA43}"/>
    <cellStyle name="Comma 2 2 2 2 2 4 2 4 5" xfId="55720" xr:uid="{DABAF87A-2F8D-4113-8957-FBCECBEFA192}"/>
    <cellStyle name="Comma 2 2 2 2 2 4 2 5" xfId="12926" xr:uid="{41FBEDC9-4215-44C3-90B6-64762A99D4FB}"/>
    <cellStyle name="Comma 2 2 2 2 2 4 2 5 2" xfId="47101" xr:uid="{FF7D8520-1A00-4138-A9B3-3D3F2DCDDF29}"/>
    <cellStyle name="Comma 2 2 2 2 2 4 2 5 3" xfId="51273" xr:uid="{F736CFAB-E736-43E1-9928-78615B9418D8}"/>
    <cellStyle name="Comma 2 2 2 2 2 4 2 5 4" xfId="54289" xr:uid="{0F8ADD53-4E17-4AAC-8E9F-190EB2C79D75}"/>
    <cellStyle name="Comma 2 2 2 2 2 4 2 6" xfId="47290" xr:uid="{4ED697B8-D494-4AC1-9BA8-636415DD957B}"/>
    <cellStyle name="Comma 2 2 2 2 2 4 2 7" xfId="50167" xr:uid="{69DBC064-78D7-415C-85E7-CF86F9CF48C2}"/>
    <cellStyle name="Comma 2 2 2 2 2 4 2 8" xfId="53183" xr:uid="{50B5A3E1-07E2-409F-80FC-69C97307A3ED}"/>
    <cellStyle name="Comma 2 2 2 2 2 4 3" xfId="14653" xr:uid="{1712DFA7-A8D9-48BF-B481-4413633BB52B}"/>
    <cellStyle name="Comma 2 2 2 2 2 4 3 2" xfId="22200" xr:uid="{73232129-6351-4C2C-BD98-F31997541C9E}"/>
    <cellStyle name="Comma 2 2 2 2 2 4 3 3" xfId="46413" xr:uid="{775FBD3C-D702-49C3-B207-39D60413FAA5}"/>
    <cellStyle name="Comma 2 2 2 2 2 4 3 4" xfId="51538" xr:uid="{7EB4CC36-55BB-410B-BE44-97519CBDB8F9}"/>
    <cellStyle name="Comma 2 2 2 2 2 4 3 5" xfId="54554" xr:uid="{52FD9CE8-B92E-4374-ADF2-45B1A41F73F7}"/>
    <cellStyle name="Comma 2 2 2 2 2 4 4" xfId="15138" xr:uid="{1B318126-B47C-4A5F-9C01-26484F470D91}"/>
    <cellStyle name="Comma 2 2 2 2 2 4 4 2" xfId="22677" xr:uid="{2DCF1E6B-7544-4BA2-8964-687CA2B223D7}"/>
    <cellStyle name="Comma 2 2 2 2 2 4 4 3" xfId="47713" xr:uid="{4BF4C5FA-B661-453F-8172-57307E89A9E6}"/>
    <cellStyle name="Comma 2 2 2 2 2 4 4 4" xfId="52015" xr:uid="{7214B823-058D-4ABC-9E1B-8543035DADEB}"/>
    <cellStyle name="Comma 2 2 2 2 2 4 4 5" xfId="55031" xr:uid="{DD66F60E-45F1-43DD-9E4D-C3CB134FCD10}"/>
    <cellStyle name="Comma 2 2 2 2 2 4 5" xfId="15625" xr:uid="{24849170-54BB-4972-A444-01393A6F2A55}"/>
    <cellStyle name="Comma 2 2 2 2 2 4 5 2" xfId="23154" xr:uid="{2660B9D5-766D-45FD-B2BD-815F87D23C54}"/>
    <cellStyle name="Comma 2 2 2 2 2 4 5 3" xfId="47550" xr:uid="{A07E5C24-B3AF-4C56-AC69-2202C5601745}"/>
    <cellStyle name="Comma 2 2 2 2 2 4 5 4" xfId="52492" xr:uid="{0F2A8386-01D8-4EB3-8DD0-A99666FB4D20}"/>
    <cellStyle name="Comma 2 2 2 2 2 4 5 5" xfId="55508" xr:uid="{6371B645-5257-4E55-AAC6-0590E64D9A23}"/>
    <cellStyle name="Comma 2 2 2 2 2 4 6" xfId="12613" xr:uid="{5D524775-CE51-4E74-A57E-C86440AD48E1}"/>
    <cellStyle name="Comma 2 2 2 2 2 4 6 2" xfId="47467" xr:uid="{4119900A-9E36-4E6D-BBA1-2678D27DB230}"/>
    <cellStyle name="Comma 2 2 2 2 2 4 6 3" xfId="51061" xr:uid="{3F22E74F-4CEB-4187-82DA-51194791A4E3}"/>
    <cellStyle name="Comma 2 2 2 2 2 4 6 4" xfId="54077" xr:uid="{287B5A27-B0EB-4363-9B69-5B2B0C9C26EE}"/>
    <cellStyle name="Comma 2 2 2 2 2 4 7" xfId="46056" xr:uid="{AADFDC8F-DBB9-4C2C-985D-E8145959D0F3}"/>
    <cellStyle name="Comma 2 2 2 2 2 4 8" xfId="49955" xr:uid="{8DE904A2-BA71-4CD7-AAE9-C4CA6D541B3A}"/>
    <cellStyle name="Comma 2 2 2 2 2 4 9" xfId="52971" xr:uid="{E37520D0-41AE-479B-A7C4-397917D9CD3C}"/>
    <cellStyle name="Comma 2 2 2 2 2 5" xfId="10239" xr:uid="{C3CFC777-3000-49DB-880E-25A43B39F62E}"/>
    <cellStyle name="Comma 2 2 2 2 2 5 2" xfId="14706" xr:uid="{747F9DA6-8F0C-48CB-BB6B-9D3D35EC393A}"/>
    <cellStyle name="Comma 2 2 2 2 2 5 2 2" xfId="22253" xr:uid="{4D42047A-BBDB-4999-BF85-BEF2628175AA}"/>
    <cellStyle name="Comma 2 2 2 2 2 5 2 3" xfId="46851" xr:uid="{6D8C8677-A18F-4C39-984D-7D653A8C3C1D}"/>
    <cellStyle name="Comma 2 2 2 2 2 5 2 4" xfId="51591" xr:uid="{DE9DC742-64E8-4D3E-8965-9DE7463EF210}"/>
    <cellStyle name="Comma 2 2 2 2 2 5 2 5" xfId="54607" xr:uid="{4EE2E687-29CD-4F1C-94B2-17417340D73A}"/>
    <cellStyle name="Comma 2 2 2 2 2 5 3" xfId="15191" xr:uid="{BB37FEA1-2494-420C-B533-268F32CEDB94}"/>
    <cellStyle name="Comma 2 2 2 2 2 5 3 2" xfId="22730" xr:uid="{5AE08140-A2A2-4088-84D2-0350A0AAD0E2}"/>
    <cellStyle name="Comma 2 2 2 2 2 5 3 3" xfId="48415" xr:uid="{CA49C0F7-3559-4873-B299-D5F683048A11}"/>
    <cellStyle name="Comma 2 2 2 2 2 5 3 4" xfId="52068" xr:uid="{419B18FD-FA8A-4E0D-9F96-B92624620A3C}"/>
    <cellStyle name="Comma 2 2 2 2 2 5 3 5" xfId="55084" xr:uid="{10B7AE44-B114-4355-858C-C225AAD19040}"/>
    <cellStyle name="Comma 2 2 2 2 2 5 4" xfId="15678" xr:uid="{2F0C533D-3258-4137-BF0E-81AFC32C505B}"/>
    <cellStyle name="Comma 2 2 2 2 2 5 4 2" xfId="23207" xr:uid="{6463E8A3-0ADB-480C-A987-B1746B220575}"/>
    <cellStyle name="Comma 2 2 2 2 2 5 4 3" xfId="46952" xr:uid="{73026AC1-06A1-4A7D-9952-1000E8A006E5}"/>
    <cellStyle name="Comma 2 2 2 2 2 5 4 4" xfId="52545" xr:uid="{64C15F0B-187F-4A60-83E2-D0941A51033D}"/>
    <cellStyle name="Comma 2 2 2 2 2 5 4 5" xfId="55561" xr:uid="{5BF937AA-A852-4B2E-A8DC-496105A53DF6}"/>
    <cellStyle name="Comma 2 2 2 2 2 5 5" xfId="12692" xr:uid="{B1DA0687-0720-436B-9B08-BABC7693DD43}"/>
    <cellStyle name="Comma 2 2 2 2 2 5 5 2" xfId="25064" xr:uid="{B5D26DF6-EDD3-4E02-8E4D-70AD5486F1C0}"/>
    <cellStyle name="Comma 2 2 2 2 2 5 5 3" xfId="51114" xr:uid="{7A7D35B5-4BE9-4BEA-A55D-FB727AD78B2E}"/>
    <cellStyle name="Comma 2 2 2 2 2 5 5 4" xfId="54130" xr:uid="{38AA09ED-79B4-4A8D-9B2F-81564C1E7211}"/>
    <cellStyle name="Comma 2 2 2 2 2 5 6" xfId="46070" xr:uid="{2254B413-0082-4CAA-8DC6-E42A687A00AF}"/>
    <cellStyle name="Comma 2 2 2 2 2 5 7" xfId="50008" xr:uid="{30DDCDEC-BB9B-45FD-99E4-111FCD00F212}"/>
    <cellStyle name="Comma 2 2 2 2 2 5 8" xfId="53024" xr:uid="{68414BA0-877F-4D58-B508-67BE282D9338}"/>
    <cellStyle name="Comma 2 2 2 2 2 6" xfId="10553" xr:uid="{66A51568-4155-4286-A218-F40F30F0D640}"/>
    <cellStyle name="Comma 2 2 2 2 2 6 2" xfId="14918" xr:uid="{929CC629-AA4A-44D1-B0F5-31C60618E5CE}"/>
    <cellStyle name="Comma 2 2 2 2 2 6 2 2" xfId="22465" xr:uid="{5DBE17C5-70FD-476C-941E-8A0E2C7767F8}"/>
    <cellStyle name="Comma 2 2 2 2 2 6 2 3" xfId="32522" xr:uid="{D14D000A-D07E-4E49-B26D-9293F3740068}"/>
    <cellStyle name="Comma 2 2 2 2 2 6 2 4" xfId="51803" xr:uid="{DC71A1C9-E69E-407F-B682-F8407D0AA95F}"/>
    <cellStyle name="Comma 2 2 2 2 2 6 2 5" xfId="54819" xr:uid="{D5D3F881-B19F-463C-AD91-16564B592310}"/>
    <cellStyle name="Comma 2 2 2 2 2 6 3" xfId="15403" xr:uid="{359D6F52-6DB2-4B2E-85E9-F80D21A4C8A6}"/>
    <cellStyle name="Comma 2 2 2 2 2 6 3 2" xfId="22942" xr:uid="{078D9B2C-B87A-484A-9235-14EEBB1B3BF0}"/>
    <cellStyle name="Comma 2 2 2 2 2 6 3 3" xfId="47058" xr:uid="{79C13ED4-30FB-4982-B4D6-F04E75E1C2A8}"/>
    <cellStyle name="Comma 2 2 2 2 2 6 3 4" xfId="52280" xr:uid="{4424CCC5-2B84-455C-A70C-DFEB409A5F1D}"/>
    <cellStyle name="Comma 2 2 2 2 2 6 3 5" xfId="55296" xr:uid="{03228C61-1E13-412A-BFE7-88A2685EFE30}"/>
    <cellStyle name="Comma 2 2 2 2 2 6 4" xfId="15891" xr:uid="{90185DC8-2A25-4974-959E-4611EBFB1ABF}"/>
    <cellStyle name="Comma 2 2 2 2 2 6 4 2" xfId="23419" xr:uid="{7DF16008-0AAA-468C-B757-01E9267C4CCD}"/>
    <cellStyle name="Comma 2 2 2 2 2 6 4 3" xfId="46601" xr:uid="{8C870BAF-90DD-4B33-8BE3-682B0D016328}"/>
    <cellStyle name="Comma 2 2 2 2 2 6 4 4" xfId="52757" xr:uid="{A5AABFFF-A322-4B5A-AE46-D106D3AE40CD}"/>
    <cellStyle name="Comma 2 2 2 2 2 6 4 5" xfId="55773" xr:uid="{9B6FB96C-57AF-484A-B8B2-4607D8380087}"/>
    <cellStyle name="Comma 2 2 2 2 2 6 5" xfId="13006" xr:uid="{6E81CCE5-B2B4-47AC-AED4-C6D53854875C}"/>
    <cellStyle name="Comma 2 2 2 2 2 6 5 2" xfId="32379" xr:uid="{4581F1F6-4D98-4260-9C37-753969E545FE}"/>
    <cellStyle name="Comma 2 2 2 2 2 6 5 3" xfId="51326" xr:uid="{C8627537-7545-48EC-8A96-76D0B3FCE033}"/>
    <cellStyle name="Comma 2 2 2 2 2 6 5 4" xfId="54342" xr:uid="{C0574B5D-088D-422F-97DF-33C34D9A42CE}"/>
    <cellStyle name="Comma 2 2 2 2 2 6 6" xfId="46147" xr:uid="{99BEAFB2-F8F4-4620-9998-97E2A0644AFF}"/>
    <cellStyle name="Comma 2 2 2 2 2 6 7" xfId="50220" xr:uid="{A4375C25-CCA4-43DC-AB6C-FB57FF7512E0}"/>
    <cellStyle name="Comma 2 2 2 2 2 6 8" xfId="53236" xr:uid="{0191B212-5F72-4944-8545-F488BC610865}"/>
    <cellStyle name="Comma 2 2 2 2 2 7" xfId="14494" xr:uid="{65CD0272-747F-4367-89AA-40082BEC0540}"/>
    <cellStyle name="Comma 2 2 2 2 2 7 2" xfId="22041" xr:uid="{662EDD2C-7CC6-4F6D-B00C-81F9195B5E0E}"/>
    <cellStyle name="Comma 2 2 2 2 2 7 3" xfId="24751" xr:uid="{68D3AF3C-9E5C-4D91-B40C-52BA69C2A28B}"/>
    <cellStyle name="Comma 2 2 2 2 2 7 4" xfId="51379" xr:uid="{AED98160-77B6-4CE0-9F32-F42252B60219}"/>
    <cellStyle name="Comma 2 2 2 2 2 7 5" xfId="54395" xr:uid="{157D5F30-681F-4101-AAC8-042E8EC37616}"/>
    <cellStyle name="Comma 2 2 2 2 2 8" xfId="14978" xr:uid="{5BD4A070-67FE-40E5-8F0E-FCD8B1F03A8A}"/>
    <cellStyle name="Comma 2 2 2 2 2 8 2" xfId="22518" xr:uid="{782EB7C7-3EFD-4EFC-96D2-3CCEF6C28B87}"/>
    <cellStyle name="Comma 2 2 2 2 2 8 3" xfId="24926" xr:uid="{D4849487-099D-41D4-9433-CC6869DBB64D}"/>
    <cellStyle name="Comma 2 2 2 2 2 8 4" xfId="51856" xr:uid="{A896F8EE-ACC6-4D55-A9E8-EE6B376EF199}"/>
    <cellStyle name="Comma 2 2 2 2 2 8 5" xfId="54872" xr:uid="{1D74A3DC-13BD-44B9-A389-617DAE6C24E3}"/>
    <cellStyle name="Comma 2 2 2 2 2 9" xfId="15465" xr:uid="{B64A9C67-09C6-4CF2-ADC8-E21A922F3387}"/>
    <cellStyle name="Comma 2 2 2 2 2 9 2" xfId="22995" xr:uid="{1341AB1B-8E3F-4BC6-A1E5-6EDE5859FF93}"/>
    <cellStyle name="Comma 2 2 2 2 2 9 3" xfId="47059" xr:uid="{6ED7F16C-208A-415F-BC02-EA1524F30C8F}"/>
    <cellStyle name="Comma 2 2 2 2 2 9 4" xfId="52333" xr:uid="{B2B468DF-DFA7-4433-BBCF-5E72110AE028}"/>
    <cellStyle name="Comma 2 2 2 2 2 9 5" xfId="55349" xr:uid="{4A92AB21-B618-44A2-B393-3F8C98702382}"/>
    <cellStyle name="Comma 2 2 2 2 3" xfId="9601" xr:uid="{BA9B6541-2BCE-4A54-9E9F-5BB14F5CE57A}"/>
    <cellStyle name="Comma 2 2 2 2 3 2" xfId="10293" xr:uid="{292C86D0-F0EE-4740-AD9E-D43B0D2EC3D7}"/>
    <cellStyle name="Comma 2 2 2 2 3 2 2" xfId="14754" xr:uid="{85F9CC31-B45B-4F1B-A0C7-9ACC715940DA}"/>
    <cellStyle name="Comma 2 2 2 2 3 2 2 2" xfId="22301" xr:uid="{586CD4D2-A5F9-4DF4-903A-3945D5C74CDC}"/>
    <cellStyle name="Comma 2 2 2 2 3 2 2 3" xfId="34042" xr:uid="{67894323-CED1-4D5C-AB94-6A4B84A1A168}"/>
    <cellStyle name="Comma 2 2 2 2 3 2 2 4" xfId="51639" xr:uid="{8B45D972-376A-4371-B3EF-1891332C824A}"/>
    <cellStyle name="Comma 2 2 2 2 3 2 2 5" xfId="54655" xr:uid="{4840EBE2-D63C-43E8-B376-A1E28B4FE8CC}"/>
    <cellStyle name="Comma 2 2 2 2 3 2 3" xfId="15239" xr:uid="{0F7DCC39-910A-4C04-BA25-76F05A004480}"/>
    <cellStyle name="Comma 2 2 2 2 3 2 3 2" xfId="22778" xr:uid="{21636499-C5A2-47DC-A644-3F612A26F450}"/>
    <cellStyle name="Comma 2 2 2 2 3 2 3 3" xfId="47128" xr:uid="{5D2345A4-580C-4976-99B5-DC8F572D52B5}"/>
    <cellStyle name="Comma 2 2 2 2 3 2 3 4" xfId="52116" xr:uid="{34E0336D-F97E-4049-AB05-8E2A079F7339}"/>
    <cellStyle name="Comma 2 2 2 2 3 2 3 5" xfId="55132" xr:uid="{791D61D8-872E-4CF4-8B1C-9C085EE9B51A}"/>
    <cellStyle name="Comma 2 2 2 2 3 2 4" xfId="15726" xr:uid="{794F5601-F486-4916-9CF2-06B632190F9F}"/>
    <cellStyle name="Comma 2 2 2 2 3 2 4 2" xfId="23255" xr:uid="{2F3CCE61-0693-4C7A-B451-2EACB44FD903}"/>
    <cellStyle name="Comma 2 2 2 2 3 2 4 3" xfId="47729" xr:uid="{1F88A7C6-50A2-453E-9AAB-0F5184143511}"/>
    <cellStyle name="Comma 2 2 2 2 3 2 4 4" xfId="52593" xr:uid="{FDE490D1-E9D6-4013-A787-30033C0F6807}"/>
    <cellStyle name="Comma 2 2 2 2 3 2 4 5" xfId="55609" xr:uid="{2515A06F-E40F-4B2A-B96C-51B8690B24CA}"/>
    <cellStyle name="Comma 2 2 2 2 3 2 5" xfId="12746" xr:uid="{FB9DBDA0-1BF8-4B6A-96C1-5571030131EC}"/>
    <cellStyle name="Comma 2 2 2 2 3 2 5 2" xfId="47367" xr:uid="{783D8C14-2C4D-415A-A1F5-E52E926F766F}"/>
    <cellStyle name="Comma 2 2 2 2 3 2 5 3" xfId="51162" xr:uid="{BBF974F6-09BC-46A5-AC06-CF59E912939C}"/>
    <cellStyle name="Comma 2 2 2 2 3 2 5 4" xfId="54178" xr:uid="{06A48745-AF1C-454F-A67F-9979F58CB21C}"/>
    <cellStyle name="Comma 2 2 2 2 3 2 6" xfId="46086" xr:uid="{DFC1BC07-B789-4808-B63E-3B7BF90C2FC6}"/>
    <cellStyle name="Comma 2 2 2 2 3 2 7" xfId="50056" xr:uid="{125ED242-B8F2-480A-9F1A-464056DAB4B6}"/>
    <cellStyle name="Comma 2 2 2 2 3 2 8" xfId="53072" xr:uid="{9141C87A-AF40-4F75-A454-E42CD14ADDA7}"/>
    <cellStyle name="Comma 2 2 2 2 3 3" xfId="14542" xr:uid="{9928C43E-4F8F-43B9-8A1E-AB14D60F262E}"/>
    <cellStyle name="Comma 2 2 2 2 3 3 2" xfId="22089" xr:uid="{6718C1A9-888A-46F7-80BF-387912A36FCE}"/>
    <cellStyle name="Comma 2 2 2 2 3 3 3" xfId="47827" xr:uid="{6ECF838B-85C0-49FC-B780-4F2E27950356}"/>
    <cellStyle name="Comma 2 2 2 2 3 3 4" xfId="51427" xr:uid="{606BAF1E-5706-4119-BF7C-5E2EC8C6A22C}"/>
    <cellStyle name="Comma 2 2 2 2 3 3 5" xfId="54443" xr:uid="{52DD6964-5203-4983-B976-D664B6D341FF}"/>
    <cellStyle name="Comma 2 2 2 2 3 4" xfId="15026" xr:uid="{4ABE2224-D3B5-4B61-9DBF-1D407E22FE40}"/>
    <cellStyle name="Comma 2 2 2 2 3 4 2" xfId="22566" xr:uid="{F23D9F18-8F98-4C5C-9589-56EDE83D369A}"/>
    <cellStyle name="Comma 2 2 2 2 3 4 3" xfId="47081" xr:uid="{3A8759D7-E4F4-4780-9152-33FB7C24BB0C}"/>
    <cellStyle name="Comma 2 2 2 2 3 4 4" xfId="51904" xr:uid="{FEEFEF69-4F61-482F-8C3E-B14910ED3248}"/>
    <cellStyle name="Comma 2 2 2 2 3 4 5" xfId="54920" xr:uid="{7329EB66-4F0A-42E2-A941-BDDEFF2555BA}"/>
    <cellStyle name="Comma 2 2 2 2 3 5" xfId="15513" xr:uid="{856C8EF2-D396-4FC8-B6E3-AD140AB3B153}"/>
    <cellStyle name="Comma 2 2 2 2 3 5 2" xfId="23043" xr:uid="{FD8F2115-40DE-47BA-BB98-7901D8C8A519}"/>
    <cellStyle name="Comma 2 2 2 2 3 5 3" xfId="47674" xr:uid="{138DA8A1-F3D3-4A08-9BFC-B048C6FE810D}"/>
    <cellStyle name="Comma 2 2 2 2 3 5 4" xfId="52381" xr:uid="{FE0CA76E-28AA-488E-BF80-CD4DD6D07037}"/>
    <cellStyle name="Comma 2 2 2 2 3 5 5" xfId="55397" xr:uid="{26BAED6D-3526-4FE5-8A69-4ADDD778E689}"/>
    <cellStyle name="Comma 2 2 2 2 3 6" xfId="12451" xr:uid="{B803E4D8-4A20-448F-8890-647C09EA74EE}"/>
    <cellStyle name="Comma 2 2 2 2 3 6 2" xfId="47818" xr:uid="{087A2A27-1A14-4006-8A1F-5A14F3BF382B}"/>
    <cellStyle name="Comma 2 2 2 2 3 6 3" xfId="50950" xr:uid="{952DDA13-B94B-4A89-B0EE-CC3DD5326C8B}"/>
    <cellStyle name="Comma 2 2 2 2 3 6 4" xfId="53966" xr:uid="{CA0D24F7-037F-4A0C-BC27-9B13EA58BD35}"/>
    <cellStyle name="Comma 2 2 2 2 3 7" xfId="46017" xr:uid="{212106EF-B201-4178-88B4-F6ED9A290968}"/>
    <cellStyle name="Comma 2 2 2 2 3 8" xfId="49844" xr:uid="{4FB9A4D4-131D-4F55-B141-D463AE5BA582}"/>
    <cellStyle name="Comma 2 2 2 2 3 9" xfId="52860" xr:uid="{E0C10286-7245-43CF-887F-5C0E09B6D39A}"/>
    <cellStyle name="Comma 2 2 2 2 4" xfId="10059" xr:uid="{63D3C008-48CC-47FE-9082-D64069A161C9}"/>
    <cellStyle name="Comma 2 2 2 2 4 2" xfId="10367" xr:uid="{C9CE8F7E-4EE9-4E24-919C-474E5B0BE6CE}"/>
    <cellStyle name="Comma 2 2 2 2 4 2 2" xfId="14807" xr:uid="{23D63635-6F5A-4943-8F7B-76BF2AEFD13F}"/>
    <cellStyle name="Comma 2 2 2 2 4 2 2 2" xfId="22354" xr:uid="{D1843139-784A-4C68-A0CF-A776C054C5E6}"/>
    <cellStyle name="Comma 2 2 2 2 4 2 2 3" xfId="46436" xr:uid="{8F133844-666B-4E85-A4A5-2358C8BC740A}"/>
    <cellStyle name="Comma 2 2 2 2 4 2 2 4" xfId="51692" xr:uid="{7DE3EB44-7CB4-4FAD-B0CF-67DDB8792EDC}"/>
    <cellStyle name="Comma 2 2 2 2 4 2 2 5" xfId="54708" xr:uid="{48546721-3B23-4CF1-9B8F-5481491C835F}"/>
    <cellStyle name="Comma 2 2 2 2 4 2 3" xfId="15292" xr:uid="{97BC0375-B5AD-4C93-91C0-9D4EDF8C54E7}"/>
    <cellStyle name="Comma 2 2 2 2 4 2 3 2" xfId="22831" xr:uid="{53FEC6B4-638F-4202-AA20-7FBE684B4C03}"/>
    <cellStyle name="Comma 2 2 2 2 4 2 3 3" xfId="46903" xr:uid="{475D8629-A450-4F36-AE1A-D19D510CBDB5}"/>
    <cellStyle name="Comma 2 2 2 2 4 2 3 4" xfId="52169" xr:uid="{BFB1C454-6CB0-407A-B11E-1A22A92AB197}"/>
    <cellStyle name="Comma 2 2 2 2 4 2 3 5" xfId="55185" xr:uid="{C6D0D33A-225F-4156-9AA6-35DCEB4B6DCF}"/>
    <cellStyle name="Comma 2 2 2 2 4 2 4" xfId="15779" xr:uid="{B076243D-DF65-4C8E-A36E-DB496D545FC3}"/>
    <cellStyle name="Comma 2 2 2 2 4 2 4 2" xfId="23308" xr:uid="{028AC26F-0D8C-4FC0-82F7-037325073073}"/>
    <cellStyle name="Comma 2 2 2 2 4 2 4 3" xfId="47948" xr:uid="{DCDE9C95-BCD6-4FC2-830E-2CEDD96A8246}"/>
    <cellStyle name="Comma 2 2 2 2 4 2 4 4" xfId="52646" xr:uid="{BBDBBE3B-BD5A-4ACC-959A-562548307AE9}"/>
    <cellStyle name="Comma 2 2 2 2 4 2 4 5" xfId="55662" xr:uid="{4C75A125-9A1B-4C3E-B831-D97F8138F356}"/>
    <cellStyle name="Comma 2 2 2 2 4 2 5" xfId="12820" xr:uid="{5F9FA642-489A-4237-88D8-D35DDD409F9C}"/>
    <cellStyle name="Comma 2 2 2 2 4 2 5 2" xfId="47324" xr:uid="{0FD8B71E-9A33-4BE5-B357-E32900DB4148}"/>
    <cellStyle name="Comma 2 2 2 2 4 2 5 3" xfId="51215" xr:uid="{807D928B-D780-4D30-A238-9E3592BDB012}"/>
    <cellStyle name="Comma 2 2 2 2 4 2 5 4" xfId="54231" xr:uid="{F663063E-9A4B-4877-B3B8-362863DF7E9A}"/>
    <cellStyle name="Comma 2 2 2 2 4 2 6" xfId="46102" xr:uid="{F454BFC1-89A8-42E3-88DA-9EF12D92EA75}"/>
    <cellStyle name="Comma 2 2 2 2 4 2 7" xfId="50109" xr:uid="{4B6AEC62-9DAD-4DFD-B0DA-5F9684519C8A}"/>
    <cellStyle name="Comma 2 2 2 2 4 2 8" xfId="53125" xr:uid="{FFF9C82C-D586-4DCB-80F3-DCEB43136446}"/>
    <cellStyle name="Comma 2 2 2 2 4 3" xfId="14595" xr:uid="{53CA5702-72B9-4F02-AA1E-3759B6163A79}"/>
    <cellStyle name="Comma 2 2 2 2 4 3 2" xfId="22142" xr:uid="{3337169A-B4D7-4DC6-A6B5-52BFC7621090}"/>
    <cellStyle name="Comma 2 2 2 2 4 3 3" xfId="32363" xr:uid="{2B4BA464-AEB8-42AF-A035-32796B4393DD}"/>
    <cellStyle name="Comma 2 2 2 2 4 3 4" xfId="51480" xr:uid="{BD5686ED-5DD5-47B0-B5A6-51F751126683}"/>
    <cellStyle name="Comma 2 2 2 2 4 3 5" xfId="54496" xr:uid="{D5740BEE-CAF5-4162-99FD-7E93A70D8CDE}"/>
    <cellStyle name="Comma 2 2 2 2 4 4" xfId="15080" xr:uid="{600E357B-42D0-48FA-B6AC-8621BE7D9615}"/>
    <cellStyle name="Comma 2 2 2 2 4 4 2" xfId="22619" xr:uid="{00EE5129-0827-408D-9453-C1F2A6015BCC}"/>
    <cellStyle name="Comma 2 2 2 2 4 4 3" xfId="47339" xr:uid="{E41CEC3B-60DA-4620-9E99-B106F62C51CC}"/>
    <cellStyle name="Comma 2 2 2 2 4 4 4" xfId="51957" xr:uid="{DBFD5C63-15D6-478C-B0D8-ED988C08FB99}"/>
    <cellStyle name="Comma 2 2 2 2 4 4 5" xfId="54973" xr:uid="{A3235CD2-E0D9-498C-ABAB-2A890BA3DE53}"/>
    <cellStyle name="Comma 2 2 2 2 4 5" xfId="15567" xr:uid="{70F1F37D-0333-4BFA-BE59-E5AE9EDD1349}"/>
    <cellStyle name="Comma 2 2 2 2 4 5 2" xfId="23096" xr:uid="{F4A2F9C5-79FE-48FD-B9D7-1F01F16A8D8D}"/>
    <cellStyle name="Comma 2 2 2 2 4 5 3" xfId="47196" xr:uid="{FF9B9EBB-DCA2-4617-9C50-2C726EE94008}"/>
    <cellStyle name="Comma 2 2 2 2 4 5 4" xfId="52434" xr:uid="{C379FB4D-7401-4A94-AB8A-813925B90C00}"/>
    <cellStyle name="Comma 2 2 2 2 4 5 5" xfId="55450" xr:uid="{F092273B-0A78-460B-B6D3-B12E29231CE5}"/>
    <cellStyle name="Comma 2 2 2 2 4 6" xfId="12518" xr:uid="{320DEE86-255C-48A0-A60A-FAAC4991248B}"/>
    <cellStyle name="Comma 2 2 2 2 4 6 2" xfId="32429" xr:uid="{0DB79412-9A39-45EC-A92C-89C44E658102}"/>
    <cellStyle name="Comma 2 2 2 2 4 6 3" xfId="51003" xr:uid="{5485D810-BA26-47C6-919B-31169F6EECB5}"/>
    <cellStyle name="Comma 2 2 2 2 4 6 4" xfId="54019" xr:uid="{9F74F681-BB4A-40A4-BE46-89FE6026021E}"/>
    <cellStyle name="Comma 2 2 2 2 4 7" xfId="32345" xr:uid="{449AC7E5-7A0D-49CA-B407-B55887D497E2}"/>
    <cellStyle name="Comma 2 2 2 2 4 8" xfId="49897" xr:uid="{7C58323E-3DEF-435C-9BFF-E0A3ADC32247}"/>
    <cellStyle name="Comma 2 2 2 2 4 9" xfId="52913" xr:uid="{AFAA12DC-30FA-42CB-832C-387C79EA96C7}"/>
    <cellStyle name="Comma 2 2 2 2 5" xfId="10133" xr:uid="{BCA0F7CE-9151-4EEA-92DC-E716A5A62523}"/>
    <cellStyle name="Comma 2 2 2 2 5 2" xfId="10447" xr:uid="{92238A4E-B31D-483A-803D-C8B925210587}"/>
    <cellStyle name="Comma 2 2 2 2 5 2 2" xfId="14860" xr:uid="{ECA7A2D5-EC87-4921-B907-A51C1DD16119}"/>
    <cellStyle name="Comma 2 2 2 2 5 2 2 2" xfId="22407" xr:uid="{03AE1F57-2F6B-4FE6-8185-E9DF5C0F4F51}"/>
    <cellStyle name="Comma 2 2 2 2 5 2 2 3" xfId="24938" xr:uid="{0CEBB27A-CA61-4077-86EB-E60E40AB1CCC}"/>
    <cellStyle name="Comma 2 2 2 2 5 2 2 4" xfId="51745" xr:uid="{38F82D44-F5CB-4E5A-87C2-BC040601F289}"/>
    <cellStyle name="Comma 2 2 2 2 5 2 2 5" xfId="54761" xr:uid="{8375CBB9-8529-44C6-8D3D-0D6382CE5A32}"/>
    <cellStyle name="Comma 2 2 2 2 5 2 3" xfId="15345" xr:uid="{FC9E2BA7-E7A6-461C-8098-A6F9350CC499}"/>
    <cellStyle name="Comma 2 2 2 2 5 2 3 2" xfId="22884" xr:uid="{A5E981A1-E91C-488E-ACC8-1C054307B2A3}"/>
    <cellStyle name="Comma 2 2 2 2 5 2 3 3" xfId="47546" xr:uid="{977AD06C-E5F6-4695-AA4B-2F62E63E2412}"/>
    <cellStyle name="Comma 2 2 2 2 5 2 3 4" xfId="52222" xr:uid="{09969718-FD70-4C74-BC8D-42268C3DB6C8}"/>
    <cellStyle name="Comma 2 2 2 2 5 2 3 5" xfId="55238" xr:uid="{0DFE0237-3A2D-4B17-9471-3FAFDD3CF6EA}"/>
    <cellStyle name="Comma 2 2 2 2 5 2 4" xfId="15832" xr:uid="{46542907-16FC-46A8-9724-5B0906731A0F}"/>
    <cellStyle name="Comma 2 2 2 2 5 2 4 2" xfId="23361" xr:uid="{29EC63D7-8274-417D-877D-9633549E9FEA}"/>
    <cellStyle name="Comma 2 2 2 2 5 2 4 3" xfId="46972" xr:uid="{2E4F6ABA-A392-42D3-B167-B26984642764}"/>
    <cellStyle name="Comma 2 2 2 2 5 2 4 4" xfId="52699" xr:uid="{A5B43C82-7931-4A11-B887-80E282FAF2C6}"/>
    <cellStyle name="Comma 2 2 2 2 5 2 4 5" xfId="55715" xr:uid="{4F6ECF82-80AD-4DA0-9957-FDEB4AB7EC22}"/>
    <cellStyle name="Comma 2 2 2 2 5 2 5" xfId="12900" xr:uid="{55E873BF-ACA8-4424-B41E-A90398E64FA2}"/>
    <cellStyle name="Comma 2 2 2 2 5 2 5 2" xfId="47173" xr:uid="{A616198E-209F-4285-AB55-569C30B46B59}"/>
    <cellStyle name="Comma 2 2 2 2 5 2 5 3" xfId="51268" xr:uid="{E2ABC7D3-86A9-4D41-A383-4F2E1BAE7F08}"/>
    <cellStyle name="Comma 2 2 2 2 5 2 5 4" xfId="54284" xr:uid="{0EA6610A-A198-4366-8D7F-9911FD898B54}"/>
    <cellStyle name="Comma 2 2 2 2 5 2 6" xfId="47586" xr:uid="{2F6882B2-0B25-4DA4-8A50-6B4B86EA2BAD}"/>
    <cellStyle name="Comma 2 2 2 2 5 2 7" xfId="50162" xr:uid="{63917856-D76A-4866-A168-492F49F65354}"/>
    <cellStyle name="Comma 2 2 2 2 5 2 8" xfId="53178" xr:uid="{CA3F191B-EE97-4881-9053-CC015425C081}"/>
    <cellStyle name="Comma 2 2 2 2 5 3" xfId="14648" xr:uid="{9B7FC070-1163-4500-98B3-BFC07F2A926C}"/>
    <cellStyle name="Comma 2 2 2 2 5 3 2" xfId="22195" xr:uid="{5DCEFD0D-8EE1-48BC-93C3-661413D6D49B}"/>
    <cellStyle name="Comma 2 2 2 2 5 3 3" xfId="47043" xr:uid="{BC96DF40-5162-41F0-8C20-86B455AEC7C3}"/>
    <cellStyle name="Comma 2 2 2 2 5 3 4" xfId="51533" xr:uid="{38E2D2C8-A1BF-4F63-B3D1-709CD800F5E0}"/>
    <cellStyle name="Comma 2 2 2 2 5 3 5" xfId="54549" xr:uid="{C69BB68E-A3AA-49B2-9390-8227AF6E0A78}"/>
    <cellStyle name="Comma 2 2 2 2 5 4" xfId="15133" xr:uid="{1C3F436F-8659-4A4B-97F0-9190A972844C}"/>
    <cellStyle name="Comma 2 2 2 2 5 4 2" xfId="22672" xr:uid="{064543FB-D34B-423E-92DC-CAD0BCE00094}"/>
    <cellStyle name="Comma 2 2 2 2 5 4 3" xfId="46487" xr:uid="{94B8EF02-F1B7-4ABC-BD8D-366CED555346}"/>
    <cellStyle name="Comma 2 2 2 2 5 4 4" xfId="52010" xr:uid="{A0BA3AD7-7ECE-45F5-8804-70C2D237DBE1}"/>
    <cellStyle name="Comma 2 2 2 2 5 4 5" xfId="55026" xr:uid="{6B2CFD9E-D227-4AFF-BDFA-35598DB20CCE}"/>
    <cellStyle name="Comma 2 2 2 2 5 5" xfId="15620" xr:uid="{42F85706-1F5C-4C84-AAB0-773914172B1F}"/>
    <cellStyle name="Comma 2 2 2 2 5 5 2" xfId="23149" xr:uid="{EB48E82F-E851-4E4E-AA2C-A3F67F1EA5FF}"/>
    <cellStyle name="Comma 2 2 2 2 5 5 3" xfId="46942" xr:uid="{DAB898D8-C1C7-4E5D-BB39-9F34C4E369D2}"/>
    <cellStyle name="Comma 2 2 2 2 5 5 4" xfId="52487" xr:uid="{026C0A70-2C60-44C1-BEED-B4B78D3D6E7E}"/>
    <cellStyle name="Comma 2 2 2 2 5 5 5" xfId="55503" xr:uid="{6817E224-EF67-4E56-82BE-86A47801AB7D}"/>
    <cellStyle name="Comma 2 2 2 2 5 6" xfId="12590" xr:uid="{50DDCA4E-491A-42AC-945E-CA77349C13E5}"/>
    <cellStyle name="Comma 2 2 2 2 5 6 2" xfId="47366" xr:uid="{E138A3D5-28F4-4B08-9B0A-69F529A71F17}"/>
    <cellStyle name="Comma 2 2 2 2 5 6 3" xfId="51056" xr:uid="{00A9EC46-5959-4EB2-9A1A-05B788FF0E2B}"/>
    <cellStyle name="Comma 2 2 2 2 5 6 4" xfId="54072" xr:uid="{178D40CF-5F18-4BD6-B139-C816B6147036}"/>
    <cellStyle name="Comma 2 2 2 2 5 7" xfId="47577" xr:uid="{B7B0F3FA-2DCE-408B-A714-C1BA55C6ECDA}"/>
    <cellStyle name="Comma 2 2 2 2 5 8" xfId="49950" xr:uid="{BEFDA9C6-6E4F-4B08-B930-45775C15AB51}"/>
    <cellStyle name="Comma 2 2 2 2 5 9" xfId="52966" xr:uid="{55470721-CB7A-421B-B767-46D8A95F345D}"/>
    <cellStyle name="Comma 2 2 2 2 6" xfId="10213" xr:uid="{E531A319-590F-4759-A4A6-50C33422283E}"/>
    <cellStyle name="Comma 2 2 2 2 6 2" xfId="14701" xr:uid="{3CF50FE4-7DCA-4278-8BE3-3A21A3BBE4B8}"/>
    <cellStyle name="Comma 2 2 2 2 6 2 2" xfId="22248" xr:uid="{9671F261-93D3-42AA-B64D-B72E24D076C3}"/>
    <cellStyle name="Comma 2 2 2 2 6 2 3" xfId="32362" xr:uid="{60A6E74A-AF70-4A38-BA9B-9EFF2B546E38}"/>
    <cellStyle name="Comma 2 2 2 2 6 2 4" xfId="51586" xr:uid="{03C5E1B9-B708-4AE7-BF1A-0A9C1B4C8562}"/>
    <cellStyle name="Comma 2 2 2 2 6 2 5" xfId="54602" xr:uid="{05B7D12A-350B-4B4B-A1BB-C698D164F9DD}"/>
    <cellStyle name="Comma 2 2 2 2 6 3" xfId="15186" xr:uid="{B4B260B3-2797-45B6-8616-2F611DBB2CA3}"/>
    <cellStyle name="Comma 2 2 2 2 6 3 2" xfId="22725" xr:uid="{9DA9AC2F-5040-452C-B8A3-72F7292DCCD1}"/>
    <cellStyle name="Comma 2 2 2 2 6 3 3" xfId="47977" xr:uid="{8B5BF4D5-0241-4AE2-BF39-963A12EE7023}"/>
    <cellStyle name="Comma 2 2 2 2 6 3 4" xfId="52063" xr:uid="{252017F1-6AA8-4FF3-A294-EA8720E60122}"/>
    <cellStyle name="Comma 2 2 2 2 6 3 5" xfId="55079" xr:uid="{7F5FE750-1A4C-4D05-BE89-01F2850B2327}"/>
    <cellStyle name="Comma 2 2 2 2 6 4" xfId="15673" xr:uid="{CC314527-4679-4C20-B1A3-FEABA78ED4DB}"/>
    <cellStyle name="Comma 2 2 2 2 6 4 2" xfId="23202" xr:uid="{A85D4818-68A2-4DE8-A8DD-EB5DF0857F40}"/>
    <cellStyle name="Comma 2 2 2 2 6 4 3" xfId="47500" xr:uid="{9B9567B4-9B35-4FCF-BB89-E70529F6A729}"/>
    <cellStyle name="Comma 2 2 2 2 6 4 4" xfId="52540" xr:uid="{26FFC0FB-195F-4F5E-B070-E561A089C576}"/>
    <cellStyle name="Comma 2 2 2 2 6 4 5" xfId="55556" xr:uid="{20AA1ACE-0AE5-4B09-B012-F7DD14BECB47}"/>
    <cellStyle name="Comma 2 2 2 2 6 5" xfId="12666" xr:uid="{AA76E586-57EE-4568-9C5A-791F5A55A189}"/>
    <cellStyle name="Comma 2 2 2 2 6 5 2" xfId="24215" xr:uid="{7E4925A7-AB49-44D9-9C22-3865AB7289A0}"/>
    <cellStyle name="Comma 2 2 2 2 6 5 3" xfId="51109" xr:uid="{FD3E979B-93E0-484E-8213-E48E7B435259}"/>
    <cellStyle name="Comma 2 2 2 2 6 5 4" xfId="54125" xr:uid="{53FB6E4A-61A0-41D6-9DFF-F28AF2C55B15}"/>
    <cellStyle name="Comma 2 2 2 2 6 6" xfId="47579" xr:uid="{54C3D5EF-04D6-46B5-A501-AE438CE11243}"/>
    <cellStyle name="Comma 2 2 2 2 6 7" xfId="50003" xr:uid="{070FF394-3C3E-46BC-9E95-059C74FA1A40}"/>
    <cellStyle name="Comma 2 2 2 2 6 8" xfId="53019" xr:uid="{3D5EE21F-C381-4511-9E2D-75E9C62D4F5C}"/>
    <cellStyle name="Comma 2 2 2 2 7" xfId="10527" xr:uid="{5382FF9B-52E4-4F62-9E37-D54D1D8D4F45}"/>
    <cellStyle name="Comma 2 2 2 2 7 2" xfId="14913" xr:uid="{0B225380-A7C3-4409-9FBB-67E4EEE9D46A}"/>
    <cellStyle name="Comma 2 2 2 2 7 2 2" xfId="22460" xr:uid="{B7B09CE1-556B-4E3A-B975-BCC0F14B50B4}"/>
    <cellStyle name="Comma 2 2 2 2 7 2 3" xfId="47861" xr:uid="{1653051E-4928-4223-AA77-F54239ED70B3}"/>
    <cellStyle name="Comma 2 2 2 2 7 2 4" xfId="51798" xr:uid="{9A555018-4BE1-4956-B1A5-C4645F48AD68}"/>
    <cellStyle name="Comma 2 2 2 2 7 2 5" xfId="54814" xr:uid="{09803405-1F5C-47B8-8093-89C231DB1A2D}"/>
    <cellStyle name="Comma 2 2 2 2 7 3" xfId="15398" xr:uid="{7FF2AEC8-5DAC-44B1-894C-3999FC0FCACC}"/>
    <cellStyle name="Comma 2 2 2 2 7 3 2" xfId="22937" xr:uid="{D802B28A-6788-488A-BB6B-41E75E1D536B}"/>
    <cellStyle name="Comma 2 2 2 2 7 3 3" xfId="46917" xr:uid="{13FB987F-B9B2-4741-9EF5-4358040715EA}"/>
    <cellStyle name="Comma 2 2 2 2 7 3 4" xfId="52275" xr:uid="{13F810D2-DFE0-42CD-BCBA-4EEE507D50B8}"/>
    <cellStyle name="Comma 2 2 2 2 7 3 5" xfId="55291" xr:uid="{52ACFBE7-3416-4AD0-8DE3-62FCB7409874}"/>
    <cellStyle name="Comma 2 2 2 2 7 4" xfId="15885" xr:uid="{194DC933-96A0-4C7B-A1AE-3743EF1770C1}"/>
    <cellStyle name="Comma 2 2 2 2 7 4 2" xfId="23414" xr:uid="{F72B1899-16E6-4970-86EC-65DEE2311002}"/>
    <cellStyle name="Comma 2 2 2 2 7 4 3" xfId="47419" xr:uid="{BC6C86DC-26CD-44B9-8D0C-EDB3FDBFDCDA}"/>
    <cellStyle name="Comma 2 2 2 2 7 4 4" xfId="52752" xr:uid="{B0C94EBE-6620-450F-B981-90E2417961F8}"/>
    <cellStyle name="Comma 2 2 2 2 7 4 5" xfId="55768" xr:uid="{DC4A04EB-5378-4F9D-A68B-8077F9485C1E}"/>
    <cellStyle name="Comma 2 2 2 2 7 5" xfId="12980" xr:uid="{4646C968-3280-4EC7-88E0-6F162B74AB0F}"/>
    <cellStyle name="Comma 2 2 2 2 7 5 2" xfId="34143" xr:uid="{069DD924-6F40-4237-812E-14FBDBD6D41F}"/>
    <cellStyle name="Comma 2 2 2 2 7 5 3" xfId="51321" xr:uid="{012236C0-1EBE-455E-9647-7BF84249BB01}"/>
    <cellStyle name="Comma 2 2 2 2 7 5 4" xfId="54337" xr:uid="{E5F8E963-A17C-46E6-B72B-23FBF2AB60FA}"/>
    <cellStyle name="Comma 2 2 2 2 7 6" xfId="47886" xr:uid="{9F903D32-DA9B-4ACC-95E7-B13E9B2FD7D6}"/>
    <cellStyle name="Comma 2 2 2 2 7 7" xfId="50215" xr:uid="{5B524DE3-7F5C-4062-BDEB-297BF90F53F8}"/>
    <cellStyle name="Comma 2 2 2 2 7 8" xfId="53231" xr:uid="{DE02C82D-B1BD-4B01-A4A6-E7ED4D92C398}"/>
    <cellStyle name="Comma 2 2 2 2 8" xfId="14489" xr:uid="{D12D6E51-25E6-4A14-8FF9-505279C39686}"/>
    <cellStyle name="Comma 2 2 2 2 8 2" xfId="22036" xr:uid="{62143C16-72EF-47F0-AFED-95E83D16357E}"/>
    <cellStyle name="Comma 2 2 2 2 8 3" xfId="24674" xr:uid="{C2135C45-4BC9-4E47-A733-D04DDB82270C}"/>
    <cellStyle name="Comma 2 2 2 2 8 4" xfId="51374" xr:uid="{3B15D0CF-B4A3-4EC3-89E5-7A801980AC2A}"/>
    <cellStyle name="Comma 2 2 2 2 8 5" xfId="54390" xr:uid="{FB40C4EB-6172-4DC5-A31C-6967ADF871A6}"/>
    <cellStyle name="Comma 2 2 2 2 9" xfId="14969" xr:uid="{670A6D72-AF6B-4AB0-85A3-21DE02C8CC6A}"/>
    <cellStyle name="Comma 2 2 2 2 9 2" xfId="22513" xr:uid="{EE4B1962-7451-474A-A321-43927B21B84D}"/>
    <cellStyle name="Comma 2 2 2 2 9 3" xfId="47633" xr:uid="{E6ADC56F-AE44-443E-AA90-18763D9CCB3B}"/>
    <cellStyle name="Comma 2 2 2 2 9 4" xfId="51851" xr:uid="{1F829EB8-4CD5-4BAD-BEA0-ADAC2833AC4E}"/>
    <cellStyle name="Comma 2 2 2 2 9 5" xfId="54867" xr:uid="{2C235E22-BFD7-457D-8A65-5F35270A505E}"/>
    <cellStyle name="Comma 2 2 2 3" xfId="4526" xr:uid="{F03A6F21-E65C-4FBC-89D5-98AB9DAFB4C2}"/>
    <cellStyle name="Comma 2 2 2 3 10" xfId="11494" xr:uid="{CDA3880D-923C-4E33-9763-33C163E8E2D7}"/>
    <cellStyle name="Comma 2 2 2 3 10 2" xfId="21698" xr:uid="{134B3B92-55CC-45F7-BA11-52CF84B54236}"/>
    <cellStyle name="Comma 2 2 2 3 10 3" xfId="46654" xr:uid="{AB77F849-9A3D-4DEE-94B3-FF6C3C4F0AEA}"/>
    <cellStyle name="Comma 2 2 2 3 10 4" xfId="50718" xr:uid="{02B7CC67-7684-4C86-8027-8AC699B078E8}"/>
    <cellStyle name="Comma 2 2 2 3 10 5" xfId="53734" xr:uid="{24624FB2-435C-43B7-BD50-0049FD347BA0}"/>
    <cellStyle name="Comma 2 2 2 3 11" xfId="23702" xr:uid="{68CF3884-8928-4934-84D9-43A8DF50E41C}"/>
    <cellStyle name="Comma 2 2 2 3 12" xfId="48595" xr:uid="{F0ED69A0-AC65-42A1-B56F-A207DCEB03B7}"/>
    <cellStyle name="Comma 2 2 2 3 13" xfId="49505" xr:uid="{9D034DF5-1275-432A-97EF-B24EDBC916F4}"/>
    <cellStyle name="Comma 2 2 2 3 14" xfId="49797" xr:uid="{442C3608-6BE0-4100-B66A-D612C5479AAD}"/>
    <cellStyle name="Comma 2 2 2 3 15" xfId="52812" xr:uid="{55BE50BA-FC75-4D03-AA2F-3D77A8972BEB}"/>
    <cellStyle name="Comma 2 2 2 3 16" xfId="17638" xr:uid="{069A48AF-A909-41CF-AC79-D1F5BA972F5F}"/>
    <cellStyle name="Comma 2 2 2 3 17" xfId="8920" xr:uid="{569FA342-ADB0-4568-A738-B45BF3B05155}"/>
    <cellStyle name="Comma 2 2 2 3 2" xfId="10007" xr:uid="{143CA32F-053E-4AC8-8819-066CDC10FFD6}"/>
    <cellStyle name="Comma 2 2 2 3 2 2" xfId="10315" xr:uid="{BE221390-0148-4659-92DC-5A08FB75DF5E}"/>
    <cellStyle name="Comma 2 2 2 3 2 2 2" xfId="14760" xr:uid="{48D90780-FF0B-47EC-BDC0-DC51585F0A38}"/>
    <cellStyle name="Comma 2 2 2 3 2 2 2 2" xfId="22307" xr:uid="{2275C2F1-A05D-4CAF-BC8F-BB71ED80273A}"/>
    <cellStyle name="Comma 2 2 2 3 2 2 2 3" xfId="24951" xr:uid="{6D3AC3B2-3466-41F6-8D36-AAC9B269EE2C}"/>
    <cellStyle name="Comma 2 2 2 3 2 2 2 4" xfId="51645" xr:uid="{0D2B718E-3ABE-4D74-99F5-D64C274FC44C}"/>
    <cellStyle name="Comma 2 2 2 3 2 2 2 5" xfId="54661" xr:uid="{10EBC20C-B88B-4F89-9878-2F59FFB6278D}"/>
    <cellStyle name="Comma 2 2 2 3 2 2 3" xfId="15245" xr:uid="{8845F029-FFD8-4C31-850B-17A030A799C9}"/>
    <cellStyle name="Comma 2 2 2 3 2 2 3 2" xfId="22784" xr:uid="{F9FF6EFC-4DAE-455B-9B6A-DECD151CF075}"/>
    <cellStyle name="Comma 2 2 2 3 2 2 3 3" xfId="46502" xr:uid="{5F163680-DD0C-4741-B283-BF391B479EEE}"/>
    <cellStyle name="Comma 2 2 2 3 2 2 3 4" xfId="52122" xr:uid="{3725FDEC-6AD1-44CE-AD5D-BFC7B9E0C3A9}"/>
    <cellStyle name="Comma 2 2 2 3 2 2 3 5" xfId="55138" xr:uid="{EAE567D0-4EBF-4DA6-A290-438BEA35F81D}"/>
    <cellStyle name="Comma 2 2 2 3 2 2 4" xfId="15732" xr:uid="{979AF9CD-6710-4BC8-B444-2B426DAD3021}"/>
    <cellStyle name="Comma 2 2 2 3 2 2 4 2" xfId="23261" xr:uid="{EF363C67-056E-4C9C-9AB2-4DD9A75780B0}"/>
    <cellStyle name="Comma 2 2 2 3 2 2 4 3" xfId="47985" xr:uid="{713DF0F8-F725-44FA-A61D-736F2382CEB1}"/>
    <cellStyle name="Comma 2 2 2 3 2 2 4 4" xfId="52599" xr:uid="{3D75D818-AAF5-4FD8-B7F4-978CF9318246}"/>
    <cellStyle name="Comma 2 2 2 3 2 2 4 5" xfId="55615" xr:uid="{302DCA13-1BFF-47DE-88E3-5A30BDAF273D}"/>
    <cellStyle name="Comma 2 2 2 3 2 2 5" xfId="12768" xr:uid="{B862210B-43E0-4C8E-A505-E3597E4BB8BF}"/>
    <cellStyle name="Comma 2 2 2 3 2 2 5 2" xfId="47229" xr:uid="{67DFF9C3-AD51-4A4F-8FC7-A35287DD23C5}"/>
    <cellStyle name="Comma 2 2 2 3 2 2 5 3" xfId="51168" xr:uid="{F0C48CEA-B61E-4EB0-BC0E-46653D58F05A}"/>
    <cellStyle name="Comma 2 2 2 3 2 2 5 4" xfId="54184" xr:uid="{244A0BA1-A42F-4E09-9B1F-3E1A9EE300B4}"/>
    <cellStyle name="Comma 2 2 2 3 2 2 6" xfId="25372" xr:uid="{D6CDB3BA-91FA-4811-8A61-A460E096251B}"/>
    <cellStyle name="Comma 2 2 2 3 2 2 7" xfId="50062" xr:uid="{4D009826-1722-4BCE-840A-0528927D213F}"/>
    <cellStyle name="Comma 2 2 2 3 2 2 8" xfId="53078" xr:uid="{005F6E13-C168-4478-8D56-66C273D2CD76}"/>
    <cellStyle name="Comma 2 2 2 3 2 3" xfId="14548" xr:uid="{35CD7512-FF84-45E9-8919-93FC0929158C}"/>
    <cellStyle name="Comma 2 2 2 3 2 3 2" xfId="22095" xr:uid="{83DF0469-1D57-47F0-8047-E910BDC52487}"/>
    <cellStyle name="Comma 2 2 2 3 2 3 3" xfId="48403" xr:uid="{DF2EE60C-19AE-4D6A-A544-6CFF95444F29}"/>
    <cellStyle name="Comma 2 2 2 3 2 3 4" xfId="51433" xr:uid="{6C00241A-87AD-4711-BD70-345679C44B5D}"/>
    <cellStyle name="Comma 2 2 2 3 2 3 5" xfId="54449" xr:uid="{CCEE6032-CB20-4078-B29E-307A30EA9343}"/>
    <cellStyle name="Comma 2 2 2 3 2 4" xfId="15032" xr:uid="{4E58589B-862F-4052-B723-8BDC639445C4}"/>
    <cellStyle name="Comma 2 2 2 3 2 4 2" xfId="22572" xr:uid="{57877491-37D5-490C-B9CF-F22AFD5A74FD}"/>
    <cellStyle name="Comma 2 2 2 3 2 4 3" xfId="47417" xr:uid="{E27BAF1F-9923-4149-874D-9018733B25B1}"/>
    <cellStyle name="Comma 2 2 2 3 2 4 4" xfId="51910" xr:uid="{692130AA-E861-45FC-821A-DDD06C75EFAA}"/>
    <cellStyle name="Comma 2 2 2 3 2 4 5" xfId="54926" xr:uid="{DBDBFDA0-F8A1-4391-86D2-2399DAFC344C}"/>
    <cellStyle name="Comma 2 2 2 3 2 5" xfId="15519" xr:uid="{56181DDA-F88D-4FB5-95AE-712B5C86E84F}"/>
    <cellStyle name="Comma 2 2 2 3 2 5 2" xfId="23049" xr:uid="{EA61A2CD-1780-4149-A9D3-C266AC8032AC}"/>
    <cellStyle name="Comma 2 2 2 3 2 5 3" xfId="47111" xr:uid="{AB657D7A-ED81-4A0B-859A-EED4C12248E9}"/>
    <cellStyle name="Comma 2 2 2 3 2 5 4" xfId="52387" xr:uid="{7B693DBF-C0DD-43D6-9171-8D1E1240CAE0}"/>
    <cellStyle name="Comma 2 2 2 3 2 5 5" xfId="55403" xr:uid="{52F0E1D5-7C83-48D4-9EA3-7A36B5A2A8E8}"/>
    <cellStyle name="Comma 2 2 2 3 2 6" xfId="12467" xr:uid="{90DE33EB-C59F-46DE-A8C4-F20C8B9EC871}"/>
    <cellStyle name="Comma 2 2 2 3 2 6 2" xfId="34519" xr:uid="{6A678F25-23F4-450F-BDCA-9C36903B0280}"/>
    <cellStyle name="Comma 2 2 2 3 2 6 3" xfId="50956" xr:uid="{E69B3BE8-7A2A-4108-894D-F84FD30E72FD}"/>
    <cellStyle name="Comma 2 2 2 3 2 6 4" xfId="53972" xr:uid="{6408C400-2B6F-4680-B97D-2A2DC85BDAA4}"/>
    <cellStyle name="Comma 2 2 2 3 2 7" xfId="46019" xr:uid="{EA6CB972-BF6F-48E5-8F2A-9A3FEBE95B48}"/>
    <cellStyle name="Comma 2 2 2 3 2 8" xfId="49850" xr:uid="{B0929AB3-64FC-4DCF-BE57-98FCD65F4A4D}"/>
    <cellStyle name="Comma 2 2 2 3 2 9" xfId="52866" xr:uid="{11F52959-7BAA-4151-853D-EBF1A7D428EB}"/>
    <cellStyle name="Comma 2 2 2 3 3" xfId="10081" xr:uid="{4DDC0DCE-6484-4D57-A5ED-617D315CA6ED}"/>
    <cellStyle name="Comma 2 2 2 3 3 2" xfId="10394" xr:uid="{2661B35B-8EA9-4FF8-A90E-F262E32DD8EA}"/>
    <cellStyle name="Comma 2 2 2 3 3 2 2" xfId="14813" xr:uid="{46C78F71-968E-4D1F-B2F1-BB1890B16F94}"/>
    <cellStyle name="Comma 2 2 2 3 3 2 2 2" xfId="22360" xr:uid="{90701CB0-C5FA-4D94-8F74-F5706A3B584D}"/>
    <cellStyle name="Comma 2 2 2 3 3 2 2 3" xfId="46437" xr:uid="{75B0D286-EEEF-4CE6-968B-89A1BB8A5185}"/>
    <cellStyle name="Comma 2 2 2 3 3 2 2 4" xfId="51698" xr:uid="{878BC221-C715-4218-AE11-A2EB9DB14C73}"/>
    <cellStyle name="Comma 2 2 2 3 3 2 2 5" xfId="54714" xr:uid="{879E2A98-404F-45C4-ACFF-A3AA0C29E5EB}"/>
    <cellStyle name="Comma 2 2 2 3 3 2 3" xfId="15298" xr:uid="{1D51749E-8005-4B75-BFA1-5C268B9AF8DE}"/>
    <cellStyle name="Comma 2 2 2 3 3 2 3 2" xfId="22837" xr:uid="{1A30E3A4-01B9-478A-808F-9379E891B681}"/>
    <cellStyle name="Comma 2 2 2 3 3 2 3 3" xfId="46904" xr:uid="{65A87EC1-083B-4B23-9048-381CDB6AEB6A}"/>
    <cellStyle name="Comma 2 2 2 3 3 2 3 4" xfId="52175" xr:uid="{086A5FE1-36E8-4C5C-B9C8-C61382B90660}"/>
    <cellStyle name="Comma 2 2 2 3 3 2 3 5" xfId="55191" xr:uid="{AC3F3B6C-D86C-4C33-9A04-61CB73EEA76D}"/>
    <cellStyle name="Comma 2 2 2 3 3 2 4" xfId="15785" xr:uid="{20D32EE1-A07D-4DA4-8834-6E38860EBE2E}"/>
    <cellStyle name="Comma 2 2 2 3 3 2 4 2" xfId="23314" xr:uid="{E2E2BE6B-7CF3-4ECD-B71D-9E28F453DA5E}"/>
    <cellStyle name="Comma 2 2 2 3 3 2 4 3" xfId="48522" xr:uid="{9593F96B-8186-4C5D-85C8-C9C2742CA156}"/>
    <cellStyle name="Comma 2 2 2 3 3 2 4 4" xfId="52652" xr:uid="{2366DF62-89D1-46BC-B8D6-5C8775CF12E5}"/>
    <cellStyle name="Comma 2 2 2 3 3 2 4 5" xfId="55668" xr:uid="{429D47E9-5F7A-4C81-BE21-E7A3C447D085}"/>
    <cellStyle name="Comma 2 2 2 3 3 2 5" xfId="12847" xr:uid="{D252DBFD-18E5-46BD-A838-1A493304A044}"/>
    <cellStyle name="Comma 2 2 2 3 3 2 5 2" xfId="46995" xr:uid="{CA4CD0FF-41BD-489F-A9FE-7624480BF945}"/>
    <cellStyle name="Comma 2 2 2 3 3 2 5 3" xfId="51221" xr:uid="{5C3ACCDC-D630-4435-9608-31B3FDD885B9}"/>
    <cellStyle name="Comma 2 2 2 3 3 2 5 4" xfId="54237" xr:uid="{AB780261-52F5-44C0-9E25-C752F7E349F4}"/>
    <cellStyle name="Comma 2 2 2 3 3 2 6" xfId="46105" xr:uid="{08299C50-B4A6-4302-ADF1-2E22EBDA3BA6}"/>
    <cellStyle name="Comma 2 2 2 3 3 2 7" xfId="50115" xr:uid="{64651A7A-39FF-4CCC-A67D-F4F16310A2B0}"/>
    <cellStyle name="Comma 2 2 2 3 3 2 8" xfId="53131" xr:uid="{E5EF0392-C441-421B-A1F6-33BE4E2C0970}"/>
    <cellStyle name="Comma 2 2 2 3 3 3" xfId="14601" xr:uid="{2EDE0DFF-6112-4428-BE84-F0F2E796E46A}"/>
    <cellStyle name="Comma 2 2 2 3 3 3 2" xfId="22148" xr:uid="{98E54E0B-ADA1-4478-9BB2-FE81FBE4879E}"/>
    <cellStyle name="Comma 2 2 2 3 3 3 3" xfId="48143" xr:uid="{6A517BC3-7062-472A-B5BC-42B18C86E32B}"/>
    <cellStyle name="Comma 2 2 2 3 3 3 4" xfId="51486" xr:uid="{5D8E144F-83DF-43EC-8F1E-E19F91616AB6}"/>
    <cellStyle name="Comma 2 2 2 3 3 3 5" xfId="54502" xr:uid="{4B3CCFB1-A82D-4123-9B1A-CD40A4ABF976}"/>
    <cellStyle name="Comma 2 2 2 3 3 4" xfId="15086" xr:uid="{91D5E2A7-1071-4AFA-BCE8-32F315C85632}"/>
    <cellStyle name="Comma 2 2 2 3 3 4 2" xfId="22625" xr:uid="{8C0B504E-E828-4262-A4AD-164E6FF7DA61}"/>
    <cellStyle name="Comma 2 2 2 3 3 4 3" xfId="47935" xr:uid="{FEEE5855-C953-4049-83B8-6EDCE820C338}"/>
    <cellStyle name="Comma 2 2 2 3 3 4 4" xfId="51963" xr:uid="{3A8E3800-EDB6-4E49-9F30-F17750DCD680}"/>
    <cellStyle name="Comma 2 2 2 3 3 4 5" xfId="54979" xr:uid="{87FF68A8-D41D-4A60-9F40-031FAA42B740}"/>
    <cellStyle name="Comma 2 2 2 3 3 5" xfId="15573" xr:uid="{11AF99CC-B5AE-4281-975F-F4CD332D8189}"/>
    <cellStyle name="Comma 2 2 2 3 3 5 2" xfId="23102" xr:uid="{CEB5AEDE-2355-45DF-9229-06C955630FAE}"/>
    <cellStyle name="Comma 2 2 2 3 3 5 3" xfId="47789" xr:uid="{5793B20F-5BD2-479A-BFEF-F2026B75237B}"/>
    <cellStyle name="Comma 2 2 2 3 3 5 4" xfId="52440" xr:uid="{D10A1085-0ED0-4F36-BA3F-71D6543A72DA}"/>
    <cellStyle name="Comma 2 2 2 3 3 5 5" xfId="55456" xr:uid="{DF32561A-A071-4A3D-9935-31C43E28E1E1}"/>
    <cellStyle name="Comma 2 2 2 3 3 6" xfId="12538" xr:uid="{F61C55D9-AE43-410A-9B14-82196454336B}"/>
    <cellStyle name="Comma 2 2 2 3 3 6 2" xfId="46766" xr:uid="{96E497FE-3848-47C9-AAFD-D4AC85515956}"/>
    <cellStyle name="Comma 2 2 2 3 3 6 3" xfId="51009" xr:uid="{1206E84F-FB38-4AB5-8747-2CBD34CF8D76}"/>
    <cellStyle name="Comma 2 2 2 3 3 6 4" xfId="54025" xr:uid="{52C5E97D-5DAD-4CE4-BD71-0B0241C61D32}"/>
    <cellStyle name="Comma 2 2 2 3 3 7" xfId="46036" xr:uid="{9FB5111E-8E25-42B6-AF99-31EF18733949}"/>
    <cellStyle name="Comma 2 2 2 3 3 8" xfId="49903" xr:uid="{39649D07-925E-4BDC-AF18-8AFB2C3D6253}"/>
    <cellStyle name="Comma 2 2 2 3 3 9" xfId="52919" xr:uid="{1E66F56D-9920-47E7-88A7-CCCDB18529D8}"/>
    <cellStyle name="Comma 2 2 2 3 4" xfId="10160" xr:uid="{956F4867-0C23-4713-969E-E342309E47DF}"/>
    <cellStyle name="Comma 2 2 2 3 4 2" xfId="10474" xr:uid="{E0A39435-C8DF-4172-9B33-39DE84CB4A7B}"/>
    <cellStyle name="Comma 2 2 2 3 4 2 2" xfId="14866" xr:uid="{0A674214-F7C3-464B-82E3-1A7141ECFE39}"/>
    <cellStyle name="Comma 2 2 2 3 4 2 2 2" xfId="22413" xr:uid="{F0ED6C1F-1828-4A3B-BDD7-9E6811D864D9}"/>
    <cellStyle name="Comma 2 2 2 3 4 2 2 3" xfId="24937" xr:uid="{CD315C5B-58A2-4A47-B15C-CA632D7639D6}"/>
    <cellStyle name="Comma 2 2 2 3 4 2 2 4" xfId="51751" xr:uid="{8ECB2BA6-D5F4-4846-813F-8CA72E1FA97E}"/>
    <cellStyle name="Comma 2 2 2 3 4 2 2 5" xfId="54767" xr:uid="{0C241A63-7DF0-4CB3-9739-83CB8FFD941C}"/>
    <cellStyle name="Comma 2 2 2 3 4 2 3" xfId="15351" xr:uid="{2F8AD938-9528-4C51-A87D-3EC54B8D0692}"/>
    <cellStyle name="Comma 2 2 2 3 4 2 3 2" xfId="22890" xr:uid="{BBED0C13-241D-4AC1-93D4-67B732175CDB}"/>
    <cellStyle name="Comma 2 2 2 3 4 2 3 3" xfId="48127" xr:uid="{75AED857-ED17-4D61-9905-C18361B86443}"/>
    <cellStyle name="Comma 2 2 2 3 4 2 3 4" xfId="52228" xr:uid="{1DFC658A-CF09-4F9F-8599-A5FF19C8A2EC}"/>
    <cellStyle name="Comma 2 2 2 3 4 2 3 5" xfId="55244" xr:uid="{16BCA587-E95D-41BD-B363-FD6346664752}"/>
    <cellStyle name="Comma 2 2 2 3 4 2 4" xfId="15838" xr:uid="{3AB39F75-0B66-4E34-A7A5-2896C509C105}"/>
    <cellStyle name="Comma 2 2 2 3 4 2 4 2" xfId="23367" xr:uid="{0866B2E1-2E3D-4DB8-B5AA-DCE15481DBE0}"/>
    <cellStyle name="Comma 2 2 2 3 4 2 4 3" xfId="48027" xr:uid="{413D6943-D76E-44D2-B873-9937526D1303}"/>
    <cellStyle name="Comma 2 2 2 3 4 2 4 4" xfId="52705" xr:uid="{2C1019D8-71A0-4F07-B1FA-65F5F7C8E2D1}"/>
    <cellStyle name="Comma 2 2 2 3 4 2 4 5" xfId="55721" xr:uid="{6071986A-4576-47F9-B7AA-A12048C35C69}"/>
    <cellStyle name="Comma 2 2 2 3 4 2 5" xfId="12927" xr:uid="{326CD07B-8C07-4AB0-8113-3BB46B30B13F}"/>
    <cellStyle name="Comma 2 2 2 3 4 2 5 2" xfId="46371" xr:uid="{F61AB77A-DB38-485F-8792-8CC1EC7E411D}"/>
    <cellStyle name="Comma 2 2 2 3 4 2 5 3" xfId="51274" xr:uid="{832FD27C-7979-4F0A-A1F1-929E695A0B56}"/>
    <cellStyle name="Comma 2 2 2 3 4 2 5 4" xfId="54290" xr:uid="{68B047DF-4ECE-401E-B7CD-0C648220A5B6}"/>
    <cellStyle name="Comma 2 2 2 3 4 2 6" xfId="46125" xr:uid="{5FDABE47-F038-45DF-A6A5-9C7419D0D650}"/>
    <cellStyle name="Comma 2 2 2 3 4 2 7" xfId="50168" xr:uid="{179B2D62-2CAD-4189-B86B-D1980116E4D6}"/>
    <cellStyle name="Comma 2 2 2 3 4 2 8" xfId="53184" xr:uid="{287E9CD7-E0E4-4A76-8C75-3443E9A14B89}"/>
    <cellStyle name="Comma 2 2 2 3 4 3" xfId="14654" xr:uid="{78EB5EDE-CA01-4423-8061-B7F7D26D1671}"/>
    <cellStyle name="Comma 2 2 2 3 4 3 2" xfId="22201" xr:uid="{A53889AB-2E0C-4F5E-AC35-9DFE89A3AE65}"/>
    <cellStyle name="Comma 2 2 2 3 4 3 3" xfId="34057" xr:uid="{BD816400-B4E5-46AF-867E-2E4668587328}"/>
    <cellStyle name="Comma 2 2 2 3 4 3 4" xfId="51539" xr:uid="{74487912-B742-481C-9EE9-71C64D089261}"/>
    <cellStyle name="Comma 2 2 2 3 4 3 5" xfId="54555" xr:uid="{7B00C472-68AF-41D2-8346-E5E7053D94A0}"/>
    <cellStyle name="Comma 2 2 2 3 4 4" xfId="15139" xr:uid="{F466BE79-B562-4A3B-9B2F-B82DA9A16FBD}"/>
    <cellStyle name="Comma 2 2 2 3 4 4 2" xfId="22678" xr:uid="{28A48FF2-0E7C-4A38-B689-23F63F989CF6}"/>
    <cellStyle name="Comma 2 2 2 3 4 4 3" xfId="46488" xr:uid="{7B6A5A95-ABBB-4309-AD8A-3C17389FCBA1}"/>
    <cellStyle name="Comma 2 2 2 3 4 4 4" xfId="52016" xr:uid="{217ABCA0-7CD1-418E-A83F-1117FE0434A0}"/>
    <cellStyle name="Comma 2 2 2 3 4 4 5" xfId="55032" xr:uid="{87BE3DE1-8C31-4105-A175-93E2ED63DE04}"/>
    <cellStyle name="Comma 2 2 2 3 4 5" xfId="15626" xr:uid="{4755EC8D-4B28-4398-B62A-12503029420A}"/>
    <cellStyle name="Comma 2 2 2 3 4 5 2" xfId="23155" xr:uid="{915520AE-5159-4E15-A448-2AE5B351E045}"/>
    <cellStyle name="Comma 2 2 2 3 4 5 3" xfId="46943" xr:uid="{9E1073E4-B5A8-4180-9555-5BCD484ED886}"/>
    <cellStyle name="Comma 2 2 2 3 4 5 4" xfId="52493" xr:uid="{86F63475-3252-4D8E-9BC8-C3443A4ACA32}"/>
    <cellStyle name="Comma 2 2 2 3 4 5 5" xfId="55509" xr:uid="{B56A3FB6-A695-45AB-83F7-87439689C56E}"/>
    <cellStyle name="Comma 2 2 2 3 4 6" xfId="12614" xr:uid="{32FCFDD6-9044-4625-AD7B-45AC1F0CA6BA}"/>
    <cellStyle name="Comma 2 2 2 3 4 6 2" xfId="48490" xr:uid="{A02275F7-4D34-41F2-A96E-260C00207D92}"/>
    <cellStyle name="Comma 2 2 2 3 4 6 3" xfId="51062" xr:uid="{27DC7ABD-9E92-4C79-97A9-20C49C436384}"/>
    <cellStyle name="Comma 2 2 2 3 4 6 4" xfId="54078" xr:uid="{784E3B9F-0241-42C4-9F5B-550D7C5009DE}"/>
    <cellStyle name="Comma 2 2 2 3 4 7" xfId="48153" xr:uid="{3720DB96-6B04-4185-BDBA-61B82AD7276E}"/>
    <cellStyle name="Comma 2 2 2 3 4 8" xfId="49956" xr:uid="{CC3618B1-84EB-4A63-866D-8137777305FE}"/>
    <cellStyle name="Comma 2 2 2 3 4 9" xfId="52972" xr:uid="{D7209B9E-6BD1-416A-8FF5-839CEF02EC02}"/>
    <cellStyle name="Comma 2 2 2 3 5" xfId="10240" xr:uid="{AFB18D2B-8206-462E-BD01-7CA9C3A5C59C}"/>
    <cellStyle name="Comma 2 2 2 3 5 2" xfId="14707" xr:uid="{6E00E698-027E-4BBA-974A-3B091210E177}"/>
    <cellStyle name="Comma 2 2 2 3 5 2 2" xfId="22254" xr:uid="{DB7CD565-F551-4C45-8DA0-C688AF62B4A0}"/>
    <cellStyle name="Comma 2 2 2 3 5 2 3" xfId="47179" xr:uid="{6823427A-3418-4653-B881-B47FF900A468}"/>
    <cellStyle name="Comma 2 2 2 3 5 2 4" xfId="51592" xr:uid="{765B2801-41B7-4216-BC58-5985BBB6C3EC}"/>
    <cellStyle name="Comma 2 2 2 3 5 2 5" xfId="54608" xr:uid="{F0F34F5C-C6DB-4E33-9C11-64911FE3B5E4}"/>
    <cellStyle name="Comma 2 2 2 3 5 3" xfId="15192" xr:uid="{ACAC82D9-6BB8-4BAE-B1E5-D4F928096FAE}"/>
    <cellStyle name="Comma 2 2 2 3 5 3 2" xfId="22731" xr:uid="{B9EC384A-A093-4773-A7F8-8F7F0A3CEE40}"/>
    <cellStyle name="Comma 2 2 2 3 5 3 3" xfId="46891" xr:uid="{6F9FAFBE-DA95-42AF-84DD-C72BE2A67A49}"/>
    <cellStyle name="Comma 2 2 2 3 5 3 4" xfId="52069" xr:uid="{6B51926B-7BB4-4E47-B6A1-75B54DC90FA9}"/>
    <cellStyle name="Comma 2 2 2 3 5 3 5" xfId="55085" xr:uid="{AA9563D4-0B89-4DC6-AF5D-6C27F284286F}"/>
    <cellStyle name="Comma 2 2 2 3 5 4" xfId="15679" xr:uid="{C3B68CC7-86D9-42F2-B650-A6E247A6B1A0}"/>
    <cellStyle name="Comma 2 2 2 3 5 4 2" xfId="23208" xr:uid="{E6B713C6-13AA-4FE5-8CB9-2E52522087AC}"/>
    <cellStyle name="Comma 2 2 2 3 5 4 3" xfId="48081" xr:uid="{73D1BC13-1BC4-44CA-8786-38597827651B}"/>
    <cellStyle name="Comma 2 2 2 3 5 4 4" xfId="52546" xr:uid="{92868F59-5809-4A03-AC73-DBB341DD28BA}"/>
    <cellStyle name="Comma 2 2 2 3 5 4 5" xfId="55562" xr:uid="{6EA51E40-9E77-41DC-AB55-6C93327C1BDF}"/>
    <cellStyle name="Comma 2 2 2 3 5 5" xfId="12693" xr:uid="{7380E796-72F0-4B4A-9419-5888EF66E38E}"/>
    <cellStyle name="Comma 2 2 2 3 5 5 2" xfId="47525" xr:uid="{59F436D2-E61D-4497-AC82-E0DE7C8949F0}"/>
    <cellStyle name="Comma 2 2 2 3 5 5 3" xfId="51115" xr:uid="{A52A3020-9385-4967-9C3A-197DA225D30E}"/>
    <cellStyle name="Comma 2 2 2 3 5 5 4" xfId="54131" xr:uid="{06BD4809-8B8B-4DDF-AEAA-088567119B95}"/>
    <cellStyle name="Comma 2 2 2 3 5 6" xfId="47705" xr:uid="{A9BDD55F-2A08-41A7-B6E6-C9952A405722}"/>
    <cellStyle name="Comma 2 2 2 3 5 7" xfId="50009" xr:uid="{AD6B4287-E81E-4905-85B7-E304531CB6B2}"/>
    <cellStyle name="Comma 2 2 2 3 5 8" xfId="53025" xr:uid="{7D103BA2-A17B-4E4D-A320-6F411B8378E5}"/>
    <cellStyle name="Comma 2 2 2 3 6" xfId="10554" xr:uid="{4F3D004A-931B-4DCD-A04D-18308F56F6BE}"/>
    <cellStyle name="Comma 2 2 2 3 6 2" xfId="14919" xr:uid="{6BB716E5-C656-46FF-AEE5-ACB701A118B4}"/>
    <cellStyle name="Comma 2 2 2 3 6 2 2" xfId="22466" xr:uid="{7DAAF684-F260-43EE-9969-5C3AF6BA9DAA}"/>
    <cellStyle name="Comma 2 2 2 3 6 2 3" xfId="48067" xr:uid="{B02561A9-B394-44FB-A455-F94CB7CAFABE}"/>
    <cellStyle name="Comma 2 2 2 3 6 2 4" xfId="51804" xr:uid="{123A4742-7EC5-4A8B-9B9E-D9EF32F80EE4}"/>
    <cellStyle name="Comma 2 2 2 3 6 2 5" xfId="54820" xr:uid="{F95A93ED-55A0-44D4-A190-30AA97016974}"/>
    <cellStyle name="Comma 2 2 2 3 6 3" xfId="15404" xr:uid="{CD388197-B637-41C0-BECF-68443CB459B9}"/>
    <cellStyle name="Comma 2 2 2 3 6 3 2" xfId="22943" xr:uid="{BF8D78EA-CDD1-474E-9E82-313AA7233C59}"/>
    <cellStyle name="Comma 2 2 2 3 6 3 3" xfId="46918" xr:uid="{8DBAE5BE-0B75-4F1A-B33D-E0B57A8B4613}"/>
    <cellStyle name="Comma 2 2 2 3 6 3 4" xfId="52281" xr:uid="{64516FDA-F394-4591-A7FD-FA758003F8FD}"/>
    <cellStyle name="Comma 2 2 2 3 6 3 5" xfId="55297" xr:uid="{8D7CBA09-B415-4623-9759-FCB973FCB2D8}"/>
    <cellStyle name="Comma 2 2 2 3 6 4" xfId="15892" xr:uid="{E68D858F-BFC6-47A8-9A7B-D540447EB7C0}"/>
    <cellStyle name="Comma 2 2 2 3 6 4 2" xfId="23420" xr:uid="{D0117341-97A6-4683-8834-434BBEBB4743}"/>
    <cellStyle name="Comma 2 2 2 3 6 4 3" xfId="48028" xr:uid="{E1BED2FD-F1D6-44E0-ACC7-2A1D369CDE2A}"/>
    <cellStyle name="Comma 2 2 2 3 6 4 4" xfId="52758" xr:uid="{1BA2131A-9AF3-4424-99F1-3C95ABFC59A1}"/>
    <cellStyle name="Comma 2 2 2 3 6 4 5" xfId="55774" xr:uid="{0ACBB54C-FF3C-46F6-9B6F-6C509BC7A454}"/>
    <cellStyle name="Comma 2 2 2 3 6 5" xfId="13007" xr:uid="{2F3E130D-1D37-48AF-BAF3-614CAB27D3B7}"/>
    <cellStyle name="Comma 2 2 2 3 6 5 2" xfId="47860" xr:uid="{534BB568-B35E-46A8-A2C2-48C765A19B96}"/>
    <cellStyle name="Comma 2 2 2 3 6 5 3" xfId="51327" xr:uid="{EB579BE5-967B-4663-B466-D09A64CC6C43}"/>
    <cellStyle name="Comma 2 2 2 3 6 5 4" xfId="54343" xr:uid="{ED960FB1-1A8D-4171-9463-C7049AA0C01E}"/>
    <cellStyle name="Comma 2 2 2 3 6 6" xfId="47590" xr:uid="{2A2E0254-41AD-4298-AF84-1609CE443422}"/>
    <cellStyle name="Comma 2 2 2 3 6 7" xfId="50221" xr:uid="{A697F473-DF76-4F60-9730-DC88555DF874}"/>
    <cellStyle name="Comma 2 2 2 3 6 8" xfId="53237" xr:uid="{912C0BD3-18DC-493D-AF9C-18E1A6D74018}"/>
    <cellStyle name="Comma 2 2 2 3 7" xfId="14495" xr:uid="{5A8765C9-704C-4EB6-BEC1-4482C8F14F64}"/>
    <cellStyle name="Comma 2 2 2 3 7 2" xfId="22042" xr:uid="{44907127-9202-4D64-9D19-C1DC6BC9E582}"/>
    <cellStyle name="Comma 2 2 2 3 7 3" xfId="48440" xr:uid="{C718ADF8-38CC-4301-9166-A1CA8E0C6222}"/>
    <cellStyle name="Comma 2 2 2 3 7 4" xfId="51380" xr:uid="{ADEEFD41-195E-4EB8-B014-82C0DE05D8EA}"/>
    <cellStyle name="Comma 2 2 2 3 7 5" xfId="54396" xr:uid="{64F3D8A0-DEAF-4C84-8542-2FCFFAB0D681}"/>
    <cellStyle name="Comma 2 2 2 3 8" xfId="14979" xr:uid="{6BFE1B7B-D8EE-4221-9866-1B6CBFE33FA9}"/>
    <cellStyle name="Comma 2 2 2 3 8 2" xfId="22519" xr:uid="{490FB2B0-ED3D-4865-BB6E-D33BBC3EDB73}"/>
    <cellStyle name="Comma 2 2 2 3 8 3" xfId="48122" xr:uid="{AA96E2EC-08BF-425F-B43C-C0D49594C514}"/>
    <cellStyle name="Comma 2 2 2 3 8 4" xfId="51857" xr:uid="{E450C6D3-C589-4E91-8BD7-98E79B37CA3F}"/>
    <cellStyle name="Comma 2 2 2 3 8 5" xfId="54873" xr:uid="{A95CFCAF-FA22-426C-9278-E5024CFBB1E1}"/>
    <cellStyle name="Comma 2 2 2 3 9" xfId="15466" xr:uid="{45C7F282-C082-4841-818B-AE84A3922482}"/>
    <cellStyle name="Comma 2 2 2 3 9 2" xfId="22996" xr:uid="{53DED7D0-F5E7-4F23-8EA5-302F4CB8EE26}"/>
    <cellStyle name="Comma 2 2 2 3 9 3" xfId="46924" xr:uid="{A00FD034-18E1-4FD1-AE70-FB89761BD409}"/>
    <cellStyle name="Comma 2 2 2 3 9 4" xfId="52334" xr:uid="{A3E65B41-B129-44E0-B617-33F6DB7F3F88}"/>
    <cellStyle name="Comma 2 2 2 3 9 5" xfId="55350" xr:uid="{DD39A7D1-21B1-46AD-8002-661D4D7CE0A6}"/>
    <cellStyle name="Comma 2 2 2 4" xfId="5808" xr:uid="{51A6860B-AC18-48F9-B8BE-80BA6AE39BA2}"/>
    <cellStyle name="Comma 2 2 2 4 2" xfId="23703" xr:uid="{74EAC097-F92F-4045-9BD7-8C36710157B6}"/>
    <cellStyle name="Comma 2 2 2 4 3" xfId="48596" xr:uid="{651ACCC7-887D-4600-BD40-272FA755B9D4}"/>
    <cellStyle name="Comma 2 2 2 4 4" xfId="49506" xr:uid="{EA44B682-7982-46F4-BF9A-4E7FACE54195}"/>
    <cellStyle name="Comma 2 2 2 4 5" xfId="11097" xr:uid="{9E53871A-7ADC-46A4-A46A-B50C07A29658}"/>
    <cellStyle name="Comma 2 2 2 5" xfId="11183" xr:uid="{958BBA74-ED11-4845-AF17-E82353C14E2F}"/>
    <cellStyle name="Comma 2 2 2 5 2" xfId="21680" xr:uid="{7A93F93B-D240-44F0-AD51-4A5D409E2B92}"/>
    <cellStyle name="Comma 2 2 2 5 3" xfId="34284" xr:uid="{3EC51282-1892-42DD-8C3F-CDB136A02CDD}"/>
    <cellStyle name="Comma 2 2 2 5 4" xfId="50696" xr:uid="{AE4907A7-416D-4361-9A9D-EEF0FD83543E}"/>
    <cellStyle name="Comma 2 2 2 5 5" xfId="53712" xr:uid="{1ADDE85B-5D64-494B-904A-B37D4D6C40A1}"/>
    <cellStyle name="Comma 2 2 2 6" xfId="19468" xr:uid="{B852CDB4-2543-4999-8334-6492F101E168}"/>
    <cellStyle name="Comma 2 2 2 7" xfId="23699" xr:uid="{39A954A3-1195-471F-9D60-18F258ADF1B7}"/>
    <cellStyle name="Comma 2 2 2 8" xfId="48592" xr:uid="{BF6074D8-C857-44DD-923E-C68D2E1A3CBD}"/>
    <cellStyle name="Comma 2 2 2 9" xfId="49502" xr:uid="{7C0EABE3-310A-47B0-AC8D-D816B7098F9D}"/>
    <cellStyle name="Comma 2 2 3" xfId="2608" xr:uid="{762A1755-CD26-4A49-AB15-EE181F3B462B}"/>
    <cellStyle name="Comma 2 2 3 2" xfId="4527" xr:uid="{476826B3-936B-482E-9D57-564FD3FF8302}"/>
    <cellStyle name="Comma 2 2 3 2 2" xfId="23705" xr:uid="{9A9CD6E9-77BF-4ECE-AD93-49FC34E5750A}"/>
    <cellStyle name="Comma 2 2 3 2 3" xfId="48598" xr:uid="{10CBE904-2E74-4826-9A50-3BC5F6386A57}"/>
    <cellStyle name="Comma 2 2 3 2 4" xfId="49508" xr:uid="{66817341-5743-489B-AAB6-D99F0507AC3C}"/>
    <cellStyle name="Comma 2 2 3 2 5" xfId="12216" xr:uid="{8AC9BD21-9C05-4A19-94CA-3BE2F9B0AC7C}"/>
    <cellStyle name="Comma 2 2 3 3" xfId="5809" xr:uid="{284B1233-7F77-4692-9FFC-CF3A840C0868}"/>
    <cellStyle name="Comma 2 2 3 3 2" xfId="21715" xr:uid="{E06D1891-1262-46BA-BC45-CFF468C4BFD1}"/>
    <cellStyle name="Comma 2 2 3 3 3" xfId="48556" xr:uid="{7D954A40-A2AB-4F4F-AB7B-AEE914F81E5F}"/>
    <cellStyle name="Comma 2 2 3 3 4" xfId="50740" xr:uid="{D2B84113-6701-4169-AD88-1324E12E1B56}"/>
    <cellStyle name="Comma 2 2 3 3 5" xfId="53756" xr:uid="{A0A33306-F30E-4F64-885E-3769953E5707}"/>
    <cellStyle name="Comma 2 2 3 3 6" xfId="11692" xr:uid="{A0E93526-92E3-4716-8164-06B81E133CB2}"/>
    <cellStyle name="Comma 2 2 3 4" xfId="19470" xr:uid="{6184FA53-594D-4966-AB11-45B80D3D22BF}"/>
    <cellStyle name="Comma 2 2 3 5" xfId="23704" xr:uid="{C2F5A523-1CDC-4C42-9623-844D0425443C}"/>
    <cellStyle name="Comma 2 2 3 6" xfId="48597" xr:uid="{8A78084C-FC5B-4D57-AC04-306A9802FF80}"/>
    <cellStyle name="Comma 2 2 3 7" xfId="49507" xr:uid="{45AB3AED-448E-4E72-A084-F5A7D825AB8D}"/>
    <cellStyle name="Comma 2 2 3 8" xfId="8182" xr:uid="{CA3F99E9-98E7-410D-9A16-95E1ED14B95C}"/>
    <cellStyle name="Comma 2 2 4" xfId="4525" xr:uid="{51DF797C-6936-41D0-AC40-F7052E6C0D35}"/>
    <cellStyle name="Comma 2 2 4 10" xfId="11182" xr:uid="{5440D016-AEC9-41ED-9C5C-38BE83FBFF15}"/>
    <cellStyle name="Comma 2 2 4 2" xfId="11227" xr:uid="{78F98B57-EC42-4844-9521-2C52503D67CC}"/>
    <cellStyle name="Comma 2 2 4 3" xfId="18049" xr:uid="{CC7B65B4-4092-4183-931D-DE7D56323D37}"/>
    <cellStyle name="Comma 2 2 4 3 2" xfId="21679" xr:uid="{8927A93D-7C99-4894-89D8-5A59F2CA52AF}"/>
    <cellStyle name="Comma 2 2 4 4" xfId="23706" xr:uid="{08D5C8B7-EACD-485F-A2C5-1A80A9492B77}"/>
    <cellStyle name="Comma 2 2 4 5" xfId="46276" xr:uid="{8E6D809B-A51E-4BF0-BB89-F636BF693A1D}"/>
    <cellStyle name="Comma 2 2 4 6" xfId="48599" xr:uid="{1BBD619B-98AE-4E0C-A25F-7A2E0F2C4E78}"/>
    <cellStyle name="Comma 2 2 4 7" xfId="49509" xr:uid="{829065A0-909F-4D31-B559-544DFB523854}"/>
    <cellStyle name="Comma 2 2 4 8" xfId="50695" xr:uid="{8279618A-F19A-4040-A0AB-CC36807F163E}"/>
    <cellStyle name="Comma 2 2 4 9" xfId="53711" xr:uid="{499BB0D5-878D-4B4F-85BF-6DDA38BDD25B}"/>
    <cellStyle name="Comma 2 2 5" xfId="5807" xr:uid="{F52E9258-EE5D-425B-A7BF-F6F8D8A245EC}"/>
    <cellStyle name="Comma 2 2 5 2" xfId="23707" xr:uid="{7C7FCB72-78C1-42D5-B08E-CA5762E4DD3E}"/>
    <cellStyle name="Comma 2 2 5 3" xfId="48600" xr:uid="{DF742C37-A855-4AD6-9BA6-C27A7D17E0CD}"/>
    <cellStyle name="Comma 2 2 5 4" xfId="49510" xr:uid="{660955D9-7F52-46A6-86D1-56BB1F167A60}"/>
    <cellStyle name="Comma 2 2 5 5" xfId="19467" xr:uid="{A474FBF8-29C5-4C79-8A04-CD65E3BC3CF0}"/>
    <cellStyle name="Comma 2 2 6" xfId="2605" xr:uid="{23EAAC6A-E518-4A9C-959F-AE5270BDD31F}"/>
    <cellStyle name="Comma 2 2 6 2" xfId="23708" xr:uid="{13C92877-8F2E-4CD7-9E2D-6BE2F2589691}"/>
    <cellStyle name="Comma 2 2 7" xfId="23698" xr:uid="{E9C5394C-100F-4A37-80DD-E8C3010D0ECE}"/>
    <cellStyle name="Comma 2 2 8" xfId="48591" xr:uid="{F0F43FA4-8165-4258-9467-515828FF2250}"/>
    <cellStyle name="Comma 2 2 9" xfId="49501" xr:uid="{DDB2CB50-1153-44F6-8D3C-9BC389559AFE}"/>
    <cellStyle name="Comma 2 3" xfId="50" xr:uid="{00000000-0005-0000-0000-000052000000}"/>
    <cellStyle name="Comma 2 3 10" xfId="48601" xr:uid="{C852367C-1EAD-424C-B380-6205F5DD5CED}"/>
    <cellStyle name="Comma 2 3 11" xfId="49511" xr:uid="{72787197-6517-4B4C-806E-CA386552C8D5}"/>
    <cellStyle name="Comma 2 3 12" xfId="6984" xr:uid="{46C2EC60-96AC-49EA-8A6F-A9FCE4988771}"/>
    <cellStyle name="Comma 2 3 2" xfId="1291" xr:uid="{00000000-0005-0000-0000-000053000000}"/>
    <cellStyle name="Comma 2 3 2 10" xfId="49512" xr:uid="{BC01E01F-F59A-4713-A74B-26E4E5E335A2}"/>
    <cellStyle name="Comma 2 3 2 11" xfId="7232" xr:uid="{D5321128-32F4-479C-B897-AFA64F0CB3C3}"/>
    <cellStyle name="Comma 2 3 2 2" xfId="1292" xr:uid="{00000000-0005-0000-0000-000054000000}"/>
    <cellStyle name="Comma 2 3 2 2 10" xfId="14980" xr:uid="{903A0EC0-5488-4DCB-8721-B20034451450}"/>
    <cellStyle name="Comma 2 3 2 2 10 2" xfId="22520" xr:uid="{C7FF0B9F-3EDB-4C28-A4EC-49978A17575C}"/>
    <cellStyle name="Comma 2 3 2 2 10 3" xfId="32514" xr:uid="{3BA61A52-225C-4AE7-B897-97E434A650D7}"/>
    <cellStyle name="Comma 2 3 2 2 10 4" xfId="51858" xr:uid="{BBB98D8A-4D56-4807-AF0E-80017A9069F2}"/>
    <cellStyle name="Comma 2 3 2 2 10 5" xfId="54874" xr:uid="{D6D15CB2-19CD-415E-AF16-184C226DAF6A}"/>
    <cellStyle name="Comma 2 3 2 2 11" xfId="15467" xr:uid="{416AB14A-E007-4B4A-A639-3C63562B4B5E}"/>
    <cellStyle name="Comma 2 3 2 2 11 2" xfId="22997" xr:uid="{772CD3E0-3A44-4DF5-AC9E-595C880BE9AA}"/>
    <cellStyle name="Comma 2 3 2 2 11 3" xfId="48076" xr:uid="{78A92F05-6AEE-45A8-BBF1-24F6D35E715A}"/>
    <cellStyle name="Comma 2 3 2 2 11 4" xfId="52335" xr:uid="{EE8AD611-26DA-436A-AD00-0FE1A4C1E750}"/>
    <cellStyle name="Comma 2 3 2 2 11 5" xfId="55351" xr:uid="{7E5685B1-B5DD-47A6-9EA5-E6A8BFD38133}"/>
    <cellStyle name="Comma 2 3 2 2 12" xfId="17742" xr:uid="{5C2305A0-CB65-4B71-94A7-21EC6C1F218F}"/>
    <cellStyle name="Comma 2 3 2 2 12 2" xfId="21250" xr:uid="{C706E131-8752-4A91-80A9-674CF81131FF}"/>
    <cellStyle name="Comma 2 3 2 2 13" xfId="23711" xr:uid="{FE4ABE9C-94A4-4ADC-ADDF-22A2E3588ABD}"/>
    <cellStyle name="Comma 2 3 2 2 14" xfId="48603" xr:uid="{B22AC725-4282-4D0E-89CA-D06F1887CAB3}"/>
    <cellStyle name="Comma 2 3 2 2 15" xfId="49513" xr:uid="{2D46D74F-F54E-4312-94EF-8B5A3A9B34E2}"/>
    <cellStyle name="Comma 2 3 2 2 16" xfId="49798" xr:uid="{60EC447D-35E2-46D5-B44B-3B9BD658C6A1}"/>
    <cellStyle name="Comma 2 3 2 2 17" xfId="52813" xr:uid="{64E9F705-2701-4BF9-B945-EC86165D57A3}"/>
    <cellStyle name="Comma 2 3 2 2 18" xfId="8921" xr:uid="{0ADCC419-33A5-4011-96FC-BB09ADC95809}"/>
    <cellStyle name="Comma 2 3 2 2 2" xfId="4530" xr:uid="{7213A233-0B90-4107-8438-DCD4807E6D56}"/>
    <cellStyle name="Comma 2 3 2 2 2 10" xfId="52867" xr:uid="{408EF00B-129A-43D6-B11A-1075CFFC14F8}"/>
    <cellStyle name="Comma 2 3 2 2 2 11" xfId="10008" xr:uid="{63DA0ABE-27FC-485D-8C1C-E135C40031DA}"/>
    <cellStyle name="Comma 2 3 2 2 2 2" xfId="10316" xr:uid="{A02C5F1B-EDB3-42AF-ACF5-BE7FB397CB6B}"/>
    <cellStyle name="Comma 2 3 2 2 2 2 2" xfId="14761" xr:uid="{959CAD0D-A43F-4B7E-A704-85A59DBAEDB5}"/>
    <cellStyle name="Comma 2 3 2 2 2 2 2 2" xfId="22308" xr:uid="{FAFC2C04-6C6A-4A74-9764-A73730E63C39}"/>
    <cellStyle name="Comma 2 3 2 2 2 2 2 3" xfId="47832" xr:uid="{7ED3C404-E8B5-46D8-B933-4633E7B764DB}"/>
    <cellStyle name="Comma 2 3 2 2 2 2 2 4" xfId="51646" xr:uid="{DC36A1D0-B6BE-4DC2-A551-503BFAD84183}"/>
    <cellStyle name="Comma 2 3 2 2 2 2 2 5" xfId="54662" xr:uid="{EBE79AB6-3D3E-4486-AA66-63D7B3180E01}"/>
    <cellStyle name="Comma 2 3 2 2 2 2 3" xfId="15246" xr:uid="{E93C2DCC-A88D-4E2C-8716-299E82002908}"/>
    <cellStyle name="Comma 2 3 2 2 2 2 3 2" xfId="22785" xr:uid="{8E873991-D112-42ED-A704-404C0CD53913}"/>
    <cellStyle name="Comma 2 3 2 2 2 2 3 3" xfId="47720" xr:uid="{7D4B075E-F7B4-4950-ABDA-360059A71A74}"/>
    <cellStyle name="Comma 2 3 2 2 2 2 3 4" xfId="52123" xr:uid="{3D9DCAE9-0FC6-4466-87B0-36185168D194}"/>
    <cellStyle name="Comma 2 3 2 2 2 2 3 5" xfId="55139" xr:uid="{BE340F5F-AECF-44D0-9CBA-AB81B63F52A2}"/>
    <cellStyle name="Comma 2 3 2 2 2 2 4" xfId="15733" xr:uid="{6DCD6FF5-77D7-4177-997B-8BEF1070E992}"/>
    <cellStyle name="Comma 2 3 2 2 2 2 4 2" xfId="23262" xr:uid="{8810460B-7B06-4F88-B3D3-27BD4929DE63}"/>
    <cellStyle name="Comma 2 3 2 2 2 2 4 3" xfId="46700" xr:uid="{04F308B7-1857-4FC6-BC40-B049000E9551}"/>
    <cellStyle name="Comma 2 3 2 2 2 2 4 4" xfId="52600" xr:uid="{4FAC267F-F49D-455A-B00C-C8D39B48A47E}"/>
    <cellStyle name="Comma 2 3 2 2 2 2 4 5" xfId="55616" xr:uid="{B31E64A9-ACDA-4B4F-ABB5-84AF3FCFF3DC}"/>
    <cellStyle name="Comma 2 3 2 2 2 2 5" xfId="12769" xr:uid="{44B68935-E015-4897-BAD8-9F94EF57C0D6}"/>
    <cellStyle name="Comma 2 3 2 2 2 2 5 2" xfId="46791" xr:uid="{09A24BC7-6F88-4074-805A-D43F749E4CCC}"/>
    <cellStyle name="Comma 2 3 2 2 2 2 5 3" xfId="51169" xr:uid="{C51A3CB8-A870-4AD3-B28E-75059C66EF03}"/>
    <cellStyle name="Comma 2 3 2 2 2 2 5 4" xfId="54185" xr:uid="{83666CAF-BC64-4E64-824E-BE84127AB20E}"/>
    <cellStyle name="Comma 2 3 2 2 2 2 6" xfId="47798" xr:uid="{01AB64BA-314C-4289-9D26-E0CD9112AAF5}"/>
    <cellStyle name="Comma 2 3 2 2 2 2 7" xfId="50063" xr:uid="{57CFAC31-33BE-4702-9736-D51985EEA1CB}"/>
    <cellStyle name="Comma 2 3 2 2 2 2 8" xfId="53079" xr:uid="{3BD25BAB-4B1B-4A39-AF26-B032F579DAF2}"/>
    <cellStyle name="Comma 2 3 2 2 2 3" xfId="12468" xr:uid="{E7A0D0AE-99E7-43BC-BBD1-425E00A452D1}"/>
    <cellStyle name="Comma 2 3 2 2 2 3 2" xfId="21913" xr:uid="{DEC2945D-4760-499B-B92F-252F6703BBF3}"/>
    <cellStyle name="Comma 2 3 2 2 2 3 3" xfId="47213" xr:uid="{6D372531-49CF-4C32-86E6-CF1DBD59A1EA}"/>
    <cellStyle name="Comma 2 3 2 2 2 3 4" xfId="50957" xr:uid="{E23667E0-45CC-4DF7-8F5F-CDC8BA12F1CA}"/>
    <cellStyle name="Comma 2 3 2 2 2 3 5" xfId="53973" xr:uid="{5C64E9D5-CA2D-437B-9BCF-591081EE654F}"/>
    <cellStyle name="Comma 2 3 2 2 2 4" xfId="14549" xr:uid="{27A975A5-DA53-47CB-AA46-E59C7B77409F}"/>
    <cellStyle name="Comma 2 3 2 2 2 4 2" xfId="22096" xr:uid="{85557804-B38A-4838-B8B9-B238418818E1}"/>
    <cellStyle name="Comma 2 3 2 2 2 4 3" xfId="46833" xr:uid="{1E0811A3-8009-41F6-A436-D771FDC1121C}"/>
    <cellStyle name="Comma 2 3 2 2 2 4 4" xfId="51434" xr:uid="{3E6576A9-48D7-4C4E-A121-2747C322766F}"/>
    <cellStyle name="Comma 2 3 2 2 2 4 5" xfId="54450" xr:uid="{C823FB99-BBD1-49FF-9582-6F37FE27D408}"/>
    <cellStyle name="Comma 2 3 2 2 2 5" xfId="15033" xr:uid="{56F0543F-E196-4423-9560-AB22FF2A5296}"/>
    <cellStyle name="Comma 2 3 2 2 2 5 2" xfId="22573" xr:uid="{698AAB81-F71E-4DFA-AEB2-11A1694892E1}"/>
    <cellStyle name="Comma 2 3 2 2 2 5 3" xfId="46470" xr:uid="{E2C5C05C-FAED-41D1-84E9-94F373826078}"/>
    <cellStyle name="Comma 2 3 2 2 2 5 4" xfId="51911" xr:uid="{5B413FEC-3E7A-4396-91A0-1D9F0B53C68A}"/>
    <cellStyle name="Comma 2 3 2 2 2 5 5" xfId="54927" xr:uid="{B480A7C8-6C01-4A15-BC5A-97A0A93EDAAD}"/>
    <cellStyle name="Comma 2 3 2 2 2 6" xfId="15520" xr:uid="{E5FEDF81-50AA-4CBC-8006-476AF9413CEF}"/>
    <cellStyle name="Comma 2 3 2 2 2 6 2" xfId="23050" xr:uid="{13F1A26D-1087-47C7-80A9-6E11D865C7BD}"/>
    <cellStyle name="Comma 2 3 2 2 2 6 3" xfId="48254" xr:uid="{E2084E84-C35C-40F9-AB0A-4A2235CDC631}"/>
    <cellStyle name="Comma 2 3 2 2 2 6 4" xfId="52388" xr:uid="{19401D57-B31F-49F8-B154-13B731070D5F}"/>
    <cellStyle name="Comma 2 3 2 2 2 6 5" xfId="55404" xr:uid="{0978E4CE-95FD-418D-95E6-8053B62D3054}"/>
    <cellStyle name="Comma 2 3 2 2 2 7" xfId="11693" xr:uid="{2819927F-5632-496C-A58A-850FC68B2C6F}"/>
    <cellStyle name="Comma 2 3 2 2 2 7 2" xfId="46732" xr:uid="{5AC057AB-A21C-42CF-AE4D-28BD94D20125}"/>
    <cellStyle name="Comma 2 3 2 2 2 7 3" xfId="50741" xr:uid="{9BD65C1C-3361-437C-89BB-55D8F21DC1EA}"/>
    <cellStyle name="Comma 2 3 2 2 2 7 4" xfId="53757" xr:uid="{BE3AED0F-BCD2-4C5B-A376-F7565E13879E}"/>
    <cellStyle name="Comma 2 3 2 2 2 8" xfId="23712" xr:uid="{27D84BF7-6D72-440E-BD2D-F63D7F4382FA}"/>
    <cellStyle name="Comma 2 3 2 2 2 9" xfId="49851" xr:uid="{69284817-176F-40FE-9665-B2BB7FB19BD1}"/>
    <cellStyle name="Comma 2 3 2 2 3" xfId="2611" xr:uid="{11FFFB8E-1ACE-44F4-BB0E-54CDF7E287DF}"/>
    <cellStyle name="Comma 2 3 2 2 3 10" xfId="10082" xr:uid="{AC3C1994-C4CF-489D-AD7C-EEA6E04C68FA}"/>
    <cellStyle name="Comma 2 3 2 2 3 2" xfId="10395" xr:uid="{3ABB86C3-88B3-47B8-A145-B30A43D3E76B}"/>
    <cellStyle name="Comma 2 3 2 2 3 2 2" xfId="14814" xr:uid="{2A675DF2-272A-4353-B648-4A3CF80DEC71}"/>
    <cellStyle name="Comma 2 3 2 2 3 2 2 2" xfId="22361" xr:uid="{20CEB529-2649-435B-A4EF-DD6AECFD3239}"/>
    <cellStyle name="Comma 2 3 2 2 3 2 2 3" xfId="46438" xr:uid="{BFE1D256-73E4-45D5-A584-ECEECB0F136A}"/>
    <cellStyle name="Comma 2 3 2 2 3 2 2 4" xfId="51699" xr:uid="{390082D3-7715-43FE-93D7-ECF3A3337378}"/>
    <cellStyle name="Comma 2 3 2 2 3 2 2 5" xfId="54715" xr:uid="{D5FF8E22-C760-4E08-9133-B5D95F303982}"/>
    <cellStyle name="Comma 2 3 2 2 3 2 3" xfId="15299" xr:uid="{5A217326-A828-4B81-9A33-FFCE2C630BF8}"/>
    <cellStyle name="Comma 2 3 2 2 3 2 3 2" xfId="22838" xr:uid="{F7CDC67D-E0EE-47DB-860D-9B7FF240AA21}"/>
    <cellStyle name="Comma 2 3 2 2 3 2 3 3" xfId="48361" xr:uid="{1546A004-ABD4-45FC-929F-AACB589E6F54}"/>
    <cellStyle name="Comma 2 3 2 2 3 2 3 4" xfId="52176" xr:uid="{3A0BD322-2481-422A-9FC0-D348F3DFE3CC}"/>
    <cellStyle name="Comma 2 3 2 2 3 2 3 5" xfId="55192" xr:uid="{3918C03F-9C72-405B-8F79-B0919E44F183}"/>
    <cellStyle name="Comma 2 3 2 2 3 2 4" xfId="15786" xr:uid="{C282B9D9-08B8-4CE7-9B2B-DED8077219E3}"/>
    <cellStyle name="Comma 2 3 2 2 3 2 4 2" xfId="23315" xr:uid="{271A0838-EB70-4121-B908-F672B16CAB24}"/>
    <cellStyle name="Comma 2 3 2 2 3 2 4 3" xfId="46585" xr:uid="{EE467738-A621-4F4E-84D6-33384ACCCB2B}"/>
    <cellStyle name="Comma 2 3 2 2 3 2 4 4" xfId="52653" xr:uid="{4AFC2307-1998-4F7F-A2ED-2428D1ECFCB5}"/>
    <cellStyle name="Comma 2 3 2 2 3 2 4 5" xfId="55669" xr:uid="{606567A5-264B-43FB-904A-4B0903920A1A}"/>
    <cellStyle name="Comma 2 3 2 2 3 2 5" xfId="12848" xr:uid="{2F295206-6364-4E14-A377-1DEB098D3FD1}"/>
    <cellStyle name="Comma 2 3 2 2 3 2 5 2" xfId="48381" xr:uid="{58BA4E72-1E99-4341-97E2-171183DF65EF}"/>
    <cellStyle name="Comma 2 3 2 2 3 2 5 3" xfId="51222" xr:uid="{B8DFC350-DF6E-4CC9-B2E8-303F88F90DA4}"/>
    <cellStyle name="Comma 2 3 2 2 3 2 5 4" xfId="54238" xr:uid="{C971BFF0-E1B3-4FEE-945F-A53BE4C47E16}"/>
    <cellStyle name="Comma 2 3 2 2 3 2 6" xfId="47286" xr:uid="{83F910CB-83F6-48C2-97DD-697E4CBF2D7B}"/>
    <cellStyle name="Comma 2 3 2 2 3 2 7" xfId="50116" xr:uid="{BA5D57AA-9808-4D0B-95D3-AA6C58C33ADB}"/>
    <cellStyle name="Comma 2 3 2 2 3 2 8" xfId="53132" xr:uid="{8220DF12-D688-4E56-B7D8-C757A971CBC7}"/>
    <cellStyle name="Comma 2 3 2 2 3 3" xfId="14602" xr:uid="{6E328643-0F75-457B-8C44-D1C82EADCCAF}"/>
    <cellStyle name="Comma 2 3 2 2 3 3 2" xfId="22149" xr:uid="{DB801428-361D-4F25-81E6-987FA9518E53}"/>
    <cellStyle name="Comma 2 3 2 2 3 3 3" xfId="47369" xr:uid="{E1C4A89A-241E-4880-8D8E-1266778C9B76}"/>
    <cellStyle name="Comma 2 3 2 2 3 3 4" xfId="51487" xr:uid="{A123A020-9151-4609-A72F-8E61503B9B8F}"/>
    <cellStyle name="Comma 2 3 2 2 3 3 5" xfId="54503" xr:uid="{3F0E0EFA-C411-45E8-88EA-8823FC0E082A}"/>
    <cellStyle name="Comma 2 3 2 2 3 4" xfId="15087" xr:uid="{265FF9A5-9247-4432-B2A1-71AD6DFFB1D2}"/>
    <cellStyle name="Comma 2 3 2 2 3 4 2" xfId="22626" xr:uid="{6D9EC13C-F98E-4FBB-B5B6-3728FCA2E244}"/>
    <cellStyle name="Comma 2 3 2 2 3 4 3" xfId="46476" xr:uid="{7BCEF593-CC64-44E3-814C-E62B2360A3D7}"/>
    <cellStyle name="Comma 2 3 2 2 3 4 4" xfId="51964" xr:uid="{D2DAE5C4-D16E-44D6-9D4D-7EF05AB86596}"/>
    <cellStyle name="Comma 2 3 2 2 3 4 5" xfId="54980" xr:uid="{8865B410-B00D-427C-86EC-933BAD200EA1}"/>
    <cellStyle name="Comma 2 3 2 2 3 5" xfId="15574" xr:uid="{CD39F5F9-DEEB-4684-AFCF-B2007AA6A5D6}"/>
    <cellStyle name="Comma 2 3 2 2 3 5 2" xfId="23103" xr:uid="{A560A81A-D7F6-45F7-9DD6-D687A9C73F69}"/>
    <cellStyle name="Comma 2 3 2 2 3 5 3" xfId="47349" xr:uid="{3531F0CD-8653-4C7A-A406-04D39B891560}"/>
    <cellStyle name="Comma 2 3 2 2 3 5 4" xfId="52441" xr:uid="{8BCBC552-7CEA-4E37-9BBF-78B6BC270B28}"/>
    <cellStyle name="Comma 2 3 2 2 3 5 5" xfId="55457" xr:uid="{F94730FF-54D1-484D-9426-BF9A97EC07D2}"/>
    <cellStyle name="Comma 2 3 2 2 3 6" xfId="12539" xr:uid="{7841B187-1008-49F0-8EF6-F95C2D74C3C7}"/>
    <cellStyle name="Comma 2 3 2 2 3 6 2" xfId="47466" xr:uid="{D09BA315-ADE3-492F-AA3C-81E3B0D3077D}"/>
    <cellStyle name="Comma 2 3 2 2 3 6 3" xfId="51010" xr:uid="{4D6D22C4-0A50-45FA-A839-BEBEED0BE413}"/>
    <cellStyle name="Comma 2 3 2 2 3 6 4" xfId="54026" xr:uid="{AFD2F015-D821-4289-84EC-D0364409AF1D}"/>
    <cellStyle name="Comma 2 3 2 2 3 7" xfId="48447" xr:uid="{20A08395-B566-4820-B3A9-530AC55A79D9}"/>
    <cellStyle name="Comma 2 3 2 2 3 8" xfId="49904" xr:uid="{90833ED4-C1FA-48A1-B875-EDEC667FECB2}"/>
    <cellStyle name="Comma 2 3 2 2 3 9" xfId="52920" xr:uid="{9A7A3AE1-6DE1-4B1C-A158-492445BEBF04}"/>
    <cellStyle name="Comma 2 3 2 2 4" xfId="10161" xr:uid="{CD7B2A4A-DA9B-4125-867B-913B7F6EED8A}"/>
    <cellStyle name="Comma 2 3 2 2 4 2" xfId="10475" xr:uid="{C43F6456-EB69-49E4-A03B-6452CC64D653}"/>
    <cellStyle name="Comma 2 3 2 2 4 2 2" xfId="14867" xr:uid="{8028EFE2-7A34-4F9D-8119-7031C2A0375A}"/>
    <cellStyle name="Comma 2 3 2 2 4 2 2 2" xfId="22414" xr:uid="{47BD27C2-D7DB-4D10-95AA-870B2C69F989}"/>
    <cellStyle name="Comma 2 3 2 2 4 2 2 3" xfId="47539" xr:uid="{D0465578-0653-4630-8E6F-E3DEE8FFF998}"/>
    <cellStyle name="Comma 2 3 2 2 4 2 2 4" xfId="51752" xr:uid="{26C64B37-3FD2-4D6E-A66F-18C575805B02}"/>
    <cellStyle name="Comma 2 3 2 2 4 2 2 5" xfId="54768" xr:uid="{7E1F53E8-E5D0-410B-AEDA-4D3A831D0BA0}"/>
    <cellStyle name="Comma 2 3 2 2 4 2 3" xfId="15352" xr:uid="{4AB35C76-06D6-46CD-9DF5-757CD3406761}"/>
    <cellStyle name="Comma 2 3 2 2 4 2 3 2" xfId="22891" xr:uid="{0AA5EC37-2A79-42F4-9164-D2A65C930FAD}"/>
    <cellStyle name="Comma 2 3 2 2 4 2 3 3" xfId="46910" xr:uid="{D48D3B32-A146-43F1-B582-2B68199EA9ED}"/>
    <cellStyle name="Comma 2 3 2 2 4 2 3 4" xfId="52229" xr:uid="{40BFB071-03F8-46FE-B9B0-6DD7F6181BAA}"/>
    <cellStyle name="Comma 2 3 2 2 4 2 3 5" xfId="55245" xr:uid="{CC78B78A-17B7-44A2-B1E1-64F8678C35EF}"/>
    <cellStyle name="Comma 2 3 2 2 4 2 4" xfId="15839" xr:uid="{EDE270A4-A51D-42BE-856A-8B85BE4A8247}"/>
    <cellStyle name="Comma 2 3 2 2 4 2 4 2" xfId="23368" xr:uid="{77596663-9342-4E59-B24A-725A28D2FEA3}"/>
    <cellStyle name="Comma 2 3 2 2 4 2 4 3" xfId="47258" xr:uid="{2336151A-CEDF-4251-9D1B-5E263642987E}"/>
    <cellStyle name="Comma 2 3 2 2 4 2 4 4" xfId="52706" xr:uid="{A0CC4543-9D51-4C08-9C74-02AABC45521B}"/>
    <cellStyle name="Comma 2 3 2 2 4 2 4 5" xfId="55722" xr:uid="{3028A140-A066-4FE6-A6C3-C43D43104AA9}"/>
    <cellStyle name="Comma 2 3 2 2 4 2 5" xfId="12928" xr:uid="{D8AF83F3-0B85-4A23-B8C5-CCF71B80D313}"/>
    <cellStyle name="Comma 2 3 2 2 4 2 5 2" xfId="46372" xr:uid="{7E6D03F6-F876-4340-9C71-E8AEFC933ED6}"/>
    <cellStyle name="Comma 2 3 2 2 4 2 5 3" xfId="51275" xr:uid="{4242B3A3-6D92-4D01-9E4F-9BE2D1190602}"/>
    <cellStyle name="Comma 2 3 2 2 4 2 5 4" xfId="54291" xr:uid="{B2BFEB1F-D5E2-41E9-A69B-8A0FD45467A8}"/>
    <cellStyle name="Comma 2 3 2 2 4 2 6" xfId="47883" xr:uid="{DCB62397-EBC3-4ABD-B9F3-68E5E48301F2}"/>
    <cellStyle name="Comma 2 3 2 2 4 2 7" xfId="50169" xr:uid="{27CD276F-01A6-4D66-85D0-F9C015AA6819}"/>
    <cellStyle name="Comma 2 3 2 2 4 2 8" xfId="53185" xr:uid="{D84A5376-1E6E-4A38-961F-443760F4D526}"/>
    <cellStyle name="Comma 2 3 2 2 4 3" xfId="14655" xr:uid="{84B5DA62-2330-4129-B157-BCD9F42FE066}"/>
    <cellStyle name="Comma 2 3 2 2 4 3 2" xfId="22202" xr:uid="{7E2FA8F2-B524-4F40-94C9-790CC44AFBCF}"/>
    <cellStyle name="Comma 2 3 2 2 4 3 3" xfId="47534" xr:uid="{60963161-D76E-4E5F-8353-1A50DF0B6CCE}"/>
    <cellStyle name="Comma 2 3 2 2 4 3 4" xfId="51540" xr:uid="{8905B78B-D9E7-4B98-BC05-477AF6668335}"/>
    <cellStyle name="Comma 2 3 2 2 4 3 5" xfId="54556" xr:uid="{31A29E14-9CA9-459C-B190-54F8C3895FE3}"/>
    <cellStyle name="Comma 2 3 2 2 4 4" xfId="15140" xr:uid="{7390BF0A-8CEF-41CD-A560-3484A1E39F47}"/>
    <cellStyle name="Comma 2 3 2 2 4 4 2" xfId="22679" xr:uid="{D732CB98-759C-44F3-9588-5770935473F1}"/>
    <cellStyle name="Comma 2 3 2 2 4 4 3" xfId="47719" xr:uid="{BD7F2B0D-7F6C-4AED-82FA-063D81F7F370}"/>
    <cellStyle name="Comma 2 3 2 2 4 4 4" xfId="52017" xr:uid="{253623B3-414E-4E92-8357-47733ABCBA39}"/>
    <cellStyle name="Comma 2 3 2 2 4 4 5" xfId="55033" xr:uid="{2D7DE462-B76F-4700-B724-5E2DCC84A84E}"/>
    <cellStyle name="Comma 2 3 2 2 4 5" xfId="15627" xr:uid="{084D94C7-78FE-449E-BC38-69035DF038BD}"/>
    <cellStyle name="Comma 2 3 2 2 4 5 2" xfId="23156" xr:uid="{CB6D6614-75A5-4CA2-841B-D71869EA329A}"/>
    <cellStyle name="Comma 2 3 2 2 4 5 3" xfId="47790" xr:uid="{16853FAF-435B-4E44-9B43-ECD23C634817}"/>
    <cellStyle name="Comma 2 3 2 2 4 5 4" xfId="52494" xr:uid="{CF5FD152-4295-4632-8C26-C859232CA963}"/>
    <cellStyle name="Comma 2 3 2 2 4 5 5" xfId="55510" xr:uid="{9D83C704-9C89-4CF5-A209-887D32445983}"/>
    <cellStyle name="Comma 2 3 2 2 4 6" xfId="12615" xr:uid="{078008B6-8F77-44B4-9F2D-829681009395}"/>
    <cellStyle name="Comma 2 3 2 2 4 6 2" xfId="46330" xr:uid="{540052B8-F1CE-40BA-9C9F-3AD05ECDB9FC}"/>
    <cellStyle name="Comma 2 3 2 2 4 6 3" xfId="51063" xr:uid="{6916FDC5-61B9-48F0-BCA6-0395C0D7BC30}"/>
    <cellStyle name="Comma 2 3 2 2 4 6 4" xfId="54079" xr:uid="{3CFC1612-3072-4F38-AEB2-8F83414A9E3D}"/>
    <cellStyle name="Comma 2 3 2 2 4 7" xfId="46057" xr:uid="{239796BB-D49C-4FD8-8A68-F245AE85B671}"/>
    <cellStyle name="Comma 2 3 2 2 4 8" xfId="49957" xr:uid="{B7E0E0CB-0419-4BAA-975C-93D4DCF2BF63}"/>
    <cellStyle name="Comma 2 3 2 2 4 9" xfId="52973" xr:uid="{99390D04-2F91-4A11-A5E9-F49A03CF57A4}"/>
    <cellStyle name="Comma 2 3 2 2 5" xfId="10241" xr:uid="{34E282BF-3774-469D-84C7-87219F1BD2B9}"/>
    <cellStyle name="Comma 2 3 2 2 5 2" xfId="14708" xr:uid="{2BEDB347-7438-4EDF-8D3D-6E6CB65C8BA7}"/>
    <cellStyle name="Comma 2 3 2 2 5 2 2" xfId="22255" xr:uid="{AC0B6C29-4A56-460C-8D98-480E18208F35}"/>
    <cellStyle name="Comma 2 3 2 2 5 2 3" xfId="24192" xr:uid="{D276435E-DF55-4B69-8BC3-1619E7ECA2A2}"/>
    <cellStyle name="Comma 2 3 2 2 5 2 4" xfId="51593" xr:uid="{C852BADA-D751-48B8-B78B-06F7DEE6915C}"/>
    <cellStyle name="Comma 2 3 2 2 5 2 5" xfId="54609" xr:uid="{E9BC575D-BBF0-4B90-A4C9-48C9DBF5C6CD}"/>
    <cellStyle name="Comma 2 3 2 2 5 3" xfId="15193" xr:uid="{B4B3970B-EC7C-42A2-8868-CC199D43DC6E}"/>
    <cellStyle name="Comma 2 3 2 2 5 3 2" xfId="22732" xr:uid="{3F711FB6-7673-4AE9-BB95-07BC9BBB9FD5}"/>
    <cellStyle name="Comma 2 3 2 2 5 3 3" xfId="48263" xr:uid="{062E630C-BF6E-4634-8EA1-7016F28E0F41}"/>
    <cellStyle name="Comma 2 3 2 2 5 3 4" xfId="52070" xr:uid="{FCC2F2E8-C349-4E54-8CA3-7ED512C75AC6}"/>
    <cellStyle name="Comma 2 3 2 2 5 3 5" xfId="55086" xr:uid="{9D566D94-1254-436A-B492-595DB258EC35}"/>
    <cellStyle name="Comma 2 3 2 2 5 4" xfId="15680" xr:uid="{015CE1E4-D585-4665-9F7C-B31FB673BBD6}"/>
    <cellStyle name="Comma 2 3 2 2 5 4 2" xfId="23209" xr:uid="{6A3B391A-D91C-4434-88B7-9DAD83502D38}"/>
    <cellStyle name="Comma 2 3 2 2 5 4 3" xfId="48520" xr:uid="{D395E98C-495B-4227-A67D-4F7A454B608C}"/>
    <cellStyle name="Comma 2 3 2 2 5 4 4" xfId="52547" xr:uid="{6ADE9D52-2F98-4C60-9572-11FEC9171C46}"/>
    <cellStyle name="Comma 2 3 2 2 5 4 5" xfId="55563" xr:uid="{5196A128-BCFA-44FB-8E24-873608B8A225}"/>
    <cellStyle name="Comma 2 3 2 2 5 5" xfId="12694" xr:uid="{C4B648AF-0EC9-4271-8130-64FD4436E4B1}"/>
    <cellStyle name="Comma 2 3 2 2 5 5 2" xfId="46783" xr:uid="{44F9A946-C1FB-4312-A077-217FD43A2BB8}"/>
    <cellStyle name="Comma 2 3 2 2 5 5 3" xfId="51116" xr:uid="{F404C3CF-DDBD-4F38-B5C3-B0F62F03F319}"/>
    <cellStyle name="Comma 2 3 2 2 5 5 4" xfId="54132" xr:uid="{B5B0ADFB-31D5-4438-A49F-36868EE5FC36}"/>
    <cellStyle name="Comma 2 3 2 2 5 6" xfId="47065" xr:uid="{9E5294AC-F0A4-454F-A77B-4952533084D0}"/>
    <cellStyle name="Comma 2 3 2 2 5 7" xfId="50010" xr:uid="{610C28C0-557C-4715-9DF7-B27967A7FA22}"/>
    <cellStyle name="Comma 2 3 2 2 5 8" xfId="53026" xr:uid="{CD60FDC1-7F53-489F-84C7-9BF4AFFC58BB}"/>
    <cellStyle name="Comma 2 3 2 2 6" xfId="10555" xr:uid="{1D619F59-1B4F-47A1-BEA4-3872C4DEBC44}"/>
    <cellStyle name="Comma 2 3 2 2 6 2" xfId="14920" xr:uid="{85BD085D-6E9B-4ED9-8846-BF11991FBA63}"/>
    <cellStyle name="Comma 2 3 2 2 6 2 2" xfId="22467" xr:uid="{9E44E96A-8E9B-4480-BADE-E9631360E98A}"/>
    <cellStyle name="Comma 2 3 2 2 6 2 3" xfId="47632" xr:uid="{0C7B8459-665A-4333-8A88-4C627D6D1CFB}"/>
    <cellStyle name="Comma 2 3 2 2 6 2 4" xfId="51805" xr:uid="{52F2556B-6432-4CC0-BFE3-23B1ABA26269}"/>
    <cellStyle name="Comma 2 3 2 2 6 2 5" xfId="54821" xr:uid="{493FAC5A-1DA8-45B1-87FB-66942A84333E}"/>
    <cellStyle name="Comma 2 3 2 2 6 3" xfId="15405" xr:uid="{225469CC-E072-4BA5-ACF7-2B628BE36EB6}"/>
    <cellStyle name="Comma 2 3 2 2 6 3 2" xfId="22944" xr:uid="{E269A07B-88F6-4804-BA2A-361EBCD57976}"/>
    <cellStyle name="Comma 2 3 2 2 6 3 3" xfId="47494" xr:uid="{ACDAF7C6-01B7-4DA6-80F2-DCCF397B7783}"/>
    <cellStyle name="Comma 2 3 2 2 6 3 4" xfId="52282" xr:uid="{F9C8ACBC-3183-403B-B208-CC1AEF372E16}"/>
    <cellStyle name="Comma 2 3 2 2 6 3 5" xfId="55298" xr:uid="{EC8D68D1-981D-4A45-A6EE-1C17A6D8BD36}"/>
    <cellStyle name="Comma 2 3 2 2 6 4" xfId="15893" xr:uid="{429961F2-F1B8-41D6-AD1C-48F7D3A74AC0}"/>
    <cellStyle name="Comma 2 3 2 2 6 4 2" xfId="23421" xr:uid="{4B59EFB9-E40B-44D6-AC5D-806F7AA41040}"/>
    <cellStyle name="Comma 2 3 2 2 6 4 3" xfId="47259" xr:uid="{98A7F0B4-B057-4FC1-8337-229E5E1D8D3F}"/>
    <cellStyle name="Comma 2 3 2 2 6 4 4" xfId="52759" xr:uid="{FD80F61B-3A63-455D-B8A0-287DEA2F03E5}"/>
    <cellStyle name="Comma 2 3 2 2 6 4 5" xfId="55775" xr:uid="{8CAF1096-3716-41B2-8B11-429704DCEBE3}"/>
    <cellStyle name="Comma 2 3 2 2 6 5" xfId="13008" xr:uid="{31D32552-A39F-4498-89BB-6900B8C06071}"/>
    <cellStyle name="Comma 2 3 2 2 6 5 2" xfId="48534" xr:uid="{B7E23389-4DD9-4F8D-8741-61BBC150CB7C}"/>
    <cellStyle name="Comma 2 3 2 2 6 5 3" xfId="51328" xr:uid="{D1346554-F627-4C89-90E6-3B0204495B30}"/>
    <cellStyle name="Comma 2 3 2 2 6 5 4" xfId="54344" xr:uid="{01DB7310-3CE4-4E73-B09C-D0227C30B9AF}"/>
    <cellStyle name="Comma 2 3 2 2 6 6" xfId="46148" xr:uid="{F5B72D3A-9F0E-4C9A-9C6E-9FE493612359}"/>
    <cellStyle name="Comma 2 3 2 2 6 7" xfId="50222" xr:uid="{20240709-0D8E-4300-8CC3-4A47B73E1309}"/>
    <cellStyle name="Comma 2 3 2 2 6 8" xfId="53238" xr:uid="{7EF2D2B8-EA29-48E4-8BB5-33EB38F5EDB4}"/>
    <cellStyle name="Comma 2 3 2 2 7" xfId="11122" xr:uid="{B3E6B635-2643-4006-BCA1-FA194549362A}"/>
    <cellStyle name="Comma 2 3 2 2 7 2" xfId="21674" xr:uid="{5DAF8C21-AE9C-40D9-BE0E-1C4FBE8FA729}"/>
    <cellStyle name="Comma 2 3 2 2 7 3" xfId="46725" xr:uid="{6E61455D-7EB3-4D03-BF85-01935D956726}"/>
    <cellStyle name="Comma 2 3 2 2 7 4" xfId="50689" xr:uid="{7BE36A4C-A66D-4B1C-8603-2719C810AFD0}"/>
    <cellStyle name="Comma 2 3 2 2 7 5" xfId="53705" xr:uid="{687189D2-D207-4371-933A-DCB4F30E4DAD}"/>
    <cellStyle name="Comma 2 3 2 2 8" xfId="12311" xr:uid="{2A4B8CD0-D57B-4B6B-ABEA-3E8569B6F2AC}"/>
    <cellStyle name="Comma 2 3 2 2 9" xfId="14496" xr:uid="{C050B31A-2CFD-4263-A641-5122C49BB61B}"/>
    <cellStyle name="Comma 2 3 2 2 9 2" xfId="22043" xr:uid="{3357FF0C-2D75-40CA-8B19-609C27D27989}"/>
    <cellStyle name="Comma 2 3 2 2 9 3" xfId="23983" xr:uid="{10BB6176-E51B-4715-9FA3-DF9ECEF7DFA3}"/>
    <cellStyle name="Comma 2 3 2 2 9 4" xfId="51381" xr:uid="{42EE97CD-A9E8-47CD-912D-2AB8328E3997}"/>
    <cellStyle name="Comma 2 3 2 2 9 5" xfId="54397" xr:uid="{563BD351-B5B2-4A93-8513-428463E258DA}"/>
    <cellStyle name="Comma 2 3 2 3" xfId="4529" xr:uid="{493F0920-1550-45DA-85B3-CDB7AA338E6B}"/>
    <cellStyle name="Comma 2 3 2 3 2" xfId="21716" xr:uid="{B49E0C13-3719-4B41-A4B8-DB03CDDBD846}"/>
    <cellStyle name="Comma 2 3 2 3 3" xfId="23713" xr:uid="{A0170B78-8522-4D32-A727-90D6ACC9EA5C}"/>
    <cellStyle name="Comma 2 3 2 3 4" xfId="50742" xr:uid="{1E7B3250-A20A-4991-B3E1-A7C465C95007}"/>
    <cellStyle name="Comma 2 3 2 3 5" xfId="53758" xr:uid="{082C403F-C876-48A9-9E27-D877800CBE68}"/>
    <cellStyle name="Comma 2 3 2 3 6" xfId="11694" xr:uid="{098E537A-E47F-4A06-AA8E-6FCA327D5068}"/>
    <cellStyle name="Comma 2 3 2 4" xfId="5811" xr:uid="{CC19D272-5B8D-4595-8509-7E3E23D36B66}"/>
    <cellStyle name="Comma 2 3 2 4 2" xfId="21682" xr:uid="{BD26BCE2-2701-467C-B149-EA8D1E770D3E}"/>
    <cellStyle name="Comma 2 3 2 4 3" xfId="46726" xr:uid="{7A9A975A-0A12-4B1E-ABFE-181D9F114B0C}"/>
    <cellStyle name="Comma 2 3 2 4 4" xfId="50698" xr:uid="{0817EAA9-AB46-4E5B-821F-4C289F7C7DBA}"/>
    <cellStyle name="Comma 2 3 2 4 5" xfId="53714" xr:uid="{58EEE596-3727-40CB-944B-96CA993CD4A2}"/>
    <cellStyle name="Comma 2 3 2 4 6" xfId="11185" xr:uid="{33D517A5-B922-4A2A-A40D-B136B944428A}"/>
    <cellStyle name="Comma 2 3 2 5" xfId="2610" xr:uid="{10789FBE-91FF-46F3-A589-E2E54D327238}"/>
    <cellStyle name="Comma 2 3 2 5 2" xfId="12269" xr:uid="{BA7B05E1-60A8-4A02-9280-3228D4EDFABD}"/>
    <cellStyle name="Comma 2 3 2 6" xfId="10615" xr:uid="{EF893778-A32A-4A00-A411-F9B4B6D6020D}"/>
    <cellStyle name="Comma 2 3 2 6 2" xfId="21249" xr:uid="{415F0277-F3EE-43B9-BAA0-7C113CB7960C}"/>
    <cellStyle name="Comma 2 3 2 6 3" xfId="48463" xr:uid="{8D242996-DBF5-4792-A6A4-1DB98DDC38E2}"/>
    <cellStyle name="Comma 2 3 2 6 4" xfId="50267" xr:uid="{2751CE10-A565-44C9-B00E-9647CAE07792}"/>
    <cellStyle name="Comma 2 3 2 6 5" xfId="53283" xr:uid="{3FD5148E-2F18-49C3-80BC-7B80BB7DEB3C}"/>
    <cellStyle name="Comma 2 3 2 7" xfId="19472" xr:uid="{DEBB2457-2723-40D6-995B-301AD4F56059}"/>
    <cellStyle name="Comma 2 3 2 8" xfId="23710" xr:uid="{FF5CA31E-C717-497F-985D-A0A703D97CDF}"/>
    <cellStyle name="Comma 2 3 2 9" xfId="48602" xr:uid="{3BA1CA65-EB90-45DF-B2FF-D4BBC07791FF}"/>
    <cellStyle name="Comma 2 3 3" xfId="2612" xr:uid="{35500606-BD11-43FF-A04E-4CFAB9AB4FEE}"/>
    <cellStyle name="Comma 2 3 3 10" xfId="49514" xr:uid="{9A724045-E256-4A53-A978-E20D74DB40C2}"/>
    <cellStyle name="Comma 2 3 3 11" xfId="7231" xr:uid="{B6EEB2F8-17AC-4EAC-ABFA-72379096343A}"/>
    <cellStyle name="Comma 2 3 3 2" xfId="4531" xr:uid="{ADB9BCDB-CCC2-47E0-B081-D408D2462514}"/>
    <cellStyle name="Comma 2 3 3 2 10" xfId="14981" xr:uid="{562B44BF-B022-445B-8BE5-7A7DA1469D7E}"/>
    <cellStyle name="Comma 2 3 3 2 10 2" xfId="22521" xr:uid="{C152A64C-17E9-42A6-BBFB-B43A3EA7395B}"/>
    <cellStyle name="Comma 2 3 3 2 10 3" xfId="47186" xr:uid="{D083A669-C520-4D35-B8BD-AE555FEC43D7}"/>
    <cellStyle name="Comma 2 3 3 2 10 4" xfId="51859" xr:uid="{578341D6-A9DE-4C92-8EAD-45B0D287BACD}"/>
    <cellStyle name="Comma 2 3 3 2 10 5" xfId="54875" xr:uid="{6BF11EBB-86F6-4FA6-B345-4F1FC26BF27F}"/>
    <cellStyle name="Comma 2 3 3 2 11" xfId="15468" xr:uid="{9B62C31B-3741-4528-B32E-ED3AD2FDDB59}"/>
    <cellStyle name="Comma 2 3 3 2 11 2" xfId="22998" xr:uid="{4ADE233E-BDCA-446C-86B2-B7B42C8B9328}"/>
    <cellStyle name="Comma 2 3 3 2 11 3" xfId="47641" xr:uid="{EEDBA100-76BC-4CCE-A149-6989EDB32C8F}"/>
    <cellStyle name="Comma 2 3 3 2 11 4" xfId="52336" xr:uid="{005DC9B1-7011-490A-A2E1-F94F8700F777}"/>
    <cellStyle name="Comma 2 3 3 2 11 5" xfId="55352" xr:uid="{59CB1526-335C-43FE-B3D9-7BFE0C877C36}"/>
    <cellStyle name="Comma 2 3 3 2 12" xfId="11582" xr:uid="{7E74BE7B-9B17-4967-AB52-DF93C0779EF4}"/>
    <cellStyle name="Comma 2 3 3 2 12 2" xfId="21706" xr:uid="{9B46831B-8FB9-4684-A782-4FA3C93C718D}"/>
    <cellStyle name="Comma 2 3 3 2 12 3" xfId="46730" xr:uid="{3BC7E94F-9216-41F8-8518-0B46A1AF1890}"/>
    <cellStyle name="Comma 2 3 3 2 12 4" xfId="50729" xr:uid="{5DCF5BB9-4031-4BC4-BA2A-A1053069F8DD}"/>
    <cellStyle name="Comma 2 3 3 2 12 5" xfId="53745" xr:uid="{E7215E71-6CCD-474C-BD84-B858CB095097}"/>
    <cellStyle name="Comma 2 3 3 2 13" xfId="23715" xr:uid="{7CCB8D40-203B-4208-9320-B525AE293FB6}"/>
    <cellStyle name="Comma 2 3 3 2 14" xfId="48605" xr:uid="{44FF0D3C-81B0-4A0A-9D3E-EDB78A8EB395}"/>
    <cellStyle name="Comma 2 3 3 2 15" xfId="49515" xr:uid="{CF554274-D85E-4CD3-8285-C1E6265C7EAE}"/>
    <cellStyle name="Comma 2 3 3 2 16" xfId="49799" xr:uid="{21D1C680-E72A-4A8E-AC32-E643184D36A6}"/>
    <cellStyle name="Comma 2 3 3 2 17" xfId="52814" xr:uid="{593A9DFC-63F8-4B25-8EDC-259204A11F54}"/>
    <cellStyle name="Comma 2 3 3 2 18" xfId="8922" xr:uid="{839081CE-7388-4740-A0F1-62F461438EEF}"/>
    <cellStyle name="Comma 2 3 3 2 2" xfId="8923" xr:uid="{9AEA7300-493B-48F4-98D8-C62EE68DBE80}"/>
    <cellStyle name="Comma 2 3 3 2 2 10" xfId="12163" xr:uid="{3DB2886A-2FD7-4B82-95BE-63CCE69C41D3}"/>
    <cellStyle name="Comma 2 3 3 2 2 10 2" xfId="47913" xr:uid="{0238C066-A38B-4B77-960B-11B99A23B220}"/>
    <cellStyle name="Comma 2 3 3 2 2 10 3" xfId="50932" xr:uid="{2C8A6751-9B7D-4DC6-B249-3268E74D2AB9}"/>
    <cellStyle name="Comma 2 3 3 2 2 10 4" xfId="53948" xr:uid="{B7D9D4FB-58D4-4864-BAEB-62E6F7C878FF}"/>
    <cellStyle name="Comma 2 3 3 2 2 11" xfId="23716" xr:uid="{14166768-0383-4AE8-8CEC-20DAE490F871}"/>
    <cellStyle name="Comma 2 3 3 2 2 12" xfId="48606" xr:uid="{13D3CBD7-EC16-4393-9082-29846C4A450F}"/>
    <cellStyle name="Comma 2 3 3 2 2 13" xfId="49516" xr:uid="{9F87A458-DE35-4FAE-B3F6-7F48DF475C42}"/>
    <cellStyle name="Comma 2 3 3 2 2 14" xfId="49800" xr:uid="{C30DD9B7-FD1D-4A60-9DC5-2F5E6B6C8636}"/>
    <cellStyle name="Comma 2 3 3 2 2 15" xfId="52815" xr:uid="{5914E20D-9A23-4EBC-8A2E-93D99C1251A4}"/>
    <cellStyle name="Comma 2 3 3 2 2 2" xfId="10010" xr:uid="{81D7DE8A-A586-4370-B685-D0A0E83E2D3D}"/>
    <cellStyle name="Comma 2 3 3 2 2 2 2" xfId="10318" xr:uid="{C9901270-A9E1-4D0A-BE4A-13E6ECF979B7}"/>
    <cellStyle name="Comma 2 3 3 2 2 2 2 2" xfId="14763" xr:uid="{6380216F-EB34-486D-892B-640937363C35}"/>
    <cellStyle name="Comma 2 3 3 2 2 2 2 2 2" xfId="22310" xr:uid="{A71D6395-2217-4B37-98B1-98949EB923DC}"/>
    <cellStyle name="Comma 2 3 3 2 2 2 2 2 3" xfId="47482" xr:uid="{CC347AEF-7DBB-4D8B-8A8C-BED38257B085}"/>
    <cellStyle name="Comma 2 3 3 2 2 2 2 2 4" xfId="51648" xr:uid="{46690CEA-F3BB-4AC8-8778-64D1EBFDC241}"/>
    <cellStyle name="Comma 2 3 3 2 2 2 2 2 5" xfId="54664" xr:uid="{698849CB-44B5-442A-9C45-E9B6DB71620C}"/>
    <cellStyle name="Comma 2 3 3 2 2 2 2 3" xfId="15248" xr:uid="{0E3EAEEF-4431-4682-B9F4-E9DDD358A2F5}"/>
    <cellStyle name="Comma 2 3 3 2 2 2 2 3 2" xfId="22787" xr:uid="{F0757066-0C0C-41E9-BAC6-71F50CF3E863}"/>
    <cellStyle name="Comma 2 3 3 2 2 2 2 3 3" xfId="32503" xr:uid="{BCEAD07F-7392-49AC-8732-E52FAB8D14CB}"/>
    <cellStyle name="Comma 2 3 3 2 2 2 2 3 4" xfId="52125" xr:uid="{B337458A-506E-46FB-AB70-E1C358D3A166}"/>
    <cellStyle name="Comma 2 3 3 2 2 2 2 3 5" xfId="55141" xr:uid="{EEBF4E12-4B91-4121-97D3-0000D76A38B8}"/>
    <cellStyle name="Comma 2 3 3 2 2 2 2 4" xfId="15735" xr:uid="{6777FA06-7326-4AE3-996D-D21B6AFBD20C}"/>
    <cellStyle name="Comma 2 3 3 2 2 2 2 4 2" xfId="23264" xr:uid="{3CD9D1E3-5474-4A3A-BDBC-E09C6448732E}"/>
    <cellStyle name="Comma 2 3 3 2 2 2 2 4 3" xfId="48147" xr:uid="{4C080507-189E-48B0-A598-D3529FD4F2E4}"/>
    <cellStyle name="Comma 2 3 3 2 2 2 2 4 4" xfId="52602" xr:uid="{EEB82CFB-3ED0-458C-AB6F-8015CE2A3AC4}"/>
    <cellStyle name="Comma 2 3 3 2 2 2 2 4 5" xfId="55618" xr:uid="{BDC065A7-74CE-4F4B-A173-032167B585ED}"/>
    <cellStyle name="Comma 2 3 3 2 2 2 2 5" xfId="12771" xr:uid="{4BE36D60-AA4A-4D04-923E-80D2C81FA136}"/>
    <cellStyle name="Comma 2 3 3 2 2 2 2 5 2" xfId="32290" xr:uid="{491DA435-EF2C-4B63-8463-15436F516362}"/>
    <cellStyle name="Comma 2 3 3 2 2 2 2 5 3" xfId="51171" xr:uid="{80E6891A-9D17-41DF-B54A-C3B9FB044326}"/>
    <cellStyle name="Comma 2 3 3 2 2 2 2 5 4" xfId="54187" xr:uid="{75E33824-8EF5-4871-8AB8-50DCFF7A8A50}"/>
    <cellStyle name="Comma 2 3 3 2 2 2 2 6" xfId="24767" xr:uid="{96C08D6B-920B-4FC2-976E-FF4009562835}"/>
    <cellStyle name="Comma 2 3 3 2 2 2 2 7" xfId="50065" xr:uid="{3143380A-9FCA-4B49-9559-6EBB773F820F}"/>
    <cellStyle name="Comma 2 3 3 2 2 2 2 8" xfId="53081" xr:uid="{EE4E6D69-C339-4CB3-BE37-E8EE301DE50C}"/>
    <cellStyle name="Comma 2 3 3 2 2 2 3" xfId="14551" xr:uid="{634818F9-6026-4274-9BFF-E461EE018545}"/>
    <cellStyle name="Comma 2 3 3 2 2 2 3 2" xfId="22098" xr:uid="{33F36FE2-1FF3-43BE-B62B-CA50029C6400}"/>
    <cellStyle name="Comma 2 3 3 2 2 2 3 3" xfId="32286" xr:uid="{A1BD8C33-FA27-4704-93BD-BC1C134BF0D5}"/>
    <cellStyle name="Comma 2 3 3 2 2 2 3 4" xfId="51436" xr:uid="{AFE0FA84-D37D-4450-961E-40062980A3FC}"/>
    <cellStyle name="Comma 2 3 3 2 2 2 3 5" xfId="54452" xr:uid="{20765DF2-6BBE-488A-98F2-016954FB5105}"/>
    <cellStyle name="Comma 2 3 3 2 2 2 4" xfId="15035" xr:uid="{F92A3C6D-A559-41EA-90AF-4D4E318F6382}"/>
    <cellStyle name="Comma 2 3 3 2 2 2 4 2" xfId="22575" xr:uid="{EAE6AFE0-8C56-4349-A81E-EE6E722E73FE}"/>
    <cellStyle name="Comma 2 3 3 2 2 2 4 3" xfId="47055" xr:uid="{F4B6E4B4-A93C-463A-9616-788BC1B90FE4}"/>
    <cellStyle name="Comma 2 3 3 2 2 2 4 4" xfId="51913" xr:uid="{D61DA29A-49A4-48CB-A324-486424AB35FE}"/>
    <cellStyle name="Comma 2 3 3 2 2 2 4 5" xfId="54929" xr:uid="{FFB8FF1D-AE3A-49BA-BEB3-06D0DB962AB4}"/>
    <cellStyle name="Comma 2 3 3 2 2 2 5" xfId="15522" xr:uid="{7F91B782-E650-409D-8F07-1E91D279A253}"/>
    <cellStyle name="Comma 2 3 3 2 2 2 5 2" xfId="23052" xr:uid="{58271FC9-8401-411D-AA5C-D8AD294EA41F}"/>
    <cellStyle name="Comma 2 3 3 2 2 2 5 3" xfId="32500" xr:uid="{22606DFB-173B-4721-986E-4782441FEA91}"/>
    <cellStyle name="Comma 2 3 3 2 2 2 5 4" xfId="52390" xr:uid="{236997D6-D482-45F5-A3F4-007138511349}"/>
    <cellStyle name="Comma 2 3 3 2 2 2 5 5" xfId="55406" xr:uid="{F4DF83BA-4308-4105-8BB9-586C385EA8D6}"/>
    <cellStyle name="Comma 2 3 3 2 2 2 6" xfId="12470" xr:uid="{EAC8620C-B7D3-438C-AB3E-4A507A4089F9}"/>
    <cellStyle name="Comma 2 3 3 2 2 2 6 2" xfId="47148" xr:uid="{084ABE5D-FC3D-4C4B-9A06-346752CF7969}"/>
    <cellStyle name="Comma 2 3 3 2 2 2 6 3" xfId="50959" xr:uid="{28AFCB86-CDD0-4ACF-BE44-A032860DA834}"/>
    <cellStyle name="Comma 2 3 3 2 2 2 6 4" xfId="53975" xr:uid="{ED95C7B1-01EA-41B4-ABC6-77D2E1BE2ADC}"/>
    <cellStyle name="Comma 2 3 3 2 2 2 7" xfId="24283" xr:uid="{302BE3D2-5A72-491D-AA1F-8C65A89B0C40}"/>
    <cellStyle name="Comma 2 3 3 2 2 2 8" xfId="49853" xr:uid="{D5134812-2946-4B86-98F3-C4CAE961E59A}"/>
    <cellStyle name="Comma 2 3 3 2 2 2 9" xfId="52869" xr:uid="{05F9DBF3-FB26-4109-AE51-3420A3ECBDBB}"/>
    <cellStyle name="Comma 2 3 3 2 2 3" xfId="10084" xr:uid="{3DDF6CCC-95FC-4217-875B-86D8D59B625D}"/>
    <cellStyle name="Comma 2 3 3 2 2 3 2" xfId="10397" xr:uid="{F327FD35-5F63-40A8-BFF9-0B1F9342CB8F}"/>
    <cellStyle name="Comma 2 3 3 2 2 3 2 2" xfId="14816" xr:uid="{88D3B751-9245-4432-993E-B86D8E2E3764}"/>
    <cellStyle name="Comma 2 3 3 2 2 3 2 2 2" xfId="22363" xr:uid="{D009B561-F0F6-4F97-AE37-8ED7841D5089}"/>
    <cellStyle name="Comma 2 3 3 2 2 3 2 2 3" xfId="47833" xr:uid="{4E61C217-312D-4172-9D6F-BEEEA9799E27}"/>
    <cellStyle name="Comma 2 3 3 2 2 3 2 2 4" xfId="51701" xr:uid="{6E3A6567-E406-4C06-BC36-69437C75180D}"/>
    <cellStyle name="Comma 2 3 3 2 2 3 2 2 5" xfId="54717" xr:uid="{A0D76394-B054-4B51-A66E-8CA3518B168B}"/>
    <cellStyle name="Comma 2 3 3 2 2 3 2 3" xfId="15301" xr:uid="{FEDCBEA9-F5B0-4E48-9139-CA82F373B178}"/>
    <cellStyle name="Comma 2 3 3 2 2 3 2 3 2" xfId="22840" xr:uid="{03132B17-FBDC-4402-AAB6-BD0F60246768}"/>
    <cellStyle name="Comma 2 3 3 2 2 3 2 3 3" xfId="46513" xr:uid="{612B8823-77C1-4149-8941-41423BA1D4DE}"/>
    <cellStyle name="Comma 2 3 3 2 2 3 2 3 4" xfId="52178" xr:uid="{CC4A7E16-688A-4504-AD8A-3779A4BB4C16}"/>
    <cellStyle name="Comma 2 3 3 2 2 3 2 3 5" xfId="55194" xr:uid="{0C156BC6-44C8-4B83-B638-2C34A95E7B69}"/>
    <cellStyle name="Comma 2 3 3 2 2 3 2 4" xfId="15788" xr:uid="{E527D0FC-D9B4-4634-B114-F4A7874ADCDF}"/>
    <cellStyle name="Comma 2 3 3 2 2 3 2 4 2" xfId="23317" xr:uid="{17E391A2-A348-49C5-AEAA-144058E07378}"/>
    <cellStyle name="Comma 2 3 3 2 2 3 2 4 3" xfId="48134" xr:uid="{CE490C57-4F08-408D-8F5E-CB05E9BDC62B}"/>
    <cellStyle name="Comma 2 3 3 2 2 3 2 4 4" xfId="52655" xr:uid="{3FC421B0-5298-4FA2-A196-9A6A026618E1}"/>
    <cellStyle name="Comma 2 3 3 2 2 3 2 4 5" xfId="55671" xr:uid="{B0E0ADA2-D489-4697-AAA5-4FF2FBE5664A}"/>
    <cellStyle name="Comma 2 3 3 2 2 3 2 5" xfId="12850" xr:uid="{F02A9E2F-3C96-40D1-AB83-A3DC2D641ED4}"/>
    <cellStyle name="Comma 2 3 3 2 2 3 2 5 2" xfId="47449" xr:uid="{551A6DAC-3CE8-4220-9907-7609AAA74BD9}"/>
    <cellStyle name="Comma 2 3 3 2 2 3 2 5 3" xfId="51224" xr:uid="{F5DA4536-E7C5-4E12-B552-04B5BB8ED2AB}"/>
    <cellStyle name="Comma 2 3 3 2 2 3 2 5 4" xfId="54240" xr:uid="{28697651-E5D9-43A7-8E11-A25139D74C84}"/>
    <cellStyle name="Comma 2 3 3 2 2 3 2 6" xfId="47880" xr:uid="{C880A799-911F-4B63-BF31-D28D3914124F}"/>
    <cellStyle name="Comma 2 3 3 2 2 3 2 7" xfId="50118" xr:uid="{7A83D633-EB12-43EA-9DD0-D6569E8CBCBB}"/>
    <cellStyle name="Comma 2 3 3 2 2 3 2 8" xfId="53134" xr:uid="{13E1A844-308F-48A3-A7E4-0F788F51C76D}"/>
    <cellStyle name="Comma 2 3 3 2 2 3 3" xfId="14604" xr:uid="{D613A7A4-2151-47FE-B52B-0AC7155C0794}"/>
    <cellStyle name="Comma 2 3 3 2 2 3 3 2" xfId="22151" xr:uid="{5FD6806E-727F-4225-BA71-1E3F6E627C9C}"/>
    <cellStyle name="Comma 2 3 3 2 2 3 3 3" xfId="25304" xr:uid="{12C0E995-F3FD-4622-A9F6-09A0F229C4A0}"/>
    <cellStyle name="Comma 2 3 3 2 2 3 3 4" xfId="51489" xr:uid="{279E5EBF-2CE8-4875-821C-757823174AB2}"/>
    <cellStyle name="Comma 2 3 3 2 2 3 3 5" xfId="54505" xr:uid="{C3CF9289-CF76-49AD-9891-B6035A94CB03}"/>
    <cellStyle name="Comma 2 3 3 2 2 3 4" xfId="15089" xr:uid="{9CDF5FC9-4D21-476E-9268-4F6EEAAA7D34}"/>
    <cellStyle name="Comma 2 3 3 2 2 3 4 2" xfId="22628" xr:uid="{D2272AFA-EDF4-4082-871C-7C521E68F8BD}"/>
    <cellStyle name="Comma 2 3 3 2 2 3 4 3" xfId="47126" xr:uid="{66644AA2-FCE6-4699-AE11-620482B316FB}"/>
    <cellStyle name="Comma 2 3 3 2 2 3 4 4" xfId="51966" xr:uid="{F8F41B77-E29F-4B90-8CCE-F30E1274B869}"/>
    <cellStyle name="Comma 2 3 3 2 2 3 4 5" xfId="54982" xr:uid="{A2521340-861F-403E-B1BB-1674CE9D2C4F}"/>
    <cellStyle name="Comma 2 3 3 2 2 3 5" xfId="15576" xr:uid="{9635ECC7-7C15-4138-9C90-EF955C4BEFB7}"/>
    <cellStyle name="Comma 2 3 3 2 2 3 5 2" xfId="23105" xr:uid="{6B9CD819-5734-4A60-BA18-FFE23A01C13B}"/>
    <cellStyle name="Comma 2 3 3 2 2 3 5 3" xfId="48307" xr:uid="{467439F8-EF41-4FBA-A00C-E26CFDC83A06}"/>
    <cellStyle name="Comma 2 3 3 2 2 3 5 4" xfId="52443" xr:uid="{16D38A50-D63D-41C5-BB50-0C7BA72C4815}"/>
    <cellStyle name="Comma 2 3 3 2 2 3 5 5" xfId="55459" xr:uid="{EE725219-C4AD-445D-A29A-3BDACE3B21D6}"/>
    <cellStyle name="Comma 2 3 3 2 2 3 6" xfId="12541" xr:uid="{30C6DAE7-EE60-4C07-8A11-7CABC3FBC9C0}"/>
    <cellStyle name="Comma 2 3 3 2 2 3 6 2" xfId="46321" xr:uid="{209DBD0A-A89A-4E56-86BD-9CD479A7CCFB}"/>
    <cellStyle name="Comma 2 3 3 2 2 3 6 3" xfId="51012" xr:uid="{44701997-BD55-4720-9AB5-9DD4B31D0A31}"/>
    <cellStyle name="Comma 2 3 3 2 2 3 6 4" xfId="54028" xr:uid="{F45856DA-ADE5-43E8-9981-DC8A922643E0}"/>
    <cellStyle name="Comma 2 3 3 2 2 3 7" xfId="47575" xr:uid="{C1C0392D-C286-449A-A01D-FE38F0969377}"/>
    <cellStyle name="Comma 2 3 3 2 2 3 8" xfId="49906" xr:uid="{DB6C0079-84A4-40F4-9586-571B0509EB81}"/>
    <cellStyle name="Comma 2 3 3 2 2 3 9" xfId="52922" xr:uid="{9384B0DF-F466-4835-B9CD-053A203023BF}"/>
    <cellStyle name="Comma 2 3 3 2 2 4" xfId="10163" xr:uid="{B04E7CCF-B7C1-415F-BB8E-544B1623EC40}"/>
    <cellStyle name="Comma 2 3 3 2 2 4 2" xfId="10477" xr:uid="{634D9298-CD82-4347-961F-7107AD66779B}"/>
    <cellStyle name="Comma 2 3 3 2 2 4 2 2" xfId="14869" xr:uid="{B5F65823-6A19-426B-8600-431C181EAD10}"/>
    <cellStyle name="Comma 2 3 3 2 2 4 2 2 2" xfId="22416" xr:uid="{28FBD4DE-8ECB-4953-87E9-43BFCF095D18}"/>
    <cellStyle name="Comma 2 3 3 2 2 4 2 2 3" xfId="24663" xr:uid="{4ACA0F8C-88D0-4E96-A57F-FA4EB4FAA3BD}"/>
    <cellStyle name="Comma 2 3 3 2 2 4 2 2 4" xfId="51754" xr:uid="{64704F0A-197E-42A5-A3A6-3940EBAA2FC3}"/>
    <cellStyle name="Comma 2 3 3 2 2 4 2 2 5" xfId="54770" xr:uid="{0449EDBD-FB6B-4535-ABA6-40A6203BC46C}"/>
    <cellStyle name="Comma 2 3 3 2 2 4 2 3" xfId="15354" xr:uid="{DC3FE315-8E4E-4A20-8943-27B7EC640E87}"/>
    <cellStyle name="Comma 2 3 3 2 2 4 2 3 2" xfId="22893" xr:uid="{2C5F59BA-A079-4490-BA29-0B17EBF56483}"/>
    <cellStyle name="Comma 2 3 3 2 2 4 2 3 3" xfId="24172" xr:uid="{CC64EF9F-6377-4C40-B215-65C238DDD62D}"/>
    <cellStyle name="Comma 2 3 3 2 2 4 2 3 4" xfId="52231" xr:uid="{74A5077B-E4A8-4F22-8175-E4BFD90267EC}"/>
    <cellStyle name="Comma 2 3 3 2 2 4 2 3 5" xfId="55247" xr:uid="{D686F579-40AF-4055-A505-0881561068A5}"/>
    <cellStyle name="Comma 2 3 3 2 2 4 2 4" xfId="15841" xr:uid="{8698290C-7EE2-4A04-BA00-3EC86F704A42}"/>
    <cellStyle name="Comma 2 3 3 2 2 4 2 4 2" xfId="23370" xr:uid="{EBAEB50D-8A3D-4556-8E1F-2F12181AEED9}"/>
    <cellStyle name="Comma 2 3 3 2 2 4 2 4 3" xfId="47202" xr:uid="{473318F6-6C2E-42F7-998B-22E7CAEC5110}"/>
    <cellStyle name="Comma 2 3 3 2 2 4 2 4 4" xfId="52708" xr:uid="{CD3D6EF2-33C5-4C9E-AE0B-8F23AD8C5186}"/>
    <cellStyle name="Comma 2 3 3 2 2 4 2 4 5" xfId="55724" xr:uid="{FF7D31D6-A4B0-400E-984E-53233D607287}"/>
    <cellStyle name="Comma 2 3 3 2 2 4 2 5" xfId="12930" xr:uid="{597246DD-2EF0-49E7-A42A-59F2538DFE83}"/>
    <cellStyle name="Comma 2 3 3 2 2 4 2 5 2" xfId="25040" xr:uid="{1B92E4ED-9B1D-447E-8880-D8A4933C89D5}"/>
    <cellStyle name="Comma 2 3 3 2 2 4 2 5 3" xfId="51277" xr:uid="{11274D5A-AF52-45A1-B1C5-027FC2FE710D}"/>
    <cellStyle name="Comma 2 3 3 2 2 4 2 5 4" xfId="54293" xr:uid="{1AA17386-68F9-4D6E-B2D9-BC1D8AFF3AE3}"/>
    <cellStyle name="Comma 2 3 3 2 2 4 2 6" xfId="48460" xr:uid="{AA75026D-1267-4816-9270-296CAA45F2CA}"/>
    <cellStyle name="Comma 2 3 3 2 2 4 2 7" xfId="50171" xr:uid="{35687136-A10C-4F44-8299-3FFF4D41D326}"/>
    <cellStyle name="Comma 2 3 3 2 2 4 2 8" xfId="53187" xr:uid="{3D72BCB1-0140-49BB-8EE6-4DC9A3686AD8}"/>
    <cellStyle name="Comma 2 3 3 2 2 4 3" xfId="14657" xr:uid="{140666AB-F31C-4C80-B489-1CED8B06FFC8}"/>
    <cellStyle name="Comma 2 3 3 2 2 4 3 2" xfId="22204" xr:uid="{2D5073D0-2AD3-4772-ABDD-C332E6F7B0D8}"/>
    <cellStyle name="Comma 2 3 3 2 2 4 3 3" xfId="24668" xr:uid="{90A4B1B7-9C2A-47D5-BFDC-00365EF83A81}"/>
    <cellStyle name="Comma 2 3 3 2 2 4 3 4" xfId="51542" xr:uid="{17B80620-401D-4099-93DF-F6B585214272}"/>
    <cellStyle name="Comma 2 3 3 2 2 4 3 5" xfId="54558" xr:uid="{9AA6AA5B-4856-4877-9C08-F40D25A5FFD3}"/>
    <cellStyle name="Comma 2 3 3 2 2 4 4" xfId="15142" xr:uid="{49E682B6-F4DD-4850-B3E0-5BB8DE2CCC74}"/>
    <cellStyle name="Comma 2 3 3 2 2 4 4 2" xfId="22681" xr:uid="{191456E4-5803-4D43-8BBB-B1FEA159F539}"/>
    <cellStyle name="Comma 2 3 3 2 2 4 4 3" xfId="46886" xr:uid="{FA35787F-83C2-4257-84F8-3DA415558891}"/>
    <cellStyle name="Comma 2 3 3 2 2 4 4 4" xfId="52019" xr:uid="{81E48D3E-8A6A-4287-AB2D-71EF93DBE51C}"/>
    <cellStyle name="Comma 2 3 3 2 2 4 4 5" xfId="55035" xr:uid="{9945936D-7235-401A-B8B5-9A627AC17D74}"/>
    <cellStyle name="Comma 2 3 3 2 2 4 5" xfId="15629" xr:uid="{209B5AF4-6963-4CA3-8089-7FFA58BEB8ED}"/>
    <cellStyle name="Comma 2 3 3 2 2 4 5 2" xfId="23158" xr:uid="{445799C3-9728-4D1D-AC9D-69AC5C0983C6}"/>
    <cellStyle name="Comma 2 3 3 2 2 4 5 3" xfId="46560" xr:uid="{E0DBD783-334B-4962-A4CA-1AB91DF52878}"/>
    <cellStyle name="Comma 2 3 3 2 2 4 5 4" xfId="52496" xr:uid="{50DE72DC-5B17-45E1-A722-C48C19BA3D92}"/>
    <cellStyle name="Comma 2 3 3 2 2 4 5 5" xfId="55512" xr:uid="{06EE886B-25C4-4872-B31A-DAADAB083FBA}"/>
    <cellStyle name="Comma 2 3 3 2 2 4 6" xfId="12617" xr:uid="{70E781F8-BB35-4F8D-B87D-5D57ADF1C8DE}"/>
    <cellStyle name="Comma 2 3 3 2 2 4 6 2" xfId="48105" xr:uid="{30F71BCC-B179-4F83-8821-CBE3C69DC981}"/>
    <cellStyle name="Comma 2 3 3 2 2 4 6 3" xfId="51065" xr:uid="{40C3B186-8008-46C4-BF1D-115B93BADC31}"/>
    <cellStyle name="Comma 2 3 3 2 2 4 6 4" xfId="54081" xr:uid="{CDDDEF76-BFBA-41AF-95D6-3EFA561C40E7}"/>
    <cellStyle name="Comma 2 3 3 2 2 4 7" xfId="37549" xr:uid="{6EA288DE-F4B9-4807-A555-7C39D0B72D1C}"/>
    <cellStyle name="Comma 2 3 3 2 2 4 8" xfId="49959" xr:uid="{75C94E26-BDD7-4071-9E20-50B8B6241F70}"/>
    <cellStyle name="Comma 2 3 3 2 2 4 9" xfId="52975" xr:uid="{9352FA9F-73B6-447F-A4FC-C60222185F71}"/>
    <cellStyle name="Comma 2 3 3 2 2 5" xfId="10243" xr:uid="{04948784-9473-4C0E-9EF9-7D10D2EED147}"/>
    <cellStyle name="Comma 2 3 3 2 2 5 2" xfId="14710" xr:uid="{04790763-19D9-4232-8274-A6FFE837B242}"/>
    <cellStyle name="Comma 2 3 3 2 2 5 2 2" xfId="22257" xr:uid="{10F0F58B-ABE7-44E0-8621-1EF271DBFDF4}"/>
    <cellStyle name="Comma 2 3 3 2 2 5 2 3" xfId="32408" xr:uid="{72565A0D-7E01-4730-9790-CE98AE1C6027}"/>
    <cellStyle name="Comma 2 3 3 2 2 5 2 4" xfId="51595" xr:uid="{DD2C4D15-C404-4B58-9374-AE3C9A0E7537}"/>
    <cellStyle name="Comma 2 3 3 2 2 5 2 5" xfId="54611" xr:uid="{E5D418A9-739C-4DE0-A6CE-86DA2C41CA79}"/>
    <cellStyle name="Comma 2 3 3 2 2 5 3" xfId="15195" xr:uid="{561D71AA-BF53-42D8-A418-F03A56FBB955}"/>
    <cellStyle name="Comma 2 3 3 2 2 5 3 2" xfId="22734" xr:uid="{8D32DD5B-9BB5-44E8-9D2A-B786ABCA31E5}"/>
    <cellStyle name="Comma 2 3 3 2 2 5 3 3" xfId="25293" xr:uid="{1E3F4908-BCF1-49BA-AEBC-DC95B06D3515}"/>
    <cellStyle name="Comma 2 3 3 2 2 5 3 4" xfId="52072" xr:uid="{D13E17F8-8006-4F21-82C3-351CC2C9F1B0}"/>
    <cellStyle name="Comma 2 3 3 2 2 5 3 5" xfId="55088" xr:uid="{A9A7432B-FB81-451D-9C3C-3BF423CD25B5}"/>
    <cellStyle name="Comma 2 3 3 2 2 5 4" xfId="15682" xr:uid="{65316279-DD5F-4E6E-BCAE-C1B2A6F474F5}"/>
    <cellStyle name="Comma 2 3 3 2 2 5 4 2" xfId="23211" xr:uid="{7BCCA78E-C64F-4C42-892C-8BBF3067C1A1}"/>
    <cellStyle name="Comma 2 3 3 2 2 5 4 3" xfId="47443" xr:uid="{6BAE5DAF-3E43-4807-9165-38B28437A281}"/>
    <cellStyle name="Comma 2 3 3 2 2 5 4 4" xfId="52549" xr:uid="{D04785B6-8989-42E4-A8C1-F52A97B128AD}"/>
    <cellStyle name="Comma 2 3 3 2 2 5 4 5" xfId="55565" xr:uid="{56DB0038-DACA-4101-8E4E-4ACD00DFB951}"/>
    <cellStyle name="Comma 2 3 3 2 2 5 5" xfId="12696" xr:uid="{D018CF7A-5CF2-4314-A5AA-66349A200C4B}"/>
    <cellStyle name="Comma 2 3 3 2 2 5 5 2" xfId="48492" xr:uid="{AC6D66D0-1AAC-451E-B31B-D3D51D25D539}"/>
    <cellStyle name="Comma 2 3 3 2 2 5 5 3" xfId="51118" xr:uid="{63A82555-6ECF-4C24-A3AB-8E51D85D12CC}"/>
    <cellStyle name="Comma 2 3 3 2 2 5 5 4" xfId="54134" xr:uid="{425F0BC5-8D40-4739-94DF-EF370D66802D}"/>
    <cellStyle name="Comma 2 3 3 2 2 5 6" xfId="47066" xr:uid="{F72097DF-9FBC-4161-BCBA-63036345E53E}"/>
    <cellStyle name="Comma 2 3 3 2 2 5 7" xfId="50012" xr:uid="{D1AC5D3F-9256-43D0-A06C-15166C31C55D}"/>
    <cellStyle name="Comma 2 3 3 2 2 5 8" xfId="53028" xr:uid="{2B734D23-3A83-4C99-B0DA-2BEE4953DAA7}"/>
    <cellStyle name="Comma 2 3 3 2 2 6" xfId="10557" xr:uid="{0F2EDD79-8D78-40E3-A5D5-A7B8D9505597}"/>
    <cellStyle name="Comma 2 3 3 2 2 6 2" xfId="14922" xr:uid="{D2E6BDBA-41FC-4358-AD04-6E2BC6E6DEBB}"/>
    <cellStyle name="Comma 2 3 3 2 2 6 2 2" xfId="22469" xr:uid="{45A6045B-11BA-42A1-A740-73CAC7F598CE}"/>
    <cellStyle name="Comma 2 3 3 2 2 6 2 3" xfId="47216" xr:uid="{7F323C29-BA99-402F-821D-26CE09DCA92E}"/>
    <cellStyle name="Comma 2 3 3 2 2 6 2 4" xfId="51807" xr:uid="{870BC3A5-84B4-4893-AE70-02B2F73FBA4E}"/>
    <cellStyle name="Comma 2 3 3 2 2 6 2 5" xfId="54823" xr:uid="{43F0D32A-5D8E-407F-8215-6B56B2C34211}"/>
    <cellStyle name="Comma 2 3 3 2 2 6 3" xfId="15407" xr:uid="{537C3F3A-2FA2-4EF7-8944-90AC74EF0BF3}"/>
    <cellStyle name="Comma 2 3 3 2 2 6 3 2" xfId="22946" xr:uid="{83757C3A-9B11-498B-B661-1935D37CA84C}"/>
    <cellStyle name="Comma 2 3 3 2 2 6 3 3" xfId="46530" xr:uid="{00AB1A0E-9C5A-4F7B-A1E4-FE39CE187293}"/>
    <cellStyle name="Comma 2 3 3 2 2 6 3 4" xfId="52284" xr:uid="{8E8E0ECE-1CEE-4BC7-9FC9-4D7297764136}"/>
    <cellStyle name="Comma 2 3 3 2 2 6 3 5" xfId="55300" xr:uid="{077E2F33-E6C6-4B34-ACC2-B6275E84F2C2}"/>
    <cellStyle name="Comma 2 3 3 2 2 6 4" xfId="15895" xr:uid="{1E0723AF-6660-4ECB-9F9A-7EF66B6EC262}"/>
    <cellStyle name="Comma 2 3 3 2 2 6 4 2" xfId="23423" xr:uid="{EBFBC522-A0F5-480A-AFB0-DEB50BB9EB0D}"/>
    <cellStyle name="Comma 2 3 3 2 2 6 4 3" xfId="47203" xr:uid="{287D6B84-EF37-45C7-884F-A10E14BAB107}"/>
    <cellStyle name="Comma 2 3 3 2 2 6 4 4" xfId="52761" xr:uid="{EAA5214C-594A-423C-BA65-0B473B8119F5}"/>
    <cellStyle name="Comma 2 3 3 2 2 6 4 5" xfId="55777" xr:uid="{2F663129-7E3D-4D5C-B632-F5174AC18C3D}"/>
    <cellStyle name="Comma 2 3 3 2 2 6 5" xfId="13010" xr:uid="{57D6A7D9-6152-4E98-9E9A-80A2431DA986}"/>
    <cellStyle name="Comma 2 3 3 2 2 6 5 2" xfId="25030" xr:uid="{4FFA8E65-719B-4C1B-9117-C4E8DB443861}"/>
    <cellStyle name="Comma 2 3 3 2 2 6 5 3" xfId="51330" xr:uid="{06FF790C-0EEF-4A5D-A032-4FC572258DF1}"/>
    <cellStyle name="Comma 2 3 3 2 2 6 5 4" xfId="54346" xr:uid="{A3077C8C-71A9-4DBB-B1E0-8C8D55FCBBBA}"/>
    <cellStyle name="Comma 2 3 3 2 2 6 6" xfId="46149" xr:uid="{6701E823-D573-4352-8B05-53F335E63EBC}"/>
    <cellStyle name="Comma 2 3 3 2 2 6 7" xfId="50224" xr:uid="{826E46B8-136D-453F-87C6-C010ABEF4B5E}"/>
    <cellStyle name="Comma 2 3 3 2 2 6 8" xfId="53240" xr:uid="{D5366F76-B593-4BEC-85E6-12335C575869}"/>
    <cellStyle name="Comma 2 3 3 2 2 7" xfId="14498" xr:uid="{A61F8E3B-3D87-4952-A1F1-2AD195AA481E}"/>
    <cellStyle name="Comma 2 3 3 2 2 7 2" xfId="22045" xr:uid="{3B95EBA4-B2BE-4F69-97DE-7F8259459B63}"/>
    <cellStyle name="Comma 2 3 3 2 2 7 3" xfId="24987" xr:uid="{E4355425-C184-4C78-A68C-F5C0633A82B0}"/>
    <cellStyle name="Comma 2 3 3 2 2 7 4" xfId="51383" xr:uid="{7D3ABDE0-CA00-4FB9-89F9-A559AACF77C1}"/>
    <cellStyle name="Comma 2 3 3 2 2 7 5" xfId="54399" xr:uid="{2FD48C33-A294-4951-BEFE-7DA0CFB91FB2}"/>
    <cellStyle name="Comma 2 3 3 2 2 8" xfId="14982" xr:uid="{1FEFD389-A114-4F8A-8F93-1AD77E47CAB9}"/>
    <cellStyle name="Comma 2 3 3 2 2 8 2" xfId="22522" xr:uid="{3DDF08D1-53AB-4ED2-A4B6-B76A6D74EF28}"/>
    <cellStyle name="Comma 2 3 3 2 2 8 3" xfId="47334" xr:uid="{DC4799D3-624B-41CD-8A6A-9939AB488189}"/>
    <cellStyle name="Comma 2 3 3 2 2 8 4" xfId="51860" xr:uid="{B8D3AB0F-0072-45BE-B76E-31227BB43BD8}"/>
    <cellStyle name="Comma 2 3 3 2 2 8 5" xfId="54876" xr:uid="{2F449CD7-37D8-4DE9-87B3-0778DB8890CC}"/>
    <cellStyle name="Comma 2 3 3 2 2 9" xfId="15469" xr:uid="{CC41493E-1ED9-4843-85E1-CD4F94B514D1}"/>
    <cellStyle name="Comma 2 3 3 2 2 9 2" xfId="22999" xr:uid="{771B201C-2A66-4B24-A7D7-4E133BFE85FF}"/>
    <cellStyle name="Comma 2 3 3 2 2 9 3" xfId="47001" xr:uid="{0775FE58-01A6-4B92-A37E-DC39FB9AD7B6}"/>
    <cellStyle name="Comma 2 3 3 2 2 9 4" xfId="52337" xr:uid="{D41F65A8-8A10-47C5-A7BF-C96B17D9F4E9}"/>
    <cellStyle name="Comma 2 3 3 2 2 9 5" xfId="55353" xr:uid="{162BB384-DE09-431D-A5A7-1B4C8D54A7C4}"/>
    <cellStyle name="Comma 2 3 3 2 3" xfId="10009" xr:uid="{8E4EB684-8056-4E51-9E0A-45DCFC96D217}"/>
    <cellStyle name="Comma 2 3 3 2 3 2" xfId="10317" xr:uid="{D564A100-381F-43C1-9A1E-7CA5C4D8101B}"/>
    <cellStyle name="Comma 2 3 3 2 3 2 2" xfId="14762" xr:uid="{272C46AA-4058-40B3-8201-AD80E6AEBEF8}"/>
    <cellStyle name="Comma 2 3 3 2 3 2 2 2" xfId="22309" xr:uid="{C302F4F1-5E4D-46A5-8192-DF9BEB5D4805}"/>
    <cellStyle name="Comma 2 3 3 2 3 2 2 3" xfId="46860" xr:uid="{981DA0AA-DB31-4009-9056-4C4878A2126D}"/>
    <cellStyle name="Comma 2 3 3 2 3 2 2 4" xfId="51647" xr:uid="{7FB11E94-91A4-409F-8902-615488925A85}"/>
    <cellStyle name="Comma 2 3 3 2 3 2 2 5" xfId="54663" xr:uid="{CF664BE6-F968-4ACC-A7AF-3490732379F7}"/>
    <cellStyle name="Comma 2 3 3 2 3 2 3" xfId="15247" xr:uid="{9DD605CB-A988-4368-BDE1-18E778C01FC7}"/>
    <cellStyle name="Comma 2 3 3 2 3 2 3 2" xfId="22786" xr:uid="{86E1AB43-9F78-48F0-A22D-EBF15D9EBF85}"/>
    <cellStyle name="Comma 2 3 3 2 3 2 3 3" xfId="48564" xr:uid="{39BEB515-BF5C-4D5E-A79E-68E51E5F2656}"/>
    <cellStyle name="Comma 2 3 3 2 3 2 3 4" xfId="52124" xr:uid="{4B6EC1B1-8019-445C-86B4-EC8EA9CBA3EF}"/>
    <cellStyle name="Comma 2 3 3 2 3 2 3 5" xfId="55140" xr:uid="{03628BC7-392A-4180-A012-4B7FA172442A}"/>
    <cellStyle name="Comma 2 3 3 2 3 2 4" xfId="15734" xr:uid="{712FB333-A1F1-421E-9201-F4905DFC60EE}"/>
    <cellStyle name="Comma 2 3 3 2 3 2 4 2" xfId="23263" xr:uid="{94AFB809-6CFA-48F1-B4EE-C6D75E77BCAA}"/>
    <cellStyle name="Comma 2 3 3 2 3 2 4 3" xfId="48038" xr:uid="{3BEE630A-3BBD-4ED0-BADE-494ACB9F4438}"/>
    <cellStyle name="Comma 2 3 3 2 3 2 4 4" xfId="52601" xr:uid="{B6DA7D62-2D29-4162-9B9A-C112A54B5F51}"/>
    <cellStyle name="Comma 2 3 3 2 3 2 4 5" xfId="55617" xr:uid="{FA96D515-0777-4C2C-B29A-E0946A29D0BD}"/>
    <cellStyle name="Comma 2 3 3 2 3 2 5" xfId="12770" xr:uid="{26ABC75D-79FD-4E54-B9F9-5C5679E6C93B}"/>
    <cellStyle name="Comma 2 3 3 2 3 2 5 2" xfId="47169" xr:uid="{664135F1-0BA6-4657-8030-97BFB462CEA7}"/>
    <cellStyle name="Comma 2 3 3 2 3 2 5 3" xfId="51170" xr:uid="{F3665133-E79E-49DB-9D25-AA9EB9405AF5}"/>
    <cellStyle name="Comma 2 3 3 2 3 2 5 4" xfId="54186" xr:uid="{20DBCEE5-F009-4241-9D35-971B4E4A2A3E}"/>
    <cellStyle name="Comma 2 3 3 2 3 2 6" xfId="32554" xr:uid="{C3422A0D-6BEE-4C5D-ACC6-F8411FE5450F}"/>
    <cellStyle name="Comma 2 3 3 2 3 2 7" xfId="50064" xr:uid="{711669B7-BE12-4372-95D7-00FCA358763A}"/>
    <cellStyle name="Comma 2 3 3 2 3 2 8" xfId="53080" xr:uid="{F19EEDBB-EA5D-47B2-8F36-1CFAC4D16289}"/>
    <cellStyle name="Comma 2 3 3 2 3 3" xfId="14550" xr:uid="{D3733CDD-CBBD-453D-9A95-1ABEE74BC0A4}"/>
    <cellStyle name="Comma 2 3 3 2 3 3 2" xfId="22097" xr:uid="{0D6CF712-2C0E-4760-A0BD-3037660503BB}"/>
    <cellStyle name="Comma 2 3 3 2 3 3 3" xfId="47769" xr:uid="{AD5EEAB9-1D5B-453E-8E9D-3B49283CE9B6}"/>
    <cellStyle name="Comma 2 3 3 2 3 3 4" xfId="51435" xr:uid="{8A6C24D3-AC07-450E-A305-019329A02BE4}"/>
    <cellStyle name="Comma 2 3 3 2 3 3 5" xfId="54451" xr:uid="{BBC76D7B-16C3-467F-B3F2-8FCCE4705071}"/>
    <cellStyle name="Comma 2 3 3 2 3 4" xfId="15034" xr:uid="{30D400E4-2792-4B3B-86EB-58D8E0AD7F74}"/>
    <cellStyle name="Comma 2 3 3 2 3 4 2" xfId="22574" xr:uid="{BCF8C267-4D8E-4138-AA63-20F198BFFF0E}"/>
    <cellStyle name="Comma 2 3 3 2 3 4 3" xfId="32400" xr:uid="{767984B2-D1F0-40FE-A55C-520D8E27D800}"/>
    <cellStyle name="Comma 2 3 3 2 3 4 4" xfId="51912" xr:uid="{2F914409-83FA-46DB-9DED-B4DC1D699849}"/>
    <cellStyle name="Comma 2 3 3 2 3 4 5" xfId="54928" xr:uid="{9477A096-EB5E-4328-8E65-096C682EAC48}"/>
    <cellStyle name="Comma 2 3 3 2 3 5" xfId="15521" xr:uid="{9F14716B-DC6C-4E93-9479-634E82E480DA}"/>
    <cellStyle name="Comma 2 3 3 2 3 5 2" xfId="23051" xr:uid="{B807D395-8002-437C-B942-3E039FFD0B6F}"/>
    <cellStyle name="Comma 2 3 3 2 3 5 3" xfId="47843" xr:uid="{444067A8-D3F1-4F18-9968-EB0A9EB8E647}"/>
    <cellStyle name="Comma 2 3 3 2 3 5 4" xfId="52389" xr:uid="{1AA476FC-913C-469D-8302-B27CE2EB8DEE}"/>
    <cellStyle name="Comma 2 3 3 2 3 5 5" xfId="55405" xr:uid="{28C2F937-45A1-4CF6-9267-6F77DD2FCD64}"/>
    <cellStyle name="Comma 2 3 3 2 3 6" xfId="12469" xr:uid="{92D33652-E6CB-4148-AC7D-404A27C7D833}"/>
    <cellStyle name="Comma 2 3 3 2 3 6 2" xfId="46663" xr:uid="{46A846F0-CA08-4643-8E59-51125EEE276B}"/>
    <cellStyle name="Comma 2 3 3 2 3 6 3" xfId="50958" xr:uid="{165C28D9-0CEC-486F-BBA4-0F94ED91EABC}"/>
    <cellStyle name="Comma 2 3 3 2 3 6 4" xfId="53974" xr:uid="{64204EC0-42B6-47BE-9E43-2F5D8D106091}"/>
    <cellStyle name="Comma 2 3 3 2 3 7" xfId="46020" xr:uid="{9936546C-A75B-43AA-8A20-7E6657D30290}"/>
    <cellStyle name="Comma 2 3 3 2 3 8" xfId="49852" xr:uid="{6CA19C92-0241-4B98-8720-100C38E530C9}"/>
    <cellStyle name="Comma 2 3 3 2 3 9" xfId="52868" xr:uid="{EE22E379-C0CB-4B19-B982-FE0FA53B0102}"/>
    <cellStyle name="Comma 2 3 3 2 4" xfId="10083" xr:uid="{AB059C79-A1F9-4FE3-8209-C84910994116}"/>
    <cellStyle name="Comma 2 3 3 2 4 2" xfId="10396" xr:uid="{7ECA2633-2AE5-4D8F-9D62-429D7B9B4C98}"/>
    <cellStyle name="Comma 2 3 3 2 4 2 2" xfId="14815" xr:uid="{876884F4-EE5D-4F3C-8FB9-C32A08D6FD0A}"/>
    <cellStyle name="Comma 2 3 3 2 4 2 2 2" xfId="22362" xr:uid="{6A3146B5-AF4C-44CC-B0FC-7099F2A9D795}"/>
    <cellStyle name="Comma 2 3 3 2 4 2 2 3" xfId="32406" xr:uid="{14C7C815-8600-4A3C-9466-C452C9FBB47F}"/>
    <cellStyle name="Comma 2 3 3 2 4 2 2 4" xfId="51700" xr:uid="{D32B8427-6A6F-4E10-8386-77876769ECBF}"/>
    <cellStyle name="Comma 2 3 3 2 4 2 2 5" xfId="54716" xr:uid="{CB268E21-C5A5-471B-A97D-66D7DE4CADEA}"/>
    <cellStyle name="Comma 2 3 3 2 4 2 3" xfId="15300" xr:uid="{0C4FC0BA-093B-4F25-B35E-798FCE21B2DB}"/>
    <cellStyle name="Comma 2 3 3 2 4 2 3 2" xfId="22839" xr:uid="{7E1934C2-16ED-45B4-9B13-1AB38F052336}"/>
    <cellStyle name="Comma 2 3 3 2 4 2 3 3" xfId="47939" xr:uid="{03D42EC7-47FD-4873-B6E3-022A2A642E82}"/>
    <cellStyle name="Comma 2 3 3 2 4 2 3 4" xfId="52177" xr:uid="{E2E9AC15-01B0-422D-AAD6-DD8FEFF81D2D}"/>
    <cellStyle name="Comma 2 3 3 2 4 2 3 5" xfId="55193" xr:uid="{6CFA4FD3-4478-4A1A-BED1-D96DE52A7601}"/>
    <cellStyle name="Comma 2 3 3 2 4 2 4" xfId="15787" xr:uid="{6C4E4E07-2941-4E43-B56B-B6E9ED4BA193}"/>
    <cellStyle name="Comma 2 3 3 2 4 2 4 2" xfId="23316" xr:uid="{B311BF27-D167-4474-9263-EA2156476301}"/>
    <cellStyle name="Comma 2 3 3 2 4 2 4 3" xfId="47974" xr:uid="{D35154FB-819A-4803-B349-F5E53A3AE04C}"/>
    <cellStyle name="Comma 2 3 3 2 4 2 4 4" xfId="52654" xr:uid="{0EF7D395-0DC1-4D83-AF1F-43C4B6007ECD}"/>
    <cellStyle name="Comma 2 3 3 2 4 2 4 5" xfId="55670" xr:uid="{658269CC-E1DA-44F8-8A3D-9B8D0A0C2F7A}"/>
    <cellStyle name="Comma 2 3 3 2 4 2 5" xfId="12849" xr:uid="{94B068EF-3CB2-40D1-8A60-844BA8A24F92}"/>
    <cellStyle name="Comma 2 3 3 2 4 2 5 2" xfId="46670" xr:uid="{FBC93FE9-7907-40B0-9BBA-B450FFA5E87A}"/>
    <cellStyle name="Comma 2 3 3 2 4 2 5 3" xfId="51223" xr:uid="{B23A1D4B-7C48-4779-A378-F320CC3F7CC1}"/>
    <cellStyle name="Comma 2 3 3 2 4 2 5 4" xfId="54239" xr:uid="{A101766B-DD74-4024-92A3-BB5033062D45}"/>
    <cellStyle name="Comma 2 3 3 2 4 2 6" xfId="46106" xr:uid="{130E3B3B-7B80-435A-82FE-E55298443A5A}"/>
    <cellStyle name="Comma 2 3 3 2 4 2 7" xfId="50117" xr:uid="{8A253A62-277A-485A-8B0F-0FC2858B7984}"/>
    <cellStyle name="Comma 2 3 3 2 4 2 8" xfId="53133" xr:uid="{62B89682-458B-437E-A5B8-EC2A9FE2F210}"/>
    <cellStyle name="Comma 2 3 3 2 4 3" xfId="14603" xr:uid="{1C27FE4B-CFC8-409A-8948-6288C1C1530D}"/>
    <cellStyle name="Comma 2 3 3 2 4 3 2" xfId="22150" xr:uid="{EA97E7B8-295E-4963-94E9-F434CF35AE04}"/>
    <cellStyle name="Comma 2 3 3 2 4 3 3" xfId="46406" xr:uid="{22079576-4423-4B80-AE0F-C534DE3BB644}"/>
    <cellStyle name="Comma 2 3 3 2 4 3 4" xfId="51488" xr:uid="{AA0BFD6E-073E-4098-BBDA-C4EF3919021F}"/>
    <cellStyle name="Comma 2 3 3 2 4 3 5" xfId="54504" xr:uid="{0B7B157E-EBD1-4FCA-97B5-CA7F2628E252}"/>
    <cellStyle name="Comma 2 3 3 2 4 4" xfId="15088" xr:uid="{99DDC7B6-D9FE-48C2-8937-46E52D8FCBBC}"/>
    <cellStyle name="Comma 2 3 3 2 4 4 2" xfId="22627" xr:uid="{C8F8A66C-8A15-4C7E-9C69-0387D15832F6}"/>
    <cellStyle name="Comma 2 3 3 2 4 4 3" xfId="46477" xr:uid="{9D3B84FD-3AB7-44DB-9D3C-81270C09B018}"/>
    <cellStyle name="Comma 2 3 3 2 4 4 4" xfId="51965" xr:uid="{2B974291-0194-4CB7-82E8-7FB94C930EEB}"/>
    <cellStyle name="Comma 2 3 3 2 4 4 5" xfId="54981" xr:uid="{E1D02D94-4F95-455D-9778-337928A0012F}"/>
    <cellStyle name="Comma 2 3 3 2 4 5" xfId="15575" xr:uid="{843D7F53-CE84-4631-B382-F719627A8E94}"/>
    <cellStyle name="Comma 2 3 3 2 4 5 2" xfId="23104" xr:uid="{3C079F4E-9497-4047-AA61-BC83212AAF81}"/>
    <cellStyle name="Comma 2 3 3 2 4 5 3" xfId="46554" xr:uid="{9DD3DED6-028D-44A2-9B7C-6CA03BF9E9E2}"/>
    <cellStyle name="Comma 2 3 3 2 4 5 4" xfId="52442" xr:uid="{236243E6-D4FA-4F5A-A37F-BA57BD25AF48}"/>
    <cellStyle name="Comma 2 3 3 2 4 5 5" xfId="55458" xr:uid="{51359E5F-1A74-41FA-95A4-4A13E892477E}"/>
    <cellStyle name="Comma 2 3 3 2 4 6" xfId="12540" xr:uid="{1E67CA12-1FF6-4704-B0A0-4DCC922278E3}"/>
    <cellStyle name="Comma 2 3 3 2 4 6 2" xfId="35942" xr:uid="{22353791-0157-4BD1-A6EB-1D3996794312}"/>
    <cellStyle name="Comma 2 3 3 2 4 6 3" xfId="51011" xr:uid="{CA16BB5C-61AE-4E29-B717-FCE1288C76AA}"/>
    <cellStyle name="Comma 2 3 3 2 4 6 4" xfId="54027" xr:uid="{1BFD6DF7-D6FD-4C17-BEE9-E16CD21DB7B1}"/>
    <cellStyle name="Comma 2 3 3 2 4 7" xfId="46037" xr:uid="{8824AF6D-8B64-4614-896D-25CBB80D6985}"/>
    <cellStyle name="Comma 2 3 3 2 4 8" xfId="49905" xr:uid="{6FB4937C-E10D-4117-A696-1CD91CBBE058}"/>
    <cellStyle name="Comma 2 3 3 2 4 9" xfId="52921" xr:uid="{290B9B4B-1244-4BA1-91E6-173274B485BF}"/>
    <cellStyle name="Comma 2 3 3 2 5" xfId="10162" xr:uid="{E7024F87-8E6F-48B0-B561-BA3E462DC4B0}"/>
    <cellStyle name="Comma 2 3 3 2 5 2" xfId="10476" xr:uid="{3468BB46-4BE8-4A0F-8F75-D9D655DAE68D}"/>
    <cellStyle name="Comma 2 3 3 2 5 2 2" xfId="14868" xr:uid="{3DB62473-DF9C-4065-9E37-8B66A5C452B8}"/>
    <cellStyle name="Comma 2 3 3 2 5 2 2 2" xfId="22415" xr:uid="{E3BE7BD0-F22D-4487-A5B9-BBBE62B3C69B}"/>
    <cellStyle name="Comma 2 3 3 2 5 2 2 3" xfId="46872" xr:uid="{3F1E8EC1-642D-4FA1-B288-D3E782E329F5}"/>
    <cellStyle name="Comma 2 3 3 2 5 2 2 4" xfId="51753" xr:uid="{344536D4-9687-4D10-86BB-773E77D3DF7B}"/>
    <cellStyle name="Comma 2 3 3 2 5 2 2 5" xfId="54769" xr:uid="{23B318C3-D3E5-41D4-BDAF-1452D6B40A7A}"/>
    <cellStyle name="Comma 2 3 3 2 5 2 3" xfId="15353" xr:uid="{3F9C672C-30B5-4461-9FA9-6DDD77B742E7}"/>
    <cellStyle name="Comma 2 3 3 2 5 2 3 2" xfId="22892" xr:uid="{3FF38C40-C3B0-4155-BE95-30375ADD4AA7}"/>
    <cellStyle name="Comma 2 3 3 2 5 2 3 3" xfId="48362" xr:uid="{C5AA1C75-9F0C-4836-B69B-97A741DD8890}"/>
    <cellStyle name="Comma 2 3 3 2 5 2 3 4" xfId="52230" xr:uid="{93DC914A-D6E5-4F53-B4BA-046403B3D877}"/>
    <cellStyle name="Comma 2 3 3 2 5 2 3 5" xfId="55246" xr:uid="{AE2514D7-8835-4FF7-A4BA-288BF74E215A}"/>
    <cellStyle name="Comma 2 3 3 2 5 2 4" xfId="15840" xr:uid="{DBE64DE4-A0DE-4840-9336-2E7042896752}"/>
    <cellStyle name="Comma 2 3 3 2 5 2 4 2" xfId="23369" xr:uid="{A502E1FF-63CC-4AC7-AA65-7DDFDC927F3B}"/>
    <cellStyle name="Comma 2 3 3 2 5 2 4 3" xfId="46973" xr:uid="{974D39B1-1867-4E21-BAAA-67169546A77C}"/>
    <cellStyle name="Comma 2 3 3 2 5 2 4 4" xfId="52707" xr:uid="{AAA213DC-B704-435D-83A7-B6ED74BF8C79}"/>
    <cellStyle name="Comma 2 3 3 2 5 2 4 5" xfId="55723" xr:uid="{6436BDEB-9051-4CD4-A4B8-105221D45077}"/>
    <cellStyle name="Comma 2 3 3 2 5 2 5" xfId="12929" xr:uid="{BF782DE1-3C54-4BF3-AF29-B9888A1398A1}"/>
    <cellStyle name="Comma 2 3 3 2 5 2 5 2" xfId="46373" xr:uid="{B05F62D2-D483-44C5-91F3-16890E713B3B}"/>
    <cellStyle name="Comma 2 3 3 2 5 2 5 3" xfId="51276" xr:uid="{D9EA5F7B-615A-4E7F-8B9E-29BCAB531C96}"/>
    <cellStyle name="Comma 2 3 3 2 5 2 5 4" xfId="54292" xr:uid="{7682C313-19A1-4432-AB1E-B8208CD0B16C}"/>
    <cellStyle name="Comma 2 3 3 2 5 2 6" xfId="46126" xr:uid="{6F9275D4-E21E-4A85-8DC2-E9454E719129}"/>
    <cellStyle name="Comma 2 3 3 2 5 2 7" xfId="50170" xr:uid="{443A7F27-1223-45A2-9BC2-A20DC695289B}"/>
    <cellStyle name="Comma 2 3 3 2 5 2 8" xfId="53186" xr:uid="{5239FEA7-46CD-4616-8550-074F9CE297AF}"/>
    <cellStyle name="Comma 2 3 3 2 5 3" xfId="14656" xr:uid="{5E9C0DE6-EE2C-47B0-B592-638D7B8CC1F0}"/>
    <cellStyle name="Comma 2 3 3 2 5 3 2" xfId="22203" xr:uid="{D2242160-2F6A-492D-9E76-2DAE20F79B68}"/>
    <cellStyle name="Comma 2 3 3 2 5 3 3" xfId="46846" xr:uid="{0CEDAD65-6618-4747-ABAA-4724B6891BB4}"/>
    <cellStyle name="Comma 2 3 3 2 5 3 4" xfId="51541" xr:uid="{6DFB898B-3BEB-4B99-9A1E-6831A48AE25E}"/>
    <cellStyle name="Comma 2 3 3 2 5 3 5" xfId="54557" xr:uid="{473FFDF3-561C-40CB-BC44-F5FA39F10ED8}"/>
    <cellStyle name="Comma 2 3 3 2 5 4" xfId="15141" xr:uid="{2A38BE7D-EA49-4A40-B47B-33009EEFFF34}"/>
    <cellStyle name="Comma 2 3 3 2 5 4 2" xfId="22680" xr:uid="{8A008A0F-9D0D-40E6-A546-E6CA92F4C238}"/>
    <cellStyle name="Comma 2 3 3 2 5 4 3" xfId="48563" xr:uid="{215C975F-7170-4A6F-B2DB-A4C76AA9B104}"/>
    <cellStyle name="Comma 2 3 3 2 5 4 4" xfId="52018" xr:uid="{D3B7B443-FC66-4958-B304-BFD22E172F31}"/>
    <cellStyle name="Comma 2 3 3 2 5 4 5" xfId="55034" xr:uid="{926DF2B1-46CA-493C-BF07-01704BCE3272}"/>
    <cellStyle name="Comma 2 3 3 2 5 5" xfId="15628" xr:uid="{B0BF72A4-E770-4B16-AFC0-D54613E8EFB1}"/>
    <cellStyle name="Comma 2 3 3 2 5 5 2" xfId="23157" xr:uid="{6F519448-0C8F-4ACE-B48B-54E0D943246C}"/>
    <cellStyle name="Comma 2 3 3 2 5 5 3" xfId="47350" xr:uid="{06A3EBFB-4ACA-4962-8C73-4ABC13FD612D}"/>
    <cellStyle name="Comma 2 3 3 2 5 5 4" xfId="52495" xr:uid="{C2653AF9-ACAD-4AAB-BFCE-088927463474}"/>
    <cellStyle name="Comma 2 3 3 2 5 5 5" xfId="55511" xr:uid="{D00601C4-3E62-418B-83B1-B2CFDEE9CB4A}"/>
    <cellStyle name="Comma 2 3 3 2 5 6" xfId="12616" xr:uid="{E4E74932-088D-4C09-863B-38845BB961D2}"/>
    <cellStyle name="Comma 2 3 3 2 5 6 2" xfId="25073" xr:uid="{408A8E70-2AAF-4C68-A960-236B2DC26451}"/>
    <cellStyle name="Comma 2 3 3 2 5 6 3" xfId="51064" xr:uid="{6B8D51C3-D6CE-44F7-AADE-294422B8987F}"/>
    <cellStyle name="Comma 2 3 3 2 5 6 4" xfId="54080" xr:uid="{16121314-6DF3-4998-8CA7-6A0E9253C6E7}"/>
    <cellStyle name="Comma 2 3 3 2 5 7" xfId="32303" xr:uid="{98FF7AC0-E8CC-405F-B6DF-5535174B8C08}"/>
    <cellStyle name="Comma 2 3 3 2 5 8" xfId="49958" xr:uid="{C5B86F78-E939-42B0-9014-9107A4939934}"/>
    <cellStyle name="Comma 2 3 3 2 5 9" xfId="52974" xr:uid="{CD2085D2-3A05-441B-8A24-AF60D0F12783}"/>
    <cellStyle name="Comma 2 3 3 2 6" xfId="10242" xr:uid="{57E14E19-7BC6-4413-8C2A-6F81021873FE}"/>
    <cellStyle name="Comma 2 3 3 2 6 2" xfId="14709" xr:uid="{A9C127BD-10BA-46D5-826F-E7141B21E610}"/>
    <cellStyle name="Comma 2 3 3 2 6 2 2" xfId="22256" xr:uid="{CA4C345D-7EC1-49B8-BE1A-F5D7A4E05D46}"/>
    <cellStyle name="Comma 2 3 3 2 6 2 3" xfId="46421" xr:uid="{ECFD3D92-23BB-4BF9-ADA6-6A66B42352BA}"/>
    <cellStyle name="Comma 2 3 3 2 6 2 4" xfId="51594" xr:uid="{F2859A5E-60F1-4661-90B0-94724436DF14}"/>
    <cellStyle name="Comma 2 3 3 2 6 2 5" xfId="54610" xr:uid="{CB8B3F2B-46B3-4063-9758-7EC3D85F0BDB}"/>
    <cellStyle name="Comma 2 3 3 2 6 3" xfId="15194" xr:uid="{546E23BA-3695-418D-A4C4-6B84E5945725}"/>
    <cellStyle name="Comma 2 3 3 2 6 3 2" xfId="22733" xr:uid="{CB8C0B74-C274-4A87-A5AD-EAB9D61AD0DA}"/>
    <cellStyle name="Comma 2 3 3 2 6 3 3" xfId="48217" xr:uid="{41504EC4-1DBB-47CE-889F-6EEF6632E066}"/>
    <cellStyle name="Comma 2 3 3 2 6 3 4" xfId="52071" xr:uid="{31B5824A-7BB5-456F-9B2F-C816C96EF8D9}"/>
    <cellStyle name="Comma 2 3 3 2 6 3 5" xfId="55087" xr:uid="{4378B8D1-4CD0-48DA-9F1F-31E9223C48EC}"/>
    <cellStyle name="Comma 2 3 3 2 6 4" xfId="15681" xr:uid="{9B781461-9B36-49A0-A2D7-D0EBCCCC6C73}"/>
    <cellStyle name="Comma 2 3 3 2 6 4 2" xfId="23210" xr:uid="{E405A530-C197-4294-A33C-97B377583096}"/>
    <cellStyle name="Comma 2 3 3 2 6 4 3" xfId="46571" xr:uid="{A02FF497-AFAD-4C4C-8C52-86B22D61759A}"/>
    <cellStyle name="Comma 2 3 3 2 6 4 4" xfId="52548" xr:uid="{436FC0DC-9C40-47FB-9014-51F71592B54E}"/>
    <cellStyle name="Comma 2 3 3 2 6 4 5" xfId="55564" xr:uid="{AD97ED55-7AF2-4AC3-BD49-0820043058C1}"/>
    <cellStyle name="Comma 2 3 3 2 6 5" xfId="12695" xr:uid="{C09D8128-191F-4098-9086-0616465DFDFD}"/>
    <cellStyle name="Comma 2 3 3 2 6 5 2" xfId="47469" xr:uid="{C017EFAB-F9EA-4E8C-84C0-95EEA24D8110}"/>
    <cellStyle name="Comma 2 3 3 2 6 5 3" xfId="51117" xr:uid="{8E83F78C-66F9-439E-A33C-7F22807B2652}"/>
    <cellStyle name="Comma 2 3 3 2 6 5 4" xfId="54133" xr:uid="{E7817242-E788-44B0-A534-98A6733E36EC}"/>
    <cellStyle name="Comma 2 3 3 2 6 6" xfId="46071" xr:uid="{7FCDCCA1-C18B-407A-9485-FF67EC187F58}"/>
    <cellStyle name="Comma 2 3 3 2 6 7" xfId="50011" xr:uid="{F0EAD72A-9ED6-480F-BD0F-ADB64BB1F427}"/>
    <cellStyle name="Comma 2 3 3 2 6 8" xfId="53027" xr:uid="{DFA3DD29-B9D9-4AFF-9680-1FF533F17AEC}"/>
    <cellStyle name="Comma 2 3 3 2 7" xfId="10556" xr:uid="{F75C6B7C-92B8-4C9B-9A90-9592787C7E1F}"/>
    <cellStyle name="Comma 2 3 3 2 7 2" xfId="14921" xr:uid="{2703B21D-79ED-4636-A6B0-96674A30A3D7}"/>
    <cellStyle name="Comma 2 3 3 2 7 2 2" xfId="22468" xr:uid="{9736B68B-D5D2-49CD-AE46-0E0AC79FA7D1}"/>
    <cellStyle name="Comma 2 3 3 2 7 2 3" xfId="37456" xr:uid="{EDE33139-D983-4657-9563-3D3270856D58}"/>
    <cellStyle name="Comma 2 3 3 2 7 2 4" xfId="51806" xr:uid="{A9BBFDE0-7793-4725-8F68-35A0168AF8DF}"/>
    <cellStyle name="Comma 2 3 3 2 7 2 5" xfId="54822" xr:uid="{003F6935-6326-4E7E-A833-96614885394E}"/>
    <cellStyle name="Comma 2 3 3 2 7 3" xfId="15406" xr:uid="{926594E9-E662-4827-A5D9-0C4155438539}"/>
    <cellStyle name="Comma 2 3 3 2 7 3 2" xfId="22945" xr:uid="{E51E2856-9633-4C59-9E9F-550D33FFBF6A}"/>
    <cellStyle name="Comma 2 3 3 2 7 3 3" xfId="48515" xr:uid="{19E99B51-D79D-4678-B91B-A028D51364B9}"/>
    <cellStyle name="Comma 2 3 3 2 7 3 4" xfId="52283" xr:uid="{5816AEEF-3DD2-4298-A529-24B1238F0239}"/>
    <cellStyle name="Comma 2 3 3 2 7 3 5" xfId="55299" xr:uid="{8E39EAD8-C299-4562-B959-E2C3F51107AF}"/>
    <cellStyle name="Comma 2 3 3 2 7 4" xfId="15894" xr:uid="{B36B3C02-D451-4E1B-86F2-1E939FBEB63D}"/>
    <cellStyle name="Comma 2 3 3 2 7 4 2" xfId="23422" xr:uid="{061074A7-3097-452A-AB82-1B2B450E4671}"/>
    <cellStyle name="Comma 2 3 3 2 7 4 3" xfId="46979" xr:uid="{6F40AA5D-7C92-4AD6-A064-A4C348F2358A}"/>
    <cellStyle name="Comma 2 3 3 2 7 4 4" xfId="52760" xr:uid="{A9313B15-83DC-4BFA-A122-F66CC69F8CDC}"/>
    <cellStyle name="Comma 2 3 3 2 7 4 5" xfId="55776" xr:uid="{5297460E-E679-49A2-AB67-D9ED75F903A9}"/>
    <cellStyle name="Comma 2 3 3 2 7 5" xfId="13009" xr:uid="{8F25AB89-1E9C-40EC-A80D-522983E92B86}"/>
    <cellStyle name="Comma 2 3 3 2 7 5 2" xfId="46382" xr:uid="{4D02F96F-FF09-4FF6-994B-5D2E1F2CECDA}"/>
    <cellStyle name="Comma 2 3 3 2 7 5 3" xfId="51329" xr:uid="{53754099-FE64-40FB-9D14-F7C3F809174F}"/>
    <cellStyle name="Comma 2 3 3 2 7 5 4" xfId="54345" xr:uid="{7A738E34-054D-4D54-B9E9-F5D4D066307E}"/>
    <cellStyle name="Comma 2 3 3 2 7 6" xfId="48165" xr:uid="{6C1BCD39-A5D7-451E-A298-C0603C0AA214}"/>
    <cellStyle name="Comma 2 3 3 2 7 7" xfId="50223" xr:uid="{8B11B3B5-96E6-4764-9B0E-DF7E549FA7B3}"/>
    <cellStyle name="Comma 2 3 3 2 7 8" xfId="53239" xr:uid="{B73F50E4-7868-474C-9973-AC609FE2A44C}"/>
    <cellStyle name="Comma 2 3 3 2 8" xfId="13374" xr:uid="{3D071428-4660-47B3-A037-1CC912794E58}"/>
    <cellStyle name="Comma 2 3 3 2 9" xfId="14497" xr:uid="{ACFEEE99-C32D-4E38-8601-0F0DD88F2DD8}"/>
    <cellStyle name="Comma 2 3 3 2 9 2" xfId="22044" xr:uid="{359FA72D-ECE5-466C-B807-9D7412ED007E}"/>
    <cellStyle name="Comma 2 3 3 2 9 3" xfId="46389" xr:uid="{6F5002DF-9129-4031-96A6-8A3351861EFB}"/>
    <cellStyle name="Comma 2 3 3 2 9 4" xfId="51382" xr:uid="{55F6D1DB-DEA7-481B-A676-21D0F50A4E23}"/>
    <cellStyle name="Comma 2 3 3 2 9 5" xfId="54398" xr:uid="{4DE8A2B1-04DF-41EE-876D-E9DF76E92B03}"/>
    <cellStyle name="Comma 2 3 3 3" xfId="5812" xr:uid="{DBD09C03-6BC1-4C1A-AA8A-1B0B2DE06A38}"/>
    <cellStyle name="Comma 2 3 3 3 10" xfId="12177" xr:uid="{FA611106-D1D5-497A-B63C-53E491FCD06F}"/>
    <cellStyle name="Comma 2 3 3 3 10 2" xfId="47817" xr:uid="{F460E6C1-1AA8-4929-909B-028D883C78CB}"/>
    <cellStyle name="Comma 2 3 3 3 10 3" xfId="50934" xr:uid="{B6562F41-CEC5-414E-9181-16A49534921D}"/>
    <cellStyle name="Comma 2 3 3 3 10 4" xfId="53950" xr:uid="{547FA2F4-485C-48F0-AF66-551FDDB02D65}"/>
    <cellStyle name="Comma 2 3 3 3 11" xfId="23717" xr:uid="{7AB58172-8E1D-4419-AED2-92228FC40AC7}"/>
    <cellStyle name="Comma 2 3 3 3 12" xfId="48607" xr:uid="{026FA99C-9486-4ACA-AF7C-230AFC04519C}"/>
    <cellStyle name="Comma 2 3 3 3 13" xfId="49517" xr:uid="{DA302695-0576-4E55-89A7-BB7FC276EF9F}"/>
    <cellStyle name="Comma 2 3 3 3 14" xfId="49801" xr:uid="{C70A8D38-2596-4DA2-9F5F-DB2CA6F9A8A4}"/>
    <cellStyle name="Comma 2 3 3 3 15" xfId="52816" xr:uid="{8F1F976A-48A6-4C72-B1B9-EA55FBEFD88E}"/>
    <cellStyle name="Comma 2 3 3 3 16" xfId="8924" xr:uid="{F42D2224-A3BE-4FAC-9E3B-30E8271EAC18}"/>
    <cellStyle name="Comma 2 3 3 3 2" xfId="10011" xr:uid="{607FD3FD-7E44-4749-A943-9379F6D1F759}"/>
    <cellStyle name="Comma 2 3 3 3 2 2" xfId="10319" xr:uid="{00ED828B-11FC-4604-B37C-6BA64252DC94}"/>
    <cellStyle name="Comma 2 3 3 3 2 2 2" xfId="14764" xr:uid="{2B89DFAC-E9BB-4471-AA80-7457355B2FDB}"/>
    <cellStyle name="Comma 2 3 3 3 2 2 2 2" xfId="22311" xr:uid="{CBB6F2D0-6F31-4627-BFC2-5C1ECD13055A}"/>
    <cellStyle name="Comma 2 3 3 3 2 2 2 3" xfId="48504" xr:uid="{0DD38E2E-5CF4-46D2-9E2E-574A47107FB4}"/>
    <cellStyle name="Comma 2 3 3 3 2 2 2 4" xfId="51649" xr:uid="{73420C2C-2DD0-4578-810B-45680CBD0487}"/>
    <cellStyle name="Comma 2 3 3 3 2 2 2 5" xfId="54665" xr:uid="{206A23A2-D5FA-4041-B3E9-038A1F9A24CE}"/>
    <cellStyle name="Comma 2 3 3 3 2 2 3" xfId="15249" xr:uid="{4A6816C3-FCD2-49AE-9D39-62E918A5F24F}"/>
    <cellStyle name="Comma 2 3 3 3 2 2 3 2" xfId="22788" xr:uid="{C09C36D6-75FD-4AF9-96F5-52B0E55823A5}"/>
    <cellStyle name="Comma 2 3 3 3 2 2 3 3" xfId="47189" xr:uid="{F5B6686C-864E-48CF-A953-EAF55EF4EFDB}"/>
    <cellStyle name="Comma 2 3 3 3 2 2 3 4" xfId="52126" xr:uid="{4B6FAB7F-17AA-49F3-A9FF-199F40CD24E4}"/>
    <cellStyle name="Comma 2 3 3 3 2 2 3 5" xfId="55142" xr:uid="{5FA7C494-87E1-43AB-8539-F558B691BCD4}"/>
    <cellStyle name="Comma 2 3 3 3 2 2 4" xfId="15736" xr:uid="{99254E5D-5ABB-456D-A867-936A6E416DB4}"/>
    <cellStyle name="Comma 2 3 3 3 2 2 4 2" xfId="23265" xr:uid="{2C49CD95-6400-4E5A-B572-3CDB9390ADFB}"/>
    <cellStyle name="Comma 2 3 3 3 2 2 4 3" xfId="47970" xr:uid="{21BD8016-1A24-489F-BB81-3488C77FA3E7}"/>
    <cellStyle name="Comma 2 3 3 3 2 2 4 4" xfId="52603" xr:uid="{2D0D6500-3718-4FB1-B193-7E299CB87D15}"/>
    <cellStyle name="Comma 2 3 3 3 2 2 4 5" xfId="55619" xr:uid="{CBF7D2CA-8D82-41AE-8641-5BC0324779A1}"/>
    <cellStyle name="Comma 2 3 3 3 2 2 5" xfId="12772" xr:uid="{0ABA650F-F908-4835-87EB-711F59A670F0}"/>
    <cellStyle name="Comma 2 3 3 3 2 2 5 2" xfId="46351" xr:uid="{0FAA2A9D-87CC-4F37-BB8E-9BA76D811630}"/>
    <cellStyle name="Comma 2 3 3 3 2 2 5 3" xfId="51172" xr:uid="{C784874B-B1F2-48F9-A825-4FAE2CAF504D}"/>
    <cellStyle name="Comma 2 3 3 3 2 2 5 4" xfId="54188" xr:uid="{568AB2E6-3CFE-41A5-BAB8-9357731FB9A9}"/>
    <cellStyle name="Comma 2 3 3 3 2 2 6" xfId="24333" xr:uid="{28A494A3-FBB2-4F6E-8822-375F97AD9A38}"/>
    <cellStyle name="Comma 2 3 3 3 2 2 7" xfId="50066" xr:uid="{5F5692D2-2DBC-406E-9B3F-CC5052B1AC6D}"/>
    <cellStyle name="Comma 2 3 3 3 2 2 8" xfId="53082" xr:uid="{9042DE8F-1823-4867-8DB3-D1A2707A9C78}"/>
    <cellStyle name="Comma 2 3 3 3 2 3" xfId="14552" xr:uid="{4E3C0CD4-149A-4D6E-B2DB-C60124078D1C}"/>
    <cellStyle name="Comma 2 3 3 3 2 3 2" xfId="22099" xr:uid="{C685BED7-80E1-4293-8F97-BCFDA21A7D59}"/>
    <cellStyle name="Comma 2 3 3 3 2 3 3" xfId="46396" xr:uid="{36AA9864-31F1-420F-AE55-A1CDAE627C2B}"/>
    <cellStyle name="Comma 2 3 3 3 2 3 4" xfId="51437" xr:uid="{F11F25E3-39DC-4FD7-AA59-BA4C09DDD15A}"/>
    <cellStyle name="Comma 2 3 3 3 2 3 5" xfId="54453" xr:uid="{0A064592-D949-4724-9B20-BEF475C16734}"/>
    <cellStyle name="Comma 2 3 3 3 2 4" xfId="15036" xr:uid="{D3346C67-CEC7-478F-8378-A2E8DEA63094}"/>
    <cellStyle name="Comma 2 3 3 3 2 4 2" xfId="22576" xr:uid="{2D208AD5-06DB-4FD3-BC44-5C567BBC244F}"/>
    <cellStyle name="Comma 2 3 3 3 2 4 3" xfId="46874" xr:uid="{97DC1208-FBA6-4C4A-A8BD-98E5287063F1}"/>
    <cellStyle name="Comma 2 3 3 3 2 4 4" xfId="51914" xr:uid="{83A88AF5-3DED-4885-80DE-A826F78EA660}"/>
    <cellStyle name="Comma 2 3 3 3 2 4 5" xfId="54930" xr:uid="{09D60681-C193-487C-9BDB-D49E4EE4F09F}"/>
    <cellStyle name="Comma 2 3 3 3 2 5" xfId="15523" xr:uid="{2809D93E-5010-482B-A703-3D056A4F6803}"/>
    <cellStyle name="Comma 2 3 3 3 2 5 2" xfId="23053" xr:uid="{820F21B7-488E-4A2B-9F9B-424BD30E062A}"/>
    <cellStyle name="Comma 2 3 3 3 2 5 3" xfId="24651" xr:uid="{1E81F203-44AB-4401-A501-9096E75CE2C1}"/>
    <cellStyle name="Comma 2 3 3 3 2 5 4" xfId="52391" xr:uid="{CC3D0EDD-6AEB-4981-80E8-6A069E9E03C3}"/>
    <cellStyle name="Comma 2 3 3 3 2 5 5" xfId="55407" xr:uid="{232375CD-76D2-4AA8-8C2E-81EF1C91C2FF}"/>
    <cellStyle name="Comma 2 3 3 3 2 6" xfId="12471" xr:uid="{8C4280C6-C09F-4EC0-8A06-063E329164E3}"/>
    <cellStyle name="Comma 2 3 3 3 2 6 2" xfId="47858" xr:uid="{FB48FD94-285E-4ACA-8DEC-C087D9EB553B}"/>
    <cellStyle name="Comma 2 3 3 3 2 6 3" xfId="50960" xr:uid="{6DB3C008-FC38-41A6-990F-554845C127BF}"/>
    <cellStyle name="Comma 2 3 3 3 2 6 4" xfId="53976" xr:uid="{0A855877-258F-4DCB-AF98-553F6C24BEF5}"/>
    <cellStyle name="Comma 2 3 3 3 2 7" xfId="46021" xr:uid="{B8B756BC-90C4-4D9A-B159-4CB8526236C7}"/>
    <cellStyle name="Comma 2 3 3 3 2 8" xfId="49854" xr:uid="{A1FD478E-2C36-402F-BE69-F421CBF40D8F}"/>
    <cellStyle name="Comma 2 3 3 3 2 9" xfId="52870" xr:uid="{CABCD0B0-2D0E-40D4-BA63-F28F0C0FEA86}"/>
    <cellStyle name="Comma 2 3 3 3 3" xfId="10085" xr:uid="{3B2AB6DA-8641-4AEC-8E7A-7CC1D97EB31B}"/>
    <cellStyle name="Comma 2 3 3 3 3 2" xfId="10398" xr:uid="{C251B392-A011-43D2-9DEB-CA1223890AE8}"/>
    <cellStyle name="Comma 2 3 3 3 3 2 2" xfId="14817" xr:uid="{08991D33-48DA-44BC-A1E8-880C90272515}"/>
    <cellStyle name="Comma 2 3 3 3 3 2 2 2" xfId="22364" xr:uid="{3DF53ED3-5F59-48F1-A20F-E99B89A334F6}"/>
    <cellStyle name="Comma 2 3 3 3 3 2 2 3" xfId="32527" xr:uid="{0F43B9C8-EA9A-4C88-BC9C-101CF4FC2677}"/>
    <cellStyle name="Comma 2 3 3 3 3 2 2 4" xfId="51702" xr:uid="{D1A4D807-C1C1-42F1-9B3B-354536C3A69B}"/>
    <cellStyle name="Comma 2 3 3 3 3 2 2 5" xfId="54718" xr:uid="{5E20933D-8229-4C11-A88D-B6F894119D7B}"/>
    <cellStyle name="Comma 2 3 3 3 3 2 3" xfId="15302" xr:uid="{7E99657C-6307-4A75-BCF7-724C10A1C447}"/>
    <cellStyle name="Comma 2 3 3 3 3 2 3 2" xfId="22841" xr:uid="{11C75D43-673B-43D6-890B-48BFD970C0DE}"/>
    <cellStyle name="Comma 2 3 3 3 3 2 3 3" xfId="48019" xr:uid="{F2EC4816-0A4B-4597-96F8-0794BAF486D8}"/>
    <cellStyle name="Comma 2 3 3 3 3 2 3 4" xfId="52179" xr:uid="{27CE4F7C-0F54-4E72-B935-30E479FA04FC}"/>
    <cellStyle name="Comma 2 3 3 3 3 2 3 5" xfId="55195" xr:uid="{FC0AB2C8-A343-4068-9B4F-A1965FFA2EAB}"/>
    <cellStyle name="Comma 2 3 3 3 3 2 4" xfId="15789" xr:uid="{1861D49C-CBB4-49CC-BED1-269F1A987830}"/>
    <cellStyle name="Comma 2 3 3 3 3 2 4 2" xfId="23318" xr:uid="{F3A14F93-08F3-4FFB-B641-05580D5DFDB6}"/>
    <cellStyle name="Comma 2 3 3 3 3 2 4 3" xfId="46965" xr:uid="{82CC6C89-DF0A-4ED5-B1A5-EA2520576C22}"/>
    <cellStyle name="Comma 2 3 3 3 3 2 4 4" xfId="52656" xr:uid="{D0B27469-7449-469B-AB6E-643A5AEA70DE}"/>
    <cellStyle name="Comma 2 3 3 3 3 2 4 5" xfId="55672" xr:uid="{55524865-59F0-424F-9DA1-B38BA32034E3}"/>
    <cellStyle name="Comma 2 3 3 3 3 2 5" xfId="12851" xr:uid="{BA648AA0-42C9-4A75-B7FA-DA2564879AC1}"/>
    <cellStyle name="Comma 2 3 3 3 3 2 5 2" xfId="47565" xr:uid="{E698D502-6183-444C-9258-61988794A5A8}"/>
    <cellStyle name="Comma 2 3 3 3 3 2 5 3" xfId="51225" xr:uid="{1738B1D8-6975-48AF-9D59-7B823CB4EC6E}"/>
    <cellStyle name="Comma 2 3 3 3 3 2 5 4" xfId="54241" xr:uid="{244CD865-A533-4034-AA90-3550675BAACA}"/>
    <cellStyle name="Comma 2 3 3 3 3 2 6" xfId="46107" xr:uid="{F30B7A80-299A-4C9F-9B92-B7156FF3E852}"/>
    <cellStyle name="Comma 2 3 3 3 3 2 7" xfId="50119" xr:uid="{E00DE7A4-0666-48A4-9B3A-C90E6499EAFE}"/>
    <cellStyle name="Comma 2 3 3 3 3 2 8" xfId="53135" xr:uid="{A543840C-344A-4FB5-8E2E-AB059CA259F4}"/>
    <cellStyle name="Comma 2 3 3 3 3 3" xfId="14605" xr:uid="{5D435CD7-EEBD-4C35-AF2C-BBEDF73A80E4}"/>
    <cellStyle name="Comma 2 3 3 3 3 3 2" xfId="22152" xr:uid="{98572BD2-88D2-4DD5-A1DF-74D1200FC3D1}"/>
    <cellStyle name="Comma 2 3 3 3 3 3 3" xfId="48095" xr:uid="{8C10D0C1-EC2D-44BB-9EED-5E7053B592F5}"/>
    <cellStyle name="Comma 2 3 3 3 3 3 4" xfId="51490" xr:uid="{BFC7D369-EEE3-455D-9403-B047684BD36E}"/>
    <cellStyle name="Comma 2 3 3 3 3 3 5" xfId="54506" xr:uid="{096E0FEC-C774-4C9C-ADA3-94C5EEA997B3}"/>
    <cellStyle name="Comma 2 3 3 3 3 4" xfId="15090" xr:uid="{EB1B0DFB-85F0-4885-BB24-23B8D67B2C2B}"/>
    <cellStyle name="Comma 2 3 3 3 3 4 2" xfId="22629" xr:uid="{CF8986C8-D4F1-4D0A-8E54-A14318A8AE7D}"/>
    <cellStyle name="Comma 2 3 3 3 3 4 3" xfId="47838" xr:uid="{E5855D2A-26E1-47F5-925F-A97CB7D2BA28}"/>
    <cellStyle name="Comma 2 3 3 3 3 4 4" xfId="51967" xr:uid="{313BC715-C0CE-41F8-8237-778E7AC65BF7}"/>
    <cellStyle name="Comma 2 3 3 3 3 4 5" xfId="54983" xr:uid="{3F811ABA-68DA-42A2-9F2F-8C7E5739F979}"/>
    <cellStyle name="Comma 2 3 3 3 3 5" xfId="15577" xr:uid="{EE01A174-8582-4BB2-81BD-08422A58C1C6}"/>
    <cellStyle name="Comma 2 3 3 3 3 5 2" xfId="23106" xr:uid="{C66619C6-ABA0-43BC-ACDB-D58500841509}"/>
    <cellStyle name="Comma 2 3 3 3 3 5 3" xfId="48130" xr:uid="{1296428F-A651-4A52-AC35-EBCB9E79E5D0}"/>
    <cellStyle name="Comma 2 3 3 3 3 5 4" xfId="52444" xr:uid="{75DC60FD-4E2E-4E9F-A522-FE9E6F0EA6F3}"/>
    <cellStyle name="Comma 2 3 3 3 3 5 5" xfId="55460" xr:uid="{22170D4B-EE2B-4F13-8341-FFF0CB5828A4}"/>
    <cellStyle name="Comma 2 3 3 3 3 6" xfId="12542" xr:uid="{E24F3DD1-3E4C-4004-93FC-F8FB84536A2F}"/>
    <cellStyle name="Comma 2 3 3 3 3 6 2" xfId="25084" xr:uid="{A5B416E5-F475-424A-BD80-DB189DC19D6E}"/>
    <cellStyle name="Comma 2 3 3 3 3 6 3" xfId="51013" xr:uid="{B614EFB3-A457-42F1-A749-86D6415F0532}"/>
    <cellStyle name="Comma 2 3 3 3 3 6 4" xfId="54029" xr:uid="{4147A14F-AFFF-43B2-B3B7-C21996CD768A}"/>
    <cellStyle name="Comma 2 3 3 3 3 7" xfId="46038" xr:uid="{3607210C-A2EF-416A-8F34-17AF3B425A88}"/>
    <cellStyle name="Comma 2 3 3 3 3 8" xfId="49907" xr:uid="{A4618C85-B6EC-4198-84B3-7B250D6A90F5}"/>
    <cellStyle name="Comma 2 3 3 3 3 9" xfId="52923" xr:uid="{AFFCE54D-6C62-4A8E-B43E-9F9A302D128E}"/>
    <cellStyle name="Comma 2 3 3 3 4" xfId="10164" xr:uid="{4A2DFEB4-9345-453E-BA88-E3CDC7CC9D73}"/>
    <cellStyle name="Comma 2 3 3 3 4 2" xfId="10478" xr:uid="{68DFA0D4-0D9D-4AED-8D74-1DC1754941A5}"/>
    <cellStyle name="Comma 2 3 3 3 4 2 2" xfId="14870" xr:uid="{58F427DE-E82F-4F69-BA3F-697E035513F6}"/>
    <cellStyle name="Comma 2 3 3 3 4 2 2 2" xfId="22417" xr:uid="{4514008B-01AD-4F52-8284-FCCDDAEFB996}"/>
    <cellStyle name="Comma 2 3 3 3 4 2 2 3" xfId="48213" xr:uid="{29B6FCD9-1D07-41EF-9D51-5D608597D106}"/>
    <cellStyle name="Comma 2 3 3 3 4 2 2 4" xfId="51755" xr:uid="{658C0DEA-8F8C-4EE3-8321-FA7F4219F568}"/>
    <cellStyle name="Comma 2 3 3 3 4 2 2 5" xfId="54771" xr:uid="{A8DF7C98-9C1C-4F7C-89CA-7D6601F15B07}"/>
    <cellStyle name="Comma 2 3 3 3 4 2 3" xfId="15355" xr:uid="{6945C260-61DB-4D1F-8D35-91E638184B34}"/>
    <cellStyle name="Comma 2 3 3 3 4 2 3 2" xfId="22894" xr:uid="{8AF19A33-ACC7-4151-9A7A-600E347F014D}"/>
    <cellStyle name="Comma 2 3 3 3 4 2 3 3" xfId="46519" xr:uid="{79A1D580-F388-4B9B-9E06-F034CBAF4179}"/>
    <cellStyle name="Comma 2 3 3 3 4 2 3 4" xfId="52232" xr:uid="{DFD68A4B-91C8-45DC-BB83-5A380F3A9D21}"/>
    <cellStyle name="Comma 2 3 3 3 4 2 3 5" xfId="55248" xr:uid="{3F438BB8-A776-4972-AAC2-F64FC852052C}"/>
    <cellStyle name="Comma 2 3 3 3 4 2 4" xfId="15842" xr:uid="{7973227E-15B3-46C9-AB9D-5FFFFC0470F8}"/>
    <cellStyle name="Comma 2 3 3 3 4 2 4 2" xfId="23371" xr:uid="{91053B6C-1A21-49D0-9539-27E0BDCB36AC}"/>
    <cellStyle name="Comma 2 3 3 3 4 2 4 3" xfId="24156" xr:uid="{24FE9C03-9F6B-4F89-A85C-9E662E93FC1D}"/>
    <cellStyle name="Comma 2 3 3 3 4 2 4 4" xfId="52709" xr:uid="{76A48E35-9493-45B2-91B1-2CDD16023E6B}"/>
    <cellStyle name="Comma 2 3 3 3 4 2 4 5" xfId="55725" xr:uid="{4D393EAB-ABA8-4B29-B359-A280B27B24BD}"/>
    <cellStyle name="Comma 2 3 3 3 4 2 5" xfId="12931" xr:uid="{B5C264E7-C88F-4B1C-BEE2-F9196333B240}"/>
    <cellStyle name="Comma 2 3 3 3 4 2 5 2" xfId="32334" xr:uid="{56E92569-5CF1-4FFD-8EEB-9F74BD624329}"/>
    <cellStyle name="Comma 2 3 3 3 4 2 5 3" xfId="51278" xr:uid="{B4DB83B8-1094-42BE-A72E-FD8A729FC01B}"/>
    <cellStyle name="Comma 2 3 3 3 4 2 5 4" xfId="54294" xr:uid="{001AC309-5E41-4097-A0B9-0C0FC1EEEF75}"/>
    <cellStyle name="Comma 2 3 3 3 4 2 6" xfId="46127" xr:uid="{796FE1BA-C1A7-44D4-A7DC-A66D8F2D3F66}"/>
    <cellStyle name="Comma 2 3 3 3 4 2 7" xfId="50172" xr:uid="{98C91434-C011-48AE-94C5-C1DBFCBFF53A}"/>
    <cellStyle name="Comma 2 3 3 3 4 2 8" xfId="53188" xr:uid="{7028AD34-AB8C-438C-A8E5-F03D47FC1554}"/>
    <cellStyle name="Comma 2 3 3 3 4 3" xfId="14658" xr:uid="{7F2E80A0-E23A-4472-A6D6-C543BF359978}"/>
    <cellStyle name="Comma 2 3 3 3 4 3 2" xfId="22205" xr:uid="{605E97E0-7155-4A68-8930-4A84F5E21C3B}"/>
    <cellStyle name="Comma 2 3 3 3 4 3 3" xfId="48207" xr:uid="{1DD00369-26F2-429E-B8F8-B89AB3BAB976}"/>
    <cellStyle name="Comma 2 3 3 3 4 3 4" xfId="51543" xr:uid="{2DA81128-DDC0-4A23-A6CB-5BA4538B182B}"/>
    <cellStyle name="Comma 2 3 3 3 4 3 5" xfId="54559" xr:uid="{18D95584-1CF4-4F7B-B8A5-4DCC013D21CD}"/>
    <cellStyle name="Comma 2 3 3 3 4 4" xfId="15143" xr:uid="{1E0074AA-F52C-4210-A818-AC2F315613F1}"/>
    <cellStyle name="Comma 2 3 3 3 4 4 2" xfId="22682" xr:uid="{1CBE9C5E-F935-4AFA-A46B-ED0EF4C6D26F}"/>
    <cellStyle name="Comma 2 3 3 3 4 4 3" xfId="47039" xr:uid="{9A4A1156-1DF4-4F4E-B9F3-5E97308EAE5E}"/>
    <cellStyle name="Comma 2 3 3 3 4 4 4" xfId="52020" xr:uid="{81A42077-A0A7-42BB-80EE-3B98A6D06F7F}"/>
    <cellStyle name="Comma 2 3 3 3 4 4 5" xfId="55036" xr:uid="{C439BD23-40DE-4B80-82DA-3D1961C83F8C}"/>
    <cellStyle name="Comma 2 3 3 3 4 5" xfId="15630" xr:uid="{2C50A1F7-A445-442F-B993-0DB8E5082519}"/>
    <cellStyle name="Comma 2 3 3 3 4 5 2" xfId="23159" xr:uid="{AF65749C-6583-49A3-9D07-E8396399195E}"/>
    <cellStyle name="Comma 2 3 3 3 4 5 3" xfId="47437" xr:uid="{A7D97F41-60C7-4FD2-9051-3AAE9650587D}"/>
    <cellStyle name="Comma 2 3 3 3 4 5 4" xfId="52497" xr:uid="{11406608-C878-48E7-8A35-32BA7A96C255}"/>
    <cellStyle name="Comma 2 3 3 3 4 5 5" xfId="55513" xr:uid="{85706C9D-3B3D-4A06-980D-B055321FB457}"/>
    <cellStyle name="Comma 2 3 3 3 4 6" xfId="12618" xr:uid="{DC7D37D0-5405-4067-9684-9B2F5E396E4E}"/>
    <cellStyle name="Comma 2 3 3 3 4 6 2" xfId="46774" xr:uid="{54C2A6C3-CCE6-4067-B459-BA1A8EB1D1E4}"/>
    <cellStyle name="Comma 2 3 3 3 4 6 3" xfId="51066" xr:uid="{9A74E8CC-3E02-4857-A3AA-24F4840DA0FF}"/>
    <cellStyle name="Comma 2 3 3 3 4 6 4" xfId="54082" xr:uid="{BBFF2DAF-65E8-41AA-9535-D97890AA2A4C}"/>
    <cellStyle name="Comma 2 3 3 3 4 7" xfId="48089" xr:uid="{85AEF028-36F4-41F2-8590-D3505D576BA0}"/>
    <cellStyle name="Comma 2 3 3 3 4 8" xfId="49960" xr:uid="{2CA91E0D-C0A5-4472-80C0-54099D61A9AA}"/>
    <cellStyle name="Comma 2 3 3 3 4 9" xfId="52976" xr:uid="{39F103DE-AA92-4DEB-93A6-D56D073C8BBB}"/>
    <cellStyle name="Comma 2 3 3 3 5" xfId="10244" xr:uid="{4BADF85C-3A5A-46B5-81B5-8260580C4267}"/>
    <cellStyle name="Comma 2 3 3 3 5 2" xfId="14711" xr:uid="{C62FFDE6-F977-40FB-8389-41CBED2BD349}"/>
    <cellStyle name="Comma 2 3 3 3 5 2 2" xfId="22258" xr:uid="{FE2E7A0F-EA9A-459D-86B8-97A5FFF837CE}"/>
    <cellStyle name="Comma 2 3 3 3 5 2 3" xfId="33370" xr:uid="{BA666AAC-AABE-4604-939D-42829399E828}"/>
    <cellStyle name="Comma 2 3 3 3 5 2 4" xfId="51596" xr:uid="{4A403994-322E-4ABF-92AA-27ACC6D37A93}"/>
    <cellStyle name="Comma 2 3 3 3 5 2 5" xfId="54612" xr:uid="{AF7F6D18-6F7A-4AF8-8D2D-44378CDBF349}"/>
    <cellStyle name="Comma 2 3 3 3 5 3" xfId="15196" xr:uid="{EC539C67-D9FF-4145-A650-25353F786EBB}"/>
    <cellStyle name="Comma 2 3 3 3 5 3 2" xfId="22735" xr:uid="{88DDC486-E054-40AA-8F6F-4B70DF63FB89}"/>
    <cellStyle name="Comma 2 3 3 3 5 3 3" xfId="47394" xr:uid="{AB81FAEF-D198-42C9-850B-709CDF463DFA}"/>
    <cellStyle name="Comma 2 3 3 3 5 3 4" xfId="52073" xr:uid="{72C1907D-0DE7-4E6E-B578-C057BF9A757A}"/>
    <cellStyle name="Comma 2 3 3 3 5 3 5" xfId="55089" xr:uid="{9B978BA1-8133-4F38-AC32-25911D42C212}"/>
    <cellStyle name="Comma 2 3 3 3 5 4" xfId="15683" xr:uid="{0D5A5EC9-DAC4-4F84-A193-A4A0D97290D3}"/>
    <cellStyle name="Comma 2 3 3 3 5 4 2" xfId="23212" xr:uid="{0247D9F3-B34A-4085-8CE7-14BD87E4A0AB}"/>
    <cellStyle name="Comma 2 3 3 3 5 4 3" xfId="32324" xr:uid="{C8BBDB71-4175-4B9B-8EF9-08148388446F}"/>
    <cellStyle name="Comma 2 3 3 3 5 4 4" xfId="52550" xr:uid="{6F5A67C8-FB56-41F2-902D-6B698674D64C}"/>
    <cellStyle name="Comma 2 3 3 3 5 4 5" xfId="55566" xr:uid="{2C9C95D5-9876-4121-9C49-2A4AA1AA31F2}"/>
    <cellStyle name="Comma 2 3 3 3 5 5" xfId="12697" xr:uid="{B0C7F417-2582-4E45-8499-6613145FC030}"/>
    <cellStyle name="Comma 2 3 3 3 5 5 2" xfId="46342" xr:uid="{829FF7BE-0B92-4F27-99A5-BF3F2D4B8A7B}"/>
    <cellStyle name="Comma 2 3 3 3 5 5 3" xfId="51119" xr:uid="{1446A87C-E1B4-4850-AA69-CA5FF05260FA}"/>
    <cellStyle name="Comma 2 3 3 3 5 5 4" xfId="54135" xr:uid="{768E342D-F3B9-45A7-B2F2-9A4557D2DD9B}"/>
    <cellStyle name="Comma 2 3 3 3 5 6" xfId="46072" xr:uid="{0623919D-886F-4877-A559-FE0E0696C5EE}"/>
    <cellStyle name="Comma 2 3 3 3 5 7" xfId="50013" xr:uid="{53B00AC4-F885-4A83-BEC6-B8F6288BBE49}"/>
    <cellStyle name="Comma 2 3 3 3 5 8" xfId="53029" xr:uid="{302CDD85-F8AD-4429-B0B1-63BF8627C12F}"/>
    <cellStyle name="Comma 2 3 3 3 6" xfId="10558" xr:uid="{F94897A4-04F1-492E-B521-ECD5650CAF4D}"/>
    <cellStyle name="Comma 2 3 3 3 6 2" xfId="14923" xr:uid="{CA7CCA9A-5A4E-4197-94E2-6D5E2A5CE804}"/>
    <cellStyle name="Comma 2 3 3 3 6 2 2" xfId="22470" xr:uid="{E1D03C3F-04BB-45A3-806A-46976EACBCDE}"/>
    <cellStyle name="Comma 2 3 3 3 6 2 3" xfId="46684" xr:uid="{255E4A4E-BF2F-41E2-9302-29ABC453EF1B}"/>
    <cellStyle name="Comma 2 3 3 3 6 2 4" xfId="51808" xr:uid="{8F21B56E-C33C-4866-8761-CD5BF70BE2F9}"/>
    <cellStyle name="Comma 2 3 3 3 6 2 5" xfId="54824" xr:uid="{A89A1EB9-9691-4CF2-AC23-73965132E303}"/>
    <cellStyle name="Comma 2 3 3 3 6 3" xfId="15408" xr:uid="{19865513-10F9-4892-9364-E4E8B24AD88F}"/>
    <cellStyle name="Comma 2 3 3 3 6 3 2" xfId="22947" xr:uid="{EBD334CC-F03C-4F18-9770-2F5112484FDC}"/>
    <cellStyle name="Comma 2 3 3 3 6 3 3" xfId="34000" xr:uid="{617B09F4-6B9B-4E51-99BC-09CD7FA51AF9}"/>
    <cellStyle name="Comma 2 3 3 3 6 3 4" xfId="52285" xr:uid="{2B0DBE85-5807-47FA-98CA-73D28DAFB432}"/>
    <cellStyle name="Comma 2 3 3 3 6 3 5" xfId="55301" xr:uid="{0C5BE557-0343-48A6-AF40-DEB30832283B}"/>
    <cellStyle name="Comma 2 3 3 3 6 4" xfId="15896" xr:uid="{9F6AF2E7-BF6C-4FA6-80F3-8DB24978A366}"/>
    <cellStyle name="Comma 2 3 3 3 6 4 2" xfId="23424" xr:uid="{526083A9-B26B-44D0-9CF3-340BB0660579}"/>
    <cellStyle name="Comma 2 3 3 3 6 4 3" xfId="32280" xr:uid="{D834844D-DD9D-4083-8372-D99763AD0445}"/>
    <cellStyle name="Comma 2 3 3 3 6 4 4" xfId="52762" xr:uid="{9D72D5BE-701C-40D9-A09F-A86286EFB70F}"/>
    <cellStyle name="Comma 2 3 3 3 6 4 5" xfId="55778" xr:uid="{EA9B4EDF-7B61-441C-8CD4-20225CCD24CD}"/>
    <cellStyle name="Comma 2 3 3 3 6 5" xfId="13011" xr:uid="{8BA5BF54-71FC-4E98-AB98-ED48D9940A87}"/>
    <cellStyle name="Comma 2 3 3 3 6 5 2" xfId="47233" xr:uid="{A1F8ABE9-F15C-4D78-B137-405F7BBC8FAC}"/>
    <cellStyle name="Comma 2 3 3 3 6 5 3" xfId="51331" xr:uid="{4406E0ED-A3F9-478D-9E4C-8DF4B1FBEB1C}"/>
    <cellStyle name="Comma 2 3 3 3 6 5 4" xfId="54347" xr:uid="{AAFDF0FB-0EC6-4403-A7E3-0368B5A8C56F}"/>
    <cellStyle name="Comma 2 3 3 3 6 6" xfId="24259" xr:uid="{ABFF2311-9CED-4C89-8F04-AFE7B3FCBD61}"/>
    <cellStyle name="Comma 2 3 3 3 6 7" xfId="50225" xr:uid="{9A2D1815-6ED3-4927-82E6-C65C894EDF4E}"/>
    <cellStyle name="Comma 2 3 3 3 6 8" xfId="53241" xr:uid="{34649781-27C2-4769-9351-707329D3F1F8}"/>
    <cellStyle name="Comma 2 3 3 3 7" xfId="14499" xr:uid="{3134330D-82FA-45B3-93B1-024EC09EF4DD}"/>
    <cellStyle name="Comma 2 3 3 3 7 2" xfId="22046" xr:uid="{B13036FA-0D76-4AAE-BC3C-5F9F77720B50}"/>
    <cellStyle name="Comma 2 3 3 3 7 3" xfId="47826" xr:uid="{7D8FC8E7-8F4B-4DA7-8038-FD129CAD70D4}"/>
    <cellStyle name="Comma 2 3 3 3 7 4" xfId="51384" xr:uid="{8DE65D16-B619-49EA-9241-7F399F8F3F2A}"/>
    <cellStyle name="Comma 2 3 3 3 7 5" xfId="54400" xr:uid="{E7C0089A-2EA9-4BD9-9742-0F82BD2E440F}"/>
    <cellStyle name="Comma 2 3 3 3 8" xfId="14983" xr:uid="{51689C52-6B1D-4601-88C8-9F4D25DF9000}"/>
    <cellStyle name="Comma 2 3 3 3 8 2" xfId="22523" xr:uid="{FD30D35C-2306-42AF-9FE7-30873ACEC126}"/>
    <cellStyle name="Comma 2 3 3 3 8 3" xfId="46461" xr:uid="{47DE919F-F1AD-4924-BCBF-44DBADF9142D}"/>
    <cellStyle name="Comma 2 3 3 3 8 4" xfId="51861" xr:uid="{E573E620-FBA3-42D0-B1A8-B742BAC0CED7}"/>
    <cellStyle name="Comma 2 3 3 3 8 5" xfId="54877" xr:uid="{CF77DD6E-84B0-4258-A79B-AC68FB6E1644}"/>
    <cellStyle name="Comma 2 3 3 3 9" xfId="15470" xr:uid="{6F14ABA7-2EE0-4EC2-88C6-56B1334494C1}"/>
    <cellStyle name="Comma 2 3 3 3 9 2" xfId="23000" xr:uid="{4DB1EA38-8758-4699-B65E-4E114179135C}"/>
    <cellStyle name="Comma 2 3 3 3 9 3" xfId="48385" xr:uid="{90DB06A0-3F8D-4EA2-AFE3-3ED4BC8B043F}"/>
    <cellStyle name="Comma 2 3 3 3 9 4" xfId="52338" xr:uid="{B67D98C3-2CEE-4FAF-8810-4B2852288A92}"/>
    <cellStyle name="Comma 2 3 3 3 9 5" xfId="55354" xr:uid="{A1F37E8D-AB34-42D6-9679-776CEFCDD68F}"/>
    <cellStyle name="Comma 2 3 3 4" xfId="9600" xr:uid="{E2B60A01-B2D5-4A09-9233-5CDAEA742089}"/>
    <cellStyle name="Comma 2 3 3 5" xfId="11155" xr:uid="{C6ED8799-30B0-4A5D-A980-72BA5A6B5F1D}"/>
    <cellStyle name="Comma 2 3 3 6" xfId="11186" xr:uid="{14997A01-1840-4CBC-A7EF-946D8E8C2A3E}"/>
    <cellStyle name="Comma 2 3 3 6 2" xfId="21683" xr:uid="{970D0524-7356-461F-8698-1EBE349593D4}"/>
    <cellStyle name="Comma 2 3 3 6 3" xfId="47680" xr:uid="{0488DE54-7F81-4C32-81DC-637813DBFD5E}"/>
    <cellStyle name="Comma 2 3 3 6 4" xfId="50699" xr:uid="{B87441D8-A244-4450-A2EF-807FEBF7346D}"/>
    <cellStyle name="Comma 2 3 3 6 5" xfId="53715" xr:uid="{AE283084-088E-453D-B4AC-A288633A10C7}"/>
    <cellStyle name="Comma 2 3 3 7" xfId="19473" xr:uid="{0D7984B0-D934-410A-B899-155727F469DE}"/>
    <cellStyle name="Comma 2 3 3 8" xfId="23714" xr:uid="{BA6AF5FF-366B-4974-AE3B-492DA705C450}"/>
    <cellStyle name="Comma 2 3 3 9" xfId="48604" xr:uid="{503FBF52-515C-4FB7-9D1A-EBDC0F065E58}"/>
    <cellStyle name="Comma 2 3 4" xfId="2613" xr:uid="{41019E59-81DB-4908-B0D9-F616798FF7AD}"/>
    <cellStyle name="Comma 2 3 4 2" xfId="4532" xr:uid="{4B789FC1-6E81-4394-82CA-DEEF6D57BF65}"/>
    <cellStyle name="Comma 2 3 4 2 10" xfId="15471" xr:uid="{973C67D9-9F47-4001-8EAA-EE7A76C3B895}"/>
    <cellStyle name="Comma 2 3 4 2 10 2" xfId="23001" xr:uid="{D8FD3E7D-6272-447D-A1F0-A74391A9FCFA}"/>
    <cellStyle name="Comma 2 3 4 2 10 3" xfId="46694" xr:uid="{F11E7710-C58F-4311-825A-04A624020610}"/>
    <cellStyle name="Comma 2 3 4 2 10 4" xfId="52339" xr:uid="{C975CAE0-213D-4C0E-A605-C528AA6810EA}"/>
    <cellStyle name="Comma 2 3 4 2 10 5" xfId="55355" xr:uid="{A671DA2F-CAE9-4C08-A7B1-38015AB9374F}"/>
    <cellStyle name="Comma 2 3 4 2 11" xfId="11162" xr:uid="{64B6F6FF-0FCB-4452-997D-63D34257025C}"/>
    <cellStyle name="Comma 2 3 4 2 11 2" xfId="21677" xr:uid="{31B3D145-FF1A-48C5-A68F-1D78E3D05B4F}"/>
    <cellStyle name="Comma 2 3 4 2 11 3" xfId="46274" xr:uid="{37EB7811-3038-4722-BCDB-5041A13AE136}"/>
    <cellStyle name="Comma 2 3 4 2 11 4" xfId="50693" xr:uid="{C12A9902-94E5-4248-A51D-1760FEBE167D}"/>
    <cellStyle name="Comma 2 3 4 2 11 5" xfId="53709" xr:uid="{FB484BA0-1B38-4CBD-A585-576CD2BBA716}"/>
    <cellStyle name="Comma 2 3 4 2 12" xfId="23719" xr:uid="{A34DFF9F-7532-4EE8-829D-4D959C68022B}"/>
    <cellStyle name="Comma 2 3 4 2 13" xfId="48609" xr:uid="{1C644DD5-9B6E-4A1B-980B-40341EA770E2}"/>
    <cellStyle name="Comma 2 3 4 2 14" xfId="49519" xr:uid="{97C1874C-481A-478B-8F02-518536DD2148}"/>
    <cellStyle name="Comma 2 3 4 2 15" xfId="49802" xr:uid="{22D55E92-C958-467F-8852-F0D8B58D7519}"/>
    <cellStyle name="Comma 2 3 4 2 16" xfId="52817" xr:uid="{FE69728A-D18B-4A8A-9779-6CFDF63DB2AD}"/>
    <cellStyle name="Comma 2 3 4 2 17" xfId="8925" xr:uid="{2D65130C-4FE7-4F60-A7AD-4ACD7B9DF9F4}"/>
    <cellStyle name="Comma 2 3 4 2 2" xfId="10012" xr:uid="{9CEF64B3-7B0C-4D8D-AB0F-A02D9DD31350}"/>
    <cellStyle name="Comma 2 3 4 2 2 2" xfId="10320" xr:uid="{2839EF62-7D8B-4ED3-A4AB-22679D310824}"/>
    <cellStyle name="Comma 2 3 4 2 2 2 2" xfId="14765" xr:uid="{4EA23EF0-E642-484E-B03A-556BE975606B}"/>
    <cellStyle name="Comma 2 3 4 2 2 2 2 2" xfId="22312" xr:uid="{53E8C14F-51E3-46CF-A768-4B35D9FB445C}"/>
    <cellStyle name="Comma 2 3 4 2 2 2 2 3" xfId="25301" xr:uid="{5ABBEC66-62D5-4DBE-A876-CDCC91B432F5}"/>
    <cellStyle name="Comma 2 3 4 2 2 2 2 4" xfId="51650" xr:uid="{8ED4AEC9-AC0A-44B8-822B-CBA5685B1784}"/>
    <cellStyle name="Comma 2 3 4 2 2 2 2 5" xfId="54666" xr:uid="{3C256CC0-514B-4082-BB60-68AD6BF6413B}"/>
    <cellStyle name="Comma 2 3 4 2 2 2 3" xfId="15250" xr:uid="{30FE6953-40E8-4E77-9556-63A475A6FEB5}"/>
    <cellStyle name="Comma 2 3 4 2 2 2 3 2" xfId="22789" xr:uid="{5ECD68CA-5344-4224-B8CE-E68D1A09F6F6}"/>
    <cellStyle name="Comma 2 3 4 2 2 2 3 3" xfId="24179" xr:uid="{A42A616A-F7DB-4C60-A69B-EFE92196AB9B}"/>
    <cellStyle name="Comma 2 3 4 2 2 2 3 4" xfId="52127" xr:uid="{1C355221-4CF2-4730-8285-63824BD0D009}"/>
    <cellStyle name="Comma 2 3 4 2 2 2 3 5" xfId="55143" xr:uid="{F4B40977-1F0E-4323-9B6C-B1945D9EBDE5}"/>
    <cellStyle name="Comma 2 3 4 2 2 2 4" xfId="15737" xr:uid="{98ED245C-F942-4381-84E7-9619A4E9BBF4}"/>
    <cellStyle name="Comma 2 3 4 2 2 2 4 2" xfId="23266" xr:uid="{A2581EAE-5CE5-410F-BCA1-BC154C3358CD}"/>
    <cellStyle name="Comma 2 3 4 2 2 2 4 3" xfId="46579" xr:uid="{12F7E386-C873-4406-A397-CE25FCF43293}"/>
    <cellStyle name="Comma 2 3 4 2 2 2 4 4" xfId="52604" xr:uid="{AA58ACA2-2513-4CF1-870E-FD884349F477}"/>
    <cellStyle name="Comma 2 3 4 2 2 2 4 5" xfId="55620" xr:uid="{71D097C3-6E88-4656-8BB3-AE18DC1D2BB0}"/>
    <cellStyle name="Comma 2 3 4 2 2 2 5" xfId="12773" xr:uid="{E2B619D6-1455-48DC-A64E-09B08E1C95A7}"/>
    <cellStyle name="Comma 2 3 4 2 2 2 5 2" xfId="25056" xr:uid="{7592CA7C-627E-47E1-8A07-647792C179A7}"/>
    <cellStyle name="Comma 2 3 4 2 2 2 5 3" xfId="51173" xr:uid="{320A5600-E7C2-49C7-B2E8-8E6E7129BF1F}"/>
    <cellStyle name="Comma 2 3 4 2 2 2 5 4" xfId="54189" xr:uid="{58030C92-D073-4EFA-BBCE-ACB426115685}"/>
    <cellStyle name="Comma 2 3 4 2 2 2 6" xfId="47360" xr:uid="{B34CDA71-5E39-411C-9D3E-63316FB06E1E}"/>
    <cellStyle name="Comma 2 3 4 2 2 2 7" xfId="50067" xr:uid="{2D2634B4-3584-4F7A-8919-E33D1ADBA62C}"/>
    <cellStyle name="Comma 2 3 4 2 2 2 8" xfId="53083" xr:uid="{CF3510EC-564C-45AE-9208-EA5071AE8338}"/>
    <cellStyle name="Comma 2 3 4 2 2 3" xfId="14553" xr:uid="{8AB7FF64-D754-4FCD-8033-9E8F468E5587}"/>
    <cellStyle name="Comma 2 3 4 2 2 3 2" xfId="22100" xr:uid="{5B42144F-BDBD-4CB1-ADBA-88DF8141EEB8}"/>
    <cellStyle name="Comma 2 3 4 2 2 3 3" xfId="24979" xr:uid="{49EBC87E-53F5-48D2-ACD3-9FBB4F4EC443}"/>
    <cellStyle name="Comma 2 3 4 2 2 3 4" xfId="51438" xr:uid="{04677D73-7E77-447A-81C1-547E3737BFE2}"/>
    <cellStyle name="Comma 2 3 4 2 2 3 5" xfId="54454" xr:uid="{958995A2-A2A5-451D-A528-234C6F08E158}"/>
    <cellStyle name="Comma 2 3 4 2 2 4" xfId="15037" xr:uid="{2BAFC2B6-8F52-422D-9484-D400512657E5}"/>
    <cellStyle name="Comma 2 3 4 2 2 4 2" xfId="22577" xr:uid="{44266408-9924-47C0-A561-E91011CAD392}"/>
    <cellStyle name="Comma 2 3 4 2 2 4 3" xfId="48065" xr:uid="{3533BC2C-E27E-463A-A7F0-AAD6EC7177FD}"/>
    <cellStyle name="Comma 2 3 4 2 2 4 4" xfId="51915" xr:uid="{F14ED952-C681-4D1F-84E8-BD70E77DC9E3}"/>
    <cellStyle name="Comma 2 3 4 2 2 4 5" xfId="54931" xr:uid="{01616061-BC97-4319-8C15-2AD920B19E0B}"/>
    <cellStyle name="Comma 2 3 4 2 2 5" xfId="15524" xr:uid="{397F5BA1-8E87-478F-8850-DCD9A30ECBAA}"/>
    <cellStyle name="Comma 2 3 4 2 2 5 2" xfId="23054" xr:uid="{F0CAACBF-C31D-4A11-AADE-7B8161CDB87E}"/>
    <cellStyle name="Comma 2 3 4 2 2 5 3" xfId="48224" xr:uid="{7D11330A-07D3-4E83-9C0C-8FED23503418}"/>
    <cellStyle name="Comma 2 3 4 2 2 5 4" xfId="52392" xr:uid="{3C11777A-071D-45BB-B825-132D63BF0946}"/>
    <cellStyle name="Comma 2 3 4 2 2 5 5" xfId="55408" xr:uid="{63665518-EE44-41F7-A741-6B8000AF1887}"/>
    <cellStyle name="Comma 2 3 4 2 2 6" xfId="12472" xr:uid="{D798500C-DA41-42A0-960F-C6899B2CFAE2}"/>
    <cellStyle name="Comma 2 3 4 2 2 6 2" xfId="48584" xr:uid="{C90875FD-450D-472E-9661-B6C40B6C9A04}"/>
    <cellStyle name="Comma 2 3 4 2 2 6 3" xfId="50961" xr:uid="{B14F59A8-685C-4379-B096-95254222EFD8}"/>
    <cellStyle name="Comma 2 3 4 2 2 6 4" xfId="53977" xr:uid="{FED7D60A-4E95-435F-98F0-970CA17CABC7}"/>
    <cellStyle name="Comma 2 3 4 2 2 7" xfId="46022" xr:uid="{2FA1C153-97D7-436F-99D2-060091D3D806}"/>
    <cellStyle name="Comma 2 3 4 2 2 8" xfId="49855" xr:uid="{DF19D266-C541-4D65-BDC6-DC7C18F7A6CD}"/>
    <cellStyle name="Comma 2 3 4 2 2 9" xfId="52871" xr:uid="{2007564D-E020-4BC7-A054-53A092F69542}"/>
    <cellStyle name="Comma 2 3 4 2 3" xfId="10086" xr:uid="{B0D5279D-25D5-45DC-800D-20BF3441B5AC}"/>
    <cellStyle name="Comma 2 3 4 2 3 2" xfId="10399" xr:uid="{BED88A0B-3C2B-402F-9BEA-E769D54F32E6}"/>
    <cellStyle name="Comma 2 3 4 2 3 2 2" xfId="14818" xr:uid="{4C839779-92E5-456A-99E9-E8325646BF54}"/>
    <cellStyle name="Comma 2 3 4 2 3 2 2 2" xfId="22365" xr:uid="{C24D95C0-3539-4C0F-BECA-577954A76066}"/>
    <cellStyle name="Comma 2 3 4 2 3 2 2 3" xfId="48064" xr:uid="{B3E49431-B201-46FA-A6F3-1784832705A1}"/>
    <cellStyle name="Comma 2 3 4 2 3 2 2 4" xfId="51703" xr:uid="{80653393-5A4E-46CA-97D9-5A9A987B2259}"/>
    <cellStyle name="Comma 2 3 4 2 3 2 2 5" xfId="54719" xr:uid="{19932575-C0D1-4CAA-9CB1-9F3C41B11598}"/>
    <cellStyle name="Comma 2 3 4 2 3 2 3" xfId="15303" xr:uid="{4DEF75F7-DE44-4F89-A5B6-EEB194D9ED22}"/>
    <cellStyle name="Comma 2 3 4 2 3 2 3 2" xfId="22842" xr:uid="{BCCC6EFE-8EFC-477B-AE17-322BC5E92054}"/>
    <cellStyle name="Comma 2 3 4 2 3 2 3 3" xfId="24444" xr:uid="{9671A0B8-B532-455B-AC28-CC32059FB733}"/>
    <cellStyle name="Comma 2 3 4 2 3 2 3 4" xfId="52180" xr:uid="{4C1CD2C8-A352-443E-805D-B78CFA1E53C4}"/>
    <cellStyle name="Comma 2 3 4 2 3 2 3 5" xfId="55196" xr:uid="{2997971F-012C-4696-9E9A-694BF0E4681C}"/>
    <cellStyle name="Comma 2 3 4 2 3 2 4" xfId="15790" xr:uid="{533F5FF7-4E76-4231-AC8E-DC6978465F39}"/>
    <cellStyle name="Comma 2 3 4 2 3 2 4 2" xfId="23319" xr:uid="{AB3522C1-0C52-4D40-95D4-0D5024F6ABB5}"/>
    <cellStyle name="Comma 2 3 4 2 3 2 4 3" xfId="48083" xr:uid="{C89C2ADB-6A47-4CB5-8FAF-1BA4ED841C04}"/>
    <cellStyle name="Comma 2 3 4 2 3 2 4 4" xfId="52657" xr:uid="{062F3C55-09DB-439E-95A4-C33A765870A0}"/>
    <cellStyle name="Comma 2 3 4 2 3 2 4 5" xfId="55673" xr:uid="{C11A4F64-FC75-4F3C-A4C0-484A86540FCA}"/>
    <cellStyle name="Comma 2 3 4 2 3 2 5" xfId="12852" xr:uid="{381F75B4-087F-428B-8DEE-2F98C17F09AA}"/>
    <cellStyle name="Comma 2 3 4 2 3 2 5 2" xfId="48533" xr:uid="{9C0DB007-0269-47AC-AA28-6DE4505B8D18}"/>
    <cellStyle name="Comma 2 3 4 2 3 2 5 3" xfId="51226" xr:uid="{E6DD873E-A539-4672-96F7-FC47037BA29D}"/>
    <cellStyle name="Comma 2 3 4 2 3 2 5 4" xfId="54242" xr:uid="{3DEB45B9-4BFD-43FC-B250-D3A9E9ED4F56}"/>
    <cellStyle name="Comma 2 3 4 2 3 2 6" xfId="48456" xr:uid="{864A6F75-D148-472F-8318-96269D19D621}"/>
    <cellStyle name="Comma 2 3 4 2 3 2 7" xfId="50120" xr:uid="{8D49CE4C-36CA-4D7E-8255-8B481AF1EE3D}"/>
    <cellStyle name="Comma 2 3 4 2 3 2 8" xfId="53136" xr:uid="{0191505F-DBD4-4FD2-B007-0F571128AB9F}"/>
    <cellStyle name="Comma 2 3 4 2 3 3" xfId="14606" xr:uid="{C7403158-6A13-4F63-A65D-2B7223657587}"/>
    <cellStyle name="Comma 2 3 4 2 3 3 2" xfId="22153" xr:uid="{FDD46C1D-14D2-4D28-81BB-BEF4E8119B29}"/>
    <cellStyle name="Comma 2 3 4 2 3 3 3" xfId="46676" xr:uid="{E5A1AF95-EFAC-45BF-BA7D-29BA1E69BFD8}"/>
    <cellStyle name="Comma 2 3 4 2 3 3 4" xfId="51491" xr:uid="{9BE8C2F4-BE6E-4D23-85F2-4F21420FFCDB}"/>
    <cellStyle name="Comma 2 3 4 2 3 3 5" xfId="54507" xr:uid="{383EA049-0DF2-4D75-8BCA-57AAB93D3BCD}"/>
    <cellStyle name="Comma 2 3 4 2 3 4" xfId="15091" xr:uid="{3125982A-8F10-478E-A06D-E353337DE2AF}"/>
    <cellStyle name="Comma 2 3 4 2 3 4 2" xfId="22630" xr:uid="{C1382C9C-9613-4D8E-9633-8886DD777ED3}"/>
    <cellStyle name="Comma 2 3 4 2 3 4 3" xfId="32506" xr:uid="{F3CD20EF-2452-4155-81BA-0150C77415D5}"/>
    <cellStyle name="Comma 2 3 4 2 3 4 4" xfId="51968" xr:uid="{52E080C3-875B-47DE-AE98-8EAA33B00C35}"/>
    <cellStyle name="Comma 2 3 4 2 3 4 5" xfId="54984" xr:uid="{F7E6AD3E-B37E-46FD-BCF0-F58476ED096F}"/>
    <cellStyle name="Comma 2 3 4 2 3 5" xfId="15578" xr:uid="{7D8623F6-238F-4B0C-BBEE-1DA441214A5D}"/>
    <cellStyle name="Comma 2 3 4 2 3 5 2" xfId="23107" xr:uid="{7DE1E102-4EA1-4B7B-A134-AF0F94485735}"/>
    <cellStyle name="Comma 2 3 4 2 3 5 3" xfId="46938" xr:uid="{06650FC6-8785-4880-BB46-51C7BF2ECED5}"/>
    <cellStyle name="Comma 2 3 4 2 3 5 4" xfId="52445" xr:uid="{8A86BE3C-D43B-4123-ADE5-303772B13796}"/>
    <cellStyle name="Comma 2 3 4 2 3 5 5" xfId="55461" xr:uid="{7DF77C6C-3842-4225-90E6-02068EB39CBB}"/>
    <cellStyle name="Comma 2 3 4 2 3 6" xfId="12543" xr:uid="{9CFCEDE8-7E96-4EA4-ADD0-63F6DA48218B}"/>
    <cellStyle name="Comma 2 3 4 2 3 6 2" xfId="47397" xr:uid="{3E6ACB98-8A0D-4A5A-BA9F-B151DE5E4226}"/>
    <cellStyle name="Comma 2 3 4 2 3 6 3" xfId="51014" xr:uid="{41753606-2DD4-4300-8D8E-70A447B4E267}"/>
    <cellStyle name="Comma 2 3 4 2 3 6 4" xfId="54030" xr:uid="{D8DFA6D0-5276-42DB-AF91-AAA3D744C370}"/>
    <cellStyle name="Comma 2 3 4 2 3 7" xfId="48150" xr:uid="{8B91F4F2-53F5-4E12-9577-DD9B2D1EF6EC}"/>
    <cellStyle name="Comma 2 3 4 2 3 8" xfId="49908" xr:uid="{97E13A50-D7D7-42E0-A27A-D2E1DD0E59B2}"/>
    <cellStyle name="Comma 2 3 4 2 3 9" xfId="52924" xr:uid="{2C6F6614-F126-4619-9B29-35D1C908B2F5}"/>
    <cellStyle name="Comma 2 3 4 2 4" xfId="10165" xr:uid="{5D246DCE-6C39-4027-BAA1-12B7E11D6E22}"/>
    <cellStyle name="Comma 2 3 4 2 4 2" xfId="10479" xr:uid="{8F7A1FE6-9A29-4A18-AE3B-6D4D6C6EA3C4}"/>
    <cellStyle name="Comma 2 3 4 2 4 2 2" xfId="14871" xr:uid="{3901DDF8-BA7D-419B-956A-8DB82D575896}"/>
    <cellStyle name="Comma 2 3 4 2 4 2 2 2" xfId="22418" xr:uid="{1EE95974-01A0-4331-A943-481E8E6BB71A}"/>
    <cellStyle name="Comma 2 3 4 2 4 2 2 3" xfId="46998" xr:uid="{77854747-44AA-48DC-BB29-1321503077DE}"/>
    <cellStyle name="Comma 2 3 4 2 4 2 2 4" xfId="51756" xr:uid="{31B5E6DA-11B4-421F-8023-55A4467BF121}"/>
    <cellStyle name="Comma 2 3 4 2 4 2 2 5" xfId="54772" xr:uid="{1202CC1F-87C8-4A2E-B732-1221082102F9}"/>
    <cellStyle name="Comma 2 3 4 2 4 2 3" xfId="15356" xr:uid="{35677AEF-1843-4D22-9C2F-A81DADBB6B68}"/>
    <cellStyle name="Comma 2 3 4 2 4 2 3 2" xfId="22895" xr:uid="{4D667B85-D19F-4C11-94CF-378C15A99776}"/>
    <cellStyle name="Comma 2 3 4 2 4 2 3 3" xfId="24907" xr:uid="{9DE31FC2-FDD9-4AFB-B9B2-6B22502D6BB6}"/>
    <cellStyle name="Comma 2 3 4 2 4 2 3 4" xfId="52233" xr:uid="{DD456199-39E6-45C1-9C77-DE809565183E}"/>
    <cellStyle name="Comma 2 3 4 2 4 2 3 5" xfId="55249" xr:uid="{EDFAF2A1-FBD6-4764-9F7D-2EC25C7B62F4}"/>
    <cellStyle name="Comma 2 3 4 2 4 2 4" xfId="15843" xr:uid="{599BA92C-CD7D-4A02-B01C-FB3890F5CCE3}"/>
    <cellStyle name="Comma 2 3 4 2 4 2 4 2" xfId="23372" xr:uid="{9C1B69F8-DDB9-4004-8A65-62A184D2BBFE}"/>
    <cellStyle name="Comma 2 3 4 2 4 2 4 3" xfId="46596" xr:uid="{D03F3063-3208-4A89-956B-DAF929D61F17}"/>
    <cellStyle name="Comma 2 3 4 2 4 2 4 4" xfId="52710" xr:uid="{59F68CCE-9745-4940-9F22-D6E588B05B58}"/>
    <cellStyle name="Comma 2 3 4 2 4 2 4 5" xfId="55726" xr:uid="{2069E285-890E-42FE-ACCB-E4E2BAC32351}"/>
    <cellStyle name="Comma 2 3 4 2 4 2 5" xfId="12932" xr:uid="{F2FBE7F2-AC98-4666-BF7D-518FCE7B76F2}"/>
    <cellStyle name="Comma 2 3 4 2 4 2 5 2" xfId="46813" xr:uid="{0C08B37A-04A7-4BBE-8DA8-D59949B73D23}"/>
    <cellStyle name="Comma 2 3 4 2 4 2 5 3" xfId="51279" xr:uid="{02878AC1-F6C6-4854-86A3-6059E67DDDD5}"/>
    <cellStyle name="Comma 2 3 4 2 4 2 5 4" xfId="54295" xr:uid="{E876AA62-5C1C-4989-8CCE-20AF275B9FE8}"/>
    <cellStyle name="Comma 2 3 4 2 4 2 6" xfId="47587" xr:uid="{7409D4E5-F6E8-4FDD-8966-DBE6C8236EDE}"/>
    <cellStyle name="Comma 2 3 4 2 4 2 7" xfId="50173" xr:uid="{93A3E029-A279-40C6-A6A9-503FD3CA82C6}"/>
    <cellStyle name="Comma 2 3 4 2 4 2 8" xfId="53189" xr:uid="{D339AC9A-AC65-45FE-8EA1-CCA6F2E4CAF8}"/>
    <cellStyle name="Comma 2 3 4 2 4 3" xfId="14659" xr:uid="{8F95E271-788C-4ACB-93D7-0C6404036915}"/>
    <cellStyle name="Comma 2 3 4 2 4 3 2" xfId="22206" xr:uid="{A68CD093-70EB-490C-8E4D-6A6C82B7C945}"/>
    <cellStyle name="Comma 2 3 4 2 4 3 3" xfId="25302" xr:uid="{46F31577-B50B-4616-9597-FDBCBB63BA6B}"/>
    <cellStyle name="Comma 2 3 4 2 4 3 4" xfId="51544" xr:uid="{AF3722FC-AC7C-47A6-A13B-14C30984EE3F}"/>
    <cellStyle name="Comma 2 3 4 2 4 3 5" xfId="54560" xr:uid="{4EB77FFF-B6E5-4CC9-A8AC-C970147178B3}"/>
    <cellStyle name="Comma 2 3 4 2 4 4" xfId="15144" xr:uid="{CA103B5A-EB9A-46A5-936E-99BD1F0DE250}"/>
    <cellStyle name="Comma 2 3 4 2 4 4 2" xfId="22683" xr:uid="{F9EA030C-4820-4071-8D9D-893769131B00}"/>
    <cellStyle name="Comma 2 3 4 2 4 4 3" xfId="48294" xr:uid="{BAC5D89C-57D5-4482-893C-78F1719A4B1A}"/>
    <cellStyle name="Comma 2 3 4 2 4 4 4" xfId="52021" xr:uid="{1FB17AC0-28DD-401C-85BE-9C51D97B6A02}"/>
    <cellStyle name="Comma 2 3 4 2 4 4 5" xfId="55037" xr:uid="{11FAB90D-11B7-4D54-9E79-FE659802C50A}"/>
    <cellStyle name="Comma 2 3 4 2 4 5" xfId="15631" xr:uid="{0AC4B005-A27A-41D0-83CE-E2D8B8619370}"/>
    <cellStyle name="Comma 2 3 4 2 4 5 2" xfId="23160" xr:uid="{CB06C5B5-4932-4A9B-AF18-951FC5DE8DA2}"/>
    <cellStyle name="Comma 2 3 4 2 4 5 3" xfId="48131" xr:uid="{5FE63104-AFE8-44C8-8507-EF7868D9816C}"/>
    <cellStyle name="Comma 2 3 4 2 4 5 4" xfId="52498" xr:uid="{5EB1CBE6-C61D-4EFF-9D1F-CDF40CE84F74}"/>
    <cellStyle name="Comma 2 3 4 2 4 5 5" xfId="55514" xr:uid="{4A6381A0-3A8C-4981-A46B-0A568DB90270}"/>
    <cellStyle name="Comma 2 3 4 2 4 6" xfId="12619" xr:uid="{7E25A57F-39C6-4ED4-A997-C234680615B0}"/>
    <cellStyle name="Comma 2 3 4 2 4 6 2" xfId="48048" xr:uid="{B6774B78-B954-4EBD-80EB-80A8220F05E5}"/>
    <cellStyle name="Comma 2 3 4 2 4 6 3" xfId="51067" xr:uid="{9145F18E-40A6-4A32-A45D-B355067A4265}"/>
    <cellStyle name="Comma 2 3 4 2 4 6 4" xfId="54083" xr:uid="{2B6728AB-E8A2-42BE-9A8E-C0A016F925F1}"/>
    <cellStyle name="Comma 2 3 4 2 4 7" xfId="46617" xr:uid="{6C25B415-C1D0-4139-87AA-9BC3E43B9B6F}"/>
    <cellStyle name="Comma 2 3 4 2 4 8" xfId="49961" xr:uid="{BC2EB103-A81D-4BF9-8DA1-4A866700288B}"/>
    <cellStyle name="Comma 2 3 4 2 4 9" xfId="52977" xr:uid="{E1C7403A-EE33-472A-B3A5-85244D370A18}"/>
    <cellStyle name="Comma 2 3 4 2 5" xfId="10245" xr:uid="{C0000E45-76F0-4712-8205-D063C5431C84}"/>
    <cellStyle name="Comma 2 3 4 2 5 2" xfId="14712" xr:uid="{40615CEA-9602-4542-9831-45C7E65D3785}"/>
    <cellStyle name="Comma 2 3 4 2 5 2 2" xfId="22259" xr:uid="{23CABDE4-7FAA-4372-831B-DB4DB54C544F}"/>
    <cellStyle name="Comma 2 3 4 2 5 2 3" xfId="46852" xr:uid="{27F25384-B772-4E31-861A-B6B35C6A32F9}"/>
    <cellStyle name="Comma 2 3 4 2 5 2 4" xfId="51597" xr:uid="{30D72B1A-6EAE-42C0-B39F-17872BBA587D}"/>
    <cellStyle name="Comma 2 3 4 2 5 2 5" xfId="54613" xr:uid="{A5F70F48-9C0B-47B7-B130-80BD09A3C265}"/>
    <cellStyle name="Comma 2 3 4 2 5 3" xfId="15197" xr:uid="{2E2BCE27-193B-4D22-9549-5305834F44E0}"/>
    <cellStyle name="Comma 2 3 4 2 5 3 2" xfId="22736" xr:uid="{83C2E063-9269-43C9-B17A-F5E57C93BFD8}"/>
    <cellStyle name="Comma 2 3 4 2 5 3 3" xfId="46690" xr:uid="{9EF0F097-924A-4BE0-9BEB-9D26D9466673}"/>
    <cellStyle name="Comma 2 3 4 2 5 3 4" xfId="52074" xr:uid="{DB674279-F0AF-477D-B959-7F74396D4134}"/>
    <cellStyle name="Comma 2 3 4 2 5 3 5" xfId="55090" xr:uid="{3A9317D2-4D79-433E-8E86-E1A8AAD0527E}"/>
    <cellStyle name="Comma 2 3 4 2 5 4" xfId="15684" xr:uid="{A2377EBD-3960-4FC8-B630-17A5B5F570B2}"/>
    <cellStyle name="Comma 2 3 4 2 5 4 2" xfId="23213" xr:uid="{CCC77F15-CE3F-4943-8BD2-E1EEF7030D89}"/>
    <cellStyle name="Comma 2 3 4 2 5 4 3" xfId="46953" xr:uid="{6BFD8B11-BF33-4882-AF77-92EE4E233D11}"/>
    <cellStyle name="Comma 2 3 4 2 5 4 4" xfId="52551" xr:uid="{279F7F5B-00D0-4C5E-A1AB-1C395776D7F6}"/>
    <cellStyle name="Comma 2 3 4 2 5 4 5" xfId="55567" xr:uid="{461037AC-42EE-4E74-A45B-A8EE57378CE5}"/>
    <cellStyle name="Comma 2 3 4 2 5 5" xfId="12698" xr:uid="{DF21CEBD-46CE-439C-90C5-D8621FC14EE2}"/>
    <cellStyle name="Comma 2 3 4 2 5 5 2" xfId="46343" xr:uid="{4C5D5999-B08F-4E62-B279-1F6CE69D3F60}"/>
    <cellStyle name="Comma 2 3 4 2 5 5 3" xfId="51120" xr:uid="{D3E46E5F-1F85-4C39-9DB6-D45CA17A42CB}"/>
    <cellStyle name="Comma 2 3 4 2 5 5 4" xfId="54136" xr:uid="{44A08D2F-9AA4-403C-9758-FAA4341D396E}"/>
    <cellStyle name="Comma 2 3 4 2 5 6" xfId="47409" xr:uid="{E6D4B0DC-4D89-4C31-A45A-A5AA24F4C2D9}"/>
    <cellStyle name="Comma 2 3 4 2 5 7" xfId="50014" xr:uid="{6C95E196-C4FD-438E-8D24-FD78A69FF3EB}"/>
    <cellStyle name="Comma 2 3 4 2 5 8" xfId="53030" xr:uid="{401D6554-CF2D-4DCE-A5B2-468BA175A613}"/>
    <cellStyle name="Comma 2 3 4 2 6" xfId="10559" xr:uid="{55477357-EACE-4FA9-A4C9-B66704D34DD1}"/>
    <cellStyle name="Comma 2 3 4 2 6 2" xfId="14924" xr:uid="{1C6DB4A4-AF49-4530-A44D-5E678D09E0C8}"/>
    <cellStyle name="Comma 2 3 4 2 6 2 2" xfId="22471" xr:uid="{5D335B7F-765E-4F54-9CA5-ABE4CB82D009}"/>
    <cellStyle name="Comma 2 3 4 2 6 2 3" xfId="48323" xr:uid="{2F359B3E-8A16-43C9-B4C8-99BB43F422C9}"/>
    <cellStyle name="Comma 2 3 4 2 6 2 4" xfId="51809" xr:uid="{579754E7-D3D6-493C-80B3-A3E65F9FBB86}"/>
    <cellStyle name="Comma 2 3 4 2 6 2 5" xfId="54825" xr:uid="{A989450B-1F2A-493B-B2D6-B5654ADD6B16}"/>
    <cellStyle name="Comma 2 3 4 2 6 3" xfId="15409" xr:uid="{044C2E20-E9F0-4AF9-BADA-D6FD4E8B2BB2}"/>
    <cellStyle name="Comma 2 3 4 2 6 3 2" xfId="22948" xr:uid="{4C5B6181-33B6-43A8-879E-890B27192675}"/>
    <cellStyle name="Comma 2 3 4 2 6 3 3" xfId="47404" xr:uid="{20E855E8-963D-4239-94D4-1D57AF67453B}"/>
    <cellStyle name="Comma 2 3 4 2 6 3 4" xfId="52286" xr:uid="{D81009AB-434F-49B9-B30B-3D73A450B56E}"/>
    <cellStyle name="Comma 2 3 4 2 6 3 5" xfId="55302" xr:uid="{9D235538-A5AF-411D-B0C5-BA5CA6673B17}"/>
    <cellStyle name="Comma 2 3 4 2 6 4" xfId="15897" xr:uid="{0DBF7D2E-0D9B-4630-95E8-47EA28EBEDE5}"/>
    <cellStyle name="Comma 2 3 4 2 6 4 2" xfId="23425" xr:uid="{4FA83FED-6431-49FB-A593-C64601D14893}"/>
    <cellStyle name="Comma 2 3 4 2 6 4 3" xfId="46602" xr:uid="{65A14DDC-5046-408B-8C4B-D43356703A57}"/>
    <cellStyle name="Comma 2 3 4 2 6 4 4" xfId="52763" xr:uid="{0138A6F1-65E9-4B60-A3A4-6ADF0CC1A407}"/>
    <cellStyle name="Comma 2 3 4 2 6 4 5" xfId="55779" xr:uid="{60003B52-ADDF-4FC4-90BE-1CA77C96ECA4}"/>
    <cellStyle name="Comma 2 3 4 2 6 5" xfId="13012" xr:uid="{2A89C149-134A-4326-B2D2-DFA8E38BE0D5}"/>
    <cellStyle name="Comma 2 3 4 2 6 5 2" xfId="46821" xr:uid="{245F2F40-8135-47DA-A42F-8F6D40DC66F6}"/>
    <cellStyle name="Comma 2 3 4 2 6 5 3" xfId="51332" xr:uid="{A7868FE0-541D-4F50-8998-38A76DD8798C}"/>
    <cellStyle name="Comma 2 3 4 2 6 5 4" xfId="54348" xr:uid="{054661EB-6831-4818-97E0-CE23C37C157C}"/>
    <cellStyle name="Comma 2 3 4 2 6 6" xfId="32473" xr:uid="{18487AE0-58B6-4257-8085-5FA286BBCAC6}"/>
    <cellStyle name="Comma 2 3 4 2 6 7" xfId="50226" xr:uid="{8BBA7CE6-1E40-42D1-A37B-97AE0DA0D331}"/>
    <cellStyle name="Comma 2 3 4 2 6 8" xfId="53242" xr:uid="{04C3DDA2-644C-414D-A572-A98169EAD76F}"/>
    <cellStyle name="Comma 2 3 4 2 7" xfId="13373" xr:uid="{B8CFA68C-54EC-4406-A3CB-9C7312B72AF0}"/>
    <cellStyle name="Comma 2 3 4 2 8" xfId="14500" xr:uid="{25CFCF9B-5E7C-40B4-AE34-B29C29455218}"/>
    <cellStyle name="Comma 2 3 4 2 8 2" xfId="22047" xr:uid="{6A4C69F8-9556-4FE8-A4A2-916C3DB15AEA}"/>
    <cellStyle name="Comma 2 3 4 2 8 3" xfId="46828" xr:uid="{D84C003C-BD3C-4DEA-9180-3489B94AF63E}"/>
    <cellStyle name="Comma 2 3 4 2 8 4" xfId="51385" xr:uid="{8E8713A4-ED20-426A-B46F-FDF57A2550F4}"/>
    <cellStyle name="Comma 2 3 4 2 8 5" xfId="54401" xr:uid="{D59EDA3E-4137-442D-8410-C1A3130B21A9}"/>
    <cellStyle name="Comma 2 3 4 2 9" xfId="14984" xr:uid="{7DC9D707-1F72-435A-BED6-0BF5F4267ADE}"/>
    <cellStyle name="Comma 2 3 4 2 9 2" xfId="22524" xr:uid="{6764BA9F-52DE-4D35-AE55-23AE1FB174F2}"/>
    <cellStyle name="Comma 2 3 4 2 9 3" xfId="32402" xr:uid="{7DA90685-D286-4016-82A3-1EB96E88B059}"/>
    <cellStyle name="Comma 2 3 4 2 9 4" xfId="51862" xr:uid="{0552AD6B-564F-40B2-8E16-156DD1938044}"/>
    <cellStyle name="Comma 2 3 4 2 9 5" xfId="54878" xr:uid="{544FD741-E049-45C4-AC2C-C1302E47B433}"/>
    <cellStyle name="Comma 2 3 4 3" xfId="5813" xr:uid="{71311E5F-8844-4C6D-B2A7-3F9E1F338858}"/>
    <cellStyle name="Comma 2 3 4 3 2" xfId="12270" xr:uid="{59A692F0-4649-48AF-93DE-87A8EE2C0DE5}"/>
    <cellStyle name="Comma 2 3 4 4" xfId="11581" xr:uid="{761DBB6F-17E2-4EC5-8136-0AD151B8744F}"/>
    <cellStyle name="Comma 2 3 4 4 2" xfId="21705" xr:uid="{81E55082-0311-49B4-8E33-36D8FE31928E}"/>
    <cellStyle name="Comma 2 3 4 4 3" xfId="48390" xr:uid="{F7E1564A-C4BB-4F8E-B6D2-7EB39D2B06C3}"/>
    <cellStyle name="Comma 2 3 4 4 4" xfId="50728" xr:uid="{4293E585-CA9A-4F3D-A8C9-31DC89BE8EE2}"/>
    <cellStyle name="Comma 2 3 4 4 5" xfId="53744" xr:uid="{959C9C27-4996-4F57-AE52-FEAB552B6E84}"/>
    <cellStyle name="Comma 2 3 4 5" xfId="19474" xr:uid="{DC63F786-1A2A-4909-B065-92D05DB07035}"/>
    <cellStyle name="Comma 2 3 4 6" xfId="23718" xr:uid="{C366195C-9496-4627-B938-CFC7C4097D97}"/>
    <cellStyle name="Comma 2 3 4 7" xfId="48608" xr:uid="{36AB1D3D-2D01-4A66-99EA-F46BE923321F}"/>
    <cellStyle name="Comma 2 3 4 8" xfId="49518" xr:uid="{456699C7-E092-4954-A822-A7C65A39349F}"/>
    <cellStyle name="Comma 2 3 4 9" xfId="7227" xr:uid="{E94B720B-CFFF-4031-9FD0-70DDB37E4FF8}"/>
    <cellStyle name="Comma 2 3 5" xfId="2614" xr:uid="{80CB021D-4E8D-49A0-B08C-7ACB84E33FFB}"/>
    <cellStyle name="Comma 2 3 5 2" xfId="4533" xr:uid="{61410ED2-BE81-418B-AB28-BCC6AC907C05}"/>
    <cellStyle name="Comma 2 3 5 2 2" xfId="35064" xr:uid="{E5303C72-7508-4557-9217-3DA9C22B11F5}"/>
    <cellStyle name="Comma 2 3 5 2 2 2" xfId="40225" xr:uid="{21B99591-E13C-4E64-8EF1-D9C1E61B9B3C}"/>
    <cellStyle name="Comma 2 3 5 2 2 3" xfId="45527" xr:uid="{77412F70-D141-4945-B6EF-D9F5F3C79587}"/>
    <cellStyle name="Comma 2 3 5 2 3" xfId="37574" xr:uid="{9EA42155-A56E-41B2-8954-9563BE113DF3}"/>
    <cellStyle name="Comma 2 3 5 2 4" xfId="42876" xr:uid="{007FACC0-60BC-4AB2-991E-5AF053BD8E83}"/>
    <cellStyle name="Comma 2 3 5 2 5" xfId="12217" xr:uid="{148D5C60-D492-4753-A3C7-35631121B08F}"/>
    <cellStyle name="Comma 2 3 5 3" xfId="5814" xr:uid="{CCE30DD6-D117-4FE5-81F5-D9085349F850}"/>
    <cellStyle name="Comma 2 3 5 3 2" xfId="21717" xr:uid="{A5EFA49C-4C07-471C-9F01-1A6B56340A0A}"/>
    <cellStyle name="Comma 2 3 5 3 3" xfId="48188" xr:uid="{047496C1-43B7-4088-BCF9-8DDEE6265477}"/>
    <cellStyle name="Comma 2 3 5 3 4" xfId="50743" xr:uid="{56AEEA75-2134-491E-A7AD-24CA8F985438}"/>
    <cellStyle name="Comma 2 3 5 3 5" xfId="53759" xr:uid="{F6BA89DF-B6E7-4D04-90EE-D0346964BD46}"/>
    <cellStyle name="Comma 2 3 5 3 6" xfId="11695" xr:uid="{002F357A-E0B9-46C4-91FA-A67BF3735A1F}"/>
    <cellStyle name="Comma 2 3 5 4" xfId="19475" xr:uid="{69C28A44-EAAE-4A6B-93E0-A4E2A2B5584B}"/>
    <cellStyle name="Comma 2 3 5 5" xfId="23720" xr:uid="{3CA9308A-79EC-4C87-82B3-2344F8E29D15}"/>
    <cellStyle name="Comma 2 3 5 6" xfId="48610" xr:uid="{293D50F8-4B89-4D36-A5DD-3B1C0735C387}"/>
    <cellStyle name="Comma 2 3 5 7" xfId="49520" xr:uid="{E52C8E33-5321-4ECE-8374-50CC37A6EE0E}"/>
    <cellStyle name="Comma 2 3 5 8" xfId="8183" xr:uid="{21C81C4E-5F14-48A5-8E77-E76D5A72DC12}"/>
    <cellStyle name="Comma 2 3 6" xfId="4528" xr:uid="{7E56354E-4C7E-4689-AF31-B607BC12E24A}"/>
    <cellStyle name="Comma 2 3 6 2" xfId="11542" xr:uid="{2BE4F284-9FCF-4E4D-AF6C-E1B405688C22}"/>
    <cellStyle name="Comma 2 3 6 3" xfId="18050" xr:uid="{17BF0ADC-2825-4CE5-894B-64A485169D96}"/>
    <cellStyle name="Comma 2 3 6 3 2" xfId="21681" xr:uid="{06D266F9-9A18-47D8-907C-6A583BAB3238}"/>
    <cellStyle name="Comma 2 3 6 4" xfId="23721" xr:uid="{D420FA9A-911D-44E8-BCD0-E7FE44393567}"/>
    <cellStyle name="Comma 2 3 6 5" xfId="50697" xr:uid="{42E7E866-994A-4CE9-A3C0-816E15FF63A9}"/>
    <cellStyle name="Comma 2 3 6 6" xfId="53713" xr:uid="{B06C3A7C-C214-4E3C-97D7-C6DD40C8F5E6}"/>
    <cellStyle name="Comma 2 3 6 7" xfId="11184" xr:uid="{AECF0BD4-1318-463C-B393-4A78E9FAB334}"/>
    <cellStyle name="Comma 2 3 7" xfId="5810" xr:uid="{6D07E8E1-4FD3-4B24-98FC-825E1B37A4A0}"/>
    <cellStyle name="Comma 2 3 7 2" xfId="13056" xr:uid="{6AC41B87-FE14-4BF2-A1DF-2AB6209D3A8C}"/>
    <cellStyle name="Comma 2 3 8" xfId="2609" xr:uid="{5963EEB3-6336-485C-B87E-65C099A806BF}"/>
    <cellStyle name="Comma 2 3 8 2" xfId="19471" xr:uid="{0C28B240-2510-43C0-9A95-5233EDD28740}"/>
    <cellStyle name="Comma 2 3 9" xfId="23709" xr:uid="{3E299553-8E00-4615-BDE6-F32438CBA509}"/>
    <cellStyle name="Comma 2 4" xfId="1293" xr:uid="{00000000-0005-0000-0000-000055000000}"/>
    <cellStyle name="Comma 2 4 10" xfId="7233" xr:uid="{3F558B89-F574-4956-BDC9-A1488BD4E42D}"/>
    <cellStyle name="Comma 2 4 2" xfId="4534" xr:uid="{856E831D-F07A-4A53-994F-2E1204E7FA63}"/>
    <cellStyle name="Comma 2 4 2 10" xfId="15472" xr:uid="{337CE5CD-45CC-4C4C-9C75-EE0A5549F20C}"/>
    <cellStyle name="Comma 2 4 2 10 2" xfId="23002" xr:uid="{7FFA72FF-7415-4450-84EB-75E0FF7EAA66}"/>
    <cellStyle name="Comma 2 4 2 10 3" xfId="48037" xr:uid="{5D44AD8B-D4E2-440E-80ED-DC654ED8A771}"/>
    <cellStyle name="Comma 2 4 2 10 4" xfId="52340" xr:uid="{A180428C-B58E-48FF-A8A9-2DBB1FAB1D62}"/>
    <cellStyle name="Comma 2 4 2 10 5" xfId="55356" xr:uid="{27A7D9F1-EB1D-4820-B506-A51B5686F105}"/>
    <cellStyle name="Comma 2 4 2 11" xfId="11696" xr:uid="{1D35AB61-2B12-4D81-AB06-AB45AADB9AA4}"/>
    <cellStyle name="Comma 2 4 2 11 2" xfId="21718" xr:uid="{2800C085-0883-4C3B-A21A-D8FD904C3A13}"/>
    <cellStyle name="Comma 2 4 2 11 3" xfId="46282" xr:uid="{4CD57A30-49CA-425A-BC2B-B0DEB1A4B488}"/>
    <cellStyle name="Comma 2 4 2 11 4" xfId="50744" xr:uid="{E1EF063A-5B48-4700-A04A-8CAA71C6B2DC}"/>
    <cellStyle name="Comma 2 4 2 11 5" xfId="53760" xr:uid="{598C7F24-9A09-47CA-B372-1EDA95D1F7CD}"/>
    <cellStyle name="Comma 2 4 2 12" xfId="23723" xr:uid="{6D3164DB-076C-469D-AC39-777571A3F1CE}"/>
    <cellStyle name="Comma 2 4 2 13" xfId="48612" xr:uid="{6A217085-E5B3-4C0D-9652-018CBA483A3C}"/>
    <cellStyle name="Comma 2 4 2 14" xfId="49522" xr:uid="{7159213E-EFCF-4A23-A2B1-CAA306B8DDB0}"/>
    <cellStyle name="Comma 2 4 2 15" xfId="49803" xr:uid="{263A6E4C-75E3-4678-A3F2-9A9DC5E68744}"/>
    <cellStyle name="Comma 2 4 2 16" xfId="52818" xr:uid="{056F3268-018B-4ADD-A272-215FC486CC07}"/>
    <cellStyle name="Comma 2 4 2 17" xfId="8926" xr:uid="{CC0C97E8-8668-43D9-9804-10264AE4426D}"/>
    <cellStyle name="Comma 2 4 2 2" xfId="10013" xr:uid="{95F67B37-AA24-4E93-9906-5B76CB624148}"/>
    <cellStyle name="Comma 2 4 2 2 2" xfId="10321" xr:uid="{96C1C876-499B-4173-BB46-B24C18026FBE}"/>
    <cellStyle name="Comma 2 4 2 2 2 2" xfId="14766" xr:uid="{CFCD6282-352E-4222-8EB9-1F8851E237F0}"/>
    <cellStyle name="Comma 2 4 2 2 2 2 2" xfId="22313" xr:uid="{595D285E-2C15-4119-9DEF-30533A716335}"/>
    <cellStyle name="Comma 2 4 2 2 2 2 3" xfId="47393" xr:uid="{63498283-0E94-4BB4-983B-BB34C8468AFF}"/>
    <cellStyle name="Comma 2 4 2 2 2 2 4" xfId="51651" xr:uid="{C9C23899-4038-48C1-8957-2B3303E6CCD1}"/>
    <cellStyle name="Comma 2 4 2 2 2 2 5" xfId="54667" xr:uid="{E16D0831-02B7-448E-820C-D29B32751E10}"/>
    <cellStyle name="Comma 2 4 2 2 2 3" xfId="15251" xr:uid="{BE33BF0F-421A-408D-9374-178C9460C56D}"/>
    <cellStyle name="Comma 2 4 2 2 2 3 2" xfId="22790" xr:uid="{597E7650-D860-4728-9380-5F114205215A}"/>
    <cellStyle name="Comma 2 4 2 2 2 3 3" xfId="46503" xr:uid="{A6F85228-45BA-4F30-A2D4-4D2DDEDAECC1}"/>
    <cellStyle name="Comma 2 4 2 2 2 3 4" xfId="52128" xr:uid="{3A3A61D4-BEE4-4BBF-BDBB-CCFFA09BF3C0}"/>
    <cellStyle name="Comma 2 4 2 2 2 3 5" xfId="55144" xr:uid="{D2D5480F-858B-46BB-9B30-43C62C5857A8}"/>
    <cellStyle name="Comma 2 4 2 2 2 4" xfId="15738" xr:uid="{52D95BC7-0DFD-495D-929D-AC5DC2947889}"/>
    <cellStyle name="Comma 2 4 2 2 2 4 2" xfId="23267" xr:uid="{A858B2ED-AB99-45A4-B64F-FC69EDF5BD34}"/>
    <cellStyle name="Comma 2 4 2 2 2 4 3" xfId="48310" xr:uid="{10690667-3BA5-4215-9D55-8CD8CC1649EE}"/>
    <cellStyle name="Comma 2 4 2 2 2 4 4" xfId="52605" xr:uid="{F2EA3445-1FFA-498B-81CF-F22DA240538E}"/>
    <cellStyle name="Comma 2 4 2 2 2 4 5" xfId="55621" xr:uid="{1FAF8687-2D85-4DF5-B763-21B208D7EB67}"/>
    <cellStyle name="Comma 2 4 2 2 2 5" xfId="12774" xr:uid="{2B6DB337-5476-4EFD-A778-27241F947191}"/>
    <cellStyle name="Comma 2 4 2 2 2 5 2" xfId="47821" xr:uid="{1142D422-D1D2-4D76-9273-588C95A13E3F}"/>
    <cellStyle name="Comma 2 4 2 2 2 5 3" xfId="51174" xr:uid="{6F189493-4371-4A83-8B1F-23763073C580}"/>
    <cellStyle name="Comma 2 4 2 2 2 5 4" xfId="54190" xr:uid="{6B3EE06E-7872-4136-AABC-3D0E1EDD1D85}"/>
    <cellStyle name="Comma 2 4 2 2 2 6" xfId="46088" xr:uid="{2DBE433D-44D9-45C1-AFBE-83C484A43D35}"/>
    <cellStyle name="Comma 2 4 2 2 2 7" xfId="50068" xr:uid="{4256C48C-A91C-4285-A03C-55FE39551DA8}"/>
    <cellStyle name="Comma 2 4 2 2 2 8" xfId="53084" xr:uid="{5919BC02-4B07-4EE7-95A1-B87FA85CB967}"/>
    <cellStyle name="Comma 2 4 2 2 3" xfId="14554" xr:uid="{60FB29DB-3CC5-4DE1-9D01-5F9AF50B1433}"/>
    <cellStyle name="Comma 2 4 2 2 3 2" xfId="22101" xr:uid="{6BE345CE-9A82-45FC-9E69-DCF3C0C230C9}"/>
    <cellStyle name="Comma 2 4 2 2 3 3" xfId="47532" xr:uid="{288E7326-AF53-4166-8A02-71E1F8D26812}"/>
    <cellStyle name="Comma 2 4 2 2 3 4" xfId="51439" xr:uid="{3A5D21D3-8135-416F-B680-1602F97011D3}"/>
    <cellStyle name="Comma 2 4 2 2 3 5" xfId="54455" xr:uid="{B1EC2738-D1C6-4903-9395-02A938DB7052}"/>
    <cellStyle name="Comma 2 4 2 2 4" xfId="15038" xr:uid="{09D04F18-FA45-4765-86B0-4E167EBB440D}"/>
    <cellStyle name="Comma 2 4 2 2 4 2" xfId="22578" xr:uid="{063054EC-9F17-47EE-97A5-BB106ACC6DE7}"/>
    <cellStyle name="Comma 2 4 2 2 4 3" xfId="48008" xr:uid="{C61A9A3B-5483-4B3C-8A22-2BAD0C027EBF}"/>
    <cellStyle name="Comma 2 4 2 2 4 4" xfId="51916" xr:uid="{C251BF31-03C1-47DF-AE04-90EF85C81FBD}"/>
    <cellStyle name="Comma 2 4 2 2 4 5" xfId="54932" xr:uid="{BB1D83D0-36C5-43B8-B3C8-7D762AD094C6}"/>
    <cellStyle name="Comma 2 4 2 2 5" xfId="15525" xr:uid="{7272F2CB-7879-4939-AD88-F8C468B4E74F}"/>
    <cellStyle name="Comma 2 4 2 2 5 2" xfId="23055" xr:uid="{6120FA6B-2C1C-41CA-8D43-FEDF6E36341B}"/>
    <cellStyle name="Comma 2 4 2 2 5 3" xfId="46545" xr:uid="{EC28DAE8-90F1-4796-936E-ED9B8D0EF09D}"/>
    <cellStyle name="Comma 2 4 2 2 5 4" xfId="52393" xr:uid="{E724E70F-6DDA-4470-83F8-A89AE9DCB713}"/>
    <cellStyle name="Comma 2 4 2 2 5 5" xfId="55409" xr:uid="{72706A6A-5AFB-41D3-9B39-407D713BCD73}"/>
    <cellStyle name="Comma 2 4 2 2 6" xfId="12473" xr:uid="{B19F4004-3A70-4289-A26D-97790D6A6B52}"/>
    <cellStyle name="Comma 2 4 2 2 6 2" xfId="47716" xr:uid="{33314D03-DF6D-496D-B201-F0BE7843EC40}"/>
    <cellStyle name="Comma 2 4 2 2 6 3" xfId="50962" xr:uid="{FD1D093E-8F01-44C6-A70A-50E9842390E3}"/>
    <cellStyle name="Comma 2 4 2 2 6 4" xfId="53978" xr:uid="{09BC4457-4C64-4231-887F-1E64076B0177}"/>
    <cellStyle name="Comma 2 4 2 2 7" xfId="47866" xr:uid="{A91338B8-A502-4732-BF1A-7B551924221E}"/>
    <cellStyle name="Comma 2 4 2 2 8" xfId="49856" xr:uid="{4B449CAF-1E2A-4477-A3F4-FB21B49CB6B7}"/>
    <cellStyle name="Comma 2 4 2 2 9" xfId="52872" xr:uid="{BFE18F86-6D43-4215-AE24-5E975AF566E4}"/>
    <cellStyle name="Comma 2 4 2 3" xfId="10087" xr:uid="{220DDDC9-B054-478C-B8E4-013CE854E41C}"/>
    <cellStyle name="Comma 2 4 2 3 2" xfId="10400" xr:uid="{D9303CD9-49E9-40FE-BFBF-38625CEA02DD}"/>
    <cellStyle name="Comma 2 4 2 3 2 2" xfId="14819" xr:uid="{80A3CC5F-0DDB-4DCE-98E0-85901967793B}"/>
    <cellStyle name="Comma 2 4 2 3 2 2 2" xfId="22366" xr:uid="{EEC6A05B-6A73-4AB8-9AC7-477975084B1A}"/>
    <cellStyle name="Comma 2 4 2 3 2 2 3" xfId="48506" xr:uid="{0344DFD1-14DB-4EE3-9A8D-16DE4AC49D9C}"/>
    <cellStyle name="Comma 2 4 2 3 2 2 4" xfId="51704" xr:uid="{EF3114E7-E338-4F91-A9AA-4A0C8F5AFBF1}"/>
    <cellStyle name="Comma 2 4 2 3 2 2 5" xfId="54720" xr:uid="{A7701EAF-E6B7-4B63-88C9-5B7A77342B63}"/>
    <cellStyle name="Comma 2 4 2 3 2 3" xfId="15304" xr:uid="{D9828A40-2F41-4EB7-8AD7-BBEECA1EC5D0}"/>
    <cellStyle name="Comma 2 4 2 3 2 3 2" xfId="22843" xr:uid="{1D70E220-D1F0-4052-8A23-C17721C72FB5}"/>
    <cellStyle name="Comma 2 4 2 3 2 3 3" xfId="46905" xr:uid="{5EDE7533-09BB-40D0-8E26-AAB5668E0BCA}"/>
    <cellStyle name="Comma 2 4 2 3 2 3 4" xfId="52181" xr:uid="{9D445BAE-4B74-46B7-99CB-8E752525B5F0}"/>
    <cellStyle name="Comma 2 4 2 3 2 3 5" xfId="55197" xr:uid="{AF7F324C-3585-4727-833A-147FEF4283D6}"/>
    <cellStyle name="Comma 2 4 2 3 2 4" xfId="15791" xr:uid="{041CC5A0-AAC6-4BB2-A234-8D168018220E}"/>
    <cellStyle name="Comma 2 4 2 3 2 4 2" xfId="23320" xr:uid="{7F51EA4B-42F0-4BF1-A364-B995888F2934}"/>
    <cellStyle name="Comma 2 4 2 3 2 4 3" xfId="47648" xr:uid="{7E6F2D00-5782-4036-A670-45B76EEE65D3}"/>
    <cellStyle name="Comma 2 4 2 3 2 4 4" xfId="52658" xr:uid="{7EC2F652-D4F3-4681-A889-96C9DB044A03}"/>
    <cellStyle name="Comma 2 4 2 3 2 4 5" xfId="55674" xr:uid="{18BF4625-317A-4AF8-838E-CB7DE025194E}"/>
    <cellStyle name="Comma 2 4 2 3 2 5" xfId="12853" xr:uid="{B5D1AD6C-88F5-4BA6-91F3-8F5D902AB57A}"/>
    <cellStyle name="Comma 2 4 2 3 2 5 2" xfId="46363" xr:uid="{1F9EC336-D7AB-43DF-B4C8-97EB2F8F78F0}"/>
    <cellStyle name="Comma 2 4 2 3 2 5 3" xfId="51227" xr:uid="{762EC6D1-93AE-4768-9E25-9489A858D146}"/>
    <cellStyle name="Comma 2 4 2 3 2 5 4" xfId="54243" xr:uid="{B69B7E75-189C-454F-8050-2315340D0458}"/>
    <cellStyle name="Comma 2 4 2 3 2 6" xfId="46108" xr:uid="{951566C0-E250-447F-9213-C9E3D54934A6}"/>
    <cellStyle name="Comma 2 4 2 3 2 7" xfId="50121" xr:uid="{1B57CE2E-B025-4059-9EF0-D37D98354A7B}"/>
    <cellStyle name="Comma 2 4 2 3 2 8" xfId="53137" xr:uid="{6420BE9B-7C76-471C-8625-6028008118B1}"/>
    <cellStyle name="Comma 2 4 2 3 3" xfId="14607" xr:uid="{B11B45C3-C60B-43E3-852B-915189403297}"/>
    <cellStyle name="Comma 2 4 2 3 3 2" xfId="22154" xr:uid="{EF4DCDFD-5F29-4792-8F10-F30930A110A1}"/>
    <cellStyle name="Comma 2 4 2 3 3 3" xfId="47151" xr:uid="{0CED81BA-B146-43E3-809B-FAC7FBCDE9FB}"/>
    <cellStyle name="Comma 2 4 2 3 3 4" xfId="51492" xr:uid="{B960BBCB-2C0A-4C7A-8226-16F4E0ECC7B0}"/>
    <cellStyle name="Comma 2 4 2 3 3 5" xfId="54508" xr:uid="{FC9B8E97-D412-43FD-AA84-60B180740999}"/>
    <cellStyle name="Comma 2 4 2 3 4" xfId="15092" xr:uid="{006DEACA-0657-414F-974B-86702AD6C6E9}"/>
    <cellStyle name="Comma 2 4 2 3 4 2" xfId="22631" xr:uid="{407A70E7-A2E8-4D1D-B8BA-906D4BCC455A}"/>
    <cellStyle name="Comma 2 4 2 3 4 3" xfId="47681" xr:uid="{55C3814E-DCC5-4F03-A1D2-1D7B2F474185}"/>
    <cellStyle name="Comma 2 4 2 3 4 4" xfId="51969" xr:uid="{CB45D0FE-1C89-4FD2-95E7-BD5FFF7BD665}"/>
    <cellStyle name="Comma 2 4 2 3 4 5" xfId="54985" xr:uid="{018650D8-501F-47E6-B078-9A1050EA752D}"/>
    <cellStyle name="Comma 2 4 2 3 5" xfId="15579" xr:uid="{3CA12EFC-0D92-482D-84B1-806332DF92F7}"/>
    <cellStyle name="Comma 2 4 2 3 5 2" xfId="23108" xr:uid="{C360B4EF-A333-4426-87B3-1712F188D15D}"/>
    <cellStyle name="Comma 2 4 2 3 5 3" xfId="48366" xr:uid="{E3C97DD9-C3E3-45DA-A43C-2E1A5C8F1B3C}"/>
    <cellStyle name="Comma 2 4 2 3 5 4" xfId="52446" xr:uid="{4D1A4745-5396-43C3-9EF3-55C039525136}"/>
    <cellStyle name="Comma 2 4 2 3 5 5" xfId="55462" xr:uid="{79D7BC43-69F1-4A18-94BC-4A7EC9D568F8}"/>
    <cellStyle name="Comma 2 4 2 3 6" xfId="12544" xr:uid="{009D6A39-5003-41D4-96DE-CEC22A1792A9}"/>
    <cellStyle name="Comma 2 4 2 3 6 2" xfId="46767" xr:uid="{99E82C29-D5DC-4AB0-A959-BB51101B4199}"/>
    <cellStyle name="Comma 2 4 2 3 6 3" xfId="51015" xr:uid="{729A1172-4A1C-45CD-B0FB-650799522718}"/>
    <cellStyle name="Comma 2 4 2 3 6 4" xfId="54031" xr:uid="{AE1F530C-D736-4E1E-BB0E-96C33918FBCE}"/>
    <cellStyle name="Comma 2 4 2 3 7" xfId="46039" xr:uid="{E793EF50-6ED4-49C0-82F6-522DE2C0E839}"/>
    <cellStyle name="Comma 2 4 2 3 8" xfId="49909" xr:uid="{312E9CF2-2C9F-489E-9A51-AD0081A5F0C9}"/>
    <cellStyle name="Comma 2 4 2 3 9" xfId="52925" xr:uid="{E2C05F86-1615-4CD8-A1A4-F6387081A7FA}"/>
    <cellStyle name="Comma 2 4 2 4" xfId="10166" xr:uid="{4BD8A67B-B4EA-4E65-9E7D-767AC5739C53}"/>
    <cellStyle name="Comma 2 4 2 4 2" xfId="10480" xr:uid="{EFA9A8CE-F058-4CDD-A268-94046CAE591C}"/>
    <cellStyle name="Comma 2 4 2 4 2 2" xfId="14872" xr:uid="{85EDC283-872F-4654-BD24-664BA03AF5A5}"/>
    <cellStyle name="Comma 2 4 2 4 2 2 2" xfId="22419" xr:uid="{0A04517D-803A-4B3E-9446-B0F9FD09CE2B}"/>
    <cellStyle name="Comma 2 4 2 4 2 2 3" xfId="48553" xr:uid="{14B7C776-A202-47F3-A691-C5882D16EEBF}"/>
    <cellStyle name="Comma 2 4 2 4 2 2 4" xfId="51757" xr:uid="{9EC0599A-B812-4447-A4FF-8F325138C870}"/>
    <cellStyle name="Comma 2 4 2 4 2 2 5" xfId="54773" xr:uid="{BA1F417C-7D26-4FA5-B08D-05146613C276}"/>
    <cellStyle name="Comma 2 4 2 4 2 3" xfId="15357" xr:uid="{71C8366F-E694-4D25-9335-6D129230AE89}"/>
    <cellStyle name="Comma 2 4 2 4 2 3 2" xfId="22896" xr:uid="{0EC7BDE9-B58E-4144-91F8-89F60F8E1A73}"/>
    <cellStyle name="Comma 2 4 2 4 2 3 3" xfId="24443" xr:uid="{D137A10D-7135-4D79-A315-59ED6314920F}"/>
    <cellStyle name="Comma 2 4 2 4 2 3 4" xfId="52234" xr:uid="{8E415A8A-87D5-4ABA-AAB5-CFB558D64228}"/>
    <cellStyle name="Comma 2 4 2 4 2 3 5" xfId="55250" xr:uid="{D7421756-26AE-4FC7-931B-D5BE3906EE2C}"/>
    <cellStyle name="Comma 2 4 2 4 2 4" xfId="15844" xr:uid="{E59AC59C-5C02-4E23-8669-C8E0CB9DA95C}"/>
    <cellStyle name="Comma 2 4 2 4 2 4 2" xfId="23373" xr:uid="{42F59088-E99B-4599-AF12-E8A76FCD95B8}"/>
    <cellStyle name="Comma 2 4 2 4 2 4 3" xfId="24892" xr:uid="{0A28A9D5-D6F4-4EAE-8191-9FA4FEC79154}"/>
    <cellStyle name="Comma 2 4 2 4 2 4 4" xfId="52711" xr:uid="{1E5BC623-8AB0-4FE1-B4A7-C7A91DFC77C8}"/>
    <cellStyle name="Comma 2 4 2 4 2 4 5" xfId="55727" xr:uid="{4BC1ABAE-7553-4F3B-82ED-A46819670FCB}"/>
    <cellStyle name="Comma 2 4 2 4 2 5" xfId="12933" xr:uid="{27933EAF-168C-4314-AFD0-A47B214E0CC9}"/>
    <cellStyle name="Comma 2 4 2 4 2 5 2" xfId="33684" xr:uid="{491A8D4A-3E92-40E5-80BA-EC5C46FDCCFA}"/>
    <cellStyle name="Comma 2 4 2 4 2 5 3" xfId="51280" xr:uid="{34AD46EA-9E98-435E-8521-BCA841D8E942}"/>
    <cellStyle name="Comma 2 4 2 4 2 5 4" xfId="54296" xr:uid="{C408A5FC-E8D9-4953-9E95-5F3C7F4B15C8}"/>
    <cellStyle name="Comma 2 4 2 4 2 6" xfId="46128" xr:uid="{ABA42040-DA32-4D1F-AB80-C7517CB0EAD3}"/>
    <cellStyle name="Comma 2 4 2 4 2 7" xfId="50174" xr:uid="{B8156AEA-5A93-49FD-97C8-B12C91ACD532}"/>
    <cellStyle name="Comma 2 4 2 4 2 8" xfId="53190" xr:uid="{70C58317-F4ED-4073-9A98-9D5C1C01A129}"/>
    <cellStyle name="Comma 2 4 2 4 3" xfId="14660" xr:uid="{07A53D3E-FAF0-4EA8-AE36-FF314878CF31}"/>
    <cellStyle name="Comma 2 4 2 4 3 2" xfId="22207" xr:uid="{07D4B53A-1149-4E8C-B8A4-C3D7CD9E3130}"/>
    <cellStyle name="Comma 2 4 2 4 3 3" xfId="47044" xr:uid="{98E31DEB-F9A0-4169-B8CC-9E781B07E920}"/>
    <cellStyle name="Comma 2 4 2 4 3 4" xfId="51545" xr:uid="{DE6537BE-5F75-4B1E-8C45-F75FE36440E6}"/>
    <cellStyle name="Comma 2 4 2 4 3 5" xfId="54561" xr:uid="{BA3C666B-4CB6-45A3-ADFF-81DACCCE8B65}"/>
    <cellStyle name="Comma 2 4 2 4 4" xfId="15145" xr:uid="{4168D4AF-C659-4B75-B2AF-79DB267DA36A}"/>
    <cellStyle name="Comma 2 4 2 4 4 2" xfId="22684" xr:uid="{1733B92C-E0C4-41D4-A543-FD0AFDE318A5}"/>
    <cellStyle name="Comma 2 4 2 4 4 3" xfId="25294" xr:uid="{D6D107F8-D1FE-499B-915E-6F089E61268B}"/>
    <cellStyle name="Comma 2 4 2 4 4 4" xfId="52022" xr:uid="{C513A153-6C32-4228-A362-242602B41D17}"/>
    <cellStyle name="Comma 2 4 2 4 4 5" xfId="55038" xr:uid="{8B2EBED7-7AD8-4449-B9FB-B73DFAF7B4E7}"/>
    <cellStyle name="Comma 2 4 2 4 5" xfId="15632" xr:uid="{3787668D-4A1C-463C-AF61-AEFC1F4B47CE}"/>
    <cellStyle name="Comma 2 4 2 4 5 2" xfId="23161" xr:uid="{12A00C7C-0134-41AE-9DF7-0D801FEE0C7F}"/>
    <cellStyle name="Comma 2 4 2 4 5 3" xfId="46944" xr:uid="{10D9FF16-1325-472A-9797-E23A13D8F35C}"/>
    <cellStyle name="Comma 2 4 2 4 5 4" xfId="52499" xr:uid="{23AEF0BA-F7D3-4496-98C1-6631BEEDC1F5}"/>
    <cellStyle name="Comma 2 4 2 4 5 5" xfId="55515" xr:uid="{3350EA83-693D-4412-AC60-4DB1D9E189B3}"/>
    <cellStyle name="Comma 2 4 2 4 6" xfId="12620" xr:uid="{FE41386F-C61E-4BA9-9F4D-8163940D5049}"/>
    <cellStyle name="Comma 2 4 2 4 6 2" xfId="47615" xr:uid="{B5CBC765-772C-4360-A484-3EE95F1EEE17}"/>
    <cellStyle name="Comma 2 4 2 4 6 3" xfId="51068" xr:uid="{BC2070A5-45AC-49FE-9F62-4DFC3C9724BF}"/>
    <cellStyle name="Comma 2 4 2 4 6 4" xfId="54084" xr:uid="{C3E30A39-3F3A-47A8-B7A3-785F5CE613CA}"/>
    <cellStyle name="Comma 2 4 2 4 7" xfId="47975" xr:uid="{D87611B1-E071-444B-AAB6-0D75281802BC}"/>
    <cellStyle name="Comma 2 4 2 4 8" xfId="49962" xr:uid="{8115D37A-8147-490F-9E67-34EA3E36C44F}"/>
    <cellStyle name="Comma 2 4 2 4 9" xfId="52978" xr:uid="{5F7F86FC-2312-47EC-8BEF-AB31221EFCA4}"/>
    <cellStyle name="Comma 2 4 2 5" xfId="10246" xr:uid="{36EB3856-B0B5-4361-8E45-C77E00791B0D}"/>
    <cellStyle name="Comma 2 4 2 5 2" xfId="14713" xr:uid="{446B4EAC-A82B-4018-A6DE-0139ACBC617E}"/>
    <cellStyle name="Comma 2 4 2 5 2 2" xfId="22260" xr:uid="{3D54CCDA-1B6F-40EB-863D-1824809B17E4}"/>
    <cellStyle name="Comma 2 4 2 5 2 3" xfId="47772" xr:uid="{F7F1A659-D9A0-4438-9C79-0702159C128B}"/>
    <cellStyle name="Comma 2 4 2 5 2 4" xfId="51598" xr:uid="{A258C2AB-9660-4BFC-8684-2D7F095F23CD}"/>
    <cellStyle name="Comma 2 4 2 5 2 5" xfId="54614" xr:uid="{74C5A695-4507-46B1-AED4-DF46BC9F1FC4}"/>
    <cellStyle name="Comma 2 4 2 5 3" xfId="15198" xr:uid="{46D823BD-E62D-4BF3-ABC1-12BB11C47B2E}"/>
    <cellStyle name="Comma 2 4 2 5 3 2" xfId="22737" xr:uid="{01A5590C-2B7E-4669-B06C-BC8E88D27F6D}"/>
    <cellStyle name="Comma 2 4 2 5 3 3" xfId="48547" xr:uid="{44C9E8AD-B558-47F6-93C9-00C6E69BA4BC}"/>
    <cellStyle name="Comma 2 4 2 5 3 4" xfId="52075" xr:uid="{513FF6CA-62A2-4B3C-9D8F-6C5FE40CAF54}"/>
    <cellStyle name="Comma 2 4 2 5 3 5" xfId="55091" xr:uid="{D38A05F1-432F-4B8A-A959-A3B96BE7AF04}"/>
    <cellStyle name="Comma 2 4 2 5 4" xfId="15685" xr:uid="{C818A561-1E71-4D5E-85FC-C8B2E0E7D25F}"/>
    <cellStyle name="Comma 2 4 2 5 4 2" xfId="23214" xr:uid="{D5EB7296-6E50-4753-B069-BB9BDCDC558F}"/>
    <cellStyle name="Comma 2 4 2 5 4 3" xfId="24650" xr:uid="{4D9F53B5-8105-4CED-9FD7-BFDFBD5EE624}"/>
    <cellStyle name="Comma 2 4 2 5 4 4" xfId="52552" xr:uid="{379EE709-130B-4920-8EAD-1C746640370E}"/>
    <cellStyle name="Comma 2 4 2 5 4 5" xfId="55568" xr:uid="{B0AF4A1F-CDCA-4F06-BB87-33773EF32F23}"/>
    <cellStyle name="Comma 2 4 2 5 5" xfId="12699" xr:uid="{5D3544B5-2025-409E-BBB3-14BFA5CE9CD6}"/>
    <cellStyle name="Comma 2 4 2 5 5 2" xfId="46344" xr:uid="{84D8B59F-2BBF-41D0-A2DF-2CB48984184E}"/>
    <cellStyle name="Comma 2 4 2 5 5 3" xfId="51121" xr:uid="{CD2AEB15-E233-44CE-B27C-C1B6B611CB8E}"/>
    <cellStyle name="Comma 2 4 2 5 5 4" xfId="54137" xr:uid="{B099E87B-D427-4030-AEBA-D0DBC75A211F}"/>
    <cellStyle name="Comma 2 4 2 5 6" xfId="46073" xr:uid="{B6B77C97-CDBE-4B93-B123-A8363CAAD5CC}"/>
    <cellStyle name="Comma 2 4 2 5 7" xfId="50015" xr:uid="{C38404D9-C137-4EC6-8E4E-EF2B47E4F1FA}"/>
    <cellStyle name="Comma 2 4 2 5 8" xfId="53031" xr:uid="{C344E8A4-7771-4440-BD01-159C363570F5}"/>
    <cellStyle name="Comma 2 4 2 6" xfId="10560" xr:uid="{1400F6AD-1656-496F-A9AA-82A07E59BDEC}"/>
    <cellStyle name="Comma 2 4 2 6 2" xfId="14925" xr:uid="{17D593FB-70AE-4E82-942F-357870DEFC17}"/>
    <cellStyle name="Comma 2 4 2 6 2 2" xfId="22472" xr:uid="{AA25924D-84D9-40CD-B70A-263BA59CCCB3}"/>
    <cellStyle name="Comma 2 4 2 6 2 3" xfId="48441" xr:uid="{29FC0810-FFFC-4C50-A688-47181E1E6CCD}"/>
    <cellStyle name="Comma 2 4 2 6 2 4" xfId="51810" xr:uid="{AB1C8A68-83AE-4DA1-891B-27B0913E6D4A}"/>
    <cellStyle name="Comma 2 4 2 6 2 5" xfId="54826" xr:uid="{2180F39A-0EFC-4789-B9A4-4CA9E6A7BAF3}"/>
    <cellStyle name="Comma 2 4 2 6 3" xfId="15410" xr:uid="{055B5823-A343-44C3-8107-6C9B67DD62B4}"/>
    <cellStyle name="Comma 2 4 2 6 3 2" xfId="22949" xr:uid="{2D6ED1A6-8E0C-454B-8099-88890F8E459F}"/>
    <cellStyle name="Comma 2 4 2 6 3 3" xfId="46919" xr:uid="{A7966DC2-8891-46B5-B682-3625D8A50F8A}"/>
    <cellStyle name="Comma 2 4 2 6 3 4" xfId="52287" xr:uid="{A7C66DAF-7A0A-4308-B403-D675B3943B6C}"/>
    <cellStyle name="Comma 2 4 2 6 3 5" xfId="55303" xr:uid="{E1D9B01B-167C-467A-8405-6699119988ED}"/>
    <cellStyle name="Comma 2 4 2 6 4" xfId="15898" xr:uid="{F7A63C54-D84C-49A2-82E9-AAC624528C2E}"/>
    <cellStyle name="Comma 2 4 2 6 4 2" xfId="23426" xr:uid="{40B1A1A1-FB30-4623-A4D2-D8BFB731E374}"/>
    <cellStyle name="Comma 2 4 2 6 4 3" xfId="47135" xr:uid="{843CAF7E-93A9-4E4F-AFBF-5AECF5790BE1}"/>
    <cellStyle name="Comma 2 4 2 6 4 4" xfId="52764" xr:uid="{D0773B1E-7341-49BA-872E-72D0FDFA40C9}"/>
    <cellStyle name="Comma 2 4 2 6 4 5" xfId="55780" xr:uid="{69DD7260-4B9C-4BF8-8DE4-F58AEFFE4F76}"/>
    <cellStyle name="Comma 2 4 2 6 5" xfId="13013" xr:uid="{2CD91B77-3A25-41BD-94A3-9B0D30814E93}"/>
    <cellStyle name="Comma 2 4 2 6 5 2" xfId="47472" xr:uid="{E9F62553-4A81-4B06-82A9-0237136586D0}"/>
    <cellStyle name="Comma 2 4 2 6 5 3" xfId="51333" xr:uid="{56D1964E-DD2A-4659-858B-3A74255EE5BB}"/>
    <cellStyle name="Comma 2 4 2 6 5 4" xfId="54349" xr:uid="{0E620746-52AD-4B93-ACBB-55CB5E53A278}"/>
    <cellStyle name="Comma 2 4 2 6 6" xfId="48374" xr:uid="{171593F4-85D5-42E8-8C5E-32FB73D3CF14}"/>
    <cellStyle name="Comma 2 4 2 6 7" xfId="50227" xr:uid="{8DA5D08A-5DA5-472F-BE73-BDA69CA27FB4}"/>
    <cellStyle name="Comma 2 4 2 6 8" xfId="53243" xr:uid="{41EE6CAA-57B1-4AE4-9BDA-69BF27FA53F0}"/>
    <cellStyle name="Comma 2 4 2 7" xfId="11098" xr:uid="{FFB23523-ECB3-4821-9F07-DF63CDC7C5B1}"/>
    <cellStyle name="Comma 2 4 2 8" xfId="14501" xr:uid="{E0269445-C1C8-4C1F-BDB8-728F2FD4F068}"/>
    <cellStyle name="Comma 2 4 2 8 2" xfId="22048" xr:uid="{1E005939-AA3C-4FF5-81B8-367FFC5870AB}"/>
    <cellStyle name="Comma 2 4 2 8 3" xfId="47175" xr:uid="{7DB37FEA-51EC-46BD-B1FC-80151F3D47EE}"/>
    <cellStyle name="Comma 2 4 2 8 4" xfId="51386" xr:uid="{EA5C13D3-5767-4EC2-AD67-132AA6E0B4F7}"/>
    <cellStyle name="Comma 2 4 2 8 5" xfId="54402" xr:uid="{42C35175-1BF0-4716-9357-A8F51F4C43F9}"/>
    <cellStyle name="Comma 2 4 2 9" xfId="14985" xr:uid="{4ACDEB0D-7501-4C1D-BC0E-C3094A0A7105}"/>
    <cellStyle name="Comma 2 4 2 9 2" xfId="22525" xr:uid="{B96B551A-FAD4-4769-BA61-A473CD97CBC4}"/>
    <cellStyle name="Comma 2 4 2 9 3" xfId="32326" xr:uid="{77626ADF-D610-4DE0-B5F3-00E63FAFB2D0}"/>
    <cellStyle name="Comma 2 4 2 9 4" xfId="51863" xr:uid="{32C0DA9C-E3E5-4505-87E1-80F9AB975E42}"/>
    <cellStyle name="Comma 2 4 2 9 5" xfId="54879" xr:uid="{BF9B87A8-AF9C-4277-B2E6-0A64A3D57D64}"/>
    <cellStyle name="Comma 2 4 3" xfId="5815" xr:uid="{74C3612D-150B-4A3C-A2AA-26FF0A8E2327}"/>
    <cellStyle name="Comma 2 4 3 2" xfId="21684" xr:uid="{1D8762A4-696D-423F-83F1-3BB5FEC86D09}"/>
    <cellStyle name="Comma 2 4 3 3" xfId="23724" xr:uid="{9D0C228D-ADAF-42B0-BF57-B6511CE0B083}"/>
    <cellStyle name="Comma 2 4 3 4" xfId="50700" xr:uid="{F0B7D922-18AE-44A7-B69B-FE47A0F1EBE0}"/>
    <cellStyle name="Comma 2 4 3 5" xfId="53716" xr:uid="{6E85CEFA-A1DA-4E29-AE38-A10B43F73376}"/>
    <cellStyle name="Comma 2 4 3 6" xfId="11187" xr:uid="{850F489F-DD6D-4B62-BA1D-876AADD0D856}"/>
    <cellStyle name="Comma 2 4 4" xfId="2615" xr:uid="{4105B42B-595D-4114-8525-0D1A1D3222D0}"/>
    <cellStyle name="Comma 2 4 4 2" xfId="11090" xr:uid="{CE2BF550-4B04-429C-B80D-18317EF06409}"/>
    <cellStyle name="Comma 2 4 5" xfId="17743" xr:uid="{9970E3AB-38F5-4A9F-9379-BC072F7A55AD}"/>
    <cellStyle name="Comma 2 4 5 2" xfId="21251" xr:uid="{E2F5C460-22C9-4E06-8F90-969467571CC6}"/>
    <cellStyle name="Comma 2 4 6" xfId="19476" xr:uid="{9B7F2BFC-E491-46FC-9FE4-65FE668A771E}"/>
    <cellStyle name="Comma 2 4 7" xfId="23722" xr:uid="{5C6077D6-CAFB-4E23-9547-FC20AAC7FA8B}"/>
    <cellStyle name="Comma 2 4 8" xfId="48611" xr:uid="{D6D9FD66-6C05-4E49-90E6-61FDEE6BFA9E}"/>
    <cellStyle name="Comma 2 4 9" xfId="49521" xr:uid="{AB22CBB7-393B-48FF-BF40-E0D2151F78F6}"/>
    <cellStyle name="Comma 2 5" xfId="2616" xr:uid="{5689246B-C520-414D-A68D-3AC6BE34D6B4}"/>
    <cellStyle name="Comma 2 5 10" xfId="23725" xr:uid="{E19413B0-08AD-490E-8F48-797A901A96F6}"/>
    <cellStyle name="Comma 2 5 11" xfId="7229" xr:uid="{089D8BB1-1D47-4BB5-ACD4-B191EC77A876}"/>
    <cellStyle name="Comma 2 5 2" xfId="2617" xr:uid="{AAAE9B4A-AEF0-4CB4-8060-DC1C842F2470}"/>
    <cellStyle name="Comma 2 5 2 2" xfId="4536" xr:uid="{73B667F8-CEC9-444B-8F0C-6081965467CF}"/>
    <cellStyle name="Comma 2 5 2 2 2" xfId="23727" xr:uid="{687B7A26-95BA-4CC6-9AD4-9AF4177C9EDA}"/>
    <cellStyle name="Comma 2 5 2 2 3" xfId="48613" xr:uid="{1D5EA4E1-3182-4101-B94C-8410EB534689}"/>
    <cellStyle name="Comma 2 5 2 2 4" xfId="49523" xr:uid="{083AE715-DA75-4F09-95E1-713E9BB25450}"/>
    <cellStyle name="Comma 2 5 2 2 5" xfId="17637" xr:uid="{4440873F-AF7E-46E1-A426-2899A0F4CE66}"/>
    <cellStyle name="Comma 2 5 2 3" xfId="5817" xr:uid="{CCEAF00F-DF31-4D5F-B5D9-D6944E21B2D0}"/>
    <cellStyle name="Comma 2 5 2 3 2" xfId="38061" xr:uid="{236D4C20-4F32-45DF-8895-405FA6EE4E73}"/>
    <cellStyle name="Comma 2 5 2 3 3" xfId="43363" xr:uid="{38D881F4-9E8D-49E0-8585-E020D6690C01}"/>
    <cellStyle name="Comma 2 5 2 3 4" xfId="32687" xr:uid="{AE232031-1642-4F44-B601-D5AB429CEFA9}"/>
    <cellStyle name="Comma 2 5 2 3 5" xfId="19478" xr:uid="{F1F3EC3F-4A31-47FD-ACF2-DB19343BD6AD}"/>
    <cellStyle name="Comma 2 5 2 4" xfId="35596" xr:uid="{A513AFB8-355A-4D8E-A601-1EC2F1D5DDA3}"/>
    <cellStyle name="Comma 2 5 2 5" xfId="40712" xr:uid="{F02DB13C-687D-4F21-A543-993A21AEDAEC}"/>
    <cellStyle name="Comma 2 5 2 6" xfId="23726" xr:uid="{4F75FC89-EDD1-41BF-8D50-417E8CA07E95}"/>
    <cellStyle name="Comma 2 5 2 7" xfId="15940" xr:uid="{999598C5-9EDD-45AB-B046-B785170D3F0C}"/>
    <cellStyle name="Comma 2 5 2 8" xfId="7226" xr:uid="{986D9E34-E59C-42BB-9423-CFB1D6F28DB8}"/>
    <cellStyle name="Comma 2 5 3" xfId="4535" xr:uid="{470E6876-E4FE-4C13-98A9-E8FC185A7E1D}"/>
    <cellStyle name="Comma 2 5 3 2" xfId="23728" xr:uid="{F11D2D2F-FD01-409C-B833-711835845060}"/>
    <cellStyle name="Comma 2 5 3 3" xfId="48614" xr:uid="{3CA0E583-B207-4BA8-B58F-6E20726B780E}"/>
    <cellStyle name="Comma 2 5 3 4" xfId="49524" xr:uid="{F7FA28DF-9E6F-492C-9253-6960A5A801AF}"/>
    <cellStyle name="Comma 2 5 3 5" xfId="12436" xr:uid="{04DA9337-6C89-4FFA-90DB-260F117642C0}"/>
    <cellStyle name="Comma 2 5 4" xfId="5816" xr:uid="{F2EACDBC-3A74-435B-AEF8-294371D4A8DF}"/>
    <cellStyle name="Comma 2 5 4 2" xfId="21902" xr:uid="{151B0167-F40E-4CA8-8E78-D46C38CEFBE6}"/>
    <cellStyle name="Comma 2 5 4 2 2" xfId="38062" xr:uid="{BAE0797C-55F8-4895-B35C-6491FF7982CA}"/>
    <cellStyle name="Comma 2 5 4 2 3" xfId="43364" xr:uid="{9CEEB68C-BF4F-4461-AF82-91C521189CEB}"/>
    <cellStyle name="Comma 2 5 4 2 4" xfId="32688" xr:uid="{30E35FEA-6AC7-4C4E-9F1A-13333A824BF8}"/>
    <cellStyle name="Comma 2 5 4 3" xfId="35597" xr:uid="{404BAB69-09E1-4848-AF6B-4BD649100E73}"/>
    <cellStyle name="Comma 2 5 4 4" xfId="40713" xr:uid="{CB004F45-A1AF-49F4-A11E-621222B07475}"/>
    <cellStyle name="Comma 2 5 4 5" xfId="23729" xr:uid="{D433AE08-F3F2-49D4-9367-2755C1A05DCD}"/>
    <cellStyle name="Comma 2 5 4 6" xfId="48380" xr:uid="{FBCC0151-09A5-4D71-AB50-8B523D593F06}"/>
    <cellStyle name="Comma 2 5 4 7" xfId="50930" xr:uid="{007C05F7-FE4A-468C-B156-5A8B4915E583}"/>
    <cellStyle name="Comma 2 5 4 8" xfId="53946" xr:uid="{2925D5E2-890E-4853-AA6F-1FB2CF4176CA}"/>
    <cellStyle name="Comma 2 5 4 9" xfId="12140" xr:uid="{081D191D-BE5C-4462-B952-6605A29E87CB}"/>
    <cellStyle name="Comma 2 5 5" xfId="11188" xr:uid="{4EE1E12C-9403-4794-84A0-4DB243FA8ED3}"/>
    <cellStyle name="Comma 2 5 5 2" xfId="21685" xr:uid="{3E272959-9A3F-4DF4-A20B-1FDBE75BF91B}"/>
    <cellStyle name="Comma 2 5 5 2 2" xfId="38063" xr:uid="{23163768-C9BD-4F9D-8B66-5AC934796822}"/>
    <cellStyle name="Comma 2 5 5 2 3" xfId="43365" xr:uid="{DC956AE5-E896-4350-BFF1-32D99F1A15F3}"/>
    <cellStyle name="Comma 2 5 5 2 4" xfId="32689" xr:uid="{67BBB109-138E-4F23-9579-1C8D3AFC90F9}"/>
    <cellStyle name="Comma 2 5 5 3" xfId="35598" xr:uid="{8E9E09E8-B903-4757-9053-8A0C03896DF6}"/>
    <cellStyle name="Comma 2 5 5 4" xfId="40714" xr:uid="{AC8ABD2B-86B1-4CB8-9CB7-B933E5473CFF}"/>
    <cellStyle name="Comma 2 5 5 5" xfId="23730" xr:uid="{F46AAC8C-6E65-46F1-A305-F9B4ECC21C63}"/>
    <cellStyle name="Comma 2 5 5 6" xfId="46277" xr:uid="{8D673E28-2574-4BF0-B31E-536A2A514B4D}"/>
    <cellStyle name="Comma 2 5 5 7" xfId="48615" xr:uid="{2A380DCB-6F72-4D50-83C9-466C4624FA8E}"/>
    <cellStyle name="Comma 2 5 5 8" xfId="50701" xr:uid="{07B019E0-1B0A-4C29-B50E-8EBD4FF3BF38}"/>
    <cellStyle name="Comma 2 5 5 9" xfId="53717" xr:uid="{809AC7BF-247C-4877-B185-2F0B17A920C8}"/>
    <cellStyle name="Comma 2 5 6" xfId="19477" xr:uid="{BE8DC3C2-0EDA-4F5D-B9C6-A433629A6B88}"/>
    <cellStyle name="Comma 2 5 6 2" xfId="32690" xr:uid="{3B5B2637-A017-4675-A046-C0697DF90AB1}"/>
    <cellStyle name="Comma 2 5 6 2 2" xfId="38064" xr:uid="{99E0C977-C200-48D7-947B-229F333565F0}"/>
    <cellStyle name="Comma 2 5 6 2 3" xfId="43366" xr:uid="{28666524-714C-4A00-9232-C87B41C0DFAD}"/>
    <cellStyle name="Comma 2 5 6 3" xfId="35599" xr:uid="{087DB0E1-DEC8-4C1F-8B29-305072BA8D71}"/>
    <cellStyle name="Comma 2 5 6 4" xfId="40715" xr:uid="{587D4256-7FF6-46B9-AA31-D8456E99033B}"/>
    <cellStyle name="Comma 2 5 6 5" xfId="23731" xr:uid="{CE0694A8-07FA-4E92-9E6D-B97D68FE547F}"/>
    <cellStyle name="Comma 2 5 6 6" xfId="48616" xr:uid="{94D95250-4F29-492F-868E-5E06BD1C57D8}"/>
    <cellStyle name="Comma 2 5 7" xfId="32686" xr:uid="{541DD640-4CA2-42E5-AC94-DB4EDFBA9D51}"/>
    <cellStyle name="Comma 2 5 7 2" xfId="38060" xr:uid="{154F8C9A-DD16-497B-B350-2EA91ED79385}"/>
    <cellStyle name="Comma 2 5 7 3" xfId="43362" xr:uid="{C9C2E745-79AA-44C2-9916-4BF9B5D9AF6D}"/>
    <cellStyle name="Comma 2 5 8" xfId="35595" xr:uid="{0E47B72F-6E72-44B8-8CD7-622F8D269C31}"/>
    <cellStyle name="Comma 2 5 9" xfId="40711" xr:uid="{F6045744-9EE4-4A8C-A13B-9AD7BBE1618B}"/>
    <cellStyle name="Comma 2 6" xfId="2618" xr:uid="{501B6C15-5F98-45F8-8882-9FB8820FE96F}"/>
    <cellStyle name="Comma 2 6 2" xfId="4537" xr:uid="{3E0ED0F9-F6D5-414D-A473-9E6F426A9190}"/>
    <cellStyle name="Comma 2 6 2 2" xfId="18051" xr:uid="{B9CBB962-9D23-4295-9ADE-14FB42A9B6E2}"/>
    <cellStyle name="Comma 2 6 2 2 2" xfId="38066" xr:uid="{10733DF2-B20B-4956-8F4B-81726110BAF6}"/>
    <cellStyle name="Comma 2 6 2 2 3" xfId="43368" xr:uid="{B81FA9D6-EAD6-4B56-B116-B09B699EB369}"/>
    <cellStyle name="Comma 2 6 2 3" xfId="19480" xr:uid="{F247FB0C-87AB-4C0B-AA6F-F37163A6CB4A}"/>
    <cellStyle name="Comma 2 6 2 3 2" xfId="35601" xr:uid="{CA083AAD-E2F0-4170-AA3A-71FDFFD86C83}"/>
    <cellStyle name="Comma 2 6 2 4" xfId="40717" xr:uid="{0ED8D236-4B9E-4778-A0BE-351F3CB2495E}"/>
    <cellStyle name="Comma 2 6 2 5" xfId="15942" xr:uid="{4DE01613-B28E-4F2C-B53A-08C4C9DF1363}"/>
    <cellStyle name="Comma 2 6 2 6" xfId="8424" xr:uid="{E4DF80F3-C85E-4DAD-834C-F0A7293A51B6}"/>
    <cellStyle name="Comma 2 6 3" xfId="5818" xr:uid="{C8077B81-EC2B-4027-BDED-CB5520B38AB0}"/>
    <cellStyle name="Comma 2 6 3 2" xfId="32692" xr:uid="{517E1B4C-D8F8-401A-BD17-6D4CF31B375A}"/>
    <cellStyle name="Comma 2 6 3 2 2" xfId="38067" xr:uid="{43AD1B57-2ADA-4CD4-8FC6-9C6C444BEE99}"/>
    <cellStyle name="Comma 2 6 3 2 3" xfId="43369" xr:uid="{8653D554-CD57-4410-B7E0-A6D64639B1DF}"/>
    <cellStyle name="Comma 2 6 3 3" xfId="35602" xr:uid="{B98388C5-620B-4C39-8B95-D9BC31D7B856}"/>
    <cellStyle name="Comma 2 6 3 4" xfId="40718" xr:uid="{DB1BEA7C-9877-4C70-9069-B56B7C5184B6}"/>
    <cellStyle name="Comma 2 6 3 5" xfId="17636" xr:uid="{79D466BE-076C-4147-9012-A17DBA9D35A0}"/>
    <cellStyle name="Comma 2 6 4" xfId="19479" xr:uid="{2751E83A-DB0B-4270-AA32-145C9127AACB}"/>
    <cellStyle name="Comma 2 6 4 2" xfId="38065" xr:uid="{F99111C7-9705-47D6-B388-B07940FCD706}"/>
    <cellStyle name="Comma 2 6 4 3" xfId="43367" xr:uid="{29C3CD83-04DC-45EB-9EDB-113C985E356C}"/>
    <cellStyle name="Comma 2 6 4 4" xfId="32691" xr:uid="{FA268116-63B3-4328-973F-89563C0AB309}"/>
    <cellStyle name="Comma 2 6 5" xfId="35600" xr:uid="{ECE416BA-2C3B-452A-A733-A54F4879006D}"/>
    <cellStyle name="Comma 2 6 6" xfId="40716" xr:uid="{F4B5D2D1-EE19-4AEE-9D68-ECD4711A3970}"/>
    <cellStyle name="Comma 2 6 7" xfId="23732" xr:uid="{58C9B369-112E-4C76-AF5F-0237DEF41404}"/>
    <cellStyle name="Comma 2 6 8" xfId="15941" xr:uid="{B79E11FD-7629-4AFF-BAAD-1861188B84F2}"/>
    <cellStyle name="Comma 2 6 9" xfId="7225" xr:uid="{445F20AE-E44E-4C2D-BE53-F119B4CF430D}"/>
    <cellStyle name="Comma 2 7" xfId="2619" xr:uid="{5A4E0375-9F2A-4607-A8E8-54606C3A37A6}"/>
    <cellStyle name="Comma 2 7 2" xfId="4538" xr:uid="{576E4192-EE01-4C9A-A85D-EB20EA1D8DF7}"/>
    <cellStyle name="Comma 2 7 2 2" xfId="35065" xr:uid="{7700BE8A-A116-4A71-828E-143AB4353175}"/>
    <cellStyle name="Comma 2 7 2 2 2" xfId="40226" xr:uid="{0D2C8D0B-3852-4C3C-83D3-4DE7AAD8E2B2}"/>
    <cellStyle name="Comma 2 7 2 2 3" xfId="45528" xr:uid="{91114260-4BDA-4337-99A1-F5FAF7FF0811}"/>
    <cellStyle name="Comma 2 7 2 3" xfId="37575" xr:uid="{22E603B4-E64E-4D44-86DD-7ED2F2479F62}"/>
    <cellStyle name="Comma 2 7 2 4" xfId="42877" xr:uid="{9C7875D5-77B5-4F15-9FC2-379E4B29EE72}"/>
    <cellStyle name="Comma 2 7 2 5" xfId="12389" xr:uid="{24CF4180-9D27-4B8E-A3D2-F699649FCD39}"/>
    <cellStyle name="Comma 2 7 3" xfId="5819" xr:uid="{5CB109AD-8D4D-4AE2-9424-2240FD7348D7}"/>
    <cellStyle name="Comma 2 7 3 2" xfId="21678" xr:uid="{FECE9EA0-960F-4643-9518-DC45590A7B11}"/>
    <cellStyle name="Comma 2 7 3 2 2" xfId="38068" xr:uid="{2AB0D40A-1FF0-4E77-AF24-0CA5598B41D5}"/>
    <cellStyle name="Comma 2 7 3 3" xfId="43370" xr:uid="{E5D050ED-4474-433E-A597-62F43687DC8A}"/>
    <cellStyle name="Comma 2 7 3 4" xfId="32693" xr:uid="{B203C05C-30CC-4D3A-B957-285D2C7CCE36}"/>
    <cellStyle name="Comma 2 7 3 5" xfId="46275" xr:uid="{A587E871-D087-40EB-A461-F113AD9023D6}"/>
    <cellStyle name="Comma 2 7 3 6" xfId="50694" xr:uid="{64DF7D83-20D7-4CA1-BB02-F625AFBDDCC4}"/>
    <cellStyle name="Comma 2 7 3 7" xfId="53710" xr:uid="{BA3AE7A2-CFDF-46E3-BA9B-0336882DC45A}"/>
    <cellStyle name="Comma 2 7 3 8" xfId="11181" xr:uid="{11385883-863A-48FB-8DE8-0F08F191E8DF}"/>
    <cellStyle name="Comma 2 7 4" xfId="19481" xr:uid="{97EC4717-B026-4383-B01C-99EC761DD9CF}"/>
    <cellStyle name="Comma 2 7 4 2" xfId="35603" xr:uid="{5C3D10EF-FD67-4E53-8C85-1E35A9D6AA23}"/>
    <cellStyle name="Comma 2 7 5" xfId="40719" xr:uid="{BBE06C31-2F13-4510-9535-F359ABC4CBE9}"/>
    <cellStyle name="Comma 2 7 6" xfId="23733" xr:uid="{5F236F3E-A33E-4384-93FC-318C357F5E25}"/>
    <cellStyle name="Comma 2 7 7" xfId="8181" xr:uid="{97ACA371-2160-4DE1-B651-229AB2780A4C}"/>
    <cellStyle name="Comma 2 8" xfId="4524" xr:uid="{0D3DD6AD-F146-47DE-873E-0B55E9068F23}"/>
    <cellStyle name="Comma 2 8 2" xfId="12437" xr:uid="{B66C4490-8281-4114-8752-31128E591CE3}"/>
    <cellStyle name="Comma 2 8 3" xfId="18299" xr:uid="{CFCB3147-CB06-49FA-9399-B0A3FBEA9686}"/>
    <cellStyle name="Comma 2 8 4" xfId="23734" xr:uid="{A0A8D89A-643A-4A75-A4DD-010AAE856E49}"/>
    <cellStyle name="Comma 2 8 5" xfId="48617" xr:uid="{269C4EC3-C1F7-43AE-B56F-7AF0C2F78443}"/>
    <cellStyle name="Comma 2 8 6" xfId="49525" xr:uid="{F2C258E7-8980-4A07-9262-20B1507F6FFB}"/>
    <cellStyle name="Comma 2 8 7" xfId="17001" xr:uid="{12B66691-188B-4607-AB02-4920ECABEBE0}"/>
    <cellStyle name="Comma 2 8 8" xfId="11697" xr:uid="{6EAFC332-3DBB-40D5-A2A7-A60E3658C245}"/>
    <cellStyle name="Comma 2 9" xfId="5806" xr:uid="{DFA9DCA4-B0CE-4A21-BA24-A2958DE4C237}"/>
    <cellStyle name="Comma 2 9 2" xfId="23735" xr:uid="{31906545-09AE-42D0-BA88-B09F17937298}"/>
    <cellStyle name="Comma 2 9 3" xfId="48618" xr:uid="{5477A4FC-8488-46C1-83F6-C1BD2ED3ADAD}"/>
    <cellStyle name="Comma 2 9 4" xfId="49526" xr:uid="{E0C43F4A-1C2E-4EB1-91F6-B737F4EF43C1}"/>
    <cellStyle name="Comma 2 9 5" xfId="18041" xr:uid="{E01D0902-A9D9-4780-9DD8-616D974C380F}"/>
    <cellStyle name="Comma 2 9 6" xfId="11142" xr:uid="{13AC344B-E83A-461F-A5A7-9F7C9EF091EC}"/>
    <cellStyle name="Comma 3" xfId="51" xr:uid="{00000000-0005-0000-0000-000056000000}"/>
    <cellStyle name="Comma 3 10" xfId="23736" xr:uid="{D6A44CA0-6B23-4B66-BE51-2C810A1CF7D0}"/>
    <cellStyle name="Comma 3 11" xfId="48619" xr:uid="{9809AF90-B796-45F5-A17E-65A3A12CF11E}"/>
    <cellStyle name="Comma 3 12" xfId="49527" xr:uid="{1BE29EE5-D650-4EEC-8E46-CCB9D16CCD88}"/>
    <cellStyle name="Comma 3 13" xfId="6985" xr:uid="{570D7C33-49E7-482D-8AFA-0CBE7EC83FA2}"/>
    <cellStyle name="Comma 3 2" xfId="2621" xr:uid="{ED3A89DF-F18E-4928-A1A4-13D0CAFDF48C}"/>
    <cellStyle name="Comma 3 2 10" xfId="49528" xr:uid="{45373BD6-A14B-41E5-B4C0-27905F960BCC}"/>
    <cellStyle name="Comma 3 2 11" xfId="7234" xr:uid="{BD112E32-8A3F-49DA-AFC5-7A8198103696}"/>
    <cellStyle name="Comma 3 2 2" xfId="2622" xr:uid="{9A40CF28-859B-4133-87AA-FD64F35B9407}"/>
    <cellStyle name="Comma 3 2 2 10" xfId="15454" xr:uid="{1B109E06-AAF6-4D13-A153-303BCA51F34D}"/>
    <cellStyle name="Comma 3 2 2 10 2" xfId="22989" xr:uid="{DBDBE973-3298-4410-895C-7CBC5EB3D735}"/>
    <cellStyle name="Comma 3 2 2 10 3" xfId="46923" xr:uid="{D2850EA0-C7B4-4E32-AB34-F8A8A49DCDDB}"/>
    <cellStyle name="Comma 3 2 2 10 4" xfId="52327" xr:uid="{C7FAD2A8-5AB6-4A79-AFA0-A987A1B2943B}"/>
    <cellStyle name="Comma 3 2 2 10 5" xfId="55343" xr:uid="{F38BF1CC-C954-41FD-AB9D-517A4351455E}"/>
    <cellStyle name="Comma 3 2 2 11" xfId="11191" xr:uid="{CD1A02C1-95F9-49AE-9E0E-C7C05F9178A4}"/>
    <cellStyle name="Comma 3 2 2 11 2" xfId="21687" xr:uid="{75874064-90B9-4187-B6BC-7267503CB6B1}"/>
    <cellStyle name="Comma 3 2 2 11 3" xfId="46727" xr:uid="{FBD659C1-B4B3-47B4-9886-65CADC529CC0}"/>
    <cellStyle name="Comma 3 2 2 11 4" xfId="50704" xr:uid="{B7DBA9FC-45E2-4504-A23D-271EAAEC3A0E}"/>
    <cellStyle name="Comma 3 2 2 11 5" xfId="53720" xr:uid="{7343A92D-866A-4533-B561-672EF9A70B44}"/>
    <cellStyle name="Comma 3 2 2 12" xfId="19484" xr:uid="{9EB9FF23-9781-452D-985A-7BDC75139171}"/>
    <cellStyle name="Comma 3 2 2 13" xfId="23738" xr:uid="{5D6B2C3D-E3FD-4909-9A98-3C403489FE14}"/>
    <cellStyle name="Comma 3 2 2 14" xfId="48621" xr:uid="{954F3A3E-DD81-4B80-BC27-0FAA5CAE447B}"/>
    <cellStyle name="Comma 3 2 2 15" xfId="49529" xr:uid="{856E8312-268C-4E5E-9550-2DBB54F18A9F}"/>
    <cellStyle name="Comma 3 2 2 16" xfId="49790" xr:uid="{59849D90-8BD4-4D49-BDD1-BE9F77E6B8EB}"/>
    <cellStyle name="Comma 3 2 2 17" xfId="52805" xr:uid="{3A801849-1434-43E1-A5A5-1C0884E53814}"/>
    <cellStyle name="Comma 3 2 2 2" xfId="8927" xr:uid="{D824278B-4A79-452D-8D5A-EF654B66EFD2}"/>
    <cellStyle name="Comma 3 2 2 2 10" xfId="12198" xr:uid="{9248D0DC-31A7-4B3F-BB22-5957FE9F737B}"/>
    <cellStyle name="Comma 3 2 2 2 10 2" xfId="47365" xr:uid="{E1946003-389F-42CB-9F9F-C1FD3F329C84}"/>
    <cellStyle name="Comma 3 2 2 2 10 3" xfId="50943" xr:uid="{05F226F5-B553-486E-B28D-3C8B8EB0A041}"/>
    <cellStyle name="Comma 3 2 2 2 10 4" xfId="53959" xr:uid="{A6FAE80D-D729-48C1-ADF1-5B65B8260C9A}"/>
    <cellStyle name="Comma 3 2 2 2 11" xfId="23739" xr:uid="{087A3E5A-7FB8-40A7-82A9-FB62EE4D27F6}"/>
    <cellStyle name="Comma 3 2 2 2 12" xfId="48622" xr:uid="{DEACC0E6-D639-4827-B8B0-29E027FEE9E2}"/>
    <cellStyle name="Comma 3 2 2 2 13" xfId="49530" xr:uid="{913EB959-78F0-45DF-9321-0358B7C4EE01}"/>
    <cellStyle name="Comma 3 2 2 2 14" xfId="49804" xr:uid="{25895E02-D8E2-4714-8A0E-FF4D4C580349}"/>
    <cellStyle name="Comma 3 2 2 2 15" xfId="52819" xr:uid="{C36BAC74-DAB3-4FEF-A46E-08E8B439FDBF}"/>
    <cellStyle name="Comma 3 2 2 2 2" xfId="10014" xr:uid="{856C538B-1F12-4B95-9C09-C4BB259D0037}"/>
    <cellStyle name="Comma 3 2 2 2 2 2" xfId="10322" xr:uid="{6F51CE29-DD53-46F6-A948-E65FF20DC7F3}"/>
    <cellStyle name="Comma 3 2 2 2 2 2 2" xfId="14767" xr:uid="{602C496F-30E7-44D2-B9AC-501B771DB86A}"/>
    <cellStyle name="Comma 3 2 2 2 2 2 2 2" xfId="22314" xr:uid="{66E20A01-4C30-4BE4-855B-37C0CC8E1D41}"/>
    <cellStyle name="Comma 3 2 2 2 2 2 2 3" xfId="32547" xr:uid="{7DA7785B-11BD-4B54-9D45-32C02341EFFF}"/>
    <cellStyle name="Comma 3 2 2 2 2 2 2 4" xfId="51652" xr:uid="{0C435B74-5382-4167-A87A-E1A4F4295C67}"/>
    <cellStyle name="Comma 3 2 2 2 2 2 2 5" xfId="54668" xr:uid="{50D9B7B5-54C3-41E4-8435-26AC2123FB40}"/>
    <cellStyle name="Comma 3 2 2 2 2 2 3" xfId="15252" xr:uid="{827AB7E8-FC57-46A3-94D0-B5D938046F77}"/>
    <cellStyle name="Comma 3 2 2 2 2 2 3 2" xfId="22791" xr:uid="{A6AE5E32-605A-431C-A2B5-080CB8B14133}"/>
    <cellStyle name="Comma 3 2 2 2 2 2 3 3" xfId="48301" xr:uid="{7111A7C7-382C-4031-B2CF-50DEDBC013EE}"/>
    <cellStyle name="Comma 3 2 2 2 2 2 3 4" xfId="52129" xr:uid="{3F6D908C-7A1C-4E1B-B0C5-A8E3C058A79D}"/>
    <cellStyle name="Comma 3 2 2 2 2 2 3 5" xfId="55145" xr:uid="{8157B350-038B-4FD1-8750-A40D7E002196}"/>
    <cellStyle name="Comma 3 2 2 2 2 2 4" xfId="15739" xr:uid="{973368F5-96B5-4C61-844B-2AB4FAD8C866}"/>
    <cellStyle name="Comma 3 2 2 2 2 2 4 2" xfId="23268" xr:uid="{54FBCD37-A599-4133-BCE8-64017C0FB628}"/>
    <cellStyle name="Comma 3 2 2 2 2 2 4 3" xfId="48133" xr:uid="{D4D1DEEB-EF8A-42BC-A1BF-1E979F6E28BC}"/>
    <cellStyle name="Comma 3 2 2 2 2 2 4 4" xfId="52606" xr:uid="{600C85E6-5C6E-461A-B270-709985C09198}"/>
    <cellStyle name="Comma 3 2 2 2 2 2 4 5" xfId="55622" xr:uid="{C9B7F0F4-58C2-4B2B-AD12-216C7C57E1DC}"/>
    <cellStyle name="Comma 3 2 2 2 2 2 5" xfId="12775" xr:uid="{2E75F358-E7BE-4D13-8E1E-8390BDBFA804}"/>
    <cellStyle name="Comma 3 2 2 2 2 2 5 2" xfId="46792" xr:uid="{7FEE9054-AAC1-4D5C-AB14-34AB1A0316EB}"/>
    <cellStyle name="Comma 3 2 2 2 2 2 5 3" xfId="51175" xr:uid="{B7F3FDDA-59FB-49A0-B67C-3FC3A322A78B}"/>
    <cellStyle name="Comma 3 2 2 2 2 2 5 4" xfId="54191" xr:uid="{11DB1AFA-8364-4614-ABF0-D1417273DD59}"/>
    <cellStyle name="Comma 3 2 2 2 2 2 6" xfId="47581" xr:uid="{1A24D4CF-1055-44C3-A518-D712CE113C44}"/>
    <cellStyle name="Comma 3 2 2 2 2 2 7" xfId="50069" xr:uid="{19EEBCFA-B3D6-4144-A082-D044981E13DF}"/>
    <cellStyle name="Comma 3 2 2 2 2 2 8" xfId="53085" xr:uid="{E25E9EEA-ABAF-47D7-99DE-8E7F4315B32F}"/>
    <cellStyle name="Comma 3 2 2 2 2 3" xfId="14555" xr:uid="{991AC00C-3AA7-4A09-9158-71629605511C}"/>
    <cellStyle name="Comma 3 2 2 2 2 3 2" xfId="22102" xr:uid="{EA2C4B2F-8420-449E-9FE9-A69509B977FD}"/>
    <cellStyle name="Comma 3 2 2 2 2 3 3" xfId="46834" xr:uid="{8E855145-5D6D-4FBD-856B-3B08DD5EB43A}"/>
    <cellStyle name="Comma 3 2 2 2 2 3 4" xfId="51440" xr:uid="{97A989D0-7551-4F18-9828-5D27BA55850C}"/>
    <cellStyle name="Comma 3 2 2 2 2 3 5" xfId="54456" xr:uid="{DF41D2B2-E775-42A1-B737-38E40F30ACD8}"/>
    <cellStyle name="Comma 3 2 2 2 2 4" xfId="15039" xr:uid="{12B96A0F-ED4E-48CA-B1EA-08F289954EF0}"/>
    <cellStyle name="Comma 3 2 2 2 2 4 2" xfId="22579" xr:uid="{8EA0E190-FC1D-4D17-BE0D-352CA87C23E8}"/>
    <cellStyle name="Comma 3 2 2 2 2 4 3" xfId="25295" xr:uid="{889C05FA-76AE-495C-86E3-E1D392ED0DD3}"/>
    <cellStyle name="Comma 3 2 2 2 2 4 4" xfId="51917" xr:uid="{1277FDD3-1C09-4CB5-A463-37D81B1EC0B6}"/>
    <cellStyle name="Comma 3 2 2 2 2 4 5" xfId="54933" xr:uid="{E621CBB8-630D-4D0C-BDEC-F4D2DD535042}"/>
    <cellStyle name="Comma 3 2 2 2 2 5" xfId="15526" xr:uid="{25ED1E81-EA62-4A7B-A83A-39CB28B4F42C}"/>
    <cellStyle name="Comma 3 2 2 2 2 5 2" xfId="23056" xr:uid="{C8BA60B2-E61B-437E-B20B-0DC7021EEF87}"/>
    <cellStyle name="Comma 3 2 2 2 2 5 3" xfId="47133" xr:uid="{744A8FCF-3E53-49F1-9715-FD69E97946F1}"/>
    <cellStyle name="Comma 3 2 2 2 2 5 4" xfId="52394" xr:uid="{D6B5AF93-8620-4B7A-AF71-6389E18D1611}"/>
    <cellStyle name="Comma 3 2 2 2 2 5 5" xfId="55410" xr:uid="{B8BD1A6F-9368-4C34-B894-B539E446BF10}"/>
    <cellStyle name="Comma 3 2 2 2 2 6" xfId="12474" xr:uid="{7C5B7208-D539-4697-880B-362B6712D8B5}"/>
    <cellStyle name="Comma 3 2 2 2 2 6 2" xfId="46310" xr:uid="{FD58D5DA-0147-4584-9A62-220AD86A22EF}"/>
    <cellStyle name="Comma 3 2 2 2 2 6 3" xfId="50963" xr:uid="{847BF0A3-BE3E-4FEF-861B-27869C981343}"/>
    <cellStyle name="Comma 3 2 2 2 2 6 4" xfId="53979" xr:uid="{7120C10A-CA13-42C6-9BE5-C8C0FC27D650}"/>
    <cellStyle name="Comma 3 2 2 2 2 7" xfId="47865" xr:uid="{BA51EC8D-479B-4F79-BA3B-A4561F87F1D8}"/>
    <cellStyle name="Comma 3 2 2 2 2 8" xfId="49857" xr:uid="{D423BE80-E802-4254-A0EE-538A515E3481}"/>
    <cellStyle name="Comma 3 2 2 2 2 9" xfId="52873" xr:uid="{7DE4CA52-66D4-487C-A4E0-39C567325FA3}"/>
    <cellStyle name="Comma 3 2 2 2 3" xfId="10088" xr:uid="{66317D47-589A-409A-89E7-8879D2C4DF3D}"/>
    <cellStyle name="Comma 3 2 2 2 3 2" xfId="10401" xr:uid="{762ECFF4-5CC7-4DBA-B01C-A6EC20BB1EDA}"/>
    <cellStyle name="Comma 3 2 2 2 3 2 2" xfId="14820" xr:uid="{D5614786-1D81-4558-A7A1-6CF2C757A365}"/>
    <cellStyle name="Comma 3 2 2 2 3 2 2 2" xfId="22367" xr:uid="{2A801D4B-9D77-47E0-BC4E-3B2EBA97AB3C}"/>
    <cellStyle name="Comma 3 2 2 2 3 2 2 3" xfId="46439" xr:uid="{74A9A75F-1FB4-4A7F-BE8E-78DEB1BF1146}"/>
    <cellStyle name="Comma 3 2 2 2 3 2 2 4" xfId="51705" xr:uid="{34759F77-3A9C-49AC-BE14-C54BBA52D013}"/>
    <cellStyle name="Comma 3 2 2 2 3 2 2 5" xfId="54721" xr:uid="{B53DABAC-76A6-4AE0-9A5C-08EB634D9AA6}"/>
    <cellStyle name="Comma 3 2 2 2 3 2 3" xfId="15305" xr:uid="{EAE1C5A3-B51B-452F-B1C8-105D63742915}"/>
    <cellStyle name="Comma 3 2 2 2 3 2 3 2" xfId="22844" xr:uid="{FD2F120A-69F2-47D4-BD24-D7C0A641C5D4}"/>
    <cellStyle name="Comma 3 2 2 2 3 2 3 3" xfId="47492" xr:uid="{CE0D2C86-7A84-456F-A5A2-4AEE5ACAD6C8}"/>
    <cellStyle name="Comma 3 2 2 2 3 2 3 4" xfId="52182" xr:uid="{9FCB414F-4615-42FE-A2FC-E82B694A7435}"/>
    <cellStyle name="Comma 3 2 2 2 3 2 3 5" xfId="55198" xr:uid="{64347BB2-E0BC-43EB-9738-F21FA4AEDC44}"/>
    <cellStyle name="Comma 3 2 2 2 3 2 4" xfId="15792" xr:uid="{C5B61F20-7F4A-40DA-8E3C-51D29C8B1F43}"/>
    <cellStyle name="Comma 3 2 2 2 3 2 4 2" xfId="23321" xr:uid="{60830E0E-FA3A-4650-BA1D-F45064AD34DE}"/>
    <cellStyle name="Comma 3 2 2 2 3 2 4 3" xfId="46586" xr:uid="{7649FADF-F1AC-4EF8-BAE9-620995EA37F8}"/>
    <cellStyle name="Comma 3 2 2 2 3 2 4 4" xfId="52659" xr:uid="{1D168DFF-1277-4A03-8E71-DF21182A1A1D}"/>
    <cellStyle name="Comma 3 2 2 2 3 2 4 5" xfId="55675" xr:uid="{3CDBEC56-5F77-47C9-9FBA-95034713A285}"/>
    <cellStyle name="Comma 3 2 2 2 3 2 5" xfId="12854" xr:uid="{60E4C5C2-2136-4FF3-A2E2-D0DCDF4F9AFB}"/>
    <cellStyle name="Comma 3 2 2 2 3 2 5 2" xfId="25047" xr:uid="{B91A9D95-B10C-48FC-9A08-7DF9DB1ED55A}"/>
    <cellStyle name="Comma 3 2 2 2 3 2 5 3" xfId="51228" xr:uid="{F9CA9FA4-85E2-41A6-BA46-6B767BEB6763}"/>
    <cellStyle name="Comma 3 2 2 2 3 2 5 4" xfId="54244" xr:uid="{8F634324-FFF3-41CD-9F9F-183961FB2FC1}"/>
    <cellStyle name="Comma 3 2 2 2 3 2 6" xfId="46109" xr:uid="{0EB84B2C-2933-46B2-81EF-20324C4ACD74}"/>
    <cellStyle name="Comma 3 2 2 2 3 2 7" xfId="50122" xr:uid="{D279CBFE-8CB1-4004-B6AB-3FBDB7CFFAF7}"/>
    <cellStyle name="Comma 3 2 2 2 3 2 8" xfId="53138" xr:uid="{82B0E152-5FFD-47B9-BE45-F35119C98213}"/>
    <cellStyle name="Comma 3 2 2 2 3 3" xfId="14608" xr:uid="{E17D392E-5AFD-400C-A9A6-8B7F304CA0E7}"/>
    <cellStyle name="Comma 3 2 2 2 3 3 2" xfId="22155" xr:uid="{136701AA-81A6-4A5D-8E77-741C94B1779A}"/>
    <cellStyle name="Comma 3 2 2 2 3 3 3" xfId="24316" xr:uid="{FFEA2142-C4ED-44E5-B2CA-8203AD2EB568}"/>
    <cellStyle name="Comma 3 2 2 2 3 3 4" xfId="51493" xr:uid="{58A54225-B4F3-4BF6-AB5E-5EE91145F4D3}"/>
    <cellStyle name="Comma 3 2 2 2 3 3 5" xfId="54509" xr:uid="{7DF8D5A7-DFED-40A9-AFBD-0B6620C1E4BE}"/>
    <cellStyle name="Comma 3 2 2 2 3 4" xfId="15093" xr:uid="{F3D0F750-2EB3-4C84-89CC-9D3C2E5BC867}"/>
    <cellStyle name="Comma 3 2 2 2 3 4 2" xfId="22632" xr:uid="{D9C1E4C9-A9FE-424C-803E-9A1126DF367B}"/>
    <cellStyle name="Comma 3 2 2 2 3 4 3" xfId="47634" xr:uid="{FC016ACF-2E74-43A8-AE3B-850AC3EBE058}"/>
    <cellStyle name="Comma 3 2 2 2 3 4 4" xfId="51970" xr:uid="{0ECAADF3-5097-4E6B-8951-26C4250C21FB}"/>
    <cellStyle name="Comma 3 2 2 2 3 4 5" xfId="54986" xr:uid="{0139E49C-D85D-4970-A413-7F9D6029D9DB}"/>
    <cellStyle name="Comma 3 2 2 2 3 5" xfId="15580" xr:uid="{788F8EAB-9C15-4057-ADE1-1F0473CD5095}"/>
    <cellStyle name="Comma 3 2 2 2 3 5 2" xfId="23109" xr:uid="{4FAB8745-D912-4CB0-A884-D44791D761E5}"/>
    <cellStyle name="Comma 3 2 2 2 3 5 3" xfId="47944" xr:uid="{C98C7851-3EDB-4D5E-A781-919D437D82B9}"/>
    <cellStyle name="Comma 3 2 2 2 3 5 4" xfId="52447" xr:uid="{B8AECE73-1F79-4ABA-923E-1E827BA50B9E}"/>
    <cellStyle name="Comma 3 2 2 2 3 5 5" xfId="55463" xr:uid="{9257EA9D-BAE4-4879-874C-B1F464832F77}"/>
    <cellStyle name="Comma 3 2 2 2 3 6" xfId="12545" xr:uid="{E2FD77EA-A049-4853-A6D9-85965FEED5BE}"/>
    <cellStyle name="Comma 3 2 2 2 3 6 2" xfId="48047" xr:uid="{922FD073-C5B2-40C3-A54D-CEA6D560B226}"/>
    <cellStyle name="Comma 3 2 2 2 3 6 3" xfId="51016" xr:uid="{E7C43B71-C2FE-4A59-86FA-FCA0AAEC29BF}"/>
    <cellStyle name="Comma 3 2 2 2 3 6 4" xfId="54032" xr:uid="{88E181A5-3F5F-4A99-80A9-036D20B1FDD2}"/>
    <cellStyle name="Comma 3 2 2 2 3 7" xfId="46040" xr:uid="{7264D5BA-D8E9-4BA9-881F-2E0D513AB4FC}"/>
    <cellStyle name="Comma 3 2 2 2 3 8" xfId="49910" xr:uid="{B69D3CB4-E5D3-4498-9372-71836519AE88}"/>
    <cellStyle name="Comma 3 2 2 2 3 9" xfId="52926" xr:uid="{24816FC9-5760-40B7-BD7E-D25E626EB594}"/>
    <cellStyle name="Comma 3 2 2 2 4" xfId="10167" xr:uid="{3D4BA7AD-922D-4FE7-9969-0C458DDA4593}"/>
    <cellStyle name="Comma 3 2 2 2 4 2" xfId="10481" xr:uid="{545748B9-813C-44F2-BD67-6EDC18445C5D}"/>
    <cellStyle name="Comma 3 2 2 2 4 2 2" xfId="14873" xr:uid="{63B780DA-CA66-47ED-9AF2-D7054149E0F6}"/>
    <cellStyle name="Comma 3 2 2 2 4 2 2 2" xfId="22420" xr:uid="{24C480B5-CD9E-4994-92F5-BA65F7223A47}"/>
    <cellStyle name="Comma 3 2 2 2 4 2 2 3" xfId="46681" xr:uid="{D6B010AD-D5AF-48D2-AD21-1FF593146C6C}"/>
    <cellStyle name="Comma 3 2 2 2 4 2 2 4" xfId="51758" xr:uid="{6C6BE38B-B6EB-4B64-9CB4-F4AE8E7FBF91}"/>
    <cellStyle name="Comma 3 2 2 2 4 2 2 5" xfId="54774" xr:uid="{295FED1B-541D-4DA5-933A-1F0A393C4247}"/>
    <cellStyle name="Comma 3 2 2 2 4 2 3" xfId="15358" xr:uid="{76912D5E-EABD-4998-B544-1EF94F0AA83E}"/>
    <cellStyle name="Comma 3 2 2 2 4 2 3 2" xfId="22897" xr:uid="{A4BA92D3-E08C-442C-8396-6D025B079898}"/>
    <cellStyle name="Comma 3 2 2 2 4 2 3 3" xfId="46911" xr:uid="{E997A984-8075-429B-8DFB-45550A0E81A9}"/>
    <cellStyle name="Comma 3 2 2 2 4 2 3 4" xfId="52235" xr:uid="{546E6F98-9BAE-40D6-AE3B-7EBB554BE139}"/>
    <cellStyle name="Comma 3 2 2 2 4 2 3 5" xfId="55251" xr:uid="{6F97A27E-BA8A-49EB-8718-162126B16847}"/>
    <cellStyle name="Comma 3 2 2 2 4 2 4" xfId="15845" xr:uid="{6B501821-0509-4FE6-9E03-67EC715283F6}"/>
    <cellStyle name="Comma 3 2 2 2 4 2 4 2" xfId="23374" xr:uid="{8423DF0C-FDB4-4E41-9854-2BED36309488}"/>
    <cellStyle name="Comma 3 2 2 2 4 2 4 3" xfId="47850" xr:uid="{05584150-8C91-4A89-93D2-BB26FE9601BB}"/>
    <cellStyle name="Comma 3 2 2 2 4 2 4 4" xfId="52712" xr:uid="{35BD4801-70D0-40BF-A5EC-354A08A68D0B}"/>
    <cellStyle name="Comma 3 2 2 2 4 2 4 5" xfId="55728" xr:uid="{9F67F1F7-85E3-4656-B63D-A2E4D37EE252}"/>
    <cellStyle name="Comma 3 2 2 2 4 2 5" xfId="12934" xr:uid="{35A0D416-B6EC-4B71-8B7E-1C4E9EE65032}"/>
    <cellStyle name="Comma 3 2 2 2 4 2 5 2" xfId="48204" xr:uid="{A9D51342-446E-4F97-9207-99CA716EDF8C}"/>
    <cellStyle name="Comma 3 2 2 2 4 2 5 3" xfId="51281" xr:uid="{F7933E77-0076-4469-B245-AF0A395BCA00}"/>
    <cellStyle name="Comma 3 2 2 2 4 2 5 4" xfId="54297" xr:uid="{5E040C40-3832-421A-AD4C-4563B76F2984}"/>
    <cellStyle name="Comma 3 2 2 2 4 2 6" xfId="48161" xr:uid="{B26B23F7-4CBB-488E-BFAF-88549CAA17C1}"/>
    <cellStyle name="Comma 3 2 2 2 4 2 7" xfId="50175" xr:uid="{528435F8-7B9F-4BA4-B827-5E7A29E77C40}"/>
    <cellStyle name="Comma 3 2 2 2 4 2 8" xfId="53191" xr:uid="{15051B97-37DC-4813-844B-44492B33B547}"/>
    <cellStyle name="Comma 3 2 2 2 4 3" xfId="14661" xr:uid="{10C4C730-7FB6-45F8-936A-E0DC4C220AA0}"/>
    <cellStyle name="Comma 3 2 2 2 4 3 2" xfId="22208" xr:uid="{71DFC383-93C8-4956-A1E7-668DEE468532}"/>
    <cellStyle name="Comma 3 2 2 2 4 3 3" xfId="46679" xr:uid="{414E4F28-8611-4265-98EB-51E51524C838}"/>
    <cellStyle name="Comma 3 2 2 2 4 3 4" xfId="51546" xr:uid="{28D04ED0-BAD0-439F-AF6E-7791745C397B}"/>
    <cellStyle name="Comma 3 2 2 2 4 3 5" xfId="54562" xr:uid="{1FDC3681-7F6C-4D62-B8D8-0A51890A3A7A}"/>
    <cellStyle name="Comma 3 2 2 2 4 4" xfId="15146" xr:uid="{EDC3C2B6-2124-42E0-B1C0-9107872DE174}"/>
    <cellStyle name="Comma 3 2 2 2 4 4 2" xfId="22685" xr:uid="{ED8A8D3F-5ACD-4ADE-AAB2-5A882C811077}"/>
    <cellStyle name="Comma 3 2 2 2 4 4 3" xfId="48096" xr:uid="{0F08DE77-BC37-463D-8186-8E4B685B862D}"/>
    <cellStyle name="Comma 3 2 2 2 4 4 4" xfId="52023" xr:uid="{654B38FA-C68E-4C85-B1E4-6368E0924A2A}"/>
    <cellStyle name="Comma 3 2 2 2 4 4 5" xfId="55039" xr:uid="{EC284DF0-C491-4138-A560-C86B6683C90F}"/>
    <cellStyle name="Comma 3 2 2 2 4 5" xfId="15633" xr:uid="{9558D60C-7F7F-484C-A982-FE577CD80835}"/>
    <cellStyle name="Comma 3 2 2 2 4 5 2" xfId="23162" xr:uid="{646A4E1A-9948-42F1-90AD-2A0630D05EEC}"/>
    <cellStyle name="Comma 3 2 2 2 4 5 3" xfId="48367" xr:uid="{98D099B7-6988-4A7E-84C0-227111D74D79}"/>
    <cellStyle name="Comma 3 2 2 2 4 5 4" xfId="52500" xr:uid="{CB0D806D-1FF5-478F-9B12-07F65CBBACC2}"/>
    <cellStyle name="Comma 3 2 2 2 4 5 5" xfId="55516" xr:uid="{6AB13493-5A28-4286-8214-6D17331D7AE6}"/>
    <cellStyle name="Comma 3 2 2 2 4 6" xfId="12621" xr:uid="{9607DF36-0361-40B3-8C71-093FC2A4F354}"/>
    <cellStyle name="Comma 3 2 2 2 4 6 2" xfId="47092" xr:uid="{77A552A0-62EA-4679-8A76-D35E4C8BB95C}"/>
    <cellStyle name="Comma 3 2 2 2 4 6 3" xfId="51069" xr:uid="{8CC0EBA3-5374-41DD-85ED-785F491CCDB9}"/>
    <cellStyle name="Comma 3 2 2 2 4 6 4" xfId="54085" xr:uid="{BAB6E4D8-A0D7-41EF-82AF-083D151FBEE9}"/>
    <cellStyle name="Comma 3 2 2 2 4 7" xfId="47996" xr:uid="{5D916ED7-F554-4E5B-A728-FB37CF309B76}"/>
    <cellStyle name="Comma 3 2 2 2 4 8" xfId="49963" xr:uid="{A996FD72-A47C-482D-84E3-1F9C63FF9285}"/>
    <cellStyle name="Comma 3 2 2 2 4 9" xfId="52979" xr:uid="{8364AB6E-AF0D-4F5E-8F6A-3B797DBB8999}"/>
    <cellStyle name="Comma 3 2 2 2 5" xfId="10247" xr:uid="{FEDCCBE0-E336-4A76-A782-B5AC27F2C9DB}"/>
    <cellStyle name="Comma 3 2 2 2 5 2" xfId="14714" xr:uid="{D2BBD23F-45D1-40CD-8250-07C02ED3965B}"/>
    <cellStyle name="Comma 3 2 2 2 5 2 2" xfId="22261" xr:uid="{260A4143-5E62-4AC5-B094-7B85929BF9CC}"/>
    <cellStyle name="Comma 3 2 2 2 5 2 3" xfId="47332" xr:uid="{31F58142-CC68-4C88-BD3D-72543EFB585B}"/>
    <cellStyle name="Comma 3 2 2 2 5 2 4" xfId="51599" xr:uid="{83CA7309-9D58-4015-B316-16B1851A07AF}"/>
    <cellStyle name="Comma 3 2 2 2 5 2 5" xfId="54615" xr:uid="{5AAF10BE-070B-41F2-853A-6F64F8E5711D}"/>
    <cellStyle name="Comma 3 2 2 2 5 3" xfId="15199" xr:uid="{00245ACD-A966-4305-B19E-6880250F0F60}"/>
    <cellStyle name="Comma 3 2 2 2 5 3 2" xfId="22738" xr:uid="{3379AAD4-9D41-405E-9317-E71318E3734D}"/>
    <cellStyle name="Comma 3 2 2 2 5 3 3" xfId="47568" xr:uid="{27D7AB7D-9CC5-42D9-B294-679433F9BEC2}"/>
    <cellStyle name="Comma 3 2 2 2 5 3 4" xfId="52076" xr:uid="{C77708F1-2407-44E8-8112-2126998936F3}"/>
    <cellStyle name="Comma 3 2 2 2 5 3 5" xfId="55092" xr:uid="{7345E02F-2DC0-4D81-A9E3-6E6596EF2C46}"/>
    <cellStyle name="Comma 3 2 2 2 5 4" xfId="15686" xr:uid="{A7C310B2-DF71-4980-9FFD-5A2974DBD313}"/>
    <cellStyle name="Comma 3 2 2 2 5 4 2" xfId="23215" xr:uid="{420D01CC-AEE4-48F2-B882-42E067515D47}"/>
    <cellStyle name="Comma 3 2 2 2 5 4 3" xfId="47646" xr:uid="{32AD25B4-D402-4BEC-A855-7DDF26A2FB28}"/>
    <cellStyle name="Comma 3 2 2 2 5 4 4" xfId="52553" xr:uid="{136529C8-E5D5-4747-930D-E1147E466E21}"/>
    <cellStyle name="Comma 3 2 2 2 5 4 5" xfId="55569" xr:uid="{5FFA5F5C-6F68-4234-B05B-12FE43F97077}"/>
    <cellStyle name="Comma 3 2 2 2 5 5" xfId="12700" xr:uid="{C758D124-DCA9-42BD-8B2F-4A9FA4A62D12}"/>
    <cellStyle name="Comma 3 2 2 2 5 5 2" xfId="25061" xr:uid="{10FCF3AC-E8E2-4D47-B13B-5E6D3F11D413}"/>
    <cellStyle name="Comma 3 2 2 2 5 5 3" xfId="51122" xr:uid="{92151A28-ADEB-4149-B80E-0AAAAB340D3A}"/>
    <cellStyle name="Comma 3 2 2 2 5 5 4" xfId="54138" xr:uid="{6FB17C51-C5B8-439C-B166-CCD479E7BEEB}"/>
    <cellStyle name="Comma 3 2 2 2 5 6" xfId="48000" xr:uid="{6FB0C71F-5772-4B41-BDC3-B577052835E4}"/>
    <cellStyle name="Comma 3 2 2 2 5 7" xfId="50016" xr:uid="{24702676-4179-4969-9E60-7B02137A3C34}"/>
    <cellStyle name="Comma 3 2 2 2 5 8" xfId="53032" xr:uid="{B3CFBF58-09A1-4958-ADB4-53CB1DE96BF1}"/>
    <cellStyle name="Comma 3 2 2 2 6" xfId="10561" xr:uid="{8141ADD9-8511-4503-A969-3BAA5E8FD7A5}"/>
    <cellStyle name="Comma 3 2 2 2 6 2" xfId="14926" xr:uid="{B99E2762-168F-4BF7-A2A8-561EFF8788A7}"/>
    <cellStyle name="Comma 3 2 2 2 6 2 2" xfId="22473" xr:uid="{94BF4C70-4E5A-48A3-8443-0C1C9339FB68}"/>
    <cellStyle name="Comma 3 2 2 2 6 2 3" xfId="47371" xr:uid="{EC31F4A9-5CD4-4D6D-8215-A12B506A173C}"/>
    <cellStyle name="Comma 3 2 2 2 6 2 4" xfId="51811" xr:uid="{8E6EFDFE-535B-483C-9CBD-958A15B58006}"/>
    <cellStyle name="Comma 3 2 2 2 6 2 5" xfId="54827" xr:uid="{A98BC70E-BAAE-4A32-B59B-77016207A6B2}"/>
    <cellStyle name="Comma 3 2 2 2 6 3" xfId="15411" xr:uid="{47623028-A9C5-4FF2-8F9E-CF10D5CBECBB}"/>
    <cellStyle name="Comma 3 2 2 2 6 3 2" xfId="22950" xr:uid="{6161B99A-71ED-4943-A4BD-FECCA8E708F8}"/>
    <cellStyle name="Comma 3 2 2 2 6 3 3" xfId="48075" xr:uid="{0E78E7EE-6DF9-4C61-8E1F-91A89EDC8F40}"/>
    <cellStyle name="Comma 3 2 2 2 6 3 4" xfId="52288" xr:uid="{FEF08864-F357-4AAD-B56C-DA53F536B01C}"/>
    <cellStyle name="Comma 3 2 2 2 6 3 5" xfId="55304" xr:uid="{96BA9C4D-DB14-46AE-8795-BB15933EAC3E}"/>
    <cellStyle name="Comma 3 2 2 2 6 4" xfId="15899" xr:uid="{F73B677A-B8C2-4301-84BE-A28DF1EE6933}"/>
    <cellStyle name="Comma 3 2 2 2 6 4 2" xfId="23427" xr:uid="{5D2672AF-6924-4B32-8B3B-29C52C72BC0E}"/>
    <cellStyle name="Comma 3 2 2 2 6 4 3" xfId="47851" xr:uid="{E6265ABC-F7DB-4E43-8860-6A72BF2ECC09}"/>
    <cellStyle name="Comma 3 2 2 2 6 4 4" xfId="52765" xr:uid="{A97904BD-7193-4F76-A06D-36B0B514751C}"/>
    <cellStyle name="Comma 3 2 2 2 6 4 5" xfId="55781" xr:uid="{5192AD7F-8423-41F5-8DDF-2B891B20AAF6}"/>
    <cellStyle name="Comma 3 2 2 2 6 5" xfId="13014" xr:uid="{62141DE3-BEE1-4E9C-AC55-D0088762871F}"/>
    <cellStyle name="Comma 3 2 2 2 6 5 2" xfId="47416" xr:uid="{4A21D4B3-5E2C-47A4-A075-823689560A5B}"/>
    <cellStyle name="Comma 3 2 2 2 6 5 3" xfId="51334" xr:uid="{A47E1AD0-3CDC-4D98-876B-90FDE586D33F}"/>
    <cellStyle name="Comma 3 2 2 2 6 5 4" xfId="54350" xr:uid="{51E68D1B-D896-40EB-A9BF-DFE2A20D2C61}"/>
    <cellStyle name="Comma 3 2 2 2 6 6" xfId="46630" xr:uid="{657FAE97-931E-4BAC-BD22-3EC665E72FCB}"/>
    <cellStyle name="Comma 3 2 2 2 6 7" xfId="50228" xr:uid="{99230DBB-9302-4D6C-A533-21D8D074B67E}"/>
    <cellStyle name="Comma 3 2 2 2 6 8" xfId="53244" xr:uid="{5F0EB218-BE0B-47FB-BA60-C2F83FA81C49}"/>
    <cellStyle name="Comma 3 2 2 2 7" xfId="14502" xr:uid="{16D2382E-5AAA-4378-8F9E-D9D44A3DD86B}"/>
    <cellStyle name="Comma 3 2 2 2 7 2" xfId="22049" xr:uid="{A272928F-ABB7-4B28-B4AB-F2ECAE49F903}"/>
    <cellStyle name="Comma 3 2 2 2 7 3" xfId="33025" xr:uid="{02E59F15-486F-44B7-99D1-D76B817EFB95}"/>
    <cellStyle name="Comma 3 2 2 2 7 4" xfId="51387" xr:uid="{15F72F3D-1387-4FAB-AFB2-393C3E9F02FD}"/>
    <cellStyle name="Comma 3 2 2 2 7 5" xfId="54403" xr:uid="{E6D517D7-3B1C-46A7-B914-5223A8B54072}"/>
    <cellStyle name="Comma 3 2 2 2 8" xfId="14986" xr:uid="{9AC8FE11-A769-4050-8264-118CBCCE2CE3}"/>
    <cellStyle name="Comma 3 2 2 2 8 2" xfId="22526" xr:uid="{B0743509-4F3C-458E-A9C6-72975E7834C1}"/>
    <cellStyle name="Comma 3 2 2 2 8 3" xfId="32513" xr:uid="{4CA91C28-6381-49AC-9324-C1A3F42F2C9D}"/>
    <cellStyle name="Comma 3 2 2 2 8 4" xfId="51864" xr:uid="{6D9AE224-EABD-411B-B5EC-7F24DA8B7405}"/>
    <cellStyle name="Comma 3 2 2 2 8 5" xfId="54880" xr:uid="{3600F3A1-1194-436C-BBFE-92731F21C3AC}"/>
    <cellStyle name="Comma 3 2 2 2 9" xfId="15473" xr:uid="{3488FF39-0CC3-460F-94AB-D1A76543D331}"/>
    <cellStyle name="Comma 3 2 2 2 9 2" xfId="23003" xr:uid="{74EE8EC5-66E9-4878-A057-6F2DD29AA4C5}"/>
    <cellStyle name="Comma 3 2 2 2 9 3" xfId="48146" xr:uid="{894A4B80-922B-409D-8836-CC5B6AE0AF8E}"/>
    <cellStyle name="Comma 3 2 2 2 9 4" xfId="52341" xr:uid="{647A26B7-093D-49A8-8E0E-1CBFECABA101}"/>
    <cellStyle name="Comma 3 2 2 2 9 5" xfId="55357" xr:uid="{0844BF52-EA8C-464C-9872-3086BFAEA504}"/>
    <cellStyle name="Comma 3 2 2 3" xfId="9598" xr:uid="{09B05D12-8000-47FE-90D9-251BB24E08D2}"/>
    <cellStyle name="Comma 3 2 2 3 2" xfId="10292" xr:uid="{3DFB47BA-09F8-4D0C-BDD0-D7023C707517}"/>
    <cellStyle name="Comma 3 2 2 3 2 2" xfId="14753" xr:uid="{60111B6D-5CE3-43DE-859F-65B9FDF4280F}"/>
    <cellStyle name="Comma 3 2 2 3 2 2 2" xfId="22300" xr:uid="{7BB27D0E-2A7C-40EE-A454-6EFCB88F15FD}"/>
    <cellStyle name="Comma 3 2 2 3 2 2 3" xfId="46430" xr:uid="{49E155AE-C03C-420B-88D4-59091F8DE7E9}"/>
    <cellStyle name="Comma 3 2 2 3 2 2 4" xfId="51638" xr:uid="{4BE23321-9D8A-4609-9E82-790AF80D9931}"/>
    <cellStyle name="Comma 3 2 2 3 2 2 5" xfId="54654" xr:uid="{5DAD981F-8333-4332-A895-FA23D332F56D}"/>
    <cellStyle name="Comma 3 2 2 3 2 3" xfId="15238" xr:uid="{78CF676D-5FA2-43BA-A9AC-52840D87408D}"/>
    <cellStyle name="Comma 3 2 2 3 2 3 2" xfId="22777" xr:uid="{CCD043A5-B28E-4817-93D9-F3329E5C40E0}"/>
    <cellStyle name="Comma 3 2 2 3 2 3 3" xfId="46500" xr:uid="{F281AFB7-1D8A-4617-B122-A9339414465F}"/>
    <cellStyle name="Comma 3 2 2 3 2 3 4" xfId="52115" xr:uid="{ABD83F8A-42D3-481C-99AA-46CABF81CBAB}"/>
    <cellStyle name="Comma 3 2 2 3 2 3 5" xfId="55131" xr:uid="{188BAE42-710A-4E17-87A2-DE34C07BCE6E}"/>
    <cellStyle name="Comma 3 2 2 3 2 4" xfId="15725" xr:uid="{B6F3460B-4A48-44AB-9D2F-FC26DE30B685}"/>
    <cellStyle name="Comma 3 2 2 3 2 4 2" xfId="23254" xr:uid="{D4151D21-BE13-454A-A82C-CB4C55C76505}"/>
    <cellStyle name="Comma 3 2 2 3 2 4 3" xfId="46578" xr:uid="{6BB0C8D2-D2AB-4E5E-ABF5-CAB139086661}"/>
    <cellStyle name="Comma 3 2 2 3 2 4 4" xfId="52592" xr:uid="{A1FA2CDC-09E0-42B4-8336-2BE7CF48DA45}"/>
    <cellStyle name="Comma 3 2 2 3 2 4 5" xfId="55608" xr:uid="{5FBD222E-1088-41C4-806C-06DC3E0D05BF}"/>
    <cellStyle name="Comma 3 2 2 3 2 5" xfId="12745" xr:uid="{E0946F00-091F-450C-B9DA-D78B6082AE6D}"/>
    <cellStyle name="Comma 3 2 2 3 2 5 2" xfId="48438" xr:uid="{2B4293AF-EBD6-4545-B380-14555E1E79F1}"/>
    <cellStyle name="Comma 3 2 2 3 2 5 3" xfId="51161" xr:uid="{E2D6F0C5-05B7-426E-AD37-2924CA9328FF}"/>
    <cellStyle name="Comma 3 2 2 3 2 5 4" xfId="54177" xr:uid="{AE93DE9A-A8C4-4CCC-B294-206603752DE4}"/>
    <cellStyle name="Comma 3 2 2 3 2 6" xfId="47283" xr:uid="{ACF5DE09-7EE8-4DA7-B80B-FC5D61BC6F7E}"/>
    <cellStyle name="Comma 3 2 2 3 2 7" xfId="50055" xr:uid="{477C7DC6-87A1-47C7-BEDC-8340B1600BF7}"/>
    <cellStyle name="Comma 3 2 2 3 2 8" xfId="53071" xr:uid="{34DCEB80-C4D0-481A-A140-8E986FC3D0BD}"/>
    <cellStyle name="Comma 3 2 2 3 3" xfId="14541" xr:uid="{80010E3C-96B8-4118-99A4-5B3D5ADDCADF}"/>
    <cellStyle name="Comma 3 2 2 3 3 2" xfId="22088" xr:uid="{EC22ED08-E4B4-4B2E-890A-DA4DA485DC93}"/>
    <cellStyle name="Comma 3 2 2 3 3 3" xfId="24980" xr:uid="{AF501CD0-448B-4D47-A13A-7FBF12B0F4A7}"/>
    <cellStyle name="Comma 3 2 2 3 3 4" xfId="51426" xr:uid="{E5EE7217-61B6-4CAC-AC60-1C2ED6EA0340}"/>
    <cellStyle name="Comma 3 2 2 3 3 5" xfId="54442" xr:uid="{652B758D-4C03-4566-849A-01E48EE75D0B}"/>
    <cellStyle name="Comma 3 2 2 3 4" xfId="15025" xr:uid="{85EE1C01-67EF-4613-B477-DFBAB52B3F9D}"/>
    <cellStyle name="Comma 3 2 2 3 4 2" xfId="22565" xr:uid="{65A2A2DB-7373-42D5-9144-EA38D2B13BBD}"/>
    <cellStyle name="Comma 3 2 2 3 4 3" xfId="48353" xr:uid="{10D9CE32-BD95-433F-A6F1-5FF6ABAC1593}"/>
    <cellStyle name="Comma 3 2 2 3 4 4" xfId="51903" xr:uid="{CA79DA37-D35E-4056-BF04-A2852E19EA8D}"/>
    <cellStyle name="Comma 3 2 2 3 4 5" xfId="54919" xr:uid="{A4608EDA-A495-48D6-86E1-CEAC017010F6}"/>
    <cellStyle name="Comma 3 2 2 3 5" xfId="15512" xr:uid="{26038AA6-ADAF-46B9-8F2E-AA103CFDCCE8}"/>
    <cellStyle name="Comma 3 2 2 3 5 2" xfId="23042" xr:uid="{6B289180-3E04-403D-A912-E0E23BE74D8F}"/>
    <cellStyle name="Comma 3 2 2 3 5 3" xfId="46543" xr:uid="{88E817BA-5555-4986-B9C7-AB7A43CCE7BF}"/>
    <cellStyle name="Comma 3 2 2 3 5 4" xfId="52380" xr:uid="{08186274-DA0D-4B4B-8903-A62527F09710}"/>
    <cellStyle name="Comma 3 2 2 3 5 5" xfId="55396" xr:uid="{2D9D8B41-6634-4DA5-9388-F95C37106FA4}"/>
    <cellStyle name="Comma 3 2 2 3 6" xfId="12450" xr:uid="{DE45F256-2799-4C32-9B2C-9FFC487B7BCF}"/>
    <cellStyle name="Comma 3 2 2 3 6 2" xfId="47013" xr:uid="{450AB842-07D1-4FF3-B602-2B87772F1CEF}"/>
    <cellStyle name="Comma 3 2 2 3 6 3" xfId="50949" xr:uid="{88FC0DFB-C503-4215-B5DC-C648342C5E18}"/>
    <cellStyle name="Comma 3 2 2 3 6 4" xfId="53965" xr:uid="{A87D91CC-AF7E-4C43-95F5-E94440695BC4}"/>
    <cellStyle name="Comma 3 2 2 3 7" xfId="47114" xr:uid="{51AAF258-D21C-4127-A5A5-20D7D3BA14E4}"/>
    <cellStyle name="Comma 3 2 2 3 8" xfId="49843" xr:uid="{32DA9B56-2102-4BE2-AAEF-674C776AE0C5}"/>
    <cellStyle name="Comma 3 2 2 3 9" xfId="52859" xr:uid="{918491A9-6114-466A-8B24-318A93DFDA5E}"/>
    <cellStyle name="Comma 3 2 2 4" xfId="10058" xr:uid="{A5DF87DD-61AB-479B-BAD3-9CCAA8F8A512}"/>
    <cellStyle name="Comma 3 2 2 4 2" xfId="10366" xr:uid="{F37B2E5E-C4A3-4B89-A292-CA4636EBB9C5}"/>
    <cellStyle name="Comma 3 2 2 4 2 2" xfId="14806" xr:uid="{613DD49A-26CB-4756-9E9C-8F8635E77826}"/>
    <cellStyle name="Comma 3 2 2 4 2 2 2" xfId="22353" xr:uid="{6838C5CE-FE94-4089-9519-0FFF7B20242C}"/>
    <cellStyle name="Comma 3 2 2 4 2 2 3" xfId="32284" xr:uid="{5E9CDCFF-D8DA-4B73-9DD7-ABB21228E55D}"/>
    <cellStyle name="Comma 3 2 2 4 2 2 4" xfId="51691" xr:uid="{F3751406-2734-455A-977D-2EF2B77A489B}"/>
    <cellStyle name="Comma 3 2 2 4 2 2 5" xfId="54707" xr:uid="{78D43539-88FB-4857-BDA0-695E6DD18C24}"/>
    <cellStyle name="Comma 3 2 2 4 2 3" xfId="15291" xr:uid="{13011A58-0745-40EF-92D2-A1875CF4A641}"/>
    <cellStyle name="Comma 3 2 2 4 2 3 2" xfId="22830" xr:uid="{8E5769F0-D1B7-4487-AC43-26231844854D}"/>
    <cellStyle name="Comma 3 2 2 4 2 3 3" xfId="48126" xr:uid="{E1BB08CC-7DA7-4026-8BFB-1FA0078882CF}"/>
    <cellStyle name="Comma 3 2 2 4 2 3 4" xfId="52168" xr:uid="{6DFC8927-FE87-48EC-9964-C10176036B4B}"/>
    <cellStyle name="Comma 3 2 2 4 2 3 5" xfId="55184" xr:uid="{B516AD90-3F44-46D6-979B-0C4D71F23A4F}"/>
    <cellStyle name="Comma 3 2 2 4 2 4" xfId="15778" xr:uid="{6ECD9277-5D74-4347-9C0C-28DA23A1D144}"/>
    <cellStyle name="Comma 3 2 2 4 2 4 2" xfId="23307" xr:uid="{26ACC468-8E50-4BEF-AF2F-AD912ABACC60}"/>
    <cellStyle name="Comma 3 2 2 4 2 4 3" xfId="48370" xr:uid="{6AB63CCB-4D6A-427B-90B8-5800A6ED03E2}"/>
    <cellStyle name="Comma 3 2 2 4 2 4 4" xfId="52645" xr:uid="{5BB03434-1889-4D6E-9A4F-2E64F6790CC5}"/>
    <cellStyle name="Comma 3 2 2 4 2 4 5" xfId="55661" xr:uid="{7AB16830-6C08-4806-A4D1-9003E26CD966}"/>
    <cellStyle name="Comma 3 2 2 4 2 5" xfId="12819" xr:uid="{1AB0C3C7-B8B9-4A87-B55B-BC2BB9DA7360}"/>
    <cellStyle name="Comma 3 2 2 4 2 5 2" xfId="47764" xr:uid="{2A6CF7F0-6DC1-41AD-BBCA-42D1C54BD2F4}"/>
    <cellStyle name="Comma 3 2 2 4 2 5 3" xfId="51214" xr:uid="{5E86FE0C-7A57-4F5A-9413-A1EAE28D55EF}"/>
    <cellStyle name="Comma 3 2 2 4 2 5 4" xfId="54230" xr:uid="{7EFD7A9B-E9BD-434B-8701-C2010AB102CA}"/>
    <cellStyle name="Comma 3 2 2 4 2 6" xfId="46101" xr:uid="{F399765E-55D0-42A6-85E6-0D79356AED73}"/>
    <cellStyle name="Comma 3 2 2 4 2 7" xfId="50108" xr:uid="{BCA56EA0-68E1-4FE0-993C-651A8F30F28B}"/>
    <cellStyle name="Comma 3 2 2 4 2 8" xfId="53124" xr:uid="{1ACE6736-CF18-44D3-9558-9BBDB1FEBC20}"/>
    <cellStyle name="Comma 3 2 2 4 3" xfId="14594" xr:uid="{B0B70332-50E4-4A7C-89A7-1D6532127D6F}"/>
    <cellStyle name="Comma 3 2 2 4 3 2" xfId="22141" xr:uid="{6011F0AB-37B4-4807-B454-0C806C10CFE8}"/>
    <cellStyle name="Comma 3 2 2 4 3 3" xfId="46840" xr:uid="{2897ED8F-65C8-4BB4-9AB2-B1AEFF94FE0E}"/>
    <cellStyle name="Comma 3 2 2 4 3 4" xfId="51479" xr:uid="{C354C2C2-ACDD-4BF2-86DC-8B48C3BFC2CA}"/>
    <cellStyle name="Comma 3 2 2 4 3 5" xfId="54495" xr:uid="{A5205083-EABB-440C-B853-7CDA672B43E2}"/>
    <cellStyle name="Comma 3 2 2 4 4" xfId="15079" xr:uid="{20991A78-E846-44FD-8FE1-362359D2788B}"/>
    <cellStyle name="Comma 3 2 2 4 4 2" xfId="22618" xr:uid="{DA2D12E3-CEE5-4513-975D-55E771E3D169}"/>
    <cellStyle name="Comma 3 2 2 4 4 3" xfId="47390" xr:uid="{F23299B9-C65E-4699-A133-87DB92F2473B}"/>
    <cellStyle name="Comma 3 2 2 4 4 4" xfId="51956" xr:uid="{1A976BEC-CFB4-4D68-9129-E72A15540B9E}"/>
    <cellStyle name="Comma 3 2 2 4 4 5" xfId="54972" xr:uid="{A45F8C68-C928-4DB9-9C03-27C1BB538CC5}"/>
    <cellStyle name="Comma 3 2 2 4 5" xfId="15566" xr:uid="{592288C0-B674-44F0-ABB2-7D1AA96F56AE}"/>
    <cellStyle name="Comma 3 2 2 4 5 2" xfId="23095" xr:uid="{B9C4C428-870F-42FA-8BA1-94E7FB89C1E2}"/>
    <cellStyle name="Comma 3 2 2 4 5 3" xfId="46936" xr:uid="{EF34C682-2280-45DC-8F4D-D00FA30C9816}"/>
    <cellStyle name="Comma 3 2 2 4 5 4" xfId="52433" xr:uid="{B3320DF9-42CA-4AAB-877A-EAF2F218ED22}"/>
    <cellStyle name="Comma 3 2 2 4 5 5" xfId="55449" xr:uid="{89AC7E15-740D-422F-9F57-A8B3C73E3E72}"/>
    <cellStyle name="Comma 3 2 2 4 6" xfId="12517" xr:uid="{D8A4538D-4B84-44AE-A77C-76327B6890A4}"/>
    <cellStyle name="Comma 3 2 2 4 6 2" xfId="46317" xr:uid="{22464992-75A9-489B-B841-AD47440793E4}"/>
    <cellStyle name="Comma 3 2 2 4 6 3" xfId="51002" xr:uid="{2E8865F6-E7E7-4557-B1F4-A1E482888E4A}"/>
    <cellStyle name="Comma 3 2 2 4 6 4" xfId="54018" xr:uid="{215BEF48-F736-4CB1-BFA9-C1DFB4A6F85C}"/>
    <cellStyle name="Comma 3 2 2 4 7" xfId="25383" xr:uid="{CD7A3539-8907-4579-8B03-8BAA2841DD6E}"/>
    <cellStyle name="Comma 3 2 2 4 8" xfId="49896" xr:uid="{36C60A6E-2E70-491D-B19A-A739FBD70F20}"/>
    <cellStyle name="Comma 3 2 2 4 9" xfId="52912" xr:uid="{AFC752DD-5889-491A-846C-0A35EB9024FB}"/>
    <cellStyle name="Comma 3 2 2 5" xfId="10132" xr:uid="{6302CA91-F478-46D0-AF15-57ACCC6C2A08}"/>
    <cellStyle name="Comma 3 2 2 5 2" xfId="10446" xr:uid="{CE4D8F13-F2DC-45FE-9AD6-D1C0AF8DA731}"/>
    <cellStyle name="Comma 3 2 2 5 2 2" xfId="14859" xr:uid="{4BA676A3-2CAB-42BA-8EB4-C0844ED5E79E}"/>
    <cellStyle name="Comma 3 2 2 5 2 2 2" xfId="22406" xr:uid="{B5C5462D-75B4-40D8-8380-CFC6438CEFDB}"/>
    <cellStyle name="Comma 3 2 2 5 2 2 3" xfId="46447" xr:uid="{DC8D3F50-2505-42C1-86F3-5FFA00F8785E}"/>
    <cellStyle name="Comma 3 2 2 5 2 2 4" xfId="51744" xr:uid="{4DC8B9E5-7937-4035-93E2-CB06FCDB53F0}"/>
    <cellStyle name="Comma 3 2 2 5 2 2 5" xfId="54760" xr:uid="{0CA68980-FF68-47B5-AF54-450B0D25A4AE}"/>
    <cellStyle name="Comma 3 2 2 5 2 3" xfId="15344" xr:uid="{1C1A42E2-757C-4F9B-821D-372E8F215A84}"/>
    <cellStyle name="Comma 3 2 2 5 2 3 2" xfId="22883" xr:uid="{C799601D-F2DC-4C20-914A-05B3572E20AB}"/>
    <cellStyle name="Comma 3 2 2 5 2 3 3" xfId="47432" xr:uid="{6F0F4C78-8461-4D7E-8ACC-70F5759349B5}"/>
    <cellStyle name="Comma 3 2 2 5 2 3 4" xfId="52221" xr:uid="{407B1003-076B-475A-959F-82445DD62755}"/>
    <cellStyle name="Comma 3 2 2 5 2 3 5" xfId="55237" xr:uid="{09806E51-1B67-4874-8FDB-6A14A12B6C60}"/>
    <cellStyle name="Comma 3 2 2 5 2 4" xfId="15831" xr:uid="{FB821E0C-5CE9-4EB4-BDA4-A66616984EB2}"/>
    <cellStyle name="Comma 3 2 2 5 2 4 2" xfId="23360" xr:uid="{43912178-9449-4BEE-A102-28BF3A5FBC43}"/>
    <cellStyle name="Comma 3 2 2 5 2 4 3" xfId="24430" xr:uid="{E68B86ED-75E7-435E-8139-E25B3314FC61}"/>
    <cellStyle name="Comma 3 2 2 5 2 4 4" xfId="52698" xr:uid="{4A73EDA1-80EF-48E6-BF6D-D2ABAAC42E90}"/>
    <cellStyle name="Comma 3 2 2 5 2 4 5" xfId="55714" xr:uid="{B98E56FC-8F74-4991-B593-104EB8639E0F}"/>
    <cellStyle name="Comma 3 2 2 5 2 5" xfId="12899" xr:uid="{4229E837-75D9-4FAC-B414-A9FCC00CA74C}"/>
    <cellStyle name="Comma 3 2 2 5 2 5 2" xfId="46808" xr:uid="{580B9AE4-4A2D-4832-BA40-AB63E4FD717F}"/>
    <cellStyle name="Comma 3 2 2 5 2 5 3" xfId="51267" xr:uid="{C4794CBD-BE4B-4B15-9C19-A6A125754B3F}"/>
    <cellStyle name="Comma 3 2 2 5 2 5 4" xfId="54283" xr:uid="{A633E349-CF87-4AD3-BF7C-04E4297EDB8A}"/>
    <cellStyle name="Comma 3 2 2 5 2 6" xfId="46123" xr:uid="{B0F50DD4-BB84-4077-B4C9-468DC296ECE6}"/>
    <cellStyle name="Comma 3 2 2 5 2 7" xfId="50161" xr:uid="{3299088E-9726-4203-823C-2C6B670F5941}"/>
    <cellStyle name="Comma 3 2 2 5 2 8" xfId="53177" xr:uid="{C72DD6CA-88D3-4D82-B369-C4F23B85ECFE}"/>
    <cellStyle name="Comma 3 2 2 5 3" xfId="14647" xr:uid="{36A211E7-6A3E-4BA4-BC7D-D3F7B7275D61}"/>
    <cellStyle name="Comma 3 2 2 5 3 2" xfId="22194" xr:uid="{6B37611F-2BFA-46AD-9FB5-C2478C9772AE}"/>
    <cellStyle name="Comma 3 2 2 5 3 3" xfId="34486" xr:uid="{940E8F12-E5B2-45D5-B138-9D69AC063227}"/>
    <cellStyle name="Comma 3 2 2 5 3 4" xfId="51532" xr:uid="{6B925A6B-9819-4459-BBA2-BE26389E0472}"/>
    <cellStyle name="Comma 3 2 2 5 3 5" xfId="54548" xr:uid="{E06BA94E-53D1-4159-81A8-F7BAA9E6F20C}"/>
    <cellStyle name="Comma 3 2 2 5 4" xfId="15132" xr:uid="{21AA32D5-4363-4A34-A948-DE91C56A9381}"/>
    <cellStyle name="Comma 3 2 2 5 4 2" xfId="22671" xr:uid="{F2B8D8B5-F79B-45D2-9917-A8E90AE76AA4}"/>
    <cellStyle name="Comma 3 2 2 5 4 3" xfId="48581" xr:uid="{5F627C29-4648-484B-AF08-8A598DF28B25}"/>
    <cellStyle name="Comma 3 2 2 5 4 4" xfId="52009" xr:uid="{55E59FC4-430E-4FEA-9204-B3911B69DE1D}"/>
    <cellStyle name="Comma 3 2 2 5 4 5" xfId="55025" xr:uid="{52EF2A79-274E-474A-9C86-B9BB533DF62B}"/>
    <cellStyle name="Comma 3 2 2 5 5" xfId="15619" xr:uid="{1F6B2609-A9E1-4031-B8D2-BC8BEEC38161}"/>
    <cellStyle name="Comma 3 2 2 5 5 2" xfId="23148" xr:uid="{2FFB3B5D-4970-4C17-9E46-F5461610F18C}"/>
    <cellStyle name="Comma 3 2 2 5 5 3" xfId="48421" xr:uid="{5A608AAD-5F38-419B-AE4C-75475C34F186}"/>
    <cellStyle name="Comma 3 2 2 5 5 4" xfId="52486" xr:uid="{25F5C881-B92E-451B-B177-8A929BE3B5EF}"/>
    <cellStyle name="Comma 3 2 2 5 5 5" xfId="55502" xr:uid="{D8D79811-98B8-4CC0-A1A4-AED445716E0A}"/>
    <cellStyle name="Comma 3 2 2 5 6" xfId="12589" xr:uid="{2BC99FFA-16B6-47B9-81A6-4484FB83EFA7}"/>
    <cellStyle name="Comma 3 2 2 5 6 2" xfId="47564" xr:uid="{A2A6E88C-66BF-4334-8EB9-725C70C9D051}"/>
    <cellStyle name="Comma 3 2 2 5 6 3" xfId="51055" xr:uid="{63EC6278-341B-4235-90EB-0BBCE504825F}"/>
    <cellStyle name="Comma 3 2 2 5 6 4" xfId="54071" xr:uid="{1985DAB9-8711-49AA-8886-A701996C3162}"/>
    <cellStyle name="Comma 3 2 2 5 7" xfId="46054" xr:uid="{CFD9B3B6-5DA7-4A3A-B56A-ACA452501025}"/>
    <cellStyle name="Comma 3 2 2 5 8" xfId="49949" xr:uid="{DBCC4C5B-E7AA-463B-AB8E-26152B3B6D83}"/>
    <cellStyle name="Comma 3 2 2 5 9" xfId="52965" xr:uid="{F0EC81B5-7BFF-4D91-8EEF-68B9F98A9757}"/>
    <cellStyle name="Comma 3 2 2 6" xfId="10212" xr:uid="{5AA6C29E-0260-414B-8E69-76CEAB29E6E0}"/>
    <cellStyle name="Comma 3 2 2 6 2" xfId="14700" xr:uid="{5B54C1FE-AC7E-4659-A640-8681DD6691B1}"/>
    <cellStyle name="Comma 3 2 2 6 2 2" xfId="22247" xr:uid="{35C668AC-65AF-4368-84A8-F00526148FB8}"/>
    <cellStyle name="Comma 3 2 2 6 2 3" xfId="46850" xr:uid="{F0BC3C06-14F8-47C2-BF9B-6B97E0A405EF}"/>
    <cellStyle name="Comma 3 2 2 6 2 4" xfId="51585" xr:uid="{9EFE5A15-4F1A-47C8-BE5E-69FD10924237}"/>
    <cellStyle name="Comma 3 2 2 6 2 5" xfId="54601" xr:uid="{3CC1BA97-1B13-44C3-B4B0-6C99DC7C3C26}"/>
    <cellStyle name="Comma 3 2 2 6 3" xfId="15185" xr:uid="{27D869FD-C87B-4FC7-9D44-498E5D00E707}"/>
    <cellStyle name="Comma 3 2 2 6 3 2" xfId="22724" xr:uid="{39993D73-76D0-4CD5-895E-C747C92D15FA}"/>
    <cellStyle name="Comma 3 2 2 6 3 3" xfId="46689" xr:uid="{401880E1-242E-4054-B481-55C0D4B6CD5A}"/>
    <cellStyle name="Comma 3 2 2 6 3 4" xfId="52062" xr:uid="{D23B95F6-95AB-4555-9702-4E9901BA1BFB}"/>
    <cellStyle name="Comma 3 2 2 6 3 5" xfId="55078" xr:uid="{C27B9AB0-3BCC-4F37-A304-053F8D55E190}"/>
    <cellStyle name="Comma 3 2 2 6 4" xfId="15672" xr:uid="{D05C04A6-BC3E-45DB-A3FB-787DB18C59D0}"/>
    <cellStyle name="Comma 3 2 2 6 4 2" xfId="23201" xr:uid="{2667D363-F023-4BDC-81FF-B15C1AA24E0B}"/>
    <cellStyle name="Comma 3 2 2 6 4 3" xfId="46951" xr:uid="{479A3996-29A1-42ED-BA10-931FE200DA8B}"/>
    <cellStyle name="Comma 3 2 2 6 4 4" xfId="52539" xr:uid="{77366F69-CBF4-42F3-AB49-1E9B17C02F9A}"/>
    <cellStyle name="Comma 3 2 2 6 4 5" xfId="55555" xr:uid="{D73E957F-7B40-4712-9BD9-ADAEA97D4C68}"/>
    <cellStyle name="Comma 3 2 2 6 5" xfId="12665" xr:uid="{9A3FF69A-84AD-447C-9051-45D1F3115203}"/>
    <cellStyle name="Comma 3 2 2 6 5 2" xfId="47167" xr:uid="{27439E0D-4B4C-457A-B34C-1384FFAA14FE}"/>
    <cellStyle name="Comma 3 2 2 6 5 3" xfId="51108" xr:uid="{47185D1F-A9DD-4050-930F-8BFED5D41C80}"/>
    <cellStyle name="Comma 3 2 2 6 5 4" xfId="54124" xr:uid="{B9200481-7549-4FAE-AD28-9823E7338F3C}"/>
    <cellStyle name="Comma 3 2 2 6 6" xfId="46066" xr:uid="{0BE63BDC-66CF-4D63-9D65-6FC3566108BC}"/>
    <cellStyle name="Comma 3 2 2 6 7" xfId="50002" xr:uid="{849E24EA-D714-476F-8E2D-2E9CA67A4D53}"/>
    <cellStyle name="Comma 3 2 2 6 8" xfId="53018" xr:uid="{42D5B5EB-4E5D-48BE-8727-876535B9981D}"/>
    <cellStyle name="Comma 3 2 2 7" xfId="10526" xr:uid="{AD1181B1-ED95-45B3-9948-2EE194AD37D3}"/>
    <cellStyle name="Comma 3 2 2 7 2" xfId="14912" xr:uid="{1C9FDFE6-0957-403A-BC70-A298CDAB429F}"/>
    <cellStyle name="Comma 3 2 2 7 2 2" xfId="22459" xr:uid="{C51DAC77-E882-4583-AA1A-D8D4E282F78E}"/>
    <cellStyle name="Comma 3 2 2 7 2 3" xfId="47744" xr:uid="{2EFA336D-A853-47E6-BFB4-B2030D8CC8F0}"/>
    <cellStyle name="Comma 3 2 2 7 2 4" xfId="51797" xr:uid="{4D9255B7-3C8B-486F-B931-0F704CCE9CB0}"/>
    <cellStyle name="Comma 3 2 2 7 2 5" xfId="54813" xr:uid="{4E9FBA86-65C4-4914-8B19-524E25C92205}"/>
    <cellStyle name="Comma 3 2 2 7 3" xfId="15397" xr:uid="{1020E763-4CCD-4F3D-8C5E-615402DC2972}"/>
    <cellStyle name="Comma 3 2 2 7 3 2" xfId="22936" xr:uid="{D5531CCE-B875-4BFE-B368-C3B66FD9870C}"/>
    <cellStyle name="Comma 3 2 2 7 3 3" xfId="48128" xr:uid="{F344AD2E-7A27-458F-A9A3-6A845023D9F2}"/>
    <cellStyle name="Comma 3 2 2 7 3 4" xfId="52274" xr:uid="{3D8DB2F9-61DF-42F1-B41F-76241C75F83A}"/>
    <cellStyle name="Comma 3 2 2 7 3 5" xfId="55290" xr:uid="{1265EBD1-C71D-47AD-B60E-D4546105BA9A}"/>
    <cellStyle name="Comma 3 2 2 7 4" xfId="15884" xr:uid="{B0B99E4A-BF51-45E0-B32B-6C308C531DF3}"/>
    <cellStyle name="Comma 3 2 2 7 4 2" xfId="23413" xr:uid="{E93223FE-1EC7-42C3-B76E-5AD729F6211C}"/>
    <cellStyle name="Comma 3 2 2 7 4 3" xfId="47505" xr:uid="{4CEAEDA3-4213-47DB-BE22-2FA72C07C956}"/>
    <cellStyle name="Comma 3 2 2 7 4 4" xfId="52751" xr:uid="{62286AC6-ECED-4AC6-8B08-5F3725FFF89B}"/>
    <cellStyle name="Comma 3 2 2 7 4 5" xfId="55767" xr:uid="{B5904F77-6DC1-4A42-B29C-74B2955E2267}"/>
    <cellStyle name="Comma 3 2 2 7 5" xfId="12979" xr:uid="{3EB1070F-06A4-462A-A6B4-2E7DD99545BF}"/>
    <cellStyle name="Comma 3 2 2 7 5 2" xfId="46379" xr:uid="{274F74DE-5FC4-470C-BFA3-30AA6F49C4EA}"/>
    <cellStyle name="Comma 3 2 2 7 5 3" xfId="51320" xr:uid="{9A6AE347-E84D-4891-8772-4566EC727096}"/>
    <cellStyle name="Comma 3 2 2 7 5 4" xfId="54336" xr:uid="{2892B31F-0988-4FCC-97C0-4499A578830D}"/>
    <cellStyle name="Comma 3 2 2 7 6" xfId="35987" xr:uid="{F43F94CA-D16C-4E30-B2E5-133740B41564}"/>
    <cellStyle name="Comma 3 2 2 7 7" xfId="50214" xr:uid="{0A813C73-3CB4-4453-9F10-CD78E32759E9}"/>
    <cellStyle name="Comma 3 2 2 7 8" xfId="53230" xr:uid="{BE411CD6-A8D7-41A4-9E54-7C6743808670}"/>
    <cellStyle name="Comma 3 2 2 8" xfId="14488" xr:uid="{87FBD247-E222-44F6-85C1-A66BB4B49BFD}"/>
    <cellStyle name="Comma 3 2 2 8 2" xfId="22035" xr:uid="{EF13034B-29F1-4824-86CB-3F4790023A08}"/>
    <cellStyle name="Comma 3 2 2 8 3" xfId="46827" xr:uid="{A4470FAD-EA94-4661-94F6-759285A5FB83}"/>
    <cellStyle name="Comma 3 2 2 8 4" xfId="51373" xr:uid="{F7AF8238-4036-4DDB-8BFF-E54F9A90A7E3}"/>
    <cellStyle name="Comma 3 2 2 8 5" xfId="54389" xr:uid="{42987B15-37F7-4CBA-B508-B1BB3AA05D2F}"/>
    <cellStyle name="Comma 3 2 2 9" xfId="14968" xr:uid="{8B69CD80-8E12-416E-A143-CCB33D99CC88}"/>
    <cellStyle name="Comma 3 2 2 9 2" xfId="22512" xr:uid="{AE6C467B-4BDA-45E3-974D-0C04E56D6E3C}"/>
    <cellStyle name="Comma 3 2 2 9 3" xfId="48068" xr:uid="{544BADA6-FEC7-4A8F-AF00-DE1910B52231}"/>
    <cellStyle name="Comma 3 2 2 9 4" xfId="51850" xr:uid="{2837C514-23DB-4C40-B4FF-B9AA894BC471}"/>
    <cellStyle name="Comma 3 2 2 9 5" xfId="54866" xr:uid="{8756CF39-65A0-4400-AE7F-1E3B49EAB8D8}"/>
    <cellStyle name="Comma 3 2 3" xfId="4540" xr:uid="{E717803F-F25D-4CA2-8E0A-56246ED101EB}"/>
    <cellStyle name="Comma 3 2 3 10" xfId="15474" xr:uid="{BBD225D2-6AB7-466C-BC6F-E47CF286E085}"/>
    <cellStyle name="Comma 3 2 3 10 2" xfId="23004" xr:uid="{963C54C4-58B3-4FD5-9D3B-8FBDD5138421}"/>
    <cellStyle name="Comma 3 2 3 10 3" xfId="23837" xr:uid="{964E2F4D-EB49-4C9A-8E8D-5E86E3B063EB}"/>
    <cellStyle name="Comma 3 2 3 10 4" xfId="52342" xr:uid="{A75AE7D5-9DC6-4BB0-B148-EA5396D8B7B1}"/>
    <cellStyle name="Comma 3 2 3 10 5" xfId="55358" xr:uid="{6A3FC6B5-CD5B-424D-975A-2A39E58C557F}"/>
    <cellStyle name="Comma 3 2 3 11" xfId="11495" xr:uid="{BAC39D7A-56A8-4A8B-83A3-D5844FBD0DA9}"/>
    <cellStyle name="Comma 3 2 3 11 2" xfId="21699" xr:uid="{FEC0CE67-4E35-4AC1-B8CC-0BFF8AE07C03}"/>
    <cellStyle name="Comma 3 2 3 11 3" xfId="24760" xr:uid="{963249ED-4499-4905-8E3C-067C2E3ADB1D}"/>
    <cellStyle name="Comma 3 2 3 11 4" xfId="50719" xr:uid="{98A1F0FF-9D05-4187-8A94-128771820F6A}"/>
    <cellStyle name="Comma 3 2 3 11 5" xfId="53735" xr:uid="{7FCD745E-678B-488D-B296-7C74C1208170}"/>
    <cellStyle name="Comma 3 2 3 12" xfId="23740" xr:uid="{40F51FBD-F3FF-47F6-A6AB-3F9F4770484C}"/>
    <cellStyle name="Comma 3 2 3 13" xfId="48623" xr:uid="{CFD07B57-4BDD-45FF-8B59-D78368F05BBA}"/>
    <cellStyle name="Comma 3 2 3 14" xfId="49531" xr:uid="{BB55A240-0DCE-4D51-BAFD-106E41A16FBD}"/>
    <cellStyle name="Comma 3 2 3 15" xfId="49805" xr:uid="{9629678C-098B-4873-BAF7-13CEEE1ECC2A}"/>
    <cellStyle name="Comma 3 2 3 16" xfId="52820" xr:uid="{A67AF94C-C3CF-45DB-9E02-6D1776C8E366}"/>
    <cellStyle name="Comma 3 2 3 17" xfId="8928" xr:uid="{61B9CC70-94E9-4A6C-BB4A-184E022E91E8}"/>
    <cellStyle name="Comma 3 2 3 2" xfId="10015" xr:uid="{D612F5C7-A0D3-44C7-A693-C360C8002DBB}"/>
    <cellStyle name="Comma 3 2 3 2 2" xfId="10323" xr:uid="{1F489179-B2F8-4855-B2AC-0D5E0BF4BB5B}"/>
    <cellStyle name="Comma 3 2 3 2 2 2" xfId="14768" xr:uid="{BFCA319E-9D96-4447-A3D2-941C668704C8}"/>
    <cellStyle name="Comma 3 2 3 2 2 2 2" xfId="22315" xr:uid="{E35E0C63-B8C1-4F2C-825A-8CFF8A88DC8C}"/>
    <cellStyle name="Comma 3 2 3 2 2 2 3" xfId="48035" xr:uid="{8A1DF83E-2B7E-45FC-A099-6B3E43B04EF7}"/>
    <cellStyle name="Comma 3 2 3 2 2 2 4" xfId="51653" xr:uid="{C829E1CE-B026-40CE-82DE-AD0F8D8F5770}"/>
    <cellStyle name="Comma 3 2 3 2 2 2 5" xfId="54669" xr:uid="{9901CC78-E80C-4086-9DAC-ED32FFDAC0F1}"/>
    <cellStyle name="Comma 3 2 3 2 2 3" xfId="15253" xr:uid="{5AC23BFD-C120-4157-902D-203E8D776FB8}"/>
    <cellStyle name="Comma 3 2 3 2 2 3 2" xfId="22792" xr:uid="{E3F6F54B-71DC-4D09-977A-BFB07A82DAC7}"/>
    <cellStyle name="Comma 3 2 3 2 2 3 3" xfId="47697" xr:uid="{183BF8AD-BC98-43FE-AC4B-AE6921D03F7C}"/>
    <cellStyle name="Comma 3 2 3 2 2 3 4" xfId="52130" xr:uid="{2DD6DBAF-B50D-448A-9CDE-214158845C2D}"/>
    <cellStyle name="Comma 3 2 3 2 2 3 5" xfId="55146" xr:uid="{CB34A80F-791D-441E-A2F0-5BB088A7D471}"/>
    <cellStyle name="Comma 3 2 3 2 2 4" xfId="15740" xr:uid="{569109E6-6DBC-40C3-86F1-B143F1D12573}"/>
    <cellStyle name="Comma 3 2 3 2 2 4 2" xfId="23269" xr:uid="{F4925221-9D2E-4C1D-86CD-F66F207A7F18}"/>
    <cellStyle name="Comma 3 2 3 2 2 4 3" xfId="46959" xr:uid="{3D2BCA4E-F345-42DE-8C64-E748800AD3D3}"/>
    <cellStyle name="Comma 3 2 3 2 2 4 4" xfId="52607" xr:uid="{AE8792C2-3E89-4878-B3B8-CBA8126844AB}"/>
    <cellStyle name="Comma 3 2 3 2 2 4 5" xfId="55623" xr:uid="{B1615274-5F36-4E44-9BE7-3B87C5A52346}"/>
    <cellStyle name="Comma 3 2 3 2 2 5" xfId="12776" xr:uid="{CE6A774A-8C85-4B2E-85A9-46DD12DBD358}"/>
    <cellStyle name="Comma 3 2 3 2 2 5 2" xfId="47762" xr:uid="{A10E765E-E464-453E-B559-695A87826DAD}"/>
    <cellStyle name="Comma 3 2 3 2 2 5 3" xfId="51176" xr:uid="{BE01D3E3-D535-4B7D-AF4D-4AD24C787C2B}"/>
    <cellStyle name="Comma 3 2 3 2 2 5 4" xfId="54192" xr:uid="{64C99D11-4E33-4D55-8372-32EF0A458625}"/>
    <cellStyle name="Comma 3 2 3 2 2 6" xfId="32474" xr:uid="{0285E2A6-BAC5-424D-AD11-F7ED5AEA24F8}"/>
    <cellStyle name="Comma 3 2 3 2 2 7" xfId="50070" xr:uid="{77270C9B-4AB1-4303-B902-118984C9BD3C}"/>
    <cellStyle name="Comma 3 2 3 2 2 8" xfId="53086" xr:uid="{3609F151-BDBD-43BC-AF0F-404A0F20ABF3}"/>
    <cellStyle name="Comma 3 2 3 2 3" xfId="14556" xr:uid="{7C777A73-8D19-4DC9-9DAD-6EA0EC94DABA}"/>
    <cellStyle name="Comma 3 2 3 2 3 2" xfId="22103" xr:uid="{EB1FD2E5-A721-4EC1-9226-C7D2F9081C44}"/>
    <cellStyle name="Comma 3 2 3 2 3 3" xfId="48347" xr:uid="{E4166A18-C085-4559-A719-E06E35869582}"/>
    <cellStyle name="Comma 3 2 3 2 3 4" xfId="51441" xr:uid="{0AA9D3C1-4E5D-4779-9ACD-D19FD7F09A82}"/>
    <cellStyle name="Comma 3 2 3 2 3 5" xfId="54457" xr:uid="{16E78C2F-32D6-4501-A687-1274F4959AE3}"/>
    <cellStyle name="Comma 3 2 3 2 4" xfId="15040" xr:uid="{01A0D0C3-1F1E-403D-9AF8-1F8EFE87E5D4}"/>
    <cellStyle name="Comma 3 2 3 2 4 2" xfId="22580" xr:uid="{055E3789-B382-4FEE-A4F6-D73F77167614}"/>
    <cellStyle name="Comma 3 2 3 2 4 3" xfId="48384" xr:uid="{83909057-C7A8-4867-839F-C4D74F9F4CE7}"/>
    <cellStyle name="Comma 3 2 3 2 4 4" xfId="51918" xr:uid="{990F9980-D9DA-4764-B0CE-F8907429CB83}"/>
    <cellStyle name="Comma 3 2 3 2 4 5" xfId="54934" xr:uid="{7A540261-5C56-4AB1-87E6-5F5E46875C9B}"/>
    <cellStyle name="Comma 3 2 3 2 5" xfId="15527" xr:uid="{E256B73C-6F62-4D60-A1B8-9CBF6AACA9F6}"/>
    <cellStyle name="Comma 3 2 3 2 5 2" xfId="23057" xr:uid="{1086D8DC-8357-4A8D-82F5-73FFCAE96D78}"/>
    <cellStyle name="Comma 3 2 3 2 5 3" xfId="48419" xr:uid="{0F50829C-D3A7-460D-82A4-D3BC7EA55E2C}"/>
    <cellStyle name="Comma 3 2 3 2 5 4" xfId="52395" xr:uid="{C7CD3858-931B-4D29-92BB-1EB63D723692}"/>
    <cellStyle name="Comma 3 2 3 2 5 5" xfId="55411" xr:uid="{4A172907-F6F5-4F74-BAAF-D7772A76D3F6}"/>
    <cellStyle name="Comma 3 2 3 2 6" xfId="12475" xr:uid="{CA922D21-469F-4468-96A3-0D8F5E0D7B0C}"/>
    <cellStyle name="Comma 3 2 3 2 6 2" xfId="37143" xr:uid="{58F8F9C9-A75D-4514-B26B-0A8A07C9D6A2}"/>
    <cellStyle name="Comma 3 2 3 2 6 3" xfId="50964" xr:uid="{D4D76CAC-8A0B-4C30-B0F0-EFEF5C5DE38C}"/>
    <cellStyle name="Comma 3 2 3 2 6 4" xfId="53980" xr:uid="{AC63B3E1-0486-467B-982E-F6CF6811FFE2}"/>
    <cellStyle name="Comma 3 2 3 2 7" xfId="46023" xr:uid="{9371CD64-34EA-4AFD-8DC8-183E4A39DB99}"/>
    <cellStyle name="Comma 3 2 3 2 8" xfId="49858" xr:uid="{32461B5D-C310-43A2-9BA7-0747D8A6206F}"/>
    <cellStyle name="Comma 3 2 3 2 9" xfId="52874" xr:uid="{39B319FA-EF59-417D-BEAF-2D48BE209D49}"/>
    <cellStyle name="Comma 3 2 3 3" xfId="10089" xr:uid="{A004F6B5-DE65-440C-9952-FCBD017B6081}"/>
    <cellStyle name="Comma 3 2 3 3 2" xfId="10402" xr:uid="{EFB9EC1A-0CC0-487C-ACE1-7EF48764E754}"/>
    <cellStyle name="Comma 3 2 3 3 2 2" xfId="14821" xr:uid="{403F72EB-080E-4559-9C24-DA9EAB22A34A}"/>
    <cellStyle name="Comma 3 2 3 3 2 2 2" xfId="22368" xr:uid="{8D9ED8E6-B917-40A7-89A4-7250B764665F}"/>
    <cellStyle name="Comma 3 2 3 3 2 2 3" xfId="24943" xr:uid="{CDF66EA5-D654-485A-BE4C-740BD4D4F853}"/>
    <cellStyle name="Comma 3 2 3 3 2 2 4" xfId="51706" xr:uid="{78A14D94-5C2C-450F-8D25-59A13042520C}"/>
    <cellStyle name="Comma 3 2 3 3 2 2 5" xfId="54722" xr:uid="{40004FE7-C4FF-4AD3-84EF-DAEBC7DDBD9C}"/>
    <cellStyle name="Comma 3 2 3 3 2 3" xfId="15306" xr:uid="{E473E757-1AFD-455F-96B0-D9FE266D8074}"/>
    <cellStyle name="Comma 3 2 3 3 2 3 2" xfId="22845" xr:uid="{002AC47A-09B5-40AC-8D9E-432E9296AB28}"/>
    <cellStyle name="Comma 3 2 3 3 2 3 3" xfId="48513" xr:uid="{DCB71E38-66B8-4D52-A094-E2B134D0BDDE}"/>
    <cellStyle name="Comma 3 2 3 3 2 3 4" xfId="52183" xr:uid="{45835DB1-3486-43C1-B644-3A49C4005DAE}"/>
    <cellStyle name="Comma 3 2 3 3 2 3 5" xfId="55199" xr:uid="{31D5A442-DFA3-410F-8A3E-0726A56DCE10}"/>
    <cellStyle name="Comma 3 2 3 3 2 4" xfId="15793" xr:uid="{7837ED4C-BCF7-4AE5-96A8-0F1CD303A6A9}"/>
    <cellStyle name="Comma 3 2 3 3 2 4 2" xfId="23322" xr:uid="{8D62821B-0662-4AEC-9832-B217CEB9B01C}"/>
    <cellStyle name="Comma 3 2 3 3 2 4 3" xfId="46587" xr:uid="{C86BB467-83E1-4355-B10C-77207E581FAA}"/>
    <cellStyle name="Comma 3 2 3 3 2 4 4" xfId="52660" xr:uid="{FB630A0F-19F1-437C-B640-B840CC511BC2}"/>
    <cellStyle name="Comma 3 2 3 3 2 4 5" xfId="55676" xr:uid="{1529DFFA-EBB2-4841-983E-20B8430FA200}"/>
    <cellStyle name="Comma 3 2 3 3 2 5" xfId="12855" xr:uid="{BE4B34A4-CB40-4DC9-B129-E0F8AA98CB7E}"/>
    <cellStyle name="Comma 3 2 3 3 2 5 2" xfId="47232" xr:uid="{9EEDABCF-3B90-4C87-85AB-5607F4371DCD}"/>
    <cellStyle name="Comma 3 2 3 3 2 5 3" xfId="51229" xr:uid="{83C164F7-ED84-44CC-9C30-CD3C4A666729}"/>
    <cellStyle name="Comma 3 2 3 3 2 5 4" xfId="54245" xr:uid="{B435CCCE-A8C6-41E9-B816-33DF7919B869}"/>
    <cellStyle name="Comma 3 2 3 3 2 6" xfId="48159" xr:uid="{40712BFF-820F-4A9E-9843-6AEAF336BD89}"/>
    <cellStyle name="Comma 3 2 3 3 2 7" xfId="50123" xr:uid="{A77572A9-3C6E-4F3F-9CCF-BFFE8F89AB07}"/>
    <cellStyle name="Comma 3 2 3 3 2 8" xfId="53139" xr:uid="{2C76ABB3-AFAC-4699-838F-F838F86D28DF}"/>
    <cellStyle name="Comma 3 2 3 3 3" xfId="14609" xr:uid="{FD8863E1-E802-435E-A8A4-BAF8BD1F3877}"/>
    <cellStyle name="Comma 3 2 3 3 3 2" xfId="22156" xr:uid="{93931BB0-A523-4273-9A44-86724A78688E}"/>
    <cellStyle name="Comma 3 2 3 3 3 3" xfId="47964" xr:uid="{4528B5DD-3D18-47D1-864C-284D8A0E8D5A}"/>
    <cellStyle name="Comma 3 2 3 3 3 4" xfId="51494" xr:uid="{A2545EE6-10C7-43FE-B738-42F77A018D63}"/>
    <cellStyle name="Comma 3 2 3 3 3 5" xfId="54510" xr:uid="{18A25AD1-E0FE-460B-BE8B-5CEF8ACD5B1B}"/>
    <cellStyle name="Comma 3 2 3 3 4" xfId="15094" xr:uid="{DD056D46-9A5D-416B-B4B1-EF1492477D6E}"/>
    <cellStyle name="Comma 3 2 3 3 4 2" xfId="22633" xr:uid="{85652F55-E76C-4D92-AE5A-9A10174C3E96}"/>
    <cellStyle name="Comma 3 2 3 3 4 3" xfId="46478" xr:uid="{0F705069-3B8B-4954-A649-AD974A2221F3}"/>
    <cellStyle name="Comma 3 2 3 3 4 4" xfId="51971" xr:uid="{D767C2DA-7FAA-4C15-B797-A4F32183E318}"/>
    <cellStyle name="Comma 3 2 3 3 4 5" xfId="54987" xr:uid="{7941934B-08BF-498E-9967-F236CECB18B5}"/>
    <cellStyle name="Comma 3 2 3 3 5" xfId="15581" xr:uid="{595B8A97-4E95-43BB-956E-C99165C9A235}"/>
    <cellStyle name="Comma 3 2 3 3 5 2" xfId="23110" xr:uid="{A4182278-7E55-4B99-BC05-2ECEBD2DA72B}"/>
    <cellStyle name="Comma 3 2 3 3 5 3" xfId="46555" xr:uid="{CD3C231A-D8BE-48F1-85C0-C5DFB04396A8}"/>
    <cellStyle name="Comma 3 2 3 3 5 4" xfId="52448" xr:uid="{345632FA-A4A9-43F7-8929-646F19124B83}"/>
    <cellStyle name="Comma 3 2 3 3 5 5" xfId="55464" xr:uid="{826D99CC-E301-426C-9B8C-4BB3824FEDE0}"/>
    <cellStyle name="Comma 3 2 3 3 6" xfId="12546" xr:uid="{F2619BE4-FAD1-4007-9F36-9D56C6FD3253}"/>
    <cellStyle name="Comma 3 2 3 3 6 2" xfId="47317" xr:uid="{95760035-80C5-40A3-B033-E0F5B33D45A0}"/>
    <cellStyle name="Comma 3 2 3 3 6 3" xfId="51017" xr:uid="{478B945B-F425-4257-9D7D-8DF2965ACFF1}"/>
    <cellStyle name="Comma 3 2 3 3 6 4" xfId="54033" xr:uid="{359EE8D2-8184-450C-9F00-D971040C88CB}"/>
    <cellStyle name="Comma 3 2 3 3 7" xfId="48449" xr:uid="{BDE2212F-8213-4BFB-B832-F731FCB62FE7}"/>
    <cellStyle name="Comma 3 2 3 3 8" xfId="49911" xr:uid="{F15B3F5F-B45D-4859-9D12-E4599ABC7E55}"/>
    <cellStyle name="Comma 3 2 3 3 9" xfId="52927" xr:uid="{5E5A298C-12F5-4F7A-BC11-5BB3F15CFA31}"/>
    <cellStyle name="Comma 3 2 3 4" xfId="10168" xr:uid="{22BC432B-08A9-444F-A5BF-AEC6367B1ACD}"/>
    <cellStyle name="Comma 3 2 3 4 2" xfId="10482" xr:uid="{4C281CAF-0ABC-426D-A8D0-88FE10B80961}"/>
    <cellStyle name="Comma 3 2 3 4 2 2" xfId="14874" xr:uid="{BF995FA5-2FC2-4000-A7C7-D4586F211B60}"/>
    <cellStyle name="Comma 3 2 3 4 2 2 2" xfId="22421" xr:uid="{C5DE893F-CCEA-42DD-9937-948271DAED8E}"/>
    <cellStyle name="Comma 3 2 3 4 2 2 3" xfId="32377" xr:uid="{A70A19C1-54C0-4CA5-B29D-0E85D9F1A85E}"/>
    <cellStyle name="Comma 3 2 3 4 2 2 4" xfId="51759" xr:uid="{886A14FE-C53B-48DC-B4E0-17DB79C93305}"/>
    <cellStyle name="Comma 3 2 3 4 2 2 5" xfId="54775" xr:uid="{752997BF-B488-495C-9224-7D15898453C8}"/>
    <cellStyle name="Comma 3 2 3 4 2 3" xfId="15359" xr:uid="{C20E1B98-5E6B-4CFF-8775-26F13DD3E268}"/>
    <cellStyle name="Comma 3 2 3 4 2 3 2" xfId="22898" xr:uid="{85912014-87FA-4AFA-815C-E4F2308B888B}"/>
    <cellStyle name="Comma 3 2 3 4 2 3 3" xfId="47493" xr:uid="{10096C6F-BBD3-419F-8074-576DDA145A44}"/>
    <cellStyle name="Comma 3 2 3 4 2 3 4" xfId="52236" xr:uid="{BDC486A7-5358-4323-85E8-B9F28F7C9368}"/>
    <cellStyle name="Comma 3 2 3 4 2 3 5" xfId="55252" xr:uid="{EC26F03A-6FCD-4C65-AAE5-B88835143501}"/>
    <cellStyle name="Comma 3 2 3 4 2 4" xfId="15846" xr:uid="{BA94AB76-49FB-45DC-BE23-993A90F4FD28}"/>
    <cellStyle name="Comma 3 2 3 4 2 4 2" xfId="23375" xr:uid="{A17C927F-75E7-465B-BEBF-A1A6A3091714}"/>
    <cellStyle name="Comma 3 2 3 4 2 4 3" xfId="46974" xr:uid="{EC70F2EC-19FA-439C-872B-AF28ABB0B7F2}"/>
    <cellStyle name="Comma 3 2 3 4 2 4 4" xfId="52713" xr:uid="{3622E87F-D29B-4310-AA0F-1C72EE46E4D6}"/>
    <cellStyle name="Comma 3 2 3 4 2 4 5" xfId="55729" xr:uid="{470C88BA-BC6A-4D09-A45D-133CD8E00EE1}"/>
    <cellStyle name="Comma 3 2 3 4 2 5" xfId="12935" xr:uid="{0ED1E747-62AC-42D9-9D4E-8E5C3FEC325C}"/>
    <cellStyle name="Comma 3 2 3 4 2 5 2" xfId="46374" xr:uid="{59E7B989-240F-4560-842B-7CA4770090FD}"/>
    <cellStyle name="Comma 3 2 3 4 2 5 3" xfId="51282" xr:uid="{3E7D98FE-C60E-4B3F-A77F-2C09C72B1C96}"/>
    <cellStyle name="Comma 3 2 3 4 2 5 4" xfId="54298" xr:uid="{A488F365-9615-4CB7-BD72-12A47B147199}"/>
    <cellStyle name="Comma 3 2 3 4 2 6" xfId="46129" xr:uid="{F3FD7FA5-3F4E-4A0F-8D9C-8CEEE168EDA3}"/>
    <cellStyle name="Comma 3 2 3 4 2 7" xfId="50176" xr:uid="{FFDF9576-DE7C-4D38-8040-31F8613F884F}"/>
    <cellStyle name="Comma 3 2 3 4 2 8" xfId="53192" xr:uid="{D6043647-8C87-40E7-8124-1731B24C197F}"/>
    <cellStyle name="Comma 3 2 3 4 3" xfId="14662" xr:uid="{7534C9F9-7D42-40C3-98B2-E14952D1D5B2}"/>
    <cellStyle name="Comma 3 2 3 4 3 2" xfId="22209" xr:uid="{83A397EB-9B80-4228-A74A-54565DCD9B9C}"/>
    <cellStyle name="Comma 3 2 3 4 3 3" xfId="47453" xr:uid="{E20C8F67-0130-46BB-A8BF-D0FFF379DB24}"/>
    <cellStyle name="Comma 3 2 3 4 3 4" xfId="51547" xr:uid="{5CD77785-6CA4-402B-A050-142E899C3FBD}"/>
    <cellStyle name="Comma 3 2 3 4 3 5" xfId="54563" xr:uid="{AEA4B17A-C49F-4FA4-813C-89D411322F46}"/>
    <cellStyle name="Comma 3 2 3 4 4" xfId="15147" xr:uid="{990E03F9-3B75-4C2B-8DD5-25C0829D58A1}"/>
    <cellStyle name="Comma 3 2 3 4 4 2" xfId="22686" xr:uid="{980E06D7-EA0B-4163-A1BB-7A97FBEDBB3E}"/>
    <cellStyle name="Comma 3 2 3 4 4 3" xfId="32546" xr:uid="{AB316849-F68B-4406-B8EE-C63C18355AEB}"/>
    <cellStyle name="Comma 3 2 3 4 4 4" xfId="52024" xr:uid="{69367B77-6D72-4955-813C-4EDF914D849A}"/>
    <cellStyle name="Comma 3 2 3 4 4 5" xfId="55040" xr:uid="{4FBEF40F-3D73-4307-8426-43AD4DA607BC}"/>
    <cellStyle name="Comma 3 2 3 4 5" xfId="15634" xr:uid="{C1CF8C1F-997E-4FBD-8D73-A5D9B662B7CB}"/>
    <cellStyle name="Comma 3 2 3 4 5 2" xfId="23163" xr:uid="{F020D323-6B78-4BBE-8917-27604A8D2872}"/>
    <cellStyle name="Comma 3 2 3 4 5 3" xfId="47945" xr:uid="{2658DAC0-8992-4505-9EEA-D8A2764C5DCA}"/>
    <cellStyle name="Comma 3 2 3 4 5 4" xfId="52501" xr:uid="{00AAE9A3-B1EB-4DDD-A4DE-1DF1EC25079B}"/>
    <cellStyle name="Comma 3 2 3 4 5 5" xfId="55517" xr:uid="{3AF3CADC-68E1-4435-A93E-F9F3C4BF3DE3}"/>
    <cellStyle name="Comma 3 2 3 4 6" xfId="12622" xr:uid="{CE6997E8-103F-4F3A-91C1-3CE8DE27836D}"/>
    <cellStyle name="Comma 3 2 3 4 6 2" xfId="46331" xr:uid="{57942BDC-7AC6-46F6-A7D4-4F460F09490E}"/>
    <cellStyle name="Comma 3 2 3 4 6 3" xfId="51070" xr:uid="{3A4F07CD-4A5B-4B53-A89D-25A03DD2CBF7}"/>
    <cellStyle name="Comma 3 2 3 4 6 4" xfId="54086" xr:uid="{591CFF52-F314-4D5C-966F-080B854F8A9A}"/>
    <cellStyle name="Comma 3 2 3 4 7" xfId="47651" xr:uid="{2D93665F-AF7D-4B62-95A5-FB416CFE7589}"/>
    <cellStyle name="Comma 3 2 3 4 8" xfId="49964" xr:uid="{17F2787D-DF61-4835-AF28-462574B1B86E}"/>
    <cellStyle name="Comma 3 2 3 4 9" xfId="52980" xr:uid="{01CD9B73-E3FF-4FCE-9B47-EA6014C25FB3}"/>
    <cellStyle name="Comma 3 2 3 5" xfId="10248" xr:uid="{34EB9378-EA75-429F-97A5-4F1102DF898B}"/>
    <cellStyle name="Comma 3 2 3 5 2" xfId="14715" xr:uid="{5530813D-EC4D-4B12-97C9-FC67F1A86D68}"/>
    <cellStyle name="Comma 3 2 3 5 2 2" xfId="22262" xr:uid="{C0F895C2-48B4-48A3-9872-5B39B55B3837}"/>
    <cellStyle name="Comma 3 2 3 5 2 3" xfId="46422" xr:uid="{61A81332-45B5-4DD8-BAA5-C2310F11EB48}"/>
    <cellStyle name="Comma 3 2 3 5 2 4" xfId="51600" xr:uid="{35418A30-A2ED-40D4-B8FE-29783858B18C}"/>
    <cellStyle name="Comma 3 2 3 5 2 5" xfId="54616" xr:uid="{11091EB4-8CE4-401C-9C00-F212C5CE41BD}"/>
    <cellStyle name="Comma 3 2 3 5 3" xfId="15200" xr:uid="{D465A659-0AEE-4E4D-8F62-D5BFB34AC3C7}"/>
    <cellStyle name="Comma 3 2 3 5 3 2" xfId="22739" xr:uid="{697BE84C-5697-40CB-9A08-DBA2034B22CD}"/>
    <cellStyle name="Comma 3 2 3 5 3 3" xfId="47669" xr:uid="{7C254756-2C7C-410B-B550-84B0905CE1BE}"/>
    <cellStyle name="Comma 3 2 3 5 3 4" xfId="52077" xr:uid="{6E285BF6-12FF-497F-9127-A008E240346C}"/>
    <cellStyle name="Comma 3 2 3 5 3 5" xfId="55093" xr:uid="{D68E7011-9BF2-401E-8FA7-CADFA97D699E}"/>
    <cellStyle name="Comma 3 2 3 5 4" xfId="15687" xr:uid="{3D14508F-2E1E-4C1C-B980-6EE85F24F371}"/>
    <cellStyle name="Comma 3 2 3 5 4 2" xfId="23216" xr:uid="{913DA3B6-094C-4726-A8D3-596537F956AF}"/>
    <cellStyle name="Comma 3 2 3 5 4 3" xfId="46572" xr:uid="{20411759-CE82-45CD-8F69-6D84C170E5A4}"/>
    <cellStyle name="Comma 3 2 3 5 4 4" xfId="52554" xr:uid="{B9CAAA57-1327-48D3-8D30-D017C2C06581}"/>
    <cellStyle name="Comma 3 2 3 5 4 5" xfId="55570" xr:uid="{DE9BCC26-BF39-4706-91EA-0C0A97782C99}"/>
    <cellStyle name="Comma 3 2 3 5 5" xfId="12701" xr:uid="{3DF11F05-1C36-4018-93BA-EBFC76AED16E}"/>
    <cellStyle name="Comma 3 2 3 5 5 2" xfId="48106" xr:uid="{7EF61BA2-401D-40F3-A435-B48FD45E1554}"/>
    <cellStyle name="Comma 3 2 3 5 5 3" xfId="51123" xr:uid="{9A68410C-EA27-4E02-B4FF-D26DF2720A0E}"/>
    <cellStyle name="Comma 3 2 3 5 5 4" xfId="54139" xr:uid="{F06666A9-749C-4D7C-BC2C-B01ADB8BEF99}"/>
    <cellStyle name="Comma 3 2 3 5 6" xfId="37545" xr:uid="{1549EC9E-FD41-436C-AC07-CD9845E51946}"/>
    <cellStyle name="Comma 3 2 3 5 7" xfId="50017" xr:uid="{AAE31E02-E2A0-46A3-8855-9A38968F2945}"/>
    <cellStyle name="Comma 3 2 3 5 8" xfId="53033" xr:uid="{34EB9EC9-D9C2-4A90-887F-0C58B5BD2576}"/>
    <cellStyle name="Comma 3 2 3 6" xfId="10562" xr:uid="{800627E8-5732-490E-8021-29AFAD87A1B8}"/>
    <cellStyle name="Comma 3 2 3 6 2" xfId="14927" xr:uid="{F70E2DC1-965D-4BCC-A7EA-E2E442CDF333}"/>
    <cellStyle name="Comma 3 2 3 6 2 2" xfId="22474" xr:uid="{0B73E834-82D6-4FAC-A94E-C1E0A4D72A9E}"/>
    <cellStyle name="Comma 3 2 3 6 2 3" xfId="46456" xr:uid="{F926B426-5A6D-437E-8DF3-036A023DEE9F}"/>
    <cellStyle name="Comma 3 2 3 6 2 4" xfId="51812" xr:uid="{5133882B-93C3-41F1-89D0-8B64E30BB85A}"/>
    <cellStyle name="Comma 3 2 3 6 2 5" xfId="54828" xr:uid="{5F01FB1A-B12C-4D0F-B75C-34F81291757C}"/>
    <cellStyle name="Comma 3 2 3 6 3" xfId="15412" xr:uid="{5E2A6DF0-D190-49EC-B4D7-200493BA0399}"/>
    <cellStyle name="Comma 3 2 3 6 3 2" xfId="22951" xr:uid="{21853A90-1C34-4713-BB3E-38D4115C5AB2}"/>
    <cellStyle name="Comma 3 2 3 6 3 3" xfId="47640" xr:uid="{EA9105AD-5D82-47FD-9EB5-4BD52B38FE95}"/>
    <cellStyle name="Comma 3 2 3 6 3 4" xfId="52289" xr:uid="{1D7C76B9-03C7-41C1-A843-B4E7F76386BF}"/>
    <cellStyle name="Comma 3 2 3 6 3 5" xfId="55305" xr:uid="{6EB60C08-2D25-4B96-8530-3ADB868F30D9}"/>
    <cellStyle name="Comma 3 2 3 6 4" xfId="15900" xr:uid="{CE3E66B1-EA07-41C1-8FEF-A07615A8EC77}"/>
    <cellStyle name="Comma 3 2 3 6 4 2" xfId="23428" xr:uid="{FAF4F11A-2D6C-477D-9B74-CA4087ECC34A}"/>
    <cellStyle name="Comma 3 2 3 6 4 3" xfId="46980" xr:uid="{4DC72FCE-ACD1-4E63-BEDF-E1A6D1CD781F}"/>
    <cellStyle name="Comma 3 2 3 6 4 4" xfId="52766" xr:uid="{F6CA5F1D-A35E-4AA5-A640-83A7E96967FB}"/>
    <cellStyle name="Comma 3 2 3 6 4 5" xfId="55782" xr:uid="{703E6DBD-588D-4978-9C75-042995F1A302}"/>
    <cellStyle name="Comma 3 2 3 6 5" xfId="13015" xr:uid="{B764B081-EE0D-444E-9D8E-64FDC4B89D0A}"/>
    <cellStyle name="Comma 3 2 3 6 5 2" xfId="25319" xr:uid="{0852CFC7-80EC-4EFE-B766-6E72E7983CAD}"/>
    <cellStyle name="Comma 3 2 3 6 5 3" xfId="51335" xr:uid="{395B5E87-C51D-44AF-B61E-A0B5DBE3DD41}"/>
    <cellStyle name="Comma 3 2 3 6 5 4" xfId="54351" xr:uid="{FA1D4836-DAED-4B42-9BA4-244726368D8E}"/>
    <cellStyle name="Comma 3 2 3 6 6" xfId="24766" xr:uid="{CF83F286-32BD-493C-8E3B-33882F74A866}"/>
    <cellStyle name="Comma 3 2 3 6 7" xfId="50229" xr:uid="{18C6AA5F-6D61-439D-8DC2-71C968BA7C46}"/>
    <cellStyle name="Comma 3 2 3 6 8" xfId="53245" xr:uid="{2640BB0C-E8D6-45D1-995B-3E096B51C2AB}"/>
    <cellStyle name="Comma 3 2 3 7" xfId="12310" xr:uid="{E9019799-1759-4A01-9F27-EC49AA823B43}"/>
    <cellStyle name="Comma 3 2 3 8" xfId="14503" xr:uid="{4281A846-3FC4-4570-8D4A-0F893104419C}"/>
    <cellStyle name="Comma 3 2 3 8 2" xfId="22050" xr:uid="{7CEA0B3E-7961-44FA-8DEF-195E4325E94A}"/>
    <cellStyle name="Comma 3 2 3 8 3" xfId="34491" xr:uid="{7935185F-BF2C-4359-9C5F-15430C9E486F}"/>
    <cellStyle name="Comma 3 2 3 8 4" xfId="51388" xr:uid="{B23AA5FE-DDE6-4935-98E7-A66560A26E64}"/>
    <cellStyle name="Comma 3 2 3 8 5" xfId="54404" xr:uid="{4723A9AC-03ED-4AE9-961D-C1371734414E}"/>
    <cellStyle name="Comma 3 2 3 9" xfId="14987" xr:uid="{7AB4B4DA-FB24-4617-A28D-DF346A9E4AF7}"/>
    <cellStyle name="Comma 3 2 3 9 2" xfId="22527" xr:uid="{629A8EAD-18E9-40B5-BE43-DBA31D5E5960}"/>
    <cellStyle name="Comma 3 2 3 9 3" xfId="47779" xr:uid="{8B3EE6D0-6234-4122-B406-209527AD417E}"/>
    <cellStyle name="Comma 3 2 3 9 4" xfId="51865" xr:uid="{EB31DD0E-0A7F-4AD0-A327-6A0D9B811D71}"/>
    <cellStyle name="Comma 3 2 3 9 5" xfId="54881" xr:uid="{1E237DED-69CF-41D6-BE11-77C82D97C69E}"/>
    <cellStyle name="Comma 3 2 4" xfId="5821" xr:uid="{CEF8F8EC-EFB8-4F42-ABE7-10A67FE7BF1B}"/>
    <cellStyle name="Comma 3 2 4 2" xfId="23741" xr:uid="{B9F4635A-EAEB-475E-9C78-EFFE9591201F}"/>
    <cellStyle name="Comma 3 2 4 3" xfId="48624" xr:uid="{4DB344AB-5736-4C29-A899-C4E22F4DFEE1}"/>
    <cellStyle name="Comma 3 2 4 4" xfId="49532" xr:uid="{E9FCC0ED-2FE6-4D6C-8DB5-1C864DC12BE0}"/>
    <cellStyle name="Comma 3 2 4 5" xfId="11167" xr:uid="{BFA3CFD9-B849-42EA-B55F-DEC12F7142A4}"/>
    <cellStyle name="Comma 3 2 5" xfId="12424" xr:uid="{D42B46DC-B4A9-4EE1-AA7A-B5873E395B53}"/>
    <cellStyle name="Comma 3 2 5 2" xfId="21909" xr:uid="{54674185-1B60-40EF-A010-DA20FB27882E}"/>
    <cellStyle name="Comma 3 2 5 3" xfId="23742" xr:uid="{7158B6FF-C275-4F98-A44B-35D4E585D390}"/>
    <cellStyle name="Comma 3 2 5 4" xfId="46307" xr:uid="{1F61A455-5C1D-4CAE-97A1-32D62FDE9580}"/>
    <cellStyle name="Comma 3 2 5 5" xfId="48625" xr:uid="{5797B5B2-0926-454F-8557-103514BC354C}"/>
    <cellStyle name="Comma 3 2 5 6" xfId="49533" xr:uid="{7A782119-91E9-4A0C-9DF2-72E9DE3933C2}"/>
    <cellStyle name="Comma 3 2 5 7" xfId="50947" xr:uid="{1E2CDCB5-38B9-4EF6-B365-B15F6BC42DB4}"/>
    <cellStyle name="Comma 3 2 5 8" xfId="53963" xr:uid="{0163032C-9B5B-446A-A163-312F52CA6F37}"/>
    <cellStyle name="Comma 3 2 6" xfId="11190" xr:uid="{08685A17-DCA4-4E35-B332-4DFD2E288134}"/>
    <cellStyle name="Comma 3 2 6 2" xfId="21686" xr:uid="{D4362A92-CA5B-4CC2-8F05-F1BCA9D993FB}"/>
    <cellStyle name="Comma 3 2 6 3" xfId="24499" xr:uid="{FBB0A694-8811-4E32-BDA2-BB9D450B3F49}"/>
    <cellStyle name="Comma 3 2 6 4" xfId="50703" xr:uid="{67434015-74BA-4F74-97F6-8A6D888595C1}"/>
    <cellStyle name="Comma 3 2 6 5" xfId="53719" xr:uid="{45C8F6A7-3968-4BB4-8567-A98B51C9C1E4}"/>
    <cellStyle name="Comma 3 2 7" xfId="19483" xr:uid="{E5F5948A-FDE0-4BA1-819C-8B3F3B6EEA66}"/>
    <cellStyle name="Comma 3 2 8" xfId="23737" xr:uid="{B6AF80AE-B51E-4006-BABE-D6A1B3C3E331}"/>
    <cellStyle name="Comma 3 2 9" xfId="48620" xr:uid="{33F449F5-B4D4-43F6-ACE1-D956AA96A52D}"/>
    <cellStyle name="Comma 3 3" xfId="2623" xr:uid="{B1AB9893-6890-4D1D-BAF6-2C57967D9D53}"/>
    <cellStyle name="Comma 3 3 10" xfId="15943" xr:uid="{AA38FC86-5CA5-45B5-97B1-E23AAC095E15}"/>
    <cellStyle name="Comma 3 3 11" xfId="8184" xr:uid="{A5EA7E93-3CA5-448F-97B5-50CD66B8F844}"/>
    <cellStyle name="Comma 3 3 2" xfId="4541" xr:uid="{0E4346B9-A856-4532-A686-99B776FF2BAF}"/>
    <cellStyle name="Comma 3 3 2 10" xfId="14988" xr:uid="{83CBBAD0-10A3-4AC4-9CB8-FC6B3AFB85F3}"/>
    <cellStyle name="Comma 3 3 2 10 2" xfId="22528" xr:uid="{22BE963D-04C0-4F03-8864-E711BB767342}"/>
    <cellStyle name="Comma 3 3 2 10 3" xfId="47930" xr:uid="{C2E64E2E-673C-44BF-8F3D-75D90E067182}"/>
    <cellStyle name="Comma 3 3 2 10 4" xfId="51866" xr:uid="{A357516D-4B94-4D09-9A2B-0F56F5A30FB5}"/>
    <cellStyle name="Comma 3 3 2 10 5" xfId="54882" xr:uid="{F3F03764-5ED5-4095-8ACC-5ACA82F201B9}"/>
    <cellStyle name="Comma 3 3 2 10 6" xfId="19184" xr:uid="{4AFADD6F-E4CC-43E7-BC26-D99ED5EB7F61}"/>
    <cellStyle name="Comma 3 3 2 11" xfId="15475" xr:uid="{EE40EC4A-34AE-467D-89DA-645BEA87B8A6}"/>
    <cellStyle name="Comma 3 3 2 11 2" xfId="23005" xr:uid="{A7164320-9B99-48E3-868B-B9083173882E}"/>
    <cellStyle name="Comma 3 3 2 11 3" xfId="46538" xr:uid="{BD29CD10-EE3E-4CA6-AB25-3AFD70C4B25E}"/>
    <cellStyle name="Comma 3 3 2 11 4" xfId="52343" xr:uid="{CD29027F-B395-4DDB-BB16-0A0C97045205}"/>
    <cellStyle name="Comma 3 3 2 11 5" xfId="55359" xr:uid="{E822CAFF-5C7F-4085-8832-5E343F4BA68A}"/>
    <cellStyle name="Comma 3 3 2 11 6" xfId="19329" xr:uid="{24BF0245-B736-4249-8552-4C5EF4A8E54A}"/>
    <cellStyle name="Comma 3 3 2 12" xfId="11584" xr:uid="{950659FB-FAFE-45F7-BBBA-AFE4620C4EE2}"/>
    <cellStyle name="Comma 3 3 2 12 2" xfId="21708" xr:uid="{D4241C79-DCB9-4D73-AA7D-7ED3E236CE2E}"/>
    <cellStyle name="Comma 3 3 2 12 3" xfId="48187" xr:uid="{69F53440-ACC2-477E-A550-9B1A5484C563}"/>
    <cellStyle name="Comma 3 3 2 12 4" xfId="50731" xr:uid="{6A9FAB04-A2A3-4A89-9D03-9F91C88622C5}"/>
    <cellStyle name="Comma 3 3 2 12 5" xfId="53747" xr:uid="{A54E2F7F-0E6D-412D-ADC2-BBAC6C858156}"/>
    <cellStyle name="Comma 3 3 2 12 6" xfId="18160" xr:uid="{FAAA4F64-A6EB-4D96-8390-E81A4D74D496}"/>
    <cellStyle name="Comma 3 3 2 13" xfId="23744" xr:uid="{7106DBE0-980C-4D0E-8C7D-D1A4D2F457FC}"/>
    <cellStyle name="Comma 3 3 2 14" xfId="32279" xr:uid="{2885E86A-83ED-40CF-BEBA-9621152578E8}"/>
    <cellStyle name="Comma 3 3 2 15" xfId="48627" xr:uid="{A3F229C4-530A-4423-8F43-9C67E82587CF}"/>
    <cellStyle name="Comma 3 3 2 16" xfId="49535" xr:uid="{AD1DB6AF-82A8-44D2-AFDC-724493A42A0F}"/>
    <cellStyle name="Comma 3 3 2 17" xfId="49806" xr:uid="{3AD3DF7A-F6D0-4044-AE48-25CCA239CDA3}"/>
    <cellStyle name="Comma 3 3 2 18" xfId="52821" xr:uid="{8B1BA82E-CF53-47EE-866D-048C03D391D7}"/>
    <cellStyle name="Comma 3 3 2 19" xfId="8929" xr:uid="{5E8A6EC9-20A4-4069-BBC0-10D760D04816}"/>
    <cellStyle name="Comma 3 3 2 2" xfId="8930" xr:uid="{549EF77B-AE01-4CA5-B074-3277546B3DC0}"/>
    <cellStyle name="Comma 3 3 2 2 10" xfId="12196" xr:uid="{12F92076-2DAB-4073-9DE4-6499D44B8006}"/>
    <cellStyle name="Comma 3 3 2 2 10 2" xfId="48258" xr:uid="{8B80FEE0-11D2-4C25-9192-8792E84669D5}"/>
    <cellStyle name="Comma 3 3 2 2 10 3" xfId="50941" xr:uid="{B68CD165-DAE3-4862-9DCC-8C03A6520E3B}"/>
    <cellStyle name="Comma 3 3 2 2 10 4" xfId="53957" xr:uid="{C738B07D-6E16-4458-BD5E-10F82A51DFD7}"/>
    <cellStyle name="Comma 3 3 2 2 10 5" xfId="21906" xr:uid="{75DD4DAA-54DC-4520-803A-B1578931B1D6}"/>
    <cellStyle name="Comma 3 3 2 2 11" xfId="23745" xr:uid="{7357528C-57FF-44AB-863A-FD0921375654}"/>
    <cellStyle name="Comma 3 3 2 2 12" xfId="47379" xr:uid="{BFD40ED3-A3CD-462D-A7EA-D115966A670E}"/>
    <cellStyle name="Comma 3 3 2 2 13" xfId="48628" xr:uid="{D42509EE-2E35-49CC-93A4-23F542C2CCD3}"/>
    <cellStyle name="Comma 3 3 2 2 14" xfId="49536" xr:uid="{272CD3E1-D795-4B74-86A7-51D9AC87ADF3}"/>
    <cellStyle name="Comma 3 3 2 2 15" xfId="49807" xr:uid="{C94A6755-7D21-4537-A30E-5665F1C59DDB}"/>
    <cellStyle name="Comma 3 3 2 2 16" xfId="52822" xr:uid="{4DF4B157-66E3-4E4F-8763-34142DAC0CBA}"/>
    <cellStyle name="Comma 3 3 2 2 17" xfId="18570" xr:uid="{FDA7775E-963A-4ABC-A68A-098DF326BBD4}"/>
    <cellStyle name="Comma 3 3 2 2 2" xfId="10017" xr:uid="{F67B855F-EEA3-48FC-8863-8EDDD0BAD4CC}"/>
    <cellStyle name="Comma 3 3 2 2 2 10" xfId="18748" xr:uid="{DBFDCE65-93D7-4ACB-B4C7-08D8F4C843EF}"/>
    <cellStyle name="Comma 3 3 2 2 2 2" xfId="10325" xr:uid="{36C63269-736A-4B16-B64A-2F56C0244132}"/>
    <cellStyle name="Comma 3 3 2 2 2 2 2" xfId="14770" xr:uid="{F0A03771-04FC-4C1B-B794-E21E7914CDA5}"/>
    <cellStyle name="Comma 3 3 2 2 2 2 2 2" xfId="22317" xr:uid="{F08CCFDD-BEC7-4F95-8466-3D29687055F7}"/>
    <cellStyle name="Comma 3 3 2 2 2 2 2 3" xfId="47370" xr:uid="{2419239B-6E9F-4F12-90C6-2AA6C3B4F83C}"/>
    <cellStyle name="Comma 3 3 2 2 2 2 2 4" xfId="51655" xr:uid="{55BB18DB-69A7-4C99-BC4B-238BE5A09D01}"/>
    <cellStyle name="Comma 3 3 2 2 2 2 2 5" xfId="54671" xr:uid="{45617F0B-0D4A-4554-8BD7-667A25EB9381}"/>
    <cellStyle name="Comma 3 3 2 2 2 2 2 6" xfId="19118" xr:uid="{33012C11-C93C-4469-9DD9-6F8D16570751}"/>
    <cellStyle name="Comma 3 3 2 2 2 2 3" xfId="15255" xr:uid="{DF92F60F-CD5E-43A1-8283-C92A9C59A444}"/>
    <cellStyle name="Comma 3 3 2 2 2 2 3 2" xfId="22794" xr:uid="{8AC318F9-3120-4343-B1BE-34F43E1F82CD}"/>
    <cellStyle name="Comma 3 3 2 2 2 2 3 3" xfId="47782" xr:uid="{A775B4A7-4984-47C0-9E62-B8000FEC5548}"/>
    <cellStyle name="Comma 3 3 2 2 2 2 3 4" xfId="52132" xr:uid="{D6B8A95D-CC53-463D-AFBF-C98396FF0164}"/>
    <cellStyle name="Comma 3 3 2 2 2 2 3 5" xfId="55148" xr:uid="{279F862D-BC8C-4E7D-9193-9C3672C7DC71}"/>
    <cellStyle name="Comma 3 3 2 2 2 2 3 6" xfId="19261" xr:uid="{2625543B-66B5-44F2-A41D-9718B439AE55}"/>
    <cellStyle name="Comma 3 3 2 2 2 2 4" xfId="15742" xr:uid="{E798E00E-00A5-4C2B-A7BB-737D32DCA0C4}"/>
    <cellStyle name="Comma 3 3 2 2 2 2 4 2" xfId="23271" xr:uid="{5268E7F6-3196-4C08-8BD6-1CD77B9B06FE}"/>
    <cellStyle name="Comma 3 3 2 2 2 2 4 3" xfId="47647" xr:uid="{A188A8D8-BF2C-445A-A83C-3C79A7B21A93}"/>
    <cellStyle name="Comma 3 3 2 2 2 2 4 4" xfId="52609" xr:uid="{E08F9F36-E9D3-4CD3-8182-5BB7D1F6DCBD}"/>
    <cellStyle name="Comma 3 3 2 2 2 2 4 5" xfId="55625" xr:uid="{0BE168F5-0BC3-4211-8514-9DEE53D2A431}"/>
    <cellStyle name="Comma 3 3 2 2 2 2 4 6" xfId="19406" xr:uid="{B9938502-FB95-4F1D-86A9-4FD850953D02}"/>
    <cellStyle name="Comma 3 3 2 2 2 2 5" xfId="12778" xr:uid="{4EFC4504-FD37-43A7-A247-2775979DF9AC}"/>
    <cellStyle name="Comma 3 3 2 2 2 2 5 2" xfId="47096" xr:uid="{7E3B1605-6681-4614-A31F-A23DCD543DA3}"/>
    <cellStyle name="Comma 3 3 2 2 2 2 5 3" xfId="51178" xr:uid="{12394768-B278-45E1-8C98-8A4DEC9EC8A0}"/>
    <cellStyle name="Comma 3 3 2 2 2 2 5 4" xfId="54194" xr:uid="{D0E7E456-6BA8-428E-A393-EE36289E0A9F}"/>
    <cellStyle name="Comma 3 3 2 2 2 2 5 5" xfId="21976" xr:uid="{F87BCE5E-3281-4338-B843-1FD5350B7A33}"/>
    <cellStyle name="Comma 3 3 2 2 2 2 6" xfId="46623" xr:uid="{89E2568B-FE81-4BCE-A632-87F0B5B09603}"/>
    <cellStyle name="Comma 3 3 2 2 2 2 7" xfId="50072" xr:uid="{FBC50167-C6C2-441B-AA34-EEF028E716F8}"/>
    <cellStyle name="Comma 3 3 2 2 2 2 8" xfId="53088" xr:uid="{4A843D2E-D42A-4AF9-B882-522FD8402D05}"/>
    <cellStyle name="Comma 3 3 2 2 2 2 9" xfId="18897" xr:uid="{6F9CDC8D-0C05-440C-A5A7-237906258786}"/>
    <cellStyle name="Comma 3 3 2 2 2 3" xfId="14558" xr:uid="{C638265C-949A-4A21-B4BA-FAFDA306287F}"/>
    <cellStyle name="Comma 3 3 2 2 2 3 2" xfId="22105" xr:uid="{332C9C46-5052-434A-946E-6848BFC2DE48}"/>
    <cellStyle name="Comma 3 3 2 2 2 3 3" xfId="46397" xr:uid="{CF6326AF-8029-4AA6-BF64-A9DFCE3D5CDB}"/>
    <cellStyle name="Comma 3 3 2 2 2 3 4" xfId="51443" xr:uid="{23C45729-5750-447D-B2AD-936DEF98F5E8}"/>
    <cellStyle name="Comma 3 3 2 2 2 3 5" xfId="54459" xr:uid="{ADC4436C-0A28-4779-8992-FDE331166F37}"/>
    <cellStyle name="Comma 3 3 2 2 2 3 6" xfId="19058" xr:uid="{98566550-F6E4-4492-B744-21B893130AA7}"/>
    <cellStyle name="Comma 3 3 2 2 2 4" xfId="15042" xr:uid="{F618BB84-D02A-4249-80FA-79BB3D7C57CB}"/>
    <cellStyle name="Comma 3 3 2 2 2 4 2" xfId="22582" xr:uid="{77C6B4AF-FCAE-4738-A3B2-BE50EAA85E2D}"/>
    <cellStyle name="Comma 3 3 2 2 2 4 3" xfId="48036" xr:uid="{B73AC690-0C74-49CF-AB25-29C637661021}"/>
    <cellStyle name="Comma 3 3 2 2 2 4 4" xfId="51920" xr:uid="{1CA63C38-B0E5-47C2-83F0-C7F705FA59E2}"/>
    <cellStyle name="Comma 3 3 2 2 2 4 5" xfId="54936" xr:uid="{946262A2-C6B6-44A2-8C95-61E7CDC08008}"/>
    <cellStyle name="Comma 3 3 2 2 2 4 6" xfId="19200" xr:uid="{E259F6F2-6ED9-4425-83AF-BB842588E0B9}"/>
    <cellStyle name="Comma 3 3 2 2 2 5" xfId="15529" xr:uid="{56B8DBD9-5987-466F-93FF-E3F4E027A364}"/>
    <cellStyle name="Comma 3 3 2 2 2 5 2" xfId="23059" xr:uid="{BE861CFD-CEDB-4117-B331-E6688C3133BC}"/>
    <cellStyle name="Comma 3 3 2 2 2 5 3" xfId="47195" xr:uid="{F0F049BF-8B9E-464E-AEA1-2457524913D4}"/>
    <cellStyle name="Comma 3 3 2 2 2 5 4" xfId="52397" xr:uid="{C0E4D41B-AFA9-4344-BEC9-D18E430923D2}"/>
    <cellStyle name="Comma 3 3 2 2 2 5 5" xfId="55413" xr:uid="{50693469-5CED-469C-94D8-7A7C6C40AF88}"/>
    <cellStyle name="Comma 3 3 2 2 2 5 6" xfId="19345" xr:uid="{2348ECA8-D247-45B0-8496-2312F638CD4D}"/>
    <cellStyle name="Comma 3 3 2 2 2 6" xfId="12477" xr:uid="{51A9C7A6-DF9A-4818-B988-DD69C7713355}"/>
    <cellStyle name="Comma 3 3 2 2 2 6 2" xfId="46757" xr:uid="{64CF7C70-FD16-4562-9476-5F0344DD2D3E}"/>
    <cellStyle name="Comma 3 3 2 2 2 6 3" xfId="50966" xr:uid="{C320B5EE-8837-4A93-A4E5-2892A5D5F33B}"/>
    <cellStyle name="Comma 3 3 2 2 2 6 4" xfId="53982" xr:uid="{A5CA67AC-B28C-419B-BA6D-164C468F627D}"/>
    <cellStyle name="Comma 3 3 2 2 2 6 5" xfId="21915" xr:uid="{EFD271DD-A8FC-4C93-9CBC-31243EB585EF}"/>
    <cellStyle name="Comma 3 3 2 2 2 7" xfId="46024" xr:uid="{4E0B95C0-FD0A-4783-99B2-FC7129162FA5}"/>
    <cellStyle name="Comma 3 3 2 2 2 8" xfId="49860" xr:uid="{4B38AFCB-E1C3-4C68-94BD-E96FB3AD9C9F}"/>
    <cellStyle name="Comma 3 3 2 2 2 9" xfId="52876" xr:uid="{D12A6F8A-6A8A-4928-8B68-5E8A362A7851}"/>
    <cellStyle name="Comma 3 3 2 2 3" xfId="10091" xr:uid="{7506356B-B3A8-4CF0-9732-01D3C54918E7}"/>
    <cellStyle name="Comma 3 3 2 2 3 10" xfId="18781" xr:uid="{AB75EEDB-773D-4FAA-8F66-761C1EF4AD1C}"/>
    <cellStyle name="Comma 3 3 2 2 3 2" xfId="10404" xr:uid="{8B434A9C-F9C6-4B7F-9D58-BBC106DE4DF7}"/>
    <cellStyle name="Comma 3 3 2 2 3 2 2" xfId="14823" xr:uid="{50DFF364-E123-4246-94D5-4E3A3562676A}"/>
    <cellStyle name="Comma 3 3 2 2 3 2 2 2" xfId="22370" xr:uid="{0B97EF36-5E92-41A5-BDB0-12CD34390E7C}"/>
    <cellStyle name="Comma 3 3 2 2 3 2 2 3" xfId="46865" xr:uid="{34676346-4619-4BEB-9723-C7CC269A5ED9}"/>
    <cellStyle name="Comma 3 3 2 2 3 2 2 4" xfId="51708" xr:uid="{564F278F-FD8D-4873-AB74-BFCC7FEBE500}"/>
    <cellStyle name="Comma 3 3 2 2 3 2 2 5" xfId="54724" xr:uid="{A3DC3387-9AA8-46C7-892D-BEFB69075638}"/>
    <cellStyle name="Comma 3 3 2 2 3 2 2 6" xfId="19133" xr:uid="{0877C82B-9E2B-4C9B-861F-35D0EF992A11}"/>
    <cellStyle name="Comma 3 3 2 2 3 2 3" xfId="15308" xr:uid="{9779757B-E772-470C-ABDF-6F436210AD0D}"/>
    <cellStyle name="Comma 3 3 2 2 3 2 3 2" xfId="22847" xr:uid="{DF867C1A-A9C9-4CCE-83F9-192D921AA499}"/>
    <cellStyle name="Comma 3 3 2 2 3 2 3 3" xfId="47125" xr:uid="{6E0E22DA-3403-4AEE-AFF4-FC6CF876C91C}"/>
    <cellStyle name="Comma 3 3 2 2 3 2 3 4" xfId="52185" xr:uid="{20281962-50F7-4951-B010-D7B86EC3A9C6}"/>
    <cellStyle name="Comma 3 3 2 2 3 2 3 5" xfId="55201" xr:uid="{A01BD316-B9B3-4296-8C35-7DB3C9958554}"/>
    <cellStyle name="Comma 3 3 2 2 3 2 3 6" xfId="19276" xr:uid="{D6CAC46A-885C-4051-B829-A2CA2D753635}"/>
    <cellStyle name="Comma 3 3 2 2 3 2 4" xfId="15795" xr:uid="{0193C7AA-6B86-4763-82F1-150FAAFD42C3}"/>
    <cellStyle name="Comma 3 3 2 2 3 2 4 2" xfId="23324" xr:uid="{7E374974-CEAC-4429-9B13-B2840C807F65}"/>
    <cellStyle name="Comma 3 3 2 2 3 2 4 3" xfId="24433" xr:uid="{3A2B911F-F5C8-4BA4-AF6A-61EC7E35DED5}"/>
    <cellStyle name="Comma 3 3 2 2 3 2 4 4" xfId="52662" xr:uid="{1E2AE6CC-1CF1-4F66-B32C-12D8D2D56CA6}"/>
    <cellStyle name="Comma 3 3 2 2 3 2 4 5" xfId="55678" xr:uid="{95C1D923-DC9F-48CC-A8EA-02A4376514CB}"/>
    <cellStyle name="Comma 3 3 2 2 3 2 4 6" xfId="19421" xr:uid="{1EAB8ACF-0E86-4D6E-9634-51268C469CAF}"/>
    <cellStyle name="Comma 3 3 2 2 3 2 5" xfId="12857" xr:uid="{D202CC3F-03AD-4B55-9DA3-82BF007B0A55}"/>
    <cellStyle name="Comma 3 3 2 2 3 2 5 2" xfId="47172" xr:uid="{E74C7C32-7D7F-485D-B2F0-BD1FCF1A08E8}"/>
    <cellStyle name="Comma 3 3 2 2 3 2 5 3" xfId="51231" xr:uid="{496CC16A-C1B8-4857-B7F9-8461B8CA62BB}"/>
    <cellStyle name="Comma 3 3 2 2 3 2 5 4" xfId="54247" xr:uid="{B73C217A-7543-46DA-BA02-DFF7C59F5B2E}"/>
    <cellStyle name="Comma 3 3 2 2 3 2 5 5" xfId="21991" xr:uid="{9F2D1917-06DC-47DE-89E1-11D3A011B7FE}"/>
    <cellStyle name="Comma 3 3 2 2 3 2 6" xfId="46110" xr:uid="{0F3DCED0-CE50-4B11-B2CF-9DC54ED69D29}"/>
    <cellStyle name="Comma 3 3 2 2 3 2 7" xfId="50125" xr:uid="{37FED224-B42F-49C5-ACB8-0CFCBE444FCA}"/>
    <cellStyle name="Comma 3 3 2 2 3 2 8" xfId="53141" xr:uid="{A5ED7CAE-9C95-4C81-993E-640B29D71864}"/>
    <cellStyle name="Comma 3 3 2 2 3 2 9" xfId="18938" xr:uid="{22D6B26B-F77B-4102-8C4E-A0E18FFD5CCC}"/>
    <cellStyle name="Comma 3 3 2 2 3 3" xfId="14611" xr:uid="{E6EC4925-F4BC-4E74-A4FE-5D42AEB1CB2C}"/>
    <cellStyle name="Comma 3 3 2 2 3 3 2" xfId="22158" xr:uid="{3A68F25B-1116-4AD0-8DB6-E0A5C9357465}"/>
    <cellStyle name="Comma 3 3 2 2 3 3 3" xfId="48114" xr:uid="{0416081F-A6B5-4EC5-ABF8-643CF150A961}"/>
    <cellStyle name="Comma 3 3 2 2 3 3 4" xfId="51496" xr:uid="{32D1583E-91E8-4754-AC5C-95F79AE42046}"/>
    <cellStyle name="Comma 3 3 2 2 3 3 5" xfId="54512" xr:uid="{DF6E451A-AF40-4A7C-80A9-5AD2196A13DC}"/>
    <cellStyle name="Comma 3 3 2 2 3 3 6" xfId="19073" xr:uid="{DB4E17C9-A5AC-4549-BC4A-6C39C2375CDF}"/>
    <cellStyle name="Comma 3 3 2 2 3 4" xfId="15096" xr:uid="{FCCCD56D-14AA-4595-9CE7-9734A9A2EA6A}"/>
    <cellStyle name="Comma 3 3 2 2 3 4 2" xfId="22635" xr:uid="{A7B3920B-5B00-4876-9314-B7A5D467F48E}"/>
    <cellStyle name="Comma 3 3 2 2 3 4 3" xfId="48414" xr:uid="{6B31ABD8-4FE7-4CED-859F-E58091B311EE}"/>
    <cellStyle name="Comma 3 3 2 2 3 4 4" xfId="51973" xr:uid="{A7FD81B9-CFEC-4995-A87A-DC9E8274F85A}"/>
    <cellStyle name="Comma 3 3 2 2 3 4 5" xfId="54989" xr:uid="{4E774B2C-F5E2-4CAA-A239-6CAEC7A1291F}"/>
    <cellStyle name="Comma 3 3 2 2 3 4 6" xfId="19216" xr:uid="{2BF9B76A-C151-4AE4-8D9B-C926ECB13578}"/>
    <cellStyle name="Comma 3 3 2 2 3 5" xfId="15583" xr:uid="{9858AE68-BDAF-4CCC-B52C-14FC097CF138}"/>
    <cellStyle name="Comma 3 3 2 2 3 5 2" xfId="23112" xr:uid="{5A9B5582-52C7-488E-993A-C2A65A0F7722}"/>
    <cellStyle name="Comma 3 3 2 2 3 5 3" xfId="24436" xr:uid="{46EB2520-0822-4209-B0DE-8530521C82F0}"/>
    <cellStyle name="Comma 3 3 2 2 3 5 4" xfId="52450" xr:uid="{5D245104-7849-4973-BD05-1312C9F793E3}"/>
    <cellStyle name="Comma 3 3 2 2 3 5 5" xfId="55466" xr:uid="{36F25A09-ABCA-462F-A313-3FC0277CD728}"/>
    <cellStyle name="Comma 3 3 2 2 3 5 6" xfId="19361" xr:uid="{F2E23B75-0E7A-4235-9B7E-BD064DA24D5E}"/>
    <cellStyle name="Comma 3 3 2 2 3 6" xfId="12548" xr:uid="{B14253FB-C3A7-4447-A27C-AA91CF2D028A}"/>
    <cellStyle name="Comma 3 3 2 2 3 6 2" xfId="46323" xr:uid="{2FDF292B-E41A-43FA-88BD-922DB1BDECE7}"/>
    <cellStyle name="Comma 3 3 2 2 3 6 3" xfId="51019" xr:uid="{95E41BE2-BD78-4B2A-908E-61271EE677FA}"/>
    <cellStyle name="Comma 3 3 2 2 3 6 4" xfId="54035" xr:uid="{436CCDAD-E4B5-4CE7-BE4A-D4D68AC355D3}"/>
    <cellStyle name="Comma 3 3 2 2 3 6 5" xfId="21931" xr:uid="{0599D99F-9517-42F1-A04A-AEFB3DA9A2C7}"/>
    <cellStyle name="Comma 3 3 2 2 3 7" xfId="46041" xr:uid="{6D32CF88-9BE9-45DF-855C-432922244C25}"/>
    <cellStyle name="Comma 3 3 2 2 3 8" xfId="49913" xr:uid="{C1BDF783-DC88-4F4F-95DF-E3BC08BA80AA}"/>
    <cellStyle name="Comma 3 3 2 2 3 9" xfId="52929" xr:uid="{8E3B032B-105E-4AFF-895E-CCF54AC4155D}"/>
    <cellStyle name="Comma 3 3 2 2 4" xfId="10170" xr:uid="{34B3D3A9-0CE6-4782-9FE1-8B5BA81BE60E}"/>
    <cellStyle name="Comma 3 3 2 2 4 10" xfId="18819" xr:uid="{697554CA-C5DF-469C-AEF7-30E44F0268C1}"/>
    <cellStyle name="Comma 3 3 2 2 4 2" xfId="10484" xr:uid="{C824E401-ECA1-4D75-9D06-BB454C003676}"/>
    <cellStyle name="Comma 3 3 2 2 4 2 2" xfId="14876" xr:uid="{F9C3EB91-ED24-4036-AB88-9C50B797CFB4}"/>
    <cellStyle name="Comma 3 3 2 2 4 2 2 2" xfId="22423" xr:uid="{7601A2FE-AEC5-4D2E-9CB7-9549F1EA1A31}"/>
    <cellStyle name="Comma 3 3 2 2 4 2 2 3" xfId="47667" xr:uid="{11E02FB1-839A-4DBC-A0F6-D0B32250190B}"/>
    <cellStyle name="Comma 3 3 2 2 4 2 2 4" xfId="51761" xr:uid="{A3AEA99B-F892-4BF9-9A48-B00E55F7C00D}"/>
    <cellStyle name="Comma 3 3 2 2 4 2 2 5" xfId="54777" xr:uid="{CD3EDF07-8666-4D4A-BA65-E8A138882953}"/>
    <cellStyle name="Comma 3 3 2 2 4 2 2 6" xfId="19148" xr:uid="{B7F4B667-CCB9-4B7F-A608-BCFFAC7496D4}"/>
    <cellStyle name="Comma 3 3 2 2 4 2 3" xfId="15361" xr:uid="{4CCF2278-5E7F-4419-8224-86C5070DB9B9}"/>
    <cellStyle name="Comma 3 3 2 2 4 2 3 2" xfId="22900" xr:uid="{97F3CC11-8E40-4774-A785-61743B13F266}"/>
    <cellStyle name="Comma 3 3 2 2 4 2 3 3" xfId="47110" xr:uid="{9DCE3C17-1872-4FDA-A19B-E68B0524E29D}"/>
    <cellStyle name="Comma 3 3 2 2 4 2 3 4" xfId="52238" xr:uid="{207B8005-1C38-4F5F-B7A3-0284B25BBA4B}"/>
    <cellStyle name="Comma 3 3 2 2 4 2 3 5" xfId="55254" xr:uid="{51ACE392-BA0A-4798-A188-E1EEEA64120B}"/>
    <cellStyle name="Comma 3 3 2 2 4 2 3 6" xfId="19291" xr:uid="{A8683BA8-EB5B-4BAC-98EE-AA7CCED9BFA3}"/>
    <cellStyle name="Comma 3 3 2 2 4 2 4" xfId="15848" xr:uid="{66B87698-D898-48D1-BC35-62E6A3FE25A0}"/>
    <cellStyle name="Comma 3 3 2 2 4 2 4 2" xfId="23377" xr:uid="{D922E64A-69C9-4709-810F-024ED8B1F320}"/>
    <cellStyle name="Comma 3 3 2 2 4 2 4 3" xfId="47355" xr:uid="{EFB4819C-9B59-495E-A774-9C99E64DD6FE}"/>
    <cellStyle name="Comma 3 3 2 2 4 2 4 4" xfId="52715" xr:uid="{E9FC62E5-0B10-40BD-A3D5-F055636DCA49}"/>
    <cellStyle name="Comma 3 3 2 2 4 2 4 5" xfId="55731" xr:uid="{0A773F04-F964-458B-879D-CC1F3A3EF438}"/>
    <cellStyle name="Comma 3 3 2 2 4 2 4 6" xfId="19436" xr:uid="{E164D8B8-546C-4E1C-8CF6-FB41C2F8BFE0}"/>
    <cellStyle name="Comma 3 3 2 2 4 2 5" xfId="12937" xr:uid="{6357A216-E4D8-4DEF-8678-41CC0F14BCA3}"/>
    <cellStyle name="Comma 3 3 2 2 4 2 5 2" xfId="24477" xr:uid="{9E1CB38F-C9EA-4DDF-A33E-778E0FA13770}"/>
    <cellStyle name="Comma 3 3 2 2 4 2 5 3" xfId="51284" xr:uid="{E85DC153-BCFC-4C6B-A952-0749661BC7C1}"/>
    <cellStyle name="Comma 3 3 2 2 4 2 5 4" xfId="54300" xr:uid="{C3BA20AE-6C54-4C03-804A-25C6B3007C3A}"/>
    <cellStyle name="Comma 3 3 2 2 4 2 5 5" xfId="22006" xr:uid="{4ACDE3E6-5A88-4A01-B150-8EA95C4AC5E5}"/>
    <cellStyle name="Comma 3 3 2 2 4 2 6" xfId="47885" xr:uid="{C1047794-1D99-4E27-92AA-17EEAA188EF0}"/>
    <cellStyle name="Comma 3 3 2 2 4 2 7" xfId="50178" xr:uid="{133BB624-C239-4FBF-BC01-970B6EDD0E74}"/>
    <cellStyle name="Comma 3 3 2 2 4 2 8" xfId="53194" xr:uid="{2D6AB77C-2139-44A1-99AC-9D151EAC8F67}"/>
    <cellStyle name="Comma 3 3 2 2 4 2 9" xfId="18980" xr:uid="{F7089A33-712E-4074-A90B-D79DD3F9844E}"/>
    <cellStyle name="Comma 3 3 2 2 4 3" xfId="14664" xr:uid="{0E3EBD98-420A-41AE-848A-AEA9363D9D85}"/>
    <cellStyle name="Comma 3 3 2 2 4 3 2" xfId="22211" xr:uid="{B54FA7CB-D226-4925-BD45-DD0AE6ECBC62}"/>
    <cellStyle name="Comma 3 3 2 2 4 3 3" xfId="48243" xr:uid="{926DA584-9324-4D5B-A749-409E09929BD3}"/>
    <cellStyle name="Comma 3 3 2 2 4 3 4" xfId="51549" xr:uid="{765852DD-0A4D-41B4-8473-96733A374F55}"/>
    <cellStyle name="Comma 3 3 2 2 4 3 5" xfId="54565" xr:uid="{EBAC977C-E165-4E32-AA3F-3BA0701398D8}"/>
    <cellStyle name="Comma 3 3 2 2 4 3 6" xfId="19088" xr:uid="{F80852E2-925B-4CE5-8D8D-DF9362264221}"/>
    <cellStyle name="Comma 3 3 2 2 4 4" xfId="15149" xr:uid="{E2B8A7A9-81B8-4B2E-A88A-9973EA23041A}"/>
    <cellStyle name="Comma 3 3 2 2 4 4 2" xfId="22688" xr:uid="{33FF66F6-CCD5-47FF-ACFA-FE00D1F28BF5}"/>
    <cellStyle name="Comma 3 3 2 2 4 4 3" xfId="47269" xr:uid="{7E60BCB5-F43B-48B4-B19D-7A50540F5CEF}"/>
    <cellStyle name="Comma 3 3 2 2 4 4 4" xfId="52026" xr:uid="{AB2FEEA3-E729-42AE-90EA-6F4DEDF9A146}"/>
    <cellStyle name="Comma 3 3 2 2 4 4 5" xfId="55042" xr:uid="{4F0014C0-24F4-4380-A7CD-16652E37B2B6}"/>
    <cellStyle name="Comma 3 3 2 2 4 4 6" xfId="19231" xr:uid="{1AE329BA-A4C6-498A-8308-D4BDD86D124D}"/>
    <cellStyle name="Comma 3 3 2 2 4 5" xfId="15636" xr:uid="{7C403774-BB2C-439E-88F8-6185F9CF49E4}"/>
    <cellStyle name="Comma 3 3 2 2 4 5 2" xfId="23165" xr:uid="{6B5F6F4E-CF15-46C2-BED1-73297F04802C}"/>
    <cellStyle name="Comma 3 3 2 2 4 5 3" xfId="46562" xr:uid="{9B6B908B-41EF-4647-8D6D-D81F38586B20}"/>
    <cellStyle name="Comma 3 3 2 2 4 5 4" xfId="52503" xr:uid="{21ACECF3-A5C6-457C-9A5A-2054D14FE7E1}"/>
    <cellStyle name="Comma 3 3 2 2 4 5 5" xfId="55519" xr:uid="{E7EAD8BA-4CBE-4578-B152-8C0895265A0B}"/>
    <cellStyle name="Comma 3 3 2 2 4 5 6" xfId="19376" xr:uid="{3EFA5BE1-D17D-48A8-ABAB-2CEF17B42FB0}"/>
    <cellStyle name="Comma 3 3 2 2 4 6" xfId="12624" xr:uid="{04C77342-F455-4FF9-8ACE-9A26C7445884}"/>
    <cellStyle name="Comma 3 3 2 2 4 6 2" xfId="47050" xr:uid="{F3B8115F-DDB2-439D-8592-00030FE25651}"/>
    <cellStyle name="Comma 3 3 2 2 4 6 3" xfId="51072" xr:uid="{0BFF2684-718B-4D95-BA80-6E332D9AB7A9}"/>
    <cellStyle name="Comma 3 3 2 2 4 6 4" xfId="54088" xr:uid="{584C78CE-522C-4136-84AF-4C544FC02BDE}"/>
    <cellStyle name="Comma 3 3 2 2 4 6 5" xfId="21946" xr:uid="{94640B1E-C635-4A50-A29C-95617FBDC143}"/>
    <cellStyle name="Comma 3 3 2 2 4 7" xfId="47874" xr:uid="{9271AD17-2652-4217-89AE-0285A31873F7}"/>
    <cellStyle name="Comma 3 3 2 2 4 8" xfId="49966" xr:uid="{B2D55D78-FEF6-4A63-8294-DEAFBF1FC741}"/>
    <cellStyle name="Comma 3 3 2 2 4 9" xfId="52982" xr:uid="{E5D9C3B6-48CF-472F-9012-A0BB28A29162}"/>
    <cellStyle name="Comma 3 3 2 2 5" xfId="10250" xr:uid="{167DB3A2-9585-464A-87D2-C610A693E802}"/>
    <cellStyle name="Comma 3 3 2 2 5 2" xfId="14717" xr:uid="{5D3CD295-5E7E-491C-AB14-290BE6D9B4EC}"/>
    <cellStyle name="Comma 3 3 2 2 5 2 2" xfId="22264" xr:uid="{56A34516-39E9-4469-84CA-139F8AD6369F}"/>
    <cellStyle name="Comma 3 3 2 2 5 2 3" xfId="47239" xr:uid="{5DECFDB9-BA0D-47C5-B895-46AF21ABC797}"/>
    <cellStyle name="Comma 3 3 2 2 5 2 4" xfId="51602" xr:uid="{3086D0A8-6C7A-42B1-B551-F49599BD888A}"/>
    <cellStyle name="Comma 3 3 2 2 5 2 5" xfId="54618" xr:uid="{4CE0D671-AD44-4B64-B1EC-94E168B755DF}"/>
    <cellStyle name="Comma 3 3 2 2 5 2 6" xfId="19103" xr:uid="{16D325E9-B23A-4679-9145-20252914F4EF}"/>
    <cellStyle name="Comma 3 3 2 2 5 3" xfId="15202" xr:uid="{43A64320-D8B5-48ED-B67C-9FC856A8E7C7}"/>
    <cellStyle name="Comma 3 3 2 2 5 3 2" xfId="22741" xr:uid="{345DF0E9-51D4-4849-9423-7F2A1B411DC3}"/>
    <cellStyle name="Comma 3 3 2 2 5 3 3" xfId="47383" xr:uid="{EC0F5A93-D754-4CC7-B680-6EB625C62755}"/>
    <cellStyle name="Comma 3 3 2 2 5 3 4" xfId="52079" xr:uid="{8796E43D-FE45-45E8-97E3-AA31AEF6060D}"/>
    <cellStyle name="Comma 3 3 2 2 5 3 5" xfId="55095" xr:uid="{E955041F-188F-4066-8ACC-64B2EBD63C0C}"/>
    <cellStyle name="Comma 3 3 2 2 5 3 6" xfId="19246" xr:uid="{6E78F9B0-BD5E-4554-B1BC-2F13FFD87BD1}"/>
    <cellStyle name="Comma 3 3 2 2 5 4" xfId="15689" xr:uid="{3ACCEED7-91B6-4BBA-9A44-6D355C2FA216}"/>
    <cellStyle name="Comma 3 3 2 2 5 4 2" xfId="23218" xr:uid="{AFEBA153-7599-4B98-B9A3-D576CAF9E4C2}"/>
    <cellStyle name="Comma 3 3 2 2 5 4 3" xfId="24434" xr:uid="{E42DB1FC-8C53-41EE-993A-12F36C324F9B}"/>
    <cellStyle name="Comma 3 3 2 2 5 4 4" xfId="52556" xr:uid="{C3A2F0E3-8E72-4AC4-97B2-6986B22F9BFE}"/>
    <cellStyle name="Comma 3 3 2 2 5 4 5" xfId="55572" xr:uid="{24D4EDC8-E3D4-4AC3-8663-D662A9A49EA8}"/>
    <cellStyle name="Comma 3 3 2 2 5 4 6" xfId="19391" xr:uid="{CB45B9F1-2D78-48C6-9E09-62BA58195D6F}"/>
    <cellStyle name="Comma 3 3 2 2 5 5" xfId="12703" xr:uid="{4272E9FC-78BD-4857-A896-AB1D984A9BDF}"/>
    <cellStyle name="Comma 3 3 2 2 5 5 2" xfId="48050" xr:uid="{5E415C7D-0AF5-4B9B-ACA7-3858CD3058D2}"/>
    <cellStyle name="Comma 3 3 2 2 5 5 3" xfId="51125" xr:uid="{6D2E83CE-D2F2-4E66-87A5-13C31896822E}"/>
    <cellStyle name="Comma 3 3 2 2 5 5 4" xfId="54141" xr:uid="{BBEAB586-4D14-47EA-931D-94CCD8B17507}"/>
    <cellStyle name="Comma 3 3 2 2 5 5 5" xfId="21961" xr:uid="{322EE1E8-82AF-41A2-A60E-136608065BF1}"/>
    <cellStyle name="Comma 3 3 2 2 5 6" xfId="46621" xr:uid="{13937503-B5F3-49CE-9AC7-D4EE51E8BE2D}"/>
    <cellStyle name="Comma 3 3 2 2 5 7" xfId="50019" xr:uid="{99EAD003-78B2-4B32-8100-D3D4C3B0A400}"/>
    <cellStyle name="Comma 3 3 2 2 5 8" xfId="53035" xr:uid="{C43C7671-E88C-4285-9A23-E1C2FED5AE54}"/>
    <cellStyle name="Comma 3 3 2 2 5 9" xfId="18860" xr:uid="{51DFE3F9-0B3C-402C-AC15-D6C6221BC7A6}"/>
    <cellStyle name="Comma 3 3 2 2 6" xfId="10564" xr:uid="{603FB061-626C-4707-BBAB-FCC271611E93}"/>
    <cellStyle name="Comma 3 3 2 2 6 2" xfId="14929" xr:uid="{5347687F-C5A0-4792-9F9C-1B479A879F4E}"/>
    <cellStyle name="Comma 3 3 2 2 6 2 2" xfId="22476" xr:uid="{53B54F3E-2225-4CBE-A8F3-D623D875B10B}"/>
    <cellStyle name="Comma 3 3 2 2 6 2 3" xfId="47540" xr:uid="{3A81C107-4F14-4B29-B5A9-91C7A8FD590D}"/>
    <cellStyle name="Comma 3 3 2 2 6 2 4" xfId="51814" xr:uid="{9C8DF9D8-2BDD-41E9-9C2E-54C144E149E0}"/>
    <cellStyle name="Comma 3 3 2 2 6 2 5" xfId="54830" xr:uid="{82B87A2E-DDD4-458D-B1CA-935F06BBFE0E}"/>
    <cellStyle name="Comma 3 3 2 2 6 2 6" xfId="19163" xr:uid="{8B3D0990-E046-41C6-86D2-774C168306AA}"/>
    <cellStyle name="Comma 3 3 2 2 6 3" xfId="15414" xr:uid="{4534C6C1-F808-495C-91E7-0414A114256F}"/>
    <cellStyle name="Comma 3 3 2 2 6 3 2" xfId="22953" xr:uid="{AD05786E-F4E5-4AD9-8E43-68933B65FDA2}"/>
    <cellStyle name="Comma 3 3 2 2 6 3 3" xfId="24901" xr:uid="{83C5D732-BE69-486C-A654-170092413A61}"/>
    <cellStyle name="Comma 3 3 2 2 6 3 4" xfId="52291" xr:uid="{DC9373D3-83DB-45A3-8C35-B8CDBC556C2C}"/>
    <cellStyle name="Comma 3 3 2 2 6 3 5" xfId="55307" xr:uid="{5C957E35-B442-431F-905C-4A89412FDB95}"/>
    <cellStyle name="Comma 3 3 2 2 6 3 6" xfId="19306" xr:uid="{61D46606-8990-45E4-B237-9827105FB17C}"/>
    <cellStyle name="Comma 3 3 2 2 6 4" xfId="15902" xr:uid="{275C3E65-FCB5-4F78-AA46-D35C4CB2BC37}"/>
    <cellStyle name="Comma 3 3 2 2 6 4 2" xfId="23430" xr:uid="{47F9E802-5E4C-4BCC-A04B-B31A9C5DD213}"/>
    <cellStyle name="Comma 3 3 2 2 6 4 3" xfId="47083" xr:uid="{34ED4C92-4849-436E-9445-4495B1D11AA7}"/>
    <cellStyle name="Comma 3 3 2 2 6 4 4" xfId="52768" xr:uid="{23803C54-4058-4CA6-A418-A18AE3639265}"/>
    <cellStyle name="Comma 3 3 2 2 6 4 5" xfId="55784" xr:uid="{5E58897A-2452-42C3-8615-247EDD2203E3}"/>
    <cellStyle name="Comma 3 3 2 2 6 4 6" xfId="19452" xr:uid="{08B6026E-43B4-4E30-896E-88811CEC7215}"/>
    <cellStyle name="Comma 3 3 2 2 6 5" xfId="13017" xr:uid="{6F4DAD38-1A0E-4C97-A7CF-6D151A8352E7}"/>
    <cellStyle name="Comma 3 3 2 2 6 5 2" xfId="32550" xr:uid="{D78D4EC1-5BF6-4585-BC10-24A63F3AEBA2}"/>
    <cellStyle name="Comma 3 3 2 2 6 5 3" xfId="51337" xr:uid="{4762E3D2-A96E-4455-B0D4-1347CFFAA6E5}"/>
    <cellStyle name="Comma 3 3 2 2 6 5 4" xfId="54353" xr:uid="{0188E51A-A6CD-4359-9A8D-55482DB35A95}"/>
    <cellStyle name="Comma 3 3 2 2 6 5 5" xfId="22021" xr:uid="{72D9F5FC-5BCB-4B26-AF60-49BE2AA72EBC}"/>
    <cellStyle name="Comma 3 3 2 2 6 6" xfId="48235" xr:uid="{09EF5354-B0F6-4170-B76B-BF243DA3E828}"/>
    <cellStyle name="Comma 3 3 2 2 6 7" xfId="50231" xr:uid="{BCA97CF8-4BE8-48FE-8B2D-3BB59070699E}"/>
    <cellStyle name="Comma 3 3 2 2 6 8" xfId="53247" xr:uid="{DCB6C015-921D-4840-A8D0-60AA487E5B85}"/>
    <cellStyle name="Comma 3 3 2 2 6 9" xfId="19022" xr:uid="{5E3B02FF-9A2A-4319-86DB-0860318F3234}"/>
    <cellStyle name="Comma 3 3 2 2 7" xfId="14505" xr:uid="{B7C3C0A5-7429-4F59-8679-71A6C6CFCD88}"/>
    <cellStyle name="Comma 3 3 2 2 7 2" xfId="22052" xr:uid="{D7389CE7-EDA7-4EBE-845B-8B3271DFB1ED}"/>
    <cellStyle name="Comma 3 3 2 2 7 3" xfId="32549" xr:uid="{70D70712-7B41-4810-8137-76E6B526536B}"/>
    <cellStyle name="Comma 3 3 2 2 7 4" xfId="51390" xr:uid="{E62057ED-84FD-44D0-B051-DA39620FE1DD}"/>
    <cellStyle name="Comma 3 3 2 2 7 5" xfId="54406" xr:uid="{8907CF41-E2F4-4D80-B1E1-1E5E4D2A8589}"/>
    <cellStyle name="Comma 3 3 2 2 7 6" xfId="19043" xr:uid="{BFD3D89B-8B14-4519-9D96-3AD2F7A13CB6}"/>
    <cellStyle name="Comma 3 3 2 2 8" xfId="14989" xr:uid="{477BAE71-6675-41B9-BF41-AC4327AAFFC0}"/>
    <cellStyle name="Comma 3 3 2 2 8 2" xfId="22529" xr:uid="{28AEAA75-D425-48BE-8A8C-32C30AC92E82}"/>
    <cellStyle name="Comma 3 3 2 2 8 3" xfId="46462" xr:uid="{08DA489B-E598-429B-8AD1-122375D49B9B}"/>
    <cellStyle name="Comma 3 3 2 2 8 4" xfId="51867" xr:uid="{A0314253-272D-43DA-A617-62C07DA6EABE}"/>
    <cellStyle name="Comma 3 3 2 2 8 5" xfId="54883" xr:uid="{A1A96467-00D4-48DA-A84D-4F3265D3B430}"/>
    <cellStyle name="Comma 3 3 2 2 8 6" xfId="19185" xr:uid="{AB49FADF-6F2E-4C31-8D19-1C1B224F2AD5}"/>
    <cellStyle name="Comma 3 3 2 2 9" xfId="15476" xr:uid="{B8006023-2C6B-446D-80B8-5EA610025CD8}"/>
    <cellStyle name="Comma 3 3 2 2 9 2" xfId="23006" xr:uid="{65FF21B1-68C0-4850-9098-9788B769D733}"/>
    <cellStyle name="Comma 3 3 2 2 9 3" xfId="32397" xr:uid="{2A1400CB-DC4B-4B7E-9FFC-D657843494E4}"/>
    <cellStyle name="Comma 3 3 2 2 9 4" xfId="52344" xr:uid="{18BF7CA9-2221-4F8A-8FB1-4E47509A7A3C}"/>
    <cellStyle name="Comma 3 3 2 2 9 5" xfId="55360" xr:uid="{59F4170F-AF01-4245-A977-B89818787D4D}"/>
    <cellStyle name="Comma 3 3 2 2 9 6" xfId="19330" xr:uid="{628ED4CC-7C9F-492C-A12F-053158B2178B}"/>
    <cellStyle name="Comma 3 3 2 3" xfId="10016" xr:uid="{C8978A96-B6ED-486D-9544-8B313B7F461B}"/>
    <cellStyle name="Comma 3 3 2 3 10" xfId="18747" xr:uid="{1AE98A55-0FBB-4099-9050-9AA30A96D5E2}"/>
    <cellStyle name="Comma 3 3 2 3 2" xfId="10324" xr:uid="{BAE18317-6844-4FEF-A15D-D6B332A76043}"/>
    <cellStyle name="Comma 3 3 2 3 2 2" xfId="14769" xr:uid="{48DE4AA1-47A6-4242-92D8-5A21DFF82E47}"/>
    <cellStyle name="Comma 3 3 2 3 2 2 2" xfId="22316" xr:uid="{6C649CDC-0BF9-43F6-A193-4B996E99D617}"/>
    <cellStyle name="Comma 3 3 2 3 2 2 3" xfId="48570" xr:uid="{9C15A1DB-E90A-4B64-AC6A-EB2077816CD0}"/>
    <cellStyle name="Comma 3 3 2 3 2 2 4" xfId="51654" xr:uid="{78BC5CC2-AEE7-4E25-B018-CEF2653FDA3A}"/>
    <cellStyle name="Comma 3 3 2 3 2 2 5" xfId="54670" xr:uid="{1E232DC9-A6A5-4B90-BB83-459684F249A9}"/>
    <cellStyle name="Comma 3 3 2 3 2 2 6" xfId="19117" xr:uid="{6BC6EE93-1A49-4E1B-A29C-01E65F60EA12}"/>
    <cellStyle name="Comma 3 3 2 3 2 3" xfId="15254" xr:uid="{FC2479F1-6F6E-42F3-9715-1DCF10EB4425}"/>
    <cellStyle name="Comma 3 3 2 3 2 3 2" xfId="22793" xr:uid="{D0B452A0-4293-4F74-8C81-01FFFF84378F}"/>
    <cellStyle name="Comma 3 3 2 3 2 3 3" xfId="46897" xr:uid="{AEF15A94-9877-4004-8449-6A143FEF7E36}"/>
    <cellStyle name="Comma 3 3 2 3 2 3 4" xfId="52131" xr:uid="{B1701092-AF13-4598-B97E-E3E1521AF3A5}"/>
    <cellStyle name="Comma 3 3 2 3 2 3 5" xfId="55147" xr:uid="{DE1ED104-9037-47C8-9DF1-11ADDEBF4863}"/>
    <cellStyle name="Comma 3 3 2 3 2 3 6" xfId="19260" xr:uid="{97D8C614-276B-4EBD-8107-A2BA9BF7F47A}"/>
    <cellStyle name="Comma 3 3 2 3 2 4" xfId="15741" xr:uid="{FAA809FD-8CBB-471A-9A25-69B23A22C790}"/>
    <cellStyle name="Comma 3 3 2 3 2 4 2" xfId="23270" xr:uid="{FE769534-F687-495C-B5E5-394D7099F276}"/>
    <cellStyle name="Comma 3 3 2 3 2 4 3" xfId="48082" xr:uid="{41E31879-7BFA-41D4-9D07-97908CA8BA8F}"/>
    <cellStyle name="Comma 3 3 2 3 2 4 4" xfId="52608" xr:uid="{1F6235D2-016B-4374-AC2B-372A75934D5C}"/>
    <cellStyle name="Comma 3 3 2 3 2 4 5" xfId="55624" xr:uid="{03F2168A-413A-4726-9BC3-9D7B99E677B8}"/>
    <cellStyle name="Comma 3 3 2 3 2 4 6" xfId="19405" xr:uid="{A89F605D-540E-4CB7-96E5-3FC16B1E54E3}"/>
    <cellStyle name="Comma 3 3 2 3 2 5" xfId="12777" xr:uid="{215B8A4D-75B6-4A46-B5C2-0EAC5150DC2B}"/>
    <cellStyle name="Comma 3 3 2 3 2 5 2" xfId="24213" xr:uid="{FD4E68BE-8816-4B1A-8888-EFAAEBA9AC21}"/>
    <cellStyle name="Comma 3 3 2 3 2 5 3" xfId="51177" xr:uid="{D9562295-2AA8-46D5-957A-105BC67D1874}"/>
    <cellStyle name="Comma 3 3 2 3 2 5 4" xfId="54193" xr:uid="{03ED0AC0-3968-4B42-9BC5-35F5D9875F9D}"/>
    <cellStyle name="Comma 3 3 2 3 2 5 5" xfId="21975" xr:uid="{4C553271-39CA-422A-9F74-3D7876205710}"/>
    <cellStyle name="Comma 3 3 2 3 2 6" xfId="48377" xr:uid="{32D6D3E8-77F1-4E9E-83CE-F10120D26D6A}"/>
    <cellStyle name="Comma 3 3 2 3 2 7" xfId="50071" xr:uid="{E9482CEA-707C-4196-BEAB-2E87824540ED}"/>
    <cellStyle name="Comma 3 3 2 3 2 8" xfId="53087" xr:uid="{50BBE4C5-F085-4693-99AE-0CA4FF9D677D}"/>
    <cellStyle name="Comma 3 3 2 3 2 9" xfId="18896" xr:uid="{9718A623-2CB2-445F-AD21-B16989B58E9B}"/>
    <cellStyle name="Comma 3 3 2 3 3" xfId="14557" xr:uid="{FF6B17F1-3F94-494C-AECF-C2B8E8712CBC}"/>
    <cellStyle name="Comma 3 3 2 3 3 2" xfId="22104" xr:uid="{98BAD240-854A-432D-A790-BCB558646FDD}"/>
    <cellStyle name="Comma 3 3 2 3 3 3" xfId="24193" xr:uid="{BBBEDB98-E6D0-490C-89D8-DA84E781C1A4}"/>
    <cellStyle name="Comma 3 3 2 3 3 4" xfId="51442" xr:uid="{32E37B56-0EB5-48C1-AFD0-3BBA815856B0}"/>
    <cellStyle name="Comma 3 3 2 3 3 5" xfId="54458" xr:uid="{A5B9A645-D6CA-43F7-9AC7-5F549411B656}"/>
    <cellStyle name="Comma 3 3 2 3 3 6" xfId="19057" xr:uid="{8619168E-E38A-40B7-9207-028422D556F1}"/>
    <cellStyle name="Comma 3 3 2 3 4" xfId="15041" xr:uid="{AA8CC1D9-62B3-47D7-80CE-50B1E1F323E0}"/>
    <cellStyle name="Comma 3 3 2 3 4 2" xfId="22581" xr:uid="{6BD827E8-30F7-40EC-9EF1-5F1D817E593D}"/>
    <cellStyle name="Comma 3 3 2 3 4 3" xfId="46686" xr:uid="{FF03155E-7FAB-4BF1-81F6-35F07202804A}"/>
    <cellStyle name="Comma 3 3 2 3 4 4" xfId="51919" xr:uid="{FB095A81-9250-4EFC-BAD0-83CD2AE455AA}"/>
    <cellStyle name="Comma 3 3 2 3 4 5" xfId="54935" xr:uid="{64CA5A7B-529B-4AA4-AD8E-8EED8D826650}"/>
    <cellStyle name="Comma 3 3 2 3 4 6" xfId="19199" xr:uid="{47DE50E2-57AE-4EF5-A5B8-1614E1DC997B}"/>
    <cellStyle name="Comma 3 3 2 3 5" xfId="15528" xr:uid="{7E618F79-AB1F-4BAA-BC7F-29C5D0560978}"/>
    <cellStyle name="Comma 3 3 2 3 5 2" xfId="23058" xr:uid="{FA7FB2E4-B914-4D2F-8BD8-2ECFE63804DE}"/>
    <cellStyle name="Comma 3 3 2 3 5 3" xfId="46930" xr:uid="{A312F77E-642E-431D-9D68-774A7602B7CA}"/>
    <cellStyle name="Comma 3 3 2 3 5 4" xfId="52396" xr:uid="{7C79E681-D950-4A73-B92E-83B21A25DC0C}"/>
    <cellStyle name="Comma 3 3 2 3 5 5" xfId="55412" xr:uid="{487D0F3C-6E99-479D-B2CE-8BFAA460A3B8}"/>
    <cellStyle name="Comma 3 3 2 3 5 6" xfId="19344" xr:uid="{FB164A49-F237-477D-82EB-5493A1FBE696}"/>
    <cellStyle name="Comma 3 3 2 3 6" xfId="12476" xr:uid="{3312385D-7FC1-4C97-99A2-5C4431714704}"/>
    <cellStyle name="Comma 3 3 2 3 6 2" xfId="47523" xr:uid="{E68E3929-BB70-432D-8AC1-DCD3A90F1A35}"/>
    <cellStyle name="Comma 3 3 2 3 6 3" xfId="50965" xr:uid="{32B3E02E-DCD5-4D92-A16B-8B92730F6253}"/>
    <cellStyle name="Comma 3 3 2 3 6 4" xfId="53981" xr:uid="{B4663765-CDF7-48FA-A1BE-318EBE6935C4}"/>
    <cellStyle name="Comma 3 3 2 3 6 5" xfId="21914" xr:uid="{E6632E8D-49B9-4F43-A9C4-9257B49E6CEF}"/>
    <cellStyle name="Comma 3 3 2 3 7" xfId="48445" xr:uid="{8723D09B-6864-4EFB-9547-B65B90DAB38B}"/>
    <cellStyle name="Comma 3 3 2 3 8" xfId="49859" xr:uid="{9B17A866-2595-4762-B112-253D5745B698}"/>
    <cellStyle name="Comma 3 3 2 3 9" xfId="52875" xr:uid="{93304566-5322-4DC9-ADD9-2875A96BE1AE}"/>
    <cellStyle name="Comma 3 3 2 4" xfId="10090" xr:uid="{B6F96063-E1EB-4BDA-97B2-82B36C055FF4}"/>
    <cellStyle name="Comma 3 3 2 4 10" xfId="18780" xr:uid="{C5F7AE6C-6B2B-425E-8907-089F80F2EC82}"/>
    <cellStyle name="Comma 3 3 2 4 2" xfId="10403" xr:uid="{C3B496AF-5841-48E5-9BC6-F4C3D6D2624D}"/>
    <cellStyle name="Comma 3 3 2 4 2 2" xfId="14822" xr:uid="{5FC0CB54-0C5C-4BA4-A777-112676564F6E}"/>
    <cellStyle name="Comma 3 3 2 4 2 2 2" xfId="22369" xr:uid="{3C86717D-7AC0-49DF-88D3-07987FF6E9F9}"/>
    <cellStyle name="Comma 3 3 2 4 2 2 3" xfId="48409" xr:uid="{7D8A3A17-80CA-45F6-AB7E-A287EFDFA5AF}"/>
    <cellStyle name="Comma 3 3 2 4 2 2 4" xfId="51707" xr:uid="{A63FDEA2-8EF6-4088-9102-E4EC6FC15C67}"/>
    <cellStyle name="Comma 3 3 2 4 2 2 5" xfId="54723" xr:uid="{42624D33-D5F3-4139-BEDD-65D1B3A0E7B4}"/>
    <cellStyle name="Comma 3 3 2 4 2 2 6" xfId="19132" xr:uid="{FD4C34EF-3B79-4EAE-ACC2-89CEC52A38B2}"/>
    <cellStyle name="Comma 3 3 2 4 2 3" xfId="15307" xr:uid="{1BA243E0-8D39-4BFF-A10B-08262D1F60F4}"/>
    <cellStyle name="Comma 3 3 2 4 2 3 2" xfId="22846" xr:uid="{D4C52E0C-9791-4E12-83D0-69D90DD8C55E}"/>
    <cellStyle name="Comma 3 3 2 4 2 3 3" xfId="46514" xr:uid="{6A465D51-040B-4B42-ADC5-457790723669}"/>
    <cellStyle name="Comma 3 3 2 4 2 3 4" xfId="52184" xr:uid="{552EFB68-7B33-42E4-9924-40D651AD86A1}"/>
    <cellStyle name="Comma 3 3 2 4 2 3 5" xfId="55200" xr:uid="{79D83715-AB6B-4671-9FED-0F13AE72624B}"/>
    <cellStyle name="Comma 3 3 2 4 2 3 6" xfId="19275" xr:uid="{4C2B7263-5724-4696-9364-32CBE800B6F7}"/>
    <cellStyle name="Comma 3 3 2 4 2 4" xfId="15794" xr:uid="{39FC0849-3752-4473-8345-46581B45D9F5}"/>
    <cellStyle name="Comma 3 3 2 4 2 4 2" xfId="23323" xr:uid="{B9437E33-76A9-4308-B6F6-49EF283F9C2D}"/>
    <cellStyle name="Comma 3 3 2 4 2 4 3" xfId="48544" xr:uid="{FB7DC876-DC56-4942-98DE-FAFA7D334157}"/>
    <cellStyle name="Comma 3 3 2 4 2 4 4" xfId="52661" xr:uid="{BED6EEE3-A048-4B8C-BB2C-6061838D0695}"/>
    <cellStyle name="Comma 3 3 2 4 2 4 5" xfId="55677" xr:uid="{5D69C59E-3DE2-4061-B05F-80F04BD83119}"/>
    <cellStyle name="Comma 3 3 2 4 2 4 6" xfId="19420" xr:uid="{D826B784-CB4A-42F0-8FEE-0D12F3AC9A2E}"/>
    <cellStyle name="Comma 3 3 2 4 2 5" xfId="12856" xr:uid="{73C81A1A-E340-4E79-84CC-F6C8D0E2A4A4}"/>
    <cellStyle name="Comma 3 3 2 4 2 5 2" xfId="46802" xr:uid="{59F753DA-B325-4F8B-87E7-7A3500D4921C}"/>
    <cellStyle name="Comma 3 3 2 4 2 5 3" xfId="51230" xr:uid="{6AF496B5-7063-4F57-B48F-CAC82AAFB8AF}"/>
    <cellStyle name="Comma 3 3 2 4 2 5 4" xfId="54246" xr:uid="{C71DC756-37E8-4E58-AFFC-EDC0C75E7149}"/>
    <cellStyle name="Comma 3 3 2 4 2 5 5" xfId="21990" xr:uid="{ED021C19-B80A-41F0-9393-A076E95F7B9B}"/>
    <cellStyle name="Comma 3 3 2 4 2 6" xfId="48158" xr:uid="{336D626F-DAF1-44EE-BCC1-9ED1DBCF9BF8}"/>
    <cellStyle name="Comma 3 3 2 4 2 7" xfId="50124" xr:uid="{C23FA528-9A7E-4C69-88CA-2C722FA187AB}"/>
    <cellStyle name="Comma 3 3 2 4 2 8" xfId="53140" xr:uid="{EB8E5CA4-125D-4E9F-BC27-C1983B9E98A1}"/>
    <cellStyle name="Comma 3 3 2 4 2 9" xfId="18937" xr:uid="{92C64FF9-FAE2-4B49-A3E3-3AC9F8D1F4CC}"/>
    <cellStyle name="Comma 3 3 2 4 3" xfId="14610" xr:uid="{BE6D4057-A144-46E1-8B14-49D3C4B0B79D}"/>
    <cellStyle name="Comma 3 3 2 4 3 2" xfId="22157" xr:uid="{E47D4199-87EA-4243-A835-64A2DD38777C}"/>
    <cellStyle name="Comma 3 3 2 4 3 3" xfId="24971" xr:uid="{A1F8EDD3-ED15-410F-8D82-41E1978207F1}"/>
    <cellStyle name="Comma 3 3 2 4 3 4" xfId="51495" xr:uid="{3B6F4D2B-E8D5-4324-BEDC-D26EAB62D653}"/>
    <cellStyle name="Comma 3 3 2 4 3 5" xfId="54511" xr:uid="{D6F20E56-DC0F-4905-BCAF-01194A4A8157}"/>
    <cellStyle name="Comma 3 3 2 4 3 6" xfId="19072" xr:uid="{0386C4B4-448E-41CF-BE22-3350E744D579}"/>
    <cellStyle name="Comma 3 3 2 4 4" xfId="15095" xr:uid="{66C00D13-18B8-4D85-B085-D4FDE680087C}"/>
    <cellStyle name="Comma 3 3 2 4 4 2" xfId="22634" xr:uid="{E55EEE7A-9066-4BF3-869B-EE350DDF116C}"/>
    <cellStyle name="Comma 3 3 2 4 4 3" xfId="47718" xr:uid="{4B1A58B2-752D-4989-BF8C-95E22D2D18B2}"/>
    <cellStyle name="Comma 3 3 2 4 4 4" xfId="51972" xr:uid="{1AFF8444-EA70-40C9-B509-4F4C47A424B7}"/>
    <cellStyle name="Comma 3 3 2 4 4 5" xfId="54988" xr:uid="{8FD43A0E-906D-41A1-A501-2414C1933A4F}"/>
    <cellStyle name="Comma 3 3 2 4 4 6" xfId="19215" xr:uid="{D608CC67-4DFE-43FD-9BEE-CA5B68243B7D}"/>
    <cellStyle name="Comma 3 3 2 4 5" xfId="15582" xr:uid="{191A2C2C-14B7-4429-A563-6249DFB195D3}"/>
    <cellStyle name="Comma 3 3 2 4 5 2" xfId="23111" xr:uid="{E1CB4F67-20F1-4B37-8862-1B64B18A680C}"/>
    <cellStyle name="Comma 3 3 2 4 5 3" xfId="47441" xr:uid="{B214EC48-46AC-4C9D-A399-3C3ED167840C}"/>
    <cellStyle name="Comma 3 3 2 4 5 4" xfId="52449" xr:uid="{5F475952-8B23-46A7-AECD-9ED894ADA108}"/>
    <cellStyle name="Comma 3 3 2 4 5 5" xfId="55465" xr:uid="{6ABD0371-08D9-482B-9E5D-65779348DF5D}"/>
    <cellStyle name="Comma 3 3 2 4 5 6" xfId="19360" xr:uid="{0812989F-60F8-4C42-91EA-252270D52DE6}"/>
    <cellStyle name="Comma 3 3 2 4 6" xfId="12547" xr:uid="{954D466F-E79E-4CB2-A962-66D3F0253FEA}"/>
    <cellStyle name="Comma 3 3 2 4 6 2" xfId="46322" xr:uid="{8D671D36-029A-4EF6-88E0-5254A4635814}"/>
    <cellStyle name="Comma 3 3 2 4 6 3" xfId="51018" xr:uid="{4988A37C-E59F-4982-9591-3CE3CB2D22AB}"/>
    <cellStyle name="Comma 3 3 2 4 6 4" xfId="54034" xr:uid="{E7453D4E-7962-4491-8136-980DDCC15A6C}"/>
    <cellStyle name="Comma 3 3 2 4 6 5" xfId="21930" xr:uid="{DD598FCB-E8EB-42B5-B412-E5EE9AE339EF}"/>
    <cellStyle name="Comma 3 3 2 4 7" xfId="47275" xr:uid="{406440F7-2A64-4722-947E-7C78FF15B982}"/>
    <cellStyle name="Comma 3 3 2 4 8" xfId="49912" xr:uid="{4EC4AE59-8FBF-42B6-AA6D-F4C0AD83DAD3}"/>
    <cellStyle name="Comma 3 3 2 4 9" xfId="52928" xr:uid="{9B26CF90-8653-45B6-8D2D-A02DA7A3789B}"/>
    <cellStyle name="Comma 3 3 2 5" xfId="10169" xr:uid="{37DCB192-7C95-4317-8205-63DCA815F937}"/>
    <cellStyle name="Comma 3 3 2 5 10" xfId="18818" xr:uid="{890D5489-5F50-4D26-B805-717478C05438}"/>
    <cellStyle name="Comma 3 3 2 5 2" xfId="10483" xr:uid="{5B1076D5-22DB-4EED-84AF-7CF0AC6F3E90}"/>
    <cellStyle name="Comma 3 3 2 5 2 2" xfId="14875" xr:uid="{A31170F0-1D37-45E8-B529-60A234C114C5}"/>
    <cellStyle name="Comma 3 3 2 5 2 2 2" xfId="22422" xr:uid="{A3254F7C-9DA1-4E77-A0BB-125958610B2F}"/>
    <cellStyle name="Comma 3 3 2 5 2 2 3" xfId="48283" xr:uid="{DFF575F4-7E60-4AD5-AF04-3088C8ACADAB}"/>
    <cellStyle name="Comma 3 3 2 5 2 2 4" xfId="51760" xr:uid="{40D1D752-3F04-4429-B53F-2ED430E8B540}"/>
    <cellStyle name="Comma 3 3 2 5 2 2 5" xfId="54776" xr:uid="{B2B6BFF5-57B3-4AC9-B5C6-B9A2619FDBBD}"/>
    <cellStyle name="Comma 3 3 2 5 2 2 6" xfId="19147" xr:uid="{4939471A-9CD8-4AA9-AD2F-17FECEAF7596}"/>
    <cellStyle name="Comma 3 3 2 5 2 3" xfId="15360" xr:uid="{FD769FDE-71ED-425B-AD85-EC4F7D9A6CEF}"/>
    <cellStyle name="Comma 3 3 2 5 2 3 2" xfId="22899" xr:uid="{EB269841-0C21-4C18-A5EF-1CDC333BFD53}"/>
    <cellStyle name="Comma 3 3 2 5 2 3 3" xfId="47344" xr:uid="{9952C88B-768B-49F8-9748-C46DBD8E4D24}"/>
    <cellStyle name="Comma 3 3 2 5 2 3 4" xfId="52237" xr:uid="{7670538D-C49B-4652-BC33-FBD15DB2C7C6}"/>
    <cellStyle name="Comma 3 3 2 5 2 3 5" xfId="55253" xr:uid="{1DBBEFBB-0BBE-48B1-A4B4-4FAD177F5189}"/>
    <cellStyle name="Comma 3 3 2 5 2 3 6" xfId="19290" xr:uid="{C061C30E-A357-4C31-B161-FC27A93086A1}"/>
    <cellStyle name="Comma 3 3 2 5 2 4" xfId="15847" xr:uid="{7B5EEC47-35DB-44B2-BDA4-DD4A5865AF03}"/>
    <cellStyle name="Comma 3 3 2 5 2 4 2" xfId="23376" xr:uid="{39EB5CFD-409A-4DF6-99C0-C52AB75EFF2A}"/>
    <cellStyle name="Comma 3 3 2 5 2 4 3" xfId="47795" xr:uid="{5B558D55-2038-43D9-9FD8-6A8C548DB9C9}"/>
    <cellStyle name="Comma 3 3 2 5 2 4 4" xfId="52714" xr:uid="{2E077B4F-0D80-4D6A-AE71-B44F22600E97}"/>
    <cellStyle name="Comma 3 3 2 5 2 4 5" xfId="55730" xr:uid="{8F9C0691-462C-4FD9-A428-B4CBC391A0FA}"/>
    <cellStyle name="Comma 3 3 2 5 2 4 6" xfId="19435" xr:uid="{1B58B9A6-141D-4AC5-947E-EAE260D17C3B}"/>
    <cellStyle name="Comma 3 3 2 5 2 5" xfId="12936" xr:uid="{770389D4-519F-4858-9924-A2C33FB83DBD}"/>
    <cellStyle name="Comma 3 3 2 5 2 5 2" xfId="32420" xr:uid="{63FD7FCE-2F21-4697-B4E2-746E1D5297DD}"/>
    <cellStyle name="Comma 3 3 2 5 2 5 3" xfId="51283" xr:uid="{75D74D6D-BF0E-4730-ABDE-BEE3169BC234}"/>
    <cellStyle name="Comma 3 3 2 5 2 5 4" xfId="54299" xr:uid="{F4E4B87F-FFB4-4A38-85D0-05B9F3E4FB15}"/>
    <cellStyle name="Comma 3 3 2 5 2 5 5" xfId="22005" xr:uid="{00D12900-F431-4113-ABA7-A29AD622E5A2}"/>
    <cellStyle name="Comma 3 3 2 5 2 6" xfId="46130" xr:uid="{214DED0F-836C-4F8E-A6DA-EE60D5F3B720}"/>
    <cellStyle name="Comma 3 3 2 5 2 7" xfId="50177" xr:uid="{CCC93663-1FAD-48DB-8A8F-BA8BEA039A97}"/>
    <cellStyle name="Comma 3 3 2 5 2 8" xfId="53193" xr:uid="{3E3EB044-3E95-4119-A5D6-7FBAC84662F3}"/>
    <cellStyle name="Comma 3 3 2 5 2 9" xfId="18979" xr:uid="{5B267DD9-9660-4887-92C0-055AB7DE0C15}"/>
    <cellStyle name="Comma 3 3 2 5 3" xfId="14663" xr:uid="{E4C8901A-EFE0-40EC-8DAA-687C1D2E0E27}"/>
    <cellStyle name="Comma 3 3 2 5 3 2" xfId="22210" xr:uid="{219942F9-9FD0-4DA1-9AFB-D2A875607D09}"/>
    <cellStyle name="Comma 3 3 2 5 3 3" xfId="47999" xr:uid="{AEC7AD62-1485-4C45-87AC-B21346EF0A85}"/>
    <cellStyle name="Comma 3 3 2 5 3 4" xfId="51548" xr:uid="{FE24DADC-D8A2-499D-BDE8-3A1C29926FB8}"/>
    <cellStyle name="Comma 3 3 2 5 3 5" xfId="54564" xr:uid="{367612CB-70A8-403E-B30C-19E4619DFD22}"/>
    <cellStyle name="Comma 3 3 2 5 3 6" xfId="19087" xr:uid="{121FE77F-F027-41AF-97F7-304640898789}"/>
    <cellStyle name="Comma 3 3 2 5 4" xfId="15148" xr:uid="{96EC06A4-CDDC-4702-8264-961D0D31CE8E}"/>
    <cellStyle name="Comma 3 3 2 5 4 2" xfId="22687" xr:uid="{B8FB7815-9427-4DAB-A066-5241A0591547}"/>
    <cellStyle name="Comma 3 3 2 5 4 3" xfId="47033" xr:uid="{BF3A1AE4-B7A5-4408-89B0-51498B2324DF}"/>
    <cellStyle name="Comma 3 3 2 5 4 4" xfId="52025" xr:uid="{AB5167F6-1200-4F7D-889F-BCB356EE045F}"/>
    <cellStyle name="Comma 3 3 2 5 4 5" xfId="55041" xr:uid="{C72F0699-93B6-4D33-A276-F717703C9E55}"/>
    <cellStyle name="Comma 3 3 2 5 4 6" xfId="19230" xr:uid="{08527E1B-45AC-4BB5-B1A3-C123F8E40D19}"/>
    <cellStyle name="Comma 3 3 2 5 5" xfId="15635" xr:uid="{EA2D3262-B569-4136-86E6-8AE095977985}"/>
    <cellStyle name="Comma 3 3 2 5 5 2" xfId="23164" xr:uid="{04C8947F-393A-4031-BBC7-27F0AB128941}"/>
    <cellStyle name="Comma 3 3 2 5 5 3" xfId="46561" xr:uid="{8648BEE0-658B-47DC-9B21-B787409E1C2F}"/>
    <cellStyle name="Comma 3 3 2 5 5 4" xfId="52502" xr:uid="{3F96DD4C-8F82-43F5-BF3E-5287192460BE}"/>
    <cellStyle name="Comma 3 3 2 5 5 5" xfId="55518" xr:uid="{9B49E5AF-18E0-4D4B-AA83-14CBC6F47646}"/>
    <cellStyle name="Comma 3 3 2 5 5 6" xfId="19375" xr:uid="{E2239542-4E05-4801-8A5E-8FAACF7779B3}"/>
    <cellStyle name="Comma 3 3 2 5 6" xfId="12623" xr:uid="{582FC185-9A7F-4A3C-AC19-8B7897235367}"/>
    <cellStyle name="Comma 3 3 2 5 6 2" xfId="25071" xr:uid="{1C9BB8D5-B5CB-4A8E-B28F-3919060B3840}"/>
    <cellStyle name="Comma 3 3 2 5 6 3" xfId="51071" xr:uid="{53C5AB0C-D4CD-405F-9C11-8E539868CFF6}"/>
    <cellStyle name="Comma 3 3 2 5 6 4" xfId="54087" xr:uid="{3A9793A7-EB9E-4858-9868-B27E29A36421}"/>
    <cellStyle name="Comma 3 3 2 5 6 5" xfId="21945" xr:uid="{4B7B4C19-1AD5-47BB-BA59-72F48DB25FFE}"/>
    <cellStyle name="Comma 3 3 2 5 7" xfId="46058" xr:uid="{E69EA298-68FC-4A77-81AC-513BE55D97F8}"/>
    <cellStyle name="Comma 3 3 2 5 8" xfId="49965" xr:uid="{DAD5836C-3A9A-493E-997A-6025A4826C55}"/>
    <cellStyle name="Comma 3 3 2 5 9" xfId="52981" xr:uid="{9E628EF7-1647-41F2-ACEB-436351AAFBDA}"/>
    <cellStyle name="Comma 3 3 2 6" xfId="10249" xr:uid="{748AA784-FDE6-40E5-8318-816F2BF7DFE6}"/>
    <cellStyle name="Comma 3 3 2 6 2" xfId="14716" xr:uid="{3FE92B42-A6CB-4520-9503-F37142F8C83B}"/>
    <cellStyle name="Comma 3 3 2 6 2 2" xfId="22263" xr:uid="{11E205E2-129A-43C5-9298-6D7435992B8D}"/>
    <cellStyle name="Comma 3 3 2 6 2 3" xfId="24962" xr:uid="{EE86B2FC-12C6-4771-A40B-67EDC4B7855F}"/>
    <cellStyle name="Comma 3 3 2 6 2 4" xfId="51601" xr:uid="{519B322F-698E-40C7-8F32-96626AFDD5B9}"/>
    <cellStyle name="Comma 3 3 2 6 2 5" xfId="54617" xr:uid="{74C68AC5-77FB-46AB-9ECF-7ECA2A0EA050}"/>
    <cellStyle name="Comma 3 3 2 6 2 6" xfId="19102" xr:uid="{312F1BAD-F782-4E65-B4F1-D9082E074BC5}"/>
    <cellStyle name="Comma 3 3 2 6 3" xfId="15201" xr:uid="{DA76362B-1667-41B6-B49D-CD429CF38B80}"/>
    <cellStyle name="Comma 3 3 2 6 3 2" xfId="22740" xr:uid="{5FBDDAD4-3E9C-44B8-8EFB-E8DEE81B8F5B}"/>
    <cellStyle name="Comma 3 3 2 6 3 3" xfId="46495" xr:uid="{C5EF95FE-D965-49A2-A10A-A1568BA3A4AF}"/>
    <cellStyle name="Comma 3 3 2 6 3 4" xfId="52078" xr:uid="{687D4703-D10F-4382-A9D8-1889164A3200}"/>
    <cellStyle name="Comma 3 3 2 6 3 5" xfId="55094" xr:uid="{8117EEEB-AABF-451A-98C5-43204327F37B}"/>
    <cellStyle name="Comma 3 3 2 6 3 6" xfId="19245" xr:uid="{12BFF9D5-1EA9-42C1-BAA8-0092F280BE43}"/>
    <cellStyle name="Comma 3 3 2 6 4" xfId="15688" xr:uid="{799C2FE5-C5DD-4076-A397-8A9DC5594EA5}"/>
    <cellStyle name="Comma 3 3 2 6 4 2" xfId="23217" xr:uid="{157C2DBC-C9CB-467F-897A-96E71B86D86C}"/>
    <cellStyle name="Comma 3 3 2 6 4 3" xfId="48025" xr:uid="{6CF3B88B-1F60-4244-8FD2-F87C257A8FDC}"/>
    <cellStyle name="Comma 3 3 2 6 4 4" xfId="52555" xr:uid="{AB1CB882-576F-45AC-944F-7F1E2172D59A}"/>
    <cellStyle name="Comma 3 3 2 6 4 5" xfId="55571" xr:uid="{19290A79-A0FA-4281-B5E0-6DFEAF170A84}"/>
    <cellStyle name="Comma 3 3 2 6 4 6" xfId="19390" xr:uid="{70F4AD32-C361-416C-8A5D-AF6F55EFD826}"/>
    <cellStyle name="Comma 3 3 2 6 5" xfId="12702" xr:uid="{7AC468C7-B7EA-4A6D-AD57-EB6FD2848E80}"/>
    <cellStyle name="Comma 3 3 2 6 5 2" xfId="32536" xr:uid="{19F114C5-A7FE-4CED-9C8F-FB21E03CD87D}"/>
    <cellStyle name="Comma 3 3 2 6 5 3" xfId="51124" xr:uid="{6ACDDC83-EA13-48FC-8AB2-659DEC25E6F9}"/>
    <cellStyle name="Comma 3 3 2 6 5 4" xfId="54140" xr:uid="{511468AC-29FE-4318-85AC-9C6EC3FAEDA9}"/>
    <cellStyle name="Comma 3 3 2 6 5 5" xfId="21960" xr:uid="{288BF5BD-E684-48ED-8558-C17998DF5E23}"/>
    <cellStyle name="Comma 3 3 2 6 6" xfId="47508" xr:uid="{5EBC3DD8-B8FB-45B8-9C7A-68C0C3E3CBE9}"/>
    <cellStyle name="Comma 3 3 2 6 7" xfId="50018" xr:uid="{2A9005A2-68E6-4E06-A791-9A37B8C98D80}"/>
    <cellStyle name="Comma 3 3 2 6 8" xfId="53034" xr:uid="{DD3E8BAA-F741-41FE-9AF9-70616F09177A}"/>
    <cellStyle name="Comma 3 3 2 6 9" xfId="18859" xr:uid="{D35C90F7-DECE-44B8-83DE-5F26A444D314}"/>
    <cellStyle name="Comma 3 3 2 7" xfId="10563" xr:uid="{18942CE9-6714-494E-B2BB-7D9F92778E13}"/>
    <cellStyle name="Comma 3 3 2 7 2" xfId="14928" xr:uid="{9D2C4C55-7EE6-40B5-B18F-B8DA7D1D843E}"/>
    <cellStyle name="Comma 3 3 2 7 2 2" xfId="22475" xr:uid="{765901C5-298F-47B0-9C7F-18FFBA5A08D2}"/>
    <cellStyle name="Comma 3 3 2 7 2 3" xfId="24932" xr:uid="{E88B3BCD-4DFE-486C-B793-5D0E1DA4C552}"/>
    <cellStyle name="Comma 3 3 2 7 2 4" xfId="51813" xr:uid="{025162AC-0695-4E8B-A11E-E11CED431F73}"/>
    <cellStyle name="Comma 3 3 2 7 2 5" xfId="54829" xr:uid="{00D0610D-26F5-4719-9C0B-17DF62C8CF95}"/>
    <cellStyle name="Comma 3 3 2 7 2 6" xfId="19162" xr:uid="{8EC72687-63A0-4CE2-9E62-C407F57FF058}"/>
    <cellStyle name="Comma 3 3 2 7 3" xfId="15413" xr:uid="{FDAC9BEA-F453-451B-AE2D-AE3A85C3F006}"/>
    <cellStyle name="Comma 3 3 2 7 3 2" xfId="22952" xr:uid="{31C67B67-7844-4C5D-945A-0BB78EEA4922}"/>
    <cellStyle name="Comma 3 3 2 7 3 3" xfId="46531" xr:uid="{480FF38B-443E-41EA-A8A6-5A4E311CE28B}"/>
    <cellStyle name="Comma 3 3 2 7 3 4" xfId="52290" xr:uid="{2A5093D7-5065-47C6-803F-E9EC96278636}"/>
    <cellStyle name="Comma 3 3 2 7 3 5" xfId="55306" xr:uid="{C1EE5C66-7FA9-42F3-957A-BCE52E1B4BE8}"/>
    <cellStyle name="Comma 3 3 2 7 3 6" xfId="19305" xr:uid="{9BF3E6EF-3DA3-44C9-8641-E7F0F1AAF943}"/>
    <cellStyle name="Comma 3 3 2 7 4" xfId="15901" xr:uid="{7146AD1F-81AB-43D0-89CF-2F804761BC76}"/>
    <cellStyle name="Comma 3 3 2 7 4 2" xfId="23429" xr:uid="{D7AF459E-A3FE-4C63-9732-361416E74A08}"/>
    <cellStyle name="Comma 3 3 2 7 4 3" xfId="47796" xr:uid="{9E2A0E93-0545-430B-853E-69FF35C39FB4}"/>
    <cellStyle name="Comma 3 3 2 7 4 4" xfId="52767" xr:uid="{72DD35F8-43F1-4C8A-9B67-F166A123C098}"/>
    <cellStyle name="Comma 3 3 2 7 4 5" xfId="55783" xr:uid="{520F1ECE-7551-400A-9FF3-BBABF40BEC6E}"/>
    <cellStyle name="Comma 3 3 2 7 4 6" xfId="19451" xr:uid="{5D298437-FE44-44BE-B596-621C50C476B4}"/>
    <cellStyle name="Comma 3 3 2 7 5" xfId="13016" xr:uid="{1FBD7097-21EC-4B0F-8BEF-AAFB0B9F9350}"/>
    <cellStyle name="Comma 3 3 2 7 5 2" xfId="48382" xr:uid="{A8F52109-7DB7-4753-A82E-6CEEBFD97CFE}"/>
    <cellStyle name="Comma 3 3 2 7 5 3" xfId="51336" xr:uid="{FAF15B05-20B7-4ADA-8E29-8902AB39822D}"/>
    <cellStyle name="Comma 3 3 2 7 5 4" xfId="54352" xr:uid="{A3F8B6D4-17B9-4B9F-8E03-858B5D874C7C}"/>
    <cellStyle name="Comma 3 3 2 7 5 5" xfId="22020" xr:uid="{2E6770FD-992C-487B-9E53-1B9ABDDE41A8}"/>
    <cellStyle name="Comma 3 3 2 7 6" xfId="36079" xr:uid="{CDCCC0B1-E8B8-44A3-94AD-5C5F4B303F97}"/>
    <cellStyle name="Comma 3 3 2 7 7" xfId="50230" xr:uid="{2B99BCEA-FB3D-4462-8D53-6E04AE350CD9}"/>
    <cellStyle name="Comma 3 3 2 7 8" xfId="53246" xr:uid="{32D5F674-4DBB-47CD-9604-07F18E251264}"/>
    <cellStyle name="Comma 3 3 2 7 9" xfId="19021" xr:uid="{5A4FB60E-E3FE-45E6-B47D-E0E08526BB0A}"/>
    <cellStyle name="Comma 3 3 2 8" xfId="14180" xr:uid="{94D95277-C2C8-442E-B952-0A1FC1FEA88C}"/>
    <cellStyle name="Comma 3 3 2 9" xfId="14504" xr:uid="{D608074D-2265-416E-AADE-B3D10F36CE66}"/>
    <cellStyle name="Comma 3 3 2 9 2" xfId="22051" xr:uid="{453665CF-2AAE-4934-BF87-D519F2A64743}"/>
    <cellStyle name="Comma 3 3 2 9 3" xfId="48383" xr:uid="{7AC1DD1F-AFEE-4C65-BF8A-C19AFE1B5FB3}"/>
    <cellStyle name="Comma 3 3 2 9 4" xfId="51389" xr:uid="{8DB68434-E2E7-4606-894E-13C367C5FDA2}"/>
    <cellStyle name="Comma 3 3 2 9 5" xfId="54405" xr:uid="{576EEFC5-E284-4C97-B2BE-E87681C09027}"/>
    <cellStyle name="Comma 3 3 2 9 6" xfId="19042" xr:uid="{C35DAC05-5EC3-4BBF-98B2-6A9CEB89C029}"/>
    <cellStyle name="Comma 3 3 3" xfId="5822" xr:uid="{6ED8C6AF-174F-4D72-BCD3-30B1FC434DFE}"/>
    <cellStyle name="Comma 3 3 3 10" xfId="12197" xr:uid="{1D210365-AC07-43AE-ADF1-FCA721D9D599}"/>
    <cellStyle name="Comma 3 3 3 10 2" xfId="47265" xr:uid="{0662A8DF-F493-4A68-8771-69EF7EB9ACDA}"/>
    <cellStyle name="Comma 3 3 3 10 3" xfId="50942" xr:uid="{8240EDA0-88AD-4FB0-BF2B-43C1913146C3}"/>
    <cellStyle name="Comma 3 3 3 10 4" xfId="53958" xr:uid="{44720AF1-C26A-435D-B0C7-60EF7F0F6AE7}"/>
    <cellStyle name="Comma 3 3 3 10 5" xfId="21907" xr:uid="{1CBAA469-3C72-4FFF-96F7-4FAF3F3D727E}"/>
    <cellStyle name="Comma 3 3 3 11" xfId="23746" xr:uid="{79F5242B-512D-4800-A887-82FE3A2838EB}"/>
    <cellStyle name="Comma 3 3 3 12" xfId="48428" xr:uid="{BBDDED57-65EB-416B-BB53-0963B4C689A3}"/>
    <cellStyle name="Comma 3 3 3 13" xfId="48629" xr:uid="{9BDFFBFD-651C-40A2-B923-54A0B4CCB332}"/>
    <cellStyle name="Comma 3 3 3 14" xfId="49537" xr:uid="{A9B47305-7C39-4EBD-B08A-517847E8094E}"/>
    <cellStyle name="Comma 3 3 3 15" xfId="49808" xr:uid="{9BBCF7C4-D1DC-4DB3-8E71-6F5E2036B4C8}"/>
    <cellStyle name="Comma 3 3 3 16" xfId="52823" xr:uid="{369D2EC5-D962-485F-AE31-BB909F3054B7}"/>
    <cellStyle name="Comma 3 3 3 17" xfId="18571" xr:uid="{31066460-E7D0-492C-AEE9-93BA9DB252B8}"/>
    <cellStyle name="Comma 3 3 3 18" xfId="8931" xr:uid="{D1496341-0F91-4993-B31E-E864C3D07C62}"/>
    <cellStyle name="Comma 3 3 3 2" xfId="10018" xr:uid="{1C4EA1FC-806F-4AC6-AA5F-E07CC28FC79C}"/>
    <cellStyle name="Comma 3 3 3 2 10" xfId="18749" xr:uid="{627929DF-8B3B-44BB-8A17-799CD36F374D}"/>
    <cellStyle name="Comma 3 3 3 2 2" xfId="10326" xr:uid="{9ACF86A5-0FBE-4B2D-AF03-649E0E5D9AED}"/>
    <cellStyle name="Comma 3 3 3 2 2 2" xfId="14771" xr:uid="{874BD130-684D-4F59-A421-D65863393FD9}"/>
    <cellStyle name="Comma 3 3 3 2 2 2 2" xfId="22318" xr:uid="{FFA9554A-84FB-476C-90C4-30BDB8FEEA9A}"/>
    <cellStyle name="Comma 3 3 3 2 2 2 3" xfId="46432" xr:uid="{A618765A-1777-4305-8005-4843E40C2D13}"/>
    <cellStyle name="Comma 3 3 3 2 2 2 4" xfId="51656" xr:uid="{5EE53903-964F-4914-B938-2F5BBC10D3E8}"/>
    <cellStyle name="Comma 3 3 3 2 2 2 5" xfId="54672" xr:uid="{D3B6B0E9-F8FD-4C0B-B3AF-6BA984AC62E1}"/>
    <cellStyle name="Comma 3 3 3 2 2 2 6" xfId="19119" xr:uid="{8E64020C-7E00-401E-AA1F-AAD1E8128238}"/>
    <cellStyle name="Comma 3 3 3 2 2 3" xfId="15256" xr:uid="{F079CBBA-7B2F-435B-81FF-3AF78E38D324}"/>
    <cellStyle name="Comma 3 3 3 2 2 3 2" xfId="22795" xr:uid="{F243E7B0-9767-45BC-A991-776F50F59183}"/>
    <cellStyle name="Comma 3 3 3 2 2 3 3" xfId="47342" xr:uid="{587B2206-C249-4E47-B66F-705BA4C989AD}"/>
    <cellStyle name="Comma 3 3 3 2 2 3 4" xfId="52133" xr:uid="{A61F112F-53A4-453A-96DD-B0C5A5FA2786}"/>
    <cellStyle name="Comma 3 3 3 2 2 3 5" xfId="55149" xr:uid="{F3C19701-643A-4A4D-96F3-3B24F50A3C21}"/>
    <cellStyle name="Comma 3 3 3 2 2 3 6" xfId="19262" xr:uid="{36DA31C5-0909-4EC8-B175-AD6AE6369181}"/>
    <cellStyle name="Comma 3 3 3 2 2 4" xfId="15743" xr:uid="{5D6CE50B-1695-4478-80CD-062DCD0D1DCA}"/>
    <cellStyle name="Comma 3 3 3 2 2 4 2" xfId="23272" xr:uid="{3E4BB629-2CFB-4314-A4A9-F6D9B78CA34C}"/>
    <cellStyle name="Comma 3 3 3 2 2 4 3" xfId="25279" xr:uid="{9262FCE3-3C7E-40A5-A8CF-1968941182C2}"/>
    <cellStyle name="Comma 3 3 3 2 2 4 4" xfId="52610" xr:uid="{5BE4A86B-4B20-4153-B4A6-40957B28B318}"/>
    <cellStyle name="Comma 3 3 3 2 2 4 5" xfId="55626" xr:uid="{E27738CF-5525-46FB-9A0B-A31F1CF3D5B6}"/>
    <cellStyle name="Comma 3 3 3 2 2 4 6" xfId="19407" xr:uid="{A9B7DAAC-0BB0-4FB9-9924-7E00022BDD5F}"/>
    <cellStyle name="Comma 3 3 3 2 2 5" xfId="12779" xr:uid="{8CBEAB8C-F255-4997-A614-66747E57FF66}"/>
    <cellStyle name="Comma 3 3 3 2 2 5 2" xfId="47097" xr:uid="{D08163D6-4794-4742-A5EE-6E7EFC58E5E2}"/>
    <cellStyle name="Comma 3 3 3 2 2 5 3" xfId="51179" xr:uid="{AD9254DD-ED03-4A09-B779-1B485A57BF37}"/>
    <cellStyle name="Comma 3 3 3 2 2 5 4" xfId="54195" xr:uid="{FB3B4804-6BB1-4DFB-BCA3-52FFE7218799}"/>
    <cellStyle name="Comma 3 3 3 2 2 5 5" xfId="21977" xr:uid="{A2692491-6EAC-41BD-A698-A01444E915AE}"/>
    <cellStyle name="Comma 3 3 3 2 2 6" xfId="47141" xr:uid="{EEA04D7B-5F51-4529-83DB-8AB049948A9A}"/>
    <cellStyle name="Comma 3 3 3 2 2 7" xfId="50073" xr:uid="{1B88515B-C783-46CF-B2B4-F98DB1544BB1}"/>
    <cellStyle name="Comma 3 3 3 2 2 8" xfId="53089" xr:uid="{769770C7-57B9-4A12-98A8-E4F2AEDA3B38}"/>
    <cellStyle name="Comma 3 3 3 2 2 9" xfId="18898" xr:uid="{C5088E96-D7CA-4574-8265-19474B597F20}"/>
    <cellStyle name="Comma 3 3 3 2 3" xfId="14559" xr:uid="{D44AE0FA-AEB1-47C1-8AFD-D1503339D004}"/>
    <cellStyle name="Comma 3 3 3 2 3 2" xfId="22106" xr:uid="{D2CB31B0-1820-435D-8A40-AA4A9C96795E}"/>
    <cellStyle name="Comma 3 3 3 2 3 3" xfId="37012" xr:uid="{00859175-244D-4C0E-BDEC-47739944F9B4}"/>
    <cellStyle name="Comma 3 3 3 2 3 4" xfId="51444" xr:uid="{9F256CE0-23EF-4E22-8CCA-ED5DFB8C9EA0}"/>
    <cellStyle name="Comma 3 3 3 2 3 5" xfId="54460" xr:uid="{F60A9FAA-2D89-452D-93C8-35F9BEE35844}"/>
    <cellStyle name="Comma 3 3 3 2 3 6" xfId="19059" xr:uid="{B84C2761-3948-41D6-8735-EEEA87516557}"/>
    <cellStyle name="Comma 3 3 3 2 4" xfId="15043" xr:uid="{E7F2C40E-95D9-40A5-B906-3BD7036415C8}"/>
    <cellStyle name="Comma 3 3 3 2 4 2" xfId="22583" xr:uid="{5E2CB88D-F9F0-4E86-972A-2F6B02D62A08}"/>
    <cellStyle name="Comma 3 3 3 2 4 3" xfId="48144" xr:uid="{FA186A72-97CB-4CE4-9901-C26C2133C29F}"/>
    <cellStyle name="Comma 3 3 3 2 4 4" xfId="51921" xr:uid="{F51A61D8-D957-47DD-B814-5889E0C491B3}"/>
    <cellStyle name="Comma 3 3 3 2 4 5" xfId="54937" xr:uid="{48177970-F442-44CE-8EA1-7756C812E240}"/>
    <cellStyle name="Comma 3 3 3 2 4 6" xfId="19201" xr:uid="{101A2C6C-30AF-460F-825F-6F7A4B323CD2}"/>
    <cellStyle name="Comma 3 3 3 2 5" xfId="15530" xr:uid="{EC5A4667-8239-41C8-A9D1-6E37BCCEDA52}"/>
    <cellStyle name="Comma 3 3 3 2 5 2" xfId="23060" xr:uid="{F10BB151-7BAC-4EC5-A4FE-BFD240DFF626}"/>
    <cellStyle name="Comma 3 3 3 2 5 3" xfId="24168" xr:uid="{63067E03-2433-4ECE-BB7E-D8540B750D07}"/>
    <cellStyle name="Comma 3 3 3 2 5 4" xfId="52398" xr:uid="{F88A41D1-D1F0-4325-8873-27417CDB9ABA}"/>
    <cellStyle name="Comma 3 3 3 2 5 5" xfId="55414" xr:uid="{4FD90824-0892-418C-9FE0-37C8966338DC}"/>
    <cellStyle name="Comma 3 3 3 2 5 6" xfId="19346" xr:uid="{ED90C72D-F331-4D7F-B7FC-DA50AF8134FE}"/>
    <cellStyle name="Comma 3 3 3 2 6" xfId="12478" xr:uid="{2CC2D54D-F9C1-4209-8BE9-92D1415C9BE2}"/>
    <cellStyle name="Comma 3 3 3 2 6 2" xfId="24698" xr:uid="{69DA670A-F772-4D77-970D-CF0D677CE6D6}"/>
    <cellStyle name="Comma 3 3 3 2 6 3" xfId="50967" xr:uid="{6B84FF08-C17E-4A4E-9C8C-04898F59B5D3}"/>
    <cellStyle name="Comma 3 3 3 2 6 4" xfId="53983" xr:uid="{7445F37F-EBC0-4212-83AC-3AD7B4C00A7A}"/>
    <cellStyle name="Comma 3 3 3 2 6 5" xfId="21916" xr:uid="{EBBA7EA7-72CA-4642-8EB5-7B34A9CB5C8C}"/>
    <cellStyle name="Comma 3 3 3 2 7" xfId="47572" xr:uid="{8D8D45E3-74D8-463C-B453-DFD92128EABE}"/>
    <cellStyle name="Comma 3 3 3 2 8" xfId="49861" xr:uid="{EF899CB5-C12A-4E6D-919C-9487D88D2274}"/>
    <cellStyle name="Comma 3 3 3 2 9" xfId="52877" xr:uid="{624B3F56-26C6-4FB7-90AE-DFADE06AF18C}"/>
    <cellStyle name="Comma 3 3 3 3" xfId="10092" xr:uid="{FFF99439-F0E6-4AB6-8C09-E2CA7D69C6A3}"/>
    <cellStyle name="Comma 3 3 3 3 10" xfId="18782" xr:uid="{3C2A15D2-3628-46A6-A24F-E04C45FC4277}"/>
    <cellStyle name="Comma 3 3 3 3 2" xfId="10405" xr:uid="{72CE2735-E9F0-4C47-8BE9-B59779E9CCE0}"/>
    <cellStyle name="Comma 3 3 3 3 2 2" xfId="14824" xr:uid="{30E3762E-8369-4D84-BA6B-D23C586AB6C4}"/>
    <cellStyle name="Comma 3 3 3 3 2 2 2" xfId="22371" xr:uid="{69738F43-403C-487B-BB1B-F820A398B4E8}"/>
    <cellStyle name="Comma 3 3 3 3 2 2 3" xfId="36584" xr:uid="{E6A12E35-2FA5-4852-B372-64743C76250B}"/>
    <cellStyle name="Comma 3 3 3 3 2 2 4" xfId="51709" xr:uid="{9E06C3F3-F5F7-4C45-87EB-FAA19C30B453}"/>
    <cellStyle name="Comma 3 3 3 3 2 2 5" xfId="54725" xr:uid="{B94FD960-7FBF-4A44-B98F-A518F70A5A91}"/>
    <cellStyle name="Comma 3 3 3 3 2 2 6" xfId="19134" xr:uid="{8FDF6F1A-DB48-478A-8FD5-A60CF8E10F4F}"/>
    <cellStyle name="Comma 3 3 3 3 2 3" xfId="15309" xr:uid="{42EC01F4-B045-4492-9125-D0A2785CDDB4}"/>
    <cellStyle name="Comma 3 3 3 3 2 3 2" xfId="22848" xr:uid="{A2FA202B-A001-4A26-9FFD-FC334F9381B6}"/>
    <cellStyle name="Comma 3 3 3 3 2 3 3" xfId="47249" xr:uid="{E78C546F-A137-46D2-B28B-413EF7383D6B}"/>
    <cellStyle name="Comma 3 3 3 3 2 3 4" xfId="52186" xr:uid="{14086F11-1B5F-4965-8DF8-6D91D1DBD06E}"/>
    <cellStyle name="Comma 3 3 3 3 2 3 5" xfId="55202" xr:uid="{960E86BF-E855-4DAE-9FE8-D96C9CDE62E1}"/>
    <cellStyle name="Comma 3 3 3 3 2 3 6" xfId="19277" xr:uid="{2B550DDA-CB50-43AE-9021-6A4598DDEB67}"/>
    <cellStyle name="Comma 3 3 3 3 2 4" xfId="15796" xr:uid="{A750C18B-4F50-488D-9373-13ECD448A3D7}"/>
    <cellStyle name="Comma 3 3 3 3 2 4 2" xfId="23325" xr:uid="{F8E13142-CB4B-4B51-B2F9-DFAFE55E0F8B}"/>
    <cellStyle name="Comma 3 3 3 3 2 4 3" xfId="46966" xr:uid="{59A3184F-23A3-4E14-B9C7-1543A203FD92}"/>
    <cellStyle name="Comma 3 3 3 3 2 4 4" xfId="52663" xr:uid="{645B6346-5769-4581-9732-2BFDA91F190A}"/>
    <cellStyle name="Comma 3 3 3 3 2 4 5" xfId="55679" xr:uid="{B9FE8C69-8691-475B-97BF-9CFC29EA4FEC}"/>
    <cellStyle name="Comma 3 3 3 3 2 4 6" xfId="19422" xr:uid="{583A66BB-C0CB-4068-9B97-E8208AA55C1C}"/>
    <cellStyle name="Comma 3 3 3 3 2 5" xfId="12858" xr:uid="{A8299F17-17AE-4FC3-A583-99196AA6239B}"/>
    <cellStyle name="Comma 3 3 3 3 2 5 2" xfId="24212" xr:uid="{67DD6A6C-D749-4821-83D1-40EEBD83686D}"/>
    <cellStyle name="Comma 3 3 3 3 2 5 3" xfId="51232" xr:uid="{EBC04B23-1C08-4D5C-A982-6C92120C7B4B}"/>
    <cellStyle name="Comma 3 3 3 3 2 5 4" xfId="54248" xr:uid="{B71F6735-A465-48CD-BE51-9C660DF7EC89}"/>
    <cellStyle name="Comma 3 3 3 3 2 5 5" xfId="21992" xr:uid="{8C86BE34-06E3-4F4B-9BB3-DD92C78111AF}"/>
    <cellStyle name="Comma 3 3 3 3 2 6" xfId="35993" xr:uid="{2DAEFCF8-CA26-47E1-9935-B8318BD2B6BD}"/>
    <cellStyle name="Comma 3 3 3 3 2 7" xfId="50126" xr:uid="{64E10F44-50A5-42B5-81CD-8B0AA241D6A9}"/>
    <cellStyle name="Comma 3 3 3 3 2 8" xfId="53142" xr:uid="{12604BC9-C118-4729-A539-6B9344A5A2D1}"/>
    <cellStyle name="Comma 3 3 3 3 2 9" xfId="18939" xr:uid="{3315AC0B-0BE3-453B-A51A-CD3E569EEB07}"/>
    <cellStyle name="Comma 3 3 3 3 3" xfId="14612" xr:uid="{51F33D36-D97F-406C-9725-7AE3546306FD}"/>
    <cellStyle name="Comma 3 3 3 3 3 2" xfId="22159" xr:uid="{F3C9389C-2CEC-43BB-9DE8-C83DCA8A8CE8}"/>
    <cellStyle name="Comma 3 3 3 3 3 3" xfId="46841" xr:uid="{F8C8AB42-6C00-44B0-BFC5-94DD9481B7DD}"/>
    <cellStyle name="Comma 3 3 3 3 3 4" xfId="51497" xr:uid="{7D3359AA-B21E-44DC-8BDB-1420FE8FE1CF}"/>
    <cellStyle name="Comma 3 3 3 3 3 5" xfId="54513" xr:uid="{4C2763E4-0E9D-41E7-A6E0-F11B543ACA4D}"/>
    <cellStyle name="Comma 3 3 3 3 3 6" xfId="19074" xr:uid="{EC4E5827-D403-4E53-B2F7-5DF472859E20}"/>
    <cellStyle name="Comma 3 3 3 3 4" xfId="15097" xr:uid="{A45D62F2-9BD8-4C5E-8C8B-4F70305FB63A}"/>
    <cellStyle name="Comma 3 3 3 3 4 2" xfId="22636" xr:uid="{E7C3D5D5-4B54-4868-B7ED-C8725DD6C064}"/>
    <cellStyle name="Comma 3 3 3 3 4 3" xfId="32505" xr:uid="{F19394C2-77D1-4B1B-A4E6-DCC5CFF03E0B}"/>
    <cellStyle name="Comma 3 3 3 3 4 4" xfId="51974" xr:uid="{02389A8C-33E0-4E19-B322-3F4FF7CFAAB4}"/>
    <cellStyle name="Comma 3 3 3 3 4 5" xfId="54990" xr:uid="{8196F5CD-8E35-42D2-9B3E-35C38E61F986}"/>
    <cellStyle name="Comma 3 3 3 3 4 6" xfId="19217" xr:uid="{33475515-7360-433E-AA94-025D7A59F085}"/>
    <cellStyle name="Comma 3 3 3 3 5" xfId="15584" xr:uid="{4FF74D37-3E9A-44C8-9A05-CE8F8BBFBCFD}"/>
    <cellStyle name="Comma 3 3 3 3 5 2" xfId="23113" xr:uid="{70554AFE-BB0C-43F0-BDB4-B9489AD4507C}"/>
    <cellStyle name="Comma 3 3 3 3 5 3" xfId="46939" xr:uid="{86892071-C417-4143-966B-78F092B24000}"/>
    <cellStyle name="Comma 3 3 3 3 5 4" xfId="52451" xr:uid="{FFDEAE7C-16FD-4025-AEF6-6A713BEE15AA}"/>
    <cellStyle name="Comma 3 3 3 3 5 5" xfId="55467" xr:uid="{9A52C6B8-E627-4F85-9829-8C513238610A}"/>
    <cellStyle name="Comma 3 3 3 3 5 6" xfId="19362" xr:uid="{5B59EE30-DC70-4DBB-B0D4-F1E68A835ED1}"/>
    <cellStyle name="Comma 3 3 3 3 6" xfId="12549" xr:uid="{F5EE87EB-5867-467A-9BD7-A797C9D3B4CA}"/>
    <cellStyle name="Comma 3 3 3 3 6 2" xfId="46324" xr:uid="{ED8B38D1-DEB4-4F5F-A7CD-F59EF08258E6}"/>
    <cellStyle name="Comma 3 3 3 3 6 3" xfId="51020" xr:uid="{077D34FE-2161-4E1F-99B6-84290F3A80B1}"/>
    <cellStyle name="Comma 3 3 3 3 6 4" xfId="54036" xr:uid="{EA837008-9DBE-4DCA-8A9F-E1798A20F0F2}"/>
    <cellStyle name="Comma 3 3 3 3 6 5" xfId="21932" xr:uid="{DB11A8D2-441E-463A-ABE4-9319F49E72C9}"/>
    <cellStyle name="Comma 3 3 3 3 7" xfId="47869" xr:uid="{2935F4B1-278D-41FC-9CFC-A32CF40BE2D6}"/>
    <cellStyle name="Comma 3 3 3 3 8" xfId="49914" xr:uid="{00E46405-E484-4750-8DB8-27E8A8522930}"/>
    <cellStyle name="Comma 3 3 3 3 9" xfId="52930" xr:uid="{55543812-C580-4471-AF9A-C7BF6349F2C5}"/>
    <cellStyle name="Comma 3 3 3 4" xfId="10171" xr:uid="{519D1D0A-D20B-4284-82B4-36A8A471F165}"/>
    <cellStyle name="Comma 3 3 3 4 10" xfId="18820" xr:uid="{1D29D07C-299F-4757-9B2B-02672D53A734}"/>
    <cellStyle name="Comma 3 3 3 4 2" xfId="10485" xr:uid="{0A1FE9C9-8FA3-47A9-B3F6-3C4E05987FEA}"/>
    <cellStyle name="Comma 3 3 3 4 2 2" xfId="14877" xr:uid="{63E49543-96F0-4A01-9554-E94032E58C3A}"/>
    <cellStyle name="Comma 3 3 3 4 2 2 2" xfId="22424" xr:uid="{4B5CB1C1-5AB4-4A2D-9AEC-E06FD9AE6EBA}"/>
    <cellStyle name="Comma 3 3 3 4 2 2 3" xfId="46449" xr:uid="{EEFD709A-1D59-4FF0-9D49-663F4B8C9EA9}"/>
    <cellStyle name="Comma 3 3 3 4 2 2 4" xfId="51762" xr:uid="{6DD991BD-7EE6-4215-945F-D166E4A44684}"/>
    <cellStyle name="Comma 3 3 3 4 2 2 5" xfId="54778" xr:uid="{D6D83353-D2E9-4E68-913D-A9EB61637AFE}"/>
    <cellStyle name="Comma 3 3 3 4 2 2 6" xfId="19149" xr:uid="{9154A210-9A62-47E8-AC76-8CBF90363380}"/>
    <cellStyle name="Comma 3 3 3 4 2 3" xfId="15362" xr:uid="{3E944BFD-A191-417E-92D2-E5EAFEA23CF5}"/>
    <cellStyle name="Comma 3 3 3 4 2 3 2" xfId="22901" xr:uid="{C475425F-D1F8-4969-8461-DBD4C7B9B60D}"/>
    <cellStyle name="Comma 3 3 3 4 2 3 3" xfId="46520" xr:uid="{E95D0537-4EFF-46E6-8272-583884D35008}"/>
    <cellStyle name="Comma 3 3 3 4 2 3 4" xfId="52239" xr:uid="{E44BC77C-C6BE-4DDC-B4CD-2F3426499483}"/>
    <cellStyle name="Comma 3 3 3 4 2 3 5" xfId="55255" xr:uid="{0A7E138C-EBE5-43A9-BD34-EB3EF6E1FCF7}"/>
    <cellStyle name="Comma 3 3 3 4 2 3 6" xfId="19292" xr:uid="{7F8E20DC-85CB-48D4-B86B-AC83D92189C8}"/>
    <cellStyle name="Comma 3 3 3 4 2 4" xfId="15849" xr:uid="{3A484F2F-2C0D-46EA-82B6-BC5043C90E5F}"/>
    <cellStyle name="Comma 3 3 3 4 2 4 2" xfId="23378" xr:uid="{9F59C3B7-4032-4BE8-9DED-988654B7F85F}"/>
    <cellStyle name="Comma 3 3 3 4 2 4 3" xfId="46597" xr:uid="{E6961D91-516A-4CAB-8D51-6DB5F98905B1}"/>
    <cellStyle name="Comma 3 3 3 4 2 4 4" xfId="52716" xr:uid="{B36C8F5A-1418-418B-A7D2-E6DBF48D36F5}"/>
    <cellStyle name="Comma 3 3 3 4 2 4 5" xfId="55732" xr:uid="{1651F4B6-2B1E-442E-B951-B5704B9D40CD}"/>
    <cellStyle name="Comma 3 3 3 4 2 4 6" xfId="19437" xr:uid="{5A770981-536F-449F-93D7-50574D119794}"/>
    <cellStyle name="Comma 3 3 3 4 2 5" xfId="12938" xr:uid="{6134380C-9894-403D-A558-517F98DDD4AD}"/>
    <cellStyle name="Comma 3 3 3 4 2 5 2" xfId="46814" xr:uid="{0D3D9E62-99D5-40E0-B768-06FE7E0ECA04}"/>
    <cellStyle name="Comma 3 3 3 4 2 5 3" xfId="51285" xr:uid="{EB6905AB-7755-4A6D-A292-12C1DC4A371D}"/>
    <cellStyle name="Comma 3 3 3 4 2 5 4" xfId="54301" xr:uid="{F20BEB53-039F-4199-A48F-1E5343DA0374}"/>
    <cellStyle name="Comma 3 3 3 4 2 5 5" xfId="22007" xr:uid="{32488AD2-6B2F-47D4-8C81-FAFFF7D4DE1F}"/>
    <cellStyle name="Comma 3 3 3 4 2 6" xfId="47291" xr:uid="{56928CAA-DD9B-44A7-9B83-AF26A7E964F4}"/>
    <cellStyle name="Comma 3 3 3 4 2 7" xfId="50179" xr:uid="{410A016E-AAED-4581-A144-656D9DD3ED31}"/>
    <cellStyle name="Comma 3 3 3 4 2 8" xfId="53195" xr:uid="{FFF60DB4-26D5-44A6-859B-90E2558BCFC3}"/>
    <cellStyle name="Comma 3 3 3 4 2 9" xfId="18981" xr:uid="{D00307AA-3CDB-44AA-A89D-122CAB91D733}"/>
    <cellStyle name="Comma 3 3 3 4 3" xfId="14665" xr:uid="{23E7388B-EF1E-4C49-A2BF-DC1161B4E76E}"/>
    <cellStyle name="Comma 3 3 3 4 3 2" xfId="22212" xr:uid="{8BD478B4-94F7-4E7B-A18E-B745C5E79EBB}"/>
    <cellStyle name="Comma 3 3 3 4 3 3" xfId="32276" xr:uid="{628C8F75-57CF-4B54-8435-579AC5A5B4B4}"/>
    <cellStyle name="Comma 3 3 3 4 3 4" xfId="51550" xr:uid="{3A56EB70-862D-4C2F-9C13-57C1ED03C02B}"/>
    <cellStyle name="Comma 3 3 3 4 3 5" xfId="54566" xr:uid="{2C92B94A-DFDB-4B0E-B313-711B30E462D4}"/>
    <cellStyle name="Comma 3 3 3 4 3 6" xfId="19089" xr:uid="{C13315B3-FDCC-40BB-9949-C45F3D1A6621}"/>
    <cellStyle name="Comma 3 3 3 4 4" xfId="15150" xr:uid="{4C97DD00-FFB1-4F0D-BC0B-8DA2846A4A31}"/>
    <cellStyle name="Comma 3 3 3 4 4 2" xfId="22689" xr:uid="{97D024E0-B4A2-4508-BDF6-D4326F0E9FCE}"/>
    <cellStyle name="Comma 3 3 3 4 4 3" xfId="47372" xr:uid="{9947F672-5502-4869-87BD-759AB096BBFF}"/>
    <cellStyle name="Comma 3 3 3 4 4 4" xfId="52027" xr:uid="{93C166A9-52F4-4335-A8BA-A19D7E527DDE}"/>
    <cellStyle name="Comma 3 3 3 4 4 5" xfId="55043" xr:uid="{6F50F758-1E80-48CB-98F0-CB532F4854E1}"/>
    <cellStyle name="Comma 3 3 3 4 4 6" xfId="19232" xr:uid="{BF0D5BA6-4C92-48E2-879C-CDD5DC25D2AC}"/>
    <cellStyle name="Comma 3 3 3 4 5" xfId="15637" xr:uid="{80EB10B0-07F4-4341-B610-967C5F98B4B9}"/>
    <cellStyle name="Comma 3 3 3 4 5 2" xfId="23166" xr:uid="{EB377420-965A-4596-A2B1-537EBFCC141F}"/>
    <cellStyle name="Comma 3 3 3 4 5 3" xfId="32396" xr:uid="{79C3C115-408D-4D45-94FB-E3263D11AB26}"/>
    <cellStyle name="Comma 3 3 3 4 5 4" xfId="52504" xr:uid="{7FB91A3D-5013-439E-A2DC-4114468E7752}"/>
    <cellStyle name="Comma 3 3 3 4 5 5" xfId="55520" xr:uid="{2C69F65C-40AE-4D87-AD4E-AF62CF9AC2A3}"/>
    <cellStyle name="Comma 3 3 3 4 5 6" xfId="19377" xr:uid="{AFC5B608-15C6-4D0F-B7BD-2DCE409DF865}"/>
    <cellStyle name="Comma 3 3 3 4 6" xfId="12625" xr:uid="{E475214C-57CF-4A2A-B7DD-2BF2D0AD2F79}"/>
    <cellStyle name="Comma 3 3 3 4 6 2" xfId="46776" xr:uid="{F2B2179F-71C4-4EC0-AF04-FC2F0F209E34}"/>
    <cellStyle name="Comma 3 3 3 4 6 3" xfId="51073" xr:uid="{A1FD9FCE-9880-49C9-B552-EFF250AA1666}"/>
    <cellStyle name="Comma 3 3 3 4 6 4" xfId="54089" xr:uid="{D324F563-D866-48CD-BAC8-BF9D47B7301F}"/>
    <cellStyle name="Comma 3 3 3 4 6 5" xfId="21947" xr:uid="{8AC27C98-F874-4723-B8BC-614C2EAC8EAF}"/>
    <cellStyle name="Comma 3 3 3 4 7" xfId="25379" xr:uid="{34911D76-26B9-47B1-921E-FDA30C90840D}"/>
    <cellStyle name="Comma 3 3 3 4 8" xfId="49967" xr:uid="{140DC617-DBD5-4194-8644-189B3B27CDF9}"/>
    <cellStyle name="Comma 3 3 3 4 9" xfId="52983" xr:uid="{5B85B110-4FC5-4A52-9ADE-E7312683A232}"/>
    <cellStyle name="Comma 3 3 3 5" xfId="10251" xr:uid="{D5442291-C2A5-44A4-BAD8-3813CE42C83B}"/>
    <cellStyle name="Comma 3 3 3 5 2" xfId="14718" xr:uid="{A387DF98-A6ED-4B65-B8C2-219FBAED5492}"/>
    <cellStyle name="Comma 3 3 3 5 2 2" xfId="22265" xr:uid="{35DBB265-B37D-4760-8F4D-BC0C56933AC6}"/>
    <cellStyle name="Comma 3 3 3 5 2 3" xfId="46853" xr:uid="{D2DEE166-CB0E-4665-81D4-DE59FA714A87}"/>
    <cellStyle name="Comma 3 3 3 5 2 4" xfId="51603" xr:uid="{B14A0F9C-455B-47FC-B5DF-6F6839721A6A}"/>
    <cellStyle name="Comma 3 3 3 5 2 5" xfId="54619" xr:uid="{A0CBDC9C-589C-4F39-8BB8-60442D28AD86}"/>
    <cellStyle name="Comma 3 3 3 5 2 6" xfId="19104" xr:uid="{9CA57AB6-1414-4A78-A807-DEC0DBA684BB}"/>
    <cellStyle name="Comma 3 3 3 5 3" xfId="15203" xr:uid="{C4290716-90AC-4DA6-AE7F-9E29B08E17BF}"/>
    <cellStyle name="Comma 3 3 3 5 3 2" xfId="22742" xr:uid="{80AA4D86-C076-4862-92E2-7E83804F8721}"/>
    <cellStyle name="Comma 3 3 3 5 3 3" xfId="47544" xr:uid="{0E99D3B7-0DD6-4BE0-AFFA-AE8AE9157310}"/>
    <cellStyle name="Comma 3 3 3 5 3 4" xfId="52080" xr:uid="{50938C50-F9A5-44FC-BC1F-0FAAB1C34213}"/>
    <cellStyle name="Comma 3 3 3 5 3 5" xfId="55096" xr:uid="{56D540AD-FB23-4176-B1FD-6EFB84E1315F}"/>
    <cellStyle name="Comma 3 3 3 5 3 6" xfId="19247" xr:uid="{89DB8ACD-AA9B-4EA2-B4FD-43EA2F16B751}"/>
    <cellStyle name="Comma 3 3 3 5 4" xfId="15690" xr:uid="{433D1893-9676-4ED0-AA9D-3FF2FA3A471B}"/>
    <cellStyle name="Comma 3 3 3 5 4 2" xfId="23219" xr:uid="{9230A7EB-7A6A-4019-9754-0AE4B9A0783E}"/>
    <cellStyle name="Comma 3 3 3 5 4 3" xfId="46954" xr:uid="{E8D3422B-EBA6-418E-8889-9E4639E2CA00}"/>
    <cellStyle name="Comma 3 3 3 5 4 4" xfId="52557" xr:uid="{0A31EC00-E719-4F00-9182-0F4F07195F15}"/>
    <cellStyle name="Comma 3 3 3 5 4 5" xfId="55573" xr:uid="{91C3F377-E8B3-4699-A91E-7E84AA94093D}"/>
    <cellStyle name="Comma 3 3 3 5 4 6" xfId="19392" xr:uid="{C6587A60-C0EB-4208-8FB7-14EED4EE3A0B}"/>
    <cellStyle name="Comma 3 3 3 5 5" xfId="12704" xr:uid="{0E54D281-7AE3-47CF-9F2F-4B2A1228D0C7}"/>
    <cellStyle name="Comma 3 3 3 5 5 2" xfId="47617" xr:uid="{8FB9884F-BBC8-4868-8CC1-1C08ECC03C8C}"/>
    <cellStyle name="Comma 3 3 3 5 5 3" xfId="51126" xr:uid="{AC72FB1C-9D6F-4568-AA16-A26A9196CE1F}"/>
    <cellStyle name="Comma 3 3 3 5 5 4" xfId="54142" xr:uid="{152AB72E-DD0B-4D3A-BB7E-4AD492FDAF59}"/>
    <cellStyle name="Comma 3 3 3 5 5 5" xfId="21962" xr:uid="{FA0CA9B3-769F-460C-AAD8-EDD60DE13F3D}"/>
    <cellStyle name="Comma 3 3 3 5 6" xfId="47733" xr:uid="{D09EFA21-387E-4799-91EA-9705BE6020EC}"/>
    <cellStyle name="Comma 3 3 3 5 7" xfId="50020" xr:uid="{273E0CF8-43A9-4609-A144-3C137FA872AA}"/>
    <cellStyle name="Comma 3 3 3 5 8" xfId="53036" xr:uid="{222A0293-2E87-45EE-8118-C32DFA2C9D61}"/>
    <cellStyle name="Comma 3 3 3 5 9" xfId="18861" xr:uid="{D59A4335-AD78-4F97-A683-E75D93ADBDE6}"/>
    <cellStyle name="Comma 3 3 3 6" xfId="10565" xr:uid="{6485B72D-226C-4E85-95A9-574B4AF8D7E6}"/>
    <cellStyle name="Comma 3 3 3 6 2" xfId="14930" xr:uid="{FC93FEFF-8C62-4DD6-B03E-3149BDF3BC4D}"/>
    <cellStyle name="Comma 3 3 3 6 2 2" xfId="22477" xr:uid="{8B8D1E7C-D447-4860-91A5-F8ABFDC06FE1}"/>
    <cellStyle name="Comma 3 3 3 6 2 3" xfId="32521" xr:uid="{C0368285-EA30-4882-84ED-5E67BA9374F3}"/>
    <cellStyle name="Comma 3 3 3 6 2 4" xfId="51815" xr:uid="{2BCF4515-0846-4490-9B73-DCEA7CC08A52}"/>
    <cellStyle name="Comma 3 3 3 6 2 5" xfId="54831" xr:uid="{33FF3AE4-B238-4F90-BBC5-6508D21AFDB9}"/>
    <cellStyle name="Comma 3 3 3 6 2 6" xfId="19164" xr:uid="{2B3E4240-2BF1-4D84-828E-81414443D398}"/>
    <cellStyle name="Comma 3 3 3 6 3" xfId="15415" xr:uid="{37BAC104-EF3C-48AD-9940-6C5CA8E2BCF8}"/>
    <cellStyle name="Comma 3 3 3 6 3 2" xfId="22954" xr:uid="{F375C57F-D8D2-4623-B85C-3BDA3F77934E}"/>
    <cellStyle name="Comma 3 3 3 6 3 3" xfId="47994" xr:uid="{FC5390B0-3DF9-43E6-8CC6-3925BEE8975E}"/>
    <cellStyle name="Comma 3 3 3 6 3 4" xfId="52292" xr:uid="{F55F2048-C12F-46CA-A679-350360BE84CA}"/>
    <cellStyle name="Comma 3 3 3 6 3 5" xfId="55308" xr:uid="{EF6FAEC1-87E7-4426-B55B-4B734C13F3A6}"/>
    <cellStyle name="Comma 3 3 3 6 3 6" xfId="19307" xr:uid="{2CF74936-E77F-473C-8A38-695F11A06BE2}"/>
    <cellStyle name="Comma 3 3 3 6 4" xfId="15903" xr:uid="{27B211FF-78B5-41A3-8E28-67C154A0329A}"/>
    <cellStyle name="Comma 3 3 3 6 4 2" xfId="23431" xr:uid="{34059942-2EA1-46BA-A174-798C7980C347}"/>
    <cellStyle name="Comma 3 3 3 6 4 3" xfId="46603" xr:uid="{D555B147-DF03-47D8-8CDA-7BFD029AD103}"/>
    <cellStyle name="Comma 3 3 3 6 4 4" xfId="52769" xr:uid="{385ECD1C-DE04-4431-B73A-14853E7435CB}"/>
    <cellStyle name="Comma 3 3 3 6 4 5" xfId="55785" xr:uid="{BB9AE658-C3F3-4891-B50E-D3B536A9BE52}"/>
    <cellStyle name="Comma 3 3 3 6 4 6" xfId="19453" xr:uid="{47ECC57C-7F94-44E3-ABD4-832EE8C9D3A9}"/>
    <cellStyle name="Comma 3 3 3 6 5" xfId="13018" xr:uid="{CBED4B7B-3B0B-43E3-AEA9-E572888DB735}"/>
    <cellStyle name="Comma 3 3 3 6 5 2" xfId="47149" xr:uid="{5D596B3F-01FE-4D63-BA32-6B2A73749E28}"/>
    <cellStyle name="Comma 3 3 3 6 5 3" xfId="51338" xr:uid="{64A1478C-4CCA-4E49-9B6F-A902FA536E25}"/>
    <cellStyle name="Comma 3 3 3 6 5 4" xfId="54354" xr:uid="{D7480236-6649-4E24-956F-915884E70180}"/>
    <cellStyle name="Comma 3 3 3 6 5 5" xfId="22022" xr:uid="{06622FFD-7B6D-4EF9-9EDD-A52E4FFAD44C}"/>
    <cellStyle name="Comma 3 3 3 6 6" xfId="46150" xr:uid="{8C1B44F3-2C26-4611-9D3B-4FE2D67D9900}"/>
    <cellStyle name="Comma 3 3 3 6 7" xfId="50232" xr:uid="{EC5FBAB5-22BC-4ED9-B80E-689DCD72AE63}"/>
    <cellStyle name="Comma 3 3 3 6 8" xfId="53248" xr:uid="{B6B1074C-1522-47B4-829C-8FA6099D2025}"/>
    <cellStyle name="Comma 3 3 3 6 9" xfId="19023" xr:uid="{D28070CD-0479-4B10-9E60-C889DCC1FB64}"/>
    <cellStyle name="Comma 3 3 3 7" xfId="14506" xr:uid="{7405EDE2-7371-4DB5-BE2F-3DB023596673}"/>
    <cellStyle name="Comma 3 3 3 7 2" xfId="22053" xr:uid="{300549FE-E8C2-4387-A9D1-A298CB517107}"/>
    <cellStyle name="Comma 3 3 3 7 3" xfId="24750" xr:uid="{17FA16E2-6322-49BD-897B-C00FA2E1684B}"/>
    <cellStyle name="Comma 3 3 3 7 4" xfId="51391" xr:uid="{99455F11-896B-423A-919A-681D27C4C54A}"/>
    <cellStyle name="Comma 3 3 3 7 5" xfId="54407" xr:uid="{2F0B5A14-5567-40D3-AAC1-14AA91D76AA3}"/>
    <cellStyle name="Comma 3 3 3 7 6" xfId="19044" xr:uid="{D7A1B955-A73D-4B86-B532-0325CD189E90}"/>
    <cellStyle name="Comma 3 3 3 8" xfId="14990" xr:uid="{41225DB7-ABFF-4DEE-A45A-7FF91F140B2B}"/>
    <cellStyle name="Comma 3 3 3 8 2" xfId="22530" xr:uid="{D9568C7E-F684-4256-9EED-431E99A95EC9}"/>
    <cellStyle name="Comma 3 3 3 8 3" xfId="36969" xr:uid="{FC1EAB32-4043-4F3A-8769-1862AE470B3C}"/>
    <cellStyle name="Comma 3 3 3 8 4" xfId="51868" xr:uid="{793B9113-83D9-4682-8140-BAD935B0BFE0}"/>
    <cellStyle name="Comma 3 3 3 8 5" xfId="54884" xr:uid="{5EEBC82E-8D69-4E71-86B4-521A54DEF979}"/>
    <cellStyle name="Comma 3 3 3 8 6" xfId="19186" xr:uid="{8EA46138-49A8-40E7-B6E3-DC4B612850D7}"/>
    <cellStyle name="Comma 3 3 3 9" xfId="15477" xr:uid="{66E9418F-F785-4A45-A73D-33E518FCBD22}"/>
    <cellStyle name="Comma 3 3 3 9 2" xfId="23007" xr:uid="{D75E41EC-19FC-45AF-949D-B86CC4B431F4}"/>
    <cellStyle name="Comma 3 3 3 9 3" xfId="47405" xr:uid="{E3FD8366-ECEC-4120-9CEC-B23342D54BB0}"/>
    <cellStyle name="Comma 3 3 3 9 4" xfId="52345" xr:uid="{D8BE0392-760C-44B0-B915-DDE5BC3E05D8}"/>
    <cellStyle name="Comma 3 3 3 9 5" xfId="55361" xr:uid="{9C5266A7-563D-4629-997C-19260FA42D5E}"/>
    <cellStyle name="Comma 3 3 3 9 6" xfId="19331" xr:uid="{A698ED39-8208-4416-AFDB-7D28E581CEEA}"/>
    <cellStyle name="Comma 3 3 4" xfId="11112" xr:uid="{DFCD2D05-3DAC-432E-9152-9D8BA570DB5B}"/>
    <cellStyle name="Comma 3 3 4 2" xfId="23747" xr:uid="{6E611245-FBFD-4D91-981F-ED6B08059DDC}"/>
    <cellStyle name="Comma 3 3 4 3" xfId="48630" xr:uid="{2A0961AF-738E-4687-98BF-97EDBF150428}"/>
    <cellStyle name="Comma 3 3 4 4" xfId="49538" xr:uid="{BCDE7195-5CBD-42C1-923A-598089813C56}"/>
    <cellStyle name="Comma 3 3 5" xfId="11192" xr:uid="{256FC43C-32AD-42FA-99A7-C192B2270913}"/>
    <cellStyle name="Comma 3 3 5 2" xfId="21688" xr:uid="{4C6436F3-F4FA-422B-B084-77D1012DF2B6}"/>
    <cellStyle name="Comma 3 3 5 2 2" xfId="32694" xr:uid="{46333BDC-03D0-4871-9F21-4CFA692EF596}"/>
    <cellStyle name="Comma 3 3 5 3" xfId="23748" xr:uid="{36842305-2662-49BF-AC6D-A65284A22E41}"/>
    <cellStyle name="Comma 3 3 5 4" xfId="48261" xr:uid="{6893E750-3913-40D0-A442-FBEA1395EA7C}"/>
    <cellStyle name="Comma 3 3 5 5" xfId="48631" xr:uid="{7A293959-53A6-4882-92BC-104425526E3A}"/>
    <cellStyle name="Comma 3 3 5 6" xfId="49539" xr:uid="{B57615E7-8677-4BE8-986C-C79AA8D0D793}"/>
    <cellStyle name="Comma 3 3 5 7" xfId="50705" xr:uid="{C39EE896-E6AF-4F62-AC9D-B596BA9ECA41}"/>
    <cellStyle name="Comma 3 3 5 8" xfId="53721" xr:uid="{BB9611B1-A5B8-4641-A0B9-C1DDF65A6933}"/>
    <cellStyle name="Comma 3 3 5 9" xfId="18052" xr:uid="{0C935752-2376-4595-BA82-3A89F8780843}"/>
    <cellStyle name="Comma 3 3 6" xfId="19485" xr:uid="{20A56775-E6ED-4ED0-A51A-E6CA5AC7DE70}"/>
    <cellStyle name="Comma 3 3 7" xfId="23743" xr:uid="{46D3B892-8321-4AD1-BCF3-258CDA314819}"/>
    <cellStyle name="Comma 3 3 8" xfId="48626" xr:uid="{55A48823-B91D-43EA-A12F-7252F8E004B6}"/>
    <cellStyle name="Comma 3 3 9" xfId="49534" xr:uid="{7C8BFF26-FFD5-44B0-881E-01F228DC722E}"/>
    <cellStyle name="Comma 3 4" xfId="4539" xr:uid="{71A932D2-D02C-488C-BB3C-BCD87EF333E9}"/>
    <cellStyle name="Comma 3 4 10" xfId="14991" xr:uid="{ED2A4FBC-9561-452F-A573-5D1D6EB0D787}"/>
    <cellStyle name="Comma 3 4 10 2" xfId="22531" xr:uid="{E1737E73-179B-4AC2-97F5-C487036F9C01}"/>
    <cellStyle name="Comma 3 4 10 3" xfId="47245" xr:uid="{F5CBF516-FAF7-420A-8E76-B4D6E396F04B}"/>
    <cellStyle name="Comma 3 4 10 4" xfId="51869" xr:uid="{40B9539C-161C-436A-92B1-EC8120AAA55C}"/>
    <cellStyle name="Comma 3 4 10 5" xfId="54885" xr:uid="{C458F09E-CF4B-4A5A-9953-B03C7120DC28}"/>
    <cellStyle name="Comma 3 4 11" xfId="15478" xr:uid="{9C3B7B86-88CC-4442-8A22-2C0FABE52A41}"/>
    <cellStyle name="Comma 3 4 11 2" xfId="23008" xr:uid="{AEA62A68-97F5-4D53-92E9-5CC5A3A0B95F}"/>
    <cellStyle name="Comma 3 4 11 3" xfId="46925" xr:uid="{F2B9DC96-9904-4B12-984D-1A9BAC4808FF}"/>
    <cellStyle name="Comma 3 4 11 4" xfId="52346" xr:uid="{030F6FC9-5542-4A2F-BEF6-C56DD5F1F2AD}"/>
    <cellStyle name="Comma 3 4 11 5" xfId="55362" xr:uid="{7D00AA2C-D034-45A9-8B8C-FD5F4FC04AE5}"/>
    <cellStyle name="Comma 3 4 12" xfId="11583" xr:uid="{622F648B-AF3B-4146-9A29-70F6FA94756B}"/>
    <cellStyle name="Comma 3 4 12 2" xfId="21707" xr:uid="{EB87296F-A595-4FF4-8A63-03348BF0CC6A}"/>
    <cellStyle name="Comma 3 4 12 3" xfId="47460" xr:uid="{B01BC2D8-7C45-43F8-B273-7C66B3B8A593}"/>
    <cellStyle name="Comma 3 4 12 4" xfId="50730" xr:uid="{60BFEB3C-BC3D-4A99-9BA8-876D36C1D510}"/>
    <cellStyle name="Comma 3 4 12 5" xfId="53746" xr:uid="{FC8B1F32-DEC0-49E5-80A4-EBAD2BD064D5}"/>
    <cellStyle name="Comma 3 4 13" xfId="23749" xr:uid="{D3A9EAA0-99AD-4BAC-8040-95CFDE185E85}"/>
    <cellStyle name="Comma 3 4 14" xfId="48632" xr:uid="{FB648E90-5919-4003-B0A9-29D9570C3FAD}"/>
    <cellStyle name="Comma 3 4 15" xfId="49540" xr:uid="{0A9B0C9A-C632-49FF-BE0D-FA7A448E924A}"/>
    <cellStyle name="Comma 3 4 16" xfId="49809" xr:uid="{57127994-A601-4D83-A9A2-9A3E66323EEE}"/>
    <cellStyle name="Comma 3 4 17" xfId="52824" xr:uid="{F1FCE6CA-18CB-44B9-B617-9694D1C41B9A}"/>
    <cellStyle name="Comma 3 4 18" xfId="8932" xr:uid="{1FA12F2A-AC65-4DA7-8143-36D2E28ADE59}"/>
    <cellStyle name="Comma 3 4 2" xfId="8933" xr:uid="{763287C9-5089-44C3-97A8-317092DD2B7D}"/>
    <cellStyle name="Comma 3 4 2 10" xfId="12315" xr:uid="{ED489027-2A7E-4F81-B945-E49D4A0679EB}"/>
    <cellStyle name="Comma 3 4 2 10 2" xfId="48436" xr:uid="{21ACA085-A838-41AE-B7FF-9A4C2F1F5999}"/>
    <cellStyle name="Comma 3 4 2 10 3" xfId="50944" xr:uid="{CB4C31AE-2044-4BEC-8925-845C01DD1071}"/>
    <cellStyle name="Comma 3 4 2 10 4" xfId="53960" xr:uid="{223D77EC-8BCE-4CEE-BE7F-E4294A562449}"/>
    <cellStyle name="Comma 3 4 2 11" xfId="23750" xr:uid="{9DF17000-BC21-4F75-B0E4-84A13C44C4A9}"/>
    <cellStyle name="Comma 3 4 2 12" xfId="48633" xr:uid="{47F55BB3-5476-4A71-A535-AD631402A134}"/>
    <cellStyle name="Comma 3 4 2 13" xfId="49541" xr:uid="{D44C9EDA-6FBE-48E4-BB64-408E8B05968C}"/>
    <cellStyle name="Comma 3 4 2 14" xfId="49810" xr:uid="{57B2AA74-93B9-4761-BCC5-0D9CF74F596B}"/>
    <cellStyle name="Comma 3 4 2 15" xfId="52825" xr:uid="{088E5F18-4D56-4A6A-A769-C0982E6D24DA}"/>
    <cellStyle name="Comma 3 4 2 2" xfId="10020" xr:uid="{22C206C7-3E86-4218-AA9F-358F8B2A9D1D}"/>
    <cellStyle name="Comma 3 4 2 2 2" xfId="10328" xr:uid="{2BFA08FD-3C20-4F44-BA96-7C1EADA7E1B4}"/>
    <cellStyle name="Comma 3 4 2 2 2 2" xfId="14773" xr:uid="{77EAFF02-B3E5-42E7-BC87-711187C05A45}"/>
    <cellStyle name="Comma 3 4 2 2 2 2 2" xfId="22320" xr:uid="{B583A9FA-ED78-4945-9046-1F4455352D76}"/>
    <cellStyle name="Comma 3 4 2 2 2 2 3" xfId="48408" xr:uid="{CAD28C93-1020-4E15-A8A7-8F20C139EB76}"/>
    <cellStyle name="Comma 3 4 2 2 2 2 4" xfId="51658" xr:uid="{14DABCB8-33C9-4B87-ABCF-60BD2243F058}"/>
    <cellStyle name="Comma 3 4 2 2 2 2 5" xfId="54674" xr:uid="{0A3E34AB-5983-4C19-841C-C5320EA746F5}"/>
    <cellStyle name="Comma 3 4 2 2 2 3" xfId="15258" xr:uid="{1E7CA7EA-1ED3-4F0B-B5A3-8945B90DE5C1}"/>
    <cellStyle name="Comma 3 4 2 2 2 3 2" xfId="22797" xr:uid="{70F83976-AD8D-43AC-861F-41EEA0C7D1E2}"/>
    <cellStyle name="Comma 3 4 2 2 2 3 3" xfId="47435" xr:uid="{36693BDB-F706-4B60-89C1-14914BE94970}"/>
    <cellStyle name="Comma 3 4 2 2 2 3 4" xfId="52135" xr:uid="{AFCC18FC-60AD-4223-A8A6-A648EEF9ACD2}"/>
    <cellStyle name="Comma 3 4 2 2 2 3 5" xfId="55151" xr:uid="{000AA5B4-865F-4868-A089-1A22EED26944}"/>
    <cellStyle name="Comma 3 4 2 2 2 4" xfId="15745" xr:uid="{E89B912C-2584-4863-9F3A-A8F4132C4C34}"/>
    <cellStyle name="Comma 3 4 2 2 2 4 2" xfId="23274" xr:uid="{38899316-593A-413B-8E05-ED241485478E}"/>
    <cellStyle name="Comma 3 4 2 2 2 4 3" xfId="46701" xr:uid="{16A32DAD-F199-4C29-85D5-4BE9CDAE29C8}"/>
    <cellStyle name="Comma 3 4 2 2 2 4 4" xfId="52612" xr:uid="{542AD63B-9400-49BF-85DD-89F2DA2366C1}"/>
    <cellStyle name="Comma 3 4 2 2 2 4 5" xfId="55628" xr:uid="{0452861F-9C68-48B9-BD87-62AC7BD53C2C}"/>
    <cellStyle name="Comma 3 4 2 2 2 5" xfId="12781" xr:uid="{54A2CFBB-2205-4EE1-ADDE-D1AFB8E55A6E}"/>
    <cellStyle name="Comma 3 4 2 2 2 5 2" xfId="48397" xr:uid="{C54B33B3-F6D9-4644-80E9-211D52A95F89}"/>
    <cellStyle name="Comma 3 4 2 2 2 5 3" xfId="51181" xr:uid="{38DDCDA8-68C8-4209-AF23-0EE74E565F4E}"/>
    <cellStyle name="Comma 3 4 2 2 2 5 4" xfId="54197" xr:uid="{C7A34ADB-AE74-420F-A4A5-97F122D8A6F6}"/>
    <cellStyle name="Comma 3 4 2 2 2 6" xfId="47952" xr:uid="{00F7ED25-4A61-4D4A-B86D-3512D6CF3F80}"/>
    <cellStyle name="Comma 3 4 2 2 2 7" xfId="50075" xr:uid="{41B58AEC-B1F0-4125-8D39-09F27EA33863}"/>
    <cellStyle name="Comma 3 4 2 2 2 8" xfId="53091" xr:uid="{EF793822-58F6-4498-B359-9CFFC6B9AB1F}"/>
    <cellStyle name="Comma 3 4 2 2 3" xfId="14561" xr:uid="{8DFF658C-56B3-4944-9EAD-C5CB41EDD714}"/>
    <cellStyle name="Comma 3 4 2 2 3 2" xfId="22108" xr:uid="{022C4634-2258-4755-9ABA-150F792A7DAA}"/>
    <cellStyle name="Comma 3 4 2 2 3 3" xfId="46835" xr:uid="{15110B1E-5A51-4616-B6AB-D921C421BF2C}"/>
    <cellStyle name="Comma 3 4 2 2 3 4" xfId="51446" xr:uid="{AD08008D-9BFB-4058-94A1-ED6D9067D983}"/>
    <cellStyle name="Comma 3 4 2 2 3 5" xfId="54462" xr:uid="{A64FFAEC-3457-4FC2-8196-0FCBF88A6958}"/>
    <cellStyle name="Comma 3 4 2 2 4" xfId="15045" xr:uid="{7DAC3872-1050-44CC-B33A-E2843F475F6A}"/>
    <cellStyle name="Comma 3 4 2 2 4 2" xfId="22585" xr:uid="{3CBAE5A8-AE99-473F-9D89-9F6CCED6539C}"/>
    <cellStyle name="Comma 3 4 2 2 4 3" xfId="46471" xr:uid="{2B0D166D-401A-40CB-B06D-8C8A87A63800}"/>
    <cellStyle name="Comma 3 4 2 2 4 4" xfId="51923" xr:uid="{1BB49252-5F71-414C-9C55-3CC84E475508}"/>
    <cellStyle name="Comma 3 4 2 2 4 5" xfId="54939" xr:uid="{E1CAC50D-94E5-4437-9D7E-1E22208B385C}"/>
    <cellStyle name="Comma 3 4 2 2 5" xfId="15532" xr:uid="{092B7C0F-7EFD-49E8-8492-397D28025518}"/>
    <cellStyle name="Comma 3 4 2 2 5 2" xfId="23062" xr:uid="{A537EF94-B5A2-45B6-8690-4319C2488515}"/>
    <cellStyle name="Comma 3 4 2 2 5 3" xfId="47725" xr:uid="{56A69840-C500-4631-9583-BFFED830B74C}"/>
    <cellStyle name="Comma 3 4 2 2 5 4" xfId="52400" xr:uid="{8F65917C-F532-4942-AA57-FDFB9179FD92}"/>
    <cellStyle name="Comma 3 4 2 2 5 5" xfId="55416" xr:uid="{E26D1D1A-974A-497A-BA02-F59EE7A4BD55}"/>
    <cellStyle name="Comma 3 4 2 2 6" xfId="12480" xr:uid="{22100769-F68F-4534-8C9C-9F4674845A44}"/>
    <cellStyle name="Comma 3 4 2 2 6 2" xfId="46311" xr:uid="{04F5EEF7-EBD0-48A4-B71A-2A492E736DC4}"/>
    <cellStyle name="Comma 3 4 2 2 6 3" xfId="50969" xr:uid="{0E009CC3-DB98-42A9-A629-45DE10385FD3}"/>
    <cellStyle name="Comma 3 4 2 2 6 4" xfId="53985" xr:uid="{CE1B6A0F-2749-49DC-A9A5-A2C66643E94B}"/>
    <cellStyle name="Comma 3 4 2 2 7" xfId="48148" xr:uid="{8410D68E-D908-45E2-B2CC-FBFD3CF0D0FC}"/>
    <cellStyle name="Comma 3 4 2 2 8" xfId="49863" xr:uid="{3A6D7A21-87ED-492C-9082-1A5B3206F856}"/>
    <cellStyle name="Comma 3 4 2 2 9" xfId="52879" xr:uid="{9A9D9236-D8D6-4C15-A0F4-38D69C5B4212}"/>
    <cellStyle name="Comma 3 4 2 3" xfId="10094" xr:uid="{E3F43E40-7BE2-46B4-90C2-490E5692FE10}"/>
    <cellStyle name="Comma 3 4 2 3 2" xfId="10407" xr:uid="{00A1894E-BCF6-43F4-9632-36F69051AA9A}"/>
    <cellStyle name="Comma 3 4 2 3 2 2" xfId="14826" xr:uid="{D7FABABA-EF5F-41EE-9876-278F45B33253}"/>
    <cellStyle name="Comma 3 4 2 3 2 2 2" xfId="22373" xr:uid="{005A0D2D-679E-4504-B2AA-1A5B4B7853C1}"/>
    <cellStyle name="Comma 3 4 2 3 2 2 3" xfId="46440" xr:uid="{DE675E33-E446-4941-865E-FE2683B4E4E4}"/>
    <cellStyle name="Comma 3 4 2 3 2 2 4" xfId="51711" xr:uid="{1A42DA7A-9D15-4F8D-8857-584DB81DC6E8}"/>
    <cellStyle name="Comma 3 4 2 3 2 2 5" xfId="54727" xr:uid="{B6282C08-4387-4085-BAB2-08C89B7FB1AE}"/>
    <cellStyle name="Comma 3 4 2 3 2 3" xfId="15311" xr:uid="{FAAA0338-5E0D-4C90-A901-2A56D15FC102}"/>
    <cellStyle name="Comma 3 4 2 3 2 3 2" xfId="22850" xr:uid="{DBDB2B93-C9D3-441E-840A-2549AEFFB5E8}"/>
    <cellStyle name="Comma 3 4 2 3 2 3 3" xfId="48073" xr:uid="{FDC7FF67-8B07-45A5-921B-6CB12B7C74E4}"/>
    <cellStyle name="Comma 3 4 2 3 2 3 4" xfId="52188" xr:uid="{1066BBB8-343A-4E1A-86C7-8F2A806100AD}"/>
    <cellStyle name="Comma 3 4 2 3 2 3 5" xfId="55204" xr:uid="{F33103DF-462F-4813-8E91-467B162FC51F}"/>
    <cellStyle name="Comma 3 4 2 3 2 4" xfId="15798" xr:uid="{BB549376-ADD3-4AEC-969F-BEDCB1897F2E}"/>
    <cellStyle name="Comma 3 4 2 3 2 4 2" xfId="23327" xr:uid="{4AB43199-5B7C-45A5-9234-5074F1529E25}"/>
    <cellStyle name="Comma 3 4 2 3 2 4 3" xfId="48230" xr:uid="{64B1EEB2-2D02-4F4D-96CB-6FA9889F7EB2}"/>
    <cellStyle name="Comma 3 4 2 3 2 4 4" xfId="52665" xr:uid="{917119F2-AFAF-459F-AF0C-2A1C6BE8511A}"/>
    <cellStyle name="Comma 3 4 2 3 2 4 5" xfId="55681" xr:uid="{E9464B4B-F236-4261-B389-CFFE0F687684}"/>
    <cellStyle name="Comma 3 4 2 3 2 5" xfId="12860" xr:uid="{2F0C3088-39E9-4750-9FC6-07B3973E4955}"/>
    <cellStyle name="Comma 3 4 2 3 2 5 2" xfId="47511" xr:uid="{BB565BDD-1438-424A-BC4B-58BAAE663B34}"/>
    <cellStyle name="Comma 3 4 2 3 2 5 3" xfId="51234" xr:uid="{A616629A-AFD7-4AD4-9D7E-B8C6343DD9FB}"/>
    <cellStyle name="Comma 3 4 2 3 2 5 4" xfId="54250" xr:uid="{43E4964D-836B-4972-A418-4D09DC774E02}"/>
    <cellStyle name="Comma 3 4 2 3 2 6" xfId="47287" xr:uid="{43BC7F5A-EC16-4EB0-9418-CA3E47B4573B}"/>
    <cellStyle name="Comma 3 4 2 3 2 7" xfId="50128" xr:uid="{6A25B6A9-A5FF-40F2-957A-8D604D19A91D}"/>
    <cellStyle name="Comma 3 4 2 3 2 8" xfId="53144" xr:uid="{A93C4B74-1212-4E30-B732-37597EED8734}"/>
    <cellStyle name="Comma 3 4 2 3 3" xfId="14614" xr:uid="{E3EC9CF1-47AF-4062-8182-429E77B8FB29}"/>
    <cellStyle name="Comma 3 4 2 3 3 2" xfId="22161" xr:uid="{A781ABB8-A824-47F9-A924-CA0C3351A02D}"/>
    <cellStyle name="Comma 3 4 2 3 3 3" xfId="35909" xr:uid="{2F478657-22EF-4153-A6F9-6F60B2F47511}"/>
    <cellStyle name="Comma 3 4 2 3 3 4" xfId="51499" xr:uid="{D5BF9141-D9EE-42D6-A9CF-CDE8563DD769}"/>
    <cellStyle name="Comma 3 4 2 3 3 5" xfId="54515" xr:uid="{2DC4D28A-E4D8-416A-84B0-8198D66BD78D}"/>
    <cellStyle name="Comma 3 4 2 3 4" xfId="15099" xr:uid="{6CF69834-4755-4EA6-A4C7-6303742772B9}"/>
    <cellStyle name="Comma 3 4 2 3 4 2" xfId="22638" xr:uid="{2EDC0881-28CF-4551-B7B4-48F9D57B0B16}"/>
    <cellStyle name="Comma 3 4 2 3 4 3" xfId="48216" xr:uid="{74783FCF-98F8-404F-AB5C-DCEEBDD890E1}"/>
    <cellStyle name="Comma 3 4 2 3 4 4" xfId="51976" xr:uid="{2B2438DB-0910-49D3-B74F-EB6B1DC143A0}"/>
    <cellStyle name="Comma 3 4 2 3 4 5" xfId="54992" xr:uid="{BDF0D875-44CC-46D1-A77C-9DF848224421}"/>
    <cellStyle name="Comma 3 4 2 3 5" xfId="15586" xr:uid="{9422CEBA-AAB6-4895-BB0A-31A2214CD982}"/>
    <cellStyle name="Comma 3 4 2 3 5 2" xfId="23115" xr:uid="{8D7D5DA0-8EBB-4B20-927E-3FBEA4A069F0}"/>
    <cellStyle name="Comma 3 4 2 3 5 3" xfId="48518" xr:uid="{5F8A0403-4716-4457-AE58-86AB2399655C}"/>
    <cellStyle name="Comma 3 4 2 3 5 4" xfId="52453" xr:uid="{09E57278-93B5-4871-AEB4-AEA8C72928B2}"/>
    <cellStyle name="Comma 3 4 2 3 5 5" xfId="55469" xr:uid="{CC017268-4D31-42AA-AC7A-F38FFB4161AF}"/>
    <cellStyle name="Comma 3 4 2 3 6" xfId="12551" xr:uid="{12BE0BB4-E11D-4FB2-9FC2-033C3044AE75}"/>
    <cellStyle name="Comma 3 4 2 3 6 2" xfId="47987" xr:uid="{C350E50D-B24D-4427-8E1D-D8D58007C22D}"/>
    <cellStyle name="Comma 3 4 2 3 6 3" xfId="51022" xr:uid="{04082AD6-B32B-4A64-8B48-0A045BBED257}"/>
    <cellStyle name="Comma 3 4 2 3 6 4" xfId="54038" xr:uid="{40860471-8E5B-4052-A59F-3E0F20F89E3E}"/>
    <cellStyle name="Comma 3 4 2 3 7" xfId="48448" xr:uid="{2D8D9ABF-1644-4B3C-918D-B0D2DF464661}"/>
    <cellStyle name="Comma 3 4 2 3 8" xfId="49916" xr:uid="{F4F45E2C-C11C-4492-A082-63A24E3C65C9}"/>
    <cellStyle name="Comma 3 4 2 3 9" xfId="52932" xr:uid="{1D68E62C-2082-4792-AB7B-1FF93CE1B4BD}"/>
    <cellStyle name="Comma 3 4 2 4" xfId="10173" xr:uid="{B988B487-4C71-4B24-AE35-DB78DACC9F10}"/>
    <cellStyle name="Comma 3 4 2 4 2" xfId="10487" xr:uid="{1B853E01-E080-467C-88C0-A050949F5FDB}"/>
    <cellStyle name="Comma 3 4 2 4 2 2" xfId="14879" xr:uid="{F0B731D9-C96A-4E11-A131-0E2E372CC6D0}"/>
    <cellStyle name="Comma 3 4 2 4 2 2 2" xfId="22426" xr:uid="{FB2DEFE3-789E-447C-9C04-37B8AA804E24}"/>
    <cellStyle name="Comma 3 4 2 4 2 2 3" xfId="47685" xr:uid="{92B94288-C5BD-4924-85FA-F14A7C2F6EF8}"/>
    <cellStyle name="Comma 3 4 2 4 2 2 4" xfId="51764" xr:uid="{C52A2B03-29D9-424A-9464-406879B62D97}"/>
    <cellStyle name="Comma 3 4 2 4 2 2 5" xfId="54780" xr:uid="{B6134BD0-F4E4-4886-9318-31879E9E36F9}"/>
    <cellStyle name="Comma 3 4 2 4 2 3" xfId="15364" xr:uid="{1E6FD6D4-A70E-4E69-917E-D77413500FD2}"/>
    <cellStyle name="Comma 3 4 2 4 2 3 2" xfId="22903" xr:uid="{72C1DBD5-6214-4BC0-A5B8-8365AFDE1B03}"/>
    <cellStyle name="Comma 3 4 2 4 2 3 3" xfId="24442" xr:uid="{DC442453-F5B5-413E-9C43-4FE49F06601A}"/>
    <cellStyle name="Comma 3 4 2 4 2 3 4" xfId="52241" xr:uid="{43BF755D-FAE7-4688-8D3D-A09B7C75E8CF}"/>
    <cellStyle name="Comma 3 4 2 4 2 3 5" xfId="55257" xr:uid="{3BABC451-7370-4FD7-9486-8BD1C8230499}"/>
    <cellStyle name="Comma 3 4 2 4 2 4" xfId="15851" xr:uid="{F2107B36-FC40-4031-8E43-53F82F6C45C3}"/>
    <cellStyle name="Comma 3 4 2 4 2 4 2" xfId="23380" xr:uid="{B8316DA2-7162-4D35-9303-6F3DCE9A01C7}"/>
    <cellStyle name="Comma 3 4 2 4 2 4 3" xfId="48426" xr:uid="{C9DF58C5-FE4D-4A9E-8676-2F0F8B6C5252}"/>
    <cellStyle name="Comma 3 4 2 4 2 4 4" xfId="52718" xr:uid="{64913401-596B-45E5-B322-3643E41AF489}"/>
    <cellStyle name="Comma 3 4 2 4 2 4 5" xfId="55734" xr:uid="{B5B9F3DA-23CA-410E-A3E5-D961E8340373}"/>
    <cellStyle name="Comma 3 4 2 4 2 5" xfId="12940" xr:uid="{30BFD096-A5CD-442B-B5B5-5675B1C74D27}"/>
    <cellStyle name="Comma 3 4 2 4 2 5 2" xfId="47322" xr:uid="{E15DE384-35AD-4652-8418-D402DDCE12B3}"/>
    <cellStyle name="Comma 3 4 2 4 2 5 3" xfId="51287" xr:uid="{C0E0C46E-5959-4B5C-85CE-CD9D6BB85D9C}"/>
    <cellStyle name="Comma 3 4 2 4 2 5 4" xfId="54303" xr:uid="{D1642799-CE07-41EE-88E1-EEF0E735708D}"/>
    <cellStyle name="Comma 3 4 2 4 2 6" xfId="47884" xr:uid="{7088CB32-C4F7-4890-8608-1ADFA0E51B0E}"/>
    <cellStyle name="Comma 3 4 2 4 2 7" xfId="50181" xr:uid="{33E1B00B-06BA-4B85-BA02-B4257D823EE7}"/>
    <cellStyle name="Comma 3 4 2 4 2 8" xfId="53197" xr:uid="{DC9F8712-2D87-46A0-8E66-C77775557E17}"/>
    <cellStyle name="Comma 3 4 2 4 3" xfId="14667" xr:uid="{C8EC1A0F-9F20-47FF-B617-A3D662953C3C}"/>
    <cellStyle name="Comma 3 4 2 4 3 2" xfId="22214" xr:uid="{0DFFA565-A118-408B-8B00-B8A8DB6B7142}"/>
    <cellStyle name="Comma 3 4 2 4 3 3" xfId="24969" xr:uid="{50A8FE8A-661D-4FBD-913D-6410C8F4A4C4}"/>
    <cellStyle name="Comma 3 4 2 4 3 4" xfId="51552" xr:uid="{6131EF78-6754-4C59-9F8A-E7785FA7E3BF}"/>
    <cellStyle name="Comma 3 4 2 4 3 5" xfId="54568" xr:uid="{4FDDD19A-E374-4697-A196-BB99D0578C38}"/>
    <cellStyle name="Comma 3 4 2 4 4" xfId="15152" xr:uid="{395FF5B8-BB7F-4FA1-BFF9-3744E2A6A200}"/>
    <cellStyle name="Comma 3 4 2 4 4 2" xfId="22691" xr:uid="{A03AEB87-E0C8-4EB3-AE64-CC91A5C2BD0E}"/>
    <cellStyle name="Comma 3 4 2 4 4 3" xfId="47000" xr:uid="{0CB87BD3-3A7F-482F-9F66-0E35CB9080F5}"/>
    <cellStyle name="Comma 3 4 2 4 4 4" xfId="52029" xr:uid="{4BE751E7-7490-4224-87AC-D0CA28180CBE}"/>
    <cellStyle name="Comma 3 4 2 4 4 5" xfId="55045" xr:uid="{9484023F-C030-4B70-B097-718A396412D9}"/>
    <cellStyle name="Comma 3 4 2 4 5" xfId="15639" xr:uid="{9188268A-EDFD-43A7-A745-28DD7C9C5FD0}"/>
    <cellStyle name="Comma 3 4 2 4 5 2" xfId="23168" xr:uid="{B655AF50-BCE0-401B-B38B-7EB53B9C8D44}"/>
    <cellStyle name="Comma 3 4 2 4 5 3" xfId="46946" xr:uid="{574A5DAD-2122-43F4-966E-488C64B19A71}"/>
    <cellStyle name="Comma 3 4 2 4 5 4" xfId="52506" xr:uid="{07AAA794-6CDF-46C6-A542-92E27A41F97E}"/>
    <cellStyle name="Comma 3 4 2 4 5 5" xfId="55522" xr:uid="{EA1D5CB7-0383-4823-8994-D35DC7B6081D}"/>
    <cellStyle name="Comma 3 4 2 4 6" xfId="12627" xr:uid="{A075063C-2878-45FA-8FF7-FFE648053552}"/>
    <cellStyle name="Comma 3 4 2 4 6 2" xfId="24218" xr:uid="{EED03E5F-ADF9-4AD2-8205-4857364C5CC0}"/>
    <cellStyle name="Comma 3 4 2 4 6 3" xfId="51075" xr:uid="{D58EFAC4-9DBF-47B0-81AE-933FDC7BCE38}"/>
    <cellStyle name="Comma 3 4 2 4 6 4" xfId="54091" xr:uid="{3E20C538-F0AB-4A29-BFA5-97CDC5AF27E1}"/>
    <cellStyle name="Comma 3 4 2 4 7" xfId="46618" xr:uid="{CFF8252C-8688-4DAA-851A-325928E0A53F}"/>
    <cellStyle name="Comma 3 4 2 4 8" xfId="49969" xr:uid="{182050B6-47A8-4AAE-B062-DD4D6093BBA7}"/>
    <cellStyle name="Comma 3 4 2 4 9" xfId="52985" xr:uid="{C3EA2787-708D-4CA4-B2B1-A937FC29C4B0}"/>
    <cellStyle name="Comma 3 4 2 5" xfId="10253" xr:uid="{003E0F50-FBF6-4108-9608-03D8429D153D}"/>
    <cellStyle name="Comma 3 4 2 5 2" xfId="14720" xr:uid="{0C17E6A7-9F04-424B-BD53-2D605A16F193}"/>
    <cellStyle name="Comma 3 4 2 5 2 2" xfId="22267" xr:uid="{7F208E57-EEBF-4A96-98E8-84B9DFFC5667}"/>
    <cellStyle name="Comma 3 4 2 5 2 3" xfId="47928" xr:uid="{21BCE69C-D6F0-44E4-B24D-24EECC4F08E0}"/>
    <cellStyle name="Comma 3 4 2 5 2 4" xfId="51605" xr:uid="{B2E0AB0A-6E97-4F7D-976E-100064A4F01F}"/>
    <cellStyle name="Comma 3 4 2 5 2 5" xfId="54621" xr:uid="{054BD65A-8474-465A-8E2F-70D33E2D1781}"/>
    <cellStyle name="Comma 3 4 2 5 3" xfId="15205" xr:uid="{F2F22ABB-F7DD-4243-9964-0B7D75DE04D7}"/>
    <cellStyle name="Comma 3 4 2 5 3 2" xfId="22744" xr:uid="{36E635D3-3EEF-4358-8E09-0E319F5810CE}"/>
    <cellStyle name="Comma 3 4 2 5 3 3" xfId="47188" xr:uid="{0651E763-EB47-494C-B0C8-F66E8E8634BC}"/>
    <cellStyle name="Comma 3 4 2 5 3 4" xfId="52082" xr:uid="{67B79392-AE86-4192-8961-2318F99C0E9F}"/>
    <cellStyle name="Comma 3 4 2 5 3 5" xfId="55098" xr:uid="{246BC0A7-8031-46D6-9E4C-6011436F7689}"/>
    <cellStyle name="Comma 3 4 2 5 4" xfId="15692" xr:uid="{5E5106EA-7752-41A8-A411-29B59E83A506}"/>
    <cellStyle name="Comma 3 4 2 5 4 2" xfId="23221" xr:uid="{75D0DAFB-2626-4669-9E99-B4BBAADFB98A}"/>
    <cellStyle name="Comma 3 4 2 5 4 3" xfId="48228" xr:uid="{9A49520A-9D36-4BA5-BD9D-9FCE9F280A44}"/>
    <cellStyle name="Comma 3 4 2 5 4 4" xfId="52559" xr:uid="{78CA92C0-4FEF-43BD-9487-E2C41A87EAED}"/>
    <cellStyle name="Comma 3 4 2 5 4 5" xfId="55575" xr:uid="{5898402B-B8FD-46D7-8FF5-2E9E87928ADC}"/>
    <cellStyle name="Comma 3 4 2 5 5" xfId="12706" xr:uid="{45B44248-4623-4B2A-A99F-D32E13613F59}"/>
    <cellStyle name="Comma 3 4 2 5 5 2" xfId="37117" xr:uid="{3EB81B4E-8C97-4AA6-B916-E64BC85970EF}"/>
    <cellStyle name="Comma 3 4 2 5 5 3" xfId="51128" xr:uid="{C427FA1A-BFBE-4EE5-B735-9B3ED4428784}"/>
    <cellStyle name="Comma 3 4 2 5 5 4" xfId="54144" xr:uid="{66386A7E-50C0-40B7-81F1-4E1827DE7E47}"/>
    <cellStyle name="Comma 3 4 2 5 6" xfId="47652" xr:uid="{98C17139-D122-48FA-B306-A550E7502259}"/>
    <cellStyle name="Comma 3 4 2 5 7" xfId="50022" xr:uid="{2DE2183F-18A4-4D78-A36F-263525B80EE9}"/>
    <cellStyle name="Comma 3 4 2 5 8" xfId="53038" xr:uid="{983C5CD4-88B9-42C5-BA8B-AD6038ABBE64}"/>
    <cellStyle name="Comma 3 4 2 6" xfId="10567" xr:uid="{650074EA-C58E-47D2-9FED-4D7B2CB198C3}"/>
    <cellStyle name="Comma 3 4 2 6 2" xfId="14932" xr:uid="{E1406AE9-A11F-4BD5-A5E6-2DCB7C6CB4B5}"/>
    <cellStyle name="Comma 3 4 2 6 2 2" xfId="22479" xr:uid="{9D924A89-3A1F-4C70-87FA-BA20171E452A}"/>
    <cellStyle name="Comma 3 4 2 6 2 3" xfId="48214" xr:uid="{F70DE013-7B25-40CA-AA87-2A9012E50023}"/>
    <cellStyle name="Comma 3 4 2 6 2 4" xfId="51817" xr:uid="{0B0C35BC-71EE-4D03-941F-0884529411FC}"/>
    <cellStyle name="Comma 3 4 2 6 2 5" xfId="54833" xr:uid="{375BECD5-9710-4D35-B158-E0DA0247E2F4}"/>
    <cellStyle name="Comma 3 4 2 6 3" xfId="15417" xr:uid="{5D2BFD6E-B81E-46C2-82B9-31F468EB48EF}"/>
    <cellStyle name="Comma 3 4 2 6 3 2" xfId="22956" xr:uid="{16A47B9F-CA21-48CA-A621-B369427F5104}"/>
    <cellStyle name="Comma 3 4 2 6 3 3" xfId="24652" xr:uid="{880F425A-DF04-4C5D-AD35-04304CB8BFEB}"/>
    <cellStyle name="Comma 3 4 2 6 3 4" xfId="52294" xr:uid="{89D66B87-03E1-46D8-9401-76E96F3ED558}"/>
    <cellStyle name="Comma 3 4 2 6 3 5" xfId="55310" xr:uid="{02521796-F0F7-4439-BA12-BDF07D2FCE7D}"/>
    <cellStyle name="Comma 3 4 2 6 4" xfId="15905" xr:uid="{D80CFE34-8832-4883-B3D5-677065337DDB}"/>
    <cellStyle name="Comma 3 4 2 6 4 2" xfId="23433" xr:uid="{7E4D1C47-B1DE-4804-9521-B440E7A5A88B}"/>
    <cellStyle name="Comma 3 4 2 6 4 3" xfId="48427" xr:uid="{A30F224A-CAF5-4847-9125-D3525CA81F1B}"/>
    <cellStyle name="Comma 3 4 2 6 4 4" xfId="52771" xr:uid="{7CB83CA1-9AC1-4992-9A76-6AC32DB392C1}"/>
    <cellStyle name="Comma 3 4 2 6 4 5" xfId="55787" xr:uid="{8354946B-FF94-4FDF-9800-B2C5582D5E0B}"/>
    <cellStyle name="Comma 3 4 2 6 5" xfId="13020" xr:uid="{A39599A3-E16B-4E57-801B-80C970551F79}"/>
    <cellStyle name="Comma 3 4 2 6 5 2" xfId="47665" xr:uid="{C5DA2A40-E8C3-4694-8B12-4AED7A936394}"/>
    <cellStyle name="Comma 3 4 2 6 5 3" xfId="51340" xr:uid="{0A2E7A12-6931-4B2A-826F-1A0A163D3318}"/>
    <cellStyle name="Comma 3 4 2 6 5 4" xfId="54356" xr:uid="{1FADABBC-87DD-4F93-A9D5-AF39EFCA1C14}"/>
    <cellStyle name="Comma 3 4 2 6 6" xfId="25368" xr:uid="{9651B73A-D1EA-4F04-9F6D-12A3BBC48B1E}"/>
    <cellStyle name="Comma 3 4 2 6 7" xfId="50234" xr:uid="{9BC468ED-2D54-4CA7-A3A9-BD35F2400EAD}"/>
    <cellStyle name="Comma 3 4 2 6 8" xfId="53250" xr:uid="{33DDE9E1-541C-4538-B5D3-8D1263E536C7}"/>
    <cellStyle name="Comma 3 4 2 7" xfId="14508" xr:uid="{D63988EB-2A5B-4EE2-970D-A9EAAA95BF6B}"/>
    <cellStyle name="Comma 3 4 2 7 2" xfId="22055" xr:uid="{64B46941-54E6-470F-A117-5AA0BDF64AFF}"/>
    <cellStyle name="Comma 3 4 2 7 3" xfId="23977" xr:uid="{F748C02A-D00D-44FB-87D7-9C43804768E4}"/>
    <cellStyle name="Comma 3 4 2 7 4" xfId="51393" xr:uid="{797BB4BD-4A66-41C3-9FFD-E9B933FAC193}"/>
    <cellStyle name="Comma 3 4 2 7 5" xfId="54409" xr:uid="{09AABB1A-0110-488D-A7E1-6F1F172747C2}"/>
    <cellStyle name="Comma 3 4 2 8" xfId="14992" xr:uid="{11AE9B90-9D85-44A9-9D43-D96E253DCFFB}"/>
    <cellStyle name="Comma 3 4 2 8 2" xfId="22532" xr:uid="{10C4876E-C018-49A8-9920-759D66AD5AA0}"/>
    <cellStyle name="Comma 3 4 2 8 3" xfId="32512" xr:uid="{6B2961EC-44DD-438C-AD22-540CCA321A7C}"/>
    <cellStyle name="Comma 3 4 2 8 4" xfId="51870" xr:uid="{B0212375-C226-4CAC-B730-345D5AA1389B}"/>
    <cellStyle name="Comma 3 4 2 8 5" xfId="54886" xr:uid="{3CFD3184-FD6D-4874-81E9-2DFB980A0083}"/>
    <cellStyle name="Comma 3 4 2 9" xfId="15479" xr:uid="{7CF6A657-DB43-4C90-91DE-3499FD2A21D3}"/>
    <cellStyle name="Comma 3 4 2 9 2" xfId="23009" xr:uid="{EB3C9B89-7E65-49A6-90E1-A2B78DF5DB97}"/>
    <cellStyle name="Comma 3 4 2 9 3" xfId="32360" xr:uid="{FBEB1FF8-3DFB-4D99-8D59-B74DF2F176F7}"/>
    <cellStyle name="Comma 3 4 2 9 4" xfId="52347" xr:uid="{D2925376-6676-4C2B-9AFB-938562625A1A}"/>
    <cellStyle name="Comma 3 4 2 9 5" xfId="55363" xr:uid="{14D5754D-A5E3-437F-A59E-D26D108BF853}"/>
    <cellStyle name="Comma 3 4 3" xfId="10019" xr:uid="{40F33166-2725-4B77-9784-0BE8E48E9B9A}"/>
    <cellStyle name="Comma 3 4 3 2" xfId="10327" xr:uid="{8178249F-5511-4C31-BE2E-08AC7136EC19}"/>
    <cellStyle name="Comma 3 4 3 2 2" xfId="14772" xr:uid="{10C07447-2B96-4332-A74C-7FCEA1F7E75E}"/>
    <cellStyle name="Comma 3 4 3 2 2 2" xfId="22319" xr:uid="{BCAAE701-9EBC-4EF7-92D8-015450B65CCD}"/>
    <cellStyle name="Comma 3 4 3 2 2 3" xfId="24950" xr:uid="{A8D8E010-271F-42FC-9C30-1FE41EB77727}"/>
    <cellStyle name="Comma 3 4 3 2 2 4" xfId="51657" xr:uid="{DE64484E-8A94-4792-A439-13F7A62DDB31}"/>
    <cellStyle name="Comma 3 4 3 2 2 5" xfId="54673" xr:uid="{2F6CAEE0-1D7E-4A7A-BC32-1F308B4CBE71}"/>
    <cellStyle name="Comma 3 4 3 2 3" xfId="15257" xr:uid="{833DC5F6-F77D-4B1F-B88A-BEFBC018752A}"/>
    <cellStyle name="Comma 3 4 3 2 3 2" xfId="22796" xr:uid="{C43A9075-DF41-4050-AAFC-84479A3DFCE9}"/>
    <cellStyle name="Comma 3 4 3 2 3 3" xfId="46504" xr:uid="{E35AAE81-331B-49A3-9A27-9F5C15DA30B7}"/>
    <cellStyle name="Comma 3 4 3 2 3 4" xfId="52134" xr:uid="{A9A9F0D2-9438-4900-8709-23F9073116D5}"/>
    <cellStyle name="Comma 3 4 3 2 3 5" xfId="55150" xr:uid="{A98F4AA4-D412-40F2-925A-574523FB509F}"/>
    <cellStyle name="Comma 3 4 3 2 4" xfId="15744" xr:uid="{881FDB7D-E855-442C-AC7C-9DB3AD0A70B5}"/>
    <cellStyle name="Comma 3 4 3 2 4 2" xfId="23273" xr:uid="{FDA601EC-EBE3-4E46-AF45-7E490FC48CE9}"/>
    <cellStyle name="Comma 3 4 3 2 4 3" xfId="48555" xr:uid="{89CF6514-D9F6-4BBA-82F1-DF0B4A56FC57}"/>
    <cellStyle name="Comma 3 4 3 2 4 4" xfId="52611" xr:uid="{4CAB16E1-0AA4-42CF-A44C-0F53AD24CC32}"/>
    <cellStyle name="Comma 3 4 3 2 4 5" xfId="55627" xr:uid="{858D78CF-0958-4AC6-99A4-45406C6B92B0}"/>
    <cellStyle name="Comma 3 4 3 2 5" xfId="12780" xr:uid="{86B6E24A-4667-4B07-B54D-CD5221494F9E}"/>
    <cellStyle name="Comma 3 4 3 2 5 2" xfId="47020" xr:uid="{931D20B6-8BA6-4D85-ADF2-0E953C596E59}"/>
    <cellStyle name="Comma 3 4 3 2 5 3" xfId="51180" xr:uid="{4A24F3E2-C608-47B0-A53F-FFDD42ECFF08}"/>
    <cellStyle name="Comma 3 4 3 2 5 4" xfId="54196" xr:uid="{C535EBEF-998F-4EAE-B5EB-DF43C63C2C91}"/>
    <cellStyle name="Comma 3 4 3 2 6" xfId="47261" xr:uid="{C21346B4-9496-45B1-852D-4CF96C0D5D77}"/>
    <cellStyle name="Comma 3 4 3 2 7" xfId="50074" xr:uid="{1879CBAF-94A8-4D2F-BB07-F09D05F41BA4}"/>
    <cellStyle name="Comma 3 4 3 2 8" xfId="53090" xr:uid="{300A9D01-09F6-44E8-BA9D-5EEA5F8ED9BE}"/>
    <cellStyle name="Comma 3 4 3 3" xfId="14560" xr:uid="{FC94C98E-F3F2-4382-ACA1-E7B2A98E8EFC}"/>
    <cellStyle name="Comma 3 4 3 3 2" xfId="22107" xr:uid="{FD76690D-CB61-47D4-BE99-FF9E8289CB29}"/>
    <cellStyle name="Comma 3 4 3 3 3" xfId="48113" xr:uid="{4BF93D33-C9E5-40D3-9399-6E425A647ABA}"/>
    <cellStyle name="Comma 3 4 3 3 4" xfId="51445" xr:uid="{F1AA3A0B-7428-4FB1-BE12-8B729738F238}"/>
    <cellStyle name="Comma 3 4 3 3 5" xfId="54461" xr:uid="{B2273B46-B22E-4BAC-8529-29A27675F5BA}"/>
    <cellStyle name="Comma 3 4 3 4" xfId="15044" xr:uid="{CC9A5252-6107-44FB-A97A-AAC9B45F04DE}"/>
    <cellStyle name="Comma 3 4 3 4 2" xfId="22584" xr:uid="{2B580EAE-8978-423E-A054-1257AB6C6F12}"/>
    <cellStyle name="Comma 3 4 3 4 3" xfId="47668" xr:uid="{847502D5-DCA6-4E2F-97D8-8E385AEE0661}"/>
    <cellStyle name="Comma 3 4 3 4 4" xfId="51922" xr:uid="{9B778145-A9DE-4915-982B-82FFA9B10842}"/>
    <cellStyle name="Comma 3 4 3 4 5" xfId="54938" xr:uid="{6365DBFD-8E4A-4008-97E7-CB8BEA4F2509}"/>
    <cellStyle name="Comma 3 4 3 5" xfId="15531" xr:uid="{DA49F85A-332E-4615-AB46-2E3765CC9788}"/>
    <cellStyle name="Comma 3 4 3 5 2" xfId="23061" xr:uid="{2FE409F4-4B35-4601-B3F0-441DFA8F50EC}"/>
    <cellStyle name="Comma 3 4 3 5 3" xfId="46546" xr:uid="{637A1B0C-AEE3-4E30-A42C-A4C469A8C538}"/>
    <cellStyle name="Comma 3 4 3 5 4" xfId="52399" xr:uid="{C5140633-2D96-4ECC-9D74-2A3EC7CC68B7}"/>
    <cellStyle name="Comma 3 4 3 5 5" xfId="55415" xr:uid="{03953638-9837-406D-BAE6-7A0F198B68D4}"/>
    <cellStyle name="Comma 3 4 3 6" xfId="12479" xr:uid="{E91C110E-9F57-4D44-A062-AF9A935CD295}"/>
    <cellStyle name="Comma 3 4 3 6 2" xfId="48194" xr:uid="{3F2665A2-66D4-4C9C-A74D-62DA8219A6A4}"/>
    <cellStyle name="Comma 3 4 3 6 3" xfId="50968" xr:uid="{93964051-7681-4792-8680-5A932FC627AD}"/>
    <cellStyle name="Comma 3 4 3 6 4" xfId="53984" xr:uid="{EA753F26-695C-4508-B3C2-3B14B76E3FBD}"/>
    <cellStyle name="Comma 3 4 3 7" xfId="46025" xr:uid="{E2A419AC-F26C-432B-BE49-13FB6513FB79}"/>
    <cellStyle name="Comma 3 4 3 8" xfId="49862" xr:uid="{06B038AF-754B-4DEC-80BB-B6C9C1B1F8E0}"/>
    <cellStyle name="Comma 3 4 3 9" xfId="52878" xr:uid="{D863717D-47AA-464D-9962-65C8D600CFE7}"/>
    <cellStyle name="Comma 3 4 4" xfId="10093" xr:uid="{DDBAABA2-D921-461E-A5D8-884BAE968452}"/>
    <cellStyle name="Comma 3 4 4 2" xfId="10406" xr:uid="{EE2B9EAF-B23D-4F13-A666-F7F892C041FC}"/>
    <cellStyle name="Comma 3 4 4 2 2" xfId="14825" xr:uid="{3C5E81AB-FF2B-414F-95C0-D96A40BCE879}"/>
    <cellStyle name="Comma 3 4 4 2 2 2" xfId="22372" xr:uid="{AAC7A977-879C-4542-B124-5CAC34FBA820}"/>
    <cellStyle name="Comma 3 4 4 2 2 3" xfId="47630" xr:uid="{300DC469-B0FD-4C6D-811D-2C780F53FF73}"/>
    <cellStyle name="Comma 3 4 4 2 2 4" xfId="51710" xr:uid="{6F6FCBA5-68ED-4474-BCD6-555C4D37476B}"/>
    <cellStyle name="Comma 3 4 4 2 2 5" xfId="54726" xr:uid="{41DB8A51-9C9F-4882-96CF-38B1D44C539E}"/>
    <cellStyle name="Comma 3 4 4 2 3" xfId="15310" xr:uid="{C082ABE6-389F-43A2-B055-5A447CDD80BD}"/>
    <cellStyle name="Comma 3 4 4 2 3 2" xfId="22849" xr:uid="{7E3BF5CD-D2B4-415D-9BED-7659A77B1086}"/>
    <cellStyle name="Comma 3 4 4 2 3 3" xfId="46906" xr:uid="{FD90B646-DEDB-4D8B-8114-5A9AA7369899}"/>
    <cellStyle name="Comma 3 4 4 2 3 4" xfId="52187" xr:uid="{980C9FAE-7814-4712-AE08-343B610DB155}"/>
    <cellStyle name="Comma 3 4 4 2 3 5" xfId="55203" xr:uid="{49696943-CA76-4155-953F-7DDA11B03BD9}"/>
    <cellStyle name="Comma 3 4 4 2 4" xfId="15797" xr:uid="{EC60D4BE-BE8C-41F3-A814-35310E0A58DD}"/>
    <cellStyle name="Comma 3 4 4 2 4 2" xfId="23326" xr:uid="{4A53BD3F-A986-4681-A64B-8B3D39F4BC01}"/>
    <cellStyle name="Comma 3 4 4 2 4 3" xfId="32358" xr:uid="{1152FD04-6860-4176-A330-D19B7F992D80}"/>
    <cellStyle name="Comma 3 4 4 2 4 4" xfId="52664" xr:uid="{6A23CA87-2E7F-45C0-A387-D0DBF2B0D6C7}"/>
    <cellStyle name="Comma 3 4 4 2 4 5" xfId="55680" xr:uid="{1CA31F34-7717-4B17-8458-6319BC0DC5EA}"/>
    <cellStyle name="Comma 3 4 4 2 5" xfId="12859" xr:uid="{679C3CDA-C57B-4C50-B9F4-334F5CFC1A53}"/>
    <cellStyle name="Comma 3 4 4 2 5 2" xfId="46996" xr:uid="{3160FF7F-03F7-4DC0-83C9-46C22C36F166}"/>
    <cellStyle name="Comma 3 4 4 2 5 3" xfId="51233" xr:uid="{71CC360B-39DC-4F94-90CD-A0CC1B361F73}"/>
    <cellStyle name="Comma 3 4 4 2 5 4" xfId="54249" xr:uid="{16EECDCC-2F4D-4732-A081-045CDE8E037F}"/>
    <cellStyle name="Comma 3 4 4 2 6" xfId="46111" xr:uid="{80B46524-F193-4A13-AD70-7455021F5EAD}"/>
    <cellStyle name="Comma 3 4 4 2 7" xfId="50127" xr:uid="{D690FECC-03D8-4D21-8649-035AB6DAEF77}"/>
    <cellStyle name="Comma 3 4 4 2 8" xfId="53143" xr:uid="{88EA8A3A-4FF3-4A6F-9B13-0098A871163E}"/>
    <cellStyle name="Comma 3 4 4 3" xfId="14613" xr:uid="{2369CFA5-1830-40F6-8127-3220796E6A0E}"/>
    <cellStyle name="Comma 3 4 4 3 2" xfId="22160" xr:uid="{F4AA83A7-BB41-44B0-9FA4-4012D991CC81}"/>
    <cellStyle name="Comma 3 4 4 3 3" xfId="47177" xr:uid="{C73464C8-1891-4849-98FE-36623B6E357C}"/>
    <cellStyle name="Comma 3 4 4 3 4" xfId="51498" xr:uid="{E45C4434-7A32-465C-953A-39A40358823D}"/>
    <cellStyle name="Comma 3 4 4 3 5" xfId="54514" xr:uid="{A614D597-50D4-4207-B522-52B4ED741FA1}"/>
    <cellStyle name="Comma 3 4 4 4" xfId="15098" xr:uid="{867E9E00-F682-46FA-881A-630C0E938423}"/>
    <cellStyle name="Comma 3 4 4 4 2" xfId="22637" xr:uid="{3EE1FCE5-2045-4C73-8157-0B94F6512144}"/>
    <cellStyle name="Comma 3 4 4 4 3" xfId="48262" xr:uid="{1B3719B4-0331-4175-8CF9-BE35FE72C3D8}"/>
    <cellStyle name="Comma 3 4 4 4 4" xfId="51975" xr:uid="{D3A2A2E1-1ED8-4BED-9848-E6B578AF7905}"/>
    <cellStyle name="Comma 3 4 4 4 5" xfId="54991" xr:uid="{A43DC3DD-5E7C-4110-95FC-32CC54ACCFE9}"/>
    <cellStyle name="Comma 3 4 4 5" xfId="15585" xr:uid="{504AE22C-D267-474F-81C7-AF2738365850}"/>
    <cellStyle name="Comma 3 4 4 5 2" xfId="23114" xr:uid="{6DF4A82B-744D-46E4-B8A4-E35FF24A5EF0}"/>
    <cellStyle name="Comma 3 4 4 5 3" xfId="47498" xr:uid="{2D67084B-2552-4157-AE93-C018CF12F747}"/>
    <cellStyle name="Comma 3 4 4 5 4" xfId="52452" xr:uid="{1E28409F-ADFA-4053-B4F7-FD1C727CFD77}"/>
    <cellStyle name="Comma 3 4 4 5 5" xfId="55468" xr:uid="{186A1546-5CEE-4978-9CD9-6D1A2F7BF8FB}"/>
    <cellStyle name="Comma 3 4 4 6" xfId="12550" xr:uid="{B05F39BC-D108-417F-AD30-2DAE8E9DA3D8}"/>
    <cellStyle name="Comma 3 4 4 6 2" xfId="25080" xr:uid="{60D18A11-A25B-4DB5-9A9B-0524022C0E36}"/>
    <cellStyle name="Comma 3 4 4 6 3" xfId="51021" xr:uid="{54BE8F69-4C2F-4211-9733-4E7F2E0C70D4}"/>
    <cellStyle name="Comma 3 4 4 6 4" xfId="54037" xr:uid="{D6B99BCC-6BA0-462A-8280-D381C1B99741}"/>
    <cellStyle name="Comma 3 4 4 7" xfId="46042" xr:uid="{644AF3C4-EA87-4CE3-A2B3-2F163EDB266F}"/>
    <cellStyle name="Comma 3 4 4 8" xfId="49915" xr:uid="{338B784D-87C7-4148-9256-964D92933607}"/>
    <cellStyle name="Comma 3 4 4 9" xfId="52931" xr:uid="{C6C8E4FF-5AEF-42EB-9694-E0AC864DC95B}"/>
    <cellStyle name="Comma 3 4 5" xfId="10172" xr:uid="{E0C8E572-78DF-4BC0-B93C-9640B9640E9A}"/>
    <cellStyle name="Comma 3 4 5 2" xfId="10486" xr:uid="{C85A060F-697D-458B-A470-6B39D9446BBF}"/>
    <cellStyle name="Comma 3 4 5 2 2" xfId="14878" xr:uid="{9DB66DFE-DB21-4D0E-A138-74B6C89686AB}"/>
    <cellStyle name="Comma 3 4 5 2 2 2" xfId="22425" xr:uid="{A2FA21AD-A094-428C-9ECA-6425AD3CF72A}"/>
    <cellStyle name="Comma 3 4 5 2 2 3" xfId="46999" xr:uid="{1B714C83-A7BC-4424-81D7-8EE5CA73693F}"/>
    <cellStyle name="Comma 3 4 5 2 2 4" xfId="51763" xr:uid="{FEA40FD1-FAC0-48D7-9931-2F223A22DFDB}"/>
    <cellStyle name="Comma 3 4 5 2 2 5" xfId="54779" xr:uid="{BEA9EDC4-1E67-4C76-AC2C-CF9E2C50059A}"/>
    <cellStyle name="Comma 3 4 5 2 3" xfId="15363" xr:uid="{7F543CF1-92BB-4942-8647-51899B33692E}"/>
    <cellStyle name="Comma 3 4 5 2 3 2" xfId="22902" xr:uid="{0F14E56F-EE12-4B7A-91CD-5B5484968E12}"/>
    <cellStyle name="Comma 3 4 5 2 3 3" xfId="24902" xr:uid="{D24ECC76-5B19-49A1-841D-9299C75D2446}"/>
    <cellStyle name="Comma 3 4 5 2 3 4" xfId="52240" xr:uid="{18593D62-7B2C-49E6-B710-CD2F2816CC91}"/>
    <cellStyle name="Comma 3 4 5 2 3 5" xfId="55256" xr:uid="{AB112437-DB95-4B47-A3D4-142C32301938}"/>
    <cellStyle name="Comma 3 4 5 2 4" xfId="15850" xr:uid="{A82F2540-65F3-4460-B575-21D030C6852E}"/>
    <cellStyle name="Comma 3 4 5 2 4 2" xfId="23379" xr:uid="{6442E9E6-4406-47A1-8E23-E86E0CC1C2DD}"/>
    <cellStyle name="Comma 3 4 5 2 4 3" xfId="47139" xr:uid="{0A3AD9E7-297E-4726-A8FC-8BF2D5A7084C}"/>
    <cellStyle name="Comma 3 4 5 2 4 4" xfId="52717" xr:uid="{1A7E5ED2-A84B-4972-9B89-49AC55518A4E}"/>
    <cellStyle name="Comma 3 4 5 2 4 5" xfId="55733" xr:uid="{65170946-A79E-422C-8988-8418C05C4A68}"/>
    <cellStyle name="Comma 3 4 5 2 5" xfId="12939" xr:uid="{38377238-CF20-41DF-92A7-B502275727EA}"/>
    <cellStyle name="Comma 3 4 5 2 5 2" xfId="47174" xr:uid="{323E7FB9-3969-4816-B3D6-2F9F3C201DF5}"/>
    <cellStyle name="Comma 3 4 5 2 5 3" xfId="51286" xr:uid="{F8336177-A46C-4FE0-B53B-81171D4F2CE8}"/>
    <cellStyle name="Comma 3 4 5 2 5 4" xfId="54302" xr:uid="{DFDAD541-DA6D-4124-B0E7-826EA5A37C6E}"/>
    <cellStyle name="Comma 3 4 5 2 6" xfId="46131" xr:uid="{3E883E95-66D4-4719-A296-8402A4BE9C15}"/>
    <cellStyle name="Comma 3 4 5 2 7" xfId="50180" xr:uid="{38A7D7F5-CBF9-4721-ADA9-D0B59E147407}"/>
    <cellStyle name="Comma 3 4 5 2 8" xfId="53196" xr:uid="{1FE3842F-1454-443D-9C4B-A687E2385C81}"/>
    <cellStyle name="Comma 3 4 5 3" xfId="14666" xr:uid="{5C38BE85-0699-4435-9DF9-94A6E185946F}"/>
    <cellStyle name="Comma 3 4 5 3 2" xfId="22213" xr:uid="{84C30086-FC89-4075-8215-0CC352387538}"/>
    <cellStyle name="Comma 3 4 5 3 3" xfId="46414" xr:uid="{11461E09-1641-4986-A653-FBC11A34B738}"/>
    <cellStyle name="Comma 3 4 5 3 4" xfId="51551" xr:uid="{D59AC8F6-F11A-46F5-AAB2-C4DA1AA6B9DA}"/>
    <cellStyle name="Comma 3 4 5 3 5" xfId="54567" xr:uid="{04F620A6-43EF-4551-97B0-78CAE61354FA}"/>
    <cellStyle name="Comma 3 4 5 4" xfId="15151" xr:uid="{68090511-61D5-4707-8C16-4259DFFA9853}"/>
    <cellStyle name="Comma 3 4 5 4 2" xfId="22690" xr:uid="{AFFE96E7-78DF-443E-AC5F-DD5966966996}"/>
    <cellStyle name="Comma 3 4 5 4 3" xfId="46489" xr:uid="{57B214F1-7554-4822-BDB9-6763E46E3A9E}"/>
    <cellStyle name="Comma 3 4 5 4 4" xfId="52028" xr:uid="{3067B262-DBA2-49A0-AB08-31022DD22350}"/>
    <cellStyle name="Comma 3 4 5 4 5" xfId="55044" xr:uid="{D45F391A-077F-4C9F-9554-D599D8ADF72C}"/>
    <cellStyle name="Comma 3 4 5 5" xfId="15638" xr:uid="{FFC96304-A873-4676-B6A5-19747FC21584}"/>
    <cellStyle name="Comma 3 4 5 5 2" xfId="23167" xr:uid="{EA759152-5465-4B38-9B90-B6BE74CEA70C}"/>
    <cellStyle name="Comma 3 4 5 5 3" xfId="47254" xr:uid="{96593EE5-3E8E-4DF7-B975-642BCE17160D}"/>
    <cellStyle name="Comma 3 4 5 5 4" xfId="52505" xr:uid="{583F9580-B3AC-4002-9515-9F83A37595D2}"/>
    <cellStyle name="Comma 3 4 5 5 5" xfId="55521" xr:uid="{2E5540B9-B4D6-4E8B-9D4A-CF5C112D1EA2}"/>
    <cellStyle name="Comma 3 4 5 6" xfId="12626" xr:uid="{210EBFD5-E69A-46C2-B3B2-85DA7D188241}"/>
    <cellStyle name="Comma 3 4 5 6 2" xfId="47166" xr:uid="{32C488FC-7FD0-44AA-A6D9-A875AF52FA24}"/>
    <cellStyle name="Comma 3 4 5 6 3" xfId="51074" xr:uid="{5640A20F-1A0C-4874-BC9F-4582264E58B1}"/>
    <cellStyle name="Comma 3 4 5 6 4" xfId="54090" xr:uid="{47E0422A-8933-4D2C-8C9C-55A21E2D0256}"/>
    <cellStyle name="Comma 3 4 5 7" xfId="24543" xr:uid="{587D8717-72FB-4B8C-A06F-19289E8C308D}"/>
    <cellStyle name="Comma 3 4 5 8" xfId="49968" xr:uid="{B168C31C-0A19-4F81-B61C-F58325A27F90}"/>
    <cellStyle name="Comma 3 4 5 9" xfId="52984" xr:uid="{4C28A8E5-F773-4F64-B58B-F93B389DD26C}"/>
    <cellStyle name="Comma 3 4 6" xfId="10252" xr:uid="{C21FA648-67B7-4116-BD23-ECD391810503}"/>
    <cellStyle name="Comma 3 4 6 2" xfId="14719" xr:uid="{A3D621E9-5A79-48C5-B7B0-FEAE0570761A}"/>
    <cellStyle name="Comma 3 4 6 2 2" xfId="22266" xr:uid="{68B8F708-7F9A-46F4-8A31-146ECFF564C6}"/>
    <cellStyle name="Comma 3 4 6 2 3" xfId="48350" xr:uid="{92E736D1-DA45-4800-949A-1455CAEF8BD3}"/>
    <cellStyle name="Comma 3 4 6 2 4" xfId="51604" xr:uid="{511774D0-4371-4B58-8D2D-A9BFB77B232E}"/>
    <cellStyle name="Comma 3 4 6 2 5" xfId="54620" xr:uid="{26643803-08D0-44EC-8D72-B59756BC7D4D}"/>
    <cellStyle name="Comma 3 4 6 3" xfId="15204" xr:uid="{E08A6764-E892-4446-82D1-BBC55D2D27B8}"/>
    <cellStyle name="Comma 3 4 6 3 2" xfId="22743" xr:uid="{48606050-A9A1-4BB4-90F4-446E1DAD2280}"/>
    <cellStyle name="Comma 3 4 6 3 3" xfId="46892" xr:uid="{5EEB3372-B63C-4404-B702-B64CC78CB3E4}"/>
    <cellStyle name="Comma 3 4 6 3 4" xfId="52081" xr:uid="{572BC5ED-6158-43CD-AB0F-D7C0E6F1010C}"/>
    <cellStyle name="Comma 3 4 6 3 5" xfId="55097" xr:uid="{A6EC8CF7-141A-4759-A587-0CC21CCE380D}"/>
    <cellStyle name="Comma 3 4 6 4" xfId="15691" xr:uid="{9B8886B7-0BC2-4E99-812E-FF53E83CB6BF}"/>
    <cellStyle name="Comma 3 4 6 4 2" xfId="23220" xr:uid="{5AC5D802-1337-477B-8231-222DCD398AB8}"/>
    <cellStyle name="Comma 3 4 6 4 3" xfId="24647" xr:uid="{D4F162DC-364E-4DE5-8EAD-208AF72B7FCF}"/>
    <cellStyle name="Comma 3 4 6 4 4" xfId="52558" xr:uid="{9485919C-E74F-4AFA-8887-CA9CA3FADB4A}"/>
    <cellStyle name="Comma 3 4 6 4 5" xfId="55574" xr:uid="{4B8116ED-CA92-465D-A026-472C275B0AA8}"/>
    <cellStyle name="Comma 3 4 6 5" xfId="12705" xr:uid="{3DF6B8F1-6B42-4789-A0BF-9DACAAB3CFFA}"/>
    <cellStyle name="Comma 3 4 6 5 2" xfId="47095" xr:uid="{60EF9270-1842-4355-BF6E-DFA711B87BEF}"/>
    <cellStyle name="Comma 3 4 6 5 3" xfId="51127" xr:uid="{57E1D6A8-AB20-4223-BB2E-4323D861EB36}"/>
    <cellStyle name="Comma 3 4 6 5 4" xfId="54143" xr:uid="{FB0B18B0-3B17-453B-86EF-4FEA5F56AE86}"/>
    <cellStyle name="Comma 3 4 6 6" xfId="47853" xr:uid="{6E9F4687-C8BB-4642-969D-8AD5EA065636}"/>
    <cellStyle name="Comma 3 4 6 7" xfId="50021" xr:uid="{31C3C501-4EB8-4AEC-A9BC-5CC953CA1AD3}"/>
    <cellStyle name="Comma 3 4 6 8" xfId="53037" xr:uid="{B1881EF6-22DC-49E3-BF1C-4EE8A8070CC4}"/>
    <cellStyle name="Comma 3 4 7" xfId="10566" xr:uid="{5C3D138D-80C6-4DF5-97DE-E96D3E502251}"/>
    <cellStyle name="Comma 3 4 7 2" xfId="14931" xr:uid="{0BA3322B-66BA-4D52-A527-E41EF67B6B6B}"/>
    <cellStyle name="Comma 3 4 7 2 2" xfId="22478" xr:uid="{C8389658-1C37-4094-8F94-433B66520F87}"/>
    <cellStyle name="Comma 3 4 7 2 3" xfId="24662" xr:uid="{BD75C5EC-AB7D-4276-BC16-643328A82D52}"/>
    <cellStyle name="Comma 3 4 7 2 4" xfId="51816" xr:uid="{0BA217CC-EC7D-48EB-BB7E-D8D4CC6912B9}"/>
    <cellStyle name="Comma 3 4 7 2 5" xfId="54832" xr:uid="{D1F15969-400A-4D37-9FB0-D7BBD78F8234}"/>
    <cellStyle name="Comma 3 4 7 3" xfId="15416" xr:uid="{786C329E-A623-408B-8370-1A20BC1B1B0E}"/>
    <cellStyle name="Comma 3 4 7 3 2" xfId="22955" xr:uid="{D2C1D9BE-4019-4BDF-A272-F608B6174864}"/>
    <cellStyle name="Comma 3 4 7 3 3" xfId="46920" xr:uid="{6AA6B9B3-351B-48A1-9C0D-B1BB9C45837A}"/>
    <cellStyle name="Comma 3 4 7 3 4" xfId="52293" xr:uid="{0C793749-83B0-481C-AE23-98F8CD041DED}"/>
    <cellStyle name="Comma 3 4 7 3 5" xfId="55309" xr:uid="{D49CC1C6-D2CA-4506-B12D-F4A7DB38E4A1}"/>
    <cellStyle name="Comma 3 4 7 4" xfId="15904" xr:uid="{52AF5DEC-5D15-4897-A948-940ADD3C27F8}"/>
    <cellStyle name="Comma 3 4 7 4 2" xfId="23432" xr:uid="{470E9DED-DD63-405A-AF4E-67F326BC00FE}"/>
    <cellStyle name="Comma 3 4 7 4 3" xfId="47727" xr:uid="{175B66DF-EE7D-4591-98C4-748CB561EA6A}"/>
    <cellStyle name="Comma 3 4 7 4 4" xfId="52770" xr:uid="{3C259763-DF44-4A8D-B693-36A1CF6E9E33}"/>
    <cellStyle name="Comma 3 4 7 4 5" xfId="55786" xr:uid="{4AF37FC8-F5DD-4F4A-9C14-D6CB62D4C1D5}"/>
    <cellStyle name="Comma 3 4 7 5" xfId="13019" xr:uid="{DAB7B2EE-D673-4953-9B7F-30A559C78D2C}"/>
    <cellStyle name="Comma 3 4 7 5 2" xfId="48439" xr:uid="{F05455FC-0C2C-49AD-B06E-D420E63BAC24}"/>
    <cellStyle name="Comma 3 4 7 5 3" xfId="51339" xr:uid="{A3B462BA-73F1-4425-9E0D-D5A2316CDCB3}"/>
    <cellStyle name="Comma 3 4 7 5 4" xfId="54355" xr:uid="{9792B2EA-3104-4F88-B9BE-E1F7E7E09E2E}"/>
    <cellStyle name="Comma 3 4 7 6" xfId="47888" xr:uid="{14196412-AC28-4C2D-9653-311B6495CE32}"/>
    <cellStyle name="Comma 3 4 7 7" xfId="50233" xr:uid="{8AB8F84E-73A6-4492-B7E2-C728C9C6681A}"/>
    <cellStyle name="Comma 3 4 7 8" xfId="53249" xr:uid="{6F38A14F-AC55-48D9-BC6E-80D16A8BA298}"/>
    <cellStyle name="Comma 3 4 8" xfId="12312" xr:uid="{61E493CA-DC3F-47EC-A88B-44CAF12C1A9D}"/>
    <cellStyle name="Comma 3 4 9" xfId="14507" xr:uid="{37E13803-3DE7-48B1-A4C6-AA5B4545A40B}"/>
    <cellStyle name="Comma 3 4 9 2" xfId="22054" xr:uid="{808FC117-D32B-427D-8EC7-D7C104D6BB4B}"/>
    <cellStyle name="Comma 3 4 9 3" xfId="47566" xr:uid="{0CBAB543-D2A6-478F-8BA4-FA23B4A6506C}"/>
    <cellStyle name="Comma 3 4 9 4" xfId="51392" xr:uid="{3822D0CB-AC27-48E0-A63E-8026BF63727C}"/>
    <cellStyle name="Comma 3 4 9 5" xfId="54408" xr:uid="{A030DE62-C166-4FF6-B860-197773AA18ED}"/>
    <cellStyle name="Comma 3 5" xfId="5820" xr:uid="{E2E39F79-8306-4F43-9740-CA87C94F9859}"/>
    <cellStyle name="Comma 3 5 10" xfId="15480" xr:uid="{384EB734-D4DE-4CF0-8A70-04C4B6F862EC}"/>
    <cellStyle name="Comma 3 5 10 2" xfId="23010" xr:uid="{81C252B9-E201-4ACA-9EBB-F87C7D2DE377}"/>
    <cellStyle name="Comma 3 5 10 3" xfId="48223" xr:uid="{CBA55AA5-16F2-4B0E-80EB-C029CCC972A8}"/>
    <cellStyle name="Comma 3 5 10 4" xfId="52348" xr:uid="{E2AA9B68-5013-447A-82FF-53FB12FF6CAA}"/>
    <cellStyle name="Comma 3 5 10 5" xfId="55364" xr:uid="{3A414D5A-C17E-4AF1-8D89-60E097BA19B7}"/>
    <cellStyle name="Comma 3 5 11" xfId="11189" xr:uid="{5AE44BA8-6AD9-4027-8DB2-9A75A9D77861}"/>
    <cellStyle name="Comma 3 5 11 2" xfId="25159" xr:uid="{39F8115C-93E6-40B0-BA18-AAA179B6A922}"/>
    <cellStyle name="Comma 3 5 11 3" xfId="50702" xr:uid="{EACB858E-C07E-4478-9E8B-B6EE378AC7B5}"/>
    <cellStyle name="Comma 3 5 11 4" xfId="53718" xr:uid="{FAFB3FFF-BA02-4943-9CAB-9DE2343256E0}"/>
    <cellStyle name="Comma 3 5 12" xfId="23751" xr:uid="{3A0F3DF4-C7F3-4879-821C-5F7AC81DA535}"/>
    <cellStyle name="Comma 3 5 13" xfId="47557" xr:uid="{723103B6-04F2-4F9B-B3A0-F826A4FAA14F}"/>
    <cellStyle name="Comma 3 5 14" xfId="48634" xr:uid="{38C270B0-49FA-45E8-A3C4-E8B4A96EAAF4}"/>
    <cellStyle name="Comma 3 5 15" xfId="49542" xr:uid="{45475B4B-7B30-4D02-9C56-19375100A7F1}"/>
    <cellStyle name="Comma 3 5 16" xfId="49811" xr:uid="{149FAEDE-2D8C-4EF0-84A9-C6FBE473B245}"/>
    <cellStyle name="Comma 3 5 17" xfId="52826" xr:uid="{EE21F7F0-CC93-4D9D-936F-3F7A7C4C6D6D}"/>
    <cellStyle name="Comma 3 5 18" xfId="8934" xr:uid="{8F91BC6F-E292-4D03-B5E6-C6D7CEEA1B31}"/>
    <cellStyle name="Comma 3 5 2" xfId="10021" xr:uid="{63AB16F0-F339-49E1-960B-B18856DD1C88}"/>
    <cellStyle name="Comma 3 5 2 2" xfId="10329" xr:uid="{179E5D46-BE87-49A5-9E6C-7F6B5F813DDD}"/>
    <cellStyle name="Comma 3 5 2 2 2" xfId="14774" xr:uid="{9F49AF8A-56C8-4F41-94E8-7AFC30D37BDE}"/>
    <cellStyle name="Comma 3 5 2 2 2 2" xfId="22321" xr:uid="{0E519149-A88C-468E-9BA8-DC8F6C5CA3C3}"/>
    <cellStyle name="Comma 3 5 2 2 2 3" xfId="46861" xr:uid="{D7E8FF06-2B68-4356-8E0F-4C24007B947A}"/>
    <cellStyle name="Comma 3 5 2 2 2 4" xfId="51659" xr:uid="{B6EA4303-AE5E-4658-8495-453E1082C52C}"/>
    <cellStyle name="Comma 3 5 2 2 2 5" xfId="54675" xr:uid="{1D2DDA28-B0B6-4253-BEA1-B4C114B988B1}"/>
    <cellStyle name="Comma 3 5 2 2 3" xfId="15259" xr:uid="{E62F5AFD-3084-4CB4-84A6-F10F4A5C0E43}"/>
    <cellStyle name="Comma 3 5 2 2 3 2" xfId="22798" xr:uid="{138B6F07-DB0C-4E48-8259-9C37C9FD7AB2}"/>
    <cellStyle name="Comma 3 5 2 2 3 3" xfId="48277" xr:uid="{21027E91-5FF7-4D47-9635-1DBCDD8F0741}"/>
    <cellStyle name="Comma 3 5 2 2 3 4" xfId="52136" xr:uid="{B806664D-D134-49A4-8E20-CB1C647FF5CE}"/>
    <cellStyle name="Comma 3 5 2 2 3 5" xfId="55152" xr:uid="{3E498AE7-8399-43DD-B614-487B6B22DF49}"/>
    <cellStyle name="Comma 3 5 2 2 4" xfId="15746" xr:uid="{CDCDABF3-D0A7-457B-81A0-6047E54C0E61}"/>
    <cellStyle name="Comma 3 5 2 2 4 2" xfId="23275" xr:uid="{4CD54F01-05C9-47D7-9D73-81F58CE71064}"/>
    <cellStyle name="Comma 3 5 2 2 4 3" xfId="47150" xr:uid="{A42C1E84-8DF3-4E21-A59C-686E096EC406}"/>
    <cellStyle name="Comma 3 5 2 2 4 4" xfId="52613" xr:uid="{837C4FE0-6EBA-425B-AA66-1B687F8B02A5}"/>
    <cellStyle name="Comma 3 5 2 2 4 5" xfId="55629" xr:uid="{094C059B-F978-4867-A0CE-103BC9A3A64E}"/>
    <cellStyle name="Comma 3 5 2 2 5" xfId="12782" xr:uid="{8DBB2EE8-A4CA-483D-881B-B188E6E9EDC5}"/>
    <cellStyle name="Comma 3 5 2 2 5 2" xfId="46793" xr:uid="{A1580903-7D5B-411F-9AF5-C4CDBD4EF74D}"/>
    <cellStyle name="Comma 3 5 2 2 5 3" xfId="51182" xr:uid="{45CEA1DE-5544-4220-B89F-CD34ED74F344}"/>
    <cellStyle name="Comma 3 5 2 2 5 4" xfId="54198" xr:uid="{3B8F63F8-57FC-4254-B3A8-B57C81A676B8}"/>
    <cellStyle name="Comma 3 5 2 2 6" xfId="46089" xr:uid="{AEB517FE-72F7-4AFE-B5FE-D431BA50394C}"/>
    <cellStyle name="Comma 3 5 2 2 7" xfId="50076" xr:uid="{7785D545-9887-4C74-A782-CAA72986169C}"/>
    <cellStyle name="Comma 3 5 2 2 8" xfId="53092" xr:uid="{E88AE765-ED90-4D20-84A7-73CC9DC5E658}"/>
    <cellStyle name="Comma 3 5 2 3" xfId="14562" xr:uid="{E57D84C1-E632-47D1-91D1-A847943A9856}"/>
    <cellStyle name="Comma 3 5 2 3 2" xfId="22109" xr:uid="{7E97A453-E878-4BD8-AB87-AE81228165E5}"/>
    <cellStyle name="Comma 3 5 2 3 3" xfId="47478" xr:uid="{E8C861A2-DDC7-4368-A439-63491E397AF0}"/>
    <cellStyle name="Comma 3 5 2 3 4" xfId="51447" xr:uid="{1DDC8422-E241-49D6-9ADD-A35427DFFD91}"/>
    <cellStyle name="Comma 3 5 2 3 5" xfId="54463" xr:uid="{BD36A29C-13CA-4789-8F35-FAB17ADDFB8C}"/>
    <cellStyle name="Comma 3 5 2 4" xfId="15046" xr:uid="{C2DFA87A-FBB6-447C-A523-DC233DA1525D}"/>
    <cellStyle name="Comma 3 5 2 4 2" xfId="22586" xr:uid="{01121138-D7C3-4F51-871E-FAB3A02D27B3}"/>
    <cellStyle name="Comma 3 5 2 4 3" xfId="24919" xr:uid="{F35B0F82-4256-4AEF-9897-511F57B4B638}"/>
    <cellStyle name="Comma 3 5 2 4 4" xfId="51924" xr:uid="{5BD4820B-A147-405F-B81F-C67F82273055}"/>
    <cellStyle name="Comma 3 5 2 4 5" xfId="54940" xr:uid="{DA0C873F-0107-41C5-9CD0-DA906F8AFF26}"/>
    <cellStyle name="Comma 3 5 2 5" xfId="15533" xr:uid="{34C8146A-D3C5-4CD2-9BCC-262C860716B6}"/>
    <cellStyle name="Comma 3 5 2 5 2" xfId="23063" xr:uid="{32CD9851-8951-43A3-85D7-CB5E99DCCE32}"/>
    <cellStyle name="Comma 3 5 2 5 3" xfId="47548" xr:uid="{D12E4690-4419-4163-B752-E4B7103C1E6E}"/>
    <cellStyle name="Comma 3 5 2 5 4" xfId="52401" xr:uid="{ADF3A67D-BF3E-404C-8D27-6422F40D2ADB}"/>
    <cellStyle name="Comma 3 5 2 5 5" xfId="55417" xr:uid="{7C3B7913-5B14-4D7C-BB42-731DE20E3A69}"/>
    <cellStyle name="Comma 3 5 2 6" xfId="12481" xr:uid="{3EE582AA-8D00-486E-A817-AE3E945F8A62}"/>
    <cellStyle name="Comma 3 5 2 6 2" xfId="34189" xr:uid="{6F14706E-68F2-4B3D-972F-F7B0EEE53B06}"/>
    <cellStyle name="Comma 3 5 2 6 3" xfId="50970" xr:uid="{166DA854-C889-4A54-A43F-5F85011629B9}"/>
    <cellStyle name="Comma 3 5 2 6 4" xfId="53986" xr:uid="{8538C386-9399-41FA-A298-ABDAE85F571E}"/>
    <cellStyle name="Comma 3 5 2 7" xfId="46026" xr:uid="{7726035A-6CBE-4BD5-99E0-2B7AB4F87742}"/>
    <cellStyle name="Comma 3 5 2 8" xfId="49864" xr:uid="{F51C19DD-3A6B-4055-8425-462113221325}"/>
    <cellStyle name="Comma 3 5 2 9" xfId="52880" xr:uid="{F7291614-4ADE-435F-A6B3-E27F3FC1696E}"/>
    <cellStyle name="Comma 3 5 3" xfId="10095" xr:uid="{53C2B361-4DFA-4DFD-8A9D-24759323F02B}"/>
    <cellStyle name="Comma 3 5 3 2" xfId="10408" xr:uid="{43579D34-9FC2-40B0-A207-713ED2662E18}"/>
    <cellStyle name="Comma 3 5 3 2 2" xfId="14827" xr:uid="{E0DEF1A6-F0DC-4E92-B60A-B9C94D89CE7D}"/>
    <cellStyle name="Comma 3 5 3 2 2 2" xfId="22374" xr:uid="{EB86F7BE-E68F-42EF-A64F-257006FE1136}"/>
    <cellStyle name="Comma 3 5 3 2 2 3" xfId="32405" xr:uid="{557C98DF-53C8-40CA-BB0C-0EAA92E1E935}"/>
    <cellStyle name="Comma 3 5 3 2 2 4" xfId="51712" xr:uid="{B063473B-AD93-4882-84BF-D8276B8A03E8}"/>
    <cellStyle name="Comma 3 5 3 2 2 5" xfId="54728" xr:uid="{D7ED7F84-EBFE-4FC7-BD79-A07F43F55CED}"/>
    <cellStyle name="Comma 3 5 3 2 3" xfId="15312" xr:uid="{8F894543-1FB8-4742-B1C4-A51528C07DDD}"/>
    <cellStyle name="Comma 3 5 3 2 3 2" xfId="22851" xr:uid="{5AC92AB4-5ED9-4FEB-A78E-31910B51FD9D}"/>
    <cellStyle name="Comma 3 5 3 2 3 3" xfId="47638" xr:uid="{072559AB-E6AD-4B76-960D-0F689811F762}"/>
    <cellStyle name="Comma 3 5 3 2 3 4" xfId="52189" xr:uid="{612325C0-4E66-4009-B180-A0AAC3AEAA31}"/>
    <cellStyle name="Comma 3 5 3 2 3 5" xfId="55205" xr:uid="{053CEED3-18D5-451B-96E8-EDB1C756A73D}"/>
    <cellStyle name="Comma 3 5 3 2 4" xfId="15799" xr:uid="{2C95F1B8-B0F1-4E6B-9A38-0345EEEE30DA}"/>
    <cellStyle name="Comma 3 5 3 2 4 2" xfId="23328" xr:uid="{E091FBC0-FF45-4B47-B386-64C46770FC74}"/>
    <cellStyle name="Comma 3 5 3 2 4 3" xfId="46588" xr:uid="{25FE947A-DC4F-4285-9C54-9035ABD3D79A}"/>
    <cellStyle name="Comma 3 5 3 2 4 4" xfId="52666" xr:uid="{08E697A0-0D4D-49A9-93BD-662A9E3D77EB}"/>
    <cellStyle name="Comma 3 5 3 2 4 5" xfId="55682" xr:uid="{83109A30-1EA7-4D0C-95AD-B299D664D5F8}"/>
    <cellStyle name="Comma 3 5 3 2 5" xfId="12861" xr:uid="{15DAE56E-3614-496A-B40A-71F19039CA10}"/>
    <cellStyle name="Comma 3 5 3 2 5 2" xfId="46671" xr:uid="{D27321B4-A3A6-4322-9764-AB1E0B031E10}"/>
    <cellStyle name="Comma 3 5 3 2 5 3" xfId="51235" xr:uid="{D9D07385-13A8-4903-923B-201B5A948116}"/>
    <cellStyle name="Comma 3 5 3 2 5 4" xfId="54251" xr:uid="{2DA0EFBB-3D8B-4A62-AFF7-0B246564F5F8}"/>
    <cellStyle name="Comma 3 5 3 2 6" xfId="46112" xr:uid="{A65B0084-6C98-462B-BDEE-9D6D7C85B681}"/>
    <cellStyle name="Comma 3 5 3 2 7" xfId="50129" xr:uid="{45669F24-13E4-4252-A527-9E8F4F0C4E62}"/>
    <cellStyle name="Comma 3 5 3 2 8" xfId="53145" xr:uid="{83B4AFD1-E37F-42D3-BE00-16FBEE9DC644}"/>
    <cellStyle name="Comma 3 5 3 3" xfId="14615" xr:uid="{C4E32260-5FE8-4187-AC41-9ECB2D7A9DCF}"/>
    <cellStyle name="Comma 3 5 3 3 2" xfId="22162" xr:uid="{F32B0EAD-E0A1-4159-B8CC-AC009B3C0732}"/>
    <cellStyle name="Comma 3 5 3 3 3" xfId="46407" xr:uid="{5B2C2001-85D3-42E0-8E93-D82E0FAD241E}"/>
    <cellStyle name="Comma 3 5 3 3 4" xfId="51500" xr:uid="{B60E1D68-3AEE-49AA-A88D-90D1F4ED63F4}"/>
    <cellStyle name="Comma 3 5 3 3 5" xfId="54516" xr:uid="{5E0C4085-0DF5-4E42-963B-799905572FD5}"/>
    <cellStyle name="Comma 3 5 3 4" xfId="15100" xr:uid="{54AA5CB9-1015-48F9-A702-99FD8D5BC522}"/>
    <cellStyle name="Comma 3 5 3 4 2" xfId="22639" xr:uid="{87DD1350-14CC-448D-A1EF-67A0E7D2B04D}"/>
    <cellStyle name="Comma 3 5 3 4 3" xfId="46479" xr:uid="{6AB76AE2-55FE-4736-8559-068665FF7923}"/>
    <cellStyle name="Comma 3 5 3 4 4" xfId="51977" xr:uid="{F51394EA-CD1E-4F0E-8900-57EFF5F29154}"/>
    <cellStyle name="Comma 3 5 3 4 5" xfId="54993" xr:uid="{60A312BF-9ADC-4205-8B37-C32DD43F1D80}"/>
    <cellStyle name="Comma 3 5 3 5" xfId="15587" xr:uid="{69EB88A0-F547-4C93-BF89-80881865AE16}"/>
    <cellStyle name="Comma 3 5 3 5 2" xfId="23116" xr:uid="{C810D9FF-1E8C-4BB3-95BF-3873314F0202}"/>
    <cellStyle name="Comma 3 5 3 5 3" xfId="34471" xr:uid="{64D69966-D12B-42C4-A12B-50AF5DF410E9}"/>
    <cellStyle name="Comma 3 5 3 5 4" xfId="52454" xr:uid="{89C8750C-2B7E-4F18-A809-A9A46695B01D}"/>
    <cellStyle name="Comma 3 5 3 5 5" xfId="55470" xr:uid="{1EA388DE-65A3-432C-A33A-E8F62F59DF0A}"/>
    <cellStyle name="Comma 3 5 3 6" xfId="12552" xr:uid="{37AD2D44-CF37-463D-A40B-4734CB7857FB}"/>
    <cellStyle name="Comma 3 5 3 6 2" xfId="46768" xr:uid="{DD320B06-1E91-42CD-8C9A-0DB0E2DE0AEE}"/>
    <cellStyle name="Comma 3 5 3 6 3" xfId="51023" xr:uid="{C6EE8BAC-1081-4001-87E9-A229BC913121}"/>
    <cellStyle name="Comma 3 5 3 6 4" xfId="54039" xr:uid="{1AC0C79E-C789-4CC8-9CFD-7C083B51B794}"/>
    <cellStyle name="Comma 3 5 3 7" xfId="46043" xr:uid="{EF6AE7AB-FA2D-4BCB-8E65-D0477272B764}"/>
    <cellStyle name="Comma 3 5 3 8" xfId="49917" xr:uid="{A82B02F6-8FB5-46FB-83DF-CF25F19767C0}"/>
    <cellStyle name="Comma 3 5 3 9" xfId="52933" xr:uid="{7D15AA20-342A-4658-9D70-62855468FE49}"/>
    <cellStyle name="Comma 3 5 4" xfId="10174" xr:uid="{0565F344-C35A-4D08-BB20-60D05276CFCA}"/>
    <cellStyle name="Comma 3 5 4 2" xfId="10488" xr:uid="{5A09005C-03A3-4A3F-98EC-2E615755C3CC}"/>
    <cellStyle name="Comma 3 5 4 2 2" xfId="14880" xr:uid="{1F1D3DBA-B272-4474-A79D-707DEA979B5B}"/>
    <cellStyle name="Comma 3 5 4 2 2 2" xfId="22427" xr:uid="{04588450-26E4-434D-8697-35A25D2E39D7}"/>
    <cellStyle name="Comma 3 5 4 2 2 3" xfId="46682" xr:uid="{50E75BC4-03B0-41E4-A0CB-52CD273E828A}"/>
    <cellStyle name="Comma 3 5 4 2 2 4" xfId="51765" xr:uid="{A3CB9661-4F92-4472-AF6B-2F9702A6ACDD}"/>
    <cellStyle name="Comma 3 5 4 2 2 5" xfId="54781" xr:uid="{4378991D-2CA8-48A9-A32C-78F5818623D9}"/>
    <cellStyle name="Comma 3 5 4 2 3" xfId="15365" xr:uid="{E124B64F-354B-4A1D-8D1D-61465EDBD9A1}"/>
    <cellStyle name="Comma 3 5 4 2 3 2" xfId="22904" xr:uid="{595E6E7A-1CA8-445D-9381-B0D262391E5D}"/>
    <cellStyle name="Comma 3 5 4 2 3 3" xfId="46913" xr:uid="{15A069B8-9691-4366-A68C-0D0E71C26ACC}"/>
    <cellStyle name="Comma 3 5 4 2 3 4" xfId="52242" xr:uid="{84D99B19-11DF-4927-A5BA-F1D9FE08AA13}"/>
    <cellStyle name="Comma 3 5 4 2 3 5" xfId="55258" xr:uid="{C35DC0CE-0574-441E-97D6-BF66DCCA8691}"/>
    <cellStyle name="Comma 3 5 4 2 4" xfId="15852" xr:uid="{970A60B3-81F5-407C-8AD5-43E92497CD12}"/>
    <cellStyle name="Comma 3 5 4 2 4 2" xfId="23381" xr:uid="{3576EABD-F4A6-4B68-BFE4-712EA8656F2D}"/>
    <cellStyle name="Comma 3 5 4 2 4 3" xfId="46975" xr:uid="{FD86955F-D9C0-422E-A578-AD75A5996B9A}"/>
    <cellStyle name="Comma 3 5 4 2 4 4" xfId="52719" xr:uid="{7AE0DA2D-8F03-4D0D-AB00-6ACBE61517B4}"/>
    <cellStyle name="Comma 3 5 4 2 4 5" xfId="55735" xr:uid="{5503BCF3-55C0-4B1B-B1B8-66945564129B}"/>
    <cellStyle name="Comma 3 5 4 2 5" xfId="12941" xr:uid="{718C6B1E-05FE-4152-B2B2-DC2EF71A8CB9}"/>
    <cellStyle name="Comma 3 5 4 2 5 2" xfId="46375" xr:uid="{17F2E8C5-4F02-47C9-B93E-50E2767186CD}"/>
    <cellStyle name="Comma 3 5 4 2 5 3" xfId="51288" xr:uid="{B81BF6D3-1F5F-4F8F-A429-D1F627F7F869}"/>
    <cellStyle name="Comma 3 5 4 2 5 4" xfId="54304" xr:uid="{35F0068C-7426-4533-90DF-94E326B4792C}"/>
    <cellStyle name="Comma 3 5 4 2 6" xfId="46132" xr:uid="{1F448BDF-7F7C-4C5A-81BA-B3C0C9261B90}"/>
    <cellStyle name="Comma 3 5 4 2 7" xfId="50182" xr:uid="{ABD6BF86-E59B-46B4-8040-4DA17772A995}"/>
    <cellStyle name="Comma 3 5 4 2 8" xfId="53198" xr:uid="{7FA1C536-3EBE-48B1-83DF-4BBEF39801E7}"/>
    <cellStyle name="Comma 3 5 4 3" xfId="14668" xr:uid="{A609D752-1CA5-4DE1-AC35-D348D8B0A965}"/>
    <cellStyle name="Comma 3 5 4 3 2" xfId="22215" xr:uid="{7C76903A-DF01-4845-846A-1B8822C753FE}"/>
    <cellStyle name="Comma 3 5 4 3 3" xfId="48115" xr:uid="{4B162194-0845-4536-A155-C0A7AE03C9CD}"/>
    <cellStyle name="Comma 3 5 4 3 4" xfId="51553" xr:uid="{C645E0C0-E41E-4289-ACEF-2735E7926293}"/>
    <cellStyle name="Comma 3 5 4 3 5" xfId="54569" xr:uid="{D6A004F6-01B7-470D-A90E-1D20AD65C4B8}"/>
    <cellStyle name="Comma 3 5 4 4" xfId="15153" xr:uid="{7305F3B4-4990-4271-A54C-43009411B556}"/>
    <cellStyle name="Comma 3 5 4 4 2" xfId="22692" xr:uid="{F713F183-34F6-4919-9269-DE318CB282DC}"/>
    <cellStyle name="Comma 3 5 4 4 3" xfId="24528" xr:uid="{363AA313-5EEB-45C3-8683-0B4EB03AEAE3}"/>
    <cellStyle name="Comma 3 5 4 4 4" xfId="52030" xr:uid="{589F3DFD-6FAE-4EE0-B6F7-9D3E5A293E60}"/>
    <cellStyle name="Comma 3 5 4 4 5" xfId="55046" xr:uid="{20302563-0146-4F53-A896-77AB4E7BE448}"/>
    <cellStyle name="Comma 3 5 4 5" xfId="15640" xr:uid="{749C1592-E571-4E11-B57D-E75C90909C91}"/>
    <cellStyle name="Comma 3 5 4 5 2" xfId="23169" xr:uid="{B51B4624-F48A-4EDD-86AE-8203855D0A82}"/>
    <cellStyle name="Comma 3 5 4 5 3" xfId="48080" xr:uid="{3BBE2236-E5B6-4731-AE9B-9C4AD4150514}"/>
    <cellStyle name="Comma 3 5 4 5 4" xfId="52507" xr:uid="{5D6DDEE8-FE20-46C7-A789-209718AEA5EA}"/>
    <cellStyle name="Comma 3 5 4 5 5" xfId="55523" xr:uid="{40ECB727-85D3-434D-BC99-381156F1BF77}"/>
    <cellStyle name="Comma 3 5 4 6" xfId="12628" xr:uid="{C5F55502-57C0-4344-8984-DD222882EEDB}"/>
    <cellStyle name="Comma 3 5 4 6 2" xfId="46332" xr:uid="{6D279629-B5EB-4DF0-88D8-1869FD7BAD80}"/>
    <cellStyle name="Comma 3 5 4 6 3" xfId="51076" xr:uid="{90086704-7A6D-45B3-8DDD-BB45B51B8D0C}"/>
    <cellStyle name="Comma 3 5 4 6 4" xfId="54092" xr:uid="{6DBEE36A-03FB-467B-A641-17F4E0424ABC}"/>
    <cellStyle name="Comma 3 5 4 7" xfId="48545" xr:uid="{ACEE94E5-7667-4F32-829C-0EEEAFDD702D}"/>
    <cellStyle name="Comma 3 5 4 8" xfId="49970" xr:uid="{384090E7-AC9D-4373-B66A-3C69B959FBA2}"/>
    <cellStyle name="Comma 3 5 4 9" xfId="52986" xr:uid="{538A6A7D-2C7E-4281-97CC-C51532AE7AB9}"/>
    <cellStyle name="Comma 3 5 5" xfId="10254" xr:uid="{C404F435-4E61-4BAF-BCC9-9A25D7722ED6}"/>
    <cellStyle name="Comma 3 5 5 2" xfId="14721" xr:uid="{C5C99448-9A8E-46B0-B659-60D7DD570732}"/>
    <cellStyle name="Comma 3 5 5 2 2" xfId="22268" xr:uid="{1B18C5E2-F0D4-403F-9042-83D136EC502D}"/>
    <cellStyle name="Comma 3 5 5 2 3" xfId="46423" xr:uid="{D35D19ED-318F-49DC-9FC0-DD96427FC451}"/>
    <cellStyle name="Comma 3 5 5 2 4" xfId="51606" xr:uid="{26A115D1-C29E-4B30-B6C0-C26FBB98175F}"/>
    <cellStyle name="Comma 3 5 5 2 5" xfId="54622" xr:uid="{799961CE-A02E-44AD-B157-3FFF0DCF8773}"/>
    <cellStyle name="Comma 3 5 5 3" xfId="15206" xr:uid="{469089D4-DA9B-4D4B-86D9-F0745C1ABDE2}"/>
    <cellStyle name="Comma 3 5 5 3 2" xfId="22745" xr:uid="{0A1D59CD-C081-42D9-A250-D7B64AFC530B}"/>
    <cellStyle name="Comma 3 5 5 3 3" xfId="32283" xr:uid="{5358B8A8-1D73-4C69-8026-7F9D43153CD2}"/>
    <cellStyle name="Comma 3 5 5 3 4" xfId="52083" xr:uid="{15679631-4B39-4A3F-B45C-366B844F2ADA}"/>
    <cellStyle name="Comma 3 5 5 3 5" xfId="55099" xr:uid="{3660422C-E865-4935-8CBF-74ECD64F5701}"/>
    <cellStyle name="Comma 3 5 5 4" xfId="15693" xr:uid="{5DD9A7A3-5CB6-4F6E-A3D4-AA77CBF4E152}"/>
    <cellStyle name="Comma 3 5 5 4 2" xfId="23222" xr:uid="{EB1D8800-047F-4B7C-B8BC-41870C50F72D}"/>
    <cellStyle name="Comma 3 5 5 4 3" xfId="37445" xr:uid="{D1F1AA06-D58C-4513-8095-C43543AFCF58}"/>
    <cellStyle name="Comma 3 5 5 4 4" xfId="52560" xr:uid="{A06AFCD3-960C-4746-BA41-DC6EE7120B87}"/>
    <cellStyle name="Comma 3 5 5 4 5" xfId="55576" xr:uid="{37B04AB1-E0F4-465B-A707-133C39EBCAED}"/>
    <cellStyle name="Comma 3 5 5 5" xfId="12707" xr:uid="{2F6EF749-D247-4D83-9F62-E86746CB8700}"/>
    <cellStyle name="Comma 3 5 5 5 2" xfId="24483" xr:uid="{FEA138D2-F918-407C-9DB1-CAD36D900C38}"/>
    <cellStyle name="Comma 3 5 5 5 3" xfId="51129" xr:uid="{275DABED-12D6-4897-B54D-7DE9477D6983}"/>
    <cellStyle name="Comma 3 5 5 5 4" xfId="54145" xr:uid="{107CFF99-50F1-4CEC-AA05-B5EB2B47629B}"/>
    <cellStyle name="Comma 3 5 5 6" xfId="46074" xr:uid="{F782409D-C0DD-41D5-B78C-259E5C731ADF}"/>
    <cellStyle name="Comma 3 5 5 7" xfId="50023" xr:uid="{39868D89-D010-4DAF-ADD4-FC26BC720D09}"/>
    <cellStyle name="Comma 3 5 5 8" xfId="53039" xr:uid="{9181E09E-4967-4506-9FC1-FA609E528953}"/>
    <cellStyle name="Comma 3 5 6" xfId="10568" xr:uid="{FB3FD1FA-D1A7-42AC-B112-9214944ED9FC}"/>
    <cellStyle name="Comma 3 5 6 2" xfId="14933" xr:uid="{83E4A53D-28DB-43E2-8407-13B7384223CF}"/>
    <cellStyle name="Comma 3 5 6 2 2" xfId="22480" xr:uid="{98602EB2-797A-4AE0-B46B-F605F3DE43A4}"/>
    <cellStyle name="Comma 3 5 6 2 3" xfId="34481" xr:uid="{2A3F90A4-64E0-4129-8382-E3608F5BAFFA}"/>
    <cellStyle name="Comma 3 5 6 2 4" xfId="51818" xr:uid="{789C0479-01F0-4EFA-9793-19CC9365A4C7}"/>
    <cellStyle name="Comma 3 5 6 2 5" xfId="54834" xr:uid="{FBEE6628-D72E-4058-B974-521736E7D612}"/>
    <cellStyle name="Comma 3 5 6 3" xfId="15418" xr:uid="{54523CCC-8022-4B10-89D4-E2C58409112F}"/>
    <cellStyle name="Comma 3 5 6 3 2" xfId="22957" xr:uid="{C9A58A7D-35B3-4642-9DD1-6AEBE9B30DAD}"/>
    <cellStyle name="Comma 3 5 6 3 3" xfId="48222" xr:uid="{43C9DFAA-A81A-4C28-ADFE-8CFD5AFA1158}"/>
    <cellStyle name="Comma 3 5 6 3 4" xfId="52295" xr:uid="{5EA0630E-6550-4687-AFE1-EAA3A2BFEDC3}"/>
    <cellStyle name="Comma 3 5 6 3 5" xfId="55311" xr:uid="{8CA18D0B-28F4-4A79-B7FF-504E0C49360F}"/>
    <cellStyle name="Comma 3 5 6 4" xfId="15906" xr:uid="{24512794-803C-4453-A369-E7EDF357953A}"/>
    <cellStyle name="Comma 3 5 6 4 2" xfId="23434" xr:uid="{2B7AE044-1198-4662-87A7-FF75B074EBCE}"/>
    <cellStyle name="Comma 3 5 6 4 3" xfId="46981" xr:uid="{CCD90820-4B65-4899-9731-DFE900184108}"/>
    <cellStyle name="Comma 3 5 6 4 4" xfId="52772" xr:uid="{3BCB02AC-F4A2-4034-8768-9BA302734E8B}"/>
    <cellStyle name="Comma 3 5 6 4 5" xfId="55788" xr:uid="{5E24D6E2-6603-4629-9B90-757165399D4C}"/>
    <cellStyle name="Comma 3 5 6 5" xfId="13021" xr:uid="{A7713C00-4BF5-4FCF-8DFF-27B711282676}"/>
    <cellStyle name="Comma 3 5 6 5 2" xfId="48242" xr:uid="{73BA84EF-A7CC-4683-B045-D1C9F52E86B6}"/>
    <cellStyle name="Comma 3 5 6 5 3" xfId="51341" xr:uid="{04949415-1F4E-46A6-BA5E-41EFC03FC16A}"/>
    <cellStyle name="Comma 3 5 6 5 4" xfId="54357" xr:uid="{11CC6087-465B-4EEE-8CBC-0BD719C89781}"/>
    <cellStyle name="Comma 3 5 6 6" xfId="47506" xr:uid="{6FD21EFD-CC19-4261-ACFA-2522D046F9A2}"/>
    <cellStyle name="Comma 3 5 6 7" xfId="50235" xr:uid="{71C9271E-6D81-43A0-92D2-F84187E2FBF8}"/>
    <cellStyle name="Comma 3 5 6 8" xfId="53251" xr:uid="{CC50262E-F3AF-4271-816F-C04AA3492B94}"/>
    <cellStyle name="Comma 3 5 7" xfId="13057" xr:uid="{82D1E5CD-BEFB-4454-9EA0-500A1BB2506F}"/>
    <cellStyle name="Comma 3 5 8" xfId="14509" xr:uid="{2DB08D61-6F67-4049-B7AC-929AD3567476}"/>
    <cellStyle name="Comma 3 5 8 2" xfId="22056" xr:uid="{04B34C96-9577-46C9-BCB8-595F59D535F1}"/>
    <cellStyle name="Comma 3 5 8 3" xfId="23972" xr:uid="{BEA3CB0A-E051-4DB0-8A67-F2C3AEC5E228}"/>
    <cellStyle name="Comma 3 5 8 4" xfId="51394" xr:uid="{B9A9369C-4597-4934-9F29-685E51AE3587}"/>
    <cellStyle name="Comma 3 5 8 5" xfId="54410" xr:uid="{FBA50A02-CBAA-4B33-8876-0487E2843B3E}"/>
    <cellStyle name="Comma 3 5 9" xfId="14993" xr:uid="{DDEE88D2-E56D-4D30-B1CD-6A34D32FED13}"/>
    <cellStyle name="Comma 3 5 9 2" xfId="22533" xr:uid="{74C76FEE-03AF-4F0B-B5C5-1E2A70AFC534}"/>
    <cellStyle name="Comma 3 5 9 3" xfId="48357" xr:uid="{68A34AFE-CFA8-4D5F-B0D3-F6D43F1D0EA0}"/>
    <cellStyle name="Comma 3 5 9 4" xfId="51871" xr:uid="{B3590B47-66BC-4C74-83D6-736E6A2844EE}"/>
    <cellStyle name="Comma 3 5 9 5" xfId="54887" xr:uid="{8EDBB010-99BB-4774-94B0-5536EFB341E8}"/>
    <cellStyle name="Comma 3 6" xfId="2620" xr:uid="{BC5D62CA-284C-4700-9CEF-B54EA5668EDA}"/>
    <cellStyle name="Comma 3 6 10" xfId="11698" xr:uid="{704AC47E-8F28-4539-8F92-85BCA64CAC14}"/>
    <cellStyle name="Comma 3 6 2" xfId="21719" xr:uid="{5C7F3F8C-5C1C-4888-A39C-1DDB3EA2F120}"/>
    <cellStyle name="Comma 3 6 3" xfId="23752" xr:uid="{001EA479-F706-4717-A0A0-2265298FEE27}"/>
    <cellStyle name="Comma 3 6 4" xfId="47690" xr:uid="{2D52126E-2882-4F82-A67B-EAD8461FED19}"/>
    <cellStyle name="Comma 3 6 5" xfId="48635" xr:uid="{B3559B9A-A146-4D5E-AC3A-FD898BF28269}"/>
    <cellStyle name="Comma 3 6 6" xfId="49543" xr:uid="{937ABE65-74BC-43C0-AE2C-22DB362AABD8}"/>
    <cellStyle name="Comma 3 6 7" xfId="50745" xr:uid="{E78F47AE-CF00-4AC3-B716-6BDC56A6BF0F}"/>
    <cellStyle name="Comma 3 6 8" xfId="53761" xr:uid="{2B616AA9-729F-4695-80C9-C07A5ECE25C3}"/>
    <cellStyle name="Comma 3 6 9" xfId="18300" xr:uid="{0325DFD7-F4C8-4198-AFD2-937475F402AE}"/>
    <cellStyle name="Comma 3 7" xfId="11143" xr:uid="{E9986791-D064-4907-B109-592C5B0A0F12}"/>
    <cellStyle name="Comma 3 7 2" xfId="21675" xr:uid="{EEC8E58C-D24B-451F-940B-133C11E48AD0}"/>
    <cellStyle name="Comma 3 7 3" xfId="23753" xr:uid="{ADB26CBE-3308-4AC9-85A4-112A8DF5D69A}"/>
    <cellStyle name="Comma 3 7 4" xfId="48184" xr:uid="{C02CB15E-2859-4EED-8F27-ABC491FB2A0E}"/>
    <cellStyle name="Comma 3 7 5" xfId="48636" xr:uid="{13D54808-4829-467D-8711-BCB0C7F846A3}"/>
    <cellStyle name="Comma 3 7 6" xfId="49544" xr:uid="{E0152E26-68EA-44A7-B0FE-57F0726A7846}"/>
    <cellStyle name="Comma 3 7 7" xfId="50691" xr:uid="{7F3DAACD-3DFB-437A-89F3-99F6DDD05568}"/>
    <cellStyle name="Comma 3 7 8" xfId="53707" xr:uid="{FFD321BC-288E-466B-BDB0-08C42FA0978D}"/>
    <cellStyle name="Comma 3 7 9" xfId="18042" xr:uid="{3504DA0D-CE71-4131-9538-8A53FE763A05}"/>
    <cellStyle name="Comma 3 8" xfId="19482" xr:uid="{ED568B13-7262-4C21-869C-6EB8C4285925}"/>
    <cellStyle name="Comma 3 8 2" xfId="23754" xr:uid="{38C4B00F-C241-495C-BE52-D8B8CB49C438}"/>
    <cellStyle name="Comma 3 8 3" xfId="48637" xr:uid="{DB6D3B11-DA77-4AEB-8A3B-B6A17C282D0D}"/>
    <cellStyle name="Comma 3 8 4" xfId="49545" xr:uid="{9977340F-9BDB-49D0-9866-77A24E47DCE9}"/>
    <cellStyle name="Comma 3 9" xfId="23755" xr:uid="{C0340107-E71C-4520-B80E-8AFDE908090A}"/>
    <cellStyle name="Comma 4" xfId="52" xr:uid="{00000000-0005-0000-0000-000057000000}"/>
    <cellStyle name="Comma 4 10" xfId="23756" xr:uid="{A0FF8F0D-6D56-4DF7-8F1E-5B1170B0899E}"/>
    <cellStyle name="Comma 4 11" xfId="48638" xr:uid="{3909D852-3258-41F8-A1D6-8E23EAEF5881}"/>
    <cellStyle name="Comma 4 12" xfId="49546" xr:uid="{4113EF31-5E15-4F02-913D-E5874C6E5A97}"/>
    <cellStyle name="Comma 4 13" xfId="7235" xr:uid="{17054520-F74E-4576-9557-182960003C86}"/>
    <cellStyle name="Comma 4 2" xfId="53" xr:uid="{00000000-0005-0000-0000-000058000000}"/>
    <cellStyle name="Comma 4 2 10" xfId="14967" xr:uid="{FE0568D5-A9D5-4F6B-8E17-9505112F55F4}"/>
    <cellStyle name="Comma 4 2 10 2" xfId="22511" xr:uid="{7B76FC37-D751-4CF9-9931-B8C7B5F25391}"/>
    <cellStyle name="Comma 4 2 10 3" xfId="32516" xr:uid="{A28444EA-A780-4153-A9F2-D0E3C5A75DC0}"/>
    <cellStyle name="Comma 4 2 10 4" xfId="51849" xr:uid="{A091004E-CD26-4A49-A1DD-811E1CD7F9DD}"/>
    <cellStyle name="Comma 4 2 10 5" xfId="54865" xr:uid="{3369E10A-AA0B-42B0-B827-58BBC163471C}"/>
    <cellStyle name="Comma 4 2 11" xfId="15453" xr:uid="{2FB5551B-4AC8-4403-B114-A6310E062EA0}"/>
    <cellStyle name="Comma 4 2 11 2" xfId="22988" xr:uid="{75B8ECA9-441A-437D-B490-51E00EC9D9A6}"/>
    <cellStyle name="Comma 4 2 11 3" xfId="24441" xr:uid="{8C49ADF0-D0AD-4A19-8B04-71869C65A774}"/>
    <cellStyle name="Comma 4 2 11 4" xfId="52326" xr:uid="{8028F5A6-C292-42EC-B713-0204703DBCA3}"/>
    <cellStyle name="Comma 4 2 11 5" xfId="55342" xr:uid="{01B12497-911B-4919-BE75-5100A6412600}"/>
    <cellStyle name="Comma 4 2 12" xfId="19487" xr:uid="{F2DF3937-ECB8-4515-8F91-1C6B8D3042D6}"/>
    <cellStyle name="Comma 4 2 13" xfId="23757" xr:uid="{118E7343-4D2C-4ACE-AF38-3018E8D950AE}"/>
    <cellStyle name="Comma 4 2 14" xfId="48639" xr:uid="{75A2017B-10C5-4664-88C9-9F510871A374}"/>
    <cellStyle name="Comma 4 2 15" xfId="49547" xr:uid="{D830AF1B-0731-461A-8F9B-FDEE535432F3}"/>
    <cellStyle name="Comma 4 2 16" xfId="49789" xr:uid="{74F2F79A-929F-46D3-957D-866C2C1E05B7}"/>
    <cellStyle name="Comma 4 2 17" xfId="52804" xr:uid="{9EA5BD4F-535A-48E5-9F82-9A1E55FB2B68}"/>
    <cellStyle name="Comma 4 2 2" xfId="2626" xr:uid="{4E33E8F0-E4ED-4400-89CC-A7E578BA790C}"/>
    <cellStyle name="Comma 4 2 2 10" xfId="15463" xr:uid="{3F9B12CB-9657-436B-ABE3-F78A1525FF84}"/>
    <cellStyle name="Comma 4 2 2 10 2" xfId="22994" xr:uid="{B0284BE2-7EA2-4278-A8D0-639CD5944194}"/>
    <cellStyle name="Comma 4 2 2 10 3" xfId="46537" xr:uid="{C465FF42-F352-45CB-A7CE-B39BF0A8B1AC}"/>
    <cellStyle name="Comma 4 2 2 10 4" xfId="52332" xr:uid="{8FBA93D8-D350-4C20-A03A-459B1A527A9A}"/>
    <cellStyle name="Comma 4 2 2 10 5" xfId="55348" xr:uid="{D6826BB3-7A13-4397-9C01-9DFE14EBB202}"/>
    <cellStyle name="Comma 4 2 2 11" xfId="11195" xr:uid="{2E063EFC-EF9F-4B71-A702-6819EDDD0B49}"/>
    <cellStyle name="Comma 4 2 2 11 2" xfId="21691" xr:uid="{DC88CC13-6A1F-4E66-85EA-90E9E9CCCD83}"/>
    <cellStyle name="Comma 4 2 2 11 3" xfId="32442" xr:uid="{3250589C-BCE5-48FC-BFD7-0FAEA41D7372}"/>
    <cellStyle name="Comma 4 2 2 11 4" xfId="50708" xr:uid="{78BEBFAB-E490-4BBC-927F-7893DE4EE180}"/>
    <cellStyle name="Comma 4 2 2 11 5" xfId="53724" xr:uid="{26495475-9CDE-48BB-B69B-5E0F75682A97}"/>
    <cellStyle name="Comma 4 2 2 12" xfId="19488" xr:uid="{77139A38-BCB9-442B-8047-46040F23191C}"/>
    <cellStyle name="Comma 4 2 2 13" xfId="23758" xr:uid="{D0FC65DC-205E-4146-A23A-999DA148777D}"/>
    <cellStyle name="Comma 4 2 2 14" xfId="48640" xr:uid="{E36E3872-677E-4208-AC15-17026DC7EDA9}"/>
    <cellStyle name="Comma 4 2 2 15" xfId="49548" xr:uid="{AE7B0E44-DDC6-4EB2-ADAC-1101B807B9FB}"/>
    <cellStyle name="Comma 4 2 2 16" xfId="49795" xr:uid="{E2F46900-1297-4835-B0F4-E69C34C62193}"/>
    <cellStyle name="Comma 4 2 2 17" xfId="52810" xr:uid="{F6733F57-C024-4B48-8BF2-A0E18D6BEB7A}"/>
    <cellStyle name="Comma 4 2 2 2" xfId="8935" xr:uid="{2CD568C4-117A-41C6-BE9D-C02F3F057E22}"/>
    <cellStyle name="Comma 4 2 2 2 10" xfId="11496" xr:uid="{A72208B0-C885-43ED-BE67-3847478FD7AD}"/>
    <cellStyle name="Comma 4 2 2 2 10 2" xfId="48434" xr:uid="{D5FC4AED-F186-4E78-AF06-FD6506435424}"/>
    <cellStyle name="Comma 4 2 2 2 10 3" xfId="50720" xr:uid="{56FE3937-CDE7-4E19-83C9-DBE949F4E02D}"/>
    <cellStyle name="Comma 4 2 2 2 10 4" xfId="53736" xr:uid="{852B4754-5D23-43DA-B317-5A36942F2232}"/>
    <cellStyle name="Comma 4 2 2 2 11" xfId="23759" xr:uid="{E391D560-3C22-44F6-BB28-769296FAAA8A}"/>
    <cellStyle name="Comma 4 2 2 2 12" xfId="48641" xr:uid="{7E4D6C23-F852-415C-9CFA-4C2C135560A7}"/>
    <cellStyle name="Comma 4 2 2 2 13" xfId="49549" xr:uid="{D0635CBE-5CD7-44DC-B6BF-E388D7B1B09F}"/>
    <cellStyle name="Comma 4 2 2 2 14" xfId="49812" xr:uid="{8645314B-5CE6-410D-AB42-91B290819CE8}"/>
    <cellStyle name="Comma 4 2 2 2 15" xfId="52827" xr:uid="{F8535001-2C70-4190-A1DC-95AEA1CBA421}"/>
    <cellStyle name="Comma 4 2 2 2 2" xfId="10022" xr:uid="{50999523-92B5-4470-B6F4-51DD79D1E88E}"/>
    <cellStyle name="Comma 4 2 2 2 2 2" xfId="10330" xr:uid="{2CAB4E6E-6261-4B9A-A763-8FD3A6A85998}"/>
    <cellStyle name="Comma 4 2 2 2 2 2 2" xfId="14775" xr:uid="{EA1B98EB-803D-40B1-BFEB-EA0867E36864}"/>
    <cellStyle name="Comma 4 2 2 2 2 2 2 2" xfId="22322" xr:uid="{5A2BF512-598A-42B3-8DB6-20375D091556}"/>
    <cellStyle name="Comma 4 2 2 2 2 2 2 3" xfId="48063" xr:uid="{0B0DD3C6-29F6-4F4D-9DAC-3AD18EFAF114}"/>
    <cellStyle name="Comma 4 2 2 2 2 2 2 4" xfId="51660" xr:uid="{D83F529D-38F2-4502-9D6C-1FCB45B8AA0E}"/>
    <cellStyle name="Comma 4 2 2 2 2 2 2 5" xfId="54676" xr:uid="{1127FCC6-DF59-49BB-A78F-57894F60DE90}"/>
    <cellStyle name="Comma 4 2 2 2 2 2 3" xfId="15260" xr:uid="{B391A9B3-2B26-4124-ACAA-3E480B1C381C}"/>
    <cellStyle name="Comma 4 2 2 2 2 2 3 2" xfId="22799" xr:uid="{3D0F5E62-002A-476B-9F50-BF49DF9943EF}"/>
    <cellStyle name="Comma 4 2 2 2 2 2 3 3" xfId="46898" xr:uid="{453354AB-A39E-4AE9-910C-81720E3238E2}"/>
    <cellStyle name="Comma 4 2 2 2 2 2 3 4" xfId="52137" xr:uid="{FA995DC9-BAB9-4ADF-B59B-72B8D119CF63}"/>
    <cellStyle name="Comma 4 2 2 2 2 2 3 5" xfId="55153" xr:uid="{AF8177AE-503E-4394-9850-4489A6876241}"/>
    <cellStyle name="Comma 4 2 2 2 2 2 4" xfId="15747" xr:uid="{D36D1BD2-734E-45F1-8864-42AF03B274A8}"/>
    <cellStyle name="Comma 4 2 2 2 2 2 4 2" xfId="23276" xr:uid="{46B91EDB-1580-4029-A315-468F7369010D}"/>
    <cellStyle name="Comma 4 2 2 2 2 2 4 3" xfId="24313" xr:uid="{FEF94231-C6B6-4DB8-82E3-FB110964DE10}"/>
    <cellStyle name="Comma 4 2 2 2 2 2 4 4" xfId="52614" xr:uid="{C7586628-62F8-4C49-84E7-7228AFAFB850}"/>
    <cellStyle name="Comma 4 2 2 2 2 2 4 5" xfId="55630" xr:uid="{4049A647-6E5A-46F9-9010-E17E3F83BF23}"/>
    <cellStyle name="Comma 4 2 2 2 2 2 5" xfId="12783" xr:uid="{706B9783-210C-41EF-B2BE-5C253DA389A6}"/>
    <cellStyle name="Comma 4 2 2 2 2 2 5 2" xfId="48340" xr:uid="{DF8FF4FF-4378-4F82-8E9E-E7AB8161FCC2}"/>
    <cellStyle name="Comma 4 2 2 2 2 2 5 3" xfId="51183" xr:uid="{12A435A3-077E-46F8-BC9B-04FEE63EE9F8}"/>
    <cellStyle name="Comma 4 2 2 2 2 2 5 4" xfId="54199" xr:uid="{73C94A4F-B805-417E-884E-F5A3E589A673}"/>
    <cellStyle name="Comma 4 2 2 2 2 2 6" xfId="48156" xr:uid="{76C37BA5-1C4C-4C0D-8096-045E1FBA49FD}"/>
    <cellStyle name="Comma 4 2 2 2 2 2 7" xfId="50077" xr:uid="{6AB06342-8CD4-465C-AA00-ECBED47D9C32}"/>
    <cellStyle name="Comma 4 2 2 2 2 2 8" xfId="53093" xr:uid="{94A2438D-D4BE-421B-9174-A3C5498BB0D3}"/>
    <cellStyle name="Comma 4 2 2 2 2 3" xfId="14563" xr:uid="{51DF93D9-EECA-4E3D-B1D0-5D1DE1064208}"/>
    <cellStyle name="Comma 4 2 2 2 2 3 2" xfId="22110" xr:uid="{2259559B-0F63-4BE6-8FDB-A8F09CD5DD91}"/>
    <cellStyle name="Comma 4 2 2 2 2 3 3" xfId="32285" xr:uid="{9509ABF8-F925-4CB4-8C4A-E01A127921B3}"/>
    <cellStyle name="Comma 4 2 2 2 2 3 4" xfId="51448" xr:uid="{13577C1F-B59A-4484-AEA0-733F2003851A}"/>
    <cellStyle name="Comma 4 2 2 2 2 3 5" xfId="54464" xr:uid="{F6BF4BAA-42E0-4A90-AF6D-6F37F5D74F52}"/>
    <cellStyle name="Comma 4 2 2 2 2 4" xfId="15047" xr:uid="{C2D51C2C-850F-4341-994A-026B39800E46}"/>
    <cellStyle name="Comma 4 2 2 2 2 4 2" xfId="22587" xr:uid="{53F2BC39-146B-406A-8042-4451866765FC}"/>
    <cellStyle name="Comma 4 2 2 2 2 4 3" xfId="47401" xr:uid="{37F9D228-426C-4CEC-937F-2DEC4D7DB4CA}"/>
    <cellStyle name="Comma 4 2 2 2 2 4 4" xfId="51925" xr:uid="{2C408AB6-135A-4D20-95C1-FFC733754209}"/>
    <cellStyle name="Comma 4 2 2 2 2 4 5" xfId="54941" xr:uid="{09AEDBC5-A61F-48D0-BCED-C2D9BAB1F3D2}"/>
    <cellStyle name="Comma 4 2 2 2 2 5" xfId="15534" xr:uid="{0A838AA2-B9AD-4DFE-A25C-69A29B4CB85D}"/>
    <cellStyle name="Comma 4 2 2 2 2 5 2" xfId="23064" xr:uid="{90057737-DD68-4921-8D1E-223B5CAC2CD2}"/>
    <cellStyle name="Comma 4 2 2 2 2 5 3" xfId="46931" xr:uid="{6B0AB393-D411-4F9E-B5F9-4D6896FED87D}"/>
    <cellStyle name="Comma 4 2 2 2 2 5 4" xfId="52402" xr:uid="{1B263F25-FC81-4BA5-B2E5-7F7A43088668}"/>
    <cellStyle name="Comma 4 2 2 2 2 5 5" xfId="55418" xr:uid="{371F4EE9-499E-4C38-9598-58FE5750D66A}"/>
    <cellStyle name="Comma 4 2 2 2 2 6" xfId="12482" xr:uid="{79EFA828-3B9C-4955-8FA3-7827CF0D49F7}"/>
    <cellStyle name="Comma 4 2 2 2 2 6 2" xfId="48103" xr:uid="{D188DEC4-19B5-414E-9D23-1499DAB45CEF}"/>
    <cellStyle name="Comma 4 2 2 2 2 6 3" xfId="50971" xr:uid="{A5047B6B-5175-4428-B49F-C7607C7A7E3D}"/>
    <cellStyle name="Comma 4 2 2 2 2 6 4" xfId="53987" xr:uid="{422D7360-0287-4F96-805B-ABFA8F100EDF}"/>
    <cellStyle name="Comma 4 2 2 2 2 7" xfId="47273" xr:uid="{81293BB7-5F73-4FBA-8156-C0D50E93E3A4}"/>
    <cellStyle name="Comma 4 2 2 2 2 8" xfId="49865" xr:uid="{0AAAB8F3-8F08-4CEE-911A-1D00431C703F}"/>
    <cellStyle name="Comma 4 2 2 2 2 9" xfId="52881" xr:uid="{3CE76BEF-6ACE-4323-A868-576131670820}"/>
    <cellStyle name="Comma 4 2 2 2 3" xfId="10096" xr:uid="{9588EF84-79F6-45A0-BF7E-F9D1DD68CB2B}"/>
    <cellStyle name="Comma 4 2 2 2 3 2" xfId="10409" xr:uid="{523EB08C-133D-4DE8-961E-342B385F483D}"/>
    <cellStyle name="Comma 4 2 2 2 3 2 2" xfId="14828" xr:uid="{5162C214-1816-4161-B31A-F0E22E1AC71E}"/>
    <cellStyle name="Comma 4 2 2 2 3 2 2 2" xfId="22375" xr:uid="{0D87ACD5-C0F3-4DDA-ADF5-B38B53B31CCA}"/>
    <cellStyle name="Comma 4 2 2 2 3 2 2 3" xfId="47538" xr:uid="{8CC7ABF4-39CC-41EF-9927-300BC5C8F9D4}"/>
    <cellStyle name="Comma 4 2 2 2 3 2 2 4" xfId="51713" xr:uid="{4E393B9F-F6C5-4B47-83B1-B1D4F48176E3}"/>
    <cellStyle name="Comma 4 2 2 2 3 2 2 5" xfId="54729" xr:uid="{DE1C9277-11E9-4961-8FD3-E0B86D84348B}"/>
    <cellStyle name="Comma 4 2 2 2 3 2 3" xfId="15313" xr:uid="{B997A293-676B-4C71-AB39-1EFBBEF2DA40}"/>
    <cellStyle name="Comma 4 2 2 2 3 2 3 2" xfId="22852" xr:uid="{CEB81563-16BC-415E-A41C-D16A2E5BB283}"/>
    <cellStyle name="Comma 4 2 2 2 3 2 3 3" xfId="37450" xr:uid="{054EF586-AC9F-407A-82FC-434856723F42}"/>
    <cellStyle name="Comma 4 2 2 2 3 2 3 4" xfId="52190" xr:uid="{72606EF9-C5C5-4FF6-93C0-3F6521684E6B}"/>
    <cellStyle name="Comma 4 2 2 2 3 2 3 5" xfId="55206" xr:uid="{3431C7E3-78DE-4793-83BE-07FFE8FB19BF}"/>
    <cellStyle name="Comma 4 2 2 2 3 2 4" xfId="15800" xr:uid="{E0527B7C-7BA6-4253-89E7-4F351E68080D}"/>
    <cellStyle name="Comma 4 2 2 2 3 2 4 2" xfId="23329" xr:uid="{2EE68582-EB40-4B4F-84E1-235823FEE5F6}"/>
    <cellStyle name="Comma 4 2 2 2 3 2 4 3" xfId="47675" xr:uid="{6C926606-88BB-4E85-8E73-9CBB09457BA6}"/>
    <cellStyle name="Comma 4 2 2 2 3 2 4 4" xfId="52667" xr:uid="{0F9779E1-831B-4E8A-9831-8ACE288CF4E3}"/>
    <cellStyle name="Comma 4 2 2 2 3 2 4 5" xfId="55683" xr:uid="{CDFDD415-8D39-45A0-8E14-E78E987AB8DE}"/>
    <cellStyle name="Comma 4 2 2 2 3 2 5" xfId="12862" xr:uid="{BC6B0FFB-A4D6-43A7-B5D2-44F45EE9B886}"/>
    <cellStyle name="Comma 4 2 2 2 3 2 5 2" xfId="48033" xr:uid="{2E823FBE-3016-4FF5-AB6D-5E5D865FBB15}"/>
    <cellStyle name="Comma 4 2 2 2 3 2 5 3" xfId="51236" xr:uid="{82D27989-A8B2-4FDD-9194-C4842C2811BC}"/>
    <cellStyle name="Comma 4 2 2 2 3 2 5 4" xfId="54252" xr:uid="{F09BE016-3B2C-4958-A64F-F88DDD449AF4}"/>
    <cellStyle name="Comma 4 2 2 2 3 2 6" xfId="47881" xr:uid="{04BA8EB2-810B-4602-A3EF-396B5FBCC211}"/>
    <cellStyle name="Comma 4 2 2 2 3 2 7" xfId="50130" xr:uid="{FF18A10F-8FDA-4E79-82B1-CB88AF92C7CF}"/>
    <cellStyle name="Comma 4 2 2 2 3 2 8" xfId="53146" xr:uid="{2E1C2C7E-1637-4295-9062-10FC0C5F2A75}"/>
    <cellStyle name="Comma 4 2 2 2 3 3" xfId="14616" xr:uid="{475E0735-5909-46EF-9E1C-EF635871D100}"/>
    <cellStyle name="Comma 4 2 2 2 3 3 2" xfId="22163" xr:uid="{6A48A2EF-3ADE-40BE-A483-E3D34677E670}"/>
    <cellStyle name="Comma 4 2 2 2 3 3 3" xfId="46408" xr:uid="{06587E28-A060-43C1-975B-343EE1A404FD}"/>
    <cellStyle name="Comma 4 2 2 2 3 3 4" xfId="51501" xr:uid="{C038BF19-41C4-4C48-A8A3-885F686E469F}"/>
    <cellStyle name="Comma 4 2 2 2 3 3 5" xfId="54517" xr:uid="{A80C7558-7B9B-42DE-BEAD-CBE4A79FE942}"/>
    <cellStyle name="Comma 4 2 2 2 3 4" xfId="15101" xr:uid="{61026538-ABA7-41A8-B6D2-A479B02379FF}"/>
    <cellStyle name="Comma 4 2 2 2 3 4 2" xfId="22640" xr:uid="{26ECE728-D2BE-43A6-A0E5-FFF6E7BD50FA}"/>
    <cellStyle name="Comma 4 2 2 2 3 4 3" xfId="48299" xr:uid="{0A2A1CC4-2F29-46E4-948F-D17E2D7A0E1C}"/>
    <cellStyle name="Comma 4 2 2 2 3 4 4" xfId="51978" xr:uid="{0CFE6C4C-33AC-49A0-8B40-B76C695A76F7}"/>
    <cellStyle name="Comma 4 2 2 2 3 4 5" xfId="54994" xr:uid="{C9C5F22E-6634-4C51-A334-31284BDF8CD6}"/>
    <cellStyle name="Comma 4 2 2 2 3 5" xfId="15588" xr:uid="{4EC4614B-0670-47D4-89EA-49B479BE6F1A}"/>
    <cellStyle name="Comma 4 2 2 2 3 5 2" xfId="23117" xr:uid="{9909A567-9932-49E0-AC53-0B5F5E682793}"/>
    <cellStyle name="Comma 4 2 2 2 3 5 3" xfId="48097" xr:uid="{1C9B1276-A3F0-4EA0-A908-239E95BF3E3B}"/>
    <cellStyle name="Comma 4 2 2 2 3 5 4" xfId="52455" xr:uid="{92BF4ABD-4C8E-4F44-827D-11636C3188A5}"/>
    <cellStyle name="Comma 4 2 2 2 3 5 5" xfId="55471" xr:uid="{9E5DE173-C5E8-4813-8FD4-E93BADD4593D}"/>
    <cellStyle name="Comma 4 2 2 2 3 6" xfId="12553" xr:uid="{1A266978-A0F9-4889-8479-A67C93B49DA1}"/>
    <cellStyle name="Comma 4 2 2 2 3 6 2" xfId="33694" xr:uid="{A1820E59-946D-4B0E-A219-DE881AB615AA}"/>
    <cellStyle name="Comma 4 2 2 2 3 6 3" xfId="51024" xr:uid="{E924EEA0-8340-4420-94FF-EE6DA3379145}"/>
    <cellStyle name="Comma 4 2 2 2 3 6 4" xfId="54040" xr:uid="{DD78D59A-A766-479D-824E-1AD7ED65C242}"/>
    <cellStyle name="Comma 4 2 2 2 3 7" xfId="47576" xr:uid="{BC4A610C-136C-44B7-AB81-C020D4C0C0E9}"/>
    <cellStyle name="Comma 4 2 2 2 3 8" xfId="49918" xr:uid="{5E865982-A89D-49BC-9E26-F8F34495C5CF}"/>
    <cellStyle name="Comma 4 2 2 2 3 9" xfId="52934" xr:uid="{2ABFCE2A-C570-4562-BB00-D177B3D508B0}"/>
    <cellStyle name="Comma 4 2 2 2 4" xfId="10175" xr:uid="{2A953DD4-47A7-4B58-940D-DCDE702650E9}"/>
    <cellStyle name="Comma 4 2 2 2 4 2" xfId="10489" xr:uid="{C8919942-095D-455C-B27A-CA0F505A4CFA}"/>
    <cellStyle name="Comma 4 2 2 2 4 2 2" xfId="14881" xr:uid="{0647C2E8-BEFB-4586-B33D-E57FBCB757FA}"/>
    <cellStyle name="Comma 4 2 2 2 4 2 2 2" xfId="22428" xr:uid="{89922D48-666D-4DC3-AE95-903289B67BC5}"/>
    <cellStyle name="Comma 4 2 2 2 4 2 2 3" xfId="47152" xr:uid="{8814370B-8596-45B2-BB69-EA68A4C49BBC}"/>
    <cellStyle name="Comma 4 2 2 2 4 2 2 4" xfId="51766" xr:uid="{CBA25C7E-9D76-4E0F-A86E-B223A6042BC0}"/>
    <cellStyle name="Comma 4 2 2 2 4 2 2 5" xfId="54782" xr:uid="{BFFE8456-B7A3-4FEE-A047-31F0EA1F7EF1}"/>
    <cellStyle name="Comma 4 2 2 2 4 2 3" xfId="15366" xr:uid="{6A60E5D0-9696-485E-A798-1DC4DC436FB1}"/>
    <cellStyle name="Comma 4 2 2 2 4 2 3 2" xfId="22905" xr:uid="{5FA8411C-0962-43D3-9893-C6D217F7F552}"/>
    <cellStyle name="Comma 4 2 2 2 4 2 3 3" xfId="24653" xr:uid="{52A07B42-FAE0-4CEA-91D4-F7AE6C6FC1BA}"/>
    <cellStyle name="Comma 4 2 2 2 4 2 3 4" xfId="52243" xr:uid="{E80C314F-24B2-460B-8DE3-DCFC9429272E}"/>
    <cellStyle name="Comma 4 2 2 2 4 2 3 5" xfId="55259" xr:uid="{7FD79832-DE03-4531-849A-3A7FBE4FAB49}"/>
    <cellStyle name="Comma 4 2 2 2 4 2 4" xfId="15853" xr:uid="{7EF65420-1F05-4029-A6A8-D633D021EEBB}"/>
    <cellStyle name="Comma 4 2 2 2 4 2 4 2" xfId="23382" xr:uid="{3E476B1F-C650-41DE-877D-20752EBC6FD0}"/>
    <cellStyle name="Comma 4 2 2 2 4 2 4 3" xfId="48372" xr:uid="{0BFE78E7-13EC-41FC-ABEF-BF624BDE6071}"/>
    <cellStyle name="Comma 4 2 2 2 4 2 4 4" xfId="52720" xr:uid="{A0BB74B5-5EC0-4819-AB92-8C3E0410284A}"/>
    <cellStyle name="Comma 4 2 2 2 4 2 4 5" xfId="55736" xr:uid="{307F5829-F990-4101-97FD-582AC97BC300}"/>
    <cellStyle name="Comma 4 2 2 2 4 2 5" xfId="12942" xr:uid="{0FE74331-6080-4B80-B870-E5A6A07DF5A0}"/>
    <cellStyle name="Comma 4 2 2 2 4 2 5 2" xfId="25039" xr:uid="{1457B4E1-548C-49C9-801F-1172D8841622}"/>
    <cellStyle name="Comma 4 2 2 2 4 2 5 3" xfId="51289" xr:uid="{BF632A13-F6B6-4EA8-B7D1-C71598B201FF}"/>
    <cellStyle name="Comma 4 2 2 2 4 2 5 4" xfId="54305" xr:uid="{79B28F69-E645-44EC-B9CE-2A3E065B6B22}"/>
    <cellStyle name="Comma 4 2 2 2 4 2 6" xfId="48461" xr:uid="{F29C05E8-0E02-4821-9E94-523A448DBEF8}"/>
    <cellStyle name="Comma 4 2 2 2 4 2 7" xfId="50183" xr:uid="{1E510569-1454-4347-BCA5-26B6401BBC00}"/>
    <cellStyle name="Comma 4 2 2 2 4 2 8" xfId="53199" xr:uid="{A95FD999-A9A5-4E8A-850C-139C1E53D215}"/>
    <cellStyle name="Comma 4 2 2 2 4 3" xfId="14669" xr:uid="{8649FF89-167A-4CCF-8D7E-96A05F0C8326}"/>
    <cellStyle name="Comma 4 2 2 2 4 3 2" xfId="22216" xr:uid="{7743DB67-08BA-48CF-AF08-3DFFD8684119}"/>
    <cellStyle name="Comma 4 2 2 2 4 3 3" xfId="32531" xr:uid="{6505468A-0C6B-435D-B537-40A4C420EA75}"/>
    <cellStyle name="Comma 4 2 2 2 4 3 4" xfId="51554" xr:uid="{DB1CA5D2-C187-4D9B-857E-2DA6768AE18F}"/>
    <cellStyle name="Comma 4 2 2 2 4 3 5" xfId="54570" xr:uid="{F54141A5-DE7A-4147-BDCA-D5C8B339CE3A}"/>
    <cellStyle name="Comma 4 2 2 2 4 4" xfId="15154" xr:uid="{193D9A93-16EF-484B-A1CC-227B97B879ED}"/>
    <cellStyle name="Comma 4 2 2 2 4 4 2" xfId="22693" xr:uid="{9FA73BF9-D74D-4A75-813A-37C2FA9B040D}"/>
    <cellStyle name="Comma 4 2 2 2 4 4 3" xfId="46688" xr:uid="{54C34351-BD5D-4F43-935D-17491BC629AE}"/>
    <cellStyle name="Comma 4 2 2 2 4 4 4" xfId="52031" xr:uid="{9E398518-7A7C-401E-8065-6793580C0741}"/>
    <cellStyle name="Comma 4 2 2 2 4 4 5" xfId="55047" xr:uid="{72C2728B-C971-44E2-A52B-3713002AA00A}"/>
    <cellStyle name="Comma 4 2 2 2 4 5" xfId="15641" xr:uid="{19E78A9A-6CFE-4626-9653-3643483E172F}"/>
    <cellStyle name="Comma 4 2 2 2 4 5 2" xfId="23170" xr:uid="{BFEB5972-ECAF-4E1A-9600-63E43B1C9837}"/>
    <cellStyle name="Comma 4 2 2 2 4 5 3" xfId="47645" xr:uid="{99E5B4EB-F60C-47C2-B19D-6B2FA40BA7CC}"/>
    <cellStyle name="Comma 4 2 2 2 4 5 4" xfId="52508" xr:uid="{8DEA956D-ED1E-4660-901D-DE7732B58BB0}"/>
    <cellStyle name="Comma 4 2 2 2 4 5 5" xfId="55524" xr:uid="{43D64282-F851-4256-8003-132A8CA97D20}"/>
    <cellStyle name="Comma 4 2 2 2 4 6" xfId="12629" xr:uid="{7E669B50-FD66-47B8-9473-1DE2331FCF13}"/>
    <cellStyle name="Comma 4 2 2 2 4 6 2" xfId="25067" xr:uid="{557F86B9-9CD6-4809-BE96-68AF82A2248D}"/>
    <cellStyle name="Comma 4 2 2 2 4 6 3" xfId="51077" xr:uid="{210D2564-958C-4D69-ADA9-CBD4F8863536}"/>
    <cellStyle name="Comma 4 2 2 2 4 6 4" xfId="54093" xr:uid="{B3D9D95D-D650-4811-AF04-EBCE7308EA6A}"/>
    <cellStyle name="Comma 4 2 2 2 4 7" xfId="48567" xr:uid="{81AA3731-3758-44FE-BA09-26D5C2130CDD}"/>
    <cellStyle name="Comma 4 2 2 2 4 8" xfId="49971" xr:uid="{5A0098C4-BEF2-4903-9A8D-1F0F58320F2E}"/>
    <cellStyle name="Comma 4 2 2 2 4 9" xfId="52987" xr:uid="{443FC37C-B98A-40BC-B57C-B5128A6625C0}"/>
    <cellStyle name="Comma 4 2 2 2 5" xfId="10255" xr:uid="{A3D9511C-E17C-4993-97C0-B90C1CD436C9}"/>
    <cellStyle name="Comma 4 2 2 2 5 2" xfId="14722" xr:uid="{00C254AB-333A-44BF-819D-DB32F7A6B6EA}"/>
    <cellStyle name="Comma 4 2 2 2 5 2 2" xfId="22269" xr:uid="{BA7E8DC4-4B53-4579-B50E-53EB5294AA01}"/>
    <cellStyle name="Comma 4 2 2 2 5 2 3" xfId="24958" xr:uid="{3EC2BA95-E3B7-4281-AD93-C72622488B81}"/>
    <cellStyle name="Comma 4 2 2 2 5 2 4" xfId="51607" xr:uid="{9BF761E4-BFED-4735-AE12-697807714152}"/>
    <cellStyle name="Comma 4 2 2 2 5 2 5" xfId="54623" xr:uid="{496484F1-FDD0-475C-AD1E-0C26B3C67469}"/>
    <cellStyle name="Comma 4 2 2 2 5 3" xfId="15207" xr:uid="{A4282865-F7F3-460E-BFF5-BBC837D8D652}"/>
    <cellStyle name="Comma 4 2 2 2 5 3 2" xfId="22746" xr:uid="{FA626783-CBF8-4DA5-8080-17424E1AC0CD}"/>
    <cellStyle name="Comma 4 2 2 2 5 3 3" xfId="25290" xr:uid="{3BF8CD1F-107D-48FC-9091-A8D636168817}"/>
    <cellStyle name="Comma 4 2 2 2 5 3 4" xfId="52084" xr:uid="{35544964-5359-4984-A745-F01DD129D8C3}"/>
    <cellStyle name="Comma 4 2 2 2 5 3 5" xfId="55100" xr:uid="{08A4870F-0E6E-4944-B47C-12999A6B4006}"/>
    <cellStyle name="Comma 4 2 2 2 5 4" xfId="15694" xr:uid="{BB06D06A-60E5-4641-A39F-52D8A3F30003}"/>
    <cellStyle name="Comma 4 2 2 2 5 4 2" xfId="23223" xr:uid="{C0245534-87AF-45C9-B598-78A4AF625583}"/>
    <cellStyle name="Comma 4 2 2 2 5 4 3" xfId="47046" xr:uid="{45AA604D-7232-4D5D-9BEF-471BFA33BD9B}"/>
    <cellStyle name="Comma 4 2 2 2 5 4 4" xfId="52561" xr:uid="{B37FE9B3-DCEB-4497-BCCC-6B75B8FF9418}"/>
    <cellStyle name="Comma 4 2 2 2 5 4 5" xfId="55577" xr:uid="{60508820-CF01-4BA1-8168-0EF7C0A0E2C2}"/>
    <cellStyle name="Comma 4 2 2 2 5 5" xfId="12708" xr:uid="{F5DFF033-1404-40A9-8468-CC1DED0F6438}"/>
    <cellStyle name="Comma 4 2 2 2 5 5 2" xfId="46784" xr:uid="{12BC527E-F2FB-4055-BCC6-8893D751542A}"/>
    <cellStyle name="Comma 4 2 2 2 5 5 3" xfId="51130" xr:uid="{24FD95A0-D4D7-410E-B3D7-A5DFDF17F973}"/>
    <cellStyle name="Comma 4 2 2 2 5 5 4" xfId="54146" xr:uid="{C0038CED-AA11-41B8-8DE0-B02F2D6FF59C}"/>
    <cellStyle name="Comma 4 2 2 2 5 6" xfId="48571" xr:uid="{4DE57BA0-F87B-4807-B96E-C46A8397628F}"/>
    <cellStyle name="Comma 4 2 2 2 5 7" xfId="50024" xr:uid="{05E717FB-461D-48A2-B0CA-9F99F39B0929}"/>
    <cellStyle name="Comma 4 2 2 2 5 8" xfId="53040" xr:uid="{5A26B573-7B10-421B-85C3-8355F49A56A8}"/>
    <cellStyle name="Comma 4 2 2 2 6" xfId="10569" xr:uid="{C610AC1C-285B-4EA2-8008-EE7176DF5382}"/>
    <cellStyle name="Comma 4 2 2 2 6 2" xfId="14934" xr:uid="{DB8B258E-FB00-423E-97B7-CBEC8042651A}"/>
    <cellStyle name="Comma 4 2 2 2 6 2 2" xfId="22481" xr:uid="{3A4EAA77-3AAC-491B-B5C0-48B6566E1AA5}"/>
    <cellStyle name="Comma 4 2 2 2 6 2 3" xfId="47808" xr:uid="{17540EAB-1DF4-48B6-97DC-88F305D6BB43}"/>
    <cellStyle name="Comma 4 2 2 2 6 2 4" xfId="51819" xr:uid="{7B088D38-44E8-4C8F-8C95-B7A4E90AC518}"/>
    <cellStyle name="Comma 4 2 2 2 6 2 5" xfId="54835" xr:uid="{32771F30-D65B-4A97-90C1-370577254C23}"/>
    <cellStyle name="Comma 4 2 2 2 6 3" xfId="15419" xr:uid="{909C810D-EAFC-4AA9-B7D0-B8B940A56E11}"/>
    <cellStyle name="Comma 4 2 2 2 6 3 2" xfId="22958" xr:uid="{7CD68EE6-70E6-4193-A7A8-F4DEFBEFFE2B}"/>
    <cellStyle name="Comma 4 2 2 2 6 3 3" xfId="25289" xr:uid="{E6C363F4-9EA3-4D70-AA77-EFAB061945EC}"/>
    <cellStyle name="Comma 4 2 2 2 6 3 4" xfId="52296" xr:uid="{7F6766F9-938E-4485-BA49-71565AB5ABF0}"/>
    <cellStyle name="Comma 4 2 2 2 6 3 5" xfId="55312" xr:uid="{E8168C2F-A386-4EA4-B80A-BF818F2CD3D0}"/>
    <cellStyle name="Comma 4 2 2 2 6 4" xfId="15907" xr:uid="{24A11498-7F5F-4450-A1BA-3437EB1E03FE}"/>
    <cellStyle name="Comma 4 2 2 2 6 4 2" xfId="23435" xr:uid="{59763D23-F6C4-433A-83E6-EDDE7E57EA09}"/>
    <cellStyle name="Comma 4 2 2 2 6 4 3" xfId="48373" xr:uid="{65F54DFA-BE74-4F55-95BE-E9978E8AAA7F}"/>
    <cellStyle name="Comma 4 2 2 2 6 4 4" xfId="52773" xr:uid="{71C636FA-1ABB-4267-BF93-37E55286F2F3}"/>
    <cellStyle name="Comma 4 2 2 2 6 4 5" xfId="55789" xr:uid="{6A42DA53-0A0C-4D1C-8F63-5ED670EEEE3F}"/>
    <cellStyle name="Comma 4 2 2 2 6 5" xfId="13022" xr:uid="{4685F4F1-B851-420F-878E-AA83E9B15EE1}"/>
    <cellStyle name="Comma 4 2 2 2 6 5 2" xfId="46383" xr:uid="{B401D835-1D0B-4419-8B8A-4C2E5DFDE79C}"/>
    <cellStyle name="Comma 4 2 2 2 6 5 3" xfId="51342" xr:uid="{B3CE7835-B6C6-4F84-BD8D-A1D55D4DB980}"/>
    <cellStyle name="Comma 4 2 2 2 6 5 4" xfId="54358" xr:uid="{FBC49978-C680-4F97-B546-61F612D95613}"/>
    <cellStyle name="Comma 4 2 2 2 6 6" xfId="46631" xr:uid="{8C797DBF-6CF9-421C-8A02-74604FCB4542}"/>
    <cellStyle name="Comma 4 2 2 2 6 7" xfId="50236" xr:uid="{26E88B0A-5DFD-4556-8147-A0DF756B7C95}"/>
    <cellStyle name="Comma 4 2 2 2 6 8" xfId="53252" xr:uid="{3AF590EE-5EFD-4F73-BD13-EA46E094F220}"/>
    <cellStyle name="Comma 4 2 2 2 7" xfId="14510" xr:uid="{1169AD73-A99C-4211-89C3-12897CCFD73B}"/>
    <cellStyle name="Comma 4 2 2 2 7 2" xfId="22057" xr:uid="{657502F4-2B3B-4831-8036-B0F5FD8E2CD2}"/>
    <cellStyle name="Comma 4 2 2 2 7 3" xfId="46390" xr:uid="{25F60FA5-7521-4264-9E9F-5A9F0E236BFA}"/>
    <cellStyle name="Comma 4 2 2 2 7 4" xfId="51395" xr:uid="{5CE579B9-4645-4F80-9776-2439D20433C5}"/>
    <cellStyle name="Comma 4 2 2 2 7 5" xfId="54411" xr:uid="{42C89B99-F346-49B0-985B-A518153529C8}"/>
    <cellStyle name="Comma 4 2 2 2 8" xfId="14994" xr:uid="{E111C3BA-098C-4AD7-BAE7-9F21AB8A288F}"/>
    <cellStyle name="Comma 4 2 2 2 8 2" xfId="22534" xr:uid="{8DDFFEDA-BB43-4286-8816-72E0C1279A58}"/>
    <cellStyle name="Comma 4 2 2 2 8 3" xfId="48505" xr:uid="{D8F1D0C0-5886-458D-A60A-48111807BE5E}"/>
    <cellStyle name="Comma 4 2 2 2 8 4" xfId="51872" xr:uid="{809E9101-AF54-46E5-AC7E-FD4D68FF248E}"/>
    <cellStyle name="Comma 4 2 2 2 8 5" xfId="54888" xr:uid="{1FA63331-6D8B-470F-A241-397E1F1FC0D0}"/>
    <cellStyle name="Comma 4 2 2 2 9" xfId="15481" xr:uid="{536422BC-C581-4D24-979D-7CF80518783D}"/>
    <cellStyle name="Comma 4 2 2 2 9 2" xfId="23011" xr:uid="{05BEC4F4-DE02-4D7C-A309-DFE9BA9DAC18}"/>
    <cellStyle name="Comma 4 2 2 2 9 3" xfId="47002" xr:uid="{6D66FD8D-42EE-4D84-B3CB-5FD2E5F642CE}"/>
    <cellStyle name="Comma 4 2 2 2 9 4" xfId="52349" xr:uid="{7903B9F6-B5D5-4766-8C1B-05234CEABBDC}"/>
    <cellStyle name="Comma 4 2 2 2 9 5" xfId="55365" xr:uid="{FBCBF40B-C9E4-4849-9164-241C95DDB4FD}"/>
    <cellStyle name="Comma 4 2 2 3" xfId="9881" xr:uid="{776888D6-A15E-47B6-BBEF-57260F59E5DD}"/>
    <cellStyle name="Comma 4 2 2 3 2" xfId="10307" xr:uid="{52D99890-3B7D-4F2D-A58B-31B56A4E266F}"/>
    <cellStyle name="Comma 4 2 2 3 2 2" xfId="14758" xr:uid="{9AA7BAE4-5613-4F73-AA09-47097F3BA74A}"/>
    <cellStyle name="Comma 4 2 2 3 2 2 2" xfId="22305" xr:uid="{22CE889F-72FC-4A17-9A0E-B2F897A3CD49}"/>
    <cellStyle name="Comma 4 2 2 3 2 2 3" xfId="47929" xr:uid="{CDB73852-C6E6-465E-A974-FF1C6DD05009}"/>
    <cellStyle name="Comma 4 2 2 3 2 2 4" xfId="51643" xr:uid="{DFFA4A1B-D989-417C-8ABA-48C38B72CC41}"/>
    <cellStyle name="Comma 4 2 2 3 2 2 5" xfId="54659" xr:uid="{FB08C81A-4D75-4C68-96E1-9B688429AAC8}"/>
    <cellStyle name="Comma 4 2 2 3 2 3" xfId="15243" xr:uid="{04FC28B3-4873-435E-BCEB-16EC9D0D1AA9}"/>
    <cellStyle name="Comma 4 2 2 3 2 3 2" xfId="22782" xr:uid="{E003D8F9-6B8A-4479-B212-8BA54A0D8B54}"/>
    <cellStyle name="Comma 4 2 2 3 2 3 3" xfId="48218" xr:uid="{AAB372B7-823A-437C-BDC2-91E37261D950}"/>
    <cellStyle name="Comma 4 2 2 3 2 3 4" xfId="52120" xr:uid="{5C8B295A-41F9-4D5B-99CB-14D9528371E5}"/>
    <cellStyle name="Comma 4 2 2 3 2 3 5" xfId="55136" xr:uid="{4B99DD05-D6CB-4049-836D-B1D37EF026C0}"/>
    <cellStyle name="Comma 4 2 2 3 2 4" xfId="15730" xr:uid="{36E5CC05-3C1B-48AC-80B9-0B37379B7B38}"/>
    <cellStyle name="Comma 4 2 2 3 2 4 2" xfId="23259" xr:uid="{9898C1F6-1D4A-447C-B2FA-54075ADC5190}"/>
    <cellStyle name="Comma 4 2 2 3 2 4 3" xfId="48521" xr:uid="{76B1EEC7-D787-48C9-8641-39416A37A11D}"/>
    <cellStyle name="Comma 4 2 2 3 2 4 4" xfId="52597" xr:uid="{92A3CB1F-E990-4484-85EA-D2A933D1883C}"/>
    <cellStyle name="Comma 4 2 2 3 2 4 5" xfId="55613" xr:uid="{2758842D-A75B-4F38-814C-5D834AC49AFA}"/>
    <cellStyle name="Comma 4 2 2 3 2 5" xfId="12760" xr:uid="{4EF479D2-1421-4B0A-B7C0-ACC71D291288}"/>
    <cellStyle name="Comma 4 2 2 3 2 5 2" xfId="46349" xr:uid="{1B9C3C82-1EF5-4779-86AE-7A58FB790F68}"/>
    <cellStyle name="Comma 4 2 2 3 2 5 3" xfId="51166" xr:uid="{D0A1D49A-7C2A-4CB4-B932-D6EB01A30C62}"/>
    <cellStyle name="Comma 4 2 2 3 2 5 4" xfId="54182" xr:uid="{6CD5A4C5-6F0C-455D-8E47-FD75B15D9753}"/>
    <cellStyle name="Comma 4 2 2 3 2 6" xfId="46087" xr:uid="{351E9561-4DF5-4FE8-B8CB-ABA23063984E}"/>
    <cellStyle name="Comma 4 2 2 3 2 7" xfId="50060" xr:uid="{2C0F9231-5F95-4687-B187-2477AF5D22F2}"/>
    <cellStyle name="Comma 4 2 2 3 2 8" xfId="53076" xr:uid="{B8B31684-723C-4BC0-9D6B-6914F3094C48}"/>
    <cellStyle name="Comma 4 2 2 3 3" xfId="14546" xr:uid="{E6D6F166-FBF6-4777-8FCB-B1DE9C9DEDC5}"/>
    <cellStyle name="Comma 4 2 2 3 3 2" xfId="22093" xr:uid="{C37C8A91-6A84-4811-AC0C-485A2F4B89C8}"/>
    <cellStyle name="Comma 4 2 2 3 3 3" xfId="46395" xr:uid="{CE3F6536-0B5A-40B1-8F9B-889CD154C52A}"/>
    <cellStyle name="Comma 4 2 2 3 3 4" xfId="51431" xr:uid="{D10F2AE3-31FD-40B6-8FCA-5A3294FCA532}"/>
    <cellStyle name="Comma 4 2 2 3 3 5" xfId="54447" xr:uid="{71F2028F-BD56-46BD-AD5B-7FB788CFA818}"/>
    <cellStyle name="Comma 4 2 2 3 4" xfId="15030" xr:uid="{9347DA35-23B1-4CD4-87C1-5CC3F794800F}"/>
    <cellStyle name="Comma 4 2 2 3 4 2" xfId="22570" xr:uid="{AD528072-D567-43D5-B8A2-894BA6B9C56C}"/>
    <cellStyle name="Comma 4 2 2 3 4 3" xfId="46873" xr:uid="{9A479039-719E-4F64-9C97-6BDE1055EBBF}"/>
    <cellStyle name="Comma 4 2 2 3 4 4" xfId="51908" xr:uid="{C9FA320E-977A-4DEC-9D2D-397788286586}"/>
    <cellStyle name="Comma 4 2 2 3 4 5" xfId="54924" xr:uid="{4D63986D-B43D-43C4-A294-2E566C73D770}"/>
    <cellStyle name="Comma 4 2 2 3 5" xfId="15517" xr:uid="{7506F375-82AD-4CD0-B93A-8B9565369910}"/>
    <cellStyle name="Comma 4 2 2 3 5 2" xfId="23047" xr:uid="{623948F7-142C-4611-977F-05679270A853}"/>
    <cellStyle name="Comma 4 2 2 3 5 3" xfId="47642" xr:uid="{46CC2EDE-27F0-4CBF-B83C-1DFA32D769C6}"/>
    <cellStyle name="Comma 4 2 2 3 5 4" xfId="52385" xr:uid="{FF5EE1FB-5190-426E-88C5-7D8F8ADA0738}"/>
    <cellStyle name="Comma 4 2 2 3 5 5" xfId="55401" xr:uid="{5D602908-8CFA-4EDC-97E1-5DDC011592AE}"/>
    <cellStyle name="Comma 4 2 2 3 6" xfId="12459" xr:uid="{AEEE59D1-8E9B-491B-91DF-EE04AEDBAB8D}"/>
    <cellStyle name="Comma 4 2 2 3 6 2" xfId="47266" xr:uid="{F854AC64-DF24-4DD6-AFB9-28C5264DF5ED}"/>
    <cellStyle name="Comma 4 2 2 3 6 3" xfId="50954" xr:uid="{015D238A-1E7A-4F93-A856-910617578D6D}"/>
    <cellStyle name="Comma 4 2 2 3 6 4" xfId="53970" xr:uid="{DC0FFB87-807D-46E0-87FF-C9A1B1056E0D}"/>
    <cellStyle name="Comma 4 2 2 3 7" xfId="46018" xr:uid="{DC0FE377-0F53-42F7-90CD-CCDBDECF4C00}"/>
    <cellStyle name="Comma 4 2 2 3 8" xfId="49848" xr:uid="{3A26AF69-7C27-4F43-AC84-6F9E3817EDC6}"/>
    <cellStyle name="Comma 4 2 2 3 9" xfId="52864" xr:uid="{DAE30816-6CD6-4207-91F1-D1DEC52A2A81}"/>
    <cellStyle name="Comma 4 2 2 4" xfId="10074" xr:uid="{922C55AB-F850-402D-8822-61CB44E21F2F}"/>
    <cellStyle name="Comma 4 2 2 4 2" xfId="10386" xr:uid="{F41BDCDC-CB0E-4DCC-9B32-2155728E58CD}"/>
    <cellStyle name="Comma 4 2 2 4 2 2" xfId="14811" xr:uid="{C722941B-B6D5-400F-9979-F43DDD7C30A6}"/>
    <cellStyle name="Comma 4 2 2 4 2 2 2" xfId="22358" xr:uid="{957D489F-14CF-4D44-9BCC-85F49534A3E7}"/>
    <cellStyle name="Comma 4 2 2 4 2 2 3" xfId="48352" xr:uid="{03FC2483-248B-4AE0-AF3B-5D458E204976}"/>
    <cellStyle name="Comma 4 2 2 4 2 2 4" xfId="51696" xr:uid="{F98C0D57-65C1-4605-8842-BA4EDE7C016F}"/>
    <cellStyle name="Comma 4 2 2 4 2 2 5" xfId="54712" xr:uid="{AEC59E1A-E1D8-4138-9E7A-56ED521F1DE0}"/>
    <cellStyle name="Comma 4 2 2 4 2 3" xfId="15296" xr:uid="{B2E63FAE-92F9-4DB8-8B46-AB94E54B01EC}"/>
    <cellStyle name="Comma 4 2 2 4 2 3 2" xfId="22835" xr:uid="{40C650DE-450A-4F46-8035-E5F7CEF2E00F}"/>
    <cellStyle name="Comma 4 2 2 4 2 3 3" xfId="47436" xr:uid="{5BE4486E-9945-4C2C-ABB0-12915A175380}"/>
    <cellStyle name="Comma 4 2 2 4 2 3 4" xfId="52173" xr:uid="{CB48C37A-2BFC-4134-9F82-2D51B7F28E57}"/>
    <cellStyle name="Comma 4 2 2 4 2 3 5" xfId="55189" xr:uid="{B9DD6443-71AB-4A39-8AD2-F1DEDEEF8BD2}"/>
    <cellStyle name="Comma 4 2 2 4 2 4" xfId="15783" xr:uid="{D9091783-6120-47E7-921E-F71B60714175}"/>
    <cellStyle name="Comma 4 2 2 4 2 4 2" xfId="23312" xr:uid="{FE68BD4E-D8B6-4744-BB05-B4A909611220}"/>
    <cellStyle name="Comma 4 2 2 4 2 4 3" xfId="46964" xr:uid="{8BDF228F-9D90-4051-988E-7D40F719DFFF}"/>
    <cellStyle name="Comma 4 2 2 4 2 4 4" xfId="52650" xr:uid="{44B93255-D8F3-4F65-9DE6-61015FB3F0CA}"/>
    <cellStyle name="Comma 4 2 2 4 2 4 5" xfId="55666" xr:uid="{F7124A73-5ACB-4282-8FA9-DE6774A0251D}"/>
    <cellStyle name="Comma 4 2 2 4 2 5" xfId="12839" xr:uid="{319615BF-60DB-4558-A192-E33114EEE3FD}"/>
    <cellStyle name="Comma 4 2 2 4 2 5 2" xfId="48054" xr:uid="{B3CD8747-CBEC-4277-A408-F84B2BA7D2A8}"/>
    <cellStyle name="Comma 4 2 2 4 2 5 3" xfId="51219" xr:uid="{42EEB986-8416-474F-97E0-D04A94F7F354}"/>
    <cellStyle name="Comma 4 2 2 4 2 5 4" xfId="54235" xr:uid="{E0818217-AFDD-42E7-B299-33E86BC6C145}"/>
    <cellStyle name="Comma 4 2 2 4 2 6" xfId="46625" xr:uid="{4F8BBA10-3391-4AF2-80FC-6889AB5D7583}"/>
    <cellStyle name="Comma 4 2 2 4 2 7" xfId="50113" xr:uid="{4EBAE781-1C9C-4A53-ACD2-A06556874455}"/>
    <cellStyle name="Comma 4 2 2 4 2 8" xfId="53129" xr:uid="{49AA4C74-506F-4BB7-87C2-BC40771000D3}"/>
    <cellStyle name="Comma 4 2 2 4 3" xfId="14599" xr:uid="{7B41A150-93C2-4E87-8225-575D99228FCA}"/>
    <cellStyle name="Comma 4 2 2 4 3 2" xfId="22146" xr:uid="{5F89263B-34A9-4C1E-B5CB-0C9FDD12EA2C}"/>
    <cellStyle name="Comma 4 2 2 4 3 3" xfId="32548" xr:uid="{57F8AAE6-58BA-4633-B5AC-4311957B182C}"/>
    <cellStyle name="Comma 4 2 2 4 3 4" xfId="51484" xr:uid="{3F14BC6F-9B65-4D43-A501-6258CC277836}"/>
    <cellStyle name="Comma 4 2 2 4 3 5" xfId="54500" xr:uid="{174C66B7-BE10-4D82-9A29-D495F6BB2E3C}"/>
    <cellStyle name="Comma 4 2 2 4 4" xfId="15084" xr:uid="{371C8518-1B25-4B61-949D-A620F2D505FB}"/>
    <cellStyle name="Comma 4 2 2 4 4 2" xfId="22623" xr:uid="{444B2754-D541-40FB-84C0-6C7CD55AD7D7}"/>
    <cellStyle name="Comma 4 2 2 4 4 3" xfId="32507" xr:uid="{10C29628-E5D2-4362-B51B-981859488C0A}"/>
    <cellStyle name="Comma 4 2 2 4 4 4" xfId="51961" xr:uid="{F3634094-8A0B-450F-898D-EDCB43681985}"/>
    <cellStyle name="Comma 4 2 2 4 4 5" xfId="54977" xr:uid="{07FEDEE3-26C5-41FD-86FB-452A5F542B7A}"/>
    <cellStyle name="Comma 4 2 2 4 5" xfId="15571" xr:uid="{94F03EC8-1BB8-46AA-955B-2FD17F3F3FD8}"/>
    <cellStyle name="Comma 4 2 2 4 5 2" xfId="23100" xr:uid="{92BD4F51-B2F8-4C0A-BB36-E6F71809A20B}"/>
    <cellStyle name="Comma 4 2 2 4 5 3" xfId="47549" xr:uid="{6B7F8D39-CF2C-4E6C-9ABA-8B95761A4832}"/>
    <cellStyle name="Comma 4 2 2 4 5 4" xfId="52438" xr:uid="{0ADC6444-2B04-4402-94A2-928365D21D17}"/>
    <cellStyle name="Comma 4 2 2 4 5 5" xfId="55454" xr:uid="{8C35F0DA-4972-44B7-B426-90EB1C5B9F16}"/>
    <cellStyle name="Comma 4 2 2 4 6" xfId="12531" xr:uid="{78187511-8FA5-4AB0-B55B-FC4237613606}"/>
    <cellStyle name="Comma 4 2 2 4 6 2" xfId="47048" xr:uid="{6A28FE16-D5DD-46E1-9F29-E53F6166E249}"/>
    <cellStyle name="Comma 4 2 2 4 6 3" xfId="51007" xr:uid="{9A768A7D-9BDD-455A-AB8B-DA7942BA2E12}"/>
    <cellStyle name="Comma 4 2 2 4 6 4" xfId="54023" xr:uid="{5889DB2E-5A74-43C8-A7BF-593FF814677C}"/>
    <cellStyle name="Comma 4 2 2 4 7" xfId="24334" xr:uid="{5339A963-EDE7-47CD-AA39-75BFB9D23F2D}"/>
    <cellStyle name="Comma 4 2 2 4 8" xfId="49901" xr:uid="{6A3A7345-6D0A-4F9F-9290-0A066A4E7E36}"/>
    <cellStyle name="Comma 4 2 2 4 9" xfId="52917" xr:uid="{C9F0B022-46CE-4688-9258-5FAB75DAA94F}"/>
    <cellStyle name="Comma 4 2 2 5" xfId="10152" xr:uid="{59A98D67-F598-45D1-B6EE-28CB7C6FF8B7}"/>
    <cellStyle name="Comma 4 2 2 5 2" xfId="10466" xr:uid="{2BACD893-42DD-49A3-A422-DEA286DDAE23}"/>
    <cellStyle name="Comma 4 2 2 5 2 2" xfId="14864" xr:uid="{E67C85F0-213A-46C5-B54C-138E817827E2}"/>
    <cellStyle name="Comma 4 2 2 5 2 2 2" xfId="22411" xr:uid="{EAF8CFC9-9D26-47CE-BC66-B1B403B5A34E}"/>
    <cellStyle name="Comma 4 2 2 5 2 2 3" xfId="47631" xr:uid="{7294D90F-871E-4323-A6A5-8CEC9AB7400C}"/>
    <cellStyle name="Comma 4 2 2 5 2 2 4" xfId="51749" xr:uid="{CAC325F8-1C28-449A-AE31-AF399E09BEDB}"/>
    <cellStyle name="Comma 4 2 2 5 2 2 5" xfId="54765" xr:uid="{777D4974-C0E8-4FF9-9AD2-5DEF3E6BEDC1}"/>
    <cellStyle name="Comma 4 2 2 5 2 3" xfId="15349" xr:uid="{CAB293D8-BA9D-4684-B49C-65CC07BD8AD2}"/>
    <cellStyle name="Comma 4 2 2 5 2 3 2" xfId="22888" xr:uid="{E474D5EB-E32F-43EF-9FF1-652B3EFF3E8F}"/>
    <cellStyle name="Comma 4 2 2 5 2 3 3" xfId="46518" xr:uid="{5E6A7DE5-5D44-45EE-9F39-1F160442C270}"/>
    <cellStyle name="Comma 4 2 2 5 2 3 4" xfId="52226" xr:uid="{D1841252-82BE-4F33-864C-BABF0F7B0CB2}"/>
    <cellStyle name="Comma 4 2 2 5 2 3 5" xfId="55242" xr:uid="{65543951-F242-4E9E-8AD4-EBAE4B1BFBBD}"/>
    <cellStyle name="Comma 4 2 2 5 2 4" xfId="15836" xr:uid="{8280341F-64C5-495F-A9B4-81150B3845AF}"/>
    <cellStyle name="Comma 4 2 2 5 2 4 2" xfId="23365" xr:uid="{A289CF77-71CE-4C0E-8CED-1EF4D170C431}"/>
    <cellStyle name="Comma 4 2 2 5 2 4 3" xfId="46595" xr:uid="{7D96342E-7E31-4A1C-852E-D64486F37B5C}"/>
    <cellStyle name="Comma 4 2 2 5 2 4 4" xfId="52703" xr:uid="{925BCB74-215A-4D53-BA7F-F07B1894C38F}"/>
    <cellStyle name="Comma 4 2 2 5 2 4 5" xfId="55719" xr:uid="{8DB50FDA-7CF8-43FB-B789-B9C7A2BA3496}"/>
    <cellStyle name="Comma 4 2 2 5 2 5" xfId="12919" xr:uid="{63072B40-0322-461A-93EA-FC557B556C75}"/>
    <cellStyle name="Comma 4 2 2 5 2 5 2" xfId="48498" xr:uid="{D94690B4-E921-4140-A55A-F9626F8D2521}"/>
    <cellStyle name="Comma 4 2 2 5 2 5 3" xfId="51272" xr:uid="{462C4DB6-2CDD-4596-AEFD-C202B993D7A7}"/>
    <cellStyle name="Comma 4 2 2 5 2 5 4" xfId="54288" xr:uid="{A1007B9F-A82B-47AA-9F18-D26DFBD9CE3A}"/>
    <cellStyle name="Comma 4 2 2 5 2 6" xfId="46628" xr:uid="{D76B22DF-8CB9-400C-BE7E-CF2AF52BBDE4}"/>
    <cellStyle name="Comma 4 2 2 5 2 7" xfId="50166" xr:uid="{58EA247B-BEF0-46E9-A366-7DD589D45193}"/>
    <cellStyle name="Comma 4 2 2 5 2 8" xfId="53182" xr:uid="{08936D6D-CA00-4137-9324-96BACD79758A}"/>
    <cellStyle name="Comma 4 2 2 5 3" xfId="14652" xr:uid="{4F2C7429-8287-40BE-B050-88B5ED9CCF40}"/>
    <cellStyle name="Comma 4 2 2 5 3 2" xfId="22199" xr:uid="{FF04BF71-7DE1-4856-860F-384F2782AC64}"/>
    <cellStyle name="Comma 4 2 2 5 3 3" xfId="47666" xr:uid="{E34D2E5F-AB30-4016-AE79-7796BF714EB9}"/>
    <cellStyle name="Comma 4 2 2 5 3 4" xfId="51537" xr:uid="{39DD471E-BEF0-427E-ABE0-D692766A9318}"/>
    <cellStyle name="Comma 4 2 2 5 3 5" xfId="54553" xr:uid="{C9771C2F-880A-48DA-9664-A26B27F203EB}"/>
    <cellStyle name="Comma 4 2 2 5 4" xfId="15137" xr:uid="{D5D498C7-4E75-4EA5-A35C-A96C1494AC38}"/>
    <cellStyle name="Comma 4 2 2 5 4 2" xfId="22676" xr:uid="{C070348C-F3E7-4C13-888D-14C9FAB1C67B}"/>
    <cellStyle name="Comma 4 2 2 5 4 3" xfId="24660" xr:uid="{BB7C5B0E-3242-4FD9-88A9-2CC8D1159A5C}"/>
    <cellStyle name="Comma 4 2 2 5 4 4" xfId="52014" xr:uid="{E8259E8A-F6D1-4D44-96C6-BD5A6651D006}"/>
    <cellStyle name="Comma 4 2 2 5 4 5" xfId="55030" xr:uid="{80C078B3-3F59-4FA4-A44F-8198738A8506}"/>
    <cellStyle name="Comma 4 2 2 5 5" xfId="15624" xr:uid="{DB2E0659-EB21-4DEC-A611-E3B5BDBD70BB}"/>
    <cellStyle name="Comma 4 2 2 5 5 2" xfId="23153" xr:uid="{0120B655-D609-4590-BC13-00745CA802C3}"/>
    <cellStyle name="Comma 4 2 2 5 5 3" xfId="48303" xr:uid="{5750EA41-0EB8-4A46-A00F-5E4819A07E9D}"/>
    <cellStyle name="Comma 4 2 2 5 5 4" xfId="52491" xr:uid="{DC8674B9-5DFE-431C-8063-5D64DB3B7350}"/>
    <cellStyle name="Comma 4 2 2 5 5 5" xfId="55507" xr:uid="{4EA84522-AEF3-4A5E-86ED-DEBB8AB8FEE7}"/>
    <cellStyle name="Comma 4 2 2 5 6" xfId="12606" xr:uid="{3A0D5D00-D948-44CF-B6F1-7F667EEB3C8E}"/>
    <cellStyle name="Comma 4 2 2 5 6 2" xfId="46772" xr:uid="{8D669CDB-6382-46E4-950F-B41F1A4E9349}"/>
    <cellStyle name="Comma 4 2 2 5 6 3" xfId="51060" xr:uid="{9DF8DBCA-BCB6-425E-B0FF-DEA5607FCD66}"/>
    <cellStyle name="Comma 4 2 2 5 6 4" xfId="54076" xr:uid="{7093F8D3-8ED5-49FA-9298-D78874707FCF}"/>
    <cellStyle name="Comma 4 2 2 5 7" xfId="46055" xr:uid="{F0C7C83D-09E2-481B-8D62-B126E908C45D}"/>
    <cellStyle name="Comma 4 2 2 5 8" xfId="49954" xr:uid="{9B70F32D-0FD7-4C48-A1AF-1F1B8339DEB6}"/>
    <cellStyle name="Comma 4 2 2 5 9" xfId="52970" xr:uid="{3F86544F-DD8D-4FF4-BB29-7C4C46E20289}"/>
    <cellStyle name="Comma 4 2 2 6" xfId="10232" xr:uid="{3DF8D0C7-94EC-42BE-998D-C3632DFB4491}"/>
    <cellStyle name="Comma 4 2 2 6 2" xfId="14705" xr:uid="{4919CCC3-6431-484E-B332-10D8719FE63C}"/>
    <cellStyle name="Comma 4 2 2 6 2 2" xfId="22252" xr:uid="{35103446-5317-45DD-BEAA-881E2B911642}"/>
    <cellStyle name="Comma 4 2 2 6 2 3" xfId="48116" xr:uid="{9D1AC880-85E3-42A4-8DAA-D422B83ECB5B}"/>
    <cellStyle name="Comma 4 2 2 6 2 4" xfId="51590" xr:uid="{93AEBC25-B8FE-495E-92E8-DEC3F7F26547}"/>
    <cellStyle name="Comma 4 2 2 6 2 5" xfId="54606" xr:uid="{E6665E18-77AD-48D9-80A0-367270F9AFCA}"/>
    <cellStyle name="Comma 4 2 2 6 3" xfId="15190" xr:uid="{98D01B2E-3825-4E4E-9880-0D974F9C6E9D}"/>
    <cellStyle name="Comma 4 2 2 6 3 2" xfId="22729" xr:uid="{7D0608C6-FBF9-4CF7-9EC2-7A1D1ACF8369}"/>
    <cellStyle name="Comma 4 2 2 6 3 3" xfId="47028" xr:uid="{C3DB01D0-959C-4942-AC5A-CA1AAE3302B5}"/>
    <cellStyle name="Comma 4 2 2 6 3 4" xfId="52067" xr:uid="{5DF4C07C-5AB7-49A4-A959-E699FA986B54}"/>
    <cellStyle name="Comma 4 2 2 6 3 5" xfId="55083" xr:uid="{77598DBF-C31A-40C7-A834-9F60BA72E26A}"/>
    <cellStyle name="Comma 4 2 2 6 4" xfId="15677" xr:uid="{4B8F86BE-E914-4BB6-8B12-51A4B55BC942}"/>
    <cellStyle name="Comma 4 2 2 6 4 2" xfId="23206" xr:uid="{34966013-91D1-4EF1-A759-5D4697DFFFC0}"/>
    <cellStyle name="Comma 4 2 2 6 4 3" xfId="24435" xr:uid="{1B274339-8667-49DD-BF86-2EC492EB828B}"/>
    <cellStyle name="Comma 4 2 2 6 4 4" xfId="52544" xr:uid="{21D7F608-5675-4A59-8BC2-17ECAD7181E4}"/>
    <cellStyle name="Comma 4 2 2 6 4 5" xfId="55560" xr:uid="{1C11B435-C2C6-4DAE-84AF-717F9C0EF122}"/>
    <cellStyle name="Comma 4 2 2 6 5" xfId="12685" xr:uid="{2898BB5B-D982-4A7E-84D1-65539E9A623C}"/>
    <cellStyle name="Comma 4 2 2 6 5 2" xfId="46341" xr:uid="{1145B9E8-5E7C-4390-89B9-551ECC2F1E13}"/>
    <cellStyle name="Comma 4 2 2 6 5 3" xfId="51113" xr:uid="{127C31A3-205E-4932-8E5A-73CFA104C1B8}"/>
    <cellStyle name="Comma 4 2 2 6 5 4" xfId="54129" xr:uid="{43895B30-3205-4113-8954-438CA3E9FB3B}"/>
    <cellStyle name="Comma 4 2 2 6 6" xfId="46069" xr:uid="{B6DB8D2B-7D66-4FFB-A41F-2C9E553D3411}"/>
    <cellStyle name="Comma 4 2 2 6 7" xfId="50007" xr:uid="{9D5DE319-5DDB-4BBC-86D9-28D087618467}"/>
    <cellStyle name="Comma 4 2 2 6 8" xfId="53023" xr:uid="{4A800C79-F201-4FDB-B22B-3B1D5ACAEB8A}"/>
    <cellStyle name="Comma 4 2 2 7" xfId="10546" xr:uid="{4FC9B64F-B37C-4CEC-8F50-D57280BF0CA5}"/>
    <cellStyle name="Comma 4 2 2 7 2" xfId="14917" xr:uid="{E77D1869-55BE-4EDF-84F6-E7C4049F7912}"/>
    <cellStyle name="Comma 4 2 2 7 2 2" xfId="22464" xr:uid="{26B55723-FF2A-4113-A624-D2A80E6EB6D6}"/>
    <cellStyle name="Comma 4 2 2 7 2 3" xfId="48411" xr:uid="{BDBA62DC-C5ED-4055-85AD-1042D8E40618}"/>
    <cellStyle name="Comma 4 2 2 7 2 4" xfId="51802" xr:uid="{405DCD2C-504A-40D1-8192-44DD7E20D1AB}"/>
    <cellStyle name="Comma 4 2 2 7 2 5" xfId="54818" xr:uid="{FAB93402-41B6-4434-A5AC-9613A6CA6A1A}"/>
    <cellStyle name="Comma 4 2 2 7 3" xfId="15402" xr:uid="{AEE8053D-1B77-4687-B86D-F764A881D5D8}"/>
    <cellStyle name="Comma 4 2 2 7 3 2" xfId="22941" xr:uid="{3D054CFA-EF1A-4FAC-BF47-0D31459A6BC8}"/>
    <cellStyle name="Comma 4 2 2 7 3 3" xfId="48021" xr:uid="{817DEC6A-1471-4F24-8600-4F85DFC321F4}"/>
    <cellStyle name="Comma 4 2 2 7 3 4" xfId="52279" xr:uid="{C1AB2795-596F-494A-BC81-7A570C70ED87}"/>
    <cellStyle name="Comma 4 2 2 7 3 5" xfId="55295" xr:uid="{662A0DB2-A763-42CA-8BD6-D171FDB757A9}"/>
    <cellStyle name="Comma 4 2 2 7 4" xfId="15890" xr:uid="{404E2208-6CC3-4D63-86DF-37A8827DE873}"/>
    <cellStyle name="Comma 4 2 2 7 4 2" xfId="23418" xr:uid="{08EE1F6B-8540-4EBF-A028-11459E1C37A6}"/>
    <cellStyle name="Comma 4 2 2 7 4 3" xfId="48232" xr:uid="{51FC9BCB-86E0-4985-A998-6FDF5F9ED983}"/>
    <cellStyle name="Comma 4 2 2 7 4 4" xfId="52756" xr:uid="{9E35AD6E-1A2C-4877-B74E-01FFA14F53BB}"/>
    <cellStyle name="Comma 4 2 2 7 4 5" xfId="55772" xr:uid="{95D91002-D336-4396-9A73-5B25A04DC7DF}"/>
    <cellStyle name="Comma 4 2 2 7 5" xfId="12999" xr:uid="{75D2705C-D095-4AF4-9F0E-BD5A9CC7E014}"/>
    <cellStyle name="Comma 4 2 2 7 5 2" xfId="32333" xr:uid="{92BC2A47-4D9A-46E0-A456-29757FA94775}"/>
    <cellStyle name="Comma 4 2 2 7 5 3" xfId="51325" xr:uid="{77CF89E9-B728-4748-B9D5-0E0D2537B38A}"/>
    <cellStyle name="Comma 4 2 2 7 5 4" xfId="54341" xr:uid="{C9048CCA-FAF2-4720-9FF5-D9F10394D790}"/>
    <cellStyle name="Comma 4 2 2 7 6" xfId="48164" xr:uid="{9F41B963-6AE2-4F4E-B7EF-EA8232065158}"/>
    <cellStyle name="Comma 4 2 2 7 7" xfId="50219" xr:uid="{409D12BC-4B39-4D6A-9F72-BE5DF8ADED68}"/>
    <cellStyle name="Comma 4 2 2 7 8" xfId="53235" xr:uid="{74C8F35E-FCD8-4E9A-A915-F3FCDE91CE0A}"/>
    <cellStyle name="Comma 4 2 2 8" xfId="14493" xr:uid="{E11756AC-84C1-46C0-B066-2C978DE43726}"/>
    <cellStyle name="Comma 4 2 2 8 2" xfId="22040" xr:uid="{6BFC5E49-5E86-489D-9502-685A24EF9414}"/>
    <cellStyle name="Comma 4 2 2 8 3" xfId="46675" xr:uid="{2C664ADE-EDA8-4976-B822-F8692656E706}"/>
    <cellStyle name="Comma 4 2 2 8 4" xfId="51378" xr:uid="{750209FB-0BAF-40CD-9DAE-36C69347504F}"/>
    <cellStyle name="Comma 4 2 2 8 5" xfId="54394" xr:uid="{C8568C61-4406-495E-BC16-BC5BFAA160CF}"/>
    <cellStyle name="Comma 4 2 2 9" xfId="14976" xr:uid="{6E438A5B-6597-4C2B-B770-BFDE3AC61692}"/>
    <cellStyle name="Comma 4 2 2 9 2" xfId="22517" xr:uid="{BA20D014-681B-4309-A4C5-EE6621958146}"/>
    <cellStyle name="Comma 4 2 2 9 3" xfId="48215" xr:uid="{8F343102-1961-4306-B302-083C641965B8}"/>
    <cellStyle name="Comma 4 2 2 9 4" xfId="51855" xr:uid="{8D2FB434-FA05-41DA-AA1A-D8123F1A5653}"/>
    <cellStyle name="Comma 4 2 2 9 5" xfId="54871" xr:uid="{B0EC2389-F91C-4F03-8F42-296B94CEA1E4}"/>
    <cellStyle name="Comma 4 2 3" xfId="4543" xr:uid="{66EC1B8C-4ECE-4DDB-93BD-E6B2C77065F0}"/>
    <cellStyle name="Comma 4 2 3 2" xfId="11653" xr:uid="{8048BF50-B958-4028-9613-1CC83F95736B}"/>
    <cellStyle name="Comma 4 2 3 3" xfId="11699" xr:uid="{24CF73F8-EBA3-4752-B846-66DA3134DB72}"/>
    <cellStyle name="Comma 4 2 3 3 2" xfId="21720" xr:uid="{9326983C-AB40-4407-A62C-00E768A9B2C8}"/>
    <cellStyle name="Comma 4 2 3 3 3" xfId="46733" xr:uid="{F246A94C-25D5-4DC6-A6E8-96377852493C}"/>
    <cellStyle name="Comma 4 2 3 3 4" xfId="50746" xr:uid="{76CFEDD7-955E-400C-910E-F0D6E65E5B42}"/>
    <cellStyle name="Comma 4 2 3 3 5" xfId="53762" xr:uid="{6929B113-DA3D-4A1A-948D-C35C765D6DF8}"/>
    <cellStyle name="Comma 4 2 3 4" xfId="19489" xr:uid="{A434E83E-3877-4A8A-A66C-16D32E3CAABF}"/>
    <cellStyle name="Comma 4 2 3 5" xfId="23760" xr:uid="{5A9561CF-EEC6-4591-B02F-750C72F9E7A5}"/>
    <cellStyle name="Comma 4 2 3 6" xfId="48642" xr:uid="{D444B259-08BC-4376-9EC1-51D38064438B}"/>
    <cellStyle name="Comma 4 2 3 7" xfId="49550" xr:uid="{7579312D-60DE-43E8-A81F-AB34F978DC33}"/>
    <cellStyle name="Comma 4 2 3 8" xfId="15944" xr:uid="{571D7462-47DF-46E1-AEB7-94FF6F69041B}"/>
    <cellStyle name="Comma 4 2 3 9" xfId="7718" xr:uid="{35F6D429-B54C-4E4C-9CB0-7E94131BE86C}"/>
    <cellStyle name="Comma 4 2 4" xfId="5824" xr:uid="{DB7FDAC5-F994-4AC8-AF91-425B7FBDC5E7}"/>
    <cellStyle name="Comma 4 2 4 10" xfId="49551" xr:uid="{8AE24AF6-54D6-4858-B662-7AF45A18D360}"/>
    <cellStyle name="Comma 4 2 4 11" xfId="49842" xr:uid="{7895DC9C-ADBF-4560-9614-3101583F2107}"/>
    <cellStyle name="Comma 4 2 4 12" xfId="52858" xr:uid="{F798D1A8-39FA-4AFC-8D88-10921E59F734}"/>
    <cellStyle name="Comma 4 2 4 13" xfId="17002" xr:uid="{B922EFDD-79B5-4646-BCD4-90FCC7C641EE}"/>
    <cellStyle name="Comma 4 2 4 14" xfId="9597" xr:uid="{A0CB8F87-D319-4DA5-8113-FEF47F214A2F}"/>
    <cellStyle name="Comma 4 2 4 2" xfId="10291" xr:uid="{CB1DDEA0-7CA9-41FA-AC49-23266CF4A684}"/>
    <cellStyle name="Comma 4 2 4 2 2" xfId="14752" xr:uid="{41ED6AF9-8A70-46D3-9705-F7E1BC69C0D6}"/>
    <cellStyle name="Comma 4 2 4 2 2 2" xfId="22299" xr:uid="{26409402-4AD8-4607-8CE7-3C7192EC8D33}"/>
    <cellStyle name="Comma 4 2 4 2 2 3" xfId="47333" xr:uid="{09F5C7F6-BD82-4805-A8B7-4AA25D5709CA}"/>
    <cellStyle name="Comma 4 2 4 2 2 4" xfId="51637" xr:uid="{AD1F9AA2-C830-44C4-90B0-413E06E58539}"/>
    <cellStyle name="Comma 4 2 4 2 2 5" xfId="54653" xr:uid="{20224F56-6A2F-43AF-90FA-E785392DA26B}"/>
    <cellStyle name="Comma 4 2 4 2 3" xfId="15237" xr:uid="{BDDD1DA6-EBB5-4D69-8143-9B33375A97F0}"/>
    <cellStyle name="Comma 4 2 4 2 3 2" xfId="22776" xr:uid="{F36AB80E-30AD-4688-97C9-68ACCF137C15}"/>
    <cellStyle name="Comma 4 2 4 2 3 3" xfId="47636" xr:uid="{AFC64032-F62F-4CBC-AF7B-B964281CDCED}"/>
    <cellStyle name="Comma 4 2 4 2 3 4" xfId="52114" xr:uid="{769187B1-7B3B-4083-8BF4-C891E2818DF1}"/>
    <cellStyle name="Comma 4 2 4 2 3 5" xfId="55130" xr:uid="{4A46498F-6A59-4961-A350-0A8DE2756BC2}"/>
    <cellStyle name="Comma 4 2 4 2 4" xfId="15724" xr:uid="{E45A5BC8-F9B5-4EDF-A61E-903ED9E3EB6B}"/>
    <cellStyle name="Comma 4 2 4 2 4 2" xfId="23253" xr:uid="{946F0FE2-894E-4223-B4DB-FAFBC32E9CCA}"/>
    <cellStyle name="Comma 4 2 4 2 4 3" xfId="47947" xr:uid="{187E9C81-436E-494E-9591-A55DBFC6E522}"/>
    <cellStyle name="Comma 4 2 4 2 4 4" xfId="52591" xr:uid="{86DB5E4C-6F70-4672-B097-6248EE8DD7B2}"/>
    <cellStyle name="Comma 4 2 4 2 4 5" xfId="55607" xr:uid="{BDB497FE-20D2-48B2-BE34-D3CF7118FE38}"/>
    <cellStyle name="Comma 4 2 4 2 5" xfId="12744" xr:uid="{671EAE8E-CDA2-40DD-8ECF-0C7BB8A10FB3}"/>
    <cellStyle name="Comma 4 2 4 2 5 2" xfId="48318" xr:uid="{D946B3F6-C9CA-4062-B84C-6AAE49A11296}"/>
    <cellStyle name="Comma 4 2 4 2 5 3" xfId="51160" xr:uid="{7AC7B4F4-5A4B-4725-B6B4-A40295C5B697}"/>
    <cellStyle name="Comma 4 2 4 2 5 4" xfId="54176" xr:uid="{0DCD7589-6204-487A-9572-DBE3CA3A1474}"/>
    <cellStyle name="Comma 4 2 4 2 6" xfId="46085" xr:uid="{79B9430B-E0EC-4E50-A210-D12DAC845A2E}"/>
    <cellStyle name="Comma 4 2 4 2 7" xfId="50054" xr:uid="{3166C465-7C10-49C1-AB6B-C9F958FF436E}"/>
    <cellStyle name="Comma 4 2 4 2 8" xfId="53070" xr:uid="{DAA9B876-1239-451C-9915-4AE9E9ED4F58}"/>
    <cellStyle name="Comma 4 2 4 3" xfId="14540" xr:uid="{A2DCDA0F-C955-4128-821B-A1D002D4A505}"/>
    <cellStyle name="Comma 4 2 4 3 2" xfId="22087" xr:uid="{95D38271-4790-45C7-9FB8-F96A320F651D}"/>
    <cellStyle name="Comma 4 2 4 3 3" xfId="46394" xr:uid="{C6263E96-C3A0-4E42-8D4A-8857D6B5D839}"/>
    <cellStyle name="Comma 4 2 4 3 4" xfId="51425" xr:uid="{CD67E22C-83BA-453E-BB10-066CF033D38C}"/>
    <cellStyle name="Comma 4 2 4 3 5" xfId="54441" xr:uid="{B365389D-1B03-42A8-AA04-15E8CAE95BBC}"/>
    <cellStyle name="Comma 4 2 4 4" xfId="15024" xr:uid="{38FCCA86-3AF4-42EC-9117-48E63D96B8E7}"/>
    <cellStyle name="Comma 4 2 4 4 2" xfId="22564" xr:uid="{C41EDD24-7969-4439-A0DA-76D67BE71328}"/>
    <cellStyle name="Comma 4 2 4 4 3" xfId="32508" xr:uid="{DD274069-B2B6-480F-A292-DBACA855FCB6}"/>
    <cellStyle name="Comma 4 2 4 4 4" xfId="51902" xr:uid="{9C76C6F4-E4FB-41BE-94B0-B49E6667B2F6}"/>
    <cellStyle name="Comma 4 2 4 4 5" xfId="54918" xr:uid="{C3AA15C9-B857-4313-9AF4-3AC3705F18B6}"/>
    <cellStyle name="Comma 4 2 4 5" xfId="15511" xr:uid="{1742A520-BCC0-4876-AEF6-F32200698019}"/>
    <cellStyle name="Comma 4 2 4 5 2" xfId="23041" xr:uid="{1AE72778-598C-41E3-8510-4635F659FB30}"/>
    <cellStyle name="Comma 4 2 4 5 3" xfId="48516" xr:uid="{4A1ED392-E33D-4EA4-9860-776EB5391C30}"/>
    <cellStyle name="Comma 4 2 4 5 4" xfId="52379" xr:uid="{6EFE5E48-8978-49B9-9F5B-0BF49D4A9F44}"/>
    <cellStyle name="Comma 4 2 4 5 5" xfId="55395" xr:uid="{34C29895-FD2D-4715-A824-7E37B9BFFEB9}"/>
    <cellStyle name="Comma 4 2 4 6" xfId="11194" xr:uid="{D29060A9-07D9-4D58-9E07-308FB6F02C6B}"/>
    <cellStyle name="Comma 4 2 4 6 2" xfId="21690" xr:uid="{C00D45DA-308E-4CAA-AD0D-3B846E7FBE8A}"/>
    <cellStyle name="Comma 4 2 4 6 3" xfId="46278" xr:uid="{EFD76ED2-EB79-4D66-9220-39C6FF672E82}"/>
    <cellStyle name="Comma 4 2 4 6 4" xfId="50707" xr:uid="{5CABD87C-D8BB-4F16-B41E-0AE609A22397}"/>
    <cellStyle name="Comma 4 2 4 6 5" xfId="53723" xr:uid="{7648B5BC-7829-44E3-BFD7-6EA970BEC7D7}"/>
    <cellStyle name="Comma 4 2 4 7" xfId="23761" xr:uid="{1B59A968-4F2A-4514-B194-0DEDF3A64AC9}"/>
    <cellStyle name="Comma 4 2 4 8" xfId="46016" xr:uid="{22AE8AA8-62C5-432B-926D-38CF33EE28F4}"/>
    <cellStyle name="Comma 4 2 4 9" xfId="48643" xr:uid="{6E7BFAA3-A96C-4E90-9C36-1DAB709E0E27}"/>
    <cellStyle name="Comma 4 2 5" xfId="2625" xr:uid="{D11EF1B6-E3B4-4F75-B7EB-CACBFEC5BCAC}"/>
    <cellStyle name="Comma 4 2 5 10" xfId="49895" xr:uid="{77EC478D-B431-49EF-9B52-E9D21BCE9A8B}"/>
    <cellStyle name="Comma 4 2 5 11" xfId="52911" xr:uid="{92850EFC-203D-49E6-9D71-11221CFCA44F}"/>
    <cellStyle name="Comma 4 2 5 12" xfId="10057" xr:uid="{E723124A-7004-4266-8482-99F47D89FDFB}"/>
    <cellStyle name="Comma 4 2 5 2" xfId="10365" xr:uid="{98D0A3F8-C039-4663-A518-E0779CA86EA5}"/>
    <cellStyle name="Comma 4 2 5 2 2" xfId="14805" xr:uid="{CC234735-EB3D-4978-8257-602360B6E60C}"/>
    <cellStyle name="Comma 4 2 5 2 2 2" xfId="22352" xr:uid="{7936CE91-8DB4-47E5-AC2F-F7539590FA8D}"/>
    <cellStyle name="Comma 4 2 5 2 2 3" xfId="47774" xr:uid="{0B7B64CF-2BD4-44CB-9F5C-2431AA1EF9FB}"/>
    <cellStyle name="Comma 4 2 5 2 2 4" xfId="51690" xr:uid="{2917A878-523F-490E-860D-19308A936242}"/>
    <cellStyle name="Comma 4 2 5 2 2 5" xfId="54706" xr:uid="{98809E6A-BB72-44B2-B50E-0F6D1D670099}"/>
    <cellStyle name="Comma 4 2 5 2 3" xfId="15290" xr:uid="{45707318-EDAD-4F6D-9B27-19579DACACD5}"/>
    <cellStyle name="Comma 4 2 5 2 3 2" xfId="22829" xr:uid="{21841E82-43EB-4075-8B61-4F2D36A8D00A}"/>
    <cellStyle name="Comma 4 2 5 2 3 3" xfId="48302" xr:uid="{D498E376-B0D4-4C9F-BCAC-ABDA96F14FAB}"/>
    <cellStyle name="Comma 4 2 5 2 3 4" xfId="52167" xr:uid="{ACE118C7-51BF-4A5B-B6EB-3B52BECCE269}"/>
    <cellStyle name="Comma 4 2 5 2 3 5" xfId="55183" xr:uid="{532AF844-3CE7-4FFC-B974-5A7D6F661544}"/>
    <cellStyle name="Comma 4 2 5 2 4" xfId="15777" xr:uid="{E03531EF-4DBA-42A3-8143-D3548097B5CF}"/>
    <cellStyle name="Comma 4 2 5 2 4 2" xfId="23306" xr:uid="{EA8604BB-1B25-4E87-8808-8886D5A0E609}"/>
    <cellStyle name="Comma 4 2 5 2 4 3" xfId="46963" xr:uid="{73DD9C51-C699-4AE0-B5D6-5A08FDEB3BC9}"/>
    <cellStyle name="Comma 4 2 5 2 4 4" xfId="52644" xr:uid="{B286C88C-16A4-41EA-B01C-34B3A76E3D54}"/>
    <cellStyle name="Comma 4 2 5 2 4 5" xfId="55660" xr:uid="{1CF4539E-91D7-4090-A1F6-6260A1E75732}"/>
    <cellStyle name="Comma 4 2 5 2 5" xfId="12818" xr:uid="{51414851-894C-4692-A891-48492740E979}"/>
    <cellStyle name="Comma 4 2 5 2 5 2" xfId="46799" xr:uid="{4F60350D-3640-4B9E-90BC-2F75AD29C9F8}"/>
    <cellStyle name="Comma 4 2 5 2 5 3" xfId="51213" xr:uid="{6B4FBB9B-9D11-4CBC-8F5D-5DD4FEA8D3B4}"/>
    <cellStyle name="Comma 4 2 5 2 5 4" xfId="54229" xr:uid="{E4BEA675-3C3F-4416-9B37-43F75D40711F}"/>
    <cellStyle name="Comma 4 2 5 2 6" xfId="46100" xr:uid="{AB7845A7-F775-4FB3-A741-D5876380BD1C}"/>
    <cellStyle name="Comma 4 2 5 2 7" xfId="50107" xr:uid="{0CDBFEE8-8FE9-4B03-BD3D-C468D72D04BF}"/>
    <cellStyle name="Comma 4 2 5 2 8" xfId="53123" xr:uid="{CEAEB8F0-FF70-4C1E-B3DB-6BFCFFC57E87}"/>
    <cellStyle name="Comma 4 2 5 3" xfId="14593" xr:uid="{885C7440-FE83-48B2-9B85-14D89EB8994A}"/>
    <cellStyle name="Comma 4 2 5 3 2" xfId="22140" xr:uid="{7FD18BA8-06BF-4B3E-8B09-009D8DA2AFF0}"/>
    <cellStyle name="Comma 4 2 5 3 3" xfId="47533" xr:uid="{610093EA-F752-4569-A2D7-6E01F5FC77CE}"/>
    <cellStyle name="Comma 4 2 5 3 4" xfId="51478" xr:uid="{AB0CE928-E95E-4481-B737-4B3C22A01AF3}"/>
    <cellStyle name="Comma 4 2 5 3 5" xfId="54494" xr:uid="{881133B4-1661-48DE-8891-845D6F72EF0A}"/>
    <cellStyle name="Comma 4 2 5 4" xfId="15078" xr:uid="{7B6C5647-E610-49EE-9C42-54A447896D85}"/>
    <cellStyle name="Comma 4 2 5 4 2" xfId="22617" xr:uid="{BF9A62C2-899A-41D7-B90E-61B87DA17414}"/>
    <cellStyle name="Comma 4 2 5 4 3" xfId="46878" xr:uid="{B99F11B4-EFF4-4EFB-860A-17A7BAAF6603}"/>
    <cellStyle name="Comma 4 2 5 4 4" xfId="51955" xr:uid="{FA14D708-7956-40CE-923E-1AB1BC25CE2D}"/>
    <cellStyle name="Comma 4 2 5 4 5" xfId="54971" xr:uid="{66B21303-2EBB-43F4-AFEC-AC59A6FE0662}"/>
    <cellStyle name="Comma 4 2 5 5" xfId="15565" xr:uid="{704414F1-936E-4348-A211-13E05A811A56}"/>
    <cellStyle name="Comma 4 2 5 5 2" xfId="23094" xr:uid="{75EC63D4-9568-4C08-B3C8-D3A57279112C}"/>
    <cellStyle name="Comma 4 2 5 5 3" xfId="48420" xr:uid="{24575761-165A-405C-B2E5-23BD9D857FD6}"/>
    <cellStyle name="Comma 4 2 5 5 4" xfId="52432" xr:uid="{CB6EF3DE-3DB8-44F7-82C1-E78620DA738E}"/>
    <cellStyle name="Comma 4 2 5 5 5" xfId="55448" xr:uid="{A45D0746-F290-420C-A33E-E81F3623C786}"/>
    <cellStyle name="Comma 4 2 5 6" xfId="12516" xr:uid="{8D54E31A-60EF-4D8C-AEE5-4BF7C059F945}"/>
    <cellStyle name="Comma 4 2 5 6 2" xfId="48195" xr:uid="{2F429F1F-C2EF-4918-B701-37D3AAC328CD}"/>
    <cellStyle name="Comma 4 2 5 6 3" xfId="51001" xr:uid="{294A8A93-8923-42D5-A247-EA9330720079}"/>
    <cellStyle name="Comma 4 2 5 6 4" xfId="54017" xr:uid="{C4723913-F15F-4CF4-AE84-F5CB9DCE1AA3}"/>
    <cellStyle name="Comma 4 2 5 7" xfId="23762" xr:uid="{2CF555DC-F591-441E-93B4-3F49AA4D23B1}"/>
    <cellStyle name="Comma 4 2 5 8" xfId="48644" xr:uid="{32B8E2A7-0D17-4A1C-8E47-3EC294DB1033}"/>
    <cellStyle name="Comma 4 2 5 9" xfId="49552" xr:uid="{AE3A7372-D628-43D4-BF8E-BC2A5F086815}"/>
    <cellStyle name="Comma 4 2 6" xfId="10131" xr:uid="{05253BF7-B032-4C6A-9B94-AC51536BCD10}"/>
    <cellStyle name="Comma 4 2 6 10" xfId="52964" xr:uid="{480D07B9-6B22-48B8-839B-B4010BE40B31}"/>
    <cellStyle name="Comma 4 2 6 2" xfId="10445" xr:uid="{F457E600-7DA0-41D7-987B-4DAAAA74B812}"/>
    <cellStyle name="Comma 4 2 6 2 2" xfId="14858" xr:uid="{091E70A7-2592-48B0-94F1-FE38DC6BE1C1}"/>
    <cellStyle name="Comma 4 2 6 2 2 2" xfId="22405" xr:uid="{EBC6B9D8-3AF5-4CDE-BD3C-84FAB477C73F}"/>
    <cellStyle name="Comma 4 2 6 2 2 3" xfId="48507" xr:uid="{7BA7A750-F131-476D-896D-4325DDFCB662}"/>
    <cellStyle name="Comma 4 2 6 2 2 4" xfId="51743" xr:uid="{AE0601F5-E2A6-456F-AA3B-6010C228C495}"/>
    <cellStyle name="Comma 4 2 6 2 2 5" xfId="54759" xr:uid="{4D8BF9FD-538B-4B5D-BD40-63BC5B0A3F3F}"/>
    <cellStyle name="Comma 4 2 6 2 3" xfId="15343" xr:uid="{BE380F3C-BA67-472B-B808-CED4952C848F}"/>
    <cellStyle name="Comma 4 2 6 2 3 2" xfId="22882" xr:uid="{A91D6951-48FE-45C0-BE20-1B696C97CEE6}"/>
    <cellStyle name="Comma 4 2 6 2 3 3" xfId="46517" xr:uid="{D9FB22CF-1336-4DE7-9FD9-389131AF4FCB}"/>
    <cellStyle name="Comma 4 2 6 2 3 4" xfId="52220" xr:uid="{F02AC406-4AB4-4645-9106-5B2A74F7F3B0}"/>
    <cellStyle name="Comma 4 2 6 2 3 5" xfId="55236" xr:uid="{7C46660E-06A9-4762-A283-A5C8160E6B0A}"/>
    <cellStyle name="Comma 4 2 6 2 4" xfId="15830" xr:uid="{B2A1CCEB-4CAC-4800-B0F5-F3AC2A0AF9F4}"/>
    <cellStyle name="Comma 4 2 6 2 4 2" xfId="23359" xr:uid="{BAEDD323-21F1-4EC1-9D3A-F0B7AFA122A4}"/>
    <cellStyle name="Comma 4 2 6 2 4 3" xfId="47445" xr:uid="{1711DAB3-7D6C-47CC-B258-AD23199A031E}"/>
    <cellStyle name="Comma 4 2 6 2 4 4" xfId="52697" xr:uid="{5A3BC324-D258-423E-ACA2-BD5AD4217290}"/>
    <cellStyle name="Comma 4 2 6 2 4 5" xfId="55713" xr:uid="{E5A9179E-64CA-47BA-B222-951060500645}"/>
    <cellStyle name="Comma 4 2 6 2 5" xfId="12898" xr:uid="{7C136951-E484-4FA5-AF5E-F6EDB74327C0}"/>
    <cellStyle name="Comma 4 2 6 2 5 2" xfId="47823" xr:uid="{CDA0F8C9-E7FA-48DC-A9B0-AFBEA2CD5195}"/>
    <cellStyle name="Comma 4 2 6 2 5 3" xfId="51266" xr:uid="{A6DC448D-AC57-4701-A9C4-2E439092DF92}"/>
    <cellStyle name="Comma 4 2 6 2 5 4" xfId="54282" xr:uid="{3B754D9C-34E1-4F20-8505-AFD7F5AD9E49}"/>
    <cellStyle name="Comma 4 2 6 2 6" xfId="48459" xr:uid="{C2853FD8-9C75-4FDF-A820-7C3E3828F481}"/>
    <cellStyle name="Comma 4 2 6 2 7" xfId="50160" xr:uid="{888AD07B-B087-4B19-8620-C5C34A2BDBF2}"/>
    <cellStyle name="Comma 4 2 6 2 8" xfId="53176" xr:uid="{233FA00C-E846-450A-B420-E1FFA1604F00}"/>
    <cellStyle name="Comma 4 2 6 3" xfId="14646" xr:uid="{9AA89697-533C-4B13-9594-BBAEA11D4FA8}"/>
    <cellStyle name="Comma 4 2 6 3 2" xfId="22193" xr:uid="{9ADEF9AB-9864-4EF7-AF9E-7BECCDDBAFC2}"/>
    <cellStyle name="Comma 4 2 6 3 3" xfId="47625" xr:uid="{B6FC6552-F22F-44C6-B96C-7F60BAB45C8D}"/>
    <cellStyle name="Comma 4 2 6 3 4" xfId="51531" xr:uid="{AF0E0067-9780-4D79-8C08-DF9F865921AB}"/>
    <cellStyle name="Comma 4 2 6 3 5" xfId="54547" xr:uid="{1FB14E2A-26B1-4A51-82B7-EB7B705A6512}"/>
    <cellStyle name="Comma 4 2 6 4" xfId="15131" xr:uid="{A0086F86-D7BF-45A2-9557-AAAACC14E8E5}"/>
    <cellStyle name="Comma 4 2 6 4 2" xfId="22670" xr:uid="{6207F07D-0656-47FD-BD4E-B6E1D942E605}"/>
    <cellStyle name="Comma 4 2 6 4 3" xfId="48070" xr:uid="{25C748B9-F6D8-41FC-9A06-36372888C852}"/>
    <cellStyle name="Comma 4 2 6 4 4" xfId="52008" xr:uid="{5F921B62-7530-4E9E-96F1-CE0D90721BF7}"/>
    <cellStyle name="Comma 4 2 6 4 5" xfId="55024" xr:uid="{65504CC1-9C11-47C9-82C7-C0CB4677F845}"/>
    <cellStyle name="Comma 4 2 6 5" xfId="15618" xr:uid="{3FBD99B6-AE6B-4D78-8581-B4AF7CE64B44}"/>
    <cellStyle name="Comma 4 2 6 5 2" xfId="23147" xr:uid="{42B1353D-6CDC-4F72-829A-EB61CE63292C}"/>
    <cellStyle name="Comma 4 2 6 5 3" xfId="47722" xr:uid="{7968D110-B4AD-4B02-A621-65DF95B30BEB}"/>
    <cellStyle name="Comma 4 2 6 5 4" xfId="52485" xr:uid="{218B4C69-5958-4D1F-9C7F-C86793D427BE}"/>
    <cellStyle name="Comma 4 2 6 5 5" xfId="55501" xr:uid="{398573A1-929C-40FC-A206-427E4D7A160E}"/>
    <cellStyle name="Comma 4 2 6 6" xfId="12588" xr:uid="{5BA88549-FECD-43DE-9D01-CD211E20C1C9}"/>
    <cellStyle name="Comma 4 2 6 6 2" xfId="48320" xr:uid="{1A1E45AC-DBF3-44D2-AEE4-A725EBAACB35}"/>
    <cellStyle name="Comma 4 2 6 6 3" xfId="51054" xr:uid="{EA593C51-75BB-41DC-80C4-EBBDDDDA8064}"/>
    <cellStyle name="Comma 4 2 6 6 4" xfId="54070" xr:uid="{B9415A2E-6DEF-4C5F-8391-91D8A0F0F46A}"/>
    <cellStyle name="Comma 4 2 6 7" xfId="23763" xr:uid="{C1DFBDBE-64D4-4D9B-A8BE-A6135C94B40F}"/>
    <cellStyle name="Comma 4 2 6 8" xfId="48450" xr:uid="{1C83C4E6-4991-46F9-A740-632284894693}"/>
    <cellStyle name="Comma 4 2 6 9" xfId="49948" xr:uid="{CF87D87F-21CE-4511-9BAA-E86E8DF2E342}"/>
    <cellStyle name="Comma 4 2 7" xfId="10211" xr:uid="{6FEE7F81-A49D-49C6-9C93-A73F2D0DEF3C}"/>
    <cellStyle name="Comma 4 2 7 2" xfId="14699" xr:uid="{4533AF81-6C23-46F2-AA47-70C4A8F4B61C}"/>
    <cellStyle name="Comma 4 2 7 2 2" xfId="22246" xr:uid="{ACCCAAC9-0E94-458D-9C82-7B5241B72298}"/>
    <cellStyle name="Comma 4 2 7 2 3" xfId="47535" xr:uid="{D4FAE1AC-81DB-41A6-AED6-FEB5EBB6059B}"/>
    <cellStyle name="Comma 4 2 7 2 4" xfId="51584" xr:uid="{51AC84D2-9EA4-46C9-B7A7-8D88CFA9CAF3}"/>
    <cellStyle name="Comma 4 2 7 2 5" xfId="54600" xr:uid="{6100D65E-41BA-4B0F-AF7B-4CC085A387AD}"/>
    <cellStyle name="Comma 4 2 7 3" xfId="15184" xr:uid="{34183A10-7E9F-4774-94F2-1E371C670BBD}"/>
    <cellStyle name="Comma 4 2 7 3 2" xfId="22723" xr:uid="{024C74F6-F8B1-4C8D-A33C-15DD4CBB942D}"/>
    <cellStyle name="Comma 4 2 7 3 3" xfId="47045" xr:uid="{48D53E4C-5102-4967-AF05-DF1CEDDB1A2C}"/>
    <cellStyle name="Comma 4 2 7 3 4" xfId="52061" xr:uid="{E6F8B157-4B3F-4685-BE3F-7307EB911017}"/>
    <cellStyle name="Comma 4 2 7 3 5" xfId="55077" xr:uid="{17A31996-8C13-40B5-870D-AC805C82D4CC}"/>
    <cellStyle name="Comma 4 2 7 4" xfId="15671" xr:uid="{37C2C7BF-F72F-4A68-8D41-E98A22CEC083}"/>
    <cellStyle name="Comma 4 2 7 4 2" xfId="23200" xr:uid="{2436A133-6DE4-4D7B-B644-3DD4DCFDC411}"/>
    <cellStyle name="Comma 4 2 7 4 3" xfId="33351" xr:uid="{6EFE584A-6B3D-45CE-8A57-4347C26AEC41}"/>
    <cellStyle name="Comma 4 2 7 4 4" xfId="52538" xr:uid="{E00B6038-0F01-4088-8E1E-141D52C72B18}"/>
    <cellStyle name="Comma 4 2 7 4 5" xfId="55554" xr:uid="{4F36636F-3A05-46CB-BA77-A096F65C96F2}"/>
    <cellStyle name="Comma 4 2 7 5" xfId="12664" xr:uid="{EE00686B-5AA4-4839-B734-FCB14F8C589B}"/>
    <cellStyle name="Comma 4 2 7 5 2" xfId="46782" xr:uid="{9582DA65-A3C5-448E-BE43-3555CCBA8F60}"/>
    <cellStyle name="Comma 4 2 7 5 3" xfId="51107" xr:uid="{194B4C0C-9B2F-4C76-9C8B-13A08992BF98}"/>
    <cellStyle name="Comma 4 2 7 5 4" xfId="54123" xr:uid="{A4C0667F-1FC1-489D-B800-063BBDF4C8D1}"/>
    <cellStyle name="Comma 4 2 7 6" xfId="48451" xr:uid="{778DB4DE-4428-4BE7-9FA8-1BF8B239BDBC}"/>
    <cellStyle name="Comma 4 2 7 7" xfId="50001" xr:uid="{FD8A64AF-0234-44C9-86B5-7D4A8D0D8F77}"/>
    <cellStyle name="Comma 4 2 7 8" xfId="53017" xr:uid="{5F067F98-DE3B-4286-BADA-5A284D49FDD7}"/>
    <cellStyle name="Comma 4 2 8" xfId="10525" xr:uid="{B8D75ACE-74DB-45A3-A733-949F9E368390}"/>
    <cellStyle name="Comma 4 2 8 2" xfId="14911" xr:uid="{AC3FDFE0-8433-4DB1-95DD-5A51D9CDF15E}"/>
    <cellStyle name="Comma 4 2 8 2 2" xfId="22458" xr:uid="{94560D60-C266-4F96-AE19-AFA2FF4AAB23}"/>
    <cellStyle name="Comma 4 2 8 2 3" xfId="46683" xr:uid="{48E1AB5E-F17C-49F9-B3BA-DFCF37D1FA12}"/>
    <cellStyle name="Comma 4 2 8 2 4" xfId="51796" xr:uid="{A9A49FB2-4182-4B14-926B-D0A8DA940FE1}"/>
    <cellStyle name="Comma 4 2 8 2 5" xfId="54812" xr:uid="{13D419BE-F423-44A7-B55F-2D4927904783}"/>
    <cellStyle name="Comma 4 2 8 3" xfId="15396" xr:uid="{6EDCF36D-4911-443A-A663-31944190C44F}"/>
    <cellStyle name="Comma 4 2 8 3 2" xfId="22935" xr:uid="{07077310-32DA-4A4C-AE50-4170B9EC16D7}"/>
    <cellStyle name="Comma 4 2 8 3 3" xfId="47438" xr:uid="{FD7E08CD-EDBF-4B51-A444-8AF0DFDEF06D}"/>
    <cellStyle name="Comma 4 2 8 3 4" xfId="52273" xr:uid="{54F3CD16-72B0-4415-B57F-21B876FFDA98}"/>
    <cellStyle name="Comma 4 2 8 3 5" xfId="55289" xr:uid="{A2D279BA-54AB-4CE8-946B-06633F4332EE}"/>
    <cellStyle name="Comma 4 2 8 4" xfId="15883" xr:uid="{E9910856-B02A-4355-BE62-C53C1B5037BC}"/>
    <cellStyle name="Comma 4 2 8 4 2" xfId="23412" xr:uid="{A82A02DE-C627-432A-B9B2-590638B26707}"/>
    <cellStyle name="Comma 4 2 8 4 3" xfId="46982" xr:uid="{2212D0EC-2F1C-4655-BB46-279B243ADFD4}"/>
    <cellStyle name="Comma 4 2 8 4 4" xfId="52750" xr:uid="{BDC586D7-55DB-4C95-98E5-C3A4259C5E4B}"/>
    <cellStyle name="Comma 4 2 8 4 5" xfId="55766" xr:uid="{0697CCDC-1ED3-42EC-A3F2-6AB762D8ACF2}"/>
    <cellStyle name="Comma 4 2 8 5" xfId="12978" xr:uid="{8394FA50-1CF6-4C4F-B9BE-259171D82719}"/>
    <cellStyle name="Comma 4 2 8 5 2" xfId="48200" xr:uid="{477203A1-009E-4A3F-9287-7826A3311A21}"/>
    <cellStyle name="Comma 4 2 8 5 3" xfId="51319" xr:uid="{A9A5B306-CAD1-4E08-8664-28249AE9B989}"/>
    <cellStyle name="Comma 4 2 8 5 4" xfId="54335" xr:uid="{852F321A-9DE4-43BB-84A7-FA29FCCA2C2A}"/>
    <cellStyle name="Comma 4 2 8 6" xfId="46144" xr:uid="{2E4F20DF-E2F4-4FA1-8E65-287186E5134E}"/>
    <cellStyle name="Comma 4 2 8 7" xfId="50213" xr:uid="{9DC2DFD3-CC02-4650-A5C8-E7E4970C4CF8}"/>
    <cellStyle name="Comma 4 2 8 8" xfId="53229" xr:uid="{0FDE3D2D-7C67-427E-9DDE-B4E208C1ACBE}"/>
    <cellStyle name="Comma 4 2 9" xfId="14487" xr:uid="{1255646F-146A-436B-9D74-02435F3CDA77}"/>
    <cellStyle name="Comma 4 2 9 2" xfId="22034" xr:uid="{ACD55665-43AE-4249-8FFA-7B38102A0507}"/>
    <cellStyle name="Comma 4 2 9 3" xfId="47234" xr:uid="{EB4298A7-81E4-4CF8-9FF9-F4511251D2EF}"/>
    <cellStyle name="Comma 4 2 9 4" xfId="51372" xr:uid="{411E5529-DEB8-4896-821C-11513E3BB25B}"/>
    <cellStyle name="Comma 4 2 9 5" xfId="54388" xr:uid="{E380E380-8322-496B-8862-8259C30B07C9}"/>
    <cellStyle name="Comma 4 3" xfId="2627" xr:uid="{A4A07A48-1355-4B9B-B954-D1F94C9D8007}"/>
    <cellStyle name="Comma 4 3 10" xfId="15945" xr:uid="{EFA0AB3B-9971-42F5-B3C9-B88971B1812D}"/>
    <cellStyle name="Comma 4 3 11" xfId="8426" xr:uid="{467F8B55-300C-4CFD-A30A-9E1341CA2D4A}"/>
    <cellStyle name="Comma 4 3 2" xfId="4544" xr:uid="{71FA2AD0-CF4E-4AA4-81F8-B766697CAF59}"/>
    <cellStyle name="Comma 4 3 2 10" xfId="14995" xr:uid="{76B57A83-8FAC-46F5-9A37-99C26B0A5785}"/>
    <cellStyle name="Comma 4 3 2 10 2" xfId="22535" xr:uid="{85C97FAB-A68F-49A4-BA68-6AAAA8C8F3C2}"/>
    <cellStyle name="Comma 4 3 2 10 3" xfId="46463" xr:uid="{BD631D9C-6B1B-4505-BEC6-2EC652678C45}"/>
    <cellStyle name="Comma 4 3 2 10 4" xfId="51873" xr:uid="{326F1ADB-3370-4FED-AD86-167DDF99F9D7}"/>
    <cellStyle name="Comma 4 3 2 10 5" xfId="54889" xr:uid="{E530F812-D536-4067-8B35-BF105EE90E8B}"/>
    <cellStyle name="Comma 4 3 2 10 6" xfId="19187" xr:uid="{A394DF2F-D798-4E55-8C9C-4DA206CD3871}"/>
    <cellStyle name="Comma 4 3 2 11" xfId="15482" xr:uid="{687FA590-3C4B-4493-926D-B9F541EECE60}"/>
    <cellStyle name="Comma 4 3 2 11 2" xfId="23012" xr:uid="{26F5BF03-3795-44BC-A419-3E1231EDDA42}"/>
    <cellStyle name="Comma 4 3 2 11 3" xfId="47514" xr:uid="{72F137E2-46D0-483F-ACB8-12C96C2AD025}"/>
    <cellStyle name="Comma 4 3 2 11 4" xfId="52350" xr:uid="{B3828DBD-975E-4188-99D6-57F5110F03CB}"/>
    <cellStyle name="Comma 4 3 2 11 5" xfId="55366" xr:uid="{FA4DBDA6-49DA-4A93-9420-202ED42D52F7}"/>
    <cellStyle name="Comma 4 3 2 11 6" xfId="19332" xr:uid="{99396C1A-70B6-4BA7-853C-74AF5CF78BBA}"/>
    <cellStyle name="Comma 4 3 2 12" xfId="11586" xr:uid="{3DCA4E3C-EAD0-4854-A6D0-37A6191CFF0D}"/>
    <cellStyle name="Comma 4 3 2 12 2" xfId="21710" xr:uid="{61000D1D-568E-4A13-A918-530BD2BCD00E}"/>
    <cellStyle name="Comma 4 3 2 12 3" xfId="47803" xr:uid="{ED565C73-99BC-4C3B-83EA-7757897C8C14}"/>
    <cellStyle name="Comma 4 3 2 12 4" xfId="50733" xr:uid="{776C22B3-2781-40CD-BCBC-58F72C78F858}"/>
    <cellStyle name="Comma 4 3 2 12 5" xfId="53749" xr:uid="{50C845B3-3A26-4A42-8B8B-0BC8E2B15A09}"/>
    <cellStyle name="Comma 4 3 2 12 6" xfId="18161" xr:uid="{0C2604C6-2ADF-4D5D-9B8B-D9D15703C918}"/>
    <cellStyle name="Comma 4 3 2 13" xfId="23765" xr:uid="{566732E1-3D5D-4555-933A-331C81163B41}"/>
    <cellStyle name="Comma 4 3 2 14" xfId="46012" xr:uid="{902D6823-C05E-439A-8D93-81CE63C7D131}"/>
    <cellStyle name="Comma 4 3 2 15" xfId="48646" xr:uid="{44A5B0EB-0B07-4F0C-BFB1-051A5F436459}"/>
    <cellStyle name="Comma 4 3 2 16" xfId="49554" xr:uid="{3E65B514-6221-4854-A1EB-0620E801F172}"/>
    <cellStyle name="Comma 4 3 2 17" xfId="49813" xr:uid="{A0A19047-79F5-44EF-B181-03360B4AD43B}"/>
    <cellStyle name="Comma 4 3 2 18" xfId="52828" xr:uid="{83314CF0-9D96-4863-AFB2-B548A4E8E889}"/>
    <cellStyle name="Comma 4 3 2 19" xfId="8936" xr:uid="{CC4A186F-32BC-4CBB-B129-3EC1B1686F13}"/>
    <cellStyle name="Comma 4 3 2 2" xfId="8937" xr:uid="{E9B98368-9AC8-484E-823F-365784DD0A1D}"/>
    <cellStyle name="Comma 4 3 2 2 10" xfId="11514" xr:uid="{637EAA8B-0139-49FF-B4FE-7C3F101EF301}"/>
    <cellStyle name="Comma 4 3 2 2 10 2" xfId="48330" xr:uid="{90969603-85B2-4572-97DE-765B94CA65D2}"/>
    <cellStyle name="Comma 4 3 2 2 10 3" xfId="50724" xr:uid="{8CB3D945-BE91-4902-B5FB-45A8ED194D86}"/>
    <cellStyle name="Comma 4 3 2 2 10 4" xfId="53740" xr:uid="{51F6C158-4A12-4F69-BFD9-8B8F1E387ADF}"/>
    <cellStyle name="Comma 4 3 2 2 10 5" xfId="21701" xr:uid="{611020BA-2B28-40A2-9A59-1DB932EE2FC3}"/>
    <cellStyle name="Comma 4 3 2 2 11" xfId="23766" xr:uid="{9146F0DA-C951-4674-AD96-5EB57015DC56}"/>
    <cellStyle name="Comma 4 3 2 2 12" xfId="47060" xr:uid="{7D71C805-9D47-43B3-A475-CAEF16D8C243}"/>
    <cellStyle name="Comma 4 3 2 2 13" xfId="48647" xr:uid="{C617B631-D236-4B5E-A8D0-4DAFF08AAC6E}"/>
    <cellStyle name="Comma 4 3 2 2 14" xfId="49555" xr:uid="{ACB51944-6860-4329-8AA3-F0D811216C13}"/>
    <cellStyle name="Comma 4 3 2 2 15" xfId="49814" xr:uid="{F9681ACD-42F9-4184-85A6-73579AB9B839}"/>
    <cellStyle name="Comma 4 3 2 2 16" xfId="52829" xr:uid="{B3407916-6C1C-4DA8-96A2-B4824628E434}"/>
    <cellStyle name="Comma 4 3 2 2 17" xfId="18147" xr:uid="{82AB5FCB-D0FE-4973-8EF9-465EC1FA93B5}"/>
    <cellStyle name="Comma 4 3 2 2 2" xfId="10024" xr:uid="{885FF5C4-B5BC-4CAA-A6CA-F08F96899795}"/>
    <cellStyle name="Comma 4 3 2 2 2 10" xfId="18751" xr:uid="{5F111756-17A0-4543-A4B8-409F2FF5C266}"/>
    <cellStyle name="Comma 4 3 2 2 2 2" xfId="10332" xr:uid="{D22619E9-6298-4519-9CD2-D4545E94E200}"/>
    <cellStyle name="Comma 4 3 2 2 2 2 2" xfId="14777" xr:uid="{AC53E4CF-4CFB-4FB9-8F9E-2C080A35961B}"/>
    <cellStyle name="Comma 4 3 2 2 2 2 2 2" xfId="22324" xr:uid="{A01066EF-F4F0-4039-99C4-9EF6BC44127D}"/>
    <cellStyle name="Comma 4 3 2 2 2 2 2 3" xfId="25300" xr:uid="{C13D31A5-2850-4695-B56F-1069715D6747}"/>
    <cellStyle name="Comma 4 3 2 2 2 2 2 4" xfId="51662" xr:uid="{CA6B18B9-7F30-4ABF-8ABF-F9350410F914}"/>
    <cellStyle name="Comma 4 3 2 2 2 2 2 5" xfId="54678" xr:uid="{78C07F77-6A96-4564-BC67-0EABB43A7454}"/>
    <cellStyle name="Comma 4 3 2 2 2 2 2 6" xfId="19121" xr:uid="{B5EFD4D8-8C45-4A82-9A22-DFFD2EAF8E75}"/>
    <cellStyle name="Comma 4 3 2 2 2 2 3" xfId="15262" xr:uid="{1D3A1D7F-4F62-443B-B049-5C34C651B064}"/>
    <cellStyle name="Comma 4 3 2 2 2 2 3 2" xfId="22801" xr:uid="{8D1BBEF2-B507-49E1-A3AE-C9774EE54DA8}"/>
    <cellStyle name="Comma 4 3 2 2 2 2 3 3" xfId="47938" xr:uid="{3B09300B-DFFC-4993-A5C1-031E98C09154}"/>
    <cellStyle name="Comma 4 3 2 2 2 2 3 4" xfId="52139" xr:uid="{5D22C636-0C7A-4724-9D21-2FF9CBD0F572}"/>
    <cellStyle name="Comma 4 3 2 2 2 2 3 5" xfId="55155" xr:uid="{020743F3-09DE-4DD8-9C57-C7E841D94C6E}"/>
    <cellStyle name="Comma 4 3 2 2 2 2 3 6" xfId="19264" xr:uid="{55756B1C-AC19-4FFE-954B-297381BD1A7A}"/>
    <cellStyle name="Comma 4 3 2 2 2 2 4" xfId="15749" xr:uid="{81FB5FCE-6B41-403C-A96F-112A3DB4CB47}"/>
    <cellStyle name="Comma 4 3 2 2 2 2 4 2" xfId="23278" xr:uid="{5DDD59E1-2866-4D39-ADED-54AA6CAA8E12}"/>
    <cellStyle name="Comma 4 3 2 2 2 2 4 3" xfId="46580" xr:uid="{24ADF181-70EA-48AF-BE74-0A8AA8A92AB6}"/>
    <cellStyle name="Comma 4 3 2 2 2 2 4 4" xfId="52616" xr:uid="{F0637ABD-906B-4AB7-A331-14D85862F9D9}"/>
    <cellStyle name="Comma 4 3 2 2 2 2 4 5" xfId="55632" xr:uid="{525DE5E3-55EB-4682-A4D1-8264B74366C0}"/>
    <cellStyle name="Comma 4 3 2 2 2 2 4 6" xfId="19409" xr:uid="{0BD64964-0BF6-445E-B95E-1EF7C0663B1D}"/>
    <cellStyle name="Comma 4 3 2 2 2 2 5" xfId="12785" xr:uid="{6DF08EF8-D47E-401A-8980-5227C589A6C1}"/>
    <cellStyle name="Comma 4 3 2 2 2 2 5 2" xfId="46352" xr:uid="{992571A3-307A-4372-A214-52C0FA6F67FA}"/>
    <cellStyle name="Comma 4 3 2 2 2 2 5 3" xfId="51185" xr:uid="{1CD792A7-B434-46A2-A7CF-4552A69FBFA5}"/>
    <cellStyle name="Comma 4 3 2 2 2 2 5 4" xfId="54201" xr:uid="{42882535-ADE6-438D-8A7F-131315E9E8B3}"/>
    <cellStyle name="Comma 4 3 2 2 2 2 5 5" xfId="21979" xr:uid="{A5E2AD9C-656F-4E39-BAE9-17A21C571AF9}"/>
    <cellStyle name="Comma 4 3 2 2 2 2 6" xfId="47509" xr:uid="{CDEDFC42-A79F-47B6-B9E5-373D85B0B2A2}"/>
    <cellStyle name="Comma 4 3 2 2 2 2 7" xfId="50079" xr:uid="{F5762ADF-5AAF-49D6-9F4F-EAC37A789638}"/>
    <cellStyle name="Comma 4 3 2 2 2 2 8" xfId="53095" xr:uid="{5EF10E93-99F2-43A0-B343-179AEBBBF03E}"/>
    <cellStyle name="Comma 4 3 2 2 2 2 9" xfId="18900" xr:uid="{066141C6-158F-4956-A51A-C028773D0A4B}"/>
    <cellStyle name="Comma 4 3 2 2 2 3" xfId="14565" xr:uid="{340F07DD-AD01-4209-99A9-37EA638041ED}"/>
    <cellStyle name="Comma 4 3 2 2 2 3 2" xfId="22112" xr:uid="{4552CA8F-DA6C-4952-ADA4-8089DEE72B80}"/>
    <cellStyle name="Comma 4 3 2 2 2 3 3" xfId="24978" xr:uid="{FAFC41F8-1C73-46A3-A2DE-104695650E38}"/>
    <cellStyle name="Comma 4 3 2 2 2 3 4" xfId="51450" xr:uid="{99BF1622-576A-4FDD-8AF6-41D17448DDF3}"/>
    <cellStyle name="Comma 4 3 2 2 2 3 5" xfId="54466" xr:uid="{4F83BD80-89B3-4E68-81CF-0966407FB132}"/>
    <cellStyle name="Comma 4 3 2 2 2 3 6" xfId="19061" xr:uid="{14CB050E-38CC-4551-95B4-EEFEE8766421}"/>
    <cellStyle name="Comma 4 3 2 2 2 4" xfId="15049" xr:uid="{C1DDB320-6535-4283-847C-8FF16197EA90}"/>
    <cellStyle name="Comma 4 3 2 2 2 4 2" xfId="22589" xr:uid="{F1846ED4-53FF-47CA-AF50-4520A960851C}"/>
    <cellStyle name="Comma 4 3 2 2 2 4 3" xfId="33651" xr:uid="{7BCD93D3-DFEC-46E5-80FA-339B90636879}"/>
    <cellStyle name="Comma 4 3 2 2 2 4 4" xfId="51927" xr:uid="{F95C8ED1-6CCB-4C07-B835-D1B0194B6CC3}"/>
    <cellStyle name="Comma 4 3 2 2 2 4 5" xfId="54943" xr:uid="{8BA6A2BC-4026-41CA-AB3C-90F032E0AEC8}"/>
    <cellStyle name="Comma 4 3 2 2 2 4 6" xfId="19203" xr:uid="{F6CBE129-833F-402A-B0E3-F48A95D66387}"/>
    <cellStyle name="Comma 4 3 2 2 2 5" xfId="15536" xr:uid="{64A3C6E8-ADAA-4CF0-A8E9-74BCC7E8AF77}"/>
    <cellStyle name="Comma 4 3 2 2 2 5 2" xfId="23066" xr:uid="{5850A964-6358-4A54-B661-05DBF0D608A1}"/>
    <cellStyle name="Comma 4 3 2 2 2 5 3" xfId="47348" xr:uid="{3C0E3DFA-9D15-4129-8071-A892EBE7A0FF}"/>
    <cellStyle name="Comma 4 3 2 2 2 5 4" xfId="52404" xr:uid="{4B514EB5-08E3-416C-A6DC-5759696E8738}"/>
    <cellStyle name="Comma 4 3 2 2 2 5 5" xfId="55420" xr:uid="{682952B2-3C66-4A1C-817E-CFF497AF8B89}"/>
    <cellStyle name="Comma 4 3 2 2 2 5 6" xfId="19348" xr:uid="{48146377-72DF-4376-97A5-ED82452F7122}"/>
    <cellStyle name="Comma 4 3 2 2 2 6" xfId="12484" xr:uid="{5E8AC7A5-C0F0-43B4-BC3F-9D3D4CB74FF4}"/>
    <cellStyle name="Comma 4 3 2 2 2 6 2" xfId="47163" xr:uid="{ECDB7DA5-793C-4FF3-8807-2525F7132067}"/>
    <cellStyle name="Comma 4 3 2 2 2 6 3" xfId="50973" xr:uid="{B9DDCF22-4720-4859-A74B-7EEC0F625636}"/>
    <cellStyle name="Comma 4 3 2 2 2 6 4" xfId="53989" xr:uid="{7A78D91B-72EE-4FB9-B37A-E87CB38B6FF5}"/>
    <cellStyle name="Comma 4 3 2 2 2 6 5" xfId="21918" xr:uid="{BC7BB02E-38F6-4409-83E7-4F8957E3AE2C}"/>
    <cellStyle name="Comma 4 3 2 2 2 7" xfId="46027" xr:uid="{072C7362-E0D2-44A5-8E3F-F78D557C9947}"/>
    <cellStyle name="Comma 4 3 2 2 2 8" xfId="49867" xr:uid="{6DB3BFE2-0C83-4F21-A69B-3F2238B7DD07}"/>
    <cellStyle name="Comma 4 3 2 2 2 9" xfId="52883" xr:uid="{35ED37D3-7634-4336-8995-CC7C8A7A4BC9}"/>
    <cellStyle name="Comma 4 3 2 2 3" xfId="10098" xr:uid="{BFA4E8CB-7A8F-4B0D-A275-DAB133293018}"/>
    <cellStyle name="Comma 4 3 2 2 3 10" xfId="18784" xr:uid="{748E908F-D481-4DA7-9DE4-C4BC4FFA7BEB}"/>
    <cellStyle name="Comma 4 3 2 2 3 2" xfId="10411" xr:uid="{77F55A90-8F19-4ED6-AF27-808FD5D0981B}"/>
    <cellStyle name="Comma 4 3 2 2 3 2 2" xfId="14830" xr:uid="{E64F83CA-279F-4386-8B77-BC087946CA63}"/>
    <cellStyle name="Comma 4 3 2 2 3 2 2 2" xfId="22377" xr:uid="{9B10062F-522A-4C3A-8AE5-2063D6CC630D}"/>
    <cellStyle name="Comma 4 3 2 2 3 2 2 3" xfId="33655" xr:uid="{DF040551-BB62-404D-AFF1-F5108F6913F8}"/>
    <cellStyle name="Comma 4 3 2 2 3 2 2 4" xfId="51715" xr:uid="{E9BA7427-8DDA-4532-AFD0-DFD08DF8BFF6}"/>
    <cellStyle name="Comma 4 3 2 2 3 2 2 5" xfId="54731" xr:uid="{6D5395BA-84C8-4793-8185-ECD562EF9221}"/>
    <cellStyle name="Comma 4 3 2 2 3 2 2 6" xfId="19136" xr:uid="{A9F11B7C-6A0F-4C8B-AB19-5D6752428E4D}"/>
    <cellStyle name="Comma 4 3 2 2 3 2 3" xfId="15315" xr:uid="{17CDA836-9C57-4F8E-82A1-8C61DDD468FC}"/>
    <cellStyle name="Comma 4 3 2 2 3 2 3 2" xfId="22854" xr:uid="{1A909658-1204-4C7C-BD77-50AE065EE16C}"/>
    <cellStyle name="Comma 4 3 2 2 3 2 3 3" xfId="46691" xr:uid="{A5F49F0C-869A-4643-A222-F10191500FCA}"/>
    <cellStyle name="Comma 4 3 2 2 3 2 3 4" xfId="52192" xr:uid="{2053613D-9D9E-4258-824A-9FA02B6E7C5E}"/>
    <cellStyle name="Comma 4 3 2 2 3 2 3 5" xfId="55208" xr:uid="{8E4C0B28-9A97-4B73-BC91-A4363AA4209B}"/>
    <cellStyle name="Comma 4 3 2 2 3 2 3 6" xfId="19279" xr:uid="{5DC755EC-5A6D-4AC4-BBFC-E1F14C4E7162}"/>
    <cellStyle name="Comma 4 3 2 2 3 2 4" xfId="15802" xr:uid="{1F9D1504-2953-4E88-8830-82457BD231EA}"/>
    <cellStyle name="Comma 4 3 2 2 3 2 4 2" xfId="23331" xr:uid="{B793838C-9180-4BA9-B514-4A4482FFD53F}"/>
    <cellStyle name="Comma 4 3 2 2 3 2 4 3" xfId="46967" xr:uid="{40EFAE31-9AB0-414A-B69D-61E33987E9EA}"/>
    <cellStyle name="Comma 4 3 2 2 3 2 4 4" xfId="52669" xr:uid="{759DC047-A4EA-4161-A2CB-C521D506C013}"/>
    <cellStyle name="Comma 4 3 2 2 3 2 4 5" xfId="55685" xr:uid="{4DE1DC6E-C1FD-49C9-BC8E-84AF13C7AED5}"/>
    <cellStyle name="Comma 4 3 2 2 3 2 4 6" xfId="19424" xr:uid="{92EF0A7F-E9C0-44D9-93A3-AF335A6B5905}"/>
    <cellStyle name="Comma 4 3 2 2 3 2 5" xfId="12864" xr:uid="{F0FF4473-3A88-4393-B56B-FC79F8F04AA1}"/>
    <cellStyle name="Comma 4 3 2 2 3 2 5 2" xfId="47664" xr:uid="{7B296A36-4AAD-4F81-99B3-DF43784F2719}"/>
    <cellStyle name="Comma 4 3 2 2 3 2 5 3" xfId="51238" xr:uid="{A2482F26-DEE2-4103-8790-712F5B519112}"/>
    <cellStyle name="Comma 4 3 2 2 3 2 5 4" xfId="54254" xr:uid="{E95FF8E6-465F-48A3-A8C1-1D2E61AB9877}"/>
    <cellStyle name="Comma 4 3 2 2 3 2 5 5" xfId="21994" xr:uid="{677C1EE6-3470-4BD8-8486-F3E53C9F72AF}"/>
    <cellStyle name="Comma 4 3 2 2 3 2 6" xfId="47584" xr:uid="{7EC4F173-1212-4626-8CAF-4FD331F02218}"/>
    <cellStyle name="Comma 4 3 2 2 3 2 7" xfId="50132" xr:uid="{3DD7A596-30BE-41C9-AD34-80E19C74CB07}"/>
    <cellStyle name="Comma 4 3 2 2 3 2 8" xfId="53148" xr:uid="{BD6B4BF0-3AC9-4515-BD4E-12DDCACB749A}"/>
    <cellStyle name="Comma 4 3 2 2 3 2 9" xfId="18941" xr:uid="{C1BED072-967C-44BD-A037-F698A5476197}"/>
    <cellStyle name="Comma 4 3 2 2 3 3" xfId="14618" xr:uid="{C21FCC84-D4FA-4943-A5AE-BA6E81BA6B7A}"/>
    <cellStyle name="Comma 4 3 2 2 3 3 2" xfId="22165" xr:uid="{B2EADA70-E2B9-48F5-9551-5A03EBDC5E3E}"/>
    <cellStyle name="Comma 4 3 2 2 3 3 3" xfId="32412" xr:uid="{251FBBC7-31EC-4589-88B8-63B8F9FA6F2D}"/>
    <cellStyle name="Comma 4 3 2 2 3 3 4" xfId="51503" xr:uid="{D8DB42F4-40D3-4750-8E84-EA2FA57F74EF}"/>
    <cellStyle name="Comma 4 3 2 2 3 3 5" xfId="54519" xr:uid="{B1805C8D-F1E6-4FFF-AB58-4F44DADB8B2E}"/>
    <cellStyle name="Comma 4 3 2 2 3 3 6" xfId="19076" xr:uid="{EFF7CAB1-8B81-454C-BD94-125638408C63}"/>
    <cellStyle name="Comma 4 3 2 2 3 4" xfId="15103" xr:uid="{69924AF0-5A63-4375-938D-62CB833F7F05}"/>
    <cellStyle name="Comma 4 3 2 2 3 4 2" xfId="22642" xr:uid="{57E129E7-F4F3-436C-B80E-6C26619FE5EA}"/>
    <cellStyle name="Comma 4 3 2 2 3 4 3" xfId="46880" xr:uid="{C96A54DA-8B19-4691-BCD0-594709A70002}"/>
    <cellStyle name="Comma 4 3 2 2 3 4 4" xfId="51980" xr:uid="{578B92A9-C444-4A6D-9D12-E824CDC266E1}"/>
    <cellStyle name="Comma 4 3 2 2 3 4 5" xfId="54996" xr:uid="{79D2164B-B8BC-46A6-89AD-B8B80C975DE1}"/>
    <cellStyle name="Comma 4 3 2 2 3 4 6" xfId="19219" xr:uid="{4B77C906-08FB-49A2-96A9-9584F2DBB771}"/>
    <cellStyle name="Comma 4 3 2 2 3 5" xfId="15590" xr:uid="{D506C5E4-ACDD-461F-B120-93D81095AB84}"/>
    <cellStyle name="Comma 4 3 2 2 3 5 2" xfId="23119" xr:uid="{D172085B-61D0-40A0-B3DF-47253FA742DE}"/>
    <cellStyle name="Comma 4 3 2 2 3 5 3" xfId="47154" xr:uid="{B64251D1-0480-4186-BD45-3569D6E70F9B}"/>
    <cellStyle name="Comma 4 3 2 2 3 5 4" xfId="52457" xr:uid="{F4A45B49-3643-4526-875E-F541522749B9}"/>
    <cellStyle name="Comma 4 3 2 2 3 5 5" xfId="55473" xr:uid="{E45B5FCB-264D-4534-8B48-ACFEFE61EB44}"/>
    <cellStyle name="Comma 4 3 2 2 3 5 6" xfId="19364" xr:uid="{9B297162-6202-4F70-B3C2-0CA6F26B7DD7}"/>
    <cellStyle name="Comma 4 3 2 2 3 6" xfId="12555" xr:uid="{D4154C0D-2AB7-4377-AAE5-85E8AA550EF5}"/>
    <cellStyle name="Comma 4 3 2 2 3 6 2" xfId="47090" xr:uid="{15BEB855-455E-403A-A5D6-63FF02CA0B6D}"/>
    <cellStyle name="Comma 4 3 2 2 3 6 3" xfId="51026" xr:uid="{7A720C36-1F49-4175-A6DA-A66BEA212E6E}"/>
    <cellStyle name="Comma 4 3 2 2 3 6 4" xfId="54042" xr:uid="{0A1BF684-896D-4DD2-A5F1-EFDB65A498CC}"/>
    <cellStyle name="Comma 4 3 2 2 3 6 5" xfId="21934" xr:uid="{A59B4FDB-8839-4A49-A17D-E469CC089576}"/>
    <cellStyle name="Comma 4 3 2 2 3 7" xfId="48151" xr:uid="{EA7A3285-DA21-4BD6-AC00-64BABD87F35B}"/>
    <cellStyle name="Comma 4 3 2 2 3 8" xfId="49920" xr:uid="{C8C3EFC0-9FCE-45CB-97C5-01CC67C59F7C}"/>
    <cellStyle name="Comma 4 3 2 2 3 9" xfId="52936" xr:uid="{A33827E1-393C-4A70-B5CA-2598B7430C38}"/>
    <cellStyle name="Comma 4 3 2 2 4" xfId="10177" xr:uid="{DB547C1F-6594-4CAF-AFBA-C4BCB461024F}"/>
    <cellStyle name="Comma 4 3 2 2 4 10" xfId="18822" xr:uid="{DC5D483F-F7CD-40A5-A71C-B27EBFB3A372}"/>
    <cellStyle name="Comma 4 3 2 2 4 2" xfId="10491" xr:uid="{5E0BC2A3-4162-41DB-9FD6-6DFC89120FBF}"/>
    <cellStyle name="Comma 4 3 2 2 4 2 2" xfId="14883" xr:uid="{D0B54C7B-1500-40C4-8D15-2AAC37E318D7}"/>
    <cellStyle name="Comma 4 3 2 2 4 2 2 2" xfId="22430" xr:uid="{4C8BEE23-B2EE-47BF-9DAF-F59184261398}"/>
    <cellStyle name="Comma 4 3 2 2 4 2 2 3" xfId="48244" xr:uid="{98C6C667-4D95-4160-91CC-1CC6EDBA2A63}"/>
    <cellStyle name="Comma 4 3 2 2 4 2 2 4" xfId="51768" xr:uid="{DE9FE2B2-B612-469F-A4AC-B6999BB30522}"/>
    <cellStyle name="Comma 4 3 2 2 4 2 2 5" xfId="54784" xr:uid="{A212D468-99A2-451E-9664-DDE8DA669A8F}"/>
    <cellStyle name="Comma 4 3 2 2 4 2 2 6" xfId="19151" xr:uid="{FFC2918C-E9A8-4779-9C75-AA5BC1E94EA7}"/>
    <cellStyle name="Comma 4 3 2 2 4 2 3" xfId="15368" xr:uid="{7A08C2A7-5C36-443E-8873-BBE948641339}"/>
    <cellStyle name="Comma 4 3 2 2 4 2 3 2" xfId="22907" xr:uid="{39F2DF8B-A6C2-42E2-9BBF-E9FD0F9B35C1}"/>
    <cellStyle name="Comma 4 3 2 2 4 2 3 3" xfId="46521" xr:uid="{3A2BB5CF-02BD-4DEC-97C1-2A7BA88B7B2C}"/>
    <cellStyle name="Comma 4 3 2 2 4 2 3 4" xfId="52245" xr:uid="{2D9882E5-D854-45DD-9E2F-A2FDC56054A2}"/>
    <cellStyle name="Comma 4 3 2 2 4 2 3 5" xfId="55261" xr:uid="{D2D94DB1-D4DA-45F4-902F-1A790D2C66CD}"/>
    <cellStyle name="Comma 4 3 2 2 4 2 3 6" xfId="19294" xr:uid="{6616CF04-B1AF-4CC7-BCB6-5BC6931DEBA7}"/>
    <cellStyle name="Comma 4 3 2 2 4 2 4" xfId="15855" xr:uid="{28D996F9-B7CE-4A2E-9F50-C42A26D61CB4}"/>
    <cellStyle name="Comma 4 3 2 2 4 2 4 2" xfId="23384" xr:uid="{0FEA7BDD-673F-4D5D-8583-2CDA2913DFF0}"/>
    <cellStyle name="Comma 4 3 2 2 4 2 4 3" xfId="46598" xr:uid="{1F961E16-333F-4F60-8549-6A2DBDF93251}"/>
    <cellStyle name="Comma 4 3 2 2 4 2 4 4" xfId="52722" xr:uid="{7A51720B-0F6E-430C-99CA-493BD8959B51}"/>
    <cellStyle name="Comma 4 3 2 2 4 2 4 5" xfId="55738" xr:uid="{839804E4-F47F-4BE8-A7BE-791684025639}"/>
    <cellStyle name="Comma 4 3 2 2 4 2 4 6" xfId="19439" xr:uid="{AC2CAFD8-0356-4133-9B15-F2A00A024D4B}"/>
    <cellStyle name="Comma 4 3 2 2 4 2 5" xfId="12944" xr:uid="{8C33DF91-94C3-4EEF-B492-06F2B00FF174}"/>
    <cellStyle name="Comma 4 3 2 2 4 2 5 2" xfId="46815" xr:uid="{38EEF577-0F24-427F-8C21-09D80355AD21}"/>
    <cellStyle name="Comma 4 3 2 2 4 2 5 3" xfId="51291" xr:uid="{E41811CF-9EC7-48AD-A592-C98055AB4CE9}"/>
    <cellStyle name="Comma 4 3 2 2 4 2 5 4" xfId="54307" xr:uid="{F757FC02-F7F0-42A2-8055-FE65FC90B283}"/>
    <cellStyle name="Comma 4 3 2 2 4 2 5 5" xfId="22009" xr:uid="{596DA9C7-7A48-48F6-A28A-9ECA793A99F8}"/>
    <cellStyle name="Comma 4 3 2 2 4 2 6" xfId="47588" xr:uid="{111F401F-747A-4F70-AFD9-19FC9A49DB70}"/>
    <cellStyle name="Comma 4 3 2 2 4 2 7" xfId="50185" xr:uid="{1AEA35AB-167C-4E13-AEFC-304C46FFE0EA}"/>
    <cellStyle name="Comma 4 3 2 2 4 2 8" xfId="53201" xr:uid="{055A13B3-3968-4BB7-BF6B-361F6378F86A}"/>
    <cellStyle name="Comma 4 3 2 2 4 2 9" xfId="18983" xr:uid="{683196CA-7B30-49A0-8DB6-E655A1C76A9F}"/>
    <cellStyle name="Comma 4 3 2 2 4 3" xfId="14671" xr:uid="{F1EA42A5-0AA0-49D4-ACB8-26CAE2EE502D}"/>
    <cellStyle name="Comma 4 3 2 2 4 3 2" xfId="22218" xr:uid="{3E4A17B8-9EFE-4F96-AD2D-1778E64CA51B}"/>
    <cellStyle name="Comma 4 3 2 2 4 3 3" xfId="33023" xr:uid="{DC9E070A-185E-4577-BCC6-C8CB96963411}"/>
    <cellStyle name="Comma 4 3 2 2 4 3 4" xfId="51556" xr:uid="{9581297E-52DA-48C3-AED2-D15CEB428235}"/>
    <cellStyle name="Comma 4 3 2 2 4 3 5" xfId="54572" xr:uid="{CB660FE7-4179-40A2-8997-65EBAB3C99B2}"/>
    <cellStyle name="Comma 4 3 2 2 4 3 6" xfId="19091" xr:uid="{209F8B97-9A8C-4C12-973F-40E49906EE58}"/>
    <cellStyle name="Comma 4 3 2 2 4 4" xfId="15156" xr:uid="{42C9FB71-B66F-4F3D-8BFC-FB03A994D988}"/>
    <cellStyle name="Comma 4 3 2 2 4 4 2" xfId="22695" xr:uid="{E6A71A41-F468-472A-B236-F2145DA89DB3}"/>
    <cellStyle name="Comma 4 3 2 2 4 4 3" xfId="47862" xr:uid="{9A86CEE4-5407-4E92-AD68-FB75E8859C73}"/>
    <cellStyle name="Comma 4 3 2 2 4 4 4" xfId="52033" xr:uid="{D8F36316-A1AA-4A56-B678-457B5DDFF409}"/>
    <cellStyle name="Comma 4 3 2 2 4 4 5" xfId="55049" xr:uid="{BB0A7C90-3BE2-4F7A-B174-AA5F83E37572}"/>
    <cellStyle name="Comma 4 3 2 2 4 4 6" xfId="19234" xr:uid="{C769F813-9B77-4CD4-AE87-2D7549439AAE}"/>
    <cellStyle name="Comma 4 3 2 2 4 5" xfId="15643" xr:uid="{07B398E4-FC09-4AD4-9A3E-4D20B292F383}"/>
    <cellStyle name="Comma 4 3 2 2 4 5 2" xfId="23172" xr:uid="{3F843C6A-8C78-4D44-A05A-5612BA5956DB}"/>
    <cellStyle name="Comma 4 3 2 2 4 5 3" xfId="24899" xr:uid="{308D2895-7906-4E04-9E5F-9135D1A03C28}"/>
    <cellStyle name="Comma 4 3 2 2 4 5 4" xfId="52510" xr:uid="{BAF73E8C-A106-47FE-BB18-1B05ED95027A}"/>
    <cellStyle name="Comma 4 3 2 2 4 5 5" xfId="55526" xr:uid="{FFEC1918-E714-4222-8A6C-F8305B44ADD8}"/>
    <cellStyle name="Comma 4 3 2 2 4 5 6" xfId="19379" xr:uid="{968A85F9-CBE1-4A74-9570-D3BB98350B1A}"/>
    <cellStyle name="Comma 4 3 2 2 4 6" xfId="12631" xr:uid="{EA798609-7B1C-4A99-A28F-932413955062}"/>
    <cellStyle name="Comma 4 3 2 2 4 6 2" xfId="46777" xr:uid="{9226D44F-7B50-44CA-A284-DA750FAD0722}"/>
    <cellStyle name="Comma 4 3 2 2 4 6 3" xfId="51079" xr:uid="{D1E76EB2-5AEE-45C0-800D-0B993884F9F5}"/>
    <cellStyle name="Comma 4 3 2 2 4 6 4" xfId="54095" xr:uid="{D38C8D49-FF65-4B78-BEC9-D39B40C41569}"/>
    <cellStyle name="Comma 4 3 2 2 4 6 5" xfId="21949" xr:uid="{2C3446A0-3ED8-4550-954E-B33F63FE9374}"/>
    <cellStyle name="Comma 4 3 2 2 4 7" xfId="47280" xr:uid="{3DE8E870-F068-4FB8-8879-2F9B01146354}"/>
    <cellStyle name="Comma 4 3 2 2 4 8" xfId="49973" xr:uid="{37FB7104-6EBC-44E8-B2D1-CCC8EBDF5997}"/>
    <cellStyle name="Comma 4 3 2 2 4 9" xfId="52989" xr:uid="{D4430F6F-6BE0-4031-A960-2776D7EA7500}"/>
    <cellStyle name="Comma 4 3 2 2 5" xfId="10257" xr:uid="{B03471CA-16A6-4958-8782-AFC483AC112B}"/>
    <cellStyle name="Comma 4 3 2 2 5 2" xfId="14724" xr:uid="{2BA78B4D-1327-48DB-A940-9EBB6FB4C51C}"/>
    <cellStyle name="Comma 4 3 2 2 5 2 2" xfId="22271" xr:uid="{98D4679C-4F37-49A1-9721-CE8DDBD5A362}"/>
    <cellStyle name="Comma 4 3 2 2 5 2 3" xfId="46854" xr:uid="{1F46F15A-C1E4-4ED5-A3E8-614ADC057473}"/>
    <cellStyle name="Comma 4 3 2 2 5 2 4" xfId="51609" xr:uid="{410E3248-305B-470D-8CF2-3E443F865FD6}"/>
    <cellStyle name="Comma 4 3 2 2 5 2 5" xfId="54625" xr:uid="{F92B535E-B745-49C0-8043-7A561C6D9225}"/>
    <cellStyle name="Comma 4 3 2 2 5 2 6" xfId="19106" xr:uid="{1E0BEE40-00DF-4BD9-8220-B8052DD80FEC}"/>
    <cellStyle name="Comma 4 3 2 2 5 3" xfId="15209" xr:uid="{6DEFCEE3-F0EC-4A05-A80A-D0633C4D90BC}"/>
    <cellStyle name="Comma 4 3 2 2 5 3 2" xfId="22748" xr:uid="{378B1390-7B1C-4943-9A0E-A271F48B41F1}"/>
    <cellStyle name="Comma 4 3 2 2 5 3 3" xfId="32545" xr:uid="{7CCAEF29-9E9F-49B6-963A-5451BB77397B}"/>
    <cellStyle name="Comma 4 3 2 2 5 3 4" xfId="52086" xr:uid="{6CEC63A6-AA7E-4E97-BB3A-A29065553D09}"/>
    <cellStyle name="Comma 4 3 2 2 5 3 5" xfId="55102" xr:uid="{D00D13D1-F5D2-43DE-927B-83046DEA41FB}"/>
    <cellStyle name="Comma 4 3 2 2 5 3 6" xfId="19249" xr:uid="{510BA469-2FB8-4790-B23F-975F6EBD0424}"/>
    <cellStyle name="Comma 4 3 2 2 5 4" xfId="15696" xr:uid="{B5F5516E-71A0-4713-BCAF-17047E34CB85}"/>
    <cellStyle name="Comma 4 3 2 2 5 4 2" xfId="23225" xr:uid="{6C124B20-DCED-44AC-B06F-3FB9B06F1785}"/>
    <cellStyle name="Comma 4 3 2 2 5 4 3" xfId="48325" xr:uid="{F0CC3894-90B0-430A-AFD3-91E37ABC209B}"/>
    <cellStyle name="Comma 4 3 2 2 5 4 4" xfId="52563" xr:uid="{5C61EC2F-8F3F-4EC0-B6F1-8059477C1801}"/>
    <cellStyle name="Comma 4 3 2 2 5 4 5" xfId="55579" xr:uid="{F8754D95-A971-4EF4-94F0-0C91189B7551}"/>
    <cellStyle name="Comma 4 3 2 2 5 4 6" xfId="19394" xr:uid="{46F5BE88-0231-4640-A86D-B719FF36A991}"/>
    <cellStyle name="Comma 4 3 2 2 5 5" xfId="12710" xr:uid="{0579E9BB-183C-4D72-91EE-EC7D43F6DBC9}"/>
    <cellStyle name="Comma 4 3 2 2 5 5 2" xfId="48198" xr:uid="{0A6008C6-2A48-459A-AF08-482018C87E86}"/>
    <cellStyle name="Comma 4 3 2 2 5 5 3" xfId="51132" xr:uid="{2EEF9ADA-0B9D-4FB5-A987-1F8E1F538548}"/>
    <cellStyle name="Comma 4 3 2 2 5 5 4" xfId="54148" xr:uid="{15CB14EC-AA86-4935-8BE3-D4981318B407}"/>
    <cellStyle name="Comma 4 3 2 2 5 5 5" xfId="21964" xr:uid="{BEDA1F5B-A096-46C9-AE41-9CACE97D8F20}"/>
    <cellStyle name="Comma 4 3 2 2 5 6" xfId="48090" xr:uid="{AE807A1B-8C72-4426-BE5D-B6A77B6E3132}"/>
    <cellStyle name="Comma 4 3 2 2 5 7" xfId="50026" xr:uid="{CC94E42C-FD6C-40C9-9B0D-F410DA22A873}"/>
    <cellStyle name="Comma 4 3 2 2 5 8" xfId="53042" xr:uid="{6C24A3BD-90A3-485E-BD46-0D65CE7514A6}"/>
    <cellStyle name="Comma 4 3 2 2 5 9" xfId="18863" xr:uid="{0809007A-8AB8-498B-8015-AED612651379}"/>
    <cellStyle name="Comma 4 3 2 2 6" xfId="10571" xr:uid="{7273569A-CC5E-4012-996F-88B1B0403895}"/>
    <cellStyle name="Comma 4 3 2 2 6 2" xfId="14936" xr:uid="{E798D4F1-5341-4A2F-A67B-F96BDB2F10FF}"/>
    <cellStyle name="Comma 4 3 2 2 6 2 2" xfId="22483" xr:uid="{62F5723E-4872-4453-B03D-1AD24F767A7A}"/>
    <cellStyle name="Comma 4 3 2 2 6 2 3" xfId="47454" xr:uid="{C1AF5875-4383-4B13-B4CC-A1DF7BCD8730}"/>
    <cellStyle name="Comma 4 3 2 2 6 2 4" xfId="51821" xr:uid="{DE7C993A-D0FE-4DD3-882C-81121C2905B1}"/>
    <cellStyle name="Comma 4 3 2 2 6 2 5" xfId="54837" xr:uid="{ABCD1ACD-FC55-4EE6-8D0E-FE226135DA9D}"/>
    <cellStyle name="Comma 4 3 2 2 6 2 6" xfId="19166" xr:uid="{B8C9ACF6-8CF8-44C1-AC83-9F7E15419C32}"/>
    <cellStyle name="Comma 4 3 2 2 6 3" xfId="15421" xr:uid="{BF8E8712-8D09-442B-82FA-C7DCAB534F3F}"/>
    <cellStyle name="Comma 4 3 2 2 6 3 2" xfId="22960" xr:uid="{84E8A9FD-CC52-4637-9529-653BC7F55C1B}"/>
    <cellStyle name="Comma 4 3 2 2 6 3 3" xfId="32543" xr:uid="{B07F6669-BE13-4D05-A4E6-5DB44AC94D18}"/>
    <cellStyle name="Comma 4 3 2 2 6 3 4" xfId="52298" xr:uid="{884AA4DA-A7C4-4175-AE4D-B26BD04EADD3}"/>
    <cellStyle name="Comma 4 3 2 2 6 3 5" xfId="55314" xr:uid="{D72A6F21-2905-4B68-BCBB-2FE319F0351D}"/>
    <cellStyle name="Comma 4 3 2 2 6 3 6" xfId="19309" xr:uid="{6CFB9CCC-9547-4DBC-9CB5-BBC8D4105FED}"/>
    <cellStyle name="Comma 4 3 2 2 6 4" xfId="15909" xr:uid="{6DE86A20-A3B2-4766-8C37-B6B99D07CF47}"/>
    <cellStyle name="Comma 4 3 2 2 6 4 2" xfId="23437" xr:uid="{25B9757F-5988-4EE3-849D-CB93BFED2C60}"/>
    <cellStyle name="Comma 4 3 2 2 6 4 3" xfId="46604" xr:uid="{DA5549C0-6431-4BD3-9953-E4134098B481}"/>
    <cellStyle name="Comma 4 3 2 2 6 4 4" xfId="52775" xr:uid="{6C81D899-6CD3-4AB2-90BE-89695E9009E8}"/>
    <cellStyle name="Comma 4 3 2 2 6 4 5" xfId="55791" xr:uid="{E6AAAFBE-2AC7-49B0-B690-7ADDB08CB317}"/>
    <cellStyle name="Comma 4 3 2 2 6 4 6" xfId="19455" xr:uid="{1774E98C-C0B5-4764-8410-6B34ADF7D98D}"/>
    <cellStyle name="Comma 4 3 2 2 6 5" xfId="13024" xr:uid="{99147DD6-B131-4AAA-B4E0-17C2AF56C53E}"/>
    <cellStyle name="Comma 4 3 2 2 6 5 2" xfId="47825" xr:uid="{BAB0022D-74E1-4025-B531-7999CE41DFBF}"/>
    <cellStyle name="Comma 4 3 2 2 6 5 3" xfId="51344" xr:uid="{0285EE25-3027-4486-9E51-040395A115BD}"/>
    <cellStyle name="Comma 4 3 2 2 6 5 4" xfId="54360" xr:uid="{EBEFB0BA-C83E-4632-AB5D-9B9EFEDB0564}"/>
    <cellStyle name="Comma 4 3 2 2 6 5 5" xfId="22024" xr:uid="{0CFF3796-8E09-4BC7-BBB3-EDD1D41C0AAF}"/>
    <cellStyle name="Comma 4 3 2 2 6 6" xfId="33183" xr:uid="{49B2F5B2-6894-4119-B327-08BC1DDC8148}"/>
    <cellStyle name="Comma 4 3 2 2 6 7" xfId="50238" xr:uid="{15D5D3D3-9269-4BE6-BAEE-6135B3A639C3}"/>
    <cellStyle name="Comma 4 3 2 2 6 8" xfId="53254" xr:uid="{7DB3EB1B-E1FE-4985-94B9-E9B0AB892237}"/>
    <cellStyle name="Comma 4 3 2 2 6 9" xfId="19025" xr:uid="{D2CD08A6-6671-4CBC-A4C3-64B7B67DE76F}"/>
    <cellStyle name="Comma 4 3 2 2 7" xfId="14512" xr:uid="{E088D9A7-9DBB-408D-8648-957A2D9F4B86}"/>
    <cellStyle name="Comma 4 3 2 2 7 2" xfId="22059" xr:uid="{1CDD473D-7058-4391-A6D6-47E3131DCFA1}"/>
    <cellStyle name="Comma 4 3 2 2 7 3" xfId="47235" xr:uid="{8389CC6A-B1E3-4B6E-837B-E1841728C598}"/>
    <cellStyle name="Comma 4 3 2 2 7 4" xfId="51397" xr:uid="{518CABC0-AA34-410A-9707-60A20A68248E}"/>
    <cellStyle name="Comma 4 3 2 2 7 5" xfId="54413" xr:uid="{E9E70FDA-826C-430C-AFE6-023647753BF8}"/>
    <cellStyle name="Comma 4 3 2 2 7 6" xfId="19046" xr:uid="{35DA42F0-DAB8-406D-B079-9E93B37A7B69}"/>
    <cellStyle name="Comma 4 3 2 2 8" xfId="14996" xr:uid="{82C02D60-E4DF-4A7C-BA29-275840B19C12}"/>
    <cellStyle name="Comma 4 3 2 2 8 2" xfId="22536" xr:uid="{9121F473-30A6-4EBD-9433-0BEED5C1DD5D}"/>
    <cellStyle name="Comma 4 3 2 2 8 3" xfId="34020" xr:uid="{BB97EB22-C70A-4120-920F-CA1980A79115}"/>
    <cellStyle name="Comma 4 3 2 2 8 4" xfId="51874" xr:uid="{C1DDA922-62A6-4D54-9F06-96E54FC52863}"/>
    <cellStyle name="Comma 4 3 2 2 8 5" xfId="54890" xr:uid="{9D50E836-E182-4B76-BDB6-2A96817EA3F2}"/>
    <cellStyle name="Comma 4 3 2 2 8 6" xfId="19188" xr:uid="{1C31CDAD-FD27-44C8-B9A3-966399C67F7B}"/>
    <cellStyle name="Comma 4 3 2 2 9" xfId="15483" xr:uid="{BB482687-5970-4CEF-8E48-C2679F511301}"/>
    <cellStyle name="Comma 4 3 2 2 9 2" xfId="23013" xr:uid="{794D0028-2786-478D-B5D9-DED89EFA4E1D}"/>
    <cellStyle name="Comma 4 3 2 2 9 3" xfId="46695" xr:uid="{D9E7C4F5-E519-41C1-B445-C1F8B5E2D5BD}"/>
    <cellStyle name="Comma 4 3 2 2 9 4" xfId="52351" xr:uid="{8CB6B48A-C93E-4420-A27D-18C5D95098C0}"/>
    <cellStyle name="Comma 4 3 2 2 9 5" xfId="55367" xr:uid="{9E145608-331C-4814-8231-439F4876F997}"/>
    <cellStyle name="Comma 4 3 2 2 9 6" xfId="19333" xr:uid="{EB6D486B-85FE-445B-AD2F-684DD64864D4}"/>
    <cellStyle name="Comma 4 3 2 3" xfId="10023" xr:uid="{14CEF182-D2F3-4885-B54C-07ECDF296154}"/>
    <cellStyle name="Comma 4 3 2 3 10" xfId="18750" xr:uid="{96ACC0DC-D39A-4883-BA59-03B26B11C676}"/>
    <cellStyle name="Comma 4 3 2 3 2" xfId="10331" xr:uid="{539CCFB4-73E8-4C80-A02F-C3C597FEA250}"/>
    <cellStyle name="Comma 4 3 2 3 2 2" xfId="14776" xr:uid="{43ECB922-3320-4032-AC0B-06500950BED5}"/>
    <cellStyle name="Comma 4 3 2 3 2 2 2" xfId="22323" xr:uid="{F7C33D95-07E4-44C9-8473-37DBF90C2AB1}"/>
    <cellStyle name="Comma 4 3 2 3 2 2 3" xfId="47628" xr:uid="{E1571EB9-761B-4678-A23C-2CF8845E2C8C}"/>
    <cellStyle name="Comma 4 3 2 3 2 2 4" xfId="51661" xr:uid="{5F1A2D87-A119-4B35-A182-DE4EB7EED261}"/>
    <cellStyle name="Comma 4 3 2 3 2 2 5" xfId="54677" xr:uid="{78B94543-B896-4BCC-B9D6-CF2FC3C5FC07}"/>
    <cellStyle name="Comma 4 3 2 3 2 2 6" xfId="19120" xr:uid="{525B0F3B-DC51-42FC-A81F-59D23E668AE7}"/>
    <cellStyle name="Comma 4 3 2 3 2 3" xfId="15261" xr:uid="{B6219140-2954-4DC1-915E-154A7B636218}"/>
    <cellStyle name="Comma 4 3 2 3 2 3 2" xfId="22800" xr:uid="{EE4ED4D9-B34F-4B5C-A050-185D50278517}"/>
    <cellStyle name="Comma 4 3 2 3 2 3 3" xfId="48360" xr:uid="{2C8F1C8F-940C-4F9D-A6C1-2FD80328E432}"/>
    <cellStyle name="Comma 4 3 2 3 2 3 4" xfId="52138" xr:uid="{3EEF6CEA-725B-4DF5-A0C8-E4AEBE75658B}"/>
    <cellStyle name="Comma 4 3 2 3 2 3 5" xfId="55154" xr:uid="{30964FE2-5338-4947-A9DD-AE415A1E9418}"/>
    <cellStyle name="Comma 4 3 2 3 2 3 6" xfId="19263" xr:uid="{80AAB4CA-A63B-4084-8CB4-E6C9157DB5C9}"/>
    <cellStyle name="Comma 4 3 2 3 2 4" xfId="15748" xr:uid="{63F0C5E0-1959-4F93-AB5B-6536C042A1DC}"/>
    <cellStyle name="Comma 4 3 2 3 2 4 2" xfId="23277" xr:uid="{06153933-38C4-4E6D-B699-D7EA0FD7D580}"/>
    <cellStyle name="Comma 4 3 2 3 2 4 3" xfId="48541" xr:uid="{0841C078-CAFB-40E6-B1B1-F91F44E577D4}"/>
    <cellStyle name="Comma 4 3 2 3 2 4 4" xfId="52615" xr:uid="{EB07FE4C-BD71-41A7-886F-0AA9FD9DBF93}"/>
    <cellStyle name="Comma 4 3 2 3 2 4 5" xfId="55631" xr:uid="{716D2D96-E127-4148-AD5F-42D813EEAE2C}"/>
    <cellStyle name="Comma 4 3 2 3 2 4 6" xfId="19408" xr:uid="{19ABE45B-8178-4484-8BC3-EAFA7F006DE7}"/>
    <cellStyle name="Comma 4 3 2 3 2 5" xfId="12784" xr:uid="{537CE599-C9B3-49BF-B1DD-C544C841DC58}"/>
    <cellStyle name="Comma 4 3 2 3 2 5 2" xfId="47323" xr:uid="{D116F6C2-2251-4E0F-8CA3-93E09877845D}"/>
    <cellStyle name="Comma 4 3 2 3 2 5 3" xfId="51184" xr:uid="{708E09D9-D57F-46C7-8433-47BADAB26989}"/>
    <cellStyle name="Comma 4 3 2 3 2 5 4" xfId="54200" xr:uid="{CAA766EA-03A1-4E0B-9174-DBC5EAD43915}"/>
    <cellStyle name="Comma 4 3 2 3 2 5 5" xfId="21978" xr:uid="{8038469B-7419-4B46-B21A-9F252DD87419}"/>
    <cellStyle name="Comma 4 3 2 3 2 6" xfId="46986" xr:uid="{E7523D2D-85C8-461C-BD43-CDFBD9825F4F}"/>
    <cellStyle name="Comma 4 3 2 3 2 7" xfId="50078" xr:uid="{BDCD5B4D-999C-4E1A-B2FF-F8681A4A7BDD}"/>
    <cellStyle name="Comma 4 3 2 3 2 8" xfId="53094" xr:uid="{2E61F2DD-6DB0-4B27-90A0-0206D5309127}"/>
    <cellStyle name="Comma 4 3 2 3 2 9" xfId="18899" xr:uid="{E281ABBE-67E6-4280-B98E-0D528A3621DC}"/>
    <cellStyle name="Comma 4 3 2 3 3" xfId="14564" xr:uid="{52B9F2F1-5C41-4B68-A96D-3CCB64704EB8}"/>
    <cellStyle name="Comma 4 3 2 3 3 2" xfId="22111" xr:uid="{8C808E6E-4BAC-4C61-85D0-D2958A043299}"/>
    <cellStyle name="Comma 4 3 2 3 3 3" xfId="46398" xr:uid="{4F501408-5CA3-49B3-93ED-D8465050A758}"/>
    <cellStyle name="Comma 4 3 2 3 3 4" xfId="51449" xr:uid="{2289DD71-AC9F-4C88-8260-7B99ACA838AD}"/>
    <cellStyle name="Comma 4 3 2 3 3 5" xfId="54465" xr:uid="{39F37398-E306-4DDF-995E-B5A51EF5E9EA}"/>
    <cellStyle name="Comma 4 3 2 3 3 6" xfId="19060" xr:uid="{CA633690-8879-4448-A5A7-B77BC002EB2A}"/>
    <cellStyle name="Comma 4 3 2 3 4" xfId="15048" xr:uid="{8D6D78B9-2E8A-454D-B9D2-BBC8BD3D3ACF}"/>
    <cellStyle name="Comma 4 3 2 3 4 2" xfId="22588" xr:uid="{0E72B123-5C25-4487-9885-F6147FCB3967}"/>
    <cellStyle name="Comma 4 3 2 3 4 3" xfId="46875" xr:uid="{6AEEB412-2DF9-4B5B-8601-6D79F34A79EC}"/>
    <cellStyle name="Comma 4 3 2 3 4 4" xfId="51926" xr:uid="{88DB1564-A573-4C3C-AF6A-DB5C930D7F0D}"/>
    <cellStyle name="Comma 4 3 2 3 4 5" xfId="54942" xr:uid="{77B0265F-ABCF-4A45-AF9B-9C47B3FC390A}"/>
    <cellStyle name="Comma 4 3 2 3 4 6" xfId="19202" xr:uid="{0F199403-48B8-47D9-A310-D8E4A601EF47}"/>
    <cellStyle name="Comma 4 3 2 3 5" xfId="15535" xr:uid="{B7716B77-5509-49FA-BB93-EB05AA96DD2E}"/>
    <cellStyle name="Comma 4 3 2 3 5 2" xfId="23065" xr:uid="{F0DA2BE7-0F1F-4BBA-BEBB-21DBD312EC20}"/>
    <cellStyle name="Comma 4 3 2 3 5 3" xfId="47788" xr:uid="{D05659F3-39DD-47AF-A2FA-39F22ED27B26}"/>
    <cellStyle name="Comma 4 3 2 3 5 4" xfId="52403" xr:uid="{1C8F25D2-6F74-4B8C-A194-A2E0D282AF1D}"/>
    <cellStyle name="Comma 4 3 2 3 5 5" xfId="55419" xr:uid="{9641DC73-EC7C-4AB6-9601-F3428B52214E}"/>
    <cellStyle name="Comma 4 3 2 3 5 6" xfId="19347" xr:uid="{2C93DCDB-CAC8-48BB-9817-99CCC2477330}"/>
    <cellStyle name="Comma 4 3 2 3 6" xfId="12483" xr:uid="{F091AF7D-594A-414C-B609-3C6BA77748CC}"/>
    <cellStyle name="Comma 4 3 2 3 6 2" xfId="46758" xr:uid="{9ECAD6BF-9E8C-4A46-B340-F3898EED7EDF}"/>
    <cellStyle name="Comma 4 3 2 3 6 3" xfId="50972" xr:uid="{0C39AE62-6E8F-46B2-BFC2-24BC38F4D6AC}"/>
    <cellStyle name="Comma 4 3 2 3 6 4" xfId="53988" xr:uid="{259A69A9-6675-4677-B854-891565AE43D4}"/>
    <cellStyle name="Comma 4 3 2 3 6 5" xfId="21917" xr:uid="{B77B9532-F3D8-4A24-A15A-5D1443120B1A}"/>
    <cellStyle name="Comma 4 3 2 3 7" xfId="32305" xr:uid="{3412C76D-FF24-47A1-B064-18B2E4442012}"/>
    <cellStyle name="Comma 4 3 2 3 8" xfId="49866" xr:uid="{763D3028-7C66-4556-81F4-033A997499B7}"/>
    <cellStyle name="Comma 4 3 2 3 9" xfId="52882" xr:uid="{03AAB184-67A7-4F32-BD81-7FAE3D453EEC}"/>
    <cellStyle name="Comma 4 3 2 4" xfId="10097" xr:uid="{EDA4E2F0-6194-4983-8BD7-655C6D07A3F1}"/>
    <cellStyle name="Comma 4 3 2 4 10" xfId="18783" xr:uid="{448BECD9-75FE-493D-87B8-082A13D4E47B}"/>
    <cellStyle name="Comma 4 3 2 4 2" xfId="10410" xr:uid="{7C849462-5580-4381-A752-5354548F2CCD}"/>
    <cellStyle name="Comma 4 3 2 4 2 2" xfId="14829" xr:uid="{B0104600-7069-413C-B12B-1690480B24A4}"/>
    <cellStyle name="Comma 4 3 2 4 2 2 2" xfId="22376" xr:uid="{7571C2AE-1673-43F4-891E-F540FB8B5E34}"/>
    <cellStyle name="Comma 4 3 2 4 2 2 3" xfId="46866" xr:uid="{681F1138-F8D9-4BB7-9377-EE9920300CC1}"/>
    <cellStyle name="Comma 4 3 2 4 2 2 4" xfId="51714" xr:uid="{5B0641D8-F146-447C-9EB8-182533BFFF09}"/>
    <cellStyle name="Comma 4 3 2 4 2 2 5" xfId="54730" xr:uid="{8039C748-7F36-4E14-A04C-B6E0DE80BD70}"/>
    <cellStyle name="Comma 4 3 2 4 2 2 6" xfId="19135" xr:uid="{8E92BC52-4076-4299-A9DA-DA7DAF38F74C}"/>
    <cellStyle name="Comma 4 3 2 4 2 3" xfId="15314" xr:uid="{2DB74977-1072-42A0-8E80-7A88B83C5CDB}"/>
    <cellStyle name="Comma 4 3 2 4 2 3 2" xfId="22853" xr:uid="{04F9DD49-DED7-46BD-91A3-6757D19DA2E7}"/>
    <cellStyle name="Comma 4 3 2 4 2 3 3" xfId="48554" xr:uid="{8CFE9926-05C2-4378-9CFA-D40C4C06BF49}"/>
    <cellStyle name="Comma 4 3 2 4 2 3 4" xfId="52191" xr:uid="{AFCA13F2-5451-4F70-BE89-DC97FB11098D}"/>
    <cellStyle name="Comma 4 3 2 4 2 3 5" xfId="55207" xr:uid="{E0DA817C-5A5A-4FC4-8BEF-2AA54A66113E}"/>
    <cellStyle name="Comma 4 3 2 4 2 3 6" xfId="19278" xr:uid="{C65AED5B-7AEA-49E3-AB13-163A433C88BF}"/>
    <cellStyle name="Comma 4 3 2 4 2 4" xfId="15801" xr:uid="{C2AE0339-2D3A-40A8-883F-085EBACE4E40}"/>
    <cellStyle name="Comma 4 3 2 4 2 4 2" xfId="23330" xr:uid="{5A71A0B5-E65D-436B-A367-77BA6D049067}"/>
    <cellStyle name="Comma 4 3 2 4 2 4 3" xfId="47257" xr:uid="{623AB560-5BFD-41BD-A6B9-80E67D7E050D}"/>
    <cellStyle name="Comma 4 3 2 4 2 4 4" xfId="52668" xr:uid="{72043A9E-FF69-4270-A99E-05634C287145}"/>
    <cellStyle name="Comma 4 3 2 4 2 4 5" xfId="55684" xr:uid="{D31B31E8-60DC-442A-B02C-E9E5BE29C462}"/>
    <cellStyle name="Comma 4 3 2 4 2 4 6" xfId="19423" xr:uid="{C40E6B5B-3671-4D3E-90F5-30194715F73B}"/>
    <cellStyle name="Comma 4 3 2 4 2 5" xfId="12863" xr:uid="{9AD40D98-FD4A-4444-AD83-E1C46B0F9813}"/>
    <cellStyle name="Comma 4 3 2 4 2 5 2" xfId="48142" xr:uid="{88F2C081-E151-4055-8941-CA986A8D7B22}"/>
    <cellStyle name="Comma 4 3 2 4 2 5 3" xfId="51237" xr:uid="{F0D20FE9-8AC6-4EF6-B360-77E9405C5BB3}"/>
    <cellStyle name="Comma 4 3 2 4 2 5 4" xfId="54253" xr:uid="{E346B2F7-4E34-44CA-8574-6985116AE9ED}"/>
    <cellStyle name="Comma 4 3 2 4 2 5 5" xfId="21993" xr:uid="{6D8F3ACD-3561-44AB-9D10-D859593D0AC3}"/>
    <cellStyle name="Comma 4 3 2 4 2 6" xfId="46113" xr:uid="{26783784-9D17-4360-882F-54338F377BF8}"/>
    <cellStyle name="Comma 4 3 2 4 2 7" xfId="50131" xr:uid="{06A0FD1B-3ACB-432C-B262-D4C4FD442049}"/>
    <cellStyle name="Comma 4 3 2 4 2 8" xfId="53147" xr:uid="{628F0AFA-7E77-472A-A3E4-E55D3D06119F}"/>
    <cellStyle name="Comma 4 3 2 4 2 9" xfId="18940" xr:uid="{427A3DCD-D965-45EA-995B-34CFB1D59EAD}"/>
    <cellStyle name="Comma 4 3 2 4 3" xfId="14617" xr:uid="{B35ED04B-B754-4FC5-AD9F-5B06F2454365}"/>
    <cellStyle name="Comma 4 3 2 4 3 2" xfId="22164" xr:uid="{D31E6E84-5BFE-456C-A2AE-43B8FDB83B8E}"/>
    <cellStyle name="Comma 4 3 2 4 3 3" xfId="46409" xr:uid="{0892A9B7-0217-471F-A88D-B924AD514973}"/>
    <cellStyle name="Comma 4 3 2 4 3 4" xfId="51502" xr:uid="{56C98AC3-C64C-4349-AC0C-6FF685BF14E3}"/>
    <cellStyle name="Comma 4 3 2 4 3 5" xfId="54518" xr:uid="{2B039AFE-9A5F-4176-B942-8A59AF9C4518}"/>
    <cellStyle name="Comma 4 3 2 4 3 6" xfId="19075" xr:uid="{B6A82651-FD30-434C-AA51-B226F6F87625}"/>
    <cellStyle name="Comma 4 3 2 4 4" xfId="15102" xr:uid="{5EAD7F44-D0DC-416A-8807-B7E55ADF8365}"/>
    <cellStyle name="Comma 4 3 2 4 4 2" xfId="22641" xr:uid="{055C905B-8A10-401A-8C64-39605CBE4F8C}"/>
    <cellStyle name="Comma 4 3 2 4 4 3" xfId="47543" xr:uid="{85809CFB-DFBC-4805-B36B-8775012E9123}"/>
    <cellStyle name="Comma 4 3 2 4 4 4" xfId="51979" xr:uid="{C3250168-5A02-46DF-9258-A2DCFBAD7054}"/>
    <cellStyle name="Comma 4 3 2 4 4 5" xfId="54995" xr:uid="{2ABA27B2-13E6-4E76-9BA2-DC4A5B36543F}"/>
    <cellStyle name="Comma 4 3 2 4 4 6" xfId="19218" xr:uid="{69101717-2FDC-48E6-8095-736249438B01}"/>
    <cellStyle name="Comma 4 3 2 4 5" xfId="15589" xr:uid="{D768D121-4496-423C-9591-225D85C2C084}"/>
    <cellStyle name="Comma 4 3 2 4 5 2" xfId="23118" xr:uid="{F5A3C499-604D-43B9-98A8-6A00CE1157B4}"/>
    <cellStyle name="Comma 4 3 2 4 5 3" xfId="46696" xr:uid="{80BA26C8-CD2E-4216-9A60-FC5C23F4775A}"/>
    <cellStyle name="Comma 4 3 2 4 5 4" xfId="52456" xr:uid="{1F68793F-5A87-4B9F-8C89-E843A9BADB82}"/>
    <cellStyle name="Comma 4 3 2 4 5 5" xfId="55472" xr:uid="{8126719C-6223-48AF-8800-2FF10CA53DCB}"/>
    <cellStyle name="Comma 4 3 2 4 5 6" xfId="19363" xr:uid="{13C3F130-6DA4-4A84-989F-7892A93DE681}"/>
    <cellStyle name="Comma 4 3 2 4 6" xfId="12554" xr:uid="{19616FA7-3D06-4566-8B31-56572068A7B1}"/>
    <cellStyle name="Comma 4 3 2 4 6 2" xfId="47915" xr:uid="{66103C8A-1985-4F61-A09C-95F64CDD4FBA}"/>
    <cellStyle name="Comma 4 3 2 4 6 3" xfId="51025" xr:uid="{51C2BC56-3CAB-441B-9F57-C355C3C8B39E}"/>
    <cellStyle name="Comma 4 3 2 4 6 4" xfId="54041" xr:uid="{05FFBF85-B98C-43F0-9A26-F24F9DC3F18A}"/>
    <cellStyle name="Comma 4 3 2 4 6 5" xfId="21933" xr:uid="{C36CC95C-624B-4ECE-A6F0-792BB65AF6C8}"/>
    <cellStyle name="Comma 4 3 2 4 7" xfId="46044" xr:uid="{B6772C1A-DB61-4D8E-9334-C191D5F1DEB4}"/>
    <cellStyle name="Comma 4 3 2 4 8" xfId="49919" xr:uid="{276F0CEC-0D01-4D1D-9A62-A2B75F0581D9}"/>
    <cellStyle name="Comma 4 3 2 4 9" xfId="52935" xr:uid="{81ACFDDD-E263-4347-9C57-2E55AFF63304}"/>
    <cellStyle name="Comma 4 3 2 5" xfId="10176" xr:uid="{79B87EF2-3B93-47E2-B967-EC8208A4E31C}"/>
    <cellStyle name="Comma 4 3 2 5 10" xfId="18821" xr:uid="{DE850140-BCD9-4FEA-895E-851A51D0D940}"/>
    <cellStyle name="Comma 4 3 2 5 2" xfId="10490" xr:uid="{287A6C8D-E93F-4170-8C29-A100216A4A83}"/>
    <cellStyle name="Comma 4 3 2 5 2 2" xfId="14882" xr:uid="{94F9E76F-E716-4DF7-A27E-3C0067F58F27}"/>
    <cellStyle name="Comma 4 3 2 5 2 2 2" xfId="22429" xr:uid="{0B34CB94-200D-4D05-A3E8-9DA14FE38B36}"/>
    <cellStyle name="Comma 4 3 2 5 2 2 3" xfId="47268" xr:uid="{C66F1D03-A3DC-47FF-88B1-7B0FFA603088}"/>
    <cellStyle name="Comma 4 3 2 5 2 2 4" xfId="51767" xr:uid="{B5BBEB95-A9D9-4730-A888-D4FC444B7CAB}"/>
    <cellStyle name="Comma 4 3 2 5 2 2 5" xfId="54783" xr:uid="{4DDC39E5-2139-4BB9-BA6F-2337EBD26E9D}"/>
    <cellStyle name="Comma 4 3 2 5 2 2 6" xfId="19150" xr:uid="{0D6D0E43-3B10-474F-A2BE-4D1BF3672BF3}"/>
    <cellStyle name="Comma 4 3 2 5 2 3" xfId="15367" xr:uid="{9F8B7D67-7419-4FF4-ABFF-113D4E5B828E}"/>
    <cellStyle name="Comma 4 3 2 5 2 3 2" xfId="22906" xr:uid="{28A83C0C-24A1-41FA-B33A-8DCB6BBFF424}"/>
    <cellStyle name="Comma 4 3 2 5 2 3 3" xfId="48514" xr:uid="{357B2941-6754-4CD4-A081-AEE93118AE56}"/>
    <cellStyle name="Comma 4 3 2 5 2 3 4" xfId="52244" xr:uid="{9556412E-7724-44E3-AB93-BF4B9DEC9771}"/>
    <cellStyle name="Comma 4 3 2 5 2 3 5" xfId="55260" xr:uid="{E3FE1952-0D96-4534-A633-0845233FFB09}"/>
    <cellStyle name="Comma 4 3 2 5 2 3 6" xfId="19293" xr:uid="{D618FE97-ABB7-47FE-A459-160157BB9649}"/>
    <cellStyle name="Comma 4 3 2 5 2 4" xfId="15854" xr:uid="{30A17212-7269-4A72-903C-C519AAB711DD}"/>
    <cellStyle name="Comma 4 3 2 5 2 4 2" xfId="23383" xr:uid="{8CCD038D-4B45-44EE-B66C-A0C2B19CD88C}"/>
    <cellStyle name="Comma 4 3 2 5 2 4 3" xfId="47950" xr:uid="{7A680DDD-7B96-424B-9A06-AFA0121E618A}"/>
    <cellStyle name="Comma 4 3 2 5 2 4 4" xfId="52721" xr:uid="{A71EB0AB-4AC7-4E2C-816B-96B9531F4989}"/>
    <cellStyle name="Comma 4 3 2 5 2 4 5" xfId="55737" xr:uid="{A13322DF-0A9F-4BC4-B4F5-A5AFF62F02ED}"/>
    <cellStyle name="Comma 4 3 2 5 2 4 6" xfId="19438" xr:uid="{3F4442A6-3539-43AE-8217-5DBE15A9BED4}"/>
    <cellStyle name="Comma 4 3 2 5 2 5" xfId="12943" xr:uid="{DB903E98-D1AC-4F1A-8ADC-38DFF23F94E6}"/>
    <cellStyle name="Comma 4 3 2 5 2 5 2" xfId="47052" xr:uid="{341A1544-54E1-4D9C-BF4C-A86C1A4C3EF9}"/>
    <cellStyle name="Comma 4 3 2 5 2 5 3" xfId="51290" xr:uid="{94A7A8E1-625B-42DC-A46D-B1C5412F73A7}"/>
    <cellStyle name="Comma 4 3 2 5 2 5 4" xfId="54306" xr:uid="{F3D38361-8B18-4C2F-B372-B1CAE3F61243}"/>
    <cellStyle name="Comma 4 3 2 5 2 5 5" xfId="22008" xr:uid="{1866DDE1-2A12-4E01-AB7F-29E577CE6651}"/>
    <cellStyle name="Comma 4 3 2 5 2 6" xfId="46133" xr:uid="{8341A6EC-C021-4408-B608-3FD1B1407C83}"/>
    <cellStyle name="Comma 4 3 2 5 2 7" xfId="50184" xr:uid="{742D8C1C-86D5-41DD-A6D3-B3A264F437FF}"/>
    <cellStyle name="Comma 4 3 2 5 2 8" xfId="53200" xr:uid="{E3D20998-08F4-4FA6-AB1C-6C674B5B5CE9}"/>
    <cellStyle name="Comma 4 3 2 5 2 9" xfId="18982" xr:uid="{CA33E2C4-C75D-42F0-945D-77DD3B0E7E75}"/>
    <cellStyle name="Comma 4 3 2 5 3" xfId="14670" xr:uid="{489ECFD5-3F90-4ADB-BCD8-BD9AB877FD48}"/>
    <cellStyle name="Comma 4 3 2 5 3 2" xfId="22217" xr:uid="{A7F56B01-3011-41DC-9FA3-BA4B33171221}"/>
    <cellStyle name="Comma 4 3 2 5 3 3" xfId="47178" xr:uid="{3CA047A0-992D-4686-BB49-0E1A38FBD8BB}"/>
    <cellStyle name="Comma 4 3 2 5 3 4" xfId="51555" xr:uid="{BD9175BD-8E96-4B53-A859-385BBAE07FFA}"/>
    <cellStyle name="Comma 4 3 2 5 3 5" xfId="54571" xr:uid="{64422B49-562E-4010-9953-DCE4D078ABD6}"/>
    <cellStyle name="Comma 4 3 2 5 3 6" xfId="19090" xr:uid="{45C6AEFE-4484-494B-A5D7-B13600EBB09D}"/>
    <cellStyle name="Comma 4 3 2 5 4" xfId="15155" xr:uid="{006CBAAF-442E-49A7-879D-60B5B467FEF8}"/>
    <cellStyle name="Comma 4 3 2 5 4 2" xfId="22694" xr:uid="{73F5B7D6-C109-430D-A9B7-AA29CCA1E6AD}"/>
    <cellStyle name="Comma 4 3 2 5 4 3" xfId="47387" xr:uid="{BCB557A0-8415-4927-ABE3-3275CBE4763B}"/>
    <cellStyle name="Comma 4 3 2 5 4 4" xfId="52032" xr:uid="{FC55F71C-5890-4F46-918E-9EA87D3AF6D6}"/>
    <cellStyle name="Comma 4 3 2 5 4 5" xfId="55048" xr:uid="{E0BDC0CE-8680-495C-8F5A-942FFCA531BE}"/>
    <cellStyle name="Comma 4 3 2 5 4 6" xfId="19233" xr:uid="{90B2F0E2-406A-4491-910C-246297C420C0}"/>
    <cellStyle name="Comma 4 3 2 5 5" xfId="15642" xr:uid="{00117C76-0B60-4C0B-BBEF-782B01D6D894}"/>
    <cellStyle name="Comma 4 3 2 5 5 2" xfId="23171" xr:uid="{C3BC20D6-B57E-4A2A-BDF6-EF7C536E6252}"/>
    <cellStyle name="Comma 4 3 2 5 5 3" xfId="46563" xr:uid="{12BB0F57-02FA-47D6-BDDD-3FDD87C7132D}"/>
    <cellStyle name="Comma 4 3 2 5 5 4" xfId="52509" xr:uid="{A2E43D14-E4E5-4FDE-8595-6B7432F17EA1}"/>
    <cellStyle name="Comma 4 3 2 5 5 5" xfId="55525" xr:uid="{80246592-3CF5-426D-B786-609F2BBA1563}"/>
    <cellStyle name="Comma 4 3 2 5 5 6" xfId="19378" xr:uid="{37D043FB-BA68-4456-94CC-91601CFFD100}"/>
    <cellStyle name="Comma 4 3 2 5 6" xfId="12630" xr:uid="{2C12342B-5B17-4D23-9896-A4C8733205C1}"/>
    <cellStyle name="Comma 4 3 2 5 6 2" xfId="47398" xr:uid="{AE0CD992-262D-4A97-B202-B21E2CD79B02}"/>
    <cellStyle name="Comma 4 3 2 5 6 3" xfId="51078" xr:uid="{274494E4-E2E0-48CC-9BC6-57DCF6ACDF40}"/>
    <cellStyle name="Comma 4 3 2 5 6 4" xfId="54094" xr:uid="{6DB43078-5193-4F42-BB6A-204AC9518600}"/>
    <cellStyle name="Comma 4 3 2 5 6 5" xfId="21948" xr:uid="{015583E9-9997-4CD8-A225-BD7688D894CB}"/>
    <cellStyle name="Comma 4 3 2 5 7" xfId="48233" xr:uid="{BF9777A5-35A3-4735-8973-6964FEA9D4EE}"/>
    <cellStyle name="Comma 4 3 2 5 8" xfId="49972" xr:uid="{EDD8A712-E536-4DDC-B5DD-2D37EBFE417A}"/>
    <cellStyle name="Comma 4 3 2 5 9" xfId="52988" xr:uid="{24F2BB2C-61B1-46D6-85A8-8A26959644DD}"/>
    <cellStyle name="Comma 4 3 2 6" xfId="10256" xr:uid="{D3DF042C-815D-41EE-AAF7-B66FE7E22513}"/>
    <cellStyle name="Comma 4 3 2 6 2" xfId="14723" xr:uid="{2788F80C-EE08-4435-ACA2-B56654F50D8F}"/>
    <cellStyle name="Comma 4 3 2 6 2 2" xfId="22270" xr:uid="{CEF4584A-118B-4C1A-8BC0-BED28523D21D}"/>
    <cellStyle name="Comma 4 3 2 6 2 3" xfId="47831" xr:uid="{E4C246D4-AD61-49D0-9A70-0689437A2B14}"/>
    <cellStyle name="Comma 4 3 2 6 2 4" xfId="51608" xr:uid="{40B7F50B-4C40-4853-9187-63AB9EA10DA9}"/>
    <cellStyle name="Comma 4 3 2 6 2 5" xfId="54624" xr:uid="{2B401F1A-3D43-4D74-99EF-0503CCEBD98A}"/>
    <cellStyle name="Comma 4 3 2 6 2 6" xfId="19105" xr:uid="{FA77366E-5602-4C73-9F8D-68FC70AFEE7F}"/>
    <cellStyle name="Comma 4 3 2 6 3" xfId="15208" xr:uid="{FD75E04A-5438-4FCA-B402-2DF4025BDBD9}"/>
    <cellStyle name="Comma 4 3 2 6 3 2" xfId="22747" xr:uid="{5473F598-9145-4029-83BB-37C8F06B98DA}"/>
    <cellStyle name="Comma 4 3 2 6 3 3" xfId="47984" xr:uid="{5C298295-E525-40DA-B230-6E2A00B6987C}"/>
    <cellStyle name="Comma 4 3 2 6 3 4" xfId="52085" xr:uid="{04B1B760-BDEC-4848-BAA7-24DA76A8EFE8}"/>
    <cellStyle name="Comma 4 3 2 6 3 5" xfId="55101" xr:uid="{7B7D2FA5-2F50-412C-8577-0494C82F24D5}"/>
    <cellStyle name="Comma 4 3 2 6 3 6" xfId="19248" xr:uid="{3DDF3F13-8AC9-41F2-B791-9E678745DB0E}"/>
    <cellStyle name="Comma 4 3 2 6 4" xfId="15695" xr:uid="{C0D206E5-07A8-43BF-A6C1-1186A9EA51FC}"/>
    <cellStyle name="Comma 4 3 2 6 4 2" xfId="23224" xr:uid="{913A5979-46BA-4803-903F-B0589A5E8277}"/>
    <cellStyle name="Comma 4 3 2 6 4 3" xfId="46698" xr:uid="{7388D550-2AEA-422B-8158-783FC380A71C}"/>
    <cellStyle name="Comma 4 3 2 6 4 4" xfId="52562" xr:uid="{3CE18874-672E-4262-A57B-E6288C93FE86}"/>
    <cellStyle name="Comma 4 3 2 6 4 5" xfId="55578" xr:uid="{B77F5A85-7CDC-4278-AA4F-C3F25EC98AB9}"/>
    <cellStyle name="Comma 4 3 2 6 4 6" xfId="19393" xr:uid="{0F10FECC-9E5F-4DB0-83F5-15D4DA050133}"/>
    <cellStyle name="Comma 4 3 2 6 5" xfId="12709" xr:uid="{F87FAE4A-04B2-413D-BC9A-EDECEDE6DC96}"/>
    <cellStyle name="Comma 4 3 2 6 5 2" xfId="24692" xr:uid="{C245A16C-EAFB-4494-966F-A9137CB6457A}"/>
    <cellStyle name="Comma 4 3 2 6 5 3" xfId="51131" xr:uid="{7BFC8180-C30A-4C17-A9BF-4B3B3FFF192A}"/>
    <cellStyle name="Comma 4 3 2 6 5 4" xfId="54147" xr:uid="{C3355F88-4537-414D-B059-41499EBDE91C}"/>
    <cellStyle name="Comma 4 3 2 6 5 5" xfId="21963" xr:uid="{FF05E23E-CC60-4003-A859-CEB750A56655}"/>
    <cellStyle name="Comma 4 3 2 6 6" xfId="34569" xr:uid="{071AF9D6-374B-47DE-866F-1B0D6FFEA20C}"/>
    <cellStyle name="Comma 4 3 2 6 7" xfId="50025" xr:uid="{53D23AB9-C646-44CE-9909-92844DF630FD}"/>
    <cellStyle name="Comma 4 3 2 6 8" xfId="53041" xr:uid="{962E909A-04FE-4E22-8A48-FE5020DE78C3}"/>
    <cellStyle name="Comma 4 3 2 6 9" xfId="18862" xr:uid="{D4B4A801-269D-433C-B172-EA51B6A7DA2B}"/>
    <cellStyle name="Comma 4 3 2 7" xfId="10570" xr:uid="{8817C75D-FBBF-42C5-A035-1801676CF32D}"/>
    <cellStyle name="Comma 4 3 2 7 2" xfId="14935" xr:uid="{383D9273-732D-47CF-A41D-AA6523AFFAB3}"/>
    <cellStyle name="Comma 4 3 2 7 2 2" xfId="22482" xr:uid="{4880CE25-8AEB-468E-88BF-C92A28531237}"/>
    <cellStyle name="Comma 4 3 2 7 2 3" xfId="46685" xr:uid="{5BDCB59E-9ED1-4F96-9795-8F41C08FDCF1}"/>
    <cellStyle name="Comma 4 3 2 7 2 4" xfId="51820" xr:uid="{8AF9C19E-A957-4883-B088-1063760DE213}"/>
    <cellStyle name="Comma 4 3 2 7 2 5" xfId="54836" xr:uid="{64EFED59-6884-4387-BBC1-7D274990B723}"/>
    <cellStyle name="Comma 4 3 2 7 2 6" xfId="19165" xr:uid="{8DCB0EE6-5C55-41A0-B74C-6A62691B3BC1}"/>
    <cellStyle name="Comma 4 3 2 7 3" xfId="15420" xr:uid="{759FA83D-30B6-4608-846F-4ADA1B374B3D}"/>
    <cellStyle name="Comma 4 3 2 7 3 2" xfId="22959" xr:uid="{B3B48F41-31AC-492E-9DBD-CEE0009F0D99}"/>
    <cellStyle name="Comma 4 3 2 7 3 3" xfId="48267" xr:uid="{F7030B6C-01EF-46D8-A51E-B45A83F44E86}"/>
    <cellStyle name="Comma 4 3 2 7 3 4" xfId="52297" xr:uid="{377DEC11-B47A-48B3-9E80-2347E99127DC}"/>
    <cellStyle name="Comma 4 3 2 7 3 5" xfId="55313" xr:uid="{4355391D-021B-440F-982F-EBB7249CB091}"/>
    <cellStyle name="Comma 4 3 2 7 3 6" xfId="19308" xr:uid="{8DFFD457-107D-4A40-AF83-9DB4699C4453}"/>
    <cellStyle name="Comma 4 3 2 7 4" xfId="15908" xr:uid="{2BB0C9C7-CD3C-48D3-8521-56CBF673BBD5}"/>
    <cellStyle name="Comma 4 3 2 7 4 2" xfId="23436" xr:uid="{D96FBB54-3F73-4BEB-A9D5-EEF1473567F8}"/>
    <cellStyle name="Comma 4 3 2 7 4 3" xfId="47084" xr:uid="{E6B756ED-1A9E-40FF-B48F-724F4D7F7A85}"/>
    <cellStyle name="Comma 4 3 2 7 4 4" xfId="52774" xr:uid="{4E10821F-65CD-4701-9876-368E86E3AAE1}"/>
    <cellStyle name="Comma 4 3 2 7 4 5" xfId="55790" xr:uid="{1E504EF0-66F8-4424-9473-173D218699F7}"/>
    <cellStyle name="Comma 4 3 2 7 4 6" xfId="19454" xr:uid="{06DE0C8F-2BBF-49D9-835D-2753860124F4}"/>
    <cellStyle name="Comma 4 3 2 7 5" xfId="13023" xr:uid="{33786343-51B8-4B44-A8E4-2D11B3C3BFD8}"/>
    <cellStyle name="Comma 4 3 2 7 5 2" xfId="25029" xr:uid="{DE6F336F-4AA3-4390-8643-1849B313999F}"/>
    <cellStyle name="Comma 4 3 2 7 5 3" xfId="51343" xr:uid="{680C1A71-032A-4F71-9612-9D6C24CC1520}"/>
    <cellStyle name="Comma 4 3 2 7 5 4" xfId="54359" xr:uid="{033243B5-7FD8-4FC5-B133-9753E22732CB}"/>
    <cellStyle name="Comma 4 3 2 7 5 5" xfId="22023" xr:uid="{F95FDC7E-5D8D-4BF3-8821-393C5D7D368A}"/>
    <cellStyle name="Comma 4 3 2 7 6" xfId="32381" xr:uid="{C1A2E9C6-D250-4A3C-8505-C8A6DDE2525D}"/>
    <cellStyle name="Comma 4 3 2 7 7" xfId="50237" xr:uid="{D2E81E68-2545-43E2-ACB7-A8E83C07B67F}"/>
    <cellStyle name="Comma 4 3 2 7 8" xfId="53253" xr:uid="{8ACD27DD-0239-4B09-B5B8-49C4B35647E7}"/>
    <cellStyle name="Comma 4 3 2 7 9" xfId="19024" xr:uid="{3970AF85-2111-4678-900B-4295C801894A}"/>
    <cellStyle name="Comma 4 3 2 8" xfId="14362" xr:uid="{6945D96D-F212-49CD-934E-727ED0E7BF40}"/>
    <cellStyle name="Comma 4 3 2 9" xfId="14511" xr:uid="{956116EE-8A48-48F6-9D9A-04AD4AEFE1C5}"/>
    <cellStyle name="Comma 4 3 2 9 2" xfId="22058" xr:uid="{AF97D799-EACC-40D7-AB18-2435581F0333}"/>
    <cellStyle name="Comma 4 3 2 9 3" xfId="24982" xr:uid="{F33B98EC-C100-4FE9-B026-7B37E3C67A9B}"/>
    <cellStyle name="Comma 4 3 2 9 4" xfId="51396" xr:uid="{0146A5A1-58F7-4150-9605-E87D451A3617}"/>
    <cellStyle name="Comma 4 3 2 9 5" xfId="54412" xr:uid="{04C93632-AF45-48A1-957B-11988FAC857A}"/>
    <cellStyle name="Comma 4 3 2 9 6" xfId="19045" xr:uid="{C26D05E0-AD71-48D8-BF81-3AC61EC9D6DD}"/>
    <cellStyle name="Comma 4 3 3" xfId="5825" xr:uid="{AAC923BD-FF0F-44E5-B686-610834EE5178}"/>
    <cellStyle name="Comma 4 3 3 10" xfId="12178" xr:uid="{0FF787A1-D7B6-4C77-A700-0F3FD860E0D1}"/>
    <cellStyle name="Comma 4 3 3 10 2" xfId="46755" xr:uid="{7296DD35-46C3-42D5-8C89-2571B381D65C}"/>
    <cellStyle name="Comma 4 3 3 10 3" xfId="50935" xr:uid="{F629FE6E-EF40-483A-A709-F247C13FFB6C}"/>
    <cellStyle name="Comma 4 3 3 10 4" xfId="53951" xr:uid="{0360482C-747D-4CE3-A00B-CDDEDDD56978}"/>
    <cellStyle name="Comma 4 3 3 10 5" xfId="21903" xr:uid="{4AF2EB3C-6797-4CC8-92A9-40BFB79192C3}"/>
    <cellStyle name="Comma 4 3 3 11" xfId="23767" xr:uid="{5737778B-A013-4005-B514-DC1B343A7A7A}"/>
    <cellStyle name="Comma 4 3 3 12" xfId="24008" xr:uid="{A9AEBC24-1C71-4884-9382-7F89AFD26460}"/>
    <cellStyle name="Comma 4 3 3 13" xfId="48648" xr:uid="{ECBD7348-0B26-433F-AD89-6C5C71842DE7}"/>
    <cellStyle name="Comma 4 3 3 14" xfId="49556" xr:uid="{B1429C54-F11D-4F92-A662-0352153AEDBA}"/>
    <cellStyle name="Comma 4 3 3 15" xfId="49815" xr:uid="{75C4D75C-F5C7-40EA-BEBD-D58BD2B95808}"/>
    <cellStyle name="Comma 4 3 3 16" xfId="52830" xr:uid="{232E548D-C2CD-4DCE-B44B-1428F7FACF9C}"/>
    <cellStyle name="Comma 4 3 3 17" xfId="18565" xr:uid="{68714CF1-B55A-4700-B091-B0738B64150E}"/>
    <cellStyle name="Comma 4 3 3 18" xfId="8938" xr:uid="{A95E16CA-A0ED-4E5C-8B47-31E9B35119DD}"/>
    <cellStyle name="Comma 4 3 3 2" xfId="10025" xr:uid="{E5208D61-D020-4F96-AF0A-B8CA79798572}"/>
    <cellStyle name="Comma 4 3 3 2 10" xfId="18752" xr:uid="{545C4E9A-1951-4B23-AF72-C8A8BC85BC02}"/>
    <cellStyle name="Comma 4 3 3 2 2" xfId="10333" xr:uid="{24DFD327-58B1-404F-8B07-2797BEA82839}"/>
    <cellStyle name="Comma 4 3 3 2 2 2" xfId="14778" xr:uid="{22D506E9-15D5-4FF7-935B-852F3E30678F}"/>
    <cellStyle name="Comma 4 3 3 2 2 2 2" xfId="22325" xr:uid="{5BA4F8A6-4486-4530-BBCD-EC7C9F19DF5B}"/>
    <cellStyle name="Comma 4 3 3 2 2 2 3" xfId="47983" xr:uid="{856AD813-A5D3-4B98-BA5C-2DBDE296E006}"/>
    <cellStyle name="Comma 4 3 3 2 2 2 4" xfId="51663" xr:uid="{35E3E91F-6285-4142-A707-6FBCBEC5C53D}"/>
    <cellStyle name="Comma 4 3 3 2 2 2 5" xfId="54679" xr:uid="{2BC5E2C8-FBE1-47F3-93A9-D69DB6F23524}"/>
    <cellStyle name="Comma 4 3 3 2 2 2 6" xfId="19122" xr:uid="{B32268CF-E4CF-40E5-B3AD-F576F45B59C0}"/>
    <cellStyle name="Comma 4 3 3 2 2 3" xfId="15263" xr:uid="{AAA9731E-8B4C-4066-9F64-7E2DE5BB6C1E}"/>
    <cellStyle name="Comma 4 3 3 2 2 3 2" xfId="22802" xr:uid="{DBDEA4B1-8D49-4A78-95F0-5356DCE4FF9F}"/>
    <cellStyle name="Comma 4 3 3 2 2 3 3" xfId="46505" xr:uid="{82F30BA7-519F-41B1-87C6-AB38E9F6074E}"/>
    <cellStyle name="Comma 4 3 3 2 2 3 4" xfId="52140" xr:uid="{8D89EDDF-BB36-413F-BBB7-2012BB7E4954}"/>
    <cellStyle name="Comma 4 3 3 2 2 3 5" xfId="55156" xr:uid="{C0F04AFA-8824-42C7-9DF7-AF0A1CE17C02}"/>
    <cellStyle name="Comma 4 3 3 2 2 3 6" xfId="19265" xr:uid="{3FE4A7EC-DEAA-4C7A-9815-74EACD722CE1}"/>
    <cellStyle name="Comma 4 3 3 2 2 4" xfId="15750" xr:uid="{92F5A496-6E65-4AB9-B262-1D67629813E2}"/>
    <cellStyle name="Comma 4 3 3 2 2 4 2" xfId="23279" xr:uid="{EF76FF73-3A28-419D-A421-F1AC6DAD717C}"/>
    <cellStyle name="Comma 4 3 3 2 2 4 3" xfId="47444" xr:uid="{99A559BE-FD0E-4136-B4ED-D0F707F6CE8D}"/>
    <cellStyle name="Comma 4 3 3 2 2 4 4" xfId="52617" xr:uid="{1202C505-277F-493E-82C6-4D6EC4A6A82E}"/>
    <cellStyle name="Comma 4 3 3 2 2 4 5" xfId="55633" xr:uid="{193CC1A4-B9A5-4D88-863A-95779871859C}"/>
    <cellStyle name="Comma 4 3 3 2 2 4 6" xfId="19410" xr:uid="{AD6E4271-3B2B-4224-AA18-C359E0228495}"/>
    <cellStyle name="Comma 4 3 3 2 2 5" xfId="12786" xr:uid="{5E38E33B-8088-45F9-94FA-70935CE18A45}"/>
    <cellStyle name="Comma 4 3 3 2 2 5 2" xfId="37112" xr:uid="{EFE56304-EFE9-4CD8-972E-0C84E61238F4}"/>
    <cellStyle name="Comma 4 3 3 2 2 5 3" xfId="51186" xr:uid="{31C0CA65-2284-4B74-900B-A61F2736D41E}"/>
    <cellStyle name="Comma 4 3 3 2 2 5 4" xfId="54202" xr:uid="{5E1AF882-D76D-47E8-91F6-0A4BA972AE51}"/>
    <cellStyle name="Comma 4 3 3 2 2 5 5" xfId="21980" xr:uid="{4A85FB29-8667-4792-BF34-5E792C777D27}"/>
    <cellStyle name="Comma 4 3 3 2 2 6" xfId="46624" xr:uid="{207D3B31-CA83-45EB-8AE2-EC5BEDF402F6}"/>
    <cellStyle name="Comma 4 3 3 2 2 7" xfId="50080" xr:uid="{2EE1C467-32B7-42BE-97F9-B1DAA6256261}"/>
    <cellStyle name="Comma 4 3 3 2 2 8" xfId="53096" xr:uid="{DE2AD215-2A4A-40CA-BDC0-61A7777302F2}"/>
    <cellStyle name="Comma 4 3 3 2 2 9" xfId="18901" xr:uid="{6EBBC870-90FC-44D0-9509-B8BBC1620F32}"/>
    <cellStyle name="Comma 4 3 3 2 3" xfId="14566" xr:uid="{3DF24314-4FAF-4DB9-9B62-ACA9E28FA004}"/>
    <cellStyle name="Comma 4 3 3 2 3 2" xfId="22113" xr:uid="{DB73BF25-0834-42FB-8F87-85C2A554B709}"/>
    <cellStyle name="Comma 4 3 3 2 3 3" xfId="24460" xr:uid="{D5231FA4-BC17-4C77-AFA2-94FEBC5D274B}"/>
    <cellStyle name="Comma 4 3 3 2 3 4" xfId="51451" xr:uid="{94014DAD-56F7-4E91-8B5A-125DA5C6331F}"/>
    <cellStyle name="Comma 4 3 3 2 3 5" xfId="54467" xr:uid="{8E600163-2BE7-47CF-9F5B-7201DC1D894E}"/>
    <cellStyle name="Comma 4 3 3 2 3 6" xfId="19062" xr:uid="{4AACCDC8-149C-4AC8-BBC1-581F1F7F7B5F}"/>
    <cellStyle name="Comma 4 3 3 2 4" xfId="15050" xr:uid="{E9D73A7F-4020-45F3-AEAF-BA7EC03D3E9F}"/>
    <cellStyle name="Comma 4 3 3 2 4 2" xfId="22590" xr:uid="{718D65CA-321F-4307-9AD7-7BA6DF36A753}"/>
    <cellStyle name="Comma 4 3 3 2 4 3" xfId="48580" xr:uid="{0A6E4A4B-9E5F-4541-A7D2-835714DE4901}"/>
    <cellStyle name="Comma 4 3 3 2 4 4" xfId="51928" xr:uid="{2D84F878-9306-42DE-B4F3-76458DA797CD}"/>
    <cellStyle name="Comma 4 3 3 2 4 5" xfId="54944" xr:uid="{1C8858F2-120B-4B6E-8FAD-E5FEFA4AC9B2}"/>
    <cellStyle name="Comma 4 3 3 2 4 6" xfId="19204" xr:uid="{0EC8520E-0448-4829-935C-B4C50FBB63C1}"/>
    <cellStyle name="Comma 4 3 3 2 5" xfId="15537" xr:uid="{BCA64536-1DDB-49EE-8E30-92C15F4704DD}"/>
    <cellStyle name="Comma 4 3 3 2 5 2" xfId="23067" xr:uid="{0C7561F8-4A89-4B2B-8728-6B069BCDB0E2}"/>
    <cellStyle name="Comma 4 3 3 2 5 3" xfId="46547" xr:uid="{F4AAFC39-3CC7-4D94-BE55-FF9B192A9C9C}"/>
    <cellStyle name="Comma 4 3 3 2 5 4" xfId="52405" xr:uid="{6A6F7CE2-C646-4E98-B830-6DAF2C2AE1C8}"/>
    <cellStyle name="Comma 4 3 3 2 5 5" xfId="55421" xr:uid="{C7BDC3CF-31FA-4BD0-964C-0532D5EC493B}"/>
    <cellStyle name="Comma 4 3 3 2 5 6" xfId="19349" xr:uid="{79495C81-BC4B-4C3B-89C9-7ADD25B9739E}"/>
    <cellStyle name="Comma 4 3 3 2 6" xfId="12485" xr:uid="{E0A397E8-8DFC-4267-AFE2-1F14476A69CF}"/>
    <cellStyle name="Comma 4 3 3 2 6 2" xfId="24220" xr:uid="{56FC2B46-D9ED-4030-8577-E8F4A1900985}"/>
    <cellStyle name="Comma 4 3 3 2 6 3" xfId="50974" xr:uid="{C1371277-8E71-432A-9703-35CEA73DE50D}"/>
    <cellStyle name="Comma 4 3 3 2 6 4" xfId="53990" xr:uid="{36BC7F30-6A3D-4356-88E2-3D1B301EDFF4}"/>
    <cellStyle name="Comma 4 3 3 2 6 5" xfId="21919" xr:uid="{4F62F6FF-04AD-48D0-AC9D-09F16161195B}"/>
    <cellStyle name="Comma 4 3 3 2 7" xfId="46028" xr:uid="{4B70039A-1DF7-4868-8D6F-496F3433F191}"/>
    <cellStyle name="Comma 4 3 3 2 8" xfId="49868" xr:uid="{F4487F61-A92D-44A4-AFC0-B3CB4B0AA3F8}"/>
    <cellStyle name="Comma 4 3 3 2 9" xfId="52884" xr:uid="{0F22F171-3788-4725-A504-FB64093CB2BD}"/>
    <cellStyle name="Comma 4 3 3 3" xfId="10099" xr:uid="{A52EBC29-482C-4970-A2C6-EFB48655F4B8}"/>
    <cellStyle name="Comma 4 3 3 3 10" xfId="18785" xr:uid="{191152E2-C601-454B-8F0A-9EBEF777D85D}"/>
    <cellStyle name="Comma 4 3 3 3 2" xfId="10412" xr:uid="{EB8C591A-6FC9-451A-A6D7-FE178F525351}"/>
    <cellStyle name="Comma 4 3 3 3 2 2" xfId="14831" xr:uid="{AB7C42C3-3954-42D0-ADDE-552F5D360990}"/>
    <cellStyle name="Comma 4 3 3 3 2 2 2" xfId="22378" xr:uid="{97642B87-02A7-49CC-B68B-70D4BD48909B}"/>
    <cellStyle name="Comma 4 3 3 3 2 2 3" xfId="48212" xr:uid="{AA95D9D1-83AE-4B2F-B52F-0C950069F50C}"/>
    <cellStyle name="Comma 4 3 3 3 2 2 4" xfId="51716" xr:uid="{2BCE0159-7422-42AC-8EC2-2707C104B6CD}"/>
    <cellStyle name="Comma 4 3 3 3 2 2 5" xfId="54732" xr:uid="{C2D392AD-34F3-45B3-A7DD-9291CB39DCA6}"/>
    <cellStyle name="Comma 4 3 3 3 2 2 6" xfId="19137" xr:uid="{72668DC6-7209-4479-8EFE-EBAB89C5D3A6}"/>
    <cellStyle name="Comma 4 3 3 3 2 3" xfId="15316" xr:uid="{B50114B7-65E3-4747-BEF1-47A0E591BE53}"/>
    <cellStyle name="Comma 4 3 3 3 2 3 2" xfId="22855" xr:uid="{6A068FDB-3CD7-48B3-9254-48D95EE1BF9A}"/>
    <cellStyle name="Comma 4 3 3 3 2 3 3" xfId="48259" xr:uid="{7424B50E-D908-4D54-8308-D22298D24834}"/>
    <cellStyle name="Comma 4 3 3 3 2 3 4" xfId="52193" xr:uid="{5FDD07D9-CA4A-4F5A-AC52-0478EC112A25}"/>
    <cellStyle name="Comma 4 3 3 3 2 3 5" xfId="55209" xr:uid="{AFF7233B-9A3B-48A5-B1EB-F46D608F6364}"/>
    <cellStyle name="Comma 4 3 3 3 2 3 6" xfId="19280" xr:uid="{5312D679-81AB-4F52-A95C-40850EC08B9F}"/>
    <cellStyle name="Comma 4 3 3 3 2 4" xfId="15803" xr:uid="{C73F6A55-6B17-4E50-AD79-07DC61142A4C}"/>
    <cellStyle name="Comma 4 3 3 3 2 4 2" xfId="23332" xr:uid="{91135001-5DBB-4E0B-9F76-C7FB08C47C83}"/>
    <cellStyle name="Comma 4 3 3 3 2 4 3" xfId="47201" xr:uid="{E84788AB-8F77-4C43-828E-3DE8A69FEA23}"/>
    <cellStyle name="Comma 4 3 3 3 2 4 4" xfId="52670" xr:uid="{517DDCB5-5D51-405F-A9EC-C54F7D351B37}"/>
    <cellStyle name="Comma 4 3 3 3 2 4 5" xfId="55686" xr:uid="{297CEB3B-5F96-4333-BA76-DF3D09C38B66}"/>
    <cellStyle name="Comma 4 3 3 3 2 4 6" xfId="19425" xr:uid="{A9D8D176-FA40-4C25-A564-9EAFA31C5FD9}"/>
    <cellStyle name="Comma 4 3 3 3 2 5" xfId="12865" xr:uid="{A28EC080-BC0D-4434-807D-CA1526951D7C}"/>
    <cellStyle name="Comma 4 3 3 3 2 5 2" xfId="48241" xr:uid="{453BC3C6-5294-4205-8517-3792FB2FB289}"/>
    <cellStyle name="Comma 4 3 3 3 2 5 3" xfId="51239" xr:uid="{D29D4062-A073-4833-8FC4-92C931AC80F0}"/>
    <cellStyle name="Comma 4 3 3 3 2 5 4" xfId="54255" xr:uid="{67FADF20-85AA-4594-99D0-C18879B75B18}"/>
    <cellStyle name="Comma 4 3 3 3 2 5 5" xfId="21995" xr:uid="{02FCD7DF-D847-43B3-BC37-87FC013647FA}"/>
    <cellStyle name="Comma 4 3 3 3 2 6" xfId="48457" xr:uid="{FD6FF5DE-5033-434B-A4D4-AD1D5355DB92}"/>
    <cellStyle name="Comma 4 3 3 3 2 7" xfId="50133" xr:uid="{2047D648-5CF7-4DAB-81CF-AC34583CA0D9}"/>
    <cellStyle name="Comma 4 3 3 3 2 8" xfId="53149" xr:uid="{7486EA61-838D-4501-B4BD-AD690FE02FB4}"/>
    <cellStyle name="Comma 4 3 3 3 2 9" xfId="18942" xr:uid="{AE6BE60E-7B92-4668-B3CD-FF27FF073994}"/>
    <cellStyle name="Comma 4 3 3 3 3" xfId="14619" xr:uid="{5CE4B612-DDEF-4C89-9272-3376EE0EAD0C}"/>
    <cellStyle name="Comma 4 3 3 3 3 2" xfId="22166" xr:uid="{2AFFEC86-7B9D-483E-8ACB-A1A2F960C459}"/>
    <cellStyle name="Comma 4 3 3 3 3 3" xfId="32329" xr:uid="{89E7EA1F-C2E5-4E4E-8D12-5EBEDA5F508A}"/>
    <cellStyle name="Comma 4 3 3 3 3 4" xfId="51504" xr:uid="{0B82106E-A41A-4724-9B91-10AAE92BB579}"/>
    <cellStyle name="Comma 4 3 3 3 3 5" xfId="54520" xr:uid="{219E0E41-9881-4725-A618-8D511A356464}"/>
    <cellStyle name="Comma 4 3 3 3 3 6" xfId="19077" xr:uid="{716FD446-9722-4131-9DE5-D62A4B008ACA}"/>
    <cellStyle name="Comma 4 3 3 3 4" xfId="15104" xr:uid="{8FE8C6AA-315B-47C9-A655-BCB7146715C1}"/>
    <cellStyle name="Comma 4 3 3 3 4 2" xfId="22643" xr:uid="{DF1F77BC-58DB-431E-994B-4382E13AE8D1}"/>
    <cellStyle name="Comma 4 3 3 3 4 3" xfId="47187" xr:uid="{96D6C237-C9D3-4B1A-AD36-38194B2FFD1C}"/>
    <cellStyle name="Comma 4 3 3 3 4 4" xfId="51981" xr:uid="{5DB48D9D-82D3-46EF-87C7-09337DE0214F}"/>
    <cellStyle name="Comma 4 3 3 3 4 5" xfId="54997" xr:uid="{FAD19E91-C98B-4942-A063-ADA2F6695F21}"/>
    <cellStyle name="Comma 4 3 3 3 4 6" xfId="19220" xr:uid="{F367C4C3-710B-4E1A-A0CA-2898B3ACF2F2}"/>
    <cellStyle name="Comma 4 3 3 3 5" xfId="15591" xr:uid="{2D355153-0BB9-47B6-8A34-B5BB68C82034}"/>
    <cellStyle name="Comma 4 3 3 3 5 2" xfId="23120" xr:uid="{099E81B7-C840-4F7E-812A-5EFFEE388B7A}"/>
    <cellStyle name="Comma 4 3 3 3 5 3" xfId="47271" xr:uid="{23CEDC79-9E71-430A-BF04-EF23ED35552D}"/>
    <cellStyle name="Comma 4 3 3 3 5 4" xfId="52458" xr:uid="{64E91A3B-5FB0-4546-BD9D-FF3CB8C7FC39}"/>
    <cellStyle name="Comma 4 3 3 3 5 5" xfId="55474" xr:uid="{ACE9ED8F-F109-47CA-955E-DC0DAA9F95D0}"/>
    <cellStyle name="Comma 4 3 3 3 5 6" xfId="19365" xr:uid="{2957B40F-06DA-413C-87ED-4B1F4B4ED5D3}"/>
    <cellStyle name="Comma 4 3 3 3 6" xfId="12556" xr:uid="{8E324FCC-FC8F-432F-A2BB-C54671FC3A3E}"/>
    <cellStyle name="Comma 4 3 3 3 6 2" xfId="34179" xr:uid="{61BE6814-155A-4D53-9C63-A84E91463B05}"/>
    <cellStyle name="Comma 4 3 3 3 6 3" xfId="51027" xr:uid="{5E84AEE2-6E0A-4E5A-9FD4-4DA7A76730CE}"/>
    <cellStyle name="Comma 4 3 3 3 6 4" xfId="54043" xr:uid="{B40ECAD1-C1DD-417F-AB31-7068F0181397}"/>
    <cellStyle name="Comma 4 3 3 3 6 5" xfId="21935" xr:uid="{4C0BAB0A-18F0-4324-929F-9187AD909404}"/>
    <cellStyle name="Comma 4 3 3 3 7" xfId="46045" xr:uid="{2A87F752-AD4A-48FF-A84E-AEE5C1C07123}"/>
    <cellStyle name="Comma 4 3 3 3 8" xfId="49921" xr:uid="{85E6489D-2443-4A6C-B688-262FFA36D512}"/>
    <cellStyle name="Comma 4 3 3 3 9" xfId="52937" xr:uid="{87876313-4D84-4B70-8E37-99B7CDAD70FC}"/>
    <cellStyle name="Comma 4 3 3 4" xfId="10178" xr:uid="{31EC6E6C-8D66-429F-BC09-8CC355217B14}"/>
    <cellStyle name="Comma 4 3 3 4 10" xfId="18823" xr:uid="{B24981A7-375D-4A82-9253-2D80E725BE3B}"/>
    <cellStyle name="Comma 4 3 3 4 2" xfId="10492" xr:uid="{F5AF2CDA-2E11-4BEC-AA71-DCF55E1257D4}"/>
    <cellStyle name="Comma 4 3 3 4 2 2" xfId="14884" xr:uid="{12BB3AAD-E7D8-4219-A0D1-46794916DB2E}"/>
    <cellStyle name="Comma 4 3 3 4 2 2 2" xfId="22431" xr:uid="{B5EE462E-2FA9-4736-BDF0-47B676A57A2A}"/>
    <cellStyle name="Comma 4 3 3 4 2 2 3" xfId="24935" xr:uid="{DB186557-E9E7-4DE8-BC3A-479ED47C6A50}"/>
    <cellStyle name="Comma 4 3 3 4 2 2 4" xfId="51769" xr:uid="{C99687FD-5B31-4311-B45A-2EC7B9198C7D}"/>
    <cellStyle name="Comma 4 3 3 4 2 2 5" xfId="54785" xr:uid="{ADED3512-4E81-427C-BFAE-A0D083CC141C}"/>
    <cellStyle name="Comma 4 3 3 4 2 2 6" xfId="19152" xr:uid="{73AA6AD7-A014-475A-BADC-2BB2761B0101}"/>
    <cellStyle name="Comma 4 3 3 4 2 3" xfId="15369" xr:uid="{E3C7E800-B06C-4952-A395-DF743D9D6900}"/>
    <cellStyle name="Comma 4 3 3 4 2 3 2" xfId="22908" xr:uid="{D56E48CD-BAEB-486D-86D9-FC9AE2509B71}"/>
    <cellStyle name="Comma 4 3 3 4 2 3 3" xfId="36949" xr:uid="{527E4EF4-BD6C-4BE8-8489-B32976D1D36E}"/>
    <cellStyle name="Comma 4 3 3 4 2 3 4" xfId="52246" xr:uid="{E6398552-5468-4A87-9D82-52889BA63E3D}"/>
    <cellStyle name="Comma 4 3 3 4 2 3 5" xfId="55262" xr:uid="{F5F37AE5-C685-447D-9D73-6318A9EFAF10}"/>
    <cellStyle name="Comma 4 3 3 4 2 3 6" xfId="19295" xr:uid="{47F1C6C2-042E-478B-A70C-857A9660BA32}"/>
    <cellStyle name="Comma 4 3 3 4 2 4" xfId="15856" xr:uid="{75B3EE79-C122-43B9-B759-F36E81D34CFB}"/>
    <cellStyle name="Comma 4 3 3 4 2 4 2" xfId="23385" xr:uid="{BED4328D-83C0-4722-9609-634039E931A5}"/>
    <cellStyle name="Comma 4 3 3 4 2 4 3" xfId="47731" xr:uid="{4FA51AA5-9693-489A-AD16-ADF47162B16A}"/>
    <cellStyle name="Comma 4 3 3 4 2 4 4" xfId="52723" xr:uid="{7A5745C0-D722-4B93-9B71-1EA70914286B}"/>
    <cellStyle name="Comma 4 3 3 4 2 4 5" xfId="55739" xr:uid="{37A6EECF-3BD9-4631-ACCE-93EB8C2D591D}"/>
    <cellStyle name="Comma 4 3 3 4 2 4 6" xfId="19440" xr:uid="{28E209C6-E5CD-4F45-99AE-983A17C1296F}"/>
    <cellStyle name="Comma 4 3 3 4 2 5" xfId="12945" xr:uid="{C38068D8-5784-400C-AE75-E0D3DECB0801}"/>
    <cellStyle name="Comma 4 3 3 4 2 5 2" xfId="47767" xr:uid="{0DE97760-03A3-4213-95E7-89A17E632928}"/>
    <cellStyle name="Comma 4 3 3 4 2 5 3" xfId="51292" xr:uid="{F6780526-2F8C-41A6-951E-EC15D2AF3963}"/>
    <cellStyle name="Comma 4 3 3 4 2 5 4" xfId="54308" xr:uid="{33BC3A08-6DF5-498A-95D0-FB8FAFC61C20}"/>
    <cellStyle name="Comma 4 3 3 4 2 5 5" xfId="22010" xr:uid="{8D7E36AE-C38C-4FE3-9F77-8C56FDC458A8}"/>
    <cellStyle name="Comma 4 3 3 4 2 6" xfId="46134" xr:uid="{2BDC7247-B949-43B6-9458-332AFE0E2259}"/>
    <cellStyle name="Comma 4 3 3 4 2 7" xfId="50186" xr:uid="{EA67106B-4407-41BA-A9CC-1D06CF9630EA}"/>
    <cellStyle name="Comma 4 3 3 4 2 8" xfId="53202" xr:uid="{11318701-74F0-40B7-8801-69F0B856274E}"/>
    <cellStyle name="Comma 4 3 3 4 2 9" xfId="18984" xr:uid="{37AADE41-AFCE-4FC1-A617-034B44AFDC1F}"/>
    <cellStyle name="Comma 4 3 3 4 3" xfId="14672" xr:uid="{548876C8-0CC8-42F4-B4B5-9F44909C2C7F}"/>
    <cellStyle name="Comma 4 3 3 4 3 2" xfId="22219" xr:uid="{A1E0417E-C82A-47BE-90DC-F0024337A71F}"/>
    <cellStyle name="Comma 4 3 3 4 3 3" xfId="46415" xr:uid="{ABC8D48D-5ECD-40BC-BC16-EA9AB445D0A2}"/>
    <cellStyle name="Comma 4 3 3 4 3 4" xfId="51557" xr:uid="{300FB2AB-E50F-47C4-91F6-33D9890F93E8}"/>
    <cellStyle name="Comma 4 3 3 4 3 5" xfId="54573" xr:uid="{A49150E7-8B7F-4085-9916-654F542161C0}"/>
    <cellStyle name="Comma 4 3 3 4 3 6" xfId="19092" xr:uid="{4ED82CC6-7061-41F2-8DA7-B49FAC9536F9}"/>
    <cellStyle name="Comma 4 3 3 4 4" xfId="15157" xr:uid="{E5345B0E-08A8-491C-BE20-0515FEE17A89}"/>
    <cellStyle name="Comma 4 3 3 4 4 2" xfId="22696" xr:uid="{F54C7593-5E7A-4299-AC81-6D282D7B67C4}"/>
    <cellStyle name="Comma 4 3 3 4 4 3" xfId="47967" xr:uid="{91FF49D5-E23E-4E7D-B096-92711CE61F63}"/>
    <cellStyle name="Comma 4 3 3 4 4 4" xfId="52034" xr:uid="{C92E9BD5-5B45-43A3-9DF6-693D802F510D}"/>
    <cellStyle name="Comma 4 3 3 4 4 5" xfId="55050" xr:uid="{C3C28081-1FF4-4F17-AB2D-C26FE5203890}"/>
    <cellStyle name="Comma 4 3 3 4 4 6" xfId="19235" xr:uid="{F9265A43-AC12-4D3D-BD6D-45AE7D2D3222}"/>
    <cellStyle name="Comma 4 3 3 4 5" xfId="15644" xr:uid="{F5A14C0B-188E-4379-ACCA-23AF1FBCC20C}"/>
    <cellStyle name="Comma 4 3 3 4 5 2" xfId="23173" xr:uid="{9487E24F-88D5-420B-8BC3-7DAA5E0FFA8C}"/>
    <cellStyle name="Comma 4 3 3 4 5 3" xfId="47846" xr:uid="{059C61A0-88C2-4AB1-8E09-B9D763369F51}"/>
    <cellStyle name="Comma 4 3 3 4 5 4" xfId="52511" xr:uid="{9BDAAB25-B9DB-4917-855B-A20F9F074C00}"/>
    <cellStyle name="Comma 4 3 3 4 5 5" xfId="55527" xr:uid="{DD04A8FD-3F0B-4A1A-BF41-7D7605D8330F}"/>
    <cellStyle name="Comma 4 3 3 4 5 6" xfId="19380" xr:uid="{C6491123-E8DB-4165-8219-CAEDEB030AC3}"/>
    <cellStyle name="Comma 4 3 3 4 6" xfId="12632" xr:uid="{053BB17A-FDCD-4342-88CC-49EB7D7A8A24}"/>
    <cellStyle name="Comma 4 3 3 4 6 2" xfId="47759" xr:uid="{8EEE2F45-391B-4B3B-AAEA-E63E2CF0C3B7}"/>
    <cellStyle name="Comma 4 3 3 4 6 3" xfId="51080" xr:uid="{10D99ED4-1CBE-46DF-87BF-0968D43F63A7}"/>
    <cellStyle name="Comma 4 3 3 4 6 4" xfId="54096" xr:uid="{A913CB97-C15C-4B63-B871-33081E81682B}"/>
    <cellStyle name="Comma 4 3 3 4 6 5" xfId="21950" xr:uid="{FC5D3858-1D82-4648-8D84-090F5EBF7863}"/>
    <cellStyle name="Comma 4 3 3 4 7" xfId="46059" xr:uid="{7B856C5F-C684-449B-8DB0-BFCEA671DF52}"/>
    <cellStyle name="Comma 4 3 3 4 8" xfId="49974" xr:uid="{28438A6B-90B5-4CC3-BF95-D16251096484}"/>
    <cellStyle name="Comma 4 3 3 4 9" xfId="52990" xr:uid="{6935475D-31C4-4376-A160-244B9C147C6E}"/>
    <cellStyle name="Comma 4 3 3 5" xfId="10258" xr:uid="{BB8BCB58-EEB8-4DCC-977E-6E0BFFFEA68A}"/>
    <cellStyle name="Comma 4 3 3 5 2" xfId="14725" xr:uid="{41617BD8-D48C-4C8F-935E-38D5E57C8820}"/>
    <cellStyle name="Comma 4 3 3 5 2 2" xfId="22272" xr:uid="{CC881D9E-A4E5-448B-AAA2-B65344CDD634}"/>
    <cellStyle name="Comma 4 3 3 5 2 3" xfId="47481" xr:uid="{44E5CA86-8D6D-46E3-9B7C-B7CA606C4DB0}"/>
    <cellStyle name="Comma 4 3 3 5 2 4" xfId="51610" xr:uid="{61288DF5-161B-44E2-BDD2-2D3A467E1432}"/>
    <cellStyle name="Comma 4 3 3 5 2 5" xfId="54626" xr:uid="{C4F805FE-45A3-45C4-9FC9-F7E65CDFA340}"/>
    <cellStyle name="Comma 4 3 3 5 2 6" xfId="19107" xr:uid="{E43F14B6-05EC-4C99-A035-700D9176D471}"/>
    <cellStyle name="Comma 4 3 3 5 3" xfId="15210" xr:uid="{B5545A4B-C833-4C7F-B3E1-754C678D7EAC}"/>
    <cellStyle name="Comma 4 3 3 5 3 2" xfId="22749" xr:uid="{E5071D20-ED15-4D4F-8765-AC9AFA68871B}"/>
    <cellStyle name="Comma 4 3 3 5 3 3" xfId="47678" xr:uid="{F10D0560-C8F9-47D5-BB26-7D3671433399}"/>
    <cellStyle name="Comma 4 3 3 5 3 4" xfId="52087" xr:uid="{63D2AC51-677F-43AC-B752-76F792243A38}"/>
    <cellStyle name="Comma 4 3 3 5 3 5" xfId="55103" xr:uid="{3B50E18C-CA73-4317-9E3B-71EB01F81382}"/>
    <cellStyle name="Comma 4 3 3 5 3 6" xfId="19250" xr:uid="{C7C6F3BC-B4C3-4C15-951C-3F31477FCE8D}"/>
    <cellStyle name="Comma 4 3 3 5 4" xfId="15697" xr:uid="{69F1A6D9-04A3-4DA5-9FB2-FE6AB3ACCEBE}"/>
    <cellStyle name="Comma 4 3 3 5 4 2" xfId="23226" xr:uid="{BAEDE9A6-2E31-4BD6-82BD-E53D1235B4E9}"/>
    <cellStyle name="Comma 4 3 3 5 4 3" xfId="48444" xr:uid="{2AFFC927-5926-41A4-AC82-ADA6E54C1410}"/>
    <cellStyle name="Comma 4 3 3 5 4 4" xfId="52564" xr:uid="{08B9D16C-9585-4A90-BE85-F33311B44E2B}"/>
    <cellStyle name="Comma 4 3 3 5 4 5" xfId="55580" xr:uid="{D9A3A7C9-4C9F-4D2D-AC3E-1775B928A9F1}"/>
    <cellStyle name="Comma 4 3 3 5 4 6" xfId="19395" xr:uid="{B823B7C1-5861-4BF8-958F-1EF3406E52E2}"/>
    <cellStyle name="Comma 4 3 3 5 5" xfId="12711" xr:uid="{C632632A-7431-4C28-A688-2DE80485554D}"/>
    <cellStyle name="Comma 4 3 3 5 5 2" xfId="46345" xr:uid="{F88292B1-1B2A-435C-A3F6-AB926B3BF913}"/>
    <cellStyle name="Comma 4 3 3 5 5 3" xfId="51133" xr:uid="{415505AA-F908-42A1-A029-258272709B4E}"/>
    <cellStyle name="Comma 4 3 3 5 5 4" xfId="54149" xr:uid="{3D783021-D143-4EFA-9B37-2AFB9E1246FB}"/>
    <cellStyle name="Comma 4 3 3 5 5 5" xfId="21965" xr:uid="{A4E0DDC4-ADB9-41D8-946F-17F72C00FC38}"/>
    <cellStyle name="Comma 4 3 3 5 6" xfId="46622" xr:uid="{585696B3-FE07-40BF-9F36-02A2E980C6DD}"/>
    <cellStyle name="Comma 4 3 3 5 7" xfId="50027" xr:uid="{EDC46CE6-E05F-46EC-AB44-1B746A26FDA5}"/>
    <cellStyle name="Comma 4 3 3 5 8" xfId="53043" xr:uid="{E676FB30-1628-42F3-81AB-D62246219789}"/>
    <cellStyle name="Comma 4 3 3 5 9" xfId="18864" xr:uid="{76271DBE-612C-48BE-B96A-42EB928478DE}"/>
    <cellStyle name="Comma 4 3 3 6" xfId="10572" xr:uid="{A417E2CA-CDB8-40A3-9357-569052A28724}"/>
    <cellStyle name="Comma 4 3 3 6 2" xfId="14937" xr:uid="{1B6DB3ED-FB61-467B-AEFE-645C439B9B86}"/>
    <cellStyle name="Comma 4 3 3 6 2 2" xfId="22484" xr:uid="{EA4825E7-F1ED-4729-AD97-EBC8CC174D02}"/>
    <cellStyle name="Comma 4 3 3 6 2 3" xfId="47567" xr:uid="{C0D59FBB-F4F9-49CA-8EBF-9E409127B313}"/>
    <cellStyle name="Comma 4 3 3 6 2 4" xfId="51822" xr:uid="{9C2DBF06-22E4-4F89-ADA7-7B7648925DD9}"/>
    <cellStyle name="Comma 4 3 3 6 2 5" xfId="54838" xr:uid="{729BE6E6-9E84-4C5C-AFC4-0F316CC82130}"/>
    <cellStyle name="Comma 4 3 3 6 2 6" xfId="19167" xr:uid="{A7DF1BE8-2817-468A-AF8F-D9AFF74EBA37}"/>
    <cellStyle name="Comma 4 3 3 6 3" xfId="15422" xr:uid="{E6926934-1285-4A72-8EEF-810A4C0961E6}"/>
    <cellStyle name="Comma 4 3 3 6 3 2" xfId="22961" xr:uid="{4C4E30AE-B815-436A-82D0-2CF659A95FE9}"/>
    <cellStyle name="Comma 4 3 3 6 3 3" xfId="47745" xr:uid="{AF489683-1FF9-4825-B123-349C836119C0}"/>
    <cellStyle name="Comma 4 3 3 6 3 4" xfId="52299" xr:uid="{B575585B-BA1F-4D82-AF00-B89F739F05E2}"/>
    <cellStyle name="Comma 4 3 3 6 3 5" xfId="55315" xr:uid="{D3396500-3818-480D-8B9B-399E52002805}"/>
    <cellStyle name="Comma 4 3 3 6 3 6" xfId="19310" xr:uid="{E44C1A72-321E-494F-9257-53672CA3AB5A}"/>
    <cellStyle name="Comma 4 3 3 6 4" xfId="15910" xr:uid="{4501014F-ADF8-4CA0-A074-1370C0C24153}"/>
    <cellStyle name="Comma 4 3 3 6 4 2" xfId="23438" xr:uid="{C581511A-3133-4147-860B-8D5664AC81E7}"/>
    <cellStyle name="Comma 4 3 3 6 4 3" xfId="46605" xr:uid="{5D172BA0-8098-4670-816F-EADCE59FA470}"/>
    <cellStyle name="Comma 4 3 3 6 4 4" xfId="52776" xr:uid="{49FFAA30-8EC1-4E64-8509-943D278A875E}"/>
    <cellStyle name="Comma 4 3 3 6 4 5" xfId="55792" xr:uid="{FE3E4EA1-7EA3-444C-A880-BFCD60A6B997}"/>
    <cellStyle name="Comma 4 3 3 6 4 6" xfId="19456" xr:uid="{A9BA4797-0090-4027-BABA-72967DB2002F}"/>
    <cellStyle name="Comma 4 3 3 6 5" xfId="13025" xr:uid="{71143711-D248-47CD-8D4D-A27C5C665E6F}"/>
    <cellStyle name="Comma 4 3 3 6 5 2" xfId="46822" xr:uid="{29BADEC4-6037-44ED-BD83-682BDE6043FE}"/>
    <cellStyle name="Comma 4 3 3 6 5 3" xfId="51345" xr:uid="{23C079DD-FF1E-4E1F-899E-7FF95D07F6F0}"/>
    <cellStyle name="Comma 4 3 3 6 5 4" xfId="54361" xr:uid="{ACEBAEA0-870F-4154-80B9-88FEBB2B5F38}"/>
    <cellStyle name="Comma 4 3 3 6 5 5" xfId="22025" xr:uid="{02821437-F890-4001-A321-FA97E70B4DB4}"/>
    <cellStyle name="Comma 4 3 3 6 6" xfId="24000" xr:uid="{6BA0FCD0-BD8A-4CCB-8F25-DD23CDC99993}"/>
    <cellStyle name="Comma 4 3 3 6 7" xfId="50239" xr:uid="{FDDF2DDF-B9DA-4F39-AC2C-D2BE14CFD18B}"/>
    <cellStyle name="Comma 4 3 3 6 8" xfId="53255" xr:uid="{A16B6262-51A0-4E4F-A91B-3B910B9B25C0}"/>
    <cellStyle name="Comma 4 3 3 6 9" xfId="19026" xr:uid="{F8B8267B-FCCF-4169-A157-9910A81BE46B}"/>
    <cellStyle name="Comma 4 3 3 7" xfId="14513" xr:uid="{17F1F513-D058-41BD-858A-10E872E4791E}"/>
    <cellStyle name="Comma 4 3 3 7 2" xfId="22060" xr:uid="{F65AC67A-B86F-4B16-88A5-296B3C54B5BD}"/>
    <cellStyle name="Comma 4 3 3 7 3" xfId="46831" xr:uid="{3F179E0B-0603-46FB-A236-775A5C9EAFB6}"/>
    <cellStyle name="Comma 4 3 3 7 4" xfId="51398" xr:uid="{EB36518A-F081-46A9-8EC4-01F451F7B5AB}"/>
    <cellStyle name="Comma 4 3 3 7 5" xfId="54414" xr:uid="{9179C4DC-6112-4320-9F14-71F944AC4BE9}"/>
    <cellStyle name="Comma 4 3 3 7 6" xfId="19047" xr:uid="{6DDAE52A-4BB8-4944-96C5-5E57DEF44D3F}"/>
    <cellStyle name="Comma 4 3 3 8" xfId="14997" xr:uid="{E3FA9BE4-6ED7-4788-BFE6-6229CD1C4FBF}"/>
    <cellStyle name="Comma 4 3 3 8 2" xfId="22537" xr:uid="{2B431BEC-19AD-4DF4-8EE1-F902F0C7BFCC}"/>
    <cellStyle name="Comma 4 3 3 8 3" xfId="47837" xr:uid="{59568EF8-7CBC-4260-BAE1-95E4EBD92513}"/>
    <cellStyle name="Comma 4 3 3 8 4" xfId="51875" xr:uid="{CD07911A-B28E-422E-AE69-CF94DA82F3B8}"/>
    <cellStyle name="Comma 4 3 3 8 5" xfId="54891" xr:uid="{55A21B4E-C216-4FA4-947C-40F25378DB5F}"/>
    <cellStyle name="Comma 4 3 3 8 6" xfId="19189" xr:uid="{3D8450C9-D4C2-4508-849A-104EE904CAA3}"/>
    <cellStyle name="Comma 4 3 3 9" xfId="15484" xr:uid="{A962BCD6-5EB1-4BA8-88CB-97CE0C4A9BD7}"/>
    <cellStyle name="Comma 4 3 3 9 2" xfId="23014" xr:uid="{B7D0F3F8-9937-491E-BCBB-0B765587D3D8}"/>
    <cellStyle name="Comma 4 3 3 9 3" xfId="32376" xr:uid="{0250143C-1B90-43CF-AAE9-D5FD03B165E8}"/>
    <cellStyle name="Comma 4 3 3 9 4" xfId="52352" xr:uid="{221D34C3-9C56-4AE3-8E99-04611AF5E596}"/>
    <cellStyle name="Comma 4 3 3 9 5" xfId="55368" xr:uid="{5A8D50C9-1B82-49F3-8E01-B445CF7319D3}"/>
    <cellStyle name="Comma 4 3 3 9 6" xfId="19334" xr:uid="{0D81A96E-EAF2-493F-84E1-09ED562D2E0C}"/>
    <cellStyle name="Comma 4 3 4" xfId="12205" xr:uid="{235C87AA-649B-4A6D-AE19-AC9FB7423FDC}"/>
    <cellStyle name="Comma 4 3 5" xfId="11196" xr:uid="{D1F92E81-E49C-4DF7-919E-312BF02B5EE6}"/>
    <cellStyle name="Comma 4 3 5 2" xfId="21692" xr:uid="{4D01CE80-901C-4E7A-B203-E8DDBAEC84D4}"/>
    <cellStyle name="Comma 4 3 5 3" xfId="24498" xr:uid="{D98A4B14-E2C7-4EBD-9898-7C79E6FA09AE}"/>
    <cellStyle name="Comma 4 3 5 4" xfId="50709" xr:uid="{8B0323AC-B3F1-41B6-9BE6-D65A529B6053}"/>
    <cellStyle name="Comma 4 3 5 5" xfId="53725" xr:uid="{F0958013-E993-401A-996F-857F1D78E410}"/>
    <cellStyle name="Comma 4 3 5 6" xfId="18053" xr:uid="{D31BBEDC-04ED-4EDC-8B84-4F81D109CD8E}"/>
    <cellStyle name="Comma 4 3 6" xfId="19490" xr:uid="{A7ACE864-3416-4B79-9A4C-7B807F6F45A4}"/>
    <cellStyle name="Comma 4 3 7" xfId="23764" xr:uid="{4CCB9779-5607-4375-A0D3-90AEA676895A}"/>
    <cellStyle name="Comma 4 3 8" xfId="48645" xr:uid="{AF323F2D-5C40-49A5-BD6B-50E0BF8B51D0}"/>
    <cellStyle name="Comma 4 3 9" xfId="49553" xr:uid="{F9792B02-636B-4F93-8CF3-51E269F51C0D}"/>
    <cellStyle name="Comma 4 4" xfId="4542" xr:uid="{31C9F786-CDA7-44A3-93C0-280AA9989D7D}"/>
    <cellStyle name="Comma 4 4 10" xfId="14514" xr:uid="{BA0EA8B8-B8BB-4433-B43C-1A4760821B32}"/>
    <cellStyle name="Comma 4 4 10 2" xfId="22061" xr:uid="{9478C751-9808-43F2-B8F2-455302281016}"/>
    <cellStyle name="Comma 4 4 10 3" xfId="24670" xr:uid="{CEFB2336-2B86-416B-BD85-04972C1D9B39}"/>
    <cellStyle name="Comma 4 4 10 4" xfId="51399" xr:uid="{755F5207-47D3-4E6D-A519-C811797907AE}"/>
    <cellStyle name="Comma 4 4 10 5" xfId="54415" xr:uid="{88375AFA-45CD-43C7-9290-00F18B89CF9F}"/>
    <cellStyle name="Comma 4 4 11" xfId="14998" xr:uid="{CDF4F84A-4D39-42F9-9EB1-756233DEA104}"/>
    <cellStyle name="Comma 4 4 11 2" xfId="22538" xr:uid="{5B9D30D2-F4FC-41BE-B9DF-213D7ED6E18D}"/>
    <cellStyle name="Comma 4 4 11 3" xfId="32511" xr:uid="{E59F27DF-66D8-4BBA-BBE9-51A445759D57}"/>
    <cellStyle name="Comma 4 4 11 4" xfId="51876" xr:uid="{2480BFB5-7A01-433B-9B4F-4DB12FA4700B}"/>
    <cellStyle name="Comma 4 4 11 5" xfId="54892" xr:uid="{C8DBEFDD-87A0-44DB-A58A-A4754750E4F2}"/>
    <cellStyle name="Comma 4 4 12" xfId="15485" xr:uid="{A993CF39-44A2-40EA-841C-E229FD39C194}"/>
    <cellStyle name="Comma 4 4 12 2" xfId="23015" xr:uid="{9A376E4C-4738-4DB8-879C-32BB5D54136A}"/>
    <cellStyle name="Comma 4 4 12 3" xfId="24314" xr:uid="{8516179A-1735-436B-AF0D-CAA7992B9526}"/>
    <cellStyle name="Comma 4 4 12 4" xfId="52353" xr:uid="{5578FCAE-2B4F-47B7-82EA-14E4FB45AA4D}"/>
    <cellStyle name="Comma 4 4 12 5" xfId="55369" xr:uid="{AB47B173-35BB-4187-A210-3AA296AF0ED8}"/>
    <cellStyle name="Comma 4 4 13" xfId="11197" xr:uid="{466C9D31-7609-475E-8508-1E622E456448}"/>
    <cellStyle name="Comma 4 4 13 2" xfId="21693" xr:uid="{D891D9A2-E870-4491-8FE9-94520C2AF920}"/>
    <cellStyle name="Comma 4 4 13 3" xfId="46728" xr:uid="{B1B94B99-ED76-478F-AF6F-21963E1F8E86}"/>
    <cellStyle name="Comma 4 4 13 4" xfId="50710" xr:uid="{0BE2E731-6867-4CFB-8CE4-C34DAC6EBCA3}"/>
    <cellStyle name="Comma 4 4 13 5" xfId="53726" xr:uid="{388731C0-5414-431D-B3AD-E45955F1BC9F}"/>
    <cellStyle name="Comma 4 4 14" xfId="23768" xr:uid="{5ACFE279-FD80-4376-A567-C5E341DE93EB}"/>
    <cellStyle name="Comma 4 4 15" xfId="48649" xr:uid="{B3DA1F0D-5C22-40ED-BE6A-9E2D4DADD751}"/>
    <cellStyle name="Comma 4 4 16" xfId="49557" xr:uid="{BB81A932-7E01-441F-958A-AC07ABA62F52}"/>
    <cellStyle name="Comma 4 4 17" xfId="49816" xr:uid="{3C80EA9A-FDDF-430B-8207-CD6A9F6FC427}"/>
    <cellStyle name="Comma 4 4 18" xfId="52831" xr:uid="{02AF9BE7-4C01-483E-BBA1-8B9132F5F9D7}"/>
    <cellStyle name="Comma 4 4 19" xfId="8939" xr:uid="{F47B11E0-D607-43E1-A259-26A9D5E5CDA5}"/>
    <cellStyle name="Comma 4 4 2" xfId="8940" xr:uid="{CDA2453A-CEA0-47BE-9A42-89DCC04F6C13}"/>
    <cellStyle name="Comma 4 4 2 10" xfId="15486" xr:uid="{4B75982B-958E-402C-BC96-4CA75D78EC05}"/>
    <cellStyle name="Comma 4 4 2 10 2" xfId="23016" xr:uid="{60806C20-2E8E-4729-B80C-FFBE07F34FCE}"/>
    <cellStyle name="Comma 4 4 2 10 3" xfId="47374" xr:uid="{113BF89F-37DD-42C3-A211-2EAC40FA1340}"/>
    <cellStyle name="Comma 4 4 2 10 4" xfId="52354" xr:uid="{D9C50F37-42A0-476A-AC5F-7A9784645123}"/>
    <cellStyle name="Comma 4 4 2 10 5" xfId="55370" xr:uid="{DEE06679-48E9-421E-8614-596CC72439F0}"/>
    <cellStyle name="Comma 4 4 2 11" xfId="11587" xr:uid="{D0562230-1D6A-4168-B712-18AADC80C124}"/>
    <cellStyle name="Comma 4 4 2 11 2" xfId="46655" xr:uid="{10469F7E-BDF7-4BF4-AFB0-7E7D6CA1B602}"/>
    <cellStyle name="Comma 4 4 2 11 3" xfId="50734" xr:uid="{CDF1247A-21FA-4FA5-A96A-A107611FA5CE}"/>
    <cellStyle name="Comma 4 4 2 11 4" xfId="53750" xr:uid="{CC4ACB0E-9312-42E6-BB5A-C917E9AAEE71}"/>
    <cellStyle name="Comma 4 4 2 12" xfId="23769" xr:uid="{AF34D036-AA8D-4BAF-A4FB-27A136B482DA}"/>
    <cellStyle name="Comma 4 4 2 13" xfId="48650" xr:uid="{E5D8E936-2012-4389-BC4E-FE6B2227FF57}"/>
    <cellStyle name="Comma 4 4 2 14" xfId="49558" xr:uid="{23BD50B2-24DB-43D2-840D-810ADEE3ACDC}"/>
    <cellStyle name="Comma 4 4 2 15" xfId="49817" xr:uid="{BE8626DC-4472-4AF6-BE9A-E4E8E72DF1B9}"/>
    <cellStyle name="Comma 4 4 2 16" xfId="52832" xr:uid="{F9C9484E-1C32-47DF-9460-3244899EA1F0}"/>
    <cellStyle name="Comma 4 4 2 2" xfId="8941" xr:uid="{EDB54567-7F70-49E9-970D-D99C12E846CE}"/>
    <cellStyle name="Comma 4 4 2 2 10" xfId="12195" xr:uid="{809CA0F1-2B65-47B3-BAB1-16C22527CE61}"/>
    <cellStyle name="Comma 4 4 2 2 10 2" xfId="46661" xr:uid="{3F3245D9-59F0-4B33-A662-D612A7CD9FFB}"/>
    <cellStyle name="Comma 4 4 2 2 10 3" xfId="50940" xr:uid="{6490337F-0A45-4C16-A8AB-0BB200F7D2D9}"/>
    <cellStyle name="Comma 4 4 2 2 10 4" xfId="53956" xr:uid="{32CEDE47-5BFA-4A64-899A-12BD29C22BD4}"/>
    <cellStyle name="Comma 4 4 2 2 11" xfId="23770" xr:uid="{73DA5705-4B9D-4B9B-B647-6F76065296BB}"/>
    <cellStyle name="Comma 4 4 2 2 12" xfId="48651" xr:uid="{BDBA9A6C-F6DB-40D7-987D-0CAFCA1E8812}"/>
    <cellStyle name="Comma 4 4 2 2 13" xfId="49559" xr:uid="{3C269184-9918-4DC0-B0BD-FB957CBB1E7E}"/>
    <cellStyle name="Comma 4 4 2 2 14" xfId="49818" xr:uid="{A696EC28-AC55-4280-AA87-FBAE29A74987}"/>
    <cellStyle name="Comma 4 4 2 2 15" xfId="52833" xr:uid="{6A7FD264-577A-4AFA-A8AB-E10B7A5FAE04}"/>
    <cellStyle name="Comma 4 4 2 2 2" xfId="10028" xr:uid="{4B431327-F706-4E4F-B802-3E4FB321DB5A}"/>
    <cellStyle name="Comma 4 4 2 2 2 2" xfId="10336" xr:uid="{B84449F9-60B8-441F-BE40-260C719DA3A0}"/>
    <cellStyle name="Comma 4 4 2 2 2 2 2" xfId="14781" xr:uid="{38E19A2F-07B9-4945-BA5F-C23ECD5AD6EB}"/>
    <cellStyle name="Comma 4 4 2 2 2 2 2 2" xfId="22328" xr:uid="{CD4B9E5F-CE22-4007-A348-0ACF3B8A80EC}"/>
    <cellStyle name="Comma 4 4 2 2 2 2 2 3" xfId="47703" xr:uid="{8348D14D-5526-4DE5-93C7-47770B974384}"/>
    <cellStyle name="Comma 4 4 2 2 2 2 2 4" xfId="51666" xr:uid="{BE83F182-950B-493A-9487-FF24571794DB}"/>
    <cellStyle name="Comma 4 4 2 2 2 2 2 5" xfId="54682" xr:uid="{872262EC-E3A4-4FB1-8F8C-306A8CF03C85}"/>
    <cellStyle name="Comma 4 4 2 2 2 2 3" xfId="15266" xr:uid="{E64E9059-B77F-42D2-8408-FCD0A043087B}"/>
    <cellStyle name="Comma 4 4 2 2 2 2 3 2" xfId="22805" xr:uid="{4891430E-2A91-4A2A-ADB2-082E3F8251B2}"/>
    <cellStyle name="Comma 4 4 2 2 2 2 3 3" xfId="46899" xr:uid="{D441314A-9342-48B1-8141-FC213BF0F837}"/>
    <cellStyle name="Comma 4 4 2 2 2 2 3 4" xfId="52143" xr:uid="{0FEEBB7C-8912-412F-97B9-BCBBFCEF71F8}"/>
    <cellStyle name="Comma 4 4 2 2 2 2 3 5" xfId="55159" xr:uid="{EE8F3510-A299-48CC-A1A6-4CA1F6F0C46C}"/>
    <cellStyle name="Comma 4 4 2 2 2 2 4" xfId="15753" xr:uid="{0C5498CF-4AE3-46F6-996B-D6D01E37C9F9}"/>
    <cellStyle name="Comma 4 4 2 2 2 2 4 2" xfId="23282" xr:uid="{2379C3E7-6B6E-4D8B-8DA4-DE612329763D}"/>
    <cellStyle name="Comma 4 4 2 2 2 2 4 3" xfId="24646" xr:uid="{FC9866C2-1442-4EAB-A159-B0A91E58FB83}"/>
    <cellStyle name="Comma 4 4 2 2 2 2 4 4" xfId="52620" xr:uid="{EABAC306-A605-4709-869D-343405AF57D7}"/>
    <cellStyle name="Comma 4 4 2 2 2 2 4 5" xfId="55636" xr:uid="{70312552-922C-49B9-9F4F-05EBA381EBFE}"/>
    <cellStyle name="Comma 4 4 2 2 2 2 5" xfId="12789" xr:uid="{B2C6E13D-385C-4578-9A21-AC4E5E62060C}"/>
    <cellStyle name="Comma 4 4 2 2 2 2 5 2" xfId="47471" xr:uid="{EF75C260-06F9-48FB-9AC6-FED7D7C48397}"/>
    <cellStyle name="Comma 4 4 2 2 2 2 5 3" xfId="51189" xr:uid="{2969273D-4ACB-4467-92EC-6B9D7977616A}"/>
    <cellStyle name="Comma 4 4 2 2 2 2 5 4" xfId="54205" xr:uid="{720183AA-BCC2-4830-A7DA-E09281E5C64A}"/>
    <cellStyle name="Comma 4 4 2 2 2 2 6" xfId="48525" xr:uid="{CBAA172A-6DD3-4169-8BE7-3B0EE7A23C02}"/>
    <cellStyle name="Comma 4 4 2 2 2 2 7" xfId="50083" xr:uid="{3F14C358-F550-4B12-B1A5-127B09F2030C}"/>
    <cellStyle name="Comma 4 4 2 2 2 2 8" xfId="53099" xr:uid="{13486852-7041-4A64-BF84-9C41A83D86B2}"/>
    <cellStyle name="Comma 4 4 2 2 2 3" xfId="14569" xr:uid="{F13FEA65-1E3D-4103-AC10-A733E8A511CF}"/>
    <cellStyle name="Comma 4 4 2 2 2 3 2" xfId="22116" xr:uid="{8A8ADCB8-E1F4-4496-91AA-AFF6F23CC791}"/>
    <cellStyle name="Comma 4 4 2 2 2 3 3" xfId="47329" xr:uid="{EC5F2BB2-5672-4F6B-9D23-20B087AD0190}"/>
    <cellStyle name="Comma 4 4 2 2 2 3 4" xfId="51454" xr:uid="{E755B1F1-A706-4E6C-85D4-94E9C989F847}"/>
    <cellStyle name="Comma 4 4 2 2 2 3 5" xfId="54470" xr:uid="{CD6CA9C5-8663-40D2-8CAD-6420E360E835}"/>
    <cellStyle name="Comma 4 4 2 2 2 4" xfId="15053" xr:uid="{0A128F22-C881-4EB9-A09A-E269726C8C41}"/>
    <cellStyle name="Comma 4 4 2 2 2 4 2" xfId="22593" xr:uid="{9A5BCBD6-F075-4301-BD6F-C3936AE77BD5}"/>
    <cellStyle name="Comma 4 4 2 2 2 4 3" xfId="46687" xr:uid="{4898D143-1C4E-4590-81D2-3BCE07781E7E}"/>
    <cellStyle name="Comma 4 4 2 2 2 4 4" xfId="51931" xr:uid="{4E33107D-1AC2-4F79-9A72-FBC82C3AC249}"/>
    <cellStyle name="Comma 4 4 2 2 2 4 5" xfId="54947" xr:uid="{4CAA8190-3AC8-477A-B186-4C5DCA0B2BA3}"/>
    <cellStyle name="Comma 4 4 2 2 2 5" xfId="15540" xr:uid="{82CD912C-2CAE-4BAF-9304-876E533B0D84}"/>
    <cellStyle name="Comma 4 4 2 2 2 5 2" xfId="23070" xr:uid="{2AAEAF0E-8602-4D34-B4E2-D86F4B0A4DEE}"/>
    <cellStyle name="Comma 4 4 2 2 2 5 3" xfId="46932" xr:uid="{B42F1BB2-6A7B-4E37-8E7F-92D8DF039E0E}"/>
    <cellStyle name="Comma 4 4 2 2 2 5 4" xfId="52408" xr:uid="{5D60C632-C23F-4CAB-9D1C-A8E935A061B8}"/>
    <cellStyle name="Comma 4 4 2 2 2 5 5" xfId="55424" xr:uid="{AD377503-3699-4EC2-9BF0-32EBBB970176}"/>
    <cellStyle name="Comma 4 4 2 2 2 6" xfId="12488" xr:uid="{706BBBED-13B5-434F-A09A-A743F8642EC0}"/>
    <cellStyle name="Comma 4 4 2 2 2 6 2" xfId="32336" xr:uid="{5AB28DB9-5DDA-41A3-BC09-0A0B194C8097}"/>
    <cellStyle name="Comma 4 4 2 2 2 6 3" xfId="50977" xr:uid="{38A8CABA-F2C3-473D-A4FC-11456EB9C5C4}"/>
    <cellStyle name="Comma 4 4 2 2 2 6 4" xfId="53993" xr:uid="{B0C0D9A9-8A54-4EB5-AA7C-E038B44B4A2B}"/>
    <cellStyle name="Comma 4 4 2 2 2 7" xfId="47574" xr:uid="{C235A80B-9E59-46DB-B4F9-D8AD35CBF112}"/>
    <cellStyle name="Comma 4 4 2 2 2 8" xfId="49871" xr:uid="{1E6A4401-D549-4FE9-BA4B-2E3A6761DB32}"/>
    <cellStyle name="Comma 4 4 2 2 2 9" xfId="52887" xr:uid="{280ADA00-15B1-4A2C-9BB1-C4D26BD9338C}"/>
    <cellStyle name="Comma 4 4 2 2 3" xfId="10102" xr:uid="{69BF9FAF-EB56-451A-B886-379F7ECC0D9D}"/>
    <cellStyle name="Comma 4 4 2 2 3 2" xfId="10415" xr:uid="{B6E96F19-90DA-4CE6-8B56-0E5571F8B10C}"/>
    <cellStyle name="Comma 4 4 2 2 3 2 2" xfId="14834" xr:uid="{01AE65B9-4E62-4A06-B509-966EF956CCBF}"/>
    <cellStyle name="Comma 4 4 2 2 3 2 2 2" xfId="22381" xr:uid="{A7A3F765-1429-4AE0-9B5C-BAC65AA4DAD0}"/>
    <cellStyle name="Comma 4 4 2 2 3 2 2 3" xfId="48119" xr:uid="{9D295981-9438-4A66-9B0D-EF46AC14C25B}"/>
    <cellStyle name="Comma 4 4 2 2 3 2 2 4" xfId="51719" xr:uid="{75F9C4B4-9749-4E3B-8FAF-8C8074FE2E89}"/>
    <cellStyle name="Comma 4 4 2 2 3 2 2 5" xfId="54735" xr:uid="{E46F663E-4A3C-4142-BF5B-98DF212DB071}"/>
    <cellStyle name="Comma 4 4 2 2 3 2 3" xfId="15319" xr:uid="{7CDD0870-0C33-4CF6-B87A-A7661B270FC0}"/>
    <cellStyle name="Comma 4 4 2 2 3 2 3 2" xfId="22858" xr:uid="{98F0472B-132D-41E7-B3F9-EA6081D40CEF}"/>
    <cellStyle name="Comma 4 4 2 2 3 2 3 3" xfId="46515" xr:uid="{586C0728-A859-4C25-BCD5-F96303CDF8E7}"/>
    <cellStyle name="Comma 4 4 2 2 3 2 3 4" xfId="52196" xr:uid="{DF75626E-6CDD-4021-BD68-B961DB07CEEB}"/>
    <cellStyle name="Comma 4 4 2 2 3 2 3 5" xfId="55212" xr:uid="{EAA7BB46-2051-4E14-9CC8-46F67C2816D7}"/>
    <cellStyle name="Comma 4 4 2 2 3 2 4" xfId="15806" xr:uid="{8C7C835F-E283-470C-BE4A-1A574815CB07}"/>
    <cellStyle name="Comma 4 4 2 2 3 2 4 2" xfId="23335" xr:uid="{EB4F958E-4457-4AF3-9DCB-3131EAE2A216}"/>
    <cellStyle name="Comma 4 4 2 2 3 2 4 3" xfId="48255" xr:uid="{B7DE2E86-8ABE-46FF-96A4-7BCE515D6FA1}"/>
    <cellStyle name="Comma 4 4 2 2 3 2 4 4" xfId="52673" xr:uid="{53521863-D6B5-4DA5-A6A9-14B11F8BFB9F}"/>
    <cellStyle name="Comma 4 4 2 2 3 2 4 5" xfId="55689" xr:uid="{6271BF86-270F-4B66-AA26-DF85AD74E825}"/>
    <cellStyle name="Comma 4 4 2 2 3 2 5" xfId="12868" xr:uid="{68F5EDF2-2357-4428-A72B-DAE180170278}"/>
    <cellStyle name="Comma 4 4 2 2 3 2 5 2" xfId="47231" xr:uid="{9CC510B3-6BF4-4990-BF8F-6A07C3482DD9}"/>
    <cellStyle name="Comma 4 4 2 2 3 2 5 3" xfId="51242" xr:uid="{5F09F36C-A81D-405E-B11A-3074A970A95E}"/>
    <cellStyle name="Comma 4 4 2 2 3 2 5 4" xfId="54258" xr:uid="{280F487B-FE85-4574-B0F9-D716E9A8192E}"/>
    <cellStyle name="Comma 4 4 2 2 3 2 6" xfId="46116" xr:uid="{27F51875-8D3F-4C88-93D3-E93668FF9975}"/>
    <cellStyle name="Comma 4 4 2 2 3 2 7" xfId="50136" xr:uid="{8D1B68AB-92C9-47FB-B9A0-ED68457DE9AB}"/>
    <cellStyle name="Comma 4 4 2 2 3 2 8" xfId="53152" xr:uid="{9C1F80D0-660A-4274-99B3-52D797E14211}"/>
    <cellStyle name="Comma 4 4 2 2 3 3" xfId="14622" xr:uid="{AE89EF82-50E1-4EAE-8899-BD638F25FA64}"/>
    <cellStyle name="Comma 4 4 2 2 3 3 2" xfId="22169" xr:uid="{4C502A27-EEB9-493B-9A01-0C85AFB4366A}"/>
    <cellStyle name="Comma 4 4 2 2 3 3 3" xfId="47330" xr:uid="{6B8D67CC-C60B-4A25-938C-A32C234C250B}"/>
    <cellStyle name="Comma 4 4 2 2 3 3 4" xfId="51507" xr:uid="{186B21E9-F527-4B01-AA1D-B53E90479D28}"/>
    <cellStyle name="Comma 4 4 2 2 3 3 5" xfId="54523" xr:uid="{77D29B15-59D5-4E80-9BA6-F476C69E5F89}"/>
    <cellStyle name="Comma 4 4 2 2 3 4" xfId="15107" xr:uid="{BF32F2AB-35F6-4817-BA64-C49DE7C8ACDD}"/>
    <cellStyle name="Comma 4 4 2 2 3 4 2" xfId="22646" xr:uid="{44B436E7-1FF3-4AC7-B2BB-B8C9660903E9}"/>
    <cellStyle name="Comma 4 4 2 2 3 4 3" xfId="47433" xr:uid="{F5BCF7BD-5D16-47B4-9855-D2D163D51BD8}"/>
    <cellStyle name="Comma 4 4 2 2 3 4 4" xfId="51984" xr:uid="{D6C0C994-9024-48EA-BCB3-636BF16E332F}"/>
    <cellStyle name="Comma 4 4 2 2 3 4 5" xfId="55000" xr:uid="{1F52C6FE-7F81-4A6E-8B94-0D39E859A8C5}"/>
    <cellStyle name="Comma 4 4 2 2 3 5" xfId="15594" xr:uid="{332D389B-AF3E-402E-AC45-5A5C051275C6}"/>
    <cellStyle name="Comma 4 4 2 2 3 5 2" xfId="23123" xr:uid="{713BE005-9F27-421D-BAF1-177C8E652B60}"/>
    <cellStyle name="Comma 4 4 2 2 3 5 3" xfId="48023" xr:uid="{00B1A6C6-5249-492C-8C30-FB96B2E46D45}"/>
    <cellStyle name="Comma 4 4 2 2 3 5 4" xfId="52461" xr:uid="{B7D0FFBF-4810-41B4-9244-DBF2937652C0}"/>
    <cellStyle name="Comma 4 4 2 2 3 5 5" xfId="55477" xr:uid="{16EB717F-9D1E-419C-8C79-C59B3B188454}"/>
    <cellStyle name="Comma 4 4 2 2 3 6" xfId="12559" xr:uid="{2B51EF98-A126-406B-8436-4A8B95DE075B}"/>
    <cellStyle name="Comma 4 4 2 2 3 6 2" xfId="24697" xr:uid="{8DA23EFA-7D0C-4198-BF11-A330DADBE55A}"/>
    <cellStyle name="Comma 4 4 2 2 3 6 3" xfId="51030" xr:uid="{1C5FAD59-4DCC-4081-88AE-4B38A1B359D5}"/>
    <cellStyle name="Comma 4 4 2 2 3 6 4" xfId="54046" xr:uid="{147AC97D-0868-44C4-9094-4BD6B80AD079}"/>
    <cellStyle name="Comma 4 4 2 2 3 7" xfId="46046" xr:uid="{6D51E31C-9B9A-468E-B49F-4FD2144FD1D9}"/>
    <cellStyle name="Comma 4 4 2 2 3 8" xfId="49924" xr:uid="{8AA5402E-BE59-4D41-9D27-F1735EC233DD}"/>
    <cellStyle name="Comma 4 4 2 2 3 9" xfId="52940" xr:uid="{788185FE-5FF1-4894-A2C6-7F20F80725A9}"/>
    <cellStyle name="Comma 4 4 2 2 4" xfId="10181" xr:uid="{C9BA60B8-FAED-42C2-8618-633948B47517}"/>
    <cellStyle name="Comma 4 4 2 2 4 2" xfId="10495" xr:uid="{7F82ED67-8D4D-47C4-A58D-8735B53F3D21}"/>
    <cellStyle name="Comma 4 4 2 2 4 2 2" xfId="14887" xr:uid="{C1B9406E-EC10-4AD7-A194-DA492634A2B0}"/>
    <cellStyle name="Comma 4 4 2 2 4 2 2 2" xfId="22434" xr:uid="{DE0412AB-BB9C-4721-B72A-421960CF1E3D}"/>
    <cellStyle name="Comma 4 4 2 2 4 2 2 3" xfId="47184" xr:uid="{55A0F226-5C1A-40EF-A299-CBC60D8DA366}"/>
    <cellStyle name="Comma 4 4 2 2 4 2 2 4" xfId="51772" xr:uid="{BAE79F36-8E8E-40D7-9B05-B4BE0D474A6E}"/>
    <cellStyle name="Comma 4 4 2 2 4 2 2 5" xfId="54788" xr:uid="{15F0E8D6-9A5F-4947-8E89-42BF4898F6FA}"/>
    <cellStyle name="Comma 4 4 2 2 4 2 3" xfId="15372" xr:uid="{53F61FDB-F465-4D84-9F70-F1DC326AE92A}"/>
    <cellStyle name="Comma 4 4 2 2 4 2 3 2" xfId="22911" xr:uid="{2CCB143A-3831-4C60-8AED-D6B718534D3E}"/>
    <cellStyle name="Comma 4 4 2 2 4 2 3 3" xfId="36575" xr:uid="{F4E4A1B9-73F0-45A6-992D-3EB940AF5DAA}"/>
    <cellStyle name="Comma 4 4 2 2 4 2 3 4" xfId="52249" xr:uid="{28C4ED90-25C6-4C3A-A6CD-04869DF40570}"/>
    <cellStyle name="Comma 4 4 2 2 4 2 3 5" xfId="55265" xr:uid="{9D78581C-EE39-470D-BD2D-6387983C327D}"/>
    <cellStyle name="Comma 4 4 2 2 4 2 4" xfId="15859" xr:uid="{94D2C3CD-7871-49D7-A62F-84070316E61D}"/>
    <cellStyle name="Comma 4 4 2 2 4 2 4 2" xfId="23388" xr:uid="{E9631718-F603-47B3-BF93-24DF824EE198}"/>
    <cellStyle name="Comma 4 4 2 2 4 2 4 3" xfId="47504" xr:uid="{EC0B9956-4C5B-40FD-A265-8759DA376BEB}"/>
    <cellStyle name="Comma 4 4 2 2 4 2 4 4" xfId="52726" xr:uid="{C8ABAA70-086C-4CFE-B68E-C5DBFD7444DF}"/>
    <cellStyle name="Comma 4 4 2 2 4 2 4 5" xfId="55742" xr:uid="{DF7AD0B7-15F5-45A7-8033-7C89F511EEA4}"/>
    <cellStyle name="Comma 4 4 2 2 4 2 5" xfId="12948" xr:uid="{FBD31DC5-371D-49C2-8E19-A5A115FAA87D}"/>
    <cellStyle name="Comma 4 4 2 2 4 2 5 2" xfId="25035" xr:uid="{51F63E95-CB86-458E-A54A-BEA97CBFA5DA}"/>
    <cellStyle name="Comma 4 4 2 2 4 2 5 3" xfId="51295" xr:uid="{83A29340-46AE-4F39-8676-615E4C25DAEE}"/>
    <cellStyle name="Comma 4 4 2 2 4 2 5 4" xfId="54311" xr:uid="{E02491FD-1D8A-41DC-9691-9472BE996B5B}"/>
    <cellStyle name="Comma 4 4 2 2 4 2 6" xfId="47292" xr:uid="{FE854A25-06E4-451D-8D63-ECE133E36620}"/>
    <cellStyle name="Comma 4 4 2 2 4 2 7" xfId="50189" xr:uid="{D7E96E23-1E57-4816-BFB9-3DB952B13871}"/>
    <cellStyle name="Comma 4 4 2 2 4 2 8" xfId="53205" xr:uid="{8E6EC9E8-BE56-42C5-9C2F-3703CCB4B555}"/>
    <cellStyle name="Comma 4 4 2 2 4 3" xfId="14675" xr:uid="{F817DA18-51FA-4A0E-9BC6-5700DCD79C6B}"/>
    <cellStyle name="Comma 4 4 2 2 4 3 2" xfId="22222" xr:uid="{8EFA0B9D-025D-43E0-B7E6-CDDD10B3A7FD}"/>
    <cellStyle name="Comma 4 4 2 2 4 3 3" xfId="32530" xr:uid="{613787C1-39D7-4F3D-9BD1-51B8B47FAD47}"/>
    <cellStyle name="Comma 4 4 2 2 4 3 4" xfId="51560" xr:uid="{1417EB62-9AF9-452D-89DD-9E50A036DD27}"/>
    <cellStyle name="Comma 4 4 2 2 4 3 5" xfId="54576" xr:uid="{E16C5E0A-1E4C-4321-928E-5B1296826D74}"/>
    <cellStyle name="Comma 4 4 2 2 4 4" xfId="15160" xr:uid="{A471D176-54A2-4459-B41B-1331BB763AB7}"/>
    <cellStyle name="Comma 4 4 2 2 4 4 2" xfId="22699" xr:uid="{AE689DA3-7E9A-4C23-B777-0DE12218CC95}"/>
    <cellStyle name="Comma 4 4 2 2 4 4 3" xfId="46887" xr:uid="{2CA471C2-90B2-4371-B318-7E07B12D0E39}"/>
    <cellStyle name="Comma 4 4 2 2 4 4 4" xfId="52037" xr:uid="{131DBD30-50C8-4E7A-AB79-CFFFCD97AEDF}"/>
    <cellStyle name="Comma 4 4 2 2 4 4 5" xfId="55053" xr:uid="{FE3A3584-9EF6-427C-81DA-0750465176F2}"/>
    <cellStyle name="Comma 4 4 2 2 4 5" xfId="15647" xr:uid="{4C69B0DB-B80E-4273-A68D-B1B1B19EBB36}"/>
    <cellStyle name="Comma 4 4 2 2 4 5 2" xfId="23176" xr:uid="{E30A9FC4-7545-4689-A3CD-55F5537A8A87}"/>
    <cellStyle name="Comma 4 4 2 2 4 5 3" xfId="48227" xr:uid="{C4285BE4-41AB-4D15-8F65-4D48EB4B083F}"/>
    <cellStyle name="Comma 4 4 2 2 4 5 4" xfId="52514" xr:uid="{5457C0D2-EE64-4A3F-BF6B-8173DFAD875B}"/>
    <cellStyle name="Comma 4 4 2 2 4 5 5" xfId="55530" xr:uid="{CD84F4A7-87A0-4228-B72D-5B35B5354690}"/>
    <cellStyle name="Comma 4 4 2 2 4 6" xfId="12635" xr:uid="{78BBF9B6-7BCC-4A72-9F69-1AA7C0E6743C}"/>
    <cellStyle name="Comma 4 4 2 2 4 6 2" xfId="37123" xr:uid="{420B7484-2E55-44F8-8A3E-3DBFD5E87240}"/>
    <cellStyle name="Comma 4 4 2 2 4 6 3" xfId="51083" xr:uid="{F768A4C9-84A7-4EF7-8839-06A86933CFC2}"/>
    <cellStyle name="Comma 4 4 2 2 4 6 4" xfId="54099" xr:uid="{AAA96DD3-E86F-4E32-A28D-F76FA24B85F8}"/>
    <cellStyle name="Comma 4 4 2 2 4 7" xfId="47578" xr:uid="{5511E4D4-3E37-4DF4-A787-094AC2E3CEC8}"/>
    <cellStyle name="Comma 4 4 2 2 4 8" xfId="49977" xr:uid="{B8430F04-F9A2-48B3-9766-9521580D61F3}"/>
    <cellStyle name="Comma 4 4 2 2 4 9" xfId="52993" xr:uid="{B5BBF02D-B284-4A5F-817D-9150658F4186}"/>
    <cellStyle name="Comma 4 4 2 2 5" xfId="10261" xr:uid="{B1E397D0-752D-4DAA-9D21-3D924700B535}"/>
    <cellStyle name="Comma 4 4 2 2 5 2" xfId="14728" xr:uid="{0D297DF5-06BC-484B-BF95-E8A4D3C7A6E2}"/>
    <cellStyle name="Comma 4 4 2 2 5 2 2" xfId="22275" xr:uid="{8E7997D1-ED04-4DE5-ADC8-CBFC2E9378AA}"/>
    <cellStyle name="Comma 4 4 2 2 5 2 3" xfId="34047" xr:uid="{C8380934-0616-425E-8131-349907AD2B2D}"/>
    <cellStyle name="Comma 4 4 2 2 5 2 4" xfId="51613" xr:uid="{1C936D85-A30A-4BC5-9484-7F18845FD95D}"/>
    <cellStyle name="Comma 4 4 2 2 5 2 5" xfId="54629" xr:uid="{8E17FE92-56A9-4E61-BADC-18F3F9590AC0}"/>
    <cellStyle name="Comma 4 4 2 2 5 3" xfId="15213" xr:uid="{78B85D58-1D6A-4028-A6DC-3761D8BC0CDA}"/>
    <cellStyle name="Comma 4 4 2 2 5 3 2" xfId="22752" xr:uid="{4374EC88-D5C7-4388-B8B1-155BCB1A7056}"/>
    <cellStyle name="Comma 4 4 2 2 5 3 3" xfId="23838" xr:uid="{0F3E8910-469E-4D20-B9B3-C1217ADE0A6D}"/>
    <cellStyle name="Comma 4 4 2 2 5 3 4" xfId="52090" xr:uid="{3F141A57-3FE2-477D-8F3C-27BD395A1BE1}"/>
    <cellStyle name="Comma 4 4 2 2 5 3 5" xfId="55106" xr:uid="{66E251C7-E7AF-4697-8FBD-BF11E81A5FB1}"/>
    <cellStyle name="Comma 4 4 2 2 5 4" xfId="15700" xr:uid="{340C15D6-3662-4C87-A101-425F83BC3363}"/>
    <cellStyle name="Comma 4 4 2 2 5 4 2" xfId="23229" xr:uid="{1A0ED14B-DAE7-4D1F-A4FE-FB3E31447E32}"/>
    <cellStyle name="Comma 4 4 2 2 5 4 3" xfId="25285" xr:uid="{0DC95726-14A2-4E8D-B6C8-9778E997E935}"/>
    <cellStyle name="Comma 4 4 2 2 5 4 4" xfId="52567" xr:uid="{4B988500-C43B-462C-A4C1-3154EF07BE57}"/>
    <cellStyle name="Comma 4 4 2 2 5 4 5" xfId="55583" xr:uid="{ACC825B7-58CA-4509-9EC1-7E3789A9383F}"/>
    <cellStyle name="Comma 4 4 2 2 5 5" xfId="12714" xr:uid="{C844D848-6A21-4B66-83DC-D27606EA43E3}"/>
    <cellStyle name="Comma 4 4 2 2 5 5 2" xfId="46785" xr:uid="{DFE5AED6-4B16-426D-AED0-DA182721338B}"/>
    <cellStyle name="Comma 4 4 2 2 5 5 3" xfId="51136" xr:uid="{2EF18879-D80A-4C8C-B032-E4BD8DEF9DAD}"/>
    <cellStyle name="Comma 4 4 2 2 5 5 4" xfId="54152" xr:uid="{020D28E5-0BB6-4414-8C34-5B5BD1B486AC}"/>
    <cellStyle name="Comma 4 4 2 2 5 6" xfId="48234" xr:uid="{E708EA1B-51CD-49DF-89AB-D8AAC15F0340}"/>
    <cellStyle name="Comma 4 4 2 2 5 7" xfId="50030" xr:uid="{37811045-C85B-4B57-91A1-FDAE827D6164}"/>
    <cellStyle name="Comma 4 4 2 2 5 8" xfId="53046" xr:uid="{750710D6-D16C-4544-9496-C99109D57918}"/>
    <cellStyle name="Comma 4 4 2 2 6" xfId="10575" xr:uid="{EB7205E7-ED92-44C0-95DD-8A4172E4669E}"/>
    <cellStyle name="Comma 4 4 2 2 6 2" xfId="14940" xr:uid="{E8A1628A-F77F-4B43-A4C4-49631CE18ACE}"/>
    <cellStyle name="Comma 4 4 2 2 6 2 2" xfId="22487" xr:uid="{A0A4B0E9-A047-48DE-B9AC-1B18C0E451B4}"/>
    <cellStyle name="Comma 4 4 2 2 6 2 3" xfId="46457" xr:uid="{4051F9B6-A373-419B-9D17-44265368680A}"/>
    <cellStyle name="Comma 4 4 2 2 6 2 4" xfId="51825" xr:uid="{50D5B4E3-2FD1-4327-B25F-615F10B3CB1E}"/>
    <cellStyle name="Comma 4 4 2 2 6 2 5" xfId="54841" xr:uid="{925049DF-B29F-40BE-8BF0-0D01A15374CB}"/>
    <cellStyle name="Comma 4 4 2 2 6 3" xfId="15425" xr:uid="{3D82575D-E312-4B98-BA65-42970AFC2408}"/>
    <cellStyle name="Comma 4 4 2 2 6 3 2" xfId="22964" xr:uid="{BFCA43A4-DB3B-4822-AE31-3C028DF0C148}"/>
    <cellStyle name="Comma 4 4 2 2 6 3 3" xfId="46532" xr:uid="{8B7E939F-76E8-4903-B53E-2F4391340388}"/>
    <cellStyle name="Comma 4 4 2 2 6 3 4" xfId="52302" xr:uid="{4193450A-AB38-4A3D-BD2D-8F1909739680}"/>
    <cellStyle name="Comma 4 4 2 2 6 3 5" xfId="55318" xr:uid="{21F8CF66-2D14-4B82-BE70-E056A6494587}"/>
    <cellStyle name="Comma 4 4 2 2 6 4" xfId="15913" xr:uid="{89C7ABC1-DDA6-4CAD-AEF9-A6E90B942DFC}"/>
    <cellStyle name="Comma 4 4 2 2 6 4 2" xfId="23441" xr:uid="{D91DBC63-9D51-4F58-9E67-A9685B3C54EC}"/>
    <cellStyle name="Comma 4 4 2 2 6 4 3" xfId="46983" xr:uid="{4BFE805A-7A0A-406F-AAC7-1708AAF6B0EA}"/>
    <cellStyle name="Comma 4 4 2 2 6 4 4" xfId="52779" xr:uid="{D74318EF-0DEE-4937-8685-665FD1A89A95}"/>
    <cellStyle name="Comma 4 4 2 2 6 4 5" xfId="55795" xr:uid="{660373B9-D3D2-46F7-B83A-F9CA45B10C07}"/>
    <cellStyle name="Comma 4 4 2 2 6 5" xfId="13028" xr:uid="{62FDDF5C-EE4C-40DE-B806-B2AB559DB6A3}"/>
    <cellStyle name="Comma 4 4 2 2 6 5 2" xfId="46384" xr:uid="{22E308E3-6013-4A3A-8AE2-685699D780D0}"/>
    <cellStyle name="Comma 4 4 2 2 6 5 3" xfId="51348" xr:uid="{FCD59B85-D98F-4F74-BC1C-C6B84449811A}"/>
    <cellStyle name="Comma 4 4 2 2 6 5 4" xfId="54364" xr:uid="{681B7990-E6E4-4C9A-B80B-649E1CDC0088}"/>
    <cellStyle name="Comma 4 4 2 2 6 6" xfId="46152" xr:uid="{582185E1-59F0-4193-8FF4-3034D6AA50DC}"/>
    <cellStyle name="Comma 4 4 2 2 6 7" xfId="50242" xr:uid="{F3D9C43A-FD99-4C02-B27E-F9528F245521}"/>
    <cellStyle name="Comma 4 4 2 2 6 8" xfId="53258" xr:uid="{ABEFA7F5-CC2C-41B8-8806-7441892E6A0C}"/>
    <cellStyle name="Comma 4 4 2 2 7" xfId="14516" xr:uid="{9B8D924B-03CE-4841-9985-AEC12FC0297A}"/>
    <cellStyle name="Comma 4 4 2 2 7 2" xfId="22063" xr:uid="{F8C1883E-494B-46F4-9F87-F51BDF5C9586}"/>
    <cellStyle name="Comma 4 4 2 2 7 3" xfId="24984" xr:uid="{EF279192-B08D-4B56-9191-97778A78A0B9}"/>
    <cellStyle name="Comma 4 4 2 2 7 4" xfId="51401" xr:uid="{8B2B1C77-58C9-413A-B649-F6BE67315458}"/>
    <cellStyle name="Comma 4 4 2 2 7 5" xfId="54417" xr:uid="{9A28CE74-BB71-4BF5-A5C1-82FB2BC79B79}"/>
    <cellStyle name="Comma 4 4 2 2 8" xfId="15000" xr:uid="{3BC28816-21AC-4A94-A40B-7751F4808ED7}"/>
    <cellStyle name="Comma 4 4 2 2 8 2" xfId="22540" xr:uid="{484309F2-FEC1-41A8-958C-F48CDAAF7161}"/>
    <cellStyle name="Comma 4 4 2 2 8 3" xfId="47629" xr:uid="{0AD1FB63-0EE6-4D08-8968-4C17D88E257F}"/>
    <cellStyle name="Comma 4 4 2 2 8 4" xfId="51878" xr:uid="{DF00EF65-72E2-4D92-A15F-B86F34BBD5FB}"/>
    <cellStyle name="Comma 4 4 2 2 8 5" xfId="54894" xr:uid="{D6A4891B-FDEF-42B1-8D23-5656509C402F}"/>
    <cellStyle name="Comma 4 4 2 2 9" xfId="15487" xr:uid="{072FFAF9-A08F-49C4-914E-DE9659F92BCC}"/>
    <cellStyle name="Comma 4 4 2 2 9 2" xfId="23017" xr:uid="{F83436CC-5D95-4C0E-B0C2-C0898592C2AF}"/>
    <cellStyle name="Comma 4 4 2 2 9 3" xfId="47969" xr:uid="{F02DE274-10A7-4CED-90C6-94BAD85D3698}"/>
    <cellStyle name="Comma 4 4 2 2 9 4" xfId="52355" xr:uid="{49F7C54F-6F35-46C7-8FB4-6E26299D9F6D}"/>
    <cellStyle name="Comma 4 4 2 2 9 5" xfId="55371" xr:uid="{B4CC275E-7561-4A28-AB4D-78D13936AE28}"/>
    <cellStyle name="Comma 4 4 2 3" xfId="10027" xr:uid="{AFDBAF20-F48E-4BFC-BC47-43B88E275366}"/>
    <cellStyle name="Comma 4 4 2 3 2" xfId="10335" xr:uid="{2995823E-E624-48CC-B96F-AAC8AEA33F2E}"/>
    <cellStyle name="Comma 4 4 2 3 2 2" xfId="14780" xr:uid="{874EADBF-8565-45DA-8C45-122C9D1368C9}"/>
    <cellStyle name="Comma 4 4 2 3 2 2 2" xfId="22327" xr:uid="{0967632E-548F-4147-9B08-E7A99F6E0CE1}"/>
    <cellStyle name="Comma 4 4 2 3 2 2 3" xfId="24749" xr:uid="{6D627007-F6CF-49CE-956D-27D8E8458BC9}"/>
    <cellStyle name="Comma 4 4 2 3 2 2 4" xfId="51665" xr:uid="{A93EE1CF-0C46-41D1-A732-B99A832606BD}"/>
    <cellStyle name="Comma 4 4 2 3 2 2 5" xfId="54681" xr:uid="{22EDA6C9-8BA2-4D91-9760-8B3BC51579BE}"/>
    <cellStyle name="Comma 4 4 2 3 2 3" xfId="15265" xr:uid="{7C021963-085B-4ACF-9A14-CA13F2C43500}"/>
    <cellStyle name="Comma 4 4 2 3 2 3 2" xfId="22804" xr:uid="{2ACD88DC-87C4-4B6C-AF79-13A021BB5E5F}"/>
    <cellStyle name="Comma 4 4 2 3 2 3 3" xfId="47248" xr:uid="{E96237C6-D80B-43EA-B91F-5CD154C6963E}"/>
    <cellStyle name="Comma 4 4 2 3 2 3 4" xfId="52142" xr:uid="{FF930A3D-51AC-498A-875D-DD27E9C1797A}"/>
    <cellStyle name="Comma 4 4 2 3 2 3 5" xfId="55158" xr:uid="{ED4BC553-17B5-4CEC-A0C5-495AFB68C2B7}"/>
    <cellStyle name="Comma 4 4 2 3 2 4" xfId="15752" xr:uid="{C4B9E670-64D4-49EE-A72D-88290DFE9749}"/>
    <cellStyle name="Comma 4 4 2 3 2 4 2" xfId="23281" xr:uid="{4AC15EF2-F4DF-4B23-91B9-2751F9FBA2AF}"/>
    <cellStyle name="Comma 4 4 2 3 2 4 3" xfId="46960" xr:uid="{91F0290F-1EC6-4B84-B333-AFA67BE52290}"/>
    <cellStyle name="Comma 4 4 2 3 2 4 4" xfId="52619" xr:uid="{2F743766-CFB9-495F-90AD-22EAE56818EA}"/>
    <cellStyle name="Comma 4 4 2 3 2 4 5" xfId="55635" xr:uid="{CB8E158B-ECEB-431D-8B9B-DE46FFF1851A}"/>
    <cellStyle name="Comma 4 4 2 3 2 5" xfId="12788" xr:uid="{50881AF3-D939-421B-B3C2-8D6F5AB4099C}"/>
    <cellStyle name="Comma 4 4 2 3 2 5 2" xfId="46794" xr:uid="{CC9A9CB7-EDE1-4E2B-BBB4-18663FB8B617}"/>
    <cellStyle name="Comma 4 4 2 3 2 5 3" xfId="51188" xr:uid="{96E36122-6C0A-4D8A-8053-C5D60DD28155}"/>
    <cellStyle name="Comma 4 4 2 3 2 5 4" xfId="54204" xr:uid="{D46A6777-927E-4B8D-9C88-3BBD30C40AB5}"/>
    <cellStyle name="Comma 4 4 2 3 2 6" xfId="47854" xr:uid="{6151E786-E8C1-4468-9985-338280F28AB2}"/>
    <cellStyle name="Comma 4 4 2 3 2 7" xfId="50082" xr:uid="{6876A0EF-C453-49C8-96A1-90F45D82CEED}"/>
    <cellStyle name="Comma 4 4 2 3 2 8" xfId="53098" xr:uid="{8803CA2C-8E1B-42EB-A449-E110E7C2F72C}"/>
    <cellStyle name="Comma 4 4 2 3 3" xfId="14568" xr:uid="{B8B546F5-FDFF-4A11-A162-C6EB685DB8AE}"/>
    <cellStyle name="Comma 4 4 2 3 3 2" xfId="22115" xr:uid="{ACF3CABC-705E-48AE-B7E0-69676A822956}"/>
    <cellStyle name="Comma 4 4 2 3 3 3" xfId="48059" xr:uid="{D0E2DE2D-754C-4FA4-AEE0-F95DDFCEAADC}"/>
    <cellStyle name="Comma 4 4 2 3 3 4" xfId="51453" xr:uid="{43E46645-5CA0-47DE-936F-FBBA939A2716}"/>
    <cellStyle name="Comma 4 4 2 3 3 5" xfId="54469" xr:uid="{DC33F25E-D65D-4E1A-A430-683767BBC6D7}"/>
    <cellStyle name="Comma 4 4 2 3 4" xfId="15052" xr:uid="{7BF75FEB-AE90-46ED-B34F-B650BC6F8292}"/>
    <cellStyle name="Comma 4 4 2 3 4 2" xfId="22592" xr:uid="{80A2BDF6-7B7F-4047-B863-B72A8D22A143}"/>
    <cellStyle name="Comma 4 4 2 3 4 3" xfId="47513" xr:uid="{6BF8B8AF-F22C-47A5-A2FB-8C271A40949F}"/>
    <cellStyle name="Comma 4 4 2 3 4 4" xfId="51930" xr:uid="{FBB7C26F-2127-4E96-93A6-EBAB11B46322}"/>
    <cellStyle name="Comma 4 4 2 3 4 5" xfId="54946" xr:uid="{E8986CD0-88B8-4DA0-BA96-AF9544DF9488}"/>
    <cellStyle name="Comma 4 4 2 3 5" xfId="15539" xr:uid="{96DBD6D9-A942-42C3-9CCB-14B7CAE7ABF7}"/>
    <cellStyle name="Comma 4 4 2 3 5 2" xfId="23069" xr:uid="{2C6D05CF-F6F4-45C4-81C8-8A2C52654ADD}"/>
    <cellStyle name="Comma 4 4 2 3 5 3" xfId="48129" xr:uid="{605A6487-9AAF-49D5-AEA0-7B3F3DB6662D}"/>
    <cellStyle name="Comma 4 4 2 3 5 4" xfId="52407" xr:uid="{3E766B28-5C35-48D0-ADFA-AFBDC27EE89D}"/>
    <cellStyle name="Comma 4 4 2 3 5 5" xfId="55423" xr:uid="{50F60C9E-810C-43A7-87B6-AA0D02211007}"/>
    <cellStyle name="Comma 4 4 2 3 6" xfId="12487" xr:uid="{685B9176-22A9-473A-AA39-DD1D84DBD4E5}"/>
    <cellStyle name="Comma 4 4 2 3 6 2" xfId="25091" xr:uid="{C315E806-C639-4954-915A-E2818A17A85E}"/>
    <cellStyle name="Comma 4 4 2 3 6 3" xfId="50976" xr:uid="{01C86025-DD17-40EB-BA98-0E23DE366FE8}"/>
    <cellStyle name="Comma 4 4 2 3 6 4" xfId="53992" xr:uid="{4A3EBC9D-A18A-4232-929F-86CBA8AD15E3}"/>
    <cellStyle name="Comma 4 4 2 3 7" xfId="46030" xr:uid="{91DEF12E-64DB-43F2-A543-F4EBBCBA4141}"/>
    <cellStyle name="Comma 4 4 2 3 8" xfId="49870" xr:uid="{AC73A692-665B-4935-BE69-A15483FFED48}"/>
    <cellStyle name="Comma 4 4 2 3 9" xfId="52886" xr:uid="{80BFA0EB-FEEF-47F4-8DFA-1F3958B96ACD}"/>
    <cellStyle name="Comma 4 4 2 4" xfId="10101" xr:uid="{254F870A-F6BA-4413-B171-B4AF892CB8F3}"/>
    <cellStyle name="Comma 4 4 2 4 2" xfId="10414" xr:uid="{20512995-2767-431A-A6A6-06577DD1A32A}"/>
    <cellStyle name="Comma 4 4 2 4 2 2" xfId="14833" xr:uid="{BFAFCFFB-D773-4BDB-A817-853E7C1C5A93}"/>
    <cellStyle name="Comma 4 4 2 4 2 2 2" xfId="22380" xr:uid="{02B97522-2D28-4066-83E1-F04F60C1A141}"/>
    <cellStyle name="Comma 4 4 2 4 2 2 3" xfId="24942" xr:uid="{DFF3CE45-6C50-46E5-B580-172D93122792}"/>
    <cellStyle name="Comma 4 4 2 4 2 2 4" xfId="51718" xr:uid="{DC7C8E76-5B9E-483F-8A07-815D859668F8}"/>
    <cellStyle name="Comma 4 4 2 4 2 2 5" xfId="54734" xr:uid="{0B73D644-E47D-41CB-B153-DDCA5066AE6E}"/>
    <cellStyle name="Comma 4 4 2 4 2 3" xfId="15318" xr:uid="{42954614-71CB-4AFA-A4F2-98DD72F892F5}"/>
    <cellStyle name="Comma 4 4 2 4 2 3 2" xfId="22857" xr:uid="{9BEF5F1F-F2DE-43F4-9424-2562B3393E61}"/>
    <cellStyle name="Comma 4 4 2 4 2 3 3" xfId="47373" xr:uid="{47022840-03EB-4307-AF5B-9C450FEF5066}"/>
    <cellStyle name="Comma 4 4 2 4 2 3 4" xfId="52195" xr:uid="{B56B7842-0551-46C6-BBD9-578359F41EFD}"/>
    <cellStyle name="Comma 4 4 2 4 2 3 5" xfId="55211" xr:uid="{283E8CED-D3D5-422F-864D-EE00367FD4AC}"/>
    <cellStyle name="Comma 4 4 2 4 2 4" xfId="15805" xr:uid="{ED29F238-26D7-4DA6-85A4-5110E662E918}"/>
    <cellStyle name="Comma 4 4 2 4 2 4 2" xfId="23334" xr:uid="{2BCBAEEC-94EC-4674-91F9-9D94BF2294D8}"/>
    <cellStyle name="Comma 4 4 2 4 2 4 3" xfId="46589" xr:uid="{08A55F63-9122-4C50-9C94-BA95B71FDD1D}"/>
    <cellStyle name="Comma 4 4 2 4 2 4 4" xfId="52672" xr:uid="{C6BE8B09-FEE8-47D4-B8FE-6E672C3C8BF5}"/>
    <cellStyle name="Comma 4 4 2 4 2 4 5" xfId="55688" xr:uid="{DCF40BFB-63D3-4DB3-B0C9-EC112A98D387}"/>
    <cellStyle name="Comma 4 4 2 4 2 5" xfId="12867" xr:uid="{8BD0DDC1-2B1D-41E7-9EA4-E07C8D10574E}"/>
    <cellStyle name="Comma 4 4 2 4 2 5 2" xfId="25043" xr:uid="{72C4423F-E630-4DC6-8934-EEB4831AA763}"/>
    <cellStyle name="Comma 4 4 2 4 2 5 3" xfId="51241" xr:uid="{6924ECA5-3567-4753-9EA7-8709D92E6E9C}"/>
    <cellStyle name="Comma 4 4 2 4 2 5 4" xfId="54257" xr:uid="{4132F7CD-3AEF-48E1-A6BA-F68F12F9A582}"/>
    <cellStyle name="Comma 4 4 2 4 2 6" xfId="46115" xr:uid="{986F7969-06EE-49A8-BE66-B2D50AB40617}"/>
    <cellStyle name="Comma 4 4 2 4 2 7" xfId="50135" xr:uid="{E58DA9F9-122A-48F6-8B3B-F76CF52BA496}"/>
    <cellStyle name="Comma 4 4 2 4 2 8" xfId="53151" xr:uid="{530BCCD5-42C6-49EA-ACD3-A4F03DAFAA41}"/>
    <cellStyle name="Comma 4 4 2 4 3" xfId="14621" xr:uid="{94279980-587E-4CCE-AFEB-AD7A5D11A891}"/>
    <cellStyle name="Comma 4 4 2 4 3 2" xfId="22168" xr:uid="{88AC6D93-1937-4767-9B1D-0585DEA55FB4}"/>
    <cellStyle name="Comma 4 4 2 4 3 3" xfId="47770" xr:uid="{4C5D8539-6142-4FE7-9959-316004A194F4}"/>
    <cellStyle name="Comma 4 4 2 4 3 4" xfId="51506" xr:uid="{8A081C0E-E8B2-41B2-8A29-AE3BB2252ACB}"/>
    <cellStyle name="Comma 4 4 2 4 3 5" xfId="54522" xr:uid="{D280B30F-C218-43E5-9871-F9350E3EBEA5}"/>
    <cellStyle name="Comma 4 4 2 4 4" xfId="15106" xr:uid="{F184F7A2-DBF4-48D6-927B-14712C806130}"/>
    <cellStyle name="Comma 4 4 2 4 4 2" xfId="22645" xr:uid="{FCEE1B0D-11DC-4491-9D8A-FD10CAD58B93}"/>
    <cellStyle name="Comma 4 4 2 4 4 3" xfId="46480" xr:uid="{CA6B0A86-525D-4482-AFDF-CCE267E5E01B}"/>
    <cellStyle name="Comma 4 4 2 4 4 4" xfId="51983" xr:uid="{F98CC9E7-42BB-4D7E-846A-9297CAEA8E2A}"/>
    <cellStyle name="Comma 4 4 2 4 4 5" xfId="54999" xr:uid="{CB348AF2-F2C8-42AD-B6AB-3C1127F6E8F7}"/>
    <cellStyle name="Comma 4 4 2 4 5" xfId="15593" xr:uid="{F6ABF9C8-AC89-4E38-9614-052E575BF542}"/>
    <cellStyle name="Comma 4 4 2 4 5 2" xfId="23122" xr:uid="{A7BC17FC-8F2F-40AF-864A-3478C65140DD}"/>
    <cellStyle name="Comma 4 4 2 4 5 3" xfId="46556" xr:uid="{B423BCF7-192F-4EB0-B28B-E4D2E0BA94CF}"/>
    <cellStyle name="Comma 4 4 2 4 5 4" xfId="52460" xr:uid="{C85AF407-02EE-4029-81C6-3FFF155E44B5}"/>
    <cellStyle name="Comma 4 4 2 4 5 5" xfId="55476" xr:uid="{9DEDE108-434A-4A96-8D0C-F2010A8628EC}"/>
    <cellStyle name="Comma 4 4 2 4 6" xfId="12558" xr:uid="{76D8EC1D-7F1C-4D04-B03C-2FA447402749}"/>
    <cellStyle name="Comma 4 4 2 4 6 2" xfId="32538" xr:uid="{5927B48B-F95C-4A1B-9226-19C355A6C349}"/>
    <cellStyle name="Comma 4 4 2 4 6 3" xfId="51029" xr:uid="{9DE8A5B1-C263-4E9F-AC99-99E1ADC191C1}"/>
    <cellStyle name="Comma 4 4 2 4 6 4" xfId="54045" xr:uid="{6659D468-1AF8-4484-BF8B-9FDE51AF8BF7}"/>
    <cellStyle name="Comma 4 4 2 4 7" xfId="24280" xr:uid="{F06CB76E-9A23-48A3-8D56-EF3EBE0B349A}"/>
    <cellStyle name="Comma 4 4 2 4 8" xfId="49923" xr:uid="{ED0BA167-2E4E-41C6-B449-0631531D5AD0}"/>
    <cellStyle name="Comma 4 4 2 4 9" xfId="52939" xr:uid="{557F6CDC-3705-4525-AF7F-CD9570459B1D}"/>
    <cellStyle name="Comma 4 4 2 5" xfId="10180" xr:uid="{CD80EC3F-2039-49D7-BADA-5B97EAC11F15}"/>
    <cellStyle name="Comma 4 4 2 5 2" xfId="10494" xr:uid="{83AF6F4A-0EFD-4E44-99FA-AB46D59700AF}"/>
    <cellStyle name="Comma 4 4 2 5 2 2" xfId="14886" xr:uid="{C863C889-CC1D-48B1-8292-3985A132EA64}"/>
    <cellStyle name="Comma 4 4 2 5 2 2 2" xfId="22433" xr:uid="{FF32564F-28D2-4C90-A996-FB3CD7B5CE49}"/>
    <cellStyle name="Comma 4 4 2 5 2 2 3" xfId="32526" xr:uid="{F58EF2E8-29E3-4D02-8804-D55B9B35B81D}"/>
    <cellStyle name="Comma 4 4 2 5 2 2 4" xfId="51771" xr:uid="{A80D1408-2D75-46B2-9AF9-DDCEA7F9ACD6}"/>
    <cellStyle name="Comma 4 4 2 5 2 2 5" xfId="54787" xr:uid="{6ACD68CE-9527-4239-98E7-E008211CE60C}"/>
    <cellStyle name="Comma 4 4 2 5 2 3" xfId="15371" xr:uid="{0B053D41-9987-4A0D-9BDE-5E4D97F481A3}"/>
    <cellStyle name="Comma 4 4 2 5 2 3 2" xfId="22910" xr:uid="{DB126E86-AD71-4A95-B3F6-8DF3472E5463}"/>
    <cellStyle name="Comma 4 4 2 5 2 3 3" xfId="32502" xr:uid="{ED1187ED-4393-471C-A5AB-5A1D6A40EA03}"/>
    <cellStyle name="Comma 4 4 2 5 2 3 4" xfId="52248" xr:uid="{838D1726-9EB9-4EF9-87DB-CD2EF1990A3D}"/>
    <cellStyle name="Comma 4 4 2 5 2 3 5" xfId="55264" xr:uid="{4DFD0D13-C819-4F72-854A-1E4030DD5286}"/>
    <cellStyle name="Comma 4 4 2 5 2 4" xfId="15858" xr:uid="{39F0FDF2-6A4A-4639-A074-B1CA201079F8}"/>
    <cellStyle name="Comma 4 4 2 5 2 4 2" xfId="23387" xr:uid="{54A2BC87-9071-4EB4-ACCD-2A27FC993D96}"/>
    <cellStyle name="Comma 4 4 2 5 2 4 3" xfId="46976" xr:uid="{D0BBD9DA-E4FD-4963-8109-3FEB1634FF6E}"/>
    <cellStyle name="Comma 4 4 2 5 2 4 4" xfId="52725" xr:uid="{ACE25226-53F2-4D80-8681-5DF44000A9F8}"/>
    <cellStyle name="Comma 4 4 2 5 2 4 5" xfId="55741" xr:uid="{44551D8A-0CAF-411A-9232-28BDC8A67554}"/>
    <cellStyle name="Comma 4 4 2 5 2 5" xfId="12947" xr:uid="{A35F8AE6-642F-4E69-874C-4F892F1E5041}"/>
    <cellStyle name="Comma 4 4 2 5 2 5 2" xfId="46376" xr:uid="{0CA60576-CC10-4C2B-B2B4-5A7893B91E24}"/>
    <cellStyle name="Comma 4 4 2 5 2 5 3" xfId="51294" xr:uid="{D96B9A0A-1E3E-4962-B9F1-77A5644907F7}"/>
    <cellStyle name="Comma 4 4 2 5 2 5 4" xfId="54310" xr:uid="{74A0E47F-2FC7-4A78-8185-26127A1728B5}"/>
    <cellStyle name="Comma 4 4 2 5 2 6" xfId="46135" xr:uid="{0BE1107B-105F-45D7-AB3B-54362A5AA744}"/>
    <cellStyle name="Comma 4 4 2 5 2 7" xfId="50188" xr:uid="{3E43358C-D840-4019-8CF1-C480D4FD0E31}"/>
    <cellStyle name="Comma 4 4 2 5 2 8" xfId="53204" xr:uid="{83F69B6F-0CB3-4EC8-AC98-B7B3F6A8812C}"/>
    <cellStyle name="Comma 4 4 2 5 3" xfId="14674" xr:uid="{FE66D4F6-83FE-4DA3-85F1-5B8BE1F57675}"/>
    <cellStyle name="Comma 4 4 2 5 3 2" xfId="22221" xr:uid="{380C4D26-0278-470D-B408-0B5529562DE1}"/>
    <cellStyle name="Comma 4 4 2 5 3 3" xfId="36279" xr:uid="{88FD250C-7ABA-4D4B-97FD-D19C1F6525F3}"/>
    <cellStyle name="Comma 4 4 2 5 3 4" xfId="51559" xr:uid="{73C70DE0-144B-4F66-BA2E-8E81A17617D6}"/>
    <cellStyle name="Comma 4 4 2 5 3 5" xfId="54575" xr:uid="{5385CE02-F138-4C2D-AD7F-9D5962993ABC}"/>
    <cellStyle name="Comma 4 4 2 5 4" xfId="15159" xr:uid="{5EE35F06-322F-453B-B808-E407FD7F6C72}"/>
    <cellStyle name="Comma 4 4 2 5 4 2" xfId="22698" xr:uid="{E520B231-B36A-49DA-9CF2-FF71AE43C3A2}"/>
    <cellStyle name="Comma 4 4 2 5 4 3" xfId="47696" xr:uid="{D7436300-8450-4B34-AA35-13C77C3E46F7}"/>
    <cellStyle name="Comma 4 4 2 5 4 4" xfId="52036" xr:uid="{4EAA3409-77BB-4935-B329-AFF2D8AFEF82}"/>
    <cellStyle name="Comma 4 4 2 5 4 5" xfId="55052" xr:uid="{C57F1574-578B-40F4-9FD8-267E538D2849}"/>
    <cellStyle name="Comma 4 4 2 5 5" xfId="15646" xr:uid="{1195C11D-CD3E-4F9C-AA35-7570521286F8}"/>
    <cellStyle name="Comma 4 4 2 5 5 2" xfId="23175" xr:uid="{5BA8A8AA-97DB-4030-A463-97B822FE2EBF}"/>
    <cellStyle name="Comma 4 4 2 5 5 3" xfId="33644" xr:uid="{5D660E9F-7F5B-4584-B60F-FF927958CFDF}"/>
    <cellStyle name="Comma 4 4 2 5 5 4" xfId="52513" xr:uid="{B9F0311B-EA2D-41F5-B0B4-8D3B9173DD1D}"/>
    <cellStyle name="Comma 4 4 2 5 5 5" xfId="55529" xr:uid="{BF054E0F-4DA1-41A8-A0EA-0624B949DD92}"/>
    <cellStyle name="Comma 4 4 2 5 6" xfId="12634" xr:uid="{642C2BD3-DA1F-4D30-B9EF-78EAE3E5F6FB}"/>
    <cellStyle name="Comma 4 4 2 5 6 2" xfId="46333" xr:uid="{AE047CC3-9B9A-4CD4-BFC1-F993FF9F727F}"/>
    <cellStyle name="Comma 4 4 2 5 6 3" xfId="51082" xr:uid="{4898CA7B-463B-46A4-BB11-D13206D60865}"/>
    <cellStyle name="Comma 4 4 2 5 6 4" xfId="54098" xr:uid="{EE5E337F-2560-4A9D-B30F-1D6C6F7DCBCA}"/>
    <cellStyle name="Comma 4 4 2 5 7" xfId="46061" xr:uid="{3B37C92C-240F-49A6-894F-34B313666004}"/>
    <cellStyle name="Comma 4 4 2 5 8" xfId="49976" xr:uid="{2636C90D-01BD-42D3-88C9-8ED230E9EE6E}"/>
    <cellStyle name="Comma 4 4 2 5 9" xfId="52992" xr:uid="{24980D04-DC36-4C33-B7E0-DB6CB19E0415}"/>
    <cellStyle name="Comma 4 4 2 6" xfId="10260" xr:uid="{D5606D7F-60B6-44E6-A706-12E14DD72C81}"/>
    <cellStyle name="Comma 4 4 2 6 2" xfId="14727" xr:uid="{44CAD1B1-C462-418B-AC29-C1C5E8D5628A}"/>
    <cellStyle name="Comma 4 4 2 6 2 2" xfId="22274" xr:uid="{2C127CE8-DD96-49BC-8563-CB8828891023}"/>
    <cellStyle name="Comma 4 4 2 6 2 3" xfId="46424" xr:uid="{01EDEE23-9F4C-4DA4-9E82-CF43959C6518}"/>
    <cellStyle name="Comma 4 4 2 6 2 4" xfId="51612" xr:uid="{45CB79B6-DC86-4FFD-A650-EF8AE23307DD}"/>
    <cellStyle name="Comma 4 4 2 6 2 5" xfId="54628" xr:uid="{6E4B3415-6C4E-4F95-AE28-0C2E1C2B4180}"/>
    <cellStyle name="Comma 4 4 2 6 3" xfId="15212" xr:uid="{180D7516-BF5D-457C-9F12-AAD011B8E45A}"/>
    <cellStyle name="Comma 4 4 2 6 3 2" xfId="22751" xr:uid="{FD09EFAD-F2B1-44C0-ABE9-39DAD8596E50}"/>
    <cellStyle name="Comma 4 4 2 6 3 3" xfId="48246" xr:uid="{511436D0-6729-43C4-B949-D47A9B93E0EA}"/>
    <cellStyle name="Comma 4 4 2 6 3 4" xfId="52089" xr:uid="{ABAD14FE-4EB8-4AFD-AC03-B80AF691DE15}"/>
    <cellStyle name="Comma 4 4 2 6 3 5" xfId="55105" xr:uid="{6A8B05D7-E2AA-4D07-9D54-B1D6326AB300}"/>
    <cellStyle name="Comma 4 4 2 6 4" xfId="15699" xr:uid="{81AC11C3-2501-4D57-84D0-0D4977AB500E}"/>
    <cellStyle name="Comma 4 4 2 6 4 2" xfId="23228" xr:uid="{7C87A1FF-6D5F-4EF0-B16F-2BCC231DFA76}"/>
    <cellStyle name="Comma 4 4 2 6 4 3" xfId="46573" xr:uid="{BEF10AB9-DC44-45D5-B315-D02882D39148}"/>
    <cellStyle name="Comma 4 4 2 6 4 4" xfId="52566" xr:uid="{FAEF4B1D-863C-49B8-9E03-D92025B01E41}"/>
    <cellStyle name="Comma 4 4 2 6 4 5" xfId="55582" xr:uid="{EFD6BF0F-677D-4A60-AAC2-2C4A5D795CAD}"/>
    <cellStyle name="Comma 4 4 2 6 5" xfId="12713" xr:uid="{061B0A2B-607D-4FD1-83BE-89D1A5C10097}"/>
    <cellStyle name="Comma 4 4 2 6 5 2" xfId="47051" xr:uid="{1E1E3056-4E87-4BC6-84D0-9BFEAB998570}"/>
    <cellStyle name="Comma 4 4 2 6 5 3" xfId="51135" xr:uid="{90A4EB8C-069A-4431-AD58-F7BEBB2F3157}"/>
    <cellStyle name="Comma 4 4 2 6 5 4" xfId="54151" xr:uid="{DE09C250-6E8E-49F0-86CA-CD27D5578A33}"/>
    <cellStyle name="Comma 4 4 2 6 6" xfId="48431" xr:uid="{6F58F749-568C-4AE2-BBB7-E55DF4B676BE}"/>
    <cellStyle name="Comma 4 4 2 6 7" xfId="50029" xr:uid="{F8D0327B-7F9E-4878-B214-B0F14148B5DF}"/>
    <cellStyle name="Comma 4 4 2 6 8" xfId="53045" xr:uid="{E97DCEA8-B51A-4A16-AF64-1398CE523778}"/>
    <cellStyle name="Comma 4 4 2 7" xfId="10574" xr:uid="{D162731F-8A39-4B85-9134-9DCA901848F7}"/>
    <cellStyle name="Comma 4 4 2 7 2" xfId="14939" xr:uid="{9D87967A-E1ED-4EBB-9C52-50DE72BBAB78}"/>
    <cellStyle name="Comma 4 4 2 7 2 2" xfId="22486" xr:uid="{9C9D4B71-9DB2-4977-835B-8799343A2082}"/>
    <cellStyle name="Comma 4 4 2 7 2 3" xfId="48537" xr:uid="{3272FCB3-E684-4706-AAF6-1BE818DC3F57}"/>
    <cellStyle name="Comma 4 4 2 7 2 4" xfId="51824" xr:uid="{E7E52F80-B288-4BE4-99AB-D1FA13377350}"/>
    <cellStyle name="Comma 4 4 2 7 2 5" xfId="54840" xr:uid="{17638CF1-FAB8-4D34-BEDA-F495161A7669}"/>
    <cellStyle name="Comma 4 4 2 7 3" xfId="15424" xr:uid="{5C7F2E52-71F5-4AC0-8197-FEBCCA3BAB56}"/>
    <cellStyle name="Comma 4 4 2 7 3 2" xfId="22963" xr:uid="{DAC2F65B-C78F-44AE-8536-F1A6D68FEBA4}"/>
    <cellStyle name="Comma 4 4 2 7 3 3" xfId="47670" xr:uid="{56426F44-BF52-44C9-B17A-8D32D8A1CF68}"/>
    <cellStyle name="Comma 4 4 2 7 3 4" xfId="52301" xr:uid="{521AE701-34B7-4B16-9EDF-51A094E36214}"/>
    <cellStyle name="Comma 4 4 2 7 3 5" xfId="55317" xr:uid="{A3748E5C-069B-4492-ABBB-8EA92A3C43B7}"/>
    <cellStyle name="Comma 4 4 2 7 4" xfId="15912" xr:uid="{0C4B6FB0-AB07-4AFF-90D2-191FBE8FA8CF}"/>
    <cellStyle name="Comma 4 4 2 7 4 2" xfId="23440" xr:uid="{0575A322-D3E3-4A67-9F6E-393893F2977F}"/>
    <cellStyle name="Comma 4 4 2 7 4 3" xfId="48137" xr:uid="{B2D57399-2E80-416C-ABFE-D2693F20E2D3}"/>
    <cellStyle name="Comma 4 4 2 7 4 4" xfId="52778" xr:uid="{D4E31AFE-E329-40A4-B032-F5F27AC46E80}"/>
    <cellStyle name="Comma 4 4 2 7 4 5" xfId="55794" xr:uid="{C2C40670-5424-4985-9CCC-93C6D5A17E00}"/>
    <cellStyle name="Comma 4 4 2 7 5" xfId="13027" xr:uid="{1BEB345C-4F3B-4009-ACA5-98C896E84B61}"/>
    <cellStyle name="Comma 4 4 2 7 5 2" xfId="48007" xr:uid="{459940F7-E17E-4BF4-8BE1-24D657AC35A1}"/>
    <cellStyle name="Comma 4 4 2 7 5 3" xfId="51347" xr:uid="{7EFCBE25-1D06-44BC-8982-62DB945878E8}"/>
    <cellStyle name="Comma 4 4 2 7 5 4" xfId="54363" xr:uid="{55460D50-CD0A-467D-89F3-9B26C6FA5AA0}"/>
    <cellStyle name="Comma 4 4 2 7 6" xfId="46151" xr:uid="{E9A5AD4B-60E8-4BED-A443-C2C0162FD391}"/>
    <cellStyle name="Comma 4 4 2 7 7" xfId="50241" xr:uid="{5B420B02-A115-4050-BA54-BA1D0C75415C}"/>
    <cellStyle name="Comma 4 4 2 7 8" xfId="53257" xr:uid="{02449920-8059-4DDF-B84C-A6F1E386B944}"/>
    <cellStyle name="Comma 4 4 2 8" xfId="14515" xr:uid="{73DF8225-FF27-4423-B818-A892AACEB2CD}"/>
    <cellStyle name="Comma 4 4 2 8 2" xfId="22062" xr:uid="{E76A7019-DEDE-4F8E-9F55-BBD8D25106CB}"/>
    <cellStyle name="Comma 4 4 2 8 3" xfId="48205" xr:uid="{16D111B1-9FE5-4615-9658-0088A6CC0E28}"/>
    <cellStyle name="Comma 4 4 2 8 4" xfId="51400" xr:uid="{58C7D9E2-1FEB-4467-8407-3924B9795719}"/>
    <cellStyle name="Comma 4 4 2 8 5" xfId="54416" xr:uid="{FBB24449-D77F-49E6-83DD-5B0D787159E5}"/>
    <cellStyle name="Comma 4 4 2 9" xfId="14999" xr:uid="{F6DC5ACB-D79A-46F5-86EE-2CF45593A24A}"/>
    <cellStyle name="Comma 4 4 2 9 2" xfId="22539" xr:uid="{EED783ED-1D94-413C-BCCE-CF9219FFAB10}"/>
    <cellStyle name="Comma 4 4 2 9 3" xfId="47488" xr:uid="{910147D7-4879-4382-840C-A7DB372C5E09}"/>
    <cellStyle name="Comma 4 4 2 9 4" xfId="51877" xr:uid="{74E46F50-1135-41EC-B497-053895C8D00C}"/>
    <cellStyle name="Comma 4 4 2 9 5" xfId="54893" xr:uid="{424D8B97-CBD1-4D0F-A7A8-D7B3A5A234E9}"/>
    <cellStyle name="Comma 4 4 3" xfId="8942" xr:uid="{BEB6663C-3A61-48A8-AF5E-E2AA01B77A5B}"/>
    <cellStyle name="Comma 4 4 3 10" xfId="11123" xr:uid="{EE42462E-3F4F-4672-B723-DA0CAF0354C9}"/>
    <cellStyle name="Comma 4 4 3 10 2" xfId="47157" xr:uid="{9A9BA943-CF67-4874-98B0-008B0337C9DB}"/>
    <cellStyle name="Comma 4 4 3 10 3" xfId="50690" xr:uid="{2FFDB2A1-16D3-4FD5-82ED-77FBE8C6D3BC}"/>
    <cellStyle name="Comma 4 4 3 10 4" xfId="53706" xr:uid="{6E7610EF-CF08-4F1A-85B1-133531C9373E}"/>
    <cellStyle name="Comma 4 4 3 11" xfId="23771" xr:uid="{316CBB92-1282-483C-B26B-713A6E8468CF}"/>
    <cellStyle name="Comma 4 4 3 12" xfId="48652" xr:uid="{B906B726-9518-4BE6-A24D-89318D7559B8}"/>
    <cellStyle name="Comma 4 4 3 13" xfId="49560" xr:uid="{1B7AA6F3-4098-4CDF-BC6F-2D12BBDA8AF7}"/>
    <cellStyle name="Comma 4 4 3 14" xfId="49819" xr:uid="{FB212C14-8628-42D0-B004-FD4417AAD28A}"/>
    <cellStyle name="Comma 4 4 3 15" xfId="52834" xr:uid="{695CF957-26EB-4519-81D3-2245A7787C0D}"/>
    <cellStyle name="Comma 4 4 3 2" xfId="10029" xr:uid="{09B1E03A-D81E-452E-A711-0A3108AD97C8}"/>
    <cellStyle name="Comma 4 4 3 2 2" xfId="10337" xr:uid="{31B07A54-6F1F-4E19-B891-1A09603FFC4E}"/>
    <cellStyle name="Comma 4 4 3 2 2 2" xfId="14782" xr:uid="{0A0BF64F-D1B4-4F87-ADF4-56EA159885EE}"/>
    <cellStyle name="Comma 4 4 3 2 2 2 2" xfId="22329" xr:uid="{037ED473-6A58-4AF0-BFDA-8AF5FCCA895D}"/>
    <cellStyle name="Comma 4 4 3 2 2 2 3" xfId="47965" xr:uid="{88B202EC-FA0E-4744-BF20-13336A4BD0B2}"/>
    <cellStyle name="Comma 4 4 3 2 2 2 4" xfId="51667" xr:uid="{28B2B644-6C0E-4175-B1A7-098712584D6F}"/>
    <cellStyle name="Comma 4 4 3 2 2 2 5" xfId="54683" xr:uid="{6B86B90B-E78B-45BE-840A-75A7CF245CD4}"/>
    <cellStyle name="Comma 4 4 3 2 2 3" xfId="15267" xr:uid="{549464BF-A4F7-4F70-B8F6-1F8525893CA1}"/>
    <cellStyle name="Comma 4 4 3 2 2 3 2" xfId="22806" xr:uid="{30C65B78-AB8F-4AE5-8359-4298EB4F173C}"/>
    <cellStyle name="Comma 4 4 3 2 2 3 3" xfId="47491" xr:uid="{CF71E408-FF77-43F3-B0DE-2E62E399CAE2}"/>
    <cellStyle name="Comma 4 4 3 2 2 3 4" xfId="52144" xr:uid="{255B0026-5C5D-4156-B37D-A13FB33B0701}"/>
    <cellStyle name="Comma 4 4 3 2 2 3 5" xfId="55160" xr:uid="{645F55D0-BF7D-4BEA-816C-081E013FD8DB}"/>
    <cellStyle name="Comma 4 4 3 2 2 4" xfId="15754" xr:uid="{BA2C6CB0-4F3A-435E-8FC5-714387D749A5}"/>
    <cellStyle name="Comma 4 4 3 2 2 4 2" xfId="23283" xr:uid="{C8A8F8B9-3FBC-4BE4-899F-7C545E1AD7BA}"/>
    <cellStyle name="Comma 4 4 3 2 2 4 3" xfId="48229" xr:uid="{5490E633-7FE2-443E-BDCC-5ED1B281312D}"/>
    <cellStyle name="Comma 4 4 3 2 2 4 4" xfId="52621" xr:uid="{32929176-2F7C-4D9B-A3D5-A08C37AD5A92}"/>
    <cellStyle name="Comma 4 4 3 2 2 4 5" xfId="55637" xr:uid="{EA6375D2-3E50-4419-B5EA-9C044B088F9C}"/>
    <cellStyle name="Comma 4 4 3 2 2 5" xfId="12790" xr:uid="{A3551BE0-2239-404E-832D-DE01E1444F87}"/>
    <cellStyle name="Comma 4 4 3 2 2 5 2" xfId="47920" xr:uid="{FF5EFEDB-F6BC-475A-A669-082F7EC61252}"/>
    <cellStyle name="Comma 4 4 3 2 2 5 3" xfId="51190" xr:uid="{1A885DEA-A9C8-4689-BFD2-A516DCBFD269}"/>
    <cellStyle name="Comma 4 4 3 2 2 5 4" xfId="54206" xr:uid="{BF3760BA-8225-433E-90DF-00A2474B2E62}"/>
    <cellStyle name="Comma 4 4 3 2 2 6" xfId="47653" xr:uid="{F0E6896E-105C-4508-BEA8-3175459D49EB}"/>
    <cellStyle name="Comma 4 4 3 2 2 7" xfId="50084" xr:uid="{81CBA1F1-9B78-45C7-9096-CFF06F6C6A66}"/>
    <cellStyle name="Comma 4 4 3 2 2 8" xfId="53100" xr:uid="{5C46A712-D56C-4275-8EFE-7419D14647F0}"/>
    <cellStyle name="Comma 4 4 3 2 3" xfId="14570" xr:uid="{46A875E7-60B3-46AC-992F-F608EC77ACE2}"/>
    <cellStyle name="Comma 4 4 3 2 3 2" xfId="22117" xr:uid="{4340D734-74AC-4017-BAFE-EA5A46FB4D09}"/>
    <cellStyle name="Comma 4 4 3 2 3 3" xfId="46399" xr:uid="{847D63E5-4BE3-4023-AE74-4FD1492001B6}"/>
    <cellStyle name="Comma 4 4 3 2 3 4" xfId="51455" xr:uid="{FEDAFC79-79F0-4C46-A600-5DB27E6FE1E9}"/>
    <cellStyle name="Comma 4 4 3 2 3 5" xfId="54471" xr:uid="{CE3D5639-AC9C-4595-8A36-2F5358773583}"/>
    <cellStyle name="Comma 4 4 3 2 4" xfId="15054" xr:uid="{49EAFC9B-4A8B-4B89-A254-D8126C0537B5}"/>
    <cellStyle name="Comma 4 4 3 2 4 2" xfId="22594" xr:uid="{9CF36788-E71A-4E32-9EC3-911282ABE829}"/>
    <cellStyle name="Comma 4 4 3 2 4 3" xfId="24748" xr:uid="{6F4916E7-241C-47E0-8056-D7AC38417A2C}"/>
    <cellStyle name="Comma 4 4 3 2 4 4" xfId="51932" xr:uid="{D20DFF7F-64DE-44DE-9FE4-1BE60D43DE31}"/>
    <cellStyle name="Comma 4 4 3 2 4 5" xfId="54948" xr:uid="{D104E554-A87A-4411-A6B4-6787225F2764}"/>
    <cellStyle name="Comma 4 4 3 2 5" xfId="15541" xr:uid="{C429FE40-E227-488F-86C6-5BAAC970CD67}"/>
    <cellStyle name="Comma 4 4 3 2 5 2" xfId="23071" xr:uid="{6D54367E-155E-4FDE-A180-6926AE9886B7}"/>
    <cellStyle name="Comma 4 4 3 2 5 3" xfId="48365" xr:uid="{127CCE5E-6550-47C2-8224-88829F313583}"/>
    <cellStyle name="Comma 4 4 3 2 5 4" xfId="52409" xr:uid="{D4765D47-B6AD-44D7-AB5C-5D8BC8A8B062}"/>
    <cellStyle name="Comma 4 4 3 2 5 5" xfId="55425" xr:uid="{A7032377-9F69-4921-97E4-B7B05EC49102}"/>
    <cellStyle name="Comma 4 4 3 2 6" xfId="12489" xr:uid="{77E6D95A-8755-4DA1-8619-C79E75F29512}"/>
    <cellStyle name="Comma 4 4 3 2 6 2" xfId="46759" xr:uid="{519A099A-24A7-4DCC-93C0-59D1ECF5BBE5}"/>
    <cellStyle name="Comma 4 4 3 2 6 3" xfId="50978" xr:uid="{3BB7CCA7-7A93-47C7-A33A-0F0644D04E92}"/>
    <cellStyle name="Comma 4 4 3 2 6 4" xfId="53994" xr:uid="{0D1AF60B-4C4A-4DD3-AD85-7A7B43DC88CD}"/>
    <cellStyle name="Comma 4 4 3 2 7" xfId="47573" xr:uid="{457D11B4-91A0-409A-9C3A-427E7FBCEF54}"/>
    <cellStyle name="Comma 4 4 3 2 8" xfId="49872" xr:uid="{7499C6CB-FFDA-4798-9E09-5E07D41622AF}"/>
    <cellStyle name="Comma 4 4 3 2 9" xfId="52888" xr:uid="{BBD79687-FE92-4002-8103-9B5B07EFBB3C}"/>
    <cellStyle name="Comma 4 4 3 3" xfId="10103" xr:uid="{93D06586-6855-4233-9954-D05488ACECB5}"/>
    <cellStyle name="Comma 4 4 3 3 2" xfId="10416" xr:uid="{4F053F38-BC84-4F18-9018-785066129A54}"/>
    <cellStyle name="Comma 4 4 3 3 2 2" xfId="14835" xr:uid="{507DD6D0-2AF5-4223-A515-7FD2F8FCA3D7}"/>
    <cellStyle name="Comma 4 4 3 3 2 2 2" xfId="22382" xr:uid="{4618F0E5-63DD-4AD9-9FA1-CD05E0CD182D}"/>
    <cellStyle name="Comma 4 4 3 3 2 2 3" xfId="46867" xr:uid="{B6CEC866-F3A8-4DC1-8490-2CB61401800C}"/>
    <cellStyle name="Comma 4 4 3 3 2 2 4" xfId="51720" xr:uid="{A3DAAB53-7B4D-4A0D-B280-7F0415E167E4}"/>
    <cellStyle name="Comma 4 4 3 3 2 2 5" xfId="54736" xr:uid="{F0196706-66A3-4D1D-9E4F-04228150232D}"/>
    <cellStyle name="Comma 4 4 3 3 2 3" xfId="15320" xr:uid="{F10C2440-801D-45C9-9F5A-982B3F4531D7}"/>
    <cellStyle name="Comma 4 4 3 3 2 3 2" xfId="22859" xr:uid="{5B530DED-6827-484C-BBA8-3566EF34B284}"/>
    <cellStyle name="Comma 4 4 3 3 2 3 3" xfId="47717" xr:uid="{7A089532-08CA-4788-8E24-965C01E0A43B}"/>
    <cellStyle name="Comma 4 4 3 3 2 3 4" xfId="52197" xr:uid="{70DBE788-A25D-4ED6-B7FD-7BC63678BFA7}"/>
    <cellStyle name="Comma 4 4 3 3 2 3 5" xfId="55213" xr:uid="{2187232D-083F-4E9D-A891-C2ECA0BE3B30}"/>
    <cellStyle name="Comma 4 4 3 3 2 4" xfId="15807" xr:uid="{921CB59F-6A12-4490-A86B-1891296F7C82}"/>
    <cellStyle name="Comma 4 4 3 3 2 4 2" xfId="23336" xr:uid="{86645795-DC8B-43F9-A070-EA9C8663D324}"/>
    <cellStyle name="Comma 4 4 3 3 2 4 3" xfId="47849" xr:uid="{BB990BEE-DF0A-4B28-B671-3792BBDDFAE8}"/>
    <cellStyle name="Comma 4 4 3 3 2 4 4" xfId="52674" xr:uid="{8973A484-E3E0-4F5D-BD39-F727099B8D28}"/>
    <cellStyle name="Comma 4 4 3 3 2 4 5" xfId="55690" xr:uid="{8758B59F-9715-480C-B1C2-8E79BDFE6564}"/>
    <cellStyle name="Comma 4 4 3 3 2 5" xfId="12869" xr:uid="{80CED840-2098-469B-9E73-9B2B9B4C6327}"/>
    <cellStyle name="Comma 4 4 3 3 2 5 2" xfId="46807" xr:uid="{E2D623BD-4C6B-41BE-AFB8-C5C3C06122C9}"/>
    <cellStyle name="Comma 4 4 3 3 2 5 3" xfId="51243" xr:uid="{DE8899FB-5AB5-4544-A83D-3B1DD83B6CCF}"/>
    <cellStyle name="Comma 4 4 3 3 2 5 4" xfId="54259" xr:uid="{45D1D2D7-30C2-4348-8047-51CCE29F97D3}"/>
    <cellStyle name="Comma 4 4 3 3 2 6" xfId="46117" xr:uid="{B3B40948-B75D-4760-BB33-052D313B1315}"/>
    <cellStyle name="Comma 4 4 3 3 2 7" xfId="50137" xr:uid="{C985A81F-7A39-4858-8189-167CBE4EE5B1}"/>
    <cellStyle name="Comma 4 4 3 3 2 8" xfId="53153" xr:uid="{9DA2A6C9-7F4E-4419-953C-21923536FAAE}"/>
    <cellStyle name="Comma 4 4 3 3 3" xfId="14623" xr:uid="{30948318-5DA6-4A13-96E0-EF113E98A404}"/>
    <cellStyle name="Comma 4 4 3 3 3 2" xfId="22170" xr:uid="{49FA5E0E-7302-4A7E-B5A4-B9897C5A82E1}"/>
    <cellStyle name="Comma 4 4 3 3 3 3" xfId="46410" xr:uid="{F5863238-BF7B-4B3A-A4CF-A7759C4C10A6}"/>
    <cellStyle name="Comma 4 4 3 3 3 4" xfId="51508" xr:uid="{63F2E0D1-E717-4326-B83D-FE19EDF2957D}"/>
    <cellStyle name="Comma 4 4 3 3 3 5" xfId="54524" xr:uid="{B132B37F-4FF3-4016-BEA0-37EF2BB437D2}"/>
    <cellStyle name="Comma 4 4 3 3 4" xfId="15108" xr:uid="{282F438E-986F-48E9-914C-75413A2B8CC5}"/>
    <cellStyle name="Comma 4 4 3 3 4 2" xfId="22647" xr:uid="{2B1CD46A-DDD9-4200-98FF-FE213E261735}"/>
    <cellStyle name="Comma 4 4 3 3 4 3" xfId="48124" xr:uid="{CE549C2E-D23F-417E-81E5-9ED2C5F303A3}"/>
    <cellStyle name="Comma 4 4 3 3 4 4" xfId="51985" xr:uid="{A8697FDC-B8FA-405B-A159-7BB42A7AC217}"/>
    <cellStyle name="Comma 4 4 3 3 4 5" xfId="55001" xr:uid="{F1B3356B-1536-4FF9-9004-5D76835C55CD}"/>
    <cellStyle name="Comma 4 4 3 3 5" xfId="15595" xr:uid="{052C73BC-C767-45E5-8AD3-0FB57755FAC6}"/>
    <cellStyle name="Comma 4 4 3 3 5 2" xfId="23124" xr:uid="{CB34C819-A185-44B3-A7B7-C59568973276}"/>
    <cellStyle name="Comma 4 4 3 3 5 3" xfId="47253" xr:uid="{798BA22C-BDD3-4EB2-B3D8-57B3C21643AB}"/>
    <cellStyle name="Comma 4 4 3 3 5 4" xfId="52462" xr:uid="{E7038CD4-17DE-4773-8D91-0EC5BC3164D6}"/>
    <cellStyle name="Comma 4 4 3 3 5 5" xfId="55478" xr:uid="{5DE855FF-A5A6-44C3-8516-F888318F0961}"/>
    <cellStyle name="Comma 4 4 3 3 6" xfId="12560" xr:uid="{15C074B2-79C0-4C52-84D7-FA80F3226906}"/>
    <cellStyle name="Comma 4 4 3 3 6 2" xfId="48489" xr:uid="{C3C0F9A8-0663-4699-9B47-42A2AB2956F9}"/>
    <cellStyle name="Comma 4 4 3 3 6 3" xfId="51031" xr:uid="{FA8F9EC5-14A2-444C-94F9-C2420D144DDA}"/>
    <cellStyle name="Comma 4 4 3 3 6 4" xfId="54047" xr:uid="{CA1C5F6C-3EDA-41D0-88C1-1BFD52D3A361}"/>
    <cellStyle name="Comma 4 4 3 3 7" xfId="47276" xr:uid="{623A359F-23ED-4C1B-910A-DC2BED9605AE}"/>
    <cellStyle name="Comma 4 4 3 3 8" xfId="49925" xr:uid="{EC583945-9856-4915-9369-979BDBA56095}"/>
    <cellStyle name="Comma 4 4 3 3 9" xfId="52941" xr:uid="{827738A7-8209-49F2-A0F5-9D92E5399424}"/>
    <cellStyle name="Comma 4 4 3 4" xfId="10182" xr:uid="{50CF7012-1CFD-4BA5-80E1-4802F6E0741E}"/>
    <cellStyle name="Comma 4 4 3 4 2" xfId="10496" xr:uid="{861A50FA-57C6-44A9-A710-5487EC48C7A9}"/>
    <cellStyle name="Comma 4 4 3 4 2 2" xfId="14888" xr:uid="{56C03E08-6444-4E5D-898C-775E4359E6C3}"/>
    <cellStyle name="Comma 4 4 3 4 2 2 2" xfId="22435" xr:uid="{E32AB3D7-EECB-4EDE-8BCF-E39B1157FE05}"/>
    <cellStyle name="Comma 4 4 3 4 2 2 3" xfId="24186" xr:uid="{EED17106-6D7F-464D-B637-912469E25913}"/>
    <cellStyle name="Comma 4 4 3 4 2 2 4" xfId="51773" xr:uid="{5A6F31AE-2625-4D1B-938F-0F4F8DA06733}"/>
    <cellStyle name="Comma 4 4 3 4 2 2 5" xfId="54789" xr:uid="{279EAF18-852A-4FF2-836B-661DF8A463CF}"/>
    <cellStyle name="Comma 4 4 3 4 2 3" xfId="15373" xr:uid="{6E894DB5-B165-497C-BB0E-63E68B61BAA0}"/>
    <cellStyle name="Comma 4 4 3 4 2 3 2" xfId="22912" xr:uid="{EAFFB2D4-5662-44A2-BFD7-D5198A1C1B01}"/>
    <cellStyle name="Comma 4 4 3 4 2 3 3" xfId="47639" xr:uid="{E13C2DA3-FCEA-4AA1-89B2-42B5416EB4C4}"/>
    <cellStyle name="Comma 4 4 3 4 2 3 4" xfId="52250" xr:uid="{27BA568D-C185-4277-8AC1-B9DE239E3275}"/>
    <cellStyle name="Comma 4 4 3 4 2 3 5" xfId="55266" xr:uid="{0DEA15FF-682A-40E9-92B1-06CCB85897CF}"/>
    <cellStyle name="Comma 4 4 3 4 2 4" xfId="15860" xr:uid="{83635B32-6EF9-4914-B861-94D973B94163}"/>
    <cellStyle name="Comma 4 4 3 4 2 4 2" xfId="23389" xr:uid="{7580CA5E-4D9D-437A-AC70-91E5185141FB}"/>
    <cellStyle name="Comma 4 4 3 4 2 4 3" xfId="48524" xr:uid="{07FA46E9-5991-4100-ABC7-A2D5D6AF8DF7}"/>
    <cellStyle name="Comma 4 4 3 4 2 4 4" xfId="52727" xr:uid="{08D83DEB-3ABB-41B8-82FE-2193E0FA6A06}"/>
    <cellStyle name="Comma 4 4 3 4 2 4 5" xfId="55743" xr:uid="{3ECD7B1A-239B-4546-A27F-FA44A111AC20}"/>
    <cellStyle name="Comma 4 4 3 4 2 5" xfId="12949" xr:uid="{9800BE6C-D0DE-4FA9-9FAF-B73CA1CCAC82}"/>
    <cellStyle name="Comma 4 4 3 4 2 5 2" xfId="47400" xr:uid="{F056338A-0296-4E9C-AF87-B62EDC86A109}"/>
    <cellStyle name="Comma 4 4 3 4 2 5 3" xfId="51296" xr:uid="{231AEBF0-6ED1-4324-A328-0C81EF346247}"/>
    <cellStyle name="Comma 4 4 3 4 2 5 4" xfId="54312" xr:uid="{99FCEC39-CDB1-4B39-9376-12143AAE48CF}"/>
    <cellStyle name="Comma 4 4 3 4 2 6" xfId="32301" xr:uid="{21C65739-1E9A-4382-BA4B-DE3D4BA6467D}"/>
    <cellStyle name="Comma 4 4 3 4 2 7" xfId="50190" xr:uid="{DEDED29D-6451-4753-9D68-7D8322997E86}"/>
    <cellStyle name="Comma 4 4 3 4 2 8" xfId="53206" xr:uid="{6BAEF8EC-D876-4E34-82C1-F48FF9B982BB}"/>
    <cellStyle name="Comma 4 4 3 4 3" xfId="14676" xr:uid="{CC1FD4FB-EDA5-4E56-9B14-FC2585FAA25B}"/>
    <cellStyle name="Comma 4 4 3 4 3 2" xfId="22223" xr:uid="{19ED5808-52A3-44FA-BFD9-10EF6635E1E2}"/>
    <cellStyle name="Comma 4 4 3 4 3 3" xfId="47771" xr:uid="{1FE17549-A775-44E6-839B-E61DE066BA72}"/>
    <cellStyle name="Comma 4 4 3 4 3 4" xfId="51561" xr:uid="{BF56581D-5F0E-4196-B7E1-4AEE350106F1}"/>
    <cellStyle name="Comma 4 4 3 4 3 5" xfId="54577" xr:uid="{EFBF8BEF-7118-45EB-8256-A31974AC38F3}"/>
    <cellStyle name="Comma 4 4 3 4 4" xfId="15161" xr:uid="{788F92DA-5235-47E4-8D75-7ACA205A1D53}"/>
    <cellStyle name="Comma 4 4 3 4 4 2" xfId="22700" xr:uid="{22F441D3-9387-466D-98FB-C66970F3FB0A}"/>
    <cellStyle name="Comma 4 4 3 4 4 3" xfId="47391" xr:uid="{EC749A44-F6BF-469B-9A14-2ACC5A53E887}"/>
    <cellStyle name="Comma 4 4 3 4 4 4" xfId="52038" xr:uid="{3DA43D50-5B84-42F1-A418-BD94662F8BA8}"/>
    <cellStyle name="Comma 4 4 3 4 4 5" xfId="55054" xr:uid="{388CDC64-FD3B-41EE-8636-C2D3A55D13C5}"/>
    <cellStyle name="Comma 4 4 3 4 5" xfId="15648" xr:uid="{2C354003-A537-47AA-A670-66988C0B0469}"/>
    <cellStyle name="Comma 4 4 3 4 5 2" xfId="23177" xr:uid="{1FA9B077-8632-4250-A897-1089701F64BC}"/>
    <cellStyle name="Comma 4 4 3 4 5 3" xfId="46564" xr:uid="{2BD8180B-275D-47D4-954A-B9FAEE2D1538}"/>
    <cellStyle name="Comma 4 4 3 4 5 4" xfId="52515" xr:uid="{C74B53EE-B36A-4BC1-875E-5206D4C537D8}"/>
    <cellStyle name="Comma 4 4 3 4 5 5" xfId="55531" xr:uid="{6BB44F59-4C4D-4160-8BE5-8B4EB1BD65DA}"/>
    <cellStyle name="Comma 4 4 3 4 6" xfId="12636" xr:uid="{3B6A83B7-7167-4712-AF2D-63EFA5FCACA2}"/>
    <cellStyle name="Comma 4 4 3 4 6 2" xfId="47988" xr:uid="{53E90FB0-F1C7-42E4-BEC4-74E307CAD84F}"/>
    <cellStyle name="Comma 4 4 3 4 6 3" xfId="51084" xr:uid="{4DD5643B-1A70-4D04-9893-50B25EA791D3}"/>
    <cellStyle name="Comma 4 4 3 4 6 4" xfId="54100" xr:uid="{37E712EE-C9F1-4F0D-BBAA-8B7CC1CD53B8}"/>
    <cellStyle name="Comma 4 4 3 4 7" xfId="46062" xr:uid="{BA015E32-28A2-49D2-9439-1F2FC0BCFFD0}"/>
    <cellStyle name="Comma 4 4 3 4 8" xfId="49978" xr:uid="{4932C109-F017-4E1E-BCCD-CBFBF6BF07F9}"/>
    <cellStyle name="Comma 4 4 3 4 9" xfId="52994" xr:uid="{67118F24-2291-4AE8-9955-FC1F5AB39D37}"/>
    <cellStyle name="Comma 4 4 3 5" xfId="10262" xr:uid="{1C05698B-6927-41F5-A806-BB1A38C30F5C}"/>
    <cellStyle name="Comma 4 4 3 5 2" xfId="14729" xr:uid="{CD8DF229-6C90-481B-A2A2-839C96CA5B77}"/>
    <cellStyle name="Comma 4 4 3 5 2 2" xfId="22276" xr:uid="{5ADAA247-2C23-4764-AF7A-76C61667A936}"/>
    <cellStyle name="Comma 4 4 3 5 2 3" xfId="48407" xr:uid="{145AB729-3581-468E-ABDA-A2D470CDA472}"/>
    <cellStyle name="Comma 4 4 3 5 2 4" xfId="51614" xr:uid="{A2A495DA-C01C-4232-8A6A-612A331F03C8}"/>
    <cellStyle name="Comma 4 4 3 5 2 5" xfId="54630" xr:uid="{3EE07893-7EBB-479B-B3E8-B4B251EB9A17}"/>
    <cellStyle name="Comma 4 4 3 5 3" xfId="15214" xr:uid="{EE2A8E6B-76AE-42F8-9C5C-BF4F04834E90}"/>
    <cellStyle name="Comma 4 4 3 5 3 2" xfId="22753" xr:uid="{26F85157-5CE8-4B79-9C80-250495CCB30E}"/>
    <cellStyle name="Comma 4 4 3 5 3 3" xfId="46496" xr:uid="{9FBF19BE-B2E9-42F4-8CF2-A48764CF9DC6}"/>
    <cellStyle name="Comma 4 4 3 5 3 4" xfId="52091" xr:uid="{A07BAE42-2C66-4246-8D1C-DF42373AA4AB}"/>
    <cellStyle name="Comma 4 4 3 5 3 5" xfId="55107" xr:uid="{6DF6A400-E952-4CA7-888B-97FD343FECE8}"/>
    <cellStyle name="Comma 4 4 3 5 4" xfId="15701" xr:uid="{56C79256-6E44-4AE6-A55B-396C76FAC682}"/>
    <cellStyle name="Comma 4 4 3 5 4 2" xfId="23230" xr:uid="{212BC880-1B8B-4BDE-9B41-A34191D1F6C2}"/>
    <cellStyle name="Comma 4 4 3 5 4 3" xfId="47395" xr:uid="{6AC37900-A028-4B88-ACB3-6EE8F0DBBC8B}"/>
    <cellStyle name="Comma 4 4 3 5 4 4" xfId="52568" xr:uid="{8581FE77-C4B9-4143-8315-7B545605611D}"/>
    <cellStyle name="Comma 4 4 3 5 4 5" xfId="55584" xr:uid="{48E5C3EF-3E37-4AA4-B6B3-B99796D9AEC1}"/>
    <cellStyle name="Comma 4 4 3 5 5" xfId="12715" xr:uid="{B076A414-0BCA-40C0-A923-6FA039D901D0}"/>
    <cellStyle name="Comma 4 4 3 5 5 2" xfId="47168" xr:uid="{B0BA6449-69AD-46E0-B38E-80DED63BEC52}"/>
    <cellStyle name="Comma 4 4 3 5 5 3" xfId="51137" xr:uid="{7D5A64B9-63D4-4979-B97B-FC0FB1431C0C}"/>
    <cellStyle name="Comma 4 4 3 5 5 4" xfId="54153" xr:uid="{EEB83904-FF98-4994-91DA-35658B5BE54A}"/>
    <cellStyle name="Comma 4 4 3 5 6" xfId="32278" xr:uid="{1BF9FD75-44D1-4484-ADF4-54FACA588C66}"/>
    <cellStyle name="Comma 4 4 3 5 7" xfId="50031" xr:uid="{C8B99CC6-1E23-4DEB-B416-586617773522}"/>
    <cellStyle name="Comma 4 4 3 5 8" xfId="53047" xr:uid="{DBB32642-6B35-4CBE-ACF8-E73EF2B167FF}"/>
    <cellStyle name="Comma 4 4 3 6" xfId="10576" xr:uid="{9CB2B27D-2063-4A6E-A1A1-8663D0E431A7}"/>
    <cellStyle name="Comma 4 4 3 6 2" xfId="14941" xr:uid="{D14BE5ED-15D2-435C-B03F-55470BF0AC9F}"/>
    <cellStyle name="Comma 4 4 3 6 2 2" xfId="22488" xr:uid="{A0380018-862E-4470-A473-645F0B125B69}"/>
    <cellStyle name="Comma 4 4 3 6 2 3" xfId="47027" xr:uid="{5CD1DE12-B19C-4751-926C-65C8C7F97E56}"/>
    <cellStyle name="Comma 4 4 3 6 2 4" xfId="51826" xr:uid="{4A4B28C9-3F4A-43ED-A381-37C1EDD70BC7}"/>
    <cellStyle name="Comma 4 4 3 6 2 5" xfId="54842" xr:uid="{42A39B7E-A3AE-42F5-A8A0-7A14BF5582A4}"/>
    <cellStyle name="Comma 4 4 3 6 3" xfId="15426" xr:uid="{C715FD19-CCE1-408D-ADC6-53D48BCC8674}"/>
    <cellStyle name="Comma 4 4 3 6 3 2" xfId="22965" xr:uid="{0698DD71-E868-4385-93C9-A952307E41AA}"/>
    <cellStyle name="Comma 4 4 3 6 3 3" xfId="25288" xr:uid="{00050690-A535-456F-AD6A-8686B769E636}"/>
    <cellStyle name="Comma 4 4 3 6 3 4" xfId="52303" xr:uid="{5ED3B4CF-81B7-4EAE-93EF-53855E75A43F}"/>
    <cellStyle name="Comma 4 4 3 6 3 5" xfId="55319" xr:uid="{5CCB1DE1-B780-42A7-8AF6-DB199BEE2E23}"/>
    <cellStyle name="Comma 4 4 3 6 4" xfId="15914" xr:uid="{9B97E999-895B-4851-B7FC-CE2D4F0213A4}"/>
    <cellStyle name="Comma 4 4 3 6 4 2" xfId="23442" xr:uid="{EDEB8ABD-3145-4E4E-AE81-0F614F004E9D}"/>
    <cellStyle name="Comma 4 4 3 6 4 3" xfId="48086" xr:uid="{F3FFD7DC-C5D2-4D27-99E1-6E2F9B5DC8FE}"/>
    <cellStyle name="Comma 4 4 3 6 4 4" xfId="52780" xr:uid="{AD625542-FDBB-4110-861D-22A877D67186}"/>
    <cellStyle name="Comma 4 4 3 6 4 5" xfId="55796" xr:uid="{A93EF7B7-2F22-4006-8A34-4D2627DC0BC9}"/>
    <cellStyle name="Comma 4 4 3 6 5" xfId="13029" xr:uid="{81866618-77B8-4BF7-A1A9-8FF3BE3D72B2}"/>
    <cellStyle name="Comma 4 4 3 6 5 2" xfId="34138" xr:uid="{270240B6-6B0A-421B-8F81-FF8A40701A12}"/>
    <cellStyle name="Comma 4 4 3 6 5 3" xfId="51349" xr:uid="{F4056CAD-4C9D-47C5-AF1C-2819DCE9A7E8}"/>
    <cellStyle name="Comma 4 4 3 6 5 4" xfId="54365" xr:uid="{DB26EB21-A7A9-421A-A2EB-9E9C207EAFC6}"/>
    <cellStyle name="Comma 4 4 3 6 6" xfId="46153" xr:uid="{4A9C7DB6-49B2-429C-B6E0-12616C4A15F9}"/>
    <cellStyle name="Comma 4 4 3 6 7" xfId="50243" xr:uid="{F9C3656B-9C63-4693-A920-75A0EDD33EA0}"/>
    <cellStyle name="Comma 4 4 3 6 8" xfId="53259" xr:uid="{6646653F-1BB6-4231-AE49-A3DD0948EBAC}"/>
    <cellStyle name="Comma 4 4 3 7" xfId="14517" xr:uid="{B0175149-2FB0-4A27-8F34-6DAEC456E10F}"/>
    <cellStyle name="Comma 4 4 3 7 2" xfId="22064" xr:uid="{9B0DE798-2434-43F7-AEA9-11D52631B70C}"/>
    <cellStyle name="Comma 4 4 3 7 3" xfId="48402" xr:uid="{5A89D03D-65AF-4616-B98C-BAD3FB58F1FA}"/>
    <cellStyle name="Comma 4 4 3 7 4" xfId="51402" xr:uid="{7D4AAC5F-24B5-4AF9-88A7-51EE46D1D3C6}"/>
    <cellStyle name="Comma 4 4 3 7 5" xfId="54418" xr:uid="{3EBC698B-7E5C-4A06-A647-F660F4D32AF6}"/>
    <cellStyle name="Comma 4 4 3 8" xfId="15001" xr:uid="{364F42F3-6EA9-41E1-BB4D-88F9A449E795}"/>
    <cellStyle name="Comma 4 4 3 8 2" xfId="22541" xr:uid="{6B94B1A0-8339-411C-BB87-21F505AE2C69}"/>
    <cellStyle name="Comma 4 4 3 8 3" xfId="46464" xr:uid="{2A334071-3F68-467A-8AC2-D00DE840C0B0}"/>
    <cellStyle name="Comma 4 4 3 8 4" xfId="51879" xr:uid="{4A3A2590-6463-4472-A745-A682A8EAF98C}"/>
    <cellStyle name="Comma 4 4 3 8 5" xfId="54895" xr:uid="{D6E5CFC8-6026-4BCE-9708-F272FEAFC7F7}"/>
    <cellStyle name="Comma 4 4 3 9" xfId="15488" xr:uid="{DDB731DF-1DC0-48AC-A30E-892E29289ECD}"/>
    <cellStyle name="Comma 4 4 3 9 2" xfId="23018" xr:uid="{C245DE69-4712-4A60-9A52-F9B18ED42721}"/>
    <cellStyle name="Comma 4 4 3 9 3" xfId="46539" xr:uid="{AA9A71C1-208C-422C-B180-4FC38C27D1F4}"/>
    <cellStyle name="Comma 4 4 3 9 4" xfId="52356" xr:uid="{1CBE585D-7DAD-4809-97E6-0EA6377BF3BE}"/>
    <cellStyle name="Comma 4 4 3 9 5" xfId="55372" xr:uid="{3C99F36C-666D-4596-9A6F-B330DD9C7D95}"/>
    <cellStyle name="Comma 4 4 4" xfId="10026" xr:uid="{2FA97E19-5B16-4259-B5CE-0A5D41B3EE32}"/>
    <cellStyle name="Comma 4 4 4 2" xfId="10334" xr:uid="{AF49E2B5-8AA9-4026-A70E-4F6D1C77D4F0}"/>
    <cellStyle name="Comma 4 4 4 2 2" xfId="14779" xr:uid="{829DB135-551E-411E-A484-860DB13A28D0}"/>
    <cellStyle name="Comma 4 4 4 2 2 2" xfId="22326" xr:uid="{3A84B87C-C652-458A-ACEE-E39F5DF19259}"/>
    <cellStyle name="Comma 4 4 4 2 2 3" xfId="46680" xr:uid="{B2F4D6DD-63FE-43F9-B1FE-FF347AE38550}"/>
    <cellStyle name="Comma 4 4 4 2 2 4" xfId="51664" xr:uid="{C3004070-DAD7-4A00-9E0C-D27AC5DDBB6C}"/>
    <cellStyle name="Comma 4 4 4 2 2 5" xfId="54680" xr:uid="{28598306-7D7B-4079-94E2-89C9673AD657}"/>
    <cellStyle name="Comma 4 4 4 2 3" xfId="15264" xr:uid="{5BBF73CF-90BD-4A2D-9A72-FCA25AB86160}"/>
    <cellStyle name="Comma 4 4 4 2 3 2" xfId="22803" xr:uid="{5DD1B4E8-CFF4-4F9C-A17D-40147670E8B3}"/>
    <cellStyle name="Comma 4 4 4 2 3 3" xfId="48018" xr:uid="{C8E83E5A-53EF-4EE8-B44E-316198257639}"/>
    <cellStyle name="Comma 4 4 4 2 3 4" xfId="52141" xr:uid="{CF42129E-95B8-409D-ADFB-C6483CE98706}"/>
    <cellStyle name="Comma 4 4 4 2 3 5" xfId="55157" xr:uid="{8DA4F557-9680-464C-9804-CE7779982ED9}"/>
    <cellStyle name="Comma 4 4 4 2 4" xfId="15751" xr:uid="{FFE261A7-47F8-42B5-B960-F17E24DABEC1}"/>
    <cellStyle name="Comma 4 4 4 2 4 2" xfId="23280" xr:uid="{731689B4-B043-495B-BFE6-E63662E93335}"/>
    <cellStyle name="Comma 4 4 4 2 4 3" xfId="32323" xr:uid="{A34AF19D-3719-4865-BBC4-3E88D43992CF}"/>
    <cellStyle name="Comma 4 4 4 2 4 4" xfId="52618" xr:uid="{19C18D1C-90F1-4DFD-93F3-F3B915290B29}"/>
    <cellStyle name="Comma 4 4 4 2 4 5" xfId="55634" xr:uid="{94DA1541-D87A-49EE-BCDA-3CE35F614F81}"/>
    <cellStyle name="Comma 4 4 4 2 5" xfId="12787" xr:uid="{8F363785-CEAE-4BBF-883A-27525CEEB235}"/>
    <cellStyle name="Comma 4 4 4 2 5 2" xfId="47526" xr:uid="{86AE23EE-D4D6-4E63-9CB5-06C32C8666E7}"/>
    <cellStyle name="Comma 4 4 4 2 5 3" xfId="51187" xr:uid="{2CE45D7D-46D2-4294-8FBF-C5902283911F}"/>
    <cellStyle name="Comma 4 4 4 2 5 4" xfId="54203" xr:uid="{5E35AE49-A2C1-4F7F-BB18-E4475F5B354F}"/>
    <cellStyle name="Comma 4 4 4 2 6" xfId="47734" xr:uid="{F9D454C4-01BC-49C4-8678-FC7F6062FA61}"/>
    <cellStyle name="Comma 4 4 4 2 7" xfId="50081" xr:uid="{398E16EC-829F-43D6-9DAE-892B9CA74D90}"/>
    <cellStyle name="Comma 4 4 4 2 8" xfId="53097" xr:uid="{5C15F01D-5282-455E-BDA4-62D62CA26163}"/>
    <cellStyle name="Comma 4 4 4 3" xfId="14567" xr:uid="{F4BC0269-7801-479C-9950-56821F78B049}"/>
    <cellStyle name="Comma 4 4 4 3 2" xfId="22114" xr:uid="{FA74929C-835C-4593-AE78-11F4EEE71889}"/>
    <cellStyle name="Comma 4 4 4 3 3" xfId="46836" xr:uid="{3FC7657F-55D9-48FE-8097-78256C4D6620}"/>
    <cellStyle name="Comma 4 4 4 3 4" xfId="51452" xr:uid="{B0FCD13D-1EA3-46B5-9F64-AFDD9812B963}"/>
    <cellStyle name="Comma 4 4 4 3 5" xfId="54468" xr:uid="{2C437343-64DD-4C08-B2FA-123FC0165DE2}"/>
    <cellStyle name="Comma 4 4 4 4" xfId="15051" xr:uid="{5A98CC6B-4FFD-40A4-8E1C-0214D61D071E}"/>
    <cellStyle name="Comma 4 4 4 4 2" xfId="22591" xr:uid="{64C462B3-B1A6-4070-BB40-DB35936C09AA}"/>
    <cellStyle name="Comma 4 4 4 4 3" xfId="32461" xr:uid="{749844FF-CEFD-4392-B6F7-C704B4F52A88}"/>
    <cellStyle name="Comma 4 4 4 4 4" xfId="51929" xr:uid="{73A91009-DF84-40D2-A578-E5A23D6418E1}"/>
    <cellStyle name="Comma 4 4 4 4 5" xfId="54945" xr:uid="{4C15279E-3D61-45FB-BCE6-096E9120DAC5}"/>
    <cellStyle name="Comma 4 4 4 5" xfId="15538" xr:uid="{6471AE9C-4BA5-4275-86FA-9EEFEE09F19A}"/>
    <cellStyle name="Comma 4 4 4 5 2" xfId="23068" xr:uid="{9BACCD3E-AE67-4DD1-8BB0-A3438AC56999}"/>
    <cellStyle name="Comma 4 4 4 5 3" xfId="48306" xr:uid="{25AD9B63-B2E8-4637-8282-61FCFE10FCB6}"/>
    <cellStyle name="Comma 4 4 4 5 4" xfId="52406" xr:uid="{B71629BE-671F-42D2-8ECE-15276FB494E3}"/>
    <cellStyle name="Comma 4 4 4 5 5" xfId="55422" xr:uid="{6A6F5E87-2D08-4AB7-8E9B-268F1DA8EBF5}"/>
    <cellStyle name="Comma 4 4 4 6" xfId="12486" xr:uid="{A0B473AB-4685-42DA-9B98-DD8A8AFCF46C}"/>
    <cellStyle name="Comma 4 4 4 6 2" xfId="46312" xr:uid="{749E38BC-B924-458A-A8D4-7BA294293D98}"/>
    <cellStyle name="Comma 4 4 4 6 3" xfId="50975" xr:uid="{51C725F5-427F-4DFA-8DED-3B60B97E6EFB}"/>
    <cellStyle name="Comma 4 4 4 6 4" xfId="53991" xr:uid="{FD0C2776-13CC-4FFA-8F81-9FB95421790B}"/>
    <cellStyle name="Comma 4 4 4 7" xfId="46029" xr:uid="{6E986919-6415-4EA1-A53D-86E1338E391A}"/>
    <cellStyle name="Comma 4 4 4 8" xfId="49869" xr:uid="{2FBC616A-65F8-45BF-96CF-667CA3BBE8BF}"/>
    <cellStyle name="Comma 4 4 4 9" xfId="52885" xr:uid="{8C6EFDDF-8482-4E02-8700-103C147811E3}"/>
    <cellStyle name="Comma 4 4 5" xfId="10100" xr:uid="{ED45B3B3-AD77-4A88-ABE6-70CC7EA06E4F}"/>
    <cellStyle name="Comma 4 4 5 2" xfId="10413" xr:uid="{5AAD3FFB-3508-4293-86F1-C4B8C918B8AB}"/>
    <cellStyle name="Comma 4 4 5 2 2" xfId="14832" xr:uid="{6F3E094D-6534-472F-8BC9-077E7E95C21D}"/>
    <cellStyle name="Comma 4 4 5 2 2 2" xfId="22379" xr:uid="{F145487C-2112-4CFC-8E41-5FD0CF644E82}"/>
    <cellStyle name="Comma 4 4 5 2 2 3" xfId="46441" xr:uid="{B731E25D-5EBF-407B-9513-EF8815FD4289}"/>
    <cellStyle name="Comma 4 4 5 2 2 4" xfId="51717" xr:uid="{763014D2-D67E-42A5-9E04-D1371EE2A5EB}"/>
    <cellStyle name="Comma 4 4 5 2 2 5" xfId="54733" xr:uid="{F7787DBC-10A8-40F3-B523-592728ADD0B6}"/>
    <cellStyle name="Comma 4 4 5 2 3" xfId="15317" xr:uid="{4651DAFC-49C1-4138-8101-03922CCF21B8}"/>
    <cellStyle name="Comma 4 4 5 2 3 2" xfId="22856" xr:uid="{78184322-13C9-451C-A20F-C372B791C372}"/>
    <cellStyle name="Comma 4 4 5 2 3 3" xfId="24315" xr:uid="{0E347EBA-B7B8-4CB7-AC00-1FC56A862728}"/>
    <cellStyle name="Comma 4 4 5 2 3 4" xfId="52194" xr:uid="{E722BE2F-BE5D-4A97-A120-4496ABFCC2BC}"/>
    <cellStyle name="Comma 4 4 5 2 3 5" xfId="55210" xr:uid="{F1931DED-2FF8-464C-8CFB-CD6978DB09B8}"/>
    <cellStyle name="Comma 4 4 5 2 4" xfId="15804" xr:uid="{E06E6149-86F9-4CB5-BDE9-4D5BDFFF7FF1}"/>
    <cellStyle name="Comma 4 4 5 2 4 2" xfId="23333" xr:uid="{71F72E75-4169-4A68-9E19-03FC994EE994}"/>
    <cellStyle name="Comma 4 4 5 2 4 3" xfId="24157" xr:uid="{66431982-128B-4EAB-B2ED-9077E7DDBFC3}"/>
    <cellStyle name="Comma 4 4 5 2 4 4" xfId="52671" xr:uid="{1BD3DE9F-7438-4EFD-AA85-F5B0AD5C37AA}"/>
    <cellStyle name="Comma 4 4 5 2 4 5" xfId="55687" xr:uid="{BF8BA2D8-F5F1-46EE-9BC5-8C932587BA14}"/>
    <cellStyle name="Comma 4 4 5 2 5" xfId="12866" xr:uid="{152F883B-D6B7-43C7-A631-FEE768F82694}"/>
    <cellStyle name="Comma 4 4 5 2 5 2" xfId="46364" xr:uid="{836B7F80-D9F3-4676-AFFA-481DDC13713F}"/>
    <cellStyle name="Comma 4 4 5 2 5 3" xfId="51240" xr:uid="{4F9152FB-BA7B-4D20-A2A6-8455199F54EA}"/>
    <cellStyle name="Comma 4 4 5 2 5 4" xfId="54256" xr:uid="{A4CCEC35-1ED6-42D9-B477-A5D4AC5FD5EF}"/>
    <cellStyle name="Comma 4 4 5 2 6" xfId="46114" xr:uid="{4BF9CC45-F6B5-410C-8278-4B336DE6C012}"/>
    <cellStyle name="Comma 4 4 5 2 7" xfId="50134" xr:uid="{2EDFEB9F-C489-4D21-9BDD-ADC08B10BEFA}"/>
    <cellStyle name="Comma 4 4 5 2 8" xfId="53150" xr:uid="{23324222-9157-4C73-9B31-E663C893CE09}"/>
    <cellStyle name="Comma 4 4 5 3" xfId="14620" xr:uid="{2DC58EF3-B61D-486B-9079-0B6ADA84F930}"/>
    <cellStyle name="Comma 4 4 5 3 2" xfId="22167" xr:uid="{C1BCA40C-146C-4A17-BBD0-BF5230664D39}"/>
    <cellStyle name="Comma 4 4 5 3 3" xfId="46842" xr:uid="{0FCCEF28-9900-4F17-92E7-0EBD3A3575F2}"/>
    <cellStyle name="Comma 4 4 5 3 4" xfId="51505" xr:uid="{586CE941-B81B-4D57-ACAD-29F50BD1D46F}"/>
    <cellStyle name="Comma 4 4 5 3 5" xfId="54521" xr:uid="{F65A9D53-354D-44B2-BEBD-F0BE8C6F3E51}"/>
    <cellStyle name="Comma 4 4 5 4" xfId="15105" xr:uid="{4788BAD9-1883-4E2B-AF49-2A98C1A9F2DB}"/>
    <cellStyle name="Comma 4 4 5 4 2" xfId="22644" xr:uid="{3FCCF738-7C5A-43CB-91DF-E635E5AF09BE}"/>
    <cellStyle name="Comma 4 4 5 4 3" xfId="24180" xr:uid="{63D92BFB-01EF-4815-8410-E3113A8AE8E2}"/>
    <cellStyle name="Comma 4 4 5 4 4" xfId="51982" xr:uid="{BF491645-25EB-4123-BF36-EA83F2E12B50}"/>
    <cellStyle name="Comma 4 4 5 4 5" xfId="54998" xr:uid="{7D0D3EDC-0BBE-4BE7-98F8-61304E385506}"/>
    <cellStyle name="Comma 4 4 5 5" xfId="15592" xr:uid="{B668117B-1A96-407D-8E33-E41544B2DBE1}"/>
    <cellStyle name="Comma 4 4 5 5 2" xfId="23121" xr:uid="{6D5EED16-8F15-47E9-A0FB-692F92B30E8E}"/>
    <cellStyle name="Comma 4 4 5 5 3" xfId="48540" xr:uid="{AC576223-8617-4192-B947-7B7CD8E2E314}"/>
    <cellStyle name="Comma 4 4 5 5 4" xfId="52459" xr:uid="{B2B24772-B61E-4C5D-B6A7-5809D8C34FAB}"/>
    <cellStyle name="Comma 4 4 5 5 5" xfId="55475" xr:uid="{3667EFE1-4F02-4C0B-94D0-F041F7850D77}"/>
    <cellStyle name="Comma 4 4 5 6" xfId="12557" xr:uid="{5EB68DE5-8EAC-4073-877D-0CE0C4D5833F}"/>
    <cellStyle name="Comma 4 4 5 6 2" xfId="48558" xr:uid="{85C875F9-176B-4FCB-9C23-5FE992F9D832}"/>
    <cellStyle name="Comma 4 4 5 6 3" xfId="51028" xr:uid="{405FC9E4-80D0-4954-8300-7A549C6DFDC3}"/>
    <cellStyle name="Comma 4 4 5 6 4" xfId="54044" xr:uid="{7C4C35E1-B78E-4CBC-AD95-97C09A341612}"/>
    <cellStyle name="Comma 4 4 5 7" xfId="47870" xr:uid="{B20F8C20-37B1-446E-90C7-3FECE4FBB893}"/>
    <cellStyle name="Comma 4 4 5 8" xfId="49922" xr:uid="{5C8BE494-0856-4966-B259-C0729A22550E}"/>
    <cellStyle name="Comma 4 4 5 9" xfId="52938" xr:uid="{EA36459B-B493-4500-A167-38A39CCD3745}"/>
    <cellStyle name="Comma 4 4 6" xfId="10179" xr:uid="{B8B7A151-5EB2-4F9E-8669-A3875B47F38D}"/>
    <cellStyle name="Comma 4 4 6 2" xfId="10493" xr:uid="{C965438F-4E73-4EE3-90B7-85232827316C}"/>
    <cellStyle name="Comma 4 4 6 2 2" xfId="14885" xr:uid="{D37F91AD-AFC7-43BA-B7D0-6A5897BF99C9}"/>
    <cellStyle name="Comma 4 4 6 2 2 2" xfId="22432" xr:uid="{09366E04-0922-4272-98E4-83931DD4C53D}"/>
    <cellStyle name="Comma 4 4 6 2 2 3" xfId="48120" xr:uid="{87CB1918-451D-4A89-8448-AEE1BC132B6E}"/>
    <cellStyle name="Comma 4 4 6 2 2 4" xfId="51770" xr:uid="{5ED9A23C-9616-4EBF-8075-BE5946135CF9}"/>
    <cellStyle name="Comma 4 4 6 2 2 5" xfId="54786" xr:uid="{32538BD2-2882-4AB8-84FD-2061062E0E4C}"/>
    <cellStyle name="Comma 4 4 6 2 3" xfId="15370" xr:uid="{2C3A83F9-B080-4144-9363-9331FD329722}"/>
    <cellStyle name="Comma 4 4 6 2 3 2" xfId="22909" xr:uid="{4FC785C1-1F7E-4FE0-949A-BA62AD76BA2B}"/>
    <cellStyle name="Comma 4 4 6 2 3 3" xfId="47250" xr:uid="{75578D39-8F4D-4C60-AF70-F2566EC0B2EE}"/>
    <cellStyle name="Comma 4 4 6 2 3 4" xfId="52247" xr:uid="{7B61E022-A3B7-4E6A-B9DA-A89710100DAC}"/>
    <cellStyle name="Comma 4 4 6 2 3 5" xfId="55263" xr:uid="{B0C09E11-4A37-4422-9401-0B67481B7660}"/>
    <cellStyle name="Comma 4 4 6 2 4" xfId="15857" xr:uid="{F5E64FD0-A3A3-4993-95DF-FCD9B361BE5D}"/>
    <cellStyle name="Comma 4 4 6 2 4 2" xfId="23386" xr:uid="{0B40ECEB-ED83-45DE-9055-FB8B78B0BC78}"/>
    <cellStyle name="Comma 4 4 6 2 4 3" xfId="47555" xr:uid="{DF78DF9A-E9BB-4994-AEFF-11079CA0DEF9}"/>
    <cellStyle name="Comma 4 4 6 2 4 4" xfId="52724" xr:uid="{22C5707E-D67F-4282-BF58-DBE22E9818E7}"/>
    <cellStyle name="Comma 4 4 6 2 4 5" xfId="55740" xr:uid="{09B198E1-C2CB-4C56-827E-0098DF1F10E9}"/>
    <cellStyle name="Comma 4 4 6 2 5" xfId="12946" xr:uid="{D49C28D5-D420-468A-864F-87E6DE327706}"/>
    <cellStyle name="Comma 4 4 6 2 5 2" xfId="47919" xr:uid="{FC2C8A19-525F-4FC2-BB24-92421362161E}"/>
    <cellStyle name="Comma 4 4 6 2 5 3" xfId="51293" xr:uid="{E2F30586-4CE1-4729-A420-364D0004720B}"/>
    <cellStyle name="Comma 4 4 6 2 5 4" xfId="54309" xr:uid="{4ADF1F97-42CB-4EC0-A58B-19026DEDB890}"/>
    <cellStyle name="Comma 4 4 6 2 6" xfId="48162" xr:uid="{6DAC8C55-E852-47AE-8288-EE6B4B4A553C}"/>
    <cellStyle name="Comma 4 4 6 2 7" xfId="50187" xr:uid="{D97DFA72-4F76-4A2D-B2D6-5769F33B5153}"/>
    <cellStyle name="Comma 4 4 6 2 8" xfId="53203" xr:uid="{C33200AA-6F46-49A6-86DD-329B00F78793}"/>
    <cellStyle name="Comma 4 4 6 3" xfId="14673" xr:uid="{F0C84D69-BE60-47C5-B684-EEE233768046}"/>
    <cellStyle name="Comma 4 4 6 3 2" xfId="22220" xr:uid="{18152720-0367-44B6-9227-FC4D308FF3FE}"/>
    <cellStyle name="Comma 4 4 6 3 3" xfId="24966" xr:uid="{D93D1B59-1639-4908-9AD2-F0468EE04AA1}"/>
    <cellStyle name="Comma 4 4 6 3 4" xfId="51558" xr:uid="{206649B4-ABCB-4981-90DE-F8902E5C4330}"/>
    <cellStyle name="Comma 4 4 6 3 5" xfId="54574" xr:uid="{8DCC4500-7D74-42EF-8EF9-86236A345881}"/>
    <cellStyle name="Comma 4 4 6 4" xfId="15158" xr:uid="{13A24AA1-52D3-4FAB-B67D-6404A8AAFFDA}"/>
    <cellStyle name="Comma 4 4 6 4 2" xfId="22697" xr:uid="{43995647-B888-4249-B2DE-07DF738C0AF2}"/>
    <cellStyle name="Comma 4 4 6 4 3" xfId="48300" xr:uid="{12F6F620-B938-42A3-AECB-105F47ED5D65}"/>
    <cellStyle name="Comma 4 4 6 4 4" xfId="52035" xr:uid="{741888E0-CF19-4B8D-AA58-04AD14927A8D}"/>
    <cellStyle name="Comma 4 4 6 4 5" xfId="55051" xr:uid="{31101476-54FB-4E26-89B6-4CF756A97400}"/>
    <cellStyle name="Comma 4 4 6 5" xfId="15645" xr:uid="{47ED4BAB-A0D2-4959-961B-A2C3E93E03F7}"/>
    <cellStyle name="Comma 4 4 6 5 2" xfId="23174" xr:uid="{F8A9C240-21DA-4915-BBA7-B09155853176}"/>
    <cellStyle name="Comma 4 4 6 5 3" xfId="46947" xr:uid="{900B4380-5680-4D25-8CC9-C6CE9032F4E9}"/>
    <cellStyle name="Comma 4 4 6 5 4" xfId="52512" xr:uid="{EF67A254-D358-43E5-A6CA-EA2BB9D1D064}"/>
    <cellStyle name="Comma 4 4 6 5 5" xfId="55528" xr:uid="{55BE7EC1-F6ED-4FC6-B748-72087C19DAA6}"/>
    <cellStyle name="Comma 4 4 6 6" xfId="12633" xr:uid="{AF92DC0F-937A-4822-A8A8-DC90B15E7994}"/>
    <cellStyle name="Comma 4 4 6 6 2" xfId="47319" xr:uid="{2D571BBA-4E15-435C-AFD9-EDDAA3FA7EA5}"/>
    <cellStyle name="Comma 4 4 6 6 3" xfId="51081" xr:uid="{9C4821B6-AA37-4B18-A726-777E1EFC6F3B}"/>
    <cellStyle name="Comma 4 4 6 6 4" xfId="54097" xr:uid="{855324C0-86A6-41CF-B33D-462E6C922331}"/>
    <cellStyle name="Comma 4 4 6 7" xfId="46060" xr:uid="{68C1AC5C-4B56-43DE-9EAD-062671E0AA61}"/>
    <cellStyle name="Comma 4 4 6 8" xfId="49975" xr:uid="{A85C8EBC-5430-4291-B3D3-051F759FB5B8}"/>
    <cellStyle name="Comma 4 4 6 9" xfId="52991" xr:uid="{6D277A6E-1358-43E0-8AD2-9378B60D667A}"/>
    <cellStyle name="Comma 4 4 7" xfId="10259" xr:uid="{440A8F97-7CB3-42B4-A576-8A896302AA4C}"/>
    <cellStyle name="Comma 4 4 7 2" xfId="14726" xr:uid="{642C66FB-28ED-4F41-A54C-A3E0AE4A7C91}"/>
    <cellStyle name="Comma 4 4 7 2 2" xfId="22273" xr:uid="{27D87CDF-23CA-43A7-944A-7244F9F86E76}"/>
    <cellStyle name="Comma 4 4 7 2 3" xfId="48503" xr:uid="{C2CC51D2-86D0-48CA-B8DB-35AD907D2E3B}"/>
    <cellStyle name="Comma 4 4 7 2 4" xfId="51611" xr:uid="{FFE775A2-3DE5-44ED-AC8E-D56D6D73F480}"/>
    <cellStyle name="Comma 4 4 7 2 5" xfId="54627" xr:uid="{904CCC4A-189E-496E-848F-9850AAED636C}"/>
    <cellStyle name="Comma 4 4 7 3" xfId="15211" xr:uid="{31459B35-1495-4C50-AC9F-65007AD814C8}"/>
    <cellStyle name="Comma 4 4 7 3 2" xfId="22750" xr:uid="{6F092CF4-38FE-481C-B18A-04F52C873D96}"/>
    <cellStyle name="Comma 4 4 7 3 3" xfId="48145" xr:uid="{A51FAA66-2F1D-4559-B26B-EAEB68D5B065}"/>
    <cellStyle name="Comma 4 4 7 3 4" xfId="52088" xr:uid="{7083C38E-5C81-4A05-8F8B-1C88A1255DF0}"/>
    <cellStyle name="Comma 4 4 7 3 5" xfId="55104" xr:uid="{3DDF6AA9-DCAD-4D4F-8FC3-3E099BDFB6CE}"/>
    <cellStyle name="Comma 4 4 7 4" xfId="15698" xr:uid="{7E0951A0-FF8B-4BC9-9273-AEA7CEBE0779}"/>
    <cellStyle name="Comma 4 4 7 4 2" xfId="23227" xr:uid="{7BB35CAE-D4ED-41E1-B52D-80FC6DD8AD8C}"/>
    <cellStyle name="Comma 4 4 7 4 3" xfId="23835" xr:uid="{9E5159E7-8E6B-4A4B-94CC-39A1965781C4}"/>
    <cellStyle name="Comma 4 4 7 4 4" xfId="52565" xr:uid="{C69135D0-DAA4-42B3-A46B-B26FC5824BF0}"/>
    <cellStyle name="Comma 4 4 7 4 5" xfId="55581" xr:uid="{DAD96CFD-A4B2-4F3A-B42F-7F96C795EE24}"/>
    <cellStyle name="Comma 4 4 7 5" xfId="12712" xr:uid="{33F366B5-170A-46AE-855E-4B5739FDA758}"/>
    <cellStyle name="Comma 4 4 7 5 2" xfId="47018" xr:uid="{09547D7B-3484-4B96-91A7-A8B9BA914E72}"/>
    <cellStyle name="Comma 4 4 7 5 3" xfId="51134" xr:uid="{A985CCA4-DAD5-405D-87E2-0D22AB838828}"/>
    <cellStyle name="Comma 4 4 7 5 4" xfId="54150" xr:uid="{276C0B7E-C9E9-4636-8894-05B189CFDEB8}"/>
    <cellStyle name="Comma 4 4 7 6" xfId="48314" xr:uid="{02119248-7E32-4A00-9C44-4470EC18215F}"/>
    <cellStyle name="Comma 4 4 7 7" xfId="50028" xr:uid="{045CBD9E-0577-4170-B8E8-33979FC9307D}"/>
    <cellStyle name="Comma 4 4 7 8" xfId="53044" xr:uid="{D048BADE-760E-4E2F-9293-52D6BD2FD235}"/>
    <cellStyle name="Comma 4 4 8" xfId="10573" xr:uid="{E4348FF7-454D-4FFB-B4AC-3F420273C0CF}"/>
    <cellStyle name="Comma 4 4 8 2" xfId="14938" xr:uid="{B0DA9E5B-1D34-47B4-AABC-31D516D55AD8}"/>
    <cellStyle name="Comma 4 4 8 2 2" xfId="22485" xr:uid="{BAF629BE-F48B-4A70-B0CA-59052D94A71B}"/>
    <cellStyle name="Comma 4 4 8 2 3" xfId="47966" xr:uid="{07CDC2A7-8C45-46BC-9058-947FC9EB6C94}"/>
    <cellStyle name="Comma 4 4 8 2 4" xfId="51823" xr:uid="{E79DBCEC-6C87-476B-AC08-16553852C9C3}"/>
    <cellStyle name="Comma 4 4 8 2 5" xfId="54839" xr:uid="{B51A00F1-FD75-44BE-A2A4-68141F279952}"/>
    <cellStyle name="Comma 4 4 8 3" xfId="15423" xr:uid="{4DA7949D-EE13-442E-A0D9-B7D566E3297E}"/>
    <cellStyle name="Comma 4 4 8 3 2" xfId="22962" xr:uid="{66594287-9E27-44CE-97E6-69C62C106E9A}"/>
    <cellStyle name="Comma 4 4 8 3 3" xfId="47863" xr:uid="{7576E779-FD1F-4473-AB5F-6D2CD9C80079}"/>
    <cellStyle name="Comma 4 4 8 3 4" xfId="52300" xr:uid="{BF3DEDF0-EC3A-4B00-B8C2-AE5468872956}"/>
    <cellStyle name="Comma 4 4 8 3 5" xfId="55316" xr:uid="{2E0253DC-5A87-4216-A79C-099921716CA4}"/>
    <cellStyle name="Comma 4 4 8 4" xfId="15911" xr:uid="{FB389230-C7AB-4D10-9DCF-C4ADA99CB6AB}"/>
    <cellStyle name="Comma 4 4 8 4 2" xfId="23439" xr:uid="{D7549AFC-9159-4932-8467-7B5C29FA80EC}"/>
    <cellStyle name="Comma 4 4 8 4 3" xfId="47442" xr:uid="{671CCE1C-7D1B-410B-ADD3-C02119F7E8DB}"/>
    <cellStyle name="Comma 4 4 8 4 4" xfId="52777" xr:uid="{2D7F8A92-2706-4E0B-8873-343B6D0D0EA6}"/>
    <cellStyle name="Comma 4 4 8 4 5" xfId="55793" xr:uid="{1802CFC1-DDDC-4F6B-A623-E90CAF2DEC31}"/>
    <cellStyle name="Comma 4 4 8 5" xfId="13026" xr:uid="{812FEE33-2E15-4F1E-8508-2B6E7C76EF93}"/>
    <cellStyle name="Comma 4 4 8 5 2" xfId="48053" xr:uid="{4D919FCD-8559-49EA-B57F-E9F720CEC54B}"/>
    <cellStyle name="Comma 4 4 8 5 3" xfId="51346" xr:uid="{AAABEB8A-B09D-4C24-83C7-265F2EB1984C}"/>
    <cellStyle name="Comma 4 4 8 5 4" xfId="54362" xr:uid="{25F12770-88FA-4DF3-915C-A3C77673294B}"/>
    <cellStyle name="Comma 4 4 8 6" xfId="47294" xr:uid="{F015A930-192D-46D9-99F2-534E36C999EC}"/>
    <cellStyle name="Comma 4 4 8 7" xfId="50240" xr:uid="{E244DA62-9758-4E6B-85CD-8937BFC0BDC5}"/>
    <cellStyle name="Comma 4 4 8 8" xfId="53256" xr:uid="{8D1B666C-B620-4005-927A-BC2C7F6C6F31}"/>
    <cellStyle name="Comma 4 4 9" xfId="11148" xr:uid="{B6E18881-411B-42AB-96FE-B9760D5ED495}"/>
    <cellStyle name="Comma 4 5" xfId="5823" xr:uid="{213FFDA8-E01C-45B1-9459-770A0AB0F4D9}"/>
    <cellStyle name="Comma 4 5 10" xfId="15002" xr:uid="{8A6223DA-6915-45AC-ACF3-460B5CF0B6F9}"/>
    <cellStyle name="Comma 4 5 10 2" xfId="22542" xr:uid="{6D478355-D038-4CA8-91CD-D87ED1D34DFF}"/>
    <cellStyle name="Comma 4 5 10 3" xfId="24925" xr:uid="{5E67A740-93E5-4F86-913C-2606DF4395A8}"/>
    <cellStyle name="Comma 4 5 10 4" xfId="51880" xr:uid="{74587EDF-D5DE-4736-B65D-DABA6C752634}"/>
    <cellStyle name="Comma 4 5 10 5" xfId="54896" xr:uid="{C9E1AAB1-19B0-444F-A23E-3C9A42AFD14E}"/>
    <cellStyle name="Comma 4 5 11" xfId="15489" xr:uid="{3B12C3C1-43A4-4DA6-AB06-95AD226E1CE6}"/>
    <cellStyle name="Comma 4 5 11 2" xfId="23019" xr:uid="{98318F52-FDDC-426E-B6D0-37C86CC226CC}"/>
    <cellStyle name="Comma 4 5 11 3" xfId="47029" xr:uid="{687F68FA-DA7A-4469-8CC4-1558EBF3FA92}"/>
    <cellStyle name="Comma 4 5 11 4" xfId="52357" xr:uid="{4D63A6CF-2840-4E72-98A2-EFAD844F9772}"/>
    <cellStyle name="Comma 4 5 11 5" xfId="55373" xr:uid="{52C26FDD-8DAD-4B19-9BA4-F91BFB42F91F}"/>
    <cellStyle name="Comma 4 5 12" xfId="11585" xr:uid="{D75F1710-ED8D-4A25-A203-BFBBBB7EB515}"/>
    <cellStyle name="Comma 4 5 12 2" xfId="21709" xr:uid="{39D9BA34-1B74-462A-BFA5-E5E13B65D2E1}"/>
    <cellStyle name="Comma 4 5 12 3" xfId="46993" xr:uid="{F87C1B2C-A200-4DFE-9A57-276E85E59CC8}"/>
    <cellStyle name="Comma 4 5 12 4" xfId="50732" xr:uid="{530457EC-AD82-4F67-BC6B-C152565F38D9}"/>
    <cellStyle name="Comma 4 5 12 5" xfId="53748" xr:uid="{40B63999-F666-49D3-83D7-0B29F528FF0A}"/>
    <cellStyle name="Comma 4 5 13" xfId="21243" xr:uid="{BD5B4104-8486-4BB1-9D9D-072C11F817B8}"/>
    <cellStyle name="Comma 4 5 14" xfId="23772" xr:uid="{00CB7AF7-868D-41FF-9E06-01CB19BBF053}"/>
    <cellStyle name="Comma 4 5 15" xfId="48653" xr:uid="{94F28716-3062-4251-838A-9A36DB4821AA}"/>
    <cellStyle name="Comma 4 5 16" xfId="49561" xr:uid="{2FB11976-0AF4-4B36-8664-C0BEB9B626E6}"/>
    <cellStyle name="Comma 4 5 17" xfId="49820" xr:uid="{4497625E-3942-46A4-8B44-074296CC4402}"/>
    <cellStyle name="Comma 4 5 18" xfId="52835" xr:uid="{BDD3520A-746C-4ACD-856F-EB4DC3CCE09D}"/>
    <cellStyle name="Comma 4 5 19" xfId="17477" xr:uid="{97054A84-C276-4B28-89B0-434627DEE3E0}"/>
    <cellStyle name="Comma 4 5 2" xfId="8944" xr:uid="{FBDAAAD5-7660-405A-ACBA-FC489E1A8DA5}"/>
    <cellStyle name="Comma 4 5 2 10" xfId="12194" xr:uid="{F5629569-BB12-44F9-A81D-CB32D06185DD}"/>
    <cellStyle name="Comma 4 5 2 10 2" xfId="24538" xr:uid="{A76CDF1B-7890-4B8F-A0FA-0DF77207A4F7}"/>
    <cellStyle name="Comma 4 5 2 10 3" xfId="50939" xr:uid="{77661F83-0091-4B56-8C78-D9137589F8D1}"/>
    <cellStyle name="Comma 4 5 2 10 4" xfId="53955" xr:uid="{A7B3247D-4F6A-400F-B26A-C7E94742874D}"/>
    <cellStyle name="Comma 4 5 2 11" xfId="23773" xr:uid="{D43C7592-67F6-472A-AFD2-D2CD1AB57AAA}"/>
    <cellStyle name="Comma 4 5 2 12" xfId="48654" xr:uid="{61A42AD3-9D18-4034-B7AC-8F7931CCFF3A}"/>
    <cellStyle name="Comma 4 5 2 13" xfId="49562" xr:uid="{5CDFDD87-E273-43E5-9E04-2C3E94D5BE2F}"/>
    <cellStyle name="Comma 4 5 2 14" xfId="49821" xr:uid="{57B1C26A-30C9-49F8-815D-8E319A7E18C5}"/>
    <cellStyle name="Comma 4 5 2 15" xfId="52836" xr:uid="{075F004B-B7B0-413A-BF0F-2E4AB88DAEB2}"/>
    <cellStyle name="Comma 4 5 2 2" xfId="10031" xr:uid="{CEE76FEE-C586-4515-9C1A-BDBAEEB8617E}"/>
    <cellStyle name="Comma 4 5 2 2 2" xfId="10339" xr:uid="{AF8903CC-F556-41FA-A47D-85830ED9662A}"/>
    <cellStyle name="Comma 4 5 2 2 2 2" xfId="14784" xr:uid="{40AEEFF9-D7CB-49C2-94CB-2F802A4863B5}"/>
    <cellStyle name="Comma 4 5 2 2 2 2 2" xfId="22331" xr:uid="{3EE837E9-7901-4C92-A19C-E10115ADCE1B}"/>
    <cellStyle name="Comma 4 5 2 2 2 2 3" xfId="46433" xr:uid="{FD9B8AD9-12E5-4D94-A145-898D321FEAB7}"/>
    <cellStyle name="Comma 4 5 2 2 2 2 4" xfId="51669" xr:uid="{FF0F630D-668F-4DF5-930A-374CB51FC0C7}"/>
    <cellStyle name="Comma 4 5 2 2 2 2 5" xfId="54685" xr:uid="{07ADDF1A-827D-4DE3-AEDA-20AFFCAC5082}"/>
    <cellStyle name="Comma 4 5 2 2 2 3" xfId="15269" xr:uid="{B17E0C88-83A6-4C33-8F46-56E0722EBFE4}"/>
    <cellStyle name="Comma 4 5 2 2 2 3 2" xfId="22808" xr:uid="{2C83013A-877F-4683-BC44-72CAEFF4246C}"/>
    <cellStyle name="Comma 4 5 2 2 2 3 3" xfId="46506" xr:uid="{3BC9302B-7597-43C5-BD02-377D130439C2}"/>
    <cellStyle name="Comma 4 5 2 2 2 3 4" xfId="52146" xr:uid="{F0584D27-5D4F-4A92-88E6-EB9D458664D0}"/>
    <cellStyle name="Comma 4 5 2 2 2 3 5" xfId="55162" xr:uid="{877D580B-3901-410B-A98F-717853DACB84}"/>
    <cellStyle name="Comma 4 5 2 2 2 4" xfId="15756" xr:uid="{55686725-D8DF-4E26-A4B2-E020F910FB6C}"/>
    <cellStyle name="Comma 4 5 2 2 2 4 2" xfId="23285" xr:uid="{F892B5E9-EF77-4556-A4B2-AFF9C17CE515}"/>
    <cellStyle name="Comma 4 5 2 2 2 4 3" xfId="47687" xr:uid="{788BCA1D-7628-4715-A835-595923602045}"/>
    <cellStyle name="Comma 4 5 2 2 2 4 4" xfId="52623" xr:uid="{97FF8BD4-6955-4CDE-AB47-19A462A18438}"/>
    <cellStyle name="Comma 4 5 2 2 2 4 5" xfId="55639" xr:uid="{2F58DA14-13B3-40DE-B07B-3F389018EADC}"/>
    <cellStyle name="Comma 4 5 2 2 2 5" xfId="12792" xr:uid="{13844F5B-F5F9-4539-8746-D76899334CBF}"/>
    <cellStyle name="Comma 4 5 2 2 2 5 2" xfId="25055" xr:uid="{783D6223-C0DE-48A9-B0C7-AE6854059EB4}"/>
    <cellStyle name="Comma 4 5 2 2 2 5 3" xfId="51192" xr:uid="{CA959216-1E8F-4C8B-915C-A9E7BB0A2048}"/>
    <cellStyle name="Comma 4 5 2 2 2 5 4" xfId="54208" xr:uid="{804DB904-F7DB-4C9C-9C58-9C010BFF394A}"/>
    <cellStyle name="Comma 4 5 2 2 2 6" xfId="48157" xr:uid="{E84A7E23-6613-4006-96D6-A14DCB66A40C}"/>
    <cellStyle name="Comma 4 5 2 2 2 7" xfId="50086" xr:uid="{B3EB0567-ED3D-4954-8595-4F7624C60EAA}"/>
    <cellStyle name="Comma 4 5 2 2 2 8" xfId="53102" xr:uid="{903E6D55-F113-43E0-A962-8CE0849AC90C}"/>
    <cellStyle name="Comma 4 5 2 2 3" xfId="14572" xr:uid="{2CE3501C-7605-40E8-9AA0-17822234E76B}"/>
    <cellStyle name="Comma 4 5 2 2 3 2" xfId="22119" xr:uid="{86C97CCF-2BCE-4020-8F01-3645DA09098D}"/>
    <cellStyle name="Comma 4 5 2 2 3 3" xfId="46401" xr:uid="{32A96F34-B181-4CC0-9030-ACF63D552B5D}"/>
    <cellStyle name="Comma 4 5 2 2 3 4" xfId="51457" xr:uid="{3F702167-6A67-4425-9D94-4D95B457532F}"/>
    <cellStyle name="Comma 4 5 2 2 3 5" xfId="54473" xr:uid="{D2B9100C-715B-46C0-9372-BDAE8F7F8A82}"/>
    <cellStyle name="Comma 4 5 2 2 4" xfId="15056" xr:uid="{A1E64F2A-91C8-4A73-8D7E-3E52F3216067}"/>
    <cellStyle name="Comma 4 5 2 2 4 2" xfId="22596" xr:uid="{DC2FFE21-EE14-40AC-A423-14EB18DE9801}"/>
    <cellStyle name="Comma 4 5 2 2 4 3" xfId="48245" xr:uid="{BF9BBDDB-06A1-4620-B712-FD3429432B40}"/>
    <cellStyle name="Comma 4 5 2 2 4 4" xfId="51934" xr:uid="{4AEC0024-2469-4B76-8A9E-E85A99EBEA71}"/>
    <cellStyle name="Comma 4 5 2 2 4 5" xfId="54950" xr:uid="{7C8E3C79-2C9A-461B-9138-B472D0B054D0}"/>
    <cellStyle name="Comma 4 5 2 2 5" xfId="15543" xr:uid="{58F6C3B6-9BE8-4E4A-A2AA-4F783BBD4DEB}"/>
    <cellStyle name="Comma 4 5 2 2 5 2" xfId="23073" xr:uid="{C900CE67-B436-480A-888F-FB748808A595}"/>
    <cellStyle name="Comma 4 5 2 2 5 3" xfId="46548" xr:uid="{27F1E22F-9238-4C43-9962-7432021C7377}"/>
    <cellStyle name="Comma 4 5 2 2 5 4" xfId="52411" xr:uid="{07AE2DA2-23EF-4F26-B2D1-EE87ADFD6BA1}"/>
    <cellStyle name="Comma 4 5 2 2 5 5" xfId="55427" xr:uid="{A543C17D-AC80-4A23-A38D-1AFCC3DB7084}"/>
    <cellStyle name="Comma 4 5 2 2 6" xfId="12491" xr:uid="{E5C887AE-39AC-4B55-897D-35A4D1ADA496}"/>
    <cellStyle name="Comma 4 5 2 2 6 2" xfId="47316" xr:uid="{2BB424E5-593B-4186-ACF7-4681BF674D15}"/>
    <cellStyle name="Comma 4 5 2 2 6 3" xfId="50980" xr:uid="{31E1DFB5-918D-49DA-8BCC-3A6C73C9EF4A}"/>
    <cellStyle name="Comma 4 5 2 2 6 4" xfId="53996" xr:uid="{6064C90F-2BAE-4FCC-B356-A03D01EE3C54}"/>
    <cellStyle name="Comma 4 5 2 2 7" xfId="48149" xr:uid="{6DC6CF2E-A623-4712-BE7B-59FD8AE26166}"/>
    <cellStyle name="Comma 4 5 2 2 8" xfId="49874" xr:uid="{2957EDF8-A4AB-47A4-9B0B-48D901C0B217}"/>
    <cellStyle name="Comma 4 5 2 2 9" xfId="52890" xr:uid="{05BB9952-E743-42E5-AFAF-D04A3456631A}"/>
    <cellStyle name="Comma 4 5 2 3" xfId="10105" xr:uid="{9B95116A-4F3E-400F-8AAC-1A35BEF78D44}"/>
    <cellStyle name="Comma 4 5 2 3 2" xfId="10418" xr:uid="{FB82B6C1-A5AF-4A4F-98B5-7E325D76A4DB}"/>
    <cellStyle name="Comma 4 5 2 3 2 2" xfId="14837" xr:uid="{1BB42DC3-BD42-4E66-A41B-FBF783E0A23E}"/>
    <cellStyle name="Comma 4 5 2 3 2 2 2" xfId="22384" xr:uid="{E1FD5CCB-6D73-4F8A-8104-4053DB197A33}"/>
    <cellStyle name="Comma 4 5 2 3 2 2 3" xfId="24187" xr:uid="{12B4783C-C7C4-4C28-BD86-058414FB74C2}"/>
    <cellStyle name="Comma 4 5 2 3 2 2 4" xfId="51722" xr:uid="{38655785-E3C6-484B-BBDA-8D2FF406C275}"/>
    <cellStyle name="Comma 4 5 2 3 2 2 5" xfId="54738" xr:uid="{EFAF67BD-ACED-4CDC-A76D-01FADB1BD5F8}"/>
    <cellStyle name="Comma 4 5 2 3 2 3" xfId="15322" xr:uid="{6F842FA3-A759-4326-9838-391469DE080D}"/>
    <cellStyle name="Comma 4 5 2 3 2 3 2" xfId="22861" xr:uid="{EA83D676-2A6E-47B8-876F-58E987BE965C}"/>
    <cellStyle name="Comma 4 5 2 3 2 3 3" xfId="46907" xr:uid="{7B6B7EF7-B38F-42ED-A60D-E37577662540}"/>
    <cellStyle name="Comma 4 5 2 3 2 3 4" xfId="52199" xr:uid="{D7062F19-5CD1-4246-A7B2-D4E1B04F5D01}"/>
    <cellStyle name="Comma 4 5 2 3 2 3 5" xfId="55215" xr:uid="{E8EC1B07-9787-4FA9-B63B-B507462ED6C3}"/>
    <cellStyle name="Comma 4 5 2 3 2 4" xfId="15809" xr:uid="{06E16737-0C08-4223-8C24-6ACA7F932F72}"/>
    <cellStyle name="Comma 4 5 2 3 2 4 2" xfId="23338" xr:uid="{AF395444-0751-4F83-8362-AA10C1ADC17A}"/>
    <cellStyle name="Comma 4 5 2 3 2 4 3" xfId="47794" xr:uid="{E82B00C3-3345-4D23-A384-BF252FF89868}"/>
    <cellStyle name="Comma 4 5 2 3 2 4 4" xfId="52676" xr:uid="{B0714058-A334-4C09-BAD4-F7BB9D6B7EC1}"/>
    <cellStyle name="Comma 4 5 2 3 2 4 5" xfId="55692" xr:uid="{FD599631-AA56-427F-BCE9-2FD4CDB822F0}"/>
    <cellStyle name="Comma 4 5 2 3 2 5" xfId="12871" xr:uid="{CC46FA08-A8CA-48C8-B221-F1D7A61CE653}"/>
    <cellStyle name="Comma 4 5 2 3 2 5 2" xfId="48203" xr:uid="{5911A259-8A12-470C-8C02-DEE17DB417ED}"/>
    <cellStyle name="Comma 4 5 2 3 2 5 3" xfId="51245" xr:uid="{CA710BD2-7FF5-464E-ABE1-0B6804FBF3CE}"/>
    <cellStyle name="Comma 4 5 2 3 2 5 4" xfId="54261" xr:uid="{AAAFCC7B-34B0-4B64-906C-5DDDD25261DA}"/>
    <cellStyle name="Comma 4 5 2 3 2 6" xfId="47288" xr:uid="{24FEB12C-E0B2-4C67-8BFA-34DA82952A69}"/>
    <cellStyle name="Comma 4 5 2 3 2 7" xfId="50139" xr:uid="{2EDBDE2A-1E9D-433C-AD80-2BAF2FBB53DC}"/>
    <cellStyle name="Comma 4 5 2 3 2 8" xfId="53155" xr:uid="{E0DFFD72-56DA-4B40-8BE3-18BF6D536EDE}"/>
    <cellStyle name="Comma 4 5 2 3 3" xfId="14625" xr:uid="{3EBDF536-81B0-43C6-8F41-E4B33803F859}"/>
    <cellStyle name="Comma 4 5 2 3 3 2" xfId="22172" xr:uid="{72F69DD7-C5A6-40AD-8A8B-E0184B644F6C}"/>
    <cellStyle name="Comma 4 5 2 3 3 3" xfId="47237" xr:uid="{69BBF0AB-EC49-41F8-9C9A-FD80264379A7}"/>
    <cellStyle name="Comma 4 5 2 3 3 4" xfId="51510" xr:uid="{9CFF037B-54D2-4954-861A-5C23E2D44D29}"/>
    <cellStyle name="Comma 4 5 2 3 3 5" xfId="54526" xr:uid="{1880EC98-C171-42A2-A40D-7A2087B9F44E}"/>
    <cellStyle name="Comma 4 5 2 3 4" xfId="15110" xr:uid="{4D12CBB8-AF70-4548-885D-34EF7B21F97E}"/>
    <cellStyle name="Comma 4 5 2 3 4 2" xfId="22649" xr:uid="{BAA8CB58-975A-4E74-8485-3F6AB0716E81}"/>
    <cellStyle name="Comma 4 5 2 3 4 3" xfId="47780" xr:uid="{15CAD9F5-8685-4C04-A5E0-9306A268424A}"/>
    <cellStyle name="Comma 4 5 2 3 4 4" xfId="51987" xr:uid="{594BD75C-1A39-482C-B147-4CAF3022779B}"/>
    <cellStyle name="Comma 4 5 2 3 4 5" xfId="55003" xr:uid="{7139620C-3F67-4673-8F0E-0B52E6596281}"/>
    <cellStyle name="Comma 4 5 2 3 5" xfId="15597" xr:uid="{8948D123-9CB4-46EC-A7CB-3F50F3152758}"/>
    <cellStyle name="Comma 4 5 2 3 5 2" xfId="23126" xr:uid="{760286E0-AA9E-4D76-8307-59A1A9F5F019}"/>
    <cellStyle name="Comma 4 5 2 3 5 3" xfId="48079" xr:uid="{437E6C2D-ACCC-46CC-9124-408A589B8247}"/>
    <cellStyle name="Comma 4 5 2 3 5 4" xfId="52464" xr:uid="{12B889F1-7528-476E-B44D-7744AC1F3A01}"/>
    <cellStyle name="Comma 4 5 2 3 5 5" xfId="55480" xr:uid="{E167E2FB-A386-4446-A6AE-BFB95DAA5DD5}"/>
    <cellStyle name="Comma 4 5 2 3 6" xfId="12562" xr:uid="{58DFAB86-6A04-4BE6-B474-F6D424BCAE35}"/>
    <cellStyle name="Comma 4 5 2 3 6 2" xfId="25079" xr:uid="{1CCAB8FA-95B9-4894-B044-0A87FB807669}"/>
    <cellStyle name="Comma 4 5 2 3 6 3" xfId="51033" xr:uid="{10CE2818-9EBF-45EB-94ED-C48D950F20BD}"/>
    <cellStyle name="Comma 4 5 2 3 6 4" xfId="54049" xr:uid="{CD08C89E-1834-4E9E-9C4F-77BBD38064BB}"/>
    <cellStyle name="Comma 4 5 2 3 7" xfId="46048" xr:uid="{69FE4C3C-458F-4E19-9386-31BE6DDC17B5}"/>
    <cellStyle name="Comma 4 5 2 3 8" xfId="49927" xr:uid="{A64D8D49-470B-4455-BC8E-BFFA40B349B5}"/>
    <cellStyle name="Comma 4 5 2 3 9" xfId="52943" xr:uid="{DBB181C7-6E29-45B1-BBD4-0C68C2EA43B4}"/>
    <cellStyle name="Comma 4 5 2 4" xfId="10184" xr:uid="{5D71DBAF-4825-435D-939A-31CE994D58B5}"/>
    <cellStyle name="Comma 4 5 2 4 2" xfId="10498" xr:uid="{64A239FA-AB64-4220-A832-4E2F7E09C172}"/>
    <cellStyle name="Comma 4 5 2 4 2 2" xfId="14890" xr:uid="{D60B8C7D-EB5D-484E-B2CC-AB80091DB633}"/>
    <cellStyle name="Comma 4 5 2 4 2 2 2" xfId="22437" xr:uid="{FA90E7F0-FEB8-48D2-9657-82DAFE802F74}"/>
    <cellStyle name="Comma 4 5 2 4 2 2 3" xfId="46451" xr:uid="{E9E0EC98-8ACB-442C-9ABF-45249745CCD1}"/>
    <cellStyle name="Comma 4 5 2 4 2 2 4" xfId="51775" xr:uid="{277A19D7-2664-4ACC-8C43-9C6F79241995}"/>
    <cellStyle name="Comma 4 5 2 4 2 2 5" xfId="54791" xr:uid="{C8098D0F-7E1B-405D-898A-F8DE0CB3C731}"/>
    <cellStyle name="Comma 4 5 2 4 2 3" xfId="15375" xr:uid="{D3339863-041B-49A0-8A37-A61853EB80B5}"/>
    <cellStyle name="Comma 4 5 2 4 2 3 2" xfId="22914" xr:uid="{EA3776AD-983D-471C-976B-3C3733CB2353}"/>
    <cellStyle name="Comma 4 5 2 4 2 3 3" xfId="47131" xr:uid="{88ECFD1B-E317-4949-9182-2F4868EC64F5}"/>
    <cellStyle name="Comma 4 5 2 4 2 3 4" xfId="52252" xr:uid="{13945469-2C1C-43AE-921D-F15D5AC0ADC0}"/>
    <cellStyle name="Comma 4 5 2 4 2 3 5" xfId="55268" xr:uid="{6D1892E6-CF22-4A8F-AD56-5B90345F1193}"/>
    <cellStyle name="Comma 4 5 2 4 2 4" xfId="15862" xr:uid="{C4140398-DBAB-4F5B-8B4E-E8FDE439BE1D}"/>
    <cellStyle name="Comma 4 5 2 4 2 4 2" xfId="23391" xr:uid="{791A2659-20DE-495F-9E37-F1F4181FCAC5}"/>
    <cellStyle name="Comma 4 5 2 4 2 4 3" xfId="48268" xr:uid="{6707C9BF-DFEF-4B85-969D-BC6E0EF1A1A7}"/>
    <cellStyle name="Comma 4 5 2 4 2 4 4" xfId="52729" xr:uid="{6F838665-A229-4982-888D-9F94F7F087C2}"/>
    <cellStyle name="Comma 4 5 2 4 2 4 5" xfId="55745" xr:uid="{A91DE5A3-79D2-45FB-AD8D-BF2CDFD4B072}"/>
    <cellStyle name="Comma 4 5 2 4 2 5" xfId="12951" xr:uid="{CC7BA2C0-19D8-488E-B261-671AE8C3BD64}"/>
    <cellStyle name="Comma 4 5 2 4 2 5 2" xfId="48345" xr:uid="{7EE7C0A4-C0C1-467D-B4E8-A35409373107}"/>
    <cellStyle name="Comma 4 5 2 4 2 5 3" xfId="51298" xr:uid="{40131D1F-9ACB-4C46-8040-043773DD7242}"/>
    <cellStyle name="Comma 4 5 2 4 2 5 4" xfId="54314" xr:uid="{7BE6AC00-791D-4E8E-9CDC-A03DD38B2523}"/>
    <cellStyle name="Comma 4 5 2 4 2 6" xfId="24263" xr:uid="{2FB6DE95-11B4-4688-B9DF-10B8C2992997}"/>
    <cellStyle name="Comma 4 5 2 4 2 7" xfId="50192" xr:uid="{001142A4-2692-4C54-8EDD-54AA3E0F66CC}"/>
    <cellStyle name="Comma 4 5 2 4 2 8" xfId="53208" xr:uid="{B6AFE886-ACA8-4D66-AC59-EEA966615E88}"/>
    <cellStyle name="Comma 4 5 2 4 3" xfId="14678" xr:uid="{C809FEA9-5E99-401E-BE5B-7FF6CDFB58A8}"/>
    <cellStyle name="Comma 4 5 2 4 3 2" xfId="22225" xr:uid="{5162DDCC-DAEF-4127-AB7C-F000B730E5C6}"/>
    <cellStyle name="Comma 4 5 2 4 3 3" xfId="46416" xr:uid="{D7319CE6-A809-4C34-AFA1-D485B7D4A4D2}"/>
    <cellStyle name="Comma 4 5 2 4 3 4" xfId="51563" xr:uid="{AE459B16-C6FE-46E1-BB14-8C588580A898}"/>
    <cellStyle name="Comma 4 5 2 4 3 5" xfId="54579" xr:uid="{26AD11F7-B738-495A-BA16-B581A9A90626}"/>
    <cellStyle name="Comma 4 5 2 4 4" xfId="15163" xr:uid="{E76037B0-4975-4CF3-BA09-176F7DBFDF6D}"/>
    <cellStyle name="Comma 4 5 2 4 4 2" xfId="22702" xr:uid="{3D87B095-1504-4A0C-A72C-3198D807B56D}"/>
    <cellStyle name="Comma 4 5 2 4 4 3" xfId="46490" xr:uid="{8B172676-7A2C-451A-AAD1-1DD26EDDF19D}"/>
    <cellStyle name="Comma 4 5 2 4 4 4" xfId="52040" xr:uid="{186ACC72-267F-4EBE-A70A-1C32ACE5DF7C}"/>
    <cellStyle name="Comma 4 5 2 4 4 5" xfId="55056" xr:uid="{21DA1D77-4695-427A-8CBD-D852449BB491}"/>
    <cellStyle name="Comma 4 5 2 4 5" xfId="15650" xr:uid="{11361467-F145-4603-84E0-1EF3B354D4F9}"/>
    <cellStyle name="Comma 4 5 2 4 5 2" xfId="23179" xr:uid="{D526D73D-F7D8-4E79-AD7F-619E2654689C}"/>
    <cellStyle name="Comma 4 5 2 4 5 3" xfId="48422" xr:uid="{0C4C16DD-F15D-4955-A3A9-8CD8DD94304F}"/>
    <cellStyle name="Comma 4 5 2 4 5 4" xfId="52517" xr:uid="{DFDA3E9C-AACE-4BD4-AA55-577372F83440}"/>
    <cellStyle name="Comma 4 5 2 4 5 5" xfId="55533" xr:uid="{EA8EFF75-E09E-49AD-BE3F-11374B232E9E}"/>
    <cellStyle name="Comma 4 5 2 4 6" xfId="12638" xr:uid="{1435D3C8-C425-43FD-8F56-F48D93E35359}"/>
    <cellStyle name="Comma 4 5 2 4 6 2" xfId="48337" xr:uid="{4620843B-8283-4A37-9641-11152C780B4D}"/>
    <cellStyle name="Comma 4 5 2 4 6 3" xfId="51086" xr:uid="{FC5D98A6-BF85-4398-9AB1-4C15D5F6C887}"/>
    <cellStyle name="Comma 4 5 2 4 6 4" xfId="54102" xr:uid="{23F74E51-D58C-4D0B-84D9-57506ABDF8B5}"/>
    <cellStyle name="Comma 4 5 2 4 7" xfId="46063" xr:uid="{D9D39305-A7D6-4C74-9A8E-00BC59D70EB0}"/>
    <cellStyle name="Comma 4 5 2 4 8" xfId="49980" xr:uid="{3299D21C-3619-449E-88D5-78F948741291}"/>
    <cellStyle name="Comma 4 5 2 4 9" xfId="52996" xr:uid="{C2519529-C0E0-41FC-8B62-15409147D38C}"/>
    <cellStyle name="Comma 4 5 2 5" xfId="10264" xr:uid="{4D9108C6-31B5-4DE0-A05C-DC93E78AEAC2}"/>
    <cellStyle name="Comma 4 5 2 5 2" xfId="14731" xr:uid="{B740592F-7C7A-41AC-B919-D2A9228FA259}"/>
    <cellStyle name="Comma 4 5 2 5 2 2" xfId="22278" xr:uid="{3FAB0F14-8B91-4000-8F96-52B0C366E1A7}"/>
    <cellStyle name="Comma 4 5 2 5 2 3" xfId="48062" xr:uid="{506E47F4-72ED-4943-B064-84FE96ACF727}"/>
    <cellStyle name="Comma 4 5 2 5 2 4" xfId="51616" xr:uid="{BCFC0D8D-B3D4-4182-AABD-7A69EA512A23}"/>
    <cellStyle name="Comma 4 5 2 5 2 5" xfId="54632" xr:uid="{8841BB48-04E9-429E-B84C-85E770A5DCCA}"/>
    <cellStyle name="Comma 4 5 2 5 3" xfId="15216" xr:uid="{6E05CAE1-62A4-4448-BA02-115D87127F29}"/>
    <cellStyle name="Comma 4 5 2 5 3 2" xfId="22755" xr:uid="{BD0C8541-5D9D-49CA-8418-8A4E72E9FD6D}"/>
    <cellStyle name="Comma 4 5 2 5 3 3" xfId="48125" xr:uid="{571E98BB-F1A7-4F57-AE0D-6FB4BF2790C7}"/>
    <cellStyle name="Comma 4 5 2 5 3 4" xfId="52093" xr:uid="{606D3B5F-0A8A-436F-8F81-1C766793AFD3}"/>
    <cellStyle name="Comma 4 5 2 5 3 5" xfId="55109" xr:uid="{B256A4B1-B32E-4C23-B2DA-7EEABA7DB9DC}"/>
    <cellStyle name="Comma 4 5 2 5 4" xfId="15703" xr:uid="{8FBC7DA2-7418-4D6B-B054-623BC68C3D30}"/>
    <cellStyle name="Comma 4 5 2 5 4 2" xfId="23232" xr:uid="{06D65883-C260-4D6D-ABB6-D49AE284CAED}"/>
    <cellStyle name="Comma 4 5 2 5 4 3" xfId="47456" xr:uid="{502205E2-0585-4200-8C4E-146C3D808B3E}"/>
    <cellStyle name="Comma 4 5 2 5 4 4" xfId="52570" xr:uid="{9FABBDE7-9143-4102-9AC5-5441908819D9}"/>
    <cellStyle name="Comma 4 5 2 5 4 5" xfId="55586" xr:uid="{E8371685-496F-4ECD-8C03-BF2227B79CAE}"/>
    <cellStyle name="Comma 4 5 2 5 5" xfId="12717" xr:uid="{B2A98A76-D811-4D21-A946-E06F61222500}"/>
    <cellStyle name="Comma 4 5 2 5 5 2" xfId="37489" xr:uid="{BC1A5B5A-2CA9-4881-9E1A-0D8764B01211}"/>
    <cellStyle name="Comma 4 5 2 5 5 3" xfId="51139" xr:uid="{455016ED-806C-4678-8B93-757D6BD2879E}"/>
    <cellStyle name="Comma 4 5 2 5 5 4" xfId="54155" xr:uid="{84D59DED-64B2-4C13-8760-7B78E6CB9385}"/>
    <cellStyle name="Comma 4 5 2 5 6" xfId="48452" xr:uid="{94149962-4CE4-4DC1-A052-92C02D41B702}"/>
    <cellStyle name="Comma 4 5 2 5 7" xfId="50033" xr:uid="{EBB79D2D-6ECF-4523-8ECD-AB716646BBB7}"/>
    <cellStyle name="Comma 4 5 2 5 8" xfId="53049" xr:uid="{3B800531-2FE8-4BBC-BAB0-DB26F39FE8C7}"/>
    <cellStyle name="Comma 4 5 2 6" xfId="10578" xr:uid="{F3846D05-D7ED-49EC-AEFA-40C73BF6FE39}"/>
    <cellStyle name="Comma 4 5 2 6 2" xfId="14943" xr:uid="{3FCB25E3-E14C-4ACC-8F5E-DF9A64E08BAF}"/>
    <cellStyle name="Comma 4 5 2 6 2 2" xfId="22490" xr:uid="{8BE581C4-48C5-424C-A7AE-DC3D084326A1}"/>
    <cellStyle name="Comma 4 5 2 6 2 3" xfId="32520" xr:uid="{A078C9CC-9AA4-46FD-9CEB-643637FE07CE}"/>
    <cellStyle name="Comma 4 5 2 6 2 4" xfId="51828" xr:uid="{A5347349-5FCB-49F8-8305-FDDDC405A22D}"/>
    <cellStyle name="Comma 4 5 2 6 2 5" xfId="54844" xr:uid="{2329F3A8-93BB-4F58-BF43-56B7EC71DA96}"/>
    <cellStyle name="Comma 4 5 2 6 3" xfId="15428" xr:uid="{F36109A1-82E2-47DC-8055-5229FA0A7BCF}"/>
    <cellStyle name="Comma 4 5 2 6 3 2" xfId="22967" xr:uid="{5FC48F07-D43F-4498-BFB9-F25B74F046A4}"/>
    <cellStyle name="Comma 4 5 2 6 3 3" xfId="46692" xr:uid="{F055CEAC-E876-4262-B567-DC9E61EC1F6A}"/>
    <cellStyle name="Comma 4 5 2 6 3 4" xfId="52305" xr:uid="{92F0135A-E586-4FFB-93CD-21DA49EC6C94}"/>
    <cellStyle name="Comma 4 5 2 6 3 5" xfId="55321" xr:uid="{33C5FFC9-C35D-4990-87B4-0BBE7B5486C2}"/>
    <cellStyle name="Comma 4 5 2 6 4" xfId="15916" xr:uid="{F355DCC4-498C-4308-9E4E-A411AA1061DA}"/>
    <cellStyle name="Comma 4 5 2 6 4 2" xfId="23444" xr:uid="{49FC0458-213D-4ACE-BB32-22C2378052F9}"/>
    <cellStyle name="Comma 4 5 2 6 4 3" xfId="46606" xr:uid="{8A243C94-5705-4497-AD93-3019C018B665}"/>
    <cellStyle name="Comma 4 5 2 6 4 4" xfId="52782" xr:uid="{B8C3178A-5433-4539-B91B-BD7329E0128A}"/>
    <cellStyle name="Comma 4 5 2 6 4 5" xfId="55798" xr:uid="{AE42E70B-E109-4FBC-8677-7856ACF7D9C1}"/>
    <cellStyle name="Comma 4 5 2 6 5" xfId="13031" xr:uid="{3CC5FEDB-EC2A-427D-B03A-B8B659177B2D}"/>
    <cellStyle name="Comma 4 5 2 6 5 2" xfId="46823" xr:uid="{545EC74D-812C-4DBB-B5EB-AD58A85FB58E}"/>
    <cellStyle name="Comma 4 5 2 6 5 3" xfId="51351" xr:uid="{AAE7FC25-2D94-4041-8D6C-FBB07653C081}"/>
    <cellStyle name="Comma 4 5 2 6 5 4" xfId="54367" xr:uid="{26032F0F-15B0-4404-9724-53F48B2F176A}"/>
    <cellStyle name="Comma 4 5 2 6 6" xfId="46154" xr:uid="{DC2520BD-C7C8-4124-8A44-7A541FA71913}"/>
    <cellStyle name="Comma 4 5 2 6 7" xfId="50245" xr:uid="{2F1BD1FF-9F9A-4586-87E8-4A31DA142CB5}"/>
    <cellStyle name="Comma 4 5 2 6 8" xfId="53261" xr:uid="{BA8A91E8-ADDB-4FCE-8895-465BFCFEA4A4}"/>
    <cellStyle name="Comma 4 5 2 7" xfId="14519" xr:uid="{465FFD5C-EA24-401F-910A-A5CA6AEF3B83}"/>
    <cellStyle name="Comma 4 5 2 7 2" xfId="22066" xr:uid="{FB6ABEDD-E9C7-4EB8-8781-FCF2FC178AC1}"/>
    <cellStyle name="Comma 4 5 2 7 3" xfId="47768" xr:uid="{648D8E94-C705-4C4B-B3B2-5C668E7179A9}"/>
    <cellStyle name="Comma 4 5 2 7 4" xfId="51404" xr:uid="{BC78DD7D-919E-44F3-AE32-2164E33BAB4B}"/>
    <cellStyle name="Comma 4 5 2 7 5" xfId="54420" xr:uid="{B82B24EC-9DAD-4D4A-A90D-F39E5221CEEB}"/>
    <cellStyle name="Comma 4 5 2 8" xfId="15003" xr:uid="{56BDCA45-BA07-4BAE-923B-4619621323C0}"/>
    <cellStyle name="Comma 4 5 2 8 2" xfId="22543" xr:uid="{E27C7288-910C-4F1E-B312-691FC3B5B88C}"/>
    <cellStyle name="Comma 4 5 2 8 3" xfId="48413" xr:uid="{3474B844-4B43-4B74-8E87-9DD9C03D13E4}"/>
    <cellStyle name="Comma 4 5 2 8 4" xfId="51881" xr:uid="{C8BEE1F7-8CE8-4E1A-91B8-33E579B56717}"/>
    <cellStyle name="Comma 4 5 2 8 5" xfId="54897" xr:uid="{8892FA21-F535-4094-9D0A-BDDF218AA1B7}"/>
    <cellStyle name="Comma 4 5 2 9" xfId="15490" xr:uid="{BC405102-7457-4271-B8E8-38CEEF021A4E}"/>
    <cellStyle name="Comma 4 5 2 9 2" xfId="23020" xr:uid="{907C4DC8-0608-4F33-BD2E-8226D311B5B5}"/>
    <cellStyle name="Comma 4 5 2 9 3" xfId="47995" xr:uid="{3E7BDA8B-B8E0-4335-A109-EB0BCA515854}"/>
    <cellStyle name="Comma 4 5 2 9 4" xfId="52358" xr:uid="{650B4333-0B43-4552-B94A-CB99D2DB2E4F}"/>
    <cellStyle name="Comma 4 5 2 9 5" xfId="55374" xr:uid="{E48D1584-306F-4877-9D92-034D3993C1CF}"/>
    <cellStyle name="Comma 4 5 20" xfId="8943" xr:uid="{A8411680-103B-4F6C-826F-678E6F43895B}"/>
    <cellStyle name="Comma 4 5 3" xfId="10030" xr:uid="{775A0505-4F3D-477B-8CB4-FECE06F76E74}"/>
    <cellStyle name="Comma 4 5 3 2" xfId="10338" xr:uid="{3CE42433-9C08-46E7-8C23-D42D0FD77ED1}"/>
    <cellStyle name="Comma 4 5 3 2 2" xfId="14783" xr:uid="{8BBF7D55-5CAA-4D4C-9A3A-C58ED788B64E}"/>
    <cellStyle name="Comma 4 5 3 2 2 2" xfId="22330" xr:uid="{C505E2B5-2314-4310-B226-B86AE325E403}"/>
    <cellStyle name="Comma 4 5 3 2 2 3" xfId="48536" xr:uid="{96E17D6F-737A-450D-8F8A-091B52F8C9D3}"/>
    <cellStyle name="Comma 4 5 3 2 2 4" xfId="51668" xr:uid="{6A2F2870-D6F6-4F72-9C44-70887A9FA7F8}"/>
    <cellStyle name="Comma 4 5 3 2 2 5" xfId="54684" xr:uid="{E168783B-FBF4-49D5-AE8A-9CE9379A923F}"/>
    <cellStyle name="Comma 4 5 3 2 3" xfId="15268" xr:uid="{EF1516BC-D3BA-4CFE-9008-68A822053443}"/>
    <cellStyle name="Comma 4 5 3 2 3 2" xfId="22807" xr:uid="{D7BC373B-A4B9-46E4-8F1C-437D565C3312}"/>
    <cellStyle name="Comma 4 5 3 2 3 3" xfId="48512" xr:uid="{1D824CE9-470B-4ABB-8B28-EC157C704CBB}"/>
    <cellStyle name="Comma 4 5 3 2 3 4" xfId="52145" xr:uid="{5C688371-B7C8-404B-9D9B-264D9168E111}"/>
    <cellStyle name="Comma 4 5 3 2 3 5" xfId="55161" xr:uid="{40A15272-04B4-421C-8416-56E484176F81}"/>
    <cellStyle name="Comma 4 5 3 2 4" xfId="15755" xr:uid="{5434A4A5-7BDB-4122-9E07-ABB6B7801100}"/>
    <cellStyle name="Comma 4 5 3 2 4 2" xfId="23284" xr:uid="{44466BD4-2F6A-4E9B-AF26-6A5B87B29D9E}"/>
    <cellStyle name="Comma 4 5 3 2 4 3" xfId="47003" xr:uid="{AC3BD263-FD50-46A6-B298-394EF9B6425C}"/>
    <cellStyle name="Comma 4 5 3 2 4 4" xfId="52622" xr:uid="{F6838FB8-4965-4B39-9E90-AED890FB6B5D}"/>
    <cellStyle name="Comma 4 5 3 2 4 5" xfId="55638" xr:uid="{05FCE8AC-AA46-4DF7-B6BB-A2263E6F75D2}"/>
    <cellStyle name="Comma 4 5 3 2 5" xfId="12791" xr:uid="{3780A734-B5D2-4A22-9D19-B97A0F0C223E}"/>
    <cellStyle name="Comma 4 5 3 2 5 2" xfId="46353" xr:uid="{F7222335-B9DD-482A-ADBE-D5A3C1A626D0}"/>
    <cellStyle name="Comma 4 5 3 2 5 3" xfId="51191" xr:uid="{1FAAB504-BC90-4E39-BF2E-743EC2AD5047}"/>
    <cellStyle name="Comma 4 5 3 2 5 4" xfId="54207" xr:uid="{4340E647-DDD2-42CA-942D-BBFEF65BA7BB}"/>
    <cellStyle name="Comma 4 5 3 2 6" xfId="46090" xr:uid="{F0815B45-B6C0-463B-9B78-14768A26E445}"/>
    <cellStyle name="Comma 4 5 3 2 7" xfId="50085" xr:uid="{872502FF-888C-4303-86A4-F3CD0B8A3D69}"/>
    <cellStyle name="Comma 4 5 3 2 8" xfId="53101" xr:uid="{E98C3AB3-CAED-4A5F-9641-9AEB9E04B002}"/>
    <cellStyle name="Comma 4 5 3 3" xfId="14571" xr:uid="{BA8DF413-3D71-4FA3-8129-9C00F64016FB}"/>
    <cellStyle name="Comma 4 5 3 3 2" xfId="22118" xr:uid="{60584EA3-3D4E-461A-85DB-065BEA326051}"/>
    <cellStyle name="Comma 4 5 3 3 3" xfId="46400" xr:uid="{A07B61CD-92F0-40DE-B714-26FB740FAA19}"/>
    <cellStyle name="Comma 4 5 3 3 4" xfId="51456" xr:uid="{8A6CDF7D-FE21-4BCF-8B76-B8168BF0246F}"/>
    <cellStyle name="Comma 4 5 3 3 5" xfId="54472" xr:uid="{554F1648-9208-497B-A2C4-1EBFB7AE30EF}"/>
    <cellStyle name="Comma 4 5 3 4" xfId="15055" xr:uid="{88ABF9FA-4A74-449C-A1F9-D756DC8B828E}"/>
    <cellStyle name="Comma 4 5 3 4 2" xfId="22595" xr:uid="{CEF141DE-7F67-4A25-8C0B-85E1C3B0CB78}"/>
    <cellStyle name="Comma 4 5 3 4 3" xfId="33168" xr:uid="{41ABB741-B804-4540-85AD-B957F50DDCFB}"/>
    <cellStyle name="Comma 4 5 3 4 4" xfId="51933" xr:uid="{78D6636D-5745-42F4-99F2-0EA5F628435B}"/>
    <cellStyle name="Comma 4 5 3 4 5" xfId="54949" xr:uid="{3893D5AD-FECD-4253-B69F-9FE61C1F43F3}"/>
    <cellStyle name="Comma 4 5 3 5" xfId="15542" xr:uid="{96F81746-91A2-4A79-9D0D-CAD1BF32530B}"/>
    <cellStyle name="Comma 4 5 3 5 2" xfId="23072" xr:uid="{9164D80B-BC57-4CA7-8787-8BB51DDEAFD1}"/>
    <cellStyle name="Comma 4 5 3 5 3" xfId="47943" xr:uid="{0DC6B39E-4B5D-4D09-824D-8F94912382F4}"/>
    <cellStyle name="Comma 4 5 3 5 4" xfId="52410" xr:uid="{184E6275-AC1C-4306-99C3-2CFA9E611A24}"/>
    <cellStyle name="Comma 4 5 3 5 5" xfId="55426" xr:uid="{63533730-E01D-4AA7-A90D-C5600839BB95}"/>
    <cellStyle name="Comma 4 5 3 6" xfId="12490" xr:uid="{F1A7A9F9-D6D5-436C-9877-8DC69C47F479}"/>
    <cellStyle name="Comma 4 5 3 6 2" xfId="47756" xr:uid="{2AD42A94-B6FF-4AF0-9BD2-3462DA098DDC}"/>
    <cellStyle name="Comma 4 5 3 6 3" xfId="50979" xr:uid="{447FB9EC-C606-4D6D-AAA0-863849D2C194}"/>
    <cellStyle name="Comma 4 5 3 6 4" xfId="53995" xr:uid="{6C46B206-FA24-4279-8C60-ABADD2C5406F}"/>
    <cellStyle name="Comma 4 5 3 7" xfId="46031" xr:uid="{E6D1C0BB-27E1-4608-9A5E-C6A3A5A2DABF}"/>
    <cellStyle name="Comma 4 5 3 8" xfId="49873" xr:uid="{C146BA2E-0B32-4BB0-97E3-55194A2982ED}"/>
    <cellStyle name="Comma 4 5 3 9" xfId="52889" xr:uid="{7D45D85A-7F13-41D1-A90E-6A9DCF488C74}"/>
    <cellStyle name="Comma 4 5 4" xfId="10104" xr:uid="{86A3C6D8-5F80-441A-B70C-5D1F5E7C11E0}"/>
    <cellStyle name="Comma 4 5 4 2" xfId="10417" xr:uid="{0DD2A3D7-FA72-452A-84EB-734FCC2B706C}"/>
    <cellStyle name="Comma 4 5 4 2 2" xfId="14836" xr:uid="{6E27F136-C730-4FC0-8754-72FC5B4B5459}"/>
    <cellStyle name="Comma 4 5 4 2 2 2" xfId="22383" xr:uid="{938BDF2B-F78F-4546-9A60-065A94D6FF3F}"/>
    <cellStyle name="Comma 4 5 4 2 2 3" xfId="47183" xr:uid="{E77EDB39-CB8A-4247-ACDD-768EA514F5A0}"/>
    <cellStyle name="Comma 4 5 4 2 2 4" xfId="51721" xr:uid="{DAB90DA8-FC91-4E34-9784-064EF7AB6A70}"/>
    <cellStyle name="Comma 4 5 4 2 2 5" xfId="54737" xr:uid="{F67670DE-5F3B-4235-96F7-49E43E2C4980}"/>
    <cellStyle name="Comma 4 5 4 2 3" xfId="15321" xr:uid="{8E23F887-3201-41FF-B9D2-8AEC2B93FD8A}"/>
    <cellStyle name="Comma 4 5 4 2 3 2" xfId="22860" xr:uid="{44E0E2CF-1C10-4087-8936-0C0B01BA607F}"/>
    <cellStyle name="Comma 4 5 4 2 3 3" xfId="47841" xr:uid="{124F2B3E-96AA-4E51-A26D-5F7384D7DEB1}"/>
    <cellStyle name="Comma 4 5 4 2 3 4" xfId="52198" xr:uid="{BF3370C5-847C-4D9E-991D-C24ADF48B99C}"/>
    <cellStyle name="Comma 4 5 4 2 3 5" xfId="55214" xr:uid="{31A85E7B-5658-4F0C-8C07-5885364EA4F8}"/>
    <cellStyle name="Comma 4 5 4 2 4" xfId="15808" xr:uid="{F2241684-E006-4D1F-838F-7F834558DC0F}"/>
    <cellStyle name="Comma 4 5 4 2 4 2" xfId="23337" xr:uid="{8AC2A5A6-F0B4-4543-970B-FBC3E498D67E}"/>
    <cellStyle name="Comma 4 5 4 2 4 3" xfId="46968" xr:uid="{950C1A0D-858D-42C5-9553-86C503B1E395}"/>
    <cellStyle name="Comma 4 5 4 2 4 4" xfId="52675" xr:uid="{DBB182A1-1C1E-46BA-A2E2-65A88ED9DE4D}"/>
    <cellStyle name="Comma 4 5 4 2 4 5" xfId="55691" xr:uid="{4096FADF-8EA2-4CD0-BE8B-023D4BA77A2E}"/>
    <cellStyle name="Comma 4 5 4 2 5" xfId="12870" xr:uid="{58C8FFD7-77E8-4319-A5EF-CCB9E265987C}"/>
    <cellStyle name="Comma 4 5 4 2 5 2" xfId="24688" xr:uid="{C9232BBB-4A46-42BC-84AF-16830B0F932F}"/>
    <cellStyle name="Comma 4 5 4 2 5 3" xfId="51244" xr:uid="{3CD83B36-F694-46E2-8F40-5A47B38CD713}"/>
    <cellStyle name="Comma 4 5 4 2 5 4" xfId="54260" xr:uid="{221E207B-B468-4F1D-BCD2-F19B60FA0A32}"/>
    <cellStyle name="Comma 4 5 4 2 6" xfId="47289" xr:uid="{670C10AC-9816-447A-8660-3D9E90F244DD}"/>
    <cellStyle name="Comma 4 5 4 2 7" xfId="50138" xr:uid="{A6F238E6-2E93-4C92-866E-4AFEE3FE9ED3}"/>
    <cellStyle name="Comma 4 5 4 2 8" xfId="53154" xr:uid="{A4047F02-211E-49E2-884C-7344E274472A}"/>
    <cellStyle name="Comma 4 5 4 3" xfId="14624" xr:uid="{816B5CBB-8BDB-4850-8656-250EEFF78DA6}"/>
    <cellStyle name="Comma 4 5 4 3 2" xfId="22171" xr:uid="{455D5659-79C7-4CA8-B287-64A18A0D2901}"/>
    <cellStyle name="Comma 4 5 4 3 3" xfId="24970" xr:uid="{C104CD5B-C36A-4E26-9E48-491A60904E4F}"/>
    <cellStyle name="Comma 4 5 4 3 4" xfId="51509" xr:uid="{27358AFB-4388-47EA-ABAE-C5C7ADF2A2BC}"/>
    <cellStyle name="Comma 4 5 4 3 5" xfId="54525" xr:uid="{6782B559-C866-4A3C-B58F-DF7547CE2C04}"/>
    <cellStyle name="Comma 4 5 4 4" xfId="15109" xr:uid="{21367D3A-0BC7-434D-B3BF-4DA0D2AAD229}"/>
    <cellStyle name="Comma 4 5 4 4 2" xfId="22648" xr:uid="{75E8350F-BEFA-4BEE-B238-687098FF1C63}"/>
    <cellStyle name="Comma 4 5 4 4 3" xfId="46881" xr:uid="{A9EF0C2A-0E19-4CEF-A6DD-55C9938EE105}"/>
    <cellStyle name="Comma 4 5 4 4 4" xfId="51986" xr:uid="{2FE13520-62A1-4A74-881C-4818A56E7718}"/>
    <cellStyle name="Comma 4 5 4 4 5" xfId="55002" xr:uid="{586CAE3D-5C60-4540-AE0D-787F2DE1D8E2}"/>
    <cellStyle name="Comma 4 5 4 5" xfId="15596" xr:uid="{28BAF873-FCF4-48CE-A0FE-33EAA82D57A8}"/>
    <cellStyle name="Comma 4 5 4 5 2" xfId="23125" xr:uid="{00564708-3C3A-4983-AD5B-356AEEBA4B6F}"/>
    <cellStyle name="Comma 4 5 4 5 3" xfId="46940" xr:uid="{61FEC0DF-794D-458E-82A4-C46D0EDF3426}"/>
    <cellStyle name="Comma 4 5 4 5 4" xfId="52463" xr:uid="{4E18C9B2-97ED-4606-B13D-B2856FEF714A}"/>
    <cellStyle name="Comma 4 5 4 5 5" xfId="55479" xr:uid="{1BA31C33-CA6E-4EBC-9651-9136B0FEB730}"/>
    <cellStyle name="Comma 4 5 4 6" xfId="12561" xr:uid="{2EF519C5-C6FA-4FBF-8335-BB3060ED72E3}"/>
    <cellStyle name="Comma 4 5 4 6 2" xfId="47091" xr:uid="{FE3DB549-5857-4633-8638-E3AD45468B3D}"/>
    <cellStyle name="Comma 4 5 4 6 3" xfId="51032" xr:uid="{6FA907F8-3E1A-4612-BF8E-546112F68BEC}"/>
    <cellStyle name="Comma 4 5 4 6 4" xfId="54048" xr:uid="{32F30897-48D7-474E-A2E8-D9005233B9CC}"/>
    <cellStyle name="Comma 4 5 4 7" xfId="46047" xr:uid="{EE84A112-B8D6-40E4-BD99-207C737D8D8F}"/>
    <cellStyle name="Comma 4 5 4 8" xfId="49926" xr:uid="{21F48A10-2DDC-4960-AC69-70FFB703B2A5}"/>
    <cellStyle name="Comma 4 5 4 9" xfId="52942" xr:uid="{DABCF998-13F3-44DB-828F-4B1C1CD5576B}"/>
    <cellStyle name="Comma 4 5 5" xfId="10183" xr:uid="{E5C774DA-EC81-4566-9061-BC8F44C9B94C}"/>
    <cellStyle name="Comma 4 5 5 2" xfId="10497" xr:uid="{48E8D9AA-AB48-4A1C-9335-25A50EFCD613}"/>
    <cellStyle name="Comma 4 5 5 2 2" xfId="14889" xr:uid="{7B75DB2B-6182-4293-BE53-BF39666D6B27}"/>
    <cellStyle name="Comma 4 5 5 2 2 2" xfId="22436" xr:uid="{18759703-CF6D-4DF8-A9AB-3A617D2F3E4F}"/>
    <cellStyle name="Comma 4 5 5 2 2 3" xfId="46450" xr:uid="{EDD955A6-1492-4173-B138-736D1A8769F6}"/>
    <cellStyle name="Comma 4 5 5 2 2 4" xfId="51774" xr:uid="{985382B3-BE1E-47F1-98F0-15B8EE33C39D}"/>
    <cellStyle name="Comma 4 5 5 2 2 5" xfId="54790" xr:uid="{BA23C235-D570-4FE0-8A82-543B9FD08612}"/>
    <cellStyle name="Comma 4 5 5 2 3" xfId="15374" xr:uid="{26045ADA-54B8-45C1-8D5A-628930DD378A}"/>
    <cellStyle name="Comma 4 5 5 2 3 2" xfId="22913" xr:uid="{86DE0E50-1B0F-4BB5-B86B-0AB67742A1FE}"/>
    <cellStyle name="Comma 4 5 5 2 3 3" xfId="46522" xr:uid="{203A7B58-7138-445C-85EB-FF58BF687769}"/>
    <cellStyle name="Comma 4 5 5 2 3 4" xfId="52251" xr:uid="{652121E7-4D13-49D9-9922-64FD19DEEB5E}"/>
    <cellStyle name="Comma 4 5 5 2 3 5" xfId="55267" xr:uid="{18F6B149-88E1-4C98-AC32-BCCC4F4A39B7}"/>
    <cellStyle name="Comma 4 5 5 2 4" xfId="15861" xr:uid="{AD441D12-B5D7-4579-8FB0-A1C77E95A293}"/>
    <cellStyle name="Comma 4 5 5 2 4 2" xfId="23390" xr:uid="{95CA16E1-074E-40D0-B5A9-8DC5CE04F93D}"/>
    <cellStyle name="Comma 4 5 5 2 4 3" xfId="37441" xr:uid="{61F3A3A7-7DDB-47FC-83DE-CBA7260D5AFC}"/>
    <cellStyle name="Comma 4 5 5 2 4 4" xfId="52728" xr:uid="{DD02274E-5D19-4CED-810A-C9F5B3F65647}"/>
    <cellStyle name="Comma 4 5 5 2 4 5" xfId="55744" xr:uid="{114E68B2-77F4-439F-BA80-D5105CFC3BDA}"/>
    <cellStyle name="Comma 4 5 5 2 5" xfId="12950" xr:uid="{8F223976-4A63-4FD1-AD48-1C9301298DD7}"/>
    <cellStyle name="Comma 4 5 5 2 5 2" xfId="46816" xr:uid="{1A57E200-E7F4-4CE9-9E06-FD227B147881}"/>
    <cellStyle name="Comma 4 5 5 2 5 3" xfId="51297" xr:uid="{37B6A64F-F212-470F-9217-46E21BE1B5CC}"/>
    <cellStyle name="Comma 4 5 5 2 5 4" xfId="54313" xr:uid="{93E91A18-FA49-436D-BDAC-43F2FA1217CA}"/>
    <cellStyle name="Comma 4 5 5 2 6" xfId="46136" xr:uid="{64889D8C-720C-46DE-A84F-8719B8C55253}"/>
    <cellStyle name="Comma 4 5 5 2 7" xfId="50191" xr:uid="{186C1CCD-81ED-4FBE-908F-18FA347FACDB}"/>
    <cellStyle name="Comma 4 5 5 2 8" xfId="53207" xr:uid="{F4F29019-B423-46F8-8538-E3DEA652E968}"/>
    <cellStyle name="Comma 4 5 5 3" xfId="14677" xr:uid="{3926CBEB-7FB4-4F8D-A6DF-53734F75A20C}"/>
    <cellStyle name="Comma 4 5 5 3 2" xfId="22224" xr:uid="{084A7C96-6BCD-4B60-A3EE-F0B04506EEBF}"/>
    <cellStyle name="Comma 4 5 5 3 3" xfId="47331" xr:uid="{3E1EEC2F-920F-4B96-885E-5FDFC44DA8ED}"/>
    <cellStyle name="Comma 4 5 5 3 4" xfId="51562" xr:uid="{2C69B0BA-41A6-42E8-8B29-E52B23967FD9}"/>
    <cellStyle name="Comma 4 5 5 3 5" xfId="54578" xr:uid="{5AECC3F4-BDCE-4F25-848D-42BEF7D837CF}"/>
    <cellStyle name="Comma 4 5 5 4" xfId="15162" xr:uid="{D185E71F-541C-4DAD-BC2F-368634E145BA}"/>
    <cellStyle name="Comma 4 5 5 4 2" xfId="22701" xr:uid="{67E2BCDD-D361-4506-A0BC-0158E9545358}"/>
    <cellStyle name="Comma 4 5 5 4 3" xfId="47340" xr:uid="{069E48C0-2B03-4B29-AAB6-5B7B4EF91D1F}"/>
    <cellStyle name="Comma 4 5 5 4 4" xfId="52039" xr:uid="{C4814477-3BAF-4DE9-BC94-80797908C704}"/>
    <cellStyle name="Comma 4 5 5 4 5" xfId="55055" xr:uid="{7537F510-28D1-4DD4-B1FA-9A4C62560DF5}"/>
    <cellStyle name="Comma 4 5 5 5" xfId="15649" xr:uid="{7C9AAE97-6DE9-4D46-841B-2C5DC24E5D35}"/>
    <cellStyle name="Comma 4 5 5 5 2" xfId="23178" xr:uid="{42159DC3-EA14-4C6B-A6B5-473D65671B22}"/>
    <cellStyle name="Comma 4 5 5 5 3" xfId="24896" xr:uid="{EDD200A5-8D7E-4D0B-8C0C-2D7280246F3E}"/>
    <cellStyle name="Comma 4 5 5 5 4" xfId="52516" xr:uid="{72D64B6C-A6E5-4BD5-97F6-248979D5E7BE}"/>
    <cellStyle name="Comma 4 5 5 5 5" xfId="55532" xr:uid="{A6727116-CFE2-4264-A5EC-6F423573580D}"/>
    <cellStyle name="Comma 4 5 5 6" xfId="12637" xr:uid="{BBF9C3F4-6CED-4DDE-8EC9-03CBDA543DC3}"/>
    <cellStyle name="Comma 4 5 5 6 2" xfId="46778" xr:uid="{65CF396A-5ACF-4FB5-9984-AF801E6E9EDE}"/>
    <cellStyle name="Comma 4 5 5 6 3" xfId="51085" xr:uid="{63ED7E21-7C3A-42B7-9FCA-E7201A526C55}"/>
    <cellStyle name="Comma 4 5 5 6 4" xfId="54101" xr:uid="{0230D978-B0D2-4C27-B6FD-FE7EEC3A9A51}"/>
    <cellStyle name="Comma 4 5 5 7" xfId="48154" xr:uid="{9C253E2D-8C28-4FFC-96EB-8ED06A56E39B}"/>
    <cellStyle name="Comma 4 5 5 8" xfId="49979" xr:uid="{23D8E6DA-0098-4D77-8423-59B9553D64DC}"/>
    <cellStyle name="Comma 4 5 5 9" xfId="52995" xr:uid="{8BAEC773-A86E-4B91-A8EC-9A63E24A80BA}"/>
    <cellStyle name="Comma 4 5 6" xfId="10263" xr:uid="{31061916-DBD5-4057-A59E-07A599FFC734}"/>
    <cellStyle name="Comma 4 5 6 2" xfId="14730" xr:uid="{0495ECC6-3D65-426E-A97E-D36D6AC0A5AF}"/>
    <cellStyle name="Comma 4 5 6 2 2" xfId="22277" xr:uid="{BDD3EB71-E97F-4939-A4B8-5413FFB2AE0F}"/>
    <cellStyle name="Comma 4 5 6 2 3" xfId="46855" xr:uid="{204AB8D8-368D-45A6-9A29-29EB16719F0B}"/>
    <cellStyle name="Comma 4 5 6 2 4" xfId="51615" xr:uid="{A222C499-0BA6-4147-B074-98C3E9E8D02B}"/>
    <cellStyle name="Comma 4 5 6 2 5" xfId="54631" xr:uid="{CAC1C3B5-7882-4E74-8CFE-DF68C44F2B38}"/>
    <cellStyle name="Comma 4 5 6 3" xfId="15215" xr:uid="{1463D56C-D7E2-45F2-A59D-40903C8BAF08}"/>
    <cellStyle name="Comma 4 5 6 3 2" xfId="22754" xr:uid="{3B22F952-0500-4B5C-B52F-207532EF9521}"/>
    <cellStyle name="Comma 4 5 6 3 3" xfId="47972" xr:uid="{E0A32F73-569D-4E2E-8B7E-4502B61B2105}"/>
    <cellStyle name="Comma 4 5 6 3 4" xfId="52092" xr:uid="{D020F840-789A-4EBB-A8BC-F1D9871FC47C}"/>
    <cellStyle name="Comma 4 5 6 3 5" xfId="55108" xr:uid="{849A62EB-00EE-4861-A636-B0190AC73BC5}"/>
    <cellStyle name="Comma 4 5 6 4" xfId="15702" xr:uid="{A6276F86-2AE7-4379-9121-5A2EFA9EEDAF}"/>
    <cellStyle name="Comma 4 5 6 4 2" xfId="23231" xr:uid="{B6113EE3-C303-45A0-BC59-84FABD80CA2D}"/>
    <cellStyle name="Comma 4 5 6 4 3" xfId="46699" xr:uid="{06CA5939-552F-4F79-8D9D-845293717F02}"/>
    <cellStyle name="Comma 4 5 6 4 4" xfId="52569" xr:uid="{D4226D6F-904E-4F12-B966-E7DB55C8D60C}"/>
    <cellStyle name="Comma 4 5 6 4 5" xfId="55585" xr:uid="{8BC01852-9877-4A58-A56F-C93810F6FA80}"/>
    <cellStyle name="Comma 4 5 6 5" xfId="12716" xr:uid="{9E626A5E-2ACA-448E-87F0-6F174303B16D}"/>
    <cellStyle name="Comma 4 5 6 5 2" xfId="24214" xr:uid="{C6ADB96E-9FBA-4798-A9C1-AD35B58096EF}"/>
    <cellStyle name="Comma 4 5 6 5 3" xfId="51138" xr:uid="{7A133461-1D97-4B41-82FC-3DBF4108243B}"/>
    <cellStyle name="Comma 4 5 6 5 4" xfId="54154" xr:uid="{3E018822-00FF-4E9A-A3CE-5FE5E6F4B26D}"/>
    <cellStyle name="Comma 4 5 6 6" xfId="46075" xr:uid="{A76E7836-AECF-41D4-B1FF-132A5979C5C6}"/>
    <cellStyle name="Comma 4 5 6 7" xfId="50032" xr:uid="{70AB98A2-B56A-4F5F-A37B-1E62F95E80DD}"/>
    <cellStyle name="Comma 4 5 6 8" xfId="53048" xr:uid="{B76DDE23-D4E3-4557-A7C0-C1C05F816DE7}"/>
    <cellStyle name="Comma 4 5 7" xfId="10577" xr:uid="{03E090C2-FF7B-48B8-BB7E-064844ECFFE2}"/>
    <cellStyle name="Comma 4 5 7 2" xfId="14942" xr:uid="{1AA94B25-A959-4123-9DBA-38B3A1115B07}"/>
    <cellStyle name="Comma 4 5 7 2 2" xfId="22489" xr:uid="{7EED275A-F9E3-4333-92DC-19D7879F33CA}"/>
    <cellStyle name="Comma 4 5 7 2 3" xfId="48121" xr:uid="{71F788B5-327F-48CD-A7E2-9D084A788D62}"/>
    <cellStyle name="Comma 4 5 7 2 4" xfId="51827" xr:uid="{52DD3CAB-3F02-4B4D-A469-57091D31587C}"/>
    <cellStyle name="Comma 4 5 7 2 5" xfId="54843" xr:uid="{E27EB64C-C4F7-48B2-8C80-AE6507BFBEB7}"/>
    <cellStyle name="Comma 4 5 7 3" xfId="15427" xr:uid="{57F677F2-884C-43D1-9FB1-D88180453363}"/>
    <cellStyle name="Comma 4 5 7 3 2" xfId="22966" xr:uid="{618612CE-0852-4D2A-B0BB-CA81C45613E3}"/>
    <cellStyle name="Comma 4 5 7 3 3" xfId="47217" xr:uid="{CCDCA041-2B7A-4A49-9059-D7409B6CE68B}"/>
    <cellStyle name="Comma 4 5 7 3 4" xfId="52304" xr:uid="{ED05CE8B-6EC6-4661-A6D3-DB5E13836805}"/>
    <cellStyle name="Comma 4 5 7 3 5" xfId="55320" xr:uid="{63C680BB-5BF6-4F00-8EC5-D6F2BBC6703C}"/>
    <cellStyle name="Comma 4 5 7 4" xfId="15915" xr:uid="{611A0FB9-B137-4D1A-8F0A-91D53572F870}"/>
    <cellStyle name="Comma 4 5 7 4 2" xfId="23443" xr:uid="{5F27EE42-12F6-4E6D-8B58-EDBF3DA7FEB2}"/>
    <cellStyle name="Comma 4 5 7 4 3" xfId="48010" xr:uid="{2DD9B76E-3202-45CF-98C1-B7D446C5EA8F}"/>
    <cellStyle name="Comma 4 5 7 4 4" xfId="52781" xr:uid="{E61CACA1-8D33-455C-AF10-A7FBB1043EBD}"/>
    <cellStyle name="Comma 4 5 7 4 5" xfId="55797" xr:uid="{D75F2B61-B03A-498F-BE02-83B990E7C940}"/>
    <cellStyle name="Comma 4 5 7 5" xfId="13030" xr:uid="{9333B29D-6348-47F9-8457-F73391DEB218}"/>
    <cellStyle name="Comma 4 5 7 5 2" xfId="48401" xr:uid="{F9579FDA-1A9A-4CD1-B3BE-473B1F4721EB}"/>
    <cellStyle name="Comma 4 5 7 5 3" xfId="51350" xr:uid="{A9CE7E14-C063-4B17-BC5E-F73C8464C0A2}"/>
    <cellStyle name="Comma 4 5 7 5 4" xfId="54366" xr:uid="{24A6FEF7-4AC6-45EE-AF59-93D89A381F96}"/>
    <cellStyle name="Comma 4 5 7 6" xfId="47591" xr:uid="{D5425DC7-403D-4D03-9216-AC2F50660DC6}"/>
    <cellStyle name="Comma 4 5 7 7" xfId="50244" xr:uid="{1EED4B3A-DBF0-4C81-94C9-1773F06D273A}"/>
    <cellStyle name="Comma 4 5 7 8" xfId="53260" xr:uid="{29FB0259-28D6-44A8-9D4A-8728C58915A6}"/>
    <cellStyle name="Comma 4 5 8" xfId="13375" xr:uid="{4FA7FE20-161B-4F40-A2B6-5B1BDA5160DF}"/>
    <cellStyle name="Comma 4 5 9" xfId="14518" xr:uid="{49D82C2C-C33F-4CAE-ACC8-CD0595135912}"/>
    <cellStyle name="Comma 4 5 9 2" xfId="22065" xr:uid="{5D19C314-6E4D-49B8-B910-EE7419CF7760}"/>
    <cellStyle name="Comma 4 5 9 3" xfId="46829" xr:uid="{557990A5-CAFE-47FC-A456-F20E4778CA12}"/>
    <cellStyle name="Comma 4 5 9 4" xfId="51403" xr:uid="{4C7E81D9-3A0A-4F27-8051-6E0201380694}"/>
    <cellStyle name="Comma 4 5 9 5" xfId="54419" xr:uid="{B60B12D0-74FE-49F9-AD8F-3BEE6BD0F190}"/>
    <cellStyle name="Comma 4 6" xfId="2624" xr:uid="{DC4A5CEA-8C68-473A-9B28-37C28099DC5A}"/>
    <cellStyle name="Comma 4 6 10" xfId="11700" xr:uid="{FA85E8E0-1F3F-4CBA-846A-E861DD37E0B2}"/>
    <cellStyle name="Comma 4 6 10 2" xfId="47752" xr:uid="{AE21E74A-0EF0-49F9-B293-86E1C748E261}"/>
    <cellStyle name="Comma 4 6 10 3" xfId="50747" xr:uid="{25E72C58-4EBD-44EF-9216-6DD717625EEF}"/>
    <cellStyle name="Comma 4 6 10 4" xfId="53763" xr:uid="{5BBEDA2E-FE59-45D5-AF48-093EF2AC8378}"/>
    <cellStyle name="Comma 4 6 11" xfId="23774" xr:uid="{F3B456EB-DC59-4774-8558-1932E41B226D}"/>
    <cellStyle name="Comma 4 6 12" xfId="48655" xr:uid="{F9863A32-09B9-4F58-B3EC-25459BEF9F99}"/>
    <cellStyle name="Comma 4 6 13" xfId="49563" xr:uid="{04D1953D-0C74-4583-AC74-C96EDA594BC6}"/>
    <cellStyle name="Comma 4 6 14" xfId="49822" xr:uid="{AD7EE875-DE02-44F6-BB68-E1608D9C0C24}"/>
    <cellStyle name="Comma 4 6 15" xfId="52837" xr:uid="{6A8E15CD-016E-403B-A66E-ABBC5E3A887B}"/>
    <cellStyle name="Comma 4 6 16" xfId="8945" xr:uid="{544FDDB9-9CFB-4B39-800F-7E273947FF98}"/>
    <cellStyle name="Comma 4 6 2" xfId="10032" xr:uid="{EAE8B58E-A26E-42F3-906B-E7080BE63EDC}"/>
    <cellStyle name="Comma 4 6 2 2" xfId="10340" xr:uid="{43AA1472-79FD-4FF0-91FD-0525DCFDD67A}"/>
    <cellStyle name="Comma 4 6 2 2 2" xfId="14785" xr:uid="{41FF40A4-61CE-4248-9085-EFA9BBA89299}"/>
    <cellStyle name="Comma 4 6 2 2 2 2" xfId="22332" xr:uid="{9DFB4E9E-7E92-4C61-A93B-0846EFAE44C0}"/>
    <cellStyle name="Comma 4 6 2 2 2 3" xfId="24944" xr:uid="{A75C0708-288E-448C-B40B-E7F1A9D24525}"/>
    <cellStyle name="Comma 4 6 2 2 2 4" xfId="51670" xr:uid="{BF41E2C6-3725-4300-9024-AE42F4ED73A5}"/>
    <cellStyle name="Comma 4 6 2 2 2 5" xfId="54686" xr:uid="{9DE4077D-3E1D-4386-8B13-78B17C99A5F2}"/>
    <cellStyle name="Comma 4 6 2 2 3" xfId="15270" xr:uid="{AA9E7ABB-0D5B-4C74-B766-E1A3F907DFF3}"/>
    <cellStyle name="Comma 4 6 2 2 3 2" xfId="22809" xr:uid="{E1088408-C759-4DB0-AD84-BD37D90D8A6F}"/>
    <cellStyle name="Comma 4 6 2 2 3 3" xfId="24908" xr:uid="{BD76FD06-F921-4E24-A3DA-44B23ADE5D7B}"/>
    <cellStyle name="Comma 4 6 2 2 3 4" xfId="52147" xr:uid="{B0F0B66F-D71E-47D1-B842-EBF74552AB28}"/>
    <cellStyle name="Comma 4 6 2 2 3 5" xfId="55163" xr:uid="{565EBB5D-1DA2-4608-9F5D-9479CC3AAEC0}"/>
    <cellStyle name="Comma 4 6 2 2 4" xfId="15757" xr:uid="{40BB1490-585A-430A-A1BB-31EB1008CC29}"/>
    <cellStyle name="Comma 4 6 2 2 4 2" xfId="23286" xr:uid="{F619A6C6-BE9F-4BF9-A657-BD41F0608A07}"/>
    <cellStyle name="Comma 4 6 2 2 4 3" xfId="46702" xr:uid="{CC39B683-1C39-4B16-B466-CE1B06F97A1F}"/>
    <cellStyle name="Comma 4 6 2 2 4 4" xfId="52624" xr:uid="{13DDC905-30B7-471D-AB2C-CF13A951AF59}"/>
    <cellStyle name="Comma 4 6 2 2 4 5" xfId="55640" xr:uid="{C686BE9B-0F6C-4324-8AE9-459E92316EFA}"/>
    <cellStyle name="Comma 4 6 2 2 5" xfId="12793" xr:uid="{DBD3B931-048E-404B-8C17-3338113C9460}"/>
    <cellStyle name="Comma 4 6 2 2 5 2" xfId="48107" xr:uid="{DE505D2E-D149-4132-8736-A120A04A899E}"/>
    <cellStyle name="Comma 4 6 2 2 5 3" xfId="51193" xr:uid="{577E38BC-50E4-48DD-AD40-D3EFD9D4A7DD}"/>
    <cellStyle name="Comma 4 6 2 2 5 4" xfId="54209" xr:uid="{B3322041-7615-4455-B31D-8EBAFE2A6F81}"/>
    <cellStyle name="Comma 4 6 2 2 6" xfId="24271" xr:uid="{E6D7E45C-EC35-499E-B2A1-EEEB4A71CF78}"/>
    <cellStyle name="Comma 4 6 2 2 7" xfId="50087" xr:uid="{61B1AE81-5072-4F4A-9545-80232108F428}"/>
    <cellStyle name="Comma 4 6 2 2 8" xfId="53103" xr:uid="{0FDD267A-FD99-465C-B115-436E923D934C}"/>
    <cellStyle name="Comma 4 6 2 3" xfId="14573" xr:uid="{36EB6D3C-B070-4812-B60F-0DF3AD99D7DC}"/>
    <cellStyle name="Comma 4 6 2 3 2" xfId="22120" xr:uid="{A7D0DDCD-F185-43BC-932C-56408D372677}"/>
    <cellStyle name="Comma 4 6 2 3 3" xfId="46402" xr:uid="{7F13A452-BA80-49C1-8A2B-5BA19DAC3ED2}"/>
    <cellStyle name="Comma 4 6 2 3 4" xfId="51458" xr:uid="{3DE384C1-BF19-42EE-8DD0-766F02270F05}"/>
    <cellStyle name="Comma 4 6 2 3 5" xfId="54474" xr:uid="{9AB92FF9-ED55-4DE4-BD28-427FDEC83BD6}"/>
    <cellStyle name="Comma 4 6 2 4" xfId="15057" xr:uid="{066FCE28-B43E-4524-AB50-DD9592DFF513}"/>
    <cellStyle name="Comma 4 6 2 4 2" xfId="22597" xr:uid="{5945E7E7-D6D8-4C4C-AD3D-BCCA295066D5}"/>
    <cellStyle name="Comma 4 6 2 4 3" xfId="23861" xr:uid="{3061BE27-EC28-4624-88D1-CA568C2E7D3E}"/>
    <cellStyle name="Comma 4 6 2 4 4" xfId="51935" xr:uid="{7F665BBF-0F00-4FD2-9D59-0CF49A3BB569}"/>
    <cellStyle name="Comma 4 6 2 4 5" xfId="54951" xr:uid="{3F77EBDD-F4EA-4070-8982-36192222430B}"/>
    <cellStyle name="Comma 4 6 2 5" xfId="15544" xr:uid="{361410D8-45CB-4FC5-8960-4A4D15760AC5}"/>
    <cellStyle name="Comma 4 6 2 5 2" xfId="23074" xr:uid="{BBE2A7F9-E037-4FCD-9E5D-B499B544EA17}"/>
    <cellStyle name="Comma 4 6 2 5 3" xfId="47440" xr:uid="{EEF59FDF-6778-4E28-8EFA-74185FE34A9D}"/>
    <cellStyle name="Comma 4 6 2 5 4" xfId="52412" xr:uid="{04DF70DF-8D58-4394-90AE-1BAB1EB96ECF}"/>
    <cellStyle name="Comma 4 6 2 5 5" xfId="55428" xr:uid="{E3BEE550-B0F0-47FD-AAA2-802F3AABA160}"/>
    <cellStyle name="Comma 4 6 2 6" xfId="12492" xr:uid="{8BF38E61-0BF4-4F70-A16B-E669056E6810}"/>
    <cellStyle name="Comma 4 6 2 6 2" xfId="46313" xr:uid="{FEC0CCCD-FD6C-405F-95CD-F800310C4A3B}"/>
    <cellStyle name="Comma 4 6 2 6 3" xfId="50981" xr:uid="{2922D537-9104-437B-9B39-ACCB67AE1EF5}"/>
    <cellStyle name="Comma 4 6 2 6 4" xfId="53997" xr:uid="{CC0EAE0F-31F4-490A-9843-DEC5FE673470}"/>
    <cellStyle name="Comma 4 6 2 7" xfId="46032" xr:uid="{60407330-9D3C-4BC1-9407-FBFA90F8BE89}"/>
    <cellStyle name="Comma 4 6 2 8" xfId="49875" xr:uid="{6296E8B7-909C-4E51-B4FB-7287C62D6DBA}"/>
    <cellStyle name="Comma 4 6 2 9" xfId="52891" xr:uid="{C104E484-1B37-4C73-9449-318BD77DA34C}"/>
    <cellStyle name="Comma 4 6 3" xfId="10106" xr:uid="{455E9536-EF50-4802-8E10-02DF527656EA}"/>
    <cellStyle name="Comma 4 6 3 2" xfId="10419" xr:uid="{CC782EB6-1B34-47D1-B8B9-B7D46B25D1F4}"/>
    <cellStyle name="Comma 4 6 3 2 2" xfId="14838" xr:uid="{CFE63020-5E0B-4AFB-A0DD-18753DF0624C}"/>
    <cellStyle name="Comma 4 6 3 2 2 2" xfId="22385" xr:uid="{B1C9A427-A335-4A37-92DC-12E06F415E59}"/>
    <cellStyle name="Comma 4 6 3 2 2 3" xfId="46442" xr:uid="{401F89AF-CE75-4393-A832-2E33B4BCCE7C}"/>
    <cellStyle name="Comma 4 6 3 2 2 4" xfId="51723" xr:uid="{655738BD-D6F8-4801-8925-498E6A163C28}"/>
    <cellStyle name="Comma 4 6 3 2 2 5" xfId="54739" xr:uid="{EAC7AF50-4562-4F62-909C-DEB1C7DBE5DF}"/>
    <cellStyle name="Comma 4 6 3 2 3" xfId="15323" xr:uid="{710BAE69-696A-46E3-9A8E-9FCA63FABC11}"/>
    <cellStyle name="Comma 4 6 3 2 3 2" xfId="22862" xr:uid="{6D486629-3FD0-4FA9-8229-89E6C33DDCC9}"/>
    <cellStyle name="Comma 4 6 3 2 3 3" xfId="24658" xr:uid="{57C24360-22CB-4007-A891-776E2CB92CAE}"/>
    <cellStyle name="Comma 4 6 3 2 3 4" xfId="52200" xr:uid="{866A1AE7-D17A-4573-AF37-9C0A7CDEF1BB}"/>
    <cellStyle name="Comma 4 6 3 2 3 5" xfId="55216" xr:uid="{E9D18F1A-1285-43A6-9B23-A222289AEA3B}"/>
    <cellStyle name="Comma 4 6 3 2 4" xfId="15810" xr:uid="{C6B11EAF-8505-46AF-B2C1-A1B70973993B}"/>
    <cellStyle name="Comma 4 6 3 2 4 2" xfId="23339" xr:uid="{BA5701FD-8590-4F1A-AD76-62F1160FF33F}"/>
    <cellStyle name="Comma 4 6 3 2 4 3" xfId="47354" xr:uid="{394DCE04-566B-4C2F-97D7-2A9D9568BFA4}"/>
    <cellStyle name="Comma 4 6 3 2 4 4" xfId="52677" xr:uid="{C104F57E-37E6-4FF7-AAAC-6AB90DDED629}"/>
    <cellStyle name="Comma 4 6 3 2 4 5" xfId="55693" xr:uid="{F23ED045-74F2-40A6-95D0-4BE103BA9449}"/>
    <cellStyle name="Comma 4 6 3 2 5" xfId="12872" xr:uid="{B31CBDE3-A568-4177-8FA6-5C765A7C025D}"/>
    <cellStyle name="Comma 4 6 3 2 5 2" xfId="32423" xr:uid="{F740D03F-7C73-468F-BA0C-0BC5C9D1A753}"/>
    <cellStyle name="Comma 4 6 3 2 5 3" xfId="51246" xr:uid="{38936508-A3EE-4F77-BB95-51361F0AF285}"/>
    <cellStyle name="Comma 4 6 3 2 5 4" xfId="54262" xr:uid="{EAB5A25E-AD4C-4773-B591-DEEEE6AD5C92}"/>
    <cellStyle name="Comma 4 6 3 2 6" xfId="46118" xr:uid="{F93AAA13-133F-46C7-A976-38025B65F2EE}"/>
    <cellStyle name="Comma 4 6 3 2 7" xfId="50140" xr:uid="{746C58F8-261A-4CD8-8AD5-4B30507490F5}"/>
    <cellStyle name="Comma 4 6 3 2 8" xfId="53156" xr:uid="{DEA17783-8C1A-491F-A172-17B0DC1EDCB1}"/>
    <cellStyle name="Comma 4 6 3 3" xfId="14626" xr:uid="{9DC1358B-33F7-4743-A7BA-AED66C852C3E}"/>
    <cellStyle name="Comma 4 6 3 3 2" xfId="22173" xr:uid="{019AF8D6-6870-4767-BE9E-8FD9A7BBA3CF}"/>
    <cellStyle name="Comma 4 6 3 3 3" xfId="46843" xr:uid="{DF18445B-BB35-45B8-96E4-8C0792B0C7A7}"/>
    <cellStyle name="Comma 4 6 3 3 4" xfId="51511" xr:uid="{777399D3-8020-44F7-932D-E32632AAEC15}"/>
    <cellStyle name="Comma 4 6 3 3 5" xfId="54527" xr:uid="{0278C55C-7A0C-42DA-8D6F-6311ADABA2E5}"/>
    <cellStyle name="Comma 4 6 3 4" xfId="15111" xr:uid="{078EDAC7-B9E0-4369-8451-B23A4FF6EC75}"/>
    <cellStyle name="Comma 4 6 3 4 2" xfId="22650" xr:uid="{D515B10B-555E-4335-BE01-539F15BBBEA8}"/>
    <cellStyle name="Comma 4 6 3 4 3" xfId="47082" xr:uid="{8851CCD6-8738-403A-969D-65F2B1EFE4B1}"/>
    <cellStyle name="Comma 4 6 3 4 4" xfId="51988" xr:uid="{93C9F888-01CB-4B93-BE2A-F3550487F2EB}"/>
    <cellStyle name="Comma 4 6 3 4 5" xfId="55004" xr:uid="{8D109F46-4408-466E-88FB-B51B31F1606C}"/>
    <cellStyle name="Comma 4 6 3 5" xfId="15598" xr:uid="{7E202FC6-4C5D-4A34-B9F5-76013D232AC2}"/>
    <cellStyle name="Comma 4 6 3 5 2" xfId="23127" xr:uid="{2AEBC30C-6B51-401E-A1BE-D92769264FE8}"/>
    <cellStyle name="Comma 4 6 3 5 3" xfId="47644" xr:uid="{DE062BB8-C7F2-461B-9045-7D0B4F64FB89}"/>
    <cellStyle name="Comma 4 6 3 5 4" xfId="52465" xr:uid="{B7FDE66D-A3B2-4D40-82C1-DFAAE9B7F625}"/>
    <cellStyle name="Comma 4 6 3 5 5" xfId="55481" xr:uid="{3736BAEC-F053-4229-8CEC-3CC504C0EE6C}"/>
    <cellStyle name="Comma 4 6 3 6" xfId="12563" xr:uid="{4ACD6A63-ACFE-4374-B9E3-C08B387E2026}"/>
    <cellStyle name="Comma 4 6 3 6 2" xfId="47692" xr:uid="{34B82994-0036-45B6-8200-BF4F779C7126}"/>
    <cellStyle name="Comma 4 6 3 6 3" xfId="51034" xr:uid="{FD2C28AD-529E-454F-9B1E-975574B1F05C}"/>
    <cellStyle name="Comma 4 6 3 6 4" xfId="54050" xr:uid="{C73EFAB8-C1C2-4BA8-924B-7E131B23AE97}"/>
    <cellStyle name="Comma 4 6 3 7" xfId="46049" xr:uid="{3D1F9F86-EF81-4F23-AD8D-E1E9D37D45D9}"/>
    <cellStyle name="Comma 4 6 3 8" xfId="49928" xr:uid="{0155F888-C4D5-49F8-A15D-C7DC71244C3D}"/>
    <cellStyle name="Comma 4 6 3 9" xfId="52944" xr:uid="{703E3C23-5A15-4CEE-9D81-92C6A156AE92}"/>
    <cellStyle name="Comma 4 6 4" xfId="10185" xr:uid="{DA36A299-0D31-47D9-AACA-DFEB22E8CB9D}"/>
    <cellStyle name="Comma 4 6 4 2" xfId="10499" xr:uid="{07FAB5FC-3DB2-4009-914C-8AE54CEEF840}"/>
    <cellStyle name="Comma 4 6 4 2 2" xfId="14891" xr:uid="{2852485D-E2C8-49E4-A3E5-4958ACC85835}"/>
    <cellStyle name="Comma 4 6 4 2 2 2" xfId="22438" xr:uid="{DD5C2E58-6B2F-4DA0-8185-D8A6C1F6FD52}"/>
    <cellStyle name="Comma 4 6 4 2 2 3" xfId="46452" xr:uid="{9BF11595-6D62-4E3E-9A9F-D905B940CFD1}"/>
    <cellStyle name="Comma 4 6 4 2 2 4" xfId="51776" xr:uid="{5EA3D327-C775-42B0-B8B6-AF99BC43078A}"/>
    <cellStyle name="Comma 4 6 4 2 2 5" xfId="54792" xr:uid="{AFE919ED-4E74-46A2-88C9-3827A3A3E155}"/>
    <cellStyle name="Comma 4 6 4 2 3" xfId="15376" xr:uid="{40D27D6B-02BB-4C14-AE6C-C12ACB46CC6F}"/>
    <cellStyle name="Comma 4 6 4 2 3 2" xfId="22915" xr:uid="{ED3E2ACE-A212-4CAB-BE17-AFCA12FFDE48}"/>
    <cellStyle name="Comma 4 6 4 2 3 3" xfId="47842" xr:uid="{EA54E6BE-0309-4EA1-8875-3B816EC3D4F4}"/>
    <cellStyle name="Comma 4 6 4 2 3 4" xfId="52253" xr:uid="{7E6865F4-AF74-4F8C-87CC-CFC9B2DEF018}"/>
    <cellStyle name="Comma 4 6 4 2 3 5" xfId="55269" xr:uid="{0DA2A6CD-C2EF-4C16-B09C-6927AAE3A6FC}"/>
    <cellStyle name="Comma 4 6 4 2 4" xfId="15863" xr:uid="{374D666D-7F5B-4F30-9EA8-487E46353B28}"/>
    <cellStyle name="Comma 4 6 4 2 4 2" xfId="23392" xr:uid="{6E4AD6EC-7C61-4AB5-BC54-63AB9D67E136}"/>
    <cellStyle name="Comma 4 6 4 2 4 3" xfId="46703" xr:uid="{CCA1AFBB-C23F-4320-94F8-3A6933683AA1}"/>
    <cellStyle name="Comma 4 6 4 2 4 4" xfId="52730" xr:uid="{ADE2A4E1-9A8A-40EE-93CC-5FDA13EBC98B}"/>
    <cellStyle name="Comma 4 6 4 2 4 5" xfId="55746" xr:uid="{04D09C09-92FB-4208-800E-CF95DD42D3C5}"/>
    <cellStyle name="Comma 4 6 4 2 5" xfId="12952" xr:uid="{44E7A45C-DB0F-4930-8186-26F5B812F61E}"/>
    <cellStyle name="Comma 4 6 4 2 5 2" xfId="48494" xr:uid="{9DB1BE6A-0A35-4BE2-8327-FB5333E01AF2}"/>
    <cellStyle name="Comma 4 6 4 2 5 3" xfId="51299" xr:uid="{3A391FAD-2657-4C0E-A8B4-542408ECB054}"/>
    <cellStyle name="Comma 4 6 4 2 5 4" xfId="54315" xr:uid="{EF6EE3DA-F647-4D1B-956A-3D2CD0AC69AD}"/>
    <cellStyle name="Comma 4 6 4 2 6" xfId="46137" xr:uid="{D22522A8-0628-4283-9D96-3AA415663652}"/>
    <cellStyle name="Comma 4 6 4 2 7" xfId="50193" xr:uid="{B9F85A70-2670-4BE2-BCAD-8CB039138E4D}"/>
    <cellStyle name="Comma 4 6 4 2 8" xfId="53209" xr:uid="{E760E15C-AB22-4C63-973B-F71E537E1978}"/>
    <cellStyle name="Comma 4 6 4 3" xfId="14679" xr:uid="{346C41FA-85D9-453E-93EC-C3EF3AB6C2BC}"/>
    <cellStyle name="Comma 4 6 4 3 2" xfId="22226" xr:uid="{CC5EBE6F-0274-4C8B-AF5E-8CF7CE18FA53}"/>
    <cellStyle name="Comma 4 6 4 3 3" xfId="24965" xr:uid="{54FD7F97-4E80-4F21-BFB9-409CDBF0B74D}"/>
    <cellStyle name="Comma 4 6 4 3 4" xfId="51564" xr:uid="{0E32E328-CE4B-4A85-959D-F850072FCD6E}"/>
    <cellStyle name="Comma 4 6 4 3 5" xfId="54580" xr:uid="{1249A803-7639-447F-811A-71E5F9ECC392}"/>
    <cellStyle name="Comma 4 6 4 4" xfId="15164" xr:uid="{BBC8BEFD-E6D9-4430-8B62-4906EFC93769}"/>
    <cellStyle name="Comma 4 6 4 4 2" xfId="22703" xr:uid="{2336AA99-EDC4-404E-86C4-2BCAA5B4C0EF}"/>
    <cellStyle name="Comma 4 6 4 4 3" xfId="46491" xr:uid="{5175E99C-072D-4BA2-A9CA-E7DF3FC65DBA}"/>
    <cellStyle name="Comma 4 6 4 4 4" xfId="52041" xr:uid="{93D297DE-E871-4927-844E-E6128D45D74C}"/>
    <cellStyle name="Comma 4 6 4 4 5" xfId="55057" xr:uid="{CFD7CC45-A297-4BA1-B32A-0D3E96DDDB30}"/>
    <cellStyle name="Comma 4 6 4 5" xfId="15651" xr:uid="{1F1E86DF-906D-4416-89B7-8141B6D38E40}"/>
    <cellStyle name="Comma 4 6 4 5 2" xfId="23180" xr:uid="{7FD59497-3F69-4FD5-95B7-E748B461A505}"/>
    <cellStyle name="Comma 4 6 4 5 3" xfId="46948" xr:uid="{0A9FAB53-E485-4235-825E-5024D680ED40}"/>
    <cellStyle name="Comma 4 6 4 5 4" xfId="52518" xr:uid="{AEB86AC5-4752-4889-8E7F-543F06EC5047}"/>
    <cellStyle name="Comma 4 6 4 5 5" xfId="55534" xr:uid="{809004F3-5F38-4252-837E-E440CE3732D2}"/>
    <cellStyle name="Comma 4 6 4 6" xfId="12639" xr:uid="{AF9C5C8A-69FA-4DC4-9199-DEB9C39DDD53}"/>
    <cellStyle name="Comma 4 6 4 6 2" xfId="47917" xr:uid="{12D795B4-6F6B-4034-B959-1E7DC5C8FB23}"/>
    <cellStyle name="Comma 4 6 4 6 3" xfId="51087" xr:uid="{8A4AF798-2128-4628-A1EE-AB195813B664}"/>
    <cellStyle name="Comma 4 6 4 6 4" xfId="54103" xr:uid="{9A64C8EF-44EA-4305-8D1A-194EA7CBED9D}"/>
    <cellStyle name="Comma 4 6 4 7" xfId="24279" xr:uid="{C75CA23E-0E8A-4392-8259-3020A208001C}"/>
    <cellStyle name="Comma 4 6 4 8" xfId="49981" xr:uid="{4E58A189-492F-4CA4-BAD7-6459AE79C643}"/>
    <cellStyle name="Comma 4 6 4 9" xfId="52997" xr:uid="{616057E9-0AA7-4389-8EBA-ED61A2D8EB55}"/>
    <cellStyle name="Comma 4 6 5" xfId="10265" xr:uid="{F0270FD2-AE79-4E05-9CA9-CF2E6C7FB2BC}"/>
    <cellStyle name="Comma 4 6 5 2" xfId="14732" xr:uid="{FF93FFE1-90A7-41E7-A6DE-DF01F94698F9}"/>
    <cellStyle name="Comma 4 6 5 2 2" xfId="22279" xr:uid="{4C4D58F4-B00E-451E-BCE6-F4239437F74B}"/>
    <cellStyle name="Comma 4 6 5 2 3" xfId="47627" xr:uid="{5A9C023B-5B69-4B35-86C4-6227B9DF33A3}"/>
    <cellStyle name="Comma 4 6 5 2 4" xfId="51617" xr:uid="{00B333C4-51C4-4267-8F68-E22AA8A4CA4C}"/>
    <cellStyle name="Comma 4 6 5 2 5" xfId="54633" xr:uid="{10EBD1AA-76F0-4E77-8703-5382634C4022}"/>
    <cellStyle name="Comma 4 6 5 3" xfId="15217" xr:uid="{707B8B9C-40A8-4A14-B789-2068F556FACC}"/>
    <cellStyle name="Comma 4 6 5 3 2" xfId="22756" xr:uid="{344C7E0E-610A-432D-AF51-CE37DA2EAD18}"/>
    <cellStyle name="Comma 4 6 5 3 3" xfId="46893" xr:uid="{21877D8D-A4FF-462F-BAD9-A2F633837AF3}"/>
    <cellStyle name="Comma 4 6 5 3 4" xfId="52094" xr:uid="{E07FBE73-115A-473C-AE17-C1F7711B6390}"/>
    <cellStyle name="Comma 4 6 5 3 5" xfId="55110" xr:uid="{6F15F48F-1FA9-45F1-A8E5-C1BD9852FA08}"/>
    <cellStyle name="Comma 4 6 5 4" xfId="15704" xr:uid="{B1A6402B-ED53-45D0-97D9-FBC989AB703D}"/>
    <cellStyle name="Comma 4 6 5 4 2" xfId="23233" xr:uid="{B570DC19-BEC6-4E0F-A355-FEBF405CD5B3}"/>
    <cellStyle name="Comma 4 6 5 4 3" xfId="47570" xr:uid="{38C2BC64-0501-4BF0-9BD7-AE8F4E14FC34}"/>
    <cellStyle name="Comma 4 6 5 4 4" xfId="52571" xr:uid="{2C3D7948-E66E-48AC-9D67-F1C78384EA72}"/>
    <cellStyle name="Comma 4 6 5 4 5" xfId="55587" xr:uid="{BCEBE9B8-36A0-4D83-9043-375467B27B4C}"/>
    <cellStyle name="Comma 4 6 5 5" xfId="12718" xr:uid="{2D69DBC5-724D-4AF8-A8C7-759174F50B9E}"/>
    <cellStyle name="Comma 4 6 5 5 2" xfId="24532" xr:uid="{43F65FFA-D0D0-43CE-8DE6-DB11AF1AD474}"/>
    <cellStyle name="Comma 4 6 5 5 3" xfId="51140" xr:uid="{AF879B39-BF38-41B9-8B8C-630000C64FAB}"/>
    <cellStyle name="Comma 4 6 5 5 4" xfId="54156" xr:uid="{9E6B77A2-54D4-46D2-9D8B-297E0D561A68}"/>
    <cellStyle name="Comma 4 6 5 6" xfId="47704" xr:uid="{5C94B2FA-014E-48AD-BFFB-440E0D5B97AC}"/>
    <cellStyle name="Comma 4 6 5 7" xfId="50034" xr:uid="{35D9B42F-BF91-4210-98EA-3F95F3CCB1F5}"/>
    <cellStyle name="Comma 4 6 5 8" xfId="53050" xr:uid="{612F933D-22EE-4C8C-8E61-593451138F68}"/>
    <cellStyle name="Comma 4 6 6" xfId="10579" xr:uid="{7E7F5D6A-EAA9-4909-8911-74E5124F93F2}"/>
    <cellStyle name="Comma 4 6 6 2" xfId="14944" xr:uid="{3587D5F1-9E7E-4607-B6C2-60E9FFB3B235}"/>
    <cellStyle name="Comma 4 6 6 2 2" xfId="22491" xr:uid="{4CBA6B98-2855-467D-BCEB-1F7982EB9326}"/>
    <cellStyle name="Comma 4 6 6 2 3" xfId="47185" xr:uid="{38297C86-8E93-4FA2-B439-2DA9D08FD8DD}"/>
    <cellStyle name="Comma 4 6 6 2 4" xfId="51829" xr:uid="{7C7079A7-FBDC-42E9-AC87-1907A8E9DE87}"/>
    <cellStyle name="Comma 4 6 6 2 5" xfId="54845" xr:uid="{B25A6C9F-AC64-4780-8F08-99F47E9B84CE}"/>
    <cellStyle name="Comma 4 6 6 3" xfId="15429" xr:uid="{523FC368-1D0B-4958-ACF1-D4CB96F50856}"/>
    <cellStyle name="Comma 4 6 6 3 2" xfId="22968" xr:uid="{F05F6BF7-F855-43CF-9641-88ECF3002B34}"/>
    <cellStyle name="Comma 4 6 6 3 3" xfId="48324" xr:uid="{76FED9E2-C7EC-4E8C-8276-FB268A88CFA1}"/>
    <cellStyle name="Comma 4 6 6 3 4" xfId="52306" xr:uid="{31EF854A-4DEE-4E7E-BDBE-851678CFC557}"/>
    <cellStyle name="Comma 4 6 6 3 5" xfId="55322" xr:uid="{0E7B3A4E-767C-4D1A-B5CC-9B74E5548070}"/>
    <cellStyle name="Comma 4 6 6 4" xfId="15917" xr:uid="{0C0E2BF2-DA25-4F3F-A153-0ED3FE3E2A0F}"/>
    <cellStyle name="Comma 4 6 6 4 2" xfId="23445" xr:uid="{388E0792-62A7-49ED-A44B-45898F5DBECA}"/>
    <cellStyle name="Comma 4 6 6 4 3" xfId="48024" xr:uid="{9FE07413-FC75-45EC-9C52-72E00AE91FEC}"/>
    <cellStyle name="Comma 4 6 6 4 4" xfId="52783" xr:uid="{26DFE155-A23C-4566-BA32-01BF0B77F2DF}"/>
    <cellStyle name="Comma 4 6 6 4 5" xfId="55799" xr:uid="{3A620F8A-4A31-4507-AF76-6EB4F72D34B6}"/>
    <cellStyle name="Comma 4 6 6 5" xfId="13032" xr:uid="{A4484F09-3147-43B8-8A0E-C0D16CC5773B}"/>
    <cellStyle name="Comma 4 6 6 5 2" xfId="24687" xr:uid="{127D7955-C9BA-453C-8D5B-7913E14E38A0}"/>
    <cellStyle name="Comma 4 6 6 5 3" xfId="51352" xr:uid="{57726322-5643-4905-A04E-353D44BB7B1F}"/>
    <cellStyle name="Comma 4 6 6 5 4" xfId="54368" xr:uid="{635F5AB8-1B5A-43A2-8679-C4625BDF7A9E}"/>
    <cellStyle name="Comma 4 6 6 6" xfId="48166" xr:uid="{F23F8F5A-F4B1-44DA-A05C-A12D63DBA11B}"/>
    <cellStyle name="Comma 4 6 6 7" xfId="50246" xr:uid="{E70F2536-C857-4A4B-9772-C50D18662274}"/>
    <cellStyle name="Comma 4 6 6 8" xfId="53262" xr:uid="{2F68D872-E882-4CE4-9F85-A1013DEE71A4}"/>
    <cellStyle name="Comma 4 6 7" xfId="14520" xr:uid="{B4902715-86E9-4829-BF0D-634C4D35372D}"/>
    <cellStyle name="Comma 4 6 7 2" xfId="22067" xr:uid="{6A6B6FB3-35CA-4DA1-9465-F3D855879A71}"/>
    <cellStyle name="Comma 4 6 7 3" xfId="47328" xr:uid="{A81DD37E-469A-4C0E-B739-0062D5EF13CB}"/>
    <cellStyle name="Comma 4 6 7 4" xfId="51405" xr:uid="{DEA470E0-AC43-4E7E-9DF8-542E079830D7}"/>
    <cellStyle name="Comma 4 6 7 5" xfId="54421" xr:uid="{CEB6D957-B7B0-4E8E-AF6E-86FB771CE53A}"/>
    <cellStyle name="Comma 4 6 8" xfId="15004" xr:uid="{EFFAC03C-F80F-4D51-AD40-D9AB5AAFDD44}"/>
    <cellStyle name="Comma 4 6 8 2" xfId="22544" xr:uid="{AD8E8441-0C49-4D1F-B374-EF373C8907B2}"/>
    <cellStyle name="Comma 4 6 8 3" xfId="32510" xr:uid="{653C2A0D-4AA1-4A9C-8FE1-FA9D8826AFC7}"/>
    <cellStyle name="Comma 4 6 8 4" xfId="51882" xr:uid="{EBEFAF8B-3952-4441-9C31-236833E94126}"/>
    <cellStyle name="Comma 4 6 8 5" xfId="54898" xr:uid="{66E4BFA8-79C1-45F6-9882-5075129EEA9A}"/>
    <cellStyle name="Comma 4 6 9" xfId="15491" xr:uid="{6C9F76BA-64E5-465D-A358-AF80454EF8EE}"/>
    <cellStyle name="Comma 4 6 9 2" xfId="23021" xr:uid="{CD511A22-4DC4-4767-942A-68B55CFA5BF4}"/>
    <cellStyle name="Comma 4 6 9 3" xfId="46926" xr:uid="{C3D92FEF-0883-4B43-A60F-D03F899154C3}"/>
    <cellStyle name="Comma 4 6 9 4" xfId="52359" xr:uid="{308A4E2D-1FFC-4D6C-B3FC-4FAFF76263D5}"/>
    <cellStyle name="Comma 4 6 9 5" xfId="55375" xr:uid="{BEFBD73C-BD8A-43F1-A638-C5F071F0D834}"/>
    <cellStyle name="Comma 4 7" xfId="11193" xr:uid="{C97E4674-D399-48DB-8282-947AB46AA2E5}"/>
    <cellStyle name="Comma 4 7 2" xfId="21689" xr:uid="{5725AF3D-EA96-4A0E-8AFA-6BAD19BD73F3}"/>
    <cellStyle name="Comma 4 7 3" xfId="23775" xr:uid="{AEB9EC06-EBBE-4088-B193-2CFD790A46A6}"/>
    <cellStyle name="Comma 4 7 4" xfId="47313" xr:uid="{CDA16AA5-7C8D-4024-A54F-49ABA9CF410E}"/>
    <cellStyle name="Comma 4 7 5" xfId="48656" xr:uid="{CF986BAF-4194-4104-9691-927C47E5AE8A}"/>
    <cellStyle name="Comma 4 7 6" xfId="49564" xr:uid="{EF2AA0E5-46AF-474D-93AF-5DC7C2B4E3D3}"/>
    <cellStyle name="Comma 4 7 7" xfId="50706" xr:uid="{646F3B58-EE4B-416F-90B0-5CAE52D19598}"/>
    <cellStyle name="Comma 4 7 8" xfId="53722" xr:uid="{60DB7471-FBE7-4A5D-8B4B-84049F6ED419}"/>
    <cellStyle name="Comma 4 8" xfId="19486" xr:uid="{3D4AF06E-9079-4E96-BD71-ED5AAF09719F}"/>
    <cellStyle name="Comma 4 8 2" xfId="23776" xr:uid="{29FE70C4-590E-4D55-9394-D560CD6E48CE}"/>
    <cellStyle name="Comma 4 8 3" xfId="48657" xr:uid="{43CB0218-D4D0-4535-92CA-3CEB05465B21}"/>
    <cellStyle name="Comma 4 8 4" xfId="49565" xr:uid="{61203601-1E7D-411D-A9C9-0B60C7137C73}"/>
    <cellStyle name="Comma 4 9" xfId="23777" xr:uid="{7994D259-09F1-4686-8B1E-B5440AC1C9F7}"/>
    <cellStyle name="Comma 5" xfId="54" xr:uid="{00000000-0005-0000-0000-000059000000}"/>
    <cellStyle name="Comma 5 10" xfId="48658" xr:uid="{F9DB47C4-8265-479D-B26E-D8583D626F9A}"/>
    <cellStyle name="Comma 5 11" xfId="49566" xr:uid="{89EBBC22-B44A-4A1E-AAD4-07F59384CFD3}"/>
    <cellStyle name="Comma 5 12" xfId="7228" xr:uid="{B3BB19CC-E1DE-420A-BCE5-99B5F0A86C54}"/>
    <cellStyle name="Comma 5 2" xfId="2628" xr:uid="{23A21D87-3CF9-42BE-A7ED-972175E47667}"/>
    <cellStyle name="Comma 5 2 10" xfId="15452" xr:uid="{3B968D5D-99F2-4003-A1DA-9D0ED8015D0C}"/>
    <cellStyle name="Comma 5 2 10 2" xfId="22987" xr:uid="{FCEF57B5-C504-409E-91EB-576BCC77FD81}"/>
    <cellStyle name="Comma 5 2 10 3" xfId="40720" xr:uid="{0B9153DE-1A3C-4081-B0BF-1A628BC493CD}"/>
    <cellStyle name="Comma 5 2 10 4" xfId="47439" xr:uid="{99DFBE75-0AEC-4649-8DF8-38BB211B771D}"/>
    <cellStyle name="Comma 5 2 10 5" xfId="52325" xr:uid="{BEEB4687-D062-4BFE-992C-F4C4EF47F184}"/>
    <cellStyle name="Comma 5 2 10 6" xfId="55341" xr:uid="{75A9801D-E2A7-444E-B73B-A3E92AA97972}"/>
    <cellStyle name="Comma 5 2 11" xfId="11588" xr:uid="{40909803-9ECA-430B-AF46-72A0A9D8BEF8}"/>
    <cellStyle name="Comma 5 2 11 2" xfId="21711" xr:uid="{FA9AB5E8-2905-43AA-9E07-AFEF4FEA5B9D}"/>
    <cellStyle name="Comma 5 2 11 3" xfId="47147" xr:uid="{AC6EE5FA-68B2-4005-BBF8-DEC61DBB5984}"/>
    <cellStyle name="Comma 5 2 11 4" xfId="50735" xr:uid="{62E6FD9F-74F1-4CD5-80F6-E3F7E1F4CF1C}"/>
    <cellStyle name="Comma 5 2 11 5" xfId="53751" xr:uid="{433C64E6-1FE3-44E8-BA0A-C79BA3F4235C}"/>
    <cellStyle name="Comma 5 2 12" xfId="19492" xr:uid="{FB926EC8-1409-4EE2-97A9-E8E9C304F963}"/>
    <cellStyle name="Comma 5 2 13" xfId="23779" xr:uid="{43E6AA6C-0821-4633-AF41-B53C06F1D654}"/>
    <cellStyle name="Comma 5 2 14" xfId="49788" xr:uid="{FDE43876-269C-4EAE-958E-59A72E377D53}"/>
    <cellStyle name="Comma 5 2 15" xfId="52803" xr:uid="{822143B2-2045-4C9C-AFE5-132F8157B711}"/>
    <cellStyle name="Comma 5 2 2" xfId="8946" xr:uid="{223DDD5A-6700-4FAB-AB83-3C7DEF3A7410}"/>
    <cellStyle name="Comma 5 2 2 10" xfId="11497" xr:uid="{325E546C-FDD6-4804-ADF5-AAE84E138E1B}"/>
    <cellStyle name="Comma 5 2 2 10 2" xfId="47960" xr:uid="{A50CEF59-3ED9-45DC-8660-45F3A8522C94}"/>
    <cellStyle name="Comma 5 2 2 10 3" xfId="50721" xr:uid="{445787C8-2C74-4BA6-A8C3-6EDC702333BB}"/>
    <cellStyle name="Comma 5 2 2 10 4" xfId="53737" xr:uid="{0223D1B6-66C6-4857-AB9B-8EA482866DEA}"/>
    <cellStyle name="Comma 5 2 2 11" xfId="23780" xr:uid="{3AE29773-684F-43D7-BE00-C344858F7028}"/>
    <cellStyle name="Comma 5 2 2 12" xfId="49823" xr:uid="{A1ACB1C8-E39C-46DE-9F35-8AE707ACFD56}"/>
    <cellStyle name="Comma 5 2 2 13" xfId="52838" xr:uid="{AE15FD71-74E5-40BC-82FA-0A0E8B93FE90}"/>
    <cellStyle name="Comma 5 2 2 2" xfId="10033" xr:uid="{E0A1C6AE-6F97-4D1A-BFE5-59857127DEF9}"/>
    <cellStyle name="Comma 5 2 2 2 10" xfId="49876" xr:uid="{76DEA4EA-F66E-4341-8EF5-94FBF73C865D}"/>
    <cellStyle name="Comma 5 2 2 2 11" xfId="52892" xr:uid="{14402434-4F90-474F-B599-221BC895D532}"/>
    <cellStyle name="Comma 5 2 2 2 2" xfId="10341" xr:uid="{1347DD5A-391A-406C-A46E-3F25645957B2}"/>
    <cellStyle name="Comma 5 2 2 2 2 2" xfId="14786" xr:uid="{77254F8E-718E-4484-A341-1B64695DE8A0}"/>
    <cellStyle name="Comma 5 2 2 2 2 2 2" xfId="22333" xr:uid="{119C7375-A108-4913-BBA8-C9AF808929D2}"/>
    <cellStyle name="Comma 5 2 2 2 2 2 3" xfId="47241" xr:uid="{F29BBC3D-91A3-4E70-917E-82FC33D28333}"/>
    <cellStyle name="Comma 5 2 2 2 2 2 4" xfId="51671" xr:uid="{C8D1A061-CE18-41B6-AE54-7C811DF0A051}"/>
    <cellStyle name="Comma 5 2 2 2 2 2 5" xfId="54687" xr:uid="{45B92813-BA04-4C55-9F9D-B7A43F8AA0BD}"/>
    <cellStyle name="Comma 5 2 2 2 2 3" xfId="15271" xr:uid="{721B6C26-51F3-4AE2-97D7-F899B27F78FE}"/>
    <cellStyle name="Comma 5 2 2 2 2 3 2" xfId="22810" xr:uid="{5DA3DBF2-62F5-4285-AD60-9563B12E9AEA}"/>
    <cellStyle name="Comma 5 2 2 2 2 3 3" xfId="47840" xr:uid="{8E2B9FFC-8E8F-4320-9D1F-8351264C1212}"/>
    <cellStyle name="Comma 5 2 2 2 2 3 4" xfId="52148" xr:uid="{C0946F86-F505-477A-904A-932B7C956F20}"/>
    <cellStyle name="Comma 5 2 2 2 2 3 5" xfId="55164" xr:uid="{4BF20C02-8729-45AD-B89E-4D03433E3E2E}"/>
    <cellStyle name="Comma 5 2 2 2 2 4" xfId="15758" xr:uid="{35538AE6-EE07-4AB0-9079-9807144FC241}"/>
    <cellStyle name="Comma 5 2 2 2 2 4 2" xfId="23287" xr:uid="{933B97E8-0DC0-4620-82CF-F93F538BE50C}"/>
    <cellStyle name="Comma 5 2 2 2 2 4 3" xfId="47742" xr:uid="{96967CA8-DE1C-4CE8-9FE6-8A3FF7160120}"/>
    <cellStyle name="Comma 5 2 2 2 2 4 4" xfId="52625" xr:uid="{60A217D1-0585-4B9B-AD43-EAC6CA922AD9}"/>
    <cellStyle name="Comma 5 2 2 2 2 4 5" xfId="55641" xr:uid="{311B52EC-5AC0-43E7-954E-BCE23499033B}"/>
    <cellStyle name="Comma 5 2 2 2 2 5" xfId="12794" xr:uid="{58AC27BB-EB9E-4072-B3B9-5A7C34CE1145}"/>
    <cellStyle name="Comma 5 2 2 2 2 5 2" xfId="46795" xr:uid="{FCEC0937-9EE8-4D3A-BD46-EA0527303940}"/>
    <cellStyle name="Comma 5 2 2 2 2 5 3" xfId="51194" xr:uid="{E36527B9-BF64-463F-8F3C-28E4A0EA997D}"/>
    <cellStyle name="Comma 5 2 2 2 2 5 4" xfId="54210" xr:uid="{6C9F271D-2DD6-456F-9403-B70BCDCBB672}"/>
    <cellStyle name="Comma 5 2 2 2 2 6" xfId="46091" xr:uid="{6D7E8C9B-0C10-43A3-B3C2-3C378C668FC5}"/>
    <cellStyle name="Comma 5 2 2 2 2 7" xfId="50088" xr:uid="{523D6967-F815-4EF3-8754-D558F738717E}"/>
    <cellStyle name="Comma 5 2 2 2 2 8" xfId="53104" xr:uid="{AEFCB1FC-64E2-443F-8C31-403CA6E29FF9}"/>
    <cellStyle name="Comma 5 2 2 2 3" xfId="14574" xr:uid="{AE4CABB5-5A72-4B12-9EBE-37A2B777DDCA}"/>
    <cellStyle name="Comma 5 2 2 2 3 2" xfId="22121" xr:uid="{C6623ED2-3D1E-4F95-BB57-AE0F92F6E98A}"/>
    <cellStyle name="Comma 5 2 2 2 3 3" xfId="24977" xr:uid="{C861F913-4C9D-44E2-9A2F-BBA85BDBE264}"/>
    <cellStyle name="Comma 5 2 2 2 3 4" xfId="51459" xr:uid="{3057ACAB-A6C0-474D-B0DA-119404248AD5}"/>
    <cellStyle name="Comma 5 2 2 2 3 5" xfId="54475" xr:uid="{0517F045-ECAF-4D75-8ABD-54C5CF190EA9}"/>
    <cellStyle name="Comma 5 2 2 2 4" xfId="15058" xr:uid="{BB32F1DC-6254-4E91-9C2C-973C4873AFBF}"/>
    <cellStyle name="Comma 5 2 2 2 4 2" xfId="22598" xr:uid="{9C0072E5-59FB-476A-B9C3-23D181AF7A2D}"/>
    <cellStyle name="Comma 5 2 2 2 4 3" xfId="46472" xr:uid="{E145E5B7-4FB2-44E7-A83E-9462E880C6B8}"/>
    <cellStyle name="Comma 5 2 2 2 4 4" xfId="51936" xr:uid="{92DD7C5B-FB41-4648-AF62-CA5314C34DB8}"/>
    <cellStyle name="Comma 5 2 2 2 4 5" xfId="54952" xr:uid="{4D065D13-A8D8-4CE4-99B6-0CE7BAF5FAED}"/>
    <cellStyle name="Comma 5 2 2 2 5" xfId="15545" xr:uid="{27AB0F42-3000-4777-807A-7F5EDC8F3A2D}"/>
    <cellStyle name="Comma 5 2 2 2 5 2" xfId="23075" xr:uid="{EF24F7A9-16F0-4202-8740-FDE22F1CA33A}"/>
    <cellStyle name="Comma 5 2 2 2 5 3" xfId="24440" xr:uid="{F2B3A647-C03B-433D-8743-3DAC33F8795A}"/>
    <cellStyle name="Comma 5 2 2 2 5 4" xfId="52413" xr:uid="{964183C8-FACD-4442-99E2-E050EE1D0889}"/>
    <cellStyle name="Comma 5 2 2 2 5 5" xfId="55429" xr:uid="{53FC8B4B-6FE4-4376-ABA6-77C37E397038}"/>
    <cellStyle name="Comma 5 2 2 2 6" xfId="12493" xr:uid="{04209A92-05E2-483A-9D89-296F91575905}"/>
    <cellStyle name="Comma 5 2 2 2 6 2" xfId="25088" xr:uid="{CF7C0169-168D-4777-809E-64437F772DB5}"/>
    <cellStyle name="Comma 5 2 2 2 6 3" xfId="50982" xr:uid="{7CAE7EAC-CFAC-44AA-A81B-11783DABB206}"/>
    <cellStyle name="Comma 5 2 2 2 6 4" xfId="53998" xr:uid="{E89FF9AC-F3AE-4D14-A290-A5D024EA8824}"/>
    <cellStyle name="Comma 5 2 2 2 7" xfId="23781" xr:uid="{70B6C4F5-0F80-4711-849D-023F45C80DE4}"/>
    <cellStyle name="Comma 5 2 2 2 8" xfId="48659" xr:uid="{DCF68AE3-49AF-48BE-905A-F6416A458384}"/>
    <cellStyle name="Comma 5 2 2 2 9" xfId="49567" xr:uid="{22AC0DC1-6F9E-4934-9C61-24CA55D2FF3E}"/>
    <cellStyle name="Comma 5 2 2 3" xfId="10107" xr:uid="{F95B4C31-32F5-4E77-98F1-6DC134DA6425}"/>
    <cellStyle name="Comma 5 2 2 3 10" xfId="52945" xr:uid="{F527714B-D94F-41EA-8E49-41C43A438514}"/>
    <cellStyle name="Comma 5 2 2 3 2" xfId="10420" xr:uid="{859CDAA9-47C5-40BE-A2AB-6165332B7F44}"/>
    <cellStyle name="Comma 5 2 2 3 2 2" xfId="14839" xr:uid="{2F94FD42-4A77-4276-A25D-88EE727F67E5}"/>
    <cellStyle name="Comma 5 2 2 3 2 2 2" xfId="22386" xr:uid="{3549FAD1-1A66-40F1-893B-33A2E878A8D4}"/>
    <cellStyle name="Comma 5 2 2 3 2 2 3" xfId="24939" xr:uid="{FD32666B-61B1-4E5B-8F65-F82DFAE541A7}"/>
    <cellStyle name="Comma 5 2 2 3 2 2 4" xfId="51724" xr:uid="{D85315F2-F78E-4458-B7A0-D87DCC96A8B7}"/>
    <cellStyle name="Comma 5 2 2 3 2 2 5" xfId="54740" xr:uid="{E891AC6D-012A-4E8B-96B1-89FE55A0F1BD}"/>
    <cellStyle name="Comma 5 2 2 3 2 3" xfId="15324" xr:uid="{48D57C42-7712-4B36-997D-4AAD71F5E167}"/>
    <cellStyle name="Comma 5 2 2 3 2 3 2" xfId="22863" xr:uid="{4B83014C-8D90-4938-80E5-009E813F833A}"/>
    <cellStyle name="Comma 5 2 2 3 2 3 3" xfId="48220" xr:uid="{B877FBE4-C0D1-4F09-A040-32AF58DAE551}"/>
    <cellStyle name="Comma 5 2 2 3 2 3 4" xfId="52201" xr:uid="{15166C59-A0C1-450C-AE52-5EAE46C5D420}"/>
    <cellStyle name="Comma 5 2 2 3 2 3 5" xfId="55217" xr:uid="{B6A37C14-80DD-4B33-B214-9D6CF51E84B8}"/>
    <cellStyle name="Comma 5 2 2 3 2 4" xfId="15811" xr:uid="{5734FB92-5D91-454A-9D5B-108724829389}"/>
    <cellStyle name="Comma 5 2 2 3 2 4 2" xfId="23340" xr:uid="{C20A2B05-2C6C-493E-A555-F354E8778A8E}"/>
    <cellStyle name="Comma 5 2 2 3 2 4 3" xfId="46590" xr:uid="{4DCB7E16-1DA5-45EF-A192-6A108F673F73}"/>
    <cellStyle name="Comma 5 2 2 3 2 4 4" xfId="52678" xr:uid="{BED31B2B-5446-492D-BDFC-57636AA7AB90}"/>
    <cellStyle name="Comma 5 2 2 3 2 4 5" xfId="55694" xr:uid="{F7F3581E-98A4-4E2C-AB1D-E14E2C947CF8}"/>
    <cellStyle name="Comma 5 2 2 3 2 5" xfId="12873" xr:uid="{45E1D4BA-938B-4DD4-A499-8A58E844A023}"/>
    <cellStyle name="Comma 5 2 2 3 2 5 2" xfId="47824" xr:uid="{F8A07B8A-EBAD-4A98-8E83-35DA55A18F6B}"/>
    <cellStyle name="Comma 5 2 2 3 2 5 3" xfId="51247" xr:uid="{0DA34621-1169-40FB-9A6F-3AD37CB5B0AB}"/>
    <cellStyle name="Comma 5 2 2 3 2 5 4" xfId="54263" xr:uid="{D0993B1D-61B0-4812-9AE9-510613178031}"/>
    <cellStyle name="Comma 5 2 2 3 2 6" xfId="38070" xr:uid="{F70837AC-49A7-4622-9849-329FF1A2E98A}"/>
    <cellStyle name="Comma 5 2 2 3 2 7" xfId="47882" xr:uid="{CB543080-97FE-4D65-BAD2-640372A41086}"/>
    <cellStyle name="Comma 5 2 2 3 2 8" xfId="50141" xr:uid="{59070CCC-2C65-439E-A57D-A4691B4654F8}"/>
    <cellStyle name="Comma 5 2 2 3 2 9" xfId="53157" xr:uid="{66AB4FAF-D580-476E-BE99-A042D2ABF40A}"/>
    <cellStyle name="Comma 5 2 2 3 3" xfId="14627" xr:uid="{A2201F49-5265-4153-B4FD-C59641EA7B90}"/>
    <cellStyle name="Comma 5 2 2 3 3 2" xfId="22174" xr:uid="{EB75117E-2FDD-40C9-8045-02235D987751}"/>
    <cellStyle name="Comma 5 2 2 3 3 3" xfId="43372" xr:uid="{CE6727C9-1532-42A3-ADB3-FB3CDC3DC411}"/>
    <cellStyle name="Comma 5 2 2 3 3 4" xfId="48348" xr:uid="{2699C154-6F76-4698-8FA7-14646371CEEF}"/>
    <cellStyle name="Comma 5 2 2 3 3 5" xfId="51512" xr:uid="{80E4D0D4-84C6-4B75-B014-8CD2DF0C1C63}"/>
    <cellStyle name="Comma 5 2 2 3 3 6" xfId="54528" xr:uid="{316CD6B4-7E47-459D-9D8F-8F47D855BB6A}"/>
    <cellStyle name="Comma 5 2 2 3 4" xfId="15112" xr:uid="{F7B0C63A-95F9-49A4-A690-ED44780F1F29}"/>
    <cellStyle name="Comma 5 2 2 3 4 2" xfId="22651" xr:uid="{21DDA3AE-D686-4642-8975-ABDAA0062FB5}"/>
    <cellStyle name="Comma 5 2 2 3 4 3" xfId="46481" xr:uid="{4B9793A2-DBA4-4928-9B80-82E6ED1EEB05}"/>
    <cellStyle name="Comma 5 2 2 3 4 4" xfId="51989" xr:uid="{D6862A18-8EE2-437D-A59D-1E41B7155118}"/>
    <cellStyle name="Comma 5 2 2 3 4 5" xfId="55005" xr:uid="{6246AA64-AA51-4662-9F47-3226EE234A55}"/>
    <cellStyle name="Comma 5 2 2 3 5" xfId="15599" xr:uid="{A67BCB97-F5ED-4606-A93C-901F3060CFB3}"/>
    <cellStyle name="Comma 5 2 2 3 5 2" xfId="23128" xr:uid="{331A4CDA-A5AE-4DC3-BC96-23CB16918AE6}"/>
    <cellStyle name="Comma 5 2 2 3 5 3" xfId="25286" xr:uid="{A48C1A7B-B454-437C-B3D2-2E527F59D7EB}"/>
    <cellStyle name="Comma 5 2 2 3 5 4" xfId="52466" xr:uid="{BCB5CC96-E53D-4255-87B0-F3DA2CA5B1E5}"/>
    <cellStyle name="Comma 5 2 2 3 5 5" xfId="55482" xr:uid="{163B567F-8EBA-4F21-AEF5-46F821DA0926}"/>
    <cellStyle name="Comma 5 2 2 3 6" xfId="12564" xr:uid="{6B716760-B745-464A-A097-62A7E3330C70}"/>
    <cellStyle name="Comma 5 2 2 3 6 2" xfId="32537" xr:uid="{DB10CC6C-3815-49BD-AA37-CDDBB88F9475}"/>
    <cellStyle name="Comma 5 2 2 3 6 3" xfId="51035" xr:uid="{C619EEEF-11C8-4E3F-B21B-5BD227AE4B72}"/>
    <cellStyle name="Comma 5 2 2 3 6 4" xfId="54051" xr:uid="{18A028C6-7001-4B81-8A1A-0F9053036107}"/>
    <cellStyle name="Comma 5 2 2 3 7" xfId="32696" xr:uid="{26EC86F5-82DC-43FF-9CFD-F6CBD31F3CAD}"/>
    <cellStyle name="Comma 5 2 2 3 8" xfId="47873" xr:uid="{F5AFE743-BBBB-4823-9FE9-92A2D42B4FDB}"/>
    <cellStyle name="Comma 5 2 2 3 9" xfId="49929" xr:uid="{4C992079-0D92-4A74-BB71-72783B8C8F93}"/>
    <cellStyle name="Comma 5 2 2 4" xfId="10186" xr:uid="{3FE4896C-B2AF-4216-8B5F-E1C0B7AB7108}"/>
    <cellStyle name="Comma 5 2 2 4 10" xfId="52998" xr:uid="{3C1C9517-720E-4D65-B4AF-99E50901349D}"/>
    <cellStyle name="Comma 5 2 2 4 2" xfId="10500" xr:uid="{39C8A3DD-6584-4407-862D-C0F04672B763}"/>
    <cellStyle name="Comma 5 2 2 4 2 2" xfId="14892" xr:uid="{A8ADB194-1B6C-4A33-AA34-2A01635C889E}"/>
    <cellStyle name="Comma 5 2 2 4 2 2 2" xfId="22439" xr:uid="{A4654E77-0638-4D17-A7F3-E54A6F52F1A0}"/>
    <cellStyle name="Comma 5 2 2 4 2 2 3" xfId="34027" xr:uid="{CA9E8E83-AA7C-471C-8A63-D26B9AA2CD0D}"/>
    <cellStyle name="Comma 5 2 2 4 2 2 4" xfId="51777" xr:uid="{3C5FF67B-558D-4541-AADA-4D77BC27D34F}"/>
    <cellStyle name="Comma 5 2 2 4 2 2 5" xfId="54793" xr:uid="{212FB3FA-5AD9-4665-97C7-DE403CD81235}"/>
    <cellStyle name="Comma 5 2 2 4 2 3" xfId="15377" xr:uid="{5598E4DE-D1D5-4F30-8D52-24CAA0974768}"/>
    <cellStyle name="Comma 5 2 2 4 2 3 2" xfId="22916" xr:uid="{FAD0F81B-51AD-484D-9C14-05578182DA1B}"/>
    <cellStyle name="Comma 5 2 2 4 2 3 3" xfId="46914" xr:uid="{73FAC1D3-9E91-4686-8940-8A6C2F526070}"/>
    <cellStyle name="Comma 5 2 2 4 2 3 4" xfId="52254" xr:uid="{B2D5B8A2-50B7-4B9F-B972-6B158BD3E9F5}"/>
    <cellStyle name="Comma 5 2 2 4 2 3 5" xfId="55270" xr:uid="{D5C11301-8314-41CF-B7D0-C22E9E7B4FAF}"/>
    <cellStyle name="Comma 5 2 2 4 2 4" xfId="15864" xr:uid="{EE1CA214-6CEC-4861-9730-C02A55B71C25}"/>
    <cellStyle name="Comma 5 2 2 4 2 4 2" xfId="23393" xr:uid="{2AD3A308-EA6A-48B2-9638-ADD5911D0C5D}"/>
    <cellStyle name="Comma 5 2 2 4 2 4 3" xfId="48321" xr:uid="{4FFFDBD9-EAB8-4E7D-B26D-060333F2996B}"/>
    <cellStyle name="Comma 5 2 2 4 2 4 4" xfId="52731" xr:uid="{22950097-823A-4DF2-8C29-57EE95206F91}"/>
    <cellStyle name="Comma 5 2 2 4 2 4 5" xfId="55747" xr:uid="{C9DC9E3A-B932-4469-B7D9-B5C3860D0CA7}"/>
    <cellStyle name="Comma 5 2 2 4 2 5" xfId="12953" xr:uid="{CD3E13C7-CF33-4EE0-A3BA-FEE1635B45D6}"/>
    <cellStyle name="Comma 5 2 2 4 2 5 2" xfId="32465" xr:uid="{A2AF3CAF-A38E-4688-A98E-1AA52A0297C7}"/>
    <cellStyle name="Comma 5 2 2 4 2 5 3" xfId="51300" xr:uid="{534A823E-2F2C-44F2-A60F-60028DC24A42}"/>
    <cellStyle name="Comma 5 2 2 4 2 5 4" xfId="54316" xr:uid="{CD175654-C895-4AE6-8254-8DBE3C0202D4}"/>
    <cellStyle name="Comma 5 2 2 4 2 6" xfId="46138" xr:uid="{E8087548-C5E2-4747-934A-CB78C9C780F4}"/>
    <cellStyle name="Comma 5 2 2 4 2 7" xfId="50194" xr:uid="{9958E450-FDCF-46A0-9834-D8AC89CF33A5}"/>
    <cellStyle name="Comma 5 2 2 4 2 8" xfId="53210" xr:uid="{90EA896C-3F08-4E36-937A-F64190789507}"/>
    <cellStyle name="Comma 5 2 2 4 3" xfId="14680" xr:uid="{85692E4B-BD0D-41C4-BAD2-74CC029E1D42}"/>
    <cellStyle name="Comma 5 2 2 4 3 2" xfId="22227" xr:uid="{404F27CB-1FE7-41F9-9A06-74B5E009251E}"/>
    <cellStyle name="Comma 5 2 2 4 3 3" xfId="47238" xr:uid="{84C35888-58E2-4913-B892-9A654203B1E3}"/>
    <cellStyle name="Comma 5 2 2 4 3 4" xfId="51565" xr:uid="{E915FCB1-F508-49B6-9E20-BFDE5DA4DE08}"/>
    <cellStyle name="Comma 5 2 2 4 3 5" xfId="54581" xr:uid="{B08ACC3A-E849-459D-A1DD-1F71AF45AB76}"/>
    <cellStyle name="Comma 5 2 2 4 4" xfId="15165" xr:uid="{5DB2C4E1-D4A8-466C-BE9C-481C3BC277EC}"/>
    <cellStyle name="Comma 5 2 2 4 4 2" xfId="22704" xr:uid="{2F017D13-960B-44E7-83A5-3D93490E0C17}"/>
    <cellStyle name="Comma 5 2 2 4 4 3" xfId="46492" xr:uid="{4B9085ED-D540-49A5-821A-827466FA29F1}"/>
    <cellStyle name="Comma 5 2 2 4 4 4" xfId="52042" xr:uid="{121843A9-D5E3-4FFE-8533-CA7F15361618}"/>
    <cellStyle name="Comma 5 2 2 4 4 5" xfId="55058" xr:uid="{E49D9AAF-C864-4EB2-9FA3-8E043E82DADF}"/>
    <cellStyle name="Comma 5 2 2 4 5" xfId="15652" xr:uid="{970110B8-F278-4F27-86D8-A03D7E3D7875}"/>
    <cellStyle name="Comma 5 2 2 4 5 2" xfId="23181" xr:uid="{8F390218-8CCA-42DD-86B6-5FFFBC60FE7A}"/>
    <cellStyle name="Comma 5 2 2 4 5 3" xfId="47198" xr:uid="{19414543-DF87-41AC-8C28-AE21157E06EC}"/>
    <cellStyle name="Comma 5 2 2 4 5 4" xfId="52519" xr:uid="{6D89CBD8-E699-4BB1-86DF-D6B3BC42BD5E}"/>
    <cellStyle name="Comma 5 2 2 4 5 5" xfId="55535" xr:uid="{EF8B9D8B-D244-4D77-8011-1DE4B9FD21E2}"/>
    <cellStyle name="Comma 5 2 2 4 6" xfId="12640" xr:uid="{2B4DC09B-50CA-462B-B707-02363E5EF129}"/>
    <cellStyle name="Comma 5 2 2 4 6 2" xfId="46334" xr:uid="{28F39DC3-416E-44F4-A6CC-A2D3BF2A4424}"/>
    <cellStyle name="Comma 5 2 2 4 6 3" xfId="51088" xr:uid="{50001F4F-09F9-4020-96AA-3CCC2A7E647D}"/>
    <cellStyle name="Comma 5 2 2 4 6 4" xfId="54104" xr:uid="{6F877D2B-1DB3-4808-BDA1-E90A8359E98C}"/>
    <cellStyle name="Comma 5 2 2 4 7" xfId="35605" xr:uid="{45EACD33-C42A-4120-99AF-8B87FDEBE879}"/>
    <cellStyle name="Comma 5 2 2 4 8" xfId="46985" xr:uid="{0CEA43BD-A777-45F7-B460-C8A584B3DE02}"/>
    <cellStyle name="Comma 5 2 2 4 9" xfId="49982" xr:uid="{48C762D1-A661-4A2E-ACC8-99A3AC517217}"/>
    <cellStyle name="Comma 5 2 2 5" xfId="10266" xr:uid="{912C164B-2574-4C2F-B76F-03AB74655F46}"/>
    <cellStyle name="Comma 5 2 2 5 2" xfId="14733" xr:uid="{D97FAED4-918B-47C4-8749-B8104D718837}"/>
    <cellStyle name="Comma 5 2 2 5 2 2" xfId="22280" xr:uid="{5D43CEC1-1B46-4A26-A9B9-A3FFC7534516}"/>
    <cellStyle name="Comma 5 2 2 5 2 3" xfId="46425" xr:uid="{53FEDD80-47E1-446E-A112-0F139E20FBDD}"/>
    <cellStyle name="Comma 5 2 2 5 2 4" xfId="51618" xr:uid="{9760B9FD-C24E-4964-ACB7-EB89282F2604}"/>
    <cellStyle name="Comma 5 2 2 5 2 5" xfId="54634" xr:uid="{05DE3D3D-62C3-4F85-8692-0E6E64FA2509}"/>
    <cellStyle name="Comma 5 2 2 5 3" xfId="15218" xr:uid="{CC784ACC-479B-4BB4-8838-A0008AE904FD}"/>
    <cellStyle name="Comma 5 2 2 5 3 2" xfId="22757" xr:uid="{787C7F92-7FCB-4649-ACF2-7C791B6A1D2D}"/>
    <cellStyle name="Comma 5 2 2 5 3 3" xfId="47781" xr:uid="{591B7F03-E60F-44D5-8C85-6B84ABF91037}"/>
    <cellStyle name="Comma 5 2 2 5 3 4" xfId="52095" xr:uid="{A5F5A28D-1F2D-40C6-8E9C-9696C21DA1FB}"/>
    <cellStyle name="Comma 5 2 2 5 3 5" xfId="55111" xr:uid="{3222D27E-C6F2-44D7-AE59-213D3A08AD87}"/>
    <cellStyle name="Comma 5 2 2 5 4" xfId="15705" xr:uid="{1974E7E6-0438-4002-9C09-EBC3531F5E93}"/>
    <cellStyle name="Comma 5 2 2 5 4 2" xfId="23234" xr:uid="{94FE4843-91F1-4FB2-8F41-12F8EF5AFFB2}"/>
    <cellStyle name="Comma 5 2 2 5 4 3" xfId="47375" xr:uid="{0851A718-7AF6-44E3-B841-6454491EF26C}"/>
    <cellStyle name="Comma 5 2 2 5 4 4" xfId="52572" xr:uid="{32ECA86D-C814-4349-AF23-965190C9A954}"/>
    <cellStyle name="Comma 5 2 2 5 4 5" xfId="55588" xr:uid="{7E423BCA-2DE1-456F-8BAB-05E865F8A342}"/>
    <cellStyle name="Comma 5 2 2 5 5" xfId="12719" xr:uid="{F4D669DE-F4D0-4BF4-8D9C-D73D4744ECEE}"/>
    <cellStyle name="Comma 5 2 2 5 5 2" xfId="46667" xr:uid="{18630111-93C7-4A45-972B-F91757C15FAB}"/>
    <cellStyle name="Comma 5 2 2 5 5 3" xfId="51141" xr:uid="{459424C1-E417-486C-B443-53055CA32A16}"/>
    <cellStyle name="Comma 5 2 2 5 5 4" xfId="54157" xr:uid="{8386B246-D886-4391-8924-8544C32EC197}"/>
    <cellStyle name="Comma 5 2 2 5 6" xfId="40721" xr:uid="{E1A31CE3-520F-4914-BF9A-BD647876B951}"/>
    <cellStyle name="Comma 5 2 2 5 7" xfId="46076" xr:uid="{F0764C44-A7AD-4786-BF53-276D305BBCCA}"/>
    <cellStyle name="Comma 5 2 2 5 8" xfId="50035" xr:uid="{894280F6-C453-4EDC-9936-BD97C19507D5}"/>
    <cellStyle name="Comma 5 2 2 5 9" xfId="53051" xr:uid="{F5012EF2-DFDE-4FB3-AAB1-B2E409C5C6DC}"/>
    <cellStyle name="Comma 5 2 2 6" xfId="10580" xr:uid="{8DA44A5A-DEB7-484A-823F-D6BDFEC21FFA}"/>
    <cellStyle name="Comma 5 2 2 6 2" xfId="14945" xr:uid="{1B6D4244-D2E3-4F3D-B26C-E006BBE41B28}"/>
    <cellStyle name="Comma 5 2 2 6 2 2" xfId="22492" xr:uid="{D4E9F201-52D4-4EB6-BF28-980D33709EF0}"/>
    <cellStyle name="Comma 5 2 2 6 2 3" xfId="24184" xr:uid="{B8BECFA1-03AB-49DC-90EF-B91041D11272}"/>
    <cellStyle name="Comma 5 2 2 6 2 4" xfId="51830" xr:uid="{FC208035-C506-4105-84DE-3354526602BD}"/>
    <cellStyle name="Comma 5 2 2 6 2 5" xfId="54846" xr:uid="{8AF4A4DF-CA00-404E-9453-4D189E449883}"/>
    <cellStyle name="Comma 5 2 2 6 3" xfId="15430" xr:uid="{D9F2FC7E-63BC-4579-A448-636ED017A8E8}"/>
    <cellStyle name="Comma 5 2 2 6 3 2" xfId="22969" xr:uid="{6E9EB278-0A71-43FF-B7C3-BFFEECA6D564}"/>
    <cellStyle name="Comma 5 2 2 6 3 3" xfId="48443" xr:uid="{046EEE8D-36BA-419F-8C9C-455EFB833935}"/>
    <cellStyle name="Comma 5 2 2 6 3 4" xfId="52307" xr:uid="{3431040C-4097-4728-BDB8-287011542621}"/>
    <cellStyle name="Comma 5 2 2 6 3 5" xfId="55323" xr:uid="{E833210D-A58E-4482-960B-0375BA70F717}"/>
    <cellStyle name="Comma 5 2 2 6 4" xfId="15918" xr:uid="{FED9475D-31BC-4286-8288-3D55E84C184D}"/>
    <cellStyle name="Comma 5 2 2 6 4 2" xfId="23446" xr:uid="{7D26274A-9C1F-45EC-89E6-A7E74D5BBEF5}"/>
    <cellStyle name="Comma 5 2 2 6 4 3" xfId="33345" xr:uid="{2622A0C2-6F8B-4290-8CC7-7AA75B5EC1A2}"/>
    <cellStyle name="Comma 5 2 2 6 4 4" xfId="52784" xr:uid="{0001873E-9ECF-4B37-9010-AC27E2C56797}"/>
    <cellStyle name="Comma 5 2 2 6 4 5" xfId="55800" xr:uid="{C9B85DAA-2553-4D8B-8F7C-3864AC935602}"/>
    <cellStyle name="Comma 5 2 2 6 5" xfId="13033" xr:uid="{613B1123-988C-4325-983E-EA667CE3AC43}"/>
    <cellStyle name="Comma 5 2 2 6 5 2" xfId="48579" xr:uid="{2C4C0C3D-921A-47FB-937B-777DC1AB27AB}"/>
    <cellStyle name="Comma 5 2 2 6 5 3" xfId="51353" xr:uid="{08BFDB0B-BA79-4F98-B66E-C1211BAD080B}"/>
    <cellStyle name="Comma 5 2 2 6 5 4" xfId="54369" xr:uid="{46547114-28CA-47D4-BC03-169ECC7C43B2}"/>
    <cellStyle name="Comma 5 2 2 6 6" xfId="46155" xr:uid="{D9E2AB1C-AB5D-4FD1-9D61-1293E9520E76}"/>
    <cellStyle name="Comma 5 2 2 6 7" xfId="50247" xr:uid="{957DBC81-AFF0-4E98-8D82-14640CF7D2E1}"/>
    <cellStyle name="Comma 5 2 2 6 8" xfId="53263" xr:uid="{1FF6F3D6-4972-48AD-9982-22B660C2DFE4}"/>
    <cellStyle name="Comma 5 2 2 7" xfId="14521" xr:uid="{49CE7008-87BF-419A-AA95-12A6CCE219A1}"/>
    <cellStyle name="Comma 5 2 2 7 2" xfId="22068" xr:uid="{42967F9B-4344-458F-8F49-EDA48F87F628}"/>
    <cellStyle name="Comma 5 2 2 7 3" xfId="46391" xr:uid="{30E2690C-1190-4F0C-B972-D138DB33B250}"/>
    <cellStyle name="Comma 5 2 2 7 4" xfId="51406" xr:uid="{9C5241C1-C698-4C7E-AE6B-90233C631F5C}"/>
    <cellStyle name="Comma 5 2 2 7 5" xfId="54422" xr:uid="{47F3B2E7-9514-49A9-8E6B-0C38656B3DE6}"/>
    <cellStyle name="Comma 5 2 2 8" xfId="15005" xr:uid="{4AF39227-FCBB-4951-9D83-D3D9208CA3F9}"/>
    <cellStyle name="Comma 5 2 2 8 2" xfId="22545" xr:uid="{07358A38-E533-4675-ABBF-A942CA0526CB}"/>
    <cellStyle name="Comma 5 2 2 8 3" xfId="48069" xr:uid="{734D4817-1B5E-410E-8C71-224D0496B015}"/>
    <cellStyle name="Comma 5 2 2 8 4" xfId="51883" xr:uid="{486EC3B2-8D5E-42E8-BAC7-E724226E736E}"/>
    <cellStyle name="Comma 5 2 2 8 5" xfId="54899" xr:uid="{8612BA6F-F076-462E-8A7B-055EDD74B8D5}"/>
    <cellStyle name="Comma 5 2 2 9" xfId="15492" xr:uid="{6B008498-B842-45BF-B355-709A49B0D50D}"/>
    <cellStyle name="Comma 5 2 2 9 2" xfId="23022" xr:uid="{90D62371-6B7C-4A45-A801-61B4220EFBFF}"/>
    <cellStyle name="Comma 5 2 2 9 3" xfId="47194" xr:uid="{70B33718-F10F-4A18-8C2C-64FC9F59E512}"/>
    <cellStyle name="Comma 5 2 2 9 4" xfId="52360" xr:uid="{692E85FA-3506-4CD1-B74C-EA53C493DE83}"/>
    <cellStyle name="Comma 5 2 2 9 5" xfId="55376" xr:uid="{EB111B6F-C60B-47B0-875D-863F9A1D7F15}"/>
    <cellStyle name="Comma 5 2 3" xfId="9596" xr:uid="{50C03854-21D5-4F71-8F78-63602BD26711}"/>
    <cellStyle name="Comma 5 2 3 10" xfId="52857" xr:uid="{A74C2BFC-E482-4E73-A753-7D28EF55ABA0}"/>
    <cellStyle name="Comma 5 2 3 2" xfId="10290" xr:uid="{6D1BB9E9-1FC4-44D8-B064-191687D8680B}"/>
    <cellStyle name="Comma 5 2 3 2 2" xfId="14751" xr:uid="{C980BEE4-B5B8-4DDC-AEF2-192428B9F25C}"/>
    <cellStyle name="Comma 5 2 3 2 2 2" xfId="22298" xr:uid="{F5367B2D-0CED-4FCB-B379-3B181ED3FE80}"/>
    <cellStyle name="Comma 5 2 3 2 2 3" xfId="38071" xr:uid="{8C1EEE42-FB63-4EDA-841D-F405B37C3E71}"/>
    <cellStyle name="Comma 5 2 3 2 2 4" xfId="47773" xr:uid="{BA3C1E32-B1ED-4278-B3F7-9C719CF33112}"/>
    <cellStyle name="Comma 5 2 3 2 2 5" xfId="51636" xr:uid="{9E0520CF-577A-4639-9F4F-A31C8C34F988}"/>
    <cellStyle name="Comma 5 2 3 2 2 6" xfId="54652" xr:uid="{2B5316BE-C451-4B0F-BC56-88F4FE29B9FB}"/>
    <cellStyle name="Comma 5 2 3 2 3" xfId="15236" xr:uid="{DAC254B8-94F9-4EA9-A45D-FB875916A2C2}"/>
    <cellStyle name="Comma 5 2 3 2 3 2" xfId="22775" xr:uid="{F035BA99-38E6-4699-82BD-CB6161942D4D}"/>
    <cellStyle name="Comma 5 2 3 2 3 3" xfId="43373" xr:uid="{A6006548-D29A-4AF0-A887-A7A65F16D3A7}"/>
    <cellStyle name="Comma 5 2 3 2 3 4" xfId="48071" xr:uid="{271778E6-AABF-4F94-8757-B7AEFE2B48DA}"/>
    <cellStyle name="Comma 5 2 3 2 3 5" xfId="52113" xr:uid="{04138346-BE87-42AB-8744-C9270D8D4A97}"/>
    <cellStyle name="Comma 5 2 3 2 3 6" xfId="55129" xr:uid="{929FB33C-4C3B-4E91-8522-1DD6F86A0872}"/>
    <cellStyle name="Comma 5 2 3 2 4" xfId="15723" xr:uid="{8F2D6253-4A65-4BBA-B969-94E060CD5FD4}"/>
    <cellStyle name="Comma 5 2 3 2 4 2" xfId="23252" xr:uid="{E02B01B4-119E-4C4F-B3E1-88B70F586D5B}"/>
    <cellStyle name="Comma 5 2 3 2 4 3" xfId="48369" xr:uid="{5B22981E-0011-4840-A8D5-9940871C7734}"/>
    <cellStyle name="Comma 5 2 3 2 4 4" xfId="52590" xr:uid="{12D2B93F-91E7-4F2F-9D90-BB59FF2D90A1}"/>
    <cellStyle name="Comma 5 2 3 2 4 5" xfId="55606" xr:uid="{5FB1AB60-89CC-463C-AF21-A7E5CB60236A}"/>
    <cellStyle name="Comma 5 2 3 2 5" xfId="12743" xr:uid="{F7AF142E-6F47-4E50-BD7D-9836ED368788}"/>
    <cellStyle name="Comma 5 2 3 2 5 2" xfId="46669" xr:uid="{E2D389BF-851E-4160-93D0-5CFF5B1EBDB4}"/>
    <cellStyle name="Comma 5 2 3 2 5 3" xfId="51159" xr:uid="{3F4BEC6F-032D-46BB-850B-406BFBFDCD33}"/>
    <cellStyle name="Comma 5 2 3 2 5 4" xfId="54175" xr:uid="{C51B6290-AECD-489B-8538-8ED399AFC4D7}"/>
    <cellStyle name="Comma 5 2 3 2 6" xfId="32697" xr:uid="{C1E2E659-83DD-422B-B9F2-E9205D86623B}"/>
    <cellStyle name="Comma 5 2 3 2 7" xfId="48285" xr:uid="{6152A770-5874-47ED-B287-0E107E9C7BA6}"/>
    <cellStyle name="Comma 5 2 3 2 8" xfId="50053" xr:uid="{74AF2EB0-660C-4967-B150-C9E0BDAD35A6}"/>
    <cellStyle name="Comma 5 2 3 2 9" xfId="53069" xr:uid="{C93B2019-2A19-4FED-A8B2-944880519AAE}"/>
    <cellStyle name="Comma 5 2 3 3" xfId="14539" xr:uid="{F39D72F9-9557-46BF-A3F8-EBD39ACED8AA}"/>
    <cellStyle name="Comma 5 2 3 3 2" xfId="22086" xr:uid="{A342E0B3-B784-41A5-94EE-9390665AE7E8}"/>
    <cellStyle name="Comma 5 2 3 3 3" xfId="35606" xr:uid="{9AE79273-D371-4275-BA00-E4F665B93E60}"/>
    <cellStyle name="Comma 5 2 3 3 4" xfId="47105" xr:uid="{C52ADD09-0B1B-4639-BC81-EB644EEA3E57}"/>
    <cellStyle name="Comma 5 2 3 3 5" xfId="51424" xr:uid="{F02E425F-05A9-428C-B22B-0F5904ADF536}"/>
    <cellStyle name="Comma 5 2 3 3 6" xfId="54440" xr:uid="{FEEA798B-33AC-4442-B616-4B80FC051C1B}"/>
    <cellStyle name="Comma 5 2 3 4" xfId="15023" xr:uid="{3B4A5863-CC88-4AC3-9CAF-03078791EBE7}"/>
    <cellStyle name="Comma 5 2 3 4 2" xfId="22563" xr:uid="{493BD8B5-BE07-42A8-86B7-B8988D21FE0A}"/>
    <cellStyle name="Comma 5 2 3 4 3" xfId="40722" xr:uid="{65545CB8-94BE-485E-B016-313D2DB7745B}"/>
    <cellStyle name="Comma 5 2 3 4 4" xfId="24453" xr:uid="{23FAF648-EA1E-4124-BDF9-88626FFADA8A}"/>
    <cellStyle name="Comma 5 2 3 4 5" xfId="51901" xr:uid="{0A7266E2-11A5-4B3F-8F20-F06BC9F808B6}"/>
    <cellStyle name="Comma 5 2 3 4 6" xfId="54917" xr:uid="{EF458F9C-DA9A-4FBC-92E5-A92EDC9A1E0F}"/>
    <cellStyle name="Comma 5 2 3 5" xfId="15510" xr:uid="{2369D434-F1F9-4608-A8D4-4F075A7906DB}"/>
    <cellStyle name="Comma 5 2 3 5 2" xfId="23040" xr:uid="{776A06B0-0E75-4502-AD99-A6B04E714A8E}"/>
    <cellStyle name="Comma 5 2 3 5 3" xfId="47496" xr:uid="{E64659FC-85A2-452A-8479-DC4006AE1DC1}"/>
    <cellStyle name="Comma 5 2 3 5 4" xfId="52378" xr:uid="{1AC9B89A-86EC-421E-B336-78527F891559}"/>
    <cellStyle name="Comma 5 2 3 5 5" xfId="55394" xr:uid="{961987BB-CEFF-42A1-BBB5-77EDAEEA7DB9}"/>
    <cellStyle name="Comma 5 2 3 6" xfId="12449" xr:uid="{83DE88FB-19E8-41EA-AF9F-9664DE06AE7A}"/>
    <cellStyle name="Comma 5 2 3 6 2" xfId="46308" xr:uid="{B8B96DD5-2A3C-4AD2-94A0-B5CA06BE6EE8}"/>
    <cellStyle name="Comma 5 2 3 6 3" xfId="50948" xr:uid="{D194C9BF-E0E0-47F1-9644-C2E52DDB028A}"/>
    <cellStyle name="Comma 5 2 3 6 4" xfId="53964" xr:uid="{72EDE9D4-6CD4-423E-B472-EF2C6C4D26A4}"/>
    <cellStyle name="Comma 5 2 3 7" xfId="23782" xr:uid="{FF7A90BF-FF76-48B0-89CF-C3B2DEA4540B}"/>
    <cellStyle name="Comma 5 2 3 8" xfId="46015" xr:uid="{EE6315DC-40C4-4937-AD7C-C9791BE7E533}"/>
    <cellStyle name="Comma 5 2 3 9" xfId="49841" xr:uid="{B0187AF5-56CC-4B14-8DC9-2F46F75AFA73}"/>
    <cellStyle name="Comma 5 2 4" xfId="10056" xr:uid="{C4069BCA-A5B7-4F29-A0B1-ECA15B1217A2}"/>
    <cellStyle name="Comma 5 2 4 10" xfId="49894" xr:uid="{33EAE686-EA25-4669-8296-E45768B06696}"/>
    <cellStyle name="Comma 5 2 4 11" xfId="52910" xr:uid="{0458471D-51FB-41D4-A4E8-6990527F5DB9}"/>
    <cellStyle name="Comma 5 2 4 2" xfId="10364" xr:uid="{A6215F48-FDD1-48BC-93B5-89FA066F9783}"/>
    <cellStyle name="Comma 5 2 4 2 2" xfId="14804" xr:uid="{BBAFE08A-AD90-4DF0-A498-CD44583A6E1E}"/>
    <cellStyle name="Comma 5 2 4 2 2 2" xfId="22351" xr:uid="{958DCDE1-098D-494A-94A0-55FACB23ECAC}"/>
    <cellStyle name="Comma 5 2 4 2 2 3" xfId="32529" xr:uid="{19F697EF-22D9-4BCF-9E7F-5B0782256049}"/>
    <cellStyle name="Comma 5 2 4 2 2 4" xfId="51689" xr:uid="{B9FE0B50-CEA8-41C5-A162-BB0E92AFC3E2}"/>
    <cellStyle name="Comma 5 2 4 2 2 5" xfId="54705" xr:uid="{225DC529-9366-4FC6-8DCB-CC0381649C93}"/>
    <cellStyle name="Comma 5 2 4 2 3" xfId="15289" xr:uid="{E15B2E7A-25A2-49CD-9124-6676EBB36B37}"/>
    <cellStyle name="Comma 5 2 4 2 3 2" xfId="22828" xr:uid="{ECF68901-B307-4DAE-B2B7-885B94EF1D7D}"/>
    <cellStyle name="Comma 5 2 4 2 3 3" xfId="46511" xr:uid="{0435EAD2-17B5-44AE-BF21-213D6054A031}"/>
    <cellStyle name="Comma 5 2 4 2 3 4" xfId="52166" xr:uid="{E931E63A-C4FA-4A9D-A8FF-90571ED4EA3C}"/>
    <cellStyle name="Comma 5 2 4 2 3 5" xfId="55182" xr:uid="{04955AEF-2B39-4FBA-BF03-A7D2187DC0E9}"/>
    <cellStyle name="Comma 5 2 4 2 4" xfId="15776" xr:uid="{12890C0C-32AB-4233-B30D-96A01FBBDF1B}"/>
    <cellStyle name="Comma 5 2 4 2 4 2" xfId="23305" xr:uid="{D539287A-3DB2-46B1-ACCE-0C8E5FB7B52D}"/>
    <cellStyle name="Comma 5 2 4 2 4 3" xfId="48424" xr:uid="{0EA2B448-D075-4F26-9AA5-682C04967CC9}"/>
    <cellStyle name="Comma 5 2 4 2 4 4" xfId="52643" xr:uid="{2821CF4D-94C5-4C4F-AC6E-615711DD318B}"/>
    <cellStyle name="Comma 5 2 4 2 4 5" xfId="55659" xr:uid="{28CFD29E-2A66-42DE-856F-EC0A2447801D}"/>
    <cellStyle name="Comma 5 2 4 2 5" xfId="12817" xr:uid="{82A8E2E4-0FB0-48CD-905D-DC0CAAD275B6}"/>
    <cellStyle name="Comma 5 2 4 2 5 2" xfId="48398" xr:uid="{5FF7B483-8D8A-4EA7-85E6-07FC9E52C3E4}"/>
    <cellStyle name="Comma 5 2 4 2 5 3" xfId="51212" xr:uid="{5B7F88EF-E84B-4D7E-9787-BCC26B1E02FD}"/>
    <cellStyle name="Comma 5 2 4 2 5 4" xfId="54228" xr:uid="{3A222E0D-00A6-44B6-BF7D-B0764E395DB8}"/>
    <cellStyle name="Comma 5 2 4 2 6" xfId="24270" xr:uid="{C4A25583-F554-463A-A7E6-946FD816114C}"/>
    <cellStyle name="Comma 5 2 4 2 7" xfId="50106" xr:uid="{895049B6-95CD-4771-8B5C-CAB569EA54C4}"/>
    <cellStyle name="Comma 5 2 4 2 8" xfId="53122" xr:uid="{BA49433E-0B74-470B-AB30-D9EF60B3DEB6}"/>
    <cellStyle name="Comma 5 2 4 3" xfId="14592" xr:uid="{66F19166-3091-4303-ABEC-A92465260795}"/>
    <cellStyle name="Comma 5 2 4 3 2" xfId="22139" xr:uid="{8AF28FB0-4A9B-48CD-8B1D-1336D05868F7}"/>
    <cellStyle name="Comma 5 2 4 3 3" xfId="34059" xr:uid="{DA064177-ED00-484A-A6B1-BB6C59A4A382}"/>
    <cellStyle name="Comma 5 2 4 3 4" xfId="51477" xr:uid="{11D62483-174E-41BF-B4A7-6A2A18645664}"/>
    <cellStyle name="Comma 5 2 4 3 5" xfId="54493" xr:uid="{3D9E76C0-4E0D-4372-8749-F58C10E6F5CC}"/>
    <cellStyle name="Comma 5 2 4 4" xfId="15077" xr:uid="{D09A8F74-0FBA-4B56-BA85-FC83EA4917A9}"/>
    <cellStyle name="Comma 5 2 4 4 2" xfId="22616" xr:uid="{803AFE50-4337-45FF-BE19-4534B8B295E1}"/>
    <cellStyle name="Comma 5 2 4 4 3" xfId="47695" xr:uid="{9D0944FA-61BB-469B-B36F-60B264200027}"/>
    <cellStyle name="Comma 5 2 4 4 4" xfId="51954" xr:uid="{1D6E51EB-611C-4425-AF4F-C9B4DB73BC6B}"/>
    <cellStyle name="Comma 5 2 4 4 5" xfId="54970" xr:uid="{F6EE7696-4F52-49D1-B18C-F60BAFCFD4D8}"/>
    <cellStyle name="Comma 5 2 4 5" xfId="15564" xr:uid="{39EAF0F3-BCE8-4CA8-A279-445926C0CA0F}"/>
    <cellStyle name="Comma 5 2 4 5 2" xfId="23093" xr:uid="{DE79FEC9-D2E5-467F-A529-D0578B3BC2A4}"/>
    <cellStyle name="Comma 5 2 4 5 3" xfId="47134" xr:uid="{234CD9EF-9AA1-4209-99CD-80CE1ED286C4}"/>
    <cellStyle name="Comma 5 2 4 5 4" xfId="52431" xr:uid="{BEFEF129-CDF7-4375-B3CA-D73F93E31173}"/>
    <cellStyle name="Comma 5 2 4 5 5" xfId="55447" xr:uid="{AF8611B3-D2CC-4F1F-B843-C8E224F7BE3C}"/>
    <cellStyle name="Comma 5 2 4 6" xfId="12515" xr:uid="{2F1AA215-F834-4661-82F0-4163E21BDA86}"/>
    <cellStyle name="Comma 5 2 4 6 2" xfId="36623" xr:uid="{7CC261A0-FB4E-4CCB-85D0-529F9EE8A65F}"/>
    <cellStyle name="Comma 5 2 4 6 3" xfId="51000" xr:uid="{9D1A94AD-3163-42D9-B339-382D0E63FAAE}"/>
    <cellStyle name="Comma 5 2 4 6 4" xfId="54016" xr:uid="{EA5B06BC-28F0-47A8-B0C2-E4ED1CBCACEA}"/>
    <cellStyle name="Comma 5 2 4 7" xfId="23783" xr:uid="{0B4216EA-C8C5-485B-9EFC-747DC5D4BFEE}"/>
    <cellStyle name="Comma 5 2 4 8" xfId="48660" xr:uid="{56654D49-A3E8-4D03-829A-6E296C8CAA32}"/>
    <cellStyle name="Comma 5 2 4 9" xfId="49568" xr:uid="{CD51B0FF-D456-47A7-9E5A-41BC78C02EE0}"/>
    <cellStyle name="Comma 5 2 5" xfId="10130" xr:uid="{27E979B5-D378-4EB5-BD18-F8A7A489733F}"/>
    <cellStyle name="Comma 5 2 5 10" xfId="52963" xr:uid="{52FFE364-3BFD-4C53-B0E6-64B546729D82}"/>
    <cellStyle name="Comma 5 2 5 2" xfId="10444" xr:uid="{4CB56CAD-1314-41C5-B19D-49DAE2ED3102}"/>
    <cellStyle name="Comma 5 2 5 2 2" xfId="14857" xr:uid="{05589D3D-8CE8-430D-A866-6D0FD7D8269E}"/>
    <cellStyle name="Comma 5 2 5 2 2 2" xfId="22404" xr:uid="{099E899D-0FDA-44E5-A679-BCABCDA2E9F2}"/>
    <cellStyle name="Comma 5 2 5 2 2 3" xfId="38072" xr:uid="{64D2ADE5-3A3A-4E01-8D45-713B4634659A}"/>
    <cellStyle name="Comma 5 2 5 2 2 4" xfId="47485" xr:uid="{EF07F07A-A8BB-49D1-ACBD-3B14C7EF4451}"/>
    <cellStyle name="Comma 5 2 5 2 2 5" xfId="51742" xr:uid="{1F4E8DC3-5A32-43D3-A0AF-5E9B95AD8D0E}"/>
    <cellStyle name="Comma 5 2 5 2 2 6" xfId="54758" xr:uid="{682D636F-DAC7-44C5-99EA-A94E6C8ABB7C}"/>
    <cellStyle name="Comma 5 2 5 2 3" xfId="15342" xr:uid="{5418AE1D-0855-4C1D-873C-D569B1E13D41}"/>
    <cellStyle name="Comma 5 2 5 2 3 2" xfId="22881" xr:uid="{AEE15EF0-D9B8-4D54-A362-3188A364A3AB}"/>
    <cellStyle name="Comma 5 2 5 2 3 3" xfId="43374" xr:uid="{48109D3B-46A9-478D-A742-E844A8564488}"/>
    <cellStyle name="Comma 5 2 5 2 3 4" xfId="24176" xr:uid="{04BED61C-E37C-44C2-9278-DA92AA6D7F7A}"/>
    <cellStyle name="Comma 5 2 5 2 3 5" xfId="52219" xr:uid="{1E557913-2E14-4A76-954E-A99EFF4DFBCE}"/>
    <cellStyle name="Comma 5 2 5 2 3 6" xfId="55235" xr:uid="{46276763-9B17-4FF2-84C3-DE8A76AC7226}"/>
    <cellStyle name="Comma 5 2 5 2 4" xfId="15829" xr:uid="{5BF62E85-6880-4463-9EE0-70C6BEE9F053}"/>
    <cellStyle name="Comma 5 2 5 2 4 2" xfId="23358" xr:uid="{DC2338F1-9E62-4039-9F39-6FE7E8A2D140}"/>
    <cellStyle name="Comma 5 2 5 2 4 3" xfId="46593" xr:uid="{E8C1146F-3949-4E48-A3FC-92B2CE62EE9F}"/>
    <cellStyle name="Comma 5 2 5 2 4 4" xfId="52696" xr:uid="{834F1909-A708-45E2-A8F2-0BDE45708049}"/>
    <cellStyle name="Comma 5 2 5 2 4 5" xfId="55712" xr:uid="{CB89AACC-CF7D-44CC-A200-B7A1FF3F5107}"/>
    <cellStyle name="Comma 5 2 5 2 5" xfId="12897" xr:uid="{E4C6D153-59E6-4260-B3BB-A33EB6AFD8E9}"/>
    <cellStyle name="Comma 5 2 5 2 5 2" xfId="47023" xr:uid="{88C1517B-8670-4C48-AD89-A74EFB8DB221}"/>
    <cellStyle name="Comma 5 2 5 2 5 3" xfId="51265" xr:uid="{3CE5EB11-9010-40BC-A454-B9E863BD0DFB}"/>
    <cellStyle name="Comma 5 2 5 2 5 4" xfId="54281" xr:uid="{F07BC737-C0BC-48E8-9382-2AD80B4DFD7E}"/>
    <cellStyle name="Comma 5 2 5 2 6" xfId="32698" xr:uid="{EE24B260-8B14-457C-AB2B-DFD92B4E9EA5}"/>
    <cellStyle name="Comma 5 2 5 2 7" xfId="46122" xr:uid="{8598C51D-EE52-45C9-B0BF-FBC75D61AD7F}"/>
    <cellStyle name="Comma 5 2 5 2 8" xfId="50159" xr:uid="{DFB147FE-27EB-4F80-8AC1-89CE04143AAD}"/>
    <cellStyle name="Comma 5 2 5 2 9" xfId="53175" xr:uid="{8E377EA9-78DC-4CCB-88EF-8A02CC18DE15}"/>
    <cellStyle name="Comma 5 2 5 3" xfId="14645" xr:uid="{33CBD0CB-DBF6-4111-AB39-7CD474B9AB02}"/>
    <cellStyle name="Comma 5 2 5 3 2" xfId="22192" xr:uid="{87664DCB-92A6-401F-BF76-365E96BCF0EC}"/>
    <cellStyle name="Comma 5 2 5 3 3" xfId="35607" xr:uid="{3F8A358D-9B64-4A6E-9406-1077C8AA29DA}"/>
    <cellStyle name="Comma 5 2 5 3 4" xfId="48060" xr:uid="{1B935399-26E4-4048-8596-D73F002F0603}"/>
    <cellStyle name="Comma 5 2 5 3 5" xfId="51530" xr:uid="{B1C6FD6D-CFB6-4200-B4D2-309D002A13D3}"/>
    <cellStyle name="Comma 5 2 5 3 6" xfId="54546" xr:uid="{80FD5FD0-050A-4ABB-A9F9-7769C6B5B2C6}"/>
    <cellStyle name="Comma 5 2 5 4" xfId="15130" xr:uid="{02CAAF77-6D29-4B49-80CF-5E48FCB55385}"/>
    <cellStyle name="Comma 5 2 5 4 2" xfId="22669" xr:uid="{5ED7F303-9EC4-43B4-9ECF-57D4857CBC21}"/>
    <cellStyle name="Comma 5 2 5 4 3" xfId="40723" xr:uid="{2ADB6D3E-43CF-40EA-B769-D75A01DC8179}"/>
    <cellStyle name="Comma 5 2 5 4 4" xfId="46884" xr:uid="{1AA33556-68E3-4C39-B408-0D601E1DCFDB}"/>
    <cellStyle name="Comma 5 2 5 4 5" xfId="52007" xr:uid="{E22C212C-FDA8-4080-B53F-919191F902E8}"/>
    <cellStyle name="Comma 5 2 5 4 6" xfId="55023" xr:uid="{B92D4F07-9A96-4DA6-99EB-2F26A59DCF9E}"/>
    <cellStyle name="Comma 5 2 5 5" xfId="15617" xr:uid="{68178AC2-58C3-458D-A379-D4B507BD66FB}"/>
    <cellStyle name="Comma 5 2 5 5 2" xfId="23146" xr:uid="{26C04343-B988-4143-83D3-19F900434AB9}"/>
    <cellStyle name="Comma 5 2 5 5 3" xfId="46558" xr:uid="{D9E0ADD8-CCC2-4C89-8D08-C21CC1FF51DD}"/>
    <cellStyle name="Comma 5 2 5 5 4" xfId="52484" xr:uid="{3F0B5684-1D02-41E3-953D-3698C5051106}"/>
    <cellStyle name="Comma 5 2 5 5 5" xfId="55500" xr:uid="{523F2D9E-0517-4342-AF2F-FB4115F6125D}"/>
    <cellStyle name="Comma 5 2 5 6" xfId="12587" xr:uid="{442F3023-49C7-4442-8997-A6E17E3DFE89}"/>
    <cellStyle name="Comma 5 2 5 6 2" xfId="46665" xr:uid="{8B368116-1D84-43BE-B946-D5355F4D2BD2}"/>
    <cellStyle name="Comma 5 2 5 6 3" xfId="51053" xr:uid="{B9513C2D-FE3E-4D0F-87BF-FD4EE0B6EE07}"/>
    <cellStyle name="Comma 5 2 5 6 4" xfId="54069" xr:uid="{B38B84F2-80F7-4B00-A5C5-28DCF388239A}"/>
    <cellStyle name="Comma 5 2 5 7" xfId="23784" xr:uid="{65498EDF-350F-495D-9D80-CC7289AD584C}"/>
    <cellStyle name="Comma 5 2 5 8" xfId="47278" xr:uid="{EE3A3FC4-6590-4C25-A4E3-2EF7F76B5791}"/>
    <cellStyle name="Comma 5 2 5 9" xfId="49947" xr:uid="{29CEAF0B-A3B5-4D7D-9FA0-2ED5CB50A93D}"/>
    <cellStyle name="Comma 5 2 6" xfId="10210" xr:uid="{4F61F508-34C4-4D07-BDA5-E416FD06D5AC}"/>
    <cellStyle name="Comma 5 2 6 2" xfId="14698" xr:uid="{4C826ACE-7702-48DE-8FF3-3587E44A05AB}"/>
    <cellStyle name="Comma 5 2 6 2 2" xfId="22245" xr:uid="{57DF110B-C508-4669-9005-501EB7268424}"/>
    <cellStyle name="Comma 5 2 6 2 2 2" xfId="38073" xr:uid="{FE7451BD-1D0A-4816-887F-EE5476D3CB2F}"/>
    <cellStyle name="Comma 5 2 6 2 3" xfId="43375" xr:uid="{37FAF040-E23C-4EBA-A5D1-7A5C184C8B09}"/>
    <cellStyle name="Comma 5 2 6 2 4" xfId="32699" xr:uid="{14C7AF23-EA61-462C-8C3E-B48B6BDC91B4}"/>
    <cellStyle name="Comma 5 2 6 2 5" xfId="32409" xr:uid="{A1AE352F-FCC2-4B78-98C2-CCF089D79131}"/>
    <cellStyle name="Comma 5 2 6 2 6" xfId="51583" xr:uid="{875C338C-AA29-4B7B-9C68-FC5B832634C0}"/>
    <cellStyle name="Comma 5 2 6 2 7" xfId="54599" xr:uid="{4B914942-AE28-4A46-94C0-1B9F8DA0432D}"/>
    <cellStyle name="Comma 5 2 6 3" xfId="15183" xr:uid="{F35DC1A7-CE52-43E2-BA95-40FB332B8F50}"/>
    <cellStyle name="Comma 5 2 6 3 2" xfId="22722" xr:uid="{04AE1FDC-8702-4E8F-A7F5-8FE1A0DF361E}"/>
    <cellStyle name="Comma 5 2 6 3 3" xfId="35608" xr:uid="{3BE5EB00-9B48-4613-9B1D-E4B35858A2FF}"/>
    <cellStyle name="Comma 5 2 6 3 4" xfId="32460" xr:uid="{27C1586A-AD54-40A7-B16A-7182DA22C971}"/>
    <cellStyle name="Comma 5 2 6 3 5" xfId="52060" xr:uid="{70BD0F38-A62C-48B5-B782-0A2E711A1B01}"/>
    <cellStyle name="Comma 5 2 6 3 6" xfId="55076" xr:uid="{FB6AF4EA-6A6F-4042-9088-8BC05E9EA82B}"/>
    <cellStyle name="Comma 5 2 6 4" xfId="15670" xr:uid="{62103D7C-9DF3-4EE4-A006-0A33BC8CA319}"/>
    <cellStyle name="Comma 5 2 6 4 2" xfId="23199" xr:uid="{9A0628C3-758B-4577-8923-5F5E7A6DB727}"/>
    <cellStyle name="Comma 5 2 6 4 3" xfId="40724" xr:uid="{8A846698-1447-440C-8E5A-1157FE1D6C09}"/>
    <cellStyle name="Comma 5 2 6 4 4" xfId="47728" xr:uid="{E3373BDC-4BE3-4745-AC95-C4F586856D8F}"/>
    <cellStyle name="Comma 5 2 6 4 5" xfId="52537" xr:uid="{BF9EB301-2FF9-4186-8649-FB44FE519C78}"/>
    <cellStyle name="Comma 5 2 6 4 6" xfId="55553" xr:uid="{3885E91F-F8B4-4FDC-B09C-6014D2CA2A39}"/>
    <cellStyle name="Comma 5 2 6 5" xfId="12663" xr:uid="{5FE32130-6330-4245-8728-235F51ACA46A}"/>
    <cellStyle name="Comma 5 2 6 5 2" xfId="47228" xr:uid="{A0D8532A-E686-490D-8387-9D894C32563B}"/>
    <cellStyle name="Comma 5 2 6 5 3" xfId="51106" xr:uid="{765FF8B0-8979-476F-85EC-CDF54A068680}"/>
    <cellStyle name="Comma 5 2 6 5 4" xfId="54122" xr:uid="{E606A1B7-94D0-4167-903E-3934558C48BA}"/>
    <cellStyle name="Comma 5 2 6 6" xfId="23785" xr:uid="{BF521A54-C2D0-46F1-99F3-2D30B83684E0}"/>
    <cellStyle name="Comma 5 2 6 7" xfId="47876" xr:uid="{E58B1213-6811-4311-9111-7391AB808A94}"/>
    <cellStyle name="Comma 5 2 6 8" xfId="50000" xr:uid="{4C7E2FB3-E110-4E90-8744-9EE1AABE8E51}"/>
    <cellStyle name="Comma 5 2 6 9" xfId="53016" xr:uid="{A1FC49D7-A815-4877-A494-D41F00C4FDAB}"/>
    <cellStyle name="Comma 5 2 7" xfId="10524" xr:uid="{22840352-4D40-43C5-9691-54EB746BB77B}"/>
    <cellStyle name="Comma 5 2 7 2" xfId="14910" xr:uid="{61F8AD3B-AC4A-4657-AA2F-D2B3C26AF867}"/>
    <cellStyle name="Comma 5 2 7 2 2" xfId="22457" xr:uid="{ED4968BD-A30C-4BD1-A208-C38DFB276243}"/>
    <cellStyle name="Comma 5 2 7 2 2 2" xfId="38074" xr:uid="{80DEE437-EF22-47EA-BB7B-CD58C93D1632}"/>
    <cellStyle name="Comma 5 2 7 2 3" xfId="43376" xr:uid="{0D2A12B4-3C80-4A43-9050-9E3B9682C831}"/>
    <cellStyle name="Comma 5 2 7 2 4" xfId="32700" xr:uid="{A8424D21-7A18-4BEC-B7F8-F20109B9053A}"/>
    <cellStyle name="Comma 5 2 7 2 5" xfId="48266" xr:uid="{40A4DFAC-DCDB-4EDE-9F09-3D4CE7BD357F}"/>
    <cellStyle name="Comma 5 2 7 2 6" xfId="51795" xr:uid="{E39217AA-FA17-48A3-AD2F-9FCE73CA7415}"/>
    <cellStyle name="Comma 5 2 7 2 7" xfId="54811" xr:uid="{040CAC89-32F3-4C9B-8F6D-0823CBC4DC76}"/>
    <cellStyle name="Comma 5 2 7 3" xfId="15395" xr:uid="{DF54E8CB-ADE2-41D0-9150-6F557692079D}"/>
    <cellStyle name="Comma 5 2 7 3 2" xfId="22934" xr:uid="{39DBCC04-E9EE-4418-974B-534FDE183709}"/>
    <cellStyle name="Comma 5 2 7 3 3" xfId="35609" xr:uid="{8E8ACB30-A68E-4319-927F-D04DC275172A}"/>
    <cellStyle name="Comma 5 2 7 3 4" xfId="46528" xr:uid="{3FA259D4-FFC0-4537-BB69-329269565677}"/>
    <cellStyle name="Comma 5 2 7 3 5" xfId="52272" xr:uid="{BF294433-0A67-431C-9077-33BF044133E8}"/>
    <cellStyle name="Comma 5 2 7 3 6" xfId="55288" xr:uid="{ABDBA491-EA03-402D-BF05-486028151229}"/>
    <cellStyle name="Comma 5 2 7 4" xfId="15882" xr:uid="{D845B783-95FF-49FB-9A19-F135B3C8A5BF}"/>
    <cellStyle name="Comma 5 2 7 4 2" xfId="23411" xr:uid="{2FF47164-80CF-4839-8C67-E3A22BFE9D17}"/>
    <cellStyle name="Comma 5 2 7 4 3" xfId="40725" xr:uid="{A1362ADE-DFC1-4ADC-A91C-9D23DCCA81FD}"/>
    <cellStyle name="Comma 5 2 7 4 4" xfId="47556" xr:uid="{E108277C-AF67-4CAB-B47A-EAD20DF316B8}"/>
    <cellStyle name="Comma 5 2 7 4 5" xfId="52749" xr:uid="{9C663968-2A79-42BB-9EAB-10341114F040}"/>
    <cellStyle name="Comma 5 2 7 4 6" xfId="55765" xr:uid="{F99589F1-4BA0-4F91-9DF9-D34769A2E80B}"/>
    <cellStyle name="Comma 5 2 7 5" xfId="12977" xr:uid="{3D7C9667-47B8-4507-94A4-C60A75226208}"/>
    <cellStyle name="Comma 5 2 7 5 2" xfId="48057" xr:uid="{74110A5B-67C3-47C2-9C13-16698211D562}"/>
    <cellStyle name="Comma 5 2 7 5 3" xfId="51318" xr:uid="{256FA719-5EB7-447F-8FE7-C4E366F02CEB}"/>
    <cellStyle name="Comma 5 2 7 5 4" xfId="54334" xr:uid="{5A01547E-CDFD-43FC-9D7E-A95362763CE0}"/>
    <cellStyle name="Comma 5 2 7 6" xfId="23786" xr:uid="{B3A9E9B2-A950-4A86-A587-2FF00607A8E8}"/>
    <cellStyle name="Comma 5 2 7 7" xfId="47654" xr:uid="{DCC6AE17-CD72-4BC0-8D30-BDD42EC76393}"/>
    <cellStyle name="Comma 5 2 7 8" xfId="50212" xr:uid="{940AD59D-5573-440C-833B-E8A0E3000731}"/>
    <cellStyle name="Comma 5 2 7 9" xfId="53228" xr:uid="{2D3941D3-3529-4B03-AC67-734EFE6A78A9}"/>
    <cellStyle name="Comma 5 2 8" xfId="14486" xr:uid="{764231D7-C39A-44ED-8902-DD7FA3750DDE}"/>
    <cellStyle name="Comma 5 2 8 2" xfId="22033" xr:uid="{72B2B4DD-BE0D-4920-9F0A-EE64B0372F2F}"/>
    <cellStyle name="Comma 5 2 8 2 2" xfId="38069" xr:uid="{30B1E3D6-8013-4604-A885-9DA852A3EE55}"/>
    <cellStyle name="Comma 5 2 8 3" xfId="43371" xr:uid="{CFB13121-B3AB-4158-85F9-CE561B1E3F5B}"/>
    <cellStyle name="Comma 5 2 8 4" xfId="32695" xr:uid="{E2A340ED-BE86-470B-AB1D-33C771447C5F}"/>
    <cellStyle name="Comma 5 2 8 5" xfId="32414" xr:uid="{ED5922D5-1D0D-460A-BA53-CF1335E3813A}"/>
    <cellStyle name="Comma 5 2 8 6" xfId="51371" xr:uid="{B9CB850E-F5D5-418D-87B3-408E51A636B7}"/>
    <cellStyle name="Comma 5 2 8 7" xfId="54387" xr:uid="{BD67E6F7-7F5E-4958-BEE2-F1A161063B09}"/>
    <cellStyle name="Comma 5 2 9" xfId="14966" xr:uid="{1B9D0E57-58BB-48D7-8FC2-135C0DD09D3C}"/>
    <cellStyle name="Comma 5 2 9 2" xfId="22510" xr:uid="{C9211E3C-B556-4DE1-BCA4-928707816504}"/>
    <cellStyle name="Comma 5 2 9 3" xfId="35604" xr:uid="{D32279DB-B52A-4143-B180-6BFD750EF1D9}"/>
    <cellStyle name="Comma 5 2 9 4" xfId="48412" xr:uid="{51C50AD1-D4C8-4B93-98EB-AE3E47C080EE}"/>
    <cellStyle name="Comma 5 2 9 5" xfId="51848" xr:uid="{E31BEB5A-883F-479C-8DD4-DD2BF1907018}"/>
    <cellStyle name="Comma 5 2 9 6" xfId="54864" xr:uid="{E1D9757B-6F2D-4162-A743-C569D1FAB278}"/>
    <cellStyle name="Comma 5 3" xfId="2629" xr:uid="{62BEAAA4-2164-4072-AAD4-244577425C4E}"/>
    <cellStyle name="Comma 5 3 2" xfId="4545" xr:uid="{3B0AA891-FA99-4C99-8666-A275B1C4CFAF}"/>
    <cellStyle name="Comma 5 3 2 2" xfId="35066" xr:uid="{754B4673-A67B-4A1C-95B0-068F47F9122C}"/>
    <cellStyle name="Comma 5 3 2 2 2" xfId="40227" xr:uid="{52CB88A9-B6F4-4A78-8030-24FF490E270A}"/>
    <cellStyle name="Comma 5 3 2 2 3" xfId="45529" xr:uid="{ABF84611-5D69-4884-A42E-CCFF38CB6931}"/>
    <cellStyle name="Comma 5 3 2 3" xfId="37576" xr:uid="{63C106F2-7D87-4BA8-95EF-E65532F888B3}"/>
    <cellStyle name="Comma 5 3 2 4" xfId="42878" xr:uid="{13FAFC9E-74F9-4E08-9AFC-E07513AAC616}"/>
    <cellStyle name="Comma 5 3 2 5" xfId="9882" xr:uid="{7430387F-61E3-427C-AD48-9E4917BBB6F6}"/>
    <cellStyle name="Comma 5 3 3" xfId="5826" xr:uid="{E81F8B88-167F-4D79-8CB5-310EF5CC7C5B}"/>
    <cellStyle name="Comma 5 3 3 2" xfId="12360" xr:uid="{C4D5008A-2DCF-4DB6-A017-8B23F3AB2783}"/>
    <cellStyle name="Comma 5 3 4" xfId="11701" xr:uid="{9A6958AD-D84E-4A1D-9070-1E99CE3F68F9}"/>
    <cellStyle name="Comma 5 3 4 2" xfId="21721" xr:uid="{BF39F6A7-9F15-4217-A4FA-9DDDEB6C1302}"/>
    <cellStyle name="Comma 5 3 4 3" xfId="24227" xr:uid="{A31B359C-735E-44D9-934B-110BB438C8B5}"/>
    <cellStyle name="Comma 5 3 4 4" xfId="50748" xr:uid="{962A3E6E-0BF6-4EC7-B1D9-70BDA8B8C6BA}"/>
    <cellStyle name="Comma 5 3 4 5" xfId="53764" xr:uid="{8D56E89A-4744-4BB8-A1CE-02B2F8539C41}"/>
    <cellStyle name="Comma 5 3 5" xfId="19493" xr:uid="{5ACA217C-07C8-47C3-A585-3986C0575CA0}"/>
    <cellStyle name="Comma 5 3 6" xfId="23787" xr:uid="{BF909E80-9850-4FB5-B33C-BB92E62CD20F}"/>
    <cellStyle name="Comma 5 3 7" xfId="48661" xr:uid="{BAF1319A-83BC-4176-8EFC-887046D89337}"/>
    <cellStyle name="Comma 5 3 8" xfId="49569" xr:uid="{D4D45E7E-9B08-4756-828B-87602A8E9BDC}"/>
    <cellStyle name="Comma 5 3 9" xfId="8425" xr:uid="{6FAB90ED-0552-4471-8D23-04EDF9B9CB31}"/>
    <cellStyle name="Comma 5 4" xfId="7719" xr:uid="{13FB64E2-4542-4B8F-9656-A492ACAA8109}"/>
    <cellStyle name="Comma 5 4 10" xfId="15461" xr:uid="{E3A1640C-8614-49DD-A91E-9E9A74983F28}"/>
    <cellStyle name="Comma 5 4 10 2" xfId="22993" xr:uid="{6E97AC68-00E9-4887-AB49-CE9A9203C324}"/>
    <cellStyle name="Comma 5 4 10 3" xfId="47569" xr:uid="{DF5358C6-4C3B-4B16-BE03-76EC73311F03}"/>
    <cellStyle name="Comma 5 4 10 4" xfId="52331" xr:uid="{6624EDE0-0744-496E-BE06-912BA663F136}"/>
    <cellStyle name="Comma 5 4 10 5" xfId="55347" xr:uid="{5F5FA368-B56B-426D-982A-A3C98227AEEB}"/>
    <cellStyle name="Comma 5 4 10 6" xfId="19326" xr:uid="{49FC980E-8512-4869-ADF4-28C53B4499BC}"/>
    <cellStyle name="Comma 5 4 11" xfId="11198" xr:uid="{0841D578-16B4-4DB9-90CB-CE34D6728D50}"/>
    <cellStyle name="Comma 5 4 11 2" xfId="21694" xr:uid="{79DB4454-5DEE-4D2F-998C-F379D717A456}"/>
    <cellStyle name="Comma 5 4 11 3" xfId="47158" xr:uid="{2D7251E4-5793-4753-84D4-E892E4F96E76}"/>
    <cellStyle name="Comma 5 4 11 4" xfId="50711" xr:uid="{E983BEFB-CBAB-45D5-BC67-796A62F33717}"/>
    <cellStyle name="Comma 5 4 11 5" xfId="53727" xr:uid="{AE38524C-6130-4C74-A05E-D828027F64B7}"/>
    <cellStyle name="Comma 5 4 12" xfId="19494" xr:uid="{16176B31-FAF5-4E6B-ACFA-EA6FF01F224F}"/>
    <cellStyle name="Comma 5 4 13" xfId="23788" xr:uid="{AE9DEFFE-3D6C-4151-94B8-F7BEB1631F62}"/>
    <cellStyle name="Comma 5 4 14" xfId="47378" xr:uid="{74E4CAF7-04EF-46D4-96D6-3C0712C890CD}"/>
    <cellStyle name="Comma 5 4 15" xfId="48662" xr:uid="{F9B656FD-374E-468C-B02C-143214615A99}"/>
    <cellStyle name="Comma 5 4 16" xfId="49570" xr:uid="{3A31B160-F378-41BD-8C93-77A2AB2027EE}"/>
    <cellStyle name="Comma 5 4 17" xfId="49794" xr:uid="{1E9C77A2-28B3-4B8D-B9A5-ECF86ADD4670}"/>
    <cellStyle name="Comma 5 4 18" xfId="52809" xr:uid="{5EB2F481-9293-42C5-8251-9CDA28104AF3}"/>
    <cellStyle name="Comma 5 4 19" xfId="15946" xr:uid="{037B03C9-FC04-417E-8436-9518F2235009}"/>
    <cellStyle name="Comma 5 4 2" xfId="9877" xr:uid="{32369DA9-027D-4B4C-AF1F-9499C47C0454}"/>
    <cellStyle name="Comma 5 4 2 10" xfId="18738" xr:uid="{10F4A68C-B709-4EA6-8C0B-29A89F4DABDB}"/>
    <cellStyle name="Comma 5 4 2 2" xfId="10300" xr:uid="{DDAAAAF2-B39A-418C-A775-DF8817338685}"/>
    <cellStyle name="Comma 5 4 2 2 2" xfId="14757" xr:uid="{39555467-AF97-48B1-B967-162CD47004F9}"/>
    <cellStyle name="Comma 5 4 2 2 2 2" xfId="22304" xr:uid="{D8594808-9A6B-4837-BBD6-3687F6B2F168}"/>
    <cellStyle name="Comma 5 4 2 2 2 3" xfId="48351" xr:uid="{5CEDA2D8-DFB5-4549-8318-43098BB43DEB}"/>
    <cellStyle name="Comma 5 4 2 2 2 4" xfId="51642" xr:uid="{17CBC2D6-AB66-4C38-B7EA-E7610EBBCA0E}"/>
    <cellStyle name="Comma 5 4 2 2 2 5" xfId="54658" xr:uid="{9922076C-9E33-4089-9E2B-11FA626E4316}"/>
    <cellStyle name="Comma 5 4 2 2 2 6" xfId="19116" xr:uid="{566139B0-B759-409D-AD24-1104BEAA135E}"/>
    <cellStyle name="Comma 5 4 2 2 3" xfId="15242" xr:uid="{E65EC174-9C01-42E4-97E6-C65A4019FAFE}"/>
    <cellStyle name="Comma 5 4 2 2 3 2" xfId="22781" xr:uid="{5D180EB0-3562-4A38-8FEE-AA9C93B3C9AE}"/>
    <cellStyle name="Comma 5 4 2 2 3 3" xfId="36579" xr:uid="{5C77EC69-F3DF-42DF-8E10-87351B03101B}"/>
    <cellStyle name="Comma 5 4 2 2 3 4" xfId="52119" xr:uid="{37497C6B-E36D-4D94-AB18-95E206FCD175}"/>
    <cellStyle name="Comma 5 4 2 2 3 5" xfId="55135" xr:uid="{41EB76E3-A9A0-4B0B-AFF7-2B9A787E212D}"/>
    <cellStyle name="Comma 5 4 2 2 3 6" xfId="19259" xr:uid="{CD0DB6BF-AC87-4E38-9725-AD7A2231F478}"/>
    <cellStyle name="Comma 5 4 2 2 4" xfId="15729" xr:uid="{0AAE3A00-4492-499E-B69E-4A8DC78B50EB}"/>
    <cellStyle name="Comma 5 4 2 2 4 2" xfId="23258" xr:uid="{5AA6C2A3-15D7-4DBD-B4EB-DCDCF52976A2}"/>
    <cellStyle name="Comma 5 4 2 2 4 3" xfId="47501" xr:uid="{95673370-7761-4EC7-9932-ABAE7B8BF2EE}"/>
    <cellStyle name="Comma 5 4 2 2 4 4" xfId="52596" xr:uid="{A941B67B-72E4-4406-930C-68D2F371DCE7}"/>
    <cellStyle name="Comma 5 4 2 2 4 5" xfId="55612" xr:uid="{6C79A067-3CB0-4C3E-9195-2420E345E497}"/>
    <cellStyle name="Comma 5 4 2 2 4 6" xfId="19404" xr:uid="{AF8C01D3-CEBD-4DCE-8DED-672A70168147}"/>
    <cellStyle name="Comma 5 4 2 2 5" xfId="12753" xr:uid="{B266042B-E237-4F30-8B27-2943C41ED0EF}"/>
    <cellStyle name="Comma 5 4 2 2 5 2" xfId="48493" xr:uid="{EED8110C-0062-402E-BAF9-13DAD3BC02FD}"/>
    <cellStyle name="Comma 5 4 2 2 5 3" xfId="51165" xr:uid="{90C14AE4-C48C-42DE-A961-438624C00EB3}"/>
    <cellStyle name="Comma 5 4 2 2 5 4" xfId="54181" xr:uid="{A376B1DF-8B20-43B2-93FA-090D68E20638}"/>
    <cellStyle name="Comma 5 4 2 2 5 5" xfId="21974" xr:uid="{97F47AF4-E20C-4D25-9BB0-15945F1F7074}"/>
    <cellStyle name="Comma 5 4 2 2 6" xfId="47558" xr:uid="{437BAD43-D757-4560-BA74-DD50218BF6F5}"/>
    <cellStyle name="Comma 5 4 2 2 7" xfId="50059" xr:uid="{B006CE82-2DAD-4181-8030-69B0461BD9B2}"/>
    <cellStyle name="Comma 5 4 2 2 8" xfId="53075" xr:uid="{6A8CB80F-BD7B-4D5C-BA20-42B1E00CC338}"/>
    <cellStyle name="Comma 5 4 2 2 9" xfId="18883" xr:uid="{D2FAD731-4780-41BB-B536-CA45957BF13D}"/>
    <cellStyle name="Comma 5 4 2 3" xfId="14545" xr:uid="{2376AAE0-C977-48AA-AF10-E37DC811552F}"/>
    <cellStyle name="Comma 5 4 2 3 2" xfId="22092" xr:uid="{6801ED82-E057-4D73-B266-2414A8F5A2B3}"/>
    <cellStyle name="Comma 5 4 2 3 3" xfId="24194" xr:uid="{EC1E83DD-57F5-4361-A68B-FB833B010E3C}"/>
    <cellStyle name="Comma 5 4 2 3 4" xfId="51430" xr:uid="{D2EF862A-17EC-4A10-AB7D-7C3B55A81707}"/>
    <cellStyle name="Comma 5 4 2 3 5" xfId="54446" xr:uid="{D1F84DCE-9EA7-498B-85B7-AF32D0DF0935}"/>
    <cellStyle name="Comma 5 4 2 3 6" xfId="19056" xr:uid="{03D0FB5B-6AF4-47CB-B71F-84467765FB4E}"/>
    <cellStyle name="Comma 5 4 2 4" xfId="15029" xr:uid="{287C08E3-27BF-4FF7-B1BF-D27129125FAE}"/>
    <cellStyle name="Comma 5 4 2 4 2" xfId="22569" xr:uid="{F40ACC0E-E30B-47C3-958F-2F6A1F88347A}"/>
    <cellStyle name="Comma 5 4 2 4 3" xfId="47054" xr:uid="{C868C44E-8CEE-40D2-A4CC-F12F72C90BAF}"/>
    <cellStyle name="Comma 5 4 2 4 4" xfId="51907" xr:uid="{068EA129-F717-4272-8D18-B5B815BF36C0}"/>
    <cellStyle name="Comma 5 4 2 4 5" xfId="54923" xr:uid="{8364C268-928C-4676-AEF3-220E7B88900F}"/>
    <cellStyle name="Comma 5 4 2 4 6" xfId="19198" xr:uid="{4E9CBD5F-7C64-4130-B246-C115D7B24A7B}"/>
    <cellStyle name="Comma 5 4 2 5" xfId="15516" xr:uid="{8581A297-1CC4-42F1-8BD3-DF04E7BEBE9F}"/>
    <cellStyle name="Comma 5 4 2 5 2" xfId="23046" xr:uid="{CDDE33E9-E05E-4E65-A7D0-AA6522E19433}"/>
    <cellStyle name="Comma 5 4 2 5 3" xfId="48077" xr:uid="{FACC0420-ADAB-4891-8E39-BD676ECF2BB4}"/>
    <cellStyle name="Comma 5 4 2 5 4" xfId="52384" xr:uid="{AF218906-6D5D-4BD4-BBD7-7A2ECE61B3E8}"/>
    <cellStyle name="Comma 5 4 2 5 5" xfId="55400" xr:uid="{D5CD6CFD-515B-495F-90F3-82347BC01A2D}"/>
    <cellStyle name="Comma 5 4 2 5 6" xfId="19343" xr:uid="{C3E7D670-8907-4375-80E3-05A11AD6CA92}"/>
    <cellStyle name="Comma 5 4 2 6" xfId="12456" xr:uid="{85CF6103-B86C-414D-B109-B301284BCE34}"/>
    <cellStyle name="Comma 5 4 2 6 2" xfId="24537" xr:uid="{E860DD88-6749-404B-AF66-DAD5DBEE44AB}"/>
    <cellStyle name="Comma 5 4 2 6 3" xfId="50953" xr:uid="{D75D8921-DC94-4D0F-AAF4-3FC75F3530EF}"/>
    <cellStyle name="Comma 5 4 2 6 4" xfId="53969" xr:uid="{3488CA18-A5A1-4CF8-88CD-373CC5C70A67}"/>
    <cellStyle name="Comma 5 4 2 6 5" xfId="21912" xr:uid="{C8D6D14B-7072-448E-A87D-EFDAC5D583BD}"/>
    <cellStyle name="Comma 5 4 2 7" xfId="47421" xr:uid="{26A10EE5-C8A7-4DB7-8CED-A850AA1AB1F0}"/>
    <cellStyle name="Comma 5 4 2 8" xfId="49847" xr:uid="{E69A860E-6BA2-4D22-953F-D59BEB68DB1A}"/>
    <cellStyle name="Comma 5 4 2 9" xfId="52863" xr:uid="{ACEF2698-E28E-4592-BDAB-E530E1B8C520}"/>
    <cellStyle name="Comma 5 4 3" xfId="10066" xr:uid="{B13EF069-6DDD-4300-842E-CBAE4D37D1CB}"/>
    <cellStyle name="Comma 5 4 3 10" xfId="18769" xr:uid="{D5F9A99F-9825-4B32-9F1E-5645A4CBB0A3}"/>
    <cellStyle name="Comma 5 4 3 2" xfId="10375" xr:uid="{6C16D051-EC2F-47DA-949B-2D0FDF139240}"/>
    <cellStyle name="Comma 5 4 3 2 2" xfId="14810" xr:uid="{B14CD7E8-607C-4A19-BC11-E5A3CE877B8D}"/>
    <cellStyle name="Comma 5 4 3 2 2 2" xfId="22357" xr:uid="{FB093C90-1AA5-4CBD-B36C-91E34A3D56BF}"/>
    <cellStyle name="Comma 5 4 3 2 2 3" xfId="32528" xr:uid="{1FDF9DCE-02AE-481D-B71E-BAF8B1FD71AF}"/>
    <cellStyle name="Comma 5 4 3 2 2 4" xfId="51695" xr:uid="{E29D1384-B700-4F8A-9C53-3242F18B2258}"/>
    <cellStyle name="Comma 5 4 3 2 2 5" xfId="54711" xr:uid="{EC03578B-A524-4C6E-99DE-5C07B7988FF3}"/>
    <cellStyle name="Comma 5 4 3 2 2 6" xfId="19131" xr:uid="{BEB3217B-462D-4FDF-AD89-D280BB5076E0}"/>
    <cellStyle name="Comma 5 4 3 2 3" xfId="15295" xr:uid="{B505E1F2-5EAA-4041-A7B4-F8A53B37C683}"/>
    <cellStyle name="Comma 5 4 3 2 3 2" xfId="22834" xr:uid="{F419C346-7CDE-4C55-B96A-56107F07CED7}"/>
    <cellStyle name="Comma 5 4 3 2 3 3" xfId="46512" xr:uid="{80E3A08B-A212-41CB-A8AA-4A2388A5B86F}"/>
    <cellStyle name="Comma 5 4 3 2 3 4" xfId="52172" xr:uid="{82020EFF-6FA2-483C-8F54-FD2D9E211C3F}"/>
    <cellStyle name="Comma 5 4 3 2 3 5" xfId="55188" xr:uid="{B04C3D2F-0571-4A4E-AFC0-FED40CCA898A}"/>
    <cellStyle name="Comma 5 4 3 2 3 6" xfId="19274" xr:uid="{C4FB2B60-0769-46DC-9877-459F8A95D43B}"/>
    <cellStyle name="Comma 5 4 3 2 4" xfId="15782" xr:uid="{4ABD9331-118B-4DE9-B315-EECF4D98AA19}"/>
    <cellStyle name="Comma 5 4 3 2 4 2" xfId="23311" xr:uid="{3757D9B2-5369-42F5-9B5F-B24E75C58C50}"/>
    <cellStyle name="Comma 5 4 3 2 4 3" xfId="47553" xr:uid="{059E251F-20A8-44B7-9CBA-CF5B63F8FBE8}"/>
    <cellStyle name="Comma 5 4 3 2 4 4" xfId="52649" xr:uid="{192D3EA4-BFCA-4CEF-8E32-57152C11DB1A}"/>
    <cellStyle name="Comma 5 4 3 2 4 5" xfId="55665" xr:uid="{E046377C-8A93-42E6-B8BB-639CFF1EBC40}"/>
    <cellStyle name="Comma 5 4 3 2 4 6" xfId="19419" xr:uid="{8CCCFB1B-18FE-4B6C-BC06-BC37878D7DEC}"/>
    <cellStyle name="Comma 5 4 3 2 5" xfId="12828" xr:uid="{248D5B2C-2757-4745-85F3-DFA2C15AB014}"/>
    <cellStyle name="Comma 5 4 3 2 5 2" xfId="47921" xr:uid="{8C27009B-BC85-4ECD-AD43-C020B755968B}"/>
    <cellStyle name="Comma 5 4 3 2 5 3" xfId="51218" xr:uid="{60082E7F-3ED6-4B48-AE80-B50C29E65F8F}"/>
    <cellStyle name="Comma 5 4 3 2 5 4" xfId="54234" xr:uid="{D47A7F21-FE9A-4D21-BDD7-3409AB355CE1}"/>
    <cellStyle name="Comma 5 4 3 2 5 5" xfId="21989" xr:uid="{4DAC537E-5E35-44E1-8387-23985E6F72BF}"/>
    <cellStyle name="Comma 5 4 3 2 6" xfId="47583" xr:uid="{7F348826-D1EF-405C-BBB3-3E0F9D7A51DB}"/>
    <cellStyle name="Comma 5 4 3 2 7" xfId="50112" xr:uid="{92185048-3667-46D1-AC99-1DB05F0F9CE8}"/>
    <cellStyle name="Comma 5 4 3 2 8" xfId="53128" xr:uid="{00590DE1-C135-4844-9BB4-5C9FAEC15CB3}"/>
    <cellStyle name="Comma 5 4 3 2 9" xfId="18920" xr:uid="{C1AA83F8-E698-4D1D-8690-B18044CF6A8D}"/>
    <cellStyle name="Comma 5 4 3 3" xfId="14598" xr:uid="{472D4363-3AF9-41D3-846D-252B4AC9140E}"/>
    <cellStyle name="Comma 5 4 3 3 2" xfId="22145" xr:uid="{C895DE65-2ABD-42D1-99A3-AF61B7835644}"/>
    <cellStyle name="Comma 5 4 3 3 3" xfId="47512" xr:uid="{58F20803-EC59-40E7-80D8-94E0DC41ED28}"/>
    <cellStyle name="Comma 5 4 3 3 4" xfId="51483" xr:uid="{DA068634-DD3A-404E-A41C-13245F108C42}"/>
    <cellStyle name="Comma 5 4 3 3 5" xfId="54499" xr:uid="{5020857D-424D-46AA-97A6-85EE9B088379}"/>
    <cellStyle name="Comma 5 4 3 3 6" xfId="19071" xr:uid="{8C63D55E-1630-4E68-B223-9156B081A441}"/>
    <cellStyle name="Comma 5 4 3 4" xfId="15083" xr:uid="{5F72C047-0B07-4110-B821-79004430AC23}"/>
    <cellStyle name="Comma 5 4 3 4 2" xfId="22622" xr:uid="{896985CF-CCBA-4290-BE44-040D3110B2AD}"/>
    <cellStyle name="Comma 5 4 3 4 3" xfId="48275" xr:uid="{A5F255C7-B087-4461-B367-48DF48B131B2}"/>
    <cellStyle name="Comma 5 4 3 4 4" xfId="51960" xr:uid="{9710D836-8CCA-499F-A822-82E68F4B1A8A}"/>
    <cellStyle name="Comma 5 4 3 4 5" xfId="54976" xr:uid="{C600173C-BC97-4D6A-9551-D843EEDCFC63}"/>
    <cellStyle name="Comma 5 4 3 4 6" xfId="19214" xr:uid="{C518B03F-327B-4482-BB7B-DEADDF861527}"/>
    <cellStyle name="Comma 5 4 3 5" xfId="15570" xr:uid="{E3CEFAA4-92E6-40E0-B97B-9E6C38A7A37E}"/>
    <cellStyle name="Comma 5 4 3 5 2" xfId="23099" xr:uid="{092550DA-06C3-445F-A5CF-794A74B234B7}"/>
    <cellStyle name="Comma 5 4 3 5 3" xfId="47726" xr:uid="{A3B78B90-EC41-4A00-B04D-A5967898B070}"/>
    <cellStyle name="Comma 5 4 3 5 4" xfId="52437" xr:uid="{29222594-0BED-44F5-AA79-9DD849C663FB}"/>
    <cellStyle name="Comma 5 4 3 5 5" xfId="55453" xr:uid="{4D06CAA9-1C93-42EC-BE23-ED6EA28358DA}"/>
    <cellStyle name="Comma 5 4 3 5 6" xfId="19359" xr:uid="{B5DE5F1D-8A26-472D-8606-D40D076A6B6D}"/>
    <cellStyle name="Comma 5 4 3 6" xfId="12525" xr:uid="{7B4BF71D-03B5-48F8-A4ED-439D594603A7}"/>
    <cellStyle name="Comma 5 4 3 6 2" xfId="36312" xr:uid="{7EBBCE73-0B06-4AF4-8793-EB2F6BB83872}"/>
    <cellStyle name="Comma 5 4 3 6 3" xfId="51006" xr:uid="{496F3628-6EAC-407B-9C10-4110BB724FAB}"/>
    <cellStyle name="Comma 5 4 3 6 4" xfId="54022" xr:uid="{CA5D681D-7D5F-4976-BF63-4B933809A68D}"/>
    <cellStyle name="Comma 5 4 3 6 5" xfId="21929" xr:uid="{7F8903BA-5CFD-46C0-9DAB-D4245483F83F}"/>
    <cellStyle name="Comma 5 4 3 7" xfId="47205" xr:uid="{D761C128-6C51-4964-8CDA-6B3821534C06}"/>
    <cellStyle name="Comma 5 4 3 8" xfId="49900" xr:uid="{2635AD35-178A-4118-946E-6E7F513D658F}"/>
    <cellStyle name="Comma 5 4 3 9" xfId="52916" xr:uid="{5F112D12-9B3A-49BD-B00B-A4DB22DE9F69}"/>
    <cellStyle name="Comma 5 4 4" xfId="10141" xr:uid="{FD7F70B2-54C6-4CDE-ADEE-9E86AA2613D3}"/>
    <cellStyle name="Comma 5 4 4 10" xfId="18803" xr:uid="{7B841085-BF0F-478B-ADE2-0E8508214CE1}"/>
    <cellStyle name="Comma 5 4 4 2" xfId="10455" xr:uid="{5EF0BC95-2926-480D-9092-687AD8A6AA2E}"/>
    <cellStyle name="Comma 5 4 4 2 2" xfId="14863" xr:uid="{207FEE10-17A8-4E50-A0E1-10187ABCE4EB}"/>
    <cellStyle name="Comma 5 4 4 2 2 2" xfId="22410" xr:uid="{C9EF12E7-1DBA-4C20-9B1F-E90F5FB57FC8}"/>
    <cellStyle name="Comma 5 4 4 2 2 3" xfId="48066" xr:uid="{45C0CF9E-697B-4A52-A869-098E3F90A17E}"/>
    <cellStyle name="Comma 5 4 4 2 2 4" xfId="51748" xr:uid="{4C6F5A81-53D0-4EAD-BD42-E5C12B925BB0}"/>
    <cellStyle name="Comma 5 4 4 2 2 5" xfId="54764" xr:uid="{66006CD4-051A-434D-87BD-BB1A1AD62616}"/>
    <cellStyle name="Comma 5 4 4 2 2 6" xfId="19146" xr:uid="{72D8F030-F87D-4DF1-A58D-E054968B6B28}"/>
    <cellStyle name="Comma 5 4 4 2 3" xfId="15348" xr:uid="{EE6CED55-B394-4BFE-87CE-BE0A7086F6C4}"/>
    <cellStyle name="Comma 5 4 4 2 3 2" xfId="22887" xr:uid="{F152E65A-1810-4B76-9365-3A96CD7EE926}"/>
    <cellStyle name="Comma 5 4 4 2 3 3" xfId="24173" xr:uid="{9EF72287-CAC8-4593-A578-7828C0BEAEA0}"/>
    <cellStyle name="Comma 5 4 4 2 3 4" xfId="52225" xr:uid="{320EDC16-2904-43FA-95C8-3AD0F708E03C}"/>
    <cellStyle name="Comma 5 4 4 2 3 5" xfId="55241" xr:uid="{7F1634A6-E12B-4AAD-99BE-2D17ECD6BF69}"/>
    <cellStyle name="Comma 5 4 4 2 3 6" xfId="19289" xr:uid="{D6DEDE92-E572-4584-A54F-A985E5DBED1F}"/>
    <cellStyle name="Comma 5 4 4 2 4" xfId="15835" xr:uid="{0C2CE56D-8B10-425D-98C3-1D221B4EB978}"/>
    <cellStyle name="Comma 5 4 4 2 4 2" xfId="23364" xr:uid="{6AF55E0A-62C1-4964-88D4-AE3A2747142B}"/>
    <cellStyle name="Comma 5 4 4 2 4 3" xfId="46594" xr:uid="{1D6578C9-FBFF-400E-8861-75D5A31A419A}"/>
    <cellStyle name="Comma 5 4 4 2 4 4" xfId="52702" xr:uid="{C49C7677-AE49-4EBE-B3F4-DF04EE6E271B}"/>
    <cellStyle name="Comma 5 4 4 2 4 5" xfId="55718" xr:uid="{4C884505-3777-4D48-9F21-23699566CE4F}"/>
    <cellStyle name="Comma 5 4 4 2 4 6" xfId="19434" xr:uid="{E7C62589-CACA-4C95-9249-91A5268DE0C8}"/>
    <cellStyle name="Comma 5 4 4 2 5" xfId="12908" xr:uid="{63BCF34D-AC38-4B2E-8F7F-355E3F405C86}"/>
    <cellStyle name="Comma 5 4 4 2 5 2" xfId="46368" xr:uid="{0B34359A-63D4-4E80-B3CC-BD4909E37C2B}"/>
    <cellStyle name="Comma 5 4 4 2 5 3" xfId="51271" xr:uid="{9C9301A6-7F88-4906-BB9B-368C9734F630}"/>
    <cellStyle name="Comma 5 4 4 2 5 4" xfId="54287" xr:uid="{23CDDAD1-69AF-4792-BBB3-8897CD2F42C8}"/>
    <cellStyle name="Comma 5 4 4 2 5 5" xfId="22004" xr:uid="{B30EFF41-738D-4F15-BB54-D31DF7D263D2}"/>
    <cellStyle name="Comma 5 4 4 2 6" xfId="48160" xr:uid="{8FDA1AF8-F3E3-4AC7-93E9-F20B6E277399}"/>
    <cellStyle name="Comma 5 4 4 2 7" xfId="50165" xr:uid="{4FA1BBCE-93DF-42E5-8BE2-4D9384A0303A}"/>
    <cellStyle name="Comma 5 4 4 2 8" xfId="53181" xr:uid="{93DA3674-F49F-4351-A925-2E3C83D2FFAD}"/>
    <cellStyle name="Comma 5 4 4 2 9" xfId="18962" xr:uid="{DFD197BD-335D-4369-97CB-D58E2DC49C05}"/>
    <cellStyle name="Comma 5 4 4 3" xfId="14651" xr:uid="{EA63F4DC-884F-475E-A36A-A6D3CB221E1B}"/>
    <cellStyle name="Comma 5 4 4 3 2" xfId="22198" xr:uid="{0F96C1BC-F4BA-4362-8665-593A0C068A9C}"/>
    <cellStyle name="Comma 5 4 4 3 3" xfId="47408" xr:uid="{9C18B50D-DB1F-4250-B037-A4DF5D5F0C6A}"/>
    <cellStyle name="Comma 5 4 4 3 4" xfId="51536" xr:uid="{7DA46ED2-5A63-49AC-8C9B-B0CA1359772F}"/>
    <cellStyle name="Comma 5 4 4 3 5" xfId="54552" xr:uid="{42CA9463-2C94-49CF-B29F-F22DCDA0AABA}"/>
    <cellStyle name="Comma 5 4 4 3 6" xfId="19086" xr:uid="{BDD4DF9A-846D-48F3-B010-E4EBBBEAE8D5}"/>
    <cellStyle name="Comma 5 4 4 4" xfId="15136" xr:uid="{A3043137-2007-42A6-861A-BD2DB4F4CC48}"/>
    <cellStyle name="Comma 5 4 4 4 2" xfId="22675" xr:uid="{1F6364BD-C598-43CB-B78A-A71A61A51D4D}"/>
    <cellStyle name="Comma 5 4 4 4 3" xfId="46885" xr:uid="{E1052BD5-1127-4C36-B282-953AE39B5BB5}"/>
    <cellStyle name="Comma 5 4 4 4 4" xfId="52013" xr:uid="{619905C6-EC0D-45B0-8EDB-1A31801E9E0D}"/>
    <cellStyle name="Comma 5 4 4 4 5" xfId="55029" xr:uid="{99D17DFC-8F19-4CC9-8E63-B8514A5417A9}"/>
    <cellStyle name="Comma 5 4 4 4 6" xfId="19229" xr:uid="{24484FA9-15E8-49D7-A82D-0EBD6C6F233A}"/>
    <cellStyle name="Comma 5 4 4 5" xfId="15623" xr:uid="{4CEA48DF-FA7A-40A5-BF1B-59E0FFD36561}"/>
    <cellStyle name="Comma 5 4 4 5 2" xfId="23152" xr:uid="{68368C10-7214-4020-8815-C1CC48715687}"/>
    <cellStyle name="Comma 5 4 4 5 3" xfId="46559" xr:uid="{2FF170DB-4B5D-410F-9E6F-F62B7EAB536C}"/>
    <cellStyle name="Comma 5 4 4 5 4" xfId="52490" xr:uid="{68A14ED3-637A-412F-B70F-EF8C69A10157}"/>
    <cellStyle name="Comma 5 4 4 5 5" xfId="55506" xr:uid="{FE63A844-73FA-4A1D-AD96-DDEDD6FDDCCE}"/>
    <cellStyle name="Comma 5 4 4 5 6" xfId="19374" xr:uid="{C485F14C-7DAA-4BA7-9427-4133BFE08E05}"/>
    <cellStyle name="Comma 5 4 4 6" xfId="12597" xr:uid="{1F91F18C-5D31-4905-9E68-81D427451748}"/>
    <cellStyle name="Comma 5 4 4 6 2" xfId="48197" xr:uid="{531C3030-A31D-4EB6-8125-8E1153A0B317}"/>
    <cellStyle name="Comma 5 4 4 6 3" xfId="51059" xr:uid="{B576A19A-CFE6-486A-8671-962C24A13AEF}"/>
    <cellStyle name="Comma 5 4 4 6 4" xfId="54075" xr:uid="{E27114A1-2208-45F9-87B0-2B48AB761C8D}"/>
    <cellStyle name="Comma 5 4 4 6 5" xfId="21944" xr:uid="{096ED0D7-E056-4563-AFAD-FB6A83A0E173}"/>
    <cellStyle name="Comma 5 4 4 7" xfId="47872" xr:uid="{4AD7ACD5-BB6E-482C-B783-E0F1B2D45C08}"/>
    <cellStyle name="Comma 5 4 4 8" xfId="49953" xr:uid="{49CA20B2-B93D-4149-A104-9F2510787407}"/>
    <cellStyle name="Comma 5 4 4 9" xfId="52969" xr:uid="{EF0AF75C-6EBC-41B3-AE50-960FF9DFA155}"/>
    <cellStyle name="Comma 5 4 5" xfId="10221" xr:uid="{851CC8E1-D4EC-413D-9D61-015ECA74443F}"/>
    <cellStyle name="Comma 5 4 5 2" xfId="14704" xr:uid="{C9047ED9-C75E-44FD-A699-FA5393B9FEDE}"/>
    <cellStyle name="Comma 5 4 5 2 2" xfId="22251" xr:uid="{83C3395C-A27A-40F9-B24F-5B32712C52FE}"/>
    <cellStyle name="Comma 5 4 5 2 3" xfId="24963" xr:uid="{05507BA5-954D-4F8C-83AF-EA0BBDF9CB71}"/>
    <cellStyle name="Comma 5 4 5 2 4" xfId="51589" xr:uid="{4AAC9DC7-8A75-4287-9643-08F7638986F4}"/>
    <cellStyle name="Comma 5 4 5 2 5" xfId="54605" xr:uid="{570D784A-8BE0-47C5-A241-31A0E2EBF091}"/>
    <cellStyle name="Comma 5 4 5 2 6" xfId="19101" xr:uid="{10A35BE8-4BF6-4C2C-A054-8DECA81D9A37}"/>
    <cellStyle name="Comma 5 4 5 3" xfId="15189" xr:uid="{7D63E0C0-1D4F-438F-AE87-1801DEBBBC67}"/>
    <cellStyle name="Comma 5 4 5 3 2" xfId="22728" xr:uid="{E6235116-ECA5-4D4A-9318-8145A65E7A10}"/>
    <cellStyle name="Comma 5 4 5 3 3" xfId="46494" xr:uid="{3394FD02-3E41-4FEE-9C95-13D8BE753A3E}"/>
    <cellStyle name="Comma 5 4 5 3 4" xfId="52066" xr:uid="{E9167D8B-801A-4DBD-BB6B-46FE4A7A9D26}"/>
    <cellStyle name="Comma 5 4 5 3 5" xfId="55082" xr:uid="{3FADC1EE-9BE4-4010-8614-1815626A1C2F}"/>
    <cellStyle name="Comma 5 4 5 3 6" xfId="19244" xr:uid="{22D364A4-5DE6-46D0-A624-24AAC547E0DB}"/>
    <cellStyle name="Comma 5 4 5 4" xfId="15676" xr:uid="{F6E76BA9-CF53-461E-94D6-DF973DEFD084}"/>
    <cellStyle name="Comma 5 4 5 4 2" xfId="23205" xr:uid="{827B358B-BA37-4545-A47C-498DAD11A9D2}"/>
    <cellStyle name="Comma 5 4 5 4 3" xfId="48309" xr:uid="{49B6931B-07C7-490F-AA25-20DB7BD01446}"/>
    <cellStyle name="Comma 5 4 5 4 4" xfId="52543" xr:uid="{F42AC149-49BB-4A7E-9317-1C2607F19221}"/>
    <cellStyle name="Comma 5 4 5 4 5" xfId="55559" xr:uid="{B553ACB3-5F85-4F4F-9941-84B6309A0766}"/>
    <cellStyle name="Comma 5 4 5 4 6" xfId="19389" xr:uid="{1C125921-2A64-47B8-A074-B0BDC4917713}"/>
    <cellStyle name="Comma 5 4 5 5" xfId="12674" xr:uid="{E957D5CE-0ECE-41DC-8B65-452A9D834731}"/>
    <cellStyle name="Comma 5 4 5 5 2" xfId="32426" xr:uid="{AA11317A-9F25-435C-94E1-AFC5366F8B3A}"/>
    <cellStyle name="Comma 5 4 5 5 3" xfId="51112" xr:uid="{CEACD443-B8F1-4758-83E3-AADA7E014CC8}"/>
    <cellStyle name="Comma 5 4 5 5 4" xfId="54128" xr:uid="{03C48911-3FF4-4647-9469-7A3AA3534B06}"/>
    <cellStyle name="Comma 5 4 5 5 5" xfId="21959" xr:uid="{B8E39E8F-AEED-449B-842A-42ED1CBE3969}"/>
    <cellStyle name="Comma 5 4 5 6" xfId="46068" xr:uid="{DD6A6163-0F8E-4C61-A1EA-C04096B38FFD}"/>
    <cellStyle name="Comma 5 4 5 7" xfId="50006" xr:uid="{21AD3F5B-3A54-4976-ABB4-155294991402}"/>
    <cellStyle name="Comma 5 4 5 8" xfId="53022" xr:uid="{40BE1033-7311-4FBE-9A15-FBF4D46305FE}"/>
    <cellStyle name="Comma 5 4 5 9" xfId="18842" xr:uid="{396E5219-8FD1-497C-9918-AAFDB7B52683}"/>
    <cellStyle name="Comma 5 4 6" xfId="10535" xr:uid="{104F8EC1-4C21-4A01-AE51-B6D03E7E9DBA}"/>
    <cellStyle name="Comma 5 4 6 2" xfId="14916" xr:uid="{6CBB4536-307C-465B-9588-328C81F3F55D}"/>
    <cellStyle name="Comma 5 4 6 2 2" xfId="22463" xr:uid="{3603871C-BB43-4F09-8EB8-DDDD978861FC}"/>
    <cellStyle name="Comma 5 4 6 2 3" xfId="24933" xr:uid="{F8F7575B-27D1-4B13-82F1-151F5778E456}"/>
    <cellStyle name="Comma 5 4 6 2 4" xfId="51801" xr:uid="{1E0C9E26-0588-483F-BFAC-AF201957C2F6}"/>
    <cellStyle name="Comma 5 4 6 2 5" xfId="54817" xr:uid="{794A1A94-8DBF-42A5-90E4-095CC28E5182}"/>
    <cellStyle name="Comma 5 4 6 2 6" xfId="19161" xr:uid="{E74A22FB-305A-4FFA-AA7E-5906A9F79C08}"/>
    <cellStyle name="Comma 5 4 6 3" xfId="15401" xr:uid="{60CA9B96-FBFB-4BC8-9DEE-708C969AB973}"/>
    <cellStyle name="Comma 5 4 6 3 2" xfId="22940" xr:uid="{5A3BC653-AAAA-4870-8AF2-DC5173928B8A}"/>
    <cellStyle name="Comma 5 4 6 3 3" xfId="46529" xr:uid="{58455213-348F-4B31-8F25-8B6E9AB32D4D}"/>
    <cellStyle name="Comma 5 4 6 3 4" xfId="52278" xr:uid="{2641CF6E-0F31-4DA0-B3FC-D15887FF4457}"/>
    <cellStyle name="Comma 5 4 6 3 5" xfId="55294" xr:uid="{62A82B28-F44B-4F27-91FC-C555B952FD29}"/>
    <cellStyle name="Comma 5 4 6 3 6" xfId="19304" xr:uid="{F4244E11-E558-4493-BCFE-3091F103FAC5}"/>
    <cellStyle name="Comma 5 4 6 4" xfId="15889" xr:uid="{AFA6A597-0554-42E6-89D4-32A4FF4A537B}"/>
    <cellStyle name="Comma 5 4 6 4 2" xfId="23417" xr:uid="{995A7535-F8E1-4A73-953C-B12074062FCF}"/>
    <cellStyle name="Comma 5 4 6 4 3" xfId="32357" xr:uid="{4BAC26FB-3D14-4394-9CC3-2044683F5482}"/>
    <cellStyle name="Comma 5 4 6 4 4" xfId="52755" xr:uid="{1CC43539-7F13-4CDD-A733-2648FB624B61}"/>
    <cellStyle name="Comma 5 4 6 4 5" xfId="55771" xr:uid="{96539893-B8F6-4313-81BC-EE33D9E4C79C}"/>
    <cellStyle name="Comma 5 4 6 4 6" xfId="19450" xr:uid="{FC951C75-CAF9-4DE4-A555-220A0FF5D227}"/>
    <cellStyle name="Comma 5 4 6 5" xfId="12988" xr:uid="{94666DA3-3268-4963-B91A-2081E986F744}"/>
    <cellStyle name="Comma 5 4 6 5 2" xfId="46819" xr:uid="{17069A94-6757-4854-B15B-27C018670432}"/>
    <cellStyle name="Comma 5 4 6 5 3" xfId="51324" xr:uid="{C223CBB1-2421-42E8-A8E2-6FFB36B26550}"/>
    <cellStyle name="Comma 5 4 6 5 4" xfId="54340" xr:uid="{B989208B-8E4D-4E9B-9045-341ED875DB53}"/>
    <cellStyle name="Comma 5 4 6 5 5" xfId="22019" xr:uid="{BF795996-7BB0-4EC7-BCEB-63769C9A9CCA}"/>
    <cellStyle name="Comma 5 4 6 6" xfId="46146" xr:uid="{CC81DB0F-AAB3-4405-804D-1BB2A64D6790}"/>
    <cellStyle name="Comma 5 4 6 7" xfId="50218" xr:uid="{974E61E0-1C1B-4DC8-8007-CC3A555ABEE4}"/>
    <cellStyle name="Comma 5 4 6 8" xfId="53234" xr:uid="{7D0FA43A-E324-4DE1-8881-61FA33694839}"/>
    <cellStyle name="Comma 5 4 6 9" xfId="19004" xr:uid="{4F19E544-4B54-450F-BE36-046CC7A759CF}"/>
    <cellStyle name="Comma 5 4 7" xfId="12423" xr:uid="{BD3E7626-34D1-4719-8639-09B7A3A0E814}"/>
    <cellStyle name="Comma 5 4 7 2" xfId="21908" xr:uid="{4124F64A-00D9-4084-B5EF-936A1B113697}"/>
    <cellStyle name="Comma 5 4 7 3" xfId="46306" xr:uid="{CAB23DAF-5886-4959-A3CE-612E81AA8D95}"/>
    <cellStyle name="Comma 5 4 7 4" xfId="50946" xr:uid="{CF96C50C-F9BD-4A3F-A5E7-055672F1D0C9}"/>
    <cellStyle name="Comma 5 4 7 5" xfId="53962" xr:uid="{A8638F3D-D566-4AE4-B2C6-6C5CA1B83781}"/>
    <cellStyle name="Comma 5 4 7 6" xfId="18730" xr:uid="{CBAE68F0-F477-48EB-8A91-7AE3C9E049CA}"/>
    <cellStyle name="Comma 5 4 8" xfId="14492" xr:uid="{26DA1C1E-7193-4DDF-A0AE-4708F3945547}"/>
    <cellStyle name="Comma 5 4 8 2" xfId="22039" xr:uid="{A0BCE9D4-CE7F-4E60-9FE2-53A39481C846}"/>
    <cellStyle name="Comma 5 4 8 3" xfId="47807" xr:uid="{BCAF6644-A518-4B44-838C-FB90559DD5A9}"/>
    <cellStyle name="Comma 5 4 8 4" xfId="51377" xr:uid="{28668FCE-5E2A-4F62-BAB1-2C02DC557A7E}"/>
    <cellStyle name="Comma 5 4 8 5" xfId="54393" xr:uid="{557B07A7-7F94-4470-BFB1-5BC2C94F9974}"/>
    <cellStyle name="Comma 5 4 8 6" xfId="19041" xr:uid="{AAF3B0F7-87EC-4ED9-B761-97C73CE49382}"/>
    <cellStyle name="Comma 5 4 9" xfId="14974" xr:uid="{23C417F8-F404-4F2F-B014-DE185539339F}"/>
    <cellStyle name="Comma 5 4 9 2" xfId="22516" xr:uid="{4CE416C4-BAED-4B17-A2FA-FE9E09138BF9}"/>
    <cellStyle name="Comma 5 4 9 3" xfId="32515" xr:uid="{93C7752B-7C91-493E-A9CB-E6B53A20C108}"/>
    <cellStyle name="Comma 5 4 9 4" xfId="51854" xr:uid="{EB735B00-0BF8-430E-9D50-26610755DBCB}"/>
    <cellStyle name="Comma 5 4 9 5" xfId="54870" xr:uid="{EBC73BDF-8E9E-472C-8E24-EE078B89B072}"/>
    <cellStyle name="Comma 5 4 9 6" xfId="19181" xr:uid="{8E4A5523-CB2C-46BB-8896-5D3B25D6264D}"/>
    <cellStyle name="Comma 5 5" xfId="9599" xr:uid="{107A845A-AF3A-4D6B-A58F-A150F3873C23}"/>
    <cellStyle name="Comma 5 5 2" xfId="23789" xr:uid="{BA76B635-7620-4E24-9632-C892411EE2B0}"/>
    <cellStyle name="Comma 5 5 3" xfId="48663" xr:uid="{122E04E5-FD0C-4C01-A5D2-48CE5CEE16A2}"/>
    <cellStyle name="Comma 5 5 4" xfId="49571" xr:uid="{83026679-ED28-46A4-9EF9-DA5574FD3BF3}"/>
    <cellStyle name="Comma 5 6" xfId="11231" xr:uid="{A61CE31F-3CBA-4126-9566-F16BB2DF3E26}"/>
    <cellStyle name="Comma 5 6 2" xfId="23790" xr:uid="{2211462F-53FE-418C-B327-D99726D3FA39}"/>
    <cellStyle name="Comma 5 7" xfId="10603" xr:uid="{6D298FF1-E647-4571-ADCB-DFE66D72FB21}"/>
    <cellStyle name="Comma 5 7 2" xfId="21248" xr:uid="{18D47275-7C89-450A-A7C2-A761196E9AEA}"/>
    <cellStyle name="Comma 5 7 3" xfId="48526" xr:uid="{F673B3BC-BD1E-440B-9897-53D0C719C748}"/>
    <cellStyle name="Comma 5 7 4" xfId="50266" xr:uid="{2AE18948-AF20-43E8-9BF7-82CCFCD355E0}"/>
    <cellStyle name="Comma 5 7 5" xfId="53282" xr:uid="{592B1F56-CD54-4BCF-9A30-CF21FDF5E1B6}"/>
    <cellStyle name="Comma 5 7 6" xfId="17716" xr:uid="{2058C3CB-9E07-43F0-A819-021A382E47D0}"/>
    <cellStyle name="Comma 5 8" xfId="19491" xr:uid="{4E4E9628-A34E-48DF-A978-782B7966B13D}"/>
    <cellStyle name="Comma 5 9" xfId="23778" xr:uid="{5EB670F5-3F44-4A30-A3F1-EBE4A1A6EC11}"/>
    <cellStyle name="Comma 6" xfId="1294" xr:uid="{00000000-0005-0000-0000-00005A000000}"/>
    <cellStyle name="Comma 6 10" xfId="49572" xr:uid="{8127ABCB-557C-45CA-A075-2FB82C288093}"/>
    <cellStyle name="Comma 6 11" xfId="7236" xr:uid="{6A5B3F6E-F134-46FE-894C-44AA5BBFA986}"/>
    <cellStyle name="Comma 6 2" xfId="4546" xr:uid="{8C8B61CA-89AE-47E9-946C-1D93A61ADF60}"/>
    <cellStyle name="Comma 6 2 10" xfId="15006" xr:uid="{89DE08FB-4C6D-4A07-98B0-8FAF44434698}"/>
    <cellStyle name="Comma 6 2 10 2" xfId="22546" xr:uid="{7DB502FC-303B-4CC2-9BC7-EA1B690B6501}"/>
    <cellStyle name="Comma 6 2 10 3" xfId="48211" xr:uid="{2214236F-D6CE-4EE9-9C2F-8A124812F106}"/>
    <cellStyle name="Comma 6 2 10 4" xfId="51884" xr:uid="{07CE6266-F98C-4440-A6DD-319BDE2A6061}"/>
    <cellStyle name="Comma 6 2 10 5" xfId="54900" xr:uid="{68C41F3C-A076-449C-B666-FF173452CDF8}"/>
    <cellStyle name="Comma 6 2 11" xfId="15493" xr:uid="{3719AF01-1C30-4D74-A531-DECC5ED9A25F}"/>
    <cellStyle name="Comma 6 2 11 2" xfId="23023" xr:uid="{E2EF10CF-26DF-4148-88DA-231F6EC546E4}"/>
    <cellStyle name="Comma 6 2 11 3" xfId="24170" xr:uid="{4B3F839E-22CC-4A63-BF5C-98A4E70ACFBE}"/>
    <cellStyle name="Comma 6 2 11 4" xfId="52361" xr:uid="{A44D119E-431F-4945-BB36-791FF115F3D8}"/>
    <cellStyle name="Comma 6 2 11 5" xfId="55377" xr:uid="{A67FC5FB-45CE-48DA-8009-4ECCD718E747}"/>
    <cellStyle name="Comma 6 2 12" xfId="11589" xr:uid="{0C8E2EE4-ADC1-40FB-A210-BE811822A16C}"/>
    <cellStyle name="Comma 6 2 12 2" xfId="21712" xr:uid="{FCEFCA9D-B2DD-4A73-B823-786DEBA856B4}"/>
    <cellStyle name="Comma 6 2 12 3" xfId="47563" xr:uid="{AD3FBD81-2A79-4869-AECB-B97E4905F222}"/>
    <cellStyle name="Comma 6 2 12 4" xfId="50736" xr:uid="{CF8C591B-92EB-4BD9-9016-5C6237F88E06}"/>
    <cellStyle name="Comma 6 2 12 5" xfId="53752" xr:uid="{3854EE7B-EB41-4FCD-B44D-F22E059DA87A}"/>
    <cellStyle name="Comma 6 2 13" xfId="23792" xr:uid="{3BA3C483-A6E3-410D-8EAB-2518A007D6D0}"/>
    <cellStyle name="Comma 6 2 14" xfId="48665" xr:uid="{397A8029-2302-411D-B45D-3D2E976F8BBB}"/>
    <cellStyle name="Comma 6 2 15" xfId="49573" xr:uid="{9AD50B25-0B54-427E-B8BF-46E7A2FA38C5}"/>
    <cellStyle name="Comma 6 2 16" xfId="49824" xr:uid="{909F81DC-8B60-4E6C-B713-3762616920D3}"/>
    <cellStyle name="Comma 6 2 17" xfId="52839" xr:uid="{5075C377-EF3A-4259-85DD-62D7EA251CB5}"/>
    <cellStyle name="Comma 6 2 18" xfId="8947" xr:uid="{682A5BD1-6000-405D-8AA1-90213AF4F32F}"/>
    <cellStyle name="Comma 6 2 2" xfId="8948" xr:uid="{4153133B-0400-47B8-AE5E-2471B4E27524}"/>
    <cellStyle name="Comma 6 2 2 10" xfId="11498" xr:uid="{CB62FE1A-6073-45AC-A0AA-C4C9E4A20DB8}"/>
    <cellStyle name="Comma 6 2 2 10 2" xfId="48531" xr:uid="{08BFBE83-98CC-47DB-B8EB-E00250859FA9}"/>
    <cellStyle name="Comma 6 2 2 10 3" xfId="50722" xr:uid="{CE4B551D-2693-47A6-A3CA-0EFD65D3762A}"/>
    <cellStyle name="Comma 6 2 2 10 4" xfId="53738" xr:uid="{D9461384-1056-441F-8245-F5846931E690}"/>
    <cellStyle name="Comma 6 2 2 11" xfId="23793" xr:uid="{1C884F41-6FDF-45E4-972D-D1FBBB0EA2A8}"/>
    <cellStyle name="Comma 6 2 2 12" xfId="48666" xr:uid="{32B43F81-A783-458F-9F2C-BBED9C209DEF}"/>
    <cellStyle name="Comma 6 2 2 13" xfId="49574" xr:uid="{902A4F2D-6874-4D66-ACA3-7608D463E1AC}"/>
    <cellStyle name="Comma 6 2 2 14" xfId="49825" xr:uid="{797E6DCC-5E57-4117-951D-590B245B5D92}"/>
    <cellStyle name="Comma 6 2 2 15" xfId="52840" xr:uid="{F6C275E9-5666-46A7-AEEF-200126345C88}"/>
    <cellStyle name="Comma 6 2 2 2" xfId="10035" xr:uid="{26540004-0194-48D1-82D5-F2EB4CF3E7DA}"/>
    <cellStyle name="Comma 6 2 2 2 2" xfId="10343" xr:uid="{D68F6E5F-5318-4497-9ADD-F372B43CF2B9}"/>
    <cellStyle name="Comma 6 2 2 2 2 2" xfId="14788" xr:uid="{15B7292D-4156-4BE3-9BD3-CC9C32E38EF1}"/>
    <cellStyle name="Comma 6 2 2 2 2 2 2" xfId="22335" xr:uid="{920B492F-7F7B-4021-AEAC-63AE9D0142E7}"/>
    <cellStyle name="Comma 6 2 2 2 2 2 3" xfId="47483" xr:uid="{3609A67B-466E-4332-B13A-74F6AF44D82B}"/>
    <cellStyle name="Comma 6 2 2 2 2 2 4" xfId="51673" xr:uid="{854CDF3D-6481-40A3-B9C8-8F88C233F8BC}"/>
    <cellStyle name="Comma 6 2 2 2 2 2 5" xfId="54689" xr:uid="{B7856A4C-F749-48C1-8CF3-671F2E19C5DE}"/>
    <cellStyle name="Comma 6 2 2 2 2 3" xfId="15273" xr:uid="{79FA8A2F-83BE-4FB4-9D05-604E6B5005EC}"/>
    <cellStyle name="Comma 6 2 2 2 2 3 2" xfId="22812" xr:uid="{87DC2FC1-8476-43A2-92F2-E1603AF5E0FC}"/>
    <cellStyle name="Comma 6 2 2 2 2 3 3" xfId="48072" xr:uid="{C93B29FA-E0B8-4C9D-85D8-477ADBAA90B5}"/>
    <cellStyle name="Comma 6 2 2 2 2 3 4" xfId="52150" xr:uid="{11DD4D54-09EB-4D70-9353-9CAB4420E5C6}"/>
    <cellStyle name="Comma 6 2 2 2 2 3 5" xfId="55166" xr:uid="{50484264-D3F6-4CD4-8EA4-68A052422322}"/>
    <cellStyle name="Comma 6 2 2 2 2 4" xfId="15760" xr:uid="{C2FEDAF2-E1E9-471A-A9E1-481A1A8E6E03}"/>
    <cellStyle name="Comma 6 2 2 2 2 4 2" xfId="23289" xr:uid="{C31FF788-2F79-4BB1-8872-7C23C5EA1711}"/>
    <cellStyle name="Comma 6 2 2 2 2 4 3" xfId="47672" xr:uid="{18155191-C062-4A9F-A506-C7CA9B1AA7D2}"/>
    <cellStyle name="Comma 6 2 2 2 2 4 4" xfId="52627" xr:uid="{ECB495FC-CAF0-404D-AB07-6A40DBC9027E}"/>
    <cellStyle name="Comma 6 2 2 2 2 4 5" xfId="55643" xr:uid="{876F8774-AFBE-444E-AB89-08E0FEC3ED78}"/>
    <cellStyle name="Comma 6 2 2 2 2 5" xfId="12796" xr:uid="{444615C5-0A83-4525-919F-5D25C4008ADD}"/>
    <cellStyle name="Comma 6 2 2 2 2 5 2" xfId="48495" xr:uid="{0C1B8E88-B4A7-41F4-9F8E-3AA8A1B69FC3}"/>
    <cellStyle name="Comma 6 2 2 2 2 5 3" xfId="51196" xr:uid="{F36C4CA1-73E0-403C-8DE1-EEED7A111D62}"/>
    <cellStyle name="Comma 6 2 2 2 2 5 4" xfId="54212" xr:uid="{FE4B0183-C00D-4AAA-B9A5-D71B4C9B2545}"/>
    <cellStyle name="Comma 6 2 2 2 2 6" xfId="46092" xr:uid="{4AC4E3D9-768C-491B-BCA3-FF5E3356E896}"/>
    <cellStyle name="Comma 6 2 2 2 2 7" xfId="50090" xr:uid="{0DE61224-5709-47D0-929A-29D7FD17BD4B}"/>
    <cellStyle name="Comma 6 2 2 2 2 8" xfId="53106" xr:uid="{C12430A7-6DB8-4E28-BF1E-34FD58EE2C4F}"/>
    <cellStyle name="Comma 6 2 2 2 3" xfId="14576" xr:uid="{80549A33-E7F7-4908-B567-B899EFA5BC7A}"/>
    <cellStyle name="Comma 6 2 2 2 3 2" xfId="22123" xr:uid="{8771D7AC-138E-4843-91EF-1D6ACF054B84}"/>
    <cellStyle name="Comma 6 2 2 2 3 3" xfId="46837" xr:uid="{DFDEBA08-5ABC-40A2-8D4A-84970B031E46}"/>
    <cellStyle name="Comma 6 2 2 2 3 4" xfId="51461" xr:uid="{E56E870F-B610-47F2-871D-A7BBD2CF192F}"/>
    <cellStyle name="Comma 6 2 2 2 3 5" xfId="54477" xr:uid="{2ACDD5CE-B66E-4C3F-96D3-3C7D79650910}"/>
    <cellStyle name="Comma 6 2 2 2 4" xfId="15060" xr:uid="{EF06B8FB-3EB9-42DF-834B-55E8CDDEB8F2}"/>
    <cellStyle name="Comma 6 2 2 2 4 2" xfId="22600" xr:uid="{AEDC0D66-B056-4260-80E9-F38643D18391}"/>
    <cellStyle name="Comma 6 2 2 2 4 3" xfId="47246" xr:uid="{6A5FC85D-B2AA-4F23-A2F7-B959882CA389}"/>
    <cellStyle name="Comma 6 2 2 2 4 4" xfId="51938" xr:uid="{2B93C7D0-A464-4AEC-ABEB-35931EEF3D10}"/>
    <cellStyle name="Comma 6 2 2 2 4 5" xfId="54954" xr:uid="{C7ED8A9F-7831-413C-AD7B-4AAECF182A7D}"/>
    <cellStyle name="Comma 6 2 2 2 5" xfId="15547" xr:uid="{56C4453B-570F-452C-8FE6-CD5C5562D5D6}"/>
    <cellStyle name="Comma 6 2 2 2 5 2" xfId="23077" xr:uid="{37851281-3A75-43DD-8AFF-089E4A1E9FC9}"/>
    <cellStyle name="Comma 6 2 2 2 5 3" xfId="47497" xr:uid="{A1A2A621-4579-4099-86C1-3B95938782C7}"/>
    <cellStyle name="Comma 6 2 2 2 5 4" xfId="52415" xr:uid="{AE2FF3EF-D89A-4DD5-AE81-8D631A238779}"/>
    <cellStyle name="Comma 6 2 2 2 5 5" xfId="55431" xr:uid="{97454570-2894-48BA-AA18-D636175106FA}"/>
    <cellStyle name="Comma 6 2 2 2 6" xfId="12495" xr:uid="{412C21B4-B50E-4E11-8E19-EABB69D94254}"/>
    <cellStyle name="Comma 6 2 2 2 6 2" xfId="46760" xr:uid="{AA47F975-36AA-4935-9865-6A2C9FFE489B}"/>
    <cellStyle name="Comma 6 2 2 2 6 3" xfId="50984" xr:uid="{F162CF50-3889-4745-B7DB-DEBF05DFB069}"/>
    <cellStyle name="Comma 6 2 2 2 6 4" xfId="54000" xr:uid="{7F7C302C-806B-40BA-BF0D-351E83ED51B6}"/>
    <cellStyle name="Comma 6 2 2 2 7" xfId="47274" xr:uid="{9FE69E4E-0C00-4624-8535-ED9DB306484F}"/>
    <cellStyle name="Comma 6 2 2 2 8" xfId="49878" xr:uid="{4391E8DE-46F8-465D-92E3-E6B33F94CDC5}"/>
    <cellStyle name="Comma 6 2 2 2 9" xfId="52894" xr:uid="{2A6BE79A-64BB-4968-B9F4-7D60C623EC9B}"/>
    <cellStyle name="Comma 6 2 2 3" xfId="10109" xr:uid="{066C76DE-87AB-428D-81D7-7EEED0F6C790}"/>
    <cellStyle name="Comma 6 2 2 3 2" xfId="10422" xr:uid="{EC7098A0-14B2-447B-B6D5-CC5B9CD253C7}"/>
    <cellStyle name="Comma 6 2 2 3 2 2" xfId="14841" xr:uid="{14F8F509-0990-460D-BEFE-07E8E6E8C138}"/>
    <cellStyle name="Comma 6 2 2 3 2 2 2" xfId="22388" xr:uid="{F4E6D632-99DC-48EC-8A78-BC4DAA61CA03}"/>
    <cellStyle name="Comma 6 2 2 3 2 2 3" xfId="46868" xr:uid="{0F094F67-6397-4EEA-AE62-4115CB678D0A}"/>
    <cellStyle name="Comma 6 2 2 3 2 2 4" xfId="51726" xr:uid="{95D2FD83-1E6C-405B-8DA8-D14BEC87355D}"/>
    <cellStyle name="Comma 6 2 2 3 2 2 5" xfId="54742" xr:uid="{EE719F12-13BC-4923-90EF-9C3A35A07093}"/>
    <cellStyle name="Comma 6 2 2 3 2 3" xfId="15326" xr:uid="{83B5264D-CD5D-4C03-B0AC-21ACE6DD2A82}"/>
    <cellStyle name="Comma 6 2 2 3 2 3 2" xfId="22865" xr:uid="{F429AC74-EC26-4EC3-880E-56F2DF2DB2E6}"/>
    <cellStyle name="Comma 6 2 2 3 2 3 3" xfId="47686" xr:uid="{F4583437-A145-42DE-9A2C-15B2B3897C87}"/>
    <cellStyle name="Comma 6 2 2 3 2 3 4" xfId="52203" xr:uid="{5AFEB69B-AB92-47A2-9122-73F773045137}"/>
    <cellStyle name="Comma 6 2 2 3 2 3 5" xfId="55219" xr:uid="{BA4400B4-9271-4B98-AECE-CDF2856B1AB3}"/>
    <cellStyle name="Comma 6 2 2 3 2 4" xfId="15813" xr:uid="{F9985FDB-D444-4D4C-9870-750F3F7215FC}"/>
    <cellStyle name="Comma 6 2 2 3 2 4 2" xfId="23342" xr:uid="{D1EDC624-C1A6-4A29-9B2B-85F4A8CA349D}"/>
    <cellStyle name="Comma 6 2 2 3 2 4 3" xfId="48425" xr:uid="{5F28055B-A1E2-44AC-A4DB-6B8522593511}"/>
    <cellStyle name="Comma 6 2 2 3 2 4 4" xfId="52680" xr:uid="{26A267BD-4161-465E-97A1-25387E1C68FE}"/>
    <cellStyle name="Comma 6 2 2 3 2 4 5" xfId="55696" xr:uid="{2DD8C94F-F917-4A06-99D0-759ECA1357FE}"/>
    <cellStyle name="Comma 6 2 2 3 2 5" xfId="12875" xr:uid="{A7C4E4C7-6B29-49A2-B546-05649C59BA9A}"/>
    <cellStyle name="Comma 6 2 2 3 2 5 2" xfId="47765" xr:uid="{0AEF66FD-8142-437F-9363-52D52A9DD6CA}"/>
    <cellStyle name="Comma 6 2 2 3 2 5 3" xfId="51249" xr:uid="{79EF0B6A-7433-45E0-9D0D-28EA7C6EA8A8}"/>
    <cellStyle name="Comma 6 2 2 3 2 5 4" xfId="54265" xr:uid="{F1088DC2-800F-4715-8DB6-4CF0B4C1C91D}"/>
    <cellStyle name="Comma 6 2 2 3 2 6" xfId="48458" xr:uid="{CACEA727-AA68-4959-914A-10F32B2647F7}"/>
    <cellStyle name="Comma 6 2 2 3 2 7" xfId="50143" xr:uid="{334D3C62-E878-496B-9279-35F38114412F}"/>
    <cellStyle name="Comma 6 2 2 3 2 8" xfId="53159" xr:uid="{C1447B1F-0223-4550-894A-5F5DFA7B2AF5}"/>
    <cellStyle name="Comma 6 2 2 3 3" xfId="14629" xr:uid="{3D1AC2D0-62DC-476C-9C22-25C3BF5AFAD5}"/>
    <cellStyle name="Comma 6 2 2 3 3 2" xfId="22176" xr:uid="{AA1D4F85-998F-4292-A617-F3D8C9258BC2}"/>
    <cellStyle name="Comma 6 2 2 3 3 3" xfId="46411" xr:uid="{A9C9F992-ADED-4AB8-80FC-5CD64F55CA5F}"/>
    <cellStyle name="Comma 6 2 2 3 3 4" xfId="51514" xr:uid="{2250E9CA-40BE-4321-8631-92989B10A761}"/>
    <cellStyle name="Comma 6 2 2 3 3 5" xfId="54530" xr:uid="{1BB98D8E-83DF-4780-93D7-8F95909C79A3}"/>
    <cellStyle name="Comma 6 2 2 3 4" xfId="15114" xr:uid="{A533F2F6-F89C-4B0E-878C-B4BE01FB7E95}"/>
    <cellStyle name="Comma 6 2 2 3 4 2" xfId="22653" xr:uid="{F718E6F9-2676-4DB3-A782-1B43185102A5}"/>
    <cellStyle name="Comma 6 2 2 3 4 3" xfId="24449" xr:uid="{2F89A5E4-2179-4F9C-AEBF-E571881C3AB5}"/>
    <cellStyle name="Comma 6 2 2 3 4 4" xfId="51991" xr:uid="{E8C81944-97CB-48B0-BE01-C34A7FF5F1E0}"/>
    <cellStyle name="Comma 6 2 2 3 4 5" xfId="55007" xr:uid="{7F719917-0167-4A6D-A9D6-A7FEEBA4949D}"/>
    <cellStyle name="Comma 6 2 2 3 5" xfId="15601" xr:uid="{8A048F2D-0D67-4F47-9D0C-5C6C9EAA19CC}"/>
    <cellStyle name="Comma 6 2 2 3 5 2" xfId="23130" xr:uid="{BF745B36-238C-4DB6-B785-BEEAAC62AE76}"/>
    <cellStyle name="Comma 6 2 2 3 5 3" xfId="46697" xr:uid="{84933863-4380-4670-ABBC-30E8F4CD81CE}"/>
    <cellStyle name="Comma 6 2 2 3 5 4" xfId="52468" xr:uid="{20BC0988-3793-4A79-9785-62CD897B22B3}"/>
    <cellStyle name="Comma 6 2 2 3 5 5" xfId="55484" xr:uid="{2D046427-E68F-46D7-8422-E25446FB3DC8}"/>
    <cellStyle name="Comma 6 2 2 3 6" xfId="12566" xr:uid="{7B6F4E15-3DC1-4468-B684-AEB1521CACD8}"/>
    <cellStyle name="Comma 6 2 2 3 6 2" xfId="47614" xr:uid="{EFE98CAF-DF44-44BD-B937-99B1A4603C0C}"/>
    <cellStyle name="Comma 6 2 2 3 6 3" xfId="51037" xr:uid="{CE27558B-D1A5-4086-8013-9B1A59CC62A1}"/>
    <cellStyle name="Comma 6 2 2 3 6 4" xfId="54053" xr:uid="{26221CA5-91CE-43A3-82F0-ABB4D0210746}"/>
    <cellStyle name="Comma 6 2 2 3 7" xfId="46050" xr:uid="{8F6A7536-72CC-479A-9649-0893287C7062}"/>
    <cellStyle name="Comma 6 2 2 3 8" xfId="49931" xr:uid="{0C10E487-80BC-4539-BE35-F4A7676D52C5}"/>
    <cellStyle name="Comma 6 2 2 3 9" xfId="52947" xr:uid="{90A59CC9-6E90-489A-AFE7-58686FAC1DD9}"/>
    <cellStyle name="Comma 6 2 2 4" xfId="10188" xr:uid="{094BB0DB-B659-4860-AC4C-18EAFE98A0B0}"/>
    <cellStyle name="Comma 6 2 2 4 2" xfId="10502" xr:uid="{758E5778-A228-4F68-AE2C-0D04284FBE10}"/>
    <cellStyle name="Comma 6 2 2 4 2 2" xfId="14894" xr:uid="{C796A771-D648-42B6-92A3-BA4C3B2AC3E2}"/>
    <cellStyle name="Comma 6 2 2 4 2 2 2" xfId="22441" xr:uid="{1F47EB6C-DF69-4672-BF8D-F20F372E3359}"/>
    <cellStyle name="Comma 6 2 2 4 2 2 3" xfId="32525" xr:uid="{CD82BE43-B9B1-4E75-81FB-C17A2BB0D1B0}"/>
    <cellStyle name="Comma 6 2 2 4 2 2 4" xfId="51779" xr:uid="{F095B887-49C7-4E90-AEF2-E43F727E461E}"/>
    <cellStyle name="Comma 6 2 2 4 2 2 5" xfId="54795" xr:uid="{38E454D6-7978-4307-AED9-FD60CD755C93}"/>
    <cellStyle name="Comma 6 2 2 4 2 3" xfId="15379" xr:uid="{8C4C8E08-F008-4871-BB75-7A8BDE7099C1}"/>
    <cellStyle name="Comma 6 2 2 4 2 3 2" xfId="22918" xr:uid="{AC0351F4-7734-4701-94D2-BC97C54AB7A8}"/>
    <cellStyle name="Comma 6 2 2 4 2 3 3" xfId="48221" xr:uid="{33CFBCBB-1AEF-49F4-A694-9D2F72A4C1C6}"/>
    <cellStyle name="Comma 6 2 2 4 2 3 4" xfId="52256" xr:uid="{69475893-B561-49E6-A100-380136345681}"/>
    <cellStyle name="Comma 6 2 2 4 2 3 5" xfId="55272" xr:uid="{D36EA8D8-E8A9-4715-806C-6D15DDCA28DF}"/>
    <cellStyle name="Comma 6 2 2 4 2 4" xfId="15866" xr:uid="{9EF60511-6235-4994-915A-49C2750C748D}"/>
    <cellStyle name="Comma 6 2 2 4 2 4 2" xfId="23395" xr:uid="{0B6FAF3A-0C1C-45F2-A207-5EDEA1E6B618}"/>
    <cellStyle name="Comma 6 2 2 4 2 4 3" xfId="23834" xr:uid="{FCDA61E3-93C9-4FB2-A5E9-56DBF57038A5}"/>
    <cellStyle name="Comma 6 2 2 4 2 4 4" xfId="52733" xr:uid="{5625F013-3F81-4BBC-B0AD-4A05B2E72BEA}"/>
    <cellStyle name="Comma 6 2 2 4 2 4 5" xfId="55749" xr:uid="{176F2F50-DBAE-425E-843E-333CE1876F72}"/>
    <cellStyle name="Comma 6 2 2 4 2 5" xfId="12955" xr:uid="{23209A6E-DB31-4142-926B-B3050F7C12DD}"/>
    <cellStyle name="Comma 6 2 2 4 2 5 2" xfId="46672" xr:uid="{95388FF1-AC1B-4BBE-9C92-D5E2731F30DD}"/>
    <cellStyle name="Comma 6 2 2 4 2 5 3" xfId="51302" xr:uid="{39920120-0DF0-4A9D-B2FA-E5B29166FE51}"/>
    <cellStyle name="Comma 6 2 2 4 2 5 4" xfId="54318" xr:uid="{6ACFD716-85BA-4DDF-91B1-C2628102FA7F}"/>
    <cellStyle name="Comma 6 2 2 4 2 6" xfId="47887" xr:uid="{DA3670EA-5556-45D4-A883-E2E7E5B4DD27}"/>
    <cellStyle name="Comma 6 2 2 4 2 7" xfId="50196" xr:uid="{7E15E0AA-79BA-48F1-BF52-8514FEF9AD97}"/>
    <cellStyle name="Comma 6 2 2 4 2 8" xfId="53212" xr:uid="{58C8B37F-ACA1-40F1-97B2-08622F1F6172}"/>
    <cellStyle name="Comma 6 2 2 4 3" xfId="14682" xr:uid="{7254D318-0377-41BE-BC50-6AC57B1ED52D}"/>
    <cellStyle name="Comma 6 2 2 4 3 2" xfId="22229" xr:uid="{6DC4496F-63B3-419C-A348-680E5C8F9793}"/>
    <cellStyle name="Comma 6 2 2 4 3 3" xfId="48349" xr:uid="{009B8330-33E5-449A-96CF-F2FA1E6B792E}"/>
    <cellStyle name="Comma 6 2 2 4 3 4" xfId="51567" xr:uid="{3D4E28F7-08D7-471B-87E1-53A48EDA1687}"/>
    <cellStyle name="Comma 6 2 2 4 3 5" xfId="54583" xr:uid="{FF85B62F-BAFB-4E89-9B28-BBC62AD9DF08}"/>
    <cellStyle name="Comma 6 2 2 4 4" xfId="15167" xr:uid="{7C3EF161-903E-4522-9B65-900F6E329520}"/>
    <cellStyle name="Comma 6 2 2 4 4 2" xfId="22706" xr:uid="{3F3F3B30-92ED-4CAA-AD4D-42DA8848FEBB}"/>
    <cellStyle name="Comma 6 2 2 4 4 3" xfId="48276" xr:uid="{66AD5701-D52B-4C2F-A719-3C8B57B7A53D}"/>
    <cellStyle name="Comma 6 2 2 4 4 4" xfId="52044" xr:uid="{2D26027C-050E-418D-87A3-29304BD83EAD}"/>
    <cellStyle name="Comma 6 2 2 4 4 5" xfId="55060" xr:uid="{FC47CE63-1BF4-4E64-8396-6767055256C5}"/>
    <cellStyle name="Comma 6 2 2 4 5" xfId="15654" xr:uid="{1438DF10-4347-4F57-9AAA-F82979DEB9F5}"/>
    <cellStyle name="Comma 6 2 2 4 5 2" xfId="23183" xr:uid="{AFDA3E29-3F85-4D3D-BEA2-1FAE39952451}"/>
    <cellStyle name="Comma 6 2 2 4 5 3" xfId="46565" xr:uid="{E868ECD8-1F56-417A-BC06-CB06C721BA0F}"/>
    <cellStyle name="Comma 6 2 2 4 5 4" xfId="52521" xr:uid="{23CC96D9-3F05-4F88-9DD3-3EE608B907F4}"/>
    <cellStyle name="Comma 6 2 2 4 5 5" xfId="55537" xr:uid="{C2122DD4-D889-4D32-AECD-3A3195545F6E}"/>
    <cellStyle name="Comma 6 2 2 4 6" xfId="12642" xr:uid="{B0DA8E79-45BB-4F08-80EF-A64F3C515135}"/>
    <cellStyle name="Comma 6 2 2 4 6 2" xfId="48559" xr:uid="{AE00A707-C619-4E2A-8CC2-31695DE28AA8}"/>
    <cellStyle name="Comma 6 2 2 4 6 3" xfId="51090" xr:uid="{6B42C2ED-E8AF-49CF-BF1F-4A0F259BAA27}"/>
    <cellStyle name="Comma 6 2 2 4 6 4" xfId="54106" xr:uid="{A52F1DE3-73C6-4301-967A-66938EDE2A7E}"/>
    <cellStyle name="Comma 6 2 2 4 7" xfId="46619" xr:uid="{B363C56B-75D5-45A0-9C0F-D7E90EACABD4}"/>
    <cellStyle name="Comma 6 2 2 4 8" xfId="49984" xr:uid="{DCAB4C93-CA38-4FCC-A79C-5AF34AACC478}"/>
    <cellStyle name="Comma 6 2 2 4 9" xfId="53000" xr:uid="{60FA5B0D-0182-4351-AA93-28413B4C17CD}"/>
    <cellStyle name="Comma 6 2 2 5" xfId="10268" xr:uid="{DE2E4EBF-830D-4163-BA35-AB6D3D8EF611}"/>
    <cellStyle name="Comma 6 2 2 5 2" xfId="14735" xr:uid="{99CF2CD3-CE50-4325-9E1C-FDB84CAF0027}"/>
    <cellStyle name="Comma 6 2 2 5 2 2" xfId="22282" xr:uid="{997C209C-AFCD-45EC-85CE-B95A75E74131}"/>
    <cellStyle name="Comma 6 2 2 5 2 3" xfId="47536" xr:uid="{B9B08B84-F8A9-4A3C-954F-4F730EC25BE1}"/>
    <cellStyle name="Comma 6 2 2 5 2 4" xfId="51620" xr:uid="{2542D3CE-5E4E-4111-A004-24F8E5D16988}"/>
    <cellStyle name="Comma 6 2 2 5 2 5" xfId="54636" xr:uid="{41A2F521-BCEB-4955-B24A-11C308074D1E}"/>
    <cellStyle name="Comma 6 2 2 5 3" xfId="15220" xr:uid="{0A7444B4-0681-4CE1-B65D-8B284E02AB80}"/>
    <cellStyle name="Comma 6 2 2 5 3 2" xfId="22759" xr:uid="{911B121B-2519-42B2-B94D-64C94636A298}"/>
    <cellStyle name="Comma 6 2 2 5 3 3" xfId="46497" xr:uid="{0F35E51D-6176-45B3-B743-088632A5C73F}"/>
    <cellStyle name="Comma 6 2 2 5 3 4" xfId="52097" xr:uid="{C7BCBA53-CF06-4491-A0B4-DC4021B5A1E2}"/>
    <cellStyle name="Comma 6 2 2 5 3 5" xfId="55113" xr:uid="{953297CD-4B03-4441-8A3B-34379698F5B0}"/>
    <cellStyle name="Comma 6 2 2 5 4" xfId="15707" xr:uid="{EBCFC1C7-42A5-4A2E-9FF4-E28BBE2A84FD}"/>
    <cellStyle name="Comma 6 2 2 5 4 2" xfId="23236" xr:uid="{25498AB1-D42E-4C29-A6E1-73C525281F34}"/>
    <cellStyle name="Comma 6 2 2 5 4 3" xfId="47255" xr:uid="{C2CA9EB3-B889-4B25-80B9-127F515D1D55}"/>
    <cellStyle name="Comma 6 2 2 5 4 4" xfId="52574" xr:uid="{8D39E03C-FEDF-4CF4-BAB8-8AEEBCD6BBDB}"/>
    <cellStyle name="Comma 6 2 2 5 4 5" xfId="55590" xr:uid="{AF3F3C51-FF0B-4AFD-9891-1A0F4D41753E}"/>
    <cellStyle name="Comma 6 2 2 5 5" xfId="12721" xr:uid="{22DE45D5-51CC-46F4-A147-42FEDD25EA11}"/>
    <cellStyle name="Comma 6 2 2 5 5 2" xfId="47267" xr:uid="{238DE556-EC98-41F6-AFB3-F11C1EAFE830}"/>
    <cellStyle name="Comma 6 2 2 5 5 3" xfId="51143" xr:uid="{428EC610-AA89-435A-8C88-0EECAF95C643}"/>
    <cellStyle name="Comma 6 2 2 5 5 4" xfId="54159" xr:uid="{24A6FE84-5046-40FE-AD99-D179D3AFA6DD}"/>
    <cellStyle name="Comma 6 2 2 5 6" xfId="46077" xr:uid="{98FC0238-E8AE-4F2E-9C6A-C1F1149F2989}"/>
    <cellStyle name="Comma 6 2 2 5 7" xfId="50037" xr:uid="{1E6A6D9A-6C5C-4FF1-9AC3-54E132C5D758}"/>
    <cellStyle name="Comma 6 2 2 5 8" xfId="53053" xr:uid="{EAD25454-6FE1-417F-893A-7F6E57EDFB73}"/>
    <cellStyle name="Comma 6 2 2 6" xfId="10582" xr:uid="{4501AD30-FC77-4B5E-8F53-54EB364BD348}"/>
    <cellStyle name="Comma 6 2 2 6 2" xfId="14947" xr:uid="{AC3EAD4E-4518-4E59-BF0C-555999B1AED0}"/>
    <cellStyle name="Comma 6 2 2 6 2 2" xfId="22494" xr:uid="{9FE63004-DC3A-408B-BAB2-F603A37B1346}"/>
    <cellStyle name="Comma 6 2 2 6 2 3" xfId="24927" xr:uid="{0002E01A-8A5A-476C-88F2-32A2A9EE6EB3}"/>
    <cellStyle name="Comma 6 2 2 6 2 4" xfId="51832" xr:uid="{0D802386-B443-4814-A312-7613D0BC51B2}"/>
    <cellStyle name="Comma 6 2 2 6 2 5" xfId="54848" xr:uid="{996BF237-0728-4217-815A-4C4B60D5BBF0}"/>
    <cellStyle name="Comma 6 2 2 6 3" xfId="15432" xr:uid="{758654EC-E35D-4711-8687-0F7F0FC829BA}"/>
    <cellStyle name="Comma 6 2 2 6 3 2" xfId="22971" xr:uid="{71A866EA-70F5-4A79-8F18-F41211A5A413}"/>
    <cellStyle name="Comma 6 2 2 6 3 3" xfId="47132" xr:uid="{3262890D-6EB6-48E1-932E-18CD888A2E5B}"/>
    <cellStyle name="Comma 6 2 2 6 3 4" xfId="52309" xr:uid="{20D6303F-314D-491C-957D-179716DD0DCE}"/>
    <cellStyle name="Comma 6 2 2 6 3 5" xfId="55325" xr:uid="{87159156-E4F6-49FC-9478-C44B27FA978D}"/>
    <cellStyle name="Comma 6 2 2 6 4" xfId="15920" xr:uid="{B0AA5848-35E4-4B3E-B23E-709DAF7FC375}"/>
    <cellStyle name="Comma 6 2 2 6 4 2" xfId="23448" xr:uid="{6938B668-193F-44BB-986C-82C3F16FAE2E}"/>
    <cellStyle name="Comma 6 2 2 6 4 3" xfId="24644" xr:uid="{14FC5179-79D7-410C-BD78-ABBF98CF803F}"/>
    <cellStyle name="Comma 6 2 2 6 4 4" xfId="52786" xr:uid="{45EF3C57-B405-4630-9E7D-789A96A42020}"/>
    <cellStyle name="Comma 6 2 2 6 4 5" xfId="55802" xr:uid="{B35C2CC7-57CE-47BB-A55E-A0029E7714C9}"/>
    <cellStyle name="Comma 6 2 2 6 5" xfId="13035" xr:uid="{D77DF31B-165A-4055-A84B-70F6B47C6D7E}"/>
    <cellStyle name="Comma 6 2 2 6 5 2" xfId="47026" xr:uid="{76765DF8-00E1-41A2-A928-58AA190B4B8C}"/>
    <cellStyle name="Comma 6 2 2 6 5 3" xfId="51355" xr:uid="{F3F0E648-D0B2-4DD6-93C0-C204A8A99AED}"/>
    <cellStyle name="Comma 6 2 2 6 5 4" xfId="54371" xr:uid="{716CCB7E-684A-464E-A9F5-D3EB85F701CD}"/>
    <cellStyle name="Comma 6 2 2 6 6" xfId="32472" xr:uid="{FD646080-69BB-47A6-B119-7F99FA643B47}"/>
    <cellStyle name="Comma 6 2 2 6 7" xfId="50249" xr:uid="{5F66E010-8176-48F5-85D8-A20F84B7AFEE}"/>
    <cellStyle name="Comma 6 2 2 6 8" xfId="53265" xr:uid="{4C7DD9DF-6C8A-4D8C-9A49-443278C9DEE5}"/>
    <cellStyle name="Comma 6 2 2 7" xfId="14523" xr:uid="{540A452E-40B4-4BF9-BC50-82189EA4D389}"/>
    <cellStyle name="Comma 6 2 2 7 2" xfId="22070" xr:uid="{AC15665B-638D-4A6B-BF41-2887ECB9E817}"/>
    <cellStyle name="Comma 6 2 2 7 3" xfId="47531" xr:uid="{B4AA1232-8C1F-479E-80D9-C99834F58802}"/>
    <cellStyle name="Comma 6 2 2 7 4" xfId="51408" xr:uid="{4FADF4B0-EB8C-4727-919E-5FD58C06B6F0}"/>
    <cellStyle name="Comma 6 2 2 7 5" xfId="54424" xr:uid="{80B5FCFB-0162-4572-ACA0-5800FD34B9BF}"/>
    <cellStyle name="Comma 6 2 2 8" xfId="15007" xr:uid="{EFA742C8-8D6F-4D7C-B44C-C488FE66EA91}"/>
    <cellStyle name="Comma 6 2 2 8 2" xfId="22547" xr:uid="{622F6D80-6796-4426-9D68-D00E6BFE2ECA}"/>
    <cellStyle name="Comma 6 2 2 8 3" xfId="46465" xr:uid="{E0C17D83-96CD-460A-B5B1-B9E157121045}"/>
    <cellStyle name="Comma 6 2 2 8 4" xfId="51885" xr:uid="{65CB4CF3-4630-4BFA-8E2F-7D253BEC4626}"/>
    <cellStyle name="Comma 6 2 2 8 5" xfId="54901" xr:uid="{36B38460-E02C-4FAC-8778-781E67366120}"/>
    <cellStyle name="Comma 6 2 2 9" xfId="15494" xr:uid="{4BD39FC7-67A7-4D7B-9B8F-D50153BA0CB8}"/>
    <cellStyle name="Comma 6 2 2 9 2" xfId="23024" xr:uid="{0AC82804-5251-4C5E-BCD5-18C3B2EF5504}"/>
    <cellStyle name="Comma 6 2 2 9 3" xfId="46540" xr:uid="{9E34EC9A-D2C1-4AF5-89FE-27F42E165421}"/>
    <cellStyle name="Comma 6 2 2 9 4" xfId="52362" xr:uid="{E2767B82-4976-4B7F-86E4-95D6071C8BDB}"/>
    <cellStyle name="Comma 6 2 2 9 5" xfId="55378" xr:uid="{D4170CB2-05AF-4794-A4BE-DEB624B4293E}"/>
    <cellStyle name="Comma 6 2 3" xfId="10034" xr:uid="{2EAD63AA-DE62-4E0C-94D9-A955AD9F9033}"/>
    <cellStyle name="Comma 6 2 3 10" xfId="49575" xr:uid="{6DB7507B-94D3-439D-A14C-EFF74E52400B}"/>
    <cellStyle name="Comma 6 2 3 11" xfId="49877" xr:uid="{7A069C7A-8AF1-4E47-9D27-F55DEE35CAD8}"/>
    <cellStyle name="Comma 6 2 3 12" xfId="52893" xr:uid="{04B02749-9870-4BD2-893D-5D96DB25AB2C}"/>
    <cellStyle name="Comma 6 2 3 2" xfId="10342" xr:uid="{869FEA02-29E4-427B-9435-E20AC4C4115F}"/>
    <cellStyle name="Comma 6 2 3 2 2" xfId="14787" xr:uid="{47EA1B99-2B8C-4EE6-AAE0-F390FDE1848F}"/>
    <cellStyle name="Comma 6 2 3 2 2 2" xfId="22334" xr:uid="{2106CC8A-6CA6-4104-A3BC-703A4D2DA1C1}"/>
    <cellStyle name="Comma 6 2 3 2 2 3" xfId="46864" xr:uid="{C062F17A-2427-4E6D-B481-9F3224B7994D}"/>
    <cellStyle name="Comma 6 2 3 2 2 4" xfId="51672" xr:uid="{AFD77B1D-4E07-422B-B6E3-8048C0C7E2E8}"/>
    <cellStyle name="Comma 6 2 3 2 2 5" xfId="54688" xr:uid="{DB0E5F3F-AA59-480C-8BF0-E63BB5D96DA5}"/>
    <cellStyle name="Comma 6 2 3 2 3" xfId="15272" xr:uid="{9A19800E-CF8C-43B4-A78E-AA64043D90C1}"/>
    <cellStyle name="Comma 6 2 3 2 3 2" xfId="22811" xr:uid="{53E1107B-28E7-4BB6-A473-EEA49D148917}"/>
    <cellStyle name="Comma 6 2 3 2 3 3" xfId="46900" xr:uid="{41BA8409-10E5-4AB7-B4C2-1446B5A7A9D9}"/>
    <cellStyle name="Comma 6 2 3 2 3 4" xfId="52149" xr:uid="{81671D8C-D046-4027-BF43-6BF28370778F}"/>
    <cellStyle name="Comma 6 2 3 2 3 5" xfId="55165" xr:uid="{831A8D9F-1509-469E-AB30-ECE3AA2BBC71}"/>
    <cellStyle name="Comma 6 2 3 2 4" xfId="15759" xr:uid="{B7C3CC5E-5B2C-446F-B914-74ACBB3374F0}"/>
    <cellStyle name="Comma 6 2 3 2 4 2" xfId="23288" xr:uid="{F8F94F0B-23F7-4DFA-964A-17F9A74B9B31}"/>
    <cellStyle name="Comma 6 2 3 2 4 3" xfId="24309" xr:uid="{10E8238A-B022-49EB-8D43-6E38A3860ADD}"/>
    <cellStyle name="Comma 6 2 3 2 4 4" xfId="52626" xr:uid="{4DB00429-04A4-46AA-B744-472212A15B9E}"/>
    <cellStyle name="Comma 6 2 3 2 4 5" xfId="55642" xr:uid="{EDC418B3-6EA2-47C1-9225-1B89800B94F0}"/>
    <cellStyle name="Comma 6 2 3 2 5" xfId="12795" xr:uid="{F3FF0371-B3E8-4126-AFF8-0DB5C5A791F4}"/>
    <cellStyle name="Comma 6 2 3 2 5 2" xfId="48052" xr:uid="{FC1805FF-A6A7-4A3D-A6AC-E7281620B25A}"/>
    <cellStyle name="Comma 6 2 3 2 5 3" xfId="51195" xr:uid="{65381E61-B4B9-4170-9776-A206133E8937}"/>
    <cellStyle name="Comma 6 2 3 2 5 4" xfId="54211" xr:uid="{447123A5-ED85-4AFC-A47C-FF7CC8D7E25F}"/>
    <cellStyle name="Comma 6 2 3 2 6" xfId="47284" xr:uid="{CBF41568-7173-4804-9DA5-49D2DBFE42DE}"/>
    <cellStyle name="Comma 6 2 3 2 7" xfId="50089" xr:uid="{7189BDFF-0B71-4248-9732-A2581782C881}"/>
    <cellStyle name="Comma 6 2 3 2 8" xfId="53105" xr:uid="{0F233287-D644-47A3-8E41-A2CAB1CF364A}"/>
    <cellStyle name="Comma 6 2 3 3" xfId="14575" xr:uid="{5BB8E2D1-C38D-4634-BD58-36592737FE27}"/>
    <cellStyle name="Comma 6 2 3 3 2" xfId="22122" xr:uid="{76777662-EC22-4AD6-A523-BCCE40A68AB0}"/>
    <cellStyle name="Comma 6 2 3 3 3" xfId="47236" xr:uid="{3C1826CB-D734-4926-AA5A-FBB4F9FE01DF}"/>
    <cellStyle name="Comma 6 2 3 3 4" xfId="51460" xr:uid="{D97338F4-32E7-4CAC-84A9-5D94F72EED92}"/>
    <cellStyle name="Comma 6 2 3 3 5" xfId="54476" xr:uid="{DE0AE3BF-CAEB-40F0-9DD3-E693B57ECDF6}"/>
    <cellStyle name="Comma 6 2 3 4" xfId="15059" xr:uid="{5CA202A8-4E09-438B-8E39-2630C1823DED}"/>
    <cellStyle name="Comma 6 2 3 4 2" xfId="22599" xr:uid="{31CCD920-D011-4122-9266-DFE421FA33C7}"/>
    <cellStyle name="Comma 6 2 3 4 3" xfId="24914" xr:uid="{7E772A1D-1085-46AC-A3AE-5D2ECD64A80E}"/>
    <cellStyle name="Comma 6 2 3 4 4" xfId="51937" xr:uid="{37E0B2EC-07EC-490F-9783-52BDD80654AC}"/>
    <cellStyle name="Comma 6 2 3 4 5" xfId="54953" xr:uid="{8E0756A6-793D-4D72-A058-B8C810BE025E}"/>
    <cellStyle name="Comma 6 2 3 5" xfId="15546" xr:uid="{802E1E2E-77A6-4A8D-93B2-4C7A1351CC06}"/>
    <cellStyle name="Comma 6 2 3 5 2" xfId="23076" xr:uid="{E140FB98-B445-49D3-8AC7-27DD287BB425}"/>
    <cellStyle name="Comma 6 2 3 5 3" xfId="46933" xr:uid="{DD41EB31-2877-4E12-91C9-AE8E3F7FC904}"/>
    <cellStyle name="Comma 6 2 3 5 4" xfId="52414" xr:uid="{CE2CB63A-B806-44A4-A53D-7990CA3DF819}"/>
    <cellStyle name="Comma 6 2 3 5 5" xfId="55430" xr:uid="{2F0E2574-3DCD-48B6-BBBB-F0EA09B5DAFA}"/>
    <cellStyle name="Comma 6 2 3 6" xfId="12494" xr:uid="{5F6DC586-DAB1-474E-AF09-E96D95282713}"/>
    <cellStyle name="Comma 6 2 3 6 2" xfId="47226" xr:uid="{8DE9A816-01C1-469B-A306-B55D69E6E8FC}"/>
    <cellStyle name="Comma 6 2 3 6 3" xfId="50983" xr:uid="{91F5C2C5-2A41-47C1-B728-5E3DF0A0303A}"/>
    <cellStyle name="Comma 6 2 3 6 4" xfId="53999" xr:uid="{B0380C9B-30E8-4999-B794-441116EE3B9D}"/>
    <cellStyle name="Comma 6 2 3 7" xfId="23794" xr:uid="{33A1308E-10EA-4F2C-80DA-A4B21DC3B56C}"/>
    <cellStyle name="Comma 6 2 3 8" xfId="46033" xr:uid="{F7BDEF38-6AB9-4A1E-B694-3E2EA32D4B4D}"/>
    <cellStyle name="Comma 6 2 3 9" xfId="48667" xr:uid="{20EA3C27-F3C5-433F-927C-7B553FA01008}"/>
    <cellStyle name="Comma 6 2 4" xfId="10108" xr:uid="{7A36C5B6-BD26-4BA8-9EC8-632AF6D26AD0}"/>
    <cellStyle name="Comma 6 2 4 10" xfId="49930" xr:uid="{44339727-69AD-48F6-9027-79C6151763A0}"/>
    <cellStyle name="Comma 6 2 4 11" xfId="52946" xr:uid="{FC1E60F9-4E7F-4555-928D-9DA072CD2926}"/>
    <cellStyle name="Comma 6 2 4 2" xfId="10421" xr:uid="{8E946AB5-551B-41B4-8B41-D8C96488D667}"/>
    <cellStyle name="Comma 6 2 4 2 2" xfId="14840" xr:uid="{F4C3C92F-D3D9-4041-B78E-1112922D04C4}"/>
    <cellStyle name="Comma 6 2 4 2 2 2" xfId="22387" xr:uid="{850F0D8D-88B0-408D-A60D-2ABF86DE17FE}"/>
    <cellStyle name="Comma 6 2 4 2 2 3" xfId="24455" xr:uid="{7DE6B360-80CC-44D3-AC9E-3AB60DFBE92E}"/>
    <cellStyle name="Comma 6 2 4 2 2 4" xfId="51725" xr:uid="{F31623F7-B3F3-4C2F-9A71-18C0A97149A9}"/>
    <cellStyle name="Comma 6 2 4 2 2 5" xfId="54741" xr:uid="{8A308FAE-7776-41EB-9C35-A3B2FDB19EF0}"/>
    <cellStyle name="Comma 6 2 4 2 3" xfId="15325" xr:uid="{F08391A6-484B-49C8-BBBC-8F2F9023546E}"/>
    <cellStyle name="Comma 6 2 4 2 3 2" xfId="22864" xr:uid="{44C8033D-486F-49EA-AB4F-B59C22A67ADC}"/>
    <cellStyle name="Comma 6 2 4 2 3 3" xfId="34475" xr:uid="{17036A6F-6D41-447C-A103-6D7DC1F7789A}"/>
    <cellStyle name="Comma 6 2 4 2 3 4" xfId="52202" xr:uid="{D4C45BB5-C526-4BD8-9158-E04E8E24D27D}"/>
    <cellStyle name="Comma 6 2 4 2 3 5" xfId="55218" xr:uid="{B0A3F910-68E4-477D-8867-6F1E6F03D1A4}"/>
    <cellStyle name="Comma 6 2 4 2 4" xfId="15812" xr:uid="{E7FEF4AE-7E2D-404C-ACA4-6B6973CF6DFC}"/>
    <cellStyle name="Comma 6 2 4 2 4 2" xfId="23341" xr:uid="{5C8C18DB-3EC8-4510-BDA9-5B00EEBF0C46}"/>
    <cellStyle name="Comma 6 2 4 2 4 3" xfId="47138" xr:uid="{78D27CE2-60B4-4098-8871-379220E880DD}"/>
    <cellStyle name="Comma 6 2 4 2 4 4" xfId="52679" xr:uid="{559D5671-66C4-41ED-AA66-FB14D6BC7CB0}"/>
    <cellStyle name="Comma 6 2 4 2 4 5" xfId="55695" xr:uid="{15166E53-8DEF-47B2-8518-7A1D60A99E3A}"/>
    <cellStyle name="Comma 6 2 4 2 5" xfId="12874" xr:uid="{F4FD209A-96DE-487A-98B0-E1FD29C909E4}"/>
    <cellStyle name="Comma 6 2 4 2 5 2" xfId="46803" xr:uid="{C7C448D1-937A-49BF-8583-EBCF27AFDF55}"/>
    <cellStyle name="Comma 6 2 4 2 5 3" xfId="51248" xr:uid="{534EFC4E-64A3-4C82-ABDB-550CAA3512B3}"/>
    <cellStyle name="Comma 6 2 4 2 5 4" xfId="54264" xr:uid="{D03AF6A3-D105-4350-8A51-26233CCCD2D4}"/>
    <cellStyle name="Comma 6 2 4 2 6" xfId="46119" xr:uid="{6A38FAB9-1F96-4581-A47F-F78045FB4920}"/>
    <cellStyle name="Comma 6 2 4 2 7" xfId="50142" xr:uid="{D0B2F815-8C08-4B8C-8962-C4E63C8D73B3}"/>
    <cellStyle name="Comma 6 2 4 2 8" xfId="53158" xr:uid="{108E5D77-C490-4620-A5A7-C5889C35A863}"/>
    <cellStyle name="Comma 6 2 4 3" xfId="14628" xr:uid="{131B2F84-8326-4C86-BD04-69E0D1A20826}"/>
    <cellStyle name="Comma 6 2 4 3 2" xfId="22175" xr:uid="{30E50982-B8D1-4B15-A515-5BFF6B327789}"/>
    <cellStyle name="Comma 6 2 4 3 3" xfId="47926" xr:uid="{55BCA85A-E36D-46D4-9837-6DBF459913AB}"/>
    <cellStyle name="Comma 6 2 4 3 4" xfId="51513" xr:uid="{0E4C3583-F146-49C2-874E-69212A01E95F}"/>
    <cellStyle name="Comma 6 2 4 3 5" xfId="54529" xr:uid="{D05B9B11-0604-44D3-9365-483056728710}"/>
    <cellStyle name="Comma 6 2 4 4" xfId="15113" xr:uid="{5D38D2E5-0AE2-49AF-81F7-7352A5B2D670}"/>
    <cellStyle name="Comma 6 2 4 4 2" xfId="22652" xr:uid="{64B5A7D4-F06A-49B8-9000-41D80B743A91}"/>
    <cellStyle name="Comma 6 2 4 4 3" xfId="48016" xr:uid="{331BBBCF-1DF2-42FC-8A8F-6E1FBC262941}"/>
    <cellStyle name="Comma 6 2 4 4 4" xfId="51990" xr:uid="{E6116562-1A0C-43E4-9F3A-8AB7D86DDF35}"/>
    <cellStyle name="Comma 6 2 4 4 5" xfId="55006" xr:uid="{210EC92C-F98C-4468-A6E4-54D0C3511ADE}"/>
    <cellStyle name="Comma 6 2 4 5" xfId="15600" xr:uid="{A6C83F58-6DB0-46B5-A547-33BCC6ACE30D}"/>
    <cellStyle name="Comma 6 2 4 5 2" xfId="23129" xr:uid="{9F32FCB8-9840-4640-9DAE-36BF964365FC}"/>
    <cellStyle name="Comma 6 2 4 5 3" xfId="24527" xr:uid="{B22C00ED-F4F6-455C-BE73-BC4F720DED46}"/>
    <cellStyle name="Comma 6 2 4 5 4" xfId="52467" xr:uid="{70716B38-C99D-4E10-9C34-C5AE9F6F2E86}"/>
    <cellStyle name="Comma 6 2 4 5 5" xfId="55483" xr:uid="{D772393C-B6B1-43CF-89D5-2763753BB150}"/>
    <cellStyle name="Comma 6 2 4 6" xfId="12565" xr:uid="{C459E7D5-FDC9-427B-927E-A9150F697A2B}"/>
    <cellStyle name="Comma 6 2 4 6 2" xfId="32367" xr:uid="{6ACA542D-06AB-4E7B-B983-B127602820A2}"/>
    <cellStyle name="Comma 6 2 4 6 3" xfId="51036" xr:uid="{B809D9D8-41F0-400D-8FC7-43F654820FC9}"/>
    <cellStyle name="Comma 6 2 4 6 4" xfId="54052" xr:uid="{D6F573B0-ED6F-46A7-BF1E-D7656EB75F30}"/>
    <cellStyle name="Comma 6 2 4 7" xfId="23795" xr:uid="{2D542BB0-8199-4A45-8D0D-420C682C7F98}"/>
    <cellStyle name="Comma 6 2 4 8" xfId="48668" xr:uid="{8A0071EA-59D0-4B75-B885-32B9C0A4E14E}"/>
    <cellStyle name="Comma 6 2 4 9" xfId="49576" xr:uid="{59576940-83E9-47D9-89E7-5D45CBB1EAB3}"/>
    <cellStyle name="Comma 6 2 5" xfId="10187" xr:uid="{D9230281-CAEB-464A-8A15-9127CFFA6EA1}"/>
    <cellStyle name="Comma 6 2 5 2" xfId="10501" xr:uid="{5CC684D0-8919-4F28-B345-1559E6AAD0CC}"/>
    <cellStyle name="Comma 6 2 5 2 2" xfId="14893" xr:uid="{2CFBBA57-C3FE-49F3-9F2A-6B93D1A51A8D}"/>
    <cellStyle name="Comma 6 2 5 2 2 2" xfId="22440" xr:uid="{78E93A60-546D-42AE-A333-627289249B25}"/>
    <cellStyle name="Comma 6 2 5 2 2 3" xfId="32327" xr:uid="{3ABD710E-5A41-4B31-82C1-A2B3F18C7479}"/>
    <cellStyle name="Comma 6 2 5 2 2 4" xfId="51778" xr:uid="{4EBB9DA4-2066-409B-98D6-EDDB1C54F3E2}"/>
    <cellStyle name="Comma 6 2 5 2 2 5" xfId="54794" xr:uid="{84E29753-DA07-4ADC-AD3E-E9FF79B2F995}"/>
    <cellStyle name="Comma 6 2 5 2 3" xfId="15378" xr:uid="{C5375E44-B46A-4A26-B46B-073B930ED1AA}"/>
    <cellStyle name="Comma 6 2 5 2 3 2" xfId="22917" xr:uid="{D2876C40-590C-4C88-A1E5-918D7DEB31B1}"/>
    <cellStyle name="Comma 6 2 5 2 3 3" xfId="33646" xr:uid="{179956E7-BC69-4E07-AF39-68BC837B80FD}"/>
    <cellStyle name="Comma 6 2 5 2 3 4" xfId="52255" xr:uid="{48A3996E-2FE3-4009-8139-59B7C1C4F144}"/>
    <cellStyle name="Comma 6 2 5 2 3 5" xfId="55271" xr:uid="{C96C7EA8-5EC3-4FF7-BDD9-EAEAA73A4676}"/>
    <cellStyle name="Comma 6 2 5 2 4" xfId="15865" xr:uid="{A4AF7097-CD00-4C59-9FD4-E3B7E7D48E59}"/>
    <cellStyle name="Comma 6 2 5 2 4 2" xfId="23394" xr:uid="{B82AA14E-F6A0-4A24-A016-D8CC6E470AE0}"/>
    <cellStyle name="Comma 6 2 5 2 4 3" xfId="36058" xr:uid="{97E36FEA-8A10-4938-B7A8-9A9DAE64B7AE}"/>
    <cellStyle name="Comma 6 2 5 2 4 4" xfId="52732" xr:uid="{0938B288-87B4-4BDB-B7B0-618A26B5D449}"/>
    <cellStyle name="Comma 6 2 5 2 4 5" xfId="55748" xr:uid="{60A3329F-C815-4E29-804D-70E97E49CC45}"/>
    <cellStyle name="Comma 6 2 5 2 5" xfId="12954" xr:uid="{79405FF8-F4D6-4A26-984F-37E5E6F1C871}"/>
    <cellStyle name="Comma 6 2 5 2 5 2" xfId="48094" xr:uid="{319854FB-9473-4F23-95D2-6DD1073ECA44}"/>
    <cellStyle name="Comma 6 2 5 2 5 3" xfId="51301" xr:uid="{C155EACF-C609-4836-BE62-2DA5BCCE632B}"/>
    <cellStyle name="Comma 6 2 5 2 5 4" xfId="54317" xr:uid="{03E457C0-6F27-48E6-B47D-A8A28D0FF225}"/>
    <cellStyle name="Comma 6 2 5 2 6" xfId="46139" xr:uid="{26E3F85F-A1D9-4A48-B139-0A99C7B6288B}"/>
    <cellStyle name="Comma 6 2 5 2 7" xfId="50195" xr:uid="{4B64815F-906C-45F6-9811-F9E81E7282F7}"/>
    <cellStyle name="Comma 6 2 5 2 8" xfId="53211" xr:uid="{C33ABDE9-E399-40B7-9885-AD254772CC44}"/>
    <cellStyle name="Comma 6 2 5 3" xfId="14681" xr:uid="{873AB36B-383F-46A1-B42F-93DA39040B76}"/>
    <cellStyle name="Comma 6 2 5 3 2" xfId="22228" xr:uid="{153AC2EB-1106-498C-99FE-02BF7AB9DAAF}"/>
    <cellStyle name="Comma 6 2 5 3 3" xfId="46847" xr:uid="{10B7B41A-5873-4ABB-9C7F-46C884BA727D}"/>
    <cellStyle name="Comma 6 2 5 3 4" xfId="51566" xr:uid="{FFAA0DD7-9654-4AA3-8132-D45E49C3616B}"/>
    <cellStyle name="Comma 6 2 5 3 5" xfId="54582" xr:uid="{45F58C1E-2112-4BB7-9002-C48FADDAA0F8}"/>
    <cellStyle name="Comma 6 2 5 4" xfId="15166" xr:uid="{78397968-5412-4D58-ADC9-2105C92F3A92}"/>
    <cellStyle name="Comma 6 2 5 4 2" xfId="22705" xr:uid="{268DF42B-0A77-40A5-9C33-C65A0F0DCD6D}"/>
    <cellStyle name="Comma 6 2 5 4 3" xfId="47434" xr:uid="{2BF843F9-AC6D-4945-BEC7-5C20F6E81338}"/>
    <cellStyle name="Comma 6 2 5 4 4" xfId="52043" xr:uid="{9B0AC3ED-EE59-41ED-9620-A2525EA97F11}"/>
    <cellStyle name="Comma 6 2 5 4 5" xfId="55059" xr:uid="{CA80A2E3-97BC-4DB8-8A1D-E912FB7F12C5}"/>
    <cellStyle name="Comma 6 2 5 5" xfId="15653" xr:uid="{C7FDA95F-C79A-4FC0-9F43-CAD9348C3977}"/>
    <cellStyle name="Comma 6 2 5 5 2" xfId="23182" xr:uid="{49A616BC-8977-4C0A-A0C9-9316A98C0FB9}"/>
    <cellStyle name="Comma 6 2 5 5 3" xfId="32281" xr:uid="{B9BFB1B8-7DEB-46DA-93FD-DD93BF8C72D9}"/>
    <cellStyle name="Comma 6 2 5 5 4" xfId="52520" xr:uid="{8D615DAE-2A32-495C-B6AE-AF4106D84ADE}"/>
    <cellStyle name="Comma 6 2 5 5 5" xfId="55536" xr:uid="{914DBC66-B882-4632-A6D1-515FB1C6A9BA}"/>
    <cellStyle name="Comma 6 2 5 6" xfId="12641" xr:uid="{58D8CC43-F993-4EFA-B8D5-A291960D96A0}"/>
    <cellStyle name="Comma 6 2 5 6 2" xfId="47017" xr:uid="{2BB9BDC8-BC59-4DE8-9F07-B70305899E74}"/>
    <cellStyle name="Comma 6 2 5 6 3" xfId="51089" xr:uid="{2D860C49-510D-4522-B178-A4BAF9C2A7CF}"/>
    <cellStyle name="Comma 6 2 5 6 4" xfId="54105" xr:uid="{298D7DDA-CE13-4BCF-9A46-B9F647417238}"/>
    <cellStyle name="Comma 6 2 5 7" xfId="47206" xr:uid="{5BA93C24-86D8-48E0-A4EC-B0F0398B12D1}"/>
    <cellStyle name="Comma 6 2 5 8" xfId="49983" xr:uid="{0FA1FD36-CC6C-4922-9E5D-6376482F555A}"/>
    <cellStyle name="Comma 6 2 5 9" xfId="52999" xr:uid="{32B82065-9656-4289-8E65-765D8067BC3E}"/>
    <cellStyle name="Comma 6 2 6" xfId="10267" xr:uid="{9226981C-2D9C-4AE7-B206-D292380A1BC3}"/>
    <cellStyle name="Comma 6 2 6 2" xfId="14734" xr:uid="{34C6A82C-08CB-4995-96EF-F11D3E670119}"/>
    <cellStyle name="Comma 6 2 6 2 2" xfId="22281" xr:uid="{CD02F664-A5B3-4B75-A66E-A77FCD0D43E1}"/>
    <cellStyle name="Comma 6 2 6 2 3" xfId="24957" xr:uid="{C4A95601-4BA2-40A5-98AD-59C808A0ABFE}"/>
    <cellStyle name="Comma 6 2 6 2 4" xfId="51619" xr:uid="{8BD137FF-C3AE-446C-B74D-869A26F6F8D2}"/>
    <cellStyle name="Comma 6 2 6 2 5" xfId="54635" xr:uid="{535AD1BC-F810-4380-B1AE-CC1C231ACCB2}"/>
    <cellStyle name="Comma 6 2 6 3" xfId="15219" xr:uid="{6BBC6D75-CBF4-48EB-91CC-CA1A166FB157}"/>
    <cellStyle name="Comma 6 2 6 3 2" xfId="22758" xr:uid="{322314B4-AB32-44BF-AA84-255FAD76B64B}"/>
    <cellStyle name="Comma 6 2 6 3 3" xfId="47341" xr:uid="{9D47FB9C-7FE1-46E9-9B75-67988DAF3658}"/>
    <cellStyle name="Comma 6 2 6 3 4" xfId="52096" xr:uid="{CD5B62B1-2309-41FA-8CAF-C16BDB5BF364}"/>
    <cellStyle name="Comma 6 2 6 3 5" xfId="55112" xr:uid="{B6A470A0-8F9E-478C-ADB3-9F0222DEC592}"/>
    <cellStyle name="Comma 6 2 6 4" xfId="15706" xr:uid="{D10A0A70-E94E-40D3-B942-D8682ACD6F5C}"/>
    <cellStyle name="Comma 6 2 6 4 2" xfId="23235" xr:uid="{B7AC338E-A913-4709-AA65-2CC3884D468B}"/>
    <cellStyle name="Comma 6 2 6 4 3" xfId="33994" xr:uid="{46061889-BEFD-4587-BFB8-17E6A31D4BA6}"/>
    <cellStyle name="Comma 6 2 6 4 4" xfId="52573" xr:uid="{886FFCF2-BB63-4B72-91B6-422E4E5E745E}"/>
    <cellStyle name="Comma 6 2 6 4 5" xfId="55589" xr:uid="{3ADC2164-F4D0-4931-90A6-C661BD2654D6}"/>
    <cellStyle name="Comma 6 2 6 5" xfId="12720" xr:uid="{591A2DE2-4A75-4807-88DB-38656CAE308C}"/>
    <cellStyle name="Comma 6 2 6 5 2" xfId="47146" xr:uid="{D4BB77EC-2331-4203-AD41-43EC9375BAAD}"/>
    <cellStyle name="Comma 6 2 6 5 3" xfId="51142" xr:uid="{471305C9-3FAA-41CA-88AD-756BB99E946F}"/>
    <cellStyle name="Comma 6 2 6 5 4" xfId="54158" xr:uid="{C99A16FA-347C-4ACC-9F95-E28FE4C234F3}"/>
    <cellStyle name="Comma 6 2 6 6" xfId="48284" xr:uid="{97D7EA04-B6E6-4D29-911F-49D00C4D0838}"/>
    <cellStyle name="Comma 6 2 6 7" xfId="50036" xr:uid="{8D2FE0E3-95F7-4B76-8487-A29880F5B0C2}"/>
    <cellStyle name="Comma 6 2 6 8" xfId="53052" xr:uid="{7564C89B-834B-4B9A-841E-B5DC39A64EC9}"/>
    <cellStyle name="Comma 6 2 7" xfId="10581" xr:uid="{D140E726-87F1-4ECF-B97D-90C91856B1BF}"/>
    <cellStyle name="Comma 6 2 7 2" xfId="14946" xr:uid="{BFC811A7-78A0-49EB-9828-7DB2562FF415}"/>
    <cellStyle name="Comma 6 2 7 2 2" xfId="22493" xr:uid="{A2ECCB89-8B8B-421C-9069-21D6C0ED707A}"/>
    <cellStyle name="Comma 6 2 7 2 3" xfId="46458" xr:uid="{0CC9E493-2B3B-4445-B235-E71DC2DA6D0C}"/>
    <cellStyle name="Comma 6 2 7 2 4" xfId="51831" xr:uid="{234CB331-3344-43F6-A7AC-F20494B7DC9C}"/>
    <cellStyle name="Comma 6 2 7 2 5" xfId="54847" xr:uid="{B5BBAFCB-9CBC-49FD-A972-408C7E9320B1}"/>
    <cellStyle name="Comma 6 2 7 3" xfId="15431" xr:uid="{80A3C374-8329-473F-B13A-3E5AC3162B57}"/>
    <cellStyle name="Comma 6 2 7 3 2" xfId="22970" xr:uid="{42E6CCB2-3ED4-45FF-89AE-E1DE5D3EAD0B}"/>
    <cellStyle name="Comma 6 2 7 3 3" xfId="48247" xr:uid="{B8CD665C-219E-4363-986F-EDC8623F8EA4}"/>
    <cellStyle name="Comma 6 2 7 3 4" xfId="52308" xr:uid="{78E0CE9B-C8F8-49AD-8B9B-A92A235F5442}"/>
    <cellStyle name="Comma 6 2 7 3 5" xfId="55324" xr:uid="{F6CA8832-1ACA-4376-B5E1-79CD7A0EBDA1}"/>
    <cellStyle name="Comma 6 2 7 4" xfId="15919" xr:uid="{F7017CD9-4095-4A08-A914-67E3BBA709DC}"/>
    <cellStyle name="Comma 6 2 7 4 2" xfId="23447" xr:uid="{F71E757A-16E3-4B4B-9C42-31136F2A5B1A}"/>
    <cellStyle name="Comma 6 2 7 4 3" xfId="32499" xr:uid="{2B5A39B2-B426-4CB9-AF0E-CCAAF7159B6A}"/>
    <cellStyle name="Comma 6 2 7 4 4" xfId="52785" xr:uid="{FA497C8D-8967-4E91-A451-240E9907C070}"/>
    <cellStyle name="Comma 6 2 7 4 5" xfId="55801" xr:uid="{71EE9E76-D5E3-4DBF-9C8E-EB811BEFD68A}"/>
    <cellStyle name="Comma 6 2 7 5" xfId="13034" xr:uid="{79D2630E-C616-4741-901C-A3C773ADA7D9}"/>
    <cellStyle name="Comma 6 2 7 5 2" xfId="47104" xr:uid="{19BE0F5A-7D36-4303-BA1D-90E57795F00B}"/>
    <cellStyle name="Comma 6 2 7 5 3" xfId="51354" xr:uid="{07A41075-1D5B-43B1-801A-6B9E17E1D526}"/>
    <cellStyle name="Comma 6 2 7 5 4" xfId="54370" xr:uid="{4CE612FC-BD19-4027-8B1A-CA93C04FE3B8}"/>
    <cellStyle name="Comma 6 2 7 6" xfId="24258" xr:uid="{2F648397-3B69-4168-8028-614F04E4B810}"/>
    <cellStyle name="Comma 6 2 7 7" xfId="50248" xr:uid="{C93E296B-1E3E-4299-9DEF-370126944A23}"/>
    <cellStyle name="Comma 6 2 7 8" xfId="53264" xr:uid="{4579390B-3389-44CF-AEAD-E4AB56E5F0C1}"/>
    <cellStyle name="Comma 6 2 8" xfId="11172" xr:uid="{B5846EC0-3128-407D-B8F4-4C6ED442B0FA}"/>
    <cellStyle name="Comma 6 2 9" xfId="14522" xr:uid="{B4CC3282-1ADB-408D-A0E3-B75D9D792894}"/>
    <cellStyle name="Comma 6 2 9 2" xfId="22069" xr:uid="{B98D8669-B16C-4060-B2A1-7DF99862ED1F}"/>
    <cellStyle name="Comma 6 2 9 3" xfId="37017" xr:uid="{C4D58834-21C6-481F-8A8F-79FC6E63412E}"/>
    <cellStyle name="Comma 6 2 9 4" xfId="51407" xr:uid="{173EEE99-08F2-4682-8F66-E0297F3E84C3}"/>
    <cellStyle name="Comma 6 2 9 5" xfId="54423" xr:uid="{6DB2FA37-2D8A-4474-A5B2-5A96FA73DDCE}"/>
    <cellStyle name="Comma 6 3" xfId="5827" xr:uid="{22EDCFFB-AE1F-4CBB-8ABD-74FAF2F53C5B}"/>
    <cellStyle name="Comma 6 3 10" xfId="15495" xr:uid="{7F1E04E6-4674-486F-99B7-12E430A8D8E0}"/>
    <cellStyle name="Comma 6 3 10 2" xfId="23025" xr:uid="{37ED2557-2934-4267-8FFF-84B8DE3E6774}"/>
    <cellStyle name="Comma 6 3 10 3" xfId="47384" xr:uid="{77D8021D-6A16-4D5F-ABC6-EB0AFC8C9637}"/>
    <cellStyle name="Comma 6 3 10 4" xfId="52363" xr:uid="{0F00D431-5E85-4283-8C1B-BB5888553CA8}"/>
    <cellStyle name="Comma 6 3 10 5" xfId="55379" xr:uid="{9ABB77E1-EAB4-49C9-B298-2C7182B202AB}"/>
    <cellStyle name="Comma 6 3 11" xfId="11702" xr:uid="{7B173847-51BF-40B4-A3D0-D35A9A45B411}"/>
    <cellStyle name="Comma 6 3 11 2" xfId="46283" xr:uid="{023D71B5-6C7A-4629-A8AF-81DFCA1DE966}"/>
    <cellStyle name="Comma 6 3 11 3" xfId="50749" xr:uid="{E9464976-17DA-4D86-8B22-B00E4606A0E5}"/>
    <cellStyle name="Comma 6 3 11 4" xfId="53765" xr:uid="{2973CB90-BD29-485E-9039-139990BAC7E5}"/>
    <cellStyle name="Comma 6 3 12" xfId="23796" xr:uid="{AFCBF18E-0F16-4409-9985-18344B9A0880}"/>
    <cellStyle name="Comma 6 3 13" xfId="48669" xr:uid="{727D447D-F09B-4913-878E-8B1CC43AB2AC}"/>
    <cellStyle name="Comma 6 3 14" xfId="49577" xr:uid="{D83F4716-4617-4CC0-8AF4-CD7702A67EA4}"/>
    <cellStyle name="Comma 6 3 15" xfId="49826" xr:uid="{ED79B4DB-99C3-42B0-9BE7-5C9556045A9F}"/>
    <cellStyle name="Comma 6 3 16" xfId="52841" xr:uid="{A4D43DCC-E66A-47DA-B85A-7EA5E3303330}"/>
    <cellStyle name="Comma 6 3 17" xfId="8949" xr:uid="{C54FF863-76AF-4812-B95E-F5879419A24E}"/>
    <cellStyle name="Comma 6 3 2" xfId="10036" xr:uid="{8EF3D2B8-30E0-4362-909E-8A5AF0576CB5}"/>
    <cellStyle name="Comma 6 3 2 2" xfId="10344" xr:uid="{5CBD6FBA-241A-4AE4-8CCF-D3C79A3CA61D}"/>
    <cellStyle name="Comma 6 3 2 2 2" xfId="14789" xr:uid="{5F6FD1FC-AD57-4A41-88F4-F59744F63FF2}"/>
    <cellStyle name="Comma 6 3 2 2 2 2" xfId="22336" xr:uid="{E24A10E6-2D7C-49CA-A7F2-92BAB65DEE36}"/>
    <cellStyle name="Comma 6 3 2 2 2 3" xfId="47931" xr:uid="{A8FF389F-2B50-49CD-8AD0-E8E4978CA679}"/>
    <cellStyle name="Comma 6 3 2 2 2 4" xfId="51674" xr:uid="{064CD963-C642-43EB-8948-65282B18BE5D}"/>
    <cellStyle name="Comma 6 3 2 2 2 5" xfId="54690" xr:uid="{FFA0FDD5-D2A6-4C35-9376-CEE5FEB7683B}"/>
    <cellStyle name="Comma 6 3 2 2 3" xfId="15274" xr:uid="{4A439BCE-E56C-4D20-9940-10199B7DB205}"/>
    <cellStyle name="Comma 6 3 2 2 3 2" xfId="22813" xr:uid="{603CF4FE-98EC-447E-B0E5-8F6656702993}"/>
    <cellStyle name="Comma 6 3 2 2 3 3" xfId="47637" xr:uid="{ED6D9D9F-749B-49EB-92C3-99531DF6482B}"/>
    <cellStyle name="Comma 6 3 2 2 3 4" xfId="52151" xr:uid="{7A5B4E6D-D7AC-4671-934A-5F1B97AD5183}"/>
    <cellStyle name="Comma 6 3 2 2 3 5" xfId="55167" xr:uid="{D75D561A-1313-4922-BA65-F284CFC8D9D8}"/>
    <cellStyle name="Comma 6 3 2 2 4" xfId="15761" xr:uid="{8EC2BE60-23D0-416C-9AAD-3E1ED6D541CE}"/>
    <cellStyle name="Comma 6 3 2 2 4 2" xfId="23290" xr:uid="{D2F83990-05E8-4AB8-ABC9-5389497256B3}"/>
    <cellStyle name="Comma 6 3 2 2 4 3" xfId="48249" xr:uid="{27C5D6C2-81F9-4BF8-8B4F-25183AC05CDA}"/>
    <cellStyle name="Comma 6 3 2 2 4 4" xfId="52628" xr:uid="{B634CA94-9560-417F-97B4-945D119EDA9C}"/>
    <cellStyle name="Comma 6 3 2 2 4 5" xfId="55644" xr:uid="{9CBB3F96-3982-4FA9-9F64-76D2A42A23EF}"/>
    <cellStyle name="Comma 6 3 2 2 5" xfId="12797" xr:uid="{57DDFE2B-4661-4F9D-A6DF-DE6FCC5B3160}"/>
    <cellStyle name="Comma 6 3 2 2 5 2" xfId="46354" xr:uid="{6D340C55-F6B5-4685-836B-29E997B3C496}"/>
    <cellStyle name="Comma 6 3 2 2 5 3" xfId="51197" xr:uid="{B9E45685-F33C-41C8-9C44-A3DC88287021}"/>
    <cellStyle name="Comma 6 3 2 2 5 4" xfId="54213" xr:uid="{1F6B4AC0-CAE7-42F6-8204-26C5FE73A57D}"/>
    <cellStyle name="Comma 6 3 2 2 6" xfId="47878" xr:uid="{6CF7F27E-9B1E-45F8-8EB8-AF75E555E3C4}"/>
    <cellStyle name="Comma 6 3 2 2 7" xfId="50091" xr:uid="{235D971E-5048-4D7D-8E45-7C8EA5221136}"/>
    <cellStyle name="Comma 6 3 2 2 8" xfId="53107" xr:uid="{04EE3858-3E33-4FEB-9789-E88521A5779B}"/>
    <cellStyle name="Comma 6 3 2 3" xfId="14577" xr:uid="{9CC8F345-8B0E-4263-A2DD-DE05C1716CCC}"/>
    <cellStyle name="Comma 6 3 2 3 2" xfId="22124" xr:uid="{FD5710F5-D2AB-4377-8044-5B206BA0F930}"/>
    <cellStyle name="Comma 6 3 2 3 3" xfId="36590" xr:uid="{B71C5C11-F308-42AD-B928-A36BB829D3E0}"/>
    <cellStyle name="Comma 6 3 2 3 4" xfId="51462" xr:uid="{038C1618-A5AB-4B9F-A843-45442AD2F5D9}"/>
    <cellStyle name="Comma 6 3 2 3 5" xfId="54478" xr:uid="{84D7CA6C-0BE5-46C3-8902-62537BBA3E45}"/>
    <cellStyle name="Comma 6 3 2 4" xfId="15061" xr:uid="{62D7A3BA-A008-4DD4-A864-5C992A54CD9B}"/>
    <cellStyle name="Comma 6 3 2 4 2" xfId="22601" xr:uid="{95110663-28C1-423F-8101-8621BD80BC29}"/>
    <cellStyle name="Comma 6 3 2 4 3" xfId="46879" xr:uid="{21233434-B09D-4908-AC80-34434EC7297B}"/>
    <cellStyle name="Comma 6 3 2 4 4" xfId="51939" xr:uid="{5337E7E0-9594-4002-B0FC-929A0E00EE47}"/>
    <cellStyle name="Comma 6 3 2 4 5" xfId="54955" xr:uid="{94888262-D965-4A6A-9BFB-2FA318431E42}"/>
    <cellStyle name="Comma 6 3 2 5" xfId="15548" xr:uid="{AE13899B-641F-4A0B-A20E-90C817B22733}"/>
    <cellStyle name="Comma 6 3 2 5 2" xfId="23078" xr:uid="{7729BEF0-B8DC-4666-973C-0088F9CD725D}"/>
    <cellStyle name="Comma 6 3 2 5 3" xfId="48517" xr:uid="{EA47D9B6-7E12-4282-B40A-46E9BDF5B140}"/>
    <cellStyle name="Comma 6 3 2 5 4" xfId="52416" xr:uid="{5002D267-399F-4DCE-B59F-6E7EE75B49BF}"/>
    <cellStyle name="Comma 6 3 2 5 5" xfId="55432" xr:uid="{321145E1-3C50-42B5-8D1D-B2F7364CA44C}"/>
    <cellStyle name="Comma 6 3 2 6" xfId="12496" xr:uid="{59FC0F13-E919-47CA-BC3A-609B8D107A56}"/>
    <cellStyle name="Comma 6 3 2 6 2" xfId="48334" xr:uid="{7AA077A4-7AA6-47D1-A9F8-C26C9E8C902E}"/>
    <cellStyle name="Comma 6 3 2 6 3" xfId="50985" xr:uid="{B4FD141B-A665-48FA-947C-12AC5A721FD4}"/>
    <cellStyle name="Comma 6 3 2 6 4" xfId="54001" xr:uid="{A7DD7570-DC97-4158-ABF6-345914D6EBB4}"/>
    <cellStyle name="Comma 6 3 2 7" xfId="46611" xr:uid="{B92F4B13-C3F0-47F4-9BE0-CEC1A85AFAEB}"/>
    <cellStyle name="Comma 6 3 2 8" xfId="49879" xr:uid="{7C95586D-A9BB-42DA-93F5-5BC71C395CB1}"/>
    <cellStyle name="Comma 6 3 2 9" xfId="52895" xr:uid="{74215A83-4CC1-473E-B7F9-59655B1E0B07}"/>
    <cellStyle name="Comma 6 3 3" xfId="10110" xr:uid="{EAA5D285-678C-442D-BC56-30328AB2C835}"/>
    <cellStyle name="Comma 6 3 3 2" xfId="10423" xr:uid="{9567F27D-4A0B-4FFC-AC34-7DF44C72F6B9}"/>
    <cellStyle name="Comma 6 3 3 2 2" xfId="14842" xr:uid="{69B4A8C4-6B18-4C14-9033-F70701B0D3A2}"/>
    <cellStyle name="Comma 6 3 3 2 2 2" xfId="22389" xr:uid="{71F762E1-1C4B-4684-9117-D4E1E02CB401}"/>
    <cellStyle name="Comma 6 3 3 2 2 3" xfId="47776" xr:uid="{0E39588A-62BF-49BC-8F6A-7B1732BB6D8D}"/>
    <cellStyle name="Comma 6 3 3 2 2 4" xfId="51727" xr:uid="{046AC602-29C0-4A25-A939-0384F458ACBF}"/>
    <cellStyle name="Comma 6 3 3 2 2 5" xfId="54743" xr:uid="{34DD6625-F2D4-4A31-BD9F-BADB5EC9E1EC}"/>
    <cellStyle name="Comma 6 3 3 2 3" xfId="15327" xr:uid="{DBE6B652-6FED-45B8-A8E3-574054B4E5D7}"/>
    <cellStyle name="Comma 6 3 3 2 3 2" xfId="22866" xr:uid="{5FD96E19-50F9-489C-908F-64A7EB478EAE}"/>
    <cellStyle name="Comma 6 3 3 2 3 3" xfId="32544" xr:uid="{3E1BCD8B-0265-420E-ACCF-4F671925ED43}"/>
    <cellStyle name="Comma 6 3 3 2 3 4" xfId="52204" xr:uid="{A925C59F-1D4D-4984-BAB1-B129A12EDDF2}"/>
    <cellStyle name="Comma 6 3 3 2 3 5" xfId="55220" xr:uid="{491898EA-12A6-4DDE-8010-3979C44D96FB}"/>
    <cellStyle name="Comma 6 3 3 2 4" xfId="15814" xr:uid="{FDA83136-3522-4166-BF20-8275C62F6F5A}"/>
    <cellStyle name="Comma 6 3 3 2 4 2" xfId="23343" xr:uid="{4B2C7512-48BB-4533-9CC7-8CAD60687AE5}"/>
    <cellStyle name="Comma 6 3 3 2 4 3" xfId="46969" xr:uid="{4C092636-2D5F-4AD9-9D1B-BB9D2075C59B}"/>
    <cellStyle name="Comma 6 3 3 2 4 4" xfId="52681" xr:uid="{E3367182-05E9-4F09-AE76-71E7B2BE44CE}"/>
    <cellStyle name="Comma 6 3 3 2 4 5" xfId="55697" xr:uid="{2A9ADA7B-23E0-40C2-B4AC-8B14BBBBDD3A}"/>
    <cellStyle name="Comma 6 3 3 2 5" xfId="12876" xr:uid="{6FD34222-7C80-4EAA-A45C-7D92712E97FC}"/>
    <cellStyle name="Comma 6 3 3 2 5 2" xfId="47325" xr:uid="{578DFF46-B9C8-479E-9F30-9C04D3F45300}"/>
    <cellStyle name="Comma 6 3 3 2 5 3" xfId="51250" xr:uid="{FA8416FE-6F23-4AAF-90FC-AD39E0C8F9F4}"/>
    <cellStyle name="Comma 6 3 3 2 5 4" xfId="54266" xr:uid="{252BE5CB-89AC-4C36-ACE2-6636091137EC}"/>
    <cellStyle name="Comma 6 3 3 2 6" xfId="46120" xr:uid="{6917EE62-4856-4328-8643-DB6865F291D8}"/>
    <cellStyle name="Comma 6 3 3 2 7" xfId="50144" xr:uid="{D62E6F2F-F368-4EC5-ABAB-AB93A9EF0B56}"/>
    <cellStyle name="Comma 6 3 3 2 8" xfId="53160" xr:uid="{E5952964-77B1-4A5E-80F1-5AF70381C79D}"/>
    <cellStyle name="Comma 6 3 3 3" xfId="14630" xr:uid="{7BF40F0E-3C85-4464-AA66-38C3995C187C}"/>
    <cellStyle name="Comma 6 3 3 3 2" xfId="22177" xr:uid="{10B0FFC2-D154-46A2-8543-E95630C16675}"/>
    <cellStyle name="Comma 6 3 3 3 3" xfId="32411" xr:uid="{776D61E1-33A7-4DF1-8930-586E97D51419}"/>
    <cellStyle name="Comma 6 3 3 3 4" xfId="51515" xr:uid="{6E4B745E-40B9-4812-A7BE-C57C2E97DBE9}"/>
    <cellStyle name="Comma 6 3 3 3 5" xfId="54531" xr:uid="{AC633AC8-91E8-4737-A61A-805A5B636D1E}"/>
    <cellStyle name="Comma 6 3 3 4" xfId="15115" xr:uid="{D5CA8DBC-5B26-48F7-9AD0-4BB4D09E37B1}"/>
    <cellStyle name="Comma 6 3 3 4 2" xfId="22654" xr:uid="{F1AB9054-FD31-41F2-86BC-CF58A231542D}"/>
    <cellStyle name="Comma 6 3 3 4 3" xfId="46882" xr:uid="{DC96C5AE-7CD3-41F9-B24F-BD64185CDC02}"/>
    <cellStyle name="Comma 6 3 3 4 4" xfId="51992" xr:uid="{7AD94D98-0477-48B6-AA76-1B7AA09DCF27}"/>
    <cellStyle name="Comma 6 3 3 4 5" xfId="55008" xr:uid="{54F8D069-1FD5-4182-B275-3B9B0C159282}"/>
    <cellStyle name="Comma 6 3 3 5" xfId="15602" xr:uid="{7E199B5C-DAEB-4182-B095-26E1BF93DA5E}"/>
    <cellStyle name="Comma 6 3 3 5 2" xfId="23131" xr:uid="{C51AC97C-10AC-4294-8BB0-DC768B4A946C}"/>
    <cellStyle name="Comma 6 3 3 5 3" xfId="47746" xr:uid="{8320A4B2-EB95-4B7B-9814-C5306CDE9916}"/>
    <cellStyle name="Comma 6 3 3 5 4" xfId="52469" xr:uid="{CF6E0D35-34A0-43BD-A692-8C2CD56DBD6C}"/>
    <cellStyle name="Comma 6 3 3 5 5" xfId="55485" xr:uid="{EE28A2AC-E48B-464C-BDB2-DF3338F3C80F}"/>
    <cellStyle name="Comma 6 3 3 6" xfId="12567" xr:uid="{A2E8F284-B42D-4B12-B2D1-7DF0DE271685}"/>
    <cellStyle name="Comma 6 3 3 6 2" xfId="46325" xr:uid="{C6A0F0E6-16BB-43D5-BCA0-D30227C5BC8B}"/>
    <cellStyle name="Comma 6 3 3 6 3" xfId="51038" xr:uid="{00663AE1-FBBE-4239-A5EA-A140C4E14DAC}"/>
    <cellStyle name="Comma 6 3 3 6 4" xfId="54054" xr:uid="{732A7B7E-34AF-4C82-A279-3EF1E9991078}"/>
    <cellStyle name="Comma 6 3 3 7" xfId="48152" xr:uid="{A1A947F8-D0BB-4155-BDA1-5231F6392FE7}"/>
    <cellStyle name="Comma 6 3 3 8" xfId="49932" xr:uid="{6D75B862-4A2C-4DB1-8BD7-8B185684321E}"/>
    <cellStyle name="Comma 6 3 3 9" xfId="52948" xr:uid="{777C2CCE-4FD5-4BB1-9A00-47DAE5CFCB36}"/>
    <cellStyle name="Comma 6 3 4" xfId="10189" xr:uid="{127FF367-8CCE-4811-B95D-82E4A22E1525}"/>
    <cellStyle name="Comma 6 3 4 2" xfId="10503" xr:uid="{1F9502F6-F902-42D6-B9C7-965B384F207C}"/>
    <cellStyle name="Comma 6 3 4 2 2" xfId="14895" xr:uid="{DAC33C18-6711-495C-8A04-B1A815539961}"/>
    <cellStyle name="Comma 6 3 4 2 2 2" xfId="22442" xr:uid="{68665052-0D3D-459B-8BA1-BA3CFD2ACE9E}"/>
    <cellStyle name="Comma 6 3 4 2 2 3" xfId="47777" xr:uid="{CAFD85BE-EBAE-42E2-83B2-FABEFC1A9EFA}"/>
    <cellStyle name="Comma 6 3 4 2 2 4" xfId="51780" xr:uid="{D54C715A-7343-4216-B8DB-66D6510F0975}"/>
    <cellStyle name="Comma 6 3 4 2 2 5" xfId="54796" xr:uid="{996D70B4-3115-44D2-9ACD-CE13645F121A}"/>
    <cellStyle name="Comma 6 3 4 2 3" xfId="15380" xr:uid="{96885F1D-E090-430B-8D32-CCE37016120E}"/>
    <cellStyle name="Comma 6 3 4 2 3 2" xfId="22919" xr:uid="{4E3257E0-10CD-4655-A08F-12E3E0E7BFE6}"/>
    <cellStyle name="Comma 6 3 4 2 3 3" xfId="46523" xr:uid="{7554A1B7-8CBE-4248-ABC9-F162442BC501}"/>
    <cellStyle name="Comma 6 3 4 2 3 4" xfId="52257" xr:uid="{85384EA7-D98D-4410-BE58-41728011C424}"/>
    <cellStyle name="Comma 6 3 4 2 3 5" xfId="55273" xr:uid="{34157C31-A7B2-4DBE-B61A-EE77EA594C70}"/>
    <cellStyle name="Comma 6 3 4 2 4" xfId="15867" xr:uid="{99C7B072-17A5-4040-A09D-F61937911EFF}"/>
    <cellStyle name="Comma 6 3 4 2 4 2" xfId="23396" xr:uid="{F1E1B26C-E53D-4160-81E4-2BE989CA6250}"/>
    <cellStyle name="Comma 6 3 4 2 4 3" xfId="46599" xr:uid="{11FA9925-D85A-445D-9120-F83C240675A4}"/>
    <cellStyle name="Comma 6 3 4 2 4 4" xfId="52734" xr:uid="{6D4FA593-2263-49F2-8C4D-AFF821F20325}"/>
    <cellStyle name="Comma 6 3 4 2 4 5" xfId="55750" xr:uid="{A415D22E-4B98-4629-BECC-B154B7B8C2DA}"/>
    <cellStyle name="Comma 6 3 4 2 5" xfId="12956" xr:uid="{79072A40-8E60-462F-A316-192C0D9E4DF6}"/>
    <cellStyle name="Comma 6 3 4 2 5 2" xfId="36708" xr:uid="{FEB3ACB4-F3E2-42A7-A806-352336EB745B}"/>
    <cellStyle name="Comma 6 3 4 2 5 3" xfId="51303" xr:uid="{38D40AF4-671B-4884-8539-38E3250984A0}"/>
    <cellStyle name="Comma 6 3 4 2 5 4" xfId="54319" xr:uid="{99FB8C47-79F4-430B-A255-4F951821C299}"/>
    <cellStyle name="Comma 6 3 4 2 6" xfId="48462" xr:uid="{8E6875E5-5EA9-4D4E-A7C3-8B6453209857}"/>
    <cellStyle name="Comma 6 3 4 2 7" xfId="50197" xr:uid="{2DB865F2-4C4A-44DB-BFF8-C14B1B32AD0A}"/>
    <cellStyle name="Comma 6 3 4 2 8" xfId="53213" xr:uid="{FBECD067-C503-4AE6-ABAF-B2803168E618}"/>
    <cellStyle name="Comma 6 3 4 3" xfId="14683" xr:uid="{92FBE27D-75E2-4BF9-BC29-C5B0D5E254BB}"/>
    <cellStyle name="Comma 6 3 4 3 2" xfId="22230" xr:uid="{4760BC6A-3287-41C1-9E2C-564442985DDF}"/>
    <cellStyle name="Comma 6 3 4 3 3" xfId="47927" xr:uid="{29B01361-9741-44B7-9370-D95AAE6A81B6}"/>
    <cellStyle name="Comma 6 3 4 3 4" xfId="51568" xr:uid="{79AD5063-1E75-41D7-A186-0EB45940DE0C}"/>
    <cellStyle name="Comma 6 3 4 3 5" xfId="54584" xr:uid="{E5AC0BB7-28F2-4105-8145-70EC12D29501}"/>
    <cellStyle name="Comma 6 3 4 4" xfId="15168" xr:uid="{B1426FBA-04A2-4A3B-BFEA-F5E5238595E4}"/>
    <cellStyle name="Comma 6 3 4 4 2" xfId="22707" xr:uid="{F6DF7629-0435-452A-B9E7-A988C7FA4380}"/>
    <cellStyle name="Comma 6 3 4 4 3" xfId="46888" xr:uid="{502907A5-8043-4710-AE47-B658888BEF1E}"/>
    <cellStyle name="Comma 6 3 4 4 4" xfId="52045" xr:uid="{B341B57C-FE45-42ED-A4C4-2E6EF2FEF472}"/>
    <cellStyle name="Comma 6 3 4 4 5" xfId="55061" xr:uid="{8BC40E9E-244C-40BF-BC04-5BCF005FCFC9}"/>
    <cellStyle name="Comma 6 3 4 5" xfId="15655" xr:uid="{404942CD-770E-4CFC-B65A-17D8109B4E0C}"/>
    <cellStyle name="Comma 6 3 4 5 2" xfId="23184" xr:uid="{20AADB35-B2EF-4D7C-9117-9EEA65304B78}"/>
    <cellStyle name="Comma 6 3 4 5 3" xfId="36943" xr:uid="{BCE72A93-4B8C-4288-BD7C-500CF817A422}"/>
    <cellStyle name="Comma 6 3 4 5 4" xfId="52522" xr:uid="{A3578DA9-1655-4F07-B3A4-345FE7647FDB}"/>
    <cellStyle name="Comma 6 3 4 5 5" xfId="55538" xr:uid="{6787D588-119C-4CBB-BBB4-53079173D74A}"/>
    <cellStyle name="Comma 6 3 4 6" xfId="12643" xr:uid="{0CC5B8D1-F896-497D-9F20-6AAF559F8F2A}"/>
    <cellStyle name="Comma 6 3 4 6 2" xfId="46779" xr:uid="{36717015-BF7D-4846-8AA3-F44E8AC9D1FE}"/>
    <cellStyle name="Comma 6 3 4 6 3" xfId="51091" xr:uid="{DB7E2000-5170-4348-B5DD-2F85A39C6B86}"/>
    <cellStyle name="Comma 6 3 4 6 4" xfId="54107" xr:uid="{33FA5B89-A7C9-488D-8E0A-D092F9F527A8}"/>
    <cellStyle name="Comma 6 3 4 7" xfId="47676" xr:uid="{BA68C64A-D9CA-4CCA-96F0-2443BE1686D5}"/>
    <cellStyle name="Comma 6 3 4 8" xfId="49985" xr:uid="{81C77EDE-C385-4D2C-B1CD-911E128B4FC4}"/>
    <cellStyle name="Comma 6 3 4 9" xfId="53001" xr:uid="{6D2B7A67-9F38-4975-9AA9-A7BC41E1184F}"/>
    <cellStyle name="Comma 6 3 5" xfId="10269" xr:uid="{B0F7DC79-F524-43AA-A544-D786F7364E30}"/>
    <cellStyle name="Comma 6 3 5 2" xfId="14736" xr:uid="{4C10287F-135C-4F0E-AA07-23CA9845A2E7}"/>
    <cellStyle name="Comma 6 3 5 2 2" xfId="22283" xr:uid="{85A0C741-CF7F-4017-BD41-83A119A3E236}"/>
    <cellStyle name="Comma 6 3 5 2 3" xfId="46856" xr:uid="{6F5686AB-08F7-448C-B791-B5F497F06D96}"/>
    <cellStyle name="Comma 6 3 5 2 4" xfId="51621" xr:uid="{18A157F4-F56C-4310-88D0-42ECC0FA94AB}"/>
    <cellStyle name="Comma 6 3 5 2 5" xfId="54637" xr:uid="{7197F1CF-C005-47A9-82A9-27D62BCFEEFD}"/>
    <cellStyle name="Comma 6 3 5 3" xfId="15221" xr:uid="{EF29370B-6AB3-46CF-ABB6-8331FD7738F9}"/>
    <cellStyle name="Comma 6 3 5 3 2" xfId="22760" xr:uid="{1A8286A2-1EC3-473C-85BF-22760100E250}"/>
    <cellStyle name="Comma 6 3 5 3 3" xfId="48542" xr:uid="{608A341F-CF66-4D07-8E4E-64D0D274D206}"/>
    <cellStyle name="Comma 6 3 5 3 4" xfId="52098" xr:uid="{49DFA0AB-41B8-46A8-95A5-B019246D2968}"/>
    <cellStyle name="Comma 6 3 5 3 5" xfId="55114" xr:uid="{10DA570E-EC79-4691-8894-090700D2F7FA}"/>
    <cellStyle name="Comma 6 3 5 4" xfId="15708" xr:uid="{856CE060-3683-41A2-B160-E15277194502}"/>
    <cellStyle name="Comma 6 3 5 4 2" xfId="23237" xr:uid="{1B8659DB-2727-4A07-8B2C-4F9EE502C6EA}"/>
    <cellStyle name="Comma 6 3 5 4 3" xfId="46955" xr:uid="{880201C7-A937-446E-915F-EC6819A63EDD}"/>
    <cellStyle name="Comma 6 3 5 4 4" xfId="52575" xr:uid="{D98598C1-4930-4619-AD68-E2CEFA0FC88A}"/>
    <cellStyle name="Comma 6 3 5 4 5" xfId="55591" xr:uid="{C53F1CAE-DDD6-4499-B8B5-CA2A0717B8E7}"/>
    <cellStyle name="Comma 6 3 5 5" xfId="12722" xr:uid="{D27746FB-94AD-49A3-8846-970C6AA9E5CE}"/>
    <cellStyle name="Comma 6 3 5 5 2" xfId="48240" xr:uid="{52B52CEF-0A34-4D64-9F91-F9B70AADF65C}"/>
    <cellStyle name="Comma 6 3 5 5 3" xfId="51144" xr:uid="{79024F86-0EB2-4353-B04B-AB6C185E1B75}"/>
    <cellStyle name="Comma 6 3 5 5 4" xfId="54160" xr:uid="{E1184591-43D3-4DF1-B3E5-8760357284FD}"/>
    <cellStyle name="Comma 6 3 5 6" xfId="47282" xr:uid="{780A1532-3503-4741-B2F5-3F691720FD2E}"/>
    <cellStyle name="Comma 6 3 5 7" xfId="50038" xr:uid="{0AA85395-6917-46F9-AB82-A3CE66AE4B98}"/>
    <cellStyle name="Comma 6 3 5 8" xfId="53054" xr:uid="{7DE67FC9-F001-4B81-9BA2-41241FD82C60}"/>
    <cellStyle name="Comma 6 3 6" xfId="10583" xr:uid="{954C2AA9-2ECD-4C1B-B0B5-DD85D671A710}"/>
    <cellStyle name="Comma 6 3 6 2" xfId="14948" xr:uid="{B73D6C76-6F37-410D-A947-ED8847403899}"/>
    <cellStyle name="Comma 6 3 6 2 2" xfId="22495" xr:uid="{47437564-0EC0-4716-9693-41C8B14509D8}"/>
    <cellStyle name="Comma 6 3 6 2 3" xfId="24454" xr:uid="{4B5A39FB-17E0-487C-9D54-1C0EE108029E}"/>
    <cellStyle name="Comma 6 3 6 2 4" xfId="51833" xr:uid="{305FD375-36B6-4776-A50E-D1256A2EC8B6}"/>
    <cellStyle name="Comma 6 3 6 2 5" xfId="54849" xr:uid="{C4AE743B-C658-403C-9E33-73A9F05A25F8}"/>
    <cellStyle name="Comma 6 3 6 3" xfId="15433" xr:uid="{9120C151-44B8-4006-87F4-51427A494655}"/>
    <cellStyle name="Comma 6 3 6 3 2" xfId="22972" xr:uid="{52AE7161-CA52-4C65-BD08-DEE142E57B18}"/>
    <cellStyle name="Comma 6 3 6 3 3" xfId="48565" xr:uid="{F17E37C6-D6A6-4263-A884-7B1D4E1BCD4C}"/>
    <cellStyle name="Comma 6 3 6 3 4" xfId="52310" xr:uid="{02808B91-94EB-4E32-9BD3-FDE55B1D8340}"/>
    <cellStyle name="Comma 6 3 6 3 5" xfId="55326" xr:uid="{1CA68D01-1246-4B91-A7F2-1B506F3EA67E}"/>
    <cellStyle name="Comma 6 3 6 4" xfId="15921" xr:uid="{13DC207C-5170-4480-B067-6FB24D667663}"/>
    <cellStyle name="Comma 6 3 6 4 2" xfId="23449" xr:uid="{F7E60C4E-E392-42F9-B6EE-F5F1ACB0699A}"/>
    <cellStyle name="Comma 6 3 6 4 3" xfId="48582" xr:uid="{930940B7-65AC-422C-80B9-FA585DA425CA}"/>
    <cellStyle name="Comma 6 3 6 4 4" xfId="52787" xr:uid="{3D36E41E-7407-4FFE-A1AE-FA1059B34670}"/>
    <cellStyle name="Comma 6 3 6 4 5" xfId="55803" xr:uid="{8B3FDEB4-9F91-46C9-B571-6866F25DD55C}"/>
    <cellStyle name="Comma 6 3 6 5" xfId="13036" xr:uid="{71AABA3A-E7B2-49C1-907E-745382B19CDB}"/>
    <cellStyle name="Comma 6 3 6 5 2" xfId="47530" xr:uid="{A00A146E-E6C2-4C0F-9CBE-B441DC39F83D}"/>
    <cellStyle name="Comma 6 3 6 5 3" xfId="51356" xr:uid="{D7E6D52B-82F8-4DC9-B7E0-619C51CDAC54}"/>
    <cellStyle name="Comma 6 3 6 5 4" xfId="54372" xr:uid="{F034A13F-F738-4B7C-8210-B75A78DAE134}"/>
    <cellStyle name="Comma 6 3 6 6" xfId="48088" xr:uid="{B8ACB2FA-C2E9-46B8-9A50-FD7DDD56A61B}"/>
    <cellStyle name="Comma 6 3 6 7" xfId="50250" xr:uid="{8FA8E80E-838A-4488-A259-2F82A7A1E70B}"/>
    <cellStyle name="Comma 6 3 6 8" xfId="53266" xr:uid="{5F4C3D2B-C1A0-44CA-A9B7-DB6BE12109A5}"/>
    <cellStyle name="Comma 6 3 7" xfId="13376" xr:uid="{15D12331-7F7F-4967-88D7-5EC8F93B8E2C}"/>
    <cellStyle name="Comma 6 3 8" xfId="14524" xr:uid="{91BA8B81-0B16-430A-8D86-3867320B9B91}"/>
    <cellStyle name="Comma 6 3 8 2" xfId="22071" xr:uid="{F4E68240-34A9-4EFD-8E3E-391DF08C8953}"/>
    <cellStyle name="Comma 6 3 8 3" xfId="32533" xr:uid="{425EA413-D024-463D-B94E-5D8E4C2B0863}"/>
    <cellStyle name="Comma 6 3 8 4" xfId="51409" xr:uid="{5E4B8051-5927-4EC9-BE38-FFED94161960}"/>
    <cellStyle name="Comma 6 3 8 5" xfId="54425" xr:uid="{62C0FA1B-503D-4552-8DAF-FAFF8881C62C}"/>
    <cellStyle name="Comma 6 3 9" xfId="15008" xr:uid="{8B9FC8D0-AAEA-4B1C-BEC3-34A77FBFB77E}"/>
    <cellStyle name="Comma 6 3 9 2" xfId="22548" xr:uid="{6F9F4B91-E6DA-4ECA-A8B9-5A44A3B82C25}"/>
    <cellStyle name="Comma 6 3 9 3" xfId="24922" xr:uid="{F2D35C27-4C33-44CA-844D-B168E0DCDF51}"/>
    <cellStyle name="Comma 6 3 9 4" xfId="51886" xr:uid="{87B79008-3B3A-4523-A16C-EFB11711C9BA}"/>
    <cellStyle name="Comma 6 3 9 5" xfId="54902" xr:uid="{1AB45968-1AE2-4C4C-8647-3346C7BBF6AD}"/>
    <cellStyle name="Comma 6 4" xfId="2630" xr:uid="{B3775D92-7E98-436A-A203-3F9DEDE40BCB}"/>
    <cellStyle name="Comma 6 4 2" xfId="21695" xr:uid="{3299A523-11F7-4F28-AE8F-1AC47BCFF73D}"/>
    <cellStyle name="Comma 6 4 3" xfId="23797" xr:uid="{EB73BDA7-3567-42E5-BDF3-CE3FA1A77449}"/>
    <cellStyle name="Comma 6 4 4" xfId="48670" xr:uid="{16385199-DB28-4AC4-BE2C-A08ADED5537F}"/>
    <cellStyle name="Comma 6 4 5" xfId="49578" xr:uid="{8ACF534A-7863-448F-B56E-D352770B47DD}"/>
    <cellStyle name="Comma 6 4 6" xfId="50712" xr:uid="{4DAAEDAE-5A8E-442D-A913-20B43CC0E91A}"/>
    <cellStyle name="Comma 6 4 7" xfId="53728" xr:uid="{1C2F3622-404D-4BCB-B1E2-9C1C798F07B3}"/>
    <cellStyle name="Comma 6 4 8" xfId="11199" xr:uid="{8C8B2FF2-D3D7-45F3-8C1F-EFC6B3E8E360}"/>
    <cellStyle name="Comma 6 5" xfId="12268" xr:uid="{768D6845-00BB-4FDB-AE27-CE730920F681}"/>
    <cellStyle name="Comma 6 5 2" xfId="23798" xr:uid="{F6E5CEB8-AAEB-4CBB-8196-463E41CC60AC}"/>
    <cellStyle name="Comma 6 6" xfId="17744" xr:uid="{C6A5C53B-727E-43A2-9F57-AADB648EEE39}"/>
    <cellStyle name="Comma 6 6 2" xfId="21252" xr:uid="{AE4D16C7-9C1B-41B2-A792-EC299DAFFA6F}"/>
    <cellStyle name="Comma 6 7" xfId="19495" xr:uid="{B5551F86-91FB-4431-A429-E423790738C3}"/>
    <cellStyle name="Comma 6 8" xfId="23791" xr:uid="{F9F41E68-603D-46CD-A2B5-29A72C7973E6}"/>
    <cellStyle name="Comma 6 9" xfId="48664" xr:uid="{0B8B5E86-1426-4D2F-8680-0B0FC60BA89D}"/>
    <cellStyle name="Comma 7" xfId="2631" xr:uid="{3D91D855-D38D-4FA3-9771-C444BDFA2F69}"/>
    <cellStyle name="Comma 7 2" xfId="4547" xr:uid="{9CD68069-D787-45BC-BC32-B236893F674D}"/>
    <cellStyle name="Comma 7 2 10" xfId="15009" xr:uid="{F4C69349-3887-49C2-B038-C85D002C6F90}"/>
    <cellStyle name="Comma 7 2 10 2" xfId="22549" xr:uid="{F071F8FA-B942-4656-B4B9-AC9A896F7FF9}"/>
    <cellStyle name="Comma 7 2 10 3" xfId="47542" xr:uid="{D6006AD4-96E2-4A0C-BF36-2F283685ED0A}"/>
    <cellStyle name="Comma 7 2 10 4" xfId="51887" xr:uid="{EF596B4B-1559-4FF1-92B0-A3AD012866FB}"/>
    <cellStyle name="Comma 7 2 10 5" xfId="54903" xr:uid="{4B95AC8E-40AC-438F-A32D-40886FB5797E}"/>
    <cellStyle name="Comma 7 2 10 6" xfId="19190" xr:uid="{9609135E-6467-4DF7-AF9B-C3DA805070B4}"/>
    <cellStyle name="Comma 7 2 11" xfId="15496" xr:uid="{644C052A-94A8-4E44-B523-7F4164B9B249}"/>
    <cellStyle name="Comma 7 2 11 2" xfId="23026" xr:uid="{D8CA7039-7E0E-4651-95C2-D62071E21722}"/>
    <cellStyle name="Comma 7 2 11 3" xfId="48566" xr:uid="{508B8682-FE15-4DD5-85CB-AD0DBC86FC7E}"/>
    <cellStyle name="Comma 7 2 11 4" xfId="52364" xr:uid="{6238E041-2F04-49EE-8D11-CA527FCC7870}"/>
    <cellStyle name="Comma 7 2 11 5" xfId="55380" xr:uid="{5A1E8C2B-A786-449F-B5B8-7D48D2AFA3AD}"/>
    <cellStyle name="Comma 7 2 11 6" xfId="19335" xr:uid="{64D98708-0EF7-4180-9C47-2064D32057BC}"/>
    <cellStyle name="Comma 7 2 12" xfId="11677" xr:uid="{2219630E-6D0F-413F-A706-5B83E4A0C4FC}"/>
    <cellStyle name="Comma 7 2 12 2" xfId="21714" xr:uid="{32EBE75A-143D-4C9A-B225-561A4BC2F007}"/>
    <cellStyle name="Comma 7 2 12 3" xfId="47907" xr:uid="{4CF0323B-23E8-4824-B500-F1238A7901F2}"/>
    <cellStyle name="Comma 7 2 12 4" xfId="50739" xr:uid="{E2EA3B48-CC71-4BF4-B45B-B5C84E8E794B}"/>
    <cellStyle name="Comma 7 2 12 5" xfId="53755" xr:uid="{13BF962F-EDEC-4FEA-BEFA-30664B12B7CF}"/>
    <cellStyle name="Comma 7 2 12 6" xfId="18298" xr:uid="{2AD55D44-30B2-4C89-AB52-72103077F2C5}"/>
    <cellStyle name="Comma 7 2 13" xfId="23800" xr:uid="{4558FF0E-6916-40B9-B404-06E1E494190C}"/>
    <cellStyle name="Comma 7 2 14" xfId="48014" xr:uid="{247C17D3-3054-4D6D-87CF-6CB4F127B377}"/>
    <cellStyle name="Comma 7 2 15" xfId="48671" xr:uid="{D9BA4743-2EDA-42D7-BF1E-6E760915F730}"/>
    <cellStyle name="Comma 7 2 16" xfId="49579" xr:uid="{F25A21BE-C442-4C44-A6D2-80031614D2AC}"/>
    <cellStyle name="Comma 7 2 17" xfId="49827" xr:uid="{7DEC20B8-6269-4ADC-A2AF-E6E77322753B}"/>
    <cellStyle name="Comma 7 2 18" xfId="52842" xr:uid="{6F1B47B1-BE1F-4732-A577-2CA2DBCF79F6}"/>
    <cellStyle name="Comma 7 2 19" xfId="8950" xr:uid="{6211325B-E326-4216-8218-35CD10148FA1}"/>
    <cellStyle name="Comma 7 2 2" xfId="8951" xr:uid="{F952F884-F861-4C2A-94FE-A0D55467DC97}"/>
    <cellStyle name="Comma 7 2 2 10" xfId="11515" xr:uid="{7EF01E4A-CBB1-4700-B839-AB7C81C181C8}"/>
    <cellStyle name="Comma 7 2 2 10 2" xfId="48186" xr:uid="{C2F5A7E0-8C59-4533-930F-F9D61EB5C687}"/>
    <cellStyle name="Comma 7 2 2 10 3" xfId="50725" xr:uid="{39810216-3F6A-4C88-BD04-8108C3720E8C}"/>
    <cellStyle name="Comma 7 2 2 10 4" xfId="53741" xr:uid="{4B5BBAA4-AAF4-49CC-A5D4-45BC32897833}"/>
    <cellStyle name="Comma 7 2 2 10 5" xfId="21702" xr:uid="{E2913F90-DFB6-44F6-90A8-92ABB42A7660}"/>
    <cellStyle name="Comma 7 2 2 11" xfId="23801" xr:uid="{F3A11060-31B5-4D2F-AFE2-855525C4A151}"/>
    <cellStyle name="Comma 7 2 2 12" xfId="48429" xr:uid="{EB61C776-5E95-4A3B-9564-B92396150AB3}"/>
    <cellStyle name="Comma 7 2 2 13" xfId="48672" xr:uid="{C7C7D979-FA5B-4508-AB0B-29A071EB0ABF}"/>
    <cellStyle name="Comma 7 2 2 14" xfId="49580" xr:uid="{F4DFCB13-989D-4BDC-8533-44376A989922}"/>
    <cellStyle name="Comma 7 2 2 15" xfId="49828" xr:uid="{60FD49B2-9D5E-456F-9FBD-9FDC38A19A4C}"/>
    <cellStyle name="Comma 7 2 2 16" xfId="52843" xr:uid="{E097504B-209F-4EA3-94C8-A9E73F08F7EF}"/>
    <cellStyle name="Comma 7 2 2 17" xfId="18148" xr:uid="{09EFBCBA-410E-4BE5-A8F2-E46814AA4A73}"/>
    <cellStyle name="Comma 7 2 2 2" xfId="10038" xr:uid="{C9FC4E4A-E73E-448C-BFA4-887161072AD9}"/>
    <cellStyle name="Comma 7 2 2 2 10" xfId="18754" xr:uid="{D62E43AD-48B5-4DA0-913C-7F306105C47E}"/>
    <cellStyle name="Comma 7 2 2 2 2" xfId="10346" xr:uid="{8DDC4F5A-D04B-4964-85FA-A59851163D6F}"/>
    <cellStyle name="Comma 7 2 2 2 2 2" xfId="14791" xr:uid="{5C54871B-550A-4713-B423-61916B018DE9}"/>
    <cellStyle name="Comma 7 2 2 2 2 2 2" xfId="22338" xr:uid="{D88AD29B-4525-4AEB-8B5B-18E081715A69}"/>
    <cellStyle name="Comma 7 2 2 2 2 2 3" xfId="47537" xr:uid="{983D58AB-2CCF-45B1-8AE8-8FEE2D05A4B8}"/>
    <cellStyle name="Comma 7 2 2 2 2 2 4" xfId="51676" xr:uid="{029F0282-C8BE-4E35-99BA-DD1F21CE2175}"/>
    <cellStyle name="Comma 7 2 2 2 2 2 5" xfId="54692" xr:uid="{3F2BE771-AF41-497A-9DAA-255240FF5940}"/>
    <cellStyle name="Comma 7 2 2 2 2 2 6" xfId="19124" xr:uid="{4DCE433F-7A1F-4D8F-BD16-305C9336573B}"/>
    <cellStyle name="Comma 7 2 2 2 2 3" xfId="15276" xr:uid="{CE41780F-7DA2-44FD-95C5-59C059B9DFB6}"/>
    <cellStyle name="Comma 7 2 2 2 2 3 2" xfId="22815" xr:uid="{73E937A9-D980-4217-AFA1-92DE300AA506}"/>
    <cellStyle name="Comma 7 2 2 2 2 3 3" xfId="47129" xr:uid="{58DF7445-C129-448C-8BC3-61EF29B11C22}"/>
    <cellStyle name="Comma 7 2 2 2 2 3 4" xfId="52153" xr:uid="{5F53E3FA-8D0A-4C30-A0EC-A4647914ED52}"/>
    <cellStyle name="Comma 7 2 2 2 2 3 5" xfId="55169" xr:uid="{E5981CBE-5FDE-49D9-B894-57C10457413F}"/>
    <cellStyle name="Comma 7 2 2 2 2 3 6" xfId="19267" xr:uid="{7A34A27C-002E-4FC8-A243-EBBA95312C58}"/>
    <cellStyle name="Comma 7 2 2 2 2 4" xfId="15763" xr:uid="{93F4A782-FC8E-47EC-A025-AB75CC075BD2}"/>
    <cellStyle name="Comma 7 2 2 2 2 4 2" xfId="23292" xr:uid="{5563BB34-5091-4A7F-94DF-1AC65C81B001}"/>
    <cellStyle name="Comma 7 2 2 2 2 4 3" xfId="48026" xr:uid="{507C8EC1-72CC-4B9D-B4B1-F44A1904C0E0}"/>
    <cellStyle name="Comma 7 2 2 2 2 4 4" xfId="52630" xr:uid="{496AD550-0AC6-4CBD-85E8-396226595B0E}"/>
    <cellStyle name="Comma 7 2 2 2 2 4 5" xfId="55646" xr:uid="{94660E6B-278B-4EF4-BB44-488AC0E1B9C5}"/>
    <cellStyle name="Comma 7 2 2 2 2 4 6" xfId="19412" xr:uid="{3847BA4C-F520-4D77-AF7F-DEF923C83986}"/>
    <cellStyle name="Comma 7 2 2 2 2 5" xfId="12799" xr:uid="{4BEE70F6-CE93-410D-B1A8-509A56686EE3}"/>
    <cellStyle name="Comma 7 2 2 2 2 5 2" xfId="24480" xr:uid="{1FC42926-3A9A-4FC0-BAA8-1868DFEE26CE}"/>
    <cellStyle name="Comma 7 2 2 2 2 5 3" xfId="51199" xr:uid="{A71A5A54-9187-4F88-8B3A-C8296495306E}"/>
    <cellStyle name="Comma 7 2 2 2 2 5 4" xfId="54215" xr:uid="{9B69FA4D-9901-4C5F-8A32-1861BEA6F70D}"/>
    <cellStyle name="Comma 7 2 2 2 2 5 5" xfId="21982" xr:uid="{D9CD3F5A-6AB2-42EB-B3C9-5C57DBB4BC99}"/>
    <cellStyle name="Comma 7 2 2 2 2 6" xfId="48454" xr:uid="{B335E223-F4BB-42E1-BFDF-E0A294BCC715}"/>
    <cellStyle name="Comma 7 2 2 2 2 7" xfId="50093" xr:uid="{7144C7B7-623F-4B0D-8356-8FADE8456471}"/>
    <cellStyle name="Comma 7 2 2 2 2 8" xfId="53109" xr:uid="{5827DC8B-D369-4FF4-85F9-5A772B6A54B5}"/>
    <cellStyle name="Comma 7 2 2 2 2 9" xfId="18903" xr:uid="{30FA9742-224A-4791-9D87-9A80B0D9D2EC}"/>
    <cellStyle name="Comma 7 2 2 2 3" xfId="14579" xr:uid="{29592475-FB6B-4073-BE2A-2F953D9AD67A}"/>
    <cellStyle name="Comma 7 2 2 2 3 2" xfId="22126" xr:uid="{7C10E016-910C-4D70-8C75-E5D02F20086E}"/>
    <cellStyle name="Comma 7 2 2 2 3 3" xfId="46403" xr:uid="{386295C0-EE31-4452-8AFD-BFD3B44BD970}"/>
    <cellStyle name="Comma 7 2 2 2 3 4" xfId="51464" xr:uid="{9108ADFB-B88A-4E02-BFF5-B8F24A50ECFA}"/>
    <cellStyle name="Comma 7 2 2 2 3 5" xfId="54480" xr:uid="{F2D1F107-2B30-4010-8868-036D2AAAA7EF}"/>
    <cellStyle name="Comma 7 2 2 2 3 6" xfId="19064" xr:uid="{4655A8F7-5939-4E11-980F-5BB37BA5D139}"/>
    <cellStyle name="Comma 7 2 2 2 4" xfId="15063" xr:uid="{380B014F-1EDC-424F-984D-FABE60732AA7}"/>
    <cellStyle name="Comma 7 2 2 2 4 2" xfId="22603" xr:uid="{C44147C4-9E57-4FB7-8FA0-190F8513DB4F}"/>
    <cellStyle name="Comma 7 2 2 2 4 3" xfId="48509" xr:uid="{2EAABC8D-4C50-4C91-9839-C47D813DF87E}"/>
    <cellStyle name="Comma 7 2 2 2 4 4" xfId="51941" xr:uid="{42046838-FA9A-4A56-A567-F7DF57B8DEC7}"/>
    <cellStyle name="Comma 7 2 2 2 4 5" xfId="54957" xr:uid="{A28CDE20-ED51-450F-871D-310953156749}"/>
    <cellStyle name="Comma 7 2 2 2 4 6" xfId="19206" xr:uid="{5DD38D74-74A1-4D7B-A03A-870C4E641BC1}"/>
    <cellStyle name="Comma 7 2 2 2 5" xfId="15550" xr:uid="{0DC89503-8A14-4C9E-836A-C2D0DCE8B6B7}"/>
    <cellStyle name="Comma 7 2 2 2 5 2" xfId="23080" xr:uid="{8903176D-2B19-4CC3-A071-F2D0FDA6D158}"/>
    <cellStyle name="Comma 7 2 2 2 5 3" xfId="48022" xr:uid="{4DBD1DBB-A74E-4772-A6BF-0EF10F13E461}"/>
    <cellStyle name="Comma 7 2 2 2 5 4" xfId="52418" xr:uid="{C2B63287-1CED-4234-A6FB-A90DCD3872CC}"/>
    <cellStyle name="Comma 7 2 2 2 5 5" xfId="55434" xr:uid="{6E52D284-19B6-4BD3-9168-9D1B33AD3B5F}"/>
    <cellStyle name="Comma 7 2 2 2 5 6" xfId="19351" xr:uid="{11D0FDA6-B433-447E-B4C7-E17689F5E5AD}"/>
    <cellStyle name="Comma 7 2 2 2 6" xfId="12498" xr:uid="{2A143B18-FC75-4159-94DE-2EBB35EF9F86}"/>
    <cellStyle name="Comma 7 2 2 2 6 2" xfId="46314" xr:uid="{6A761578-5ACD-4922-BA81-1CE01AA44267}"/>
    <cellStyle name="Comma 7 2 2 2 6 3" xfId="50987" xr:uid="{4E6FBE34-2CDA-4A8C-8D02-8E23AF8375F7}"/>
    <cellStyle name="Comma 7 2 2 2 6 4" xfId="54003" xr:uid="{21931014-7B87-4B0D-8FC8-D4CCF376455B}"/>
    <cellStyle name="Comma 7 2 2 2 6 5" xfId="21921" xr:uid="{DB4A0725-A2DC-48EF-8294-0D4DD4D55662}"/>
    <cellStyle name="Comma 7 2 2 2 7" xfId="46614" xr:uid="{57DB6DD4-5601-4149-AA2A-E2572D1B2EAD}"/>
    <cellStyle name="Comma 7 2 2 2 8" xfId="49881" xr:uid="{E6EA5DDB-71C7-47DE-A888-9F36935A1B2A}"/>
    <cellStyle name="Comma 7 2 2 2 9" xfId="52897" xr:uid="{AB510987-7415-4028-B776-342DA4CFA7C3}"/>
    <cellStyle name="Comma 7 2 2 3" xfId="10112" xr:uid="{61C809ED-6BCE-449C-A7F4-A5BA9F97ED8E}"/>
    <cellStyle name="Comma 7 2 2 3 10" xfId="18787" xr:uid="{7EC7D5C1-DDD0-46B2-B92C-896B164A92EE}"/>
    <cellStyle name="Comma 7 2 2 3 2" xfId="10425" xr:uid="{59E6471C-C0D0-45F3-B39F-A835B1079648}"/>
    <cellStyle name="Comma 7 2 2 3 2 2" xfId="14844" xr:uid="{BD81CE75-DD9B-4179-A3F7-90776C3C7FF1}"/>
    <cellStyle name="Comma 7 2 2 3 2 2 2" xfId="22391" xr:uid="{E4E621B4-BAFF-4CB0-9EEA-5B71F4ABF317}"/>
    <cellStyle name="Comma 7 2 2 3 2 2 3" xfId="46443" xr:uid="{5DE0C6DC-AA6C-44AA-885E-A6F1B835469E}"/>
    <cellStyle name="Comma 7 2 2 3 2 2 4" xfId="51729" xr:uid="{2546C6AE-31D9-4C9F-9AA9-3D01A0322817}"/>
    <cellStyle name="Comma 7 2 2 3 2 2 5" xfId="54745" xr:uid="{64911CEA-EFD0-4782-BE84-C26F232B97DD}"/>
    <cellStyle name="Comma 7 2 2 3 2 2 6" xfId="19139" xr:uid="{0080E859-B9B6-4C75-B577-101CA347E4E5}"/>
    <cellStyle name="Comma 7 2 2 3 2 3" xfId="15329" xr:uid="{07E403D3-B8E3-4265-9E25-4937914BC605}"/>
    <cellStyle name="Comma 7 2 2 3 2 3 2" xfId="22868" xr:uid="{AB418327-1726-4DE6-9EC4-0E1B612763DC}"/>
    <cellStyle name="Comma 7 2 2 3 2 3 3" xfId="47270" xr:uid="{172BCEB5-9A3A-443C-A5B7-E898EADB9838}"/>
    <cellStyle name="Comma 7 2 2 3 2 3 4" xfId="52206" xr:uid="{3DCE5AF0-5437-4A63-9AB4-973A82E7B7D1}"/>
    <cellStyle name="Comma 7 2 2 3 2 3 5" xfId="55222" xr:uid="{3D07B516-A567-48BA-AB5D-E0B91CC2F970}"/>
    <cellStyle name="Comma 7 2 2 3 2 3 6" xfId="19282" xr:uid="{AC16728E-F155-4789-968C-E47F995AC1DC}"/>
    <cellStyle name="Comma 7 2 2 3 2 4" xfId="15816" xr:uid="{75EE0EAF-8FA3-485B-A296-989270EA8E27}"/>
    <cellStyle name="Comma 7 2 2 3 2 4 2" xfId="23345" xr:uid="{D2E68DD7-9365-4922-B6CC-F28DF0B54F49}"/>
    <cellStyle name="Comma 7 2 2 3 2 4 3" xfId="47949" xr:uid="{75A0479B-ABA3-4BE5-992E-E9218C8CD937}"/>
    <cellStyle name="Comma 7 2 2 3 2 4 4" xfId="52683" xr:uid="{771DC76A-5ED7-40C0-B981-2B3B89F49757}"/>
    <cellStyle name="Comma 7 2 2 3 2 4 5" xfId="55699" xr:uid="{81ECD015-0F2E-4C4A-8AED-387F46C065CE}"/>
    <cellStyle name="Comma 7 2 2 3 2 4 6" xfId="19427" xr:uid="{472FDD8A-D0A9-4F95-AB06-2919B0B11C52}"/>
    <cellStyle name="Comma 7 2 2 3 2 5" xfId="12878" xr:uid="{4386C6C9-A84D-4674-9B4A-368FF8F5B67F}"/>
    <cellStyle name="Comma 7 2 2 3 2 5 2" xfId="37106" xr:uid="{7FD2391C-C6DC-424B-B73F-3807A2268DD9}"/>
    <cellStyle name="Comma 7 2 2 3 2 5 3" xfId="51252" xr:uid="{C1191A73-9170-44AF-83A1-B5C3AFC54DA2}"/>
    <cellStyle name="Comma 7 2 2 3 2 5 4" xfId="54268" xr:uid="{85972959-0C2F-44F3-8680-4F47BA371643}"/>
    <cellStyle name="Comma 7 2 2 3 2 5 5" xfId="21997" xr:uid="{05D34DD7-3282-48CC-8F9C-68287422BE59}"/>
    <cellStyle name="Comma 7 2 2 3 2 6" xfId="34567" xr:uid="{5AEDC72F-9D69-4A3C-A1FD-89BA8F4E81AD}"/>
    <cellStyle name="Comma 7 2 2 3 2 7" xfId="50146" xr:uid="{519B0593-2E75-4D4D-A3B3-D2F9281C83D6}"/>
    <cellStyle name="Comma 7 2 2 3 2 8" xfId="53162" xr:uid="{22C965DF-5167-4939-8FF3-3161CD075156}"/>
    <cellStyle name="Comma 7 2 2 3 2 9" xfId="18944" xr:uid="{D5D43B0F-87BE-4D87-A199-1D33F0D9516B}"/>
    <cellStyle name="Comma 7 2 2 3 3" xfId="14632" xr:uid="{4DCB4090-7F18-4A44-85D5-F6F1C9CAFE49}"/>
    <cellStyle name="Comma 7 2 2 3 3 2" xfId="22179" xr:uid="{3CD5CCB5-1358-4FA3-BF99-CDA854ACCD37}"/>
    <cellStyle name="Comma 7 2 2 3 3 3" xfId="46844" xr:uid="{E411B307-C5FB-4BBE-9081-F12FD354D962}"/>
    <cellStyle name="Comma 7 2 2 3 3 4" xfId="51517" xr:uid="{F0F68A77-9DCD-420D-91A5-29FDEE373BAE}"/>
    <cellStyle name="Comma 7 2 2 3 3 5" xfId="54533" xr:uid="{670205D3-D44F-4B20-8F3C-B03090D35EDC}"/>
    <cellStyle name="Comma 7 2 2 3 3 6" xfId="19079" xr:uid="{7C735DFC-3381-4116-9B05-30CA23553E73}"/>
    <cellStyle name="Comma 7 2 2 3 4" xfId="15117" xr:uid="{FC0DFFA2-160A-4B18-9EA4-7169E8F41641}"/>
    <cellStyle name="Comma 7 2 2 3 4 2" xfId="22656" xr:uid="{9EDB32D8-92B1-4A8C-A897-A0C2ED4A14D1}"/>
    <cellStyle name="Comma 7 2 2 3 4 3" xfId="47418" xr:uid="{CB516ED5-A7B5-46A5-9DB8-64ED3B1FC2C7}"/>
    <cellStyle name="Comma 7 2 2 3 4 4" xfId="51994" xr:uid="{4FB386C4-1F32-48E5-9B54-08F4FF474728}"/>
    <cellStyle name="Comma 7 2 2 3 4 5" xfId="55010" xr:uid="{3E5A4069-6DF4-43B6-AA11-E2B6BE52B288}"/>
    <cellStyle name="Comma 7 2 2 3 4 6" xfId="19222" xr:uid="{BD86C47A-1F06-4E52-BE17-C30EC03A5362}"/>
    <cellStyle name="Comma 7 2 2 3 5" xfId="15604" xr:uid="{6B2D30BE-8ED8-489D-A9AD-4A5096082BBF}"/>
    <cellStyle name="Comma 7 2 2 3 5 2" xfId="23133" xr:uid="{CC412ECB-B25B-4783-9CBA-6BD7A4B30B46}"/>
    <cellStyle name="Comma 7 2 2 3 5 3" xfId="47671" xr:uid="{56815691-3C56-4043-BDB2-C282A7CFA6F2}"/>
    <cellStyle name="Comma 7 2 2 3 5 4" xfId="52471" xr:uid="{F2C740EA-A1B9-4FF3-AAFB-2B303267F74E}"/>
    <cellStyle name="Comma 7 2 2 3 5 5" xfId="55487" xr:uid="{3A34DD1D-020F-4BA7-B623-A9692153ABA0}"/>
    <cellStyle name="Comma 7 2 2 3 5 6" xfId="19367" xr:uid="{35F0548D-D35D-4207-A4E0-8BD1747CE6CA}"/>
    <cellStyle name="Comma 7 2 2 3 6" xfId="12569" xr:uid="{FE266579-CBDD-4A15-80B7-0ACED1B7F625}"/>
    <cellStyle name="Comma 7 2 2 3 6 2" xfId="48271" xr:uid="{5B82FEF7-EAE0-42C0-94ED-3BBEFABD9E36}"/>
    <cellStyle name="Comma 7 2 2 3 6 3" xfId="51040" xr:uid="{D60FEC65-B7B1-4C9A-83BA-2190FA8F8A21}"/>
    <cellStyle name="Comma 7 2 2 3 6 4" xfId="54056" xr:uid="{5D04A63F-6BB4-42AE-B5A7-0B6A5E3A6228}"/>
    <cellStyle name="Comma 7 2 2 3 6 5" xfId="21937" xr:uid="{6C909A52-B35C-46C1-8FBC-E555678B50F6}"/>
    <cellStyle name="Comma 7 2 2 3 7" xfId="32304" xr:uid="{3135245A-F8F1-4794-9EF6-E0A3BF98F02E}"/>
    <cellStyle name="Comma 7 2 2 3 8" xfId="49934" xr:uid="{C6DA1858-D2F0-4DBF-A8E0-4008BB52F593}"/>
    <cellStyle name="Comma 7 2 2 3 9" xfId="52950" xr:uid="{61CB4AB7-C2EB-4369-AF08-EBAF63C3AB70}"/>
    <cellStyle name="Comma 7 2 2 4" xfId="10191" xr:uid="{F53494FF-E6AF-4A27-949A-DA46B1225F28}"/>
    <cellStyle name="Comma 7 2 2 4 10" xfId="18825" xr:uid="{46B2E7D1-93CE-4638-AE4B-869F3BE5DF4E}"/>
    <cellStyle name="Comma 7 2 2 4 2" xfId="10505" xr:uid="{DB887A6D-31CB-498A-9C04-D515E40F5A74}"/>
    <cellStyle name="Comma 7 2 2 4 2 2" xfId="14897" xr:uid="{7CE7BBFE-30DA-4D6E-8B21-A97CB4474547}"/>
    <cellStyle name="Comma 7 2 2 4 2 2 2" xfId="22444" xr:uid="{672EF867-D198-483B-8047-5861E3AE9559}"/>
    <cellStyle name="Comma 7 2 2 4 2 2 3" xfId="46453" xr:uid="{49075AEA-A572-413E-8604-79879882735A}"/>
    <cellStyle name="Comma 7 2 2 4 2 2 4" xfId="51782" xr:uid="{1DC76FBC-68EF-4254-8DBC-A4FE91E2D1FE}"/>
    <cellStyle name="Comma 7 2 2 4 2 2 5" xfId="54798" xr:uid="{CC941ABE-7650-46D3-8FDC-3AA5FE4E26FA}"/>
    <cellStyle name="Comma 7 2 2 4 2 2 6" xfId="19154" xr:uid="{F0858E1E-BD4B-4166-8EF2-CDD77D9F94DD}"/>
    <cellStyle name="Comma 7 2 2 4 2 3" xfId="15382" xr:uid="{5204B2B7-73EC-4696-9E22-41279AD9F87F}"/>
    <cellStyle name="Comma 7 2 2 4 2 3 2" xfId="22921" xr:uid="{F37E4B8A-F65E-457F-A7C5-2842BB520899}"/>
    <cellStyle name="Comma 7 2 2 4 2 3 3" xfId="48418" xr:uid="{52A44A71-9297-48CB-8B90-300F1AEB5294}"/>
    <cellStyle name="Comma 7 2 2 4 2 3 4" xfId="52259" xr:uid="{8037959C-95D3-49D9-82AB-AED916FE9BF3}"/>
    <cellStyle name="Comma 7 2 2 4 2 3 5" xfId="55275" xr:uid="{C39A3D3E-A986-482E-9B2A-543F5F0C2A13}"/>
    <cellStyle name="Comma 7 2 2 4 2 3 6" xfId="19297" xr:uid="{47BB5705-2A8C-4911-A78A-36470A33C53E}"/>
    <cellStyle name="Comma 7 2 2 4 2 4" xfId="15869" xr:uid="{78977903-7D69-45CA-81F4-C2B0632BA9AC}"/>
    <cellStyle name="Comma 7 2 2 4 2 4 2" xfId="23398" xr:uid="{38A63F25-8AEF-455E-B71A-08CDBF1B35F6}"/>
    <cellStyle name="Comma 7 2 2 4 2 4 3" xfId="48136" xr:uid="{03CBB31B-1081-4749-AC5F-9568E01D6341}"/>
    <cellStyle name="Comma 7 2 2 4 2 4 4" xfId="52736" xr:uid="{1C984B23-9A9A-4F7B-98BF-93D24D5E62DB}"/>
    <cellStyle name="Comma 7 2 2 4 2 4 5" xfId="55752" xr:uid="{FAD65C36-A722-4839-B3DA-14FDE6B91585}"/>
    <cellStyle name="Comma 7 2 2 4 2 4 6" xfId="19442" xr:uid="{893823BF-271D-4EC7-90B6-2EE86ED8BE65}"/>
    <cellStyle name="Comma 7 2 2 4 2 5" xfId="12958" xr:uid="{3E0553EB-3C71-4793-AA8C-534EC8B80CF1}"/>
    <cellStyle name="Comma 7 2 2 4 2 5 2" xfId="23987" xr:uid="{2016AB62-DB97-4944-B2C9-C660A2A0FFCD}"/>
    <cellStyle name="Comma 7 2 2 4 2 5 3" xfId="51305" xr:uid="{E05DFFF9-CE3D-4A17-9AE6-21211A232CB6}"/>
    <cellStyle name="Comma 7 2 2 4 2 5 4" xfId="54321" xr:uid="{8DCC58A3-0C26-4DF2-BD79-A0D2964FF094}"/>
    <cellStyle name="Comma 7 2 2 4 2 5 5" xfId="22012" xr:uid="{0FC32D90-C770-4E8D-9529-442AF0857CC7}"/>
    <cellStyle name="Comma 7 2 2 4 2 6" xfId="47589" xr:uid="{FA4F1773-8CDF-4340-A3B7-D4596227F773}"/>
    <cellStyle name="Comma 7 2 2 4 2 7" xfId="50199" xr:uid="{8A3C9982-B4BA-41A8-908B-821B6EB0B34C}"/>
    <cellStyle name="Comma 7 2 2 4 2 8" xfId="53215" xr:uid="{E44E80F1-FF31-495F-AE80-B2D324984290}"/>
    <cellStyle name="Comma 7 2 2 4 2 9" xfId="18986" xr:uid="{88FD0AD6-428A-4637-892A-A00791F04CA0}"/>
    <cellStyle name="Comma 7 2 2 4 3" xfId="14685" xr:uid="{71B4C223-7CDF-4729-8CB5-7902CF2335AE}"/>
    <cellStyle name="Comma 7 2 2 4 3 2" xfId="22232" xr:uid="{AE96A74A-B94A-42C9-8B07-0E67E5622427}"/>
    <cellStyle name="Comma 7 2 2 4 3 3" xfId="32410" xr:uid="{0898D412-CD26-49C8-A09A-11BF9942EE3E}"/>
    <cellStyle name="Comma 7 2 2 4 3 4" xfId="51570" xr:uid="{5C5D3C49-2851-473B-879F-CC55C3DE697B}"/>
    <cellStyle name="Comma 7 2 2 4 3 5" xfId="54586" xr:uid="{B226D4D6-BDEC-46B5-8B4A-4292BA041677}"/>
    <cellStyle name="Comma 7 2 2 4 3 6" xfId="19094" xr:uid="{278A6806-ABB0-4943-A420-A04179CB4C8A}"/>
    <cellStyle name="Comma 7 2 2 4 4" xfId="15170" xr:uid="{8AAF54CB-A0EC-40FB-AAC4-43C04AD27B52}"/>
    <cellStyle name="Comma 7 2 2 4 4 2" xfId="22709" xr:uid="{DE1F4586-A069-4241-8A39-249469B2C1C2}"/>
    <cellStyle name="Comma 7 2 2 4 4 3" xfId="47936" xr:uid="{5640A8F6-E309-4EF5-BAA6-5D050A755C17}"/>
    <cellStyle name="Comma 7 2 2 4 4 4" xfId="52047" xr:uid="{76C50B14-EB5A-4D8F-B87A-40CA68DCE63F}"/>
    <cellStyle name="Comma 7 2 2 4 4 5" xfId="55063" xr:uid="{48C860C6-138F-400A-84C6-5D1CC201DB71}"/>
    <cellStyle name="Comma 7 2 2 4 4 6" xfId="19237" xr:uid="{CD513D78-EB99-4F60-BA7D-5F5124910479}"/>
    <cellStyle name="Comma 7 2 2 4 5" xfId="15657" xr:uid="{6B018D66-ECFC-4ADF-8F6F-5D811DC42C53}"/>
    <cellStyle name="Comma 7 2 2 4 5 2" xfId="23186" xr:uid="{22C1C26C-27A5-4AF7-84CD-7AFC7833D0A8}"/>
    <cellStyle name="Comma 7 2 2 4 5 3" xfId="46949" xr:uid="{C04676FA-2329-4667-AB83-FA80F648A53A}"/>
    <cellStyle name="Comma 7 2 2 4 5 4" xfId="52524" xr:uid="{B4F1F075-0BED-4B21-BE01-2CEB530B82B9}"/>
    <cellStyle name="Comma 7 2 2 4 5 5" xfId="55540" xr:uid="{2039AE46-A9A3-4513-A51D-4F077DBDA288}"/>
    <cellStyle name="Comma 7 2 2 4 5 6" xfId="19382" xr:uid="{AECA22AC-BC30-40C8-8B15-D01BF5011931}"/>
    <cellStyle name="Comma 7 2 2 4 6" xfId="12645" xr:uid="{F57388B9-B04F-4864-BC71-7954138FF75D}"/>
    <cellStyle name="Comma 7 2 2 4 6 2" xfId="48491" xr:uid="{E9467D5B-D778-4410-B6BF-A4C7A0992345}"/>
    <cellStyle name="Comma 7 2 2 4 6 3" xfId="51093" xr:uid="{A530520D-B83B-42C8-9039-733E38BD52F1}"/>
    <cellStyle name="Comma 7 2 2 4 6 4" xfId="54109" xr:uid="{3EC86D9F-1473-497C-AB4B-CA1C9AD43FF8}"/>
    <cellStyle name="Comma 7 2 2 4 6 5" xfId="21952" xr:uid="{AD614F3C-BF91-4E06-BD32-D7EED53C2F80}"/>
    <cellStyle name="Comma 7 2 2 4 7" xfId="24004" xr:uid="{8D9549F4-97BE-42F6-8FFA-F15A06AA8870}"/>
    <cellStyle name="Comma 7 2 2 4 8" xfId="49987" xr:uid="{E1E6B275-A7FD-41D6-8A5F-80D50728DBC0}"/>
    <cellStyle name="Comma 7 2 2 4 9" xfId="53003" xr:uid="{8333268B-9B0F-429B-A310-61E97A3ABE25}"/>
    <cellStyle name="Comma 7 2 2 5" xfId="10271" xr:uid="{0759457F-E7A0-45ED-A7EF-B6AAAFE8F5DC}"/>
    <cellStyle name="Comma 7 2 2 5 2" xfId="14738" xr:uid="{E2987464-AAFB-48CE-A07B-F8651DB5DD27}"/>
    <cellStyle name="Comma 7 2 2 5 2 2" xfId="22285" xr:uid="{7623261A-AAFC-470F-B5A8-F6CF2A8CAA3E}"/>
    <cellStyle name="Comma 7 2 2 5 2 3" xfId="48209" xr:uid="{A057A7F4-1699-4D4B-949F-023F042D31DD}"/>
    <cellStyle name="Comma 7 2 2 5 2 4" xfId="51623" xr:uid="{59590D8B-1345-423A-8CF1-71EF55EC7D08}"/>
    <cellStyle name="Comma 7 2 2 5 2 5" xfId="54639" xr:uid="{7B4EA619-F7EC-4765-B3D1-A1928E9B6AD9}"/>
    <cellStyle name="Comma 7 2 2 5 2 6" xfId="19109" xr:uid="{3628C936-C999-4169-A1B0-A12C126A0C11}"/>
    <cellStyle name="Comma 7 2 2 5 3" xfId="15223" xr:uid="{14F59E36-79D1-42A9-A79B-5BF31220AF6E}"/>
    <cellStyle name="Comma 7 2 2 5 3 2" xfId="22762" xr:uid="{63E9C4AA-3142-46ED-8017-0233F419E403}"/>
    <cellStyle name="Comma 7 2 2 5 3 3" xfId="46894" xr:uid="{903410A2-00E0-4CFA-84F8-23253BB2B547}"/>
    <cellStyle name="Comma 7 2 2 5 3 4" xfId="52100" xr:uid="{93178E53-085C-4B86-BFE0-32F1DC4CCDC8}"/>
    <cellStyle name="Comma 7 2 2 5 3 5" xfId="55116" xr:uid="{F70F054A-8444-4AC6-9443-3BED83CD8AFC}"/>
    <cellStyle name="Comma 7 2 2 5 3 6" xfId="19252" xr:uid="{D8C2763D-314D-4A7B-BD9A-CBCCB12F6891}"/>
    <cellStyle name="Comma 7 2 2 5 4" xfId="15710" xr:uid="{B68AD23D-72B5-44A0-8F31-B346B5F6D721}"/>
    <cellStyle name="Comma 7 2 2 5 4 2" xfId="23239" xr:uid="{C4E81523-F47F-46E6-90E8-9309E0DD6626}"/>
    <cellStyle name="Comma 7 2 2 5 4 3" xfId="24162" xr:uid="{87578AE5-E42E-40B3-80F6-AFEB6A5BE5C4}"/>
    <cellStyle name="Comma 7 2 2 5 4 4" xfId="52577" xr:uid="{C615EEA3-9881-4E97-96B8-0E4A5D9EA71B}"/>
    <cellStyle name="Comma 7 2 2 5 4 5" xfId="55593" xr:uid="{96DA100E-FE31-4969-B2E2-22C96C88D596}"/>
    <cellStyle name="Comma 7 2 2 5 4 6" xfId="19397" xr:uid="{B9215473-BF23-458C-8222-F21D761593D8}"/>
    <cellStyle name="Comma 7 2 2 5 5" xfId="12724" xr:uid="{64D2E433-F328-49B9-AC79-D5ED086D2DD8}"/>
    <cellStyle name="Comma 7 2 2 5 5 2" xfId="47019" xr:uid="{700CED4C-4C1A-4419-9278-2A7DB52712BE}"/>
    <cellStyle name="Comma 7 2 2 5 5 3" xfId="51146" xr:uid="{613C1966-A2D0-4F98-B75A-275ACE8E1A06}"/>
    <cellStyle name="Comma 7 2 2 5 5 4" xfId="54162" xr:uid="{0001BD39-5679-43E9-B920-0E42F98F7A0B}"/>
    <cellStyle name="Comma 7 2 2 5 5 5" xfId="21967" xr:uid="{075DCDA5-93F6-48F0-9996-DAE0700F4EDC}"/>
    <cellStyle name="Comma 7 2 2 5 6" xfId="47877" xr:uid="{5FB8120B-F828-4589-8E85-34CB0A64349D}"/>
    <cellStyle name="Comma 7 2 2 5 7" xfId="50040" xr:uid="{AEA4DF80-C759-4F68-8CB1-421338C7BD36}"/>
    <cellStyle name="Comma 7 2 2 5 8" xfId="53056" xr:uid="{F74A0E25-837D-4089-BBF4-AA489B0951EE}"/>
    <cellStyle name="Comma 7 2 2 5 9" xfId="18866" xr:uid="{D87DC7A7-8422-4DD3-9477-DF1DE69913D6}"/>
    <cellStyle name="Comma 7 2 2 6" xfId="10585" xr:uid="{9AF22860-06DB-48F6-AFE9-38DAFCEA5358}"/>
    <cellStyle name="Comma 7 2 2 6 2" xfId="14950" xr:uid="{0ECBCCD2-1A41-4991-BEF7-C228E28B0945}"/>
    <cellStyle name="Comma 7 2 2 6 2 2" xfId="22497" xr:uid="{64E02EB6-F26B-41FE-9BFD-2235E183B5FB}"/>
    <cellStyle name="Comma 7 2 2 6 2 3" xfId="47778" xr:uid="{B677FE54-9F1F-4891-A95C-B6F7583BE4A7}"/>
    <cellStyle name="Comma 7 2 2 6 2 4" xfId="51835" xr:uid="{A9792CDF-FBE0-4E7C-9960-0BA1889C1F25}"/>
    <cellStyle name="Comma 7 2 2 6 2 5" xfId="54851" xr:uid="{A2521F4A-B00D-42E2-9657-F7F59CC46154}"/>
    <cellStyle name="Comma 7 2 2 6 2 6" xfId="19169" xr:uid="{C05DC11B-A25E-4270-91CD-DDFBC0CCB167}"/>
    <cellStyle name="Comma 7 2 2 6 3" xfId="15435" xr:uid="{2106614F-7A10-4758-9FB6-E03E513B49B0}"/>
    <cellStyle name="Comma 7 2 2 6 3 2" xfId="22974" xr:uid="{A1918C11-7391-4786-AFA6-5E96C368BE5E}"/>
    <cellStyle name="Comma 7 2 2 6 3 3" xfId="47193" xr:uid="{29950754-4237-412E-AC82-24AA46D1A11C}"/>
    <cellStyle name="Comma 7 2 2 6 3 4" xfId="52312" xr:uid="{549D9F2D-5C6F-478E-9849-B1F0BD110524}"/>
    <cellStyle name="Comma 7 2 2 6 3 5" xfId="55328" xr:uid="{DA571EA9-66C4-4E24-987F-9D76D2F88F77}"/>
    <cellStyle name="Comma 7 2 2 6 3 6" xfId="19312" xr:uid="{33041401-A2AD-47B9-8C3E-762964238F45}"/>
    <cellStyle name="Comma 7 2 2 6 4" xfId="15923" xr:uid="{91A380FE-5968-46E4-A716-473EF4FAFF5B}"/>
    <cellStyle name="Comma 7 2 2 6 4 2" xfId="23451" xr:uid="{87E89D85-DB94-4C91-96EF-41A4A5316BD3}"/>
    <cellStyle name="Comma 7 2 2 6 4 3" xfId="33990" xr:uid="{D354C1C4-4342-4887-BBBE-D62EFD07BAA7}"/>
    <cellStyle name="Comma 7 2 2 6 4 4" xfId="52789" xr:uid="{1E540848-1C8A-4C06-BCF8-15CF904ECB6D}"/>
    <cellStyle name="Comma 7 2 2 6 4 5" xfId="55805" xr:uid="{DCD14776-D206-4882-8D45-3BECEDAA04A4}"/>
    <cellStyle name="Comma 7 2 2 6 4 6" xfId="19458" xr:uid="{DABC5539-F1B8-4C47-BF4F-A3F2CB7EBBC3}"/>
    <cellStyle name="Comma 7 2 2 6 5" xfId="13038" xr:uid="{5FC2EA89-BA11-460C-B131-82AF74657E8D}"/>
    <cellStyle name="Comma 7 2 2 6 5 2" xfId="47035" xr:uid="{600EE608-8151-4654-ADF4-4D495475A1D7}"/>
    <cellStyle name="Comma 7 2 2 6 5 3" xfId="51358" xr:uid="{0496B755-A5C4-4EDC-82CB-779173A9DA95}"/>
    <cellStyle name="Comma 7 2 2 6 5 4" xfId="54374" xr:uid="{68BA7A53-4B36-4FDA-AD18-FE002695163B}"/>
    <cellStyle name="Comma 7 2 2 6 5 5" xfId="22027" xr:uid="{369F1084-90A5-48BA-AC51-7518BC2BDF80}"/>
    <cellStyle name="Comma 7 2 2 6 6" xfId="24765" xr:uid="{FDF81A1F-DFF7-4107-B372-44609C58A65D}"/>
    <cellStyle name="Comma 7 2 2 6 7" xfId="50252" xr:uid="{98BCA570-32C0-42D3-81A2-3538717BF7A3}"/>
    <cellStyle name="Comma 7 2 2 6 8" xfId="53268" xr:uid="{4A0A7274-7CC5-47BD-A35B-A1132E236993}"/>
    <cellStyle name="Comma 7 2 2 6 9" xfId="19028" xr:uid="{73829E6B-301C-4EE0-919A-EECB2D6334AD}"/>
    <cellStyle name="Comma 7 2 2 7" xfId="14526" xr:uid="{41472848-5210-4EF8-9166-3E736C0F1F1F}"/>
    <cellStyle name="Comma 7 2 2 7 2" xfId="22073" xr:uid="{DB540E07-E11C-4065-9C6C-CFA6A24C41ED}"/>
    <cellStyle name="Comma 7 2 2 7 3" xfId="47924" xr:uid="{BA46033D-567B-4D10-A501-1EB0A8B33E91}"/>
    <cellStyle name="Comma 7 2 2 7 4" xfId="51411" xr:uid="{3399B709-51A9-4AF2-84F3-5AEC06934671}"/>
    <cellStyle name="Comma 7 2 2 7 5" xfId="54427" xr:uid="{2CED8CE1-3645-4977-9AC7-9C8E8F663870}"/>
    <cellStyle name="Comma 7 2 2 7 6" xfId="19049" xr:uid="{E27D4554-5DC4-417B-B7E1-ADCB5B1941BC}"/>
    <cellStyle name="Comma 7 2 2 8" xfId="15010" xr:uid="{643C8BEC-1BA5-43C4-9E3F-3AB84FFBF31D}"/>
    <cellStyle name="Comma 7 2 2 8 2" xfId="22550" xr:uid="{99F89591-73EC-442C-9F65-000A35422410}"/>
    <cellStyle name="Comma 7 2 2 8 3" xfId="32509" xr:uid="{79EBF673-D508-4462-9C52-5941DCE78270}"/>
    <cellStyle name="Comma 7 2 2 8 4" xfId="51888" xr:uid="{D203C826-109D-40FB-814D-06B5F789EA2E}"/>
    <cellStyle name="Comma 7 2 2 8 5" xfId="54904" xr:uid="{9C4CE3FF-42E6-4CC3-A98A-84DBE0957213}"/>
    <cellStyle name="Comma 7 2 2 8 6" xfId="19191" xr:uid="{0CF7428A-497C-482E-910B-1F3BCD432BA8}"/>
    <cellStyle name="Comma 7 2 2 9" xfId="15497" xr:uid="{6C11AC9C-A2DA-4845-9935-C4E94F48D51E}"/>
    <cellStyle name="Comma 7 2 2 9 2" xfId="23027" xr:uid="{CE53FE22-6980-4F40-9415-EBE0F412904C}"/>
    <cellStyle name="Comma 7 2 2 9 3" xfId="46927" xr:uid="{50A5ADDF-8A7E-41FF-A4E9-57B5EB658088}"/>
    <cellStyle name="Comma 7 2 2 9 4" xfId="52365" xr:uid="{9F2A7A68-5460-4E41-91EC-6BFA14838C0D}"/>
    <cellStyle name="Comma 7 2 2 9 5" xfId="55381" xr:uid="{38E6F906-D7BD-4E55-85B9-E0CA2B60A3E2}"/>
    <cellStyle name="Comma 7 2 2 9 6" xfId="19336" xr:uid="{A02EEC4C-C093-48BE-A4C3-0CBFC42DACAE}"/>
    <cellStyle name="Comma 7 2 3" xfId="10037" xr:uid="{EDAC0BA2-8DF2-41E7-B564-925153BB3F59}"/>
    <cellStyle name="Comma 7 2 3 10" xfId="49581" xr:uid="{A06C92B5-D36F-486E-9C5D-8231B03826F7}"/>
    <cellStyle name="Comma 7 2 3 11" xfId="49880" xr:uid="{6313612F-8F32-4251-B498-890048072C1B}"/>
    <cellStyle name="Comma 7 2 3 12" xfId="52896" xr:uid="{312C8D52-5278-4ECC-9743-F6F666E6C080}"/>
    <cellStyle name="Comma 7 2 3 13" xfId="18753" xr:uid="{EBF106D5-9B80-44F7-A5B5-F2AEEBB2F12D}"/>
    <cellStyle name="Comma 7 2 3 2" xfId="10345" xr:uid="{AAAA12CD-3F31-4BE8-8C29-63494226D257}"/>
    <cellStyle name="Comma 7 2 3 2 2" xfId="14790" xr:uid="{19532521-7823-4E07-AD3A-C432C5BCC98D}"/>
    <cellStyle name="Comma 7 2 3 2 2 2" xfId="22337" xr:uid="{02CCF6A2-F475-46D7-ACAE-B0EDB5A2550B}"/>
    <cellStyle name="Comma 7 2 3 2 2 3" xfId="24949" xr:uid="{5995805E-440D-444D-945E-A237426FCD68}"/>
    <cellStyle name="Comma 7 2 3 2 2 4" xfId="51675" xr:uid="{631BBD58-7D82-4B52-A20A-52E510DB5BDA}"/>
    <cellStyle name="Comma 7 2 3 2 2 5" xfId="54691" xr:uid="{5EFE5C6B-F748-41A2-B730-0E73585BA8AD}"/>
    <cellStyle name="Comma 7 2 3 2 2 6" xfId="19123" xr:uid="{D79B7217-47CA-405F-B58D-23735A406719}"/>
    <cellStyle name="Comma 7 2 3 2 3" xfId="15275" xr:uid="{970D3BA8-E1E9-4C56-A8F5-CD5BC7894CC9}"/>
    <cellStyle name="Comma 7 2 3 2 3 2" xfId="22814" xr:uid="{8DC923C4-ECF1-4C05-9611-F7E293B2DC00}"/>
    <cellStyle name="Comma 7 2 3 2 3 3" xfId="46507" xr:uid="{76FEC331-7351-4996-9DE6-EEA4EA4BBBAE}"/>
    <cellStyle name="Comma 7 2 3 2 3 4" xfId="52152" xr:uid="{E598C606-E250-4D78-9EE6-325B28BE707B}"/>
    <cellStyle name="Comma 7 2 3 2 3 5" xfId="55168" xr:uid="{0963A074-75D8-48B9-BD8C-4BFA92C3A040}"/>
    <cellStyle name="Comma 7 2 3 2 3 6" xfId="19266" xr:uid="{8FB63018-DCCB-44F1-AE9F-5995E6C79DE8}"/>
    <cellStyle name="Comma 7 2 3 2 4" xfId="15762" xr:uid="{41F77561-DA3F-477A-B851-EAB64DCAE1EC}"/>
    <cellStyle name="Comma 7 2 3 2 4 2" xfId="23291" xr:uid="{F6E5DB1B-0B17-41A5-B63D-A6EF9287CB80}"/>
    <cellStyle name="Comma 7 2 3 2 4 3" xfId="46581" xr:uid="{767FC574-E1DE-414A-A5DC-79208FEAF203}"/>
    <cellStyle name="Comma 7 2 3 2 4 4" xfId="52629" xr:uid="{267D58AA-CB4B-423F-9795-77CC9D517D3B}"/>
    <cellStyle name="Comma 7 2 3 2 4 5" xfId="55645" xr:uid="{63624EF1-B99F-4A15-896D-C7EE59DE60EE}"/>
    <cellStyle name="Comma 7 2 3 2 4 6" xfId="19411" xr:uid="{E49487A0-F224-4FCD-A211-88D2E7790A67}"/>
    <cellStyle name="Comma 7 2 3 2 5" xfId="12798" xr:uid="{050E8902-A702-460C-B25E-5476CC9FE7F7}"/>
    <cellStyle name="Comma 7 2 3 2 5 2" xfId="25054" xr:uid="{9CED7D05-D7C3-4AC6-8BED-BB82846EF680}"/>
    <cellStyle name="Comma 7 2 3 2 5 3" xfId="51198" xr:uid="{FD4AACA4-FF61-4E6A-A032-1D8CFDCACA44}"/>
    <cellStyle name="Comma 7 2 3 2 5 4" xfId="54214" xr:uid="{B1FABB64-0CE3-4CA0-870B-B1E29A09583E}"/>
    <cellStyle name="Comma 7 2 3 2 5 5" xfId="21981" xr:uid="{C7B767F6-FF3B-43AD-8BC2-8621B71B0FA9}"/>
    <cellStyle name="Comma 7 2 3 2 6" xfId="46093" xr:uid="{D71FAE51-93E1-44DD-BE5F-148EAFF9C678}"/>
    <cellStyle name="Comma 7 2 3 2 7" xfId="50092" xr:uid="{6551431C-76D5-4E74-9F50-4CD75332585F}"/>
    <cellStyle name="Comma 7 2 3 2 8" xfId="53108" xr:uid="{9EF4F559-7B9E-42C2-BB4D-DDF0DB9DFBAA}"/>
    <cellStyle name="Comma 7 2 3 2 9" xfId="18902" xr:uid="{91638DDC-D99E-491B-AF68-B21A25A336A9}"/>
    <cellStyle name="Comma 7 2 3 3" xfId="14578" xr:uid="{D11492A8-BBB2-4DF6-B0BE-A9896094BA29}"/>
    <cellStyle name="Comma 7 2 3 3 2" xfId="22125" xr:uid="{DCE04429-9088-4B23-9A8D-E2F819EF4F85}"/>
    <cellStyle name="Comma 7 2 3 3 3" xfId="47925" xr:uid="{2BA41897-C4BB-433C-87C5-779D3AA24E02}"/>
    <cellStyle name="Comma 7 2 3 3 4" xfId="51463" xr:uid="{C235C18E-C893-43EC-A968-0C5142278BF8}"/>
    <cellStyle name="Comma 7 2 3 3 5" xfId="54479" xr:uid="{3AF9E28A-B119-44DD-8452-6C8C08D57A32}"/>
    <cellStyle name="Comma 7 2 3 3 6" xfId="19063" xr:uid="{89E01F2A-6D75-4B34-AB62-5B64F6CA4860}"/>
    <cellStyle name="Comma 7 2 3 4" xfId="15062" xr:uid="{97ECC998-43AC-41C8-B02A-448A3629F97D}"/>
    <cellStyle name="Comma 7 2 3 4 2" xfId="22602" xr:uid="{87C55F82-BEB8-4CCE-B6AD-C7EED05EDE23}"/>
    <cellStyle name="Comma 7 2 3 4 3" xfId="48549" xr:uid="{5663B7AF-E13E-4D72-B248-06C994E30960}"/>
    <cellStyle name="Comma 7 2 3 4 4" xfId="51940" xr:uid="{0B09B769-D794-4546-AFCC-343FA93ABD30}"/>
    <cellStyle name="Comma 7 2 3 4 5" xfId="54956" xr:uid="{E1D151A9-7660-419E-8E25-534DAF8C22EF}"/>
    <cellStyle name="Comma 7 2 3 4 6" xfId="19205" xr:uid="{DEB2B427-284B-4826-B8D3-0ACAA289A287}"/>
    <cellStyle name="Comma 7 2 3 5" xfId="15549" xr:uid="{D5790444-13F4-48F6-8BBD-7A58B9B3B5B6}"/>
    <cellStyle name="Comma 7 2 3 5 2" xfId="23079" xr:uid="{C9419385-5257-4EA5-BF2E-84A29B2DE739}"/>
    <cellStyle name="Comma 7 2 3 5 3" xfId="46549" xr:uid="{AA153663-98FB-419B-A2A4-B86A8BD29BD9}"/>
    <cellStyle name="Comma 7 2 3 5 4" xfId="52417" xr:uid="{36EBB0C9-E0B5-4A32-88A5-4AAA69E13915}"/>
    <cellStyle name="Comma 7 2 3 5 5" xfId="55433" xr:uid="{17D37487-1F3B-41FE-9080-F34C46BAEA87}"/>
    <cellStyle name="Comma 7 2 3 5 6" xfId="19350" xr:uid="{E6C7E434-735E-458A-A18A-FCFA2D806921}"/>
    <cellStyle name="Comma 7 2 3 6" xfId="12497" xr:uid="{5B4E1E8A-8234-49AB-90C5-E83F43803C1E}"/>
    <cellStyle name="Comma 7 2 3 6 2" xfId="47914" xr:uid="{6F177343-CD2C-453B-9B97-ED84DE928799}"/>
    <cellStyle name="Comma 7 2 3 6 3" xfId="50986" xr:uid="{57EB2A22-229E-4F15-9341-B6F9936A2287}"/>
    <cellStyle name="Comma 7 2 3 6 4" xfId="54002" xr:uid="{6243B62B-34E3-442E-A880-41F070091E75}"/>
    <cellStyle name="Comma 7 2 3 6 5" xfId="21920" xr:uid="{0D3A8CC8-AA8E-426A-B7E5-22996C60D068}"/>
    <cellStyle name="Comma 7 2 3 7" xfId="23802" xr:uid="{2018C2C0-D6D4-49C4-9CB1-71BA87B4117D}"/>
    <cellStyle name="Comma 7 2 3 8" xfId="48087" xr:uid="{07D14F0B-5ECD-4184-9C1D-5791AEF69018}"/>
    <cellStyle name="Comma 7 2 3 9" xfId="48673" xr:uid="{7430AFB3-095D-4B50-80EC-D3D8699A8832}"/>
    <cellStyle name="Comma 7 2 4" xfId="10111" xr:uid="{BBFC8DDB-2E2C-40D6-9268-DAA2B7E3E8B1}"/>
    <cellStyle name="Comma 7 2 4 10" xfId="18786" xr:uid="{B58A18A1-3914-4B96-A611-A6DECB62C7AD}"/>
    <cellStyle name="Comma 7 2 4 2" xfId="10424" xr:uid="{86B6E211-8A83-4853-B693-4291BABEE9E7}"/>
    <cellStyle name="Comma 7 2 4 2 2" xfId="14843" xr:uid="{15189E8A-5D03-494F-8D51-35D3C744F52C}"/>
    <cellStyle name="Comma 7 2 4 2 2 2" xfId="22390" xr:uid="{5EE9D28B-1534-462C-B9B1-41F983974DBE}"/>
    <cellStyle name="Comma 7 2 4 2 2 3" xfId="47336" xr:uid="{069B67E1-EDEA-44D8-96F8-24E3B2B43B77}"/>
    <cellStyle name="Comma 7 2 4 2 2 4" xfId="51728" xr:uid="{1C733717-0EE9-4CEB-91EE-B59CCC1A8DB3}"/>
    <cellStyle name="Comma 7 2 4 2 2 5" xfId="54744" xr:uid="{F51F206C-EB65-46F6-9446-687AEE128C63}"/>
    <cellStyle name="Comma 7 2 4 2 2 6" xfId="19138" xr:uid="{2ECC0FB9-CB98-4DF7-86F7-F2ED185AB986}"/>
    <cellStyle name="Comma 7 2 4 2 3" xfId="15328" xr:uid="{30D11ACE-69F2-4EC5-AE8A-BDE3CF3D9D67}"/>
    <cellStyle name="Comma 7 2 4 2 3 2" xfId="22867" xr:uid="{A3C7C5BF-C068-4576-A584-4B342D7FD6C2}"/>
    <cellStyle name="Comma 7 2 4 2 3 3" xfId="47153" xr:uid="{A0D11710-4FBA-4D60-AB0F-B6BC079871E4}"/>
    <cellStyle name="Comma 7 2 4 2 3 4" xfId="52205" xr:uid="{306F309F-19C3-4A3A-8F2D-C54BF9AC2F61}"/>
    <cellStyle name="Comma 7 2 4 2 3 5" xfId="55221" xr:uid="{4FB7FAAC-32EF-41BA-80F0-C5C876E041C6}"/>
    <cellStyle name="Comma 7 2 4 2 3 6" xfId="19281" xr:uid="{F1085AE0-63AD-47CD-9DD6-3E66E37337D2}"/>
    <cellStyle name="Comma 7 2 4 2 4" xfId="15815" xr:uid="{39789BD2-508C-43E7-B11F-DB8A1E4261F4}"/>
    <cellStyle name="Comma 7 2 4 2 4 2" xfId="23344" xr:uid="{62D20452-427F-4B45-92DC-D4DA87EB398D}"/>
    <cellStyle name="Comma 7 2 4 2 4 3" xfId="48371" xr:uid="{8F72E39E-AB41-431F-824D-4EE8AD437752}"/>
    <cellStyle name="Comma 7 2 4 2 4 4" xfId="52682" xr:uid="{ED85FD00-5B5E-4DB3-B269-6E057FBC998E}"/>
    <cellStyle name="Comma 7 2 4 2 4 5" xfId="55698" xr:uid="{12A5E368-7461-497F-9899-9DD26AD31DA5}"/>
    <cellStyle name="Comma 7 2 4 2 4 6" xfId="19426" xr:uid="{C7519C83-A7BE-4E1F-BF01-590229854528}"/>
    <cellStyle name="Comma 7 2 4 2 5" xfId="12877" xr:uid="{00A07775-7DAA-44F9-9EAA-A0E6520736A2}"/>
    <cellStyle name="Comma 7 2 4 2 5 2" xfId="46365" xr:uid="{2FD227F3-30E8-4128-9192-52CD36ACB6ED}"/>
    <cellStyle name="Comma 7 2 4 2 5 3" xfId="51251" xr:uid="{D33F1875-4ADC-44C7-B0F5-658C98714314}"/>
    <cellStyle name="Comma 7 2 4 2 5 4" xfId="54267" xr:uid="{7E6C9C19-6A1D-4F4B-997E-ADAAE5000F1C}"/>
    <cellStyle name="Comma 7 2 4 2 5 5" xfId="21996" xr:uid="{A1E0BA6D-4E66-4E96-BC80-0F4ABCE85792}"/>
    <cellStyle name="Comma 7 2 4 2 6" xfId="47585" xr:uid="{AD92A2E1-FCAE-46A2-A50A-91EA87E62981}"/>
    <cellStyle name="Comma 7 2 4 2 7" xfId="50145" xr:uid="{83A72E4F-E83D-4F94-A4C2-AC4C64B77EE9}"/>
    <cellStyle name="Comma 7 2 4 2 8" xfId="53161" xr:uid="{769259B2-4BF8-4FD9-AD8B-007B14E3CF58}"/>
    <cellStyle name="Comma 7 2 4 2 9" xfId="18943" xr:uid="{9E5CB217-3E7F-48F5-9084-DAE8C21A5C90}"/>
    <cellStyle name="Comma 7 2 4 3" xfId="14631" xr:uid="{4DAD2B5C-3CBF-4A57-9BC2-19FF61ECF20D}"/>
    <cellStyle name="Comma 7 2 4 3 2" xfId="22178" xr:uid="{9514C1E9-34F3-4A5D-9ACA-011171F45A1E}"/>
    <cellStyle name="Comma 7 2 4 3 3" xfId="47829" xr:uid="{D3E1CC15-07AB-4444-BB5B-09AD09163439}"/>
    <cellStyle name="Comma 7 2 4 3 4" xfId="51516" xr:uid="{2DD1FEFC-6ECB-4515-9D0C-28B1E61F5142}"/>
    <cellStyle name="Comma 7 2 4 3 5" xfId="54532" xr:uid="{BC427647-DC62-4F48-A7E9-467A1652E4DA}"/>
    <cellStyle name="Comma 7 2 4 3 6" xfId="19078" xr:uid="{47C3B390-6E4C-4225-8BC3-F40F5F45B887}"/>
    <cellStyle name="Comma 7 2 4 4" xfId="15116" xr:uid="{00731319-0643-4005-A6A1-DFFC78D5D36A}"/>
    <cellStyle name="Comma 7 2 4 4 2" xfId="22655" xr:uid="{CB99D408-FF44-4CF3-9EF5-6EC3DF9EE366}"/>
    <cellStyle name="Comma 7 2 4 4 3" xfId="48358" xr:uid="{670F9333-99E9-48A5-9BF1-00B3DAE16239}"/>
    <cellStyle name="Comma 7 2 4 4 4" xfId="51993" xr:uid="{1BC1C07D-6121-4470-AE25-1BCD6198B423}"/>
    <cellStyle name="Comma 7 2 4 4 5" xfId="55009" xr:uid="{0EA58DB9-36ED-47AD-96E0-2E9B05C38F03}"/>
    <cellStyle name="Comma 7 2 4 4 6" xfId="19221" xr:uid="{96665515-0188-4EBE-B04E-F5BDCE585A9D}"/>
    <cellStyle name="Comma 7 2 4 5" xfId="15603" xr:uid="{5D8C2111-EB3D-4E03-91DC-560C7F2A7175}"/>
    <cellStyle name="Comma 7 2 4 5 2" xfId="23132" xr:uid="{D5D4F8F4-8EFE-44AE-9AAF-516C60418479}"/>
    <cellStyle name="Comma 7 2 4 5 3" xfId="47864" xr:uid="{9F69EA9F-4D28-4A23-BC8F-374A7C58E511}"/>
    <cellStyle name="Comma 7 2 4 5 4" xfId="52470" xr:uid="{8FC9E64E-2E34-43F7-A8F0-2B06D938C8BA}"/>
    <cellStyle name="Comma 7 2 4 5 5" xfId="55486" xr:uid="{212EEC72-3C85-4DF5-BD38-F3F2A7F1577C}"/>
    <cellStyle name="Comma 7 2 4 5 6" xfId="19366" xr:uid="{251700BD-2C55-41AF-891F-9D28A3E90CD1}"/>
    <cellStyle name="Comma 7 2 4 6" xfId="12568" xr:uid="{C2E4CC96-FA9F-4747-8782-E7A211E3A76D}"/>
    <cellStyle name="Comma 7 2 4 6 2" xfId="25075" xr:uid="{AD350CE7-515B-4F77-B964-D807C9ED9E66}"/>
    <cellStyle name="Comma 7 2 4 6 3" xfId="51039" xr:uid="{25F70CFB-7620-4779-98F2-62C920A3900C}"/>
    <cellStyle name="Comma 7 2 4 6 4" xfId="54055" xr:uid="{41C9D863-3DE4-45DA-92F7-9A04EDCA7F53}"/>
    <cellStyle name="Comma 7 2 4 6 5" xfId="21936" xr:uid="{3E6A9B95-5AB7-436A-AE9B-D1DFB7267268}"/>
    <cellStyle name="Comma 7 2 4 7" xfId="46051" xr:uid="{FBDC20E3-B069-4755-B6DE-89198AF9DC79}"/>
    <cellStyle name="Comma 7 2 4 8" xfId="49933" xr:uid="{7E71BC37-7012-40DF-BAC1-D5B6F3D6DD12}"/>
    <cellStyle name="Comma 7 2 4 9" xfId="52949" xr:uid="{D4315D1A-DB4E-4DF7-B6EB-0CDAF8C1A8BE}"/>
    <cellStyle name="Comma 7 2 5" xfId="10190" xr:uid="{3C44AAB5-DD69-4C83-ADAA-4CDE08EE75FF}"/>
    <cellStyle name="Comma 7 2 5 10" xfId="18824" xr:uid="{010438F6-B6F8-4DDA-A530-B78FA973D5C4}"/>
    <cellStyle name="Comma 7 2 5 2" xfId="10504" xr:uid="{552A56BA-608D-4978-A9C3-4596351DC23B}"/>
    <cellStyle name="Comma 7 2 5 2 2" xfId="14896" xr:uid="{1BEBE06E-848D-4DFE-B8ED-6BCACDEC1FCC}"/>
    <cellStyle name="Comma 7 2 5 2 2 2" xfId="22443" xr:uid="{FC394457-C0D8-4605-A40C-483374EA0BCB}"/>
    <cellStyle name="Comma 7 2 5 2 2 3" xfId="47337" xr:uid="{018E6449-E605-466A-9D5C-6F37828415E3}"/>
    <cellStyle name="Comma 7 2 5 2 2 4" xfId="51781" xr:uid="{725A674F-C376-407A-9D49-7DFB919616F0}"/>
    <cellStyle name="Comma 7 2 5 2 2 5" xfId="54797" xr:uid="{95FE89F9-7FF7-4F8B-A194-74374940238B}"/>
    <cellStyle name="Comma 7 2 5 2 2 6" xfId="19153" xr:uid="{22782128-996F-4EDA-BF6B-B637F4EF777F}"/>
    <cellStyle name="Comma 7 2 5 2 3" xfId="15381" xr:uid="{2085037B-2071-4914-991B-3E45A37D4FA1}"/>
    <cellStyle name="Comma 7 2 5 2 3 2" xfId="22920" xr:uid="{33CE3C7D-1623-496D-B621-2DE63E5F115B}"/>
    <cellStyle name="Comma 7 2 5 2 3 3" xfId="47723" xr:uid="{10BAB97A-1A42-4E30-A347-F2EBCCAC54C2}"/>
    <cellStyle name="Comma 7 2 5 2 3 4" xfId="52258" xr:uid="{E964C97F-483F-4D9D-9455-9C93C85F83FC}"/>
    <cellStyle name="Comma 7 2 5 2 3 5" xfId="55274" xr:uid="{00F4CD77-07E7-4027-8D4F-02C929BDD524}"/>
    <cellStyle name="Comma 7 2 5 2 3 6" xfId="19296" xr:uid="{4757B92A-DAE2-4B79-BCD7-48A9F6E9D94B}"/>
    <cellStyle name="Comma 7 2 5 2 4" xfId="15868" xr:uid="{7CEE8030-CD57-49C0-91EE-B1F1E8D5FA72}"/>
    <cellStyle name="Comma 7 2 5 2 4 2" xfId="23397" xr:uid="{A5A0DC24-676C-4798-AF42-F814B338DCCA}"/>
    <cellStyle name="Comma 7 2 5 2 4 3" xfId="48312" xr:uid="{97DDC876-67A9-4AC9-83B0-74BCDDF2966B}"/>
    <cellStyle name="Comma 7 2 5 2 4 4" xfId="52735" xr:uid="{34B5FC94-78E4-4E0F-98ED-3D7887B3CD93}"/>
    <cellStyle name="Comma 7 2 5 2 4 5" xfId="55751" xr:uid="{D310C00D-37B4-4754-97CD-8CCFB580EEE8}"/>
    <cellStyle name="Comma 7 2 5 2 4 6" xfId="19441" xr:uid="{69D88397-E200-4A74-874B-0ED81E033A4E}"/>
    <cellStyle name="Comma 7 2 5 2 5" xfId="12957" xr:uid="{5DD5A2F6-4A70-4379-915C-9D0D870F9E17}"/>
    <cellStyle name="Comma 7 2 5 2 5 2" xfId="32310" xr:uid="{377285F5-6E47-460C-B3EB-2DA3655ED223}"/>
    <cellStyle name="Comma 7 2 5 2 5 3" xfId="51304" xr:uid="{11F83FF0-0FF3-4F83-961B-71B618DAA696}"/>
    <cellStyle name="Comma 7 2 5 2 5 4" xfId="54320" xr:uid="{07CD6226-2FB0-4D0D-A034-7A06824EB54A}"/>
    <cellStyle name="Comma 7 2 5 2 5 5" xfId="22011" xr:uid="{3C1256FC-BD67-44F5-B96D-D05E47567B23}"/>
    <cellStyle name="Comma 7 2 5 2 6" xfId="46140" xr:uid="{AD8BE06F-CF33-4D50-A9D8-9E107950B609}"/>
    <cellStyle name="Comma 7 2 5 2 7" xfId="50198" xr:uid="{70692415-6C70-4E82-9059-176114D64B38}"/>
    <cellStyle name="Comma 7 2 5 2 8" xfId="53214" xr:uid="{1C5C6023-8A17-4EC0-A223-160A07706DFA}"/>
    <cellStyle name="Comma 7 2 5 2 9" xfId="18985" xr:uid="{E6F05C8B-A5D7-4FBD-866D-688029963F66}"/>
    <cellStyle name="Comma 7 2 5 3" xfId="14684" xr:uid="{1A997AFD-7289-4B7B-ABC1-18B63C12E9B9}"/>
    <cellStyle name="Comma 7 2 5 3 2" xfId="22231" xr:uid="{59788F4D-7DF7-47C8-8341-64070438C2B4}"/>
    <cellStyle name="Comma 7 2 5 3 3" xfId="46417" xr:uid="{862E7DC7-821E-436B-A45B-FCC766BB8158}"/>
    <cellStyle name="Comma 7 2 5 3 4" xfId="51569" xr:uid="{A5C81BD7-ED42-4B22-BBC9-F5DC19EB7B91}"/>
    <cellStyle name="Comma 7 2 5 3 5" xfId="54585" xr:uid="{3390B2A0-E334-4C8D-B422-BC73EBC05195}"/>
    <cellStyle name="Comma 7 2 5 3 6" xfId="19093" xr:uid="{2A18B973-51FB-4757-81DF-3A4A32479D96}"/>
    <cellStyle name="Comma 7 2 5 4" xfId="15169" xr:uid="{F91838CD-839D-4BA0-8831-650AA8305900}"/>
    <cellStyle name="Comma 7 2 5 4 2" xfId="22708" xr:uid="{8C1214D5-6D2C-4FDE-A935-0B4FD87B228B}"/>
    <cellStyle name="Comma 7 2 5 4 3" xfId="47980" xr:uid="{CCFB87AB-AD71-4E16-B5F7-63DDE28B6FA2}"/>
    <cellStyle name="Comma 7 2 5 4 4" xfId="52046" xr:uid="{F45E3F67-7E63-4CBA-93A7-872DF56D9053}"/>
    <cellStyle name="Comma 7 2 5 4 5" xfId="55062" xr:uid="{2E6699B9-6580-41BC-A3F6-3CF81E1EE8BB}"/>
    <cellStyle name="Comma 7 2 5 4 6" xfId="19236" xr:uid="{EB205606-00E4-4DE5-B370-C82EC32B8B70}"/>
    <cellStyle name="Comma 7 2 5 5" xfId="15656" xr:uid="{8BDB6BC9-35C5-4B66-B961-D6AD9208FB77}"/>
    <cellStyle name="Comma 7 2 5 5 2" xfId="23185" xr:uid="{9DE8CD74-2D9A-43D4-B63D-E29A38713AAF}"/>
    <cellStyle name="Comma 7 2 5 5 3" xfId="47551" xr:uid="{88E2EFE6-BCD2-4F97-830D-D4E00C094EE9}"/>
    <cellStyle name="Comma 7 2 5 5 4" xfId="52523" xr:uid="{2F10D6F2-16D0-4E1C-847E-9D3564462A01}"/>
    <cellStyle name="Comma 7 2 5 5 5" xfId="55539" xr:uid="{B5D8215C-6605-4661-BC20-ECB6CF9A9DCA}"/>
    <cellStyle name="Comma 7 2 5 5 6" xfId="19381" xr:uid="{523EA2BF-6D0B-4E57-AE59-74B05F8E325E}"/>
    <cellStyle name="Comma 7 2 5 6" xfId="12644" xr:uid="{A5369DDA-353E-4F55-8D20-A674808BCFB1}"/>
    <cellStyle name="Comma 7 2 5 6 2" xfId="47468" xr:uid="{5CAA927F-C1C0-4D40-98D6-38D662D2A415}"/>
    <cellStyle name="Comma 7 2 5 6 3" xfId="51092" xr:uid="{987EBABC-21A4-4F3C-8997-5B6705CDA748}"/>
    <cellStyle name="Comma 7 2 5 6 4" xfId="54108" xr:uid="{F151ABB6-025C-4F8B-A344-7C65A0C52BC0}"/>
    <cellStyle name="Comma 7 2 5 6 5" xfId="21951" xr:uid="{E545EACC-8554-4A3E-B1F7-0AE9D3E5E201}"/>
    <cellStyle name="Comma 7 2 5 7" xfId="47700" xr:uid="{648A71EA-52CF-422D-8EF5-ED271027B715}"/>
    <cellStyle name="Comma 7 2 5 8" xfId="49986" xr:uid="{52DD4249-42D8-498B-B7C5-5BCBB78353ED}"/>
    <cellStyle name="Comma 7 2 5 9" xfId="53002" xr:uid="{8B75BE11-A886-42BA-BB5A-609D98D2363C}"/>
    <cellStyle name="Comma 7 2 6" xfId="10270" xr:uid="{D54AD388-9AFA-45A6-85F7-A54030927CD1}"/>
    <cellStyle name="Comma 7 2 6 2" xfId="14737" xr:uid="{1205C72F-F724-4BE6-9919-BD21878ECE8F}"/>
    <cellStyle name="Comma 7 2 6 2 2" xfId="22284" xr:uid="{9FD2E44C-9DE4-4FB6-8DAE-043242BE7160}"/>
    <cellStyle name="Comma 7 2 6 2 3" xfId="24667" xr:uid="{E9F043C2-A250-46E1-AE5D-F11963ACFA08}"/>
    <cellStyle name="Comma 7 2 6 2 4" xfId="51622" xr:uid="{A2AB2BDB-8138-435F-98FD-094BA1504B47}"/>
    <cellStyle name="Comma 7 2 6 2 5" xfId="54638" xr:uid="{72A52BC3-0829-4637-AA2B-47959163C5B1}"/>
    <cellStyle name="Comma 7 2 6 2 6" xfId="19108" xr:uid="{43CF4816-C3E5-4480-9D28-77680F26C5BD}"/>
    <cellStyle name="Comma 7 2 6 3" xfId="15222" xr:uid="{0E5FDDD0-517A-426D-AC9F-7170CC2DDB93}"/>
    <cellStyle name="Comma 7 2 6 3 2" xfId="22761" xr:uid="{E67AED7B-7AC0-4282-8D4A-FC32DD0E2C40}"/>
    <cellStyle name="Comma 7 2 6 3 3" xfId="33361" xr:uid="{B63CFA3E-A3B6-4884-BD01-805C0B5AE3FA}"/>
    <cellStyle name="Comma 7 2 6 3 4" xfId="52099" xr:uid="{0E2D9553-BDB1-49ED-A2AD-4434C31A7D66}"/>
    <cellStyle name="Comma 7 2 6 3 5" xfId="55115" xr:uid="{7D7B2C49-7457-45FE-A8BC-BFCDD51A7AB0}"/>
    <cellStyle name="Comma 7 2 6 3 6" xfId="19251" xr:uid="{BF16B985-4C8A-46A9-BBE9-49F7A97FBE08}"/>
    <cellStyle name="Comma 7 2 6 4" xfId="15709" xr:uid="{87652A2E-0AA0-445E-B772-3E302E304544}"/>
    <cellStyle name="Comma 7 2 6 4 2" xfId="23238" xr:uid="{49F51294-5717-4E81-AE4C-6B5A18936B44}"/>
    <cellStyle name="Comma 7 2 6 4 3" xfId="47199" xr:uid="{3F633BEE-C991-40FC-AA21-2170596454DD}"/>
    <cellStyle name="Comma 7 2 6 4 4" xfId="52576" xr:uid="{6C8ADBA0-D895-4776-B1FC-7C98FD0C1ADE}"/>
    <cellStyle name="Comma 7 2 6 4 5" xfId="55592" xr:uid="{80EF63D9-00A9-43FE-A31E-2F3FD4FB2090}"/>
    <cellStyle name="Comma 7 2 6 4 6" xfId="19396" xr:uid="{A2C3C8C0-7446-4A72-8ABF-B222D10AA6BB}"/>
    <cellStyle name="Comma 7 2 6 5" xfId="12723" xr:uid="{2422063C-AB25-40BF-9B92-14A52E60F310}"/>
    <cellStyle name="Comma 7 2 6 5 2" xfId="46346" xr:uid="{CFE439B9-9097-4D3F-80AF-E068863DAE9F}"/>
    <cellStyle name="Comma 7 2 6 5 3" xfId="51145" xr:uid="{173CC878-6B6E-4737-AE4C-578DA16DDFD9}"/>
    <cellStyle name="Comma 7 2 6 5 4" xfId="54161" xr:uid="{4FB4019B-5374-4400-B711-96A89B9C7041}"/>
    <cellStyle name="Comma 7 2 6 5 5" xfId="21966" xr:uid="{B2AB15BD-C737-4FE6-AD07-E51C3048E0C9}"/>
    <cellStyle name="Comma 7 2 6 6" xfId="46078" xr:uid="{10DB647B-E2FD-46B3-A14B-EC20881296A5}"/>
    <cellStyle name="Comma 7 2 6 7" xfId="50039" xr:uid="{9A85E188-58FF-4B3D-9AA7-245BD9CA0352}"/>
    <cellStyle name="Comma 7 2 6 8" xfId="53055" xr:uid="{755A05E2-5BF1-4171-8B5A-B3E3BFD42596}"/>
    <cellStyle name="Comma 7 2 6 9" xfId="18865" xr:uid="{7CA1AB62-F5C7-4550-8E22-E4C1A387D510}"/>
    <cellStyle name="Comma 7 2 7" xfId="10584" xr:uid="{34CE1AFA-F8CF-4804-A448-929C8DAA30D5}"/>
    <cellStyle name="Comma 7 2 7 2" xfId="14949" xr:uid="{609DA48B-132E-42FF-8918-7296B8C1D781}"/>
    <cellStyle name="Comma 7 2 7 2 2" xfId="22496" xr:uid="{F98C9522-E988-4A3F-A6E4-8364B4B9F296}"/>
    <cellStyle name="Comma 7 2 7 2 3" xfId="32519" xr:uid="{82690535-435E-41BD-B59B-0BFD530CCC90}"/>
    <cellStyle name="Comma 7 2 7 2 4" xfId="51834" xr:uid="{185C2D70-E480-4EBD-8431-90376A5FBEB7}"/>
    <cellStyle name="Comma 7 2 7 2 5" xfId="54850" xr:uid="{3AE55E0E-65DB-40E0-9EF6-39A5C276EE71}"/>
    <cellStyle name="Comma 7 2 7 2 6" xfId="19168" xr:uid="{5AE2D99E-D351-4856-ACB1-07E7F6CD67DE}"/>
    <cellStyle name="Comma 7 2 7 3" xfId="15434" xr:uid="{A3221ED7-BD40-4445-BB25-644BFC6F2433}"/>
    <cellStyle name="Comma 7 2 7 3 2" xfId="22973" xr:uid="{08672A7C-EAA2-4BFD-AD45-A155AC867D16}"/>
    <cellStyle name="Comma 7 2 7 3 3" xfId="46921" xr:uid="{9B3F32B8-5B2C-4804-8CA0-85F0EF1ADD28}"/>
    <cellStyle name="Comma 7 2 7 3 4" xfId="52311" xr:uid="{1B2BBDA7-5389-4041-B97E-73E37992747D}"/>
    <cellStyle name="Comma 7 2 7 3 5" xfId="55327" xr:uid="{DAFDF975-F910-40BF-B47E-DE6576BC7DDB}"/>
    <cellStyle name="Comma 7 2 7 3 6" xfId="19311" xr:uid="{5D4FBF0A-655D-4DC8-B1DC-A8550ABCA60F}"/>
    <cellStyle name="Comma 7 2 7 4" xfId="15922" xr:uid="{22067A7E-469D-452C-9BE2-BF243B33910C}"/>
    <cellStyle name="Comma 7 2 7 4 2" xfId="23450" xr:uid="{37F347F5-F260-4F19-AB03-0C72127C78FE}"/>
    <cellStyle name="Comma 7 2 7 4 3" xfId="46607" xr:uid="{31F55AE4-15D7-45D7-B452-FA61599701F9}"/>
    <cellStyle name="Comma 7 2 7 4 4" xfId="52788" xr:uid="{A085A46A-D677-433F-9FB6-60D325124AD6}"/>
    <cellStyle name="Comma 7 2 7 4 5" xfId="55804" xr:uid="{EE46033F-EBB8-4E12-99A1-21EB95A946ED}"/>
    <cellStyle name="Comma 7 2 7 4 6" xfId="19457" xr:uid="{FB0A5503-71D4-4B39-9233-F5E52CA0C8AD}"/>
    <cellStyle name="Comma 7 2 7 5" xfId="13037" xr:uid="{B11523ED-9442-457E-AFBD-C42D1AF78542}"/>
    <cellStyle name="Comma 7 2 7 5 2" xfId="46824" xr:uid="{B1AE13A0-17DA-4784-8E49-7DCE1E9D576B}"/>
    <cellStyle name="Comma 7 2 7 5 3" xfId="51357" xr:uid="{776CF8D9-4EB7-429F-8480-6B6AEA851A61}"/>
    <cellStyle name="Comma 7 2 7 5 4" xfId="54373" xr:uid="{98375056-0BB3-45FE-A837-DA718DB0CE62}"/>
    <cellStyle name="Comma 7 2 7 5 5" xfId="22026" xr:uid="{FD96A9CA-355B-430E-BA83-E617295E4231}"/>
    <cellStyle name="Comma 7 2 7 6" xfId="46632" xr:uid="{71C19419-B2FD-4E30-ADD4-EF21CC9613A7}"/>
    <cellStyle name="Comma 7 2 7 7" xfId="50251" xr:uid="{06F02CDA-343A-41EA-867A-3AA42ED45898}"/>
    <cellStyle name="Comma 7 2 7 8" xfId="53267" xr:uid="{F6793E54-E343-4334-A4B4-610060A35824}"/>
    <cellStyle name="Comma 7 2 7 9" xfId="19027" xr:uid="{E156B25C-0D6B-4DC4-BA20-07E1BCBDF99C}"/>
    <cellStyle name="Comma 7 2 8" xfId="14179" xr:uid="{DD9EC279-E3F7-4264-80A3-EFCFE25A6672}"/>
    <cellStyle name="Comma 7 2 9" xfId="14525" xr:uid="{011DE29D-21F1-4B93-8921-C06737FCF98A}"/>
    <cellStyle name="Comma 7 2 9 2" xfId="22072" xr:uid="{0A9CE401-AC73-4D52-B3F7-3530C2D34567}"/>
    <cellStyle name="Comma 7 2 9 3" xfId="48346" xr:uid="{8A6F0D92-65BC-4282-99D9-83E4B3A75348}"/>
    <cellStyle name="Comma 7 2 9 4" xfId="51410" xr:uid="{09027355-78F7-4006-91CB-527FA16429DB}"/>
    <cellStyle name="Comma 7 2 9 5" xfId="54426" xr:uid="{D5AEB9F6-0AA0-4457-A680-FE20BB7324C8}"/>
    <cellStyle name="Comma 7 2 9 6" xfId="19048" xr:uid="{BE7272FF-831E-435B-BD38-0D7DDCC830CC}"/>
    <cellStyle name="Comma 7 3" xfId="5828" xr:uid="{B0E218BA-79FA-4D7C-88C4-20821E2A9CF4}"/>
    <cellStyle name="Comma 7 3 10" xfId="12179" xr:uid="{2406A6CB-C404-47AC-9B96-06664ECFE194}"/>
    <cellStyle name="Comma 7 3 10 2" xfId="48044" xr:uid="{A7E1F10A-D2F8-4436-8326-9CE24EE3299A}"/>
    <cellStyle name="Comma 7 3 10 3" xfId="50936" xr:uid="{5EB03BA9-6C79-43B5-A3D7-F8ACED5F1232}"/>
    <cellStyle name="Comma 7 3 10 4" xfId="53952" xr:uid="{3751A2A8-33B2-4CA5-9505-21668CEEE8F3}"/>
    <cellStyle name="Comma 7 3 10 5" xfId="21904" xr:uid="{2CB26E11-E77A-4C06-9917-472A8FEBD516}"/>
    <cellStyle name="Comma 7 3 11" xfId="23803" xr:uid="{F572EF32-E8AA-4A75-A2DA-15B93A7FF375}"/>
    <cellStyle name="Comma 7 3 12" xfId="47356" xr:uid="{590C49D5-723F-4C03-87FE-6AA5E7184401}"/>
    <cellStyle name="Comma 7 3 13" xfId="48674" xr:uid="{20AD38F6-6493-448B-B55A-73B8D6DEBE8A}"/>
    <cellStyle name="Comma 7 3 14" xfId="49582" xr:uid="{216C1055-2990-42DA-9997-0846592C76BF}"/>
    <cellStyle name="Comma 7 3 15" xfId="49829" xr:uid="{CB59C9E5-14F5-412B-95D0-6DE42582EF57}"/>
    <cellStyle name="Comma 7 3 16" xfId="52844" xr:uid="{0F9A2EDE-2AA7-47AE-AD01-E237069F6834}"/>
    <cellStyle name="Comma 7 3 17" xfId="18566" xr:uid="{6A8F541C-40DA-4684-9C8E-7C0AC714AD85}"/>
    <cellStyle name="Comma 7 3 18" xfId="8952" xr:uid="{A85EECCF-4A13-455D-AFA0-6D27CBB0FB94}"/>
    <cellStyle name="Comma 7 3 2" xfId="10039" xr:uid="{6B7E6935-9244-48CC-9FC6-D81F4039CD34}"/>
    <cellStyle name="Comma 7 3 2 10" xfId="18755" xr:uid="{DC2E544F-79DC-4592-8060-7E12614F83DD}"/>
    <cellStyle name="Comma 7 3 2 2" xfId="10347" xr:uid="{04867D83-2834-43F8-9F31-9A0405F15E8B}"/>
    <cellStyle name="Comma 7 3 2 2 2" xfId="14792" xr:uid="{D565F302-FFA6-4A29-BDF8-73C81D98D488}"/>
    <cellStyle name="Comma 7 3 2 2 2 2" xfId="22339" xr:uid="{A7E92EC5-9983-4DC5-B432-73320B303964}"/>
    <cellStyle name="Comma 7 3 2 2 2 3" xfId="46862" xr:uid="{F521C4C3-7DDA-4EE2-B312-5144CB37FD02}"/>
    <cellStyle name="Comma 7 3 2 2 2 4" xfId="51677" xr:uid="{26DA1FCC-82F2-4B43-94C8-D8ED7D2C6734}"/>
    <cellStyle name="Comma 7 3 2 2 2 5" xfId="54693" xr:uid="{693899CF-D4E1-4F95-A42D-DF87FAE9B5B7}"/>
    <cellStyle name="Comma 7 3 2 2 2 6" xfId="19125" xr:uid="{0CF968E2-97BA-48FA-AA09-70CFBBE7D073}"/>
    <cellStyle name="Comma 7 3 2 2 3" xfId="15277" xr:uid="{EA3CF829-B8A2-4F87-899D-A8AF71BCBFDD}"/>
    <cellStyle name="Comma 7 3 2 2 3 2" xfId="22816" xr:uid="{11F47D1C-6C53-4413-B236-BF0E4FDB4AD7}"/>
    <cellStyle name="Comma 7 3 2 2 3 3" xfId="48416" xr:uid="{D1A46D4D-6111-4D1B-B182-59A6F22B5B93}"/>
    <cellStyle name="Comma 7 3 2 2 3 4" xfId="52154" xr:uid="{BA0907FA-3632-4257-8E58-EE1F6E38A422}"/>
    <cellStyle name="Comma 7 3 2 2 3 5" xfId="55170" xr:uid="{67BF3F6B-1A7C-4336-88C7-594F55C9706A}"/>
    <cellStyle name="Comma 7 3 2 2 3 6" xfId="19268" xr:uid="{5AECA354-601F-4683-9F53-97AA72EEA20E}"/>
    <cellStyle name="Comma 7 3 2 2 4" xfId="15764" xr:uid="{BE4A1CEA-27B0-43E7-AEC3-5414116881D1}"/>
    <cellStyle name="Comma 7 3 2 2 4 2" xfId="23293" xr:uid="{6B459495-39DC-4440-8A67-F9364CC2BD45}"/>
    <cellStyle name="Comma 7 3 2 2 4 3" xfId="47256" xr:uid="{AEB86C42-44C9-4212-AEBC-A08D99FAE9B9}"/>
    <cellStyle name="Comma 7 3 2 2 4 4" xfId="52631" xr:uid="{96274523-582D-4F7F-A076-9B8CD9669057}"/>
    <cellStyle name="Comma 7 3 2 2 4 5" xfId="55647" xr:uid="{3C1F1C62-3F3C-4EC8-AD11-11D58B93690E}"/>
    <cellStyle name="Comma 7 3 2 2 4 6" xfId="19413" xr:uid="{4284A570-DBD3-4389-A095-4C89C309B2A0}"/>
    <cellStyle name="Comma 7 3 2 2 5" xfId="12800" xr:uid="{D290806C-499B-4876-9C62-E43D282B5136}"/>
    <cellStyle name="Comma 7 3 2 2 5 2" xfId="46796" xr:uid="{F1945019-1FE7-4A9B-A4B3-D5D0C1F61FA8}"/>
    <cellStyle name="Comma 7 3 2 2 5 3" xfId="51200" xr:uid="{27303DE0-B4C9-460B-89C3-72DB9904B4D3}"/>
    <cellStyle name="Comma 7 3 2 2 5 4" xfId="54216" xr:uid="{8F3351A1-2040-40BE-987C-577A03C7CC6A}"/>
    <cellStyle name="Comma 7 3 2 2 5 5" xfId="21983" xr:uid="{3A621583-8E84-419F-BCF5-635863A369EA}"/>
    <cellStyle name="Comma 7 3 2 2 6" xfId="46094" xr:uid="{B4A68F8E-5677-4817-877B-5569C338BDDD}"/>
    <cellStyle name="Comma 7 3 2 2 7" xfId="50094" xr:uid="{F92A76CF-1B94-411B-A9A6-2E6C625D3636}"/>
    <cellStyle name="Comma 7 3 2 2 8" xfId="53110" xr:uid="{BCF8FABB-7166-4F25-B4B5-B6218B116896}"/>
    <cellStyle name="Comma 7 3 2 2 9" xfId="18904" xr:uid="{13F8E4D3-FE9F-47BD-B0FA-A42CB32DF13B}"/>
    <cellStyle name="Comma 7 3 2 3" xfId="14580" xr:uid="{0CE3F0BF-438C-481F-8FF3-14FD1042E1DB}"/>
    <cellStyle name="Comma 7 3 2 3 2" xfId="22127" xr:uid="{F79B3AAA-948A-4DCE-8119-F49BD413FF42}"/>
    <cellStyle name="Comma 7 3 2 3 3" xfId="24972" xr:uid="{771CEC82-CB01-43F9-968D-6AE9087D6075}"/>
    <cellStyle name="Comma 7 3 2 3 4" xfId="51465" xr:uid="{53361D5E-EE8D-4AF2-B6A3-437DD96586CF}"/>
    <cellStyle name="Comma 7 3 2 3 5" xfId="54481" xr:uid="{458CDE09-74E3-4C08-9A87-4DFACC9E099A}"/>
    <cellStyle name="Comma 7 3 2 3 6" xfId="19065" xr:uid="{49290E1D-7033-4FE7-8622-F1029F0B5D4A}"/>
    <cellStyle name="Comma 7 3 2 4" xfId="15064" xr:uid="{15A993D0-BFBB-4EA8-B875-B16EA2AF98F9}"/>
    <cellStyle name="Comma 7 3 2 4 2" xfId="22604" xr:uid="{7AC78722-FFC2-4C0D-A8FC-EF9AAD860E18}"/>
    <cellStyle name="Comma 7 3 2 4 3" xfId="32399" xr:uid="{ACD747AE-824E-41A7-9DEF-BA21E0224FB7}"/>
    <cellStyle name="Comma 7 3 2 4 4" xfId="51942" xr:uid="{1AA6769C-D56F-4349-A3F6-E4D12339F89C}"/>
    <cellStyle name="Comma 7 3 2 4 5" xfId="54958" xr:uid="{D287D167-410D-426E-A6BE-EE2B8EF7367A}"/>
    <cellStyle name="Comma 7 3 2 4 6" xfId="19207" xr:uid="{6AD4DC86-E89A-4C19-BAFD-9599661F4D9B}"/>
    <cellStyle name="Comma 7 3 2 5" xfId="15551" xr:uid="{8CCB5E9A-C7C5-4A65-9193-4596005DBDA4}"/>
    <cellStyle name="Comma 7 3 2 5 2" xfId="23081" xr:uid="{9454E7BF-7E3A-4788-8A26-DD4578B5DB83}"/>
    <cellStyle name="Comma 7 3 2 5 3" xfId="47252" xr:uid="{36832454-A6D9-439B-8A34-4E47CCBE9C78}"/>
    <cellStyle name="Comma 7 3 2 5 4" xfId="52419" xr:uid="{018D160F-A63B-4D28-9575-98851AB8100E}"/>
    <cellStyle name="Comma 7 3 2 5 5" xfId="55435" xr:uid="{C0015411-ED62-463B-9D34-3BBD2EBC5835}"/>
    <cellStyle name="Comma 7 3 2 5 6" xfId="19352" xr:uid="{0EE90FD2-DEFF-41E6-9096-0B2D8D507D9A}"/>
    <cellStyle name="Comma 7 3 2 6" xfId="12499" xr:uid="{2123BA3B-7C0C-4A0C-87A2-9E013FFA798B}"/>
    <cellStyle name="Comma 7 3 2 6 2" xfId="25087" xr:uid="{D38E8539-3DA1-46E9-B24E-F3921A9E3ACF}"/>
    <cellStyle name="Comma 7 3 2 6 3" xfId="50988" xr:uid="{1384F662-4187-438E-AFA4-1D9286409050}"/>
    <cellStyle name="Comma 7 3 2 6 4" xfId="54004" xr:uid="{CE8A0E11-72D2-41C5-BC9F-B335CF547979}"/>
    <cellStyle name="Comma 7 3 2 6 5" xfId="21922" xr:uid="{EA4FBF43-F5F6-486E-BA53-187298F63BAC}"/>
    <cellStyle name="Comma 7 3 2 7" xfId="47732" xr:uid="{8CB01D83-9221-4F6E-ADDC-E2A5F29E9C1B}"/>
    <cellStyle name="Comma 7 3 2 8" xfId="49882" xr:uid="{0B78D7D4-161A-4F2F-A1F3-8D09E8965FE7}"/>
    <cellStyle name="Comma 7 3 2 9" xfId="52898" xr:uid="{F27C5520-560F-4749-AC28-03886B52A49A}"/>
    <cellStyle name="Comma 7 3 3" xfId="10113" xr:uid="{3F4A9F8A-061F-4E64-A6CF-676090B2A974}"/>
    <cellStyle name="Comma 7 3 3 10" xfId="18788" xr:uid="{EC2FBD79-260C-460D-A10D-98F08670FF6B}"/>
    <cellStyle name="Comma 7 3 3 2" xfId="10426" xr:uid="{DD3F048D-1494-499D-93A9-5D1159C5DD0A}"/>
    <cellStyle name="Comma 7 3 3 2 2" xfId="14845" xr:uid="{95A318C9-2D57-4E52-9FEC-149434DC2097}"/>
    <cellStyle name="Comma 7 3 3 2 2 2" xfId="22392" xr:uid="{DB4FA15F-1D3E-4427-B649-124FEC05F37D}"/>
    <cellStyle name="Comma 7 3 3 2 2 3" xfId="46444" xr:uid="{431D0FF8-71BB-4380-8166-4D745B9539C7}"/>
    <cellStyle name="Comma 7 3 3 2 2 4" xfId="51730" xr:uid="{1A7C313D-2AED-446D-9481-E78B87EA827F}"/>
    <cellStyle name="Comma 7 3 3 2 2 5" xfId="54746" xr:uid="{94A478E7-8348-4F1E-A694-9B8F0AA504AA}"/>
    <cellStyle name="Comma 7 3 3 2 2 6" xfId="19140" xr:uid="{46201CA2-3B35-435C-A160-F3379E60408E}"/>
    <cellStyle name="Comma 7 3 3 2 3" xfId="15330" xr:uid="{AC394F15-308C-45F6-A9BC-F01DB90F5887}"/>
    <cellStyle name="Comma 7 3 3 2 3 2" xfId="22869" xr:uid="{F48BA5A3-BDD6-4670-9756-9868D150AD56}"/>
    <cellStyle name="Comma 7 3 3 2 3 3" xfId="47968" xr:uid="{A8148442-0425-4D8D-BE3E-96B2378F395E}"/>
    <cellStyle name="Comma 7 3 3 2 3 4" xfId="52207" xr:uid="{432F955A-AD99-4EA1-8E07-F82CDA18AB23}"/>
    <cellStyle name="Comma 7 3 3 2 3 5" xfId="55223" xr:uid="{DABBF9AA-45C3-40BD-96DB-DBB53008174C}"/>
    <cellStyle name="Comma 7 3 3 2 3 6" xfId="19283" xr:uid="{CEFC90C6-C3EA-4376-99F1-9029EF9E036D}"/>
    <cellStyle name="Comma 7 3 3 2 4" xfId="15817" xr:uid="{18BC2AC2-54B3-43A8-B492-36C4990D59CB}"/>
    <cellStyle name="Comma 7 3 3 2 4 2" xfId="23346" xr:uid="{B1D691FC-0B38-4619-8E21-C89B8BD445A4}"/>
    <cellStyle name="Comma 7 3 3 2 4 3" xfId="46591" xr:uid="{00DB3225-B51B-4EA8-A21D-D8BC4F0F7BCB}"/>
    <cellStyle name="Comma 7 3 3 2 4 4" xfId="52684" xr:uid="{DF210D44-3244-4C8E-B494-23107A1A29D5}"/>
    <cellStyle name="Comma 7 3 3 2 4 5" xfId="55700" xr:uid="{3332C0BD-F495-4051-B427-5101F21C254C}"/>
    <cellStyle name="Comma 7 3 3 2 4 6" xfId="19428" xr:uid="{DA8378BD-AAF9-4DB4-A9AF-F90BEFCCBD78}"/>
    <cellStyle name="Comma 7 3 3 2 5" xfId="12879" xr:uid="{8B3E0128-DA34-4E50-B7BB-4B0EF89A9B10}"/>
    <cellStyle name="Comma 7 3 3 2 5 2" xfId="48400" xr:uid="{2732223A-0FB6-4F27-A82C-CF5A76342F4E}"/>
    <cellStyle name="Comma 7 3 3 2 5 3" xfId="51253" xr:uid="{B0F229D4-1196-4131-BB3F-2EF8BC0E753E}"/>
    <cellStyle name="Comma 7 3 3 2 5 4" xfId="54269" xr:uid="{3B5CB64B-CCE6-4A97-B599-14869B31FD60}"/>
    <cellStyle name="Comma 7 3 3 2 5 5" xfId="21998" xr:uid="{B706D0E9-075A-49B5-8F92-DAC9DD15C5E6}"/>
    <cellStyle name="Comma 7 3 3 2 6" xfId="47207" xr:uid="{16F91C5F-235F-4866-89CD-A9B783D4AB1A}"/>
    <cellStyle name="Comma 7 3 3 2 7" xfId="50147" xr:uid="{57F4F8BE-BF95-46C5-97FE-5CC31158C5BD}"/>
    <cellStyle name="Comma 7 3 3 2 8" xfId="53163" xr:uid="{4F22E093-7A64-43C7-85A0-0682F9F1DB24}"/>
    <cellStyle name="Comma 7 3 3 2 9" xfId="18945" xr:uid="{64D0974A-B9D5-41E3-AD00-074541D11E05}"/>
    <cellStyle name="Comma 7 3 3 3" xfId="14633" xr:uid="{7418D741-9A15-49E8-822F-DF63BBFEBCA1}"/>
    <cellStyle name="Comma 7 3 3 3 2" xfId="22180" xr:uid="{26E0B7BD-7864-4A4A-88BF-8C0695A80620}"/>
    <cellStyle name="Comma 7 3 3 3 3" xfId="47479" xr:uid="{A5705FF8-B2A7-4F5C-86EB-EE27C8993DF3}"/>
    <cellStyle name="Comma 7 3 3 3 4" xfId="51518" xr:uid="{C88E4D7F-DF5D-4670-A328-7649A579CB5F}"/>
    <cellStyle name="Comma 7 3 3 3 5" xfId="54534" xr:uid="{C2B62783-EA99-495A-BF74-4B83D329B07F}"/>
    <cellStyle name="Comma 7 3 3 3 6" xfId="19080" xr:uid="{3A7B74FF-3712-4900-91C8-787728517B9B}"/>
    <cellStyle name="Comma 7 3 3 4" xfId="15118" xr:uid="{66B86B76-965E-4299-8856-87BAF49B4B64}"/>
    <cellStyle name="Comma 7 3 3 4 2" xfId="22657" xr:uid="{B068A44D-79A5-47FF-BA10-D43A22C21175}"/>
    <cellStyle name="Comma 7 3 3 4 3" xfId="46482" xr:uid="{26B9BFE2-B656-4412-95E0-17C56B815997}"/>
    <cellStyle name="Comma 7 3 3 4 4" xfId="51995" xr:uid="{80DAD098-B475-444C-A585-42B0D8F5AC37}"/>
    <cellStyle name="Comma 7 3 3 4 5" xfId="55011" xr:uid="{6ECEB9F1-9B5C-4AFA-BA71-A49459851653}"/>
    <cellStyle name="Comma 7 3 3 4 6" xfId="19223" xr:uid="{945E824C-64ED-41D4-94AB-7AE70125AD28}"/>
    <cellStyle name="Comma 7 3 3 5" xfId="15605" xr:uid="{2A64E529-793B-4D8D-841C-09A9A474732B}"/>
    <cellStyle name="Comma 7 3 3 5 2" xfId="23134" xr:uid="{E1367338-4093-459B-B917-E2D7A5044BE9}"/>
    <cellStyle name="Comma 7 3 3 5 3" xfId="48248" xr:uid="{31861EB5-BEA8-4071-AAD8-16524A4BB125}"/>
    <cellStyle name="Comma 7 3 3 5 4" xfId="52472" xr:uid="{CE987DE5-27E6-405D-94A2-DA938E2B71D2}"/>
    <cellStyle name="Comma 7 3 3 5 5" xfId="55488" xr:uid="{888C5C0C-F8C8-4F3A-B59A-A2A8769037A6}"/>
    <cellStyle name="Comma 7 3 3 5 6" xfId="19368" xr:uid="{32E2ADF3-D3F9-4C74-A2EC-8BD609CF8CD7}"/>
    <cellStyle name="Comma 7 3 3 6" xfId="12570" xr:uid="{F7190F3B-8E5A-4897-828E-0A4BB6746600}"/>
    <cellStyle name="Comma 7 3 3 6 2" xfId="46769" xr:uid="{79AFC94B-065B-418F-82D5-9CB152242180}"/>
    <cellStyle name="Comma 7 3 3 6 3" xfId="51041" xr:uid="{7952980F-35A0-463B-9479-9BFCB1EB4030}"/>
    <cellStyle name="Comma 7 3 3 6 4" xfId="54057" xr:uid="{AAE4CC46-0B72-4B9E-BD7E-063EF2CE466B}"/>
    <cellStyle name="Comma 7 3 3 6 5" xfId="21938" xr:uid="{53C567B6-A056-4FEA-B545-7D772335A62D}"/>
    <cellStyle name="Comma 7 3 3 7" xfId="46052" xr:uid="{47011C97-D4D1-4E99-871A-B4E6A2D8F885}"/>
    <cellStyle name="Comma 7 3 3 8" xfId="49935" xr:uid="{4CD721C8-5227-4E4D-945D-530D56F2E407}"/>
    <cellStyle name="Comma 7 3 3 9" xfId="52951" xr:uid="{6152E665-4A4C-4E12-8F6D-7079C78014F2}"/>
    <cellStyle name="Comma 7 3 4" xfId="10192" xr:uid="{B73DDA61-AF85-4E3D-B847-7CEB558A71B1}"/>
    <cellStyle name="Comma 7 3 4 10" xfId="18826" xr:uid="{5376D5BB-2028-429C-9B36-BF0E5ABB3552}"/>
    <cellStyle name="Comma 7 3 4 2" xfId="10506" xr:uid="{37C7A027-87B3-4CE1-806D-1E3C2856123F}"/>
    <cellStyle name="Comma 7 3 4 2 2" xfId="14898" xr:uid="{DDE7CA53-6C84-42F1-B107-E83A14369C09}"/>
    <cellStyle name="Comma 7 3 4 2 2 2" xfId="22445" xr:uid="{5458C053-B2CB-46D6-84CD-4EC50DDD34E5}"/>
    <cellStyle name="Comma 7 3 4 2 2 3" xfId="24934" xr:uid="{D303E3FE-272B-42B6-84B3-AA600A6CDAC1}"/>
    <cellStyle name="Comma 7 3 4 2 2 4" xfId="51783" xr:uid="{AC00CA06-2D67-426F-8FDE-109E33478741}"/>
    <cellStyle name="Comma 7 3 4 2 2 5" xfId="54799" xr:uid="{31B30D12-E5E0-41B0-9BB4-E9D743919396}"/>
    <cellStyle name="Comma 7 3 4 2 2 6" xfId="19155" xr:uid="{0B17A422-703A-4A3E-B386-4009A055ACA4}"/>
    <cellStyle name="Comma 7 3 4 2 3" xfId="15383" xr:uid="{BE07C320-B562-4614-82AA-FE9FA3DD8B4F}"/>
    <cellStyle name="Comma 7 3 4 2 3 2" xfId="22922" xr:uid="{0F3C2379-4EAB-409A-ABEB-5B291C76801A}"/>
    <cellStyle name="Comma 7 3 4 2 3 3" xfId="46915" xr:uid="{C7579A8D-9591-44C9-A6DF-E9A6F0930C5E}"/>
    <cellStyle name="Comma 7 3 4 2 3 4" xfId="52260" xr:uid="{A3E6752A-F11F-405E-8585-FC92C099E556}"/>
    <cellStyle name="Comma 7 3 4 2 3 5" xfId="55276" xr:uid="{152E9E4E-E5EE-4757-B9FA-9817BC45F449}"/>
    <cellStyle name="Comma 7 3 4 2 3 6" xfId="19298" xr:uid="{29EB98DD-955C-45F8-B011-22C8F68D5925}"/>
    <cellStyle name="Comma 7 3 4 2 4" xfId="15870" xr:uid="{7872B8C5-3E7D-4EB3-A64D-CD76530E7111}"/>
    <cellStyle name="Comma 7 3 4 2 4 2" xfId="23399" xr:uid="{CB0A0A18-55AE-482C-98E5-2BDBAC293225}"/>
    <cellStyle name="Comma 7 3 4 2 4 3" xfId="46977" xr:uid="{67EC1D99-CBF1-4999-B4E7-78AC35D67962}"/>
    <cellStyle name="Comma 7 3 4 2 4 4" xfId="52737" xr:uid="{AE0E4113-2117-433B-86B6-ABC1DD09533E}"/>
    <cellStyle name="Comma 7 3 4 2 4 5" xfId="55753" xr:uid="{CB7A0F3E-37E3-4C4A-81C5-FFA1835A4669}"/>
    <cellStyle name="Comma 7 3 4 2 4 6" xfId="19443" xr:uid="{3D2C22CE-D9BB-49F0-9442-D95AFBDD511D}"/>
    <cellStyle name="Comma 7 3 4 2 5" xfId="12959" xr:uid="{5180D069-CBE0-45E1-8260-5F68E66743AD}"/>
    <cellStyle name="Comma 7 3 4 2 5 2" xfId="46377" xr:uid="{0E823F0D-DD07-4142-971E-EDB2095F5EB4}"/>
    <cellStyle name="Comma 7 3 4 2 5 3" xfId="51306" xr:uid="{36F727D0-8E7F-40EF-8E88-8D8C2FEB726B}"/>
    <cellStyle name="Comma 7 3 4 2 5 4" xfId="54322" xr:uid="{58284FB6-89B7-468D-A11C-2D54640B7198}"/>
    <cellStyle name="Comma 7 3 4 2 5 5" xfId="22013" xr:uid="{8F5BA2E7-FD6A-4146-B68B-D72533A6D651}"/>
    <cellStyle name="Comma 7 3 4 2 6" xfId="46141" xr:uid="{81CF83F7-D828-4C3C-8722-6FE85C97E395}"/>
    <cellStyle name="Comma 7 3 4 2 7" xfId="50200" xr:uid="{C9152958-1778-4F37-82FD-59A40C915A09}"/>
    <cellStyle name="Comma 7 3 4 2 8" xfId="53216" xr:uid="{671F72FF-CC4B-4EC5-B125-1E854980A1A9}"/>
    <cellStyle name="Comma 7 3 4 2 9" xfId="18987" xr:uid="{0D2D6979-676B-4A47-B5D1-2058C5A54643}"/>
    <cellStyle name="Comma 7 3 4 3" xfId="14686" xr:uid="{A626D952-2F1B-44E9-A80D-42682FDBF2ED}"/>
    <cellStyle name="Comma 7 3 4 3 2" xfId="22233" xr:uid="{D557134D-93D6-4B80-A818-D5B4A1786F01}"/>
    <cellStyle name="Comma 7 3 4 3 3" xfId="47830" xr:uid="{F6154101-72DD-4605-8840-E417CCA040C2}"/>
    <cellStyle name="Comma 7 3 4 3 4" xfId="51571" xr:uid="{DEF75CEB-8640-4C6F-AFE9-E9EF397EDEC3}"/>
    <cellStyle name="Comma 7 3 4 3 5" xfId="54587" xr:uid="{5D465569-855C-4C80-9AEB-B8B9D13914EB}"/>
    <cellStyle name="Comma 7 3 4 3 6" xfId="19095" xr:uid="{ADECAB1E-1FA6-4E38-89AB-6DB84C74559F}"/>
    <cellStyle name="Comma 7 3 4 4" xfId="15171" xr:uid="{33FA8452-34B7-4A74-A36D-1EC56E093110}"/>
    <cellStyle name="Comma 7 3 4 4 2" xfId="22710" xr:uid="{BFEABAC6-1B0D-4033-8E6A-E9DF3C18928C}"/>
    <cellStyle name="Comma 7 3 4 4 3" xfId="46493" xr:uid="{3D600115-D6D6-4093-8C26-C82DE3281042}"/>
    <cellStyle name="Comma 7 3 4 4 4" xfId="52048" xr:uid="{64705E13-FFE6-45FD-BC6E-4F47235D6522}"/>
    <cellStyle name="Comma 7 3 4 4 5" xfId="55064" xr:uid="{B55FD0EF-A624-49AA-9C7A-B3FABAEAD96C}"/>
    <cellStyle name="Comma 7 3 4 4 6" xfId="19238" xr:uid="{0BA52BAC-0368-4270-AB28-3BED039AF32C}"/>
    <cellStyle name="Comma 7 3 4 5" xfId="15658" xr:uid="{14ED8010-B7C9-4E1B-8EBF-D9859B06656D}"/>
    <cellStyle name="Comma 7 3 4 5 2" xfId="23187" xr:uid="{7B659469-E232-47CF-89B4-84577D44B628}"/>
    <cellStyle name="Comma 7 3 4 5 3" xfId="47791" xr:uid="{91EFAC93-B268-4FB6-A71C-CC753D6523D6}"/>
    <cellStyle name="Comma 7 3 4 5 4" xfId="52525" xr:uid="{98DB3477-F79B-44CA-8FF3-A423C1E09458}"/>
    <cellStyle name="Comma 7 3 4 5 5" xfId="55541" xr:uid="{7526D2DA-E16A-47AD-9FE0-6FAC1C23553B}"/>
    <cellStyle name="Comma 7 3 4 5 6" xfId="19383" xr:uid="{5ECC17CD-5A09-47B9-90E1-3DDA4CF41048}"/>
    <cellStyle name="Comma 7 3 4 6" xfId="12646" xr:uid="{ED8E4ECF-FDD3-4A99-8FCC-C953944FF345}"/>
    <cellStyle name="Comma 7 3 4 6 2" xfId="46335" xr:uid="{B7BC556B-D2FF-40C4-8BE3-F39C9EE6B335}"/>
    <cellStyle name="Comma 7 3 4 6 3" xfId="51094" xr:uid="{AD0471CD-DBD2-484F-A281-CF48C972A7A2}"/>
    <cellStyle name="Comma 7 3 4 6 4" xfId="54110" xr:uid="{2F9BAD3C-02F0-4D2D-AC84-3CD1FDCB392E}"/>
    <cellStyle name="Comma 7 3 4 6 5" xfId="21953" xr:uid="{3917972D-23F9-4FCF-B9CB-1EADC4B732D8}"/>
    <cellStyle name="Comma 7 3 4 7" xfId="46064" xr:uid="{DA2761EF-6FEA-4FD4-BCA5-682DF893C63F}"/>
    <cellStyle name="Comma 7 3 4 8" xfId="49988" xr:uid="{E1A18308-380D-405B-BDE1-AB118D4D982D}"/>
    <cellStyle name="Comma 7 3 4 9" xfId="53004" xr:uid="{008312A4-8E37-4624-8E9C-946EDC90EAD4}"/>
    <cellStyle name="Comma 7 3 5" xfId="10272" xr:uid="{444052EB-248D-41C2-AB3B-04CACA8A9965}"/>
    <cellStyle name="Comma 7 3 5 2" xfId="14739" xr:uid="{3DFAF113-EC0C-4D4C-B3B6-B26EBC015568}"/>
    <cellStyle name="Comma 7 3 5 2 2" xfId="22286" xr:uid="{875D0535-5B01-4BB5-A179-A4F902693791}"/>
    <cellStyle name="Comma 7 3 5 2 3" xfId="46426" xr:uid="{80F40843-80C8-4EFA-A8AA-32EA90AFBA96}"/>
    <cellStyle name="Comma 7 3 5 2 4" xfId="51624" xr:uid="{70253789-E04C-4AF4-BB61-D224153BD790}"/>
    <cellStyle name="Comma 7 3 5 2 5" xfId="54640" xr:uid="{9AD2D4B0-FB05-4AD6-9B79-75308331C0BC}"/>
    <cellStyle name="Comma 7 3 5 2 6" xfId="19110" xr:uid="{3F4AADE9-B323-43E8-9ACB-B759FA4F9229}"/>
    <cellStyle name="Comma 7 3 5 3" xfId="15224" xr:uid="{049F1472-5269-4C3C-B370-5A4AF3116927}"/>
    <cellStyle name="Comma 7 3 5 3 2" xfId="22763" xr:uid="{B4A85126-3966-4A46-A0E2-1FD52485DB31}"/>
    <cellStyle name="Comma 7 3 5 3 3" xfId="48359" xr:uid="{EE7797AC-108E-489F-9C0C-3EDA33A69024}"/>
    <cellStyle name="Comma 7 3 5 3 4" xfId="52101" xr:uid="{322A9E4A-C43D-45EA-932B-2D035F232BC5}"/>
    <cellStyle name="Comma 7 3 5 3 5" xfId="55117" xr:uid="{C95AB598-E407-448E-A63A-65BA4BE864F4}"/>
    <cellStyle name="Comma 7 3 5 3 6" xfId="19253" xr:uid="{63DCE7D6-DE27-41B6-A521-8A32A49A8C6F}"/>
    <cellStyle name="Comma 7 3 5 4" xfId="15711" xr:uid="{E17CC8B9-AFF6-4DAF-AE5A-7F21424EF188}"/>
    <cellStyle name="Comma 7 3 5 4 2" xfId="23240" xr:uid="{9417309B-66DE-4CB9-B78F-4EA84C4DD28A}"/>
    <cellStyle name="Comma 7 3 5 4 3" xfId="46574" xr:uid="{22F9C5A4-B17B-4268-82D4-2AB2693E64A2}"/>
    <cellStyle name="Comma 7 3 5 4 4" xfId="52578" xr:uid="{AD1F8864-C7DB-4F55-9213-EB68FA838D57}"/>
    <cellStyle name="Comma 7 3 5 4 5" xfId="55594" xr:uid="{113393EA-21B2-4517-A4D9-E3640D4F1874}"/>
    <cellStyle name="Comma 7 3 5 4 6" xfId="19398" xr:uid="{B413F311-5DB7-4851-8F49-FCB597DAEE50}"/>
    <cellStyle name="Comma 7 3 5 5" xfId="12725" xr:uid="{3E9E78E6-D01F-4075-9B61-4B2E1460958D}"/>
    <cellStyle name="Comma 7 3 5 5 2" xfId="47399" xr:uid="{2025D20F-D6C7-42E5-9E79-C0DA756E6E7B}"/>
    <cellStyle name="Comma 7 3 5 5 3" xfId="51147" xr:uid="{AD0B8661-9798-4EF4-BE34-299CFC2E361C}"/>
    <cellStyle name="Comma 7 3 5 5 4" xfId="54163" xr:uid="{DC392E9B-7B71-45CC-AE42-4196EA03AD6F}"/>
    <cellStyle name="Comma 7 3 5 5 5" xfId="21968" xr:uid="{70AA4BE1-63BB-4EA6-8050-E1394FA6826B}"/>
    <cellStyle name="Comma 7 3 5 6" xfId="46079" xr:uid="{C3D6EC25-E98B-407C-92D9-5786567CE036}"/>
    <cellStyle name="Comma 7 3 5 7" xfId="50041" xr:uid="{64F589B8-B5C6-496F-A0B8-626A25126137}"/>
    <cellStyle name="Comma 7 3 5 8" xfId="53057" xr:uid="{1B290A4C-3E03-4979-AA34-CF43898082B1}"/>
    <cellStyle name="Comma 7 3 5 9" xfId="18867" xr:uid="{903968B2-4A12-450C-AED9-15FEB3727738}"/>
    <cellStyle name="Comma 7 3 6" xfId="10586" xr:uid="{405EC696-40AE-4C0B-805C-5B1A052F4FA0}"/>
    <cellStyle name="Comma 7 3 6 2" xfId="14951" xr:uid="{CDA1703F-2333-49DA-9162-50A043A4DB4B}"/>
    <cellStyle name="Comma 7 3 6 2 2" xfId="22498" xr:uid="{33B61EFE-F25A-4ADA-B2D7-DF3EF257F22D}"/>
    <cellStyle name="Comma 7 3 6 2 3" xfId="47338" xr:uid="{D2DEEA88-030B-4B00-AD14-BCFE8F631F11}"/>
    <cellStyle name="Comma 7 3 6 2 4" xfId="51836" xr:uid="{C0897DDC-525C-4E9F-B1C3-8608ADB779E2}"/>
    <cellStyle name="Comma 7 3 6 2 5" xfId="54852" xr:uid="{74FA5192-4E90-4595-BD80-8760AE396F95}"/>
    <cellStyle name="Comma 7 3 6 2 6" xfId="19170" xr:uid="{8A5F7151-533C-432F-B566-2D10EF8C31B1}"/>
    <cellStyle name="Comma 7 3 6 3" xfId="15436" xr:uid="{A0E250B7-7A89-4BD8-A892-E356A13E828B}"/>
    <cellStyle name="Comma 7 3 6 3 2" xfId="22975" xr:uid="{2DAA7ACE-F391-4E96-A8AB-4908BAF02302}"/>
    <cellStyle name="Comma 7 3 6 3 3" xfId="24171" xr:uid="{6D4300EF-E2DD-40BF-9EC2-835AD93EE0EF}"/>
    <cellStyle name="Comma 7 3 6 3 4" xfId="52313" xr:uid="{FA7896DD-2E3C-4018-8B60-6B4A6FDC1FFE}"/>
    <cellStyle name="Comma 7 3 6 3 5" xfId="55329" xr:uid="{B2E8F202-E537-4345-A2BD-AC182D4065F8}"/>
    <cellStyle name="Comma 7 3 6 3 6" xfId="19313" xr:uid="{76AF7329-972F-422A-800C-AF44301965EF}"/>
    <cellStyle name="Comma 7 3 6 4" xfId="15924" xr:uid="{37B523F7-40A6-4118-9A24-EE1BECB34C6D}"/>
    <cellStyle name="Comma 7 3 6 4 2" xfId="23452" xr:uid="{598CAFD9-1810-4F71-99C1-763463FC5C24}"/>
    <cellStyle name="Comma 7 3 6 4 3" xfId="24429" xr:uid="{1FFDBC31-385B-42BE-95B3-FAC7A8AB29C4}"/>
    <cellStyle name="Comma 7 3 6 4 4" xfId="52790" xr:uid="{D7D89351-1A1F-4141-A3EA-BAA93768517C}"/>
    <cellStyle name="Comma 7 3 6 4 5" xfId="55806" xr:uid="{69E2FADF-6D35-4FBE-96A4-03516E0C3DAD}"/>
    <cellStyle name="Comma 7 3 6 4 6" xfId="19459" xr:uid="{12D37B64-295D-4282-8027-313974CEB045}"/>
    <cellStyle name="Comma 7 3 6 5" xfId="13039" xr:uid="{A9515636-18CA-4009-AD9C-7AC43B1EAE6D}"/>
    <cellStyle name="Comma 7 3 6 5 2" xfId="47711" xr:uid="{B488E225-D76C-42D1-B6C3-2AB703097E36}"/>
    <cellStyle name="Comma 7 3 6 5 3" xfId="51359" xr:uid="{DF4E28EB-2CC5-4913-B006-A6D06F4622D6}"/>
    <cellStyle name="Comma 7 3 6 5 4" xfId="54375" xr:uid="{B54F4EEB-FFBF-450D-92A8-76A8F686B943}"/>
    <cellStyle name="Comma 7 3 6 5 5" xfId="22028" xr:uid="{95263EAF-E79E-4056-8377-31A37CBEE998}"/>
    <cellStyle name="Comma 7 3 6 6" xfId="24327" xr:uid="{06B72689-5C97-43BC-B634-A22D9DB9B5C2}"/>
    <cellStyle name="Comma 7 3 6 7" xfId="50253" xr:uid="{CE453338-3573-47A3-A2B0-90EEBE1BF3F6}"/>
    <cellStyle name="Comma 7 3 6 8" xfId="53269" xr:uid="{E9483B30-4951-4581-855F-217E4496FDA7}"/>
    <cellStyle name="Comma 7 3 6 9" xfId="19029" xr:uid="{74843F52-53FA-43FA-A266-550AFA1F62C7}"/>
    <cellStyle name="Comma 7 3 7" xfId="14527" xr:uid="{750F2E63-9CEF-4B2D-A81C-18DF6C9CB5E6}"/>
    <cellStyle name="Comma 7 3 7 2" xfId="22074" xr:uid="{1E8FB7CB-0444-40E4-AB18-0AC482C1B297}"/>
    <cellStyle name="Comma 7 3 7 3" xfId="46392" xr:uid="{530003A5-DF04-4FC3-80DF-2DB37B2069F3}"/>
    <cellStyle name="Comma 7 3 7 4" xfId="51412" xr:uid="{7630DF80-739F-46C3-8776-77F8A5D4EF20}"/>
    <cellStyle name="Comma 7 3 7 5" xfId="54428" xr:uid="{A8446917-0E3F-44CC-81DA-E916A6BA0C63}"/>
    <cellStyle name="Comma 7 3 7 6" xfId="19050" xr:uid="{9EAAB9FD-F672-469F-AE0B-C0A7E1E0DEBF}"/>
    <cellStyle name="Comma 7 3 8" xfId="15011" xr:uid="{155978DD-6871-4EBC-8728-34C6727774F0}"/>
    <cellStyle name="Comma 7 3 8 2" xfId="22551" xr:uid="{37430751-A2AA-41BA-B345-6F8A60EEC3E2}"/>
    <cellStyle name="Comma 7 3 8 3" xfId="47182" xr:uid="{154E1ECF-3454-4742-9102-15951BB977FB}"/>
    <cellStyle name="Comma 7 3 8 4" xfId="51889" xr:uid="{CA6DFB7E-5089-4D89-AE0B-4C82DDFF1202}"/>
    <cellStyle name="Comma 7 3 8 5" xfId="54905" xr:uid="{888DC96E-F683-4230-A846-847846FAE7B9}"/>
    <cellStyle name="Comma 7 3 8 6" xfId="19192" xr:uid="{AE8E5BBE-CC7F-4791-AD9D-8B88E5107CF2}"/>
    <cellStyle name="Comma 7 3 9" xfId="15498" xr:uid="{17AF0A9F-23AD-4777-91C3-5BC8B0659FFE}"/>
    <cellStyle name="Comma 7 3 9 2" xfId="23028" xr:uid="{323B1D77-0E8A-4CE4-9098-15C5FC7DC578}"/>
    <cellStyle name="Comma 7 3 9 3" xfId="47787" xr:uid="{91940990-89D7-4312-AA64-A1A49EBF6A73}"/>
    <cellStyle name="Comma 7 3 9 4" xfId="52366" xr:uid="{91D81068-C873-4A7C-8EDD-BFF001CCC2D7}"/>
    <cellStyle name="Comma 7 3 9 5" xfId="55382" xr:uid="{B5FCFF7A-5BB8-4D10-9FCC-BC2F33CC49B6}"/>
    <cellStyle name="Comma 7 3 9 6" xfId="19337" xr:uid="{ADEDA3F4-EDFB-4179-83ED-5023E43A75D5}"/>
    <cellStyle name="Comma 7 4" xfId="11663" xr:uid="{2730F853-E187-4795-9EFD-83D940C084D3}"/>
    <cellStyle name="Comma 7 4 2" xfId="23804" xr:uid="{E962FEDA-3957-40D8-BA1C-27D3CCC756D3}"/>
    <cellStyle name="Comma 7 4 3" xfId="48675" xr:uid="{D3FDB70B-C3CA-4C59-9841-AC56E2FEDC8D}"/>
    <cellStyle name="Comma 7 4 4" xfId="49583" xr:uid="{C5BB3E8A-0C44-412D-B5A6-B4CEEA3D46CD}"/>
    <cellStyle name="Comma 7 5" xfId="11579" xr:uid="{4B21A595-2106-46E5-AAA7-A1EA452E3665}"/>
    <cellStyle name="Comma 7 5 2" xfId="21703" xr:uid="{8A169108-7D7B-42E5-BA4E-40E30BDBADF2}"/>
    <cellStyle name="Comma 7 5 3" xfId="23805" xr:uid="{C597DF74-C931-4844-9AF3-070E2D9A82FD}"/>
    <cellStyle name="Comma 7 5 4" xfId="46280" xr:uid="{4DD58827-F79F-4B18-B89C-E10D8032C89D}"/>
    <cellStyle name="Comma 7 5 5" xfId="48676" xr:uid="{9996AFA6-BA48-40B9-BD76-90B18187D1E3}"/>
    <cellStyle name="Comma 7 5 6" xfId="49584" xr:uid="{EC743FF3-0008-4C92-B218-FEDD69809A9A}"/>
    <cellStyle name="Comma 7 5 7" xfId="50726" xr:uid="{97163EC0-3B0D-4D66-9A05-E3BE692070BB}"/>
    <cellStyle name="Comma 7 5 8" xfId="53742" xr:uid="{42B74358-A2FD-41D9-A351-3AB3C0DD1CFE}"/>
    <cellStyle name="Comma 7 5 9" xfId="18159" xr:uid="{A8BC11E3-38B7-40E3-9795-82E72AFAA1FB}"/>
    <cellStyle name="Comma 7 6" xfId="19496" xr:uid="{85F90779-45BD-40C5-BFC2-955841FE4F71}"/>
    <cellStyle name="Comma 7 7" xfId="23799" xr:uid="{3C49F4F9-9E47-4CF8-9494-274C3942F345}"/>
    <cellStyle name="Comma 7 8" xfId="15947" xr:uid="{BB5D0B64-6EAD-475D-A4FB-EE732809AB3C}"/>
    <cellStyle name="Comma 7 9" xfId="8180" xr:uid="{9E7C87B0-66AD-4C79-A04B-83DE02C97E28}"/>
    <cellStyle name="Comma 8" xfId="2632" xr:uid="{CA941864-E587-4009-9E67-7E6C77ABA12A}"/>
    <cellStyle name="Comma 8 10" xfId="11103" xr:uid="{F61900B1-7A1A-457A-94A7-39D580C1055A}"/>
    <cellStyle name="Comma 8 10 2" xfId="21673" xr:uid="{27167396-82A7-4D7C-9D42-D3969118A3C6}"/>
    <cellStyle name="Comma 8 10 3" xfId="46653" xr:uid="{E4F9BA82-26BB-4B08-8823-B1D2F7332D9D}"/>
    <cellStyle name="Comma 8 10 4" xfId="50688" xr:uid="{CE052616-A4C0-4B2B-92D8-F194FD263CE4}"/>
    <cellStyle name="Comma 8 10 5" xfId="53704" xr:uid="{EB81D338-3A85-4F4B-8CF1-9781A2042DDE}"/>
    <cellStyle name="Comma 8 10 6" xfId="18011" xr:uid="{E4A9FD09-253C-418D-B22A-C235ABE08C8F}"/>
    <cellStyle name="Comma 8 11" xfId="19497" xr:uid="{3F6DFBF3-92CE-4EA9-A4B4-2CA973868239}"/>
    <cellStyle name="Comma 8 12" xfId="23806" xr:uid="{F0519B5E-3697-4217-BBDC-4E7B331BE04A}"/>
    <cellStyle name="Comma 8 13" xfId="48252" xr:uid="{978C4A0B-4B1A-48E4-B658-1F7D3CB57357}"/>
    <cellStyle name="Comma 8 14" xfId="48677" xr:uid="{D2B0765C-32FD-4706-BE2C-6858AA302D75}"/>
    <cellStyle name="Comma 8 15" xfId="49585" xr:uid="{036DCB45-DA3B-496A-A49F-58EEC279E832}"/>
    <cellStyle name="Comma 8 16" xfId="49793" xr:uid="{AC864AD5-F0E4-4561-8E52-68D4CF047F90}"/>
    <cellStyle name="Comma 8 17" xfId="52808" xr:uid="{5EC63FF5-B33A-4312-8C0A-81A363F4F0C4}"/>
    <cellStyle name="Comma 8 18" xfId="15948" xr:uid="{6D9BE269-1CB5-411B-98BD-A5E104B71F54}"/>
    <cellStyle name="Comma 8 2" xfId="9876" xr:uid="{A0B055E7-D252-4D7C-955C-DCEF324591D9}"/>
    <cellStyle name="Comma 8 2 10" xfId="49586" xr:uid="{627311AC-B29F-449E-9910-69A59ED3FE00}"/>
    <cellStyle name="Comma 8 2 11" xfId="49846" xr:uid="{FEABB341-5D7A-4C0B-B8FB-B160F3CB9DE6}"/>
    <cellStyle name="Comma 8 2 12" xfId="52862" xr:uid="{0C27B7C4-3CCA-4814-BCA8-150CFA46B748}"/>
    <cellStyle name="Comma 8 2 13" xfId="18737" xr:uid="{AA4F1B00-796B-422C-B310-DFC1A2D9AF93}"/>
    <cellStyle name="Comma 8 2 2" xfId="10299" xr:uid="{93D7797A-9177-492C-B316-A0B218767E03}"/>
    <cellStyle name="Comma 8 2 2 2" xfId="14756" xr:uid="{F1E884C8-D4AB-4180-9792-FED71891A19A}"/>
    <cellStyle name="Comma 8 2 2 2 2" xfId="22303" xr:uid="{4ED1E0DE-B985-42EE-A061-4868BD8C6773}"/>
    <cellStyle name="Comma 8 2 2 2 3" xfId="46859" xr:uid="{A435E356-CEBA-498F-A5D0-7C5BC22959AB}"/>
    <cellStyle name="Comma 8 2 2 2 4" xfId="51641" xr:uid="{5748C147-EC2E-4BFD-82FC-2B8505A9FFAC}"/>
    <cellStyle name="Comma 8 2 2 2 5" xfId="54657" xr:uid="{EED06023-E439-4BB6-A8F6-D485FB36556D}"/>
    <cellStyle name="Comma 8 2 2 2 6" xfId="19115" xr:uid="{97F1BCB0-5A39-48F8-9B1E-4A2E42E75BC1}"/>
    <cellStyle name="Comma 8 2 2 3" xfId="15241" xr:uid="{68B5CBE7-4785-4B7A-8875-035FC3604F2B}"/>
    <cellStyle name="Comma 8 2 2 3 2" xfId="22780" xr:uid="{B9A51773-15C0-4A7C-96C7-79F7C383E0F1}"/>
    <cellStyle name="Comma 8 2 2 3 3" xfId="32504" xr:uid="{6C4B6E3A-4B16-454C-9431-CFB21920FD01}"/>
    <cellStyle name="Comma 8 2 2 3 4" xfId="52118" xr:uid="{F25F2E2B-A1E3-416B-A485-BB4EF94BEC7F}"/>
    <cellStyle name="Comma 8 2 2 3 5" xfId="55134" xr:uid="{F1FEB2A6-A3AF-4C3F-A882-0E269C3EF605}"/>
    <cellStyle name="Comma 8 2 2 3 6" xfId="19258" xr:uid="{D3104422-3AC6-438C-9885-D75AC27BD6A6}"/>
    <cellStyle name="Comma 8 2 2 4" xfId="15728" xr:uid="{08404703-2508-44CE-907B-D8B88693D33A}"/>
    <cellStyle name="Comma 8 2 2 4 2" xfId="23257" xr:uid="{68415199-B18D-4225-A76A-D96A53F6F283}"/>
    <cellStyle name="Comma 8 2 2 4 3" xfId="46958" xr:uid="{14DD86C6-EAED-4940-B0EA-94A77CC96B3E}"/>
    <cellStyle name="Comma 8 2 2 4 4" xfId="52595" xr:uid="{E47570AB-1AD3-4094-9C68-89CEF1A96D10}"/>
    <cellStyle name="Comma 8 2 2 4 5" xfId="55611" xr:uid="{9C7C6CD9-E5F9-4682-A74E-04E1475C1881}"/>
    <cellStyle name="Comma 8 2 2 4 6" xfId="19403" xr:uid="{EC72A659-DF99-4928-B58B-F2FBC11B15B6}"/>
    <cellStyle name="Comma 8 2 2 5" xfId="12752" xr:uid="{4FC2B933-C49A-4A68-847E-0400DE90EC25}"/>
    <cellStyle name="Comma 8 2 2 5 2" xfId="47470" xr:uid="{E896E4F9-EA16-4FBF-83B0-472F79841EF9}"/>
    <cellStyle name="Comma 8 2 2 5 3" xfId="51164" xr:uid="{A490B0D6-6736-4FDD-AD73-F7CE8FB3EC6B}"/>
    <cellStyle name="Comma 8 2 2 5 4" xfId="54180" xr:uid="{293333B2-6CA4-4BC3-A1ED-286B13FEA9F5}"/>
    <cellStyle name="Comma 8 2 2 5 5" xfId="21973" xr:uid="{ED725F02-1919-463D-A8B8-D8FA46DE58EA}"/>
    <cellStyle name="Comma 8 2 2 6" xfId="47446" xr:uid="{6E49124A-8A22-4294-B617-F0904446B726}"/>
    <cellStyle name="Comma 8 2 2 7" xfId="50058" xr:uid="{3D841D7A-5FC6-4F9A-A92E-E5A053208641}"/>
    <cellStyle name="Comma 8 2 2 8" xfId="53074" xr:uid="{C5698EAC-36CE-4CFA-95A6-4C8FB02DE802}"/>
    <cellStyle name="Comma 8 2 2 9" xfId="18882" xr:uid="{7B56AEA1-34A1-4F31-8367-F64901C38B1D}"/>
    <cellStyle name="Comma 8 2 3" xfId="14544" xr:uid="{63C92691-AB95-470D-8C38-086709F40049}"/>
    <cellStyle name="Comma 8 2 3 2" xfId="22091" xr:uid="{81CF48A3-77D3-4495-99FA-D2E2F8CA71E8}"/>
    <cellStyle name="Comma 8 2 3 3" xfId="47176" xr:uid="{D7F8F6D7-0D98-4C28-A0F9-A33FBEB52484}"/>
    <cellStyle name="Comma 8 2 3 4" xfId="51429" xr:uid="{E26AB7AC-C90F-413B-A782-AC942B3F829B}"/>
    <cellStyle name="Comma 8 2 3 5" xfId="54445" xr:uid="{5309804E-E663-4745-A8DB-110F76077731}"/>
    <cellStyle name="Comma 8 2 3 6" xfId="19055" xr:uid="{3A3C184F-2665-47DB-9FCD-25B1226D20E3}"/>
    <cellStyle name="Comma 8 2 4" xfId="15028" xr:uid="{6921632D-DFCB-4C7F-AF5C-36C4B7DD13CF}"/>
    <cellStyle name="Comma 8 2 4 2" xfId="22568" xr:uid="{BEBD2C4A-427E-45CA-91F7-645AFE7278FB}"/>
    <cellStyle name="Comma 8 2 4 3" xfId="24920" xr:uid="{71B01345-93F3-4CCE-9864-34F73B77C897}"/>
    <cellStyle name="Comma 8 2 4 4" xfId="51906" xr:uid="{1AAD507B-C353-43A6-B9AB-A281A5EBCC6A}"/>
    <cellStyle name="Comma 8 2 4 5" xfId="54922" xr:uid="{E3ABBFA9-FC06-418B-8D8C-94A2074A289F}"/>
    <cellStyle name="Comma 8 2 4 6" xfId="19197" xr:uid="{467BD41B-8609-4558-A240-6A21E62DC47D}"/>
    <cellStyle name="Comma 8 2 5" xfId="15515" xr:uid="{1DAC85C0-0D8D-4ABC-B694-27D0A3952A06}"/>
    <cellStyle name="Comma 8 2 5 2" xfId="23045" xr:uid="{685F0A1C-6F06-4FFB-A9D0-A208A67CB4AF}"/>
    <cellStyle name="Comma 8 2 5 3" xfId="46929" xr:uid="{952F4CAF-D686-4205-B237-101A6D44A1BC}"/>
    <cellStyle name="Comma 8 2 5 4" xfId="52383" xr:uid="{C89FF225-D855-4CA4-ABA6-ADB945469878}"/>
    <cellStyle name="Comma 8 2 5 5" xfId="55399" xr:uid="{50A6411E-AFAA-46B9-9400-40320A3B7744}"/>
    <cellStyle name="Comma 8 2 5 6" xfId="19342" xr:uid="{35F566F0-D3E6-45D3-831C-BB53A14CDF72}"/>
    <cellStyle name="Comma 8 2 6" xfId="12455" xr:uid="{110E987E-7246-4865-A364-3E3F4AD6DBF7}"/>
    <cellStyle name="Comma 8 2 6 2" xfId="46994" xr:uid="{9800CFEE-A2A1-4841-9AD3-3E2BCFC503C6}"/>
    <cellStyle name="Comma 8 2 6 3" xfId="50952" xr:uid="{6A1852B5-9A3E-46D0-8621-B79D2B53EC5E}"/>
    <cellStyle name="Comma 8 2 6 4" xfId="53968" xr:uid="{0490B171-357E-4CCB-948C-715816CAE041}"/>
    <cellStyle name="Comma 8 2 6 5" xfId="21911" xr:uid="{769663D1-6FC7-4CD0-BEBB-83E4E07B8927}"/>
    <cellStyle name="Comma 8 2 7" xfId="23807" xr:uid="{00DD756C-FE94-4A98-B8F2-C343B4E2AA20}"/>
    <cellStyle name="Comma 8 2 8" xfId="36083" xr:uid="{F7D388EB-33E7-4DB8-930F-C6681B1DED0A}"/>
    <cellStyle name="Comma 8 2 9" xfId="48678" xr:uid="{75C0257F-8D9E-4FA0-B62F-D65FB6A6D40E}"/>
    <cellStyle name="Comma 8 3" xfId="10065" xr:uid="{3BE5021D-542C-4F39-8B14-2584A92CCDD8}"/>
    <cellStyle name="Comma 8 3 10" xfId="18768" xr:uid="{A22770F8-0840-4DFC-A1F3-5ABDCB275D52}"/>
    <cellStyle name="Comma 8 3 2" xfId="10374" xr:uid="{E4410200-B868-4C90-B86B-05C985DA596F}"/>
    <cellStyle name="Comma 8 3 2 2" xfId="14809" xr:uid="{4DDAF9F4-895A-4459-A107-B3A8F24B3759}"/>
    <cellStyle name="Comma 8 3 2 2 2" xfId="22356" xr:uid="{1D3EB208-26C1-4CD7-BEC5-32F1FA652221}"/>
    <cellStyle name="Comma 8 3 2 2 3" xfId="32328" xr:uid="{F087E7C2-FC15-4E68-87CD-F183D1115C56}"/>
    <cellStyle name="Comma 8 3 2 2 4" xfId="51694" xr:uid="{C8CD3013-AA63-4001-988E-BDA0D38C6C9A}"/>
    <cellStyle name="Comma 8 3 2 2 5" xfId="54710" xr:uid="{75ABA7F8-C487-47FC-830D-3310B929BE26}"/>
    <cellStyle name="Comma 8 3 2 2 6" xfId="19130" xr:uid="{E03D31B6-7E45-43BB-8200-02E6C4B9CD79}"/>
    <cellStyle name="Comma 8 3 2 3" xfId="15294" xr:uid="{3D807D41-EA24-4DC3-A92C-DAE5D5358DB0}"/>
    <cellStyle name="Comma 8 3 2 3 2" xfId="22833" xr:uid="{CABB2500-2598-42CE-8ABE-1526AAA46E49}"/>
    <cellStyle name="Comma 8 3 2 3 3" xfId="47343" xr:uid="{F5C07042-8767-4A91-BBB7-9691657D1634}"/>
    <cellStyle name="Comma 8 3 2 3 4" xfId="52171" xr:uid="{321EB500-902A-4902-99DC-7169411740A9}"/>
    <cellStyle name="Comma 8 3 2 3 5" xfId="55187" xr:uid="{24977C76-4255-468A-AEDB-5199FF6D58D9}"/>
    <cellStyle name="Comma 8 3 2 3 6" xfId="19273" xr:uid="{4D8E70F1-60FC-463E-84FE-828E7E36BA51}"/>
    <cellStyle name="Comma 8 3 2 4" xfId="15781" xr:uid="{C4F01FF0-C60E-474D-B0DD-DA5795AA7696}"/>
    <cellStyle name="Comma 8 3 2 4 2" xfId="23310" xr:uid="{624E2006-E653-4878-8DB9-401EE94E7BFB}"/>
    <cellStyle name="Comma 8 3 2 4 3" xfId="47385" xr:uid="{5F69AD2C-6F0F-4B3C-AE69-3CD1ECED60F6}"/>
    <cellStyle name="Comma 8 3 2 4 4" xfId="52648" xr:uid="{F8714754-BF5F-413B-84C1-031F2D88ABC9}"/>
    <cellStyle name="Comma 8 3 2 4 5" xfId="55664" xr:uid="{06F45624-FEEF-411A-BB67-F31CA4AF9949}"/>
    <cellStyle name="Comma 8 3 2 4 6" xfId="19418" xr:uid="{18F27E42-3F49-4296-9F5C-DD346B213B72}"/>
    <cellStyle name="Comma 8 3 2 5" xfId="12827" xr:uid="{082FB0C0-8FC0-485E-80B9-2D48277E0FB9}"/>
    <cellStyle name="Comma 8 3 2 5 2" xfId="48342" xr:uid="{F1FE0B01-D99E-42C3-8AA3-219DB33D39E4}"/>
    <cellStyle name="Comma 8 3 2 5 3" xfId="51217" xr:uid="{FFD7E0E6-E8ED-4AA0-84A3-959409231F7E}"/>
    <cellStyle name="Comma 8 3 2 5 4" xfId="54233" xr:uid="{87169C70-CED2-4566-8A87-8C651C1A8265}"/>
    <cellStyle name="Comma 8 3 2 5 5" xfId="21988" xr:uid="{CE3BCFEB-4063-432A-8B41-74D9A7CD430A}"/>
    <cellStyle name="Comma 8 3 2 6" xfId="46104" xr:uid="{DEEF3169-35CD-45F9-981D-00B3269F2410}"/>
    <cellStyle name="Comma 8 3 2 7" xfId="50111" xr:uid="{0D26AD31-84B9-43DC-A25C-CAAB5DB605C6}"/>
    <cellStyle name="Comma 8 3 2 8" xfId="53127" xr:uid="{B0FB67F3-8437-49B5-9957-990F0AB5E2D7}"/>
    <cellStyle name="Comma 8 3 2 9" xfId="18919" xr:uid="{F7E73E22-1479-4EC1-B8B7-4D9C930E88EB}"/>
    <cellStyle name="Comma 8 3 3" xfId="14597" xr:uid="{26433D8F-03FD-46C4-A984-15E7E32CCC2E}"/>
    <cellStyle name="Comma 8 3 3 2" xfId="22144" xr:uid="{05851E48-1541-4DD6-B01F-7F669662C31E}"/>
    <cellStyle name="Comma 8 3 3 3" xfId="25308" xr:uid="{3C354481-35FE-48FB-B6FE-58015EEA4C77}"/>
    <cellStyle name="Comma 8 3 3 4" xfId="51482" xr:uid="{C56E230D-DCFC-4186-AB52-44DA5774E0E8}"/>
    <cellStyle name="Comma 8 3 3 5" xfId="54498" xr:uid="{2F5A1539-79CB-48E9-9763-8F9C27EAF00F}"/>
    <cellStyle name="Comma 8 3 3 6" xfId="19070" xr:uid="{2D399C1B-69F2-4DF4-B963-B3F4422041A3}"/>
    <cellStyle name="Comma 8 3 4" xfId="15082" xr:uid="{EBA5551E-E7B0-4156-9F22-204737A80AF7}"/>
    <cellStyle name="Comma 8 3 4 2" xfId="22621" xr:uid="{BC57471D-5E28-4A81-B1F5-30D09CB63E6A}"/>
    <cellStyle name="Comma 8 3 4 3" xfId="34010" xr:uid="{0A0E0723-C723-43DD-98DD-3079E85F6DD6}"/>
    <cellStyle name="Comma 8 3 4 4" xfId="51959" xr:uid="{C0D4D20E-11C8-4885-B7C6-C8C19E903F0D}"/>
    <cellStyle name="Comma 8 3 4 5" xfId="54975" xr:uid="{7D5690A1-711E-4FC3-B96B-A2CF266B801D}"/>
    <cellStyle name="Comma 8 3 4 6" xfId="19213" xr:uid="{445B7C03-6084-4793-96EE-AE51121E4494}"/>
    <cellStyle name="Comma 8 3 5" xfId="15569" xr:uid="{B3046262-16E8-4BD0-B213-BA5F415266B2}"/>
    <cellStyle name="Comma 8 3 5 2" xfId="23098" xr:uid="{CDA284BA-7A42-4BAA-A414-8D0B218D1932}"/>
    <cellStyle name="Comma 8 3 5 3" xfId="46553" xr:uid="{31802B3B-2D0E-4343-82A4-954498CD35DF}"/>
    <cellStyle name="Comma 8 3 5 4" xfId="52436" xr:uid="{1B8421F8-E0E9-4A72-BFE9-DC57F0D3B6E7}"/>
    <cellStyle name="Comma 8 3 5 5" xfId="55452" xr:uid="{C306CA31-1981-4661-8E15-7AA64B606A5A}"/>
    <cellStyle name="Comma 8 3 5 6" xfId="19358" xr:uid="{55BC4E94-824A-4CCF-A80D-04742FA83BFC}"/>
    <cellStyle name="Comma 8 3 6" xfId="12524" xr:uid="{5585E08D-DA3C-4278-B9E1-8CFCB519E38B}"/>
    <cellStyle name="Comma 8 3 6 2" xfId="47014" xr:uid="{1AFE0375-26E3-46BD-B87A-5E9AC16081C8}"/>
    <cellStyle name="Comma 8 3 6 3" xfId="51005" xr:uid="{A5E7B7C7-5A88-4044-8F93-610F6C92BD7F}"/>
    <cellStyle name="Comma 8 3 6 4" xfId="54021" xr:uid="{5A9B30C5-33A1-4429-8302-9D7842170540}"/>
    <cellStyle name="Comma 8 3 6 5" xfId="21928" xr:uid="{F6B1769C-D104-4B98-940E-34990CBA1AE4}"/>
    <cellStyle name="Comma 8 3 7" xfId="25382" xr:uid="{BBFB25A7-3C75-4877-835A-419A9B2B86D1}"/>
    <cellStyle name="Comma 8 3 8" xfId="49899" xr:uid="{F27618AF-556E-42F4-9430-BD8B1E72DBC2}"/>
    <cellStyle name="Comma 8 3 9" xfId="52915" xr:uid="{9F1E236A-A1BA-4811-A5ED-9D6734EF82FE}"/>
    <cellStyle name="Comma 8 4" xfId="10140" xr:uid="{52400443-9850-48A2-91F8-CDC49FDB082C}"/>
    <cellStyle name="Comma 8 4 10" xfId="18802" xr:uid="{C6512311-4AC7-43A8-9AEE-8804257C9DD6}"/>
    <cellStyle name="Comma 8 4 2" xfId="10454" xr:uid="{023ECBBD-0A67-4984-8B1B-99D2D1E2AC48}"/>
    <cellStyle name="Comma 8 4 2 2" xfId="14862" xr:uid="{4E58FAB1-48E1-4204-98D9-0D0B83823A57}"/>
    <cellStyle name="Comma 8 4 2 2 2" xfId="22409" xr:uid="{1D7D42F9-53DD-47F3-A8E0-6C6D1ADA3B91}"/>
    <cellStyle name="Comma 8 4 2 2 3" xfId="46871" xr:uid="{163DA368-3977-4B6B-B8AC-D3C253E9FBB4}"/>
    <cellStyle name="Comma 8 4 2 2 4" xfId="51747" xr:uid="{1D907ADC-441A-4B81-9944-BB1BF1CE2FAF}"/>
    <cellStyle name="Comma 8 4 2 2 5" xfId="54763" xr:uid="{38870117-17DC-4742-B1ED-F8CB4F04BE3C}"/>
    <cellStyle name="Comma 8 4 2 2 6" xfId="19145" xr:uid="{7BFF9432-9F39-41C3-B569-CCD1CA792AAF}"/>
    <cellStyle name="Comma 8 4 2 3" xfId="15347" xr:uid="{409037BB-D890-431F-B613-00C4E3721506}"/>
    <cellStyle name="Comma 8 4 2 3 2" xfId="22886" xr:uid="{BDD6AFAD-A0CD-46AB-ACD2-EB480F2FB89A}"/>
    <cellStyle name="Comma 8 4 2 3 3" xfId="47784" xr:uid="{16DB4B35-C738-4B2C-B424-AD30EC0D3701}"/>
    <cellStyle name="Comma 8 4 2 3 4" xfId="52224" xr:uid="{56F14442-4FCA-4922-9666-34F9D64F606D}"/>
    <cellStyle name="Comma 8 4 2 3 5" xfId="55240" xr:uid="{17E385BD-AECC-43DC-89AA-BB55544D56AB}"/>
    <cellStyle name="Comma 8 4 2 3 6" xfId="19288" xr:uid="{FEBAE823-090F-4EC9-8E85-A2D4A6E64B52}"/>
    <cellStyle name="Comma 8 4 2 4" xfId="15834" xr:uid="{FADA8FAB-E3E0-4740-9FCE-D58A41904C85}"/>
    <cellStyle name="Comma 8 4 2 4 2" xfId="23363" xr:uid="{B383901A-20C8-4663-9C87-D838F47925F1}"/>
    <cellStyle name="Comma 8 4 2 4 3" xfId="48231" xr:uid="{4D845664-2DF2-45F3-B2A4-B02EADDFDC33}"/>
    <cellStyle name="Comma 8 4 2 4 4" xfId="52701" xr:uid="{051083C9-1D40-48CF-B8A4-8822F7344E4C}"/>
    <cellStyle name="Comma 8 4 2 4 5" xfId="55717" xr:uid="{513D57F9-091E-47B2-A3D7-68025511FAC1}"/>
    <cellStyle name="Comma 8 4 2 4 6" xfId="19433" xr:uid="{A3EFDE3B-86D1-4614-BED5-C6C61762D0F7}"/>
    <cellStyle name="Comma 8 4 2 5" xfId="12907" xr:uid="{C54702D2-9823-46C1-82CD-304C620C33CE}"/>
    <cellStyle name="Comma 8 4 2 5 2" xfId="47326" xr:uid="{0E75689B-E249-4B53-A53E-589CAF9BC7AA}"/>
    <cellStyle name="Comma 8 4 2 5 3" xfId="51270" xr:uid="{C1EA4933-34B8-4279-A600-0DAE31807659}"/>
    <cellStyle name="Comma 8 4 2 5 4" xfId="54286" xr:uid="{898AECF7-67EF-4687-99C1-85A5D615EEFF}"/>
    <cellStyle name="Comma 8 4 2 5 5" xfId="22003" xr:uid="{AA7E1051-354D-4566-BFFD-E249D4800B83}"/>
    <cellStyle name="Comma 8 4 2 6" xfId="46124" xr:uid="{CFE1DD8E-D800-4CF8-ADF2-1BD576103489}"/>
    <cellStyle name="Comma 8 4 2 7" xfId="50164" xr:uid="{2802178B-6E8F-4874-9D45-7C01E6B96074}"/>
    <cellStyle name="Comma 8 4 2 8" xfId="53180" xr:uid="{729BE883-ADE9-4AE7-B8C6-CFBADF50722A}"/>
    <cellStyle name="Comma 8 4 2 9" xfId="18961" xr:uid="{1704B28C-5EF3-4055-8EAF-DF97887F9357}"/>
    <cellStyle name="Comma 8 4 3" xfId="14650" xr:uid="{E402A3E0-C3E1-46A4-9DC4-8529BEC5BAFC}"/>
    <cellStyle name="Comma 8 4 3 2" xfId="22197" xr:uid="{A61C2395-BA92-40FF-8F2D-D68EEBE1BEA2}"/>
    <cellStyle name="Comma 8 4 3 3" xfId="48322" xr:uid="{734A9B44-775F-4266-8192-3D0186198052}"/>
    <cellStyle name="Comma 8 4 3 4" xfId="51535" xr:uid="{DCAD1DB8-922F-4D23-805B-D606A19A4D14}"/>
    <cellStyle name="Comma 8 4 3 5" xfId="54551" xr:uid="{E3233B77-91A4-4934-ACCF-86CE8E9F1C80}"/>
    <cellStyle name="Comma 8 4 3 6" xfId="19085" xr:uid="{A761A14C-AE21-48D0-BC93-AA06C2A9581F}"/>
    <cellStyle name="Comma 8 4 4" xfId="15135" xr:uid="{376FB9D1-9CE8-4743-92FF-C743B48B5D96}"/>
    <cellStyle name="Comma 8 4 4 2" xfId="22674" xr:uid="{9EED9CA1-7F64-4184-8A57-A8296722E57A}"/>
    <cellStyle name="Comma 8 4 4 3" xfId="47992" xr:uid="{41F751C3-FAD9-475D-857B-F80B5AF5D46E}"/>
    <cellStyle name="Comma 8 4 4 4" xfId="52012" xr:uid="{3A62E311-BC7F-460A-920A-ABD1C7F56539}"/>
    <cellStyle name="Comma 8 4 4 5" xfId="55028" xr:uid="{4D7A8672-9D30-4D29-94F5-C90C3D4B35BD}"/>
    <cellStyle name="Comma 8 4 4 6" xfId="19228" xr:uid="{A22BF3FF-B230-4555-A72C-76731C457FEE}"/>
    <cellStyle name="Comma 8 4 5" xfId="15622" xr:uid="{915A2DC9-2B08-4F5E-AE92-98E490C225FE}"/>
    <cellStyle name="Comma 8 4 5 2" xfId="23151" xr:uid="{ADD936E3-EB76-495E-85C2-91E2AF9258CB}"/>
    <cellStyle name="Comma 8 4 5 3" xfId="24164" xr:uid="{1DE7924A-0D5E-4EC5-8F46-3E526DB8FD6E}"/>
    <cellStyle name="Comma 8 4 5 4" xfId="52489" xr:uid="{3411AF9E-B939-4588-9676-C0577284F750}"/>
    <cellStyle name="Comma 8 4 5 5" xfId="55505" xr:uid="{A793FFEC-FACA-42AA-BB18-41ECE16EF4C7}"/>
    <cellStyle name="Comma 8 4 5 6" xfId="19373" xr:uid="{174CF407-48CD-4648-A2AA-D48B5B1B81D5}"/>
    <cellStyle name="Comma 8 4 6" xfId="12596" xr:uid="{3B63A4CD-D799-4CBE-9065-EF24041FDFF9}"/>
    <cellStyle name="Comma 8 4 6 2" xfId="32366" xr:uid="{E12CD811-0A9C-4672-B8B9-6EE82ABE3D98}"/>
    <cellStyle name="Comma 8 4 6 3" xfId="51058" xr:uid="{CD211157-79C2-4DD7-B501-BE53A3A7B3CA}"/>
    <cellStyle name="Comma 8 4 6 4" xfId="54074" xr:uid="{90856758-2866-4F63-9B91-AE64F94B919A}"/>
    <cellStyle name="Comma 8 4 6 5" xfId="21943" xr:uid="{63C8C75E-DBD7-411C-823F-DC866562E654}"/>
    <cellStyle name="Comma 8 4 7" xfId="47279" xr:uid="{1FDB9475-AA54-47BB-B7EA-183C59A06287}"/>
    <cellStyle name="Comma 8 4 8" xfId="49952" xr:uid="{E525F9AC-6BA5-44CA-BBD3-285F3FE78F1C}"/>
    <cellStyle name="Comma 8 4 9" xfId="52968" xr:uid="{93618FF1-BEE4-43E2-991C-1EAA65ED9516}"/>
    <cellStyle name="Comma 8 5" xfId="10220" xr:uid="{71C3C589-83BE-4A69-891A-BB575887E26E}"/>
    <cellStyle name="Comma 8 5 2" xfId="14703" xr:uid="{36AD933D-9E66-463B-B111-DD04528BB833}"/>
    <cellStyle name="Comma 8 5 2 2" xfId="22250" xr:uid="{CE3DA3E9-2159-40B5-963F-1F4B1168F30B}"/>
    <cellStyle name="Comma 8 5 2 3" xfId="46420" xr:uid="{55AD0EB0-590F-4824-A55E-59ED6FB62D23}"/>
    <cellStyle name="Comma 8 5 2 4" xfId="51588" xr:uid="{476473F9-E131-46E0-AEBC-17E6FB8F3CD5}"/>
    <cellStyle name="Comma 8 5 2 5" xfId="54604" xr:uid="{B7AC04E7-A504-414C-9583-A320C6412A5B}"/>
    <cellStyle name="Comma 8 5 2 6" xfId="19100" xr:uid="{FC6A0EE9-867E-4DA6-8AE7-A7FBAF3D4267}"/>
    <cellStyle name="Comma 8 5 3" xfId="15188" xr:uid="{507FDBFC-401B-4533-ACF6-A1647B7DF887}"/>
    <cellStyle name="Comma 8 5 3 2" xfId="22727" xr:uid="{4BA105FB-F49E-4691-91A3-C9B4B81C13F9}"/>
    <cellStyle name="Comma 8 5 3 3" xfId="48538" xr:uid="{457F0073-EDBF-4797-84EC-9A6E9EA75DBB}"/>
    <cellStyle name="Comma 8 5 3 4" xfId="52065" xr:uid="{80B244B9-BC46-46CE-B34A-561D70FE31AB}"/>
    <cellStyle name="Comma 8 5 3 5" xfId="55081" xr:uid="{1696367B-9863-497C-835F-130E9F16CB4F}"/>
    <cellStyle name="Comma 8 5 3 6" xfId="19243" xr:uid="{F709762D-B3CE-400B-A650-D0995C6B215B}"/>
    <cellStyle name="Comma 8 5 4" xfId="15675" xr:uid="{747D998E-A446-4DEC-A258-2C6E4D9F9057}"/>
    <cellStyle name="Comma 8 5 4 2" xfId="23204" xr:uid="{30B6F0B5-3E68-458A-9671-BE0D15397B29}"/>
    <cellStyle name="Comma 8 5 4 3" xfId="46570" xr:uid="{2F465D93-6043-463C-BC64-A52EA935BA5D}"/>
    <cellStyle name="Comma 8 5 4 4" xfId="52542" xr:uid="{499374B1-D860-4993-9701-84BCE242A5EF}"/>
    <cellStyle name="Comma 8 5 4 5" xfId="55558" xr:uid="{29CC9044-1038-4C3A-BEA5-569DB2B5B43D}"/>
    <cellStyle name="Comma 8 5 4 6" xfId="19388" xr:uid="{AC410484-83ED-46C2-ABC4-326C035D13F7}"/>
    <cellStyle name="Comma 8 5 5" xfId="12673" xr:uid="{6B952A5D-EAF9-4800-A161-4EE249D48D42}"/>
    <cellStyle name="Comma 8 5 5 2" xfId="46340" xr:uid="{3AB97123-B713-4630-8ED3-4B7A604FB4CC}"/>
    <cellStyle name="Comma 8 5 5 3" xfId="51111" xr:uid="{4344C6FB-130A-4BDB-BBCD-6CDF590BAC81}"/>
    <cellStyle name="Comma 8 5 5 4" xfId="54127" xr:uid="{F2FE91B3-7B6C-4DF9-A525-10FDDBAB7DFE}"/>
    <cellStyle name="Comma 8 5 5 5" xfId="21958" xr:uid="{FC03F113-E711-4BE0-9689-8E1B76D7B425}"/>
    <cellStyle name="Comma 8 5 6" xfId="46067" xr:uid="{099A5151-DFC7-4F8A-B050-D5255678C315}"/>
    <cellStyle name="Comma 8 5 7" xfId="50005" xr:uid="{E252A3B8-77AF-4BFF-B8A2-F038DEE7CE82}"/>
    <cellStyle name="Comma 8 5 8" xfId="53021" xr:uid="{06564194-1190-4448-8BCE-F84EDCD1E312}"/>
    <cellStyle name="Comma 8 5 9" xfId="18841" xr:uid="{742F669C-9D1A-4AF9-AE37-0B1BFE029CC5}"/>
    <cellStyle name="Comma 8 6" xfId="10534" xr:uid="{DC813086-0899-498F-8B98-99CD775D137F}"/>
    <cellStyle name="Comma 8 6 2" xfId="14915" xr:uid="{F4176D5A-775C-46F8-B0CE-82160200A516}"/>
    <cellStyle name="Comma 8 6 2 2" xfId="22462" xr:uid="{AB0A488A-3D1A-4B5C-BCC9-1930705BA2DA}"/>
    <cellStyle name="Comma 8 6 2 3" xfId="46455" xr:uid="{042CD2DA-00C1-4170-BEE5-E678CF6A106A}"/>
    <cellStyle name="Comma 8 6 2 4" xfId="51800" xr:uid="{2BCFD39B-2157-416E-9D4D-C367A63D241D}"/>
    <cellStyle name="Comma 8 6 2 5" xfId="54816" xr:uid="{B7BEA063-7EF9-416A-A419-E2A823D72AC8}"/>
    <cellStyle name="Comma 8 6 2 6" xfId="19160" xr:uid="{6FFE4D4A-598B-41AC-84A6-374B95C5D36C}"/>
    <cellStyle name="Comma 8 6 3" xfId="15400" xr:uid="{ACD0C409-2732-4B86-B03B-3EAFB8733EEA}"/>
    <cellStyle name="Comma 8 6 3 2" xfId="22939" xr:uid="{4BDF829A-4638-48AA-BEE9-0039237B7C83}"/>
    <cellStyle name="Comma 8 6 3 3" xfId="47941" xr:uid="{334DCD7E-66B6-4631-A49A-FF01B15B38D9}"/>
    <cellStyle name="Comma 8 6 3 4" xfId="52277" xr:uid="{AFACEA37-E108-4E78-8F4D-7CC05DC541FC}"/>
    <cellStyle name="Comma 8 6 3 5" xfId="55293" xr:uid="{04012255-0960-40F5-B3A5-30DBB2EADAD0}"/>
    <cellStyle name="Comma 8 6 3 6" xfId="19303" xr:uid="{86FDD25E-ABF2-46F4-BC05-258296855E77}"/>
    <cellStyle name="Comma 8 6 4" xfId="15888" xr:uid="{D33F1D3C-E7DA-4810-8F4A-CB829EC71CD6}"/>
    <cellStyle name="Comma 8 6 4 2" xfId="23416" xr:uid="{BA1A66A2-8E25-4A77-956A-045BF5736CE9}"/>
    <cellStyle name="Comma 8 6 4 3" xfId="46978" xr:uid="{5961CDD8-FECC-4A98-AAC5-3B8EBBB0F1F6}"/>
    <cellStyle name="Comma 8 6 4 4" xfId="52754" xr:uid="{FF75E087-15FF-4DA7-87E0-282A4A33EA4E}"/>
    <cellStyle name="Comma 8 6 4 5" xfId="55770" xr:uid="{56314FBA-67DC-4EEC-BE1D-12CFC341FC60}"/>
    <cellStyle name="Comma 8 6 4 6" xfId="19449" xr:uid="{344523F7-203A-40C1-9820-45FD28D9CB93}"/>
    <cellStyle name="Comma 8 6 5" xfId="12987" xr:uid="{B350F8EE-B06F-42EA-B4D7-C305AD7141DF}"/>
    <cellStyle name="Comma 8 6 5 2" xfId="48274" xr:uid="{D2920ECD-3FBD-41B5-8B84-8B5F47C74C19}"/>
    <cellStyle name="Comma 8 6 5 3" xfId="51323" xr:uid="{676CD0F7-FC01-45D2-A2E0-22F1E45BAF6A}"/>
    <cellStyle name="Comma 8 6 5 4" xfId="54339" xr:uid="{3E07EF84-373F-4BBB-A247-023167AB1B94}"/>
    <cellStyle name="Comma 8 6 5 5" xfId="22018" xr:uid="{B72C7282-0551-4379-A15B-CF9DD9A1EFD7}"/>
    <cellStyle name="Comma 8 6 6" xfId="46145" xr:uid="{664C2A6D-273E-4E71-80D9-1731532DEBD3}"/>
    <cellStyle name="Comma 8 6 7" xfId="50217" xr:uid="{37B1821F-5263-48CF-BFAF-87D0C0C2EDD4}"/>
    <cellStyle name="Comma 8 6 8" xfId="53233" xr:uid="{78D776EE-445E-46D5-A356-099764764C04}"/>
    <cellStyle name="Comma 8 6 9" xfId="19003" xr:uid="{4AD5F62E-C48A-44C3-A3C5-558F18BF0E0D}"/>
    <cellStyle name="Comma 8 7" xfId="14491" xr:uid="{3D45938D-02E5-4919-8B36-5DCD93643B6A}"/>
    <cellStyle name="Comma 8 7 2" xfId="22038" xr:uid="{4B500A46-F9FA-433F-9BBA-13784736A6D4}"/>
    <cellStyle name="Comma 8 7 3" xfId="46997" xr:uid="{DD9C5EC3-EEDC-4651-8FD0-615CDE902808}"/>
    <cellStyle name="Comma 8 7 4" xfId="51376" xr:uid="{BC95BCB2-8119-4C97-A871-7F77C426F763}"/>
    <cellStyle name="Comma 8 7 5" xfId="54392" xr:uid="{ACCD1BD9-8E96-4706-B223-BFA72B89CF82}"/>
    <cellStyle name="Comma 8 7 6" xfId="19040" xr:uid="{216193F7-CE4A-439B-ADAF-D2C90FB47332}"/>
    <cellStyle name="Comma 8 8" xfId="14973" xr:uid="{AAE290E6-3FAD-4163-8A91-44E04448E5A1}"/>
    <cellStyle name="Comma 8 8 2" xfId="22515" xr:uid="{BE618030-DACD-4CE1-963B-066A8865F02A}"/>
    <cellStyle name="Comma 8 8 3" xfId="47541" xr:uid="{C0964C64-F48A-4797-BEA2-7A649A3E0EC6}"/>
    <cellStyle name="Comma 8 8 4" xfId="51853" xr:uid="{FC56CE94-800B-4211-9AF7-355FFEF0C7F4}"/>
    <cellStyle name="Comma 8 8 5" xfId="54869" xr:uid="{B7FA611A-02D0-4CE4-B864-E42FE8CD51D1}"/>
    <cellStyle name="Comma 8 8 6" xfId="19180" xr:uid="{873ACA17-44B1-4B8F-8AF4-AE0E95ED0D33}"/>
    <cellStyle name="Comma 8 9" xfId="15460" xr:uid="{48FB888E-D541-496F-99AD-5570D66AAA7F}"/>
    <cellStyle name="Comma 8 9 2" xfId="22992" xr:uid="{01870DAB-B451-45A2-BE07-2CE24820C9E2}"/>
    <cellStyle name="Comma 8 9 3" xfId="47455" xr:uid="{32B4FF69-8A72-4EE5-A0A6-8224B988596F}"/>
    <cellStyle name="Comma 8 9 4" xfId="52330" xr:uid="{C94A2435-FDA5-4071-81BF-D5FB79C4034D}"/>
    <cellStyle name="Comma 8 9 5" xfId="55346" xr:uid="{2BE22C74-64AC-48F3-AA72-4E376EDD4614}"/>
    <cellStyle name="Comma 8 9 6" xfId="19325" xr:uid="{F75F0D8C-A3B3-461C-A124-091FE4373A76}"/>
    <cellStyle name="Comma 9" xfId="12231" xr:uid="{191C6732-291E-408C-A127-2EDF80A5707D}"/>
    <cellStyle name="Comma 9 10" xfId="48679" xr:uid="{E8B645AA-5F31-4EA8-8CF8-E51BDB34DC20}"/>
    <cellStyle name="Comma 9 11" xfId="49587" xr:uid="{62C09281-7A3B-4451-B087-FA1DD9891981}"/>
    <cellStyle name="Comma 9 12" xfId="15949" xr:uid="{DC5919F1-FCA9-4279-89AC-B3ADEE2ABF17}"/>
    <cellStyle name="Comma 9 2" xfId="18623" xr:uid="{E82D6BA1-3B8F-46E1-99F0-D71369F25BAA}"/>
    <cellStyle name="Comma 9 2 2" xfId="23810" xr:uid="{D4596FE3-98A3-401B-8A20-E5F7D4A69BDB}"/>
    <cellStyle name="Comma 9 2 2 2" xfId="23811" xr:uid="{477D2967-4EDD-46E0-89F9-0952D3B18FFE}"/>
    <cellStyle name="Comma 9 2 2 2 2" xfId="48682" xr:uid="{A8D50B0E-5A5B-4FE6-9DB0-12157AAB36BE}"/>
    <cellStyle name="Comma 9 2 2 2 3" xfId="49590" xr:uid="{6B2B559D-20BF-4480-884A-7CEFB7A9007C}"/>
    <cellStyle name="Comma 9 2 2 3" xfId="48681" xr:uid="{D5219CF1-A289-430A-BEB5-C268FB597A71}"/>
    <cellStyle name="Comma 9 2 2 4" xfId="49589" xr:uid="{27088813-4FB4-450E-A0B9-E8E3A0630254}"/>
    <cellStyle name="Comma 9 2 3" xfId="23812" xr:uid="{27FE0A95-3D63-429F-992E-F3EE73A7A8F4}"/>
    <cellStyle name="Comma 9 2 3 2" xfId="23813" xr:uid="{E9106F25-6E16-4BC5-806A-F33E18542D00}"/>
    <cellStyle name="Comma 9 2 3 2 2" xfId="48684" xr:uid="{5F1D3E75-2C68-4A5D-9034-8CCF8554E09E}"/>
    <cellStyle name="Comma 9 2 3 2 3" xfId="49592" xr:uid="{3F10411B-F683-44CD-8909-E0E15D868F0B}"/>
    <cellStyle name="Comma 9 2 3 3" xfId="48683" xr:uid="{3DEF60E8-B379-44B8-9062-B052216BA731}"/>
    <cellStyle name="Comma 9 2 3 4" xfId="49591" xr:uid="{983B997A-E1B8-4B31-A9C3-A7F556D371C0}"/>
    <cellStyle name="Comma 9 2 4" xfId="23814" xr:uid="{A7EACD55-8805-403E-B1FE-449DB0D813F5}"/>
    <cellStyle name="Comma 9 2 4 2" xfId="48685" xr:uid="{6E0FD435-91C6-4237-8F59-61239CD7F2D4}"/>
    <cellStyle name="Comma 9 2 4 3" xfId="49593" xr:uid="{C50426A3-E5E2-4604-B146-1F07F1D0C22D}"/>
    <cellStyle name="Comma 9 2 5" xfId="23809" xr:uid="{3F7DE144-CCD7-497D-BD61-511147344703}"/>
    <cellStyle name="Comma 9 2 6" xfId="48680" xr:uid="{01FDAA3D-0AD1-425E-BC34-A3555F7ABFE7}"/>
    <cellStyle name="Comma 9 2 7" xfId="49588" xr:uid="{ECEACFC7-08B8-4963-975D-5A359F8EEED9}"/>
    <cellStyle name="Comma 9 3" xfId="19498" xr:uid="{9265027B-BDE1-49BB-B23A-A139429DA367}"/>
    <cellStyle name="Comma 9 3 2" xfId="23816" xr:uid="{6F32D601-A7AA-4066-9428-277BF4241D11}"/>
    <cellStyle name="Comma 9 3 2 2" xfId="48687" xr:uid="{182F8C38-0FE1-496A-9334-7186E86A126F}"/>
    <cellStyle name="Comma 9 3 2 3" xfId="49595" xr:uid="{0961E3E1-CDDA-4640-A4D4-58348E376C2F}"/>
    <cellStyle name="Comma 9 3 3" xfId="23815" xr:uid="{D337D3B3-EE3F-4EA1-8C4C-6D6C1EAA2FBE}"/>
    <cellStyle name="Comma 9 3 4" xfId="48686" xr:uid="{05FB58B2-32A7-4FE4-AE8E-3E6D86A406F5}"/>
    <cellStyle name="Comma 9 3 5" xfId="49594" xr:uid="{DDF47412-203F-4FF6-8D34-26EB8DDAE39B}"/>
    <cellStyle name="Comma 9 4" xfId="23817" xr:uid="{3925C2AD-839F-468D-B082-CE69DC37763E}"/>
    <cellStyle name="Comma 9 4 2" xfId="23818" xr:uid="{C41D3863-3D1C-4BA7-A46A-D4132F5531E5}"/>
    <cellStyle name="Comma 9 4 2 2" xfId="48689" xr:uid="{11D70145-C2F4-4C07-AFC1-9542858BFC82}"/>
    <cellStyle name="Comma 9 4 2 3" xfId="49597" xr:uid="{20FE2BF5-4E08-47C0-BBB7-A0CA528E0C87}"/>
    <cellStyle name="Comma 9 4 3" xfId="48688" xr:uid="{C0AF3D2B-E8FC-4C64-8A68-33D9D4395245}"/>
    <cellStyle name="Comma 9 4 4" xfId="49596" xr:uid="{CC33915C-5541-4D4A-B54C-E2C2C3BC7849}"/>
    <cellStyle name="Comma 9 5" xfId="23819" xr:uid="{72B21F1B-62AF-46F0-9021-38619B61AD06}"/>
    <cellStyle name="Comma 9 5 2" xfId="23820" xr:uid="{12DCE16B-2EE6-4FC0-A6B8-C5771F26DCD4}"/>
    <cellStyle name="Comma 9 5 2 2" xfId="48691" xr:uid="{39E2FC6D-D3F6-41CC-AE43-1BF224E67693}"/>
    <cellStyle name="Comma 9 5 2 3" xfId="49599" xr:uid="{3780480E-ABB3-4F09-9EF7-6BDD5664DC70}"/>
    <cellStyle name="Comma 9 5 3" xfId="48690" xr:uid="{44AEAF13-20B1-4EF3-A956-DBBECB66A74E}"/>
    <cellStyle name="Comma 9 5 4" xfId="49598" xr:uid="{DE4A3083-EBBC-49BF-84CD-5839B0AED769}"/>
    <cellStyle name="Comma 9 6" xfId="23821" xr:uid="{7FE59EF3-E3D2-4912-B7C4-7A25FBD82D2B}"/>
    <cellStyle name="Comma 9 6 2" xfId="48692" xr:uid="{A0097E1B-BAE8-49F7-B563-1B01BF14DE07}"/>
    <cellStyle name="Comma 9 6 3" xfId="49600" xr:uid="{74634EAE-D774-47C0-A968-BE5AD568B5EF}"/>
    <cellStyle name="Comma 9 7" xfId="23822" xr:uid="{6020BFC7-FA6A-479E-A4F8-6631C23FA854}"/>
    <cellStyle name="Comma 9 7 2" xfId="48693" xr:uid="{69B694D4-D057-42D9-8398-83F94B1FF598}"/>
    <cellStyle name="Comma 9 7 3" xfId="49601" xr:uid="{AF2F913A-6618-4569-88C9-EC72AE68D4DF}"/>
    <cellStyle name="Comma 9 8" xfId="23823" xr:uid="{516CA0E2-48CF-4862-AEE8-E950ADA6BA29}"/>
    <cellStyle name="Comma 9 8 2" xfId="32701" xr:uid="{FB836316-530A-44F9-8533-14F10C9FE981}"/>
    <cellStyle name="Comma 9 8 3" xfId="48694" xr:uid="{A629F561-819D-4E20-9B90-D8BCCDD45490}"/>
    <cellStyle name="Comma 9 8 4" xfId="49602" xr:uid="{3EF529CB-10F3-46A6-A90D-02DAE9E5A49C}"/>
    <cellStyle name="Comma 9 9" xfId="23808" xr:uid="{7FB30C84-A9D6-4047-8441-911E39C5BEA7}"/>
    <cellStyle name="Comma0" xfId="32263" xr:uid="{19F99CA8-8CCE-406B-8636-C3E514F185C5}"/>
    <cellStyle name="Comma0 - Type3" xfId="55" xr:uid="{00000000-0005-0000-0000-00005B000000}"/>
    <cellStyle name="Comma0 - Typografi1" xfId="32264" xr:uid="{4B045405-7C34-49C0-8A07-150231FA0BA8}"/>
    <cellStyle name="Comma0 - Typografi1 2" xfId="32265" xr:uid="{531AC95C-D3FF-44CB-9625-230491217C7E}"/>
    <cellStyle name="Comma0 - Typografi1 2 2" xfId="32266" xr:uid="{630935BA-1E30-4C9B-AC0A-76CDEB139CB5}"/>
    <cellStyle name="Comma0 - Typografi1 3" xfId="32267" xr:uid="{5FDA2D66-6C34-4427-B602-2DBB0D69FD2C}"/>
    <cellStyle name="Comma0 - Typografi1 4" xfId="32268" xr:uid="{2E1AB264-C9A4-417C-B41B-EEC8E89A777B}"/>
    <cellStyle name="Comma1 - Typografi1" xfId="32269" xr:uid="{F9D1E7F4-9E4F-465F-B437-D07210519202}"/>
    <cellStyle name="Constants" xfId="30233" xr:uid="{F0F961A8-89A9-4B4D-BDC8-6FBA60A3B298}"/>
    <cellStyle name="Currency0" xfId="32270" xr:uid="{CE452AD4-E5D9-4C57-B561-D18C292DF963}"/>
    <cellStyle name="CustomizationCells" xfId="56" xr:uid="{00000000-0005-0000-0000-00005C000000}"/>
    <cellStyle name="CustomizationCells 2" xfId="57" xr:uid="{00000000-0005-0000-0000-00005D000000}"/>
    <cellStyle name="CustomizationCells 2 2" xfId="17480" xr:uid="{E8700639-7ED7-4486-B26F-7BF447BAAFE3}"/>
    <cellStyle name="CustomizationCells 2 2 2" xfId="21244" xr:uid="{C962E7F3-AE09-479B-8642-8EAD84312A65}"/>
    <cellStyle name="CustomizationCells 2 3" xfId="17702" xr:uid="{C749AE0A-6FC3-4921-9B2E-3A4F930EA1A3}"/>
    <cellStyle name="CustomizationCells 2 3 2" xfId="35067" xr:uid="{E75185DE-DE41-4A66-9908-2B015AC82A36}"/>
    <cellStyle name="CustomizationCells 2 4" xfId="32703" xr:uid="{915E5650-600D-4195-949E-3C3B82EE7F56}"/>
    <cellStyle name="CustomizationCells 3" xfId="2633" xr:uid="{146D01EB-6F1B-4F18-8F69-CC4AF91F5D02}"/>
    <cellStyle name="CustomizationCells 3 2" xfId="17708" xr:uid="{DDC4A8AB-E393-4383-8DCC-91624502DD4F}"/>
    <cellStyle name="CustomizationCells 3 2 2" xfId="35068" xr:uid="{E64303B3-FFA5-4346-926A-8645B19EB83E}"/>
    <cellStyle name="CustomizationCells 3 3" xfId="32704" xr:uid="{D68C32D4-1E50-4BE1-95A8-6A59D7421A01}"/>
    <cellStyle name="CustomizationCells 4" xfId="8953" xr:uid="{15C16EAE-A2BD-4D04-99D3-6A11E0EA3C1C}"/>
    <cellStyle name="CustomizationCells 4 2" xfId="32619" xr:uid="{1C0EBD78-D768-4005-AF8A-5208EE9DAB1A}"/>
    <cellStyle name="CustomizationCells 4 2 2" xfId="35568" xr:uid="{4BA62B6F-AAB0-429D-B12B-61B32CF58FD1}"/>
    <cellStyle name="CustomizationCells 4 3" xfId="32705" xr:uid="{A4B4484D-4F98-47EC-8DF9-F6B142148D6C}"/>
    <cellStyle name="CustomizationCells 5" xfId="8954" xr:uid="{011FBF54-4632-4406-9CD7-FC09ADF61145}"/>
    <cellStyle name="CustomizationCells 5 2" xfId="32620" xr:uid="{398E82CA-9BDA-4C59-B0BF-6F308EA85E24}"/>
    <cellStyle name="CustomizationCells 5 2 2" xfId="35569" xr:uid="{8ED9CB0C-0AD6-4E7C-8C25-54445163CA49}"/>
    <cellStyle name="CustomizationCells 5 3" xfId="32706" xr:uid="{31FE5F15-C5CC-4BE4-830D-A664A9949791}"/>
    <cellStyle name="CustomizationCells 6" xfId="8955" xr:uid="{FD542DBE-47F8-41BC-B97B-5AE3104C1435}"/>
    <cellStyle name="CustomizationCells 6 2" xfId="32621" xr:uid="{CE10CFE0-871C-4589-9447-5096DA8B3500}"/>
    <cellStyle name="CustomizationCells 6 2 2" xfId="35570" xr:uid="{B79825D8-0A36-4F3F-811D-B965D1D8A5DB}"/>
    <cellStyle name="CustomizationCells 6 3" xfId="32707" xr:uid="{6912C1FC-9F3D-441F-8E8D-B17A0FC0CB8C}"/>
    <cellStyle name="CustomizationCells 7" xfId="32622" xr:uid="{23F6CA4E-B36B-4A0D-9F1A-8D4190869B82}"/>
    <cellStyle name="CustomizationCells 7 2" xfId="35571" xr:uid="{3FCADD36-E34F-4361-AA3D-EEEFC4426B84}"/>
    <cellStyle name="CustomizationCells 8" xfId="32702" xr:uid="{4A49FCBD-049D-4924-8B15-C2ADCCA0C150}"/>
    <cellStyle name="Date" xfId="32271" xr:uid="{41F48BA8-655D-4406-B953-D87B59B24B04}"/>
    <cellStyle name="Date - Typografi3" xfId="32272" xr:uid="{5D941885-C177-4AAB-9552-B4D2B72889D9}"/>
    <cellStyle name="DocBox_EmptyRow" xfId="30234" xr:uid="{EF6A2F0F-9ADD-49AA-A186-5AF99912625A}"/>
    <cellStyle name="Empty_B_border" xfId="30235" xr:uid="{BCA60B99-43F2-4210-8B8D-F5F22D13ABB3}"/>
    <cellStyle name="Euro" xfId="58" xr:uid="{00000000-0005-0000-0000-00005E000000}"/>
    <cellStyle name="Euro 10" xfId="59" xr:uid="{00000000-0005-0000-0000-00005F000000}"/>
    <cellStyle name="Euro 10 2" xfId="60" xr:uid="{00000000-0005-0000-0000-000060000000}"/>
    <cellStyle name="Euro 10 2 2" xfId="2634" xr:uid="{1EDEA218-6934-4CF5-A2E3-7C8FC104EB45}"/>
    <cellStyle name="Euro 10 2 2 2" xfId="13378" xr:uid="{CBD6504B-D4BC-4B5F-A836-34FAA5A86924}"/>
    <cellStyle name="Euro 10 2 3" xfId="13058" xr:uid="{291D0FE2-6FAF-435C-BE54-82B38A5E5E51}"/>
    <cellStyle name="Euro 10 3" xfId="61" xr:uid="{00000000-0005-0000-0000-000061000000}"/>
    <cellStyle name="Euro 10 3 2" xfId="62" xr:uid="{00000000-0005-0000-0000-000062000000}"/>
    <cellStyle name="Euro 10 3 2 2" xfId="1295" xr:uid="{00000000-0005-0000-0000-000063000000}"/>
    <cellStyle name="Euro 10 3 2 3" xfId="7720" xr:uid="{381505E0-497F-4A3D-9B42-BC26202A1630}"/>
    <cellStyle name="Euro 10 3 2 3 2" xfId="13840" xr:uid="{C77F51C1-A7BA-4562-AE7A-34BCFC877C76}"/>
    <cellStyle name="Euro 10 3 3" xfId="2635" xr:uid="{C828FBB5-3AD2-41BF-9ACD-064A6D11F400}"/>
    <cellStyle name="Euro 10 3 3 2" xfId="8956" xr:uid="{67FB978E-4124-4993-B861-FAFE7D0AD038}"/>
    <cellStyle name="Euro 10 3 4" xfId="2636" xr:uid="{E7B3121A-8F02-42CA-B0FE-2FF50EF7B100}"/>
    <cellStyle name="Euro 10 3 4 2" xfId="13372" xr:uid="{AD0E0AC7-302C-44DE-B50A-D09916C40854}"/>
    <cellStyle name="Euro 10 3 5" xfId="12157" xr:uid="{1A9B4E58-87CB-4CF7-B0BF-F46619B0F377}"/>
    <cellStyle name="Euro 10 4" xfId="1296" xr:uid="{00000000-0005-0000-0000-000064000000}"/>
    <cellStyle name="Euro 10 4 2" xfId="1297" xr:uid="{00000000-0005-0000-0000-000065000000}"/>
    <cellStyle name="Euro 10 4 2 2" xfId="8957" xr:uid="{5F7290A8-911A-4D0D-88DC-8F848EF1A741}"/>
    <cellStyle name="Euro 10 4 2 3" xfId="17745" xr:uid="{EB08DE78-3479-4ADE-88C2-D2E742CA48C6}"/>
    <cellStyle name="Euro 10 4 2 4" xfId="17476" xr:uid="{1076346C-A676-47C9-916E-3C5E0A3213AF}"/>
    <cellStyle name="Euro 10 4 3" xfId="8958" xr:uid="{53FF7FF5-1043-48C1-B74F-9A86DF0D4F91}"/>
    <cellStyle name="Euro 10 5" xfId="1298" xr:uid="{00000000-0005-0000-0000-000066000000}"/>
    <cellStyle name="Euro 10 6" xfId="2637" xr:uid="{DFDC68DE-66EF-4A3A-8273-D936E0F346FA}"/>
    <cellStyle name="Euro 10 6 2" xfId="9603" xr:uid="{A54670A6-47C9-425D-9302-E6B0F8848218}"/>
    <cellStyle name="Euro 11" xfId="63" xr:uid="{00000000-0005-0000-0000-000067000000}"/>
    <cellStyle name="Euro 11 2" xfId="64" xr:uid="{00000000-0005-0000-0000-000068000000}"/>
    <cellStyle name="Euro 11 2 2" xfId="2638" xr:uid="{331925C2-6CAE-4C5F-B6DC-A8C8721A51B7}"/>
    <cellStyle name="Euro 11 2 2 2" xfId="13379" xr:uid="{F122CD09-7982-4192-867D-F727A39B8472}"/>
    <cellStyle name="Euro 11 2 3" xfId="13059" xr:uid="{B7C53E86-E0E0-4659-AE84-59A2E9B5A51E}"/>
    <cellStyle name="Euro 11 3" xfId="65" xr:uid="{00000000-0005-0000-0000-000069000000}"/>
    <cellStyle name="Euro 11 3 2" xfId="66" xr:uid="{00000000-0005-0000-0000-00006A000000}"/>
    <cellStyle name="Euro 11 3 2 2" xfId="1299" xr:uid="{00000000-0005-0000-0000-00006B000000}"/>
    <cellStyle name="Euro 11 3 2 3" xfId="7721" xr:uid="{7F611391-1F7D-478B-9728-62496F847196}"/>
    <cellStyle name="Euro 11 3 2 3 2" xfId="13841" xr:uid="{7378873B-3CE4-4AF2-80F0-DDCAE7E995BB}"/>
    <cellStyle name="Euro 11 3 3" xfId="2639" xr:uid="{9F1C7BCA-893D-465D-B2F8-B8886B3AF40D}"/>
    <cellStyle name="Euro 11 3 3 2" xfId="8959" xr:uid="{563EAFB4-A044-4E2E-9539-709B120B9441}"/>
    <cellStyle name="Euro 11 3 4" xfId="2640" xr:uid="{220F82BE-8871-4B76-BA7E-09F0EC9348BF}"/>
    <cellStyle name="Euro 11 3 4 2" xfId="13370" xr:uid="{41ABF63B-7E4C-4FA5-A18E-7FDE8D599BB4}"/>
    <cellStyle name="Euro 11 3 5" xfId="11503" xr:uid="{1FD53367-DEC6-4268-A699-309B3BFDB7DD}"/>
    <cellStyle name="Euro 11 4" xfId="1300" xr:uid="{00000000-0005-0000-0000-00006C000000}"/>
    <cellStyle name="Euro 11 4 2" xfId="1301" xr:uid="{00000000-0005-0000-0000-00006D000000}"/>
    <cellStyle name="Euro 11 4 2 2" xfId="8960" xr:uid="{0713F582-80D1-4731-B0EE-283EB38CC3AD}"/>
    <cellStyle name="Euro 11 4 2 3" xfId="17746" xr:uid="{81795266-44C9-488F-8ACE-76CE33866FE8}"/>
    <cellStyle name="Euro 11 4 2 4" xfId="17475" xr:uid="{E04F53A3-9B42-4002-892D-3963CFDC0C8A}"/>
    <cellStyle name="Euro 11 4 3" xfId="8961" xr:uid="{C8F4566C-9FE7-47B9-A1B2-10447E5C2C99}"/>
    <cellStyle name="Euro 11 5" xfId="1302" xr:uid="{00000000-0005-0000-0000-00006E000000}"/>
    <cellStyle name="Euro 11 6" xfId="2641" xr:uid="{8D2FD16C-1E65-4DA3-928C-91F79A8EE1F1}"/>
    <cellStyle name="Euro 11 6 2" xfId="9604" xr:uid="{8B36E616-D5CA-4C8F-A5F7-531374CCDF6E}"/>
    <cellStyle name="Euro 12" xfId="67" xr:uid="{00000000-0005-0000-0000-00006F000000}"/>
    <cellStyle name="Euro 12 2" xfId="68" xr:uid="{00000000-0005-0000-0000-000070000000}"/>
    <cellStyle name="Euro 12 2 2" xfId="2642" xr:uid="{E1DB87D4-09AA-40E0-AF5D-B5EF2EC94131}"/>
    <cellStyle name="Euro 12 2 2 2" xfId="13380" xr:uid="{4AD26069-9FE2-4B2D-B016-4A142A549551}"/>
    <cellStyle name="Euro 12 2 3" xfId="13060" xr:uid="{8F4887B6-5C30-4D94-AAAC-FFDF2EA748A9}"/>
    <cellStyle name="Euro 12 3" xfId="69" xr:uid="{00000000-0005-0000-0000-000071000000}"/>
    <cellStyle name="Euro 12 3 2" xfId="70" xr:uid="{00000000-0005-0000-0000-000072000000}"/>
    <cellStyle name="Euro 12 3 2 2" xfId="1303" xr:uid="{00000000-0005-0000-0000-000073000000}"/>
    <cellStyle name="Euro 12 3 2 3" xfId="7722" xr:uid="{662D0E2B-6430-4C2C-A6C0-74A846B72B89}"/>
    <cellStyle name="Euro 12 3 2 3 2" xfId="13842" xr:uid="{CC04CA3B-3B91-4BD5-A14C-C97C7DB142F4}"/>
    <cellStyle name="Euro 12 3 3" xfId="2643" xr:uid="{8201B9F2-DA16-4705-A1B2-772E2805E52C}"/>
    <cellStyle name="Euro 12 3 3 2" xfId="8962" xr:uid="{67A8FBB4-A489-47C4-9A22-EF6B25EED43F}"/>
    <cellStyle name="Euro 12 3 4" xfId="2644" xr:uid="{BEBB773B-6963-4C25-9DF1-114B7DCAC88B}"/>
    <cellStyle name="Euro 12 3 4 2" xfId="13369" xr:uid="{9EB0184C-22BC-4590-9BAC-56AD74A5A98E}"/>
    <cellStyle name="Euro 12 3 5" xfId="12169" xr:uid="{E784C573-6118-4991-B5D2-C8A3270EB475}"/>
    <cellStyle name="Euro 12 4" xfId="1304" xr:uid="{00000000-0005-0000-0000-000074000000}"/>
    <cellStyle name="Euro 12 4 2" xfId="1305" xr:uid="{00000000-0005-0000-0000-000075000000}"/>
    <cellStyle name="Euro 12 4 2 2" xfId="8963" xr:uid="{6E0FA135-60CA-46E4-B36D-08BDBC45EDB0}"/>
    <cellStyle name="Euro 12 4 2 3" xfId="17747" xr:uid="{88693ABB-983F-446B-BFAF-E986D9A3714A}"/>
    <cellStyle name="Euro 12 4 2 4" xfId="17474" xr:uid="{F448DCBB-2D92-45DD-AD5C-DB8586D3F649}"/>
    <cellStyle name="Euro 12 4 3" xfId="8964" xr:uid="{F666E61D-7955-4435-B8DC-EEB88467E895}"/>
    <cellStyle name="Euro 12 5" xfId="1306" xr:uid="{00000000-0005-0000-0000-000076000000}"/>
    <cellStyle name="Euro 12 6" xfId="2645" xr:uid="{3473EA4D-3D37-4829-9E57-6152F0314504}"/>
    <cellStyle name="Euro 12 6 2" xfId="9605" xr:uid="{CF9876AB-1907-45FB-89BF-52D482D1445B}"/>
    <cellStyle name="Euro 13" xfId="71" xr:uid="{00000000-0005-0000-0000-000077000000}"/>
    <cellStyle name="Euro 13 2" xfId="72" xr:uid="{00000000-0005-0000-0000-000078000000}"/>
    <cellStyle name="Euro 13 2 2" xfId="2646" xr:uid="{680A9CAA-9020-4B94-AE95-89D403E71CEF}"/>
    <cellStyle name="Euro 13 2 2 2" xfId="13381" xr:uid="{8BC405D5-C020-4B60-A437-E0EA74A30E75}"/>
    <cellStyle name="Euro 13 2 3" xfId="13061" xr:uid="{34B1766E-8BCE-4F7D-8113-DCE09B755CEF}"/>
    <cellStyle name="Euro 13 3" xfId="73" xr:uid="{00000000-0005-0000-0000-000079000000}"/>
    <cellStyle name="Euro 13 3 2" xfId="74" xr:uid="{00000000-0005-0000-0000-00007A000000}"/>
    <cellStyle name="Euro 13 3 2 2" xfId="1307" xr:uid="{00000000-0005-0000-0000-00007B000000}"/>
    <cellStyle name="Euro 13 3 2 3" xfId="7723" xr:uid="{3F0B475B-4AD3-4305-B7C3-DC9915492A8B}"/>
    <cellStyle name="Euro 13 3 2 3 2" xfId="13843" xr:uid="{82F4AFA9-92BE-4504-88BC-17F8DF6C7417}"/>
    <cellStyle name="Euro 13 3 3" xfId="2647" xr:uid="{CC55402C-95D2-440D-8FE6-8172EDE9172F}"/>
    <cellStyle name="Euro 13 3 3 2" xfId="8965" xr:uid="{1509F91B-A769-497E-A2F0-558935BC282F}"/>
    <cellStyle name="Euro 13 3 4" xfId="2648" xr:uid="{73C0E437-9AB2-424A-9939-E6B2D5E3D54B}"/>
    <cellStyle name="Euro 13 3 4 2" xfId="13631" xr:uid="{396B5E79-116C-4FAC-B5AB-9C4FADADE325}"/>
    <cellStyle name="Euro 13 3 5" xfId="12425" xr:uid="{93071657-0CD6-4F84-88B9-3419C6824768}"/>
    <cellStyle name="Euro 13 4" xfId="1308" xr:uid="{00000000-0005-0000-0000-00007C000000}"/>
    <cellStyle name="Euro 13 4 2" xfId="1309" xr:uid="{00000000-0005-0000-0000-00007D000000}"/>
    <cellStyle name="Euro 13 4 2 2" xfId="8966" xr:uid="{B38437D7-F67B-4C39-B2DD-D2F3428F1348}"/>
    <cellStyle name="Euro 13 4 2 3" xfId="17748" xr:uid="{B754459F-ABC3-4116-B837-FC035E75964B}"/>
    <cellStyle name="Euro 13 4 2 4" xfId="17473" xr:uid="{797C66EA-21E6-4DA9-A0F5-03832E6415B1}"/>
    <cellStyle name="Euro 13 4 3" xfId="8967" xr:uid="{AD480366-C4D4-4D78-8B4B-46B1C7ED1E70}"/>
    <cellStyle name="Euro 13 5" xfId="1310" xr:uid="{00000000-0005-0000-0000-00007E000000}"/>
    <cellStyle name="Euro 13 6" xfId="2649" xr:uid="{D2518D39-A69F-4A55-9B00-B5EE0CD816B6}"/>
    <cellStyle name="Euro 13 6 2" xfId="9606" xr:uid="{EBBCD008-F274-48C8-9CD9-72922F056063}"/>
    <cellStyle name="Euro 14" xfId="75" xr:uid="{00000000-0005-0000-0000-00007F000000}"/>
    <cellStyle name="Euro 14 2" xfId="76" xr:uid="{00000000-0005-0000-0000-000080000000}"/>
    <cellStyle name="Euro 14 2 2" xfId="2650" xr:uid="{EE797687-1F32-42C6-8F11-E3ED55DE2706}"/>
    <cellStyle name="Euro 14 2 2 2" xfId="13382" xr:uid="{D1E83B99-B35B-46BC-A938-50E000D506BB}"/>
    <cellStyle name="Euro 14 2 3" xfId="13062" xr:uid="{CA2B2627-F050-45AE-9F01-B6C1DD2C5AD7}"/>
    <cellStyle name="Euro 14 3" xfId="77" xr:uid="{00000000-0005-0000-0000-000081000000}"/>
    <cellStyle name="Euro 14 3 2" xfId="78" xr:uid="{00000000-0005-0000-0000-000082000000}"/>
    <cellStyle name="Euro 14 3 2 2" xfId="1311" xr:uid="{00000000-0005-0000-0000-000083000000}"/>
    <cellStyle name="Euro 14 3 2 3" xfId="7724" xr:uid="{3776CF11-9490-4602-85AF-3A49F2C4B26A}"/>
    <cellStyle name="Euro 14 3 2 3 2" xfId="13844" xr:uid="{90406BCD-FF18-4ED3-9BA5-351BF54E5009}"/>
    <cellStyle name="Euro 14 3 3" xfId="2651" xr:uid="{05A7F513-95F6-47C1-938A-53BD109AC640}"/>
    <cellStyle name="Euro 14 3 3 2" xfId="8968" xr:uid="{58FF3C3A-172F-4F43-ABA7-F6B7A841ADAD}"/>
    <cellStyle name="Euro 14 3 4" xfId="2652" xr:uid="{A7DCC8A8-53B6-4611-9828-277C1CD2DA0C}"/>
    <cellStyle name="Euro 14 3 4 2" xfId="13632" xr:uid="{71C2A52B-E6B7-4F37-9FF2-7FED6F40A80D}"/>
    <cellStyle name="Euro 14 3 5" xfId="11502" xr:uid="{6C7D4066-8C56-45F7-914F-EA7928F887D3}"/>
    <cellStyle name="Euro 14 4" xfId="1312" xr:uid="{00000000-0005-0000-0000-000084000000}"/>
    <cellStyle name="Euro 14 4 2" xfId="1313" xr:uid="{00000000-0005-0000-0000-000085000000}"/>
    <cellStyle name="Euro 14 4 2 2" xfId="8969" xr:uid="{31DF38FB-EE5A-494E-847A-E54FE8931A61}"/>
    <cellStyle name="Euro 14 4 2 3" xfId="17749" xr:uid="{7E30DA46-0087-45E4-8056-A2CFE66F29C3}"/>
    <cellStyle name="Euro 14 4 2 4" xfId="17472" xr:uid="{DAC937FC-CC2B-4DEC-85EE-E19128DECCB1}"/>
    <cellStyle name="Euro 14 4 3" xfId="8970" xr:uid="{F393D52E-DAF0-478D-9EFA-113E7E15F833}"/>
    <cellStyle name="Euro 14 5" xfId="1314" xr:uid="{00000000-0005-0000-0000-000086000000}"/>
    <cellStyle name="Euro 14 6" xfId="2653" xr:uid="{9CCA283E-AB64-49A5-B3E7-5442BE444A2C}"/>
    <cellStyle name="Euro 14 6 2" xfId="9607" xr:uid="{162A14FE-FCD8-4383-9FB6-C14EC6B1CEEF}"/>
    <cellStyle name="Euro 15" xfId="79" xr:uid="{00000000-0005-0000-0000-000087000000}"/>
    <cellStyle name="Euro 15 2" xfId="80" xr:uid="{00000000-0005-0000-0000-000088000000}"/>
    <cellStyle name="Euro 15 2 2" xfId="2654" xr:uid="{5E5702C8-6CE0-4949-A91E-AF89A080D9FE}"/>
    <cellStyle name="Euro 15 2 2 2" xfId="13383" xr:uid="{F193E444-5DE4-483B-8AEA-936D66476529}"/>
    <cellStyle name="Euro 15 2 3" xfId="13063" xr:uid="{E26D53A5-3B8E-4546-8ABF-249985D5603C}"/>
    <cellStyle name="Euro 15 3" xfId="81" xr:uid="{00000000-0005-0000-0000-000089000000}"/>
    <cellStyle name="Euro 15 3 2" xfId="82" xr:uid="{00000000-0005-0000-0000-00008A000000}"/>
    <cellStyle name="Euro 15 3 2 2" xfId="1315" xr:uid="{00000000-0005-0000-0000-00008B000000}"/>
    <cellStyle name="Euro 15 3 2 3" xfId="7725" xr:uid="{7F1FEC3B-980A-4675-AD78-AC31381862F6}"/>
    <cellStyle name="Euro 15 3 2 3 2" xfId="13845" xr:uid="{200E2726-D5E7-46FD-B99E-2CEB76C2FCAB}"/>
    <cellStyle name="Euro 15 3 3" xfId="2655" xr:uid="{B83CC740-E139-42C0-8BA1-57FAE3C5229F}"/>
    <cellStyle name="Euro 15 3 3 2" xfId="8971" xr:uid="{16DB75B1-80AD-48BB-A71E-6A0D717332F9}"/>
    <cellStyle name="Euro 15 3 4" xfId="2656" xr:uid="{A0740F92-99B8-4233-A480-AD3345542EEE}"/>
    <cellStyle name="Euro 15 3 4 2" xfId="13633" xr:uid="{83BA2FD3-6086-4539-9527-A5972B18A437}"/>
    <cellStyle name="Euro 15 3 5" xfId="11541" xr:uid="{2520387D-CBC1-446F-BFC6-E3D2219848E3}"/>
    <cellStyle name="Euro 15 4" xfId="1316" xr:uid="{00000000-0005-0000-0000-00008C000000}"/>
    <cellStyle name="Euro 15 4 2" xfId="1317" xr:uid="{00000000-0005-0000-0000-00008D000000}"/>
    <cellStyle name="Euro 15 4 2 2" xfId="8972" xr:uid="{9A26239E-0357-4252-B3DA-55DADA112EFA}"/>
    <cellStyle name="Euro 15 4 2 3" xfId="17750" xr:uid="{3AEBFBA4-D983-4E53-9169-8502D52F7505}"/>
    <cellStyle name="Euro 15 4 2 4" xfId="17471" xr:uid="{6E015974-D8EE-4187-90E5-2265499BFE8E}"/>
    <cellStyle name="Euro 15 4 3" xfId="8973" xr:uid="{7F3A27BE-8CE7-4AD9-A3B5-AC441062BCC5}"/>
    <cellStyle name="Euro 15 5" xfId="1318" xr:uid="{00000000-0005-0000-0000-00008E000000}"/>
    <cellStyle name="Euro 15 6" xfId="2657" xr:uid="{5FDB20AF-A1BC-4AAA-B4F4-5567D2F2E219}"/>
    <cellStyle name="Euro 15 6 2" xfId="9608" xr:uid="{CD1B803E-1D32-47E6-87BD-AE8DF0965C3C}"/>
    <cellStyle name="Euro 16" xfId="83" xr:uid="{00000000-0005-0000-0000-00008F000000}"/>
    <cellStyle name="Euro 16 2" xfId="84" xr:uid="{00000000-0005-0000-0000-000090000000}"/>
    <cellStyle name="Euro 16 2 2" xfId="2658" xr:uid="{F49E82B6-DE35-4F24-85DC-B38CDE23003B}"/>
    <cellStyle name="Euro 16 2 2 2" xfId="13384" xr:uid="{E45D09E3-40E9-4C84-893F-E20FAFB0A148}"/>
    <cellStyle name="Euro 16 2 3" xfId="13064" xr:uid="{69BC91D7-6CA0-4173-8092-2A0EAE034A3C}"/>
    <cellStyle name="Euro 16 3" xfId="85" xr:uid="{00000000-0005-0000-0000-000091000000}"/>
    <cellStyle name="Euro 16 3 2" xfId="86" xr:uid="{00000000-0005-0000-0000-000092000000}"/>
    <cellStyle name="Euro 16 3 2 2" xfId="1319" xr:uid="{00000000-0005-0000-0000-000093000000}"/>
    <cellStyle name="Euro 16 3 2 3" xfId="7726" xr:uid="{2307D866-22A4-495E-9E0B-AA54729D2222}"/>
    <cellStyle name="Euro 16 3 2 3 2" xfId="13846" xr:uid="{236C6348-27C1-4F68-A5A7-7F6B0E024B95}"/>
    <cellStyle name="Euro 16 3 3" xfId="2659" xr:uid="{8A3C2048-4A6A-4D62-A337-77C0D3D9F33C}"/>
    <cellStyle name="Euro 16 3 3 2" xfId="8974" xr:uid="{83AD4C86-8983-40E3-AA1C-CEF990790D0F}"/>
    <cellStyle name="Euro 16 3 4" xfId="2660" xr:uid="{E873FE57-590D-4331-B576-ABD032879413}"/>
    <cellStyle name="Euro 16 3 4 2" xfId="13634" xr:uid="{18CE9A62-70C2-4642-86CB-1636042397BB}"/>
    <cellStyle name="Euro 16 3 5" xfId="11126" xr:uid="{C71D0D57-D657-4ED0-968F-59FF0FD0E75D}"/>
    <cellStyle name="Euro 16 4" xfId="1320" xr:uid="{00000000-0005-0000-0000-000094000000}"/>
    <cellStyle name="Euro 16 4 2" xfId="1321" xr:uid="{00000000-0005-0000-0000-000095000000}"/>
    <cellStyle name="Euro 16 4 2 2" xfId="8975" xr:uid="{43361E87-3425-4FD6-88F9-E2DD0691E788}"/>
    <cellStyle name="Euro 16 4 2 3" xfId="17751" xr:uid="{A1D6D2DD-DA65-4A69-AF65-5AD691C98B8F}"/>
    <cellStyle name="Euro 16 4 2 4" xfId="17470" xr:uid="{C29556FE-BBC2-451C-8A77-2804F707E88E}"/>
    <cellStyle name="Euro 16 4 3" xfId="8976" xr:uid="{CACA097E-2A90-497D-AF10-B811ED0D07CB}"/>
    <cellStyle name="Euro 16 5" xfId="1322" xr:uid="{00000000-0005-0000-0000-000096000000}"/>
    <cellStyle name="Euro 16 6" xfId="2661" xr:uid="{E1516FBE-F6C8-4946-BCA8-08FA79ADFE19}"/>
    <cellStyle name="Euro 16 6 2" xfId="9609" xr:uid="{DEB7A759-1494-4690-A16D-E1EC67CCF73D}"/>
    <cellStyle name="Euro 17" xfId="87" xr:uid="{00000000-0005-0000-0000-000097000000}"/>
    <cellStyle name="Euro 17 2" xfId="88" xr:uid="{00000000-0005-0000-0000-000098000000}"/>
    <cellStyle name="Euro 17 2 2" xfId="2662" xr:uid="{0A5D3732-C88C-4EDA-A018-4EA80FD69FC7}"/>
    <cellStyle name="Euro 17 2 2 2" xfId="13385" xr:uid="{306B8DE1-74DC-45DB-9415-84FE489D12AD}"/>
    <cellStyle name="Euro 17 2 3" xfId="13065" xr:uid="{76A757E3-B4EE-43F3-9F4C-9F6BA4F306B3}"/>
    <cellStyle name="Euro 17 3" xfId="89" xr:uid="{00000000-0005-0000-0000-000099000000}"/>
    <cellStyle name="Euro 17 3 2" xfId="90" xr:uid="{00000000-0005-0000-0000-00009A000000}"/>
    <cellStyle name="Euro 17 3 2 2" xfId="1323" xr:uid="{00000000-0005-0000-0000-00009B000000}"/>
    <cellStyle name="Euro 17 3 2 3" xfId="7727" xr:uid="{08986EFB-ADFB-4F4B-9C8B-8F1CA11A98CF}"/>
    <cellStyle name="Euro 17 3 2 3 2" xfId="13847" xr:uid="{CDBAA141-11A0-43FE-B456-5524BB01FDDC}"/>
    <cellStyle name="Euro 17 3 3" xfId="2663" xr:uid="{A8648A47-2CCF-4FCF-8309-74F052EAAF7A}"/>
    <cellStyle name="Euro 17 3 3 2" xfId="8977" xr:uid="{E5C0E140-E546-47E9-BB5D-1A2E76081806}"/>
    <cellStyle name="Euro 17 3 4" xfId="2664" xr:uid="{2B5F9414-3BAD-409A-B6A9-8142BA3C80DC}"/>
    <cellStyle name="Euro 17 3 4 2" xfId="13635" xr:uid="{23A07F43-DC65-4251-B81E-8EA770E56E07}"/>
    <cellStyle name="Euro 17 3 5" xfId="12232" xr:uid="{15961703-510E-4393-AD46-4EF01DB308C9}"/>
    <cellStyle name="Euro 17 4" xfId="1324" xr:uid="{00000000-0005-0000-0000-00009C000000}"/>
    <cellStyle name="Euro 17 4 2" xfId="1325" xr:uid="{00000000-0005-0000-0000-00009D000000}"/>
    <cellStyle name="Euro 17 4 2 2" xfId="8978" xr:uid="{78D5E8D3-F1BC-45BA-B8E4-0613869272A7}"/>
    <cellStyle name="Euro 17 4 2 3" xfId="17752" xr:uid="{FE0447C8-B3D7-4FD4-B8AB-8572457C699A}"/>
    <cellStyle name="Euro 17 4 2 4" xfId="17469" xr:uid="{7A378CBC-A1A1-4CF0-BA3A-0D8446FA16AC}"/>
    <cellStyle name="Euro 17 4 3" xfId="8979" xr:uid="{2BBE8F38-E9A3-40FE-B8BE-F6FE9DD4C7AA}"/>
    <cellStyle name="Euro 17 5" xfId="1326" xr:uid="{00000000-0005-0000-0000-00009E000000}"/>
    <cellStyle name="Euro 17 6" xfId="2665" xr:uid="{B0C92C5E-DD11-4102-8032-ADE2BA48EF4B}"/>
    <cellStyle name="Euro 17 6 2" xfId="9610" xr:uid="{775B13BD-EF34-4028-B8F1-9F9CC8D0AA04}"/>
    <cellStyle name="Euro 18" xfId="91" xr:uid="{00000000-0005-0000-0000-00009F000000}"/>
    <cellStyle name="Euro 18 2" xfId="92" xr:uid="{00000000-0005-0000-0000-0000A0000000}"/>
    <cellStyle name="Euro 18 2 2" xfId="2666" xr:uid="{170EC77F-3FBB-4CED-A07E-2FD3B613E388}"/>
    <cellStyle name="Euro 18 2 2 2" xfId="13386" xr:uid="{9C4EF99A-DC8A-4687-8C62-A6DFB76D021B}"/>
    <cellStyle name="Euro 18 2 3" xfId="13066" xr:uid="{E28D4C6E-8294-4236-968A-90149D0E70CD}"/>
    <cellStyle name="Euro 18 3" xfId="93" xr:uid="{00000000-0005-0000-0000-0000A1000000}"/>
    <cellStyle name="Euro 18 3 2" xfId="94" xr:uid="{00000000-0005-0000-0000-0000A2000000}"/>
    <cellStyle name="Euro 18 3 2 2" xfId="1327" xr:uid="{00000000-0005-0000-0000-0000A3000000}"/>
    <cellStyle name="Euro 18 3 2 3" xfId="7728" xr:uid="{F166163C-4332-44ED-8F2F-8D4E5D05FD13}"/>
    <cellStyle name="Euro 18 3 2 3 2" xfId="13848" xr:uid="{50252487-5FCA-4B82-8FD9-CCE855CAC6B7}"/>
    <cellStyle name="Euro 18 3 3" xfId="2667" xr:uid="{291A26A0-E010-4D40-AACF-128993C94151}"/>
    <cellStyle name="Euro 18 3 3 2" xfId="8980" xr:uid="{547EA8C8-F099-46B7-83B4-59B826325790}"/>
    <cellStyle name="Euro 18 3 4" xfId="2668" xr:uid="{F6314749-1347-4A19-BAEC-00EADEAA6F4B}"/>
    <cellStyle name="Euro 18 3 4 2" xfId="13636" xr:uid="{E7478272-0883-4A8E-BE86-1F8F7D25EE05}"/>
    <cellStyle name="Euro 18 3 5" xfId="12272" xr:uid="{ECC32074-CD53-45A0-81A8-CB3A751BA570}"/>
    <cellStyle name="Euro 18 4" xfId="1328" xr:uid="{00000000-0005-0000-0000-0000A4000000}"/>
    <cellStyle name="Euro 18 4 2" xfId="1329" xr:uid="{00000000-0005-0000-0000-0000A5000000}"/>
    <cellStyle name="Euro 18 4 2 2" xfId="8981" xr:uid="{2505784C-6EEB-48C4-A5CB-8679E782D5CE}"/>
    <cellStyle name="Euro 18 4 2 3" xfId="17753" xr:uid="{C61B4DD3-4BF4-42E4-B230-635B309654CE}"/>
    <cellStyle name="Euro 18 4 2 4" xfId="17467" xr:uid="{10FEE159-9A04-43B3-AADA-6DA5D95CDFF3}"/>
    <cellStyle name="Euro 18 4 3" xfId="8982" xr:uid="{9C56152F-5C95-4878-A2F8-5C43EB5AC8AF}"/>
    <cellStyle name="Euro 18 5" xfId="1330" xr:uid="{00000000-0005-0000-0000-0000A6000000}"/>
    <cellStyle name="Euro 18 6" xfId="2669" xr:uid="{E4A462D4-8C57-4E28-8EB6-79E01CBC064F}"/>
    <cellStyle name="Euro 18 6 2" xfId="9611" xr:uid="{B8BFDBD3-CEA9-4E02-817E-206E15279F3B}"/>
    <cellStyle name="Euro 19" xfId="95" xr:uid="{00000000-0005-0000-0000-0000A7000000}"/>
    <cellStyle name="Euro 19 2" xfId="96" xr:uid="{00000000-0005-0000-0000-0000A8000000}"/>
    <cellStyle name="Euro 19 2 2" xfId="2670" xr:uid="{90E03497-86E7-499C-8618-AE9BB6581498}"/>
    <cellStyle name="Euro 19 2 2 2" xfId="13387" xr:uid="{CA1956BD-4E85-4A76-8739-65BBBB1BF1F1}"/>
    <cellStyle name="Euro 19 2 3" xfId="13067" xr:uid="{EEFC9FCB-F3E3-4A70-869C-3C73F0E4B661}"/>
    <cellStyle name="Euro 19 3" xfId="97" xr:uid="{00000000-0005-0000-0000-0000A9000000}"/>
    <cellStyle name="Euro 19 3 2" xfId="98" xr:uid="{00000000-0005-0000-0000-0000AA000000}"/>
    <cellStyle name="Euro 19 3 2 2" xfId="1331" xr:uid="{00000000-0005-0000-0000-0000AB000000}"/>
    <cellStyle name="Euro 19 3 2 3" xfId="7729" xr:uid="{9D3C6A87-E1C0-4BAB-8567-690418C691AE}"/>
    <cellStyle name="Euro 19 3 2 3 2" xfId="13849" xr:uid="{0FA8119F-D38D-41D3-BFDA-4EDA5EB5F413}"/>
    <cellStyle name="Euro 19 3 3" xfId="2671" xr:uid="{7F3427F6-1472-46E9-94A9-635F8F6F7CA8}"/>
    <cellStyle name="Euro 19 3 3 2" xfId="8983" xr:uid="{07EE67F9-1E79-432A-A4DF-3CE742AADCCA}"/>
    <cellStyle name="Euro 19 3 4" xfId="2672" xr:uid="{F7B1939E-0A03-40E8-954B-33BD11B02C9A}"/>
    <cellStyle name="Euro 19 3 4 2" xfId="13637" xr:uid="{07F00BD2-6493-416C-8051-2B38054820A5}"/>
    <cellStyle name="Euro 19 3 5" xfId="12233" xr:uid="{4F0434CD-2868-4F45-AB35-CFF3522D3B8B}"/>
    <cellStyle name="Euro 19 4" xfId="1332" xr:uid="{00000000-0005-0000-0000-0000AC000000}"/>
    <cellStyle name="Euro 19 4 2" xfId="1333" xr:uid="{00000000-0005-0000-0000-0000AD000000}"/>
    <cellStyle name="Euro 19 4 2 2" xfId="8984" xr:uid="{8FF8B24D-EBE8-4C88-9659-397E779C0E61}"/>
    <cellStyle name="Euro 19 4 2 3" xfId="17754" xr:uid="{C7F193D7-CD80-4A3E-AE0E-F9618E150B59}"/>
    <cellStyle name="Euro 19 4 2 4" xfId="17466" xr:uid="{117F0345-34AD-49D4-BC84-853355558400}"/>
    <cellStyle name="Euro 19 4 3" xfId="8985" xr:uid="{4B9DB130-6D35-4A05-A576-C1CFE9DF71DA}"/>
    <cellStyle name="Euro 19 5" xfId="1334" xr:uid="{00000000-0005-0000-0000-0000AE000000}"/>
    <cellStyle name="Euro 19 6" xfId="2673" xr:uid="{39E6090D-7D34-436A-A546-E8DE96CE574A}"/>
    <cellStyle name="Euro 19 6 2" xfId="9612" xr:uid="{A9E75766-3143-429B-B3B2-7E1768FEC0FC}"/>
    <cellStyle name="Euro 2" xfId="99" xr:uid="{00000000-0005-0000-0000-0000AF000000}"/>
    <cellStyle name="Euro 2 2" xfId="100" xr:uid="{00000000-0005-0000-0000-0000B0000000}"/>
    <cellStyle name="Euro 2 2 2" xfId="2674" xr:uid="{0E18AF62-9E79-42C6-8CC9-6470CB952FDC}"/>
    <cellStyle name="Euro 2 2 2 2" xfId="13388" xr:uid="{60F26FDC-F9FD-4AE9-AAB6-B178A4411759}"/>
    <cellStyle name="Euro 2 2 3" xfId="13068" xr:uid="{E8609C30-2590-4F79-9A57-CBD1B535C473}"/>
    <cellStyle name="Euro 2 3" xfId="101" xr:uid="{00000000-0005-0000-0000-0000B1000000}"/>
    <cellStyle name="Euro 2 3 2" xfId="102" xr:uid="{00000000-0005-0000-0000-0000B2000000}"/>
    <cellStyle name="Euro 2 3 2 2" xfId="1335" xr:uid="{00000000-0005-0000-0000-0000B3000000}"/>
    <cellStyle name="Euro 2 3 2 3" xfId="7730" xr:uid="{667AEDEE-E632-49DD-85A7-C83AA0B9DBA3}"/>
    <cellStyle name="Euro 2 3 2 3 2" xfId="13850" xr:uid="{B63957B8-B4F3-4BB1-8FF2-C8A509C88D9F}"/>
    <cellStyle name="Euro 2 3 3" xfId="2675" xr:uid="{87448957-AA65-4C29-B29B-6D4156D7EE85}"/>
    <cellStyle name="Euro 2 3 3 2" xfId="8986" xr:uid="{426BF751-9C0C-4DB9-8C43-5C73A55DF4F5}"/>
    <cellStyle name="Euro 2 3 4" xfId="2676" xr:uid="{BA144953-A22B-4C5E-9E99-CC3E8AD8551C}"/>
    <cellStyle name="Euro 2 3 4 2" xfId="13638" xr:uid="{78A765A7-6511-4915-92DF-57DE1FFBB432}"/>
    <cellStyle name="Euro 2 3 5" xfId="12271" xr:uid="{42CF0AA2-A7DE-442C-8D8A-8667493D28E3}"/>
    <cellStyle name="Euro 2 4" xfId="1336" xr:uid="{00000000-0005-0000-0000-0000B4000000}"/>
    <cellStyle name="Euro 2 4 2" xfId="1337" xr:uid="{00000000-0005-0000-0000-0000B5000000}"/>
    <cellStyle name="Euro 2 4 2 2" xfId="8987" xr:uid="{0A314D0B-28B1-4901-AFDC-403746EECD41}"/>
    <cellStyle name="Euro 2 4 2 3" xfId="17755" xr:uid="{5F07F70D-F834-4482-838F-67B267BAC456}"/>
    <cellStyle name="Euro 2 4 2 4" xfId="17465" xr:uid="{614029A6-5A18-4D67-BD76-D431EA6B4D27}"/>
    <cellStyle name="Euro 2 4 3" xfId="8988" xr:uid="{E0035C38-305E-49FE-B9FA-35ACFB417070}"/>
    <cellStyle name="Euro 2 5" xfId="1338" xr:uid="{00000000-0005-0000-0000-0000B6000000}"/>
    <cellStyle name="Euro 2 6" xfId="2677" xr:uid="{7F215AB3-C351-4CE4-B8CC-C1B0D27FD038}"/>
    <cellStyle name="Euro 2 6 2" xfId="9613" xr:uid="{CE6239AA-A5B8-44E6-A188-C65CF8AA6978}"/>
    <cellStyle name="Euro 20" xfId="103" xr:uid="{00000000-0005-0000-0000-0000B7000000}"/>
    <cellStyle name="Euro 20 2" xfId="104" xr:uid="{00000000-0005-0000-0000-0000B8000000}"/>
    <cellStyle name="Euro 20 2 2" xfId="2678" xr:uid="{FBA05471-7C11-4AC9-80EE-84F0B5EF0054}"/>
    <cellStyle name="Euro 20 2 2 2" xfId="13389" xr:uid="{52288046-0EEC-4F2E-BB56-80747569798E}"/>
    <cellStyle name="Euro 20 2 3" xfId="13069" xr:uid="{27370BBC-35E3-458E-9EA0-1BCD24B278C8}"/>
    <cellStyle name="Euro 20 3" xfId="105" xr:uid="{00000000-0005-0000-0000-0000B9000000}"/>
    <cellStyle name="Euro 20 3 2" xfId="106" xr:uid="{00000000-0005-0000-0000-0000BA000000}"/>
    <cellStyle name="Euro 20 3 2 2" xfId="1339" xr:uid="{00000000-0005-0000-0000-0000BB000000}"/>
    <cellStyle name="Euro 20 3 2 3" xfId="7731" xr:uid="{721626D3-E044-43B7-8587-047AC6BA2E8A}"/>
    <cellStyle name="Euro 20 3 2 3 2" xfId="13851" xr:uid="{0C2C3471-CC39-4799-A2E4-4976CB507936}"/>
    <cellStyle name="Euro 20 3 3" xfId="2679" xr:uid="{CF3097BD-D466-4F64-9A16-E78FCE6E0F1F}"/>
    <cellStyle name="Euro 20 3 3 2" xfId="8989" xr:uid="{39FC48D5-7DED-4895-8C08-49D0B960FA6C}"/>
    <cellStyle name="Euro 20 3 4" xfId="2680" xr:uid="{7F88354C-CFF2-4BA3-96EB-54AA16EFE55A}"/>
    <cellStyle name="Euro 20 3 4 2" xfId="13639" xr:uid="{35624CE8-7727-4253-BDB1-9778C2749A8A}"/>
    <cellStyle name="Euro 20 3 5" xfId="11154" xr:uid="{818F3B70-04D8-47ED-A7AB-9E5C93EA7DDB}"/>
    <cellStyle name="Euro 20 4" xfId="1340" xr:uid="{00000000-0005-0000-0000-0000BC000000}"/>
    <cellStyle name="Euro 20 4 2" xfId="1341" xr:uid="{00000000-0005-0000-0000-0000BD000000}"/>
    <cellStyle name="Euro 20 4 2 2" xfId="8990" xr:uid="{282FA0E2-83E7-457F-A7DB-3178E38463D7}"/>
    <cellStyle name="Euro 20 4 2 3" xfId="17756" xr:uid="{8087F2B6-81C8-4977-B7E3-C520564B015D}"/>
    <cellStyle name="Euro 20 4 2 4" xfId="17464" xr:uid="{DA3E9680-3981-42AF-9F35-AB1BA04269BA}"/>
    <cellStyle name="Euro 20 4 3" xfId="8991" xr:uid="{E2CCB520-03C1-4309-94B7-8E8C588417EE}"/>
    <cellStyle name="Euro 20 5" xfId="1342" xr:uid="{00000000-0005-0000-0000-0000BE000000}"/>
    <cellStyle name="Euro 20 6" xfId="2681" xr:uid="{B2120D1B-40EB-42F5-9F7D-5BF72FDFC8B3}"/>
    <cellStyle name="Euro 20 6 2" xfId="9614" xr:uid="{77A1494C-5BE6-4A9A-B8B3-BEEF98254F20}"/>
    <cellStyle name="Euro 21" xfId="107" xr:uid="{00000000-0005-0000-0000-0000BF000000}"/>
    <cellStyle name="Euro 21 2" xfId="108" xr:uid="{00000000-0005-0000-0000-0000C0000000}"/>
    <cellStyle name="Euro 21 2 2" xfId="2682" xr:uid="{58F7FCB7-54EA-49C3-82A3-A0B842E39078}"/>
    <cellStyle name="Euro 21 2 2 2" xfId="13390" xr:uid="{D3D1AEB7-F000-4185-B19E-26D9271A73B8}"/>
    <cellStyle name="Euro 21 2 3" xfId="13070" xr:uid="{8A3F4A7D-ED07-4248-9EA9-61FCCF12590A}"/>
    <cellStyle name="Euro 21 3" xfId="109" xr:uid="{00000000-0005-0000-0000-0000C1000000}"/>
    <cellStyle name="Euro 21 3 2" xfId="110" xr:uid="{00000000-0005-0000-0000-0000C2000000}"/>
    <cellStyle name="Euro 21 3 2 2" xfId="1343" xr:uid="{00000000-0005-0000-0000-0000C3000000}"/>
    <cellStyle name="Euro 21 3 2 3" xfId="7732" xr:uid="{DB0F4D53-B983-4D70-AD24-9CE12D2BB81E}"/>
    <cellStyle name="Euro 21 3 2 3 2" xfId="13852" xr:uid="{D67767F1-163F-40E0-BCC3-AF1CC06E6B6A}"/>
    <cellStyle name="Euro 21 3 3" xfId="2683" xr:uid="{E0E03CBA-DA8D-4AEC-83F9-88AD427C3C50}"/>
    <cellStyle name="Euro 21 3 3 2" xfId="8992" xr:uid="{E43F24F3-CDAA-4924-908A-8D8EAD3FD26C}"/>
    <cellStyle name="Euro 21 3 4" xfId="2684" xr:uid="{384B87F9-49EF-4A33-9B92-3422E3C414B6}"/>
    <cellStyle name="Euro 21 3 4 2" xfId="13640" xr:uid="{C7B14DAA-4D50-45EE-B302-9EF4E0B1C056}"/>
    <cellStyle name="Euro 21 3 5" xfId="11096" xr:uid="{72CFDF9D-C3D2-4AB8-B1C2-E40F13B764C3}"/>
    <cellStyle name="Euro 21 4" xfId="1344" xr:uid="{00000000-0005-0000-0000-0000C4000000}"/>
    <cellStyle name="Euro 21 4 2" xfId="1345" xr:uid="{00000000-0005-0000-0000-0000C5000000}"/>
    <cellStyle name="Euro 21 4 2 2" xfId="8993" xr:uid="{3C0B0944-9F62-4870-B659-F0A65D3E9B53}"/>
    <cellStyle name="Euro 21 4 2 3" xfId="17757" xr:uid="{DE3723D6-D21E-4839-BF3C-02E1831130D7}"/>
    <cellStyle name="Euro 21 4 2 4" xfId="17463" xr:uid="{2F41656E-2304-4AE0-8D5C-CB2C72C7D5B1}"/>
    <cellStyle name="Euro 21 4 3" xfId="8994" xr:uid="{53D92748-826B-44DD-959C-FF6E1F5742DD}"/>
    <cellStyle name="Euro 21 5" xfId="1346" xr:uid="{00000000-0005-0000-0000-0000C6000000}"/>
    <cellStyle name="Euro 21 6" xfId="2685" xr:uid="{F76F4CDE-361A-4965-9436-12F2A306F611}"/>
    <cellStyle name="Euro 21 6 2" xfId="9615" xr:uid="{A7A59F01-F393-4EC2-9C7B-82A1B9D1F7D0}"/>
    <cellStyle name="Euro 22" xfId="111" xr:uid="{00000000-0005-0000-0000-0000C7000000}"/>
    <cellStyle name="Euro 22 2" xfId="112" xr:uid="{00000000-0005-0000-0000-0000C8000000}"/>
    <cellStyle name="Euro 22 2 2" xfId="2686" xr:uid="{42A1A8EC-9210-4BE0-BF2E-F255F17C295A}"/>
    <cellStyle name="Euro 22 2 2 2" xfId="13391" xr:uid="{2FDB9627-3F97-4D1A-B783-9BC3DBD60FA2}"/>
    <cellStyle name="Euro 22 2 3" xfId="13071" xr:uid="{A8EDB673-653A-4320-B3F2-6869F40886CA}"/>
    <cellStyle name="Euro 22 3" xfId="113" xr:uid="{00000000-0005-0000-0000-0000C9000000}"/>
    <cellStyle name="Euro 22 3 2" xfId="114" xr:uid="{00000000-0005-0000-0000-0000CA000000}"/>
    <cellStyle name="Euro 22 3 2 2" xfId="1347" xr:uid="{00000000-0005-0000-0000-0000CB000000}"/>
    <cellStyle name="Euro 22 3 2 3" xfId="7733" xr:uid="{76E71B3C-9378-4558-9EFA-AF4F62E0624A}"/>
    <cellStyle name="Euro 22 3 2 3 2" xfId="13853" xr:uid="{B288664C-AC8F-48B4-8FAE-FAE4C4427C41}"/>
    <cellStyle name="Euro 22 3 3" xfId="2687" xr:uid="{598F09EA-8CC2-4872-8D15-6747F9563DD5}"/>
    <cellStyle name="Euro 22 3 3 2" xfId="8995" xr:uid="{35E07C60-0ED4-4A7E-B5EC-BEB540AD49F6}"/>
    <cellStyle name="Euro 22 3 4" xfId="2688" xr:uid="{CF638226-B2D2-41FB-BBB2-CBFF505F77A3}"/>
    <cellStyle name="Euro 22 3 4 2" xfId="13641" xr:uid="{111229BE-70EA-45CF-A395-89EA80157D54}"/>
    <cellStyle name="Euro 22 3 5" xfId="12236" xr:uid="{1EBBC978-CE9B-4D4B-B570-44BD4CCA4FA6}"/>
    <cellStyle name="Euro 22 4" xfId="1348" xr:uid="{00000000-0005-0000-0000-0000CC000000}"/>
    <cellStyle name="Euro 22 4 2" xfId="1349" xr:uid="{00000000-0005-0000-0000-0000CD000000}"/>
    <cellStyle name="Euro 22 4 2 2" xfId="8996" xr:uid="{CCA14DF4-ED98-4EED-81EF-7502C20CA526}"/>
    <cellStyle name="Euro 22 4 2 3" xfId="17758" xr:uid="{338BC3DC-4A59-4B33-AA92-EE4C5D9CCA4A}"/>
    <cellStyle name="Euro 22 4 2 4" xfId="17461" xr:uid="{B8BC023F-9180-4EE2-A2F9-730FD7A4E9CE}"/>
    <cellStyle name="Euro 22 4 3" xfId="8997" xr:uid="{71F449B4-A56D-4A01-B545-24AC55C1C9C1}"/>
    <cellStyle name="Euro 22 5" xfId="1350" xr:uid="{00000000-0005-0000-0000-0000CE000000}"/>
    <cellStyle name="Euro 22 6" xfId="2689" xr:uid="{AAA5F09E-FB5F-42D9-A8C3-37318C6BA195}"/>
    <cellStyle name="Euro 22 6 2" xfId="9616" xr:uid="{FCD9AC37-72C1-4433-9539-F6E104650268}"/>
    <cellStyle name="Euro 23" xfId="115" xr:uid="{00000000-0005-0000-0000-0000CF000000}"/>
    <cellStyle name="Euro 23 2" xfId="116" xr:uid="{00000000-0005-0000-0000-0000D0000000}"/>
    <cellStyle name="Euro 23 2 2" xfId="2690" xr:uid="{880AEAA4-7EA0-4158-B5E9-EDC7886BFC0D}"/>
    <cellStyle name="Euro 23 2 2 2" xfId="13392" xr:uid="{7FAF7BE2-7FA9-422C-A108-8FBC2226F7DF}"/>
    <cellStyle name="Euro 23 2 3" xfId="13072" xr:uid="{78FDF60C-4C6B-4EF0-AAC2-D609E33DFC39}"/>
    <cellStyle name="Euro 23 3" xfId="117" xr:uid="{00000000-0005-0000-0000-0000D1000000}"/>
    <cellStyle name="Euro 23 3 2" xfId="118" xr:uid="{00000000-0005-0000-0000-0000D2000000}"/>
    <cellStyle name="Euro 23 3 2 2" xfId="1351" xr:uid="{00000000-0005-0000-0000-0000D3000000}"/>
    <cellStyle name="Euro 23 3 2 3" xfId="7734" xr:uid="{0F23B326-FE33-4F23-ACCA-52FF1FA9C917}"/>
    <cellStyle name="Euro 23 3 2 3 2" xfId="13854" xr:uid="{8BFC2948-2497-4856-A259-4376F2C69AA5}"/>
    <cellStyle name="Euro 23 3 3" xfId="2691" xr:uid="{4A5B6CB2-17C5-48D3-BB52-67C166B845AB}"/>
    <cellStyle name="Euro 23 3 3 2" xfId="8998" xr:uid="{B9DAA4C5-09B4-4EA3-B0E7-06659F004A67}"/>
    <cellStyle name="Euro 23 3 4" xfId="2692" xr:uid="{AFEF329C-6B2A-474A-B4E6-1461FAC2DAFE}"/>
    <cellStyle name="Euro 23 3 4 2" xfId="13642" xr:uid="{BDB35EB6-DCC6-4EFB-824A-2743BE2FE5F3}"/>
    <cellStyle name="Euro 23 3 5" xfId="11501" xr:uid="{DE6527A6-9E09-4FE6-9ECE-5067A0A5502F}"/>
    <cellStyle name="Euro 23 4" xfId="1352" xr:uid="{00000000-0005-0000-0000-0000D4000000}"/>
    <cellStyle name="Euro 23 4 2" xfId="1353" xr:uid="{00000000-0005-0000-0000-0000D5000000}"/>
    <cellStyle name="Euro 23 4 2 2" xfId="8999" xr:uid="{5419DD35-7540-431A-A8C7-AB1CF1534A41}"/>
    <cellStyle name="Euro 23 4 2 3" xfId="17759" xr:uid="{5D378151-4C4D-41DE-8D49-8BA29D9D17D0}"/>
    <cellStyle name="Euro 23 4 2 4" xfId="17460" xr:uid="{B447BB1B-1C9A-4F49-B5E6-A65B4255E34B}"/>
    <cellStyle name="Euro 23 4 3" xfId="9000" xr:uid="{3FE16817-C3F0-420F-9E7F-3C3BF7FB4968}"/>
    <cellStyle name="Euro 23 5" xfId="1354" xr:uid="{00000000-0005-0000-0000-0000D6000000}"/>
    <cellStyle name="Euro 23 6" xfId="2693" xr:uid="{FA76A8E0-FAAF-4B31-AE2A-3D19760E009C}"/>
    <cellStyle name="Euro 23 6 2" xfId="9617" xr:uid="{FC098829-14B8-4023-BEEA-F8D623B94355}"/>
    <cellStyle name="Euro 24" xfId="119" xr:uid="{00000000-0005-0000-0000-0000D7000000}"/>
    <cellStyle name="Euro 24 2" xfId="120" xr:uid="{00000000-0005-0000-0000-0000D8000000}"/>
    <cellStyle name="Euro 24 2 2" xfId="2694" xr:uid="{FE019703-0AF5-4DE0-8FF4-69A104E028BF}"/>
    <cellStyle name="Euro 24 2 2 2" xfId="13393" xr:uid="{BCDD1B76-28F6-4E91-9419-0A2FB8E01D00}"/>
    <cellStyle name="Euro 24 2 3" xfId="13073" xr:uid="{05E9F746-CDF8-4FA0-9867-ACBFAC1D06C0}"/>
    <cellStyle name="Euro 24 3" xfId="121" xr:uid="{00000000-0005-0000-0000-0000D9000000}"/>
    <cellStyle name="Euro 24 3 2" xfId="122" xr:uid="{00000000-0005-0000-0000-0000DA000000}"/>
    <cellStyle name="Euro 24 3 2 2" xfId="1355" xr:uid="{00000000-0005-0000-0000-0000DB000000}"/>
    <cellStyle name="Euro 24 3 2 3" xfId="7735" xr:uid="{FA25EDDA-7512-4E00-A567-8E9E1253E601}"/>
    <cellStyle name="Euro 24 3 2 3 2" xfId="13855" xr:uid="{63E562AF-2860-40D6-8967-C97653A0506A}"/>
    <cellStyle name="Euro 24 3 3" xfId="2695" xr:uid="{A1C4E74E-6992-498C-8EBC-E4B4438FB842}"/>
    <cellStyle name="Euro 24 3 3 2" xfId="9001" xr:uid="{28C12F90-1802-4704-8BC3-81CB67331BB3}"/>
    <cellStyle name="Euro 24 3 4" xfId="2696" xr:uid="{2BBBCCB6-CF10-442C-AFB3-F52B2D49D461}"/>
    <cellStyle name="Euro 24 3 4 2" xfId="13643" xr:uid="{A37C6160-3693-4E5B-B3C9-0C0143438A02}"/>
    <cellStyle name="Euro 24 3 5" xfId="11171" xr:uid="{CEC578BF-63A4-436E-8EE3-97C84B06BD74}"/>
    <cellStyle name="Euro 24 4" xfId="1356" xr:uid="{00000000-0005-0000-0000-0000DC000000}"/>
    <cellStyle name="Euro 24 4 2" xfId="1357" xr:uid="{00000000-0005-0000-0000-0000DD000000}"/>
    <cellStyle name="Euro 24 4 2 2" xfId="9002" xr:uid="{88522E51-5468-4A12-88A5-B053DFF23B02}"/>
    <cellStyle name="Euro 24 4 2 3" xfId="17760" xr:uid="{3EDE217B-C112-4EF5-90FB-193EDC92582F}"/>
    <cellStyle name="Euro 24 4 2 4" xfId="17459" xr:uid="{16244C4B-3262-4AB1-A8E3-9F72A471F4E9}"/>
    <cellStyle name="Euro 24 4 3" xfId="9003" xr:uid="{65CF6504-6EEB-4650-8213-4E8F3705C79F}"/>
    <cellStyle name="Euro 24 5" xfId="1358" xr:uid="{00000000-0005-0000-0000-0000DE000000}"/>
    <cellStyle name="Euro 24 6" xfId="2697" xr:uid="{702B47EB-746B-49F9-BFAF-2BDD85CB7ADB}"/>
    <cellStyle name="Euro 24 6 2" xfId="9618" xr:uid="{620ECFD2-F30C-4B01-A77B-93E12FB42D80}"/>
    <cellStyle name="Euro 25" xfId="123" xr:uid="{00000000-0005-0000-0000-0000DF000000}"/>
    <cellStyle name="Euro 25 2" xfId="124" xr:uid="{00000000-0005-0000-0000-0000E0000000}"/>
    <cellStyle name="Euro 25 2 2" xfId="2698" xr:uid="{C75D7263-6F45-4A28-818F-C56907F398D4}"/>
    <cellStyle name="Euro 25 2 2 2" xfId="13394" xr:uid="{8C5095B9-01AC-4601-AAD0-7032128A1ED1}"/>
    <cellStyle name="Euro 25 2 3" xfId="13074" xr:uid="{35B1F6A5-EA7C-40BB-A3C6-BCD1F4D9A204}"/>
    <cellStyle name="Euro 25 3" xfId="125" xr:uid="{00000000-0005-0000-0000-0000E1000000}"/>
    <cellStyle name="Euro 25 3 2" xfId="126" xr:uid="{00000000-0005-0000-0000-0000E2000000}"/>
    <cellStyle name="Euro 25 3 2 2" xfId="1359" xr:uid="{00000000-0005-0000-0000-0000E3000000}"/>
    <cellStyle name="Euro 25 3 2 3" xfId="7736" xr:uid="{6AD97E50-D189-4C1D-9840-649E4674C506}"/>
    <cellStyle name="Euro 25 3 2 3 2" xfId="13856" xr:uid="{13A3F3AA-D377-4A88-B93B-09631A0BB32E}"/>
    <cellStyle name="Euro 25 3 3" xfId="2699" xr:uid="{AC3590E8-9D7E-49FA-818B-8AB7CA73EA8D}"/>
    <cellStyle name="Euro 25 3 3 2" xfId="9004" xr:uid="{D95A47C1-ACBE-467C-9941-F6FAE7FFADD2}"/>
    <cellStyle name="Euro 25 3 4" xfId="2700" xr:uid="{AD24C7A4-6705-4788-9A92-B4C1FF90404C}"/>
    <cellStyle name="Euro 25 3 4 2" xfId="13644" xr:uid="{B5B21D2D-3687-40AD-80FF-C95BD1398F80}"/>
    <cellStyle name="Euro 25 3 5" xfId="12190" xr:uid="{BEDA86BD-05CA-4F71-9E5F-6BF493502BB7}"/>
    <cellStyle name="Euro 25 4" xfId="1360" xr:uid="{00000000-0005-0000-0000-0000E4000000}"/>
    <cellStyle name="Euro 25 4 2" xfId="1361" xr:uid="{00000000-0005-0000-0000-0000E5000000}"/>
    <cellStyle name="Euro 25 4 2 2" xfId="9005" xr:uid="{1CF96FE6-683E-4FB4-AB00-22B741E45394}"/>
    <cellStyle name="Euro 25 4 2 3" xfId="17761" xr:uid="{5E09C8D6-7FEC-4A4A-9568-429922FE14C1}"/>
    <cellStyle name="Euro 25 4 2 4" xfId="17458" xr:uid="{388A4261-DB38-4780-A060-242535F111CF}"/>
    <cellStyle name="Euro 25 4 3" xfId="9006" xr:uid="{BD29294C-BED4-4D62-AC53-7CBE11DDC0BF}"/>
    <cellStyle name="Euro 25 5" xfId="1362" xr:uid="{00000000-0005-0000-0000-0000E6000000}"/>
    <cellStyle name="Euro 25 6" xfId="2701" xr:uid="{33F33BE8-3FD4-4570-AFAB-9EBF27F17449}"/>
    <cellStyle name="Euro 25 6 2" xfId="9619" xr:uid="{317D033A-519C-4992-98C8-5FD93B194E9F}"/>
    <cellStyle name="Euro 26" xfId="127" xr:uid="{00000000-0005-0000-0000-0000E7000000}"/>
    <cellStyle name="Euro 26 2" xfId="128" xr:uid="{00000000-0005-0000-0000-0000E8000000}"/>
    <cellStyle name="Euro 26 2 2" xfId="2702" xr:uid="{4D0D7CB8-8102-4B57-AFC8-511569225417}"/>
    <cellStyle name="Euro 26 2 2 2" xfId="13395" xr:uid="{55FC77E8-0DBB-42DD-A1C6-8F90CFC15C60}"/>
    <cellStyle name="Euro 26 2 3" xfId="13075" xr:uid="{2B7A3EF7-052B-47BB-9B00-D6FE7E231928}"/>
    <cellStyle name="Euro 26 3" xfId="129" xr:uid="{00000000-0005-0000-0000-0000E9000000}"/>
    <cellStyle name="Euro 26 3 2" xfId="130" xr:uid="{00000000-0005-0000-0000-0000EA000000}"/>
    <cellStyle name="Euro 26 3 2 2" xfId="1363" xr:uid="{00000000-0005-0000-0000-0000EB000000}"/>
    <cellStyle name="Euro 26 3 2 3" xfId="7737" xr:uid="{551CDD77-F6E5-459F-8AC6-740A011CD000}"/>
    <cellStyle name="Euro 26 3 2 3 2" xfId="13857" xr:uid="{A5184821-30F8-47CD-B9E8-57DF27CF6A54}"/>
    <cellStyle name="Euro 26 3 3" xfId="2703" xr:uid="{540FBB34-6C1B-4354-A037-2DED92BB5CED}"/>
    <cellStyle name="Euro 26 3 3 2" xfId="9007" xr:uid="{4A2774CD-7798-47C9-A0E9-BC1E168F6FEF}"/>
    <cellStyle name="Euro 26 3 4" xfId="2704" xr:uid="{E2B01B84-E1D2-4C91-8342-0E0BE9808E45}"/>
    <cellStyle name="Euro 26 3 4 2" xfId="13645" xr:uid="{E050C55C-8096-4120-B2C9-99E9D3C37C93}"/>
    <cellStyle name="Euro 26 3 5" xfId="12313" xr:uid="{CA2F5144-4AE3-4C86-8580-BF93763C5C66}"/>
    <cellStyle name="Euro 26 4" xfId="1364" xr:uid="{00000000-0005-0000-0000-0000EC000000}"/>
    <cellStyle name="Euro 26 4 2" xfId="1365" xr:uid="{00000000-0005-0000-0000-0000ED000000}"/>
    <cellStyle name="Euro 26 4 2 2" xfId="9008" xr:uid="{67308D3C-F658-4495-9873-A0A73460E262}"/>
    <cellStyle name="Euro 26 4 2 3" xfId="17762" xr:uid="{D425F5A3-C2C1-40F4-9C66-884D22D667DC}"/>
    <cellStyle name="Euro 26 4 2 4" xfId="17457" xr:uid="{3AC67336-7F3E-4200-9FCA-01D10B3F31E3}"/>
    <cellStyle name="Euro 26 4 3" xfId="9009" xr:uid="{52A36834-A978-475A-AA53-E43E2A69EF6A}"/>
    <cellStyle name="Euro 26 5" xfId="1366" xr:uid="{00000000-0005-0000-0000-0000EE000000}"/>
    <cellStyle name="Euro 26 6" xfId="2705" xr:uid="{40BF3909-6F13-49F9-A21B-77A7060E71FA}"/>
    <cellStyle name="Euro 26 6 2" xfId="9620" xr:uid="{9FCF047E-5AE5-4F0D-ADEF-CDF50E95526D}"/>
    <cellStyle name="Euro 27" xfId="131" xr:uid="{00000000-0005-0000-0000-0000EF000000}"/>
    <cellStyle name="Euro 27 2" xfId="132" xr:uid="{00000000-0005-0000-0000-0000F0000000}"/>
    <cellStyle name="Euro 27 2 2" xfId="2706" xr:uid="{4520C66C-8411-459D-9C2C-9268F54F6A07}"/>
    <cellStyle name="Euro 27 2 2 2" xfId="13396" xr:uid="{AE6EC3E7-B154-4F1C-A582-A3121CF9AC9F}"/>
    <cellStyle name="Euro 27 2 3" xfId="13076" xr:uid="{F953FDD1-ABFE-46DD-9E4A-98E0AB70ECC6}"/>
    <cellStyle name="Euro 27 3" xfId="133" xr:uid="{00000000-0005-0000-0000-0000F1000000}"/>
    <cellStyle name="Euro 27 3 2" xfId="134" xr:uid="{00000000-0005-0000-0000-0000F2000000}"/>
    <cellStyle name="Euro 27 3 2 2" xfId="1367" xr:uid="{00000000-0005-0000-0000-0000F3000000}"/>
    <cellStyle name="Euro 27 3 2 3" xfId="7738" xr:uid="{0B118C78-FEF8-493A-B3E8-63BFB176EC6F}"/>
    <cellStyle name="Euro 27 3 2 3 2" xfId="13858" xr:uid="{A33FCDC6-4393-44BB-8548-3268C4BF16C2}"/>
    <cellStyle name="Euro 27 3 3" xfId="2707" xr:uid="{B7EC0180-69BD-41A9-8860-689A797CBC24}"/>
    <cellStyle name="Euro 27 3 3 2" xfId="9010" xr:uid="{A1A05AC1-3337-4D48-82CC-7D42572B3FE0}"/>
    <cellStyle name="Euro 27 3 4" xfId="2708" xr:uid="{BC10AAC0-2B6F-42C9-8940-6D63A63EFF17}"/>
    <cellStyle name="Euro 27 3 4 2" xfId="13646" xr:uid="{7EFD5438-19A1-4743-A2A5-AF92363D2AB4}"/>
    <cellStyle name="Euro 27 3 5" xfId="11690" xr:uid="{3BDD2E60-C649-421A-97E0-8182CD9E5B0B}"/>
    <cellStyle name="Euro 27 4" xfId="1368" xr:uid="{00000000-0005-0000-0000-0000F4000000}"/>
    <cellStyle name="Euro 27 4 2" xfId="1369" xr:uid="{00000000-0005-0000-0000-0000F5000000}"/>
    <cellStyle name="Euro 27 4 2 2" xfId="9011" xr:uid="{36EEAC47-27E2-4AFC-9F91-58F4E52B3A6C}"/>
    <cellStyle name="Euro 27 4 2 3" xfId="17763" xr:uid="{4A774D8B-E42D-465B-89A6-94BF68AA6099}"/>
    <cellStyle name="Euro 27 4 2 4" xfId="17456" xr:uid="{28B21990-6C1E-441E-B62D-C69696D74E4D}"/>
    <cellStyle name="Euro 27 4 3" xfId="9012" xr:uid="{6212357C-BD60-4531-9508-7A0087D1C776}"/>
    <cellStyle name="Euro 27 5" xfId="1370" xr:uid="{00000000-0005-0000-0000-0000F6000000}"/>
    <cellStyle name="Euro 27 6" xfId="2709" xr:uid="{8272CA44-52B6-4A6D-A15C-73EDF87356AD}"/>
    <cellStyle name="Euro 27 6 2" xfId="9621" xr:uid="{52F6EC48-1E0C-497F-A256-5D5DA16EFDE8}"/>
    <cellStyle name="Euro 28" xfId="135" xr:uid="{00000000-0005-0000-0000-0000F7000000}"/>
    <cellStyle name="Euro 28 2" xfId="136" xr:uid="{00000000-0005-0000-0000-0000F8000000}"/>
    <cellStyle name="Euro 28 2 2" xfId="2710" xr:uid="{DD3268E3-FAA3-4F0D-A8F7-BBAC0C7AA4D7}"/>
    <cellStyle name="Euro 28 2 2 2" xfId="13397" xr:uid="{5BF98C05-601B-44C5-A166-01A58FDCB1FA}"/>
    <cellStyle name="Euro 28 2 3" xfId="13077" xr:uid="{E612E110-9388-4FF6-B5A4-3A107462199C}"/>
    <cellStyle name="Euro 28 3" xfId="137" xr:uid="{00000000-0005-0000-0000-0000F9000000}"/>
    <cellStyle name="Euro 28 3 2" xfId="138" xr:uid="{00000000-0005-0000-0000-0000FA000000}"/>
    <cellStyle name="Euro 28 3 2 2" xfId="1371" xr:uid="{00000000-0005-0000-0000-0000FB000000}"/>
    <cellStyle name="Euro 28 3 2 3" xfId="7739" xr:uid="{3AECD5C7-1182-445C-A638-287CC8B831E5}"/>
    <cellStyle name="Euro 28 3 2 3 2" xfId="13859" xr:uid="{BEC64FC0-4E7D-494A-AA89-0EDD24757A91}"/>
    <cellStyle name="Euro 28 3 3" xfId="2711" xr:uid="{CA019CE7-3EE7-43EA-A83E-437A87CB33EC}"/>
    <cellStyle name="Euro 28 3 3 2" xfId="9013" xr:uid="{83D226FD-2D60-4A9D-810C-9ACA874FB1C1}"/>
    <cellStyle name="Euro 28 3 4" xfId="2712" xr:uid="{E434B639-9134-4B5E-8F95-149BC2421D05}"/>
    <cellStyle name="Euro 28 3 4 2" xfId="13647" xr:uid="{9558CD03-637D-4978-82F3-D5C860C9E224}"/>
    <cellStyle name="Euro 28 3 5" xfId="12234" xr:uid="{3C922C34-4142-4D2A-812F-2EB55D6E8A3B}"/>
    <cellStyle name="Euro 28 4" xfId="1372" xr:uid="{00000000-0005-0000-0000-0000FC000000}"/>
    <cellStyle name="Euro 28 4 2" xfId="1373" xr:uid="{00000000-0005-0000-0000-0000FD000000}"/>
    <cellStyle name="Euro 28 4 2 2" xfId="9014" xr:uid="{6745AC59-B985-4D79-A8DF-3863A628A8E3}"/>
    <cellStyle name="Euro 28 4 2 3" xfId="17764" xr:uid="{54740142-2661-490C-96BB-40363D44418C}"/>
    <cellStyle name="Euro 28 4 2 4" xfId="17455" xr:uid="{C09F50A0-E081-4D0A-BAC1-C928E88EE8BF}"/>
    <cellStyle name="Euro 28 4 3" xfId="9015" xr:uid="{9C0F2C2B-5511-4E64-8503-B6426351A3F1}"/>
    <cellStyle name="Euro 28 5" xfId="1374" xr:uid="{00000000-0005-0000-0000-0000FE000000}"/>
    <cellStyle name="Euro 28 6" xfId="2713" xr:uid="{EAD2B4C3-CAA7-43BC-9CE0-EE04E10C7481}"/>
    <cellStyle name="Euro 28 6 2" xfId="9622" xr:uid="{19AA8CBF-E369-4CF3-A326-260E5AE8E065}"/>
    <cellStyle name="Euro 29" xfId="139" xr:uid="{00000000-0005-0000-0000-0000FF000000}"/>
    <cellStyle name="Euro 29 2" xfId="140" xr:uid="{00000000-0005-0000-0000-000000010000}"/>
    <cellStyle name="Euro 29 2 2" xfId="2714" xr:uid="{582D9CDA-A8E0-43AC-8BBD-894105C28170}"/>
    <cellStyle name="Euro 29 2 2 2" xfId="13398" xr:uid="{82DFB296-C8CB-4E02-9DA5-8238F49EB14D}"/>
    <cellStyle name="Euro 29 2 3" xfId="13078" xr:uid="{70B9577F-DB68-410E-9EAD-50D6DDB73B64}"/>
    <cellStyle name="Euro 29 3" xfId="141" xr:uid="{00000000-0005-0000-0000-000001010000}"/>
    <cellStyle name="Euro 29 3 2" xfId="142" xr:uid="{00000000-0005-0000-0000-000002010000}"/>
    <cellStyle name="Euro 29 3 2 2" xfId="1375" xr:uid="{00000000-0005-0000-0000-000003010000}"/>
    <cellStyle name="Euro 29 3 2 3" xfId="7740" xr:uid="{8C7DCA82-5771-4114-B0EB-32063614A29D}"/>
    <cellStyle name="Euro 29 3 2 3 2" xfId="13860" xr:uid="{04B27711-F7C5-4D7A-AC2E-3D81CC5047CB}"/>
    <cellStyle name="Euro 29 3 3" xfId="2715" xr:uid="{E0DEC5B4-CD53-4246-8688-D0E1074888FA}"/>
    <cellStyle name="Euro 29 3 3 2" xfId="9016" xr:uid="{3D2F52B9-C00A-4F7E-8A5D-9025ED1FB38D}"/>
    <cellStyle name="Euro 29 3 4" xfId="2716" xr:uid="{0510A841-8B04-4D7C-918E-B75C81C6E396}"/>
    <cellStyle name="Euro 29 3 4 2" xfId="13648" xr:uid="{884D7E41-E2BF-4FCC-B168-11D9E45B0BDA}"/>
    <cellStyle name="Euro 29 3 5" xfId="11543" xr:uid="{6DDBE86D-B4CA-4222-8AEB-E3B1FCFBA376}"/>
    <cellStyle name="Euro 29 4" xfId="1376" xr:uid="{00000000-0005-0000-0000-000004010000}"/>
    <cellStyle name="Euro 29 4 2" xfId="1377" xr:uid="{00000000-0005-0000-0000-000005010000}"/>
    <cellStyle name="Euro 29 4 2 2" xfId="9017" xr:uid="{0FF334D1-F6FA-47FE-8171-45B8C82F58F0}"/>
    <cellStyle name="Euro 29 4 2 3" xfId="17765" xr:uid="{FF53EF00-566A-4184-9086-5FEF26B8629E}"/>
    <cellStyle name="Euro 29 4 2 4" xfId="17454" xr:uid="{79540C27-C968-445D-BEE1-21853B482F5C}"/>
    <cellStyle name="Euro 29 4 3" xfId="9018" xr:uid="{3B197BD8-BB9F-49D8-9702-FE486A209EE0}"/>
    <cellStyle name="Euro 29 5" xfId="1378" xr:uid="{00000000-0005-0000-0000-000006010000}"/>
    <cellStyle name="Euro 29 6" xfId="2717" xr:uid="{7CFA3418-25AA-49AD-A875-C650174521FF}"/>
    <cellStyle name="Euro 29 6 2" xfId="9623" xr:uid="{0CFAA3AB-CD93-4F89-938C-89CDA00FA986}"/>
    <cellStyle name="Euro 3" xfId="143" xr:uid="{00000000-0005-0000-0000-000007010000}"/>
    <cellStyle name="Euro 3 2" xfId="144" xr:uid="{00000000-0005-0000-0000-000008010000}"/>
    <cellStyle name="Euro 3 2 2" xfId="2718" xr:uid="{7842479A-6192-4A05-A076-3F99CB6A2C1B}"/>
    <cellStyle name="Euro 3 2 2 2" xfId="13399" xr:uid="{58F9B56A-A861-4BE8-9C2C-010CD6BFA22F}"/>
    <cellStyle name="Euro 3 2 3" xfId="13079" xr:uid="{78824466-C1EE-46EE-802F-21266CB9B19E}"/>
    <cellStyle name="Euro 3 3" xfId="145" xr:uid="{00000000-0005-0000-0000-000009010000}"/>
    <cellStyle name="Euro 3 3 2" xfId="146" xr:uid="{00000000-0005-0000-0000-00000A010000}"/>
    <cellStyle name="Euro 3 3 2 2" xfId="1379" xr:uid="{00000000-0005-0000-0000-00000B010000}"/>
    <cellStyle name="Euro 3 3 2 3" xfId="7741" xr:uid="{8646EFF2-ADAF-4DB9-AB42-C0C472CF9214}"/>
    <cellStyle name="Euro 3 3 2 3 2" xfId="13861" xr:uid="{34664AA9-EA93-4982-B742-38FE4F7F9E62}"/>
    <cellStyle name="Euro 3 3 3" xfId="2719" xr:uid="{E2BC4866-779A-4CBA-B602-FF25D795FE98}"/>
    <cellStyle name="Euro 3 3 3 2" xfId="9019" xr:uid="{D13F69C4-2A90-496D-879C-E18DD13138D8}"/>
    <cellStyle name="Euro 3 3 4" xfId="2720" xr:uid="{0380DA26-A941-406D-A874-6ECB9BA2B621}"/>
    <cellStyle name="Euro 3 3 4 2" xfId="13649" xr:uid="{F00D1690-B85C-4D1A-B6C3-C75936E2CE39}"/>
    <cellStyle name="Euro 3 3 5" xfId="12314" xr:uid="{8EDE0D64-EF73-4DE5-AD25-5282E775C1A5}"/>
    <cellStyle name="Euro 3 4" xfId="1380" xr:uid="{00000000-0005-0000-0000-00000C010000}"/>
    <cellStyle name="Euro 3 4 2" xfId="1381" xr:uid="{00000000-0005-0000-0000-00000D010000}"/>
    <cellStyle name="Euro 3 4 2 2" xfId="9020" xr:uid="{9D622E24-C772-4826-B26E-078BD2358644}"/>
    <cellStyle name="Euro 3 4 2 3" xfId="17766" xr:uid="{804E236F-23AE-4DE9-9560-12E154685557}"/>
    <cellStyle name="Euro 3 4 2 4" xfId="17453" xr:uid="{8944CDAB-2BB3-4BAC-90AF-2767E1883DB1}"/>
    <cellStyle name="Euro 3 4 3" xfId="9021" xr:uid="{581FF8D1-186A-41DF-A161-AE322BA0356A}"/>
    <cellStyle name="Euro 3 5" xfId="1382" xr:uid="{00000000-0005-0000-0000-00000E010000}"/>
    <cellStyle name="Euro 3 6" xfId="2721" xr:uid="{F2C1D668-F89B-4B89-B4AE-ADB3F2017056}"/>
    <cellStyle name="Euro 3 6 2" xfId="9624" xr:uid="{0B876D59-537C-43E6-8152-7158F0D49949}"/>
    <cellStyle name="Euro 30" xfId="147" xr:uid="{00000000-0005-0000-0000-00000F010000}"/>
    <cellStyle name="Euro 30 2" xfId="148" xr:uid="{00000000-0005-0000-0000-000010010000}"/>
    <cellStyle name="Euro 30 2 2" xfId="2722" xr:uid="{32CD2FED-26DF-4E91-8164-1EFDA740E819}"/>
    <cellStyle name="Euro 30 2 2 2" xfId="13400" xr:uid="{ED588BBD-7E49-4C78-958E-931CFED30BC2}"/>
    <cellStyle name="Euro 30 2 3" xfId="13080" xr:uid="{20243734-62C4-4A0C-A216-73E53581EA39}"/>
    <cellStyle name="Euro 30 3" xfId="149" xr:uid="{00000000-0005-0000-0000-000011010000}"/>
    <cellStyle name="Euro 30 3 2" xfId="150" xr:uid="{00000000-0005-0000-0000-000012010000}"/>
    <cellStyle name="Euro 30 3 2 2" xfId="1383" xr:uid="{00000000-0005-0000-0000-000013010000}"/>
    <cellStyle name="Euro 30 3 2 3" xfId="7742" xr:uid="{5A4A3FA1-FEED-4167-B483-22C116BC5A75}"/>
    <cellStyle name="Euro 30 3 2 3 2" xfId="13862" xr:uid="{BFFA4E3D-39FF-4287-8B06-00CAAFD07411}"/>
    <cellStyle name="Euro 30 3 3" xfId="2723" xr:uid="{C1069973-7C3B-4E50-8069-C512C20CF5F5}"/>
    <cellStyle name="Euro 30 3 3 2" xfId="9022" xr:uid="{21F3EA85-84CE-4CBC-B6D1-FBAFB0941F7C}"/>
    <cellStyle name="Euro 30 3 4" xfId="2724" xr:uid="{91FAD84C-3C15-4073-A180-6273190039FF}"/>
    <cellStyle name="Euro 30 3 4 2" xfId="13650" xr:uid="{1B1CD2F9-7E56-4729-8E4E-575BC001282D}"/>
    <cellStyle name="Euro 30 3 5" xfId="12235" xr:uid="{30C4F26B-EDAE-492D-AB8A-8F85A22A6769}"/>
    <cellStyle name="Euro 30 4" xfId="1384" xr:uid="{00000000-0005-0000-0000-000014010000}"/>
    <cellStyle name="Euro 30 4 2" xfId="1385" xr:uid="{00000000-0005-0000-0000-000015010000}"/>
    <cellStyle name="Euro 30 4 2 2" xfId="9023" xr:uid="{4BEE630D-618D-4BB2-8FB8-ECE8D0F4F827}"/>
    <cellStyle name="Euro 30 4 2 3" xfId="17767" xr:uid="{4753FFCF-1A8B-468C-BF58-F95798097DA2}"/>
    <cellStyle name="Euro 30 4 2 4" xfId="17452" xr:uid="{573FD7F2-2924-44E3-83B7-8375AA44ED5D}"/>
    <cellStyle name="Euro 30 4 3" xfId="9024" xr:uid="{447BB661-4660-421E-928D-DA33365AFC8D}"/>
    <cellStyle name="Euro 30 5" xfId="1386" xr:uid="{00000000-0005-0000-0000-000016010000}"/>
    <cellStyle name="Euro 30 6" xfId="2725" xr:uid="{B990D8D1-F729-421B-A0AC-9D0DBBE58806}"/>
    <cellStyle name="Euro 30 6 2" xfId="9625" xr:uid="{1991F453-D277-4CBB-937C-244B87AD5ACA}"/>
    <cellStyle name="Euro 31" xfId="151" xr:uid="{00000000-0005-0000-0000-000017010000}"/>
    <cellStyle name="Euro 31 2" xfId="152" xr:uid="{00000000-0005-0000-0000-000018010000}"/>
    <cellStyle name="Euro 31 2 2" xfId="2726" xr:uid="{703387C0-C48D-4B43-8840-32C11040AEAC}"/>
    <cellStyle name="Euro 31 2 2 2" xfId="13401" xr:uid="{255A3A06-0E83-494E-90E0-90F15AA4C751}"/>
    <cellStyle name="Euro 31 2 3" xfId="13081" xr:uid="{9B1B0B5D-E92D-4584-8A7C-C5424C380ABA}"/>
    <cellStyle name="Euro 31 3" xfId="153" xr:uid="{00000000-0005-0000-0000-000019010000}"/>
    <cellStyle name="Euro 31 3 2" xfId="154" xr:uid="{00000000-0005-0000-0000-00001A010000}"/>
    <cellStyle name="Euro 31 3 2 2" xfId="1387" xr:uid="{00000000-0005-0000-0000-00001B010000}"/>
    <cellStyle name="Euro 31 3 2 3" xfId="7743" xr:uid="{90A6C802-9143-4F9A-A2AF-A0B8BCB184CE}"/>
    <cellStyle name="Euro 31 3 2 3 2" xfId="13863" xr:uid="{9573C9BB-B81E-46DB-9EBF-800A38BC82EF}"/>
    <cellStyle name="Euro 31 3 3" xfId="2727" xr:uid="{1A4F0AA8-E15D-465A-9CD0-AFD3B519C456}"/>
    <cellStyle name="Euro 31 3 3 2" xfId="9025" xr:uid="{B30C3681-B56F-45D7-B665-5B3B5531D81A}"/>
    <cellStyle name="Euro 31 3 4" xfId="2728" xr:uid="{2285BFDC-3494-4492-8F52-03C195897CBD}"/>
    <cellStyle name="Euro 31 3 4 2" xfId="13651" xr:uid="{B2027239-542D-4C1A-B1FE-AF850275C38C}"/>
    <cellStyle name="Euro 31 3 5" xfId="11111" xr:uid="{2AD36901-EEED-4592-8EC7-2CE973ADCAE6}"/>
    <cellStyle name="Euro 31 4" xfId="1388" xr:uid="{00000000-0005-0000-0000-00001C010000}"/>
    <cellStyle name="Euro 31 4 2" xfId="1389" xr:uid="{00000000-0005-0000-0000-00001D010000}"/>
    <cellStyle name="Euro 31 4 2 2" xfId="9026" xr:uid="{7F3183FE-B7C9-4DF3-9C91-6138D98E59B4}"/>
    <cellStyle name="Euro 31 4 2 3" xfId="17768" xr:uid="{21E22636-711E-4159-8B55-45F497FCD17E}"/>
    <cellStyle name="Euro 31 4 2 4" xfId="17451" xr:uid="{3D2EEE54-78EE-494E-97AF-288F36EB107B}"/>
    <cellStyle name="Euro 31 4 3" xfId="9027" xr:uid="{0597A8BA-A48E-4417-9648-236F1DC37141}"/>
    <cellStyle name="Euro 31 5" xfId="1390" xr:uid="{00000000-0005-0000-0000-00001E010000}"/>
    <cellStyle name="Euro 31 6" xfId="2729" xr:uid="{4E3EFAA0-846A-4C22-A0C7-58DC8870394E}"/>
    <cellStyle name="Euro 31 6 2" xfId="9626" xr:uid="{FDE9C6BE-A317-4596-B481-FBDC7E16FB33}"/>
    <cellStyle name="Euro 32" xfId="155" xr:uid="{00000000-0005-0000-0000-00001F010000}"/>
    <cellStyle name="Euro 32 2" xfId="156" xr:uid="{00000000-0005-0000-0000-000020010000}"/>
    <cellStyle name="Euro 32 2 2" xfId="2730" xr:uid="{B14ED377-514D-40F7-92DE-F67FDC3E21B5}"/>
    <cellStyle name="Euro 32 2 2 2" xfId="13402" xr:uid="{1FD1C9EF-31E4-45EE-9613-D8C0C3B20CE4}"/>
    <cellStyle name="Euro 32 2 3" xfId="13082" xr:uid="{CB9A9B55-898D-4E07-A577-15C97965B7CB}"/>
    <cellStyle name="Euro 32 3" xfId="157" xr:uid="{00000000-0005-0000-0000-000021010000}"/>
    <cellStyle name="Euro 32 3 2" xfId="158" xr:uid="{00000000-0005-0000-0000-000022010000}"/>
    <cellStyle name="Euro 32 3 2 2" xfId="1391" xr:uid="{00000000-0005-0000-0000-000023010000}"/>
    <cellStyle name="Euro 32 3 2 3" xfId="7744" xr:uid="{E1363617-BCFB-48D5-B4F0-E119331460D9}"/>
    <cellStyle name="Euro 32 3 2 3 2" xfId="13864" xr:uid="{F0126CBA-4884-4FBE-A8E0-3986E669B438}"/>
    <cellStyle name="Euro 32 3 3" xfId="2731" xr:uid="{6A290810-16DE-4AD3-B01F-D0644D605390}"/>
    <cellStyle name="Euro 32 3 3 2" xfId="9028" xr:uid="{0A0EA427-F563-478F-A1A5-A0B88DC9A18C}"/>
    <cellStyle name="Euro 32 3 4" xfId="2732" xr:uid="{9F3403EF-684C-4A21-B1E7-37D702DDF410}"/>
    <cellStyle name="Euro 32 3 4 2" xfId="13652" xr:uid="{08A6DA29-F444-46B4-B637-EEBD46CDFAEB}"/>
    <cellStyle name="Euro 32 3 5" xfId="12200" xr:uid="{58501936-5127-46F7-B2E5-40B20F6637E7}"/>
    <cellStyle name="Euro 32 4" xfId="1392" xr:uid="{00000000-0005-0000-0000-000024010000}"/>
    <cellStyle name="Euro 32 4 2" xfId="1393" xr:uid="{00000000-0005-0000-0000-000025010000}"/>
    <cellStyle name="Euro 32 4 2 2" xfId="9029" xr:uid="{651538AA-7883-4EA0-89F9-CA21ECD1B172}"/>
    <cellStyle name="Euro 32 4 2 3" xfId="17769" xr:uid="{13372584-7092-4BC3-86E9-46FDCFB99146}"/>
    <cellStyle name="Euro 32 4 2 4" xfId="17450" xr:uid="{F2232309-5C8B-4D6A-AFED-B89D9E614B20}"/>
    <cellStyle name="Euro 32 4 3" xfId="9030" xr:uid="{9962509C-2F33-4FBC-B505-8AEF2E7EDFF0}"/>
    <cellStyle name="Euro 32 5" xfId="1394" xr:uid="{00000000-0005-0000-0000-000026010000}"/>
    <cellStyle name="Euro 32 6" xfId="2733" xr:uid="{F4568375-EE0C-4897-981B-D61D8965453A}"/>
    <cellStyle name="Euro 32 6 2" xfId="9627" xr:uid="{6A5A2A7D-099F-45AC-8EE3-131AF0ECCB87}"/>
    <cellStyle name="Euro 33" xfId="159" xr:uid="{00000000-0005-0000-0000-000027010000}"/>
    <cellStyle name="Euro 33 2" xfId="160" xr:uid="{00000000-0005-0000-0000-000028010000}"/>
    <cellStyle name="Euro 33 2 2" xfId="2734" xr:uid="{F8E392CF-5595-46E0-BC24-2CE6C61869A0}"/>
    <cellStyle name="Euro 33 2 2 2" xfId="13403" xr:uid="{6320BCFE-CF0F-484A-8A9B-8D71EADCE3EA}"/>
    <cellStyle name="Euro 33 2 3" xfId="13083" xr:uid="{CE6D326F-4E57-48E9-B516-A881E6226784}"/>
    <cellStyle name="Euro 33 3" xfId="161" xr:uid="{00000000-0005-0000-0000-000029010000}"/>
    <cellStyle name="Euro 33 3 2" xfId="162" xr:uid="{00000000-0005-0000-0000-00002A010000}"/>
    <cellStyle name="Euro 33 3 2 2" xfId="1395" xr:uid="{00000000-0005-0000-0000-00002B010000}"/>
    <cellStyle name="Euro 33 3 2 3" xfId="7745" xr:uid="{1125FB1A-D373-49D3-BB8B-38AF26FFBAB5}"/>
    <cellStyle name="Euro 33 3 2 3 2" xfId="13865" xr:uid="{BE6F0D6B-706D-488D-BF40-0B65E546C04E}"/>
    <cellStyle name="Euro 33 3 3" xfId="2735" xr:uid="{ABB5720B-388D-45ED-9E91-6A6D62BCCE9E}"/>
    <cellStyle name="Euro 33 3 3 2" xfId="9031" xr:uid="{494F5E1A-6D85-43A1-A338-BAD0C49BF688}"/>
    <cellStyle name="Euro 33 3 4" xfId="2736" xr:uid="{03BCC889-9EB4-4E25-80DD-E9635791F2AA}"/>
    <cellStyle name="Euro 33 3 4 2" xfId="13653" xr:uid="{72CF3EB3-EE8A-48C5-A0D9-EB22EE884D9E}"/>
    <cellStyle name="Euro 33 3 5" xfId="11130" xr:uid="{336E3014-BF79-4830-AD8E-E98FAF9D6C47}"/>
    <cellStyle name="Euro 33 4" xfId="1396" xr:uid="{00000000-0005-0000-0000-00002C010000}"/>
    <cellStyle name="Euro 33 4 2" xfId="1397" xr:uid="{00000000-0005-0000-0000-00002D010000}"/>
    <cellStyle name="Euro 33 4 2 2" xfId="9032" xr:uid="{0501F22F-4E39-4262-9A34-417D3D63D0C1}"/>
    <cellStyle name="Euro 33 4 2 3" xfId="17770" xr:uid="{046B2451-2FAC-4819-8088-FE84521F53EA}"/>
    <cellStyle name="Euro 33 4 2 4" xfId="17449" xr:uid="{A8636EDA-4501-46B2-97AB-7A6B6E6E64C7}"/>
    <cellStyle name="Euro 33 4 3" xfId="9033" xr:uid="{EFAD4521-D038-464C-A6C6-29600DDC3B8E}"/>
    <cellStyle name="Euro 33 5" xfId="1398" xr:uid="{00000000-0005-0000-0000-00002E010000}"/>
    <cellStyle name="Euro 33 6" xfId="2737" xr:uid="{CDB4F35D-6F29-493B-82B7-C3AB16514BD7}"/>
    <cellStyle name="Euro 33 6 2" xfId="9628" xr:uid="{1A0B7A89-7D52-41D4-B8A2-1325A3C4637C}"/>
    <cellStyle name="Euro 34" xfId="163" xr:uid="{00000000-0005-0000-0000-00002F010000}"/>
    <cellStyle name="Euro 34 2" xfId="164" xr:uid="{00000000-0005-0000-0000-000030010000}"/>
    <cellStyle name="Euro 34 2 2" xfId="2738" xr:uid="{C4CE7A7B-5507-4854-9A7F-77AA5EEDADDA}"/>
    <cellStyle name="Euro 34 2 2 2" xfId="13404" xr:uid="{45D0CFD0-2189-46AB-BA70-81868657FB83}"/>
    <cellStyle name="Euro 34 2 3" xfId="13084" xr:uid="{A9E8A642-8497-4CAF-A164-EAE7CDB07AF7}"/>
    <cellStyle name="Euro 34 3" xfId="165" xr:uid="{00000000-0005-0000-0000-000031010000}"/>
    <cellStyle name="Euro 34 3 2" xfId="166" xr:uid="{00000000-0005-0000-0000-000032010000}"/>
    <cellStyle name="Euro 34 3 2 2" xfId="1399" xr:uid="{00000000-0005-0000-0000-000033010000}"/>
    <cellStyle name="Euro 34 3 2 3" xfId="7746" xr:uid="{07BFB06F-5AAB-4833-9D79-A79FE7D49C81}"/>
    <cellStyle name="Euro 34 3 2 3 2" xfId="13866" xr:uid="{76BA87C7-DC6D-4D75-B016-2E0455A3F3AA}"/>
    <cellStyle name="Euro 34 3 3" xfId="2739" xr:uid="{0C6029EB-E2A2-4B6E-A443-4666D7C7EDA2}"/>
    <cellStyle name="Euro 34 3 3 2" xfId="9034" xr:uid="{4D944345-9166-4181-A214-A7BD524191D9}"/>
    <cellStyle name="Euro 34 3 4" xfId="2740" xr:uid="{A752ED59-8DFE-4AE3-98FC-32F3AA5E3B86}"/>
    <cellStyle name="Euro 34 3 4 2" xfId="13654" xr:uid="{DC6D5127-FD07-4678-BE10-367B01119105}"/>
    <cellStyle name="Euro 34 3 5" xfId="12274" xr:uid="{BE9A5554-A26C-4BE7-B64E-1D208E1FEAF0}"/>
    <cellStyle name="Euro 34 4" xfId="1400" xr:uid="{00000000-0005-0000-0000-000034010000}"/>
    <cellStyle name="Euro 34 4 2" xfId="1401" xr:uid="{00000000-0005-0000-0000-000035010000}"/>
    <cellStyle name="Euro 34 4 2 2" xfId="9035" xr:uid="{5148D283-42D0-4A5C-9E40-D5042FEFFFF4}"/>
    <cellStyle name="Euro 34 4 2 3" xfId="17771" xr:uid="{9B77D00F-648E-4E7C-9797-21AD94633B2F}"/>
    <cellStyle name="Euro 34 4 2 4" xfId="17447" xr:uid="{BC3484E5-58E3-44A9-BB49-AE438C62A620}"/>
    <cellStyle name="Euro 34 4 3" xfId="9036" xr:uid="{502E5F9D-E9FE-444B-988F-D28D78F0D4FF}"/>
    <cellStyle name="Euro 34 5" xfId="1402" xr:uid="{00000000-0005-0000-0000-000036010000}"/>
    <cellStyle name="Euro 34 6" xfId="2741" xr:uid="{55A9E201-F218-4B57-BA59-0A3065C9D442}"/>
    <cellStyle name="Euro 34 6 2" xfId="9629" xr:uid="{9191992E-042E-4599-904A-E41D0252210F}"/>
    <cellStyle name="Euro 35" xfId="167" xr:uid="{00000000-0005-0000-0000-000037010000}"/>
    <cellStyle name="Euro 35 2" xfId="168" xr:uid="{00000000-0005-0000-0000-000038010000}"/>
    <cellStyle name="Euro 35 2 2" xfId="2742" xr:uid="{F0B4A86B-26D5-4D2B-87C6-D94914D4B03F}"/>
    <cellStyle name="Euro 35 2 2 2" xfId="13405" xr:uid="{5C58D123-E88C-4B0F-92EB-6167CA7EE80C}"/>
    <cellStyle name="Euro 35 2 3" xfId="13085" xr:uid="{FD4B7FF8-6762-4028-934A-4503DCBCDE22}"/>
    <cellStyle name="Euro 35 3" xfId="169" xr:uid="{00000000-0005-0000-0000-000039010000}"/>
    <cellStyle name="Euro 35 3 2" xfId="170" xr:uid="{00000000-0005-0000-0000-00003A010000}"/>
    <cellStyle name="Euro 35 3 2 2" xfId="1403" xr:uid="{00000000-0005-0000-0000-00003B010000}"/>
    <cellStyle name="Euro 35 3 2 3" xfId="7747" xr:uid="{32F016B1-DF13-48A1-8C7C-22D080C6C708}"/>
    <cellStyle name="Euro 35 3 2 3 2" xfId="13867" xr:uid="{6E337E4C-C185-47B5-ABF7-E107B160A51E}"/>
    <cellStyle name="Euro 35 3 3" xfId="2743" xr:uid="{2000A90D-8912-41B3-A6AD-B05ADFD8FD1A}"/>
    <cellStyle name="Euro 35 3 3 2" xfId="9037" xr:uid="{087B24B4-1960-4226-9B3F-677CE81F36E8}"/>
    <cellStyle name="Euro 35 3 4" xfId="2744" xr:uid="{7A83A180-7A43-48B0-99E9-0C9E7E75A693}"/>
    <cellStyle name="Euro 35 3 4 2" xfId="13655" xr:uid="{35377454-ED12-460A-8F1B-C4DBA6A75B12}"/>
    <cellStyle name="Euro 35 3 5" xfId="11540" xr:uid="{FE50A477-33E1-497F-9F44-FB6976EEBCEE}"/>
    <cellStyle name="Euro 35 4" xfId="1404" xr:uid="{00000000-0005-0000-0000-00003C010000}"/>
    <cellStyle name="Euro 35 4 2" xfId="1405" xr:uid="{00000000-0005-0000-0000-00003D010000}"/>
    <cellStyle name="Euro 35 4 2 2" xfId="9038" xr:uid="{46F4FBF4-A33F-40C8-9E34-60F9416B0B1A}"/>
    <cellStyle name="Euro 35 4 2 3" xfId="17772" xr:uid="{A7BBEEE1-38BA-4531-B1C6-F459AEDA4AFC}"/>
    <cellStyle name="Euro 35 4 2 4" xfId="17444" xr:uid="{F16714C2-7026-406A-89BE-95AD8E4FED99}"/>
    <cellStyle name="Euro 35 4 3" xfId="9039" xr:uid="{03D26B11-F158-4DEF-8797-BE4F1C18684C}"/>
    <cellStyle name="Euro 35 5" xfId="1406" xr:uid="{00000000-0005-0000-0000-00003E010000}"/>
    <cellStyle name="Euro 35 6" xfId="2745" xr:uid="{53521B25-13C8-4C1E-AF1E-26A90BA7AE5C}"/>
    <cellStyle name="Euro 35 6 2" xfId="9630" xr:uid="{D12A5F14-27E3-4F64-8BDF-21373260FBE4}"/>
    <cellStyle name="Euro 36" xfId="171" xr:uid="{00000000-0005-0000-0000-00003F010000}"/>
    <cellStyle name="Euro 36 2" xfId="172" xr:uid="{00000000-0005-0000-0000-000040010000}"/>
    <cellStyle name="Euro 36 2 2" xfId="2746" xr:uid="{B9584DE4-8A71-45A4-A229-333313AC54A9}"/>
    <cellStyle name="Euro 36 2 2 2" xfId="13406" xr:uid="{45CFF8C3-D0D9-42AA-860D-FD7B70780BA0}"/>
    <cellStyle name="Euro 36 2 3" xfId="13086" xr:uid="{E63D0BC8-FC9F-48BC-A41D-E38F37F35CC1}"/>
    <cellStyle name="Euro 36 3" xfId="173" xr:uid="{00000000-0005-0000-0000-000041010000}"/>
    <cellStyle name="Euro 36 3 2" xfId="174" xr:uid="{00000000-0005-0000-0000-000042010000}"/>
    <cellStyle name="Euro 36 3 2 2" xfId="1407" xr:uid="{00000000-0005-0000-0000-000043010000}"/>
    <cellStyle name="Euro 36 3 2 3" xfId="7748" xr:uid="{BCC89AFB-6C03-4B23-8FBE-2712D5372B6E}"/>
    <cellStyle name="Euro 36 3 2 3 2" xfId="13868" xr:uid="{E4D70D99-5F47-4C46-9A0F-8BB7512E8672}"/>
    <cellStyle name="Euro 36 3 3" xfId="2747" xr:uid="{30887B0A-BF65-4BB9-8C5B-FF885973C679}"/>
    <cellStyle name="Euro 36 3 3 2" xfId="9040" xr:uid="{A42C4D31-55AC-4B4E-908A-BF9625198C2F}"/>
    <cellStyle name="Euro 36 3 4" xfId="2748" xr:uid="{02DDE347-B7A0-4595-9C23-F699A0BC904A}"/>
    <cellStyle name="Euro 36 3 4 2" xfId="13656" xr:uid="{2AA58EE2-9370-4BA1-ADF3-FD58463422CC}"/>
    <cellStyle name="Euro 36 3 5" xfId="12273" xr:uid="{8EB27C54-F17F-4CA5-94EC-74FEF03251F9}"/>
    <cellStyle name="Euro 36 4" xfId="1408" xr:uid="{00000000-0005-0000-0000-000044010000}"/>
    <cellStyle name="Euro 36 4 2" xfId="1409" xr:uid="{00000000-0005-0000-0000-000045010000}"/>
    <cellStyle name="Euro 36 4 2 2" xfId="9041" xr:uid="{F9F51EF6-6EA9-404E-91CC-36CBD31B9920}"/>
    <cellStyle name="Euro 36 4 2 3" xfId="17773" xr:uid="{0F3250EA-4778-4EA4-9734-6C694A5B2037}"/>
    <cellStyle name="Euro 36 4 2 4" xfId="17443" xr:uid="{CF5EB8AE-C73A-4657-9546-3752D98F7AF3}"/>
    <cellStyle name="Euro 36 4 3" xfId="9042" xr:uid="{A0AA8BB2-825F-4319-B6FA-CC9FB05BE4F9}"/>
    <cellStyle name="Euro 36 5" xfId="1410" xr:uid="{00000000-0005-0000-0000-000046010000}"/>
    <cellStyle name="Euro 36 6" xfId="2749" xr:uid="{81FCC6A1-61F8-43FE-8165-B4F7B4DB2CE5}"/>
    <cellStyle name="Euro 36 6 2" xfId="9631" xr:uid="{87F864B2-3625-40F1-8994-4FE2E508CDBC}"/>
    <cellStyle name="Euro 37" xfId="175" xr:uid="{00000000-0005-0000-0000-000047010000}"/>
    <cellStyle name="Euro 37 2" xfId="176" xr:uid="{00000000-0005-0000-0000-000048010000}"/>
    <cellStyle name="Euro 37 2 2" xfId="2750" xr:uid="{E04E70E3-A6B6-4C9E-9A24-34AC3E435677}"/>
    <cellStyle name="Euro 37 2 2 2" xfId="13407" xr:uid="{7BD7DC8D-8122-49C4-8598-A0E5C9BB16A5}"/>
    <cellStyle name="Euro 37 2 3" xfId="13087" xr:uid="{2AF3F411-65DD-4E12-9854-8DC26827EC3D}"/>
    <cellStyle name="Euro 37 3" xfId="177" xr:uid="{00000000-0005-0000-0000-000049010000}"/>
    <cellStyle name="Euro 37 3 2" xfId="178" xr:uid="{00000000-0005-0000-0000-00004A010000}"/>
    <cellStyle name="Euro 37 3 2 2" xfId="1411" xr:uid="{00000000-0005-0000-0000-00004B010000}"/>
    <cellStyle name="Euro 37 3 2 3" xfId="7749" xr:uid="{237E32C4-0F69-4C17-A859-447DAA536D5C}"/>
    <cellStyle name="Euro 37 3 2 3 2" xfId="13869" xr:uid="{C8C134EC-0429-4FA6-8892-6F96618C4E79}"/>
    <cellStyle name="Euro 37 3 3" xfId="2751" xr:uid="{A6F22637-26EE-4071-B06F-9A77816F49B0}"/>
    <cellStyle name="Euro 37 3 3 2" xfId="9043" xr:uid="{77B75B29-0B34-4FA9-B7AC-B5151F554694}"/>
    <cellStyle name="Euro 37 3 4" xfId="2752" xr:uid="{590A254F-E152-49F6-B86E-FB2ABDAF27C6}"/>
    <cellStyle name="Euro 37 3 4 2" xfId="13657" xr:uid="{4A4EAF02-0753-479C-931F-AC5D2FD309D1}"/>
    <cellStyle name="Euro 37 3 5" xfId="11226" xr:uid="{4D20B028-21B9-4306-9F0F-BAC77D006F38}"/>
    <cellStyle name="Euro 37 4" xfId="1412" xr:uid="{00000000-0005-0000-0000-00004C010000}"/>
    <cellStyle name="Euro 37 4 2" xfId="1413" xr:uid="{00000000-0005-0000-0000-00004D010000}"/>
    <cellStyle name="Euro 37 4 2 2" xfId="9044" xr:uid="{EC103EBC-8B13-4025-8A88-641B9F5D1D07}"/>
    <cellStyle name="Euro 37 4 2 3" xfId="17774" xr:uid="{82289B0C-2F97-4713-B8B3-3D8B8A6A7D0D}"/>
    <cellStyle name="Euro 37 4 2 4" xfId="17442" xr:uid="{B2D02E51-2DE6-4E8E-B40B-F1F27249580A}"/>
    <cellStyle name="Euro 37 4 3" xfId="9045" xr:uid="{266D11AE-089B-49D6-8767-1052BCCD6F99}"/>
    <cellStyle name="Euro 37 5" xfId="1414" xr:uid="{00000000-0005-0000-0000-00004E010000}"/>
    <cellStyle name="Euro 37 6" xfId="2753" xr:uid="{457C010B-FF35-4DA0-BD44-564D4177A3E2}"/>
    <cellStyle name="Euro 37 6 2" xfId="9632" xr:uid="{B3D70F7B-EB04-4816-AA77-3B09971F1CE9}"/>
    <cellStyle name="Euro 38" xfId="179" xr:uid="{00000000-0005-0000-0000-00004F010000}"/>
    <cellStyle name="Euro 38 2" xfId="180" xr:uid="{00000000-0005-0000-0000-000050010000}"/>
    <cellStyle name="Euro 38 2 2" xfId="2754" xr:uid="{AEBF3F9D-7647-43CF-A5C2-F78ABE523F0D}"/>
    <cellStyle name="Euro 38 2 2 2" xfId="13408" xr:uid="{F0BC6312-E13C-4394-B45E-6BC0E7A97D33}"/>
    <cellStyle name="Euro 38 2 3" xfId="13088" xr:uid="{3CEAAFB1-C5D8-4EE5-8F44-3FE44270DFBE}"/>
    <cellStyle name="Euro 38 3" xfId="181" xr:uid="{00000000-0005-0000-0000-000051010000}"/>
    <cellStyle name="Euro 38 3 2" xfId="182" xr:uid="{00000000-0005-0000-0000-000052010000}"/>
    <cellStyle name="Euro 38 3 2 2" xfId="1415" xr:uid="{00000000-0005-0000-0000-000053010000}"/>
    <cellStyle name="Euro 38 3 2 3" xfId="7750" xr:uid="{B4065625-3F44-4112-B12C-8E6377B30592}"/>
    <cellStyle name="Euro 38 3 2 3 2" xfId="13870" xr:uid="{9B50877A-FE87-4097-B4D5-3BB7A49EFB22}"/>
    <cellStyle name="Euro 38 3 3" xfId="2755" xr:uid="{08DB3719-4E57-4C41-BBEA-2BB1D5E1D312}"/>
    <cellStyle name="Euro 38 3 3 2" xfId="9046" xr:uid="{358C0CBA-AD94-4269-B39C-9EE7B144F388}"/>
    <cellStyle name="Euro 38 3 4" xfId="2756" xr:uid="{7F6BB06B-11EC-499C-A7D4-9B95D9C53BE9}"/>
    <cellStyle name="Euro 38 3 4 2" xfId="13658" xr:uid="{976DB2AD-5EC0-4ADE-B7EB-789E5F3E23E8}"/>
    <cellStyle name="Euro 38 3 5" xfId="11520" xr:uid="{106E0B21-B5F5-4074-9D55-21900018470C}"/>
    <cellStyle name="Euro 38 4" xfId="1416" xr:uid="{00000000-0005-0000-0000-000054010000}"/>
    <cellStyle name="Euro 38 4 2" xfId="1417" xr:uid="{00000000-0005-0000-0000-000055010000}"/>
    <cellStyle name="Euro 38 4 2 2" xfId="9047" xr:uid="{F5643C78-35D3-4826-85AB-065062516B7E}"/>
    <cellStyle name="Euro 38 4 2 3" xfId="17775" xr:uid="{66798258-7BDB-47D1-8CFC-84C8DC3A2A4B}"/>
    <cellStyle name="Euro 38 4 2 4" xfId="17441" xr:uid="{B4B1389C-BDAB-43E3-AD6B-9330E3FDDA72}"/>
    <cellStyle name="Euro 38 4 3" xfId="9048" xr:uid="{7D8278C6-F483-4524-A9F1-58FEB25DED55}"/>
    <cellStyle name="Euro 38 5" xfId="1418" xr:uid="{00000000-0005-0000-0000-000056010000}"/>
    <cellStyle name="Euro 38 6" xfId="2757" xr:uid="{BE8D73F1-14AB-4158-B91A-3FD62EC6FCD4}"/>
    <cellStyle name="Euro 38 6 2" xfId="9633" xr:uid="{F721972A-D64B-433E-966D-A89BD27FE6EF}"/>
    <cellStyle name="Euro 39" xfId="183" xr:uid="{00000000-0005-0000-0000-000057010000}"/>
    <cellStyle name="Euro 39 2" xfId="184" xr:uid="{00000000-0005-0000-0000-000058010000}"/>
    <cellStyle name="Euro 39 2 2" xfId="2758" xr:uid="{D9057C53-7D7E-4F22-8607-B7DABF636F34}"/>
    <cellStyle name="Euro 39 2 2 2" xfId="13409" xr:uid="{FC82C8A7-59FE-4973-AD8A-F2AB73D4680F}"/>
    <cellStyle name="Euro 39 2 3" xfId="13089" xr:uid="{44474754-F341-41C9-A5A2-742ACCD3AB28}"/>
    <cellStyle name="Euro 39 3" xfId="185" xr:uid="{00000000-0005-0000-0000-000059010000}"/>
    <cellStyle name="Euro 39 3 2" xfId="186" xr:uid="{00000000-0005-0000-0000-00005A010000}"/>
    <cellStyle name="Euro 39 3 2 2" xfId="1419" xr:uid="{00000000-0005-0000-0000-00005B010000}"/>
    <cellStyle name="Euro 39 3 2 3" xfId="7751" xr:uid="{AD0968A3-9894-421A-917C-BD2E8E1DB978}"/>
    <cellStyle name="Euro 39 3 2 3 2" xfId="13871" xr:uid="{C329EACF-7D1B-4C77-A9D1-07DFCCC3D04A}"/>
    <cellStyle name="Euro 39 3 3" xfId="2759" xr:uid="{57D9087A-1D30-48FD-BB65-8C09DFD442E5}"/>
    <cellStyle name="Euro 39 3 3 2" xfId="9049" xr:uid="{0D1C1060-828E-46B7-90E9-63DE42E03249}"/>
    <cellStyle name="Euro 39 3 4" xfId="2760" xr:uid="{995C539C-7F7D-47D8-90DA-226CB2422EF3}"/>
    <cellStyle name="Euro 39 3 4 2" xfId="13659" xr:uid="{3FD5A229-8D3E-4AE2-9952-540A6F3BF617}"/>
    <cellStyle name="Euro 39 3 5" xfId="11508" xr:uid="{72257588-B14E-42E1-80D3-78E89C85F1DD}"/>
    <cellStyle name="Euro 39 4" xfId="1420" xr:uid="{00000000-0005-0000-0000-00005C010000}"/>
    <cellStyle name="Euro 39 4 2" xfId="1421" xr:uid="{00000000-0005-0000-0000-00005D010000}"/>
    <cellStyle name="Euro 39 4 2 2" xfId="9050" xr:uid="{076DB321-3C5C-46C1-A267-A3705E5747BA}"/>
    <cellStyle name="Euro 39 4 2 3" xfId="17776" xr:uid="{DF995862-856A-420C-A7E3-58AD9A4B91BB}"/>
    <cellStyle name="Euro 39 4 2 4" xfId="17440" xr:uid="{AED7C4A5-78BF-4D5A-8B81-445E16715E43}"/>
    <cellStyle name="Euro 39 4 3" xfId="9051" xr:uid="{18874FE5-49B0-458C-BD0B-70B22359E0E6}"/>
    <cellStyle name="Euro 39 5" xfId="1422" xr:uid="{00000000-0005-0000-0000-00005E010000}"/>
    <cellStyle name="Euro 39 6" xfId="2761" xr:uid="{96BEC250-9C31-4C49-857B-968E840864E9}"/>
    <cellStyle name="Euro 39 6 2" xfId="9634" xr:uid="{E13404EB-CDCD-481C-8777-FB337AE207A9}"/>
    <cellStyle name="Euro 4" xfId="187" xr:uid="{00000000-0005-0000-0000-00005F010000}"/>
    <cellStyle name="Euro 4 2" xfId="188" xr:uid="{00000000-0005-0000-0000-000060010000}"/>
    <cellStyle name="Euro 4 2 2" xfId="2762" xr:uid="{A3482B85-0F02-43C0-A434-FE690A8CD09F}"/>
    <cellStyle name="Euro 4 2 2 2" xfId="13410" xr:uid="{0B5F4722-C432-42F4-9757-1D17942E02B7}"/>
    <cellStyle name="Euro 4 2 3" xfId="13090" xr:uid="{EDC1562F-945B-41D5-9D0D-43E3A82FA0BB}"/>
    <cellStyle name="Euro 4 3" xfId="189" xr:uid="{00000000-0005-0000-0000-000061010000}"/>
    <cellStyle name="Euro 4 3 2" xfId="190" xr:uid="{00000000-0005-0000-0000-000062010000}"/>
    <cellStyle name="Euro 4 3 2 2" xfId="1423" xr:uid="{00000000-0005-0000-0000-000063010000}"/>
    <cellStyle name="Euro 4 3 2 3" xfId="7752" xr:uid="{51B914DC-028F-450E-B73C-B19AA0DEC3CE}"/>
    <cellStyle name="Euro 4 3 2 3 2" xfId="13872" xr:uid="{5FC3FA2B-ED37-42A9-8203-DDD3BD6AB7D0}"/>
    <cellStyle name="Euro 4 3 3" xfId="2763" xr:uid="{3BD4257B-C9E3-4A88-8108-0DE78A87560E}"/>
    <cellStyle name="Euro 4 3 3 2" xfId="9052" xr:uid="{35C40E93-1041-4559-875F-E888713A9EDB}"/>
    <cellStyle name="Euro 4 3 4" xfId="2764" xr:uid="{BC93E2D0-9AAF-4A54-B97B-B1809099C469}"/>
    <cellStyle name="Euro 4 3 4 2" xfId="13660" xr:uid="{0632A5D6-3983-4F17-9B49-168980D4B0EA}"/>
    <cellStyle name="Euro 4 3 5" xfId="11538" xr:uid="{4618DAB9-B9C6-4784-934F-2FE18B04E245}"/>
    <cellStyle name="Euro 4 4" xfId="1424" xr:uid="{00000000-0005-0000-0000-000064010000}"/>
    <cellStyle name="Euro 4 4 2" xfId="1425" xr:uid="{00000000-0005-0000-0000-000065010000}"/>
    <cellStyle name="Euro 4 4 2 2" xfId="9053" xr:uid="{07AA1854-AC11-4B17-B185-9836CB05574F}"/>
    <cellStyle name="Euro 4 4 2 3" xfId="17777" xr:uid="{E2A8FCC6-66FA-4A85-B047-B13EFE9D07F3}"/>
    <cellStyle name="Euro 4 4 2 4" xfId="17439" xr:uid="{38B27B04-CC98-4E67-8F8E-81E2E05DA591}"/>
    <cellStyle name="Euro 4 4 3" xfId="9054" xr:uid="{1A494FF2-78DD-4894-BAFD-D4B34FEF7DCD}"/>
    <cellStyle name="Euro 4 5" xfId="1426" xr:uid="{00000000-0005-0000-0000-000066010000}"/>
    <cellStyle name="Euro 4 6" xfId="2765" xr:uid="{D2B3C8F7-E7A5-4ECF-9F74-C564C6A51716}"/>
    <cellStyle name="Euro 4 6 2" xfId="9635" xr:uid="{367612B7-B5A3-48F0-9FB1-650E6A194FEC}"/>
    <cellStyle name="Euro 40" xfId="191" xr:uid="{00000000-0005-0000-0000-000067010000}"/>
    <cellStyle name="Euro 40 2" xfId="192" xr:uid="{00000000-0005-0000-0000-000068010000}"/>
    <cellStyle name="Euro 40 2 2" xfId="2766" xr:uid="{DC3492BA-6EA2-49E6-BB10-CD9BA4593D3D}"/>
    <cellStyle name="Euro 40 2 2 2" xfId="13411" xr:uid="{09972E95-F5FA-4B54-A9C1-4B52B69C6E07}"/>
    <cellStyle name="Euro 40 2 3" xfId="13091" xr:uid="{0905A938-A187-46F7-AB9E-02DFED935AB8}"/>
    <cellStyle name="Euro 40 3" xfId="193" xr:uid="{00000000-0005-0000-0000-000069010000}"/>
    <cellStyle name="Euro 40 3 2" xfId="194" xr:uid="{00000000-0005-0000-0000-00006A010000}"/>
    <cellStyle name="Euro 40 3 2 2" xfId="1427" xr:uid="{00000000-0005-0000-0000-00006B010000}"/>
    <cellStyle name="Euro 40 3 2 3" xfId="7753" xr:uid="{598CAC36-86AE-4256-B415-3756119C8D07}"/>
    <cellStyle name="Euro 40 3 2 3 2" xfId="13873" xr:uid="{19BEE157-EDF6-4584-A6D6-3CD0AA6CC8DB}"/>
    <cellStyle name="Euro 40 3 3" xfId="2767" xr:uid="{9B3908D0-8E9D-46FD-A78C-5FDC3ADDB1FC}"/>
    <cellStyle name="Euro 40 3 3 2" xfId="9055" xr:uid="{C03A9D0D-C666-421F-BE9C-D92029017FD9}"/>
    <cellStyle name="Euro 40 3 4" xfId="2768" xr:uid="{CBCBC6FA-B88E-4D61-8CC7-15CCA14E5581}"/>
    <cellStyle name="Euro 40 3 4 2" xfId="13661" xr:uid="{36E998B9-1796-4D90-931D-F088606EBCAE}"/>
    <cellStyle name="Euro 40 3 5" xfId="11539" xr:uid="{3AC50155-A6FC-498C-B310-A64FCB90E484}"/>
    <cellStyle name="Euro 40 4" xfId="1428" xr:uid="{00000000-0005-0000-0000-00006C010000}"/>
    <cellStyle name="Euro 40 4 2" xfId="1429" xr:uid="{00000000-0005-0000-0000-00006D010000}"/>
    <cellStyle name="Euro 40 4 2 2" xfId="9056" xr:uid="{8BDDC46E-6D5D-419F-A55A-088BAB92F15D}"/>
    <cellStyle name="Euro 40 4 2 3" xfId="17778" xr:uid="{734D3CA1-7F14-47CE-AE92-7B94D3896404}"/>
    <cellStyle name="Euro 40 4 2 4" xfId="17438" xr:uid="{57C1DD9C-C2E7-4603-9BED-6FED29BE5860}"/>
    <cellStyle name="Euro 40 4 3" xfId="9057" xr:uid="{68030D1C-B706-49F6-847D-81D8CF5443A7}"/>
    <cellStyle name="Euro 40 5" xfId="1430" xr:uid="{00000000-0005-0000-0000-00006E010000}"/>
    <cellStyle name="Euro 40 6" xfId="2769" xr:uid="{96EF9291-FF9D-4E63-B4DB-CE7995090597}"/>
    <cellStyle name="Euro 40 6 2" xfId="9636" xr:uid="{07F33BE3-A840-4ECD-A352-50EE64581E65}"/>
    <cellStyle name="Euro 41" xfId="195" xr:uid="{00000000-0005-0000-0000-00006F010000}"/>
    <cellStyle name="Euro 41 2" xfId="196" xr:uid="{00000000-0005-0000-0000-000070010000}"/>
    <cellStyle name="Euro 41 2 2" xfId="2770" xr:uid="{C97650D4-752D-4E55-956E-7B208AF13EE7}"/>
    <cellStyle name="Euro 41 2 2 2" xfId="13412" xr:uid="{02F097E9-A955-4BB3-8882-11ECADF86874}"/>
    <cellStyle name="Euro 41 2 3" xfId="13092" xr:uid="{BCBAF8C7-3367-4C0F-8F87-2C9AC34024FE}"/>
    <cellStyle name="Euro 41 3" xfId="197" xr:uid="{00000000-0005-0000-0000-000071010000}"/>
    <cellStyle name="Euro 41 3 2" xfId="198" xr:uid="{00000000-0005-0000-0000-000072010000}"/>
    <cellStyle name="Euro 41 3 2 2" xfId="1431" xr:uid="{00000000-0005-0000-0000-000073010000}"/>
    <cellStyle name="Euro 41 3 2 3" xfId="7754" xr:uid="{47AA4BA4-8ED9-4D42-B185-D5156A4D072F}"/>
    <cellStyle name="Euro 41 3 2 3 2" xfId="13874" xr:uid="{0AEF13C9-A5B2-4E91-835E-A8B0FD1BA8C3}"/>
    <cellStyle name="Euro 41 3 3" xfId="2771" xr:uid="{2557ADB5-E29D-4646-89FB-BD4C6110D934}"/>
    <cellStyle name="Euro 41 3 3 2" xfId="9058" xr:uid="{76991EB2-DCF2-485B-983B-ED3533FB1E21}"/>
    <cellStyle name="Euro 41 3 4" xfId="2772" xr:uid="{B1404088-A954-4710-A7AA-96266A2639BD}"/>
    <cellStyle name="Euro 41 3 4 2" xfId="13662" xr:uid="{32DFD588-A475-4682-B5AD-7AE8DA9030B8}"/>
    <cellStyle name="Euro 41 3 5" xfId="12275" xr:uid="{DB80E547-FE94-4AC5-B658-D8E03E0D3CEF}"/>
    <cellStyle name="Euro 41 4" xfId="1432" xr:uid="{00000000-0005-0000-0000-000074010000}"/>
    <cellStyle name="Euro 41 4 2" xfId="1433" xr:uid="{00000000-0005-0000-0000-000075010000}"/>
    <cellStyle name="Euro 41 4 2 2" xfId="9059" xr:uid="{3BD39EE9-5CB8-4A27-9A3A-87E177C6CE90}"/>
    <cellStyle name="Euro 41 4 2 3" xfId="17779" xr:uid="{3E025108-D25B-4C93-9A57-9E9F54A740CF}"/>
    <cellStyle name="Euro 41 4 2 4" xfId="17437" xr:uid="{3EEB89BE-0151-4FD3-ACA8-D972364A5EEF}"/>
    <cellStyle name="Euro 41 4 3" xfId="9060" xr:uid="{50D63496-F61F-4EBE-AA7C-DE9D9C7919BC}"/>
    <cellStyle name="Euro 41 5" xfId="1434" xr:uid="{00000000-0005-0000-0000-000076010000}"/>
    <cellStyle name="Euro 41 6" xfId="2773" xr:uid="{5E1BB319-D45F-4C84-AC87-6E351EF4F86F}"/>
    <cellStyle name="Euro 41 6 2" xfId="9637" xr:uid="{7E9CC084-27EB-46D5-A19E-63A063FFE85B}"/>
    <cellStyle name="Euro 42" xfId="199" xr:uid="{00000000-0005-0000-0000-000077010000}"/>
    <cellStyle name="Euro 42 2" xfId="200" xr:uid="{00000000-0005-0000-0000-000078010000}"/>
    <cellStyle name="Euro 42 2 2" xfId="2774" xr:uid="{D32EC4B1-0FF1-4A30-8429-17524946B732}"/>
    <cellStyle name="Euro 42 2 2 2" xfId="13413" xr:uid="{20FC44AF-C3FB-441C-A52F-FBB1F0BA4DA9}"/>
    <cellStyle name="Euro 42 2 3" xfId="13093" xr:uid="{A53262C1-00FE-4032-B04B-94AF1FAFA311}"/>
    <cellStyle name="Euro 42 3" xfId="201" xr:uid="{00000000-0005-0000-0000-000079010000}"/>
    <cellStyle name="Euro 42 3 2" xfId="202" xr:uid="{00000000-0005-0000-0000-00007A010000}"/>
    <cellStyle name="Euro 42 3 2 2" xfId="1435" xr:uid="{00000000-0005-0000-0000-00007B010000}"/>
    <cellStyle name="Euro 42 3 2 3" xfId="7755" xr:uid="{371F0057-61D2-4A6B-8FB3-7AADE82E9119}"/>
    <cellStyle name="Euro 42 3 2 3 2" xfId="13875" xr:uid="{947525FC-5BA4-40ED-A681-AC660B8C5B0C}"/>
    <cellStyle name="Euro 42 3 3" xfId="2775" xr:uid="{F012731B-4967-46AB-A7F7-2B4726A8670B}"/>
    <cellStyle name="Euro 42 3 3 2" xfId="9061" xr:uid="{FFBC5C3B-894D-4229-809D-7BDBFA0E446F}"/>
    <cellStyle name="Euro 42 3 4" xfId="2776" xr:uid="{4F3FE6A1-3053-4916-9913-33CD7EAD6365}"/>
    <cellStyle name="Euro 42 3 4 2" xfId="13663" xr:uid="{F806B68B-4A2C-43B7-8DBA-B5C7B1C824B1}"/>
    <cellStyle name="Euro 42 3 5" xfId="12237" xr:uid="{688D92A6-8B58-4825-A962-A9C163621D29}"/>
    <cellStyle name="Euro 42 4" xfId="1436" xr:uid="{00000000-0005-0000-0000-00007C010000}"/>
    <cellStyle name="Euro 42 4 2" xfId="1437" xr:uid="{00000000-0005-0000-0000-00007D010000}"/>
    <cellStyle name="Euro 42 4 2 2" xfId="9062" xr:uid="{C3C869CF-518B-457F-9A2A-D7A664FD99C0}"/>
    <cellStyle name="Euro 42 4 2 3" xfId="17780" xr:uid="{03EA794D-31C7-470B-BFB0-0D0C9F507C73}"/>
    <cellStyle name="Euro 42 4 2 4" xfId="17436" xr:uid="{7C9615EA-7E88-4170-8803-3302BF1E8BC6}"/>
    <cellStyle name="Euro 42 4 3" xfId="9063" xr:uid="{1699FBAC-ABA0-4E6A-953B-0100C4387555}"/>
    <cellStyle name="Euro 42 5" xfId="1438" xr:uid="{00000000-0005-0000-0000-00007E010000}"/>
    <cellStyle name="Euro 42 6" xfId="2777" xr:uid="{7EB66470-5D1D-41E2-A21C-074E1D426E16}"/>
    <cellStyle name="Euro 42 6 2" xfId="9638" xr:uid="{C15BBDD7-3619-4B91-8C4A-7251FD2C69A0}"/>
    <cellStyle name="Euro 43" xfId="203" xr:uid="{00000000-0005-0000-0000-00007F010000}"/>
    <cellStyle name="Euro 43 2" xfId="204" xr:uid="{00000000-0005-0000-0000-000080010000}"/>
    <cellStyle name="Euro 43 2 2" xfId="2778" xr:uid="{2CEE256B-2478-4FA5-904B-F9EC08CE3B55}"/>
    <cellStyle name="Euro 43 2 2 2" xfId="13414" xr:uid="{4A5BCAA1-03FB-4F1A-A7E0-8A005E6624BB}"/>
    <cellStyle name="Euro 43 2 3" xfId="13094" xr:uid="{F5B30EF4-9A5A-4FB0-B71E-6AAE4E4E8BF7}"/>
    <cellStyle name="Euro 43 3" xfId="205" xr:uid="{00000000-0005-0000-0000-000081010000}"/>
    <cellStyle name="Euro 43 3 2" xfId="206" xr:uid="{00000000-0005-0000-0000-000082010000}"/>
    <cellStyle name="Euro 43 3 2 2" xfId="1439" xr:uid="{00000000-0005-0000-0000-000083010000}"/>
    <cellStyle name="Euro 43 3 2 3" xfId="7756" xr:uid="{E179D5C3-741A-439C-9B5C-C8456DD80B36}"/>
    <cellStyle name="Euro 43 3 2 3 2" xfId="13876" xr:uid="{58726FF5-5AD8-45C1-992D-0A3DA61179B4}"/>
    <cellStyle name="Euro 43 3 3" xfId="2779" xr:uid="{FF869E05-9B77-441F-979C-BDFCF7BDDF11}"/>
    <cellStyle name="Euro 43 3 3 2" xfId="9064" xr:uid="{C382DC5E-0955-42F4-A8CF-8E2B07AAF1C1}"/>
    <cellStyle name="Euro 43 3 4" xfId="2780" xr:uid="{C925B9E8-48C2-428A-BFCF-5E2D71A7516B}"/>
    <cellStyle name="Euro 43 3 4 2" xfId="13664" xr:uid="{036767EB-443D-4436-B44A-F24763C1920E}"/>
    <cellStyle name="Euro 43 3 5" xfId="11225" xr:uid="{D874F628-6066-438A-9A10-DC8BC7698A4B}"/>
    <cellStyle name="Euro 43 4" xfId="1440" xr:uid="{00000000-0005-0000-0000-000084010000}"/>
    <cellStyle name="Euro 43 4 2" xfId="1441" xr:uid="{00000000-0005-0000-0000-000085010000}"/>
    <cellStyle name="Euro 43 4 2 2" xfId="9065" xr:uid="{5CABC535-01CF-4347-BF01-E12BF479E10C}"/>
    <cellStyle name="Euro 43 4 2 3" xfId="17781" xr:uid="{6BED0B78-4BD0-4750-96B1-48EE6E83E131}"/>
    <cellStyle name="Euro 43 4 2 4" xfId="17435" xr:uid="{911CF1AE-63B3-47EF-A729-8BC0DE36FAC6}"/>
    <cellStyle name="Euro 43 4 3" xfId="9066" xr:uid="{53E12142-B043-41BD-B0DB-7734D3B4422A}"/>
    <cellStyle name="Euro 43 5" xfId="1442" xr:uid="{00000000-0005-0000-0000-000086010000}"/>
    <cellStyle name="Euro 43 6" xfId="2781" xr:uid="{6A7A5863-F133-4EEF-8E2E-E7D986BF8635}"/>
    <cellStyle name="Euro 43 6 2" xfId="9639" xr:uid="{2BECFEA7-23AB-4B79-8E74-A5A2DF3417EC}"/>
    <cellStyle name="Euro 44" xfId="207" xr:uid="{00000000-0005-0000-0000-000087010000}"/>
    <cellStyle name="Euro 44 2" xfId="208" xr:uid="{00000000-0005-0000-0000-000088010000}"/>
    <cellStyle name="Euro 44 2 2" xfId="2782" xr:uid="{EB62E236-BAB2-417E-933D-71DC3CBC12B0}"/>
    <cellStyle name="Euro 44 2 2 2" xfId="13415" xr:uid="{CD596E45-C8D6-4C0A-9F76-831C1D4DC85E}"/>
    <cellStyle name="Euro 44 2 3" xfId="13095" xr:uid="{8F8E5E43-3433-4F22-9135-13D0B64424A0}"/>
    <cellStyle name="Euro 44 3" xfId="209" xr:uid="{00000000-0005-0000-0000-000089010000}"/>
    <cellStyle name="Euro 44 3 2" xfId="210" xr:uid="{00000000-0005-0000-0000-00008A010000}"/>
    <cellStyle name="Euro 44 3 2 2" xfId="1443" xr:uid="{00000000-0005-0000-0000-00008B010000}"/>
    <cellStyle name="Euro 44 3 2 3" xfId="7757" xr:uid="{F681CC20-8948-43C0-9165-B7E51AD9E383}"/>
    <cellStyle name="Euro 44 3 2 3 2" xfId="13877" xr:uid="{4B8923FC-F3AB-4E60-9B25-A55F4E6E638E}"/>
    <cellStyle name="Euro 44 3 3" xfId="2783" xr:uid="{D82C0626-F081-4427-B078-739EEDCEEF35}"/>
    <cellStyle name="Euro 44 3 3 2" xfId="9067" xr:uid="{F081D97A-A4F8-4E62-8158-E3EB0BF8577E}"/>
    <cellStyle name="Euro 44 3 4" xfId="2784" xr:uid="{0AEF48BD-DD17-44C6-BBE6-0F16FDC661BB}"/>
    <cellStyle name="Euro 44 3 4 2" xfId="13665" xr:uid="{FC9F55D8-4B49-4F55-97FC-1E273394E240}"/>
    <cellStyle name="Euro 44 3 5" xfId="11224" xr:uid="{E86D00BD-FB23-47F6-93EF-DAED140D2DA1}"/>
    <cellStyle name="Euro 44 4" xfId="1444" xr:uid="{00000000-0005-0000-0000-00008C010000}"/>
    <cellStyle name="Euro 44 4 2" xfId="1445" xr:uid="{00000000-0005-0000-0000-00008D010000}"/>
    <cellStyle name="Euro 44 4 2 2" xfId="9068" xr:uid="{D9889E26-3DC4-4056-9F55-1156AD7B1445}"/>
    <cellStyle name="Euro 44 4 2 3" xfId="17782" xr:uid="{CE4AF6B2-9532-4A7B-9ACB-B9CA55E1B4A5}"/>
    <cellStyle name="Euro 44 4 2 4" xfId="17434" xr:uid="{0BAE2BAA-CF70-466F-A95F-98D37F03E489}"/>
    <cellStyle name="Euro 44 4 3" xfId="9069" xr:uid="{74839028-77C0-4890-9DA6-02059526F61A}"/>
    <cellStyle name="Euro 44 5" xfId="1446" xr:uid="{00000000-0005-0000-0000-00008E010000}"/>
    <cellStyle name="Euro 44 6" xfId="2785" xr:uid="{BDF4F773-6D67-438F-84CA-F2916CB7326D}"/>
    <cellStyle name="Euro 44 6 2" xfId="9640" xr:uid="{8C8F27DF-F330-4BCF-89DD-18B042F10FB3}"/>
    <cellStyle name="Euro 45" xfId="211" xr:uid="{00000000-0005-0000-0000-00008F010000}"/>
    <cellStyle name="Euro 45 2" xfId="212" xr:uid="{00000000-0005-0000-0000-000090010000}"/>
    <cellStyle name="Euro 45 2 2" xfId="9070" xr:uid="{C7FB60F1-629E-4025-80F8-83B5E4DCCE6A}"/>
    <cellStyle name="Euro 45 2 2 2" xfId="13416" xr:uid="{FED80493-14A5-48E8-BD4D-E61E5FF182F5}"/>
    <cellStyle name="Euro 45 2 3" xfId="11708" xr:uid="{49F16A09-4BF6-400F-B5F6-92D402E9840D}"/>
    <cellStyle name="Euro 45 2 4" xfId="11229" xr:uid="{D42B178B-EF4A-4F8E-AA6D-6A73787CC04D}"/>
    <cellStyle name="Euro 45 3" xfId="2787" xr:uid="{1C29E9DF-CB16-4C99-907F-3A203DA31AA9}"/>
    <cellStyle name="Euro 45 4" xfId="2786" xr:uid="{3B7C3440-34CB-42FB-A379-1FA90B9C90BC}"/>
    <cellStyle name="Euro 45 4 2" xfId="18054" xr:uid="{1A339584-B6F1-4AAD-8EB3-8AEE7058727E}"/>
    <cellStyle name="Euro 45 4 3" xfId="17564" xr:uid="{A92C5ABD-4975-4D0E-BFB5-6FFB5DF0B6D0}"/>
    <cellStyle name="Euro 45 4 4" xfId="11228" xr:uid="{44D4948E-A97C-4A5A-BB42-751A813EC9ED}"/>
    <cellStyle name="Euro 45 5" xfId="11709" xr:uid="{1FA585E2-0DD2-4496-9BAD-E30DAC526D72}"/>
    <cellStyle name="Euro 45 6" xfId="11147" xr:uid="{6F20C8F8-6012-4415-B593-8DD3EEB92EB7}"/>
    <cellStyle name="Euro 45 7" xfId="23824" xr:uid="{7B31380D-D870-4975-AF13-C6BCA8A65B92}"/>
    <cellStyle name="Euro 46" xfId="213" xr:uid="{00000000-0005-0000-0000-000091010000}"/>
    <cellStyle name="Euro 46 2" xfId="214" xr:uid="{00000000-0005-0000-0000-000092010000}"/>
    <cellStyle name="Euro 46 2 2" xfId="13417" xr:uid="{85532EFD-9D3A-4D84-837C-FEE16FD728F0}"/>
    <cellStyle name="Euro 46 3" xfId="13096" xr:uid="{03DBB346-0109-44E5-8E24-791ED7A971B5}"/>
    <cellStyle name="Euro 47" xfId="215" xr:uid="{00000000-0005-0000-0000-000093010000}"/>
    <cellStyle name="Euro 47 2" xfId="216" xr:uid="{00000000-0005-0000-0000-000094010000}"/>
    <cellStyle name="Euro 47 2 2" xfId="1447" xr:uid="{00000000-0005-0000-0000-000095010000}"/>
    <cellStyle name="Euro 47 2 3" xfId="7758" xr:uid="{5DF12432-3814-467A-9515-63E706D2461A}"/>
    <cellStyle name="Euro 47 2 3 2" xfId="13878" xr:uid="{50B39EB8-CA15-431D-B8D2-AA6A1DEFBC1D}"/>
    <cellStyle name="Euro 47 3" xfId="2788" xr:uid="{2D373E04-786B-437F-B74E-9CD65F822A7A}"/>
    <cellStyle name="Euro 47 3 2" xfId="9071" xr:uid="{FA7B224A-B192-4B82-8F2E-86370A4B6151}"/>
    <cellStyle name="Euro 47 4" xfId="2789" xr:uid="{041FD63F-E2F3-43B4-B998-9533EB526FF8}"/>
    <cellStyle name="Euro 47 4 2" xfId="13666" xr:uid="{D33C01EB-2AA9-4FA0-9DD1-F54BADDD193C}"/>
    <cellStyle name="Euro 47 5" xfId="12438" xr:uid="{A3E65754-8BCC-43DB-9324-9999E258ADE5}"/>
    <cellStyle name="Euro 48" xfId="217" xr:uid="{00000000-0005-0000-0000-000096010000}"/>
    <cellStyle name="Euro 48 2" xfId="2790" xr:uid="{3B2C8E0C-850F-4944-87BB-E0864CBE5FCD}"/>
    <cellStyle name="Euro 48 2 2" xfId="13418" xr:uid="{9EDFAD3D-B7F6-40E2-B913-33F9850D257F}"/>
    <cellStyle name="Euro 48 3" xfId="13097" xr:uid="{9AC38BCC-0A92-4C92-9A7C-BB8993726E26}"/>
    <cellStyle name="Euro 49" xfId="1448" xr:uid="{00000000-0005-0000-0000-000097010000}"/>
    <cellStyle name="Euro 49 2" xfId="1449" xr:uid="{00000000-0005-0000-0000-000098010000}"/>
    <cellStyle name="Euro 49 2 2" xfId="9072" xr:uid="{1BD0BFED-A625-455B-919E-A1CC1AA92817}"/>
    <cellStyle name="Euro 49 2 3" xfId="17783" xr:uid="{15C85AD7-056D-483A-8F47-73E5230EC6CC}"/>
    <cellStyle name="Euro 49 2 4" xfId="17433" xr:uid="{05A23142-3A4B-4C1C-90B0-2445DC494AFF}"/>
    <cellStyle name="Euro 49 3" xfId="9073" xr:uid="{DC82413E-1991-4F99-94CF-29DB060E171F}"/>
    <cellStyle name="Euro 5" xfId="218" xr:uid="{00000000-0005-0000-0000-000099010000}"/>
    <cellStyle name="Euro 5 2" xfId="219" xr:uid="{00000000-0005-0000-0000-00009A010000}"/>
    <cellStyle name="Euro 5 2 2" xfId="2791" xr:uid="{9AAED175-3C19-4561-B62E-CA396A36D3DB}"/>
    <cellStyle name="Euro 5 2 2 2" xfId="13419" xr:uid="{7836D486-A69E-435D-9880-739DCA8BF6A4}"/>
    <cellStyle name="Euro 5 2 3" xfId="13098" xr:uid="{8546964F-4D2C-42A1-8211-2CC286ED586F}"/>
    <cellStyle name="Euro 5 3" xfId="220" xr:uid="{00000000-0005-0000-0000-00009B010000}"/>
    <cellStyle name="Euro 5 3 2" xfId="221" xr:uid="{00000000-0005-0000-0000-00009C010000}"/>
    <cellStyle name="Euro 5 3 2 2" xfId="1450" xr:uid="{00000000-0005-0000-0000-00009D010000}"/>
    <cellStyle name="Euro 5 3 2 3" xfId="7759" xr:uid="{4171F243-9E9E-4BD3-AF88-5EBFE4C579DF}"/>
    <cellStyle name="Euro 5 3 2 3 2" xfId="13879" xr:uid="{5B21F382-E803-43ED-930A-3EBB612E8A94}"/>
    <cellStyle name="Euro 5 3 3" xfId="2792" xr:uid="{75DF7CAC-087A-4374-A763-8282155D222A}"/>
    <cellStyle name="Euro 5 3 3 2" xfId="9074" xr:uid="{B0E82183-CF61-4C94-BEE9-129F529D344C}"/>
    <cellStyle name="Euro 5 3 4" xfId="2793" xr:uid="{EC43CB9C-0685-4992-96F3-89230F8CC3FC}"/>
    <cellStyle name="Euro 5 3 4 2" xfId="13667" xr:uid="{6EAA4B76-D3D8-4A72-A185-423696818698}"/>
    <cellStyle name="Euro 5 3 5" xfId="12239" xr:uid="{F464185C-2C85-4B8A-88D7-491828ECE33A}"/>
    <cellStyle name="Euro 5 4" xfId="1451" xr:uid="{00000000-0005-0000-0000-00009E010000}"/>
    <cellStyle name="Euro 5 4 2" xfId="1452" xr:uid="{00000000-0005-0000-0000-00009F010000}"/>
    <cellStyle name="Euro 5 4 2 2" xfId="9075" xr:uid="{4FC5E85C-2E0A-4599-8A88-4ABE09AB9607}"/>
    <cellStyle name="Euro 5 4 2 3" xfId="17784" xr:uid="{D1246FA5-20FD-41CB-8528-D90266574894}"/>
    <cellStyle name="Euro 5 4 2 4" xfId="17432" xr:uid="{83B36503-428D-4F33-81F9-5EDF7E3B9EA0}"/>
    <cellStyle name="Euro 5 4 3" xfId="9076" xr:uid="{73A9275B-6F65-40F4-A760-F251BF5AA0AA}"/>
    <cellStyle name="Euro 5 5" xfId="1453" xr:uid="{00000000-0005-0000-0000-0000A0010000}"/>
    <cellStyle name="Euro 5 6" xfId="2794" xr:uid="{C3883014-11A2-4879-947D-D664061B6402}"/>
    <cellStyle name="Euro 5 6 2" xfId="9641" xr:uid="{4B6CEFF0-8362-4A05-A6C1-5321FB7D1861}"/>
    <cellStyle name="Euro 50" xfId="1454" xr:uid="{00000000-0005-0000-0000-0000A1010000}"/>
    <cellStyle name="Euro 51" xfId="2795" xr:uid="{5CD19968-DF78-42F1-B008-0E0FD898890A}"/>
    <cellStyle name="Euro 51 2" xfId="9077" xr:uid="{C81C8E6E-89D5-4640-844C-0F90AE824461}"/>
    <cellStyle name="Euro 51 2 2" xfId="13377" xr:uid="{F637DB30-7134-4B10-9FE2-8278561F106D}"/>
    <cellStyle name="Euro 51 2 3" xfId="18162" xr:uid="{1DBD5060-9857-4A6B-ACB5-8FC5E309184F}"/>
    <cellStyle name="Euro 51 3" xfId="9602" xr:uid="{48783788-82ED-4F2D-B18F-03BD8F17DB7F}"/>
    <cellStyle name="Euro 51 4" xfId="11232" xr:uid="{5D8E77C8-1CF2-4D5D-93A4-CD2C9D53FA66}"/>
    <cellStyle name="Euro 51 5" xfId="18055" xr:uid="{EE22C441-5DA7-4795-AAD3-4B7DA930D43C}"/>
    <cellStyle name="Euro 6" xfId="222" xr:uid="{00000000-0005-0000-0000-0000A2010000}"/>
    <cellStyle name="Euro 6 2" xfId="223" xr:uid="{00000000-0005-0000-0000-0000A3010000}"/>
    <cellStyle name="Euro 6 2 2" xfId="2796" xr:uid="{EAA83E63-2EC4-431E-A3E3-FD65E9AE501F}"/>
    <cellStyle name="Euro 6 2 2 2" xfId="13420" xr:uid="{841B1187-3203-4BEE-BDA7-970ECE9633A2}"/>
    <cellStyle name="Euro 6 2 3" xfId="13099" xr:uid="{D8E4F83C-883C-4EF5-9C66-718BCF7900B4}"/>
    <cellStyle name="Euro 6 3" xfId="224" xr:uid="{00000000-0005-0000-0000-0000A4010000}"/>
    <cellStyle name="Euro 6 3 2" xfId="225" xr:uid="{00000000-0005-0000-0000-0000A5010000}"/>
    <cellStyle name="Euro 6 3 2 2" xfId="1455" xr:uid="{00000000-0005-0000-0000-0000A6010000}"/>
    <cellStyle name="Euro 6 3 2 3" xfId="7760" xr:uid="{C6BE2BBF-C0B0-4D94-A74A-0B06508EA967}"/>
    <cellStyle name="Euro 6 3 2 3 2" xfId="13880" xr:uid="{FF822028-6507-474B-8519-FECC04C13091}"/>
    <cellStyle name="Euro 6 3 3" xfId="2797" xr:uid="{E0B013FC-7BBE-42DE-BC33-7AF187AE6ED3}"/>
    <cellStyle name="Euro 6 3 3 2" xfId="9078" xr:uid="{11252954-28DA-4CCA-AE3D-0516BEDA5810}"/>
    <cellStyle name="Euro 6 3 4" xfId="2798" xr:uid="{C998797A-1F5B-4715-B4C0-1BA4CC778D4A}"/>
    <cellStyle name="Euro 6 3 4 2" xfId="13668" xr:uid="{CE31641C-32C9-448F-BA76-80FA2CB615EA}"/>
    <cellStyle name="Euro 6 3 5" xfId="12238" xr:uid="{6A65ECB3-6159-4920-BB12-2DA3423D923E}"/>
    <cellStyle name="Euro 6 4" xfId="1456" xr:uid="{00000000-0005-0000-0000-0000A7010000}"/>
    <cellStyle name="Euro 6 4 2" xfId="1457" xr:uid="{00000000-0005-0000-0000-0000A8010000}"/>
    <cellStyle name="Euro 6 4 2 2" xfId="9079" xr:uid="{63B52224-52EE-48F8-A059-912567C49646}"/>
    <cellStyle name="Euro 6 4 2 3" xfId="17785" xr:uid="{EDBD69A2-878A-4E0A-9DF1-F7FE5E18735A}"/>
    <cellStyle name="Euro 6 4 2 4" xfId="17431" xr:uid="{1C2CE145-E0CE-4041-A46B-122B393CCB47}"/>
    <cellStyle name="Euro 6 4 3" xfId="9080" xr:uid="{B32FB0B5-6562-46EB-9689-98F3795C04F9}"/>
    <cellStyle name="Euro 6 5" xfId="1458" xr:uid="{00000000-0005-0000-0000-0000A9010000}"/>
    <cellStyle name="Euro 6 6" xfId="2799" xr:uid="{DDC6D7BB-7C13-44AE-80B9-4209F77B16F4}"/>
    <cellStyle name="Euro 6 6 2" xfId="9642" xr:uid="{E9AEE392-452D-4D21-98AE-7AE8D824F21A}"/>
    <cellStyle name="Euro 7" xfId="226" xr:uid="{00000000-0005-0000-0000-0000AA010000}"/>
    <cellStyle name="Euro 7 2" xfId="227" xr:uid="{00000000-0005-0000-0000-0000AB010000}"/>
    <cellStyle name="Euro 7 2 2" xfId="2800" xr:uid="{CC454D83-CD78-4CAD-B372-0706F963DFFA}"/>
    <cellStyle name="Euro 7 2 2 2" xfId="13421" xr:uid="{5EA578F7-F6E9-4620-8EAC-E118586C8A20}"/>
    <cellStyle name="Euro 7 2 3" xfId="13100" xr:uid="{C313982F-DE11-4692-BE89-01D1AA37E103}"/>
    <cellStyle name="Euro 7 3" xfId="228" xr:uid="{00000000-0005-0000-0000-0000AC010000}"/>
    <cellStyle name="Euro 7 3 2" xfId="229" xr:uid="{00000000-0005-0000-0000-0000AD010000}"/>
    <cellStyle name="Euro 7 3 2 2" xfId="1459" xr:uid="{00000000-0005-0000-0000-0000AE010000}"/>
    <cellStyle name="Euro 7 3 2 3" xfId="7761" xr:uid="{C36354D4-0429-4799-A155-2516B6F38BA0}"/>
    <cellStyle name="Euro 7 3 2 3 2" xfId="13881" xr:uid="{8173A1F5-93F7-47D2-9F98-D14799A20D58}"/>
    <cellStyle name="Euro 7 3 3" xfId="2801" xr:uid="{BF10C45E-0E6B-4DBC-A46D-699F2601D1C8}"/>
    <cellStyle name="Euro 7 3 3 2" xfId="9081" xr:uid="{70A9E195-9259-4A5F-9ED0-1E9C474FE85F}"/>
    <cellStyle name="Euro 7 3 4" xfId="2802" xr:uid="{584E6976-125C-48CD-AAFE-FBE4CAE3C356}"/>
    <cellStyle name="Euro 7 3 4 2" xfId="13669" xr:uid="{6F005D91-267F-4927-B077-86407CFDF430}"/>
    <cellStyle name="Euro 7 3 5" xfId="11707" xr:uid="{61D31B28-5287-4250-996C-CC17E9DE366E}"/>
    <cellStyle name="Euro 7 4" xfId="1460" xr:uid="{00000000-0005-0000-0000-0000AF010000}"/>
    <cellStyle name="Euro 7 4 2" xfId="1461" xr:uid="{00000000-0005-0000-0000-0000B0010000}"/>
    <cellStyle name="Euro 7 4 2 2" xfId="9082" xr:uid="{E65AB352-DC2E-4646-9E33-61753AD1268A}"/>
    <cellStyle name="Euro 7 4 2 3" xfId="17786" xr:uid="{47C54A38-2368-45E1-90D2-1334E514F2D1}"/>
    <cellStyle name="Euro 7 4 2 4" xfId="17430" xr:uid="{CD0BB12E-5A3D-4D68-8060-CB1EA9F0593E}"/>
    <cellStyle name="Euro 7 4 3" xfId="9083" xr:uid="{DBFEDDD4-E4A4-4B4A-8630-0C6ADF37D62D}"/>
    <cellStyle name="Euro 7 5" xfId="1462" xr:uid="{00000000-0005-0000-0000-0000B1010000}"/>
    <cellStyle name="Euro 7 6" xfId="2803" xr:uid="{A2FDC9C4-D79D-4E8D-A66F-5DD100B06AB1}"/>
    <cellStyle name="Euro 7 6 2" xfId="9643" xr:uid="{02CCC245-BF44-4B66-8DA1-B611D17ACF0C}"/>
    <cellStyle name="Euro 8" xfId="230" xr:uid="{00000000-0005-0000-0000-0000B2010000}"/>
    <cellStyle name="Euro 8 2" xfId="231" xr:uid="{00000000-0005-0000-0000-0000B3010000}"/>
    <cellStyle name="Euro 8 2 2" xfId="2804" xr:uid="{3F3E1FB7-8983-41DB-BCA2-279AE1E5490B}"/>
    <cellStyle name="Euro 8 2 2 2" xfId="13422" xr:uid="{2B2DC066-F8EA-46F5-9457-C6C40FD9A2D7}"/>
    <cellStyle name="Euro 8 2 3" xfId="13101" xr:uid="{1DA852B3-05A5-4CFF-AB67-1A471D0C0B88}"/>
    <cellStyle name="Euro 8 3" xfId="232" xr:uid="{00000000-0005-0000-0000-0000B4010000}"/>
    <cellStyle name="Euro 8 3 2" xfId="233" xr:uid="{00000000-0005-0000-0000-0000B5010000}"/>
    <cellStyle name="Euro 8 3 2 2" xfId="1463" xr:uid="{00000000-0005-0000-0000-0000B6010000}"/>
    <cellStyle name="Euro 8 3 2 3" xfId="7762" xr:uid="{DED7CF59-91CA-4BA4-A468-F93875C8D5E5}"/>
    <cellStyle name="Euro 8 3 2 3 2" xfId="13882" xr:uid="{D50C9790-2142-4183-A403-4229BE304D1F}"/>
    <cellStyle name="Euro 8 3 3" xfId="2805" xr:uid="{0774113B-D4CD-4E75-A7A6-14263932FD40}"/>
    <cellStyle name="Euro 8 3 3 2" xfId="9084" xr:uid="{10F4C8B1-1B42-49B6-9BFE-B24EF90E9B82}"/>
    <cellStyle name="Euro 8 3 4" xfId="2806" xr:uid="{98042DA7-A808-4894-BD7F-67CE9B680396}"/>
    <cellStyle name="Euro 8 3 4 2" xfId="13670" xr:uid="{6CCF93ED-399B-4224-8C8C-F79F858FCE09}"/>
    <cellStyle name="Euro 8 3 5" xfId="12168" xr:uid="{12203702-E672-4FF9-A2D3-05B1A13B28DE}"/>
    <cellStyle name="Euro 8 4" xfId="1464" xr:uid="{00000000-0005-0000-0000-0000B7010000}"/>
    <cellStyle name="Euro 8 4 2" xfId="1465" xr:uid="{00000000-0005-0000-0000-0000B8010000}"/>
    <cellStyle name="Euro 8 4 2 2" xfId="9085" xr:uid="{63B66D20-A868-48C0-9BCF-6C00C8CB2ADA}"/>
    <cellStyle name="Euro 8 4 2 3" xfId="17787" xr:uid="{BFA1C69D-7ED8-4560-87A5-48CE050854E2}"/>
    <cellStyle name="Euro 8 4 2 4" xfId="17429" xr:uid="{60915237-9F7A-4610-B9C9-EE00581567E9}"/>
    <cellStyle name="Euro 8 4 3" xfId="9086" xr:uid="{3D301C84-19EA-44B4-8FB2-D62FF3BFD916}"/>
    <cellStyle name="Euro 8 5" xfId="1466" xr:uid="{00000000-0005-0000-0000-0000B9010000}"/>
    <cellStyle name="Euro 8 6" xfId="2807" xr:uid="{F0A6F14F-DB48-403B-B5A7-DD529AD7368B}"/>
    <cellStyle name="Euro 8 6 2" xfId="9644" xr:uid="{ED393FA8-9621-4FDD-91CB-454D4F15B5AF}"/>
    <cellStyle name="Euro 9" xfId="234" xr:uid="{00000000-0005-0000-0000-0000BA010000}"/>
    <cellStyle name="Euro 9 2" xfId="235" xr:uid="{00000000-0005-0000-0000-0000BB010000}"/>
    <cellStyle name="Euro 9 2 2" xfId="2808" xr:uid="{883CFC32-AF9F-4156-B184-D2E8CC2A726B}"/>
    <cellStyle name="Euro 9 2 2 2" xfId="13423" xr:uid="{3FCD1F98-8279-42CB-97FF-93D45E4587B1}"/>
    <cellStyle name="Euro 9 2 3" xfId="13102" xr:uid="{9923ED03-DF20-47DC-B700-878BC3188377}"/>
    <cellStyle name="Euro 9 3" xfId="236" xr:uid="{00000000-0005-0000-0000-0000BC010000}"/>
    <cellStyle name="Euro 9 3 2" xfId="237" xr:uid="{00000000-0005-0000-0000-0000BD010000}"/>
    <cellStyle name="Euro 9 3 2 2" xfId="1467" xr:uid="{00000000-0005-0000-0000-0000BE010000}"/>
    <cellStyle name="Euro 9 3 2 3" xfId="7763" xr:uid="{98B68C2D-4CF8-4162-A72C-BE544D66256B}"/>
    <cellStyle name="Euro 9 3 2 3 2" xfId="13883" xr:uid="{C9699F19-D175-4A81-BD69-98BB9B4BE7C8}"/>
    <cellStyle name="Euro 9 3 3" xfId="2809" xr:uid="{8D99E67A-5527-4696-9534-C18DB320C3A5}"/>
    <cellStyle name="Euro 9 3 3 2" xfId="9087" xr:uid="{7C5ECF63-C302-4D78-9610-BEE2567B63DD}"/>
    <cellStyle name="Euro 9 3 4" xfId="2810" xr:uid="{36FFD0E8-7D5E-4D70-8C8B-7DF530B645C2}"/>
    <cellStyle name="Euro 9 3 4 2" xfId="13671" xr:uid="{FA699BC5-D64C-4278-B3D8-155E12518492}"/>
    <cellStyle name="Euro 9 3 5" xfId="12277" xr:uid="{CEE00C91-C7C3-45C2-8EB5-1ED1816F19E2}"/>
    <cellStyle name="Euro 9 4" xfId="1468" xr:uid="{00000000-0005-0000-0000-0000BF010000}"/>
    <cellStyle name="Euro 9 4 2" xfId="1469" xr:uid="{00000000-0005-0000-0000-0000C0010000}"/>
    <cellStyle name="Euro 9 4 2 2" xfId="9088" xr:uid="{6DBB9F09-4075-4273-996A-5BB5AD9A91A4}"/>
    <cellStyle name="Euro 9 4 2 3" xfId="17788" xr:uid="{9274C356-E27E-48F3-92C6-B6F497D86BBA}"/>
    <cellStyle name="Euro 9 4 2 4" xfId="17428" xr:uid="{3022F5E8-44C8-49A2-97C8-43FDEE9D4DC5}"/>
    <cellStyle name="Euro 9 4 3" xfId="9089" xr:uid="{F3B125C2-FCE2-440D-8139-2DEBC7FE70FB}"/>
    <cellStyle name="Euro 9 5" xfId="1470" xr:uid="{00000000-0005-0000-0000-0000C1010000}"/>
    <cellStyle name="Euro 9 6" xfId="2811" xr:uid="{21BC70AD-71F4-4186-AF5E-A6C6D4637D6C}"/>
    <cellStyle name="Euro 9 6 2" xfId="9645" xr:uid="{F7D012B1-2E2C-4486-9689-CEF6A806171C}"/>
    <cellStyle name="Explanatory Text 2" xfId="1253" xr:uid="{00000000-0005-0000-0000-0000C2010000}"/>
    <cellStyle name="Explanatory Text 2 2" xfId="23825" xr:uid="{BFE34264-3946-4BDD-A813-CF18472F6E53}"/>
    <cellStyle name="Fixed" xfId="32273" xr:uid="{39826939-4703-4FD0-A551-840E1E9EEC4E}"/>
    <cellStyle name="Fixed2 - Type2" xfId="238" xr:uid="{00000000-0005-0000-0000-0000C3010000}"/>
    <cellStyle name="Good 2" xfId="1471" xr:uid="{00000000-0005-0000-0000-0000C4010000}"/>
    <cellStyle name="Good 2 2" xfId="23826" xr:uid="{B8E24522-BA63-41D9-B3A2-92CBEB2D6747}"/>
    <cellStyle name="Heading 1 2" xfId="1254" xr:uid="{00000000-0005-0000-0000-0000C5010000}"/>
    <cellStyle name="Heading 1 2 2" xfId="23827" xr:uid="{474ED899-1DA8-4AF7-9DEE-2671709E01E3}"/>
    <cellStyle name="Heading 1 3" xfId="1255" xr:uid="{00000000-0005-0000-0000-0000C6010000}"/>
    <cellStyle name="Heading 2 2" xfId="1256" xr:uid="{00000000-0005-0000-0000-0000C7010000}"/>
    <cellStyle name="Heading 2 2 2" xfId="23828" xr:uid="{ACC1E28D-B92F-4701-B16C-888087F42E99}"/>
    <cellStyle name="Heading 3 2" xfId="23829" xr:uid="{4B4F4F95-358E-4A97-8A18-ED215D9CBF8C}"/>
    <cellStyle name="Heading 4 2" xfId="23830" xr:uid="{2892199B-1DED-4E05-8B5D-C7D5C26A341D}"/>
    <cellStyle name="Headline" xfId="30236" xr:uid="{C9C11F8A-0143-49B0-BE1F-C94A2D40534C}"/>
    <cellStyle name="Hyperlink" xfId="1257" builtinId="8"/>
    <cellStyle name="Hyperlink 2" xfId="1472" xr:uid="{00000000-0005-0000-0000-0000C9010000}"/>
    <cellStyle name="Hyperlink 2 2" xfId="11710" xr:uid="{D870EF83-0527-4625-9F50-DABC2963ECC8}"/>
    <cellStyle name="Hyperlink 2 2 2" xfId="23831" xr:uid="{8F85E33E-3DA4-4BC8-AF7B-8660EDFE2D21}"/>
    <cellStyle name="Hyperlink 2 3" xfId="11233" xr:uid="{06386FD7-70BA-41A2-A891-461D20006B33}"/>
    <cellStyle name="Hyperlink 2 4" xfId="12193" xr:uid="{2042FE49-CA64-4E4D-B7B8-E7E945F76D32}"/>
    <cellStyle name="Hyperlink 2 5" xfId="10616" xr:uid="{39CF92D8-0B57-448B-9409-1BDDABF0035A}"/>
    <cellStyle name="Hyperlink 2 6" xfId="9090" xr:uid="{FFD2F9AB-A4BD-459B-9FE5-F506D9844EFB}"/>
    <cellStyle name="Hyperlink 3" xfId="6978" xr:uid="{6D9180E0-72F8-4B64-9472-57AAB153B8FC}"/>
    <cellStyle name="Hyperlink 3 2" xfId="23832" xr:uid="{E6AE486F-0079-4C85-9BE9-7312FDF02E9F}"/>
    <cellStyle name="Input 2" xfId="239" xr:uid="{00000000-0005-0000-0000-0000CA010000}"/>
    <cellStyle name="Input 2 10" xfId="32708" xr:uid="{7F71A6A0-CFC6-45FD-8E5C-3DEDF33B50B5}"/>
    <cellStyle name="Input 2 2" xfId="240" xr:uid="{00000000-0005-0000-0000-0000CB010000}"/>
    <cellStyle name="Input 2 2 2" xfId="1473" xr:uid="{00000000-0005-0000-0000-0000CC010000}"/>
    <cellStyle name="Input 2 2 2 2" xfId="17789" xr:uid="{A8FFBA0C-5AA8-4AB8-B5E3-9A277F663F1F}"/>
    <cellStyle name="Input 2 2 2 2 2" xfId="35572" xr:uid="{A7E68ADA-FD70-4237-8715-E7E447B8BE54}"/>
    <cellStyle name="Input 2 2 2 3" xfId="32710" xr:uid="{E2D4152E-736F-4DE6-92C4-566BB9200F6F}"/>
    <cellStyle name="Input 2 2 3" xfId="17707" xr:uid="{77C48FEA-D388-41CE-B7FA-FB91F0F99C6C}"/>
    <cellStyle name="Input 2 2 3 2" xfId="35057" xr:uid="{6213A8DF-60FF-4D5F-8D12-AF0F731DF361}"/>
    <cellStyle name="Input 2 2 4" xfId="30244" xr:uid="{B1DA42C3-7A1A-4AFA-B606-77422487F0C0}"/>
    <cellStyle name="Input 2 2 4 2" xfId="35058" xr:uid="{DB79899C-E4B6-4889-A015-F90F59179454}"/>
    <cellStyle name="Input 2 2 5" xfId="30245" xr:uid="{531E4C9D-03CD-4316-AAA0-05E10A10F511}"/>
    <cellStyle name="Input 2 2 5 2" xfId="35059" xr:uid="{B21F105C-1441-4034-882C-764138A66255}"/>
    <cellStyle name="Input 2 2 6" xfId="32709" xr:uid="{EA047669-B027-4EB8-A3B9-56342A6E922E}"/>
    <cellStyle name="Input 2 3" xfId="1474" xr:uid="{00000000-0005-0000-0000-0000CD010000}"/>
    <cellStyle name="Input 2 3 2" xfId="17701" xr:uid="{4668ACC9-5A86-4824-8F2F-6339F04EC724}"/>
    <cellStyle name="Input 2 3 2 2" xfId="35069" xr:uid="{21235F4A-40E2-4D87-8171-A6239F7833EA}"/>
    <cellStyle name="Input 2 3 3" xfId="32711" xr:uid="{C840B38A-B9D2-448C-A274-6B50DFA40076}"/>
    <cellStyle name="Input 2 4" xfId="9091" xr:uid="{E15EE4A9-D3F8-4022-A507-A9B567D75E7F}"/>
    <cellStyle name="Input 2 4 2" xfId="32623" xr:uid="{5744BD8B-A866-48F0-BD30-E37EB9D6F158}"/>
    <cellStyle name="Input 2 4 2 2" xfId="35573" xr:uid="{1A5B1314-6805-4881-AAB1-E26997E095EE}"/>
    <cellStyle name="Input 2 4 3" xfId="32712" xr:uid="{421505B6-3A2E-4342-8C5A-128EF35328DB}"/>
    <cellStyle name="Input 2 5" xfId="9092" xr:uid="{90196352-EE0A-40EC-96F1-BBCFFBAB7FAB}"/>
    <cellStyle name="Input 2 5 2" xfId="32624" xr:uid="{BAF2CD1E-7C3A-42CB-A39B-9284D3DF3AC5}"/>
    <cellStyle name="Input 2 5 2 2" xfId="35574" xr:uid="{1B3E53F9-D770-4741-A883-F6BE28A259BA}"/>
    <cellStyle name="Input 2 5 3" xfId="32713" xr:uid="{429704E0-8749-4E44-9AFC-F77864AD21F1}"/>
    <cellStyle name="Input 2 6" xfId="9093" xr:uid="{7DAE3F3B-AA19-40D7-9AB0-C0014A25585F}"/>
    <cellStyle name="Input 2 6 2" xfId="32625" xr:uid="{00CBA800-1E38-4BCF-84A4-2CE7AE55755D}"/>
    <cellStyle name="Input 2 6 2 2" xfId="35575" xr:uid="{F976C1E6-EA73-4756-8F2F-854A558C16EA}"/>
    <cellStyle name="Input 2 6 3" xfId="32714" xr:uid="{CAF8437F-A8C8-439A-BA47-0D07E4535DB4}"/>
    <cellStyle name="Input 2 7" xfId="9094" xr:uid="{4BEB6259-C0E2-4FFE-A18A-3878D1D02720}"/>
    <cellStyle name="Input 2 7 2" xfId="32626" xr:uid="{B41C46F3-EB9A-4A93-879B-360C42365D93}"/>
    <cellStyle name="Input 2 7 2 2" xfId="35576" xr:uid="{81E5EFE2-B725-4A3C-B40F-F9431302A38A}"/>
    <cellStyle name="Input 2 7 3" xfId="32715" xr:uid="{F210A871-9983-4C08-BC47-2BBDCCA7DC16}"/>
    <cellStyle name="Input 2 8" xfId="23833" xr:uid="{BBFFDD57-7DEC-4B20-9C86-02D6EC60E4E2}"/>
    <cellStyle name="Input 2 8 2" xfId="32627" xr:uid="{AB2FBEF2-077A-4AE2-BAEF-B8D2DB9C13AC}"/>
    <cellStyle name="Input 2 8 2 2" xfId="35577" xr:uid="{DE38578A-EED8-4B75-A87F-A50386CDDC5A}"/>
    <cellStyle name="Input 2 8 3" xfId="32716" xr:uid="{12DD70F5-A928-479F-9480-65CE75BF0BB1}"/>
    <cellStyle name="Input 2 9" xfId="32628" xr:uid="{5FDDAA63-0559-4105-9236-B0CA03D11312}"/>
    <cellStyle name="Input 2 9 2" xfId="35578" xr:uid="{4B0C2EC9-2F87-4F30-A7D2-4D07416AF170}"/>
    <cellStyle name="Input 3" xfId="241" xr:uid="{00000000-0005-0000-0000-0000CE010000}"/>
    <cellStyle name="Input 3 2" xfId="1475" xr:uid="{00000000-0005-0000-0000-0000CF010000}"/>
    <cellStyle name="Input 3 2 2" xfId="2812" xr:uid="{EF4791D3-2837-44D6-9F1E-8B294D314839}"/>
    <cellStyle name="Input 3 2 2 2" xfId="35579" xr:uid="{C4D2D2BF-CD6F-43F8-96A2-D599A4ED2A93}"/>
    <cellStyle name="Input 3 2 2 3" xfId="32629" xr:uid="{D39187F5-6DFB-4926-8EBC-9BF49F2539B0}"/>
    <cellStyle name="Input 3 2 3" xfId="10617" xr:uid="{A23077EF-3BEE-4232-AF33-1A6648AC1356}"/>
    <cellStyle name="Input 3 3" xfId="7764" xr:uid="{F2A59D17-11E4-4075-94F0-6E5F66BC6896}"/>
    <cellStyle name="Input 3 3 2" xfId="12162" xr:uid="{A1194578-315E-4685-9B92-721F3790953B}"/>
    <cellStyle name="Input 3 3 3" xfId="11711" xr:uid="{121742E5-C038-42A5-A5D0-EA5FBEB38F27}"/>
    <cellStyle name="Input 3 4" xfId="9095" xr:uid="{C5F6B28A-5B03-4F9A-B238-DB70EB7C7E14}"/>
    <cellStyle name="Input 3 4 2" xfId="11499" xr:uid="{9FF8AD37-6AC0-49D0-950C-E5219CA68631}"/>
    <cellStyle name="Input 3 4 2 2" xfId="35580" xr:uid="{E80339B2-3C73-4BA6-BB85-213D5D4544A6}"/>
    <cellStyle name="Input 3 4 3" xfId="11234" xr:uid="{507B8995-EF7F-4AFF-8352-E9901E78AE36}"/>
    <cellStyle name="Input 3 4 3 2" xfId="32718" xr:uid="{C41F4BFE-3DB6-474A-878A-D69D8314DF8E}"/>
    <cellStyle name="Input 3 5" xfId="9096" xr:uid="{599FAAD2-D003-458E-A78E-B3C2B7368166}"/>
    <cellStyle name="Input 3 5 2" xfId="32630" xr:uid="{873B1056-FF0F-43D7-B74F-98BC29925DEF}"/>
    <cellStyle name="Input 3 5 2 2" xfId="35581" xr:uid="{2E749988-948C-4564-B2DF-DF91E27DA1A3}"/>
    <cellStyle name="Input 3 5 3" xfId="32719" xr:uid="{B7F72FEE-762D-4C17-9B19-0DA6B28073DC}"/>
    <cellStyle name="Input 3 6" xfId="9097" xr:uid="{ECA7494D-C346-4FF2-BEB7-67BEECD405EE}"/>
    <cellStyle name="Input 3 6 2" xfId="32631" xr:uid="{AF5FF29A-2998-46A5-9A48-3CDC24EDA7F6}"/>
    <cellStyle name="Input 3 6 2 2" xfId="35582" xr:uid="{FC63643E-06EC-4BBE-9FD4-A601A7CFB634}"/>
    <cellStyle name="Input 3 6 3" xfId="32720" xr:uid="{3CFB08FC-5A37-4F55-9766-33759B513E69}"/>
    <cellStyle name="Input 3 7" xfId="23836" xr:uid="{93F7E831-2301-4B90-9085-A4D2CE167662}"/>
    <cellStyle name="Input 3 8" xfId="32632" xr:uid="{FD8E3543-81A5-4D88-9CAD-59F7FE41FECC}"/>
    <cellStyle name="Input 3 8 2" xfId="35583" xr:uid="{71184BEC-FD0C-4BD8-AF3E-D4826CD69E7E}"/>
    <cellStyle name="Input 3 9" xfId="32717" xr:uid="{09F6595D-FB0F-403E-9F39-00524E394964}"/>
    <cellStyle name="Input 4" xfId="9098" xr:uid="{ABD91A54-7A61-46BE-A44E-6ACE74D143F0}"/>
    <cellStyle name="Input 4 2" xfId="18036" xr:uid="{BBDAF0C3-A143-4D9B-92D8-3F6094F79B0A}"/>
    <cellStyle name="Input 4 2 2" xfId="35584" xr:uid="{B6714024-053A-4AC0-A8BC-F947B112C266}"/>
    <cellStyle name="Input 4 3" xfId="32721" xr:uid="{3BC45B3B-4F07-4946-99F7-C0C5448B649A}"/>
    <cellStyle name="InputCells" xfId="242" xr:uid="{00000000-0005-0000-0000-0000D0010000}"/>
    <cellStyle name="InputCells12_BBorder" xfId="30237" xr:uid="{B31086C5-C159-4D21-8A3C-D44DCE9812C4}"/>
    <cellStyle name="Komma 10" xfId="23839" xr:uid="{9EFBF389-645F-495A-A1EF-FF108DA4534B}"/>
    <cellStyle name="Komma 10 2" xfId="23840" xr:uid="{4ADC485A-6071-4A78-BD8E-C8977CAF1F9C}"/>
    <cellStyle name="Komma 10 2 2" xfId="48696" xr:uid="{1CF62CA9-AC7E-41B5-A487-DC84A804C516}"/>
    <cellStyle name="Komma 10 2 3" xfId="49604" xr:uid="{C1FDC9C1-C8A6-44EF-B26A-1870F8864DC3}"/>
    <cellStyle name="Komma 10 3" xfId="48695" xr:uid="{CEFFC0E7-05C2-4AB4-A444-279BE66547F0}"/>
    <cellStyle name="Komma 10 4" xfId="49603" xr:uid="{6AF6965B-7B6D-4587-BB28-7BEF5211C6A4}"/>
    <cellStyle name="Komma 11" xfId="23841" xr:uid="{969D2678-BAA2-4F80-BE4B-3D5D3AE5F07F}"/>
    <cellStyle name="Komma 11 2" xfId="48697" xr:uid="{F0A70F9C-01FE-43DA-AD06-3C42B411A00B}"/>
    <cellStyle name="Komma 11 3" xfId="49605" xr:uid="{21D36CDE-F8B1-4FF3-9519-B4262E7D9A10}"/>
    <cellStyle name="Komma 2" xfId="1476" xr:uid="{00000000-0005-0000-0000-0000D1010000}"/>
    <cellStyle name="Komma 2 10" xfId="14972" xr:uid="{223AF3EC-D5B1-4CED-9D26-08F3EA6ABFB0}"/>
    <cellStyle name="Komma 2 10 2" xfId="22514" xr:uid="{F761B4F7-DCE2-46F9-9C03-6890EEAAACF5}"/>
    <cellStyle name="Komma 2 10 3" xfId="32403" xr:uid="{C74C2BFE-B08C-4883-A6A9-43CE85A286F4}"/>
    <cellStyle name="Komma 2 10 4" xfId="51852" xr:uid="{CB2B434F-BEF8-488C-9964-7BC8C281A355}"/>
    <cellStyle name="Komma 2 10 5" xfId="54868" xr:uid="{5E1AF604-665F-46D6-9E1D-36DE3BF6A2A9}"/>
    <cellStyle name="Komma 2 11" xfId="15459" xr:uid="{343F928E-8D94-4F5C-9077-414B81907A9A}"/>
    <cellStyle name="Komma 2 11 2" xfId="22991" xr:uid="{6DD5BD2D-1770-4CC9-94D6-A2B03DDC3B76}"/>
    <cellStyle name="Komma 2 11 3" xfId="46693" xr:uid="{9D267C0C-3EAB-435C-9E6B-CE185C4ACBA6}"/>
    <cellStyle name="Komma 2 11 4" xfId="52329" xr:uid="{8428FAE6-2E48-4D07-8C83-AED18E314DE8}"/>
    <cellStyle name="Komma 2 11 5" xfId="55345" xr:uid="{61CD7D4C-DAC3-4812-A38C-AFA9B3539CA1}"/>
    <cellStyle name="Komma 2 12" xfId="10618" xr:uid="{3789FCAA-2E2B-4507-B866-B8E081BC0776}"/>
    <cellStyle name="Komma 2 12 2" xfId="21253" xr:uid="{F8AB18BC-B79C-40EC-9E20-D9B0C515DA69}"/>
    <cellStyle name="Komma 2 12 3" xfId="47560" xr:uid="{0CD46DA6-EF3F-484A-9419-F830FB15BDDF}"/>
    <cellStyle name="Komma 2 12 4" xfId="50268" xr:uid="{5F25B996-8558-42FF-ABEB-765CDDD6A99C}"/>
    <cellStyle name="Komma 2 12 5" xfId="53284" xr:uid="{9337ABF7-8DE5-48B0-BD13-8160FCDA7119}"/>
    <cellStyle name="Komma 2 13" xfId="19499" xr:uid="{567797AA-8618-482B-886C-D4601FFDC79A}"/>
    <cellStyle name="Komma 2 14" xfId="23842" xr:uid="{93670982-3F1D-4B68-80E0-D7411E52BEBF}"/>
    <cellStyle name="Komma 2 15" xfId="48698" xr:uid="{C9E66FA2-8CAB-4DBD-9F0F-50DD1C6F768B}"/>
    <cellStyle name="Komma 2 16" xfId="49606" xr:uid="{8431C1E4-5A7F-4EE5-86BE-86CED4D5A828}"/>
    <cellStyle name="Komma 2 17" xfId="49792" xr:uid="{DF7B4766-EDA5-42C3-BC4A-4029ECC45DE1}"/>
    <cellStyle name="Komma 2 18" xfId="52807" xr:uid="{DAD08A32-A16A-43D0-A6CC-6091D5C4D518}"/>
    <cellStyle name="Komma 2 2" xfId="2813" xr:uid="{3B8F8072-1FFC-430B-A0F4-6C721347CCFC}"/>
    <cellStyle name="Komma 2 2 10" xfId="15499" xr:uid="{F52EB95A-D6D1-4577-A45C-A38EF6588B04}"/>
    <cellStyle name="Komma 2 2 10 2" xfId="23029" xr:uid="{AED60F6E-0897-4DE9-8222-5324B5C11C86}"/>
    <cellStyle name="Komma 2 2 10 3" xfId="47347" xr:uid="{1D13422C-A540-4D9E-8C53-A672B727FC04}"/>
    <cellStyle name="Komma 2 2 10 4" xfId="52367" xr:uid="{1123ECA9-EC12-4317-9614-9D5D35C7A273}"/>
    <cellStyle name="Komma 2 2 10 5" xfId="55383" xr:uid="{8B5F09C8-9791-4D0C-812C-E77C7FE8DD77}"/>
    <cellStyle name="Komma 2 2 11" xfId="11236" xr:uid="{08CF095F-8A29-4B09-9A25-9D5139973957}"/>
    <cellStyle name="Komma 2 2 11 2" xfId="46279" xr:uid="{4554A073-F04B-43B0-B653-FCC0BB8ADA89}"/>
    <cellStyle name="Komma 2 2 11 3" xfId="50715" xr:uid="{FBE5DFD4-1A1D-428A-9B9D-C729AD85616A}"/>
    <cellStyle name="Komma 2 2 11 4" xfId="53731" xr:uid="{BF01F49E-9822-492E-8392-568C99E69BE1}"/>
    <cellStyle name="Komma 2 2 12" xfId="23843" xr:uid="{0873259C-D48D-4786-A1C5-004B190AF251}"/>
    <cellStyle name="Komma 2 2 13" xfId="48699" xr:uid="{1FB19D9C-4620-4FD9-9D39-4F2B18E66FBE}"/>
    <cellStyle name="Komma 2 2 14" xfId="49607" xr:uid="{B6D9A2A2-ACA2-40D8-A0DB-33E891B41E60}"/>
    <cellStyle name="Komma 2 2 15" xfId="49830" xr:uid="{BCA4E409-908D-4395-BE63-B754A9EDDB6A}"/>
    <cellStyle name="Komma 2 2 16" xfId="52845" xr:uid="{7552C780-88D5-4572-8680-D6872410E41B}"/>
    <cellStyle name="Komma 2 2 2" xfId="9099" xr:uid="{EE308707-EA12-481B-B003-BE62B3CA39F0}"/>
    <cellStyle name="Komma 2 2 2 10" xfId="12164" xr:uid="{9D312770-AE5C-42E5-AD9D-FF03C9C632AC}"/>
    <cellStyle name="Komma 2 2 2 10 2" xfId="46305" xr:uid="{05FF3C81-8C4D-41FD-B1E9-E556EA65BBDE}"/>
    <cellStyle name="Komma 2 2 2 10 3" xfId="50933" xr:uid="{A63E7EB2-6AA0-4781-9024-15BFFE4C87F6}"/>
    <cellStyle name="Komma 2 2 2 10 4" xfId="53949" xr:uid="{A6B575A2-B669-41A4-B959-9158EA61265C}"/>
    <cellStyle name="Komma 2 2 2 11" xfId="23844" xr:uid="{C25FD3F9-374E-4E11-A560-5024DF7A17C9}"/>
    <cellStyle name="Komma 2 2 2 12" xfId="48700" xr:uid="{A1B34CD7-F8AE-4FC5-B343-1ACFDC8516D7}"/>
    <cellStyle name="Komma 2 2 2 13" xfId="49608" xr:uid="{98F3FFC3-8E0F-4037-9AC9-D15B2F03C300}"/>
    <cellStyle name="Komma 2 2 2 14" xfId="49831" xr:uid="{87B2CA32-8DC6-43FD-8DB4-9CEA39B215D2}"/>
    <cellStyle name="Komma 2 2 2 15" xfId="52846" xr:uid="{73C39D2A-D8D2-4857-85D9-FA85F4AEC2B8}"/>
    <cellStyle name="Komma 2 2 2 2" xfId="10041" xr:uid="{C42621ED-86B9-43D6-AEC8-4E19157CBB86}"/>
    <cellStyle name="Komma 2 2 2 2 2" xfId="10349" xr:uid="{B9298C12-E32B-42A1-BC7F-70588CD382B7}"/>
    <cellStyle name="Komma 2 2 2 2 2 2" xfId="14794" xr:uid="{3C71AD2E-8A44-4C32-B08B-705347F08834}"/>
    <cellStyle name="Komma 2 2 2 2 2 2 2" xfId="22341" xr:uid="{4A5FBD4D-1D30-405A-8186-AE6586D3413F}"/>
    <cellStyle name="Komma 2 2 2 2 2 2 3" xfId="48210" xr:uid="{3C5B128D-5A66-442A-BF4D-36FA896CCE2F}"/>
    <cellStyle name="Komma 2 2 2 2 2 2 4" xfId="51679" xr:uid="{60647824-2B39-44C2-91C2-2BDB333016CC}"/>
    <cellStyle name="Komma 2 2 2 2 2 2 5" xfId="54695" xr:uid="{467BC4BD-2105-4BDE-939A-D2F9BB13CB69}"/>
    <cellStyle name="Komma 2 2 2 2 2 3" xfId="15279" xr:uid="{9C877B93-DD3E-4822-99FB-258FE1BCAF77}"/>
    <cellStyle name="Komma 2 2 2 2 2 3 2" xfId="22818" xr:uid="{522F90A6-1E5B-4D7E-8843-1F7EB21C34B7}"/>
    <cellStyle name="Komma 2 2 2 2 2 3 3" xfId="24659" xr:uid="{09AEA0F5-DDFF-4387-BB83-D72670496713}"/>
    <cellStyle name="Komma 2 2 2 2 2 3 4" xfId="52156" xr:uid="{3650644D-6074-40DC-9C84-5B5AFD9C3973}"/>
    <cellStyle name="Komma 2 2 2 2 2 3 5" xfId="55172" xr:uid="{9FFA5082-B807-4A6F-9DC9-DD956F7A0DF5}"/>
    <cellStyle name="Komma 2 2 2 2 2 4" xfId="15766" xr:uid="{873B1ADA-2EC2-4A90-A920-56A3E3341C96}"/>
    <cellStyle name="Komma 2 2 2 2 2 4 2" xfId="23295" xr:uid="{EF77F576-3F91-4D8E-B20E-AD56DCCAEE2C}"/>
    <cellStyle name="Komma 2 2 2 2 2 4 3" xfId="47200" xr:uid="{D859862D-3833-4248-A7C5-191AD83DBE5E}"/>
    <cellStyle name="Komma 2 2 2 2 2 4 4" xfId="52633" xr:uid="{D457E49F-C657-429D-9F6F-13C6E67910CF}"/>
    <cellStyle name="Komma 2 2 2 2 2 4 5" xfId="55649" xr:uid="{B14534E5-7420-484B-B24E-61CF62A51FA7}"/>
    <cellStyle name="Komma 2 2 2 2 2 5" xfId="12802" xr:uid="{8B1F90EE-6071-4FAD-A217-DA04B5CEBA7D}"/>
    <cellStyle name="Komma 2 2 2 2 2 5 2" xfId="47620" xr:uid="{2B955B14-649A-4413-B514-BC5B54400C26}"/>
    <cellStyle name="Komma 2 2 2 2 2 5 3" xfId="51202" xr:uid="{51474FB9-734D-4F24-9D47-79590B3A0996}"/>
    <cellStyle name="Komma 2 2 2 2 2 5 4" xfId="54218" xr:uid="{BC992FF6-795C-4E2F-9487-D901AFA487F2}"/>
    <cellStyle name="Komma 2 2 2 2 2 6" xfId="46095" xr:uid="{DA28C31E-A713-4097-A35E-895D042619A5}"/>
    <cellStyle name="Komma 2 2 2 2 2 7" xfId="50096" xr:uid="{F2E5199C-1BF1-45BD-8DE7-BB6090C3A632}"/>
    <cellStyle name="Komma 2 2 2 2 2 8" xfId="53112" xr:uid="{8246009A-34CA-43CD-B373-D216ED02DFEE}"/>
    <cellStyle name="Komma 2 2 2 2 3" xfId="14582" xr:uid="{446A2608-DA03-4A7B-B8C8-617C79E829E0}"/>
    <cellStyle name="Komma 2 2 2 2 3 2" xfId="22129" xr:uid="{2BB87012-3706-4081-A984-B605FBD4E612}"/>
    <cellStyle name="Komma 2 2 2 2 3 3" xfId="46838" xr:uid="{92083FB2-EBBE-4B70-9FF5-3023EE80F199}"/>
    <cellStyle name="Komma 2 2 2 2 3 4" xfId="51467" xr:uid="{251D83D4-B3F8-4709-A22F-83DB8F65B9A9}"/>
    <cellStyle name="Komma 2 2 2 2 3 5" xfId="54483" xr:uid="{87258AA4-3933-406E-8B3E-4F0E09241513}"/>
    <cellStyle name="Komma 2 2 2 2 4" xfId="15066" xr:uid="{F9160C92-016E-44D3-8664-F4D3D04F3919}"/>
    <cellStyle name="Komma 2 2 2 2 4 2" xfId="22606" xr:uid="{1D9706B8-2485-4F04-A2F4-6A73CFF6D481}"/>
    <cellStyle name="Komma 2 2 2 2 4 3" xfId="46876" xr:uid="{79E13506-8EF3-4BA4-9E00-E22B74F22CD6}"/>
    <cellStyle name="Komma 2 2 2 2 4 4" xfId="51944" xr:uid="{34CF4ADF-66C9-4D5E-B73F-1966544AE25E}"/>
    <cellStyle name="Komma 2 2 2 2 4 5" xfId="54960" xr:uid="{30C046F0-5442-42B0-8E4F-20B3317CE165}"/>
    <cellStyle name="Komma 2 2 2 2 5" xfId="15553" xr:uid="{B5C7E075-DD38-4284-85A2-1D874C7C50E2}"/>
    <cellStyle name="Komma 2 2 2 2 5 2" xfId="23083" xr:uid="{BFF3A105-8339-4987-8602-446A972EE617}"/>
    <cellStyle name="Komma 2 2 2 2 5 3" xfId="48078" xr:uid="{C8A65F5A-FE30-41A2-891E-50058B780239}"/>
    <cellStyle name="Komma 2 2 2 2 5 4" xfId="52421" xr:uid="{4C314DCA-AFDB-40A1-8980-34A048D1894B}"/>
    <cellStyle name="Komma 2 2 2 2 5 5" xfId="55437" xr:uid="{8460DADA-F5B1-4055-BFBF-09F586277C4B}"/>
    <cellStyle name="Komma 2 2 2 2 6" xfId="12501" xr:uid="{6B871243-A0AF-4B8E-A819-22EC808869A2}"/>
    <cellStyle name="Komma 2 2 2 2 6 2" xfId="46761" xr:uid="{CD1C8880-3F96-464D-9C51-F44C0B0CA203}"/>
    <cellStyle name="Komma 2 2 2 2 6 3" xfId="50990" xr:uid="{9251FD13-E824-4A6E-B10B-F29E7A8E028D}"/>
    <cellStyle name="Komma 2 2 2 2 6 4" xfId="54006" xr:uid="{EBA014DE-3B6C-4354-960A-E2B4216C2885}"/>
    <cellStyle name="Komma 2 2 2 2 7" xfId="47357" xr:uid="{FB9A68B7-4A82-4AA1-9D90-403BE0BDDA7A}"/>
    <cellStyle name="Komma 2 2 2 2 8" xfId="49884" xr:uid="{06441210-F1DD-4095-9FDB-B28F26D58200}"/>
    <cellStyle name="Komma 2 2 2 2 9" xfId="52900" xr:uid="{C1749CA5-8EC0-4F6F-B996-432D3C6D5CC7}"/>
    <cellStyle name="Komma 2 2 2 3" xfId="10115" xr:uid="{0BC79BD2-5C1B-4010-990A-DE46CE8D71FB}"/>
    <cellStyle name="Komma 2 2 2 3 2" xfId="10428" xr:uid="{10EB45F3-EA0A-4249-920A-FB775E61C870}"/>
    <cellStyle name="Komma 2 2 2 3 2 2" xfId="14847" xr:uid="{75B49FB3-7F80-4B16-8253-025209A7A36B}"/>
    <cellStyle name="Komma 2 2 2 3 2 2 2" xfId="22394" xr:uid="{2F8905E7-30E8-4C95-908E-128FA64D323A}"/>
    <cellStyle name="Komma 2 2 2 3 2 2 3" xfId="47107" xr:uid="{F0EF4061-4E9E-45C6-B29A-A98C53732EF7}"/>
    <cellStyle name="Komma 2 2 2 3 2 2 4" xfId="51732" xr:uid="{0FD103DA-715E-43E2-8F91-6978E53E7CEB}"/>
    <cellStyle name="Komma 2 2 2 3 2 2 5" xfId="54748" xr:uid="{2DE4904C-F1B9-43E1-A56C-377D5A0B2361}"/>
    <cellStyle name="Komma 2 2 2 3 2 3" xfId="15332" xr:uid="{30C27817-9138-42EE-A26B-EA65DA5BF167}"/>
    <cellStyle name="Komma 2 2 2 3 2 3 2" xfId="22871" xr:uid="{16C59773-9243-4733-A3FB-CB0220D5D342}"/>
    <cellStyle name="Komma 2 2 2 3 2 3 3" xfId="46516" xr:uid="{A154F279-EAA7-4DAC-8567-A335BC9F196C}"/>
    <cellStyle name="Komma 2 2 2 3 2 3 4" xfId="52209" xr:uid="{6F068C6C-CE5D-49EA-A3DC-618B403CD372}"/>
    <cellStyle name="Komma 2 2 2 3 2 3 5" xfId="55225" xr:uid="{293CDF6E-A6C8-48FC-A88D-7F0F40609E43}"/>
    <cellStyle name="Komma 2 2 2 3 2 4" xfId="15819" xr:uid="{DEF72972-1E51-413C-A92A-39B37BDAE409}"/>
    <cellStyle name="Komma 2 2 2 3 2 4 2" xfId="23348" xr:uid="{5EBABADA-E669-4640-8101-E3D55CFA599D}"/>
    <cellStyle name="Komma 2 2 2 3 2 4 3" xfId="47554" xr:uid="{7C30921E-45FF-4502-833C-3FA168D193AA}"/>
    <cellStyle name="Komma 2 2 2 3 2 4 4" xfId="52686" xr:uid="{BBEBDBEC-C22E-4451-AECF-2CAE9340A173}"/>
    <cellStyle name="Komma 2 2 2 3 2 4 5" xfId="55702" xr:uid="{62D7B3D7-9290-4171-9445-3D7DC67B410F}"/>
    <cellStyle name="Komma 2 2 2 3 2 5" xfId="12881" xr:uid="{1CA081F4-C4ED-42EE-830C-3864BEF09009}"/>
    <cellStyle name="Komma 2 2 2 3 2 5 2" xfId="48343" xr:uid="{679A5F08-DF9A-49C2-BDD2-B8849D53D899}"/>
    <cellStyle name="Komma 2 2 2 3 2 5 3" xfId="51255" xr:uid="{A2E2B1FC-3D81-456E-8C50-412EF6FF932C}"/>
    <cellStyle name="Komma 2 2 2 3 2 5 4" xfId="54271" xr:uid="{9317BF59-6D4F-46DD-8274-CF77FA5AA07C}"/>
    <cellStyle name="Komma 2 2 2 3 2 6" xfId="48030" xr:uid="{3861D9A7-32FC-4424-8759-5661D0A5AED7}"/>
    <cellStyle name="Komma 2 2 2 3 2 7" xfId="50149" xr:uid="{7F0CD24D-6318-41FC-84FE-A750198FA363}"/>
    <cellStyle name="Komma 2 2 2 3 2 8" xfId="53165" xr:uid="{8EFE6EE5-0BF3-4AF1-8BB5-437AB77D1C8D}"/>
    <cellStyle name="Komma 2 2 2 3 3" xfId="14635" xr:uid="{85034593-A872-4BDE-84B2-82D1E14291DB}"/>
    <cellStyle name="Komma 2 2 2 3 3 2" xfId="22182" xr:uid="{849059AC-A44C-45D1-BF99-022FDB6AD077}"/>
    <cellStyle name="Komma 2 2 2 3 3 3" xfId="25303" xr:uid="{31EA6A2A-AF30-41C2-88E4-8AFB89127E19}"/>
    <cellStyle name="Komma 2 2 2 3 3 4" xfId="51520" xr:uid="{4746A9EA-E230-41D8-84AA-CCBED683780B}"/>
    <cellStyle name="Komma 2 2 2 3 3 5" xfId="54536" xr:uid="{7B229813-1C95-4832-87EB-A6BA2195AF88}"/>
    <cellStyle name="Komma 2 2 2 3 4" xfId="15120" xr:uid="{B7BEB705-889B-48C5-812C-138A5565AF66}"/>
    <cellStyle name="Komma 2 2 2 3 4 2" xfId="22659" xr:uid="{5C5DE9DC-02FC-41D8-839B-ACCD2CDD34F4}"/>
    <cellStyle name="Komma 2 2 2 3 4 3" xfId="46484" xr:uid="{6606F60F-403E-40F7-BD35-D55BBAF3A0CE}"/>
    <cellStyle name="Komma 2 2 2 3 4 4" xfId="51997" xr:uid="{303D285B-BCDE-4712-901D-296A6484B542}"/>
    <cellStyle name="Komma 2 2 2 3 4 5" xfId="55013" xr:uid="{44B86FCB-D6DD-47B8-858E-6A911306185C}"/>
    <cellStyle name="Komma 2 2 2 3 5" xfId="15607" xr:uid="{DC8A3535-F964-4C93-9D86-A5F9FACAA179}"/>
    <cellStyle name="Komma 2 2 2 3 5 2" xfId="23136" xr:uid="{28508A8E-6249-4710-AC61-7B0CE674EB99}"/>
    <cellStyle name="Komma 2 2 2 3 5 3" xfId="48020" xr:uid="{464200EA-2A7C-470D-9465-9B9CAA436756}"/>
    <cellStyle name="Komma 2 2 2 3 5 4" xfId="52474" xr:uid="{32F74D68-3A30-4DCB-96C8-197062B1F1EB}"/>
    <cellStyle name="Komma 2 2 2 3 5 5" xfId="55490" xr:uid="{8D64B9B3-25D1-4F61-B4F5-D44E4B4DB7FB}"/>
    <cellStyle name="Komma 2 2 2 3 6" xfId="12572" xr:uid="{01C18950-9E34-4D8F-8197-D8D005817E5B}"/>
    <cellStyle name="Komma 2 2 2 3 6 2" xfId="48196" xr:uid="{C04A18D2-1D1A-4C72-9D1A-0DE67BCDB9A9}"/>
    <cellStyle name="Komma 2 2 2 3 6 3" xfId="51043" xr:uid="{E3BA1E47-C38F-4E36-99D3-5ACEF831CA1F}"/>
    <cellStyle name="Komma 2 2 2 3 6 4" xfId="54059" xr:uid="{EE7947FC-D433-4B22-9994-894E95033F97}"/>
    <cellStyle name="Komma 2 2 2 3 7" xfId="34574" xr:uid="{D7DF3A08-0FBB-4A3F-81D2-F84E44E2A8FE}"/>
    <cellStyle name="Komma 2 2 2 3 8" xfId="49937" xr:uid="{B8ED4905-F95D-4C8F-847E-E2DD906F0A9A}"/>
    <cellStyle name="Komma 2 2 2 3 9" xfId="52953" xr:uid="{F6C5996E-7505-43B3-A2E2-69100A6E6ADC}"/>
    <cellStyle name="Komma 2 2 2 4" xfId="10194" xr:uid="{0178CEB8-041E-48B5-A733-63AC80EC8D3D}"/>
    <cellStyle name="Komma 2 2 2 4 2" xfId="10508" xr:uid="{5C225131-E0CB-4792-8EBA-BEA1C358C697}"/>
    <cellStyle name="Komma 2 2 2 4 2 2" xfId="14900" xr:uid="{41B298A9-1698-4307-BC9A-25C98668DE60}"/>
    <cellStyle name="Komma 2 2 2 4 2 2 2" xfId="22447" xr:uid="{97840F8A-F7E9-4519-9B9F-D13410049D8E}"/>
    <cellStyle name="Komma 2 2 2 4 2 2 3" xfId="32524" xr:uid="{712D250D-6B3C-4858-80DF-1F1C6A125590}"/>
    <cellStyle name="Komma 2 2 2 4 2 2 4" xfId="51785" xr:uid="{77F93E99-60FF-4CAD-8EFD-DC15380177FD}"/>
    <cellStyle name="Komma 2 2 2 4 2 2 5" xfId="54801" xr:uid="{F8D0C82D-1AC8-40F2-92B1-7172F89297D3}"/>
    <cellStyle name="Komma 2 2 2 4 2 3" xfId="15385" xr:uid="{0542129B-C5AE-4C6A-A313-036273B1E137}"/>
    <cellStyle name="Komma 2 2 2 4 2 3 2" xfId="22924" xr:uid="{63ACF765-07FC-4D1C-BBC7-837A9E7E109B}"/>
    <cellStyle name="Komma 2 2 2 4 2 3 3" xfId="32282" xr:uid="{45CFF1CB-5E0E-4E3D-A581-784EC943F79B}"/>
    <cellStyle name="Komma 2 2 2 4 2 3 4" xfId="52262" xr:uid="{6ADD74DD-98F9-47BD-A422-CB56969C1BB6}"/>
    <cellStyle name="Komma 2 2 2 4 2 3 5" xfId="55278" xr:uid="{3C61E238-9E99-4E69-AFA8-3B74FC1CD2CC}"/>
    <cellStyle name="Komma 2 2 2 4 2 4" xfId="15872" xr:uid="{2B160122-6E92-4C9C-AF3E-5148857714C0}"/>
    <cellStyle name="Komma 2 2 2 4 2 4 2" xfId="23401" xr:uid="{AF895362-A86E-4F65-8613-BB2948EFBAB1}"/>
    <cellStyle name="Komma 2 2 2 4 2 4 3" xfId="47650" xr:uid="{2F792D8F-C253-4E4C-AB84-6F38F2441741}"/>
    <cellStyle name="Komma 2 2 2 4 2 4 4" xfId="52739" xr:uid="{8E7CE04F-983A-4D3F-8CF3-893A9E93375F}"/>
    <cellStyle name="Komma 2 2 2 4 2 4 5" xfId="55755" xr:uid="{D46F1415-EE6F-4A2C-9531-FBD7F32DF47B}"/>
    <cellStyle name="Komma 2 2 2 4 2 5" xfId="12961" xr:uid="{E4C73ECF-4551-4944-ACB8-E627DBBC4E2F}"/>
    <cellStyle name="Komma 2 2 2 4 2 5 2" xfId="36379" xr:uid="{90ECB1B0-B390-4517-A86A-A1ED225EFF08}"/>
    <cellStyle name="Komma 2 2 2 4 2 5 3" xfId="51308" xr:uid="{C6B405A7-1B24-4A85-8D38-A6E06A14582B}"/>
    <cellStyle name="Komma 2 2 2 4 2 5 4" xfId="54324" xr:uid="{2DEEC442-19E1-4BC5-BBAA-B85973A602B2}"/>
    <cellStyle name="Komma 2 2 2 4 2 6" xfId="46142" xr:uid="{0ECB5588-06FA-4362-813A-CAEA5800CE12}"/>
    <cellStyle name="Komma 2 2 2 4 2 7" xfId="50202" xr:uid="{279A796C-BDA1-47DF-B1F7-174EE63A677A}"/>
    <cellStyle name="Komma 2 2 2 4 2 8" xfId="53218" xr:uid="{41401243-EBE7-4466-A2B8-679EBEF9965E}"/>
    <cellStyle name="Komma 2 2 2 4 3" xfId="14688" xr:uid="{FF17A2F1-67B9-46FB-9B2B-66F555E5C38F}"/>
    <cellStyle name="Komma 2 2 2 4 3 2" xfId="22235" xr:uid="{198D20D6-E1AB-41AF-8FBE-192AA6DB20C8}"/>
    <cellStyle name="Komma 2 2 2 4 3 3" xfId="47480" xr:uid="{7697212A-A961-4DAE-8BD1-3629DE4635F4}"/>
    <cellStyle name="Komma 2 2 2 4 3 4" xfId="51573" xr:uid="{72D8D9CA-3C33-460A-BFB2-E9673222C2EE}"/>
    <cellStyle name="Komma 2 2 2 4 3 5" xfId="54589" xr:uid="{834C0330-5C5C-4C96-A274-C34FA4ABA0A6}"/>
    <cellStyle name="Komma 2 2 2 4 4" xfId="15173" xr:uid="{2497557A-8DFE-47A6-AFF1-66ACE2EF426F}"/>
    <cellStyle name="Komma 2 2 2 4 4 2" xfId="22712" xr:uid="{BC057868-F69C-484C-B198-8BD2676F3F39}"/>
    <cellStyle name="Komma 2 2 2 4 4 3" xfId="47247" xr:uid="{0C60555F-0322-41DA-BF65-FA38911AFE12}"/>
    <cellStyle name="Komma 2 2 2 4 4 4" xfId="52050" xr:uid="{E934793E-4069-48BF-9D8A-643303EF4123}"/>
    <cellStyle name="Komma 2 2 2 4 4 5" xfId="55066" xr:uid="{D72651A7-16F1-41DA-9BA1-4CD1851E253A}"/>
    <cellStyle name="Komma 2 2 2 4 5" xfId="15660" xr:uid="{39487EDD-20BC-48FF-A63A-48595F937525}"/>
    <cellStyle name="Komma 2 2 2 4 5 2" xfId="23189" xr:uid="{6401BDC9-9EBC-4472-8206-8424CEDC2466}"/>
    <cellStyle name="Komma 2 2 2 4 5 3" xfId="46566" xr:uid="{A4C302FD-7237-4E39-B9A0-84E625E12FD3}"/>
    <cellStyle name="Komma 2 2 2 4 5 4" xfId="52527" xr:uid="{E856F1AC-6F0B-49C7-859A-443AE4B4A95A}"/>
    <cellStyle name="Komma 2 2 2 4 5 5" xfId="55543" xr:uid="{87580844-DD54-4963-9ECC-D6902C0A9C32}"/>
    <cellStyle name="Komma 2 2 2 4 6" xfId="12648" xr:uid="{C05E0767-0695-49A3-8113-87E71BDDA594}"/>
    <cellStyle name="Komma 2 2 2 4 6 2" xfId="47693" xr:uid="{00A7406D-3C6C-4866-B65D-31FF90536878}"/>
    <cellStyle name="Komma 2 2 2 4 6 3" xfId="51096" xr:uid="{6DE696F2-6186-4A3D-A33F-9873236D5B41}"/>
    <cellStyle name="Komma 2 2 2 4 6 4" xfId="54112" xr:uid="{7CBD9D7E-4E5A-4A5D-9AD3-8AB0F5998CCB}"/>
    <cellStyle name="Komma 2 2 2 4 7" xfId="25378" xr:uid="{798366C3-B273-4D8E-B37C-57B7908B76B2}"/>
    <cellStyle name="Komma 2 2 2 4 8" xfId="49990" xr:uid="{F126A1B1-647C-4B8B-98A5-211558415863}"/>
    <cellStyle name="Komma 2 2 2 4 9" xfId="53006" xr:uid="{0DDE7203-18E5-4B18-ACD4-D9BF527BB485}"/>
    <cellStyle name="Komma 2 2 2 5" xfId="10274" xr:uid="{BE451B64-6065-4F1B-817B-C3757E1A06EF}"/>
    <cellStyle name="Komma 2 2 2 5 2" xfId="14741" xr:uid="{269FB44E-2A8B-4222-B07C-F05D39607DD3}"/>
    <cellStyle name="Komma 2 2 2 5 2 2" xfId="22288" xr:uid="{D355E02D-2D11-48D4-A705-6F58F7DBD88A}"/>
    <cellStyle name="Komma 2 2 2 5 2 3" xfId="46428" xr:uid="{5884F47E-98D9-4637-8BF9-E3A8D18DDC96}"/>
    <cellStyle name="Komma 2 2 2 5 2 4" xfId="51626" xr:uid="{C3BD4CB4-64C9-4B2F-AA34-0F3DEEE4497D}"/>
    <cellStyle name="Komma 2 2 2 5 2 5" xfId="54642" xr:uid="{01F40301-2360-47D8-9EF1-E86AD854A856}"/>
    <cellStyle name="Komma 2 2 2 5 3" xfId="15226" xr:uid="{3CA71284-B23E-47EF-98A1-E8811C2F2917}"/>
    <cellStyle name="Komma 2 2 2 5 3 2" xfId="22765" xr:uid="{876C7F95-1F2F-4715-A5F7-C4A7B91F9F4E}"/>
    <cellStyle name="Komma 2 2 2 5 3 3" xfId="46498" xr:uid="{67EBE3FD-D1F9-4821-B083-FA106E4EF870}"/>
    <cellStyle name="Komma 2 2 2 5 3 4" xfId="52103" xr:uid="{15272327-8A1C-4E86-B3DE-C16D2DBB1179}"/>
    <cellStyle name="Komma 2 2 2 5 3 5" xfId="55119" xr:uid="{6739D6D8-148B-46F0-BF08-5534E71A54A7}"/>
    <cellStyle name="Komma 2 2 2 5 4" xfId="15713" xr:uid="{641E76D0-604C-444F-9435-DA71A2A8DEE5}"/>
    <cellStyle name="Komma 2 2 2 5 4 2" xfId="23242" xr:uid="{68986F66-8A58-4D7D-AD48-F881823AF5EC}"/>
    <cellStyle name="Komma 2 2 2 5 4 3" xfId="46576" xr:uid="{4982A4A5-1C53-42D7-B491-2F2EA355A505}"/>
    <cellStyle name="Komma 2 2 2 5 4 4" xfId="52580" xr:uid="{EAF6BE03-60C2-4704-8889-003B925AC837}"/>
    <cellStyle name="Komma 2 2 2 5 4 5" xfId="55596" xr:uid="{437E48FE-E5FC-4FA3-8291-B4C2B3113FE4}"/>
    <cellStyle name="Komma 2 2 2 5 5" xfId="12727" xr:uid="{DFF9D5F6-E2C6-4CBE-B79D-F44C57583430}"/>
    <cellStyle name="Komma 2 2 2 5 5 2" xfId="47761" xr:uid="{376862D4-D5D2-4469-B9E3-DB7D665BD123}"/>
    <cellStyle name="Komma 2 2 2 5 5 3" xfId="51149" xr:uid="{647B8626-3769-4BA5-946F-BFFC7F9FAC36}"/>
    <cellStyle name="Komma 2 2 2 5 5 4" xfId="54165" xr:uid="{7626B5A0-706B-449E-938C-B9226EC14D59}"/>
    <cellStyle name="Komma 2 2 2 5 6" xfId="48572" xr:uid="{928E9001-0B12-4611-AC34-93857C41B448}"/>
    <cellStyle name="Komma 2 2 2 5 7" xfId="50043" xr:uid="{8C6B88BD-3448-4915-80BD-5BB4160F886E}"/>
    <cellStyle name="Komma 2 2 2 5 8" xfId="53059" xr:uid="{F89DE091-A3A0-4457-9E27-68E6B34A8B30}"/>
    <cellStyle name="Komma 2 2 2 6" xfId="10588" xr:uid="{E4FA0DD9-D36F-4CBD-A20D-AE6E92AA00AF}"/>
    <cellStyle name="Komma 2 2 2 6 2" xfId="14953" xr:uid="{323071FC-D40B-4E97-8805-78160F70A126}"/>
    <cellStyle name="Komma 2 2 2 6 2 2" xfId="22500" xr:uid="{EA7D941D-8DDC-418F-A7BB-D8DC53596AA0}"/>
    <cellStyle name="Komma 2 2 2 6 2 3" xfId="36971" xr:uid="{5BD0E645-ED19-45D1-855E-65CD48381549}"/>
    <cellStyle name="Komma 2 2 2 6 2 4" xfId="51838" xr:uid="{91276FDD-DB3D-4233-A5C4-5BAE9C714964}"/>
    <cellStyle name="Komma 2 2 2 6 2 5" xfId="54854" xr:uid="{3004D0BA-CE66-43BD-8C3B-5FE0D8982A12}"/>
    <cellStyle name="Komma 2 2 2 6 3" xfId="15438" xr:uid="{8DDC864F-2910-47DC-9602-50340133BDE1}"/>
    <cellStyle name="Komma 2 2 2 6 3 2" xfId="22977" xr:uid="{C0D76E69-8351-457B-931F-E1A911B67FB2}"/>
    <cellStyle name="Komma 2 2 2 6 3 3" xfId="46534" xr:uid="{F56E2044-FE1C-475C-AA93-8270ED237062}"/>
    <cellStyle name="Komma 2 2 2 6 3 4" xfId="52315" xr:uid="{6D59C060-79CD-475D-9742-AB661C1AD93E}"/>
    <cellStyle name="Komma 2 2 2 6 3 5" xfId="55331" xr:uid="{7A848AD9-202B-47C1-9DD0-742D62225A57}"/>
    <cellStyle name="Komma 2 2 2 6 4" xfId="15926" xr:uid="{FFD02A2D-60AB-463A-B5E1-5483C8967A20}"/>
    <cellStyle name="Komma 2 2 2 6 4 2" xfId="23454" xr:uid="{E7DB907F-FB88-44F5-AEB2-4397BD255A95}"/>
    <cellStyle name="Komma 2 2 2 6 4 3" xfId="47040" xr:uid="{68D9FD1F-4CC3-4265-868E-2BE219E44625}"/>
    <cellStyle name="Komma 2 2 2 6 4 4" xfId="52792" xr:uid="{FF5E7A43-829F-4EE1-8CDE-D9AD9E30E0F0}"/>
    <cellStyle name="Komma 2 2 2 6 4 5" xfId="55808" xr:uid="{74997ADF-75C0-4910-A14C-72FD032F7DBA}"/>
    <cellStyle name="Komma 2 2 2 6 5" xfId="13041" xr:uid="{61208090-FE87-4164-ABDE-56196FC19432}"/>
    <cellStyle name="Komma 2 2 2 6 5 2" xfId="25028" xr:uid="{CF6FE368-74E1-4323-9B20-B21A848A324B}"/>
    <cellStyle name="Komma 2 2 2 6 5 3" xfId="51361" xr:uid="{91701FC5-209B-4F29-9C2A-DDCC77364D42}"/>
    <cellStyle name="Komma 2 2 2 6 5 4" xfId="54377" xr:uid="{0FEA5A84-1EFC-4A3E-B9F4-405AFA6C2239}"/>
    <cellStyle name="Komma 2 2 2 6 6" xfId="46156" xr:uid="{A3E5139C-D232-4876-81A0-9489B8ABBDD0}"/>
    <cellStyle name="Komma 2 2 2 6 7" xfId="50255" xr:uid="{63EA43AC-8473-4433-AE23-F36FBF2E2887}"/>
    <cellStyle name="Komma 2 2 2 6 8" xfId="53271" xr:uid="{6B5C2F70-93A0-4DE1-99DD-8392774CE22B}"/>
    <cellStyle name="Komma 2 2 2 7" xfId="14529" xr:uid="{F468D129-4D29-40EA-A478-F7A629F61A7F}"/>
    <cellStyle name="Komma 2 2 2 7 2" xfId="22076" xr:uid="{90434C5D-F21F-425D-9228-955CF91EC397}"/>
    <cellStyle name="Komma 2 2 2 7 3" xfId="48112" xr:uid="{FBC84301-2563-4065-B976-96FBBFD7A531}"/>
    <cellStyle name="Komma 2 2 2 7 4" xfId="51414" xr:uid="{2B6F2A03-5A56-453F-90E9-EF0B5B1DE4DB}"/>
    <cellStyle name="Komma 2 2 2 7 5" xfId="54430" xr:uid="{9044F474-0D32-4C12-BA1C-91B60BDFED86}"/>
    <cellStyle name="Komma 2 2 2 8" xfId="15013" xr:uid="{1FEC5BAC-D9EC-4A9D-9D03-40E40E1CBC8D}"/>
    <cellStyle name="Komma 2 2 2 8 2" xfId="22553" xr:uid="{B75FA44A-D547-47D6-8731-C11EF029F919}"/>
    <cellStyle name="Komma 2 2 2 8 3" xfId="46466" xr:uid="{211D7D5D-D47F-46FD-B2FD-E552AAC612EA}"/>
    <cellStyle name="Komma 2 2 2 8 4" xfId="51891" xr:uid="{069ED766-9CEB-49FE-986E-A5F3353C4A41}"/>
    <cellStyle name="Komma 2 2 2 8 5" xfId="54907" xr:uid="{630468CD-1AE2-4E96-B059-ED3F316E1D66}"/>
    <cellStyle name="Komma 2 2 2 9" xfId="15500" xr:uid="{311D89ED-5079-4DEC-8AA9-8E6BF48CB238}"/>
    <cellStyle name="Komma 2 2 2 9 2" xfId="23030" xr:uid="{7C4FC4E0-941E-4825-B357-A0459B6CA89C}"/>
    <cellStyle name="Komma 2 2 2 9 3" xfId="46541" xr:uid="{F500C213-DC49-4F2D-BBB7-ECCEDDF82D96}"/>
    <cellStyle name="Komma 2 2 2 9 4" xfId="52368" xr:uid="{45B73F36-0106-41D1-92DB-745CC6DA5516}"/>
    <cellStyle name="Komma 2 2 2 9 5" xfId="55384" xr:uid="{E50C8C55-3C55-4547-9871-DD35D3ECE591}"/>
    <cellStyle name="Komma 2 2 3" xfId="10040" xr:uid="{EF8A8F4B-66BE-4F43-945F-3306E44A1592}"/>
    <cellStyle name="Komma 2 2 3 10" xfId="49609" xr:uid="{ABD2C343-E0A1-4047-961F-2C826DB97798}"/>
    <cellStyle name="Komma 2 2 3 11" xfId="49883" xr:uid="{E382FEDC-DFA7-4A75-86ED-11D08249126D}"/>
    <cellStyle name="Komma 2 2 3 12" xfId="52899" xr:uid="{F8F4D89C-9C94-48C8-A823-2B73736BD2DE}"/>
    <cellStyle name="Komma 2 2 3 2" xfId="10348" xr:uid="{4C8C9210-1873-4E8E-AAB1-63CEA510133F}"/>
    <cellStyle name="Komma 2 2 3 2 2" xfId="14793" xr:uid="{00B1E579-3D7D-44AA-8541-8A5ABDC5F72A}"/>
    <cellStyle name="Komma 2 2 3 2 2 2" xfId="22340" xr:uid="{17F35780-C26F-4D26-B898-08E5B8276289}"/>
    <cellStyle name="Komma 2 2 3 2 2 3" xfId="24664" xr:uid="{A9533F0C-5E97-4FC7-90A9-6CA4ACA4344A}"/>
    <cellStyle name="Komma 2 2 3 2 2 4" xfId="51678" xr:uid="{CEF3C4F4-1657-409F-A3A5-BDE781799A20}"/>
    <cellStyle name="Komma 2 2 3 2 2 5" xfId="54694" xr:uid="{2A49C6D0-3C20-426A-89BF-3CAC0FD1ADD4}"/>
    <cellStyle name="Komma 2 2 3 2 3" xfId="15278" xr:uid="{58B728CF-D801-4044-90B5-056F8305E677}"/>
    <cellStyle name="Komma 2 2 3 2 3 2" xfId="22817" xr:uid="{FF2C14E4-7377-4AE0-AF20-7CD0D7A42D44}"/>
    <cellStyle name="Komma 2 2 3 2 3 3" xfId="46901" xr:uid="{1D013420-5135-4C99-9194-5F1E49D8D02B}"/>
    <cellStyle name="Komma 2 2 3 2 3 4" xfId="52155" xr:uid="{6357774F-8485-44A1-878C-837E0D7484E9}"/>
    <cellStyle name="Komma 2 2 3 2 3 5" xfId="55171" xr:uid="{DAF19BE2-4A51-41F2-B78A-476E83CF64D1}"/>
    <cellStyle name="Komma 2 2 3 2 4" xfId="15765" xr:uid="{68F14199-2596-4E7B-8BBE-81C814966E04}"/>
    <cellStyle name="Komma 2 2 3 2 4 2" xfId="23294" xr:uid="{A53BE87F-E208-4AE7-976B-21898513EBE1}"/>
    <cellStyle name="Komma 2 2 3 2 4 3" xfId="46961" xr:uid="{FE423595-DF9B-4AF8-BBD9-E9AE320A16BB}"/>
    <cellStyle name="Komma 2 2 3 2 4 4" xfId="52632" xr:uid="{099FD788-FA8B-420C-8E4F-27167A05C846}"/>
    <cellStyle name="Komma 2 2 3 2 4 5" xfId="55648" xr:uid="{49B3FAC7-4917-45E2-83ED-D44BD9BF1C7D}"/>
    <cellStyle name="Komma 2 2 3 2 5" xfId="12801" xr:uid="{76F6D1C3-2E44-4CB4-89C5-5C9958447AEF}"/>
    <cellStyle name="Komma 2 2 3 2 5 2" xfId="33688" xr:uid="{1B3792BF-61A3-4D36-93AB-3E0A088A9A68}"/>
    <cellStyle name="Komma 2 2 3 2 5 3" xfId="51201" xr:uid="{ABEA8280-5D5E-47E1-A70E-9768DFAF8427}"/>
    <cellStyle name="Komma 2 2 3 2 5 4" xfId="54217" xr:uid="{4ACEE88E-AD8C-4742-85D3-9458267ACBFB}"/>
    <cellStyle name="Komma 2 2 3 2 6" xfId="47582" xr:uid="{DBB83A85-2C1A-4344-9126-FE37BD81BC0B}"/>
    <cellStyle name="Komma 2 2 3 2 7" xfId="50095" xr:uid="{5CC38AA9-31D4-4814-8385-203F3C469DB9}"/>
    <cellStyle name="Komma 2 2 3 2 8" xfId="53111" xr:uid="{110366F6-0177-4790-BBD2-F97C31DC2670}"/>
    <cellStyle name="Komma 2 2 3 3" xfId="14581" xr:uid="{0CB8962D-3A85-4BF1-8852-91FAF9EB68DC}"/>
    <cellStyle name="Komma 2 2 3 3 2" xfId="22128" xr:uid="{5A5F83E4-58C5-4B61-B05E-9DE62FF079DE}"/>
    <cellStyle name="Komma 2 2 3 3 3" xfId="47828" xr:uid="{55B06378-AE5F-45E8-8957-370DB266BC92}"/>
    <cellStyle name="Komma 2 2 3 3 4" xfId="51466" xr:uid="{2B2D909E-555C-4CDC-B114-ED555AFA3CD8}"/>
    <cellStyle name="Komma 2 2 3 3 5" xfId="54482" xr:uid="{394C0208-4768-4645-A021-77B848711402}"/>
    <cellStyle name="Komma 2 2 3 4" xfId="15065" xr:uid="{A8082900-F10A-499F-BDE6-7EC2F334B855}"/>
    <cellStyle name="Komma 2 2 3 4 2" xfId="22605" xr:uid="{B23AD9E2-540E-4DBE-BDDB-B9459D4CC084}"/>
    <cellStyle name="Komma 2 2 3 4 3" xfId="47991" xr:uid="{0BFED373-2A53-46F6-B1F7-41668B92812C}"/>
    <cellStyle name="Komma 2 2 3 4 4" xfId="51943" xr:uid="{EAB5FD7A-3AF9-43D4-943D-2E5198C33CA3}"/>
    <cellStyle name="Komma 2 2 3 4 5" xfId="54959" xr:uid="{530458A4-E223-4006-A352-DAA581B9F7C7}"/>
    <cellStyle name="Komma 2 2 3 5" xfId="15552" xr:uid="{2E049960-24CF-43D7-B49B-1A2370EB97A7}"/>
    <cellStyle name="Komma 2 2 3 5 2" xfId="23082" xr:uid="{2AF9E8EB-A70C-4ACF-BC0E-354206A4EBE6}"/>
    <cellStyle name="Komma 2 2 3 5 3" xfId="46934" xr:uid="{B729D01E-44C1-400C-9DE3-FB9D40900A6A}"/>
    <cellStyle name="Komma 2 2 3 5 4" xfId="52420" xr:uid="{2180B97A-F154-4ED7-8646-0405C4D4A04E}"/>
    <cellStyle name="Komma 2 2 3 5 5" xfId="55436" xr:uid="{9CE39A9B-C86B-41FD-8447-46202DFEBFC4}"/>
    <cellStyle name="Komma 2 2 3 6" xfId="12500" xr:uid="{82FD309F-E463-4D9D-A365-D5AAD2521982}"/>
    <cellStyle name="Komma 2 2 3 6 2" xfId="47819" xr:uid="{30860B87-0063-47C7-AF9D-F8C933305773}"/>
    <cellStyle name="Komma 2 2 3 6 3" xfId="50989" xr:uid="{AEA41A33-0DDE-48B5-A8E7-D5A462D8F158}"/>
    <cellStyle name="Komma 2 2 3 6 4" xfId="54005" xr:uid="{604B4927-E078-4FA5-994A-C1080FB86433}"/>
    <cellStyle name="Komma 2 2 3 7" xfId="23845" xr:uid="{7237D534-D9CD-4C32-AD6E-21722CD6FE59}"/>
    <cellStyle name="Komma 2 2 3 8" xfId="47852" xr:uid="{50EAD75B-EC47-4A6E-A900-A783DA7EF552}"/>
    <cellStyle name="Komma 2 2 3 9" xfId="48701" xr:uid="{C0D577F3-5949-445E-8594-31646E257243}"/>
    <cellStyle name="Komma 2 2 4" xfId="10114" xr:uid="{910D93FE-CA20-4067-90E4-269B80687180}"/>
    <cellStyle name="Komma 2 2 4 2" xfId="10427" xr:uid="{B308DB8B-E7DF-4F17-9EEB-ED0DBFB93F00}"/>
    <cellStyle name="Komma 2 2 4 2 2" xfId="14846" xr:uid="{DCF24804-3A90-43B0-A135-3213F5A001FB}"/>
    <cellStyle name="Komma 2 2 4 2 2 2" xfId="22393" xr:uid="{8E7AEBD1-82A7-4BCC-9B68-DCCF0DE809FC}"/>
    <cellStyle name="Komma 2 2 4 2 2 3" xfId="46445" xr:uid="{70D618E3-D8F6-4D6A-985F-3D17BCFFFBA3}"/>
    <cellStyle name="Komma 2 2 4 2 2 4" xfId="51731" xr:uid="{7F3A3E87-C994-482B-8C98-C90FEA4BA50F}"/>
    <cellStyle name="Komma 2 2 4 2 2 5" xfId="54747" xr:uid="{9BB8DB48-B0D8-4C21-807A-F8D81E883D17}"/>
    <cellStyle name="Komma 2 2 4 2 3" xfId="15331" xr:uid="{B6086826-FD36-4949-8534-BF553DBC8B31}"/>
    <cellStyle name="Komma 2 2 4 2 3 2" xfId="22870" xr:uid="{748ACA32-5AE4-440B-A06C-173A506A7149}"/>
    <cellStyle name="Komma 2 2 4 2 3 3" xfId="48539" xr:uid="{378F2CFA-84F3-4401-91F1-9B210122C05B}"/>
    <cellStyle name="Komma 2 2 4 2 3 4" xfId="52208" xr:uid="{41B9125C-A7CC-4058-AF3A-026E35F5235C}"/>
    <cellStyle name="Komma 2 2 4 2 3 5" xfId="55224" xr:uid="{73912AB8-BF49-45A2-A0E4-266E93884AB2}"/>
    <cellStyle name="Komma 2 2 4 2 4" xfId="15818" xr:uid="{74FFC370-16AA-4C53-A927-959EF422B09C}"/>
    <cellStyle name="Komma 2 2 4 2 4 2" xfId="23347" xr:uid="{91D80F57-1CF1-484A-8EFE-BA1941A9950A}"/>
    <cellStyle name="Komma 2 2 4 2 4 3" xfId="47730" xr:uid="{9F980992-3D46-4755-9A21-DCB1EFAADC89}"/>
    <cellStyle name="Komma 2 2 4 2 4 4" xfId="52685" xr:uid="{BA6F50B1-38A3-4603-98C4-1F09D590BCD5}"/>
    <cellStyle name="Komma 2 2 4 2 4 5" xfId="55701" xr:uid="{37CAD7B5-4136-4EF6-9879-363EBCD664B9}"/>
    <cellStyle name="Komma 2 2 4 2 5" xfId="12880" xr:uid="{8D9DB73A-778F-42A9-8F23-B3011E9A8DEE}"/>
    <cellStyle name="Komma 2 2 4 2 5 2" xfId="46804" xr:uid="{D97450B7-8910-4D27-9457-8FC244FDE892}"/>
    <cellStyle name="Komma 2 2 4 2 5 3" xfId="51254" xr:uid="{F4B3362C-6031-4449-A310-1ED651E2AB5C}"/>
    <cellStyle name="Komma 2 2 4 2 5 4" xfId="54270" xr:uid="{5E77A661-2F68-47B9-B6A3-00BB39AF0E39}"/>
    <cellStyle name="Komma 2 2 4 2 6" xfId="46626" xr:uid="{FC147540-F6A3-43EC-A098-2ACFC5EE3113}"/>
    <cellStyle name="Komma 2 2 4 2 7" xfId="50148" xr:uid="{C58B63EA-67FC-456B-82AE-B7F4E87F4A71}"/>
    <cellStyle name="Komma 2 2 4 2 8" xfId="53164" xr:uid="{40F4A7AF-3C6F-48E2-A8F5-6645FFA073F5}"/>
    <cellStyle name="Komma 2 2 4 3" xfId="14634" xr:uid="{469EC101-415F-47DE-8B88-8021C6D03A0A}"/>
    <cellStyle name="Komma 2 2 4 3 2" xfId="22181" xr:uid="{DCAC8E90-52FC-4AAD-AB18-6D15DE818B37}"/>
    <cellStyle name="Komma 2 2 4 3 3" xfId="48501" xr:uid="{BFAF4B27-95FE-4C04-B25E-2A00E62FBEC9}"/>
    <cellStyle name="Komma 2 2 4 3 4" xfId="51519" xr:uid="{4102C30A-C7AB-48F5-839D-D59EAD071935}"/>
    <cellStyle name="Komma 2 2 4 3 5" xfId="54535" xr:uid="{7A6ACFB3-590E-43B3-B884-FD5B1DF652FB}"/>
    <cellStyle name="Komma 2 2 4 4" xfId="15119" xr:uid="{5067F8F2-669F-4ECF-85BE-48E22018920F}"/>
    <cellStyle name="Komma 2 2 4 4 2" xfId="22658" xr:uid="{C526F57A-7420-45FF-AF79-D83737687751}"/>
    <cellStyle name="Komma 2 2 4 4 3" xfId="46483" xr:uid="{B1E7E1AC-7EC2-4460-A621-53ECBD713999}"/>
    <cellStyle name="Komma 2 2 4 4 4" xfId="51996" xr:uid="{D7E5C2D2-BD52-4B83-B166-CB08977A6AA7}"/>
    <cellStyle name="Komma 2 2 4 4 5" xfId="55012" xr:uid="{497EEA6D-C2A3-4AB2-A33D-9A734E4E2F69}"/>
    <cellStyle name="Komma 2 2 4 5" xfId="15606" xr:uid="{5D79DF45-7E5D-4FC4-A9B1-5A7ABF37907E}"/>
    <cellStyle name="Komma 2 2 4 5 2" xfId="23135" xr:uid="{EE469527-2B57-4287-992A-4B260E96FDEC}"/>
    <cellStyle name="Komma 2 2 4 5 3" xfId="46557" xr:uid="{AAC283DB-0361-48CF-A453-5BAF6A6BB551}"/>
    <cellStyle name="Komma 2 2 4 5 4" xfId="52473" xr:uid="{CC79853E-9C0C-471B-B429-0A39B0089B02}"/>
    <cellStyle name="Komma 2 2 4 5 5" xfId="55489" xr:uid="{4216965B-4583-46F8-AC17-2BC18E86A33D}"/>
    <cellStyle name="Komma 2 2 4 6" xfId="12571" xr:uid="{8BB2AADD-70CF-4B6C-A4AD-FDF5B3226E16}"/>
    <cellStyle name="Komma 2 2 4 6 2" xfId="24696" xr:uid="{3A963C44-3500-4D76-8858-D6B86F92C99D}"/>
    <cellStyle name="Komma 2 2 4 6 3" xfId="51042" xr:uid="{F530509D-1336-423F-A4E8-6A318B6A2D2F}"/>
    <cellStyle name="Komma 2 2 4 6 4" xfId="54058" xr:uid="{3EBDF250-38CF-4EAD-A027-BBB53163CC43}"/>
    <cellStyle name="Komma 2 2 4 7" xfId="47277" xr:uid="{F93A9FF6-7D40-46D1-87D5-01818CAF7A00}"/>
    <cellStyle name="Komma 2 2 4 8" xfId="49936" xr:uid="{B8689959-2055-4400-A1C8-2A46F0D40BBE}"/>
    <cellStyle name="Komma 2 2 4 9" xfId="52952" xr:uid="{0A3C7463-E653-4B53-9799-D6AE1532307D}"/>
    <cellStyle name="Komma 2 2 5" xfId="10193" xr:uid="{43601A1A-D948-4254-BF16-7C945AC269C2}"/>
    <cellStyle name="Komma 2 2 5 2" xfId="10507" xr:uid="{7B057934-16DD-4337-8D2D-80564AA3C8E7}"/>
    <cellStyle name="Komma 2 2 5 2 2" xfId="14899" xr:uid="{7AE6C7FE-4CC9-449B-8BE1-782FBD3AAB7A}"/>
    <cellStyle name="Komma 2 2 5 2 2 2" xfId="22446" xr:uid="{CFCF651A-16C5-4BB5-B85D-24634073E7B5}"/>
    <cellStyle name="Komma 2 2 5 2 2 3" xfId="47243" xr:uid="{C9C59A57-C4D7-443F-B53E-2B0641C1D281}"/>
    <cellStyle name="Komma 2 2 5 2 2 4" xfId="51784" xr:uid="{A8CACC7A-43D4-4D20-88F4-2C1E23C860EB}"/>
    <cellStyle name="Komma 2 2 5 2 2 5" xfId="54800" xr:uid="{CC90DFE2-C2B7-4D40-812B-04ECBA6B1F23}"/>
    <cellStyle name="Komma 2 2 5 2 3" xfId="15384" xr:uid="{61C2295D-F804-4D49-9A4C-6C60F5833F43}"/>
    <cellStyle name="Komma 2 2 5 2 3 2" xfId="22923" xr:uid="{3829BAB3-B0D3-482E-BDA4-D1EF3BFD1258}"/>
    <cellStyle name="Komma 2 2 5 2 3 3" xfId="47192" xr:uid="{654253CA-23AD-4A3B-B0D7-55F828C6CDC8}"/>
    <cellStyle name="Komma 2 2 5 2 3 4" xfId="52261" xr:uid="{9866CBA6-2F62-4912-BC00-8ECD6042E895}"/>
    <cellStyle name="Komma 2 2 5 2 3 5" xfId="55277" xr:uid="{547DFFFD-E23D-48A8-A476-678FD24370C5}"/>
    <cellStyle name="Komma 2 2 5 2 4" xfId="15871" xr:uid="{1E2ADB32-D5F0-4392-A7F7-FA1C1982D1BB}"/>
    <cellStyle name="Komma 2 2 5 2 4 2" xfId="23400" xr:uid="{BB20025D-2559-45B8-A4E6-20519A1FFA5D}"/>
    <cellStyle name="Komma 2 2 5 2 4 3" xfId="48085" xr:uid="{23D2EBAE-8CDD-4A00-B2A3-6C93B1CCD3D4}"/>
    <cellStyle name="Komma 2 2 5 2 4 4" xfId="52738" xr:uid="{7562CCF1-DECF-4013-B9D6-BFE5D9E62C9E}"/>
    <cellStyle name="Komma 2 2 5 2 4 5" xfId="55754" xr:uid="{85A51188-FC48-499D-BE5A-410886198D67}"/>
    <cellStyle name="Komma 2 2 5 2 5" xfId="12960" xr:uid="{8D96FF7F-4166-46B7-B8AF-E058A274CC6B}"/>
    <cellStyle name="Komma 2 2 5 2 5 2" xfId="25323" xr:uid="{874712A1-775A-45C9-B668-0D81F806295D}"/>
    <cellStyle name="Komma 2 2 5 2 5 3" xfId="51307" xr:uid="{09D7673C-6B8D-48E4-BDE2-8B12C5FA908C}"/>
    <cellStyle name="Komma 2 2 5 2 5 4" xfId="54323" xr:uid="{D8F9E15D-7E0A-41F0-A872-D9CF28C18EBA}"/>
    <cellStyle name="Komma 2 2 5 2 6" xfId="48163" xr:uid="{8A191121-67EB-4EAD-AF6A-085666C901CC}"/>
    <cellStyle name="Komma 2 2 5 2 7" xfId="50201" xr:uid="{E4C3A2C1-D6D6-4F9D-9F19-A167B5BD9A3A}"/>
    <cellStyle name="Komma 2 2 5 2 8" xfId="53217" xr:uid="{5140859A-73FC-4C48-88DC-BC490D71F5CC}"/>
    <cellStyle name="Komma 2 2 5 3" xfId="14687" xr:uid="{5E0F9D77-3AEF-4D62-9FDE-C3D1C5466A1B}"/>
    <cellStyle name="Komma 2 2 5 3 2" xfId="22234" xr:uid="{53A222A9-5869-426D-84C9-CBDDFF6BF25C}"/>
    <cellStyle name="Komma 2 2 5 3 3" xfId="46848" xr:uid="{54D3B3B2-DAB0-4DA6-9540-DDBF0AC71A49}"/>
    <cellStyle name="Komma 2 2 5 3 4" xfId="51572" xr:uid="{BB8278CA-E666-4D5E-9861-B5350906F13B}"/>
    <cellStyle name="Komma 2 2 5 3 5" xfId="54588" xr:uid="{1489D118-C453-4960-98BF-47073C59292B}"/>
    <cellStyle name="Komma 2 2 5 4" xfId="15172" xr:uid="{7A51D7A5-CDF2-4EBF-88E1-47BB9317F729}"/>
    <cellStyle name="Komma 2 2 5 4 2" xfId="22711" xr:uid="{FFB8AFEB-71DB-4444-8A78-B45B0D32B174}"/>
    <cellStyle name="Komma 2 2 5 4 3" xfId="48017" xr:uid="{A9993713-E6D0-41EC-8466-6C0FAC9F2F38}"/>
    <cellStyle name="Komma 2 2 5 4 4" xfId="52049" xr:uid="{6C6C6D04-2442-4456-A635-7321B74E0203}"/>
    <cellStyle name="Komma 2 2 5 4 5" xfId="55065" xr:uid="{18EE357A-860E-44B7-9D85-7E7EEBB86D2F}"/>
    <cellStyle name="Komma 2 2 5 5" xfId="15659" xr:uid="{455A5067-3048-4268-8A45-B066CB3074F7}"/>
    <cellStyle name="Komma 2 2 5 5 2" xfId="23188" xr:uid="{498E8CC5-94A9-4ABB-B50D-F175599AB932}"/>
    <cellStyle name="Komma 2 2 5 5 3" xfId="24163" xr:uid="{FD81376C-2DA9-4CFC-A585-B6AEC523DB29}"/>
    <cellStyle name="Komma 2 2 5 5 4" xfId="52526" xr:uid="{E33A3A9E-B403-435F-81BA-A7D28C199ED3}"/>
    <cellStyle name="Komma 2 2 5 5 5" xfId="55542" xr:uid="{E264FBE9-68FF-46C1-9B07-B13808FF1402}"/>
    <cellStyle name="Komma 2 2 5 6" xfId="12647" xr:uid="{1A7CECE8-0235-459D-BED0-D608E346FE60}"/>
    <cellStyle name="Komma 2 2 5 6 2" xfId="34169" xr:uid="{D9855B27-2FF5-48B8-8D6E-82C5D7970A21}"/>
    <cellStyle name="Komma 2 2 5 6 3" xfId="51095" xr:uid="{74FD97E0-536E-48B5-96A1-4F5F90C48CB6}"/>
    <cellStyle name="Komma 2 2 5 6 4" xfId="54111" xr:uid="{8B1480CF-2215-4509-BF55-813701D32227}"/>
    <cellStyle name="Komma 2 2 5 7" xfId="47281" xr:uid="{B88766DC-965C-4572-AA96-5F08135218B1}"/>
    <cellStyle name="Komma 2 2 5 8" xfId="49989" xr:uid="{0EE01640-712C-4571-869A-5CE805B43BF3}"/>
    <cellStyle name="Komma 2 2 5 9" xfId="53005" xr:uid="{F92C9A10-53C7-4590-8894-5461FDDC8CB8}"/>
    <cellStyle name="Komma 2 2 6" xfId="10273" xr:uid="{DFA38F3D-93F1-4F51-8A29-3FE96ECDF2FE}"/>
    <cellStyle name="Komma 2 2 6 2" xfId="14740" xr:uid="{B5E71092-B62D-4F77-B0A1-19F52664CEDB}"/>
    <cellStyle name="Komma 2 2 6 2 2" xfId="22287" xr:uid="{B4B25430-F327-4FE0-B48A-9DEB2FD4279B}"/>
    <cellStyle name="Komma 2 2 6 2 3" xfId="46427" xr:uid="{1104C605-0EEB-4EC3-9313-AEB1991097B8}"/>
    <cellStyle name="Komma 2 2 6 2 4" xfId="51625" xr:uid="{E9C23FC0-291E-4AB5-8CFE-FB501292F805}"/>
    <cellStyle name="Komma 2 2 6 2 5" xfId="54641" xr:uid="{FDDC5BA8-5D6A-4259-A4B2-B0150D4D874F}"/>
    <cellStyle name="Komma 2 2 6 3" xfId="15225" xr:uid="{2894ECB1-59B7-432B-8AEB-652D73E80B75}"/>
    <cellStyle name="Komma 2 2 6 3 2" xfId="22764" xr:uid="{40E4E1DE-4079-47CA-9939-E9F9F34C8326}"/>
    <cellStyle name="Komma 2 2 6 3 3" xfId="47937" xr:uid="{6A5218C5-D64A-407C-A0DF-4CDBA57B1045}"/>
    <cellStyle name="Komma 2 2 6 3 4" xfId="52102" xr:uid="{A9B91AC0-2943-44FB-9AAD-FD5569F53919}"/>
    <cellStyle name="Komma 2 2 6 3 5" xfId="55118" xr:uid="{64EC38F4-FD76-4D15-B059-65CF3E525F75}"/>
    <cellStyle name="Komma 2 2 6 4" xfId="15712" xr:uid="{728A81F7-01AB-4422-B86C-57775F43CF9F}"/>
    <cellStyle name="Komma 2 2 6 4 2" xfId="23241" xr:uid="{9B6C4EEE-F99C-4739-BACF-6C21660C7544}"/>
    <cellStyle name="Komma 2 2 6 4 3" xfId="46575" xr:uid="{3C626441-E281-43B9-8C8C-44C079591D70}"/>
    <cellStyle name="Komma 2 2 6 4 4" xfId="52579" xr:uid="{DABFC73D-EFD6-44E5-8748-1218FF588832}"/>
    <cellStyle name="Komma 2 2 6 4 5" xfId="55595" xr:uid="{13B0D221-E41C-4A99-9D1B-255BE41752D4}"/>
    <cellStyle name="Komma 2 2 6 5" xfId="12726" xr:uid="{DC78E3A3-00F4-428C-B0B6-3409577FC40B}"/>
    <cellStyle name="Komma 2 2 6 5 2" xfId="46786" xr:uid="{396528C8-32BA-469B-9F65-51D6BA7E784C}"/>
    <cellStyle name="Komma 2 2 6 5 3" xfId="51148" xr:uid="{03D0FA96-B1EE-447C-9A43-2ADE6429DE13}"/>
    <cellStyle name="Komma 2 2 6 5 4" xfId="54164" xr:uid="{668E80C7-11EE-4136-95E4-45349AF04825}"/>
    <cellStyle name="Komma 2 2 6 6" xfId="46080" xr:uid="{B23AF19F-53C7-423E-84DC-63DE3124589B}"/>
    <cellStyle name="Komma 2 2 6 7" xfId="50042" xr:uid="{4F6F3188-5557-4FBD-85A7-8CD60B7FA62F}"/>
    <cellStyle name="Komma 2 2 6 8" xfId="53058" xr:uid="{FF9CE6F1-F6B1-42C8-BC7C-D3638A5D2B81}"/>
    <cellStyle name="Komma 2 2 7" xfId="10587" xr:uid="{AB14A700-6DE1-4E90-91B1-5456A6B13CC6}"/>
    <cellStyle name="Komma 2 2 7 2" xfId="14952" xr:uid="{83E1B0E4-4ADA-43D0-A672-D7E15BA6324A}"/>
    <cellStyle name="Komma 2 2 7 2 2" xfId="22499" xr:uid="{0DABC6CF-E93A-45BE-8E1E-A2D629A6B9E3}"/>
    <cellStyle name="Komma 2 2 7 2 3" xfId="46459" xr:uid="{452E8F6E-3D93-4B10-99C2-61D5FB4BC645}"/>
    <cellStyle name="Komma 2 2 7 2 4" xfId="51837" xr:uid="{A1787FFE-8A81-4A14-9D9E-ED9E69F5BA99}"/>
    <cellStyle name="Komma 2 2 7 2 5" xfId="54853" xr:uid="{A58736FA-4A45-4244-8931-CB5E3E932D58}"/>
    <cellStyle name="Komma 2 2 7 3" xfId="15437" xr:uid="{F1170597-6920-4F28-9AD3-0663C565FBBD}"/>
    <cellStyle name="Komma 2 2 7 3 2" xfId="22976" xr:uid="{E356CC0F-40D7-46AF-A6B8-AFE381D8DF81}"/>
    <cellStyle name="Komma 2 2 7 3 3" xfId="46533" xr:uid="{3241C76E-B79A-491E-8DB8-ED34143D4F88}"/>
    <cellStyle name="Komma 2 2 7 3 4" xfId="52314" xr:uid="{63CB3420-EF19-44F6-9DA7-232A89FF4021}"/>
    <cellStyle name="Komma 2 2 7 3 5" xfId="55330" xr:uid="{A7148ED0-825F-4BEF-94A2-5CDBEA897959}"/>
    <cellStyle name="Komma 2 2 7 4" xfId="15925" xr:uid="{F09203EC-FA0D-4057-8957-C79C4E01E2CA}"/>
    <cellStyle name="Komma 2 2 7 4 2" xfId="23453" xr:uid="{5A3B769F-ECE9-4A30-87F0-509A0299CF35}"/>
    <cellStyle name="Komma 2 2 7 4 3" xfId="32498" xr:uid="{328F381A-7B5B-4643-8626-459B1945746A}"/>
    <cellStyle name="Komma 2 2 7 4 4" xfId="52791" xr:uid="{6C8D2CFA-22FA-4CC3-AC4F-A8A9355272C3}"/>
    <cellStyle name="Komma 2 2 7 4 5" xfId="55807" xr:uid="{72BFC2E6-6B85-4270-86F8-B474860F08E1}"/>
    <cellStyle name="Komma 2 2 7 5" xfId="13040" xr:uid="{D129619E-18E9-48DC-A638-51CA1B270393}"/>
    <cellStyle name="Komma 2 2 7 5 2" xfId="46385" xr:uid="{C3D4CB2A-42D4-422A-9129-7A08D6C7F73A}"/>
    <cellStyle name="Komma 2 2 7 5 3" xfId="51360" xr:uid="{1F80FAE0-D657-4787-9120-AEBF6A40E08C}"/>
    <cellStyle name="Komma 2 2 7 5 4" xfId="54376" xr:uid="{700597E4-4FF6-4883-97D1-5B63D8D2CA7C}"/>
    <cellStyle name="Komma 2 2 7 6" xfId="47361" xr:uid="{39FF4F6F-F6EE-497C-8537-101589762380}"/>
    <cellStyle name="Komma 2 2 7 7" xfId="50254" xr:uid="{FFBE77EB-165D-4C3F-A39C-239DCE695A6A}"/>
    <cellStyle name="Komma 2 2 7 8" xfId="53270" xr:uid="{8B01B3A7-9143-46C2-930A-CFB427790CF8}"/>
    <cellStyle name="Komma 2 2 8" xfId="14528" xr:uid="{D07A6EBF-22F6-4CB2-A447-98537B2747E9}"/>
    <cellStyle name="Komma 2 2 8 2" xfId="22075" xr:uid="{3820A587-27E4-4FB7-A4E7-C026A5685B47}"/>
    <cellStyle name="Komma 2 2 8 3" xfId="34068" xr:uid="{D61CFC31-BE5E-48A3-8A28-8EB0ABBB1853}"/>
    <cellStyle name="Komma 2 2 8 4" xfId="51413" xr:uid="{4E77AE01-C817-4F3A-AA18-5BFD0742AD87}"/>
    <cellStyle name="Komma 2 2 8 5" xfId="54429" xr:uid="{A44CC12C-7FF4-4A0B-84E5-8E24DF4A7A9E}"/>
    <cellStyle name="Komma 2 2 9" xfId="15012" xr:uid="{EA312A85-55E6-43C9-BF8B-344B0E862881}"/>
    <cellStyle name="Komma 2 2 9 2" xfId="22552" xr:uid="{A4491E2B-37D4-4791-B43E-2712F10A4E33}"/>
    <cellStyle name="Komma 2 2 9 3" xfId="24181" xr:uid="{F23FB679-7969-408C-94A8-BB6CA591DD6B}"/>
    <cellStyle name="Komma 2 2 9 4" xfId="51890" xr:uid="{B4EE75D6-172B-4174-BE8C-DA5E69C5E3FA}"/>
    <cellStyle name="Komma 2 2 9 5" xfId="54906" xr:uid="{638C6D76-0E96-48B5-97B6-833ABA2E123E}"/>
    <cellStyle name="Komma 2 3" xfId="9100" xr:uid="{4EDF592C-B92F-45BE-850F-E4B80958CA36}"/>
    <cellStyle name="Komma 2 3 10" xfId="11235" xr:uid="{581144AC-8765-4F69-93BA-774914DBF6D4}"/>
    <cellStyle name="Komma 2 3 10 2" xfId="48185" xr:uid="{348756EE-697C-40BB-9747-DAD66F67B521}"/>
    <cellStyle name="Komma 2 3 10 3" xfId="50714" xr:uid="{A3A49A9A-5F67-4673-B65E-6827CEEA706C}"/>
    <cellStyle name="Komma 2 3 10 4" xfId="53730" xr:uid="{EFAB5A30-53EF-4B9A-BCBF-C3677E03AC21}"/>
    <cellStyle name="Komma 2 3 11" xfId="23846" xr:uid="{556E82C1-9634-47C3-802D-7BEB0F1462F4}"/>
    <cellStyle name="Komma 2 3 12" xfId="46013" xr:uid="{572B05C6-3307-45E3-BFB7-F4BD1A151EC2}"/>
    <cellStyle name="Komma 2 3 13" xfId="49832" xr:uid="{17688DD8-85C7-4653-A6E7-17B5B0BCE4F6}"/>
    <cellStyle name="Komma 2 3 14" xfId="52847" xr:uid="{55D4FDEC-D716-4DCD-B2C7-8A95D008D2FF}"/>
    <cellStyle name="Komma 2 3 2" xfId="10042" xr:uid="{90EBD008-FEFC-40C5-B235-09AE872E8BEF}"/>
    <cellStyle name="Komma 2 3 2 10" xfId="49610" xr:uid="{F89C29B0-2942-4193-9905-7B6BA7BCE94E}"/>
    <cellStyle name="Komma 2 3 2 11" xfId="49885" xr:uid="{C5351914-73BA-4D70-AACB-09498D25C870}"/>
    <cellStyle name="Komma 2 3 2 12" xfId="52901" xr:uid="{656EDBF2-2A11-4C4E-8B95-F4FE78D10ECE}"/>
    <cellStyle name="Komma 2 3 2 2" xfId="10350" xr:uid="{3D91AB5E-EBA3-4DE3-9830-B09A58DFF8DC}"/>
    <cellStyle name="Komma 2 3 2 2 2" xfId="14795" xr:uid="{E494F4EA-CD55-47F0-B586-3AC5F950EAF1}"/>
    <cellStyle name="Komma 2 3 2 2 2 2" xfId="22342" xr:uid="{EB2BAD0E-B698-4F88-926B-CA12CFFA7EC5}"/>
    <cellStyle name="Komma 2 3 2 2 2 3" xfId="46434" xr:uid="{4EA71C86-2320-4D81-9A54-593285FC25F0}"/>
    <cellStyle name="Komma 2 3 2 2 2 4" xfId="51680" xr:uid="{C0AD9759-8CE0-4F26-BBDC-D024D8EFD4C6}"/>
    <cellStyle name="Komma 2 3 2 2 2 5" xfId="54696" xr:uid="{376060EB-D564-43D9-AFF2-2EFA317414E6}"/>
    <cellStyle name="Komma 2 3 2 2 3" xfId="15280" xr:uid="{6C06D7B5-E7B1-4F2D-9A40-55D075F5E11D}"/>
    <cellStyle name="Komma 2 3 2 2 3 2" xfId="22819" xr:uid="{528335A1-76AD-4BC8-9836-4A670C433D48}"/>
    <cellStyle name="Komma 2 3 2 2 3 3" xfId="48219" xr:uid="{EDD2A5E3-8D67-4A87-9DD0-C939A55C56B6}"/>
    <cellStyle name="Komma 2 3 2 2 3 4" xfId="52157" xr:uid="{953D1337-8FD8-450E-95ED-87C6E78C1DBB}"/>
    <cellStyle name="Komma 2 3 2 2 3 5" xfId="55173" xr:uid="{3CEA49AD-558F-415D-B0D8-385AE21E7098}"/>
    <cellStyle name="Komma 2 3 2 2 4" xfId="15767" xr:uid="{C8D9E99D-916B-4E00-A718-D949C9C4AA62}"/>
    <cellStyle name="Komma 2 3 2 2 4 2" xfId="23296" xr:uid="{4A54CB8D-C123-497D-A0D6-FB9DDC204AC4}"/>
    <cellStyle name="Komma 2 3 2 2 4 3" xfId="24160" xr:uid="{7E8ABF87-0C39-4C7E-B161-07704741F2C9}"/>
    <cellStyle name="Komma 2 3 2 2 4 4" xfId="52634" xr:uid="{13CB1BEB-E934-48EF-9EAA-115341DC363D}"/>
    <cellStyle name="Komma 2 3 2 2 4 5" xfId="55650" xr:uid="{215D7A1E-79CA-4422-818A-369B66D7FEE0}"/>
    <cellStyle name="Komma 2 3 2 2 5" xfId="12803" xr:uid="{0B640B8E-3C7A-47BF-BAA1-7C140A64D792}"/>
    <cellStyle name="Komma 2 3 2 2 5 2" xfId="46355" xr:uid="{77ECB97F-B412-4064-8430-4FC90E5E6521}"/>
    <cellStyle name="Komma 2 3 2 2 5 3" xfId="51203" xr:uid="{78CD0CD5-C32B-45A1-9158-8319B6920C09}"/>
    <cellStyle name="Komma 2 3 2 2 5 4" xfId="54219" xr:uid="{9DE9D51E-1A1E-4DD2-B71B-F1DF5E608C4B}"/>
    <cellStyle name="Komma 2 3 2 2 6" xfId="46096" xr:uid="{8559C7D1-3C4D-435B-93AC-C429E9F098EA}"/>
    <cellStyle name="Komma 2 3 2 2 7" xfId="50097" xr:uid="{AC16ACB6-0112-4A7B-9BD6-8B46A435D2C7}"/>
    <cellStyle name="Komma 2 3 2 2 8" xfId="53113" xr:uid="{20ABF62B-4BC7-4B02-B9D2-68A038211FE3}"/>
    <cellStyle name="Komma 2 3 2 3" xfId="14583" xr:uid="{7A91C5CF-B426-45A9-9129-8B62111DF6FC}"/>
    <cellStyle name="Komma 2 3 2 3 2" xfId="22130" xr:uid="{5B71BD22-2615-458B-9173-A8516B2A855C}"/>
    <cellStyle name="Komma 2 3 2 3 3" xfId="33661" xr:uid="{9A4B1FC1-E905-4400-BA9B-A94892555EF0}"/>
    <cellStyle name="Komma 2 3 2 3 4" xfId="51468" xr:uid="{00A763DF-89C4-4C86-998B-F00943BE49C5}"/>
    <cellStyle name="Komma 2 3 2 3 5" xfId="54484" xr:uid="{8758CEC2-4E88-4057-BE47-E46CB3A6B5EC}"/>
    <cellStyle name="Komma 2 3 2 4" xfId="15067" xr:uid="{C1486CDD-4195-4D80-A1AD-8A096025148A}"/>
    <cellStyle name="Komma 2 3 2 4 2" xfId="22607" xr:uid="{4C3A2B62-4BB4-4093-9BC9-2DFB8D4A9DDF}"/>
    <cellStyle name="Komma 2 3 2 4 3" xfId="47037" xr:uid="{DC21B1CD-889B-4E87-85A8-2D779BF1A5B6}"/>
    <cellStyle name="Komma 2 3 2 4 4" xfId="51945" xr:uid="{52FA124C-4AD2-42AC-97BF-466976F0E166}"/>
    <cellStyle name="Komma 2 3 2 4 5" xfId="54961" xr:uid="{BA92CB49-47D4-4CBF-A298-D408551D2B5E}"/>
    <cellStyle name="Komma 2 3 2 5" xfId="15554" xr:uid="{8390BCFA-2361-47F6-8A4D-53984003696A}"/>
    <cellStyle name="Komma 2 3 2 5 2" xfId="23084" xr:uid="{EEC06665-0CE9-4D62-92CF-DF503283EBA1}"/>
    <cellStyle name="Komma 2 3 2 5 3" xfId="47643" xr:uid="{A4716888-B421-4DD9-9CCF-0A5416816F70}"/>
    <cellStyle name="Komma 2 3 2 5 4" xfId="52422" xr:uid="{9B85C0E1-7981-4EC7-918C-1295DEB1C7F2}"/>
    <cellStyle name="Komma 2 3 2 5 5" xfId="55438" xr:uid="{63B7B0DF-5883-4BA4-A2F5-98134AD60A27}"/>
    <cellStyle name="Komma 2 3 2 6" xfId="12502" xr:uid="{4D87DB32-C9B0-42D6-AAD3-749F5B4092A2}"/>
    <cellStyle name="Komma 2 3 2 6 2" xfId="47465" xr:uid="{C716B1B2-91E2-4D88-9F4B-1D57DE0E6EAD}"/>
    <cellStyle name="Komma 2 3 2 6 3" xfId="50991" xr:uid="{BDA1D3ED-CD81-44FF-8F35-3F9436C332BD}"/>
    <cellStyle name="Komma 2 3 2 6 4" xfId="54007" xr:uid="{D99B4806-E01C-404D-99D1-2998A6D23F58}"/>
    <cellStyle name="Komma 2 3 2 7" xfId="23847" xr:uid="{1D63EBCC-D54C-41D6-BF4B-74AC7E44788D}"/>
    <cellStyle name="Komma 2 3 2 8" xfId="46034" xr:uid="{131E070F-72B8-4A6D-A593-2A57F58AC1DB}"/>
    <cellStyle name="Komma 2 3 2 9" xfId="48702" xr:uid="{813A957D-732F-4071-AA01-8570009CB21F}"/>
    <cellStyle name="Komma 2 3 3" xfId="10116" xr:uid="{BB908392-601A-42B4-B351-EAA6E5695D84}"/>
    <cellStyle name="Komma 2 3 3 10" xfId="52954" xr:uid="{FB3CDF17-E3D3-433D-BF62-DE482207B010}"/>
    <cellStyle name="Komma 2 3 3 2" xfId="10429" xr:uid="{CAFE75D6-0185-4685-A219-DB3DD40196D8}"/>
    <cellStyle name="Komma 2 3 3 2 2" xfId="14848" xr:uid="{7022C871-2CE5-47DC-91E7-62E1D12D83D8}"/>
    <cellStyle name="Komma 2 3 3 2 2 2" xfId="22395" xr:uid="{F7C813D8-C7EC-4354-9A9F-550BE9F71A66}"/>
    <cellStyle name="Komma 2 3 3 2 2 3" xfId="36980" xr:uid="{0B539B61-48D8-4708-A041-7A85EA42D7E3}"/>
    <cellStyle name="Komma 2 3 3 2 2 4" xfId="51733" xr:uid="{78735937-54E2-42E3-962B-B85A86D39DA8}"/>
    <cellStyle name="Komma 2 3 3 2 2 5" xfId="54749" xr:uid="{8EEEBC1A-0A41-47D1-BB40-ED9A4806BC0D}"/>
    <cellStyle name="Komma 2 3 3 2 3" xfId="15333" xr:uid="{85B2885E-C7FB-4C1E-A0A7-C8A4403AC94F}"/>
    <cellStyle name="Komma 2 3 3 2 3 2" xfId="22872" xr:uid="{5784984E-C04D-4EB1-933D-5F082004C09E}"/>
    <cellStyle name="Komma 2 3 3 2 3 3" xfId="24906" xr:uid="{6449D178-B2A2-4371-9E83-85D95D9E193B}"/>
    <cellStyle name="Komma 2 3 3 2 3 4" xfId="52210" xr:uid="{07440869-D69A-4AC2-9212-2A1B0F959687}"/>
    <cellStyle name="Komma 2 3 3 2 3 5" xfId="55226" xr:uid="{362BE9C1-4DB2-4734-A9E8-735FD990256A}"/>
    <cellStyle name="Komma 2 3 3 2 4" xfId="15820" xr:uid="{382C8A8E-AA10-47A6-87C0-D0A46AD18AB9}"/>
    <cellStyle name="Komma 2 3 3 2 4 2" xfId="23349" xr:uid="{BA232501-F247-4BD0-BBBC-E204A9B10A90}"/>
    <cellStyle name="Komma 2 3 3 2 4 3" xfId="46970" xr:uid="{D40A694D-3BBA-413C-A31C-79CCCCA747BC}"/>
    <cellStyle name="Komma 2 3 3 2 4 4" xfId="52687" xr:uid="{3E4995FF-F0A8-46FB-AA17-C5FB9A59DB50}"/>
    <cellStyle name="Komma 2 3 3 2 4 5" xfId="55703" xr:uid="{6B71775A-C9BE-427D-B096-55B6449F8681}"/>
    <cellStyle name="Komma 2 3 3 2 5" xfId="12882" xr:uid="{F21C873D-FA08-41A9-8155-3299A032522B}"/>
    <cellStyle name="Komma 2 3 3 2 5 2" xfId="47922" xr:uid="{E999B07C-4C55-423E-9675-5D6EAC5A3A8A}"/>
    <cellStyle name="Komma 2 3 3 2 5 3" xfId="51256" xr:uid="{D0B25609-B662-4405-9F06-C9EE00CF649B}"/>
    <cellStyle name="Komma 2 3 3 2 5 4" xfId="54272" xr:uid="{19C2FA27-8EDC-416A-B38B-8D4A7F0FEA12}"/>
    <cellStyle name="Komma 2 3 3 2 6" xfId="38075" xr:uid="{4B601643-2372-4AC6-B7D2-5DFE30337826}"/>
    <cellStyle name="Komma 2 3 3 2 7" xfId="48138" xr:uid="{F48C9EA8-8446-4607-A8F1-9367E6CAEC50}"/>
    <cellStyle name="Komma 2 3 3 2 8" xfId="50150" xr:uid="{E21561DE-8D0F-4DD8-8308-444C6B74DBE9}"/>
    <cellStyle name="Komma 2 3 3 2 9" xfId="53166" xr:uid="{3254F9FB-5387-4CF7-80F6-910E685B174E}"/>
    <cellStyle name="Komma 2 3 3 3" xfId="14636" xr:uid="{99D78595-0EDB-4684-A726-4FCD91AA0CE4}"/>
    <cellStyle name="Komma 2 3 3 3 2" xfId="22183" xr:uid="{0B9FA9EC-DF90-47E0-8FC8-85B9725C883D}"/>
    <cellStyle name="Komma 2 3 3 3 3" xfId="43377" xr:uid="{F885387C-AE53-4220-990D-A12A0DE286D2}"/>
    <cellStyle name="Komma 2 3 3 3 4" xfId="24531" xr:uid="{1727D2A3-1B34-4826-87BE-9E80C7D7EA8B}"/>
    <cellStyle name="Komma 2 3 3 3 5" xfId="51521" xr:uid="{A51330C1-D15D-4DAB-BD3D-CCFE6B9062C3}"/>
    <cellStyle name="Komma 2 3 3 3 6" xfId="54537" xr:uid="{E564B7C7-3E7D-4CC6-856A-71B6A65C3565}"/>
    <cellStyle name="Komma 2 3 3 4" xfId="15121" xr:uid="{758EDEFC-4B58-4250-BC44-7C43CFFF73D7}"/>
    <cellStyle name="Komma 2 3 3 4 2" xfId="22660" xr:uid="{E3C455CB-D5FC-4668-BFFD-7CDC9C39C5AF}"/>
    <cellStyle name="Komma 2 3 3 4 3" xfId="46485" xr:uid="{A9517D74-A2CA-460C-A90C-58B9EF776C5E}"/>
    <cellStyle name="Komma 2 3 3 4 4" xfId="51998" xr:uid="{91D4DE1D-BA9D-4E86-AB3D-1D6BFA325D13}"/>
    <cellStyle name="Komma 2 3 3 4 5" xfId="55014" xr:uid="{F5F0E4C6-66F0-459B-9ED9-4E6F31E0D244}"/>
    <cellStyle name="Komma 2 3 3 5" xfId="15608" xr:uid="{8880248C-B764-4ACB-8CA7-5BDECD88884D}"/>
    <cellStyle name="Komma 2 3 3 5 2" xfId="23137" xr:uid="{6AE7B11D-612C-4660-B198-3D3555F58C9C}"/>
    <cellStyle name="Komma 2 3 3 5 3" xfId="36260" xr:uid="{815173FF-4C17-4464-BA41-B8840C7F9DD0}"/>
    <cellStyle name="Komma 2 3 3 5 4" xfId="52475" xr:uid="{14EF6F44-B29B-4908-AF0B-2E1E6859F5D9}"/>
    <cellStyle name="Komma 2 3 3 5 5" xfId="55491" xr:uid="{B929F4EE-E174-4878-A6D4-C55EACB55CB9}"/>
    <cellStyle name="Komma 2 3 3 6" xfId="12573" xr:uid="{58A4BBEC-9ECB-4D28-A102-CCCC68D0139D}"/>
    <cellStyle name="Komma 2 3 3 6 2" xfId="25331" xr:uid="{30D0426B-B9C6-4D4F-B66A-7ED1B351E404}"/>
    <cellStyle name="Komma 2 3 3 6 3" xfId="51044" xr:uid="{5A7D0B0A-9AB7-46D9-B0DE-FF8E61EFA719}"/>
    <cellStyle name="Komma 2 3 3 6 4" xfId="54060" xr:uid="{15FA7D0B-A5DA-42DE-9BF6-9377FD14E0CB}"/>
    <cellStyle name="Komma 2 3 3 7" xfId="32722" xr:uid="{9063C3BA-84BD-4401-897B-1A6F1917F84A}"/>
    <cellStyle name="Komma 2 3 3 8" xfId="48375" xr:uid="{C1153A9F-A61D-401F-8B93-A5118BE3B73F}"/>
    <cellStyle name="Komma 2 3 3 9" xfId="49938" xr:uid="{D2F4B1F3-28E8-478E-AA2C-4D34C69A075E}"/>
    <cellStyle name="Komma 2 3 4" xfId="10195" xr:uid="{042A62EB-846E-49AA-BEAD-9943E8357FC0}"/>
    <cellStyle name="Komma 2 3 4 10" xfId="53007" xr:uid="{9E0967AA-75B1-490F-B56B-311494C8EDE2}"/>
    <cellStyle name="Komma 2 3 4 2" xfId="10509" xr:uid="{88F697EE-01B8-42E1-9AC9-8AF8B0C620B0}"/>
    <cellStyle name="Komma 2 3 4 2 2" xfId="14901" xr:uid="{DFC61971-D9DD-420A-A20D-FE7E2CC5B62D}"/>
    <cellStyle name="Komma 2 3 4 2 2 2" xfId="22448" xr:uid="{07EB5517-9B35-4A68-A321-65FE32283B2E}"/>
    <cellStyle name="Komma 2 3 4 2 2 3" xfId="48355" xr:uid="{D5907C83-B701-4F8A-B898-5D40E82C6E83}"/>
    <cellStyle name="Komma 2 3 4 2 2 4" xfId="51786" xr:uid="{407D2140-C8BD-4BF0-82E5-1E24B1388A47}"/>
    <cellStyle name="Komma 2 3 4 2 2 5" xfId="54802" xr:uid="{CD7C37CE-2A03-4A5F-985C-EDBB27A7E9A7}"/>
    <cellStyle name="Komma 2 3 4 2 3" xfId="15386" xr:uid="{93652026-8840-4923-9DFD-36C66718019E}"/>
    <cellStyle name="Komma 2 3 4 2 3 2" xfId="22925" xr:uid="{75271AAA-5E4E-4456-B2E1-F7DEDA38085D}"/>
    <cellStyle name="Komma 2 3 4 2 3 3" xfId="46524" xr:uid="{30B59BE1-F8AF-42EE-91FE-F040978988B7}"/>
    <cellStyle name="Komma 2 3 4 2 3 4" xfId="52263" xr:uid="{A04B96DA-77E3-4CC5-A249-A6965D0AB5AB}"/>
    <cellStyle name="Komma 2 3 4 2 3 5" xfId="55279" xr:uid="{2CA4B1E5-02CB-4679-842C-F3CE792B2D85}"/>
    <cellStyle name="Komma 2 3 4 2 4" xfId="15873" xr:uid="{F5BAE75D-1A1C-4CB1-8694-F963593207CE}"/>
    <cellStyle name="Komma 2 3 4 2 4 2" xfId="23402" xr:uid="{6ECBF6E9-9BE4-49A2-871A-77870618BE2D}"/>
    <cellStyle name="Komma 2 3 4 2 4 3" xfId="34466" xr:uid="{52A50EA1-ED97-4145-ABE7-FC8BA79AB69C}"/>
    <cellStyle name="Komma 2 3 4 2 4 4" xfId="52740" xr:uid="{E24C8B78-69D6-4860-A7C7-D023478E3CBD}"/>
    <cellStyle name="Komma 2 3 4 2 4 5" xfId="55756" xr:uid="{5DA77F89-2992-40F1-8ED3-D9B0A56B0C13}"/>
    <cellStyle name="Komma 2 3 4 2 5" xfId="12962" xr:uid="{95E2050A-1232-4B4F-A24E-C6BFB3DE4903}"/>
    <cellStyle name="Komma 2 3 4 2 5 2" xfId="46673" xr:uid="{26FD9211-B57B-4A4F-A372-861BFA1F8AAE}"/>
    <cellStyle name="Komma 2 3 4 2 5 3" xfId="51309" xr:uid="{05FF9A5A-E68C-4753-80A2-5D59145807F5}"/>
    <cellStyle name="Komma 2 3 4 2 5 4" xfId="54325" xr:uid="{59EEC905-736F-4B31-8641-FBD954055493}"/>
    <cellStyle name="Komma 2 3 4 2 6" xfId="24260" xr:uid="{4344C6CB-85A0-4CD2-8607-708841160970}"/>
    <cellStyle name="Komma 2 3 4 2 7" xfId="50203" xr:uid="{A3885C00-5F45-4673-9E75-3E1E67F1FCC4}"/>
    <cellStyle name="Komma 2 3 4 2 8" xfId="53219" xr:uid="{BB84AE07-41DE-4CD7-BBB7-239FEC0F6D2E}"/>
    <cellStyle name="Komma 2 3 4 3" xfId="14689" xr:uid="{5E5EB796-9B67-40FB-99DD-363C330280E6}"/>
    <cellStyle name="Komma 2 3 4 3 2" xfId="22236" xr:uid="{6A57A22E-88BA-4ACB-AB0B-88043820EEA9}"/>
    <cellStyle name="Komma 2 3 4 3 3" xfId="48502" xr:uid="{6F068638-85CE-463B-A284-58604E09695C}"/>
    <cellStyle name="Komma 2 3 4 3 4" xfId="51574" xr:uid="{C93DE7C7-4652-4B5E-AE4F-70A2A3325702}"/>
    <cellStyle name="Komma 2 3 4 3 5" xfId="54590" xr:uid="{3F7133E6-842A-44F1-B4C3-CBB057B652DE}"/>
    <cellStyle name="Komma 2 3 4 4" xfId="15174" xr:uid="{DC5BA5A2-2A75-489B-8DC0-50B3E92D06A0}"/>
    <cellStyle name="Komma 2 3 4 4 2" xfId="22713" xr:uid="{15199F93-A33C-4134-A093-506275E7FE80}"/>
    <cellStyle name="Komma 2 3 4 4 3" xfId="46889" xr:uid="{DBCADE43-6DE8-4FD1-91B8-78DCED728FC0}"/>
    <cellStyle name="Komma 2 3 4 4 4" xfId="52051" xr:uid="{CA3440A6-C442-4E36-AD68-8C058741D40F}"/>
    <cellStyle name="Komma 2 3 4 4 5" xfId="55067" xr:uid="{F3373482-2199-4CEA-A8E9-37216C41845A}"/>
    <cellStyle name="Komma 2 3 4 5" xfId="15661" xr:uid="{4D188056-6C30-4A54-BB09-44C722BCC45C}"/>
    <cellStyle name="Komma 2 3 4 5 2" xfId="23190" xr:uid="{CCC47464-EFC6-46C7-B99D-140437FDECDB}"/>
    <cellStyle name="Komma 2 3 4 5 3" xfId="47136" xr:uid="{585D250A-37D5-4CC4-8935-E90961CB2F56}"/>
    <cellStyle name="Komma 2 3 4 5 4" xfId="52528" xr:uid="{B93FC8A2-FB6E-4932-97E7-D26457FA7EA4}"/>
    <cellStyle name="Komma 2 3 4 5 5" xfId="55544" xr:uid="{95E715D9-F635-4E71-84E6-ACA5CC3C1908}"/>
    <cellStyle name="Komma 2 3 4 6" xfId="12649" xr:uid="{56D0A798-1899-4ED3-BB5C-6B54A91D5F6D}"/>
    <cellStyle name="Komma 2 3 4 6 2" xfId="46780" xr:uid="{452B5F3E-3CEA-4EA1-8B17-EF4548D24F55}"/>
    <cellStyle name="Komma 2 3 4 6 3" xfId="51097" xr:uid="{CE81AC21-8615-4EBD-8185-F23943105068}"/>
    <cellStyle name="Komma 2 3 4 6 4" xfId="54113" xr:uid="{69F33748-4697-4810-951D-2B6B6897C657}"/>
    <cellStyle name="Komma 2 3 4 7" xfId="35610" xr:uid="{5B6956D9-002E-4C08-A68C-EC67A250DB99}"/>
    <cellStyle name="Komma 2 3 4 8" xfId="47797" xr:uid="{F51E6FBE-CC4A-4632-8225-D07CB08EB947}"/>
    <cellStyle name="Komma 2 3 4 9" xfId="49991" xr:uid="{D94F602E-B1D5-421E-99C8-17710D6FA48E}"/>
    <cellStyle name="Komma 2 3 5" xfId="10275" xr:uid="{4BC599D3-DA8B-4A3F-9C68-C81442793E70}"/>
    <cellStyle name="Komma 2 3 5 2" xfId="14742" xr:uid="{53AB23D5-4225-40A0-A05C-24A5C9CA933A}"/>
    <cellStyle name="Komma 2 3 5 2 2" xfId="22289" xr:uid="{91C6713D-48ED-41A7-82C9-FCABFF75EEE4}"/>
    <cellStyle name="Komma 2 3 5 2 3" xfId="24953" xr:uid="{060FB549-4503-4E04-9004-5CF3F02DFDD7}"/>
    <cellStyle name="Komma 2 3 5 2 4" xfId="51627" xr:uid="{A54614A8-BBA1-4EC0-8C26-64E68BD8D5CF}"/>
    <cellStyle name="Komma 2 3 5 2 5" xfId="54643" xr:uid="{6CB1B16F-2666-4B21-996D-06798A79CBD9}"/>
    <cellStyle name="Komma 2 3 5 3" xfId="15227" xr:uid="{CDB5E46A-5766-4D5E-84E7-6F88C07BDDC9}"/>
    <cellStyle name="Komma 2 3 5 3 2" xfId="22766" xr:uid="{0D8688C1-45FD-4AD9-AA74-E0E7AC0F6DD2}"/>
    <cellStyle name="Komma 2 3 5 3 3" xfId="47673" xr:uid="{A90FE955-F200-473A-9179-6DADB3A99AFC}"/>
    <cellStyle name="Komma 2 3 5 3 4" xfId="52104" xr:uid="{F0115641-6C75-4F06-B109-1DE7ED53F084}"/>
    <cellStyle name="Komma 2 3 5 3 5" xfId="55120" xr:uid="{50036D49-993D-4B54-8B83-DE04E5A0478B}"/>
    <cellStyle name="Komma 2 3 5 4" xfId="15714" xr:uid="{E3EF93BF-AF6E-4ABB-880B-0E7B2A1B7C2E}"/>
    <cellStyle name="Komma 2 3 5 4 2" xfId="23243" xr:uid="{F95BC4BE-6792-48B2-B9C2-CAA3450E0E23}"/>
    <cellStyle name="Komma 2 3 5 4 3" xfId="24895" xr:uid="{F1F5C97A-B354-4E50-8F66-E3E32DC7A444}"/>
    <cellStyle name="Komma 2 3 5 4 4" xfId="52581" xr:uid="{CB56C7C9-F560-4669-B713-A668C946A75D}"/>
    <cellStyle name="Komma 2 3 5 4 5" xfId="55597" xr:uid="{667DABBF-868A-424E-A5A5-55E97B95FBAC}"/>
    <cellStyle name="Komma 2 3 5 5" xfId="12728" xr:uid="{69E44821-C11F-4AA2-839B-F87DB5F91EE6}"/>
    <cellStyle name="Komma 2 3 5 5 2" xfId="47321" xr:uid="{C27ED208-F9A8-4341-9397-293006B1A08F}"/>
    <cellStyle name="Komma 2 3 5 5 3" xfId="51150" xr:uid="{D9A45CDC-80B8-4BC9-B0D1-8686C04A1E9E}"/>
    <cellStyle name="Komma 2 3 5 5 4" xfId="54166" xr:uid="{44BD42BB-F494-4477-A774-6574F4D0D6C2}"/>
    <cellStyle name="Komma 2 3 5 6" xfId="40726" xr:uid="{A9ACE18A-B7BA-4332-BD55-9F3ED7D0A636}"/>
    <cellStyle name="Komma 2 3 5 7" xfId="47580" xr:uid="{E149E4C7-4E20-4863-B6EC-5B4A8C05B98B}"/>
    <cellStyle name="Komma 2 3 5 8" xfId="50044" xr:uid="{8E44DB81-79CF-4DB9-9212-87AFB6015BAB}"/>
    <cellStyle name="Komma 2 3 5 9" xfId="53060" xr:uid="{EB0E21B8-0FB9-4217-B343-815E6C23396A}"/>
    <cellStyle name="Komma 2 3 6" xfId="10589" xr:uid="{2EFFD187-8A12-43A0-9C31-711D9B5F5253}"/>
    <cellStyle name="Komma 2 3 6 2" xfId="14954" xr:uid="{528260F5-9F73-499C-B386-8E40626B349F}"/>
    <cellStyle name="Komma 2 3 6 2 2" xfId="22501" xr:uid="{A702F3F0-ED70-4E2D-A9AC-9A9E81139B4C}"/>
    <cellStyle name="Komma 2 3 6 2 3" xfId="47244" xr:uid="{E26175CB-716F-454A-9493-1373BA55D470}"/>
    <cellStyle name="Komma 2 3 6 2 4" xfId="51839" xr:uid="{C4A480EE-8BC4-42F7-B641-171B194BED44}"/>
    <cellStyle name="Komma 2 3 6 2 5" xfId="54855" xr:uid="{30FC2460-F256-42B8-B34C-604D71839E40}"/>
    <cellStyle name="Komma 2 3 6 3" xfId="15439" xr:uid="{A4560CEE-6496-45A3-AFDF-704FD14D45E5}"/>
    <cellStyle name="Komma 2 3 6 3 2" xfId="22978" xr:uid="{CB12B53E-D306-4123-9895-032DC26BE751}"/>
    <cellStyle name="Komma 2 3 6 3 3" xfId="46535" xr:uid="{0805FB4B-96EA-492A-B591-E45DEFB7D555}"/>
    <cellStyle name="Komma 2 3 6 3 4" xfId="52316" xr:uid="{DF9C80C9-48BC-4EBC-8C9A-94D6B81D3C70}"/>
    <cellStyle name="Komma 2 3 6 3 5" xfId="55332" xr:uid="{EAEF4EE6-8E45-4A43-A310-FBDE3E29EEB2}"/>
    <cellStyle name="Komma 2 3 6 4" xfId="15927" xr:uid="{0A39709D-719A-4BF3-9A4D-AF8B50301C0A}"/>
    <cellStyle name="Komma 2 3 6 4 2" xfId="23455" xr:uid="{98CBB567-4B3C-4D38-A078-5F78FA763088}"/>
    <cellStyle name="Komma 2 3 6 4 3" xfId="47714" xr:uid="{08E3474D-1E12-472E-B34B-D6D3D76C3A96}"/>
    <cellStyle name="Komma 2 3 6 4 4" xfId="52793" xr:uid="{ECAA7591-4A27-4E3D-A722-65C87A19B31C}"/>
    <cellStyle name="Komma 2 3 6 4 5" xfId="55809" xr:uid="{1496B708-8980-4823-8441-6B278D0197C2}"/>
    <cellStyle name="Komma 2 3 6 5" xfId="13042" xr:uid="{203F2E71-9D84-4584-9154-AC6FEAF37E80}"/>
    <cellStyle name="Komma 2 3 6 5 2" xfId="48111" xr:uid="{792011D6-6B13-4CAA-AFAC-E66BFD2FAD04}"/>
    <cellStyle name="Komma 2 3 6 5 3" xfId="51362" xr:uid="{E1661167-7CE8-42D8-B59C-A2716EBA47D3}"/>
    <cellStyle name="Komma 2 3 6 5 4" xfId="54378" xr:uid="{D745172D-862B-4824-9D06-FC01EBC7F20F}"/>
    <cellStyle name="Komma 2 3 6 6" xfId="47068" xr:uid="{399AACA4-D4A3-4991-9644-300DF926A0E1}"/>
    <cellStyle name="Komma 2 3 6 7" xfId="50256" xr:uid="{A6056099-3F81-4082-BB53-DE57021A394E}"/>
    <cellStyle name="Komma 2 3 6 8" xfId="53272" xr:uid="{91F2DE21-E2FE-4247-9EDE-5A80BCCEB6CB}"/>
    <cellStyle name="Komma 2 3 7" xfId="14530" xr:uid="{6C1C4F4D-8AAF-4611-9DB4-E3B73B620947}"/>
    <cellStyle name="Komma 2 3 7 2" xfId="22077" xr:uid="{6B7D59E2-4FD9-4C4E-8F5F-73666B136CF3}"/>
    <cellStyle name="Komma 2 3 7 3" xfId="32532" xr:uid="{28BACC8D-62D1-4420-9E2D-BA83559CFEDB}"/>
    <cellStyle name="Komma 2 3 7 4" xfId="51415" xr:uid="{ECEBD9EB-BDED-4601-8661-437E8B4B3D2A}"/>
    <cellStyle name="Komma 2 3 7 5" xfId="54431" xr:uid="{63899E44-5DCC-4719-BD0F-5094E075C7C3}"/>
    <cellStyle name="Komma 2 3 8" xfId="15014" xr:uid="{84EE7916-8DF3-4F2C-8E14-12DB0D775A74}"/>
    <cellStyle name="Komma 2 3 8 2" xfId="22554" xr:uid="{6647DF25-AA1C-4E0F-A1A1-9927C67E66DB}"/>
    <cellStyle name="Komma 2 3 8 3" xfId="46467" xr:uid="{9EB4DEB7-F29B-4076-8639-C80BD9F5B621}"/>
    <cellStyle name="Komma 2 3 8 4" xfId="51892" xr:uid="{80B70CBB-EDF4-4978-92B6-0D71EFE01C1B}"/>
    <cellStyle name="Komma 2 3 8 5" xfId="54908" xr:uid="{4C38AE7E-AF2B-4FB1-9126-D162D9BC334E}"/>
    <cellStyle name="Komma 2 3 9" xfId="15501" xr:uid="{754A43DA-6C06-40A2-A7BD-E3DA02FA2128}"/>
    <cellStyle name="Komma 2 3 9 2" xfId="23031" xr:uid="{CC3F032D-4C8E-48D3-B7C3-C3828D1FB350}"/>
    <cellStyle name="Komma 2 3 9 3" xfId="47973" xr:uid="{2BC0306F-CE0E-4CC3-87C8-D748C636A9B5}"/>
    <cellStyle name="Komma 2 3 9 4" xfId="52369" xr:uid="{9A646B6E-4FA8-43FF-81EB-BC8465814D1B}"/>
    <cellStyle name="Komma 2 3 9 5" xfId="55385" xr:uid="{C88121B7-9E0F-4E74-B169-1A17A2B729ED}"/>
    <cellStyle name="Komma 2 4" xfId="9874" xr:uid="{16E29590-B254-4B38-B695-EB5E226AF9E2}"/>
    <cellStyle name="Komma 2 4 10" xfId="49845" xr:uid="{B457BB06-AB4B-40FC-9457-4180FB384D9C}"/>
    <cellStyle name="Komma 2 4 11" xfId="52861" xr:uid="{AFEE2F42-648F-496E-8D2A-DAF20C881BE1}"/>
    <cellStyle name="Komma 2 4 12" xfId="18301" xr:uid="{755C740D-E023-49DC-A86E-5D3FDC9133AF}"/>
    <cellStyle name="Komma 2 4 2" xfId="10297" xr:uid="{70444F9F-04F5-4741-8C83-CB00D75DDE5B}"/>
    <cellStyle name="Komma 2 4 2 10" xfId="53073" xr:uid="{C8B68809-9572-4551-A2BB-0EDE91DDECFD}"/>
    <cellStyle name="Komma 2 4 2 2" xfId="14755" xr:uid="{EC1124BD-1B7C-4BB0-AB24-EF2379ED3A55}"/>
    <cellStyle name="Komma 2 4 2 2 2" xfId="22302" xr:uid="{08553D0E-1C3B-4569-8286-7F1D649573FE}"/>
    <cellStyle name="Komma 2 4 2 2 3" xfId="47240" xr:uid="{545586DD-0519-4452-8D05-C26D68B2E94D}"/>
    <cellStyle name="Komma 2 4 2 2 4" xfId="51640" xr:uid="{8A280D96-4006-4DCC-9FCC-375AB893E2C2}"/>
    <cellStyle name="Komma 2 4 2 2 5" xfId="54656" xr:uid="{7D7CB17A-D272-4C56-B80B-2693B22FEE29}"/>
    <cellStyle name="Komma 2 4 2 3" xfId="15240" xr:uid="{040E6768-8CC3-4373-B5F7-0563AFCD2E41}"/>
    <cellStyle name="Komma 2 4 2 3 2" xfId="22779" xr:uid="{D5FF28C5-6881-44AC-A1CC-60EB925C0857}"/>
    <cellStyle name="Komma 2 4 2 3 3" xfId="47993" xr:uid="{E11E40AA-4359-45F6-8698-AEBA50689989}"/>
    <cellStyle name="Komma 2 4 2 3 4" xfId="52117" xr:uid="{B78075EB-F5AB-4AA9-B0F2-1AB8929F1E83}"/>
    <cellStyle name="Komma 2 4 2 3 5" xfId="55133" xr:uid="{213824A6-1F8A-41DA-B0DC-87E30B178444}"/>
    <cellStyle name="Komma 2 4 2 4" xfId="15727" xr:uid="{1DADD38A-FB43-4D7F-A0B9-3F6C991CC7CE}"/>
    <cellStyle name="Komma 2 4 2 4 2" xfId="23256" xr:uid="{C3653F4E-E149-4D8B-B779-1771C90539FD}"/>
    <cellStyle name="Komma 2 4 2 4 3" xfId="47552" xr:uid="{E8D9E189-EEBA-44CC-8DD4-D86507EBAEDE}"/>
    <cellStyle name="Komma 2 4 2 4 4" xfId="52594" xr:uid="{950F52FF-1045-4338-BCFE-77F9DFB97203}"/>
    <cellStyle name="Komma 2 4 2 4 5" xfId="55610" xr:uid="{5F874E90-75CF-4F59-B0BF-C1899B0DDD1D}"/>
    <cellStyle name="Komma 2 4 2 5" xfId="12750" xr:uid="{616D5FEA-8B04-4F1F-AACD-232FA0DAB60B}"/>
    <cellStyle name="Komma 2 4 2 5 2" xfId="48560" xr:uid="{C913823A-06F8-4208-8B7E-952B839BE16B}"/>
    <cellStyle name="Komma 2 4 2 5 3" xfId="51163" xr:uid="{C341B703-EACF-4DC1-ADF9-2C958A19BB5D}"/>
    <cellStyle name="Komma 2 4 2 5 4" xfId="54179" xr:uid="{DED321B1-B17E-4576-93D6-75ADD77CA493}"/>
    <cellStyle name="Komma 2 4 2 6" xfId="23849" xr:uid="{B4C8C6D2-0197-446B-8A26-98CBA1531EB6}"/>
    <cellStyle name="Komma 2 4 2 7" xfId="48704" xr:uid="{36CAA009-6D5E-4DE0-976B-E8DA97ED7BFB}"/>
    <cellStyle name="Komma 2 4 2 8" xfId="49612" xr:uid="{4A49E392-62DD-44ED-8A1B-FC51C0898C79}"/>
    <cellStyle name="Komma 2 4 2 9" xfId="50057" xr:uid="{44BC4F97-DB4A-40E4-8321-0BD079F6F53A}"/>
    <cellStyle name="Komma 2 4 3" xfId="12453" xr:uid="{E9BD2A03-0AD2-40BF-ADC1-DDA2EB60C800}"/>
    <cellStyle name="Komma 2 4 3 2" xfId="21910" xr:uid="{15BBE580-3853-4E2F-8AE3-AA1DA1F1F4BE}"/>
    <cellStyle name="Komma 2 4 3 3" xfId="23850" xr:uid="{A0C39524-AD44-49EC-A73F-00FB97A8A354}"/>
    <cellStyle name="Komma 2 4 3 4" xfId="48705" xr:uid="{334B3C65-4B55-4010-BE48-4AF93E9640FF}"/>
    <cellStyle name="Komma 2 4 3 5" xfId="49613" xr:uid="{9203D480-F47A-4572-834A-89B69FD2B8C9}"/>
    <cellStyle name="Komma 2 4 3 6" xfId="50951" xr:uid="{24D1AF7A-D458-4A0A-B24E-D459DABE3CCC}"/>
    <cellStyle name="Komma 2 4 3 7" xfId="53967" xr:uid="{1A1CBE8E-5CE9-4624-9F97-DE4B97EFCC8E}"/>
    <cellStyle name="Komma 2 4 4" xfId="14543" xr:uid="{69D79854-261A-4AF7-8FD5-97430956B3B9}"/>
    <cellStyle name="Komma 2 4 4 2" xfId="22090" xr:uid="{C5F8416E-F429-42F1-8192-9198786C4B28}"/>
    <cellStyle name="Komma 2 4 4 3" xfId="46832" xr:uid="{B4E8F12B-83D2-4A30-B955-84AA6CC1CDE5}"/>
    <cellStyle name="Komma 2 4 4 4" xfId="51428" xr:uid="{08C901A6-A10C-4A47-A325-AAC6D5660C3D}"/>
    <cellStyle name="Komma 2 4 4 5" xfId="54444" xr:uid="{387C950D-F82A-45A7-91B8-A53E0BEFF4F7}"/>
    <cellStyle name="Komma 2 4 5" xfId="15027" xr:uid="{916E2002-A882-4794-8647-5E79DFFCE339}"/>
    <cellStyle name="Komma 2 4 5 2" xfId="22567" xr:uid="{3AEEFBB2-D03F-4D55-85BD-9D34E8D9594C}"/>
    <cellStyle name="Komma 2 4 5 3" xfId="46469" xr:uid="{95325C1F-8E84-490E-A940-B519975B0E92}"/>
    <cellStyle name="Komma 2 4 5 4" xfId="51905" xr:uid="{1290473A-D302-43C5-B810-1E13BC864BE9}"/>
    <cellStyle name="Komma 2 4 5 5" xfId="54921" xr:uid="{54F847D8-4017-467A-B6E2-956B6B47C986}"/>
    <cellStyle name="Komma 2 4 6" xfId="15514" xr:uid="{E07D220F-17A2-4312-BA14-9C2047F54A46}"/>
    <cellStyle name="Komma 2 4 6 2" xfId="23044" xr:uid="{CC398384-F62E-40C7-BF38-434B281FCE6C}"/>
    <cellStyle name="Komma 2 4 6 3" xfId="47251" xr:uid="{A1FD7A52-C0F1-44A6-BF4D-A5F5F14D67F3}"/>
    <cellStyle name="Komma 2 4 6 4" xfId="52382" xr:uid="{ECE531C3-EA0C-4EFA-92DA-4CA1DB9EB181}"/>
    <cellStyle name="Komma 2 4 6 5" xfId="55398" xr:uid="{481E4BEA-E098-4A70-AE48-7159BF00E684}"/>
    <cellStyle name="Komma 2 4 7" xfId="11712" xr:uid="{49BE37FA-CA9D-4C97-94AF-C1D1380882A4}"/>
    <cellStyle name="Komma 2 4 7 2" xfId="47461" xr:uid="{DC0D5712-28FE-4BE8-B27D-7BE1EB09BD23}"/>
    <cellStyle name="Komma 2 4 7 3" xfId="23848" xr:uid="{FA836193-7F0C-4A06-B48E-82E7573E1E72}"/>
    <cellStyle name="Komma 2 4 8" xfId="48703" xr:uid="{45335373-2FBE-4DFD-9E18-719CDF7350D5}"/>
    <cellStyle name="Komma 2 4 9" xfId="49611" xr:uid="{A8E18B87-6F8B-4532-BAFE-95A965EC4385}"/>
    <cellStyle name="Komma 2 5" xfId="10063" xr:uid="{5863C6F3-7402-455D-8CD9-11FC20D03B2F}"/>
    <cellStyle name="Komma 2 5 10" xfId="49614" xr:uid="{D3749A7D-BA27-42C3-B6F9-39CA9634CC0E}"/>
    <cellStyle name="Komma 2 5 11" xfId="49898" xr:uid="{BBD9FF5E-D50F-4850-8E64-32CC5E209876}"/>
    <cellStyle name="Komma 2 5 12" xfId="52914" xr:uid="{6E879AA6-382B-4826-8D54-E0FC0463E029}"/>
    <cellStyle name="Komma 2 5 13" xfId="18043" xr:uid="{9E68684F-78E1-400E-A87E-01A66B6726C2}"/>
    <cellStyle name="Komma 2 5 2" xfId="10372" xr:uid="{7BEC3F93-32D3-4B42-BBC3-7C4603885E4C}"/>
    <cellStyle name="Komma 2 5 2 2" xfId="14808" xr:uid="{768AC5C9-15D0-4FA1-B048-695F5A2B9B71}"/>
    <cellStyle name="Komma 2 5 2 2 2" xfId="22355" xr:uid="{C1F654D7-743B-4EFB-AE52-696122739983}"/>
    <cellStyle name="Komma 2 5 2 2 3" xfId="34037" xr:uid="{F900348B-C470-442B-A214-9E754181E98A}"/>
    <cellStyle name="Komma 2 5 2 2 4" xfId="51693" xr:uid="{678928AD-43DB-4BC5-AFE3-88340448B2E0}"/>
    <cellStyle name="Komma 2 5 2 2 5" xfId="54709" xr:uid="{9EF2397B-D6F7-4A4D-86A1-C11A932FE3A4}"/>
    <cellStyle name="Komma 2 5 2 3" xfId="15293" xr:uid="{EC3829F6-7F6D-4667-850E-B42D6ED8E9C8}"/>
    <cellStyle name="Komma 2 5 2 3 2" xfId="22832" xr:uid="{73D9DDC2-7D6B-4719-94E3-1BDE045B9A3D}"/>
    <cellStyle name="Komma 2 5 2 3 3" xfId="47783" xr:uid="{AE75F716-22F0-4A05-99FE-83181821BC0C}"/>
    <cellStyle name="Komma 2 5 2 3 4" xfId="52170" xr:uid="{F0C59905-00AC-47AC-B0F1-2FBA6D029121}"/>
    <cellStyle name="Komma 2 5 2 3 5" xfId="55186" xr:uid="{49E41C78-625B-45B9-ABBF-44A52A5C2A9A}"/>
    <cellStyle name="Komma 2 5 2 4" xfId="15780" xr:uid="{B95EC1B8-9512-462B-AD29-A25A9E4F86BD}"/>
    <cellStyle name="Komma 2 5 2 4 2" xfId="23309" xr:uid="{7E04114A-FF3D-4998-87BC-DE275D74481A}"/>
    <cellStyle name="Komma 2 5 2 4 3" xfId="46584" xr:uid="{5385E5A1-14EE-4A93-A8B9-49783DD35E4C}"/>
    <cellStyle name="Komma 2 5 2 4 4" xfId="52647" xr:uid="{017DC820-E55B-4AF8-91DA-8A3E92F11FA2}"/>
    <cellStyle name="Komma 2 5 2 4 5" xfId="55663" xr:uid="{8214E2FA-3F3C-4343-B75B-8AF3C86058D4}"/>
    <cellStyle name="Komma 2 5 2 5" xfId="12825" xr:uid="{6C48B870-F90B-4542-A2AC-993A3668520D}"/>
    <cellStyle name="Komma 2 5 2 5 2" xfId="47527" xr:uid="{D62A53C7-25F3-4C71-B789-2BB388300740}"/>
    <cellStyle name="Komma 2 5 2 5 3" xfId="51216" xr:uid="{AF099AD0-4413-4321-8680-4567FB5FCD84}"/>
    <cellStyle name="Komma 2 5 2 5 4" xfId="54232" xr:uid="{CC405F29-447A-4F5E-AD7C-61E5F5F79517}"/>
    <cellStyle name="Komma 2 5 2 6" xfId="32274" xr:uid="{E86352AD-AE3C-465E-8454-D8F65EA46ECB}"/>
    <cellStyle name="Komma 2 5 2 7" xfId="46103" xr:uid="{7AA65154-06F8-4546-A1A1-A476650DE3A0}"/>
    <cellStyle name="Komma 2 5 2 8" xfId="50110" xr:uid="{9A09B609-7F8F-4726-AB2C-53081131320B}"/>
    <cellStyle name="Komma 2 5 2 9" xfId="53126" xr:uid="{BEC411F4-3181-4139-BCF6-8617BFB96DD4}"/>
    <cellStyle name="Komma 2 5 3" xfId="12522" xr:uid="{4591F741-67C2-4B77-988E-7C8349DE2345}"/>
    <cellStyle name="Komma 2 5 3 2" xfId="21927" xr:uid="{C75B8743-D3BA-42C5-9D16-D5453AB59D2B}"/>
    <cellStyle name="Komma 2 5 3 3" xfId="32275" xr:uid="{233F2177-75FE-4845-BCCC-36F3B57B96A7}"/>
    <cellStyle name="Komma 2 5 3 4" xfId="32292" xr:uid="{D8DBA71D-1856-448A-A5F0-E809F3336691}"/>
    <cellStyle name="Komma 2 5 3 5" xfId="51004" xr:uid="{8D0E9333-4538-465C-8498-CBA71BA185F2}"/>
    <cellStyle name="Komma 2 5 3 6" xfId="54020" xr:uid="{17E7143A-A67A-4AC5-A5AD-1355505B35FF}"/>
    <cellStyle name="Komma 2 5 4" xfId="14596" xr:uid="{1047D8C0-3861-4152-80E7-7C9C10AD74F4}"/>
    <cellStyle name="Komma 2 5 4 2" xfId="22143" xr:uid="{07D3EE5C-9E4E-4A64-B9D2-414C3EA89578}"/>
    <cellStyle name="Komma 2 5 4 3" xfId="48206" xr:uid="{641B35EE-0D8B-4EDA-81FB-4F5E4AB2A252}"/>
    <cellStyle name="Komma 2 5 4 4" xfId="51481" xr:uid="{C7624E9E-DBFE-4236-B8A8-6BD750ABF849}"/>
    <cellStyle name="Komma 2 5 4 5" xfId="54497" xr:uid="{8AFC4682-E965-40D1-8EAD-B1899AA73AC3}"/>
    <cellStyle name="Komma 2 5 5" xfId="15081" xr:uid="{3BB3D005-DC1C-4503-A3FC-17F4DD77A71B}"/>
    <cellStyle name="Komma 2 5 5 2" xfId="22620" xr:uid="{3BAAAB15-8481-4D7E-873D-98F26794DF0A}"/>
    <cellStyle name="Komma 2 5 5 3" xfId="46475" xr:uid="{34E8C83F-C6E6-43E3-BB63-D6C46BC4E60E}"/>
    <cellStyle name="Komma 2 5 5 4" xfId="51958" xr:uid="{6AD95CB1-D665-43F5-A3B0-08197BDE28C5}"/>
    <cellStyle name="Komma 2 5 5 5" xfId="54974" xr:uid="{716F7ED1-8EDB-41C9-9B73-2813F42A3928}"/>
    <cellStyle name="Komma 2 5 6" xfId="15568" xr:uid="{CD3BBDA5-F6DC-4D89-858C-2ED6D32D7F1F}"/>
    <cellStyle name="Komma 2 5 6 2" xfId="23097" xr:uid="{EA86088F-4245-4ACD-9FD6-DC6907F2A894}"/>
    <cellStyle name="Komma 2 5 6 3" xfId="24165" xr:uid="{76CE44B0-FD41-4551-9971-AD8DC61A6C6A}"/>
    <cellStyle name="Komma 2 5 6 4" xfId="52435" xr:uid="{3A22D88D-D6A1-4236-81D5-8012ACB0DC8F}"/>
    <cellStyle name="Komma 2 5 6 5" xfId="55451" xr:uid="{EE0FE5D0-3A67-4616-BCCD-AD1FA32452A7}"/>
    <cellStyle name="Komma 2 5 7" xfId="11144" xr:uid="{7FC5BAA9-048B-4438-BE37-C825C524C1D4}"/>
    <cellStyle name="Komma 2 5 7 2" xfId="46273" xr:uid="{1926706F-E5D0-426E-9ED0-D4186A1B647F}"/>
    <cellStyle name="Komma 2 5 7 3" xfId="23851" xr:uid="{D9B82CFD-8599-4948-B8D5-D72417A909FD}"/>
    <cellStyle name="Komma 2 5 8" xfId="46035" xr:uid="{E1852AEB-BBDD-4ED8-9820-43F309F94AAE}"/>
    <cellStyle name="Komma 2 5 9" xfId="48706" xr:uid="{173568BE-D547-4D3D-88C5-C930315592AF}"/>
    <cellStyle name="Komma 2 6" xfId="10138" xr:uid="{827AB66F-774A-4CBE-BE6D-698173BBD2BB}"/>
    <cellStyle name="Komma 2 6 10" xfId="49951" xr:uid="{3C7E650F-046A-4CF2-961D-370C3532D6FF}"/>
    <cellStyle name="Komma 2 6 11" xfId="52967" xr:uid="{F7543BED-AF66-4D7C-B7E4-6B9C09FA4456}"/>
    <cellStyle name="Komma 2 6 2" xfId="10452" xr:uid="{8E916317-D446-4F6D-864F-80F3F600C8E5}"/>
    <cellStyle name="Komma 2 6 2 2" xfId="14861" xr:uid="{790ABCA7-6859-4551-AA55-210B3BE9E10D}"/>
    <cellStyle name="Komma 2 6 2 2 2" xfId="22408" xr:uid="{2D7F8F4F-66EB-4643-8D6C-BB3982385E10}"/>
    <cellStyle name="Komma 2 6 2 2 3" xfId="48410" xr:uid="{45B2976D-8CDB-42DB-9E7D-DC03DA138C42}"/>
    <cellStyle name="Komma 2 6 2 2 4" xfId="51746" xr:uid="{5D29C909-2EF1-464C-B8E0-2004DA2CB732}"/>
    <cellStyle name="Komma 2 6 2 2 5" xfId="54762" xr:uid="{B19C3442-4B2D-4A9C-8C10-92C2BE9E4F01}"/>
    <cellStyle name="Komma 2 6 2 3" xfId="15346" xr:uid="{8863053A-5E8A-42BB-8332-022B1B99BD8B}"/>
    <cellStyle name="Komma 2 6 2 3 2" xfId="22885" xr:uid="{5AC534A2-F691-41D8-997D-4C94E4AA2049}"/>
    <cellStyle name="Komma 2 6 2 3 3" xfId="46909" xr:uid="{D3EB03C8-5866-48A8-A367-B53C6D1D3D04}"/>
    <cellStyle name="Komma 2 6 2 3 4" xfId="52223" xr:uid="{5D7C679C-23AE-4125-BCA4-2D3ED9D9EDD4}"/>
    <cellStyle name="Komma 2 6 2 3 5" xfId="55239" xr:uid="{F2E94A1F-3507-47CF-B80B-9513228B4545}"/>
    <cellStyle name="Komma 2 6 2 4" xfId="15833" xr:uid="{D941FA85-1C81-4643-BF28-2C15C743B7A2}"/>
    <cellStyle name="Komma 2 6 2 4 2" xfId="23362" xr:uid="{83710A33-ACF5-48C6-8DA5-DCF0FBF8CC7D}"/>
    <cellStyle name="Komma 2 6 2 4 3" xfId="24645" xr:uid="{889D748B-D882-4B5E-A001-459E114D8DDD}"/>
    <cellStyle name="Komma 2 6 2 4 4" xfId="52700" xr:uid="{AEA80100-653D-4FFF-A017-EAF99171CC53}"/>
    <cellStyle name="Komma 2 6 2 4 5" xfId="55716" xr:uid="{1609E4B9-711E-49DE-A8BA-243864DEC58A}"/>
    <cellStyle name="Komma 2 6 2 5" xfId="12905" xr:uid="{4D567306-48BA-41FE-BF42-D3E8AC0242A9}"/>
    <cellStyle name="Komma 2 6 2 5 2" xfId="46809" xr:uid="{B3122795-C9BE-49EB-BE29-B018659AF41C}"/>
    <cellStyle name="Komma 2 6 2 5 3" xfId="51269" xr:uid="{7E99E300-133E-4AE4-988E-68DB2B06E467}"/>
    <cellStyle name="Komma 2 6 2 5 4" xfId="54285" xr:uid="{D60979B8-FCB0-440D-BD14-08C7228C1662}"/>
    <cellStyle name="Komma 2 6 2 6" xfId="47262" xr:uid="{26231CF8-3ED1-4F11-B140-DECBAF3055E8}"/>
    <cellStyle name="Komma 2 6 2 7" xfId="50163" xr:uid="{C7120145-A1C5-4837-BBA8-0F2A4212B3C0}"/>
    <cellStyle name="Komma 2 6 2 8" xfId="53179" xr:uid="{4CE9E5A6-5C66-426D-B71A-3F6C7AAAE3FB}"/>
    <cellStyle name="Komma 2 6 3" xfId="14649" xr:uid="{DEE27B54-A21C-40D8-9619-B47104B0B2EB}"/>
    <cellStyle name="Komma 2 6 3 2" xfId="22196" xr:uid="{98D62D4D-B960-4C9A-B6C7-0C5D4ED4B474}"/>
    <cellStyle name="Komma 2 6 3 3" xfId="46678" xr:uid="{4F43C802-7BE6-440A-BA6B-B479F5642DA3}"/>
    <cellStyle name="Komma 2 6 3 4" xfId="51534" xr:uid="{9F44BCA4-D586-4114-B122-6198B6106F98}"/>
    <cellStyle name="Komma 2 6 3 5" xfId="54550" xr:uid="{B95F7D90-BF62-4F91-A23C-8221A1D15FA1}"/>
    <cellStyle name="Komma 2 6 4" xfId="15134" xr:uid="{62C7D777-A5BB-4163-B931-79AEFE1CDC8C}"/>
    <cellStyle name="Komma 2 6 4 2" xfId="22673" xr:uid="{9A85CFCD-C464-4796-B531-02D32E1A57C2}"/>
    <cellStyle name="Komma 2 6 4 3" xfId="47127" xr:uid="{0EC00DE5-0175-403D-8D1C-81276CF22004}"/>
    <cellStyle name="Komma 2 6 4 4" xfId="52011" xr:uid="{34727BD6-5B84-4E19-8B44-D0A09C5C3578}"/>
    <cellStyle name="Komma 2 6 4 5" xfId="55027" xr:uid="{95A8DC6A-EE73-4F27-B0A6-DBB384F84BBA}"/>
    <cellStyle name="Komma 2 6 5" xfId="15621" xr:uid="{E01925A5-D0A1-4F6E-9215-8A737E384C4E}"/>
    <cellStyle name="Komma 2 6 5 2" xfId="23150" xr:uid="{9DB1D160-99CD-44BE-8F8C-F64F13997238}"/>
    <cellStyle name="Komma 2 6 5 3" xfId="47197" xr:uid="{7BC8607C-07B8-4D83-9128-B0C5CC42C423}"/>
    <cellStyle name="Komma 2 6 5 4" xfId="52488" xr:uid="{FF09E442-99B7-4E89-816F-4F9FEA154B65}"/>
    <cellStyle name="Komma 2 6 5 5" xfId="55504" xr:uid="{C19357D4-9491-44CB-995F-ED22C1CEF4A6}"/>
    <cellStyle name="Komma 2 6 6" xfId="12594" xr:uid="{A81C32CF-B473-4CF2-A33D-1A86836F093F}"/>
    <cellStyle name="Komma 2 6 6 2" xfId="33401" xr:uid="{121F76B3-20DD-4AD2-99B7-CE89555A4EEF}"/>
    <cellStyle name="Komma 2 6 6 3" xfId="51057" xr:uid="{A8D35940-490A-42B0-BBC0-B6DA2BC9CF03}"/>
    <cellStyle name="Komma 2 6 6 4" xfId="54073" xr:uid="{8EBA535C-D2F0-4C11-982C-568A715AF414}"/>
    <cellStyle name="Komma 2 6 7" xfId="23852" xr:uid="{8E183DD6-30E9-44F1-8F75-4C3D69E33F23}"/>
    <cellStyle name="Komma 2 6 8" xfId="48707" xr:uid="{A031EB6B-1633-460F-805C-BA0E83C8F8A1}"/>
    <cellStyle name="Komma 2 6 9" xfId="49615" xr:uid="{F08367E9-B5F7-49F4-AE3C-7F8442CD4213}"/>
    <cellStyle name="Komma 2 7" xfId="10218" xr:uid="{A1905E97-5B75-4E4C-8976-E59F6FBA3BD2}"/>
    <cellStyle name="Komma 2 7 10" xfId="53020" xr:uid="{D820182A-C7EE-4AE3-BCCB-AA77435CDE17}"/>
    <cellStyle name="Komma 2 7 2" xfId="14702" xr:uid="{F4BABD99-5BED-44F8-980F-501C89ABF812}"/>
    <cellStyle name="Komma 2 7 2 2" xfId="22249" xr:uid="{5E4DE7B8-B8E4-4343-8A07-64E64FD71B54}"/>
    <cellStyle name="Komma 2 7 2 3" xfId="48208" xr:uid="{47B1E204-FD5A-4591-95DE-0CD7D19F7765}"/>
    <cellStyle name="Komma 2 7 2 4" xfId="51587" xr:uid="{B6B71F77-FAD7-4BAB-807B-11982E30ADAE}"/>
    <cellStyle name="Komma 2 7 2 5" xfId="54603" xr:uid="{3FCE57E2-628C-4B75-80B7-1F107698FBB8}"/>
    <cellStyle name="Komma 2 7 3" xfId="15187" xr:uid="{702065F6-0961-4E96-B21D-52A327DEF7E5}"/>
    <cellStyle name="Komma 2 7 3 2" xfId="22726" xr:uid="{59570C6B-A4D4-4E58-B6A9-993692E4E4BE}"/>
    <cellStyle name="Komma 2 7 3 3" xfId="48442" xr:uid="{BB0E6A19-6B39-4DC7-B26B-0B71102A687E}"/>
    <cellStyle name="Komma 2 7 3 4" xfId="52064" xr:uid="{EA2923CB-1758-4149-8234-ECF584548E98}"/>
    <cellStyle name="Komma 2 7 3 5" xfId="55080" xr:uid="{827B4F7C-94C8-49D4-A00E-30CB0EC11FF8}"/>
    <cellStyle name="Komma 2 7 4" xfId="15674" xr:uid="{7A1018CB-EFA3-4AB8-8742-BC375FCE08FF}"/>
    <cellStyle name="Komma 2 7 4 2" xfId="23203" xr:uid="{0178EE8D-F182-4126-A381-D77AD1FD97DB}"/>
    <cellStyle name="Komma 2 7 4 3" xfId="47946" xr:uid="{7A75526E-AF7D-44E2-B0DE-8189C5E6C25D}"/>
    <cellStyle name="Komma 2 7 4 4" xfId="52541" xr:uid="{F6DD0DC7-54C1-43FB-813D-C272364F765D}"/>
    <cellStyle name="Komma 2 7 4 5" xfId="55557" xr:uid="{1CBC2EC0-C27C-47AA-9805-EBBFEC44B251}"/>
    <cellStyle name="Komma 2 7 5" xfId="12671" xr:uid="{36566C38-85C5-4268-A586-F8D8222CA550}"/>
    <cellStyle name="Komma 2 7 5 2" xfId="47760" xr:uid="{4F7778B5-16E7-421F-8019-8D00631F0F28}"/>
    <cellStyle name="Komma 2 7 5 3" xfId="51110" xr:uid="{BA0747E6-BC7F-4FE6-9DEA-053124623460}"/>
    <cellStyle name="Komma 2 7 5 4" xfId="54126" xr:uid="{E1809FCD-A405-47A9-9C06-AF4AA721E136}"/>
    <cellStyle name="Komma 2 7 6" xfId="23853" xr:uid="{C36C3BF7-C32C-4B46-AA5D-015BA1C63914}"/>
    <cellStyle name="Komma 2 7 7" xfId="48708" xr:uid="{04411F98-E12E-4BB1-AF4E-AC68ADDDE20C}"/>
    <cellStyle name="Komma 2 7 8" xfId="49616" xr:uid="{7B01A15C-7BC4-4302-8E2D-17B114980C7C}"/>
    <cellStyle name="Komma 2 7 9" xfId="50004" xr:uid="{43B35BB5-1F30-44FC-889E-F38E696C08DD}"/>
    <cellStyle name="Komma 2 8" xfId="10532" xr:uid="{BD4ECD5D-AFBE-4188-9ED2-180F9BF63CD9}"/>
    <cellStyle name="Komma 2 8 10" xfId="53232" xr:uid="{3CAD4A57-5DC9-4046-8F1B-5146AA50FDD6}"/>
    <cellStyle name="Komma 2 8 2" xfId="14914" xr:uid="{90F64A7C-DD9A-45E8-849F-824EFABF45DE}"/>
    <cellStyle name="Komma 2 8 2 2" xfId="22461" xr:uid="{2C9FC4DC-F4CB-46B0-98E2-87E179189B8A}"/>
    <cellStyle name="Komma 2 8 2 3" xfId="32723" xr:uid="{7E39E11F-FB29-4EE8-B198-347503C92458}"/>
    <cellStyle name="Komma 2 8 2 4" xfId="51799" xr:uid="{2CD8E949-E878-4AFA-9B9A-0222F050A131}"/>
    <cellStyle name="Komma 2 8 2 5" xfId="54815" xr:uid="{945AA853-39BC-4BDE-81DD-7CA6B7037DBA}"/>
    <cellStyle name="Komma 2 8 3" xfId="15399" xr:uid="{56F19E0D-8F29-458D-944E-1474FFF0258E}"/>
    <cellStyle name="Komma 2 8 3 2" xfId="22938" xr:uid="{A8C5BA67-4B9B-4EE6-A15E-4DE1454016ED}"/>
    <cellStyle name="Komma 2 8 3 3" xfId="48363" xr:uid="{F0D73622-1A4D-43A9-A935-84FC2B55FAEB}"/>
    <cellStyle name="Komma 2 8 3 4" xfId="52276" xr:uid="{8A1B3306-9142-4444-9FC5-A0D67B237790}"/>
    <cellStyle name="Komma 2 8 3 5" xfId="55292" xr:uid="{C7104224-F9CE-415D-B75B-7FFEE4485751}"/>
    <cellStyle name="Komma 2 8 4" xfId="15887" xr:uid="{C4953D1D-2369-4C38-89C2-9B95859AD582}"/>
    <cellStyle name="Komma 2 8 4 2" xfId="23415" xr:uid="{C33C1992-23B6-43C1-9172-81B2CAE734D3}"/>
    <cellStyle name="Komma 2 8 4 3" xfId="36254" xr:uid="{636A6932-B632-43E5-B961-BC127891201C}"/>
    <cellStyle name="Komma 2 8 4 4" xfId="52753" xr:uid="{0DC8FA2B-A67A-4698-9973-60E55E0EBA17}"/>
    <cellStyle name="Komma 2 8 4 5" xfId="55769" xr:uid="{2990B112-5368-481B-959B-CA7D7747F514}"/>
    <cellStyle name="Komma 2 8 5" xfId="12985" xr:uid="{AF3A543F-2DD5-4F2A-93C9-842904937CCA}"/>
    <cellStyle name="Komma 2 8 5 2" xfId="46380" xr:uid="{1F320973-EB17-4FB1-989B-1BB6501776C2}"/>
    <cellStyle name="Komma 2 8 5 3" xfId="51322" xr:uid="{3596A864-30F0-4B67-B036-7460C848317D}"/>
    <cellStyle name="Komma 2 8 5 4" xfId="54338" xr:uid="{F70C045C-39E1-4877-BBDD-8DC509BF9078}"/>
    <cellStyle name="Komma 2 8 6" xfId="23854" xr:uid="{25B5AE03-B0A7-44A2-9976-14F731F54075}"/>
    <cellStyle name="Komma 2 8 7" xfId="48709" xr:uid="{6FE66FAE-A152-4BAA-8A64-D606F9D45E68}"/>
    <cellStyle name="Komma 2 8 8" xfId="49617" xr:uid="{849B895F-2A3D-4BFB-8B6B-132C4FB25BF2}"/>
    <cellStyle name="Komma 2 8 9" xfId="50216" xr:uid="{0D661020-589D-4269-B1DB-AB11D19AF647}"/>
    <cellStyle name="Komma 2 9" xfId="14490" xr:uid="{92D3DC77-7AE3-445E-9C82-CA38FE73D7B7}"/>
    <cellStyle name="Komma 2 9 2" xfId="22037" xr:uid="{01108B0D-E510-4EDF-859A-FBE6FE5E7B7C}"/>
    <cellStyle name="Komma 2 9 3" xfId="23855" xr:uid="{936F42CD-6B46-44EB-9D1F-CC2915DEE619}"/>
    <cellStyle name="Komma 2 9 4" xfId="51375" xr:uid="{50251EEA-4487-4497-874D-7FEE22BF76D5}"/>
    <cellStyle name="Komma 2 9 5" xfId="54391" xr:uid="{890C1D9B-EB3B-4A2B-B228-38824DFB5028}"/>
    <cellStyle name="Komma 3" xfId="2814" xr:uid="{074034F4-947A-4275-9599-349D952D4503}"/>
    <cellStyle name="Komma 3 10" xfId="23857" xr:uid="{32FC7893-CF22-4BA7-9DA6-9C04D4099323}"/>
    <cellStyle name="Komma 3 10 2" xfId="48711" xr:uid="{CAACABAF-81B6-4D11-9D33-1DB96CEB095E}"/>
    <cellStyle name="Komma 3 10 3" xfId="49619" xr:uid="{A515E9DA-897F-4340-B8F4-3B7A314E19FD}"/>
    <cellStyle name="Komma 3 11" xfId="23858" xr:uid="{ED290BB6-3C70-4CE5-ABFC-4B56C7D6C177}"/>
    <cellStyle name="Komma 3 11 2" xfId="32724" xr:uid="{251BCA5E-D727-4CEF-8321-4EEBF8A1A481}"/>
    <cellStyle name="Komma 3 11 2 2" xfId="38076" xr:uid="{E987853B-B42E-4F34-A7B9-2DDCA60482D0}"/>
    <cellStyle name="Komma 3 11 2 3" xfId="43378" xr:uid="{DA2BAAEC-F1FF-4C98-A854-AC8E4825FE77}"/>
    <cellStyle name="Komma 3 11 3" xfId="35611" xr:uid="{EE235526-5CCF-42B5-B53C-CFD216EA1DF8}"/>
    <cellStyle name="Komma 3 11 4" xfId="40727" xr:uid="{6EE0FA59-1767-40BD-AB59-2CA5894BF65F}"/>
    <cellStyle name="Komma 3 12" xfId="23859" xr:uid="{29BD93A4-9AD0-452E-9D3B-23B334CF6E88}"/>
    <cellStyle name="Komma 3 12 2" xfId="48712" xr:uid="{970603A2-FB94-4279-874E-1300DFEE7354}"/>
    <cellStyle name="Komma 3 12 3" xfId="49620" xr:uid="{AAF511D0-FA3C-4791-9C84-B2AE1032D01C}"/>
    <cellStyle name="Komma 3 13" xfId="23860" xr:uid="{1F048BB6-AD8A-4040-A14D-A38C7964286D}"/>
    <cellStyle name="Komma 3 13 2" xfId="32725" xr:uid="{2A76261F-523E-48EC-BC39-00C0C519C738}"/>
    <cellStyle name="Komma 3 13 3" xfId="48713" xr:uid="{F751A5B2-E2A2-4312-B204-6FAFD6E6E236}"/>
    <cellStyle name="Komma 3 13 4" xfId="49621" xr:uid="{F87BE368-FB1F-4BBC-B52F-5037F629127F}"/>
    <cellStyle name="Komma 3 14" xfId="23856" xr:uid="{8FE820FE-8800-45C9-9C31-D8CA8B5BE476}"/>
    <cellStyle name="Komma 3 15" xfId="48710" xr:uid="{2EC313A2-5EBC-4C4F-9292-9D2767688CAE}"/>
    <cellStyle name="Komma 3 16" xfId="49618" xr:uid="{3534C6C2-33D2-4130-8485-1F21B3D8772E}"/>
    <cellStyle name="Komma 3 17" xfId="15950" xr:uid="{5CC7AB1A-3262-4988-82E3-4DC158C27617}"/>
    <cellStyle name="Komma 3 18" xfId="7656" xr:uid="{1D0CE5CC-6F70-4A71-81A0-378E923B23B8}"/>
    <cellStyle name="Komma 3 2" xfId="4548" xr:uid="{7A437492-B734-4BCC-8E9E-E00AA9D364D2}"/>
    <cellStyle name="Komma 3 2 10" xfId="15951" xr:uid="{45AB8D95-D048-4004-AEAF-15587184CFDF}"/>
    <cellStyle name="Komma 3 2 11" xfId="8846" xr:uid="{9C03A228-B3CC-4390-BE42-FF73468CEDE4}"/>
    <cellStyle name="Komma 3 2 2" xfId="18056" xr:uid="{BAB0C906-0D8C-4317-9E7F-FB54EC139083}"/>
    <cellStyle name="Komma 3 2 2 2" xfId="23863" xr:uid="{43A1A665-8605-42BE-800C-4A909A1073FB}"/>
    <cellStyle name="Komma 3 2 2 2 2" xfId="23864" xr:uid="{282267A5-01BF-4728-A670-D0CE5C171E93}"/>
    <cellStyle name="Komma 3 2 2 2 2 2" xfId="48716" xr:uid="{C94B831F-0530-45F0-A09C-2F2EEE5DE6FA}"/>
    <cellStyle name="Komma 3 2 2 2 2 3" xfId="49624" xr:uid="{B9EDF570-DCF4-4106-8876-8E1C56FF52BA}"/>
    <cellStyle name="Komma 3 2 2 2 3" xfId="48715" xr:uid="{C048C5FC-04C8-4EA0-9A01-89ED024B1013}"/>
    <cellStyle name="Komma 3 2 2 2 4" xfId="49623" xr:uid="{AB17039F-20B9-46B3-816F-8EFA8FC4E7F4}"/>
    <cellStyle name="Komma 3 2 2 3" xfId="23865" xr:uid="{73E1DC42-E66E-4DE0-ACE4-0F0FEA22A3C5}"/>
    <cellStyle name="Komma 3 2 2 3 2" xfId="48717" xr:uid="{8B4D3AAD-28C5-40C7-85D8-9A4B3C89234E}"/>
    <cellStyle name="Komma 3 2 2 3 3" xfId="49625" xr:uid="{54BE7934-2437-4EDA-A568-56A16A25EB33}"/>
    <cellStyle name="Komma 3 2 2 4" xfId="23862" xr:uid="{7CBC5F93-FB2F-4E02-BB29-801846A07C8A}"/>
    <cellStyle name="Komma 3 2 2 5" xfId="48714" xr:uid="{409AFD47-4E80-46AD-A5B8-D5D6335CE10F}"/>
    <cellStyle name="Komma 3 2 2 6" xfId="49622" xr:uid="{05C8F096-FB60-4802-8ED1-26C57E6F3FD1}"/>
    <cellStyle name="Komma 3 2 3" xfId="19501" xr:uid="{4C5C2F3A-C75F-4097-9829-A85380B3807F}"/>
    <cellStyle name="Komma 3 2 3 2" xfId="23867" xr:uid="{F7A868F5-1A1C-4B02-9B80-5D5D80D06148}"/>
    <cellStyle name="Komma 3 2 3 2 2" xfId="23868" xr:uid="{AB192512-2672-4749-B29C-8B9B185DBF92}"/>
    <cellStyle name="Komma 3 2 3 2 2 2" xfId="48720" xr:uid="{D16E8918-5AAD-4203-9BE5-D29FECBF91EA}"/>
    <cellStyle name="Komma 3 2 3 2 2 3" xfId="49628" xr:uid="{BAA0AF35-D7D1-4825-B1A0-C7E5094E53B9}"/>
    <cellStyle name="Komma 3 2 3 2 3" xfId="48719" xr:uid="{3AAD5F18-A484-4D58-BCDA-0CBD92760CC5}"/>
    <cellStyle name="Komma 3 2 3 2 4" xfId="49627" xr:uid="{C9B9F1B0-317B-4808-AFB8-111D1CC01C09}"/>
    <cellStyle name="Komma 3 2 3 3" xfId="23869" xr:uid="{89A9772E-DB88-42E4-8C17-7B5973FBB2FF}"/>
    <cellStyle name="Komma 3 2 3 3 2" xfId="48721" xr:uid="{8F079F7F-D0DF-4937-8DB9-E10117B49840}"/>
    <cellStyle name="Komma 3 2 3 3 3" xfId="49629" xr:uid="{DE622834-605E-4B85-8B46-EE5F04F3436B}"/>
    <cellStyle name="Komma 3 2 3 4" xfId="23866" xr:uid="{858F2108-A7FF-46C9-8104-7F1EE4D7ED30}"/>
    <cellStyle name="Komma 3 2 3 5" xfId="48718" xr:uid="{89747706-CF4C-434C-83E9-4A513C3F6EA2}"/>
    <cellStyle name="Komma 3 2 3 6" xfId="49626" xr:uid="{C3918F3F-FD1B-480C-93C0-780D07E7D959}"/>
    <cellStyle name="Komma 3 2 4" xfId="23870" xr:uid="{1146C0EC-5F4F-4C54-8346-4AB32864EDD7}"/>
    <cellStyle name="Komma 3 2 4 2" xfId="23871" xr:uid="{7631C446-B5E8-4D55-AFE8-22C91707A7EC}"/>
    <cellStyle name="Komma 3 2 4 2 2" xfId="48723" xr:uid="{72A2FC2B-9A71-42E9-8AAD-C5D95158D97E}"/>
    <cellStyle name="Komma 3 2 4 2 3" xfId="49631" xr:uid="{62816C23-4044-47EE-8F4F-9321297393E2}"/>
    <cellStyle name="Komma 3 2 4 3" xfId="48722" xr:uid="{8C3B9BB5-E98E-45D8-A972-9944FF759594}"/>
    <cellStyle name="Komma 3 2 4 4" xfId="49630" xr:uid="{9BC355C5-2B9F-4FDF-B10C-76616465B1B0}"/>
    <cellStyle name="Komma 3 2 5" xfId="23872" xr:uid="{6AAE2804-071D-4942-8CAC-F03ABBA897EA}"/>
    <cellStyle name="Komma 3 2 5 2" xfId="48724" xr:uid="{AD2504DD-4C4F-4D2F-9BC1-2183C9E9C3AD}"/>
    <cellStyle name="Komma 3 2 5 3" xfId="49632" xr:uid="{EB6EE651-CE4A-4FE7-9297-3BFF62F06A90}"/>
    <cellStyle name="Komma 3 2 6" xfId="23873" xr:uid="{B0E8CF52-FA7E-4307-A726-C078F046220A}"/>
    <cellStyle name="Komma 3 2 6 2" xfId="48725" xr:uid="{22CA20D8-1967-4A71-8513-2C93A23C8445}"/>
    <cellStyle name="Komma 3 2 6 3" xfId="49633" xr:uid="{1FB13C8E-AD04-486C-9994-BEEA66E862CE}"/>
    <cellStyle name="Komma 3 2 7" xfId="32726" xr:uid="{21FBD1BA-6531-4396-97D1-62D8CFF45099}"/>
    <cellStyle name="Komma 3 2 7 2" xfId="38077" xr:uid="{68FC7E8C-69B3-4C30-8B3F-22652E693A18}"/>
    <cellStyle name="Komma 3 2 7 3" xfId="43379" xr:uid="{FA16E089-70EF-4DF7-A3CF-D8D0C60CB050}"/>
    <cellStyle name="Komma 3 2 8" xfId="35612" xr:uid="{D81997A0-2C41-43CC-8742-67DA5EBE1CC6}"/>
    <cellStyle name="Komma 3 2 9" xfId="40728" xr:uid="{6A1E894E-A1C8-4D6B-88CC-0777BE50DC24}"/>
    <cellStyle name="Komma 3 3" xfId="5829" xr:uid="{26212406-E667-4EBB-99D9-0462CD66396B}"/>
    <cellStyle name="Komma 3 3 2" xfId="23875" xr:uid="{4409DF48-D13A-4F89-AEB0-31D7273E0FB5}"/>
    <cellStyle name="Komma 3 3 2 2" xfId="23876" xr:uid="{DCEFB652-F82E-49DC-A3A7-92AF948AF3F8}"/>
    <cellStyle name="Komma 3 3 2 2 2" xfId="48728" xr:uid="{4B7DBC9F-2AFB-4AF9-88ED-7DFA56F4B6CA}"/>
    <cellStyle name="Komma 3 3 2 2 3" xfId="49636" xr:uid="{993D3171-0AEF-4F72-81B6-EAFFE60D98BF}"/>
    <cellStyle name="Komma 3 3 2 3" xfId="48727" xr:uid="{20EE3EC7-6C4C-46D8-813F-E6F01E8D0802}"/>
    <cellStyle name="Komma 3 3 2 4" xfId="49635" xr:uid="{0666E638-FAB2-4B7E-AFFD-19F4AF3F5B95}"/>
    <cellStyle name="Komma 3 3 3" xfId="23877" xr:uid="{462FAFEE-C3E7-4536-BA0A-642E957FA5CC}"/>
    <cellStyle name="Komma 3 3 3 2" xfId="48729" xr:uid="{AE8EEAF8-1E9D-4AD2-9CB6-AD5E2C65EA22}"/>
    <cellStyle name="Komma 3 3 3 3" xfId="49637" xr:uid="{4B166F36-DFAE-45CF-9DC3-1B9494713A44}"/>
    <cellStyle name="Komma 3 3 4" xfId="23874" xr:uid="{97596E52-033D-440A-A9E6-F9E2BBDF5FDC}"/>
    <cellStyle name="Komma 3 3 5" xfId="48726" xr:uid="{83340C59-29DD-414B-94FE-EEC42534B421}"/>
    <cellStyle name="Komma 3 3 6" xfId="49634" xr:uid="{7F4EE828-7EDD-4D7E-A73B-C32E5FBB766E}"/>
    <cellStyle name="Komma 3 3 7" xfId="11237" xr:uid="{7016E711-8A53-4C5D-B4A1-52C22E4C46F7}"/>
    <cellStyle name="Komma 3 4" xfId="11230" xr:uid="{7E7902B0-FF17-4144-BC59-FF43CAED8CC9}"/>
    <cellStyle name="Komma 3 4 2" xfId="21696" xr:uid="{E237C295-F489-489C-A343-206B1015C5B0}"/>
    <cellStyle name="Komma 3 4 2 2" xfId="23880" xr:uid="{5276BDF4-AAC4-430C-A240-979C7F8E94B2}"/>
    <cellStyle name="Komma 3 4 2 2 2" xfId="48732" xr:uid="{C3958131-264E-45B3-BCBC-8BACAEB2BBA3}"/>
    <cellStyle name="Komma 3 4 2 2 3" xfId="49640" xr:uid="{EC2316D6-96C7-4B0E-B569-7B40CAB192F7}"/>
    <cellStyle name="Komma 3 4 2 3" xfId="23879" xr:uid="{7C94ACFD-F212-4CA7-BEC3-FE2074858BE4}"/>
    <cellStyle name="Komma 3 4 2 4" xfId="48731" xr:uid="{A901BF80-F1B9-4CDC-988D-98E8262D8470}"/>
    <cellStyle name="Komma 3 4 2 5" xfId="49639" xr:uid="{BA287A19-6D08-4136-8572-059188AA8C3A}"/>
    <cellStyle name="Komma 3 4 3" xfId="23881" xr:uid="{B1A5DD13-BC0A-4FC1-8BB7-427071C80733}"/>
    <cellStyle name="Komma 3 4 3 2" xfId="48733" xr:uid="{C07FB210-31B9-49D3-B98B-11AA467DA31E}"/>
    <cellStyle name="Komma 3 4 3 3" xfId="49641" xr:uid="{16133D90-B461-4C2D-AAA8-37E41200A1B0}"/>
    <cellStyle name="Komma 3 4 4" xfId="23878" xr:uid="{4474965F-411C-45E9-9C7E-060F7F1EF816}"/>
    <cellStyle name="Komma 3 4 5" xfId="48481" xr:uid="{1A3FA6B0-E9E0-4C15-AF62-9BEC551991A5}"/>
    <cellStyle name="Komma 3 4 6" xfId="48730" xr:uid="{2DB92C85-C84B-4AD9-B80E-F5B7D2006133}"/>
    <cellStyle name="Komma 3 4 7" xfId="49638" xr:uid="{B1928BC9-A218-41FC-BCE4-61675E2FD8F4}"/>
    <cellStyle name="Komma 3 4 8" xfId="50713" xr:uid="{2A29A1EE-5C3E-49B3-9345-AA99471ECF4C}"/>
    <cellStyle name="Komma 3 4 9" xfId="53729" xr:uid="{A1866C5D-B632-4927-A35C-3AC1E891DC2C}"/>
    <cellStyle name="Komma 3 5" xfId="11145" xr:uid="{905823E4-FDD1-4DAD-B0EA-A0B90F62DF35}"/>
    <cellStyle name="Komma 3 5 2" xfId="21676" xr:uid="{E9E14895-1ED6-44D2-94A3-F5384624B76A}"/>
    <cellStyle name="Komma 3 5 2 2" xfId="23883" xr:uid="{26DE2568-D16C-4F54-9A9D-9181E228367E}"/>
    <cellStyle name="Komma 3 5 2 3" xfId="48735" xr:uid="{2F339283-51A2-48FD-A813-A0C86D4E9F00}"/>
    <cellStyle name="Komma 3 5 2 4" xfId="49643" xr:uid="{8F7247B9-1823-4AD6-AE86-1321F7AC1217}"/>
    <cellStyle name="Komma 3 5 3" xfId="23882" xr:uid="{0F1B1ACA-BD3C-4FD2-A39B-BA4BA8BD02D3}"/>
    <cellStyle name="Komma 3 5 4" xfId="25164" xr:uid="{E6D67CE9-2986-4A6C-AA18-00F4543D501B}"/>
    <cellStyle name="Komma 3 5 5" xfId="48734" xr:uid="{8AAA527D-A926-4143-A76E-4EE491D3EE08}"/>
    <cellStyle name="Komma 3 5 6" xfId="49642" xr:uid="{53190E26-139F-41B3-BE05-1248D648EA21}"/>
    <cellStyle name="Komma 3 5 7" xfId="50692" xr:uid="{CEE18BAF-F786-4B00-A509-C91ED83E6C7F}"/>
    <cellStyle name="Komma 3 5 8" xfId="53708" xr:uid="{ACCF71BE-8885-4DC6-9D28-B5BACD93FDC2}"/>
    <cellStyle name="Komma 3 6" xfId="19500" xr:uid="{088F8F0E-A9C0-415A-B545-1D6DBCAF8106}"/>
    <cellStyle name="Komma 3 6 2" xfId="23884" xr:uid="{C5DFF40C-E043-4C37-9D9A-68FA7075DDBB}"/>
    <cellStyle name="Komma 3 6 3" xfId="48736" xr:uid="{6D11E5BD-95C1-4C23-86B9-D43A491CA4D2}"/>
    <cellStyle name="Komma 3 6 4" xfId="49644" xr:uid="{BD0302FF-E805-4740-859D-2FADC96C9921}"/>
    <cellStyle name="Komma 3 7" xfId="23885" xr:uid="{182B9160-E819-441A-B70C-1EFF04118978}"/>
    <cellStyle name="Komma 3 7 2" xfId="23886" xr:uid="{7091862F-FF19-4FD1-8D86-93E028E38BAF}"/>
    <cellStyle name="Komma 3 7 2 2" xfId="48738" xr:uid="{0AD14F11-7612-4524-B71F-C95C36B0973B}"/>
    <cellStyle name="Komma 3 7 2 3" xfId="49646" xr:uid="{908BDCEF-52B0-4E9E-9E5D-E1D4925CAEB1}"/>
    <cellStyle name="Komma 3 7 3" xfId="48737" xr:uid="{B86B7A89-C6F8-49CF-A5F3-93B0BEF71AA9}"/>
    <cellStyle name="Komma 3 7 4" xfId="49645" xr:uid="{66641A38-FCC8-4286-95AA-3495D195488D}"/>
    <cellStyle name="Komma 3 8" xfId="23887" xr:uid="{782FADF0-F3C8-42D3-852E-8145FC9D8B2C}"/>
    <cellStyle name="Komma 3 8 2" xfId="48739" xr:uid="{CD5F222B-D696-4875-802E-54D27D951204}"/>
    <cellStyle name="Komma 3 8 3" xfId="49647" xr:uid="{BD2B1008-DFC7-4EFF-9538-C1DB21B4B7E1}"/>
    <cellStyle name="Komma 3 9" xfId="23888" xr:uid="{3B83DC17-B6C3-438F-9E92-B546B9AD4F8C}"/>
    <cellStyle name="Komma 3 9 2" xfId="48740" xr:uid="{46DE425F-B00E-4CD7-AA87-4AA6CE3EF44C}"/>
    <cellStyle name="Komma 3 9 3" xfId="49648" xr:uid="{11BA9FF9-0F1D-456E-99FF-E04AA8D47698}"/>
    <cellStyle name="Komma 4" xfId="9101" xr:uid="{86B1E8B3-C1EC-48FC-BEE1-741B5F182423}"/>
    <cellStyle name="Komma 4 10" xfId="14531" xr:uid="{B26EFA05-7B09-48E7-AE3B-26ED7D0455DA}"/>
    <cellStyle name="Komma 4 10 2" xfId="22078" xr:uid="{F1DB1085-9863-4E55-AFBE-27ED3BAC1F7A}"/>
    <cellStyle name="Komma 4 10 2 2" xfId="38079" xr:uid="{A275C082-1F04-4A64-B689-D4F6B907A26C}"/>
    <cellStyle name="Komma 4 10 2 3" xfId="43381" xr:uid="{732D9DEE-A9DC-4BD2-9EBD-A07CBDB601FA}"/>
    <cellStyle name="Komma 4 10 2 4" xfId="32728" xr:uid="{D78C76D1-90E5-4E79-8129-125E12C8A09D}"/>
    <cellStyle name="Komma 4 10 3" xfId="35614" xr:uid="{A4CB3DE0-1972-42E9-B509-9F70445E36C7}"/>
    <cellStyle name="Komma 4 10 4" xfId="40730" xr:uid="{880C9506-CBD4-4486-8A15-93D31195C795}"/>
    <cellStyle name="Komma 4 10 5" xfId="23890" xr:uid="{A1720C58-DD08-4D0E-B331-A521156597A7}"/>
    <cellStyle name="Komma 4 10 6" xfId="47477" xr:uid="{9095F25F-98B5-4888-AA31-45B4C770454B}"/>
    <cellStyle name="Komma 4 10 7" xfId="51416" xr:uid="{32E82426-E6CA-407A-A052-C2F92A9C5BCA}"/>
    <cellStyle name="Komma 4 10 8" xfId="54432" xr:uid="{A5A71035-9A4C-4CC7-B49F-73E53EA69D65}"/>
    <cellStyle name="Komma 4 10 9" xfId="19051" xr:uid="{B52EA358-1222-4492-9C3E-2D9129E3A101}"/>
    <cellStyle name="Komma 4 11" xfId="15015" xr:uid="{2CF2C115-2DF2-4733-80A6-85FB2AE3E136}"/>
    <cellStyle name="Komma 4 11 10" xfId="19193" xr:uid="{1B20B051-1CC6-48D6-BAAD-D4124C3CC422}"/>
    <cellStyle name="Komma 4 11 2" xfId="22555" xr:uid="{59096435-B55D-4E0A-B4F9-B6BB428FF259}"/>
    <cellStyle name="Komma 4 11 2 2" xfId="38080" xr:uid="{44F3C86D-F263-410B-9B68-E8436F349E8C}"/>
    <cellStyle name="Komma 4 11 2 3" xfId="43382" xr:uid="{96BA76C2-61B2-4487-8717-5EE1CA46017D}"/>
    <cellStyle name="Komma 4 11 2 4" xfId="32729" xr:uid="{B4985440-9760-4339-B5D9-4DB3C96FC85F}"/>
    <cellStyle name="Komma 4 11 3" xfId="35615" xr:uid="{A84B3E26-C45F-4799-9D1E-CCB611195FEE}"/>
    <cellStyle name="Komma 4 11 4" xfId="40731" xr:uid="{E43048A4-6496-4E66-B79F-35C4E99D193A}"/>
    <cellStyle name="Komma 4 11 5" xfId="23891" xr:uid="{39088389-1863-4889-AC45-B2E2EBABD588}"/>
    <cellStyle name="Komma 4 11 6" xfId="47108" xr:uid="{29F39222-9AD9-41E9-B853-8890ED410F96}"/>
    <cellStyle name="Komma 4 11 7" xfId="48741" xr:uid="{815C91A4-C022-47B9-8D35-9F6696A03BF9}"/>
    <cellStyle name="Komma 4 11 8" xfId="51893" xr:uid="{B4C42CEC-FC52-4E55-AED1-3DBB99E5CBDC}"/>
    <cellStyle name="Komma 4 11 9" xfId="54909" xr:uid="{0EA68C5C-2A31-44CF-B0FB-836959EFC835}"/>
    <cellStyle name="Komma 4 12" xfId="15502" xr:uid="{887CD785-1B45-4CFB-A018-AC5898261E23}"/>
    <cellStyle name="Komma 4 12 10" xfId="19338" xr:uid="{BF24620F-B318-4EF2-8B9E-7527F98D1DE2}"/>
    <cellStyle name="Komma 4 12 2" xfId="23032" xr:uid="{15B59A4D-2B02-40AE-A1BE-F4E8FF9B27DC}"/>
    <cellStyle name="Komma 4 12 2 2" xfId="38081" xr:uid="{A3D769D4-31AE-416C-B01D-6039B112AECD}"/>
    <cellStyle name="Komma 4 12 2 3" xfId="43383" xr:uid="{9F6B67C1-EF88-484F-B0C3-F3FF6E10DE93}"/>
    <cellStyle name="Komma 4 12 2 4" xfId="32730" xr:uid="{75FB4715-2E1A-44D5-8434-B24832FF2C63}"/>
    <cellStyle name="Komma 4 12 3" xfId="35616" xr:uid="{38412AC5-5D89-4590-9FE2-EFB047B8DAF2}"/>
    <cellStyle name="Komma 4 12 4" xfId="40732" xr:uid="{23CCC7CD-6071-41B8-87E8-7198D4A1F4B8}"/>
    <cellStyle name="Komma 4 12 5" xfId="23892" xr:uid="{3A308067-7216-4E55-A200-1C1B0BA6CC1C}"/>
    <cellStyle name="Komma 4 12 6" xfId="47699" xr:uid="{F3719C40-441A-4ACA-8003-21F1EA26287D}"/>
    <cellStyle name="Komma 4 12 7" xfId="48742" xr:uid="{8B36086D-D3F9-4667-B630-EF50F725A18C}"/>
    <cellStyle name="Komma 4 12 8" xfId="52370" xr:uid="{8B58C70D-38B8-4E13-AE80-28CF47166FB0}"/>
    <cellStyle name="Komma 4 12 9" xfId="55386" xr:uid="{7F4A4C0A-3740-4937-A20C-3FE67A0A7227}"/>
    <cellStyle name="Komma 4 13" xfId="11238" xr:uid="{1922DAE1-D5F7-4577-84A9-583175F20B52}"/>
    <cellStyle name="Komma 4 13 2" xfId="38078" xr:uid="{4E161BB3-BED8-45AC-BDFF-2BCB46C306C6}"/>
    <cellStyle name="Komma 4 13 3" xfId="43380" xr:uid="{02CCA4D3-6472-4677-B55A-54FA96B524A9}"/>
    <cellStyle name="Komma 4 13 4" xfId="32727" xr:uid="{7474F113-AFE6-430D-8037-7C7B43ADAD50}"/>
    <cellStyle name="Komma 4 13 5" xfId="48389" xr:uid="{9934A49C-E080-4EA3-974B-409970F895EC}"/>
    <cellStyle name="Komma 4 13 6" xfId="50716" xr:uid="{37442507-C37F-4D6A-81F7-4F8CFB718C8E}"/>
    <cellStyle name="Komma 4 13 7" xfId="53732" xr:uid="{FF9BF814-9BD3-4377-AD09-FD1265B23AA6}"/>
    <cellStyle name="Komma 4 13 8" xfId="21697" xr:uid="{D2398773-788C-4CBF-A424-EC79922A02A6}"/>
    <cellStyle name="Komma 4 14" xfId="35613" xr:uid="{81F4E023-DDB1-4D66-8260-B29802CFF19C}"/>
    <cellStyle name="Komma 4 15" xfId="40729" xr:uid="{105219C4-5E7B-42F0-9568-7F403E9DBBFB}"/>
    <cellStyle name="Komma 4 16" xfId="23889" xr:uid="{5E6933FF-D5F8-4222-AFC0-088EFE1C1D8D}"/>
    <cellStyle name="Komma 4 17" xfId="47381" xr:uid="{501C4E31-A28C-46AC-A0BA-736953805912}"/>
    <cellStyle name="Komma 4 18" xfId="49833" xr:uid="{5A9FEF6A-3C45-4FDB-B5DA-509BD561550B}"/>
    <cellStyle name="Komma 4 19" xfId="52848" xr:uid="{CA28FF2D-F625-420F-B002-21F641968789}"/>
    <cellStyle name="Komma 4 2" xfId="9102" xr:uid="{9D7C5FAF-43F6-4833-B9DE-554A541B2B74}"/>
    <cellStyle name="Komma 4 2 10" xfId="15503" xr:uid="{2091A211-4A76-4D3D-83A0-F9BF31BF5688}"/>
    <cellStyle name="Komma 4 2 10 2" xfId="23033" xr:uid="{6CF6C3D2-9FD4-4FEA-B7CE-6ED194792851}"/>
    <cellStyle name="Komma 4 2 10 3" xfId="40733" xr:uid="{AA98A723-D51C-4168-B295-FEEAF220032C}"/>
    <cellStyle name="Komma 4 2 10 4" xfId="46928" xr:uid="{BAF2320F-6C12-4907-818F-0E0A7F8D2FBB}"/>
    <cellStyle name="Komma 4 2 10 5" xfId="52371" xr:uid="{5CC98739-CCEB-4ACF-9A80-8AC203A78B4B}"/>
    <cellStyle name="Komma 4 2 10 6" xfId="55387" xr:uid="{167937CC-B456-45BC-B120-C7C83B1F82C9}"/>
    <cellStyle name="Komma 4 2 10 7" xfId="19339" xr:uid="{E2F10D88-4F81-406D-9064-EF14C6CD4E0E}"/>
    <cellStyle name="Komma 4 2 11" xfId="11590" xr:uid="{40205128-2D6C-4DFD-9320-0CA4EB16EB70}"/>
    <cellStyle name="Komma 4 2 11 2" xfId="47661" xr:uid="{5A615E12-2254-43E5-8AAD-1556EF3F1E27}"/>
    <cellStyle name="Komma 4 2 11 3" xfId="50737" xr:uid="{A41385D5-B6F8-41C7-9637-3E04EDA90E4E}"/>
    <cellStyle name="Komma 4 2 11 4" xfId="53753" xr:uid="{64D2F9F1-8B16-4FE4-B80A-42EBE79DFA6B}"/>
    <cellStyle name="Komma 4 2 11 5" xfId="21713" xr:uid="{2191CF44-D682-4C62-B770-14A4C5AEA856}"/>
    <cellStyle name="Komma 4 2 12" xfId="23893" xr:uid="{F07CDCE4-B0E0-4633-925E-0DF9FD6FA63D}"/>
    <cellStyle name="Komma 4 2 13" xfId="46014" xr:uid="{4C3542AF-A124-44BC-B524-B4A430063499}"/>
    <cellStyle name="Komma 4 2 14" xfId="49834" xr:uid="{4CD99F51-CEA3-4FBC-8244-1134A953B233}"/>
    <cellStyle name="Komma 4 2 15" xfId="52849" xr:uid="{9AD12557-4FAC-4267-B676-0AEAA5CC5209}"/>
    <cellStyle name="Komma 4 2 16" xfId="18163" xr:uid="{B7A6B9EC-CDDE-4DB9-97A4-1B7FA7DEEE2B}"/>
    <cellStyle name="Komma 4 2 2" xfId="9103" xr:uid="{5C438930-DC72-47CA-BD69-E93357557F76}"/>
    <cellStyle name="Komma 4 2 2 10" xfId="12192" xr:uid="{6323C86E-57FF-4D3F-886A-ADFBE2682B10}"/>
    <cellStyle name="Komma 4 2 2 10 2" xfId="48193" xr:uid="{AB00C84D-A19D-4AAF-B8C4-D4C9E951DB8C}"/>
    <cellStyle name="Komma 4 2 2 10 3" xfId="50938" xr:uid="{4ACF20A0-678B-45DF-A8A4-ABF3694B98C2}"/>
    <cellStyle name="Komma 4 2 2 10 4" xfId="53954" xr:uid="{72EAAD83-6BC6-4FE6-AF80-D6188D5E0B44}"/>
    <cellStyle name="Komma 4 2 2 10 5" xfId="21905" xr:uid="{10E4B5CB-3659-49E7-BDB9-DD6642D97ECB}"/>
    <cellStyle name="Komma 4 2 2 11" xfId="23894" xr:uid="{5091BFBB-1D92-4129-9F07-8673B314E8CF}"/>
    <cellStyle name="Komma 4 2 2 12" xfId="47382" xr:uid="{8819F630-CC90-4395-AAC7-A36AA1724346}"/>
    <cellStyle name="Komma 4 2 2 13" xfId="48743" xr:uid="{E52F0058-5CF8-49F6-9949-7D3A31FB76F1}"/>
    <cellStyle name="Komma 4 2 2 14" xfId="49649" xr:uid="{A604C170-FE12-45A6-A0AE-8A4A740CE22D}"/>
    <cellStyle name="Komma 4 2 2 15" xfId="49835" xr:uid="{9FADC81C-41C6-4BD8-8F2A-A50DA35998A6}"/>
    <cellStyle name="Komma 4 2 2 16" xfId="52850" xr:uid="{F4AE5C05-323E-473A-9A5D-F3014C1EB054}"/>
    <cellStyle name="Komma 4 2 2 17" xfId="18569" xr:uid="{85A31FC4-6878-4F0A-BD21-1FACAE27DD1B}"/>
    <cellStyle name="Komma 4 2 2 2" xfId="10045" xr:uid="{E025266D-A543-437F-AE7D-5FEBCDD36D25}"/>
    <cellStyle name="Komma 4 2 2 2 10" xfId="49650" xr:uid="{7EEEAD7C-5D57-4EC7-BED9-867E4791A3CF}"/>
    <cellStyle name="Komma 4 2 2 2 11" xfId="49888" xr:uid="{6E554822-F108-41AF-88A6-13535591FFD5}"/>
    <cellStyle name="Komma 4 2 2 2 12" xfId="52904" xr:uid="{15CE8A8D-98EC-4B33-9E8D-97FCFBAB6571}"/>
    <cellStyle name="Komma 4 2 2 2 13" xfId="18758" xr:uid="{FD135C74-43BC-475F-9228-15E55D169390}"/>
    <cellStyle name="Komma 4 2 2 2 2" xfId="10353" xr:uid="{0E75F555-8090-485B-89D4-7E0ED3EB8F30}"/>
    <cellStyle name="Komma 4 2 2 2 2 2" xfId="14798" xr:uid="{ACC16F9B-96D9-4052-81E0-7940F3FB367F}"/>
    <cellStyle name="Komma 4 2 2 2 2 2 2" xfId="22345" xr:uid="{CAAF9404-FB2D-47F8-B55F-DAB701E20613}"/>
    <cellStyle name="Komma 4 2 2 2 2 2 3" xfId="46863" xr:uid="{94A10677-9F97-4862-89F7-C4F36B883DCF}"/>
    <cellStyle name="Komma 4 2 2 2 2 2 4" xfId="51683" xr:uid="{393D48AA-B919-467E-8313-7E2FDB8CF03D}"/>
    <cellStyle name="Komma 4 2 2 2 2 2 5" xfId="54699" xr:uid="{9F055F33-1431-4A15-BDE6-9F456C5EE737}"/>
    <cellStyle name="Komma 4 2 2 2 2 2 6" xfId="19128" xr:uid="{38BB8E62-C017-499B-AFFE-06C90A77923C}"/>
    <cellStyle name="Komma 4 2 2 2 2 3" xfId="15283" xr:uid="{E250AE92-1424-4068-A19A-FD0DC1EB5EDF}"/>
    <cellStyle name="Komma 4 2 2 2 2 3 2" xfId="22822" xr:uid="{D26277F8-CC8E-4159-A0D6-09CB81F5F50A}"/>
    <cellStyle name="Komma 4 2 2 2 2 3 3" xfId="47545" xr:uid="{DA288D80-D7A8-4E44-AB58-FA14BFB0DF49}"/>
    <cellStyle name="Komma 4 2 2 2 2 3 4" xfId="52160" xr:uid="{CFE3FBA7-16D9-4C9A-A6B0-95479D1089EE}"/>
    <cellStyle name="Komma 4 2 2 2 2 3 5" xfId="55176" xr:uid="{1B5F177D-AE00-4FEF-B8B9-AB7BED19302E}"/>
    <cellStyle name="Komma 4 2 2 2 2 3 6" xfId="19271" xr:uid="{FB3D7EA8-B5A4-4495-B7A8-7BAA1D0FA51F}"/>
    <cellStyle name="Komma 4 2 2 2 2 4" xfId="15770" xr:uid="{823D7C9F-75CA-4652-AB4F-3244E201828C}"/>
    <cellStyle name="Komma 4 2 2 2 2 4 2" xfId="23299" xr:uid="{3C5E928C-DF30-4842-908D-C39FF02A1850}"/>
    <cellStyle name="Komma 4 2 2 2 2 4 3" xfId="47848" xr:uid="{C0DF9AA4-672F-4395-BF05-F9BB6DE7BBD0}"/>
    <cellStyle name="Komma 4 2 2 2 2 4 4" xfId="52637" xr:uid="{9241C50A-9007-4BE0-8374-A40A8934A435}"/>
    <cellStyle name="Komma 4 2 2 2 2 4 5" xfId="55653" xr:uid="{631846FA-3899-4184-8BA2-0BFC8EF17423}"/>
    <cellStyle name="Komma 4 2 2 2 2 4 6" xfId="19416" xr:uid="{9FCC9DA7-9F59-4D52-880A-BDD024CD2C48}"/>
    <cellStyle name="Komma 4 2 2 2 2 5" xfId="12806" xr:uid="{C1FBFC6D-074B-4B06-989D-265D688CA103}"/>
    <cellStyle name="Komma 4 2 2 2 2 5 2" xfId="46797" xr:uid="{2C943A16-A26A-4C3D-B5D5-2B88FB930B8D}"/>
    <cellStyle name="Komma 4 2 2 2 2 5 3" xfId="51206" xr:uid="{6433C79F-6018-48AB-B18A-6E23E4F29487}"/>
    <cellStyle name="Komma 4 2 2 2 2 5 4" xfId="54222" xr:uid="{0C3CAE51-AE2D-4408-B4B0-FF727BC8925B}"/>
    <cellStyle name="Komma 4 2 2 2 2 5 5" xfId="21986" xr:uid="{E02733F8-C24C-44F2-9510-16870BD68208}"/>
    <cellStyle name="Komma 4 2 2 2 2 6" xfId="46097" xr:uid="{2E42ADB1-C510-4CFE-AD06-D72A9802BB2A}"/>
    <cellStyle name="Komma 4 2 2 2 2 7" xfId="50100" xr:uid="{814E79FE-2E7F-4204-9B18-F6F79BAC2BB8}"/>
    <cellStyle name="Komma 4 2 2 2 2 8" xfId="53116" xr:uid="{0806D236-F422-487C-BA48-F6DD546D53F5}"/>
    <cellStyle name="Komma 4 2 2 2 2 9" xfId="18907" xr:uid="{B319F6A6-0757-4AC4-A3B5-E7CF7A10703C}"/>
    <cellStyle name="Komma 4 2 2 2 3" xfId="14586" xr:uid="{A3E3AA3F-106E-42BC-95D9-F88EADF8D0E4}"/>
    <cellStyle name="Komma 4 2 2 2 3 2" xfId="22133" xr:uid="{A006879E-E75C-4201-AEB6-D2666A9F0463}"/>
    <cellStyle name="Komma 4 2 2 2 3 3" xfId="37008" xr:uid="{ADB063DC-F307-4708-8703-070C6F2ECFAF}"/>
    <cellStyle name="Komma 4 2 2 2 3 4" xfId="51471" xr:uid="{185074B3-2648-4D47-9709-A3AD0869270A}"/>
    <cellStyle name="Komma 4 2 2 2 3 5" xfId="54487" xr:uid="{524D9769-C512-4CC6-B4D8-F2DA17DB749D}"/>
    <cellStyle name="Komma 4 2 2 2 3 6" xfId="19068" xr:uid="{A43E9113-147E-45D4-9910-88BCA8C02616}"/>
    <cellStyle name="Komma 4 2 2 2 4" xfId="15070" xr:uid="{FA40348A-C47D-43E7-B8E6-3BF4E7E0500B}"/>
    <cellStyle name="Komma 4 2 2 2 4 2" xfId="22610" xr:uid="{E476A8A8-90C7-481B-BEBB-1B512C6C3C24}"/>
    <cellStyle name="Komma 4 2 2 2 4 3" xfId="24918" xr:uid="{7B875593-0406-4621-8373-EF50F1971B97}"/>
    <cellStyle name="Komma 4 2 2 2 4 4" xfId="51948" xr:uid="{53EE9BBA-9580-4860-9149-41BDB98F8EFA}"/>
    <cellStyle name="Komma 4 2 2 2 4 5" xfId="54964" xr:uid="{692C2204-86A0-466D-851D-2EBA0938BAF9}"/>
    <cellStyle name="Komma 4 2 2 2 4 6" xfId="19210" xr:uid="{9BF2286B-898B-4882-A5DF-258A43A8B94D}"/>
    <cellStyle name="Komma 4 2 2 2 5" xfId="15557" xr:uid="{ADF1454A-7906-4737-87FE-06DE54E7C8B6}"/>
    <cellStyle name="Komma 4 2 2 2 5 2" xfId="23087" xr:uid="{38F4D87D-B4CB-4D0C-B5D4-BA12C955E11C}"/>
    <cellStyle name="Komma 4 2 2 2 5 3" xfId="47844" xr:uid="{5D4908A1-8B97-4936-BE5C-5500CA4FE7B3}"/>
    <cellStyle name="Komma 4 2 2 2 5 4" xfId="52425" xr:uid="{848E714D-C15D-46FA-BF37-D4C8A28ECEC1}"/>
    <cellStyle name="Komma 4 2 2 2 5 5" xfId="55441" xr:uid="{6A3A7593-8FAA-4E6A-A5E3-0DC031DBF26F}"/>
    <cellStyle name="Komma 4 2 2 2 5 6" xfId="19355" xr:uid="{0A36A592-3E30-4A63-8767-2F04C414BD63}"/>
    <cellStyle name="Komma 4 2 2 2 6" xfId="12505" xr:uid="{6AF0BBE1-C1B3-40E9-ABB8-5D332820634F}"/>
    <cellStyle name="Komma 4 2 2 2 6 2" xfId="46316" xr:uid="{3CBE04F8-1AC0-40C8-A753-08B739534E68}"/>
    <cellStyle name="Komma 4 2 2 2 6 3" xfId="50994" xr:uid="{7FAB4F55-F781-445C-BA70-DD2D00E48482}"/>
    <cellStyle name="Komma 4 2 2 2 6 4" xfId="54010" xr:uid="{7CB7FB9C-BE4B-4227-9420-19A5ED34907A}"/>
    <cellStyle name="Komma 4 2 2 2 6 5" xfId="21925" xr:uid="{7A3C449E-B529-4AE8-83DB-7D32CB13206A}"/>
    <cellStyle name="Komma 4 2 2 2 7" xfId="23895" xr:uid="{D1D69809-653E-4F78-B3C7-2494A103F460}"/>
    <cellStyle name="Komma 4 2 2 2 8" xfId="24544" xr:uid="{555C9FE1-B237-44C0-939F-B09B98995DCB}"/>
    <cellStyle name="Komma 4 2 2 2 9" xfId="48744" xr:uid="{57C50B22-C1CA-4CE7-A73B-A4EFC94E7A99}"/>
    <cellStyle name="Komma 4 2 2 3" xfId="10119" xr:uid="{B83AB449-A158-4602-BC2C-E64BABB76E1D}"/>
    <cellStyle name="Komma 4 2 2 3 10" xfId="49651" xr:uid="{E0BDFE58-DE6A-4C26-AD58-D461F7A40D4B}"/>
    <cellStyle name="Komma 4 2 2 3 11" xfId="49941" xr:uid="{9C09F62B-B11E-4AF9-9367-78631BB70FFA}"/>
    <cellStyle name="Komma 4 2 2 3 12" xfId="52957" xr:uid="{8C927D10-E63D-4991-B700-2E14251007F3}"/>
    <cellStyle name="Komma 4 2 2 3 13" xfId="18791" xr:uid="{9CDF3EF3-1A1B-4EC0-80EA-FA36DDAF36DA}"/>
    <cellStyle name="Komma 4 2 2 3 2" xfId="10432" xr:uid="{050699B7-8B19-49A1-A367-215A0F926514}"/>
    <cellStyle name="Komma 4 2 2 3 2 2" xfId="14851" xr:uid="{2BE4874F-915D-4B80-9270-EC57B47985B6}"/>
    <cellStyle name="Komma 4 2 2 3 2 2 2" xfId="22398" xr:uid="{943973BA-7620-4728-9E0D-56D63286EA68}"/>
    <cellStyle name="Komma 4 2 2 3 2 2 3" xfId="48354" xr:uid="{15CAA261-4631-439D-AEAB-F64F78955771}"/>
    <cellStyle name="Komma 4 2 2 3 2 2 4" xfId="51736" xr:uid="{896AEA85-A69F-4056-BFF0-DA2A6AF00404}"/>
    <cellStyle name="Komma 4 2 2 3 2 2 5" xfId="54752" xr:uid="{5C421038-BF8B-46C4-8649-2127B05CD2B6}"/>
    <cellStyle name="Komma 4 2 2 3 2 2 6" xfId="19143" xr:uid="{81317202-915F-4AFE-A3FF-A49E79E0E174}"/>
    <cellStyle name="Komma 4 2 2 3 2 3" xfId="15336" xr:uid="{9232483C-1826-47E5-A6F3-0897A46600B1}"/>
    <cellStyle name="Komma 4 2 2 3 2 3 2" xfId="22875" xr:uid="{D800438B-E6A2-427A-BC49-3A0D015D17A2}"/>
    <cellStyle name="Komma 4 2 2 3 2 3 3" xfId="48074" xr:uid="{B54AAE2F-93F2-4DCD-8BA5-5D3281E87E36}"/>
    <cellStyle name="Komma 4 2 2 3 2 3 4" xfId="52213" xr:uid="{D96782D4-0A5F-4683-B525-A3D09ABACC06}"/>
    <cellStyle name="Komma 4 2 2 3 2 3 5" xfId="55229" xr:uid="{4912D403-87A8-43C0-AA9B-BCB1BF77543C}"/>
    <cellStyle name="Komma 4 2 2 3 2 3 6" xfId="19286" xr:uid="{07AE8826-20C5-4E35-8475-9A37086116A8}"/>
    <cellStyle name="Komma 4 2 2 3 2 4" xfId="15823" xr:uid="{923C0849-58EE-4310-8BEA-4B6FB45C3A0A}"/>
    <cellStyle name="Komma 4 2 2 3 2 4 2" xfId="23352" xr:uid="{6F30AF43-FFF3-44AE-8254-F11CB6F280BE}"/>
    <cellStyle name="Komma 4 2 2 3 2 4 3" xfId="46592" xr:uid="{12C894EF-1EAA-4202-A79D-A7D8CF6BBA8B}"/>
    <cellStyle name="Komma 4 2 2 3 2 4 4" xfId="52690" xr:uid="{168CDE21-590A-4CB7-A66D-202736E2F327}"/>
    <cellStyle name="Komma 4 2 2 3 2 4 5" xfId="55706" xr:uid="{DA86CDAC-2881-474B-877A-45758C7BFB40}"/>
    <cellStyle name="Komma 4 2 2 3 2 4 6" xfId="19431" xr:uid="{FCAFE731-9FC9-4EE8-AA4C-6E459AC6397D}"/>
    <cellStyle name="Komma 4 2 2 3 2 5" xfId="12885" xr:uid="{4F3D1856-9F16-4F11-835F-0488204763A8}"/>
    <cellStyle name="Komma 4 2 2 3 2 5 2" xfId="47529" xr:uid="{4148FB68-B22E-4D92-B0CB-120AA1A3BA92}"/>
    <cellStyle name="Komma 4 2 2 3 2 5 3" xfId="51259" xr:uid="{18DFFD8E-F509-4311-B268-85155F01A5CF}"/>
    <cellStyle name="Komma 4 2 2 3 2 5 4" xfId="54275" xr:uid="{7BD630C9-197B-4AB8-AABA-31C867699DAA}"/>
    <cellStyle name="Komma 4 2 2 3 2 5 5" xfId="22001" xr:uid="{774BAE59-6B5F-414A-8584-89F36CFE8C7E}"/>
    <cellStyle name="Komma 4 2 2 3 2 6" xfId="24264" xr:uid="{EE774EEF-714B-47BD-B379-B45DE3C7314B}"/>
    <cellStyle name="Komma 4 2 2 3 2 7" xfId="50153" xr:uid="{BC496FE0-3E79-465D-A015-268BB000F838}"/>
    <cellStyle name="Komma 4 2 2 3 2 8" xfId="53169" xr:uid="{6AD33D11-DBDF-42B1-A89B-78760539249B}"/>
    <cellStyle name="Komma 4 2 2 3 2 9" xfId="18948" xr:uid="{0FA1A102-EC6E-43F7-A976-F5B3A71A45A0}"/>
    <cellStyle name="Komma 4 2 2 3 3" xfId="14639" xr:uid="{4C4E5AC3-B2E1-4DC6-A4FE-504D3EB91231}"/>
    <cellStyle name="Komma 4 2 2 3 3 2" xfId="22186" xr:uid="{6A59A314-DAE0-40A8-88AC-145485082053}"/>
    <cellStyle name="Komma 4 2 2 3 3 3" xfId="47064" xr:uid="{2D6542C0-3F0F-4446-AAF1-22E1F54D8F1A}"/>
    <cellStyle name="Komma 4 2 2 3 3 4" xfId="51524" xr:uid="{0D8CF1D2-E50C-4C5D-90C8-4F341113BAF3}"/>
    <cellStyle name="Komma 4 2 2 3 3 5" xfId="54540" xr:uid="{EB07D09D-893A-47A2-865A-FCD9837F323F}"/>
    <cellStyle name="Komma 4 2 2 3 3 6" xfId="19083" xr:uid="{A3F1D9BF-0892-44DD-AFD9-70A4B3B09441}"/>
    <cellStyle name="Komma 4 2 2 3 4" xfId="15124" xr:uid="{B18993E8-44E2-48D0-8C80-F5CAC619DE03}"/>
    <cellStyle name="Komma 4 2 2 3 4 2" xfId="22663" xr:uid="{06E390E4-0937-4B6C-8677-06B8DA70FD0A}"/>
    <cellStyle name="Komma 4 2 2 3 4 3" xfId="46883" xr:uid="{39DC5EFB-314A-4387-B22E-257BD03C4617}"/>
    <cellStyle name="Komma 4 2 2 3 4 4" xfId="52001" xr:uid="{E656CB6D-3599-4B38-9E73-931662080219}"/>
    <cellStyle name="Komma 4 2 2 3 4 5" xfId="55017" xr:uid="{E0747B7E-4DAB-4F45-859A-7B6C9C152C2A}"/>
    <cellStyle name="Komma 4 2 2 3 4 6" xfId="19226" xr:uid="{A283E601-8690-442D-94D4-2B2ADDD4ED26}"/>
    <cellStyle name="Komma 4 2 2 3 5" xfId="15611" xr:uid="{D8BF80CD-EE43-4930-B2DC-37F63A5C0046}"/>
    <cellStyle name="Komma 4 2 2 3 5 2" xfId="23140" xr:uid="{2EC81047-B3B2-4E43-8F2C-A3429BDC6733}"/>
    <cellStyle name="Komma 4 2 2 3 5 3" xfId="48519" xr:uid="{4479E34C-3741-4227-BFD1-4F3F8B1E4279}"/>
    <cellStyle name="Komma 4 2 2 3 5 4" xfId="52478" xr:uid="{82C86504-220F-49CD-862B-01D0D594CBB9}"/>
    <cellStyle name="Komma 4 2 2 3 5 5" xfId="55494" xr:uid="{61330A8B-4A1C-42CD-BF6A-A19B4D1A94BC}"/>
    <cellStyle name="Komma 4 2 2 3 5 6" xfId="19371" xr:uid="{65270745-E0C8-4629-BD74-233AEF6B8407}"/>
    <cellStyle name="Komma 4 2 2 3 6" xfId="12576" xr:uid="{837280C6-A664-45FF-8D09-05D57FBADD80}"/>
    <cellStyle name="Komma 4 2 2 3 6 2" xfId="47741" xr:uid="{3B225F7A-207A-4344-ACC7-29366DF68BE0}"/>
    <cellStyle name="Komma 4 2 2 3 6 3" xfId="51047" xr:uid="{F3CDD8FD-3DF9-43BA-AC1D-8DC83F776CD0}"/>
    <cellStyle name="Komma 4 2 2 3 6 4" xfId="54063" xr:uid="{D2CACC4C-182B-416F-9612-3B5C9AA590B5}"/>
    <cellStyle name="Komma 4 2 2 3 6 5" xfId="21941" xr:uid="{E6BEB5A7-73C5-4069-A4C6-0721C8242646}"/>
    <cellStyle name="Komma 4 2 2 3 7" xfId="23896" xr:uid="{7264F1C1-7BF3-4678-AC92-1A74CF6C1BCE}"/>
    <cellStyle name="Komma 4 2 2 3 8" xfId="47061" xr:uid="{C2FD2787-A2B3-46BC-827C-7B5C189DE6D2}"/>
    <cellStyle name="Komma 4 2 2 3 9" xfId="48745" xr:uid="{65DFD3E3-6FFF-4667-A706-E3DA2BE3A639}"/>
    <cellStyle name="Komma 4 2 2 4" xfId="10198" xr:uid="{A90FEC32-65D7-407E-9E16-2E4139C68205}"/>
    <cellStyle name="Komma 4 2 2 4 10" xfId="18829" xr:uid="{E31D4E6D-FF11-4A30-AFBE-4F40326A8469}"/>
    <cellStyle name="Komma 4 2 2 4 2" xfId="10512" xr:uid="{40FC1F6D-BF49-4E93-B9EF-874BC3AC0F24}"/>
    <cellStyle name="Komma 4 2 2 4 2 2" xfId="14904" xr:uid="{E95B78D6-5834-4087-BC4F-B4A3C74FA6C7}"/>
    <cellStyle name="Komma 4 2 2 4 2 2 2" xfId="22451" xr:uid="{880232F6-3F45-47CD-B022-8A0F688CD502}"/>
    <cellStyle name="Komma 4 2 2 4 2 2 3" xfId="36975" xr:uid="{F57C4BCC-9CFC-458C-8142-D37166F5FEAE}"/>
    <cellStyle name="Komma 4 2 2 4 2 2 4" xfId="51789" xr:uid="{8F03DD1A-DD67-4F31-82BD-A3C0EBE19B49}"/>
    <cellStyle name="Komma 4 2 2 4 2 2 5" xfId="54805" xr:uid="{C3876A65-27D0-4272-B01C-921909FC4D53}"/>
    <cellStyle name="Komma 4 2 2 4 2 2 6" xfId="19158" xr:uid="{BF6D5F04-E100-48C2-8859-5BE25E422647}"/>
    <cellStyle name="Komma 4 2 2 4 2 3" xfId="15389" xr:uid="{CFF5B9A2-FD6D-4E29-869B-3B9912E4BFDE}"/>
    <cellStyle name="Komma 4 2 2 4 2 3 2" xfId="22928" xr:uid="{A28789AF-5749-4755-99FF-F067214C09CA}"/>
    <cellStyle name="Komma 4 2 2 4 2 3 3" xfId="46916" xr:uid="{72BB6382-60B7-4FAD-8495-E06E2561E3F3}"/>
    <cellStyle name="Komma 4 2 2 4 2 3 4" xfId="52266" xr:uid="{7ACB61C8-2758-4E17-9E17-0C5A0A741DBF}"/>
    <cellStyle name="Komma 4 2 2 4 2 3 5" xfId="55282" xr:uid="{8337228F-C1CA-48BC-9775-CFECD8332E05}"/>
    <cellStyle name="Komma 4 2 2 4 2 3 6" xfId="19301" xr:uid="{07E072FD-623F-469B-88B0-AFDADD5B8559}"/>
    <cellStyle name="Komma 4 2 2 4 2 4" xfId="15876" xr:uid="{5D9FC967-812D-4909-9534-8FE980739B2A}"/>
    <cellStyle name="Komma 4 2 2 4 2 4 2" xfId="23405" xr:uid="{6F1EF1A9-9CBF-4E79-8A48-E6F5920A00D9}"/>
    <cellStyle name="Komma 4 2 2 4 2 4 3" xfId="47452" xr:uid="{17512D3F-EE9C-49B8-B60B-6E3A416443B2}"/>
    <cellStyle name="Komma 4 2 2 4 2 4 4" xfId="52743" xr:uid="{DFFCBA22-1AB5-4C67-82F5-B16285A2750F}"/>
    <cellStyle name="Komma 4 2 2 4 2 4 5" xfId="55759" xr:uid="{8E64C39D-EF18-4043-9517-D2F5A84344C7}"/>
    <cellStyle name="Komma 4 2 2 4 2 4 6" xfId="19446" xr:uid="{F914682E-F759-479B-ADD3-5C17D2B2DF2E}"/>
    <cellStyle name="Komma 4 2 2 4 2 5" xfId="12965" xr:uid="{847C5820-5E33-4955-A827-11187624C850}"/>
    <cellStyle name="Komma 4 2 2 4 2 5 2" xfId="47368" xr:uid="{129EAE4E-CB41-4C5A-B0F6-925D843A4A48}"/>
    <cellStyle name="Komma 4 2 2 4 2 5 3" xfId="51312" xr:uid="{A616A121-1438-4EEE-9DBE-CB779475DDE5}"/>
    <cellStyle name="Komma 4 2 2 4 2 5 4" xfId="54328" xr:uid="{BE8504FA-B621-4FE1-97A7-E6DD15711B77}"/>
    <cellStyle name="Komma 4 2 2 4 2 5 5" xfId="22016" xr:uid="{9D4C615D-994E-40B1-9951-F64AD79E28D2}"/>
    <cellStyle name="Komma 4 2 2 4 2 6" xfId="46629" xr:uid="{102F60E1-109C-417C-ADE9-E95572777053}"/>
    <cellStyle name="Komma 4 2 2 4 2 7" xfId="50206" xr:uid="{3D144846-3C2B-4E7A-8164-7F1E04F898F8}"/>
    <cellStyle name="Komma 4 2 2 4 2 8" xfId="53222" xr:uid="{9E11BE4F-C0F8-4D75-9462-48A458A550CB}"/>
    <cellStyle name="Komma 4 2 2 4 2 9" xfId="18990" xr:uid="{B0B2E2F1-DBC1-46A0-A711-B9AB3501B709}"/>
    <cellStyle name="Komma 4 2 2 4 3" xfId="14692" xr:uid="{E4299360-664B-4AB4-8EA0-A23EF55AC364}"/>
    <cellStyle name="Komma 4 2 2 4 3 2" xfId="22239" xr:uid="{F87A7DC0-C063-4BBA-B200-FCEF149E8681}"/>
    <cellStyle name="Komma 4 2 2 4 3 3" xfId="48406" xr:uid="{A7975A96-3E7F-4E96-A323-EADBBABA366F}"/>
    <cellStyle name="Komma 4 2 2 4 3 4" xfId="51577" xr:uid="{429EF615-A12E-4A5D-96E1-4FEB1114860F}"/>
    <cellStyle name="Komma 4 2 2 4 3 5" xfId="54593" xr:uid="{4F1B48C8-9B26-4F58-8E4A-9067055A561E}"/>
    <cellStyle name="Komma 4 2 2 4 3 6" xfId="19098" xr:uid="{C4899154-6EDC-4113-8491-89DCEB4A03ED}"/>
    <cellStyle name="Komma 4 2 2 4 4" xfId="15177" xr:uid="{7E02F7C0-6918-4192-825D-49C3F8FA208E}"/>
    <cellStyle name="Komma 4 2 2 4 4 2" xfId="22716" xr:uid="{1D64B655-01C1-4345-8BD1-AF66E71ECC8E}"/>
    <cellStyle name="Komma 4 2 2 4 4 3" xfId="47109" xr:uid="{FED0EACB-720E-4AD2-B414-DB4504B51FDB}"/>
    <cellStyle name="Komma 4 2 2 4 4 4" xfId="52054" xr:uid="{BB1F783F-C1E6-4B3E-AB0E-E305BFE15165}"/>
    <cellStyle name="Komma 4 2 2 4 4 5" xfId="55070" xr:uid="{0633DFD7-9FFA-4E95-84EF-66B564DECB11}"/>
    <cellStyle name="Komma 4 2 2 4 4 6" xfId="19241" xr:uid="{3CDF3342-FDA3-4F45-B452-A56119F1E384}"/>
    <cellStyle name="Komma 4 2 2 4 5" xfId="15664" xr:uid="{64A8B6CC-54CA-4A22-9229-04225D633510}"/>
    <cellStyle name="Komma 4 2 2 4 5 2" xfId="23193" xr:uid="{7ECCC9AF-04E1-4C19-9C81-7326FEEA1CA0}"/>
    <cellStyle name="Komma 4 2 2 4 5 3" xfId="48368" xr:uid="{BB9F93E5-4E25-43BA-BAA0-A3E7374E6097}"/>
    <cellStyle name="Komma 4 2 2 4 5 4" xfId="52531" xr:uid="{0BEDDADF-278A-4888-B5A3-D09A45D2BE0F}"/>
    <cellStyle name="Komma 4 2 2 4 5 5" xfId="55547" xr:uid="{7C787140-5B93-4F05-91CB-B15044D8A4B5}"/>
    <cellStyle name="Komma 4 2 2 4 5 6" xfId="19386" xr:uid="{5181D14C-4C05-46C6-B3D0-BAEB83F9FC47}"/>
    <cellStyle name="Komma 4 2 2 4 6" xfId="12652" xr:uid="{330982EF-0C98-4435-8C89-3807D0FEAAB0}"/>
    <cellStyle name="Komma 4 2 2 4 6 2" xfId="46336" xr:uid="{188F8C10-5E46-44CE-AC18-0635FA29CD50}"/>
    <cellStyle name="Komma 4 2 2 4 6 3" xfId="51100" xr:uid="{D158E6CF-A08B-4BB2-AA80-4AD46FB61009}"/>
    <cellStyle name="Komma 4 2 2 4 6 4" xfId="54116" xr:uid="{42A847E4-1DA5-4D63-BFFE-316298F9F311}"/>
    <cellStyle name="Komma 4 2 2 4 6 5" xfId="21956" xr:uid="{2BF07CA0-7360-4CDF-91CA-B0C33B824FD7}"/>
    <cellStyle name="Komma 4 2 2 4 7" xfId="48280" xr:uid="{5979F6A7-3B2B-4C3B-8C7A-A9020C38853E}"/>
    <cellStyle name="Komma 4 2 2 4 8" xfId="49994" xr:uid="{C26BAFE7-6AB2-473A-B60C-F2357E10EEEC}"/>
    <cellStyle name="Komma 4 2 2 4 9" xfId="53010" xr:uid="{A6EC0803-B219-4863-9A1B-56C84253FF3F}"/>
    <cellStyle name="Komma 4 2 2 5" xfId="10278" xr:uid="{936DD5E3-1ECA-4530-A07A-5E63FD184187}"/>
    <cellStyle name="Komma 4 2 2 5 2" xfId="14745" xr:uid="{027DAF20-F17F-4CA9-BFFE-D320D4B85BB7}"/>
    <cellStyle name="Komma 4 2 2 5 2 2" xfId="22292" xr:uid="{A2F724DC-367C-4190-9D35-D2E2851A6E95}"/>
    <cellStyle name="Komma 4 2 2 5 2 3" xfId="47180" xr:uid="{DBC6D182-E6AF-4337-AE76-5A8F0D43531B}"/>
    <cellStyle name="Komma 4 2 2 5 2 4" xfId="51630" xr:uid="{20EA3F68-1645-444B-81D9-9024D04C7FAC}"/>
    <cellStyle name="Komma 4 2 2 5 2 5" xfId="54646" xr:uid="{BD786E8E-BA3F-4C6E-90AA-6D53B7CF80C6}"/>
    <cellStyle name="Komma 4 2 2 5 2 6" xfId="19113" xr:uid="{E7647E77-52A0-40AE-9447-D214233CE454}"/>
    <cellStyle name="Komma 4 2 2 5 3" xfId="15230" xr:uid="{C1D0CA42-7EA4-419A-A781-6C12B652D812}"/>
    <cellStyle name="Komma 4 2 2 5 3 2" xfId="22769" xr:uid="{71C1961E-6E98-4513-ACC5-828F6CC62E46}"/>
    <cellStyle name="Komma 4 2 2 5 3 3" xfId="47490" xr:uid="{99365B6A-7E0B-4F6D-B1C0-DA2496CF3EAD}"/>
    <cellStyle name="Komma 4 2 2 5 3 4" xfId="52107" xr:uid="{084E8156-CDA1-4553-8C99-F379C5BA1E8F}"/>
    <cellStyle name="Komma 4 2 2 5 3 5" xfId="55123" xr:uid="{B77C7749-E4FB-4C82-851E-9DAFF0680C0B}"/>
    <cellStyle name="Komma 4 2 2 5 3 6" xfId="19256" xr:uid="{ECEB0D2B-FAFA-4D47-9CB3-44600B44B81D}"/>
    <cellStyle name="Komma 4 2 2 5 4" xfId="15717" xr:uid="{F1EA1B39-2AE5-4D03-BD61-346F812549CF}"/>
    <cellStyle name="Komma 4 2 2 5 4 2" xfId="23246" xr:uid="{757C18DC-50BC-4D42-ABCE-1CE0CDC06D17}"/>
    <cellStyle name="Komma 4 2 2 5 4 3" xfId="47792" xr:uid="{1F7A25CC-4772-4B23-BE94-46F959FB1D5C}"/>
    <cellStyle name="Komma 4 2 2 5 4 4" xfId="52584" xr:uid="{50216C1F-3E44-428B-9FD5-F35583318F1E}"/>
    <cellStyle name="Komma 4 2 2 5 4 5" xfId="55600" xr:uid="{1C6A0318-CF53-432C-B581-FDFD328C9C15}"/>
    <cellStyle name="Komma 4 2 2 5 4 6" xfId="19401" xr:uid="{F1F3410C-CA5C-4D91-B627-3129CA8A85AC}"/>
    <cellStyle name="Komma 4 2 2 5 5" xfId="12731" xr:uid="{5D384ED0-E093-4481-8B6D-0F8BBB2FB180}"/>
    <cellStyle name="Komma 4 2 2 5 5 2" xfId="46668" xr:uid="{3B61D1A0-CB33-413B-B2D9-4F39ABB1051D}"/>
    <cellStyle name="Komma 4 2 2 5 5 3" xfId="51153" xr:uid="{9BFB6D00-B42E-4875-843D-479896686E6E}"/>
    <cellStyle name="Komma 4 2 2 5 5 4" xfId="54169" xr:uid="{3399EE2F-2844-4832-8A77-38A08D8777AF}"/>
    <cellStyle name="Komma 4 2 2 5 5 5" xfId="21971" xr:uid="{6E526598-6168-4D21-81BA-12E2088727D2}"/>
    <cellStyle name="Komma 4 2 2 5 6" xfId="46082" xr:uid="{EA3741A2-8221-431D-8D29-03A2BC995E9B}"/>
    <cellStyle name="Komma 4 2 2 5 7" xfId="50047" xr:uid="{4B372D3F-C31A-4D8B-B5E0-6E3659F2E1E1}"/>
    <cellStyle name="Komma 4 2 2 5 8" xfId="53063" xr:uid="{0065398B-4D8B-4B96-9822-C98B74301231}"/>
    <cellStyle name="Komma 4 2 2 5 9" xfId="18870" xr:uid="{5C9E358E-CC3A-430E-994F-8C0E72024FCF}"/>
    <cellStyle name="Komma 4 2 2 6" xfId="10592" xr:uid="{14221603-AB71-421B-AEFC-845C9AAFD93F}"/>
    <cellStyle name="Komma 4 2 2 6 2" xfId="14957" xr:uid="{463267CF-6B1F-41B2-8AEE-CAF7E651FF54}"/>
    <cellStyle name="Komma 4 2 2 6 2 2" xfId="22504" xr:uid="{AD3DCA0D-FBCA-430A-9FFE-2C93CD663C1E}"/>
    <cellStyle name="Komma 4 2 2 6 2 3" xfId="47934" xr:uid="{3FBD9BC5-5B2B-4B3B-ACCC-B638B5571A04}"/>
    <cellStyle name="Komma 4 2 2 6 2 4" xfId="51842" xr:uid="{16171123-2421-480A-9101-DBFCABB163B4}"/>
    <cellStyle name="Komma 4 2 2 6 2 5" xfId="54858" xr:uid="{DAB1707A-5752-44BC-AF41-E165BECFA2E5}"/>
    <cellStyle name="Komma 4 2 2 6 2 6" xfId="19173" xr:uid="{A7D4C9A5-135D-4155-98A5-3368A3C8F2CB}"/>
    <cellStyle name="Komma 4 2 2 6 3" xfId="15442" xr:uid="{A649DAA8-0F2D-49AB-A944-4D7BD8CE32CF}"/>
    <cellStyle name="Komma 4 2 2 6 3 2" xfId="22981" xr:uid="{A073EA67-5699-40AE-A063-AD1F71BE53FF}"/>
    <cellStyle name="Komma 4 2 2 6 3 3" xfId="46922" xr:uid="{C860DDC0-6B8F-4A55-B404-DC5DE8A7AB2B}"/>
    <cellStyle name="Komma 4 2 2 6 3 4" xfId="52319" xr:uid="{2E62B359-82D7-461F-BEFD-ABF20FE86179}"/>
    <cellStyle name="Komma 4 2 2 6 3 5" xfId="55335" xr:uid="{2E0F4CC3-B42E-4239-964A-6C591690018E}"/>
    <cellStyle name="Komma 4 2 2 6 3 6" xfId="19316" xr:uid="{A2FDD912-28D3-43D6-8F4E-B45CD36B0585}"/>
    <cellStyle name="Komma 4 2 2 6 4" xfId="15930" xr:uid="{2A0B606C-47C6-41D9-A33A-C28E82A01568}"/>
    <cellStyle name="Komma 4 2 2 6 4 2" xfId="23458" xr:uid="{0A7FCE64-14C5-4399-A6B9-21CB5938EBBE}"/>
    <cellStyle name="Komma 4 2 2 6 4 3" xfId="47260" xr:uid="{F5A0EE49-30A2-47B1-ADE7-EAF176176667}"/>
    <cellStyle name="Komma 4 2 2 6 4 4" xfId="52796" xr:uid="{B2F8F6B1-D830-41F6-BF2A-CE97AD0A3FAF}"/>
    <cellStyle name="Komma 4 2 2 6 4 5" xfId="55812" xr:uid="{BF1FAEF9-D75F-4409-8EF1-1CD4DF0B992C}"/>
    <cellStyle name="Komma 4 2 2 6 4 6" xfId="19462" xr:uid="{7579B31F-4151-456D-B261-668CFFE2691D}"/>
    <cellStyle name="Komma 4 2 2 6 5" xfId="13045" xr:uid="{F32889A1-79C2-4AE4-A87F-10DF180C7DC3}"/>
    <cellStyle name="Komma 4 2 2 6 5 2" xfId="48292" xr:uid="{97D65E3E-0693-43AD-A9EE-CE4FB729AF85}"/>
    <cellStyle name="Komma 4 2 2 6 5 3" xfId="51365" xr:uid="{0E31FE1B-88A8-4FDF-BFBB-252143A28C4A}"/>
    <cellStyle name="Komma 4 2 2 6 5 4" xfId="54381" xr:uid="{F6BBC0C2-F7F1-4F74-AC5C-CE6C4B3A26E7}"/>
    <cellStyle name="Komma 4 2 2 6 5 5" xfId="22031" xr:uid="{7F6B63BA-C79E-455D-9CE5-770AE83BEE1C}"/>
    <cellStyle name="Komma 4 2 2 6 6" xfId="46633" xr:uid="{FD102F6E-F29B-45B3-A691-08777DBFB1B2}"/>
    <cellStyle name="Komma 4 2 2 6 7" xfId="50259" xr:uid="{0343B750-3553-4F9B-A980-8A6E93A20141}"/>
    <cellStyle name="Komma 4 2 2 6 8" xfId="53275" xr:uid="{9D04EA68-0ED5-44CC-AB5B-4B6A9E386762}"/>
    <cellStyle name="Komma 4 2 2 6 9" xfId="19032" xr:uid="{9E6EFC73-F77E-4753-A1A5-4DA6446CBF5B}"/>
    <cellStyle name="Komma 4 2 2 7" xfId="14533" xr:uid="{FBD4E3EF-1190-4A02-9E22-55111C0F73B2}"/>
    <cellStyle name="Komma 4 2 2 7 2" xfId="22080" xr:uid="{AF1391EC-9EF9-47A3-8EB5-07ABB9F2A7D1}"/>
    <cellStyle name="Komma 4 2 2 7 3" xfId="46393" xr:uid="{7F533F6A-A173-4AC0-92DE-C2574A4843FE}"/>
    <cellStyle name="Komma 4 2 2 7 4" xfId="51418" xr:uid="{0817DFD2-4E07-4663-84AF-FB99CE03D9E5}"/>
    <cellStyle name="Komma 4 2 2 7 5" xfId="54434" xr:uid="{492E66A1-35C4-4A15-B544-A98BABBD8E22}"/>
    <cellStyle name="Komma 4 2 2 7 6" xfId="19053" xr:uid="{626549C8-F443-4D8D-9416-E6E854E67375}"/>
    <cellStyle name="Komma 4 2 2 8" xfId="15017" xr:uid="{5A056DF6-4E8C-436C-B83B-EBEC0CCA92B9}"/>
    <cellStyle name="Komma 4 2 2 8 2" xfId="22557" xr:uid="{4CCD5C4B-8CCB-4C90-BA1D-0DAF1ED8E41C}"/>
    <cellStyle name="Komma 4 2 2 8 3" xfId="48123" xr:uid="{CBFB98B7-2E2E-49BC-ABDF-4BB7D24331BB}"/>
    <cellStyle name="Komma 4 2 2 8 4" xfId="51895" xr:uid="{1AD08121-BA3E-4ED0-AB72-B7E32FC505D0}"/>
    <cellStyle name="Komma 4 2 2 8 5" xfId="54911" xr:uid="{57C2056A-334E-4764-8E67-16B078BEEB02}"/>
    <cellStyle name="Komma 4 2 2 8 6" xfId="19195" xr:uid="{0CCDAC0B-4359-4581-8F09-46A1BADBCC2E}"/>
    <cellStyle name="Komma 4 2 2 9" xfId="15504" xr:uid="{D284B5CC-CDDB-480B-AD12-3C59D6007C49}"/>
    <cellStyle name="Komma 4 2 2 9 2" xfId="23034" xr:uid="{BD28C102-CBE6-4748-803A-795223B63A99}"/>
    <cellStyle name="Komma 4 2 2 9 3" xfId="48364" xr:uid="{770569E9-E3EB-4A4F-AB39-98E06CC662BF}"/>
    <cellStyle name="Komma 4 2 2 9 4" xfId="52372" xr:uid="{02F81C7F-489B-4FA6-87BA-E775469B045E}"/>
    <cellStyle name="Komma 4 2 2 9 5" xfId="55388" xr:uid="{7DA8FEF1-39E6-4408-BFDF-30E209C44B9E}"/>
    <cellStyle name="Komma 4 2 2 9 6" xfId="19340" xr:uid="{427CA8F0-47FE-4076-BC4C-5CC70329A324}"/>
    <cellStyle name="Komma 4 2 3" xfId="10044" xr:uid="{94AC0871-DB2B-4992-B82D-52D7D22A4734}"/>
    <cellStyle name="Komma 4 2 3 10" xfId="49652" xr:uid="{1D0E8A14-A159-4B44-ACA9-589B6BC6409E}"/>
    <cellStyle name="Komma 4 2 3 11" xfId="49887" xr:uid="{A671FBA2-4D2E-4783-B6BC-C65103F24D79}"/>
    <cellStyle name="Komma 4 2 3 12" xfId="52903" xr:uid="{A4A446C4-64A0-4C87-A1DC-A2837D5F5E7F}"/>
    <cellStyle name="Komma 4 2 3 13" xfId="18757" xr:uid="{2B5E2520-B8B0-4B24-8396-2423AB81F9F3}"/>
    <cellStyle name="Komma 4 2 3 2" xfId="10352" xr:uid="{D6EAED5F-008F-4734-AD2A-B4B19B380C85}"/>
    <cellStyle name="Komma 4 2 3 2 10" xfId="50099" xr:uid="{BA194E35-D6AE-4A4B-9589-C776643F71EF}"/>
    <cellStyle name="Komma 4 2 3 2 11" xfId="53115" xr:uid="{D5316ECC-B4A9-4383-B1A4-FA012010C5EA}"/>
    <cellStyle name="Komma 4 2 3 2 12" xfId="18906" xr:uid="{CD3599C3-94E8-4312-919F-317F74D6481C}"/>
    <cellStyle name="Komma 4 2 3 2 2" xfId="14797" xr:uid="{EC8C7118-70C3-4F53-A956-AC5120767C9A}"/>
    <cellStyle name="Komma 4 2 3 2 2 2" xfId="22344" xr:uid="{CD19815F-CA30-4EB9-BFEA-0B6B3D1D5623}"/>
    <cellStyle name="Komma 4 2 3 2 2 3" xfId="48118" xr:uid="{CE626273-A7CB-49DC-B701-7C4B71FABF1B}"/>
    <cellStyle name="Komma 4 2 3 2 2 4" xfId="51682" xr:uid="{1744F30B-3C6A-4331-83DC-3E9DBE4AFB3F}"/>
    <cellStyle name="Komma 4 2 3 2 2 5" xfId="54698" xr:uid="{B49874E1-D969-4011-98F6-0DB8AAF0EA1C}"/>
    <cellStyle name="Komma 4 2 3 2 2 6" xfId="19127" xr:uid="{03668F7E-D67A-4F99-8ADD-D556F8B7108E}"/>
    <cellStyle name="Komma 4 2 3 2 3" xfId="15282" xr:uid="{BFA15ECE-88C7-4444-970D-60134C26A58C}"/>
    <cellStyle name="Komma 4 2 3 2 3 2" xfId="22821" xr:uid="{9935DD2B-2F1E-4AEC-B566-8E64AD918DE4}"/>
    <cellStyle name="Komma 4 2 3 2 3 3" xfId="47721" xr:uid="{0B5F133C-408F-4CBE-A368-C351A94E53DA}"/>
    <cellStyle name="Komma 4 2 3 2 3 4" xfId="52159" xr:uid="{FFD24BAA-A576-4E7C-A480-EAC565B31314}"/>
    <cellStyle name="Komma 4 2 3 2 3 5" xfId="55175" xr:uid="{1F351F2C-F276-428E-BDBF-C2D8DCB75787}"/>
    <cellStyle name="Komma 4 2 3 2 3 6" xfId="19270" xr:uid="{24A18476-5CD6-417D-9DE2-3DAA02EA1720}"/>
    <cellStyle name="Komma 4 2 3 2 4" xfId="15769" xr:uid="{BFF51AFF-D611-47D7-ADEC-6B3CB5E1C952}"/>
    <cellStyle name="Komma 4 2 3 2 4 2" xfId="23298" xr:uid="{71802185-E60F-4A6F-93C7-E51575C3D765}"/>
    <cellStyle name="Komma 4 2 3 2 4 3" xfId="24894" xr:uid="{65E7EFBB-B13B-4A1D-AD39-6213D697A982}"/>
    <cellStyle name="Komma 4 2 3 2 4 4" xfId="52636" xr:uid="{49C63361-0F42-4DFE-A373-5925095663C5}"/>
    <cellStyle name="Komma 4 2 3 2 4 5" xfId="55652" xr:uid="{2319EBC9-C5F0-4130-8735-1F8DEC8B781E}"/>
    <cellStyle name="Komma 4 2 3 2 4 6" xfId="19415" xr:uid="{225BE565-CBCF-48F7-9B06-691F04EDEE41}"/>
    <cellStyle name="Komma 4 2 3 2 5" xfId="12805" xr:uid="{FACCF953-9D64-406D-B913-F77755AD169D}"/>
    <cellStyle name="Komma 4 2 3 2 5 2" xfId="47230" xr:uid="{2EE26725-065A-4565-B77F-01DA397B3ED0}"/>
    <cellStyle name="Komma 4 2 3 2 5 3" xfId="51205" xr:uid="{4C0E1D10-553C-49D7-8D1E-A106BF63038F}"/>
    <cellStyle name="Komma 4 2 3 2 5 4" xfId="54221" xr:uid="{E78BFB4D-CF91-4520-91E6-838E4009DB82}"/>
    <cellStyle name="Komma 4 2 3 2 5 5" xfId="21985" xr:uid="{A72CE8C8-3D77-44E6-8954-001A739715D5}"/>
    <cellStyle name="Komma 4 2 3 2 6" xfId="23898" xr:uid="{BC4FB9E8-455D-408B-AEDE-573F4F6A806A}"/>
    <cellStyle name="Komma 4 2 3 2 7" xfId="33107" xr:uid="{BE1751ED-C920-4EA7-8375-2ECE41CA1D96}"/>
    <cellStyle name="Komma 4 2 3 2 8" xfId="48747" xr:uid="{E87D3ADF-AAA5-4B92-ABAF-BB3DBE4142AA}"/>
    <cellStyle name="Komma 4 2 3 2 9" xfId="49653" xr:uid="{B6CEC696-760C-4EC0-9B07-AB49330CAB8A}"/>
    <cellStyle name="Komma 4 2 3 3" xfId="14585" xr:uid="{A8687689-8DBD-4972-983C-BDF378A32609}"/>
    <cellStyle name="Komma 4 2 3 3 2" xfId="22132" xr:uid="{DF62CC88-6B98-466E-9542-E9D75286A025}"/>
    <cellStyle name="Komma 4 2 3 3 3" xfId="46404" xr:uid="{FB7593AC-BF36-4C14-8ABB-C24DD7613845}"/>
    <cellStyle name="Komma 4 2 3 3 4" xfId="51470" xr:uid="{35C076AD-E09E-4F12-B152-16A146A4EE13}"/>
    <cellStyle name="Komma 4 2 3 3 5" xfId="54486" xr:uid="{4EF89035-56E6-4A9C-9F6D-FC429E61A606}"/>
    <cellStyle name="Komma 4 2 3 3 6" xfId="19067" xr:uid="{98ED3E45-4821-4CD2-A9DA-9B1BB03C1084}"/>
    <cellStyle name="Komma 4 2 3 4" xfId="15069" xr:uid="{B9EF6291-1DB8-43D8-BCC8-EF7616AE458B}"/>
    <cellStyle name="Komma 4 2 3 4 2" xfId="22609" xr:uid="{5E5CAA23-EDB0-4415-A718-0F368992EBF2}"/>
    <cellStyle name="Komma 4 2 3 4 3" xfId="46473" xr:uid="{203E811B-DE6D-4AD5-AC18-554FDD3E22FB}"/>
    <cellStyle name="Komma 4 2 3 4 4" xfId="51947" xr:uid="{5E299E5A-476D-4B69-A7F8-8089923E48D7}"/>
    <cellStyle name="Komma 4 2 3 4 5" xfId="54963" xr:uid="{6EF1AA97-D038-4D16-B96F-D59859ACEBC3}"/>
    <cellStyle name="Komma 4 2 3 4 6" xfId="19209" xr:uid="{4C566D07-48E0-42C5-87ED-7ACDD96D5EF6}"/>
    <cellStyle name="Komma 4 2 3 5" xfId="15556" xr:uid="{60EF5C1D-18AA-4C2D-A19D-4DA79DF9A327}"/>
    <cellStyle name="Komma 4 2 3 5 2" xfId="23086" xr:uid="{CC06059F-9748-403E-A241-78776D594F1F}"/>
    <cellStyle name="Komma 4 2 3 5 3" xfId="24900" xr:uid="{3D7B01DF-FC89-47AF-AA6B-FB6E6D210F3E}"/>
    <cellStyle name="Komma 4 2 3 5 4" xfId="52424" xr:uid="{B7136C02-4DD8-4B82-AF19-FFAED8BBFE76}"/>
    <cellStyle name="Komma 4 2 3 5 5" xfId="55440" xr:uid="{1BE0D621-D498-45CF-9196-AEC5F37F5C2C}"/>
    <cellStyle name="Komma 4 2 3 5 6" xfId="19354" xr:uid="{DF2048C3-AA76-4A83-A8D4-34C787811EDC}"/>
    <cellStyle name="Komma 4 2 3 6" xfId="12504" xr:uid="{1A4F888F-46C2-4DA9-8110-CAE514878C38}"/>
    <cellStyle name="Komma 4 2 3 6 2" xfId="46315" xr:uid="{52C73B90-BE06-47F7-ACC6-B882226FA1A0}"/>
    <cellStyle name="Komma 4 2 3 6 3" xfId="50993" xr:uid="{CA7146D2-5C7B-4BF0-A77E-C98D55C08704}"/>
    <cellStyle name="Komma 4 2 3 6 4" xfId="54009" xr:uid="{2CF40730-37B1-4333-802C-821ADF3B04D8}"/>
    <cellStyle name="Komma 4 2 3 6 5" xfId="21924" xr:uid="{A45F5BCA-25F1-402A-AAA9-17C9EB286F24}"/>
    <cellStyle name="Komma 4 2 3 7" xfId="23897" xr:uid="{6FD81EBA-C217-4101-91DB-853187B10E99}"/>
    <cellStyle name="Komma 4 2 3 8" xfId="46612" xr:uid="{A6EC1397-5F58-4217-9362-54D892A33D25}"/>
    <cellStyle name="Komma 4 2 3 9" xfId="48746" xr:uid="{7F81301F-DE87-4784-90F7-55C2C5142CFF}"/>
    <cellStyle name="Komma 4 2 4" xfId="10118" xr:uid="{F0CBAB73-286C-49E6-A236-0B16189B663D}"/>
    <cellStyle name="Komma 4 2 4 10" xfId="49654" xr:uid="{BC8916ED-D104-43BF-A842-74EF4DE50FF5}"/>
    <cellStyle name="Komma 4 2 4 11" xfId="49940" xr:uid="{76A0059E-3BCE-4AEB-83D1-5327F0B0A1B0}"/>
    <cellStyle name="Komma 4 2 4 12" xfId="52956" xr:uid="{927AB4AE-16ED-4457-9D46-A06DBA953C8D}"/>
    <cellStyle name="Komma 4 2 4 13" xfId="18790" xr:uid="{C66402BF-C86E-44C4-A4BA-414D7D1941EF}"/>
    <cellStyle name="Komma 4 2 4 2" xfId="10431" xr:uid="{77ED9F5A-ECF9-4AD6-9BFB-B79A73BE001F}"/>
    <cellStyle name="Komma 4 2 4 2 10" xfId="50152" xr:uid="{7088A3C4-F3C6-44EE-9C86-7329F22BD432}"/>
    <cellStyle name="Komma 4 2 4 2 11" xfId="53168" xr:uid="{E0167E7F-A6BB-4858-BFCF-18BEEC1609C3}"/>
    <cellStyle name="Komma 4 2 4 2 12" xfId="18947" xr:uid="{1897EBDF-695C-4C46-9099-7476A84D7060}"/>
    <cellStyle name="Komma 4 2 4 2 2" xfId="14850" xr:uid="{048D4994-A345-4F76-B859-FD04A454B871}"/>
    <cellStyle name="Komma 4 2 4 2 2 2" xfId="22397" xr:uid="{537F0A51-DAA5-438B-9FD3-A4D3A30EBABA}"/>
    <cellStyle name="Komma 4 2 4 2 2 3" xfId="46869" xr:uid="{42960CD7-D530-4CB1-81B0-F22997ED09D6}"/>
    <cellStyle name="Komma 4 2 4 2 2 4" xfId="51735" xr:uid="{387DAB37-8602-4F2C-9406-617DFF8426D0}"/>
    <cellStyle name="Komma 4 2 4 2 2 5" xfId="54751" xr:uid="{D8B74F1C-F31A-4EA6-A73A-A73E95EE165A}"/>
    <cellStyle name="Komma 4 2 4 2 2 6" xfId="19142" xr:uid="{D2EF4453-2075-464B-A006-CEA66EA5EC22}"/>
    <cellStyle name="Komma 4 2 4 2 3" xfId="15335" xr:uid="{6258F26B-87D1-469D-B34E-4829148CF41F}"/>
    <cellStyle name="Komma 4 2 4 2 3 2" xfId="22874" xr:uid="{21ADCEA9-BBE1-4187-AAAF-DD4F69B45474}"/>
    <cellStyle name="Komma 4 2 4 2 3 3" xfId="46912" xr:uid="{59974CF7-9BB4-495C-90F8-4B44E016EAA0}"/>
    <cellStyle name="Komma 4 2 4 2 3 4" xfId="52212" xr:uid="{440E1D2F-E454-4A20-9DC9-5C27AE9588A8}"/>
    <cellStyle name="Komma 4 2 4 2 3 5" xfId="55228" xr:uid="{14879705-FCCB-443C-BC7F-081216C9ED05}"/>
    <cellStyle name="Komma 4 2 4 2 3 6" xfId="19285" xr:uid="{542FE232-27CF-47D5-B0F1-50C61D6FC4D3}"/>
    <cellStyle name="Komma 4 2 4 2 4" xfId="15822" xr:uid="{71AB4860-D0AC-418D-A9F2-A2255AE0BDE8}"/>
    <cellStyle name="Komma 4 2 4 2 4 2" xfId="23351" xr:uid="{316B28A1-E9A1-4B1A-A9BB-BE1BCBBB48EE}"/>
    <cellStyle name="Komma 4 2 4 2 4 3" xfId="48523" xr:uid="{373B88D2-89CD-4B83-92CE-2B567DD68DD0}"/>
    <cellStyle name="Komma 4 2 4 2 4 4" xfId="52689" xr:uid="{DD292F30-2F90-4B29-AD78-9BB88A3FF2E2}"/>
    <cellStyle name="Komma 4 2 4 2 4 5" xfId="55705" xr:uid="{9765331A-E7E5-4617-9CA3-CFC0E5636881}"/>
    <cellStyle name="Komma 4 2 4 2 4 6" xfId="19430" xr:uid="{07BB9549-B9A2-4D86-81B4-5489839742CB}"/>
    <cellStyle name="Komma 4 2 4 2 5" xfId="12884" xr:uid="{51FBF195-8F43-4251-9E95-961C45D563A7}"/>
    <cellStyle name="Komma 4 2 4 2 5 2" xfId="34153" xr:uid="{D85C579C-48BB-418E-8E44-38B3966E599F}"/>
    <cellStyle name="Komma 4 2 4 2 5 3" xfId="51258" xr:uid="{5E17BB8C-4E2B-41E2-9539-F02855E20325}"/>
    <cellStyle name="Komma 4 2 4 2 5 4" xfId="54274" xr:uid="{DF78766A-F371-45A5-B4B4-ED35E0C7DBF6}"/>
    <cellStyle name="Komma 4 2 4 2 5 5" xfId="22000" xr:uid="{A84BCE5F-8480-4B4D-B812-61FEEDCE85CA}"/>
    <cellStyle name="Komma 4 2 4 2 6" xfId="23900" xr:uid="{2979E7B6-A36D-4BCF-A11C-8840EC55B943}"/>
    <cellStyle name="Komma 4 2 4 2 7" xfId="46121" xr:uid="{D93F4550-A4C4-4BAB-9F94-43FC0814C0F8}"/>
    <cellStyle name="Komma 4 2 4 2 8" xfId="48749" xr:uid="{BBABA814-E8CB-4A15-9D1F-03F2BE254930}"/>
    <cellStyle name="Komma 4 2 4 2 9" xfId="49655" xr:uid="{6E1D9CD9-3006-46A1-BF1B-4732468DCA3A}"/>
    <cellStyle name="Komma 4 2 4 3" xfId="14638" xr:uid="{371DA584-4B55-481B-A3F5-5E68BFC3AD37}"/>
    <cellStyle name="Komma 4 2 4 3 2" xfId="22185" xr:uid="{A55547EC-6893-4EC1-A6D7-3B87BA3F40A3}"/>
    <cellStyle name="Komma 4 2 4 3 3" xfId="47743" xr:uid="{FB3A288F-8858-4F41-909D-1CC4529D683E}"/>
    <cellStyle name="Komma 4 2 4 3 4" xfId="51523" xr:uid="{E00748DF-EF77-4754-A458-33F953EB407A}"/>
    <cellStyle name="Komma 4 2 4 3 5" xfId="54539" xr:uid="{D34E01A9-7142-4027-88D9-9A433F5E4689}"/>
    <cellStyle name="Komma 4 2 4 3 6" xfId="19082" xr:uid="{98CF06B3-B1F6-4F11-A1D5-ACD70C7DC70A}"/>
    <cellStyle name="Komma 4 2 4 4" xfId="15123" xr:uid="{662A190F-1F16-48F5-8938-2A4954B46F79}"/>
    <cellStyle name="Komma 4 2 4 4 2" xfId="22662" xr:uid="{682EC7AA-9C18-4399-97F9-44A973F1EC0C}"/>
    <cellStyle name="Komma 4 2 4 4 3" xfId="47056" xr:uid="{9CC43B04-E22D-434B-8277-62ECDA14A2B8}"/>
    <cellStyle name="Komma 4 2 4 4 4" xfId="52000" xr:uid="{F2916EED-DC06-46EB-BEF5-C848048AB2C3}"/>
    <cellStyle name="Komma 4 2 4 4 5" xfId="55016" xr:uid="{29EBA63B-3CC1-4497-BB3A-9244BEDE9A80}"/>
    <cellStyle name="Komma 4 2 4 4 6" xfId="19225" xr:uid="{75E98CFD-2399-4F94-AFB0-E20BC05AD368}"/>
    <cellStyle name="Komma 4 2 4 5" xfId="15610" xr:uid="{33A0DDAB-6BD7-42E0-AF02-5D011E77686E}"/>
    <cellStyle name="Komma 4 2 4 5 2" xfId="23139" xr:uid="{61FB38DF-C8DB-497F-82B4-841A1D3B1C2A}"/>
    <cellStyle name="Komma 4 2 4 5 3" xfId="47499" xr:uid="{8E1BA9A3-853A-4510-8266-F8AD519D5712}"/>
    <cellStyle name="Komma 4 2 4 5 4" xfId="52477" xr:uid="{A4F163C4-5BE7-455A-AAEE-7BC3762F668C}"/>
    <cellStyle name="Komma 4 2 4 5 5" xfId="55493" xr:uid="{B8A6C5DC-71C4-46AE-82C3-1CA4AC142791}"/>
    <cellStyle name="Komma 4 2 4 5 6" xfId="19370" xr:uid="{B4634B9E-8001-4343-B445-71A01037C080}"/>
    <cellStyle name="Komma 4 2 4 6" xfId="12575" xr:uid="{321C7BAF-548E-4E83-A466-63F3056986FB}"/>
    <cellStyle name="Komma 4 2 4 6 2" xfId="46664" xr:uid="{438EFB42-04BD-47DB-A6CD-40C12883138C}"/>
    <cellStyle name="Komma 4 2 4 6 3" xfId="51046" xr:uid="{B72FA7BE-048F-43BF-882F-C882BD7CA016}"/>
    <cellStyle name="Komma 4 2 4 6 4" xfId="54062" xr:uid="{AC3047D1-FAAB-45A4-AA98-52BABF06FE9B}"/>
    <cellStyle name="Komma 4 2 4 6 5" xfId="21940" xr:uid="{D15D37DE-8067-498A-BAB3-4804F9546C81}"/>
    <cellStyle name="Komma 4 2 4 7" xfId="23899" xr:uid="{76B62F09-C909-4A0B-9C9B-7187F7832A74}"/>
    <cellStyle name="Komma 4 2 4 8" xfId="47031" xr:uid="{8639DE01-FBF5-44E0-B4E4-644E43734BB0}"/>
    <cellStyle name="Komma 4 2 4 9" xfId="48748" xr:uid="{EF61C33E-AE1D-47E5-A64B-2F56A071612D}"/>
    <cellStyle name="Komma 4 2 5" xfId="10197" xr:uid="{0E03B00C-B14D-4F8E-998D-609A82745E54}"/>
    <cellStyle name="Komma 4 2 5 10" xfId="49656" xr:uid="{A5FDE707-8F10-4F24-8251-E104016E3426}"/>
    <cellStyle name="Komma 4 2 5 11" xfId="49993" xr:uid="{D66BC82C-4ADC-4AFA-BA7D-A2A7D58F072C}"/>
    <cellStyle name="Komma 4 2 5 12" xfId="53009" xr:uid="{0105BFEB-413F-4649-84FE-73C33AF9B38E}"/>
    <cellStyle name="Komma 4 2 5 13" xfId="18828" xr:uid="{2E296A59-DB35-437E-8A3A-67289501B705}"/>
    <cellStyle name="Komma 4 2 5 2" xfId="10511" xr:uid="{4CA71952-2039-4CF4-BC88-2EB350238D04}"/>
    <cellStyle name="Komma 4 2 5 2 2" xfId="14903" xr:uid="{2696A226-ADB3-46EC-A883-6C697408B935}"/>
    <cellStyle name="Komma 4 2 5 2 2 2" xfId="22450" xr:uid="{E476A229-2DE8-48E2-B56D-53FE1C1818D7}"/>
    <cellStyle name="Komma 4 2 5 2 2 3" xfId="46454" xr:uid="{3045F9A6-662A-49F4-B130-36C3B86376B5}"/>
    <cellStyle name="Komma 4 2 5 2 2 4" xfId="51788" xr:uid="{0139D3DE-B88B-45BD-A51F-E270ACB959D6}"/>
    <cellStyle name="Komma 4 2 5 2 2 5" xfId="54804" xr:uid="{58273586-3B60-4D2D-AD53-10675F6E493C}"/>
    <cellStyle name="Komma 4 2 5 2 2 6" xfId="19157" xr:uid="{1F43122B-5642-47BD-8322-173E40A1B97F}"/>
    <cellStyle name="Komma 4 2 5 2 3" xfId="15388" xr:uid="{4E3B8F2E-7A05-4116-8775-2CCB4D7C5C67}"/>
    <cellStyle name="Komma 4 2 5 2 3 2" xfId="22927" xr:uid="{F6D3C7A8-EEBC-4AB0-9D2B-5B0FD6C5A6F6}"/>
    <cellStyle name="Komma 4 2 5 2 3 3" xfId="47547" xr:uid="{7E52565B-ABAF-4A36-9F20-BE73F55683F2}"/>
    <cellStyle name="Komma 4 2 5 2 3 4" xfId="52265" xr:uid="{58EDC9B2-BBE8-4482-8249-CA58E00EBFF6}"/>
    <cellStyle name="Komma 4 2 5 2 3 5" xfId="55281" xr:uid="{9E2EA00F-594B-477C-8467-9543CBD5FE07}"/>
    <cellStyle name="Komma 4 2 5 2 3 6" xfId="19300" xr:uid="{B82A44FA-0262-4D76-ABD3-78992D165997}"/>
    <cellStyle name="Komma 4 2 5 2 4" xfId="15875" xr:uid="{88C018B2-B256-4E97-976A-814FB6E6771F}"/>
    <cellStyle name="Komma 4 2 5 2 4 2" xfId="23404" xr:uid="{3EAABEE1-0D7A-404E-91DB-683F3E9594F4}"/>
    <cellStyle name="Komma 4 2 5 2 4 3" xfId="46704" xr:uid="{A4B699ED-EDBC-44B5-8810-C06E0186F783}"/>
    <cellStyle name="Komma 4 2 5 2 4 4" xfId="52742" xr:uid="{B1E3EDE7-5ED8-4F65-B1FC-D8430210A872}"/>
    <cellStyle name="Komma 4 2 5 2 4 5" xfId="55758" xr:uid="{142E24FE-C681-4DF7-9C30-AF66F1183074}"/>
    <cellStyle name="Komma 4 2 5 2 4 6" xfId="19445" xr:uid="{D28ECFD1-8765-4DB1-B150-D564D72E9D02}"/>
    <cellStyle name="Komma 4 2 5 2 5" xfId="12964" xr:uid="{6D1DF2FC-80CB-4241-A6EA-A75632DA62E4}"/>
    <cellStyle name="Komma 4 2 5 2 5 2" xfId="24323" xr:uid="{2B70EDF7-D30E-40EB-B39A-3AC1DD00A3E4}"/>
    <cellStyle name="Komma 4 2 5 2 5 3" xfId="51311" xr:uid="{DA7EF3CE-B08C-4BD3-B77F-0D71B29BB0A7}"/>
    <cellStyle name="Komma 4 2 5 2 5 4" xfId="54327" xr:uid="{B0D24454-2637-4910-B6EC-4FB33C8CE404}"/>
    <cellStyle name="Komma 4 2 5 2 5 5" xfId="22015" xr:uid="{C0FA1C33-DF36-4D65-BE56-97DA78783310}"/>
    <cellStyle name="Komma 4 2 5 2 6" xfId="47204" xr:uid="{AE76C77F-ED59-4AD5-A8C5-AAC1DFA65A76}"/>
    <cellStyle name="Komma 4 2 5 2 7" xfId="50205" xr:uid="{EAEF3F62-F0DB-47F6-B35B-19DC45A4F42F}"/>
    <cellStyle name="Komma 4 2 5 2 8" xfId="53221" xr:uid="{7B30D0C4-7C94-4A6C-B5D2-BD8E9B0283CB}"/>
    <cellStyle name="Komma 4 2 5 2 9" xfId="18989" xr:uid="{FAC68C61-9162-48DE-84F0-505FEA430841}"/>
    <cellStyle name="Komma 4 2 5 3" xfId="14691" xr:uid="{FE3665BB-529B-4FBB-925A-22E03C15B3F0}"/>
    <cellStyle name="Komma 4 2 5 3 2" xfId="22238" xr:uid="{A9D039AE-3408-481F-A735-3C8B6EBCE475}"/>
    <cellStyle name="Komma 4 2 5 3 3" xfId="24964" xr:uid="{C08C5667-31FE-4665-88DA-E4EA9CCFB13C}"/>
    <cellStyle name="Komma 4 2 5 3 4" xfId="51576" xr:uid="{0A894318-22EC-4A8C-B862-3F11B8D258C9}"/>
    <cellStyle name="Komma 4 2 5 3 5" xfId="54592" xr:uid="{1A7ECE98-561F-4E25-9C81-2ADE765EDF99}"/>
    <cellStyle name="Komma 4 2 5 3 6" xfId="19097" xr:uid="{910F42BE-4AB4-4E7B-B2E9-31A3E4D9F46B}"/>
    <cellStyle name="Komma 4 2 5 4" xfId="15176" xr:uid="{E307CD23-1BAE-4C28-9281-1F859499FD71}"/>
    <cellStyle name="Komma 4 2 5 4 2" xfId="22715" xr:uid="{9A13F651-D79E-41D8-B44F-62F5FE486BE0}"/>
    <cellStyle name="Komma 4 2 5 4 3" xfId="48510" xr:uid="{15E299D7-0459-441C-8AFB-1E18FC1DFFE8}"/>
    <cellStyle name="Komma 4 2 5 4 4" xfId="52053" xr:uid="{87627076-CF1D-411F-9698-463F66CBEB9C}"/>
    <cellStyle name="Komma 4 2 5 4 5" xfId="55069" xr:uid="{35B057AD-0B14-4DFA-B395-5CB9A62FF53B}"/>
    <cellStyle name="Komma 4 2 5 4 6" xfId="19240" xr:uid="{3ADA24A8-3831-4FCA-B569-1A468CD34E38}"/>
    <cellStyle name="Komma 4 2 5 5" xfId="15663" xr:uid="{DAFC22F7-F08B-4278-A4DA-C4D4255E57E3}"/>
    <cellStyle name="Komma 4 2 5 5 2" xfId="23192" xr:uid="{4A724E45-DC08-4D62-9093-5F690F2FF647}"/>
    <cellStyle name="Komma 4 2 5 5 3" xfId="46950" xr:uid="{DF59E833-8CEB-4F24-80B6-2BE0C21F02AB}"/>
    <cellStyle name="Komma 4 2 5 5 4" xfId="52530" xr:uid="{1CE09930-97FD-498A-9C88-EB5FAF279A45}"/>
    <cellStyle name="Komma 4 2 5 5 5" xfId="55546" xr:uid="{795A9363-3C93-4EF3-8BF2-A5E1281FD846}"/>
    <cellStyle name="Komma 4 2 5 5 6" xfId="19385" xr:uid="{1F61E222-1A76-4AB4-9D93-DCC3076C1048}"/>
    <cellStyle name="Komma 4 2 5 6" xfId="12651" xr:uid="{E9107907-D8DA-424A-97DF-835FE9C5CCE2}"/>
    <cellStyle name="Komma 4 2 5 6 2" xfId="47616" xr:uid="{271662B1-ABA5-4AE9-8B2B-D126AA2EE60E}"/>
    <cellStyle name="Komma 4 2 5 6 3" xfId="51099" xr:uid="{9398058E-6F8A-4484-A1EE-2C6F905E3E64}"/>
    <cellStyle name="Komma 4 2 5 6 4" xfId="54115" xr:uid="{72CE8F54-AD5C-4DCC-959A-5C72CFDEB748}"/>
    <cellStyle name="Komma 4 2 5 6 5" xfId="21955" xr:uid="{FE26342D-CCCA-472D-BFCB-41AD5B850B7B}"/>
    <cellStyle name="Komma 4 2 5 7" xfId="23901" xr:uid="{0EC4FFB8-32D5-4369-9B58-3AB284B914E0}"/>
    <cellStyle name="Komma 4 2 5 8" xfId="48256" xr:uid="{37520CD5-6C15-4CD5-BB82-A1A36FC939F4}"/>
    <cellStyle name="Komma 4 2 5 9" xfId="48750" xr:uid="{8EE8CA23-AA98-47BC-83F9-62D89F01F618}"/>
    <cellStyle name="Komma 4 2 6" xfId="10277" xr:uid="{A332FCEA-54DD-4677-BBC0-1CC4647E72F1}"/>
    <cellStyle name="Komma 4 2 6 10" xfId="50046" xr:uid="{24E0259E-25D9-4545-AAEB-3E0CDF913750}"/>
    <cellStyle name="Komma 4 2 6 11" xfId="53062" xr:uid="{7652A476-69E3-40EE-B61F-96587F2E2338}"/>
    <cellStyle name="Komma 4 2 6 12" xfId="18869" xr:uid="{9F6B6524-F089-4889-AD5A-FFD8D38A237B}"/>
    <cellStyle name="Komma 4 2 6 2" xfId="14744" xr:uid="{DD043904-31AE-42A3-9435-E9073A74C751}"/>
    <cellStyle name="Komma 4 2 6 2 2" xfId="22291" xr:uid="{A079C73F-8A13-4F9B-A465-9C0AF34AFE5B}"/>
    <cellStyle name="Komma 4 2 6 2 3" xfId="46857" xr:uid="{33E693EC-3281-42A1-8714-ED5938F4DF10}"/>
    <cellStyle name="Komma 4 2 6 2 4" xfId="51629" xr:uid="{4650F5CC-B3DC-4A6B-BFC0-35CDA1B3E7EB}"/>
    <cellStyle name="Komma 4 2 6 2 5" xfId="54645" xr:uid="{5B622826-BAD1-4A17-8EC7-9DF6861D8F3C}"/>
    <cellStyle name="Komma 4 2 6 2 6" xfId="19112" xr:uid="{9FBA31F4-B1A5-40C2-B736-873C6E38676B}"/>
    <cellStyle name="Komma 4 2 6 3" xfId="15229" xr:uid="{F387FACD-1779-4FE4-A126-CBAF986EE306}"/>
    <cellStyle name="Komma 4 2 6 3 2" xfId="22768" xr:uid="{08D3E54D-366C-4D08-A909-087D6549AF03}"/>
    <cellStyle name="Komma 4 2 6 3 3" xfId="46895" xr:uid="{F7B239F7-28E7-415E-A4A3-99B2C7E858BE}"/>
    <cellStyle name="Komma 4 2 6 3 4" xfId="52106" xr:uid="{4AD4E2A9-073C-41C3-93E5-4AAD22B5DB74}"/>
    <cellStyle name="Komma 4 2 6 3 5" xfId="55122" xr:uid="{DE26F453-0C0F-4FC7-9529-662AB01DCA3C}"/>
    <cellStyle name="Komma 4 2 6 3 6" xfId="19255" xr:uid="{2D185CE0-CE19-4DC4-946E-C53D1C547FAA}"/>
    <cellStyle name="Komma 4 2 6 4" xfId="15716" xr:uid="{BA51AA1B-B506-40B1-9F55-B375ADE8C45F}"/>
    <cellStyle name="Komma 4 2 6 4 2" xfId="23245" xr:uid="{40B01239-83D5-4242-9320-2B42BACE41CA}"/>
    <cellStyle name="Komma 4 2 6 4 3" xfId="46956" xr:uid="{90191756-A9D6-40E4-9BDC-C098EBB188F1}"/>
    <cellStyle name="Komma 4 2 6 4 4" xfId="52583" xr:uid="{97017D2F-B47C-4D95-BD40-344767B0C640}"/>
    <cellStyle name="Komma 4 2 6 4 5" xfId="55599" xr:uid="{52F03889-8DAA-4206-B255-CD5C8848040A}"/>
    <cellStyle name="Komma 4 2 6 4 6" xfId="19400" xr:uid="{7926ADF6-8A76-49B8-8513-F120C1FD7CD7}"/>
    <cellStyle name="Komma 4 2 6 5" xfId="12730" xr:uid="{3C8C7218-323B-4929-ACFD-37760DD1D745}"/>
    <cellStyle name="Komma 4 2 6 5 2" xfId="47214" xr:uid="{02A3070D-259A-4816-8560-C9C29B75D8BC}"/>
    <cellStyle name="Komma 4 2 6 5 3" xfId="51152" xr:uid="{37148724-03EE-4EDB-84D4-EF309471D029}"/>
    <cellStyle name="Komma 4 2 6 5 4" xfId="54168" xr:uid="{8F886D91-D4D0-4D89-AFC7-4C370AD855DE}"/>
    <cellStyle name="Komma 4 2 6 5 5" xfId="21970" xr:uid="{78C1A7BE-F489-4FB1-B904-43FF706D9E31}"/>
    <cellStyle name="Komma 4 2 6 6" xfId="23902" xr:uid="{4A6E6ADF-7F6E-4DCD-9D76-16EA02E2C190}"/>
    <cellStyle name="Komma 4 2 6 7" xfId="48155" xr:uid="{3F1D64D6-B5C1-4B29-AC72-5E6EEC3AC4ED}"/>
    <cellStyle name="Komma 4 2 6 8" xfId="48751" xr:uid="{471488AC-36E7-4E08-9913-7A2016CC3A0D}"/>
    <cellStyle name="Komma 4 2 6 9" xfId="49657" xr:uid="{629AA7CE-DA45-4BDA-9F5C-207F53FE76FC}"/>
    <cellStyle name="Komma 4 2 7" xfId="10591" xr:uid="{5832A0B2-0A7E-41BE-A584-834DA86BB800}"/>
    <cellStyle name="Komma 4 2 7 10" xfId="50258" xr:uid="{B7D63B2F-3DD5-40DE-8AD4-DA1D9D2364DE}"/>
    <cellStyle name="Komma 4 2 7 11" xfId="53274" xr:uid="{C63C4D91-81E9-4E9E-AFF7-3325197DCEEF}"/>
    <cellStyle name="Komma 4 2 7 12" xfId="19031" xr:uid="{A78A4464-1888-47FF-8297-08976C1E2B86}"/>
    <cellStyle name="Komma 4 2 7 2" xfId="14956" xr:uid="{E1DB450B-495E-477D-A459-AB053F3A10A1}"/>
    <cellStyle name="Komma 4 2 7 2 2" xfId="22503" xr:uid="{5921C897-B22E-49FC-A751-8BFE544D8C80}"/>
    <cellStyle name="Komma 4 2 7 2 3" xfId="48356" xr:uid="{A4D1DE18-C04F-4800-9379-DD1D8411CB33}"/>
    <cellStyle name="Komma 4 2 7 2 4" xfId="51841" xr:uid="{F847CBA6-455B-47F1-B47C-C3B192F2124C}"/>
    <cellStyle name="Komma 4 2 7 2 5" xfId="54857" xr:uid="{5E1777B2-BD90-4F28-8197-43AF2EBEDD98}"/>
    <cellStyle name="Komma 4 2 7 2 6" xfId="19172" xr:uid="{D1966E45-77F7-4CB7-A83A-7A2557DF1650}"/>
    <cellStyle name="Komma 4 2 7 3" xfId="15441" xr:uid="{E89DC604-EA17-4B90-9F18-05708E8D68C5}"/>
    <cellStyle name="Komma 4 2 7 3 2" xfId="22980" xr:uid="{36E72E8D-8893-4A25-8DFF-09781EEB75F1}"/>
    <cellStyle name="Komma 4 2 7 3 3" xfId="47698" xr:uid="{29FD0569-D624-463B-8AFB-51FFB791CC99}"/>
    <cellStyle name="Komma 4 2 7 3 4" xfId="52318" xr:uid="{8D898DC2-D586-472D-913B-640007513A39}"/>
    <cellStyle name="Komma 4 2 7 3 5" xfId="55334" xr:uid="{360F20AC-3C3A-4536-B197-96D0287569C4}"/>
    <cellStyle name="Komma 4 2 7 3 6" xfId="19315" xr:uid="{E62869E1-9CF5-4830-89A9-5B6E83127D15}"/>
    <cellStyle name="Komma 4 2 7 4" xfId="15929" xr:uid="{1743D700-6FBC-4AEF-BD67-AE2A997586D6}"/>
    <cellStyle name="Komma 4 2 7 4 2" xfId="23457" xr:uid="{B24396B0-273B-4FD9-93EF-F95E6B27A57A}"/>
    <cellStyle name="Komma 4 2 7 4 3" xfId="24891" xr:uid="{536D0F6B-086B-4CCC-9317-67AD3111C9C0}"/>
    <cellStyle name="Komma 4 2 7 4 4" xfId="52795" xr:uid="{9D81B4C2-BD12-408B-AFF4-A72A5C75070A}"/>
    <cellStyle name="Komma 4 2 7 4 5" xfId="55811" xr:uid="{17410358-54D3-411D-AD97-9713AA4713FB}"/>
    <cellStyle name="Komma 4 2 7 4 6" xfId="19461" xr:uid="{D604F7C7-8EBF-4428-8A9A-A01F9DA5285B}"/>
    <cellStyle name="Komma 4 2 7 5" xfId="13044" xr:uid="{E9E6D5FB-9DD8-46B8-84B6-2468B06CE744}"/>
    <cellStyle name="Komma 4 2 7 5 2" xfId="47036" xr:uid="{C07D3B86-6041-4205-B5E2-55AF24C82721}"/>
    <cellStyle name="Komma 4 2 7 5 3" xfId="51364" xr:uid="{84A156B9-E0E6-4480-A2AA-F70EE82CE5DF}"/>
    <cellStyle name="Komma 4 2 7 5 4" xfId="54380" xr:uid="{6FEBE261-6E13-4FFB-AA75-BA1613B70C14}"/>
    <cellStyle name="Komma 4 2 7 5 5" xfId="22030" xr:uid="{8AEA28FB-9C5E-49CF-B949-32C4C708E072}"/>
    <cellStyle name="Komma 4 2 7 6" xfId="23903" xr:uid="{6CB327A4-92CA-4C9E-978E-B5A86D5E1BE0}"/>
    <cellStyle name="Komma 4 2 7 7" xfId="24540" xr:uid="{E2C50669-1A16-4371-8E55-26D545305A79}"/>
    <cellStyle name="Komma 4 2 7 8" xfId="48752" xr:uid="{21DB9EDD-CD82-4F11-9D84-8AC30FD9E3D5}"/>
    <cellStyle name="Komma 4 2 7 9" xfId="49658" xr:uid="{78F5D524-3E49-4E6D-B01A-CB299D0DFFF0}"/>
    <cellStyle name="Komma 4 2 8" xfId="14532" xr:uid="{FC14DEC7-7B2B-4953-ABAF-D655CFF30709}"/>
    <cellStyle name="Komma 4 2 8 2" xfId="22079" xr:uid="{FD1C6624-3546-4730-B361-12EAB47D2CF6}"/>
    <cellStyle name="Komma 4 2 8 2 2" xfId="38082" xr:uid="{37C5B538-F103-4185-96AD-B7529AC3C6C3}"/>
    <cellStyle name="Komma 4 2 8 3" xfId="43384" xr:uid="{D962BFFF-84E5-4897-B43F-B344F7A41A26}"/>
    <cellStyle name="Komma 4 2 8 4" xfId="32731" xr:uid="{BEEC9D3D-BB51-4B96-8BE4-FA2481C88618}"/>
    <cellStyle name="Komma 4 2 8 5" xfId="48499" xr:uid="{8B4E4C42-0840-4AD8-8BBC-640E98278E77}"/>
    <cellStyle name="Komma 4 2 8 6" xfId="51417" xr:uid="{FD25B56D-6B1E-4BE9-93DE-42AF8AF3BCF0}"/>
    <cellStyle name="Komma 4 2 8 7" xfId="54433" xr:uid="{E3C6F1D9-5600-4236-8AED-48EFB6348893}"/>
    <cellStyle name="Komma 4 2 8 8" xfId="19052" xr:uid="{F97BAE07-A8D0-47D2-85C4-D54A6B762E40}"/>
    <cellStyle name="Komma 4 2 9" xfId="15016" xr:uid="{F9E3278D-3F2F-443C-8A2E-7B16C4CE5B25}"/>
    <cellStyle name="Komma 4 2 9 2" xfId="22556" xr:uid="{50345BD3-4E25-4882-B7BD-72E1C9908CA8}"/>
    <cellStyle name="Komma 4 2 9 3" xfId="35617" xr:uid="{643F9745-605F-4F2A-8F55-AE161B111A16}"/>
    <cellStyle name="Komma 4 2 9 4" xfId="24921" xr:uid="{C64B09D2-AC5B-4BE1-91EE-0CCA39189B4A}"/>
    <cellStyle name="Komma 4 2 9 5" xfId="51894" xr:uid="{DC6EDE37-2239-44B3-8419-E93C4806C81F}"/>
    <cellStyle name="Komma 4 2 9 6" xfId="54910" xr:uid="{C0C0227A-00DA-45A2-AB10-4861CE8F2601}"/>
    <cellStyle name="Komma 4 2 9 7" xfId="19194" xr:uid="{0AE6790A-8127-484E-8376-B34474B8693C}"/>
    <cellStyle name="Komma 4 20" xfId="18057" xr:uid="{4BF998D2-8954-4638-B514-569301F01B39}"/>
    <cellStyle name="Komma 4 3" xfId="9104" xr:uid="{45F38CA5-E114-4933-AA39-CA6174507747}"/>
    <cellStyle name="Komma 4 3 10" xfId="11500" xr:uid="{7D32E9E5-E212-4763-BA11-4F53CB8B3E36}"/>
    <cellStyle name="Komma 4 3 10 2" xfId="47009" xr:uid="{8C894F10-BF74-44BB-B00D-40DDC120B15E}"/>
    <cellStyle name="Komma 4 3 10 3" xfId="50723" xr:uid="{C4384213-E9C4-42D4-B416-0003FAD10C1C}"/>
    <cellStyle name="Komma 4 3 10 4" xfId="53739" xr:uid="{D734BFDA-8E12-4C97-A930-399FB8E4A267}"/>
    <cellStyle name="Komma 4 3 10 5" xfId="21700" xr:uid="{F25B64C6-2F39-487F-A37F-D812615FF087}"/>
    <cellStyle name="Komma 4 3 11" xfId="23904" xr:uid="{5791CCC1-26FF-4338-B359-97BE2566C8BF}"/>
    <cellStyle name="Komma 4 3 12" xfId="47380" xr:uid="{9FC3E401-81CD-4CC6-B14D-D24E1966CB84}"/>
    <cellStyle name="Komma 4 3 13" xfId="48753" xr:uid="{BF44749E-6F83-486F-ABA8-CA48F54A53D4}"/>
    <cellStyle name="Komma 4 3 14" xfId="49659" xr:uid="{367E9D45-6A69-4C1F-A427-5C777A192884}"/>
    <cellStyle name="Komma 4 3 15" xfId="49836" xr:uid="{D07DF8C0-0643-415A-A561-B850F76F9BB8}"/>
    <cellStyle name="Komma 4 3 16" xfId="52851" xr:uid="{197712DD-59A5-4547-938F-57501D2A734B}"/>
    <cellStyle name="Komma 4 3 17" xfId="18140" xr:uid="{0C4F3DCD-B468-47FF-B9CD-381F670F6E4C}"/>
    <cellStyle name="Komma 4 3 2" xfId="10046" xr:uid="{30921DB6-1982-40E2-92A3-CC1186D570D6}"/>
    <cellStyle name="Komma 4 3 2 10" xfId="49660" xr:uid="{BAAB8446-78AC-4423-BC76-B062588DAF6B}"/>
    <cellStyle name="Komma 4 3 2 11" xfId="49889" xr:uid="{0994B97D-88AE-466D-8581-F83680C8DDEB}"/>
    <cellStyle name="Komma 4 3 2 12" xfId="52905" xr:uid="{3A73F912-A44A-4203-A357-F8D0DB40924F}"/>
    <cellStyle name="Komma 4 3 2 13" xfId="18759" xr:uid="{7EEA4EE3-D51B-4D1A-A631-6C18B22F1F6E}"/>
    <cellStyle name="Komma 4 3 2 2" xfId="10354" xr:uid="{AC8C635F-3674-48DC-A84D-569D286D0CF3}"/>
    <cellStyle name="Komma 4 3 2 2 10" xfId="50101" xr:uid="{0EB5DF9C-864F-4799-A824-37FBEFE698E1}"/>
    <cellStyle name="Komma 4 3 2 2 11" xfId="53117" xr:uid="{1F2255CC-318D-402B-BDBF-D29C6C8082C2}"/>
    <cellStyle name="Komma 4 3 2 2 12" xfId="18908" xr:uid="{CDA40B31-72E9-4D0C-8F87-8A1E6D6134A4}"/>
    <cellStyle name="Komma 4 3 2 2 2" xfId="14799" xr:uid="{B5AAAEBA-205E-4617-B4A0-96C64764E2DA}"/>
    <cellStyle name="Komma 4 3 2 2 2 2" xfId="22346" xr:uid="{46D853DC-EDFC-410B-9B0C-93944DB8182D}"/>
    <cellStyle name="Komma 4 3 2 2 2 3" xfId="47181" xr:uid="{4FE45C77-58C6-473D-91F0-8DF9450C20EE}"/>
    <cellStyle name="Komma 4 3 2 2 2 4" xfId="51684" xr:uid="{F8D6E9EB-3694-4132-80D7-BBCEA63AEDF1}"/>
    <cellStyle name="Komma 4 3 2 2 2 5" xfId="54700" xr:uid="{3AA3BA60-6E09-4C6A-8CD5-EC1F3C3B21F5}"/>
    <cellStyle name="Komma 4 3 2 2 2 6" xfId="19129" xr:uid="{78E76A0C-13B8-4DF4-9D42-3F718B2286A7}"/>
    <cellStyle name="Komma 4 3 2 2 3" xfId="15284" xr:uid="{89E55525-7288-443B-ACB8-B1FC7400A08E}"/>
    <cellStyle name="Komma 4 3 2 2 3 2" xfId="22823" xr:uid="{17E59625-AA91-4CE3-B6F8-E5A0BE95B642}"/>
    <cellStyle name="Komma 4 3 2 2 3 3" xfId="46902" xr:uid="{5E43DA0F-1B2A-48CC-B6F9-A8AA9FCABE03}"/>
    <cellStyle name="Komma 4 3 2 2 3 4" xfId="52161" xr:uid="{9F9BE8AF-A5E2-405C-9A50-B79889AE1967}"/>
    <cellStyle name="Komma 4 3 2 2 3 5" xfId="55177" xr:uid="{CE678731-43A0-405B-8125-23E12463D309}"/>
    <cellStyle name="Komma 4 3 2 2 3 6" xfId="19272" xr:uid="{4859B1F1-027E-4069-9438-4ECFD703CCBA}"/>
    <cellStyle name="Komma 4 3 2 2 4" xfId="15771" xr:uid="{4E00206C-C6A9-4B5E-B5C8-562DDCE7DB83}"/>
    <cellStyle name="Komma 4 3 2 2 4 2" xfId="23300" xr:uid="{99387810-FF6F-4875-B77A-54C64EF73A33}"/>
    <cellStyle name="Komma 4 3 2 2 4 3" xfId="46962" xr:uid="{995A809A-47C2-48EF-974B-7E30885F31BF}"/>
    <cellStyle name="Komma 4 3 2 2 4 4" xfId="52638" xr:uid="{499B2727-7D8E-47D5-991A-77C3DB3A6FB5}"/>
    <cellStyle name="Komma 4 3 2 2 4 5" xfId="55654" xr:uid="{57513828-1884-4281-9DD7-8F1EF6F8A77B}"/>
    <cellStyle name="Komma 4 3 2 2 4 6" xfId="19417" xr:uid="{25D3A06C-B3A2-4E85-AC79-A4421D8222DD}"/>
    <cellStyle name="Komma 4 3 2 2 5" xfId="12807" xr:uid="{C8AFDB05-73E5-4310-BE65-22EEABE2CD0B}"/>
    <cellStyle name="Komma 4 3 2 2 5 2" xfId="24691" xr:uid="{46BAC93A-5EDE-4E75-82FC-0BD41BE61479}"/>
    <cellStyle name="Komma 4 3 2 2 5 3" xfId="51207" xr:uid="{E898CB81-54E4-4527-8991-7D3D1F550980}"/>
    <cellStyle name="Komma 4 3 2 2 5 4" xfId="54223" xr:uid="{03CB2EFF-1F20-478E-B516-44B872F58FDC}"/>
    <cellStyle name="Komma 4 3 2 2 5 5" xfId="21987" xr:uid="{BE602383-12FB-418C-85FC-83BDC333C39B}"/>
    <cellStyle name="Komma 4 3 2 2 6" xfId="23906" xr:uid="{03BC613D-69BB-4A5B-B744-F43AD9BFF346}"/>
    <cellStyle name="Komma 4 3 2 2 7" xfId="47285" xr:uid="{84046B4B-B331-4B2B-B841-E9C74DA37792}"/>
    <cellStyle name="Komma 4 3 2 2 8" xfId="48755" xr:uid="{4A25C58A-645F-480A-809F-13F6AFF6D157}"/>
    <cellStyle name="Komma 4 3 2 2 9" xfId="49661" xr:uid="{74710270-B457-47C2-9F8A-0197B895D1C9}"/>
    <cellStyle name="Komma 4 3 2 3" xfId="14587" xr:uid="{AAB6D7D3-556B-4D7D-8DEC-9FB9AC5E3128}"/>
    <cellStyle name="Komma 4 3 2 3 2" xfId="22134" xr:uid="{D0AD60B4-7F44-4516-8853-35FB44090D2D}"/>
    <cellStyle name="Komma 4 3 2 3 3" xfId="48404" xr:uid="{267CDB12-D6C7-4E97-81A1-97665B5AE736}"/>
    <cellStyle name="Komma 4 3 2 3 4" xfId="51472" xr:uid="{3DF05FFE-F970-4605-A5C8-0F2353B7BEA9}"/>
    <cellStyle name="Komma 4 3 2 3 5" xfId="54488" xr:uid="{7EA369DD-AF61-4882-8BAD-057E5D43C67D}"/>
    <cellStyle name="Komma 4 3 2 3 6" xfId="19069" xr:uid="{D56F007E-8EAA-4C7A-A62F-DAEB931F1E68}"/>
    <cellStyle name="Komma 4 3 2 4" xfId="15071" xr:uid="{E124A3FE-7845-44F8-8577-B1DA59BF7980}"/>
    <cellStyle name="Komma 4 3 2 4 2" xfId="22611" xr:uid="{2C620DDC-0804-4DD4-9186-99D1F91EABF7}"/>
    <cellStyle name="Komma 4 3 2 4 3" xfId="48562" xr:uid="{913AB286-7A67-4752-A805-AF302939C243}"/>
    <cellStyle name="Komma 4 3 2 4 4" xfId="51949" xr:uid="{0AA6460E-45A4-49B0-B3C3-35DA2E19AC85}"/>
    <cellStyle name="Komma 4 3 2 4 5" xfId="54965" xr:uid="{78C23476-042C-4728-BE43-C0A9489AEC7F}"/>
    <cellStyle name="Komma 4 3 2 4 6" xfId="19211" xr:uid="{F4599760-80BF-42D7-8218-5741B862A177}"/>
    <cellStyle name="Komma 4 3 2 5" xfId="15558" xr:uid="{03226AB7-C23A-488A-BED2-D04AB2A0EF87}"/>
    <cellStyle name="Komma 4 3 2 5 2" xfId="23088" xr:uid="{3A1A5CDF-3AFB-4F4D-A2F8-0294F6D59DE8}"/>
    <cellStyle name="Komma 4 3 2 5 3" xfId="46935" xr:uid="{37DC4E01-5FA8-45C0-9DE7-8C0057F75F90}"/>
    <cellStyle name="Komma 4 3 2 5 4" xfId="52426" xr:uid="{CDF254D8-9DAD-4ECF-B021-E17A37C80A47}"/>
    <cellStyle name="Komma 4 3 2 5 5" xfId="55442" xr:uid="{AFBD0216-8B08-48FC-AA6F-1B0B08D5F314}"/>
    <cellStyle name="Komma 4 3 2 5 6" xfId="19356" xr:uid="{27E70F3E-A456-466F-9998-AD38BB15EA8C}"/>
    <cellStyle name="Komma 4 3 2 6" xfId="12506" xr:uid="{00D87EA5-CA0C-40B3-A775-B7FE4A461174}"/>
    <cellStyle name="Komma 4 3 2 6 2" xfId="32430" xr:uid="{F5D8C3A4-BE77-4F78-B60B-7D18CC21D956}"/>
    <cellStyle name="Komma 4 3 2 6 3" xfId="50995" xr:uid="{AAA07EB3-93D2-4F98-9042-EE315B09F05B}"/>
    <cellStyle name="Komma 4 3 2 6 4" xfId="54011" xr:uid="{D5A1AA3A-F348-47D0-A3CA-1DC998D73E74}"/>
    <cellStyle name="Komma 4 3 2 6 5" xfId="21926" xr:uid="{74AD859C-3D7A-4DF5-BAA4-CF3D3068DC67}"/>
    <cellStyle name="Komma 4 3 2 7" xfId="23905" xr:uid="{488E1703-90F3-4C6F-992E-0C1342D4B204}"/>
    <cellStyle name="Komma 4 3 2 8" xfId="46615" xr:uid="{8D9F79D1-855F-44CC-9447-9D744DEE12F3}"/>
    <cellStyle name="Komma 4 3 2 9" xfId="48754" xr:uid="{11134733-0982-44C5-B67F-FA029995A19C}"/>
    <cellStyle name="Komma 4 3 3" xfId="10120" xr:uid="{EC8DEA9E-9018-4B4F-81EE-C9841B9D6D0A}"/>
    <cellStyle name="Komma 4 3 3 10" xfId="49662" xr:uid="{BFF18DD6-8DC8-49FE-BEA5-1F3E5BC9C937}"/>
    <cellStyle name="Komma 4 3 3 11" xfId="49942" xr:uid="{4C6BABE0-317E-48BB-9062-4BF3D00DAEAB}"/>
    <cellStyle name="Komma 4 3 3 12" xfId="52958" xr:uid="{BA5276F8-E76C-49A0-8FDE-7A7AC11FDB1F}"/>
    <cellStyle name="Komma 4 3 3 13" xfId="18792" xr:uid="{745EA105-E34A-45F2-9762-EEC76F4497E7}"/>
    <cellStyle name="Komma 4 3 3 2" xfId="10433" xr:uid="{767CA34D-3698-4ABA-9FE8-BB052ED014D7}"/>
    <cellStyle name="Komma 4 3 3 2 10" xfId="50154" xr:uid="{BD8FAD49-EFA1-4321-9B83-AD5664056D90}"/>
    <cellStyle name="Komma 4 3 3 2 11" xfId="53170" xr:uid="{285633BF-6297-4430-A624-96E422A3DA36}"/>
    <cellStyle name="Komma 4 3 3 2 12" xfId="18949" xr:uid="{A967EF1B-A573-47FC-BF31-31794F61D98D}"/>
    <cellStyle name="Komma 4 3 3 2 2" xfId="14852" xr:uid="{F2BA651A-29CE-4BB6-B99D-82C921A8D86C}"/>
    <cellStyle name="Komma 4 3 3 2 2 2" xfId="22399" xr:uid="{184FC7A8-E93E-4902-A802-57930478EFB4}"/>
    <cellStyle name="Komma 4 3 3 2 2 3" xfId="47932" xr:uid="{DAC6EF20-8840-4482-838A-E087B93C154D}"/>
    <cellStyle name="Komma 4 3 3 2 2 4" xfId="51737" xr:uid="{BA9E00ED-92E9-435E-8FFD-FC7EA5F2B793}"/>
    <cellStyle name="Komma 4 3 3 2 2 5" xfId="54753" xr:uid="{5A724FBE-89E5-424B-9A51-E6C34C6858F9}"/>
    <cellStyle name="Komma 4 3 3 2 2 6" xfId="19144" xr:uid="{0BAF1E73-24DE-4E50-9413-D021C6180D71}"/>
    <cellStyle name="Komma 4 3 3 2 3" xfId="15337" xr:uid="{52A44BFC-532E-43FB-B925-3DA2946E1955}"/>
    <cellStyle name="Komma 4 3 3 2 3 2" xfId="22876" xr:uid="{D5662DF6-9582-46D4-9602-8EA73A72F7A7}"/>
    <cellStyle name="Komma 4 3 3 2 3 3" xfId="47940" xr:uid="{DFA8D57E-CF57-463F-BE30-93D54E0E0311}"/>
    <cellStyle name="Komma 4 3 3 2 3 4" xfId="52214" xr:uid="{E70AD4D0-58E0-4DF1-81C9-B42B2A3B13F8}"/>
    <cellStyle name="Komma 4 3 3 2 3 5" xfId="55230" xr:uid="{0AE3455C-50DE-4C0D-AA2D-01FA613EDFD8}"/>
    <cellStyle name="Komma 4 3 3 2 3 6" xfId="19287" xr:uid="{62CA6F68-3F37-451E-A96B-493FC7FFE7F7}"/>
    <cellStyle name="Komma 4 3 3 2 4" xfId="15824" xr:uid="{0835C5AA-0997-4A1A-B534-6F0EDDD1C093}"/>
    <cellStyle name="Komma 4 3 3 2 4 2" xfId="23353" xr:uid="{8F8837AE-0AA4-43B9-85E8-62F3F074DFC8}"/>
    <cellStyle name="Komma 4 3 3 2 4 3" xfId="48311" xr:uid="{195BD049-C596-4BBC-8B0E-B8DD1BF7E2B9}"/>
    <cellStyle name="Komma 4 3 3 2 4 4" xfId="52691" xr:uid="{5349AAED-A766-4D14-92D2-E103B5FBB308}"/>
    <cellStyle name="Komma 4 3 3 2 4 5" xfId="55707" xr:uid="{C58AEEF1-3BE4-4DB2-BC12-AF8DA83EF2A9}"/>
    <cellStyle name="Komma 4 3 3 2 4 6" xfId="19432" xr:uid="{C595A021-A3A6-465F-926B-9D6FA27C8F21}"/>
    <cellStyle name="Komma 4 3 3 2 5" xfId="12886" xr:uid="{B904B640-216F-4921-AB13-EA7D801EF7F2}"/>
    <cellStyle name="Komma 4 3 3 2 5 2" xfId="46805" xr:uid="{B66F10CD-D863-44FA-A7DE-6437612BBF4A}"/>
    <cellStyle name="Komma 4 3 3 2 5 3" xfId="51260" xr:uid="{8B7BE68D-6CDD-4C18-8130-F0BE733EB42A}"/>
    <cellStyle name="Komma 4 3 3 2 5 4" xfId="54276" xr:uid="{5F204EDE-09EE-41F2-A238-6C765E3BAFDE}"/>
    <cellStyle name="Komma 4 3 3 2 5 5" xfId="22002" xr:uid="{9E82607A-03D7-4184-A2F9-0C2EEE3062A9}"/>
    <cellStyle name="Komma 4 3 3 2 6" xfId="23908" xr:uid="{A2950937-A937-4729-8CB4-4AD428817D5B}"/>
    <cellStyle name="Komma 4 3 3 2 7" xfId="25371" xr:uid="{C9289F20-BCDE-4A83-9572-57949AB78246}"/>
    <cellStyle name="Komma 4 3 3 2 8" xfId="48757" xr:uid="{376F5885-E709-4670-B7AD-B1FE04A0260E}"/>
    <cellStyle name="Komma 4 3 3 2 9" xfId="49663" xr:uid="{6E0120D5-EF29-4309-9941-1A9657196A82}"/>
    <cellStyle name="Komma 4 3 3 3" xfId="14640" xr:uid="{F16CB047-2EB0-4E78-8919-E3CEE6606EDE}"/>
    <cellStyle name="Komma 4 3 3 3 2" xfId="22187" xr:uid="{8A9389EB-40E8-4736-BC98-8B0F24D8CE43}"/>
    <cellStyle name="Komma 4 3 3 3 3" xfId="48535" xr:uid="{017A8466-260C-4490-B7BF-F42B66A01343}"/>
    <cellStyle name="Komma 4 3 3 3 4" xfId="51525" xr:uid="{B912A841-743C-4C13-A562-1469F879B6FD}"/>
    <cellStyle name="Komma 4 3 3 3 5" xfId="54541" xr:uid="{20981FF3-F7D0-4AA9-8A40-7182C7F884BF}"/>
    <cellStyle name="Komma 4 3 3 3 6" xfId="19084" xr:uid="{ECCE479E-F693-4821-BCD3-4627BA3102C6}"/>
    <cellStyle name="Komma 4 3 3 4" xfId="15125" xr:uid="{75211547-66C6-4841-ACA2-93075A00C990}"/>
    <cellStyle name="Komma 4 3 3 4 2" xfId="22664" xr:uid="{10773C37-8499-4B9A-AAA1-1134E57F1705}"/>
    <cellStyle name="Komma 4 3 3 4 3" xfId="47489" xr:uid="{3E753596-46EF-42A4-94D2-3C11090FFAB2}"/>
    <cellStyle name="Komma 4 3 3 4 4" xfId="52002" xr:uid="{B10C731E-98D4-4A63-AEC6-43CDD881F61A}"/>
    <cellStyle name="Komma 4 3 3 4 5" xfId="55018" xr:uid="{089DDF7C-3689-419E-9FED-C953E9E60996}"/>
    <cellStyle name="Komma 4 3 3 4 6" xfId="19227" xr:uid="{BC7C1FF4-5B6B-4C87-8C9E-6451568F0B97}"/>
    <cellStyle name="Komma 4 3 3 5" xfId="15612" xr:uid="{BBD5C2A0-39BA-43BF-B6B7-ED806D3BF9D7}"/>
    <cellStyle name="Komma 4 3 3 5 2" xfId="23141" xr:uid="{8D91A543-86F5-492D-9379-69B6DD4CF0D5}"/>
    <cellStyle name="Komma 4 3 3 5 3" xfId="47130" xr:uid="{4167EB44-CF1E-402A-87E1-DD3DE3D5DCAC}"/>
    <cellStyle name="Komma 4 3 3 5 4" xfId="52479" xr:uid="{AC94D1D8-DA60-44F7-97B2-AD736A05EC8B}"/>
    <cellStyle name="Komma 4 3 3 5 5" xfId="55495" xr:uid="{83095687-17D4-4C27-8FFC-8A915DBDEACF}"/>
    <cellStyle name="Komma 4 3 3 5 6" xfId="19372" xr:uid="{4727A35B-AA3C-47AC-9E57-FCA0F2F876E3}"/>
    <cellStyle name="Komma 4 3 3 6" xfId="12577" xr:uid="{CF1FFC5D-A6DE-4229-B64D-5CB095FAC222}"/>
    <cellStyle name="Komma 4 3 3 6 2" xfId="48437" xr:uid="{5E010F44-DCBF-4509-8519-6DAD4E6DE24E}"/>
    <cellStyle name="Komma 4 3 3 6 3" xfId="51048" xr:uid="{267265C4-4969-45E4-A284-82E6DCD49FAA}"/>
    <cellStyle name="Komma 4 3 3 6 4" xfId="54064" xr:uid="{AF778104-BB1C-4EA5-9EBD-33B4086002A4}"/>
    <cellStyle name="Komma 4 3 3 6 5" xfId="21942" xr:uid="{5C8F8934-4D51-4E10-9B4D-A6F6801CE4A0}"/>
    <cellStyle name="Komma 4 3 3 7" xfId="23907" xr:uid="{D9644506-820D-48F5-BFC8-11879C656D13}"/>
    <cellStyle name="Komma 4 3 3 8" xfId="47358" xr:uid="{89EE4CBF-4B18-421E-9A0B-1CCBD67B83B0}"/>
    <cellStyle name="Komma 4 3 3 9" xfId="48756" xr:uid="{09802B0F-2A1E-43A0-8101-2677916A6E96}"/>
    <cellStyle name="Komma 4 3 4" xfId="10199" xr:uid="{FFE25BD8-7B8C-4433-9590-15E03D922053}"/>
    <cellStyle name="Komma 4 3 4 10" xfId="49664" xr:uid="{852BF6D0-9AA1-4C99-8810-1A2341B49EBF}"/>
    <cellStyle name="Komma 4 3 4 11" xfId="49995" xr:uid="{DE43C7E4-E4DC-47DB-849A-416720189E60}"/>
    <cellStyle name="Komma 4 3 4 12" xfId="53011" xr:uid="{97E3393A-5EE6-4D66-88F8-C44E6C0A2FCA}"/>
    <cellStyle name="Komma 4 3 4 13" xfId="18830" xr:uid="{B4ED5068-5B2D-420C-AEB8-ED0F7348C38F}"/>
    <cellStyle name="Komma 4 3 4 2" xfId="10513" xr:uid="{FD45994B-7D7A-45E2-AA1F-6850B3C82B25}"/>
    <cellStyle name="Komma 4 3 4 2 2" xfId="14905" xr:uid="{F929BA9A-E4A3-447D-9D82-E3B1195CFE6D}"/>
    <cellStyle name="Komma 4 3 4 2 2 2" xfId="22452" xr:uid="{5CF39FAC-1BB7-46BE-8DCC-09880AD705B4}"/>
    <cellStyle name="Komma 4 3 4 2 2 3" xfId="47835" xr:uid="{C19C5134-2311-48BB-B56C-2EE1A283F42E}"/>
    <cellStyle name="Komma 4 3 4 2 2 4" xfId="51790" xr:uid="{3A8CDAF6-0F8A-4300-B797-31BB1B0EA36E}"/>
    <cellStyle name="Komma 4 3 4 2 2 5" xfId="54806" xr:uid="{7D0FAFA9-2317-433F-B344-1F9DABA4D602}"/>
    <cellStyle name="Komma 4 3 4 2 2 6" xfId="19159" xr:uid="{D96C498B-D495-42E7-BD9F-012CF274CCFA}"/>
    <cellStyle name="Komma 4 3 4 2 3" xfId="15390" xr:uid="{2D0B3D37-1502-4032-B814-D79EACA77645}"/>
    <cellStyle name="Komma 4 3 4 2 3 2" xfId="22929" xr:uid="{5D6DAA95-812E-4F17-8CD0-7BFDA6A07C04}"/>
    <cellStyle name="Komma 4 3 4 2 3 3" xfId="47785" xr:uid="{2DF2CF90-CFC6-4DF3-A5E9-8BB5EECB0E4D}"/>
    <cellStyle name="Komma 4 3 4 2 3 4" xfId="52267" xr:uid="{96353291-C64D-44EF-932A-0B6196BFDF1F}"/>
    <cellStyle name="Komma 4 3 4 2 3 5" xfId="55283" xr:uid="{47CEDA92-F787-45A5-A8BD-7D6971EBDAA9}"/>
    <cellStyle name="Komma 4 3 4 2 3 6" xfId="19302" xr:uid="{F42BE17F-8D5D-401B-89C8-2121D9C52171}"/>
    <cellStyle name="Komma 4 3 4 2 4" xfId="15877" xr:uid="{110F47AE-1776-4422-9480-5A96B0FF0C3F}"/>
    <cellStyle name="Komma 4 3 4 2 4 2" xfId="23406" xr:uid="{AF192894-C751-41CF-AA5C-F61B309982B5}"/>
    <cellStyle name="Komma 4 3 4 2 4 3" xfId="47272" xr:uid="{8F7DCBFB-CB28-46C5-8B28-1F6C500DD3CB}"/>
    <cellStyle name="Komma 4 3 4 2 4 4" xfId="52744" xr:uid="{2C4ADE73-E485-4AD3-949C-B8A27B0A477F}"/>
    <cellStyle name="Komma 4 3 4 2 4 5" xfId="55760" xr:uid="{700033AD-641B-4720-A6EF-BD1939C5F426}"/>
    <cellStyle name="Komma 4 3 4 2 4 6" xfId="19447" xr:uid="{E4B897D6-4E00-41D4-A4B9-B877D860AAA7}"/>
    <cellStyle name="Komma 4 3 4 2 5" xfId="12966" xr:uid="{F27CC4DC-BA97-4442-9096-5B37889F8873}"/>
    <cellStyle name="Komma 4 3 4 2 5 2" xfId="47024" xr:uid="{6101560B-8093-447E-B29B-BD30FB014B01}"/>
    <cellStyle name="Komma 4 3 4 2 5 3" xfId="51313" xr:uid="{7C805E8F-A7F6-425F-9A25-CFC96DC0726B}"/>
    <cellStyle name="Komma 4 3 4 2 5 4" xfId="54329" xr:uid="{955178CC-6C1B-4E89-BFCC-CD3B087563E0}"/>
    <cellStyle name="Komma 4 3 4 2 5 5" xfId="22017" xr:uid="{35047775-C6FB-4580-A0AF-2CC70BC945A1}"/>
    <cellStyle name="Komma 4 3 4 2 6" xfId="48029" xr:uid="{AC7431A3-F13B-4066-8CA8-76CDC2ED1BA0}"/>
    <cellStyle name="Komma 4 3 4 2 7" xfId="50207" xr:uid="{C68862BE-DB3E-4BA9-B837-C82C15938D37}"/>
    <cellStyle name="Komma 4 3 4 2 8" xfId="53223" xr:uid="{E7A2C9B9-A731-4355-9E3E-50338FC1380A}"/>
    <cellStyle name="Komma 4 3 4 2 9" xfId="18991" xr:uid="{6675602D-C28C-46F6-953B-4397A8BA79FD}"/>
    <cellStyle name="Komma 4 3 4 3" xfId="14693" xr:uid="{1857FEC0-7838-4ACF-A57E-2C6450A0EF88}"/>
    <cellStyle name="Komma 4 3 4 3 2" xfId="22240" xr:uid="{2CA8D4B3-4987-4F66-B6AA-B10BD0230495}"/>
    <cellStyle name="Komma 4 3 4 3 3" xfId="46849" xr:uid="{3E9E52DD-8C14-4B62-938C-EFC9283D9DD4}"/>
    <cellStyle name="Komma 4 3 4 3 4" xfId="51578" xr:uid="{9F48CA27-D654-4F23-BC51-71CF8C06F44A}"/>
    <cellStyle name="Komma 4 3 4 3 5" xfId="54594" xr:uid="{D0D8BDB2-2666-442B-B3DD-6B4AA0FB9186}"/>
    <cellStyle name="Komma 4 3 4 3 6" xfId="19099" xr:uid="{1E7F0E09-710D-44C7-857F-B629B598776A}"/>
    <cellStyle name="Komma 4 3 4 4" xfId="15178" xr:uid="{9A25018C-C247-43A0-B3E5-8E98E73613B7}"/>
    <cellStyle name="Komma 4 3 4 4 2" xfId="22717" xr:uid="{4D70611F-8E7F-4AC4-AD5E-CCD0BA8FB91C}"/>
    <cellStyle name="Komma 4 3 4 4 3" xfId="34005" xr:uid="{72D342EA-4D89-43F5-9905-790C415DF0D1}"/>
    <cellStyle name="Komma 4 3 4 4 4" xfId="52055" xr:uid="{3661E6C1-A382-4B80-82DE-72379F13CD67}"/>
    <cellStyle name="Komma 4 3 4 4 5" xfId="55071" xr:uid="{14EF1C87-82C4-4169-967B-5B3B902E863A}"/>
    <cellStyle name="Komma 4 3 4 4 6" xfId="19242" xr:uid="{97D338B0-D09C-4CD2-AABD-6BA99546C21E}"/>
    <cellStyle name="Komma 4 3 4 5" xfId="15665" xr:uid="{7D8EF635-44A6-4A6C-B138-BE986F31BB3A}"/>
    <cellStyle name="Komma 4 3 4 5 2" xfId="23194" xr:uid="{C538640B-A49D-47A4-97BE-A84ADAFD31AC}"/>
    <cellStyle name="Komma 4 3 4 5 3" xfId="47351" xr:uid="{BD7F30E0-0168-4872-AE91-0A2C1713AFB0}"/>
    <cellStyle name="Komma 4 3 4 5 4" xfId="52532" xr:uid="{D3A4EBFC-F1DE-4196-8E71-5873F54531D2}"/>
    <cellStyle name="Komma 4 3 4 5 5" xfId="55548" xr:uid="{7C04D039-C38E-45E9-AF60-357EF622B694}"/>
    <cellStyle name="Komma 4 3 4 5 6" xfId="19387" xr:uid="{C9169416-E6F5-4E44-BF28-D3CBEC9F3E3D}"/>
    <cellStyle name="Komma 4 3 4 6" xfId="12653" xr:uid="{1A5B3113-331B-4344-88B8-27B2065D45CF}"/>
    <cellStyle name="Komma 4 3 4 6 2" xfId="46337" xr:uid="{C393A987-5888-41D8-B5DE-E09B91DF08BD}"/>
    <cellStyle name="Komma 4 3 4 6 3" xfId="51101" xr:uid="{4E5BE1F9-D93D-4B48-A3BA-3B0A2978B4BF}"/>
    <cellStyle name="Komma 4 3 4 6 4" xfId="54117" xr:uid="{B438298C-699F-470E-84E6-56EC83F711C2}"/>
    <cellStyle name="Komma 4 3 4 6 5" xfId="21957" xr:uid="{249D1CE9-654C-41AA-A8B4-8DCD02B77ED8}"/>
    <cellStyle name="Komma 4 3 4 7" xfId="23909" xr:uid="{CB52463B-7A9D-4680-BD19-49B5151AA7E5}"/>
    <cellStyle name="Komma 4 3 4 8" xfId="47359" xr:uid="{72D0DD26-DD12-45CA-B00A-97BB603AD8D4}"/>
    <cellStyle name="Komma 4 3 4 9" xfId="48758" xr:uid="{8D82B41E-38CE-4A36-8CFC-B7F5F0AD2E04}"/>
    <cellStyle name="Komma 4 3 5" xfId="10279" xr:uid="{3E36742E-7F3A-419C-9922-8E5EF577635E}"/>
    <cellStyle name="Komma 4 3 5 10" xfId="50048" xr:uid="{CCB3DE6B-1399-4C28-8A07-05FAF17DE0C8}"/>
    <cellStyle name="Komma 4 3 5 11" xfId="53064" xr:uid="{64FC3897-75A7-4846-A2B5-265C79BA0503}"/>
    <cellStyle name="Komma 4 3 5 12" xfId="18871" xr:uid="{45F2D56A-9997-4F75-A31B-9035BDE8B6F4}"/>
    <cellStyle name="Komma 4 3 5 2" xfId="14746" xr:uid="{DDFBB61F-8AC9-4AC2-89A0-94614619E85B}"/>
    <cellStyle name="Komma 4 3 5 2 2" xfId="22293" xr:uid="{5D7B4A54-901D-4CC0-B731-67ABEE74F3EA}"/>
    <cellStyle name="Komma 4 3 5 2 3" xfId="24189" xr:uid="{BBF3FDC8-6A15-4102-A058-7B99559CD110}"/>
    <cellStyle name="Komma 4 3 5 2 4" xfId="51631" xr:uid="{D5485A2C-4826-445C-927C-B121B7850086}"/>
    <cellStyle name="Komma 4 3 5 2 5" xfId="54647" xr:uid="{9C98B795-422F-4226-A0D3-FA0E6B7C6D7D}"/>
    <cellStyle name="Komma 4 3 5 2 6" xfId="19114" xr:uid="{F9685FCC-1726-48A8-8C86-5026AF2E4C32}"/>
    <cellStyle name="Komma 4 3 5 3" xfId="15231" xr:uid="{C778D44A-2EEF-4C12-B918-C7C2656C14B5}"/>
    <cellStyle name="Komma 4 3 5 3 2" xfId="22770" xr:uid="{A0DC2B4E-C196-43F9-8497-34E2E855CFB3}"/>
    <cellStyle name="Komma 4 3 5 3 3" xfId="48511" xr:uid="{89C937DE-1CA8-433B-92DE-FDD9F06469FC}"/>
    <cellStyle name="Komma 4 3 5 3 4" xfId="52108" xr:uid="{243CD937-9D23-445F-BE21-195CDFE58FDE}"/>
    <cellStyle name="Komma 4 3 5 3 5" xfId="55124" xr:uid="{C9237C17-E868-4D21-A6E4-5B127DAAA2DD}"/>
    <cellStyle name="Komma 4 3 5 3 6" xfId="19257" xr:uid="{CCE50BB2-8C8D-4B54-B8E1-A1CDBE2DDA58}"/>
    <cellStyle name="Komma 4 3 5 4" xfId="15718" xr:uid="{EC09A295-28BF-4196-86ED-6421FA514898}"/>
    <cellStyle name="Komma 4 3 5 4 2" xfId="23247" xr:uid="{93028018-5509-4844-A2BA-1E4C2947D27D}"/>
    <cellStyle name="Komma 4 3 5 4 3" xfId="47352" xr:uid="{B53D897B-70C7-4ADE-B3E2-F7C6D13C63BB}"/>
    <cellStyle name="Komma 4 3 5 4 4" xfId="52585" xr:uid="{307A94F4-3CAE-4806-A3CF-DFB52A2D4B2A}"/>
    <cellStyle name="Komma 4 3 5 4 5" xfId="55601" xr:uid="{0C7B67E6-0FC6-434B-BAE0-667FAFA2C057}"/>
    <cellStyle name="Komma 4 3 5 4 6" xfId="19402" xr:uid="{2166B9B5-F913-4426-8AAC-F394FA0A8B06}"/>
    <cellStyle name="Komma 4 3 5 5" xfId="12732" xr:uid="{4E0E3301-98C0-48E6-8FC7-7435BBD56ADA}"/>
    <cellStyle name="Komma 4 3 5 5 2" xfId="47739" xr:uid="{8F27A20C-CEBA-4AE0-A232-1B5415ABA0BE}"/>
    <cellStyle name="Komma 4 3 5 5 3" xfId="51154" xr:uid="{56AB2DE6-AD84-47B0-BF89-69360D5C38B7}"/>
    <cellStyle name="Komma 4 3 5 5 4" xfId="54170" xr:uid="{924970A0-2FDD-4CEA-8912-A8F81AA1A89D}"/>
    <cellStyle name="Komma 4 3 5 5 5" xfId="21972" xr:uid="{EEE1CDF7-131A-44C3-8C1D-DD06A11B0F1A}"/>
    <cellStyle name="Komma 4 3 5 6" xfId="23910" xr:uid="{B7F6F5BA-6911-4366-AFE6-E356A0691F55}"/>
    <cellStyle name="Komma 4 3 5 7" xfId="24275" xr:uid="{63796409-D15D-4B2B-AD66-D7324D682A67}"/>
    <cellStyle name="Komma 4 3 5 8" xfId="48759" xr:uid="{4CDDDCB9-009A-4082-9480-37FCADB43911}"/>
    <cellStyle name="Komma 4 3 5 9" xfId="49665" xr:uid="{E37F823D-877B-4E6D-96E8-482BCB5BE0A7}"/>
    <cellStyle name="Komma 4 3 6" xfId="10593" xr:uid="{BE229392-E876-472A-87D4-ACFEDCC2A646}"/>
    <cellStyle name="Komma 4 3 6 2" xfId="14958" xr:uid="{3C88C620-F8D8-4E91-B088-D83B0D9C2294}"/>
    <cellStyle name="Komma 4 3 6 2 2" xfId="22505" xr:uid="{A9B6E1A7-DD0A-4B7B-9241-6A2E59DB5DF4}"/>
    <cellStyle name="Komma 4 3 6 2 3" xfId="46460" xr:uid="{39F5B90F-65CB-4279-9D66-78F954095C3C}"/>
    <cellStyle name="Komma 4 3 6 2 4" xfId="51843" xr:uid="{0E44F247-F05A-4B06-993D-9FD50FB2D051}"/>
    <cellStyle name="Komma 4 3 6 2 5" xfId="54859" xr:uid="{D7E42EAF-652B-4F5E-B6E5-D590DF672040}"/>
    <cellStyle name="Komma 4 3 6 2 6" xfId="19174" xr:uid="{15590748-E9FC-419E-910C-228CB06E0F48}"/>
    <cellStyle name="Komma 4 3 6 3" xfId="15443" xr:uid="{CB48F617-95BA-4764-9CEE-6452EFEF3EB1}"/>
    <cellStyle name="Komma 4 3 6 3 2" xfId="22982" xr:uid="{C0E1D89A-D09C-48F1-B46A-91D1315E1F7A}"/>
    <cellStyle name="Komma 4 3 6 3 3" xfId="47786" xr:uid="{D3861688-7CBE-4F22-9B3A-C2991CD4ABC3}"/>
    <cellStyle name="Komma 4 3 6 3 4" xfId="52320" xr:uid="{B9E124BF-9B20-4AC6-863D-549D55324792}"/>
    <cellStyle name="Komma 4 3 6 3 5" xfId="55336" xr:uid="{6B532B1D-E7DB-49D5-8E0B-68217299C951}"/>
    <cellStyle name="Komma 4 3 6 3 6" xfId="19317" xr:uid="{E5F1B862-534F-431D-B8D5-6F7F00279497}"/>
    <cellStyle name="Komma 4 3 6 4" xfId="15931" xr:uid="{A09C287A-03B8-4EB0-AE9F-34CCEEEC0BAB}"/>
    <cellStyle name="Komma 4 3 6 4 2" xfId="23459" xr:uid="{E75AF667-F16E-4A49-84A3-2ECC322C1938}"/>
    <cellStyle name="Komma 4 3 6 4 3" xfId="46984" xr:uid="{DD44E84B-5672-4199-B398-623901C41286}"/>
    <cellStyle name="Komma 4 3 6 4 4" xfId="52797" xr:uid="{E110239D-7FEF-4D8E-B373-2E1AA1393AD5}"/>
    <cellStyle name="Komma 4 3 6 4 5" xfId="55813" xr:uid="{B4076FE6-4C4E-471B-8757-8869EFCAF06D}"/>
    <cellStyle name="Komma 4 3 6 4 6" xfId="19463" xr:uid="{4C94ACFC-1F77-4058-9AF7-F5F7E19E61A6}"/>
    <cellStyle name="Komma 4 3 6 5" xfId="13046" xr:uid="{9C7A3DAC-683C-40B3-996D-C66D44F47B7C}"/>
    <cellStyle name="Komma 4 3 6 5 2" xfId="46386" xr:uid="{B2B6FD45-18F7-4497-8CCC-5AD47EAC0A63}"/>
    <cellStyle name="Komma 4 3 6 5 3" xfId="51366" xr:uid="{CE83EA9D-5F20-4FA4-BE07-FEA279F30080}"/>
    <cellStyle name="Komma 4 3 6 5 4" xfId="54382" xr:uid="{42C9B482-78C6-45EF-843A-257D6D4A0453}"/>
    <cellStyle name="Komma 4 3 6 5 5" xfId="22032" xr:uid="{84C92574-1AF1-46E5-9E26-98CD1A9ED57E}"/>
    <cellStyle name="Komma 4 3 6 6" xfId="47142" xr:uid="{083C109A-739C-4175-84B6-0E7FC9393904}"/>
    <cellStyle name="Komma 4 3 6 7" xfId="50260" xr:uid="{BFF00D49-83F3-47D7-B528-6EBF5EDAF65D}"/>
    <cellStyle name="Komma 4 3 6 8" xfId="53276" xr:uid="{50EC8A39-D93F-4DAA-B504-AC60AC0160DF}"/>
    <cellStyle name="Komma 4 3 6 9" xfId="19033" xr:uid="{5A32F212-21A5-4C90-8665-A2670879BD13}"/>
    <cellStyle name="Komma 4 3 7" xfId="14534" xr:uid="{81DED184-4EF0-43D9-B9B3-87068C9E49DE}"/>
    <cellStyle name="Komma 4 3 7 2" xfId="22081" xr:uid="{265AA8E7-A30E-45E6-8A12-3B762B2611D3}"/>
    <cellStyle name="Komma 4 3 7 3" xfId="24983" xr:uid="{6442F5BD-8E18-47BD-93F4-04342E96977C}"/>
    <cellStyle name="Komma 4 3 7 4" xfId="51419" xr:uid="{9DBA3DA0-E8E0-48ED-ACFD-F17390321B8A}"/>
    <cellStyle name="Komma 4 3 7 5" xfId="54435" xr:uid="{C8B06FFE-7A3C-4753-AB4E-45C08F7F92F8}"/>
    <cellStyle name="Komma 4 3 7 6" xfId="19054" xr:uid="{A565F2DB-E026-43F9-97C7-423F09C20DCB}"/>
    <cellStyle name="Komma 4 3 8" xfId="15018" xr:uid="{CDD741AF-B330-4B25-A9BB-7214509EF23E}"/>
    <cellStyle name="Komma 4 3 8 2" xfId="22558" xr:uid="{FD82F886-B684-482F-B716-AE90FB319FF7}"/>
    <cellStyle name="Komma 4 3 8 3" xfId="46610" xr:uid="{6B5DF50F-D77B-4E3D-901F-181F2D072F7C}"/>
    <cellStyle name="Komma 4 3 8 4" xfId="51896" xr:uid="{7F5CED1D-1A45-4D76-8F82-F2BC18C8930B}"/>
    <cellStyle name="Komma 4 3 8 5" xfId="54912" xr:uid="{85508994-C551-44F5-AC36-98A26A04C561}"/>
    <cellStyle name="Komma 4 3 8 6" xfId="19196" xr:uid="{22C02D38-71B1-4E44-9803-12CBF1B8BD3E}"/>
    <cellStyle name="Komma 4 3 9" xfId="15505" xr:uid="{45931543-A2AA-4220-805A-DD8DD55D3AEC}"/>
    <cellStyle name="Komma 4 3 9 2" xfId="23035" xr:uid="{35CD4D99-F374-4E86-A4E5-4BD4862FCB91}"/>
    <cellStyle name="Komma 4 3 9 3" xfId="47942" xr:uid="{D7239F30-D81C-4463-B9CE-19481CAA8526}"/>
    <cellStyle name="Komma 4 3 9 4" xfId="52373" xr:uid="{847E20EA-A4D9-49A6-B53B-6AEE4E147476}"/>
    <cellStyle name="Komma 4 3 9 5" xfId="55389" xr:uid="{8440DF02-F7FF-4C44-8476-F0D82AEE50B5}"/>
    <cellStyle name="Komma 4 3 9 6" xfId="19341" xr:uid="{077936CF-C523-44D4-9D3B-2BC816E5A76B}"/>
    <cellStyle name="Komma 4 4" xfId="10043" xr:uid="{87262027-483F-4F49-8EE3-BA5D22C4BBD4}"/>
    <cellStyle name="Komma 4 4 10" xfId="49666" xr:uid="{817F06B6-4F8B-44C1-98E5-CF42E586BD5F}"/>
    <cellStyle name="Komma 4 4 11" xfId="49886" xr:uid="{69DDE406-0374-41D1-BEDB-0097788500C9}"/>
    <cellStyle name="Komma 4 4 12" xfId="52902" xr:uid="{ED8888F9-C97B-4145-AFD7-533D74F3E729}"/>
    <cellStyle name="Komma 4 4 13" xfId="18756" xr:uid="{0540400E-0F62-45D9-AFD1-582EA1081022}"/>
    <cellStyle name="Komma 4 4 2" xfId="10351" xr:uid="{A86295B5-FD0D-4C48-992B-BF99D15F50E1}"/>
    <cellStyle name="Komma 4 4 2 10" xfId="50098" xr:uid="{07C529F3-A704-4CAA-8B2F-5EE97D1107A4}"/>
    <cellStyle name="Komma 4 4 2 11" xfId="53114" xr:uid="{832F5575-D2E0-4024-8BD2-C4FD7FD05FAA}"/>
    <cellStyle name="Komma 4 4 2 12" xfId="18905" xr:uid="{4FD75F26-49FD-446E-8311-A0D9E41B71EE}"/>
    <cellStyle name="Komma 4 4 2 2" xfId="14796" xr:uid="{7A0433F5-2460-4A6E-93E1-44D356A2F9B6}"/>
    <cellStyle name="Komma 4 4 2 2 2" xfId="22343" xr:uid="{68802A1B-097E-40CC-88E0-82CFA77C1C02}"/>
    <cellStyle name="Komma 4 4 2 2 3" xfId="24945" xr:uid="{58D961A0-05D5-4DC0-A253-BD9693ECCBA6}"/>
    <cellStyle name="Komma 4 4 2 2 4" xfId="51681" xr:uid="{1DECD374-718C-4AAE-8CF9-200597901497}"/>
    <cellStyle name="Komma 4 4 2 2 5" xfId="54697" xr:uid="{22B27B55-7FDB-461E-AE2A-5325EBA95B4D}"/>
    <cellStyle name="Komma 4 4 2 2 6" xfId="19126" xr:uid="{20139CFD-CDC7-4C8A-98E4-EEAC9A7C0D37}"/>
    <cellStyle name="Komma 4 4 2 3" xfId="15281" xr:uid="{F76589A1-E35B-422D-A354-DCBA877E618F}"/>
    <cellStyle name="Komma 4 4 2 3 2" xfId="22820" xr:uid="{589A575F-64B5-46EF-97A8-875D76B70650}"/>
    <cellStyle name="Komma 4 4 2 3 3" xfId="46508" xr:uid="{FFC40B01-2D52-452E-A4A1-4FA68D628166}"/>
    <cellStyle name="Komma 4 4 2 3 4" xfId="52158" xr:uid="{F51896A4-C45E-4218-82EB-D4204521936B}"/>
    <cellStyle name="Komma 4 4 2 3 5" xfId="55174" xr:uid="{8F6CE619-D0E0-4BB4-9FD4-E2DF4DC418C5}"/>
    <cellStyle name="Komma 4 4 2 3 6" xfId="19269" xr:uid="{A5EBCD12-C9FE-42ED-9860-C43362BAE449}"/>
    <cellStyle name="Komma 4 4 2 4" xfId="15768" xr:uid="{FFA459D5-9C0F-400B-992B-55B9D3E659F6}"/>
    <cellStyle name="Komma 4 4 2 4 2" xfId="23297" xr:uid="{9D3ABB00-FDC2-49B9-9B12-023AF391978B}"/>
    <cellStyle name="Komma 4 4 2 4 3" xfId="46582" xr:uid="{86E2467D-2F9B-438E-AA40-7D0C5C561AC4}"/>
    <cellStyle name="Komma 4 4 2 4 4" xfId="52635" xr:uid="{CFE33823-DBCE-4F16-B1A9-603A58A1EB9E}"/>
    <cellStyle name="Komma 4 4 2 4 5" xfId="55651" xr:uid="{90AAE060-9197-444C-B365-64A9E2068A49}"/>
    <cellStyle name="Komma 4 4 2 4 6" xfId="19414" xr:uid="{F90D2C1B-E5FE-4621-9FD1-43212B2D2928}"/>
    <cellStyle name="Komma 4 4 2 5" xfId="12804" xr:uid="{E6FEC178-FB72-4654-88F2-F7B64B27611F}"/>
    <cellStyle name="Komma 4 4 2 5 2" xfId="25049" xr:uid="{10638C0D-DE0A-4B4A-840D-CFC1562DFCC6}"/>
    <cellStyle name="Komma 4 4 2 5 3" xfId="51204" xr:uid="{20C616EA-41C7-4887-84D6-8D9BC02D90DD}"/>
    <cellStyle name="Komma 4 4 2 5 4" xfId="54220" xr:uid="{D5AD6FFB-CD93-4D66-A057-278B60C6AFF8}"/>
    <cellStyle name="Komma 4 4 2 5 5" xfId="21984" xr:uid="{17B81D7A-8A8B-44C2-9F4E-4B6E1D6F3E10}"/>
    <cellStyle name="Komma 4 4 2 6" xfId="23912" xr:uid="{BF58AD35-2BC1-46C5-AFB3-CB176A97402F}"/>
    <cellStyle name="Komma 4 4 2 7" xfId="24269" xr:uid="{46AC928D-0839-4ADA-9DBE-9F6969C75A7E}"/>
    <cellStyle name="Komma 4 4 2 8" xfId="48761" xr:uid="{E00BF121-912C-48AB-A727-17DFE4E3B07D}"/>
    <cellStyle name="Komma 4 4 2 9" xfId="49667" xr:uid="{6C5AFB12-196B-4DCF-8D36-00B2275D213E}"/>
    <cellStyle name="Komma 4 4 3" xfId="14584" xr:uid="{B1E224FA-E8B9-4CA7-A00D-45CBECB3B536}"/>
    <cellStyle name="Komma 4 4 3 2" xfId="22131" xr:uid="{9B2E6891-E20D-428A-9962-BA9DD362AD8C}"/>
    <cellStyle name="Komma 4 4 3 3" xfId="48500" xr:uid="{106887DB-1BD6-417A-92A6-73613F3A5E25}"/>
    <cellStyle name="Komma 4 4 3 4" xfId="51469" xr:uid="{DDAD0CBE-0359-42DD-AF78-E7F682A52F2A}"/>
    <cellStyle name="Komma 4 4 3 5" xfId="54485" xr:uid="{24B24C51-3470-45B7-8659-E0EA15010E0D}"/>
    <cellStyle name="Komma 4 4 3 6" xfId="19066" xr:uid="{D0347856-7161-4763-BA52-DA215BE51C62}"/>
    <cellStyle name="Komma 4 4 4" xfId="15068" xr:uid="{F70E0E60-4268-482A-920A-0473A6CA3288}"/>
    <cellStyle name="Komma 4 4 4 2" xfId="22608" xr:uid="{336FB25E-5704-48C1-8206-8C809DD41D7F}"/>
    <cellStyle name="Komma 4 4 4 3" xfId="47712" xr:uid="{76F6FD18-1D58-4FF6-86C3-5237BB7F1961}"/>
    <cellStyle name="Komma 4 4 4 4" xfId="51946" xr:uid="{B5466475-08C6-4C65-9FA2-24FE2BCFAF6F}"/>
    <cellStyle name="Komma 4 4 4 5" xfId="54962" xr:uid="{03744B36-3E33-4728-8962-BFE26F828ABB}"/>
    <cellStyle name="Komma 4 4 4 6" xfId="19208" xr:uid="{91BBCD3C-8273-413D-A845-9059605B0B90}"/>
    <cellStyle name="Komma 4 4 5" xfId="15555" xr:uid="{BE8F02CF-E6C7-420B-AA56-643ED58CAA01}"/>
    <cellStyle name="Komma 4 4 5 2" xfId="23085" xr:uid="{3AC7E4C8-A17A-4DE4-A309-32DFCAC98D35}"/>
    <cellStyle name="Komma 4 4 5 3" xfId="46550" xr:uid="{3F840DBB-7C0A-43EC-BCD3-61F3BB1B65E6}"/>
    <cellStyle name="Komma 4 4 5 4" xfId="52423" xr:uid="{DAED7B9A-1918-42F8-A7ED-03BABD13FD66}"/>
    <cellStyle name="Komma 4 4 5 5" xfId="55439" xr:uid="{38C6FA9F-D2ED-4DA9-B902-E09B7DE8120E}"/>
    <cellStyle name="Komma 4 4 5 6" xfId="19353" xr:uid="{AFE7E760-A291-4BD8-8F14-26DD560C65FA}"/>
    <cellStyle name="Komma 4 4 6" xfId="12503" xr:uid="{DF661303-695B-43C8-B672-5CE24B2FA196}"/>
    <cellStyle name="Komma 4 4 6 2" xfId="48488" xr:uid="{5079AD63-EFB0-4DC0-B827-437F9123ED94}"/>
    <cellStyle name="Komma 4 4 6 3" xfId="50992" xr:uid="{02C15979-7F79-48E3-8C37-0CB5D03E8816}"/>
    <cellStyle name="Komma 4 4 6 4" xfId="54008" xr:uid="{DB0C037C-977B-4985-8115-46C78BF0FD76}"/>
    <cellStyle name="Komma 4 4 6 5" xfId="21923" xr:uid="{AD4F39FD-399B-4A84-9A3D-5BC8B01EACD7}"/>
    <cellStyle name="Komma 4 4 7" xfId="23911" xr:uid="{12327B67-F115-4B54-9DF3-1B85E31B8ECD}"/>
    <cellStyle name="Komma 4 4 8" xfId="48446" xr:uid="{AEE954A6-B74E-44D0-97EB-977CF1E50628}"/>
    <cellStyle name="Komma 4 4 9" xfId="48760" xr:uid="{7053E83C-E655-4D2A-B5F7-FE271C257F02}"/>
    <cellStyle name="Komma 4 5" xfId="10117" xr:uid="{447A9350-2F88-40FF-9E7C-697E2E78DCE2}"/>
    <cellStyle name="Komma 4 5 10" xfId="49668" xr:uid="{68D454BF-3CE2-4B01-8831-554B8BFC511F}"/>
    <cellStyle name="Komma 4 5 11" xfId="49939" xr:uid="{2130BAE2-5BF2-4612-BCCF-B17D3C90C032}"/>
    <cellStyle name="Komma 4 5 12" xfId="52955" xr:uid="{C6524EC5-EEF8-407B-AC03-E0184C0E6D54}"/>
    <cellStyle name="Komma 4 5 13" xfId="18789" xr:uid="{D5398701-95EB-41E5-BBEE-A53C44A91605}"/>
    <cellStyle name="Komma 4 5 2" xfId="10430" xr:uid="{004998D4-4FB5-4DB6-8181-D590EEC5413A}"/>
    <cellStyle name="Komma 4 5 2 10" xfId="50151" xr:uid="{2B404ACB-9787-4F69-9F8B-6AE22AE2BC03}"/>
    <cellStyle name="Komma 4 5 2 11" xfId="53167" xr:uid="{FD190298-03C1-4ABB-9FE8-7AEA69926BAC}"/>
    <cellStyle name="Komma 4 5 2 12" xfId="18946" xr:uid="{96DF04B5-E92E-4B5F-AFD3-91C055B1FAF8}"/>
    <cellStyle name="Komma 4 5 2 2" xfId="14849" xr:uid="{29A5FC27-82D2-42CB-A4F3-E16DBDF40655}"/>
    <cellStyle name="Komma 4 5 2 2 2" xfId="22396" xr:uid="{D0B4AF17-2356-422A-803E-807D47FB0B12}"/>
    <cellStyle name="Komma 4 5 2 2 3" xfId="47242" xr:uid="{E833DED7-AC05-4045-95F5-FE769AAC28E9}"/>
    <cellStyle name="Komma 4 5 2 2 4" xfId="51734" xr:uid="{136B4A2C-E81E-46FE-83D4-F7C59D071D77}"/>
    <cellStyle name="Komma 4 5 2 2 5" xfId="54750" xr:uid="{CBEB692E-50B3-4CFD-9B45-FAB77927FC24}"/>
    <cellStyle name="Komma 4 5 2 2 6" xfId="19141" xr:uid="{619C3C06-B85C-4F6A-A52C-CA56B5542EA4}"/>
    <cellStyle name="Komma 4 5 2 3" xfId="15334" xr:uid="{ABFB07E4-0251-4C5B-9BE4-F604120EC270}"/>
    <cellStyle name="Komma 4 5 2 3 2" xfId="22873" xr:uid="{A9383452-0E49-415B-859D-5BED205461DB}"/>
    <cellStyle name="Komma 4 5 2 3 3" xfId="33356" xr:uid="{18596629-6AC8-4C25-BDC8-D31E81D969B1}"/>
    <cellStyle name="Komma 4 5 2 3 4" xfId="52211" xr:uid="{DB12C560-9A00-4484-B898-AB960A602483}"/>
    <cellStyle name="Komma 4 5 2 3 5" xfId="55227" xr:uid="{43EB2E01-7414-4677-8E44-85F9ABDFE7AC}"/>
    <cellStyle name="Komma 4 5 2 3 6" xfId="19284" xr:uid="{8B444263-00B2-46FF-BF2D-E136968AA171}"/>
    <cellStyle name="Komma 4 5 2 4" xfId="15821" xr:uid="{9677C238-D156-453D-A6A7-205894BA5D17}"/>
    <cellStyle name="Komma 4 5 2 4 2" xfId="23350" xr:uid="{CC5D3CCD-BA0C-4E15-AB79-807B4DEA7EF6}"/>
    <cellStyle name="Komma 4 5 2 4 3" xfId="47503" xr:uid="{1F071EEE-5664-408B-B766-732BBC636FF7}"/>
    <cellStyle name="Komma 4 5 2 4 4" xfId="52688" xr:uid="{DE773B4B-B2FB-4B67-8BF7-3FCC77817640}"/>
    <cellStyle name="Komma 4 5 2 4 5" xfId="55704" xr:uid="{85911DBE-358D-4440-B6E8-4164A9FE1279}"/>
    <cellStyle name="Komma 4 5 2 4 6" xfId="19429" xr:uid="{F4DD7D48-4BC5-4A07-835B-3575EA866BFD}"/>
    <cellStyle name="Komma 4 5 2 5" xfId="12883" xr:uid="{F0CE65A6-41BD-4447-B7D5-970492299706}"/>
    <cellStyle name="Komma 4 5 2 5 2" xfId="47099" xr:uid="{4C313EE5-9566-4E7D-B204-4F2694D5C03B}"/>
    <cellStyle name="Komma 4 5 2 5 3" xfId="51257" xr:uid="{9A18A736-B915-453C-AF06-E183531EF325}"/>
    <cellStyle name="Komma 4 5 2 5 4" xfId="54273" xr:uid="{5EA08585-1FB6-495B-B38F-468C7A678418}"/>
    <cellStyle name="Komma 4 5 2 5 5" xfId="21999" xr:uid="{BE0A7778-2DEB-4BC1-BBAE-ACA00BF9768A}"/>
    <cellStyle name="Komma 4 5 2 6" xfId="23914" xr:uid="{4CF437C2-3E30-4FE1-B9FE-58BF7DD25FCE}"/>
    <cellStyle name="Komma 4 5 2 7" xfId="47953" xr:uid="{27927A36-85D0-4152-9624-FFE48C98877D}"/>
    <cellStyle name="Komma 4 5 2 8" xfId="48763" xr:uid="{2465051C-D215-4A17-A3C8-3663433FF670}"/>
    <cellStyle name="Komma 4 5 2 9" xfId="49669" xr:uid="{2A0DC26C-0873-49B2-9FA9-6D87E436E0F2}"/>
    <cellStyle name="Komma 4 5 3" xfId="14637" xr:uid="{E375E389-AC58-415B-A1ED-C3F9D1C3C8DD}"/>
    <cellStyle name="Komma 4 5 3 2" xfId="22184" xr:uid="{2996D6B7-6EBB-42DE-9DF6-C0F1836F7346}"/>
    <cellStyle name="Komma 4 5 3 3" xfId="46677" xr:uid="{8FD09C30-A71E-4C38-949E-06B57D169ADE}"/>
    <cellStyle name="Komma 4 5 3 4" xfId="51522" xr:uid="{78C67732-D8D1-4803-9AD9-FC91010A14E9}"/>
    <cellStyle name="Komma 4 5 3 5" xfId="54538" xr:uid="{0852D11C-8027-4CBA-AE24-A1DA3BBF2781}"/>
    <cellStyle name="Komma 4 5 3 6" xfId="19081" xr:uid="{02FA40D1-FB79-41BB-9B8B-9E677EF2B02A}"/>
    <cellStyle name="Komma 4 5 4" xfId="15122" xr:uid="{E69D6014-859F-4B45-BB59-32BBEC1D6BB7}"/>
    <cellStyle name="Komma 4 5 4 2" xfId="22661" xr:uid="{121EBCDC-5AA9-4426-B3A4-8130B7358F53}"/>
    <cellStyle name="Komma 4 5 4 3" xfId="24910" xr:uid="{EA21FDCF-60C0-4AE5-B7C2-1218CCC0C0C0}"/>
    <cellStyle name="Komma 4 5 4 4" xfId="51999" xr:uid="{8A7E0C75-5A8A-4963-855B-E0238A95CFDF}"/>
    <cellStyle name="Komma 4 5 4 5" xfId="55015" xr:uid="{83F8DDE1-D390-4AC1-80F1-6622F5AB15C2}"/>
    <cellStyle name="Komma 4 5 4 6" xfId="19224" xr:uid="{6E398B50-C10D-418D-B5CE-A7CA6821C1DB}"/>
    <cellStyle name="Komma 4 5 5" xfId="15609" xr:uid="{F8885442-48FA-4816-A8E3-25C8ED92662A}"/>
    <cellStyle name="Komma 4 5 5 2" xfId="23138" xr:uid="{461E758F-D18C-41E5-82AE-9BD17855EEF5}"/>
    <cellStyle name="Komma 4 5 5 3" xfId="46945" xr:uid="{3F29AC16-55A3-4F74-9AA8-4DDB35F539DA}"/>
    <cellStyle name="Komma 4 5 5 4" xfId="52476" xr:uid="{18B491B5-BBF2-4218-8C7E-5B7BF1C6C3D8}"/>
    <cellStyle name="Komma 4 5 5 5" xfId="55492" xr:uid="{E58F077B-9252-498B-8C6B-DA9EB7115C6D}"/>
    <cellStyle name="Komma 4 5 5 6" xfId="19369" xr:uid="{84536A48-E171-4380-BC78-3B7AFE2B9365}"/>
    <cellStyle name="Komma 4 5 6" xfId="12574" xr:uid="{48DD8075-335A-42E3-B03D-10C927565331}"/>
    <cellStyle name="Komma 4 5 6 2" xfId="47805" xr:uid="{CA6022F8-7A57-4566-8DF5-E63C2A929EEB}"/>
    <cellStyle name="Komma 4 5 6 3" xfId="51045" xr:uid="{65C14C55-91A0-4EE3-AB67-BE654EAF72E4}"/>
    <cellStyle name="Komma 4 5 6 4" xfId="54061" xr:uid="{A722CD37-0F87-4E17-911F-29A1F4E1907E}"/>
    <cellStyle name="Komma 4 5 6 5" xfId="21939" xr:uid="{1E0DBBD5-1F45-4BB1-BEDC-61E0D36A0907}"/>
    <cellStyle name="Komma 4 5 7" xfId="23913" xr:uid="{FE966144-99FF-49C0-BCDA-BD219E84010D}"/>
    <cellStyle name="Komma 4 5 8" xfId="46616" xr:uid="{822F51DA-7547-46F1-B359-2EEB1F53C42C}"/>
    <cellStyle name="Komma 4 5 9" xfId="48762" xr:uid="{8DC4B57B-9387-4A94-9B33-547D76E5B67D}"/>
    <cellStyle name="Komma 4 6" xfId="10196" xr:uid="{6998AD83-B8BD-4C93-BA48-897C9A0EB99F}"/>
    <cellStyle name="Komma 4 6 10" xfId="49670" xr:uid="{CF317293-A848-4CAC-A00F-5D04F619482C}"/>
    <cellStyle name="Komma 4 6 11" xfId="49992" xr:uid="{E7EBA5B3-9115-483D-B4B6-16A8585908DE}"/>
    <cellStyle name="Komma 4 6 12" xfId="53008" xr:uid="{1B49EDC9-F18A-4124-AC4A-07C754052E88}"/>
    <cellStyle name="Komma 4 6 13" xfId="18827" xr:uid="{F6902E4B-C21C-4F88-A596-953ED6278F5C}"/>
    <cellStyle name="Komma 4 6 2" xfId="10510" xr:uid="{5E4EF090-FCCF-4B27-9642-B53697AC994E}"/>
    <cellStyle name="Komma 4 6 2 10" xfId="50204" xr:uid="{BB7E22A5-D61C-49D3-8024-B37D701EA7E3}"/>
    <cellStyle name="Komma 4 6 2 11" xfId="53220" xr:uid="{BC904157-37C0-47F8-809A-A2276AE28CE8}"/>
    <cellStyle name="Komma 4 6 2 12" xfId="18988" xr:uid="{724B0C8D-BD05-4718-AFEF-E15C250BB13D}"/>
    <cellStyle name="Komma 4 6 2 2" xfId="14902" xr:uid="{CFFFFD3A-4585-4D34-A2FD-4136123BE0F3}"/>
    <cellStyle name="Komma 4 6 2 2 2" xfId="22449" xr:uid="{35674CE4-FC87-4D60-A9B4-F2354F9D4DD6}"/>
    <cellStyle name="Komma 4 6 2 2 3" xfId="47933" xr:uid="{CEB3CEA1-0E8F-4243-92D8-670D47E93EA8}"/>
    <cellStyle name="Komma 4 6 2 2 4" xfId="51787" xr:uid="{738C5656-1B5E-41F8-AFDC-17FFF0C68969}"/>
    <cellStyle name="Komma 4 6 2 2 5" xfId="54803" xr:uid="{15FAA147-084B-4647-B072-2D12228A1BDA}"/>
    <cellStyle name="Komma 4 6 2 2 6" xfId="19156" xr:uid="{A7568486-3395-4FC8-B161-270A717DE525}"/>
    <cellStyle name="Komma 4 6 2 3" xfId="15387" xr:uid="{123F1125-FD4F-4EC1-A5AE-00726AE0FBD3}"/>
    <cellStyle name="Komma 4 6 2 3 2" xfId="22926" xr:uid="{F5DA49CF-6512-4F91-AC88-F90F5D254BDC}"/>
    <cellStyle name="Komma 4 6 2 3 3" xfId="48304" xr:uid="{711DA11C-F83F-4821-B51A-9133F96F96EB}"/>
    <cellStyle name="Komma 4 6 2 3 4" xfId="52264" xr:uid="{913C6F81-430A-4D0C-A5DE-572BAD83E4A3}"/>
    <cellStyle name="Komma 4 6 2 3 5" xfId="55280" xr:uid="{A9D88E15-4C86-447F-A965-3E949EFA9F6A}"/>
    <cellStyle name="Komma 4 6 2 3 6" xfId="19299" xr:uid="{CAE62EC0-3FBE-455E-AA54-6B1144345087}"/>
    <cellStyle name="Komma 4 6 2 4" xfId="15874" xr:uid="{C23CBA32-5556-4050-9A67-2138FBB711A6}"/>
    <cellStyle name="Komma 4 6 2 4 2" xfId="23403" xr:uid="{A9050C95-889D-4D9F-AC59-7D357F929E65}"/>
    <cellStyle name="Komma 4 6 2 4 3" xfId="47218" xr:uid="{91B9B7EB-6F58-4D3E-8DF9-0D1B29FC47AE}"/>
    <cellStyle name="Komma 4 6 2 4 4" xfId="52741" xr:uid="{2AD24B62-5C89-4791-B2D4-625235097E44}"/>
    <cellStyle name="Komma 4 6 2 4 5" xfId="55757" xr:uid="{B1989405-6ADE-444D-AD66-EAF10339EBBE}"/>
    <cellStyle name="Komma 4 6 2 4 6" xfId="19444" xr:uid="{AB924DF2-3C22-4396-96DB-86300743D725}"/>
    <cellStyle name="Komma 4 6 2 5" xfId="12963" xr:uid="{B1DE1930-53F4-45D0-B29D-33DCCAE95DF6}"/>
    <cellStyle name="Komma 4 6 2 5 2" xfId="33774" xr:uid="{39C19D08-7207-4DEB-9B6C-FE83632CDC57}"/>
    <cellStyle name="Komma 4 6 2 5 3" xfId="51310" xr:uid="{3E6F3DBB-BD52-4040-A0DD-92D0FAEE1C03}"/>
    <cellStyle name="Komma 4 6 2 5 4" xfId="54326" xr:uid="{1DB9B57C-6D40-4523-B61C-2C0CF8662A2D}"/>
    <cellStyle name="Komma 4 6 2 5 5" xfId="22014" xr:uid="{F7E48782-87C2-41A7-B5F2-EDFDE7B2BA56}"/>
    <cellStyle name="Komma 4 6 2 6" xfId="23916" xr:uid="{9B42328C-6377-446D-961A-7CAE2F7E9E53}"/>
    <cellStyle name="Komma 4 6 2 7" xfId="46987" xr:uid="{1A3ED775-8E09-422B-BB25-03B9F6608D3F}"/>
    <cellStyle name="Komma 4 6 2 8" xfId="48765" xr:uid="{FF9FB5D6-B1B7-495E-B84A-B0593B23A4E3}"/>
    <cellStyle name="Komma 4 6 2 9" xfId="49671" xr:uid="{FB274E8D-3A81-42C6-8BD9-68B9EDD9F274}"/>
    <cellStyle name="Komma 4 6 3" xfId="14690" xr:uid="{843FFE3E-B14B-482F-AA03-D39DC7B6F046}"/>
    <cellStyle name="Komma 4 6 3 2" xfId="22237" xr:uid="{691FF77C-D498-4215-A152-284748858CC0}"/>
    <cellStyle name="Komma 4 6 3 3" xfId="46418" xr:uid="{8C9B1DCD-7DD7-45AC-BA56-3EA16A755B6F}"/>
    <cellStyle name="Komma 4 6 3 4" xfId="51575" xr:uid="{5EE5E1E3-4C23-4096-85DE-4134BFADF361}"/>
    <cellStyle name="Komma 4 6 3 5" xfId="54591" xr:uid="{4172A741-F678-4876-879A-E3657F75D22A}"/>
    <cellStyle name="Komma 4 6 3 6" xfId="19096" xr:uid="{9A134FFA-8334-4DD2-BD66-301B64AD9BE9}"/>
    <cellStyle name="Komma 4 6 4" xfId="15175" xr:uid="{74B98CA1-90A1-4A66-A60D-F8BAD5C955C7}"/>
    <cellStyle name="Komma 4 6 4 2" xfId="22714" xr:uid="{7029F230-DCF5-4C9E-893B-B9F83E02E6B2}"/>
    <cellStyle name="Komma 4 6 4 3" xfId="48550" xr:uid="{4CB3CDC2-A32E-4C53-B572-66DD5DB89A4D}"/>
    <cellStyle name="Komma 4 6 4 4" xfId="52052" xr:uid="{DB65F211-850C-4710-ACAE-9D5FFA55C297}"/>
    <cellStyle name="Komma 4 6 4 5" xfId="55068" xr:uid="{3C4C9E19-6A61-4F7C-AB56-76654C67DF2B}"/>
    <cellStyle name="Komma 4 6 4 6" xfId="19239" xr:uid="{7F85831F-571F-453D-9143-69FC87A97212}"/>
    <cellStyle name="Komma 4 6 5" xfId="15662" xr:uid="{7A96D605-8BCC-4410-A62C-D775733E2F24}"/>
    <cellStyle name="Komma 4 6 5 2" xfId="23191" xr:uid="{614D3DA1-1D82-4E63-9F75-A7896EE6DB63}"/>
    <cellStyle name="Komma 4 6 5 3" xfId="48132" xr:uid="{EC1A9A5F-3944-43FE-99D5-62DA58D3ACF9}"/>
    <cellStyle name="Komma 4 6 5 4" xfId="52529" xr:uid="{40FB92A4-F947-4246-A880-42FAEFDB8BC7}"/>
    <cellStyle name="Komma 4 6 5 5" xfId="55545" xr:uid="{C4356BC6-F3A7-4A10-B46E-57CA9B0E9AF5}"/>
    <cellStyle name="Komma 4 6 5 6" xfId="19384" xr:uid="{2B2628BB-06F2-41D7-AD1B-D71FA747DCB0}"/>
    <cellStyle name="Komma 4 6 6" xfId="12650" xr:uid="{83ECB4DF-F3D8-4DCB-BC11-2DE01FD6FE96}"/>
    <cellStyle name="Komma 4 6 6 2" xfId="48049" xr:uid="{69C4F319-0BC4-4DF8-AF1D-88649BA1609D}"/>
    <cellStyle name="Komma 4 6 6 3" xfId="51098" xr:uid="{6468CD85-B9E6-41A8-89D5-9723C88E4CFA}"/>
    <cellStyle name="Komma 4 6 6 4" xfId="54114" xr:uid="{BF48B47B-BE2A-4993-A596-D8ADBEA7D68E}"/>
    <cellStyle name="Komma 4 6 6 5" xfId="21954" xr:uid="{5CD8D9E6-C91D-4883-9FE6-47C74314B375}"/>
    <cellStyle name="Komma 4 6 7" xfId="23915" xr:uid="{7FF22E3E-EEE4-4491-9CC3-B8AE1B7170E8}"/>
    <cellStyle name="Komma 4 6 8" xfId="46620" xr:uid="{7FB9D0F2-E2CE-480A-B23C-20109E9923E9}"/>
    <cellStyle name="Komma 4 6 9" xfId="48764" xr:uid="{42DFAA78-0876-43B7-B47D-E9CC5D7F4129}"/>
    <cellStyle name="Komma 4 7" xfId="10276" xr:uid="{D4ED2092-B5C4-4F04-BA2B-E8A3B860066E}"/>
    <cellStyle name="Komma 4 7 10" xfId="50045" xr:uid="{395DF562-2D92-455B-9AD9-D4EF28AE7A2F}"/>
    <cellStyle name="Komma 4 7 11" xfId="53061" xr:uid="{BD910AD4-8029-4E12-A293-EADB31484009}"/>
    <cellStyle name="Komma 4 7 12" xfId="18868" xr:uid="{51EAC82E-CD46-4B7B-A702-D3A1D19C491E}"/>
    <cellStyle name="Komma 4 7 2" xfId="14743" xr:uid="{DD4FF581-A54F-47CA-BBA9-A59FEFF1FF76}"/>
    <cellStyle name="Komma 4 7 2 2" xfId="22290" xr:uid="{A92AB878-3C9C-40B5-8607-4BE2C5F66C37}"/>
    <cellStyle name="Komma 4 7 2 3" xfId="48117" xr:uid="{DB6F0DC7-CE9E-4F0E-AD83-BEFE16961015}"/>
    <cellStyle name="Komma 4 7 2 4" xfId="51628" xr:uid="{E3B184A7-6B9B-4FF0-9EA7-3FE34848224B}"/>
    <cellStyle name="Komma 4 7 2 5" xfId="54644" xr:uid="{F8196A5C-B20D-43B5-B9F6-A8B1F0BBB3C5}"/>
    <cellStyle name="Komma 4 7 2 6" xfId="19111" xr:uid="{FCE603CF-2E70-4A0B-9C97-E3D57FD64BA8}"/>
    <cellStyle name="Komma 4 7 3" xfId="15228" xr:uid="{01BA37F0-C460-4A34-B581-000C0F12528F}"/>
    <cellStyle name="Komma 4 7 3 2" xfId="22767" xr:uid="{F7C4BC45-99B0-4739-B118-9A38F3D904FC}"/>
    <cellStyle name="Komma 4 7 3 3" xfId="47057" xr:uid="{BACEE3A9-0C77-4D5E-9A2B-FC770BF57B56}"/>
    <cellStyle name="Komma 4 7 3 4" xfId="52105" xr:uid="{A695E3F7-9187-4B2E-9CD4-91BC132997B6}"/>
    <cellStyle name="Komma 4 7 3 5" xfId="55121" xr:uid="{BFF26A97-A448-4074-93B5-19E5B62E0F03}"/>
    <cellStyle name="Komma 4 7 3 6" xfId="19254" xr:uid="{9A4580DB-BD80-488B-8B82-9926053AF666}"/>
    <cellStyle name="Komma 4 7 4" xfId="15715" xr:uid="{EBBC189B-B22A-4D06-9085-87074CF5A403}"/>
    <cellStyle name="Komma 4 7 4 2" xfId="23244" xr:uid="{84EDA469-8049-4AF3-B3F4-C9226CF2C3F2}"/>
    <cellStyle name="Komma 4 7 4 3" xfId="47847" xr:uid="{8249DBA4-A134-4151-ACF1-A7DC7AD2B90A}"/>
    <cellStyle name="Komma 4 7 4 4" xfId="52582" xr:uid="{7643E4A4-5A01-4B82-84A6-DF04967DF624}"/>
    <cellStyle name="Komma 4 7 4 5" xfId="55598" xr:uid="{F1E07915-92AE-4479-9F82-AB0CE8D5A150}"/>
    <cellStyle name="Komma 4 7 4 6" xfId="19399" xr:uid="{3C9136A8-DC60-4ACD-9113-C59EBBF8F4A9}"/>
    <cellStyle name="Komma 4 7 5" xfId="12729" xr:uid="{8FEDE4F9-47C3-4A84-8CE3-ECB3373AD7F7}"/>
    <cellStyle name="Komma 4 7 5 2" xfId="34514" xr:uid="{C9D461C8-7956-43DD-AE83-DF28A1A6A632}"/>
    <cellStyle name="Komma 4 7 5 3" xfId="51151" xr:uid="{CFE4B12E-3E59-49E7-8A9D-49784912A3E1}"/>
    <cellStyle name="Komma 4 7 5 4" xfId="54167" xr:uid="{90337E3A-2F07-47C7-8099-065E40D5CB42}"/>
    <cellStyle name="Komma 4 7 5 5" xfId="21969" xr:uid="{589B4B16-7E2B-41E4-AFDD-C7AA60F14AB8}"/>
    <cellStyle name="Komma 4 7 6" xfId="23917" xr:uid="{70F4E5C1-2AFD-4504-B7BD-8AE41E7F76F1}"/>
    <cellStyle name="Komma 4 7 7" xfId="46081" xr:uid="{3DE71123-A175-4F78-8A07-99ED79CF459F}"/>
    <cellStyle name="Komma 4 7 8" xfId="48766" xr:uid="{DE2ACF56-4FC7-4773-B11F-0BAC5191E82B}"/>
    <cellStyle name="Komma 4 7 9" xfId="49672" xr:uid="{31F85E20-AFEC-4054-8B2F-0935434741AA}"/>
    <cellStyle name="Komma 4 8" xfId="10590" xr:uid="{3A33E737-E65D-47C0-9DA3-70ECD1D03FEA}"/>
    <cellStyle name="Komma 4 8 10" xfId="50257" xr:uid="{19AD55EB-5084-436B-A04A-1A995352830F}"/>
    <cellStyle name="Komma 4 8 11" xfId="53273" xr:uid="{F6AB5305-F5E5-4B90-817B-E4731718464A}"/>
    <cellStyle name="Komma 4 8 12" xfId="19030" xr:uid="{4825BB03-F7A6-4EBB-B4C0-753F342D532F}"/>
    <cellStyle name="Komma 4 8 2" xfId="14955" xr:uid="{A0CA0C19-A779-4F58-878D-FC30A0E8AC1F}"/>
    <cellStyle name="Komma 4 8 2 2" xfId="22502" xr:uid="{ECB1733B-EEF9-4634-9A4E-1A3BD976069B}"/>
    <cellStyle name="Komma 4 8 2 3" xfId="32518" xr:uid="{BE1A2D0A-F131-4BB5-A01C-AF4FD37D8669}"/>
    <cellStyle name="Komma 4 8 2 4" xfId="51840" xr:uid="{A170D369-1BC9-4E32-921F-875058EB0058}"/>
    <cellStyle name="Komma 4 8 2 5" xfId="54856" xr:uid="{F20D9AD5-22E2-4632-A575-A4B3EEB25DAF}"/>
    <cellStyle name="Komma 4 8 2 6" xfId="19171" xr:uid="{B1490327-0F3D-4747-843F-D73F6F470259}"/>
    <cellStyle name="Komma 4 8 3" xfId="15440" xr:uid="{115A0543-25D1-4237-8906-99474D185A5B}"/>
    <cellStyle name="Komma 4 8 3 2" xfId="22979" xr:uid="{C96EAF5F-694C-48C4-B3EE-DAE8E5FB9C9D}"/>
    <cellStyle name="Komma 4 8 3 3" xfId="47724" xr:uid="{DEC28D58-4FC4-49DA-96C7-53A0A6CCFA12}"/>
    <cellStyle name="Komma 4 8 3 4" xfId="52317" xr:uid="{A6D513AD-E658-4530-A148-F615260411B7}"/>
    <cellStyle name="Komma 4 8 3 5" xfId="55333" xr:uid="{A67CBB1E-626C-417F-B9F2-A7420FD735AA}"/>
    <cellStyle name="Komma 4 8 3 6" xfId="19314" xr:uid="{B275C24D-4CF9-49EA-B9FA-863E3B0A12CC}"/>
    <cellStyle name="Komma 4 8 4" xfId="15928" xr:uid="{E1241901-B93E-42A2-B18F-04F1F4643D77}"/>
    <cellStyle name="Komma 4 8 4 2" xfId="23456" xr:uid="{DB48A04F-55F6-4FA9-A59B-5416BF4D917A}"/>
    <cellStyle name="Komma 4 8 4 3" xfId="46608" xr:uid="{9AC50228-D6CE-41D5-B26F-398DCE553F8C}"/>
    <cellStyle name="Komma 4 8 4 4" xfId="52794" xr:uid="{C6DB4C38-927F-4759-93D6-7C31370262C0}"/>
    <cellStyle name="Komma 4 8 4 5" xfId="55810" xr:uid="{3FFC8B67-538B-496F-AE27-D1322AE5B343}"/>
    <cellStyle name="Komma 4 8 4 6" xfId="19460" xr:uid="{FC77C441-8035-453A-AABD-DFEC591A8650}"/>
    <cellStyle name="Komma 4 8 5" xfId="13043" xr:uid="{ABA2FF95-105D-4859-8541-4E61684F22EF}"/>
    <cellStyle name="Komma 4 8 5 2" xfId="46825" xr:uid="{CA8D1229-3D8F-4032-84CB-E13408E13277}"/>
    <cellStyle name="Komma 4 8 5 3" xfId="51363" xr:uid="{ECDCD074-7775-45FA-8084-7971F75901FD}"/>
    <cellStyle name="Komma 4 8 5 4" xfId="54379" xr:uid="{BF846414-4867-40E9-AD3E-F515A1CF84DA}"/>
    <cellStyle name="Komma 4 8 5 5" xfId="22029" xr:uid="{CC6DDDC0-3713-432E-A5B3-6838984F6E2A}"/>
    <cellStyle name="Komma 4 8 6" xfId="23918" xr:uid="{52CE9BA4-E53B-4311-A285-48C0125A4ED1}"/>
    <cellStyle name="Komma 4 8 7" xfId="25367" xr:uid="{CC831B7D-70CF-4F1A-AF20-8C9E4B177CBB}"/>
    <cellStyle name="Komma 4 8 8" xfId="48767" xr:uid="{1D1E6F64-653F-4E72-932A-F889AEEE2396}"/>
    <cellStyle name="Komma 4 8 9" xfId="49673" xr:uid="{C8456892-1113-451C-B49F-C109A9959C3E}"/>
    <cellStyle name="Komma 4 9" xfId="13055" xr:uid="{B17AF00F-FA9B-43B9-8D86-BB7860E3BD99}"/>
    <cellStyle name="Komma 4 9 2" xfId="23919" xr:uid="{A8FF952C-7FDE-4B7C-9FEA-5A2F84994B20}"/>
    <cellStyle name="Komma 4 9 3" xfId="48768" xr:uid="{749252F8-AB92-4122-A41B-B53069499BA5}"/>
    <cellStyle name="Komma 4 9 4" xfId="49674" xr:uid="{5E979C39-72AF-4F58-982B-68268F9D004E}"/>
    <cellStyle name="Komma 5" xfId="9105" xr:uid="{9EBAD1F2-010F-4ABA-9530-03CD8C092790}"/>
    <cellStyle name="Komma 5 10" xfId="15019" xr:uid="{EA090EBE-9F8D-4407-83DB-4839974B734A}"/>
    <cellStyle name="Komma 5 10 2" xfId="22559" xr:uid="{A28FC2FE-3B0D-4F79-B989-511ABE0E62CB}"/>
    <cellStyle name="Komma 5 10 3" xfId="47775" xr:uid="{C268085B-D446-4A09-BE7C-726B0D7A8D8E}"/>
    <cellStyle name="Komma 5 10 4" xfId="51897" xr:uid="{480E195C-B3AF-447B-876D-B55CDAF2F84F}"/>
    <cellStyle name="Komma 5 10 5" xfId="54913" xr:uid="{B987E180-FD95-421D-899A-3525828EF1C4}"/>
    <cellStyle name="Komma 5 11" xfId="15506" xr:uid="{9C317A3E-3447-4CF0-87A7-AAC9AC5C7F6A}"/>
    <cellStyle name="Komma 5 11 2" xfId="23036" xr:uid="{D574579E-FB77-4143-A730-5C5E1AE2A154}"/>
    <cellStyle name="Komma 5 11 3" xfId="46542" xr:uid="{5690B805-374B-4632-B46B-E86C293152E2}"/>
    <cellStyle name="Komma 5 11 4" xfId="52374" xr:uid="{1BFC837C-9FE7-443E-8DFB-CB291AD127B0}"/>
    <cellStyle name="Komma 5 11 5" xfId="55390" xr:uid="{AB4B9AC4-1B11-42D1-98CD-B9C279FA6F92}"/>
    <cellStyle name="Komma 5 12" xfId="11239" xr:uid="{42F113AE-0B82-49A3-B315-714EEC67F5C1}"/>
    <cellStyle name="Komma 5 12 2" xfId="46729" xr:uid="{AD544653-1505-4696-9E9D-5C1E5220801C}"/>
    <cellStyle name="Komma 5 12 3" xfId="50717" xr:uid="{9DA8107A-D907-4A54-959F-527020E00E6B}"/>
    <cellStyle name="Komma 5 12 4" xfId="53733" xr:uid="{BA9C608D-5A32-4D04-A4BF-EE6129426FEA}"/>
    <cellStyle name="Komma 5 13" xfId="23920" xr:uid="{898567B0-F80E-4087-B690-B92FAF2A651F}"/>
    <cellStyle name="Komma 5 14" xfId="48769" xr:uid="{EC77B6D1-4AF3-4557-8F2A-605DCB88C1A7}"/>
    <cellStyle name="Komma 5 15" xfId="49675" xr:uid="{C70F07CF-E821-40C1-8A80-DEA58CE8696D}"/>
    <cellStyle name="Komma 5 16" xfId="49837" xr:uid="{38C44003-D7E6-4D49-AC7E-BDFDDFAA5C6D}"/>
    <cellStyle name="Komma 5 17" xfId="52852" xr:uid="{8D812B12-9380-4D1A-8611-7AAFB3D08975}"/>
    <cellStyle name="Komma 5 2" xfId="9106" xr:uid="{F25A8F37-40E1-446F-85ED-50CD28735DB6}"/>
    <cellStyle name="Komma 5 2 10" xfId="15507" xr:uid="{AAFA82E1-B66C-4E24-8AA4-4F34202EC3E3}"/>
    <cellStyle name="Komma 5 2 10 2" xfId="23037" xr:uid="{5BDC9D4E-C516-4410-BAD5-8FD51D5E4343}"/>
    <cellStyle name="Komma 5 2 10 3" xfId="48543" xr:uid="{B49B1178-E032-4B42-A684-DE1C106B529D}"/>
    <cellStyle name="Komma 5 2 10 4" xfId="52375" xr:uid="{9E9B445F-8553-42CF-BE38-16A4EA131817}"/>
    <cellStyle name="Komma 5 2 10 5" xfId="55391" xr:uid="{F32C732A-68EF-4AF0-80F1-1194DD916AC7}"/>
    <cellStyle name="Komma 5 2 11" xfId="11591" xr:uid="{CAF38906-6004-46FF-AB2D-138A33398625}"/>
    <cellStyle name="Komma 5 2 11 2" xfId="46281" xr:uid="{9B798425-0872-4519-83A4-DE98C820CB9E}"/>
    <cellStyle name="Komma 5 2 11 3" xfId="50738" xr:uid="{D1EB331A-A809-4504-823E-26C7E7251AB8}"/>
    <cellStyle name="Komma 5 2 11 4" xfId="53754" xr:uid="{E78A58A7-D145-484D-95F7-06D126D0B7FE}"/>
    <cellStyle name="Komma 5 2 12" xfId="23921" xr:uid="{BDCE8FAD-8447-415C-9A8F-AA2884C2AFD8}"/>
    <cellStyle name="Komma 5 2 13" xfId="48770" xr:uid="{84462A12-EEF7-4C0E-ADCB-7B5C6E0AC2F3}"/>
    <cellStyle name="Komma 5 2 14" xfId="49676" xr:uid="{BDD6EB24-05A3-482E-8726-5CBAEB1203EC}"/>
    <cellStyle name="Komma 5 2 15" xfId="49838" xr:uid="{A2537381-EC6E-41C9-BDF0-5D3FE69B3249}"/>
    <cellStyle name="Komma 5 2 16" xfId="52853" xr:uid="{AEB4135D-8941-40F9-A640-A49D20E1EEE7}"/>
    <cellStyle name="Komma 5 2 2" xfId="9107" xr:uid="{CA96F8FC-AA84-4883-84B7-F562676941F1}"/>
    <cellStyle name="Komma 5 2 2 10" xfId="12191" xr:uid="{262317E9-AEB5-43C1-86E5-7C7C6137E4D7}"/>
    <cellStyle name="Komma 5 2 2 10 2" xfId="24702" xr:uid="{4C8E3BF9-7C89-4702-921B-41F25233D749}"/>
    <cellStyle name="Komma 5 2 2 10 3" xfId="50937" xr:uid="{A0528575-88D0-415E-8FA4-7AFF21F84F71}"/>
    <cellStyle name="Komma 5 2 2 10 4" xfId="53953" xr:uid="{2B5B9767-FEE1-4E70-A522-AE1FED7B15C0}"/>
    <cellStyle name="Komma 5 2 2 11" xfId="23922" xr:uid="{87DA5BB1-695D-40D8-9B8C-D3F77C70EE2A}"/>
    <cellStyle name="Komma 5 2 2 12" xfId="48771" xr:uid="{B9DA8277-68E8-4A00-843F-1E6030761F43}"/>
    <cellStyle name="Komma 5 2 2 13" xfId="49677" xr:uid="{1CC5CF14-0F94-44CD-BC63-9AF5C3D751DC}"/>
    <cellStyle name="Komma 5 2 2 14" xfId="49839" xr:uid="{26B3AF0D-6B57-4993-82D4-7CD534801B20}"/>
    <cellStyle name="Komma 5 2 2 15" xfId="52854" xr:uid="{3F55D513-C9A1-4D7E-8957-FE3DA31230D8}"/>
    <cellStyle name="Komma 5 2 2 2" xfId="10049" xr:uid="{CBBBEB96-1F26-4ABC-B477-C1450D0A1EFB}"/>
    <cellStyle name="Komma 5 2 2 2 10" xfId="49678" xr:uid="{397FD930-81DF-4FF0-9532-57B992E821FD}"/>
    <cellStyle name="Komma 5 2 2 2 11" xfId="49892" xr:uid="{6E921982-3828-497B-899D-6BD3F5C2D6C3}"/>
    <cellStyle name="Komma 5 2 2 2 12" xfId="52908" xr:uid="{FA6E7957-483B-4AF9-AF2F-3711660EBC1D}"/>
    <cellStyle name="Komma 5 2 2 2 2" xfId="10357" xr:uid="{3D5A98B5-093F-42EE-BB0F-531E1BE31982}"/>
    <cellStyle name="Komma 5 2 2 2 2 2" xfId="14802" xr:uid="{56832933-7337-47BF-9EC7-7635B9E3430A}"/>
    <cellStyle name="Komma 5 2 2 2 2 2 2" xfId="22349" xr:uid="{87D82E1C-5F63-46F1-B5B3-3C056ED55F25}"/>
    <cellStyle name="Komma 5 2 2 2 2 2 3" xfId="36986" xr:uid="{FDE99555-8306-46A1-8F60-002DC1BCB5F3}"/>
    <cellStyle name="Komma 5 2 2 2 2 2 4" xfId="51687" xr:uid="{BF8F7BA7-7C1C-4A12-A32F-9DFDB59F3A2C}"/>
    <cellStyle name="Komma 5 2 2 2 2 2 5" xfId="54703" xr:uid="{480FDEBD-A55B-4131-8E47-E0EB04C62D35}"/>
    <cellStyle name="Komma 5 2 2 2 2 3" xfId="15287" xr:uid="{26350F5B-30BE-4B53-AFFB-03088382E447}"/>
    <cellStyle name="Komma 5 2 2 2 2 3 2" xfId="22826" xr:uid="{40EFC893-B975-46B5-8A59-165FC2C8A301}"/>
    <cellStyle name="Komma 5 2 2 2 2 3 3" xfId="46509" xr:uid="{7C1DCCE7-3E68-434F-AB57-3C0071FAE4E3}"/>
    <cellStyle name="Komma 5 2 2 2 2 3 4" xfId="52164" xr:uid="{FBD2EEFF-FD02-49BE-A349-27E11A91DABA}"/>
    <cellStyle name="Komma 5 2 2 2 2 3 5" xfId="55180" xr:uid="{A1FDA5DB-9AA9-4389-A670-91EC40346983}"/>
    <cellStyle name="Komma 5 2 2 2 2 4" xfId="15774" xr:uid="{F57D3196-5688-4609-999C-57B388B792EA}"/>
    <cellStyle name="Komma 5 2 2 2 2 4 2" xfId="23303" xr:uid="{73ED45B9-3443-46CE-8FAA-61E19E628E1C}"/>
    <cellStyle name="Komma 5 2 2 2 2 4 3" xfId="46583" xr:uid="{1593DB6D-BB8E-49C5-A763-F3A41D23725F}"/>
    <cellStyle name="Komma 5 2 2 2 2 4 4" xfId="52641" xr:uid="{F8F37C28-5137-4277-ACD4-B2AF92C503BB}"/>
    <cellStyle name="Komma 5 2 2 2 2 4 5" xfId="55657" xr:uid="{4A5A3D5F-BB9E-4199-ABFF-33F19BF36AC8}"/>
    <cellStyle name="Komma 5 2 2 2 2 5" xfId="12810" xr:uid="{D69DD30F-47D0-41DD-832B-38922214DF27}"/>
    <cellStyle name="Komma 5 2 2 2 2 5 2" xfId="37108" xr:uid="{B207FF7D-4E50-43AC-8AE0-7874D8552E0D}"/>
    <cellStyle name="Komma 5 2 2 2 2 5 3" xfId="51210" xr:uid="{65CDCC3C-3A2D-460F-B8C7-8055246DC55D}"/>
    <cellStyle name="Komma 5 2 2 2 2 5 4" xfId="54226" xr:uid="{63DAC05E-E12A-4D56-84AA-7668CDAE4382}"/>
    <cellStyle name="Komma 5 2 2 2 2 6" xfId="46099" xr:uid="{23EAD587-E21D-41A2-A8B7-7A7B3CE404CC}"/>
    <cellStyle name="Komma 5 2 2 2 2 7" xfId="50104" xr:uid="{38407ECB-51ED-408D-9CBF-47403595A819}"/>
    <cellStyle name="Komma 5 2 2 2 2 8" xfId="53120" xr:uid="{793660E2-FCA4-4C50-814F-6D51DDD4F124}"/>
    <cellStyle name="Komma 5 2 2 2 3" xfId="14590" xr:uid="{3151195F-1A88-4E9C-979F-29672BAF493D}"/>
    <cellStyle name="Komma 5 2 2 2 3 2" xfId="22137" xr:uid="{19FE5E41-78DA-407F-8446-B0237C6B53C7}"/>
    <cellStyle name="Komma 5 2 2 2 3 3" xfId="47624" xr:uid="{DDD839E7-4E53-46D3-A8BD-B29F88E5425E}"/>
    <cellStyle name="Komma 5 2 2 2 3 4" xfId="51475" xr:uid="{2CB9367A-F4E4-4872-8251-9B2B2D2B147C}"/>
    <cellStyle name="Komma 5 2 2 2 3 5" xfId="54491" xr:uid="{6D6E6EA7-87ED-40A4-98E9-8B0C37D42EA8}"/>
    <cellStyle name="Komma 5 2 2 2 4" xfId="15074" xr:uid="{E0949DC3-09E4-4C4B-9BE8-2665110C050F}"/>
    <cellStyle name="Komma 5 2 2 2 4 2" xfId="22614" xr:uid="{FC3F3B3B-7407-4866-997D-13D0DB7DDDDB}"/>
    <cellStyle name="Komma 5 2 2 2 4 3" xfId="48293" xr:uid="{91FDEEC0-8F7F-4AD2-8DC9-66159FA6503F}"/>
    <cellStyle name="Komma 5 2 2 2 4 4" xfId="51952" xr:uid="{715B9849-2DA1-4F80-B13C-C2DAD3994B0E}"/>
    <cellStyle name="Komma 5 2 2 2 4 5" xfId="54968" xr:uid="{2F82227A-E997-4B7D-9B90-CC2BB23B0F82}"/>
    <cellStyle name="Komma 5 2 2 2 5" xfId="15561" xr:uid="{E88474D4-8BA3-4BE3-B6D8-448D85A5D1DF}"/>
    <cellStyle name="Komma 5 2 2 2 5 2" xfId="23091" xr:uid="{B543E97A-766D-4091-B7CC-C1E8E1407A7F}"/>
    <cellStyle name="Komma 5 2 2 2 5 3" xfId="46551" xr:uid="{840B74E0-B6F5-47AC-ABE6-B124DAA7953E}"/>
    <cellStyle name="Komma 5 2 2 2 5 4" xfId="52429" xr:uid="{1D630A26-8A63-494D-B85B-CED179D0B168}"/>
    <cellStyle name="Komma 5 2 2 2 5 5" xfId="55445" xr:uid="{81885F95-838F-43B3-8A80-0AFB1BC89545}"/>
    <cellStyle name="Komma 5 2 2 2 6" xfId="12509" xr:uid="{AC1B9B0F-F2A1-44E1-AEEE-C583916DDBB9}"/>
    <cellStyle name="Komma 5 2 2 2 6 2" xfId="48046" xr:uid="{D047CCB3-BCDA-4C1A-BE6B-8A122C1A290D}"/>
    <cellStyle name="Komma 5 2 2 2 6 3" xfId="50998" xr:uid="{F3119336-D395-449F-9837-12C8E72C273C}"/>
    <cellStyle name="Komma 5 2 2 2 6 4" xfId="54014" xr:uid="{E610570D-99E5-4974-AEC6-872DC063112F}"/>
    <cellStyle name="Komma 5 2 2 2 7" xfId="23923" xr:uid="{75840744-5537-428E-92B7-4CD07A595980}"/>
    <cellStyle name="Komma 5 2 2 2 8" xfId="47951" xr:uid="{3A8B17F3-7DFD-4274-B39A-EDAFF1017171}"/>
    <cellStyle name="Komma 5 2 2 2 9" xfId="48772" xr:uid="{5D8CBAE8-023B-40DD-8B43-69E25866AD80}"/>
    <cellStyle name="Komma 5 2 2 3" xfId="10123" xr:uid="{B64DE828-E65C-4538-9E38-938BF5F83666}"/>
    <cellStyle name="Komma 5 2 2 3 10" xfId="49679" xr:uid="{7B7E04EF-3FF8-4EDB-8DB1-C1F88430BBAB}"/>
    <cellStyle name="Komma 5 2 2 3 11" xfId="49945" xr:uid="{2B8D1183-EF4B-4311-B39E-D73ABC63D82F}"/>
    <cellStyle name="Komma 5 2 2 3 12" xfId="52961" xr:uid="{19A38644-804A-4780-BEEE-7B29F62C5809}"/>
    <cellStyle name="Komma 5 2 2 3 2" xfId="10436" xr:uid="{E816BDD7-4BF9-46B7-B79A-2AC24BC536A9}"/>
    <cellStyle name="Komma 5 2 2 3 2 2" xfId="14855" xr:uid="{2EB4C0F8-67DC-43A7-ADA2-F4D71B570E7C}"/>
    <cellStyle name="Komma 5 2 2 3 2 2 2" xfId="22402" xr:uid="{994E3B0E-5586-44E9-87D5-834070CFCC7A}"/>
    <cellStyle name="Komma 5 2 2 3 2 2 3" xfId="47834" xr:uid="{59A14A81-E153-493F-A4B7-6C2705EAE28A}"/>
    <cellStyle name="Komma 5 2 2 3 2 2 4" xfId="51740" xr:uid="{C4EECB34-42E3-4D98-9C95-0255AE7B0904}"/>
    <cellStyle name="Komma 5 2 2 3 2 2 5" xfId="54756" xr:uid="{716B1E43-2472-4E55-B582-3B03504520C5}"/>
    <cellStyle name="Komma 5 2 2 3 2 3" xfId="15340" xr:uid="{401D44DA-E25D-4267-806F-C7B46F6C06A5}"/>
    <cellStyle name="Komma 5 2 2 3 2 3 2" xfId="22879" xr:uid="{039C6608-DEBE-4959-999F-887E32828D7E}"/>
    <cellStyle name="Komma 5 2 2 3 2 3 3" xfId="46908" xr:uid="{1293D999-4F9B-45D6-925A-D71734475BC7}"/>
    <cellStyle name="Komma 5 2 2 3 2 3 4" xfId="52217" xr:uid="{7100A54C-0410-4C37-8E2F-D033D3FA1C3F}"/>
    <cellStyle name="Komma 5 2 2 3 2 3 5" xfId="55233" xr:uid="{536B3F5B-52C9-4704-A21B-0620DCB04A1C}"/>
    <cellStyle name="Komma 5 2 2 3 2 4" xfId="15827" xr:uid="{A10E71A5-C71E-4443-960D-D318F4AAE15A}"/>
    <cellStyle name="Komma 5 2 2 3 2 4 2" xfId="23356" xr:uid="{BF1718B2-789B-49CA-B02C-00D900F78B07}"/>
    <cellStyle name="Komma 5 2 2 3 2 4 3" xfId="48084" xr:uid="{D2A1B140-2059-410C-9D6C-30952D79A353}"/>
    <cellStyle name="Komma 5 2 2 3 2 4 4" xfId="52694" xr:uid="{995D7F2D-7193-4804-BBE9-1A1D258B8387}"/>
    <cellStyle name="Komma 5 2 2 3 2 4 5" xfId="55710" xr:uid="{7DB9FB56-014C-4007-BF10-6FD0DDCCCDE2}"/>
    <cellStyle name="Komma 5 2 2 3 2 5" xfId="12889" xr:uid="{A23316A8-829B-4273-8365-73A14E043C96}"/>
    <cellStyle name="Komma 5 2 2 3 2 5 2" xfId="47100" xr:uid="{0CD0F94B-5A48-46C2-A428-EAAB65064259}"/>
    <cellStyle name="Komma 5 2 2 3 2 5 3" xfId="51263" xr:uid="{0FD1A243-3EF0-45E7-85E9-CF22CE01056D}"/>
    <cellStyle name="Komma 5 2 2 3 2 5 4" xfId="54279" xr:uid="{CCB3FCE9-10F1-4BCF-82D3-4210AC4EF037}"/>
    <cellStyle name="Komma 5 2 2 3 2 6" xfId="47140" xr:uid="{D406B29A-AE07-4704-A166-C026B71C982F}"/>
    <cellStyle name="Komma 5 2 2 3 2 7" xfId="50157" xr:uid="{99969E83-02C1-4A9F-9AE0-A05B36E7A9AD}"/>
    <cellStyle name="Komma 5 2 2 3 2 8" xfId="53173" xr:uid="{842E5C43-50F8-4454-B87B-485C34C46169}"/>
    <cellStyle name="Komma 5 2 2 3 3" xfId="14643" xr:uid="{FE56E580-A052-41CF-9A9D-0240966490E7}"/>
    <cellStyle name="Komma 5 2 2 3 3 2" xfId="22190" xr:uid="{CFA53357-3CEF-4ADB-96C7-371D49C077D9}"/>
    <cellStyle name="Komma 5 2 2 3 3 3" xfId="48405" xr:uid="{7DCD8F3F-8409-4247-A88C-36A6A6D8DC4F}"/>
    <cellStyle name="Komma 5 2 2 3 3 4" xfId="51528" xr:uid="{0AD10709-3132-4FEB-A98D-E7C8F6B6F07C}"/>
    <cellStyle name="Komma 5 2 2 3 3 5" xfId="54544" xr:uid="{DDEBF28E-1FD0-4F8E-ABE9-E91EDB0395B7}"/>
    <cellStyle name="Komma 5 2 2 3 4" xfId="15128" xr:uid="{DA696BBD-4A56-40F2-9493-D4D95B830200}"/>
    <cellStyle name="Komma 5 2 2 3 4 2" xfId="22667" xr:uid="{0B582801-35E3-4AF9-A2B5-2C58BC21B154}"/>
    <cellStyle name="Komma 5 2 2 3 4 3" xfId="24909" xr:uid="{6B4F48E2-1DBB-4525-929E-F99A2B10582F}"/>
    <cellStyle name="Komma 5 2 2 3 4 4" xfId="52005" xr:uid="{BBDAA947-9AEB-4695-9644-5B132557290D}"/>
    <cellStyle name="Komma 5 2 2 3 4 5" xfId="55021" xr:uid="{F4D09C73-004E-4175-BA3A-A50E3E025CB8}"/>
    <cellStyle name="Komma 5 2 2 3 5" xfId="15615" xr:uid="{FB8A2405-2EFC-4728-B262-7C1B5B123F17}"/>
    <cellStyle name="Komma 5 2 2 3 5 2" xfId="23144" xr:uid="{5AE186D0-2292-49E2-B4B5-900CE713A49C}"/>
    <cellStyle name="Komma 5 2 2 3 5 3" xfId="36573" xr:uid="{1BA2F10D-3668-4498-9C4D-DDBB085C7487}"/>
    <cellStyle name="Komma 5 2 2 3 5 4" xfId="52482" xr:uid="{E6A03F9A-79BD-420F-A0D8-96B3F41ADE31}"/>
    <cellStyle name="Komma 5 2 2 3 5 5" xfId="55498" xr:uid="{B74B5BBC-59B5-44FD-99BA-358E96959BEA}"/>
    <cellStyle name="Komma 5 2 2 3 6" xfId="12580" xr:uid="{CDEE65F2-DA09-453A-A273-10E837C78170}"/>
    <cellStyle name="Komma 5 2 2 3 6 2" xfId="25074" xr:uid="{7B1D15C3-7B59-4EFF-A8AF-D56A07F6946E}"/>
    <cellStyle name="Komma 5 2 2 3 6 3" xfId="51051" xr:uid="{72F205D6-7040-448B-8607-1ABA22C51E2F}"/>
    <cellStyle name="Komma 5 2 2 3 6 4" xfId="54067" xr:uid="{95A35BB0-8871-4F85-B5DE-11C442E7BCCF}"/>
    <cellStyle name="Komma 5 2 2 3 7" xfId="23924" xr:uid="{3D552921-0C52-4A04-9B19-2F44D18CD3B7}"/>
    <cellStyle name="Komma 5 2 2 3 8" xfId="25380" xr:uid="{26C7B35F-F9A7-4DFF-9435-A239F497BD81}"/>
    <cellStyle name="Komma 5 2 2 3 9" xfId="48773" xr:uid="{414E35FB-B250-4D86-B3D0-2B154BB8DE36}"/>
    <cellStyle name="Komma 5 2 2 4" xfId="10202" xr:uid="{EB50A3DF-81FD-491D-AF05-1CC682A6830B}"/>
    <cellStyle name="Komma 5 2 2 4 2" xfId="10516" xr:uid="{F62D90E7-7ECC-4934-8593-94AA1FFC1737}"/>
    <cellStyle name="Komma 5 2 2 4 2 2" xfId="14908" xr:uid="{6F3DDED5-F3D5-4E60-A4BD-ACA0CD065206}"/>
    <cellStyle name="Komma 5 2 2 4 2 2 2" xfId="22455" xr:uid="{DA5B85C8-ECFC-482C-8D6F-26B82E9AE0B0}"/>
    <cellStyle name="Komma 5 2 2 4 2 2 3" xfId="48508" xr:uid="{F2C734D1-65D2-486F-941F-9ACF72E899FB}"/>
    <cellStyle name="Komma 5 2 2 4 2 2 4" xfId="51793" xr:uid="{D57FA7B3-4E5C-41C8-B46A-09965582BA11}"/>
    <cellStyle name="Komma 5 2 2 4 2 2 5" xfId="54809" xr:uid="{F146DA0F-D386-41E7-A273-280BEC8F3314}"/>
    <cellStyle name="Komma 5 2 2 4 2 3" xfId="15393" xr:uid="{9416FDF8-E66E-4E18-B4EF-6C84140B935C}"/>
    <cellStyle name="Komma 5 2 2 4 2 3 2" xfId="22932" xr:uid="{43D82C70-0601-4D28-BDF6-68163EF2CFAF}"/>
    <cellStyle name="Komma 5 2 2 4 2 3 3" xfId="46526" xr:uid="{CE53B28F-D895-46F2-B1EE-0FADA966B686}"/>
    <cellStyle name="Komma 5 2 2 4 2 3 4" xfId="52270" xr:uid="{50A31214-2762-4CDA-9621-A8E8A7EFD874}"/>
    <cellStyle name="Komma 5 2 2 4 2 3 5" xfId="55286" xr:uid="{4DA5C1A6-C3FA-4244-90F7-0D45A5445597}"/>
    <cellStyle name="Komma 5 2 2 4 2 4" xfId="15880" xr:uid="{5FA9AFE6-606B-40F1-AB83-8C5B04218610}"/>
    <cellStyle name="Komma 5 2 2 4 2 4 2" xfId="23409" xr:uid="{49B90AD2-A512-4399-9218-2495D17A8428}"/>
    <cellStyle name="Komma 5 2 2 4 2 4 3" xfId="46600" xr:uid="{894FD563-9BFF-40F6-8ADF-3AE88966C32E}"/>
    <cellStyle name="Komma 5 2 2 4 2 4 4" xfId="52747" xr:uid="{ED0E5EF9-EA71-4FA8-9BB0-06E77A40D29F}"/>
    <cellStyle name="Komma 5 2 2 4 2 4 5" xfId="55763" xr:uid="{4BEC4AB9-9AF5-4367-A6CD-AD8EDB6FDE12}"/>
    <cellStyle name="Komma 5 2 2 4 2 5" xfId="12969" xr:uid="{4850FD08-9078-4F37-BF0B-E42557991144}"/>
    <cellStyle name="Komma 5 2 2 4 2 5 2" xfId="47476" xr:uid="{4AA47BD0-722F-4F0D-BD94-068797DE22F3}"/>
    <cellStyle name="Komma 5 2 2 4 2 5 3" xfId="51316" xr:uid="{43E6CA00-386C-4AEB-9019-D5B8882FF62C}"/>
    <cellStyle name="Komma 5 2 2 4 2 5 4" xfId="54332" xr:uid="{05F54672-A154-4FDE-A650-0D4C600E649B}"/>
    <cellStyle name="Komma 5 2 2 4 2 6" xfId="46143" xr:uid="{AEE1D646-EA93-4713-BC5E-68FF04B8B393}"/>
    <cellStyle name="Komma 5 2 2 4 2 7" xfId="50210" xr:uid="{CCD33871-0FF0-432F-96C5-B53556316019}"/>
    <cellStyle name="Komma 5 2 2 4 2 8" xfId="53226" xr:uid="{2B784889-04E6-40D4-82CE-B3FB0C021EBC}"/>
    <cellStyle name="Komma 5 2 2 4 3" xfId="14696" xr:uid="{12E980D7-E33B-4EA3-A1A6-3D44078107E6}"/>
    <cellStyle name="Komma 5 2 2 4 3 2" xfId="22243" xr:uid="{61CE01AC-8413-4FA1-AC51-B4B7471282A4}"/>
    <cellStyle name="Komma 5 2 2 4 3 3" xfId="46419" xr:uid="{D1314643-8B92-4782-A12B-DE3C94A60423}"/>
    <cellStyle name="Komma 5 2 2 4 3 4" xfId="51581" xr:uid="{5619AD8C-CA5A-4DFA-85DD-5D930AA6C918}"/>
    <cellStyle name="Komma 5 2 2 4 3 5" xfId="54597" xr:uid="{06B3A02A-554C-453A-9E1E-88567CD7E675}"/>
    <cellStyle name="Komma 5 2 2 4 4" xfId="15181" xr:uid="{3C495611-7F5A-4136-8F6C-0B73D65BC620}"/>
    <cellStyle name="Komma 5 2 2 4 4 2" xfId="22720" xr:uid="{F14F3A4C-93FD-42BA-8961-9664D98BF7F4}"/>
    <cellStyle name="Komma 5 2 2 4 4 3" xfId="47682" xr:uid="{ADA41B72-BC77-4389-932E-A802183CA5E2}"/>
    <cellStyle name="Komma 5 2 2 4 4 4" xfId="52058" xr:uid="{7A51A870-3B9F-4423-9D38-35C46B2BDCB3}"/>
    <cellStyle name="Komma 5 2 2 4 4 5" xfId="55074" xr:uid="{1197548A-5745-413B-BD59-0B71CFBA9CAC}"/>
    <cellStyle name="Komma 5 2 2 4 5" xfId="15668" xr:uid="{64704DB5-0E40-4A8D-9498-F249BCBC1030}"/>
    <cellStyle name="Komma 5 2 2 4 5 2" xfId="23197" xr:uid="{26D7FC25-5580-4B27-AA0A-624403A741D4}"/>
    <cellStyle name="Komma 5 2 2 4 5 3" xfId="46569" xr:uid="{99E5D092-4A51-40D3-9511-FED9BB4A26F6}"/>
    <cellStyle name="Komma 5 2 2 4 5 4" xfId="52535" xr:uid="{568512A4-2679-46FF-A213-B564FD352E30}"/>
    <cellStyle name="Komma 5 2 2 4 5 5" xfId="55551" xr:uid="{3C3A27AB-5CEA-4505-9114-0B18709C2217}"/>
    <cellStyle name="Komma 5 2 2 4 6" xfId="12656" xr:uid="{DFE4CE31-E573-4CC2-ADBD-B8A927547AA9}"/>
    <cellStyle name="Komma 5 2 2 4 6 2" xfId="25066" xr:uid="{3B69A5E0-DB54-489D-9C6E-409463371362}"/>
    <cellStyle name="Komma 5 2 2 4 6 3" xfId="51104" xr:uid="{DC23D4CF-75B7-4351-9B78-04EA917D2DAF}"/>
    <cellStyle name="Komma 5 2 2 4 6 4" xfId="54120" xr:uid="{A6643CEB-2B4E-439F-8937-B690F0606041}"/>
    <cellStyle name="Komma 5 2 2 4 7" xfId="25373" xr:uid="{11594B74-7BDA-472C-AAFC-B7497849CFA7}"/>
    <cellStyle name="Komma 5 2 2 4 8" xfId="49998" xr:uid="{4926873A-5D75-4E60-9C35-BC3D963FC5E6}"/>
    <cellStyle name="Komma 5 2 2 4 9" xfId="53014" xr:uid="{24BC9FDC-5A46-4C1E-9501-1879EACB4D1E}"/>
    <cellStyle name="Komma 5 2 2 5" xfId="10282" xr:uid="{42AD9D73-003E-49DB-8244-C4CAFD5DAC37}"/>
    <cellStyle name="Komma 5 2 2 5 2" xfId="14749" xr:uid="{0EFF1A06-5ABC-4E24-B6F4-F1FDCD7384DC}"/>
    <cellStyle name="Komma 5 2 2 5 2 2" xfId="22296" xr:uid="{9C3FDC46-9433-4084-B5E4-16C37DC23202}"/>
    <cellStyle name="Komma 5 2 2 5 2 3" xfId="24459" xr:uid="{87AAD9AB-380F-43D4-AC0B-F5E9F5C1984D}"/>
    <cellStyle name="Komma 5 2 2 5 2 4" xfId="51634" xr:uid="{CC534C29-16E6-4096-9F31-39A6B6C1E436}"/>
    <cellStyle name="Komma 5 2 2 5 2 5" xfId="54650" xr:uid="{EBF242E9-BEDC-4907-8981-74451BDAE3B0}"/>
    <cellStyle name="Komma 5 2 2 5 3" xfId="15234" xr:uid="{7B45A723-EA28-4D88-8C19-4C28DCFA6C65}"/>
    <cellStyle name="Komma 5 2 2 5 3 2" xfId="22773" xr:uid="{405DDBD9-91BA-4D59-B997-28D5E97723A1}"/>
    <cellStyle name="Komma 5 2 2 5 3 3" xfId="47403" xr:uid="{6F1A77E5-71F9-4DD2-93AF-763175B64078}"/>
    <cellStyle name="Komma 5 2 2 5 3 4" xfId="52111" xr:uid="{8CCCC509-743F-4F90-AD8C-260E3381238A}"/>
    <cellStyle name="Komma 5 2 2 5 3 5" xfId="55127" xr:uid="{B2D13C33-CC6C-4254-8FE6-E67129C33E54}"/>
    <cellStyle name="Komma 5 2 2 5 4" xfId="15721" xr:uid="{5D11FA1C-0E10-42A9-890E-C09FF93EF672}"/>
    <cellStyle name="Komma 5 2 2 5 4 2" xfId="23250" xr:uid="{1F5D60E1-F482-4BA5-B50B-EBA2ADFBCA64}"/>
    <cellStyle name="Komma 5 2 2 5 4 3" xfId="48423" xr:uid="{7B33261B-52C9-4D07-8AB2-B586D920C7B4}"/>
    <cellStyle name="Komma 5 2 2 5 4 4" xfId="52588" xr:uid="{90BD5732-8FA3-44C2-BC98-E89D3DF82C97}"/>
    <cellStyle name="Komma 5 2 2 5 4 5" xfId="55604" xr:uid="{F3E56D27-921B-4467-87B3-C99EAF907A75}"/>
    <cellStyle name="Komma 5 2 2 5 5" xfId="12735" xr:uid="{8ED4DE4C-BF0D-4E37-9682-1D8791BD1DDE}"/>
    <cellStyle name="Komma 5 2 2 5 5 2" xfId="46347" xr:uid="{B2BDAE27-DEE1-48B8-B452-69D3298A2D68}"/>
    <cellStyle name="Komma 5 2 2 5 5 3" xfId="51157" xr:uid="{2D014EAE-42D7-49FC-94BA-BE887A0309D0}"/>
    <cellStyle name="Komma 5 2 2 5 5 4" xfId="54173" xr:uid="{70C25728-2A22-48EA-A95C-1B2AF6CEF625}"/>
    <cellStyle name="Komma 5 2 2 5 6" xfId="46084" xr:uid="{104F7E98-6334-47D4-B038-C5AE120165D1}"/>
    <cellStyle name="Komma 5 2 2 5 7" xfId="50051" xr:uid="{091C8814-AA6D-4C00-872C-C1D382E17CEE}"/>
    <cellStyle name="Komma 5 2 2 5 8" xfId="53067" xr:uid="{3C4DADB6-2378-4ED2-828B-8BDFD4C1143E}"/>
    <cellStyle name="Komma 5 2 2 6" xfId="10596" xr:uid="{DCAFB002-1BA9-4C14-BA78-E756F6CFBAA7}"/>
    <cellStyle name="Komma 5 2 2 6 2" xfId="14961" xr:uid="{DCE1CFD1-8E8E-4CBC-BC2D-2ABD261A0892}"/>
    <cellStyle name="Komma 5 2 2 6 2 2" xfId="22508" xr:uid="{45ACD1A6-177F-4290-B998-7809E6E94ACB}"/>
    <cellStyle name="Komma 5 2 2 6 2 3" xfId="32517" xr:uid="{037A1CEB-2F0F-4901-9854-954322469BA3}"/>
    <cellStyle name="Komma 5 2 2 6 2 4" xfId="51846" xr:uid="{6384145F-BB4C-43AD-8D0F-E53FB32130D5}"/>
    <cellStyle name="Komma 5 2 2 6 2 5" xfId="54862" xr:uid="{C2C8C451-758B-4FE8-B647-6B25BB1CF43D}"/>
    <cellStyle name="Komma 5 2 2 6 3" xfId="15446" xr:uid="{07FB9C30-2776-4B04-AF78-349F47CF9F47}"/>
    <cellStyle name="Komma 5 2 2 6 3 2" xfId="22985" xr:uid="{3FE95696-F3D7-4D44-9986-5438845D33C6}"/>
    <cellStyle name="Komma 5 2 2 6 3 3" xfId="48305" xr:uid="{C4E4FF9B-A620-41D7-955F-091BC8E863C5}"/>
    <cellStyle name="Komma 5 2 2 6 3 4" xfId="52323" xr:uid="{F88586D2-0F98-446B-A918-E0C72BBAD083}"/>
    <cellStyle name="Komma 5 2 2 6 3 5" xfId="55339" xr:uid="{53369100-45A6-4A8F-A7D8-1D5E4EFAB156}"/>
    <cellStyle name="Komma 5 2 2 6 4" xfId="15934" xr:uid="{B309D8F9-D730-42F8-B2FE-ACC4242C414B}"/>
    <cellStyle name="Komma 5 2 2 6 4 2" xfId="23462" xr:uid="{FB642F9B-851C-4800-9EF2-C1E4F79195CE}"/>
    <cellStyle name="Komma 5 2 2 6 4 3" xfId="46609" xr:uid="{6436D0DA-F6D2-4BC5-8DE3-6C93A07FFA9D}"/>
    <cellStyle name="Komma 5 2 2 6 4 4" xfId="52800" xr:uid="{E2FFB2D9-E8C3-4209-B653-CB2C041010C7}"/>
    <cellStyle name="Komma 5 2 2 6 4 5" xfId="55816" xr:uid="{357FAA3A-3191-42C6-9933-B189980BA05F}"/>
    <cellStyle name="Komma 5 2 2 6 5" xfId="13049" xr:uid="{3435D779-D3E3-4A3E-8A8A-E709FEC8A16B}"/>
    <cellStyle name="Komma 5 2 2 6 5 2" xfId="46826" xr:uid="{8D6C081E-6E53-4BDC-AB18-114B8ECD40BF}"/>
    <cellStyle name="Komma 5 2 2 6 5 3" xfId="51369" xr:uid="{D0B78E5A-E963-4CF9-9660-6F789811BB46}"/>
    <cellStyle name="Komma 5 2 2 6 5 4" xfId="54385" xr:uid="{9579C10E-35D7-4287-994F-665D6ECE5DF9}"/>
    <cellStyle name="Komma 5 2 2 6 6" xfId="46157" xr:uid="{355F164E-CC60-4A22-8D54-4E34FCF0BE12}"/>
    <cellStyle name="Komma 5 2 2 6 7" xfId="50263" xr:uid="{0C506546-CCBA-4A1A-A954-F6DAEF9F46D0}"/>
    <cellStyle name="Komma 5 2 2 6 8" xfId="53279" xr:uid="{E5CC1D7D-2952-462B-93FE-CB5B17C19CEF}"/>
    <cellStyle name="Komma 5 2 2 7" xfId="14537" xr:uid="{31034648-8DB6-4C1F-BE03-1FF170B1EC6C}"/>
    <cellStyle name="Komma 5 2 2 7 2" xfId="22084" xr:uid="{E574FABF-B440-4CAA-BA8D-DC2A42408865}"/>
    <cellStyle name="Komma 5 2 2 7 3" xfId="48058" xr:uid="{045A6DA6-CEEC-4CCA-B137-3828064A3E3E}"/>
    <cellStyle name="Komma 5 2 2 7 4" xfId="51422" xr:uid="{BC509813-82A4-48CC-B5C3-11F4BBEC1159}"/>
    <cellStyle name="Komma 5 2 2 7 5" xfId="54438" xr:uid="{06D126AF-A9BD-48F5-8BA3-861792ECC7D6}"/>
    <cellStyle name="Komma 5 2 2 8" xfId="15021" xr:uid="{B881F4FF-56AA-45E0-8437-827907E0783C}"/>
    <cellStyle name="Komma 5 2 2 8 2" xfId="22561" xr:uid="{A9B6B5E2-1ABF-437D-8D64-AF98A6D468E1}"/>
    <cellStyle name="Komma 5 2 2 8 3" xfId="46468" xr:uid="{CCA3E3C9-C683-4EEC-BC44-5F73DF2E97A2}"/>
    <cellStyle name="Komma 5 2 2 8 4" xfId="51899" xr:uid="{272B5C39-650F-4823-97B1-EE158564367C}"/>
    <cellStyle name="Komma 5 2 2 8 5" xfId="54915" xr:uid="{FCEF2EAC-23FE-4DCF-B1A2-B76792428CB4}"/>
    <cellStyle name="Komma 5 2 2 9" xfId="15508" xr:uid="{73C4DCFF-ED89-463B-A14D-8CBA10DA0E8B}"/>
    <cellStyle name="Komma 5 2 2 9 2" xfId="23038" xr:uid="{219D12E4-31AA-46D5-B7AD-3F3BDA764A54}"/>
    <cellStyle name="Komma 5 2 2 9 3" xfId="48279" xr:uid="{E4E23DED-E17F-4DA2-876D-E28A133A8A9B}"/>
    <cellStyle name="Komma 5 2 2 9 4" xfId="52376" xr:uid="{B8D2C6D2-659B-45E3-997B-152A1C2A45C6}"/>
    <cellStyle name="Komma 5 2 2 9 5" xfId="55392" xr:uid="{3BC95E04-A75F-48AE-AF8E-430447B5D28A}"/>
    <cellStyle name="Komma 5 2 3" xfId="10048" xr:uid="{6D26F375-A95D-4798-B3ED-8715944D7EA1}"/>
    <cellStyle name="Komma 5 2 3 10" xfId="49680" xr:uid="{C81D3187-956A-4411-8E88-37C711E24D9E}"/>
    <cellStyle name="Komma 5 2 3 11" xfId="49891" xr:uid="{549ED2E5-B057-4610-9EE3-ADB04E8BD4AC}"/>
    <cellStyle name="Komma 5 2 3 12" xfId="52907" xr:uid="{F1B01149-1653-4C0D-93A6-CEF8B108E0D6}"/>
    <cellStyle name="Komma 5 2 3 2" xfId="10356" xr:uid="{D778BFA5-A5D1-45AE-B37B-15D614793D6B}"/>
    <cellStyle name="Komma 5 2 3 2 10" xfId="50103" xr:uid="{6B69E809-3B49-47B8-BE22-18A032864E60}"/>
    <cellStyle name="Komma 5 2 3 2 11" xfId="53119" xr:uid="{AA6CFD46-249A-4CBF-8D74-E3499B3CA44C}"/>
    <cellStyle name="Komma 5 2 3 2 2" xfId="14801" xr:uid="{6B518636-F11F-4882-88C5-A5770C7E6B39}"/>
    <cellStyle name="Komma 5 2 3 2 2 2" xfId="22348" xr:uid="{0CAFE970-8F5C-4EED-97AC-276FB01B705C}"/>
    <cellStyle name="Komma 5 2 3 2 2 3" xfId="46435" xr:uid="{A4C6EFEF-1D39-4D71-9AE6-160E5C1B4F82}"/>
    <cellStyle name="Komma 5 2 3 2 2 4" xfId="51686" xr:uid="{96AC1346-2EDA-4114-8020-139F62D482F7}"/>
    <cellStyle name="Komma 5 2 3 2 2 5" xfId="54702" xr:uid="{D64162FB-BFC1-4F5B-A298-FD57AB3580F4}"/>
    <cellStyle name="Komma 5 2 3 2 3" xfId="15286" xr:uid="{B8B70CF6-EE68-4C61-BA69-DBE85873887F}"/>
    <cellStyle name="Komma 5 2 3 2 3 2" xfId="22825" xr:uid="{EFB34082-C32D-4F5A-83C6-34063B1DF50F}"/>
    <cellStyle name="Komma 5 2 3 2 3 3" xfId="24178" xr:uid="{2165B8DA-0C3B-404D-9871-7EE4320C55F6}"/>
    <cellStyle name="Komma 5 2 3 2 3 4" xfId="52163" xr:uid="{78630F49-A584-4A0B-9D96-0AF3FEF9CEB9}"/>
    <cellStyle name="Komma 5 2 3 2 3 5" xfId="55179" xr:uid="{780E4C01-0D77-49A6-87C1-16D13B7FDAA1}"/>
    <cellStyle name="Komma 5 2 3 2 4" xfId="15773" xr:uid="{87BC07D0-8A3F-4050-8800-01C109704D0B}"/>
    <cellStyle name="Komma 5 2 3 2 4 2" xfId="23302" xr:uid="{65972067-3B13-4CA7-8645-EF68F3AEAE5B}"/>
    <cellStyle name="Komma 5 2 3 2 4 3" xfId="47353" xr:uid="{CCF3273D-3522-4B6C-A8EB-9B6053C8CC1B}"/>
    <cellStyle name="Komma 5 2 3 2 4 4" xfId="52640" xr:uid="{880D297F-4FF0-4834-9CB0-10F143FF509E}"/>
    <cellStyle name="Komma 5 2 3 2 4 5" xfId="55656" xr:uid="{EB172D87-E6B8-47E5-AF70-760F44955568}"/>
    <cellStyle name="Komma 5 2 3 2 5" xfId="12809" xr:uid="{A610C2E1-A0BB-4F0B-B34E-FDA7A65DBFF0}"/>
    <cellStyle name="Komma 5 2 3 2 5 2" xfId="46356" xr:uid="{618AFA74-8EA0-4979-B6E2-96156A25A8A3}"/>
    <cellStyle name="Komma 5 2 3 2 5 3" xfId="51209" xr:uid="{A5B3573F-4DB8-4D72-92DF-E9E20463C9C3}"/>
    <cellStyle name="Komma 5 2 3 2 5 4" xfId="54225" xr:uid="{40CC33EA-0E84-4650-9A08-FE1597B65813}"/>
    <cellStyle name="Komma 5 2 3 2 6" xfId="23926" xr:uid="{4866DE52-80CE-4CE0-BBC7-CA941AFC294D}"/>
    <cellStyle name="Komma 5 2 3 2 7" xfId="47879" xr:uid="{E1950374-562C-4F33-A9DD-EE26728B49C0}"/>
    <cellStyle name="Komma 5 2 3 2 8" xfId="48775" xr:uid="{2DC3A3E4-8F42-400A-B3E1-756FB44078D4}"/>
    <cellStyle name="Komma 5 2 3 2 9" xfId="49681" xr:uid="{3EBE7CF3-B454-4CBC-83A4-7EFE3BC9151F}"/>
    <cellStyle name="Komma 5 2 3 3" xfId="14589" xr:uid="{B55AF7EA-6F84-45C7-A1E9-4D324F274AFA}"/>
    <cellStyle name="Komma 5 2 3 3 2" xfId="22136" xr:uid="{88E28F86-5892-4E50-87A6-8C2ED2FF256F}"/>
    <cellStyle name="Komma 5 2 3 3 3" xfId="24669" xr:uid="{2CB0BC7C-8762-4316-A532-7948BC0BA586}"/>
    <cellStyle name="Komma 5 2 3 3 4" xfId="51474" xr:uid="{3BD8B224-EF79-4509-83C3-95771D1EA168}"/>
    <cellStyle name="Komma 5 2 3 3 5" xfId="54490" xr:uid="{320E95F2-CB92-4A39-86B3-9A782912D163}"/>
    <cellStyle name="Komma 5 2 3 4" xfId="15073" xr:uid="{0E2A7DF2-C5BA-4B4A-A305-80791C61DEE3}"/>
    <cellStyle name="Komma 5 2 3 4 2" xfId="22613" xr:uid="{1F7ED3D9-FDAA-49B1-A1ED-1F5D809B953F}"/>
    <cellStyle name="Komma 5 2 3 4 3" xfId="47038" xr:uid="{B1432783-8F1C-45A0-B801-483289BFC42E}"/>
    <cellStyle name="Komma 5 2 3 4 4" xfId="51951" xr:uid="{1A963F20-A481-41A5-BA33-5CBE2642AED7}"/>
    <cellStyle name="Komma 5 2 3 4 5" xfId="54967" xr:uid="{4937B691-16B2-4D21-B9AB-C899B7A8AF3C}"/>
    <cellStyle name="Komma 5 2 3 5" xfId="15560" xr:uid="{B044E91B-BF2B-4E94-97B5-9F46439F7B3F}"/>
    <cellStyle name="Komma 5 2 3 5 2" xfId="23090" xr:uid="{4DE9BF88-6977-4E93-933E-D08AD5EF3B35}"/>
    <cellStyle name="Komma 5 2 3 5 3" xfId="48225" xr:uid="{BE3379FA-45DA-468E-A45B-03AB9C204664}"/>
    <cellStyle name="Komma 5 2 3 5 4" xfId="52428" xr:uid="{16875C19-F17F-4EE7-BFD2-9C3C8C7932B1}"/>
    <cellStyle name="Komma 5 2 3 5 5" xfId="55444" xr:uid="{75A379A6-C411-4DA1-9109-3C1A83637A70}"/>
    <cellStyle name="Komma 5 2 3 6" xfId="12508" xr:uid="{1D4C6A9F-64B9-451A-B98A-90CA91E87B10}"/>
    <cellStyle name="Komma 5 2 3 6 2" xfId="46762" xr:uid="{2B23F67D-E6F3-45D4-B99C-56A18AC497F2}"/>
    <cellStyle name="Komma 5 2 3 6 3" xfId="50997" xr:uid="{30E09DC3-EF70-4219-8428-9C9B66866E01}"/>
    <cellStyle name="Komma 5 2 3 6 4" xfId="54013" xr:uid="{85BFE13B-F25B-4BC8-AB94-041D30EC6916}"/>
    <cellStyle name="Komma 5 2 3 7" xfId="23925" xr:uid="{B958830D-8EB4-4F37-8AF3-BAF79E4CCC74}"/>
    <cellStyle name="Komma 5 2 3 8" xfId="48430" xr:uid="{AFE0C999-266D-4425-AB95-08CE94656DD5}"/>
    <cellStyle name="Komma 5 2 3 9" xfId="48774" xr:uid="{595A257D-51D2-4A53-A9BF-C03C726F9154}"/>
    <cellStyle name="Komma 5 2 4" xfId="10122" xr:uid="{60310247-4FD2-4E71-A61C-A14B484BAC98}"/>
    <cellStyle name="Komma 5 2 4 10" xfId="49682" xr:uid="{53ECD7FE-F13E-481C-9523-E54A2755D2DF}"/>
    <cellStyle name="Komma 5 2 4 11" xfId="49944" xr:uid="{0607862A-1CFA-468C-BCCF-3C527D48C691}"/>
    <cellStyle name="Komma 5 2 4 12" xfId="52960" xr:uid="{5195D341-8177-460F-AF98-6E2632CBDE9F}"/>
    <cellStyle name="Komma 5 2 4 2" xfId="10435" xr:uid="{5265E06D-707C-4CB8-B930-619F4EA0B32A}"/>
    <cellStyle name="Komma 5 2 4 2 2" xfId="14854" xr:uid="{03226763-D588-4284-A517-444BF4509BCF}"/>
    <cellStyle name="Komma 5 2 4 2 2 2" xfId="22401" xr:uid="{D126D79C-5B0F-4F2B-9451-F4ECF01109E4}"/>
    <cellStyle name="Komma 5 2 4 2 2 3" xfId="34031" xr:uid="{EA0AA647-E96E-4D03-BF6C-0A8F59BBA855}"/>
    <cellStyle name="Komma 5 2 4 2 2 4" xfId="51739" xr:uid="{AAC3000E-5628-4A9F-AB35-53F9D9EEA8F2}"/>
    <cellStyle name="Komma 5 2 4 2 2 5" xfId="54755" xr:uid="{BDEA32F3-4E5A-4E6C-8D73-D70B49EDCB88}"/>
    <cellStyle name="Komma 5 2 4 2 3" xfId="15339" xr:uid="{C098CF2B-50B5-4159-8867-C1BE6CBEA813}"/>
    <cellStyle name="Komma 5 2 4 2 3 2" xfId="22878" xr:uid="{26F5083E-4654-4123-A4A4-D3E5143D807E}"/>
    <cellStyle name="Komma 5 2 4 2 3 3" xfId="48417" xr:uid="{CE91B16F-04F9-4CA6-89FE-F9B6EBF95A0A}"/>
    <cellStyle name="Komma 5 2 4 2 3 4" xfId="52216" xr:uid="{B8C6B58B-E6A0-455E-B8FC-BAA5D8D490B7}"/>
    <cellStyle name="Komma 5 2 4 2 3 5" xfId="55232" xr:uid="{4EBC77DD-8F75-42DD-8C3B-D9447E7C8203}"/>
    <cellStyle name="Komma 5 2 4 2 4" xfId="15826" xr:uid="{EE948814-CCDD-4526-B339-7B70D35CAFCA}"/>
    <cellStyle name="Komma 5 2 4 2 4 2" xfId="23355" xr:uid="{FD1ECE90-5CAD-4FE5-B98B-31ED3CBA35C5}"/>
    <cellStyle name="Komma 5 2 4 2 4 3" xfId="46971" xr:uid="{F3238A9D-D889-455F-91C8-3D4549611F23}"/>
    <cellStyle name="Komma 5 2 4 2 4 4" xfId="52693" xr:uid="{2DE24DCD-28D9-4501-9BDB-128EAF6F5CB2}"/>
    <cellStyle name="Komma 5 2 4 2 4 5" xfId="55709" xr:uid="{169E7D4A-C319-40A9-ADF1-69A12414EB3B}"/>
    <cellStyle name="Komma 5 2 4 2 5" xfId="12888" xr:uid="{B7F47397-010F-40B6-8D61-88C51B5FBCB2}"/>
    <cellStyle name="Komma 5 2 4 2 5 2" xfId="48497" xr:uid="{8CE2CDAE-1EC9-4471-8746-D7B6BBAD66A5}"/>
    <cellStyle name="Komma 5 2 4 2 5 3" xfId="51262" xr:uid="{45773C63-49B5-47B1-8FBA-1A7EA18C2A86}"/>
    <cellStyle name="Komma 5 2 4 2 5 4" xfId="54278" xr:uid="{59745FFD-35BC-4F39-9919-6139EC788DA9}"/>
    <cellStyle name="Komma 5 2 4 2 6" xfId="46627" xr:uid="{62D2B8D2-2302-403F-ADC4-380FBADCED12}"/>
    <cellStyle name="Komma 5 2 4 2 7" xfId="50156" xr:uid="{28108241-C524-4128-96E4-72D33379034F}"/>
    <cellStyle name="Komma 5 2 4 2 8" xfId="53172" xr:uid="{FCC1B7BA-1F2A-45C0-9D44-56A5CFF43D7A}"/>
    <cellStyle name="Komma 5 2 4 3" xfId="14642" xr:uid="{09D88721-82CD-4E3B-897A-D3746E8EDA41}"/>
    <cellStyle name="Komma 5 2 4 3 2" xfId="22189" xr:uid="{BE5AD4A3-32F3-490F-B176-08AE3B002AD1}"/>
    <cellStyle name="Komma 5 2 4 3 3" xfId="37006" xr:uid="{8EB09CDA-69F0-4335-9789-B23C07EB285E}"/>
    <cellStyle name="Komma 5 2 4 3 4" xfId="51527" xr:uid="{F219567B-DF07-469D-81EE-EE0136776E82}"/>
    <cellStyle name="Komma 5 2 4 3 5" xfId="54543" xr:uid="{422B5C23-4B68-45B9-9B91-C484E9FF2241}"/>
    <cellStyle name="Komma 5 2 4 4" xfId="15127" xr:uid="{82ED0766-4E05-4047-BEA5-54A5317E5E04}"/>
    <cellStyle name="Komma 5 2 4 4 2" xfId="22666" xr:uid="{A3F0E36D-498A-4014-B387-8CC44958E20B}"/>
    <cellStyle name="Komma 5 2 4 4 3" xfId="46486" xr:uid="{62BBE29B-526D-4B38-A405-E8857F3525C8}"/>
    <cellStyle name="Komma 5 2 4 4 4" xfId="52004" xr:uid="{CBF4EAAC-B089-432E-9B41-96C542087D75}"/>
    <cellStyle name="Komma 5 2 4 4 5" xfId="55020" xr:uid="{4E910EAD-D380-463C-927A-65A8822A1597}"/>
    <cellStyle name="Komma 5 2 4 5" xfId="15614" xr:uid="{416F89A0-943C-4018-9A1E-3F8872E2DD7C}"/>
    <cellStyle name="Komma 5 2 4 5 2" xfId="23143" xr:uid="{0ED9C226-ACDC-4FE6-88A1-7066A69CB153}"/>
    <cellStyle name="Komma 5 2 4 5 3" xfId="46941" xr:uid="{AB13F773-CA1A-4B9E-AA26-F61920E99703}"/>
    <cellStyle name="Komma 5 2 4 5 4" xfId="52481" xr:uid="{000C4AD0-6D7C-4C2D-972E-74B831D31B15}"/>
    <cellStyle name="Komma 5 2 4 5 5" xfId="55497" xr:uid="{868F855F-B635-46ED-92B1-4A5053B6C6FF}"/>
    <cellStyle name="Komma 5 2 4 6" xfId="12579" xr:uid="{609BC24E-ECB5-4175-B097-3B2897A20C09}"/>
    <cellStyle name="Komma 5 2 4 6 2" xfId="46326" xr:uid="{10BEB181-3A70-44A6-B7FF-51F627BB7E67}"/>
    <cellStyle name="Komma 5 2 4 6 3" xfId="51050" xr:uid="{B9DA1869-A7E9-40AF-B1F3-63FC2799628F}"/>
    <cellStyle name="Komma 5 2 4 6 4" xfId="54066" xr:uid="{483552EC-1B2C-464E-9214-078BD9A689E2}"/>
    <cellStyle name="Komma 5 2 4 7" xfId="23927" xr:uid="{3F236356-F490-4323-AE84-912F17DDC18E}"/>
    <cellStyle name="Komma 5 2 4 8" xfId="47871" xr:uid="{29BE3FCB-6113-437D-9BD3-5235EC2CD489}"/>
    <cellStyle name="Komma 5 2 4 9" xfId="48776" xr:uid="{E19E33D7-2A5B-44BC-84AE-FDD10462B771}"/>
    <cellStyle name="Komma 5 2 5" xfId="10201" xr:uid="{D1CE8DEC-D5C3-44DA-A195-A57A689EBF63}"/>
    <cellStyle name="Komma 5 2 5 10" xfId="49683" xr:uid="{A037DC92-2A6F-47F0-A472-93DB8A22F55C}"/>
    <cellStyle name="Komma 5 2 5 11" xfId="49997" xr:uid="{30CA6EDB-0442-425A-A245-15C54F4EF433}"/>
    <cellStyle name="Komma 5 2 5 12" xfId="53013" xr:uid="{2940329E-B600-4E90-AD2D-FD88BBFB4A54}"/>
    <cellStyle name="Komma 5 2 5 2" xfId="10515" xr:uid="{159D91A0-F303-4B23-ABDA-1F103110D7E8}"/>
    <cellStyle name="Komma 5 2 5 2 2" xfId="14907" xr:uid="{163A1AF3-D21C-4B34-A314-781FB8C49A30}"/>
    <cellStyle name="Komma 5 2 5 2 2 2" xfId="22454" xr:uid="{D493E840-373F-47F2-9610-4FAECF761C49}"/>
    <cellStyle name="Komma 5 2 5 2 2 3" xfId="47486" xr:uid="{63396AC4-B14B-421F-94D8-5EAD6174C60F}"/>
    <cellStyle name="Komma 5 2 5 2 2 4" xfId="51792" xr:uid="{4005FF69-C738-4BED-9777-C938ABDE491B}"/>
    <cellStyle name="Komma 5 2 5 2 2 5" xfId="54808" xr:uid="{EF5CC5EA-151A-4CBC-9EDA-78FEC90FCEA6}"/>
    <cellStyle name="Komma 5 2 5 2 3" xfId="15392" xr:uid="{745D820F-A853-4876-B315-FEE214293FF0}"/>
    <cellStyle name="Komma 5 2 5 2 3 2" xfId="22931" xr:uid="{607CA071-8DDB-4FA1-9D5F-AD4A23C27F51}"/>
    <cellStyle name="Komma 5 2 5 2 3 3" xfId="46525" xr:uid="{35E86865-BACB-4E80-AD46-8B3B5AFD35CE}"/>
    <cellStyle name="Komma 5 2 5 2 3 4" xfId="52269" xr:uid="{450B0A3F-C75B-4E98-949E-5C3EABBA2B26}"/>
    <cellStyle name="Komma 5 2 5 2 3 5" xfId="55285" xr:uid="{8160690E-7570-4BEA-8C48-235D3A8830E1}"/>
    <cellStyle name="Komma 5 2 5 2 4" xfId="15879" xr:uid="{3A70F15F-C8E0-4C42-8A27-D128C52048A5}"/>
    <cellStyle name="Komma 5 2 5 2 4 2" xfId="23408" xr:uid="{65C1A83B-23BE-4AB2-A886-714E8ED30FBE}"/>
    <cellStyle name="Komma 5 2 5 2 4 3" xfId="47971" xr:uid="{0DBF6706-83A7-41BC-974C-030372D9E73D}"/>
    <cellStyle name="Komma 5 2 5 2 4 4" xfId="52746" xr:uid="{B7322458-5F0C-4F49-9FD3-9FAFAEA53DB2}"/>
    <cellStyle name="Komma 5 2 5 2 4 5" xfId="55762" xr:uid="{20FA08B6-03BA-4214-B753-D09BCB393ECE}"/>
    <cellStyle name="Komma 5 2 5 2 5" xfId="12968" xr:uid="{60854466-3D3A-4BFE-AC8E-91FCD9D790ED}"/>
    <cellStyle name="Komma 5 2 5 2 5 2" xfId="46817" xr:uid="{BEEC8084-84DF-47A0-B1C6-9524D87E1926}"/>
    <cellStyle name="Komma 5 2 5 2 5 3" xfId="51315" xr:uid="{3E8FE961-9527-42F9-94DA-F139915BA4AA}"/>
    <cellStyle name="Komma 5 2 5 2 5 4" xfId="54331" xr:uid="{95154E9F-CB0C-43E2-BB8F-1CA5575796D9}"/>
    <cellStyle name="Komma 5 2 5 2 6" xfId="47954" xr:uid="{A29B9650-A2A4-4043-B6B2-F0CC6802CF04}"/>
    <cellStyle name="Komma 5 2 5 2 7" xfId="50209" xr:uid="{DC4E99D0-F056-4FD8-982A-E29551C83A18}"/>
    <cellStyle name="Komma 5 2 5 2 8" xfId="53225" xr:uid="{F3C898DE-CA0C-454A-9647-FA797773D5D5}"/>
    <cellStyle name="Komma 5 2 5 3" xfId="14695" xr:uid="{A025FABD-00F1-4435-8A7B-3669F86AE5BE}"/>
    <cellStyle name="Komma 5 2 5 3 2" xfId="22242" xr:uid="{08C576ED-45B3-4A03-AE0C-EC991CFAD196}"/>
    <cellStyle name="Komma 5 2 5 3 3" xfId="47626" xr:uid="{A10A4918-81DA-4923-AD0B-47B371312584}"/>
    <cellStyle name="Komma 5 2 5 3 4" xfId="51580" xr:uid="{684CAFB7-8BC5-4E8D-9163-8227553F63E7}"/>
    <cellStyle name="Komma 5 2 5 3 5" xfId="54596" xr:uid="{BB5FE053-251D-4DA8-B7EF-5248D2E3B102}"/>
    <cellStyle name="Komma 5 2 5 4" xfId="15180" xr:uid="{F6997AA1-057B-4D9A-AAEB-33D8985CAB79}"/>
    <cellStyle name="Komma 5 2 5 4 2" xfId="22719" xr:uid="{20B2E187-ADF6-422B-AABA-938611A309B0}"/>
    <cellStyle name="Komma 5 2 5 4 3" xfId="46890" xr:uid="{548233B4-A266-4C89-B05F-9FA6B37C3731}"/>
    <cellStyle name="Komma 5 2 5 4 4" xfId="52057" xr:uid="{198AC1B4-108D-4DD8-B97C-D7644FF53D71}"/>
    <cellStyle name="Komma 5 2 5 4 5" xfId="55073" xr:uid="{D3C57059-5B19-4430-BC54-C671029167BC}"/>
    <cellStyle name="Komma 5 2 5 5" xfId="15667" xr:uid="{88204B4F-C353-423F-947A-D045D1AD5C01}"/>
    <cellStyle name="Komma 5 2 5 5 2" xfId="23196" xr:uid="{26CA4838-9A62-4FF5-BA64-3413A98E1B88}"/>
    <cellStyle name="Komma 5 2 5 5 3" xfId="46568" xr:uid="{79036E19-A268-4838-8150-FCCC903F5CFE}"/>
    <cellStyle name="Komma 5 2 5 5 4" xfId="52534" xr:uid="{8FEE2239-D95F-44B0-9935-1C8B0DA5A3DB}"/>
    <cellStyle name="Komma 5 2 5 5 5" xfId="55550" xr:uid="{46AA4E97-732A-4ABC-8533-07BB8226CDC7}"/>
    <cellStyle name="Komma 5 2 5 6" xfId="12655" xr:uid="{6556BE8D-C97F-4971-8FF4-D93945DDFA51}"/>
    <cellStyle name="Komma 5 2 5 6 2" xfId="47093" xr:uid="{379BAAF1-5662-4259-B02A-1A282AC4E938}"/>
    <cellStyle name="Komma 5 2 5 6 3" xfId="51103" xr:uid="{20D5E5AF-4188-4AD1-A3D7-C55D0A901322}"/>
    <cellStyle name="Komma 5 2 5 6 4" xfId="54119" xr:uid="{A01A56D7-DE3D-48B1-A0A2-615EADAEFDF8}"/>
    <cellStyle name="Komma 5 2 5 7" xfId="23928" xr:uid="{17E99C51-EDC7-4641-AA7F-401EAEE9D6C6}"/>
    <cellStyle name="Komma 5 2 5 8" xfId="47875" xr:uid="{74493FD5-CA23-4B90-BCA8-B3B149508C8E}"/>
    <cellStyle name="Komma 5 2 5 9" xfId="48777" xr:uid="{0BB7FC9E-C35F-4935-8D77-ED9315DCAFA6}"/>
    <cellStyle name="Komma 5 2 6" xfId="10281" xr:uid="{F3488F8A-DA39-4ED8-A106-C00DB30E9888}"/>
    <cellStyle name="Komma 5 2 6 2" xfId="14748" xr:uid="{09C06137-4536-45E3-8C77-C2CB233FA844}"/>
    <cellStyle name="Komma 5 2 6 2 2" xfId="22295" xr:uid="{C1A9E064-9371-406D-97DD-36BA86D1261D}"/>
    <cellStyle name="Komma 5 2 6 2 3" xfId="24952" xr:uid="{318BC09C-8207-49BE-A2B4-284320477234}"/>
    <cellStyle name="Komma 5 2 6 2 4" xfId="51633" xr:uid="{69252948-53FF-4DFA-90A0-88F6CAFFF256}"/>
    <cellStyle name="Komma 5 2 6 2 5" xfId="54649" xr:uid="{1703DF55-7837-493F-B2B5-34CE537AE435}"/>
    <cellStyle name="Komma 5 2 6 3" xfId="15233" xr:uid="{1B8089DB-DE2B-451A-9B50-0017FB90A742}"/>
    <cellStyle name="Komma 5 2 6 3 2" xfId="22772" xr:uid="{95D572FB-7CBA-499C-BB4B-E9C015D98794}"/>
    <cellStyle name="Komma 5 2 6 3 3" xfId="48253" xr:uid="{272BF97B-70E8-438F-8BF4-F1BB41C7C98C}"/>
    <cellStyle name="Komma 5 2 6 3 4" xfId="52110" xr:uid="{5779C1F5-DBAA-42C7-A04A-6E56E8AF508D}"/>
    <cellStyle name="Komma 5 2 6 3 5" xfId="55126" xr:uid="{D869A481-8609-46EF-B02A-101254082BE3}"/>
    <cellStyle name="Komma 5 2 6 4" xfId="15720" xr:uid="{3E52CCB3-C939-466C-990C-F80C2ECA79B9}"/>
    <cellStyle name="Komma 5 2 6 4 2" xfId="23249" xr:uid="{9EDBEC5C-CAB7-4D6B-B018-481311941B17}"/>
    <cellStyle name="Komma 5 2 6 4 3" xfId="47137" xr:uid="{D23F9B87-7DF4-4365-8AF6-813A0EE54BE4}"/>
    <cellStyle name="Komma 5 2 6 4 4" xfId="52587" xr:uid="{FEA607E8-97BC-4D86-A168-DC0C719975BC}"/>
    <cellStyle name="Komma 5 2 6 4 5" xfId="55603" xr:uid="{83A8F47E-73B2-4BE2-BFA1-6745DC8D0153}"/>
    <cellStyle name="Komma 5 2 6 5" xfId="12734" xr:uid="{5C15354A-E569-420D-9664-2B1DC9334169}"/>
    <cellStyle name="Komma 5 2 6 5 2" xfId="32277" xr:uid="{497516C4-6D2D-43BF-B896-EE3909FD8FF9}"/>
    <cellStyle name="Komma 5 2 6 5 3" xfId="51156" xr:uid="{CB2E8229-2087-472B-8212-19A0131823AC}"/>
    <cellStyle name="Komma 5 2 6 5 4" xfId="54172" xr:uid="{3A3803FD-00A7-4319-8BC6-1DFA79CF6D90}"/>
    <cellStyle name="Komma 5 2 6 6" xfId="47067" xr:uid="{A7D7C029-DAD4-40EB-BE85-0B00C41D2F13}"/>
    <cellStyle name="Komma 5 2 6 7" xfId="50050" xr:uid="{B9BEDF79-1A81-47BF-8778-814B5331DC8C}"/>
    <cellStyle name="Komma 5 2 6 8" xfId="53066" xr:uid="{C4156AEF-C00D-4755-81B1-D2ECC86C7677}"/>
    <cellStyle name="Komma 5 2 7" xfId="10595" xr:uid="{AE06B94D-C300-4057-97FF-96B1E625D392}"/>
    <cellStyle name="Komma 5 2 7 2" xfId="14960" xr:uid="{7B8F0738-F2FC-4574-AD4B-0D763CCF9167}"/>
    <cellStyle name="Komma 5 2 7 2 2" xfId="22507" xr:uid="{A289A0CC-B242-4DB1-908F-78D8D28BB7A4}"/>
    <cellStyle name="Komma 5 2 7 2 3" xfId="47836" xr:uid="{13A800E8-E22A-472E-9184-C32C0722C33E}"/>
    <cellStyle name="Komma 5 2 7 2 4" xfId="51845" xr:uid="{7D4E9D62-F509-4AB4-9A97-55365C5AF100}"/>
    <cellStyle name="Komma 5 2 7 2 5" xfId="54861" xr:uid="{E1683A22-805A-4F4E-A49B-9D3A6FC58FE1}"/>
    <cellStyle name="Komma 5 2 7 3" xfId="15445" xr:uid="{2261BD99-E217-44F3-87CC-E759B1C833B5}"/>
    <cellStyle name="Komma 5 2 7 3 2" xfId="22984" xr:uid="{32C1F509-599A-450E-A881-749E459DCD76}"/>
    <cellStyle name="Komma 5 2 7 3 3" xfId="46536" xr:uid="{772AAB39-8990-4A5F-9D67-7E93848827C2}"/>
    <cellStyle name="Komma 5 2 7 3 4" xfId="52322" xr:uid="{EA278920-4A2E-40D8-86B3-7F4C84AB395D}"/>
    <cellStyle name="Komma 5 2 7 3 5" xfId="55338" xr:uid="{70DC8716-40D3-4F30-A967-68F42AD6F3FE}"/>
    <cellStyle name="Komma 5 2 7 4" xfId="15933" xr:uid="{E7AC21FB-9A66-4148-A506-62C74392848D}"/>
    <cellStyle name="Komma 5 2 7 4 2" xfId="23461" xr:uid="{6380D6DF-6F70-4DCF-AAC2-717373631DA1}"/>
    <cellStyle name="Komma 5 2 7 4 3" xfId="48295" xr:uid="{C157A3D5-E2B4-4DD1-AD3F-857A647A560C}"/>
    <cellStyle name="Komma 5 2 7 4 4" xfId="52799" xr:uid="{8A88CDE7-CA23-4C11-AACC-88C85A3E9935}"/>
    <cellStyle name="Komma 5 2 7 4 5" xfId="55815" xr:uid="{022C600E-77E3-4E7D-A096-666E23E5CFF1}"/>
    <cellStyle name="Komma 5 2 7 5" xfId="13048" xr:uid="{115C733A-2A0E-4D9B-9200-FF01BA8B817B}"/>
    <cellStyle name="Komma 5 2 7 5 2" xfId="47053" xr:uid="{71134296-99E5-4FD2-929F-8A2B961BE50F}"/>
    <cellStyle name="Komma 5 2 7 5 3" xfId="51368" xr:uid="{14054DDF-C8B3-4FAA-A532-048FE4713497}"/>
    <cellStyle name="Komma 5 2 7 5 4" xfId="54384" xr:uid="{C28DFEFC-E4D1-47AF-A92C-62CE6087F773}"/>
    <cellStyle name="Komma 5 2 7 6" xfId="47955" xr:uid="{39309A10-CA71-4C4C-919B-E698A325BBA3}"/>
    <cellStyle name="Komma 5 2 7 7" xfId="50262" xr:uid="{B96628A9-5D81-44BA-A380-5F3E663E66B0}"/>
    <cellStyle name="Komma 5 2 7 8" xfId="53278" xr:uid="{F15D0319-2B94-443D-A304-D2629F576C11}"/>
    <cellStyle name="Komma 5 2 8" xfId="14536" xr:uid="{E9666176-1FA9-48D9-B134-4BFD51A3F1FA}"/>
    <cellStyle name="Komma 5 2 8 2" xfId="22083" xr:uid="{8FAAE03E-48E1-4CB8-92EF-FF203B722206}"/>
    <cellStyle name="Komma 5 2 8 3" xfId="46830" xr:uid="{C9EB6983-0DF1-4A20-BB5B-1F218356B68A}"/>
    <cellStyle name="Komma 5 2 8 4" xfId="51421" xr:uid="{E96DB36A-A37F-4B23-A620-7B044D5FEE4E}"/>
    <cellStyle name="Komma 5 2 8 5" xfId="54437" xr:uid="{ED66D3BF-9722-4999-B82E-6A3F8FBDC847}"/>
    <cellStyle name="Komma 5 2 9" xfId="15020" xr:uid="{8E811419-D889-4E92-900D-CFB687CD1247}"/>
    <cellStyle name="Komma 5 2 9 2" xfId="22560" xr:uid="{A33FCDD3-8A92-4941-A071-1C663AD319EB}"/>
    <cellStyle name="Komma 5 2 9 3" xfId="47080" xr:uid="{5BE93E47-C651-42F3-90AC-766209E3AF07}"/>
    <cellStyle name="Komma 5 2 9 4" xfId="51898" xr:uid="{E473E711-F942-41D5-9CFC-B351F2D05F89}"/>
    <cellStyle name="Komma 5 2 9 5" xfId="54914" xr:uid="{8ED3D3CD-590A-4AA4-904E-37917BECFD5D}"/>
    <cellStyle name="Komma 5 3" xfId="9108" xr:uid="{8E7D15EB-1B94-48DA-A105-BED638D42DCF}"/>
    <cellStyle name="Komma 5 3 10" xfId="12156" xr:uid="{D386ED27-FA8D-456E-95DD-91DB8019D657}"/>
    <cellStyle name="Komma 5 3 10 2" xfId="47754" xr:uid="{87BB0311-F64E-4BE0-8CC4-5D44FAE74C39}"/>
    <cellStyle name="Komma 5 3 10 3" xfId="50931" xr:uid="{018E1EB7-FE1A-4421-A126-8C4CA6C87EC0}"/>
    <cellStyle name="Komma 5 3 10 4" xfId="53947" xr:uid="{B6269EF9-2EED-41D6-8A54-6282FF049320}"/>
    <cellStyle name="Komma 5 3 11" xfId="23929" xr:uid="{8C35DA4B-F533-4F6A-B6EA-7C6BCF876BAD}"/>
    <cellStyle name="Komma 5 3 12" xfId="48778" xr:uid="{448F299C-8698-44A1-AF4C-69E58BDB937C}"/>
    <cellStyle name="Komma 5 3 13" xfId="49684" xr:uid="{0AE7695F-FB99-4B43-9F56-89D0C950A47E}"/>
    <cellStyle name="Komma 5 3 14" xfId="49840" xr:uid="{49C2939B-1964-4CA2-8061-A1609D8B61B4}"/>
    <cellStyle name="Komma 5 3 15" xfId="52855" xr:uid="{8878104E-B6DE-460F-B0AF-17A763910480}"/>
    <cellStyle name="Komma 5 3 2" xfId="10050" xr:uid="{3177E329-0A92-4D5D-A1BB-DA783898788E}"/>
    <cellStyle name="Komma 5 3 2 10" xfId="49685" xr:uid="{3AFD17BA-DBBA-4785-B519-990964385707}"/>
    <cellStyle name="Komma 5 3 2 11" xfId="49893" xr:uid="{77692B32-86E1-4544-AA87-DC72BF82B766}"/>
    <cellStyle name="Komma 5 3 2 12" xfId="52909" xr:uid="{3B0C3203-4ABE-41FD-BC04-1CB00BC2823E}"/>
    <cellStyle name="Komma 5 3 2 2" xfId="10358" xr:uid="{FC62D252-EBD7-4865-A5AC-7C3BE8046223}"/>
    <cellStyle name="Komma 5 3 2 2 2" xfId="14803" xr:uid="{A7EA6137-CDDA-4FA6-A7CB-F9F28D1F555A}"/>
    <cellStyle name="Komma 5 3 2 2 2 2" xfId="22350" xr:uid="{2491A9A0-0F47-4882-8102-AACD57D18B9E}"/>
    <cellStyle name="Komma 5 3 2 2 2 3" xfId="24456" xr:uid="{7E51AE91-EC2B-4545-AE95-B6E8D384ECD0}"/>
    <cellStyle name="Komma 5 3 2 2 2 4" xfId="51688" xr:uid="{DAF0A4C9-8A8C-4A36-AB40-565336489741}"/>
    <cellStyle name="Komma 5 3 2 2 2 5" xfId="54704" xr:uid="{8B613120-6B6D-4AA1-9A61-A8A56F71DD20}"/>
    <cellStyle name="Komma 5 3 2 2 3" xfId="15288" xr:uid="{C9CA479F-D20C-4967-B663-32E24DBD6751}"/>
    <cellStyle name="Komma 5 3 2 2 3 2" xfId="22827" xr:uid="{E2762A36-3808-4034-BC0A-57820736FD64}"/>
    <cellStyle name="Komma 5 3 2 2 3 3" xfId="46510" xr:uid="{D4928050-9450-4F43-85D4-C55C36B25F58}"/>
    <cellStyle name="Komma 5 3 2 2 3 4" xfId="52165" xr:uid="{EE042505-40D7-4615-BFC3-1B3F0A931ECD}"/>
    <cellStyle name="Komma 5 3 2 2 3 5" xfId="55181" xr:uid="{EF308958-ADE4-4CA9-A37E-290DB0FFAF91}"/>
    <cellStyle name="Komma 5 3 2 2 4" xfId="15775" xr:uid="{3C7B9724-96DD-4EE7-9253-5CEA70874EB6}"/>
    <cellStyle name="Komma 5 3 2 2 4 2" xfId="23304" xr:uid="{7DAD2B00-8A10-4CB6-A5DE-3A75AA4EE706}"/>
    <cellStyle name="Komma 5 3 2 2 4 3" xfId="47030" xr:uid="{70BCAAC7-667F-4B2A-8EBB-70F8DC7D37AB}"/>
    <cellStyle name="Komma 5 3 2 2 4 4" xfId="52642" xr:uid="{044B5EDC-F896-4B25-8564-C6A7A5B7872A}"/>
    <cellStyle name="Komma 5 3 2 2 4 5" xfId="55658" xr:uid="{DEF21040-6F23-4A8F-AF31-B1FBD8FD5E8B}"/>
    <cellStyle name="Komma 5 3 2 2 5" xfId="12811" xr:uid="{04EA31F5-2ACA-425E-BAB1-58E868207EFB}"/>
    <cellStyle name="Komma 5 3 2 2 5 2" xfId="47822" xr:uid="{0930ADBE-AAFF-4C4E-9C37-93B9B83275EE}"/>
    <cellStyle name="Komma 5 3 2 2 5 3" xfId="51211" xr:uid="{B91AD8C9-1659-47DA-BA28-33C8CA51E730}"/>
    <cellStyle name="Komma 5 3 2 2 5 4" xfId="54227" xr:uid="{5239FD68-C0AF-471C-AF29-A5552F91B648}"/>
    <cellStyle name="Komma 5 3 2 2 6" xfId="48455" xr:uid="{EEC8CE48-BC12-4406-BAFA-64496428F79A}"/>
    <cellStyle name="Komma 5 3 2 2 7" xfId="50105" xr:uid="{EC795EDE-4052-4EFA-AF22-7688F0510EC2}"/>
    <cellStyle name="Komma 5 3 2 2 8" xfId="53121" xr:uid="{8CE27D10-954A-425E-BDD5-E90CB5A8C1D7}"/>
    <cellStyle name="Komma 5 3 2 3" xfId="14591" xr:uid="{591AA9A3-8725-40F8-8079-E50EB6618686}"/>
    <cellStyle name="Komma 5 3 2 3 2" xfId="22138" xr:uid="{94FC6ECF-79A1-41CE-838C-D23031F160B9}"/>
    <cellStyle name="Komma 5 3 2 3 3" xfId="46405" xr:uid="{32491BC7-FB09-42C6-A397-33DC47043D1E}"/>
    <cellStyle name="Komma 5 3 2 3 4" xfId="51476" xr:uid="{86890B73-5A39-496B-AD24-2FC26BC18858}"/>
    <cellStyle name="Komma 5 3 2 3 5" xfId="54492" xr:uid="{E2BB5423-0C2D-46A6-A191-F1C6C0F635C0}"/>
    <cellStyle name="Komma 5 3 2 4" xfId="15075" xr:uid="{B9B9B293-0A02-4239-9760-949AFABB6B05}"/>
    <cellStyle name="Komma 5 3 2 4 2" xfId="22615" xr:uid="{92BEF4D6-900D-4C75-B8A6-EE67CDBB9478}"/>
    <cellStyle name="Komma 5 3 2 4 3" xfId="46474" xr:uid="{94DB997B-E9EC-44B5-B364-7B6BD8E02CA0}"/>
    <cellStyle name="Komma 5 3 2 4 4" xfId="51953" xr:uid="{CA48CCF1-06C8-46EB-8CEB-6CE304463F70}"/>
    <cellStyle name="Komma 5 3 2 4 5" xfId="54969" xr:uid="{9FEEC6EC-5554-4AA4-8B63-E24CD731376A}"/>
    <cellStyle name="Komma 5 3 2 5" xfId="15562" xr:uid="{4779CFB3-298C-40DE-83F5-318CA5265021}"/>
    <cellStyle name="Komma 5 3 2 5 2" xfId="23092" xr:uid="{D9ACFF1A-A715-483A-A949-56EB75E59862}"/>
    <cellStyle name="Komma 5 3 2 5 3" xfId="46552" xr:uid="{3A359C45-4B27-4D9F-B761-8291B5450D21}"/>
    <cellStyle name="Komma 5 3 2 5 4" xfId="52430" xr:uid="{1006724E-E866-4DFD-9AD5-CDC527343D5C}"/>
    <cellStyle name="Komma 5 3 2 5 5" xfId="55446" xr:uid="{6A060860-CE41-4AAF-93A5-9AFF017E194D}"/>
    <cellStyle name="Komma 5 3 2 6" xfId="12510" xr:uid="{F2827B2D-EC00-430B-BC0F-BDB4F7869D1D}"/>
    <cellStyle name="Komma 5 3 2 6 2" xfId="47613" xr:uid="{6510D9E5-B8D8-4F1D-85EC-2A64E248BE8B}"/>
    <cellStyle name="Komma 5 3 2 6 3" xfId="50999" xr:uid="{BAEF107E-4B10-4A9A-88FA-1F9408F1A3F5}"/>
    <cellStyle name="Komma 5 3 2 6 4" xfId="54015" xr:uid="{B7E5C7FB-64E5-444A-9481-E89966A3241A}"/>
    <cellStyle name="Komma 5 3 2 7" xfId="23930" xr:uid="{FEFA9A05-EAFF-47E2-AA88-FD474DF21BA2}"/>
    <cellStyle name="Komma 5 3 2 8" xfId="47867" xr:uid="{4193F3FC-1FA5-434F-83B6-0FE7F538F47F}"/>
    <cellStyle name="Komma 5 3 2 9" xfId="48779" xr:uid="{0A9E61F9-F221-4A71-8931-E07874A7B4CE}"/>
    <cellStyle name="Komma 5 3 3" xfId="10124" xr:uid="{FC363D1B-B446-40F2-A421-CE5D9E24670A}"/>
    <cellStyle name="Komma 5 3 3 10" xfId="49686" xr:uid="{A57744A3-E561-4509-9E15-4F711BD93ABF}"/>
    <cellStyle name="Komma 5 3 3 11" xfId="49946" xr:uid="{142DE25D-FD2E-4C9E-93DE-C4739E5EBC06}"/>
    <cellStyle name="Komma 5 3 3 12" xfId="52962" xr:uid="{14ADF31A-5737-4137-B792-DB466189ADD9}"/>
    <cellStyle name="Komma 5 3 3 2" xfId="10437" xr:uid="{FED3E955-B70F-4FB1-A473-974F058CE2BC}"/>
    <cellStyle name="Komma 5 3 3 2 2" xfId="14856" xr:uid="{E9E42D56-72C6-4AE3-BB80-A42F4E27958F}"/>
    <cellStyle name="Komma 5 3 3 2 2 2" xfId="22403" xr:uid="{0057F90C-1D0B-42EC-8798-9274EC253541}"/>
    <cellStyle name="Komma 5 3 3 2 2 3" xfId="46870" xr:uid="{F2B2C2EA-EEF7-4BE4-8969-3878EBC21811}"/>
    <cellStyle name="Komma 5 3 3 2 2 4" xfId="51741" xr:uid="{C89304D3-C36E-4A7F-AFC2-274E0947B464}"/>
    <cellStyle name="Komma 5 3 3 2 2 5" xfId="54757" xr:uid="{024AAFDF-A25B-4462-97D0-C429379E1CB2}"/>
    <cellStyle name="Komma 5 3 3 2 3" xfId="15341" xr:uid="{B7CA2B43-9FDA-49E4-86A4-3FF1AECF9F4C}"/>
    <cellStyle name="Komma 5 3 3 2 3 2" xfId="22880" xr:uid="{6A83B8A3-715C-4629-B303-92B49937A921}"/>
    <cellStyle name="Komma 5 3 3 2 3 3" xfId="47191" xr:uid="{C2D4B748-F154-4725-9B5E-93D9185C6917}"/>
    <cellStyle name="Komma 5 3 3 2 3 4" xfId="52218" xr:uid="{6F73B450-4188-453A-B8E4-98C893822ACE}"/>
    <cellStyle name="Komma 5 3 3 2 3 5" xfId="55234" xr:uid="{F7FB557F-BA0D-498A-B55C-321B2BB84D06}"/>
    <cellStyle name="Komma 5 3 3 2 4" xfId="15828" xr:uid="{E32186C1-2B86-4807-9F12-94D317F60C29}"/>
    <cellStyle name="Komma 5 3 3 2 4 2" xfId="23357" xr:uid="{D655054E-3BBC-4E3A-9306-CA028BEE676D}"/>
    <cellStyle name="Komma 5 3 3 2 4 3" xfId="47649" xr:uid="{D98BD519-285A-4095-AD35-8F10250D2FE7}"/>
    <cellStyle name="Komma 5 3 3 2 4 4" xfId="52695" xr:uid="{35C3DADC-48AF-4C46-B52F-1798386C4D79}"/>
    <cellStyle name="Komma 5 3 3 2 4 5" xfId="55711" xr:uid="{C5677F94-1564-41B7-A2DC-0D5E8716C062}"/>
    <cellStyle name="Komma 5 3 3 2 5" xfId="12890" xr:uid="{B8420D37-E166-4F4B-9A6A-512E81642C7A}"/>
    <cellStyle name="Komma 5 3 3 2 5 2" xfId="25046" xr:uid="{99A83176-D654-40C9-BE38-C63BD6F29310}"/>
    <cellStyle name="Komma 5 3 3 2 5 3" xfId="51264" xr:uid="{FC268953-F233-4855-84A6-9E4D6CFBCB76}"/>
    <cellStyle name="Komma 5 3 3 2 5 4" xfId="54280" xr:uid="{60FB08E5-7461-401D-B31F-79C86A9E9853}"/>
    <cellStyle name="Komma 5 3 3 2 6" xfId="24328" xr:uid="{37AA7A21-EB15-481E-9E19-C679C79AD981}"/>
    <cellStyle name="Komma 5 3 3 2 7" xfId="50158" xr:uid="{3AEBAA37-5CFB-4433-B7FD-1DE574636916}"/>
    <cellStyle name="Komma 5 3 3 2 8" xfId="53174" xr:uid="{0FBE4C1B-FD55-45F9-9673-156546B4E1EC}"/>
    <cellStyle name="Komma 5 3 3 3" xfId="14644" xr:uid="{0D48FDFA-CD56-4916-80AF-20CA54EAC94C}"/>
    <cellStyle name="Komma 5 3 3 3 2" xfId="22191" xr:uid="{BF9CC31A-12D7-498A-B147-A4CC202DDCF9}"/>
    <cellStyle name="Komma 5 3 3 3 3" xfId="46845" xr:uid="{88A27345-84B7-43C3-9A1A-1CAEE542AD3F}"/>
    <cellStyle name="Komma 5 3 3 3 4" xfId="51529" xr:uid="{462543EB-62AE-49D9-AF29-BC8EC9756CEE}"/>
    <cellStyle name="Komma 5 3 3 3 5" xfId="54545" xr:uid="{1D4D4491-9927-4229-AD7C-273DE30A56C4}"/>
    <cellStyle name="Komma 5 3 3 4" xfId="15129" xr:uid="{5859137D-E731-45DF-9FA0-863599E9242D}"/>
    <cellStyle name="Komma 5 3 3 4 2" xfId="22668" xr:uid="{776857E4-DF18-400F-95DE-075768EB7DFA}"/>
    <cellStyle name="Komma 5 3 3 4 3" xfId="47402" xr:uid="{BD4C2CCF-F76B-4790-B412-99BEB1D305D4}"/>
    <cellStyle name="Komma 5 3 3 4 4" xfId="52006" xr:uid="{F7176A4F-7606-4AE3-9064-FAABC493C5D7}"/>
    <cellStyle name="Komma 5 3 3 4 5" xfId="55022" xr:uid="{9E696842-8DDA-4D61-BAD1-F3274F58B319}"/>
    <cellStyle name="Komma 5 3 3 5" xfId="15616" xr:uid="{FAD41FFB-227C-442F-8A3B-B5B2186BF5A8}"/>
    <cellStyle name="Komma 5 3 3 5 2" xfId="23145" xr:uid="{E113CD96-4387-4819-B1E2-E79A29EDA469}"/>
    <cellStyle name="Komma 5 3 3 5 3" xfId="48226" xr:uid="{3249F323-C98E-47F1-9300-B691A7B97A2B}"/>
    <cellStyle name="Komma 5 3 3 5 4" xfId="52483" xr:uid="{0211B1D2-AF9B-42ED-ACA6-B6667A7C821E}"/>
    <cellStyle name="Komma 5 3 3 5 5" xfId="55499" xr:uid="{B0DFFACB-53EF-4D86-BA17-AB376B2332EC}"/>
    <cellStyle name="Komma 5 3 3 6" xfId="12581" xr:uid="{127A3BB8-A8CB-43F0-A500-22BD8609093B}"/>
    <cellStyle name="Komma 5 3 3 6 2" xfId="47227" xr:uid="{FBB5BD35-C33B-4836-977A-28A4C5E5E372}"/>
    <cellStyle name="Komma 5 3 3 6 3" xfId="51052" xr:uid="{0B4660B6-DAF9-46C3-977F-62D13983689A}"/>
    <cellStyle name="Komma 5 3 3 6 4" xfId="54068" xr:uid="{ACB006E4-A4A2-4829-BEC7-A066065CE340}"/>
    <cellStyle name="Komma 5 3 3 7" xfId="23931" xr:uid="{7DDDE807-792C-4843-B601-F5E57F9C5DC0}"/>
    <cellStyle name="Komma 5 3 3 8" xfId="47507" xr:uid="{A64514D3-E9E3-48FB-AEE1-BD1BA1B6863E}"/>
    <cellStyle name="Komma 5 3 3 9" xfId="48780" xr:uid="{A294071D-B605-4014-AC72-A649C96501F7}"/>
    <cellStyle name="Komma 5 3 4" xfId="10203" xr:uid="{E72A256F-803B-4926-B1EF-26394604CC69}"/>
    <cellStyle name="Komma 5 3 4 2" xfId="10517" xr:uid="{6320774E-15ED-4C09-937A-C390B59E8B95}"/>
    <cellStyle name="Komma 5 3 4 2 2" xfId="14909" xr:uid="{AEE2614C-BDB3-4F7B-8BC4-83A771454D3C}"/>
    <cellStyle name="Komma 5 3 4 2 2 2" xfId="22456" xr:uid="{674A6EB0-8B72-4541-BAB0-B3A959F977C7}"/>
    <cellStyle name="Komma 5 3 4 2 2 3" xfId="25296" xr:uid="{5DC580D7-E2F2-4088-BAE7-2D94844A63A6}"/>
    <cellStyle name="Komma 5 3 4 2 2 4" xfId="51794" xr:uid="{D05F1DA4-2E5A-4421-A268-B83D02AEF475}"/>
    <cellStyle name="Komma 5 3 4 2 2 5" xfId="54810" xr:uid="{3823A35C-83E5-4AD0-BE5B-D36828B2EEBC}"/>
    <cellStyle name="Komma 5 3 4 2 3" xfId="15394" xr:uid="{C7009931-65CF-44BD-9A3A-51A3792F4FFF}"/>
    <cellStyle name="Komma 5 3 4 2 3 2" xfId="22933" xr:uid="{D8DDB1CB-8B15-43F5-A3F6-272BAE0331F5}"/>
    <cellStyle name="Komma 5 3 4 2 3 3" xfId="46527" xr:uid="{8AF8BA32-03CD-4F64-A050-76CADC53650C}"/>
    <cellStyle name="Komma 5 3 4 2 3 4" xfId="52271" xr:uid="{6683B6BE-27A0-493C-9E1D-FECE9C7C3EE8}"/>
    <cellStyle name="Komma 5 3 4 2 3 5" xfId="55287" xr:uid="{9C923731-4903-4847-B313-D44063D10D9A}"/>
    <cellStyle name="Komma 5 3 4 2 4" xfId="15881" xr:uid="{4C0BB81E-041C-4923-9803-7FA72AED51F9}"/>
    <cellStyle name="Komma 5 3 4 2 4 2" xfId="23410" xr:uid="{B6638C40-E03E-4669-A38D-00731BEFC807}"/>
    <cellStyle name="Komma 5 3 4 2 4 3" xfId="48308" xr:uid="{C031C42B-C52D-4883-8126-1B747AF0F2E3}"/>
    <cellStyle name="Komma 5 3 4 2 4 4" xfId="52748" xr:uid="{47417DD5-86A5-4463-8AA7-E7E6E52C5E13}"/>
    <cellStyle name="Komma 5 3 4 2 4 5" xfId="55764" xr:uid="{F94165AB-DDE2-4451-8F9F-F6FA897C10C0}"/>
    <cellStyle name="Komma 5 3 4 2 5" xfId="12970" xr:uid="{25C074C0-0106-466F-BB5A-64203305F6FF}"/>
    <cellStyle name="Komma 5 3 4 2 5 2" xfId="47619" xr:uid="{4A2C3EE2-72DA-4972-8FE7-CF657B338204}"/>
    <cellStyle name="Komma 5 3 4 2 5 3" xfId="51317" xr:uid="{26F64332-08A6-4BD4-A8EF-EA070E83D5BE}"/>
    <cellStyle name="Komma 5 3 4 2 5 4" xfId="54333" xr:uid="{59F32A88-E5A6-4FAE-B118-918FC4B1F9C9}"/>
    <cellStyle name="Komma 5 3 4 2 6" xfId="47293" xr:uid="{57F49511-3DF6-471F-8BFA-AB5B8F265FD9}"/>
    <cellStyle name="Komma 5 3 4 2 7" xfId="50211" xr:uid="{C5F2DF1A-E063-46C6-8894-91271A6BDB72}"/>
    <cellStyle name="Komma 5 3 4 2 8" xfId="53227" xr:uid="{EE48D3F7-4384-4000-B63B-E1FB2333D560}"/>
    <cellStyle name="Komma 5 3 4 3" xfId="14697" xr:uid="{14EC0E4C-5BF9-43AC-A106-93216B16EE23}"/>
    <cellStyle name="Komma 5 3 4 3 2" xfId="22244" xr:uid="{07D50310-BBC4-4AA0-86E2-F69FF820F10A}"/>
    <cellStyle name="Komma 5 3 4 3 3" xfId="47106" xr:uid="{81CCFA21-B6C9-4EA2-A713-36A0C95ECF40}"/>
    <cellStyle name="Komma 5 3 4 3 4" xfId="51582" xr:uid="{CF8795EF-EC09-44DD-8782-A7A468BA2224}"/>
    <cellStyle name="Komma 5 3 4 3 5" xfId="54598" xr:uid="{69DED852-B0FE-48A2-AC64-A03112A9CBB1}"/>
    <cellStyle name="Komma 5 3 4 4" xfId="15182" xr:uid="{4EAF92B2-8C6E-4A13-8FA4-3CD3EDCB68C6}"/>
    <cellStyle name="Komma 5 3 4 4 2" xfId="22721" xr:uid="{D7FA0074-7AB0-4983-B0A1-38F1B9A628BC}"/>
    <cellStyle name="Komma 5 3 4 4 3" xfId="47635" xr:uid="{30A0113B-B77C-45A9-A949-374421423518}"/>
    <cellStyle name="Komma 5 3 4 4 4" xfId="52059" xr:uid="{5EF3F358-5211-41A5-AF0E-9F42793A9ADE}"/>
    <cellStyle name="Komma 5 3 4 4 5" xfId="55075" xr:uid="{971DE28A-D916-45B0-97EC-A58E2C38463E}"/>
    <cellStyle name="Komma 5 3 4 5" xfId="15669" xr:uid="{B00AD593-18B4-425D-983E-DC947F6A6B03}"/>
    <cellStyle name="Komma 5 3 4 5 2" xfId="23198" xr:uid="{27B43D1B-369C-4A75-9B91-8D2A97315B03}"/>
    <cellStyle name="Komma 5 3 4 5 3" xfId="47112" xr:uid="{FCF96EE9-9E54-4B9D-BA4E-80664DDEC363}"/>
    <cellStyle name="Komma 5 3 4 5 4" xfId="52536" xr:uid="{B42AC8AD-1653-4FBE-90BC-898FA29CA92E}"/>
    <cellStyle name="Komma 5 3 4 5 5" xfId="55552" xr:uid="{EC9EA70A-B28A-4DC7-BF1B-4A68AAC08113}"/>
    <cellStyle name="Komma 5 3 4 6" xfId="12657" xr:uid="{57B8C908-8B23-4750-A03B-9CCEF23428DE}"/>
    <cellStyle name="Komma 5 3 4 6 2" xfId="48272" xr:uid="{9ACEEBF6-8C6B-41C1-BBAA-1EB41755223F}"/>
    <cellStyle name="Komma 5 3 4 6 3" xfId="51105" xr:uid="{21FBF92F-9958-48B8-BD41-CC788A2DFF4C}"/>
    <cellStyle name="Komma 5 3 4 6 4" xfId="54121" xr:uid="{366188F0-73C1-4197-84C7-C6FF629D7929}"/>
    <cellStyle name="Komma 5 3 4 7" xfId="48376" xr:uid="{E7A49F90-45E5-498D-869B-F9839EA720FB}"/>
    <cellStyle name="Komma 5 3 4 8" xfId="49999" xr:uid="{2CC5A4DF-4C6D-4391-A69F-797BC455C605}"/>
    <cellStyle name="Komma 5 3 4 9" xfId="53015" xr:uid="{16AFD2E3-78F5-4532-8437-39522EDEFBCA}"/>
    <cellStyle name="Komma 5 3 5" xfId="10283" xr:uid="{4209DE3B-68DB-4DE5-A97C-483826ED2313}"/>
    <cellStyle name="Komma 5 3 5 2" xfId="14750" xr:uid="{E1C6B737-8EBC-4DEA-9C76-F4A34532A3B7}"/>
    <cellStyle name="Komma 5 3 5 2 2" xfId="22297" xr:uid="{56C59C40-3681-499A-ABE1-689D247638BA}"/>
    <cellStyle name="Komma 5 3 5 2 3" xfId="46858" xr:uid="{93C3E2C1-9070-4376-8B82-BBC3879606B7}"/>
    <cellStyle name="Komma 5 3 5 2 4" xfId="51635" xr:uid="{E0ACA9CF-98D8-43C3-9F6C-7665CD912A47}"/>
    <cellStyle name="Komma 5 3 5 2 5" xfId="54651" xr:uid="{EB9493DB-E7DF-4891-A458-D22C1FCD3D8A}"/>
    <cellStyle name="Komma 5 3 5 3" xfId="15235" xr:uid="{CB22BCA8-CCE1-40F3-8C4A-17D188045198}"/>
    <cellStyle name="Komma 5 3 5 3 2" xfId="22774" xr:uid="{B353B381-AF34-44D1-9461-BE388B81C52C}"/>
    <cellStyle name="Komma 5 3 5 3 3" xfId="46896" xr:uid="{22AADF57-D4B8-4BF3-8A83-CCF0CFDA76CB}"/>
    <cellStyle name="Komma 5 3 5 3 4" xfId="52112" xr:uid="{DF8E5211-1A35-4328-A6A7-AFBB9D2B769F}"/>
    <cellStyle name="Komma 5 3 5 3 5" xfId="55128" xr:uid="{5EE2CD2C-2942-4032-9792-79A5C663E23D}"/>
    <cellStyle name="Komma 5 3 5 4" xfId="15722" xr:uid="{129F8163-73BD-4879-A5F0-27527EE6D869}"/>
    <cellStyle name="Komma 5 3 5 4 2" xfId="23251" xr:uid="{489176B9-37DF-4D5E-AE24-8503F2BD6103}"/>
    <cellStyle name="Komma 5 3 5 4 3" xfId="46957" xr:uid="{4D274E0D-AF5D-4FDE-BE1D-1FCADE9C5C3A}"/>
    <cellStyle name="Komma 5 3 5 4 4" xfId="52589" xr:uid="{81223BD9-BE9C-43C2-B44D-629D6772A1E7}"/>
    <cellStyle name="Komma 5 3 5 4 5" xfId="55605" xr:uid="{94BA7CFB-C5BB-498F-97A0-9869F26CAD3D}"/>
    <cellStyle name="Komma 5 3 5 5" xfId="12736" xr:uid="{65045410-1E97-490F-B027-60D4C3008FB5}"/>
    <cellStyle name="Komma 5 3 5 5 2" xfId="34163" xr:uid="{C6873D8F-918A-41C8-BFF8-1DB4ECC7A3A6}"/>
    <cellStyle name="Komma 5 3 5 5 3" xfId="51158" xr:uid="{641902A4-BD86-4E47-8662-9180EB53A158}"/>
    <cellStyle name="Komma 5 3 5 5 4" xfId="54174" xr:uid="{FE64C947-9E26-46BE-9FA2-302C41EE89F5}"/>
    <cellStyle name="Komma 5 3 5 6" xfId="48001" xr:uid="{547A1D26-EFE6-415D-B133-B9564BCD3F78}"/>
    <cellStyle name="Komma 5 3 5 7" xfId="50052" xr:uid="{45A175EA-F2BA-4EEF-811B-921A59DA03E0}"/>
    <cellStyle name="Komma 5 3 5 8" xfId="53068" xr:uid="{F077485D-6157-4B59-88B2-15A89ECD3C69}"/>
    <cellStyle name="Komma 5 3 6" xfId="10597" xr:uid="{D9DAEFF0-DD5B-4851-8644-88C5E28F0A74}"/>
    <cellStyle name="Komma 5 3 6 2" xfId="14962" xr:uid="{FF2B7640-E99A-4E04-9B47-A42664B54703}"/>
    <cellStyle name="Komma 5 3 6 2 2" xfId="22509" xr:uid="{C6C03111-1849-4BAC-89BE-37569869FE44}"/>
    <cellStyle name="Komma 5 3 6 2 3" xfId="47487" xr:uid="{76989DAF-0052-4BA4-B6A6-6CC28B5E2983}"/>
    <cellStyle name="Komma 5 3 6 2 4" xfId="51847" xr:uid="{173A4432-6636-4C15-A9BD-45B8C51663F9}"/>
    <cellStyle name="Komma 5 3 6 2 5" xfId="54863" xr:uid="{86944595-2E4A-4C52-9CB0-60A1907D34D8}"/>
    <cellStyle name="Komma 5 3 6 3" xfId="15447" xr:uid="{E9EAFBA8-6964-4C09-9D0A-FA528D0088F2}"/>
    <cellStyle name="Komma 5 3 6 3 2" xfId="22986" xr:uid="{EEE84F82-83EE-4DFE-9157-12C027830D83}"/>
    <cellStyle name="Komma 5 3 6 3 3" xfId="48278" xr:uid="{84E614B5-653E-4EA6-935D-0280B5C2000B}"/>
    <cellStyle name="Komma 5 3 6 3 4" xfId="52324" xr:uid="{67291578-5846-46B8-9D6E-AC9B825FFBCB}"/>
    <cellStyle name="Komma 5 3 6 3 5" xfId="55340" xr:uid="{C2A90776-C743-4E7B-B99C-A1AC7177B18C}"/>
    <cellStyle name="Komma 5 3 6 4" xfId="15935" xr:uid="{E6F233FC-4B3A-4FB4-B22C-9F3F9CCA565B}"/>
    <cellStyle name="Komma 5 3 6 4 2" xfId="23463" xr:uid="{22919864-EB95-4304-AD1B-0DB19E96D442}"/>
    <cellStyle name="Komma 5 3 6 4 3" xfId="36938" xr:uid="{8ED38A35-F97F-4A37-A31A-47EF9FA08909}"/>
    <cellStyle name="Komma 5 3 6 4 4" xfId="52801" xr:uid="{14611A71-28BA-426E-A8DA-237AC1B6E892}"/>
    <cellStyle name="Komma 5 3 6 4 5" xfId="55817" xr:uid="{9A83F7BB-03F1-4ED4-8B20-696F8FE5F97E}"/>
    <cellStyle name="Komma 5 3 6 5" xfId="13050" xr:uid="{EEF2238B-05B4-42ED-91C6-D89D0130DB02}"/>
    <cellStyle name="Komma 5 3 6 5 2" xfId="47389" xr:uid="{D29B495A-70C9-400A-A2A6-063ACBF97BB5}"/>
    <cellStyle name="Komma 5 3 6 5 3" xfId="51370" xr:uid="{C064B3FA-AC1D-4EC3-8C2A-8CA171ADB3CC}"/>
    <cellStyle name="Komma 5 3 6 5 4" xfId="54386" xr:uid="{7D6BD9AA-3217-4A41-B8D1-27BBAC7AE906}"/>
    <cellStyle name="Komma 5 3 6 6" xfId="47069" xr:uid="{8CDBC79F-2807-4AB1-AE07-CCCBEDA56310}"/>
    <cellStyle name="Komma 5 3 6 7" xfId="50264" xr:uid="{A51DB8E2-AC2A-44B4-853D-E2C86184710C}"/>
    <cellStyle name="Komma 5 3 6 8" xfId="53280" xr:uid="{BD80D988-F8DB-4E8E-8F00-C6140B847178}"/>
    <cellStyle name="Komma 5 3 7" xfId="14538" xr:uid="{0279EE67-3B67-413B-A175-B1563451B4D1}"/>
    <cellStyle name="Komma 5 3 7 2" xfId="22085" xr:uid="{A5A741B2-C247-4904-83A5-A5E47B746DF4}"/>
    <cellStyle name="Komma 5 3 7 3" xfId="47623" xr:uid="{BB718B30-128C-4CAD-B3C6-6F973A461FFA}"/>
    <cellStyle name="Komma 5 3 7 4" xfId="51423" xr:uid="{2BDB35D0-0AD1-44DF-917F-4BFBC07F5F9D}"/>
    <cellStyle name="Komma 5 3 7 5" xfId="54439" xr:uid="{93328868-183C-45FD-A669-7A133FB3C72E}"/>
    <cellStyle name="Komma 5 3 8" xfId="15022" xr:uid="{39BC33D7-B18B-41F1-B77A-ACF85666E1FD}"/>
    <cellStyle name="Komma 5 3 8 2" xfId="22562" xr:uid="{299934D1-08E4-452C-9079-5B2B6D08D826}"/>
    <cellStyle name="Komma 5 3 8 3" xfId="32401" xr:uid="{C7B41E01-1B59-420D-8E65-6E16C2FF831E}"/>
    <cellStyle name="Komma 5 3 8 4" xfId="51900" xr:uid="{203BC3A4-893F-4ACE-8757-C393616BF5D4}"/>
    <cellStyle name="Komma 5 3 8 5" xfId="54916" xr:uid="{B5117245-3F61-426B-91CC-78F331D66642}"/>
    <cellStyle name="Komma 5 3 9" xfId="15509" xr:uid="{355C529B-20D0-4133-8CA8-E51B50D0C6F6}"/>
    <cellStyle name="Komma 5 3 9 2" xfId="23039" xr:uid="{4D16C03A-6B00-41BF-8817-584769E3D14E}"/>
    <cellStyle name="Komma 5 3 9 3" xfId="32501" xr:uid="{C70EF057-45D2-4259-A3B7-9BF77744E70F}"/>
    <cellStyle name="Komma 5 3 9 4" xfId="52377" xr:uid="{191AB6C0-109E-4C0F-BF9D-03B489E25CBA}"/>
    <cellStyle name="Komma 5 3 9 5" xfId="55393" xr:uid="{DE2AB0DD-0CCD-4BD0-B42A-249509C9CB3F}"/>
    <cellStyle name="Komma 5 4" xfId="10047" xr:uid="{F04227E0-1264-461B-BB20-4BBF587A1E18}"/>
    <cellStyle name="Komma 5 4 10" xfId="49687" xr:uid="{5CD21016-857F-4D4D-BE5E-D6611CE8AF15}"/>
    <cellStyle name="Komma 5 4 11" xfId="49890" xr:uid="{9924BA32-56E7-4328-B3A4-10A07A870DA0}"/>
    <cellStyle name="Komma 5 4 12" xfId="52906" xr:uid="{7970095D-C9CC-4313-9AC8-B521171AE794}"/>
    <cellStyle name="Komma 5 4 2" xfId="10355" xr:uid="{284943D7-0D50-4164-8E88-4141D87FD578}"/>
    <cellStyle name="Komma 5 4 2 10" xfId="50102" xr:uid="{15063D14-52CA-4A2A-8C1D-EF7B4EB0079E}"/>
    <cellStyle name="Komma 5 4 2 11" xfId="53118" xr:uid="{FC2EB5CC-DF1E-487D-ABFC-D323F318FB34}"/>
    <cellStyle name="Komma 5 4 2 2" xfId="14800" xr:uid="{8173EC42-2E94-4422-8CFF-5D9D90649DE5}"/>
    <cellStyle name="Komma 5 4 2 2 2" xfId="22347" xr:uid="{8A76CEB1-A042-442F-BB36-B8905B1BD442}"/>
    <cellStyle name="Komma 5 4 2 2 3" xfId="24188" xr:uid="{0098427B-AABF-44AA-AB0B-640BEF9AE42C}"/>
    <cellStyle name="Komma 5 4 2 2 4" xfId="51685" xr:uid="{976B66BA-0389-4FC7-A4AB-ED675EA1C254}"/>
    <cellStyle name="Komma 5 4 2 2 5" xfId="54701" xr:uid="{6C7DBB4D-EB4F-4F96-9E1B-CE770360E15D}"/>
    <cellStyle name="Komma 5 4 2 3" xfId="15285" xr:uid="{4B547553-9E85-46F5-A21A-5C61DA458263}"/>
    <cellStyle name="Komma 5 4 2 3 2" xfId="22824" xr:uid="{F42780E8-C766-412E-8A25-C262D4DB77C4}"/>
    <cellStyle name="Komma 5 4 2 3 3" xfId="47190" xr:uid="{37F1655A-5BDE-4611-86E8-03900FF26E33}"/>
    <cellStyle name="Komma 5 4 2 3 4" xfId="52162" xr:uid="{81FC696D-F8D2-4D0C-837A-DF0A19891212}"/>
    <cellStyle name="Komma 5 4 2 3 5" xfId="55178" xr:uid="{A256A51E-02AA-490A-950E-C6DAEB4434DE}"/>
    <cellStyle name="Komma 5 4 2 4" xfId="15772" xr:uid="{9FDAB156-798D-41CE-A5F1-1DA1FDE99789}"/>
    <cellStyle name="Komma 5 4 2 4 2" xfId="23301" xr:uid="{377CFF2F-FA7E-4365-84AD-85E2FADD3CDE}"/>
    <cellStyle name="Komma 5 4 2 4 3" xfId="47793" xr:uid="{1796430B-7EAF-4C20-AB85-9D138672C6B2}"/>
    <cellStyle name="Komma 5 4 2 4 4" xfId="52639" xr:uid="{15BDF047-091F-4D52-BEF5-74734F2DB74C}"/>
    <cellStyle name="Komma 5 4 2 4 5" xfId="55655" xr:uid="{6DFD0F2B-B22B-45F8-9C54-B5719011C055}"/>
    <cellStyle name="Komma 5 4 2 5" xfId="12808" xr:uid="{99A4CE20-A661-4814-B3C0-0E8BDA28B6CD}"/>
    <cellStyle name="Komma 5 4 2 5 2" xfId="48201" xr:uid="{BE089FEE-AEB4-4D48-8533-E90FE75A0F88}"/>
    <cellStyle name="Komma 5 4 2 5 3" xfId="51208" xr:uid="{AE197692-09E2-451F-901E-8C70D7F422C8}"/>
    <cellStyle name="Komma 5 4 2 5 4" xfId="54224" xr:uid="{2241693F-D1E7-4566-9F8E-14719DB24C05}"/>
    <cellStyle name="Komma 5 4 2 6" xfId="23933" xr:uid="{1EBB836B-C141-41D0-825A-52DEA20433A1}"/>
    <cellStyle name="Komma 5 4 2 7" xfId="46098" xr:uid="{F6FBF5C6-D526-499B-8A42-184397E0E37E}"/>
    <cellStyle name="Komma 5 4 2 8" xfId="48782" xr:uid="{E20CE9AE-4977-4500-B2D2-EF80C6277891}"/>
    <cellStyle name="Komma 5 4 2 9" xfId="49688" xr:uid="{74382D2A-246B-48A8-A6CB-3F9D2CBA35EF}"/>
    <cellStyle name="Komma 5 4 3" xfId="14588" xr:uid="{BBA5C5C6-346C-4C58-9CA8-22C7E2518B43}"/>
    <cellStyle name="Komma 5 4 3 2" xfId="22135" xr:uid="{FF424730-B246-44CD-BABA-9E019582D90B}"/>
    <cellStyle name="Komma 5 4 3 3" xfId="46839" xr:uid="{8E14D350-9C98-4BC4-AA98-8039C0A1E5AB}"/>
    <cellStyle name="Komma 5 4 3 4" xfId="51473" xr:uid="{F36DE1CA-45DC-4CF4-9D46-BED53C40071C}"/>
    <cellStyle name="Komma 5 4 3 5" xfId="54489" xr:uid="{0FDB79AE-B1D0-4997-B4D3-53C3D9053236}"/>
    <cellStyle name="Komma 5 4 4" xfId="15072" xr:uid="{AB749B18-A315-42F4-8C57-28024ED1B32A}"/>
    <cellStyle name="Komma 5 4 4 2" xfId="22612" xr:uid="{4B885D90-8B32-44A7-B0FF-E761083FA995}"/>
    <cellStyle name="Komma 5 4 4 3" xfId="46877" xr:uid="{6BD1536A-11FD-43B3-8DBB-DE21DA06DDF9}"/>
    <cellStyle name="Komma 5 4 4 4" xfId="51950" xr:uid="{298A1A38-1B5B-422A-A2F9-0714EDE47F67}"/>
    <cellStyle name="Komma 5 4 4 5" xfId="54966" xr:uid="{09D4E41F-4EFE-4223-A9C6-836BB6449D6C}"/>
    <cellStyle name="Komma 5 4 5" xfId="15559" xr:uid="{F4158B76-C3AF-462D-B481-ED84AE89FCA9}"/>
    <cellStyle name="Komma 5 4 5 2" xfId="23089" xr:uid="{A027C359-C7B2-4E97-852F-86C488B817EF}"/>
    <cellStyle name="Komma 5 4 5 3" xfId="32359" xr:uid="{FA8597E1-D82E-4F2E-A850-D09773FFB071}"/>
    <cellStyle name="Komma 5 4 5 4" xfId="52427" xr:uid="{4FC1136B-41FE-47EA-A3DB-414A84078048}"/>
    <cellStyle name="Komma 5 4 5 5" xfId="55443" xr:uid="{0DAD67FA-92FA-456F-9782-CB4E95404CDC}"/>
    <cellStyle name="Komma 5 4 6" xfId="12507" xr:uid="{D4BF0D12-714B-4606-ACF2-3313DC020AF2}"/>
    <cellStyle name="Komma 5 4 6 2" xfId="48394" xr:uid="{0D8C4B98-CA50-4B46-AD9A-D5DC3A1FB468}"/>
    <cellStyle name="Komma 5 4 6 3" xfId="50996" xr:uid="{47D960C4-2259-4AB0-BE6A-A7136E90AD27}"/>
    <cellStyle name="Komma 5 4 6 4" xfId="54012" xr:uid="{0506044C-EF87-456E-9345-0A779E06B9DC}"/>
    <cellStyle name="Komma 5 4 7" xfId="23932" xr:uid="{741C7683-82C1-48FA-A055-D960275DFA64}"/>
    <cellStyle name="Komma 5 4 8" xfId="48313" xr:uid="{9CCE386B-504F-4F8E-8E57-EFD69709CEC0}"/>
    <cellStyle name="Komma 5 4 9" xfId="48781" xr:uid="{1B9ADA45-B5A3-4344-A6D5-1F71F1B238D7}"/>
    <cellStyle name="Komma 5 5" xfId="10121" xr:uid="{A5B8B010-571C-4AE2-87CE-1EF131D9EBE0}"/>
    <cellStyle name="Komma 5 5 10" xfId="49689" xr:uid="{F443EF80-FD90-4159-94E6-9094AEE33504}"/>
    <cellStyle name="Komma 5 5 11" xfId="49943" xr:uid="{BB0A7300-023E-4B52-A29B-65F6F5B0B17A}"/>
    <cellStyle name="Komma 5 5 12" xfId="52959" xr:uid="{6092B67E-F619-4297-BA4E-BA12A7A887B0}"/>
    <cellStyle name="Komma 5 5 2" xfId="10434" xr:uid="{9FA2574B-E8AB-487B-B48E-A9D284A2DAEC}"/>
    <cellStyle name="Komma 5 5 2 10" xfId="50155" xr:uid="{5CA59928-858B-4CDD-8ADA-17EE80052F82}"/>
    <cellStyle name="Komma 5 5 2 11" xfId="53171" xr:uid="{DA3A1972-55D1-41D0-83CB-AF22E2C3A24E}"/>
    <cellStyle name="Komma 5 5 2 2" xfId="14853" xr:uid="{F1570E14-F93C-4C55-8057-4C0FBFC330D8}"/>
    <cellStyle name="Komma 5 5 2 2 2" xfId="22400" xr:uid="{39142C16-C07C-4579-87D1-7C09E773FF32}"/>
    <cellStyle name="Komma 5 5 2 2 3" xfId="46446" xr:uid="{3966E0A7-3DE8-4023-B032-6056C42A6B34}"/>
    <cellStyle name="Komma 5 5 2 2 4" xfId="51738" xr:uid="{4BE983AD-B96D-4742-9B3B-7FBFCB4B652B}"/>
    <cellStyle name="Komma 5 5 2 2 5" xfId="54754" xr:uid="{4D188605-CBFF-441A-9B2A-6B322ED1D51B}"/>
    <cellStyle name="Komma 5 5 2 3" xfId="15338" xr:uid="{8D70F18C-D4CA-4568-81AB-94362F6EFECD}"/>
    <cellStyle name="Komma 5 5 2 3 2" xfId="22877" xr:uid="{D88891A5-A556-4EA3-A380-33D01114F964}"/>
    <cellStyle name="Komma 5 5 2 3 3" xfId="48298" xr:uid="{4665354C-AD51-4159-9723-92EAEC468F1A}"/>
    <cellStyle name="Komma 5 5 2 3 4" xfId="52215" xr:uid="{0BFB71AD-B9E1-4D24-A7DF-7DB82EB451E2}"/>
    <cellStyle name="Komma 5 5 2 3 5" xfId="55231" xr:uid="{38DCD5F1-BA7D-418A-B32E-549B7412A145}"/>
    <cellStyle name="Komma 5 5 2 4" xfId="15825" xr:uid="{CC8020BD-CFE4-4C43-91D4-10FCB5F9DBD1}"/>
    <cellStyle name="Komma 5 5 2 4 2" xfId="23354" xr:uid="{89E840F4-9D2E-4D2A-ADEF-3A23449B6275}"/>
    <cellStyle name="Komma 5 5 2 4 3" xfId="48135" xr:uid="{25B13A13-2DD0-46D3-9D8A-2704DCCE5408}"/>
    <cellStyle name="Komma 5 5 2 4 4" xfId="52692" xr:uid="{A60AD7D1-F1A4-4238-9369-26C1ABEA93A8}"/>
    <cellStyle name="Komma 5 5 2 4 5" xfId="55708" xr:uid="{08130BB0-56DC-46AA-B010-E684FAAAB193}"/>
    <cellStyle name="Komma 5 5 2 5" xfId="12887" xr:uid="{2B23C202-2F54-4897-85A9-78027BC18D2B}"/>
    <cellStyle name="Komma 5 5 2 5 2" xfId="47474" xr:uid="{308BEAA7-5AE7-43DB-A57E-F758CE930C2D}"/>
    <cellStyle name="Komma 5 5 2 5 3" xfId="51261" xr:uid="{01303D65-C4E1-419F-9658-8C84D05E4C2B}"/>
    <cellStyle name="Komma 5 5 2 5 4" xfId="54277" xr:uid="{52F5B2C8-8A9F-4EA5-AAEC-0BDAB2C81659}"/>
    <cellStyle name="Komma 5 5 2 6" xfId="23935" xr:uid="{000527B8-5A25-430F-A745-288BCA746462}"/>
    <cellStyle name="Komma 5 5 2 7" xfId="47799" xr:uid="{D38FCD08-EECF-417B-B83E-919ABA601D3C}"/>
    <cellStyle name="Komma 5 5 2 8" xfId="48784" xr:uid="{55E7FF76-80E0-404A-ACF9-6E2354C37E9A}"/>
    <cellStyle name="Komma 5 5 2 9" xfId="49690" xr:uid="{B4DE210D-CEBF-4603-ACBA-89CD56F0C28F}"/>
    <cellStyle name="Komma 5 5 3" xfId="14641" xr:uid="{ABCCBEA7-4619-444A-9016-98F5804D6797}"/>
    <cellStyle name="Komma 5 5 3 2" xfId="22188" xr:uid="{65E94B35-2E1C-4385-8BEE-47577F1B0F4F}"/>
    <cellStyle name="Komma 5 5 3 3" xfId="46412" xr:uid="{F5301A4D-A57E-420D-8782-30F392777051}"/>
    <cellStyle name="Komma 5 5 3 4" xfId="51526" xr:uid="{46BCA193-AC30-4BE3-8CEC-619394EA2C5D}"/>
    <cellStyle name="Komma 5 5 3 5" xfId="54542" xr:uid="{7725CE4F-E6F4-464C-AAB3-6832569BB0F0}"/>
    <cellStyle name="Komma 5 5 4" xfId="15126" xr:uid="{C8CDD3AA-9CF0-49EB-A9DA-0635A5F47739}"/>
    <cellStyle name="Komma 5 5 4 2" xfId="22665" xr:uid="{56C9FF2D-7F3F-4EF1-AD30-5F9138FFF5B3}"/>
    <cellStyle name="Komma 5 5 4 3" xfId="48009" xr:uid="{ADD5E635-EFBC-459A-A954-5AF71366D16A}"/>
    <cellStyle name="Komma 5 5 4 4" xfId="52003" xr:uid="{B06FE508-3EFB-4276-BA4A-832A1B489CF6}"/>
    <cellStyle name="Komma 5 5 4 5" xfId="55019" xr:uid="{7AAEA938-89DF-4DB2-AD78-E767065DBD73}"/>
    <cellStyle name="Komma 5 5 5" xfId="15613" xr:uid="{1D2D2C25-9731-4EA1-81D6-80234DA5950D}"/>
    <cellStyle name="Komma 5 5 5 2" xfId="23142" xr:uid="{AEFE0676-91B5-40B2-8DE7-E90999FC5BB0}"/>
    <cellStyle name="Komma 5 5 5 3" xfId="47845" xr:uid="{27F9E02E-442E-4B9E-A348-06A367E3EE4D}"/>
    <cellStyle name="Komma 5 5 5 4" xfId="52480" xr:uid="{F9F75AC6-B462-4229-BF30-B14B8CB0A39E}"/>
    <cellStyle name="Komma 5 5 5 5" xfId="55496" xr:uid="{D686B99E-82BE-45AC-9F50-2330A2DA7DC2}"/>
    <cellStyle name="Komma 5 5 6" xfId="12578" xr:uid="{91A2421A-3510-41A8-B41B-7F56B49EDBE9}"/>
    <cellStyle name="Komma 5 5 6 2" xfId="48297" xr:uid="{307F045E-DAF8-4E5C-835A-6E25A2EC6BD2}"/>
    <cellStyle name="Komma 5 5 6 3" xfId="51049" xr:uid="{976A64D6-AE4B-45B7-9D31-B74AFA8C0DBF}"/>
    <cellStyle name="Komma 5 5 6 4" xfId="54065" xr:uid="{64D98E39-B32B-47CC-8BA2-F931F492E300}"/>
    <cellStyle name="Komma 5 5 7" xfId="23934" xr:uid="{B3400B56-B433-4E03-B391-039F4D92F42D}"/>
    <cellStyle name="Komma 5 5 8" xfId="46053" xr:uid="{A5381F65-6294-4395-8EFD-02F40F012D89}"/>
    <cellStyle name="Komma 5 5 9" xfId="48783" xr:uid="{3DF02474-CB5F-41F0-A022-13E54B449040}"/>
    <cellStyle name="Komma 5 6" xfId="10200" xr:uid="{9D5762E2-70A6-496C-BAE8-FDFD42BEA2D6}"/>
    <cellStyle name="Komma 5 6 10" xfId="49691" xr:uid="{AB590E32-81E6-4F18-9E42-845FF9D89EF5}"/>
    <cellStyle name="Komma 5 6 11" xfId="49996" xr:uid="{DCA54C82-E863-43EC-891D-41CB9B91E8EA}"/>
    <cellStyle name="Komma 5 6 12" xfId="53012" xr:uid="{CE66BFD0-0695-49F3-8433-4188E8BE94C7}"/>
    <cellStyle name="Komma 5 6 2" xfId="10514" xr:uid="{C355B48B-8B1F-499B-B961-92FA5469FA16}"/>
    <cellStyle name="Komma 5 6 2 2" xfId="14906" xr:uid="{3FB79611-0674-405D-A65A-07F8635E55A6}"/>
    <cellStyle name="Komma 5 6 2 2 2" xfId="22453" xr:uid="{45212148-D67D-491C-801B-537439B17AC5}"/>
    <cellStyle name="Komma 5 6 2 2 3" xfId="32523" xr:uid="{7A598F61-57C2-4C07-94E8-CBEE47BD54D9}"/>
    <cellStyle name="Komma 5 6 2 2 4" xfId="51791" xr:uid="{8340449C-FCF4-4615-A1D5-B717F9EDA9F6}"/>
    <cellStyle name="Komma 5 6 2 2 5" xfId="54807" xr:uid="{B5417020-5197-48BA-8C05-712E7FD7FC41}"/>
    <cellStyle name="Komma 5 6 2 3" xfId="15391" xr:uid="{AF7539B8-8DD4-4334-8A2E-93084E25CF4A}"/>
    <cellStyle name="Komma 5 6 2 3 2" xfId="22930" xr:uid="{7ACA2561-688D-4191-880B-BE989D9E7E89}"/>
    <cellStyle name="Komma 5 6 2 3 3" xfId="47345" xr:uid="{C184AA4B-944B-4BCA-9F11-4282E7D2C53B}"/>
    <cellStyle name="Komma 5 6 2 3 4" xfId="52268" xr:uid="{F18F0C17-AFC2-4EEB-B23E-48329ED0B198}"/>
    <cellStyle name="Komma 5 6 2 3 5" xfId="55284" xr:uid="{FF3E39FB-924A-4BF0-A395-232EA53F4183}"/>
    <cellStyle name="Komma 5 6 2 4" xfId="15878" xr:uid="{564913EB-6A66-416F-9794-876D629753AA}"/>
    <cellStyle name="Komma 5 6 2 4 2" xfId="23407" xr:uid="{80AA6ED3-C612-4B5A-985E-D3A2B22A6BAD}"/>
    <cellStyle name="Komma 5 6 2 4 3" xfId="47376" xr:uid="{DAA17A7E-F11B-4882-B1DD-B1A1E3E08650}"/>
    <cellStyle name="Komma 5 6 2 4 4" xfId="52745" xr:uid="{DD48802F-6933-4DC6-BFEB-07E06925F7ED}"/>
    <cellStyle name="Komma 5 6 2 4 5" xfId="55761" xr:uid="{0EFBAD3F-FFE5-4D1A-8E04-1DBEACBCACCE}"/>
    <cellStyle name="Komma 5 6 2 5" xfId="12967" xr:uid="{19A90983-3431-4515-B13B-6C355E79B029}"/>
    <cellStyle name="Komma 5 6 2 5 2" xfId="47990" xr:uid="{3DD8D7E5-A9FD-40AD-BE7B-B8A807A83503}"/>
    <cellStyle name="Komma 5 6 2 5 3" xfId="51314" xr:uid="{151330B4-8E74-47CE-AED3-A8287ABA8034}"/>
    <cellStyle name="Komma 5 6 2 5 4" xfId="54330" xr:uid="{840F233A-FD53-46FF-9543-5F9D4CD857DA}"/>
    <cellStyle name="Komma 5 6 2 6" xfId="47559" xr:uid="{7C74B7F6-64FB-488E-BF76-12DDA7C87305}"/>
    <cellStyle name="Komma 5 6 2 7" xfId="50208" xr:uid="{CDCF5989-ABEB-42C4-89A6-186B0F2E922D}"/>
    <cellStyle name="Komma 5 6 2 8" xfId="53224" xr:uid="{E20D6604-C083-4284-880A-9F8C2058A5D3}"/>
    <cellStyle name="Komma 5 6 3" xfId="14694" xr:uid="{1587FD37-56A6-4ED1-A1D3-CDA94244276E}"/>
    <cellStyle name="Komma 5 6 3 2" xfId="22241" xr:uid="{959E838D-52C8-4DA2-90E0-8B92B912ED66}"/>
    <cellStyle name="Komma 5 6 3 3" xfId="48061" xr:uid="{34036D0C-D76B-4EBB-8EA0-1131AEF3CB91}"/>
    <cellStyle name="Komma 5 6 3 4" xfId="51579" xr:uid="{D0B0ACDC-8316-49E5-9005-701F4C43992B}"/>
    <cellStyle name="Komma 5 6 3 5" xfId="54595" xr:uid="{0FC6184C-E4B9-40BC-8D7D-0FDF19F99AE5}"/>
    <cellStyle name="Komma 5 6 4" xfId="15179" xr:uid="{303EAB1D-2362-4468-85F6-84A7FCF647CE}"/>
    <cellStyle name="Komma 5 6 4 2" xfId="22718" xr:uid="{E0735FCC-FBF6-4B32-B966-4CDD816DE37A}"/>
    <cellStyle name="Komma 5 6 4 3" xfId="47839" xr:uid="{0FFD7891-2473-4C4C-AB28-D3257B63A2D4}"/>
    <cellStyle name="Komma 5 6 4 4" xfId="52056" xr:uid="{C8A03C8A-2969-4C45-9685-057B7A904E13}"/>
    <cellStyle name="Komma 5 6 4 5" xfId="55072" xr:uid="{F3E80113-A2B9-4802-ABF9-701B6AC9E2FE}"/>
    <cellStyle name="Komma 5 6 5" xfId="15666" xr:uid="{8AE2DA3F-5445-4A25-A13E-2664395894CF}"/>
    <cellStyle name="Komma 5 6 5 2" xfId="23195" xr:uid="{DB27CC3B-42F7-4933-9B7C-043B8A342F37}"/>
    <cellStyle name="Komma 5 6 5 3" xfId="46567" xr:uid="{F9BED371-5B59-4202-82AD-F138884F94EC}"/>
    <cellStyle name="Komma 5 6 5 4" xfId="52533" xr:uid="{418D7904-7F0F-4EE0-987B-065036F66722}"/>
    <cellStyle name="Komma 5 6 5 5" xfId="55549" xr:uid="{FA71D792-7314-4A2E-813A-D84DA061CA21}"/>
    <cellStyle name="Komma 5 6 6" xfId="12654" xr:uid="{C14B2505-805B-41EE-BDC5-3228C24A06CF}"/>
    <cellStyle name="Komma 5 6 6 2" xfId="46338" xr:uid="{144BD606-540F-4016-8DE2-2AA89E938EFF}"/>
    <cellStyle name="Komma 5 6 6 3" xfId="51102" xr:uid="{923EC674-4BE3-417C-97ED-A8804C46F13F}"/>
    <cellStyle name="Komma 5 6 6 4" xfId="54118" xr:uid="{3288D6BA-9F9C-476A-BB72-34676BD3334F}"/>
    <cellStyle name="Komma 5 6 7" xfId="23936" xr:uid="{3F3CAFED-10FF-4F0C-B536-D927F7456C69}"/>
    <cellStyle name="Komma 5 6 8" xfId="46065" xr:uid="{E7347234-1DE1-42BC-BC53-C62D31E700BA}"/>
    <cellStyle name="Komma 5 6 9" xfId="48785" xr:uid="{BA857FC1-9FE2-4C3E-BD4C-ADB608C4992F}"/>
    <cellStyle name="Komma 5 7" xfId="10280" xr:uid="{5A20BCBB-AF32-4CCC-944F-BC5E095774E1}"/>
    <cellStyle name="Komma 5 7 10" xfId="50049" xr:uid="{1F2534D8-94DF-4B50-AC86-5C8EEB446733}"/>
    <cellStyle name="Komma 5 7 11" xfId="53065" xr:uid="{F92D2E48-6480-45BA-9A32-42587A635787}"/>
    <cellStyle name="Komma 5 7 2" xfId="14747" xr:uid="{C0DD59C9-75EF-46AE-B856-1D2CFD9D757D}"/>
    <cellStyle name="Komma 5 7 2 2" xfId="22294" xr:uid="{C59DBE76-40F2-4AE4-A44F-4B71D6BA529C}"/>
    <cellStyle name="Komma 5 7 2 3" xfId="46429" xr:uid="{D3C0C3F6-BDBD-4928-B30D-54B6A27FFD4D}"/>
    <cellStyle name="Komma 5 7 2 4" xfId="51632" xr:uid="{DC268E8D-A677-45DD-8E2E-3133EE80C764}"/>
    <cellStyle name="Komma 5 7 2 5" xfId="54648" xr:uid="{F4C2857E-847E-42F0-8DB2-4F27CE5F8237}"/>
    <cellStyle name="Komma 5 7 3" xfId="15232" xr:uid="{AC953AF3-166B-43B0-B11C-6015311542DD}"/>
    <cellStyle name="Komma 5 7 3 2" xfId="22771" xr:uid="{762F35DD-B62B-4F5A-90C3-5035F1922CD1}"/>
    <cellStyle name="Komma 5 7 3 3" xfId="46499" xr:uid="{CADB0027-F1E6-4A75-A092-FA9EDAD09D8F}"/>
    <cellStyle name="Komma 5 7 3 4" xfId="52109" xr:uid="{539DF033-E383-4B9C-9171-8E8FBF87C6A2}"/>
    <cellStyle name="Komma 5 7 3 5" xfId="55125" xr:uid="{3A093D38-C3C8-492E-B321-4EE2043EF040}"/>
    <cellStyle name="Komma 5 7 4" xfId="15719" xr:uid="{3D192A92-6926-4B9E-9FE2-1D115E4B40D2}"/>
    <cellStyle name="Komma 5 7 4 2" xfId="23248" xr:uid="{DEA774C5-332E-49EF-96DC-BB659695D99C}"/>
    <cellStyle name="Komma 5 7 4 3" xfId="46577" xr:uid="{1F85C19F-E2DD-423F-9BD9-0654CE22F1AC}"/>
    <cellStyle name="Komma 5 7 4 4" xfId="52586" xr:uid="{5971DAA0-8C85-442B-B71D-C7C1051C9CCF}"/>
    <cellStyle name="Komma 5 7 4 5" xfId="55602" xr:uid="{F54B16DA-A567-4369-A958-05D67B84FC61}"/>
    <cellStyle name="Komma 5 7 5" xfId="12733" xr:uid="{21C02F16-83DA-4AB2-93FC-BDB74AD40988}"/>
    <cellStyle name="Komma 5 7 5 2" xfId="47859" xr:uid="{A0B726E3-4D9B-41AC-8F2D-686C5287EB0D}"/>
    <cellStyle name="Komma 5 7 5 3" xfId="51155" xr:uid="{CCCD03A0-556F-4D5D-8E89-F91AC151189B}"/>
    <cellStyle name="Komma 5 7 5 4" xfId="54171" xr:uid="{3AAF1F32-CD4F-4394-95F1-917680D78707}"/>
    <cellStyle name="Komma 5 7 6" xfId="23937" xr:uid="{179D1D70-52E3-4CD8-AF2A-D651EEB0A438}"/>
    <cellStyle name="Komma 5 7 7" xfId="46083" xr:uid="{FA080E1D-0915-4928-9012-A2F7BE3B2319}"/>
    <cellStyle name="Komma 5 7 8" xfId="48786" xr:uid="{568C6ED6-E8C7-4BB5-B4AC-FC32939BA806}"/>
    <cellStyle name="Komma 5 7 9" xfId="49692" xr:uid="{98F803FD-54EA-4EAF-BAF2-A63D7AF81DEB}"/>
    <cellStyle name="Komma 5 8" xfId="10594" xr:uid="{58C5FE4B-28BE-4981-9EEC-F351CE60E77D}"/>
    <cellStyle name="Komma 5 8 2" xfId="14959" xr:uid="{26071D13-49A0-4D0D-B815-7E37DF6D3A73}"/>
    <cellStyle name="Komma 5 8 2 2" xfId="22506" xr:uid="{B6CA523E-A144-4157-B670-F98326E9071E}"/>
    <cellStyle name="Komma 5 8 2 3" xfId="34022" xr:uid="{F15757A7-F5C2-41BF-B49C-C74ADE4DD1B0}"/>
    <cellStyle name="Komma 5 8 2 4" xfId="51844" xr:uid="{5A892A3F-4F06-422D-921B-6DEDAA4F2665}"/>
    <cellStyle name="Komma 5 8 2 5" xfId="54860" xr:uid="{B2B2DF44-DE13-4C19-A3BF-85132D89FCD4}"/>
    <cellStyle name="Komma 5 8 3" xfId="15444" xr:uid="{2F3CA59D-E74A-4AEE-9EEB-16FDF1EF66A0}"/>
    <cellStyle name="Komma 5 8 3 2" xfId="22983" xr:uid="{B5B1E322-83D4-4E89-A4E9-8D3570B268AA}"/>
    <cellStyle name="Komma 5 8 3 3" xfId="47346" xr:uid="{A84F0837-15EF-478F-964F-03E3D6499A9E}"/>
    <cellStyle name="Komma 5 8 3 4" xfId="52321" xr:uid="{743DD685-D42C-487A-9479-2CDE1764E007}"/>
    <cellStyle name="Komma 5 8 3 5" xfId="55337" xr:uid="{FC107AD1-A24D-4DE9-BA37-DCBC40BAB603}"/>
    <cellStyle name="Komma 5 8 4" xfId="15932" xr:uid="{22439A85-A822-430A-AB38-3E7A3CACBE7A}"/>
    <cellStyle name="Komma 5 8 4 2" xfId="23460" xr:uid="{7CF4A58E-1301-4D8D-8D53-8F3FFD8F8FCB}"/>
    <cellStyle name="Komma 5 8 4 3" xfId="47041" xr:uid="{DDE62E65-A548-47AB-AFEB-4222F367E8D1}"/>
    <cellStyle name="Komma 5 8 4 4" xfId="52798" xr:uid="{F9A05F14-FD5D-4652-97C9-25B0BCE5D14A}"/>
    <cellStyle name="Komma 5 8 4 5" xfId="55814" xr:uid="{12341F4C-70C2-4200-B453-5F894415BA7C}"/>
    <cellStyle name="Komma 5 8 5" xfId="13047" xr:uid="{AB8FF0A5-E933-47AB-9018-860A5B6820E3}"/>
    <cellStyle name="Komma 5 8 5 2" xfId="25027" xr:uid="{0AC1979C-EC12-488F-9B02-7313E90F07E5}"/>
    <cellStyle name="Komma 5 8 5 3" xfId="51367" xr:uid="{007B960E-DF37-4AC8-90FE-578BAC24B335}"/>
    <cellStyle name="Komma 5 8 5 4" xfId="54383" xr:uid="{22BC3D43-CA88-4C23-8CAD-13C182035D48}"/>
    <cellStyle name="Komma 5 8 6" xfId="47263" xr:uid="{5E38C7EE-B77B-48F5-A6C3-E6C54613EC73}"/>
    <cellStyle name="Komma 5 8 7" xfId="50261" xr:uid="{0BF92FA6-6085-4CA6-9F82-C337577C077E}"/>
    <cellStyle name="Komma 5 8 8" xfId="53277" xr:uid="{599F5F7B-0C50-4E9A-90CE-3B615DE57B5E}"/>
    <cellStyle name="Komma 5 9" xfId="14535" xr:uid="{96B68AFA-1402-4B98-A821-9642A882CAF4}"/>
    <cellStyle name="Komma 5 9 2" xfId="22082" xr:uid="{504EBFF7-3D78-42C0-AA4E-0B66A52A9A6B}"/>
    <cellStyle name="Komma 5 9 3" xfId="32330" xr:uid="{66C5E76B-C643-458A-9FDD-F297625C3B07}"/>
    <cellStyle name="Komma 5 9 4" xfId="51420" xr:uid="{FD0A19C4-D2B5-4047-B215-8FDE10F6AE07}"/>
    <cellStyle name="Komma 5 9 5" xfId="54436" xr:uid="{FD2B15BE-D6B9-4FAA-8BD1-6CBE7D4EE4B0}"/>
    <cellStyle name="Komma 6" xfId="23938" xr:uid="{915CFC3D-317E-4934-98CA-C8BE0990E8FD}"/>
    <cellStyle name="Komma 6 2" xfId="23939" xr:uid="{95CF93AE-269D-42DE-953D-2B201E944DB1}"/>
    <cellStyle name="Komma 6 2 2" xfId="23940" xr:uid="{BEB9DCAA-1565-4B70-9403-D0C6B2E794EB}"/>
    <cellStyle name="Komma 6 2 2 2" xfId="23941" xr:uid="{E6869202-790A-4892-A09C-9B0E7435F5CA}"/>
    <cellStyle name="Komma 6 2 2 2 2" xfId="48790" xr:uid="{9C602C9D-835E-4612-89F7-7F30D0584282}"/>
    <cellStyle name="Komma 6 2 2 2 3" xfId="49696" xr:uid="{8A5AE7C3-EB32-4382-A530-7938A45C2351}"/>
    <cellStyle name="Komma 6 2 2 3" xfId="48789" xr:uid="{220D5C3E-735F-482B-838F-E15DC71EF8BC}"/>
    <cellStyle name="Komma 6 2 2 4" xfId="49695" xr:uid="{19360BEF-CDC3-4AC7-83E3-1BC20631FAB5}"/>
    <cellStyle name="Komma 6 2 3" xfId="23942" xr:uid="{CC05C90A-014C-43AA-9811-A8F0D5CBA658}"/>
    <cellStyle name="Komma 6 2 3 2" xfId="23943" xr:uid="{DFAC453D-F288-47C8-B692-218C3B4E384A}"/>
    <cellStyle name="Komma 6 2 3 2 2" xfId="48792" xr:uid="{AC612A99-209C-49FA-9FA5-F226E15A4A36}"/>
    <cellStyle name="Komma 6 2 3 2 3" xfId="49698" xr:uid="{7C38E726-AFE9-4A24-ADAF-4F95A0263E34}"/>
    <cellStyle name="Komma 6 2 3 3" xfId="48791" xr:uid="{EF8BF227-13A7-4700-818B-38D13E51E5A8}"/>
    <cellStyle name="Komma 6 2 3 4" xfId="49697" xr:uid="{A2C4CB5F-4A8F-47B5-B69D-91834FD1DE0D}"/>
    <cellStyle name="Komma 6 2 4" xfId="23944" xr:uid="{B93A2606-202B-406E-BEC9-C549664F2508}"/>
    <cellStyle name="Komma 6 2 4 2" xfId="48793" xr:uid="{DF82BEDB-1B5F-4A51-8F07-338CA0633D34}"/>
    <cellStyle name="Komma 6 2 4 3" xfId="49699" xr:uid="{E063EEB4-42A0-4960-A27E-53BE8DB3B1F4}"/>
    <cellStyle name="Komma 6 2 5" xfId="48788" xr:uid="{B09EC451-E24D-4A88-BEC8-077680A8B1EE}"/>
    <cellStyle name="Komma 6 2 6" xfId="49694" xr:uid="{93CB4648-2C06-4A59-B3B9-BD3F9CEAA5BC}"/>
    <cellStyle name="Komma 6 3" xfId="23945" xr:uid="{BBB03D39-BCCA-4D45-9E3F-A476AD7D777B}"/>
    <cellStyle name="Komma 6 3 2" xfId="23946" xr:uid="{BDAAB513-C6A2-4081-8A66-0245F7A43395}"/>
    <cellStyle name="Komma 6 3 2 2" xfId="48795" xr:uid="{5A1961C7-9147-4418-B4F9-9CF84D68DFF8}"/>
    <cellStyle name="Komma 6 3 2 3" xfId="49701" xr:uid="{BF14CA1C-8DFD-4B22-A825-F8195B4A792A}"/>
    <cellStyle name="Komma 6 3 3" xfId="48794" xr:uid="{DAECF47B-EBA3-4297-A508-D10C54A3AFDA}"/>
    <cellStyle name="Komma 6 3 4" xfId="49700" xr:uid="{25BEC5BD-781D-488C-9536-01880F9D801F}"/>
    <cellStyle name="Komma 6 4" xfId="23947" xr:uid="{376AB3FC-AA81-40B3-AA3B-B9DCB7F4E828}"/>
    <cellStyle name="Komma 6 4 2" xfId="23948" xr:uid="{413153A4-6193-48EA-A18F-6EA2C30363CF}"/>
    <cellStyle name="Komma 6 4 2 2" xfId="48797" xr:uid="{B93E1182-8660-425B-809C-C6D41788A53E}"/>
    <cellStyle name="Komma 6 4 2 3" xfId="49703" xr:uid="{2746FE56-2A22-4B9A-82EA-4A1E0B70F8FD}"/>
    <cellStyle name="Komma 6 4 3" xfId="48796" xr:uid="{5A9C7E42-866E-4A07-9D83-6F59D154A200}"/>
    <cellStyle name="Komma 6 4 4" xfId="49702" xr:uid="{30F10BC7-B075-451B-AF57-8CDE5B541B1D}"/>
    <cellStyle name="Komma 6 5" xfId="23949" xr:uid="{F72276CE-43CE-48B2-A997-51EA1CC165C6}"/>
    <cellStyle name="Komma 6 5 2" xfId="23950" xr:uid="{B8976D5B-20C5-41C1-8342-91438A4B7F55}"/>
    <cellStyle name="Komma 6 5 2 2" xfId="48799" xr:uid="{DACAD481-CB50-42DF-B3E9-4CAD91EEF18C}"/>
    <cellStyle name="Komma 6 5 2 3" xfId="49705" xr:uid="{371ECFF3-B7A8-4911-82E2-5592266E6071}"/>
    <cellStyle name="Komma 6 5 3" xfId="48798" xr:uid="{861F970A-42B4-4AE4-BF38-469BC12587CF}"/>
    <cellStyle name="Komma 6 5 4" xfId="49704" xr:uid="{AF4F598C-6BC2-43D3-9CB9-376A58F0C1D7}"/>
    <cellStyle name="Komma 6 6" xfId="23951" xr:uid="{16CC6304-7884-4D43-BAB1-6099BB4F7466}"/>
    <cellStyle name="Komma 6 6 2" xfId="48800" xr:uid="{127DEE5A-3549-49B1-921A-785A3A0D191D}"/>
    <cellStyle name="Komma 6 6 3" xfId="49706" xr:uid="{CEBF468F-275A-4A15-9256-C4778E348D73}"/>
    <cellStyle name="Komma 6 7" xfId="48787" xr:uid="{110E0404-6D21-4C5D-A46B-1C3F27075DC4}"/>
    <cellStyle name="Komma 6 8" xfId="49693" xr:uid="{BE9F23B4-8382-4421-8AA6-F7459BA36434}"/>
    <cellStyle name="Komma 7" xfId="23952" xr:uid="{1D8A062A-1BCC-405D-9935-9ECE156C6CA2}"/>
    <cellStyle name="Komma 7 2" xfId="23953" xr:uid="{4E01A6ED-6106-4F9E-A101-7F67D1EFF47D}"/>
    <cellStyle name="Komma 7 2 2" xfId="23954" xr:uid="{64471E7B-B18C-4995-B81F-56F5FD037BA1}"/>
    <cellStyle name="Komma 7 2 2 2" xfId="23955" xr:uid="{8E25BE94-E841-4A39-8B05-80BBDA7D07B6}"/>
    <cellStyle name="Komma 7 2 2 2 2" xfId="48804" xr:uid="{77BE0716-3983-4761-8D3E-A381FD0EB9EA}"/>
    <cellStyle name="Komma 7 2 2 2 3" xfId="49710" xr:uid="{FC43EC45-A642-4A66-A302-429B6680BED7}"/>
    <cellStyle name="Komma 7 2 2 3" xfId="48803" xr:uid="{BA3650C2-35B8-4865-ACBA-377A80F72F64}"/>
    <cellStyle name="Komma 7 2 2 4" xfId="49709" xr:uid="{A3FB947D-C95A-4B22-A892-D547F1883FBB}"/>
    <cellStyle name="Komma 7 2 3" xfId="23956" xr:uid="{1BC373EB-19A6-44BE-BABD-4051A22621E6}"/>
    <cellStyle name="Komma 7 2 3 2" xfId="23957" xr:uid="{B39A7DD0-FB83-4221-B362-AEE7B9B33195}"/>
    <cellStyle name="Komma 7 2 3 2 2" xfId="48806" xr:uid="{571A36EB-94C2-4166-A26F-BE8B370A2750}"/>
    <cellStyle name="Komma 7 2 3 2 3" xfId="49712" xr:uid="{D09F8EBE-3E06-4A14-836C-650C124A8620}"/>
    <cellStyle name="Komma 7 2 3 3" xfId="48805" xr:uid="{1B846500-984C-4C5F-ACFD-96850CD3A7C5}"/>
    <cellStyle name="Komma 7 2 3 4" xfId="49711" xr:uid="{75F5C528-3BE4-467A-B56F-0B8B550F52AA}"/>
    <cellStyle name="Komma 7 2 4" xfId="23958" xr:uid="{C77E6C71-C93B-4B75-BB85-4973CBC6B864}"/>
    <cellStyle name="Komma 7 2 4 2" xfId="48807" xr:uid="{30259BBB-DFC6-4DD4-BA27-4F761A3A28F7}"/>
    <cellStyle name="Komma 7 2 4 3" xfId="49713" xr:uid="{C3194813-D121-4330-A378-4E87A9E1F32B}"/>
    <cellStyle name="Komma 7 2 5" xfId="48802" xr:uid="{02D274B7-B9F7-456D-8BE0-82C628AE1AEE}"/>
    <cellStyle name="Komma 7 2 6" xfId="49708" xr:uid="{A3138AF2-F1F9-4236-8658-49031BE72E22}"/>
    <cellStyle name="Komma 7 3" xfId="23959" xr:uid="{14C54A22-B256-4697-A65C-5820AE6D6E5F}"/>
    <cellStyle name="Komma 7 3 2" xfId="23960" xr:uid="{450A260C-54A5-4300-8874-1AE1EC47D759}"/>
    <cellStyle name="Komma 7 3 2 2" xfId="48809" xr:uid="{2DF1588F-CDFB-4760-81C6-C7E56DF9558F}"/>
    <cellStyle name="Komma 7 3 2 3" xfId="49715" xr:uid="{8E117AD9-17DD-4A36-8C71-E2126F98CFF5}"/>
    <cellStyle name="Komma 7 3 3" xfId="48808" xr:uid="{33E6EA07-B8A0-4495-B4CE-087ECF433AD5}"/>
    <cellStyle name="Komma 7 3 4" xfId="49714" xr:uid="{CDE3088D-6598-4A47-B322-11961631875E}"/>
    <cellStyle name="Komma 7 4" xfId="23961" xr:uid="{75C7E4BB-80D8-43D2-A97F-63DA8E84FF7B}"/>
    <cellStyle name="Komma 7 4 2" xfId="23962" xr:uid="{C2E77558-9823-494F-8EC8-513D73ED28E6}"/>
    <cellStyle name="Komma 7 4 2 2" xfId="48811" xr:uid="{F7324EDE-9E44-4C26-9959-64DAD5D62016}"/>
    <cellStyle name="Komma 7 4 2 3" xfId="49717" xr:uid="{F805735B-F673-470A-AF11-E157427D79A7}"/>
    <cellStyle name="Komma 7 4 3" xfId="48810" xr:uid="{272BB4F1-B1B9-4CBB-8446-94E862E905E8}"/>
    <cellStyle name="Komma 7 4 4" xfId="49716" xr:uid="{D3D7BAEF-5CD4-470A-92B3-CCE2499F15C2}"/>
    <cellStyle name="Komma 7 5" xfId="23963" xr:uid="{C4D49F6B-3811-4D8F-A6E8-2B0D10A3E60A}"/>
    <cellStyle name="Komma 7 5 2" xfId="48812" xr:uid="{A4B2AC08-A387-43CB-9268-E9F312049F31}"/>
    <cellStyle name="Komma 7 5 3" xfId="49718" xr:uid="{FB184FAA-7471-4C8C-BCB0-AFD56B7E6F2B}"/>
    <cellStyle name="Komma 7 6" xfId="48801" xr:uid="{06F257E0-769F-42FB-8966-CB4D02F70C73}"/>
    <cellStyle name="Komma 7 7" xfId="49707" xr:uid="{8435B76B-EA68-4DB5-8908-B1C11921B9F9}"/>
    <cellStyle name="Komma 8" xfId="23964" xr:uid="{E37648E3-635A-4375-9130-F5250E209941}"/>
    <cellStyle name="Komma 8 2" xfId="23965" xr:uid="{C28819C8-E983-4E13-8504-BAF83957BA24}"/>
    <cellStyle name="Komma 8 2 2" xfId="23966" xr:uid="{8D2C34E6-A74B-485F-93D2-16982F78AF60}"/>
    <cellStyle name="Komma 8 2 2 2" xfId="48815" xr:uid="{281D1F52-CA87-455B-A618-390AACD98072}"/>
    <cellStyle name="Komma 8 2 2 3" xfId="49721" xr:uid="{5C8F197E-5FC3-4FAB-BA56-74930F3751D1}"/>
    <cellStyle name="Komma 8 2 3" xfId="48814" xr:uid="{04B5CC8B-3AF5-4696-BEE8-AF329B68A767}"/>
    <cellStyle name="Komma 8 2 4" xfId="49720" xr:uid="{F92B3295-E16E-4CEA-94AB-E408663DBFB6}"/>
    <cellStyle name="Komma 8 3" xfId="23967" xr:uid="{FABD3982-9B0A-44A2-A175-3C66DE247244}"/>
    <cellStyle name="Komma 8 3 2" xfId="23968" xr:uid="{CB5C3BAD-A20B-4725-BF57-D303109CD75C}"/>
    <cellStyle name="Komma 8 3 2 2" xfId="48817" xr:uid="{E065ADDE-5BA4-4835-9EC4-549A07DAD424}"/>
    <cellStyle name="Komma 8 3 2 3" xfId="49723" xr:uid="{A654F653-68A3-4DC8-A382-040FBF6B0E83}"/>
    <cellStyle name="Komma 8 3 3" xfId="48816" xr:uid="{55F8611C-7CA1-4307-A272-23FECC31E705}"/>
    <cellStyle name="Komma 8 3 4" xfId="49722" xr:uid="{C12A6FEB-9EF4-49D4-B7E4-2D9D523F3319}"/>
    <cellStyle name="Komma 8 4" xfId="23969" xr:uid="{19CF459C-5E1E-42FD-B95F-86A99E39E68F}"/>
    <cellStyle name="Komma 8 4 2" xfId="48818" xr:uid="{00C030B9-4C3D-4843-A6CF-755EA092A437}"/>
    <cellStyle name="Komma 8 4 3" xfId="49724" xr:uid="{67ACB8FE-328C-46E4-B3D2-A80CD46DC853}"/>
    <cellStyle name="Komma 8 5" xfId="48813" xr:uid="{A558B3CC-95B6-41B4-A3C5-7374A76F1E36}"/>
    <cellStyle name="Komma 8 6" xfId="49719" xr:uid="{5045F1C2-5EB8-4F97-AB6B-252D5E28F3AB}"/>
    <cellStyle name="Komma 9" xfId="23970" xr:uid="{6E9586EB-9DD9-4F28-8D97-9D8FF1299F62}"/>
    <cellStyle name="Komma 9 2" xfId="23971" xr:uid="{17A9B4AA-0B3A-40E0-B99C-893C9329299B}"/>
    <cellStyle name="Komma 9 2 2" xfId="48820" xr:uid="{6A6076D8-83CC-4041-A5DB-DC4850B7F4CD}"/>
    <cellStyle name="Komma 9 2 3" xfId="49726" xr:uid="{AC3051C1-BD80-45DB-89A3-2F217D3DDB21}"/>
    <cellStyle name="Komma 9 3" xfId="48819" xr:uid="{F6AD35DC-46ED-4B69-B763-8A284E57DB6F}"/>
    <cellStyle name="Komma 9 4" xfId="49725" xr:uid="{3FDA722E-38BE-4D44-B65D-461AA63DE35E}"/>
    <cellStyle name="Kontroller celle" xfId="1477" xr:uid="{00000000-0005-0000-0000-0000D2010000}"/>
    <cellStyle name="Kontroller celle 2" xfId="2815" xr:uid="{EF563239-A846-4A75-B4EB-742116F49614}"/>
    <cellStyle name="Link" xfId="17478" xr:uid="{0A51B8DE-0901-410F-8893-396FEFADF2B1}"/>
    <cellStyle name="Link 2" xfId="2816" xr:uid="{8FE95863-50C7-473F-BFE4-6B40BE51BFA1}"/>
    <cellStyle name="Link 2 2" xfId="23973" xr:uid="{55CA0FBE-D732-4608-96F0-01594653A610}"/>
    <cellStyle name="Link 2 3" xfId="23974" xr:uid="{20E6816A-2EE0-49C1-BDC4-DB3E1F67FA71}"/>
    <cellStyle name="Link 2 4" xfId="23975" xr:uid="{6AB095B5-8742-485F-9F54-3ADC912A2BF7}"/>
    <cellStyle name="Link 2 5" xfId="23976" xr:uid="{7CEED332-9645-4B2C-A838-51F4B87DD822}"/>
    <cellStyle name="Link 3" xfId="9109" xr:uid="{4565C5C8-8D68-4DD6-BC0B-4F68054D4FC6}"/>
    <cellStyle name="Link 3 2" xfId="23978" xr:uid="{A024A1F3-5B0F-41A3-8899-2EB0507C5093}"/>
    <cellStyle name="Link 4" xfId="23979" xr:uid="{73CCA873-0132-41F6-B715-8DDF5E3FEE9B}"/>
    <cellStyle name="Link 5" xfId="23980" xr:uid="{BB4F5403-ED06-4738-B868-1F5AD9B9BDC7}"/>
    <cellStyle name="Link 6" xfId="23981" xr:uid="{F96987CA-5841-417B-A86D-A86CD4267BEB}"/>
    <cellStyle name="Linked Cell 2" xfId="23982" xr:uid="{306710AB-47A4-4DF1-8BE0-264E4217601B}"/>
    <cellStyle name="Markeringsfarve1" xfId="1478" xr:uid="{00000000-0005-0000-0000-0000D3010000}"/>
    <cellStyle name="Markeringsfarve1 2" xfId="2817" xr:uid="{9174A573-A411-4F25-8E6E-D88B7A67C871}"/>
    <cellStyle name="Markeringsfarve2" xfId="1479" xr:uid="{00000000-0005-0000-0000-0000D4010000}"/>
    <cellStyle name="Markeringsfarve2 2" xfId="2818" xr:uid="{934FF41D-523B-4BF6-8FF2-6FEEE49E8FEE}"/>
    <cellStyle name="Markeringsfarve3" xfId="1480" xr:uid="{00000000-0005-0000-0000-0000D5010000}"/>
    <cellStyle name="Markeringsfarve3 2" xfId="2819" xr:uid="{4D22709D-6B1B-4EAC-853D-701431AF4CB1}"/>
    <cellStyle name="Markeringsfarve4" xfId="1481" xr:uid="{00000000-0005-0000-0000-0000D6010000}"/>
    <cellStyle name="Markeringsfarve4 2" xfId="2820" xr:uid="{A8D99893-C516-43AF-9013-B091C9E6945F}"/>
    <cellStyle name="Markeringsfarve5" xfId="1482" xr:uid="{00000000-0005-0000-0000-0000D7010000}"/>
    <cellStyle name="Markeringsfarve5 2" xfId="2821" xr:uid="{8403B1B9-6540-4934-87AF-75FA9FD50CB9}"/>
    <cellStyle name="Markeringsfarve6" xfId="1483" xr:uid="{00000000-0005-0000-0000-0000D8010000}"/>
    <cellStyle name="Markeringsfarve6 2" xfId="2822" xr:uid="{F09F4017-0BF0-41AE-BD29-43EEE77E5D56}"/>
    <cellStyle name="Migliaia [0] 10" xfId="243" xr:uid="{00000000-0005-0000-0000-0000D9010000}"/>
    <cellStyle name="Migliaia [0] 10 2" xfId="1484" xr:uid="{00000000-0005-0000-0000-0000DA010000}"/>
    <cellStyle name="Migliaia [0] 10 2 2" xfId="1485" xr:uid="{00000000-0005-0000-0000-0000DB010000}"/>
    <cellStyle name="Migliaia [0] 10 2 2 2" xfId="4551" xr:uid="{999B3FD6-67AE-44AB-907A-C4AFA58230E8}"/>
    <cellStyle name="Migliaia [0] 10 2 2 2 2" xfId="21722" xr:uid="{88FF259B-9516-4898-9338-0F8DDAACF31B}"/>
    <cellStyle name="Migliaia [0] 10 2 2 2 3" xfId="47908" xr:uid="{14F5871B-F3CC-4038-B363-8BC00CA4B78E}"/>
    <cellStyle name="Migliaia [0] 10 2 2 2 4" xfId="50750" xr:uid="{027201AF-44DA-4A43-BF48-D3CA5DD64216}"/>
    <cellStyle name="Migliaia [0] 10 2 2 2 5" xfId="53766" xr:uid="{ABE26B7D-3EBD-4032-B940-6E31D1814680}"/>
    <cellStyle name="Migliaia [0] 10 2 2 2 6" xfId="11713" xr:uid="{6DE73F8B-FFEB-4F17-8680-2EB6F6D619FA}"/>
    <cellStyle name="Migliaia [0] 10 2 2 3" xfId="2825" xr:uid="{4A2A0D4B-26C8-409B-862C-0C1DB0D91680}"/>
    <cellStyle name="Migliaia [0] 10 2 2 3 2" xfId="12359" xr:uid="{6EFCE08E-410A-4548-87C2-57E28AEC1C0A}"/>
    <cellStyle name="Migliaia [0] 10 2 2 4" xfId="10619" xr:uid="{DA389CF1-FA40-49A7-B77A-7D7FA06BED99}"/>
    <cellStyle name="Migliaia [0] 10 2 2 4 2" xfId="21254" xr:uid="{F240B5F3-761A-4BED-A808-C918E5CBB4EC}"/>
    <cellStyle name="Migliaia [0] 10 2 2 4 3" xfId="46161" xr:uid="{BB0C014C-096D-47F9-AFFB-FCD7A10A90A0}"/>
    <cellStyle name="Migliaia [0] 10 2 2 4 4" xfId="50269" xr:uid="{6F14E0BA-12C8-4C4A-A7E4-FB28C7DA425E}"/>
    <cellStyle name="Migliaia [0] 10 2 2 4 5" xfId="53285" xr:uid="{860A1E31-EFC3-44A6-BC91-F399E74D50F9}"/>
    <cellStyle name="Migliaia [0] 10 2 2 5" xfId="19504" xr:uid="{E6FBCAB8-60F9-44DF-BA20-002F2688FE77}"/>
    <cellStyle name="Migliaia [0] 10 2 2 6" xfId="23985" xr:uid="{2D7E598C-BA38-4693-887E-5D2534003D08}"/>
    <cellStyle name="Migliaia [0] 10 2 2 7" xfId="48821" xr:uid="{75A3F66D-7CED-4889-91FC-C73299755F2B}"/>
    <cellStyle name="Migliaia [0] 10 2 2 8" xfId="49727" xr:uid="{20FF7DE4-43E4-4796-B19F-2C92EDCB15B4}"/>
    <cellStyle name="Migliaia [0] 10 2 2 9" xfId="8427" xr:uid="{C6D476F6-2F38-41B9-8B4D-59378E0177FD}"/>
    <cellStyle name="Migliaia [0] 10 2 3" xfId="4550" xr:uid="{CA0CB759-0B9A-45D6-A0AE-2F917C5081E3}"/>
    <cellStyle name="Migliaia [0] 10 2 3 2" xfId="32733" xr:uid="{5626A5AD-2B33-4E30-A09F-5F72EAC4CB3F}"/>
    <cellStyle name="Migliaia [0] 10 2 3 2 2" xfId="38084" xr:uid="{DDFDC9F7-71CF-414C-A9F4-CF3A3C22BDDF}"/>
    <cellStyle name="Migliaia [0] 10 2 3 2 3" xfId="43386" xr:uid="{5E8F5ECB-3903-4531-AAEF-94CB2F70562A}"/>
    <cellStyle name="Migliaia [0] 10 2 3 3" xfId="35619" xr:uid="{B86983FA-AD49-4B82-9F07-469C278C5AE5}"/>
    <cellStyle name="Migliaia [0] 10 2 3 4" xfId="40735" xr:uid="{50978E45-1B73-42F5-B744-E40886DA0AE0}"/>
    <cellStyle name="Migliaia [0] 10 2 3 5" xfId="11714" xr:uid="{C7F83385-28B8-4B0B-ACB0-DC1E93976AC8}"/>
    <cellStyle name="Migliaia [0] 10 2 4" xfId="5831" xr:uid="{7AEB3FF7-432E-44AA-8172-CE9C777C0198}"/>
    <cellStyle name="Migliaia [0] 10 2 4 2" xfId="19503" xr:uid="{79F0B802-2C73-4EB8-ACD4-A093828450BE}"/>
    <cellStyle name="Migliaia [0] 10 2 5" xfId="2824" xr:uid="{56BAC4E8-C04D-4429-B195-E3FD40ABE7D3}"/>
    <cellStyle name="Migliaia [0] 10 2 5 2" xfId="23984" xr:uid="{F8462D53-4F88-45F5-951D-F72629C1D8D3}"/>
    <cellStyle name="Migliaia [0] 10 2 6" xfId="7237" xr:uid="{5BF25373-2736-4137-8FFF-FC687EB30CBC}"/>
    <cellStyle name="Migliaia [0] 10 3" xfId="1486" xr:uid="{00000000-0005-0000-0000-0000DC010000}"/>
    <cellStyle name="Migliaia [0] 10 3 2" xfId="4552" xr:uid="{E030A518-07C0-487F-9BD6-245C69FE5AA8}"/>
    <cellStyle name="Migliaia [0] 10 3 2 2" xfId="18302" xr:uid="{32603424-25C0-4E7A-B124-11D6318B7E9A}"/>
    <cellStyle name="Migliaia [0] 10 3 2 2 2" xfId="21723" xr:uid="{B55E9B35-D8D5-4425-888D-FC061736927C}"/>
    <cellStyle name="Migliaia [0] 10 3 2 2 2 2" xfId="38085" xr:uid="{53CBF2D1-AF5B-4943-B4CE-B4A4FF774E89}"/>
    <cellStyle name="Migliaia [0] 10 3 2 2 3" xfId="43387" xr:uid="{A025FC7B-4049-4A56-96BB-88731E50AEA7}"/>
    <cellStyle name="Migliaia [0] 10 3 2 2 4" xfId="32734" xr:uid="{1C46630B-6798-4381-8381-D5130AEA195D}"/>
    <cellStyle name="Migliaia [0] 10 3 2 3" xfId="35620" xr:uid="{9EDC6265-693B-4332-B40D-DDB676E0F40F}"/>
    <cellStyle name="Migliaia [0] 10 3 2 4" xfId="40736" xr:uid="{B3DF3B86-EFB9-4C5B-92CD-47436DC69C6C}"/>
    <cellStyle name="Migliaia [0] 10 3 2 5" xfId="25138" xr:uid="{D77F61D1-618C-40A8-B4A6-92508FABC97C}"/>
    <cellStyle name="Migliaia [0] 10 3 2 6" xfId="50751" xr:uid="{FF83ED88-1DBC-43C2-BE46-51E60A675DF8}"/>
    <cellStyle name="Migliaia [0] 10 3 2 7" xfId="53767" xr:uid="{C6E4B7EF-3ACC-45CC-8C6B-F1CCD52A869E}"/>
    <cellStyle name="Migliaia [0] 10 3 2 8" xfId="17578" xr:uid="{EB7A93AF-C30D-41D9-BA60-1F204A59136F}"/>
    <cellStyle name="Migliaia [0] 10 3 2 9" xfId="11715" xr:uid="{8EDB09B1-09F0-4999-931E-E1783FB289F6}"/>
    <cellStyle name="Migliaia [0] 10 3 3" xfId="5832" xr:uid="{A664D942-F57E-411A-83AD-BBFC362ADD73}"/>
    <cellStyle name="Migliaia [0] 10 3 3 2" xfId="12388" xr:uid="{375ADC1E-238A-47BF-86D3-A0AD03D2FEB5}"/>
    <cellStyle name="Migliaia [0] 10 3 4" xfId="2826" xr:uid="{47FA5C3F-DCD9-4510-BDA4-730F76541B70}"/>
    <cellStyle name="Migliaia [0] 10 3 4 2" xfId="21255" xr:uid="{6E92C856-AB1D-4C88-B067-614861E62CFD}"/>
    <cellStyle name="Migliaia [0] 10 3 4 3" xfId="33094" xr:uid="{30B05481-11B5-4059-A147-A97427969A1C}"/>
    <cellStyle name="Migliaia [0] 10 3 4 4" xfId="50270" xr:uid="{728DC9DE-EAF2-4285-A5BA-20B8AA5B571E}"/>
    <cellStyle name="Migliaia [0] 10 3 4 5" xfId="53286" xr:uid="{68A4F107-607B-46AB-BCCB-D8C56ACF1D40}"/>
    <cellStyle name="Migliaia [0] 10 3 4 6" xfId="10620" xr:uid="{E3673C0C-EDD6-4400-A49A-54ECA7F226A4}"/>
    <cellStyle name="Migliaia [0] 10 3 5" xfId="19505" xr:uid="{75B72AF4-049B-497F-82FA-CBA905F7FE88}"/>
    <cellStyle name="Migliaia [0] 10 3 6" xfId="23986" xr:uid="{8EAC935D-6239-440A-924B-AD0BB9CD3FF7}"/>
    <cellStyle name="Migliaia [0] 10 3 7" xfId="8185" xr:uid="{3F69B0C8-6595-4716-AAAC-8FBDC3B88228}"/>
    <cellStyle name="Migliaia [0] 10 4" xfId="2827" xr:uid="{7CB6AC36-41A6-4376-BA12-9F99B415003A}"/>
    <cellStyle name="Migliaia [0] 10 4 2" xfId="4553" xr:uid="{42CAF7B4-D30F-4275-97DC-72D8FD76F764}"/>
    <cellStyle name="Migliaia [0] 10 4 2 2" xfId="35070" xr:uid="{0203F989-F9A5-41FB-B4F3-677823A5A27C}"/>
    <cellStyle name="Migliaia [0] 10 4 2 2 2" xfId="40228" xr:uid="{BC420652-3EA6-45BA-B0E0-D028B556FF45}"/>
    <cellStyle name="Migliaia [0] 10 4 2 2 3" xfId="45530" xr:uid="{8C2A7826-2D03-469D-A662-6FA29887FCA9}"/>
    <cellStyle name="Migliaia [0] 10 4 2 3" xfId="37577" xr:uid="{1EBE42A6-57D0-4799-8762-46104B6E3E26}"/>
    <cellStyle name="Migliaia [0] 10 4 2 4" xfId="42879" xr:uid="{F0A2A182-72B8-4050-B3DF-40E13DA82845}"/>
    <cellStyle name="Migliaia [0] 10 4 2 5" xfId="17010" xr:uid="{9B45364C-8140-4302-A772-5A7D562A9FCB}"/>
    <cellStyle name="Migliaia [0] 10 4 3" xfId="5833" xr:uid="{9D19FBA8-D655-4015-8F82-2F1261C500C5}"/>
    <cellStyle name="Migliaia [0] 10 4 3 2" xfId="38086" xr:uid="{9BF09399-8D8F-4B13-9B46-01F42D376C54}"/>
    <cellStyle name="Migliaia [0] 10 4 3 3" xfId="43388" xr:uid="{9D415892-79A2-45DB-B514-07D9B44BEE08}"/>
    <cellStyle name="Migliaia [0] 10 4 3 4" xfId="32735" xr:uid="{1B66F756-07E5-4EDF-9D85-F83675B47CEB}"/>
    <cellStyle name="Migliaia [0] 10 4 3 5" xfId="19506" xr:uid="{E4192D5D-7313-456D-A2A1-CD8FFFAE5307}"/>
    <cellStyle name="Migliaia [0] 10 4 4" xfId="35621" xr:uid="{8F5FD01F-9208-4CA4-B825-463092DB04A5}"/>
    <cellStyle name="Migliaia [0] 10 4 5" xfId="40737" xr:uid="{25D40F3C-120D-476E-8937-C49091570518}"/>
    <cellStyle name="Migliaia [0] 10 4 6" xfId="15952" xr:uid="{23E03374-7AB0-4764-A3F7-719C8C52A3EF}"/>
    <cellStyle name="Migliaia [0] 10 4 7" xfId="7765" xr:uid="{6474B145-34F5-4874-9E7D-64DD6D38D430}"/>
    <cellStyle name="Migliaia [0] 10 5" xfId="4549" xr:uid="{BCEB1AC9-0C9F-4486-8C45-0A9276028903}"/>
    <cellStyle name="Migliaia [0] 10 5 2" xfId="32736" xr:uid="{8FBD2449-E8B8-4B3B-821F-CEE83F84C65C}"/>
    <cellStyle name="Migliaia [0] 10 5 2 2" xfId="38087" xr:uid="{81CF2E92-2BBE-4950-876F-EF5DD1C8371B}"/>
    <cellStyle name="Migliaia [0] 10 5 2 3" xfId="43389" xr:uid="{3DA72E82-13BC-4717-B1BE-E5A774F18128}"/>
    <cellStyle name="Migliaia [0] 10 5 3" xfId="35622" xr:uid="{A817DF38-282D-44E1-B3C5-A38B4DCD9CA9}"/>
    <cellStyle name="Migliaia [0] 10 5 4" xfId="40738" xr:uid="{AA5237BF-EAB2-40FB-8392-1FE748E52317}"/>
    <cellStyle name="Migliaia [0] 10 5 5" xfId="17079" xr:uid="{F4A2546B-BD34-47F8-B6DA-068ABB41E019}"/>
    <cellStyle name="Migliaia [0] 10 6" xfId="5830" xr:uid="{13C84C13-B035-47AE-AFE6-38877BACBA26}"/>
    <cellStyle name="Migliaia [0] 10 6 2" xfId="38083" xr:uid="{D01AEB97-B037-4193-9858-6300C14F9137}"/>
    <cellStyle name="Migliaia [0] 10 6 3" xfId="43385" xr:uid="{6D835CC4-D0A6-45B6-8813-C8D2D6326CE7}"/>
    <cellStyle name="Migliaia [0] 10 6 4" xfId="32732" xr:uid="{984B2C36-D113-40AD-8DD8-48E32317A54F}"/>
    <cellStyle name="Migliaia [0] 10 6 5" xfId="19502" xr:uid="{81453B89-2FAE-443C-A0D8-5E180877A01E}"/>
    <cellStyle name="Migliaia [0] 10 7" xfId="2823" xr:uid="{61A91452-1E55-4A98-80FE-70069A3AE398}"/>
    <cellStyle name="Migliaia [0] 10 7 2" xfId="35618" xr:uid="{AB44F613-8D51-47F8-B25A-69BCCF9EC97F}"/>
    <cellStyle name="Migliaia [0] 10 8" xfId="40734" xr:uid="{02F87CE4-AF30-44A5-A095-E62CF7C7B86A}"/>
    <cellStyle name="Migliaia [0] 10 9" xfId="6986" xr:uid="{E08FF961-AC1F-4055-AA16-955B75A8367A}"/>
    <cellStyle name="Migliaia [0] 11" xfId="244" xr:uid="{00000000-0005-0000-0000-0000DD010000}"/>
    <cellStyle name="Migliaia [0] 11 2" xfId="1487" xr:uid="{00000000-0005-0000-0000-0000DE010000}"/>
    <cellStyle name="Migliaia [0] 11 2 2" xfId="1488" xr:uid="{00000000-0005-0000-0000-0000DF010000}"/>
    <cellStyle name="Migliaia [0] 11 2 2 2" xfId="4556" xr:uid="{23E24C56-AEA8-4643-B43E-3036F456A968}"/>
    <cellStyle name="Migliaia [0] 11 2 2 2 2" xfId="21724" xr:uid="{59264761-ABB9-483E-85AF-FDAC3FFC8BD5}"/>
    <cellStyle name="Migliaia [0] 11 2 2 2 3" xfId="47812" xr:uid="{D68201A6-9C51-4FD5-B049-A16D6B2B8BE7}"/>
    <cellStyle name="Migliaia [0] 11 2 2 2 4" xfId="50752" xr:uid="{D7E08D1A-00BF-45AD-8C37-36B9E620974C}"/>
    <cellStyle name="Migliaia [0] 11 2 2 2 5" xfId="53768" xr:uid="{62BFE074-3374-44BB-90F9-07E0D5934BF0}"/>
    <cellStyle name="Migliaia [0] 11 2 2 2 6" xfId="11716" xr:uid="{01604F2D-ABF8-4F7B-B13D-E48DE27C1B58}"/>
    <cellStyle name="Migliaia [0] 11 2 2 3" xfId="2830" xr:uid="{764840E9-B2A5-47C9-96B6-BF71D57B73E0}"/>
    <cellStyle name="Migliaia [0] 11 2 2 3 2" xfId="12187" xr:uid="{301D48AF-0F35-4158-AAB6-BC1717B77763}"/>
    <cellStyle name="Migliaia [0] 11 2 2 4" xfId="10621" xr:uid="{496B0F99-36AE-45A7-8F12-9C2E2C4B6742}"/>
    <cellStyle name="Migliaia [0] 11 2 2 4 2" xfId="21256" xr:uid="{942DFF25-3718-4F85-8AB0-501A2CE9382D}"/>
    <cellStyle name="Migliaia [0] 11 2 2 4 3" xfId="46162" xr:uid="{EA675B6C-8892-4487-8DEE-792947EEF3E6}"/>
    <cellStyle name="Migliaia [0] 11 2 2 4 4" xfId="50271" xr:uid="{40E9D9AF-D88A-4769-984D-F50D3F80260F}"/>
    <cellStyle name="Migliaia [0] 11 2 2 4 5" xfId="53287" xr:uid="{10C293B6-1E94-4D08-AA33-0DCBF81FC23A}"/>
    <cellStyle name="Migliaia [0] 11 2 2 5" xfId="19509" xr:uid="{32CAEAF4-C108-4C5E-8E47-7940C84A1D4D}"/>
    <cellStyle name="Migliaia [0] 11 2 2 6" xfId="23990" xr:uid="{862203CA-B2D6-4C82-887C-809FCC27D248}"/>
    <cellStyle name="Migliaia [0] 11 2 2 7" xfId="48822" xr:uid="{2A388936-ACF8-4A1B-9D17-E51B1BC9A319}"/>
    <cellStyle name="Migliaia [0] 11 2 2 8" xfId="49728" xr:uid="{A514DFD4-5663-445B-9F44-4730C277F543}"/>
    <cellStyle name="Migliaia [0] 11 2 2 9" xfId="8428" xr:uid="{2E4FBF28-B65A-4074-A954-4745ECF71553}"/>
    <cellStyle name="Migliaia [0] 11 2 3" xfId="4555" xr:uid="{493F877F-2E9F-4705-ACED-B510ADEFCC3A}"/>
    <cellStyle name="Migliaia [0] 11 2 3 2" xfId="32738" xr:uid="{DFC9CE0D-977F-4431-8184-ED9E96CD1E7F}"/>
    <cellStyle name="Migliaia [0] 11 2 3 2 2" xfId="38089" xr:uid="{F7217520-C4FC-4661-AB42-2EDEFBA1D975}"/>
    <cellStyle name="Migliaia [0] 11 2 3 2 3" xfId="43391" xr:uid="{45E2CC32-0E4C-46A0-9287-09321FA439E7}"/>
    <cellStyle name="Migliaia [0] 11 2 3 3" xfId="35624" xr:uid="{6EC3EFFF-3E4B-4C5E-8D75-00C218342A8F}"/>
    <cellStyle name="Migliaia [0] 11 2 3 4" xfId="40740" xr:uid="{A76DFA3D-6318-47E3-8689-43019C1015F9}"/>
    <cellStyle name="Migliaia [0] 11 2 3 5" xfId="11717" xr:uid="{E1E6FC8B-E92A-4E34-A961-521912063968}"/>
    <cellStyle name="Migliaia [0] 11 2 4" xfId="5835" xr:uid="{CE80F89E-96EC-4755-ABBD-25897286F924}"/>
    <cellStyle name="Migliaia [0] 11 2 4 2" xfId="19508" xr:uid="{EC8CD040-248E-447A-80A0-7C659D2BF32B}"/>
    <cellStyle name="Migliaia [0] 11 2 5" xfId="2829" xr:uid="{E593B6A2-C878-4D71-9452-E4317F029FF2}"/>
    <cellStyle name="Migliaia [0] 11 2 5 2" xfId="23989" xr:uid="{639FCF0F-1CCF-4593-97CF-D4749EBF89DF}"/>
    <cellStyle name="Migliaia [0] 11 2 6" xfId="7238" xr:uid="{C14CBBC9-E9FA-49AA-86EC-E2B22A0C09C1}"/>
    <cellStyle name="Migliaia [0] 11 3" xfId="1489" xr:uid="{00000000-0005-0000-0000-0000E0010000}"/>
    <cellStyle name="Migliaia [0] 11 3 2" xfId="4557" xr:uid="{4F45E4F8-7A27-4FC4-9579-672B92584CD5}"/>
    <cellStyle name="Migliaia [0] 11 3 2 2" xfId="18303" xr:uid="{09E64380-6CCA-4A63-9101-AFD1AD3B3E8E}"/>
    <cellStyle name="Migliaia [0] 11 3 2 2 2" xfId="21725" xr:uid="{E58DEF30-8078-48D5-B61B-41FDDCFBDFD3}"/>
    <cellStyle name="Migliaia [0] 11 3 2 2 2 2" xfId="38090" xr:uid="{3CBA23F5-D233-4B3B-B82F-6023AE2B1F26}"/>
    <cellStyle name="Migliaia [0] 11 3 2 2 3" xfId="43392" xr:uid="{293A6D71-350E-4377-B2DE-7C6929045628}"/>
    <cellStyle name="Migliaia [0] 11 3 2 2 4" xfId="32739" xr:uid="{6D3F1EC3-29C3-4901-AC0E-2182F0206ECE}"/>
    <cellStyle name="Migliaia [0] 11 3 2 3" xfId="35625" xr:uid="{F7AE41D5-8767-4FD6-9DFC-83022328024B}"/>
    <cellStyle name="Migliaia [0] 11 3 2 4" xfId="40741" xr:uid="{57F18934-5F7B-4EBF-924D-454182003AFD}"/>
    <cellStyle name="Migliaia [0] 11 3 2 5" xfId="48041" xr:uid="{1A8B819F-731C-45C0-82E0-F8814C0E01E1}"/>
    <cellStyle name="Migliaia [0] 11 3 2 6" xfId="50753" xr:uid="{E2D2D743-5E82-4FF1-9423-C97C93B4DE64}"/>
    <cellStyle name="Migliaia [0] 11 3 2 7" xfId="53769" xr:uid="{0C24C65F-3CF1-46AB-85A8-0C0FEAE0A30C}"/>
    <cellStyle name="Migliaia [0] 11 3 2 8" xfId="17579" xr:uid="{F37EA7CF-8F4F-4B27-A940-4AE56FEECBA5}"/>
    <cellStyle name="Migliaia [0] 11 3 2 9" xfId="11718" xr:uid="{68BB5301-97C8-4603-B742-45AF7AB019E0}"/>
    <cellStyle name="Migliaia [0] 11 3 3" xfId="5836" xr:uid="{9E6DAAAF-7D03-4C4F-A45C-FB356F2B8D6F}"/>
    <cellStyle name="Migliaia [0] 11 3 3 2" xfId="12387" xr:uid="{51E193AB-6371-411A-AEA3-A405E11BF761}"/>
    <cellStyle name="Migliaia [0] 11 3 4" xfId="2831" xr:uid="{0CA9844A-4371-4CB6-9E73-D18C81EB3EB8}"/>
    <cellStyle name="Migliaia [0] 11 3 4 2" xfId="21257" xr:uid="{EDEC153A-F870-4031-990C-4EB2B66A414D}"/>
    <cellStyle name="Migliaia [0] 11 3 4 3" xfId="47070" xr:uid="{87FD6517-FE96-42F6-B74F-6FDB8A0A0CB7}"/>
    <cellStyle name="Migliaia [0] 11 3 4 4" xfId="50272" xr:uid="{73982BB7-078A-434A-92A8-B920C018F3E3}"/>
    <cellStyle name="Migliaia [0] 11 3 4 5" xfId="53288" xr:uid="{B3B50D06-DB39-411B-AD52-7AF32E822727}"/>
    <cellStyle name="Migliaia [0] 11 3 4 6" xfId="10622" xr:uid="{592F767C-1C40-42B1-A533-E1CBD15B33FB}"/>
    <cellStyle name="Migliaia [0] 11 3 5" xfId="19510" xr:uid="{54BF0388-1414-42B4-AE44-68BE58322081}"/>
    <cellStyle name="Migliaia [0] 11 3 6" xfId="23991" xr:uid="{AD4A1204-D213-41DE-B28F-09437049005E}"/>
    <cellStyle name="Migliaia [0] 11 3 7" xfId="8186" xr:uid="{6DF17F47-207B-4838-B6C7-9006DEFAB58E}"/>
    <cellStyle name="Migliaia [0] 11 4" xfId="2832" xr:uid="{2F2731B5-BD61-4E8F-B816-BDA9DBB55759}"/>
    <cellStyle name="Migliaia [0] 11 4 2" xfId="4558" xr:uid="{8544E5B5-9610-4D5E-A25A-031A731D95BD}"/>
    <cellStyle name="Migliaia [0] 11 4 2 2" xfId="35071" xr:uid="{67DB0429-CCEE-4583-B5CD-37F905DC0E4B}"/>
    <cellStyle name="Migliaia [0] 11 4 2 2 2" xfId="40229" xr:uid="{D765A415-7CDC-4FFF-A69B-6EAFFCF4E67E}"/>
    <cellStyle name="Migliaia [0] 11 4 2 2 3" xfId="45531" xr:uid="{934C9767-4A86-4EDE-9AD5-DECDEFF71955}"/>
    <cellStyle name="Migliaia [0] 11 4 2 3" xfId="37578" xr:uid="{E18E2008-CA7E-4B04-AAA0-CC517EFA28E2}"/>
    <cellStyle name="Migliaia [0] 11 4 2 4" xfId="42880" xr:uid="{F586F849-ABAF-4A32-8281-41B62293C7E0}"/>
    <cellStyle name="Migliaia [0] 11 4 2 5" xfId="17011" xr:uid="{73C72A76-2D87-43FC-8B4F-212ABC80AAC9}"/>
    <cellStyle name="Migliaia [0] 11 4 3" xfId="5837" xr:uid="{7C2C0142-35DD-4656-97ED-44B09C2560A4}"/>
    <cellStyle name="Migliaia [0] 11 4 3 2" xfId="38091" xr:uid="{E11DAC6C-636C-4B2A-A58B-765591CBC6B9}"/>
    <cellStyle name="Migliaia [0] 11 4 3 3" xfId="43393" xr:uid="{9EB3241F-49AD-406A-A470-AB2994A828A1}"/>
    <cellStyle name="Migliaia [0] 11 4 3 4" xfId="32740" xr:uid="{9E12FBCB-4D52-4954-9541-E2F062857A96}"/>
    <cellStyle name="Migliaia [0] 11 4 3 5" xfId="19511" xr:uid="{7B1E7D23-A6A8-4518-8942-5F5EDD428ABD}"/>
    <cellStyle name="Migliaia [0] 11 4 4" xfId="35626" xr:uid="{B5848ED3-5E11-41E9-B88C-F7FDA1A5022C}"/>
    <cellStyle name="Migliaia [0] 11 4 5" xfId="40742" xr:uid="{891D0BC9-7FC2-4058-993D-B7C632B8A36C}"/>
    <cellStyle name="Migliaia [0] 11 4 6" xfId="15953" xr:uid="{3E220F18-4C81-4657-9E80-07F6F16D1153}"/>
    <cellStyle name="Migliaia [0] 11 4 7" xfId="7766" xr:uid="{067A2235-FA15-41A1-BEA7-A1153E6956F4}"/>
    <cellStyle name="Migliaia [0] 11 5" xfId="4554" xr:uid="{DFEB13CA-4012-4558-A3E4-8DFCB6B4784B}"/>
    <cellStyle name="Migliaia [0] 11 5 2" xfId="32741" xr:uid="{7B0FFA3A-80D7-46A2-BD4E-EDF2F2D7FCF7}"/>
    <cellStyle name="Migliaia [0] 11 5 2 2" xfId="38092" xr:uid="{24C7AB53-9D67-4EB1-AA5C-37847DB16385}"/>
    <cellStyle name="Migliaia [0] 11 5 2 3" xfId="43394" xr:uid="{022D26D2-2285-4EE4-8000-2B00F7806CC1}"/>
    <cellStyle name="Migliaia [0] 11 5 3" xfId="35627" xr:uid="{260E286C-4C73-4767-BA57-960BBB019ECA}"/>
    <cellStyle name="Migliaia [0] 11 5 4" xfId="40743" xr:uid="{CFF6DFE9-563C-437F-BCC9-3F4A63DEB14E}"/>
    <cellStyle name="Migliaia [0] 11 5 5" xfId="17080" xr:uid="{B97CB089-D2B3-4521-8093-0F9C7A7C25CB}"/>
    <cellStyle name="Migliaia [0] 11 6" xfId="5834" xr:uid="{F191B135-8A2F-4D89-8C7E-3B7E08CB70FB}"/>
    <cellStyle name="Migliaia [0] 11 6 2" xfId="38088" xr:uid="{95D28DEB-BB54-4B22-8389-1B31741C8BE8}"/>
    <cellStyle name="Migliaia [0] 11 6 3" xfId="43390" xr:uid="{29BE119B-C6AE-4B50-A6FA-FE89BB0C1517}"/>
    <cellStyle name="Migliaia [0] 11 6 4" xfId="32737" xr:uid="{D04CD689-0E08-45D9-AB6F-304A820773F9}"/>
    <cellStyle name="Migliaia [0] 11 6 5" xfId="19507" xr:uid="{7C21942A-8C7E-4C52-9E89-C5010238BE3A}"/>
    <cellStyle name="Migliaia [0] 11 7" xfId="2828" xr:uid="{58B0FE29-850A-4580-97E4-0F16E310B732}"/>
    <cellStyle name="Migliaia [0] 11 7 2" xfId="35623" xr:uid="{399ECD98-AF54-4F35-B9B4-5263AD650D82}"/>
    <cellStyle name="Migliaia [0] 11 8" xfId="40739" xr:uid="{AE83EADC-09B2-4092-A9AD-9068511853F6}"/>
    <cellStyle name="Migliaia [0] 11 9" xfId="6987" xr:uid="{38547FD6-10E9-48D5-AB9B-35BC9CDBA81A}"/>
    <cellStyle name="Migliaia [0] 12" xfId="245" xr:uid="{00000000-0005-0000-0000-0000E1010000}"/>
    <cellStyle name="Migliaia [0] 12 2" xfId="1490" xr:uid="{00000000-0005-0000-0000-0000E2010000}"/>
    <cellStyle name="Migliaia [0] 12 2 2" xfId="1491" xr:uid="{00000000-0005-0000-0000-0000E3010000}"/>
    <cellStyle name="Migliaia [0] 12 2 2 2" xfId="4561" xr:uid="{10A5570A-6DB3-4D72-954F-5F02503D261A}"/>
    <cellStyle name="Migliaia [0] 12 2 2 2 2" xfId="21726" xr:uid="{312674E8-83E4-4EAC-8507-FC39B1DC6FA0}"/>
    <cellStyle name="Migliaia [0] 12 2 2 2 3" xfId="48482" xr:uid="{9286573A-3570-44DF-9833-70E41F870C9E}"/>
    <cellStyle name="Migliaia [0] 12 2 2 2 4" xfId="50754" xr:uid="{796AB16E-8734-4751-9E94-55FAB8B83DF8}"/>
    <cellStyle name="Migliaia [0] 12 2 2 2 5" xfId="53770" xr:uid="{D15ED7BB-CF80-4BDF-8DCD-02DB71B37271}"/>
    <cellStyle name="Migliaia [0] 12 2 2 2 6" xfId="11719" xr:uid="{E4A34C93-F4D9-4AA3-A838-ACFD196DB5B6}"/>
    <cellStyle name="Migliaia [0] 12 2 2 3" xfId="2835" xr:uid="{531F8008-F03F-46E7-95F0-49C85054C880}"/>
    <cellStyle name="Migliaia [0] 12 2 2 3 2" xfId="11550" xr:uid="{01A78761-5E8C-4054-A35A-7C0207F95ABF}"/>
    <cellStyle name="Migliaia [0] 12 2 2 4" xfId="10623" xr:uid="{F04DF626-4091-4FC4-938B-AFAFC69B0D7D}"/>
    <cellStyle name="Migliaia [0] 12 2 2 4 2" xfId="21258" xr:uid="{3F28FE20-8B5F-426A-A222-7085AB5BE8E2}"/>
    <cellStyle name="Migliaia [0] 12 2 2 4 3" xfId="46163" xr:uid="{E3FE9A07-1294-43B5-828F-508A3838E030}"/>
    <cellStyle name="Migliaia [0] 12 2 2 4 4" xfId="50273" xr:uid="{D898A422-ABAF-472B-BC6C-8F19ED2BE4B4}"/>
    <cellStyle name="Migliaia [0] 12 2 2 4 5" xfId="53289" xr:uid="{BB3C2FEF-33AC-4769-A323-65DBCC6085D4}"/>
    <cellStyle name="Migliaia [0] 12 2 2 5" xfId="19514" xr:uid="{8577F54C-5695-41A5-A523-699C96D5B3AC}"/>
    <cellStyle name="Migliaia [0] 12 2 2 6" xfId="23995" xr:uid="{E674F004-7ACF-4D36-8B0F-091C3CC69618}"/>
    <cellStyle name="Migliaia [0] 12 2 2 7" xfId="48823" xr:uid="{6E2459DA-D245-4A14-B85C-05D758E91B04}"/>
    <cellStyle name="Migliaia [0] 12 2 2 8" xfId="49729" xr:uid="{0C3F1757-98BA-42B4-9358-9FCA3C27B5E8}"/>
    <cellStyle name="Migliaia [0] 12 2 2 9" xfId="8429" xr:uid="{EE606C00-A3AE-4F37-B2A9-FA0B25ECED00}"/>
    <cellStyle name="Migliaia [0] 12 2 3" xfId="4560" xr:uid="{EC24913A-74EC-4D9B-8800-6114077B579C}"/>
    <cellStyle name="Migliaia [0] 12 2 3 2" xfId="32743" xr:uid="{8A134422-01B6-4F6C-83B4-680EEAFCDDB1}"/>
    <cellStyle name="Migliaia [0] 12 2 3 2 2" xfId="38094" xr:uid="{D3234E57-20EC-4152-A0A4-64D5A50BA9A8}"/>
    <cellStyle name="Migliaia [0] 12 2 3 2 3" xfId="43396" xr:uid="{51AB5F9A-065E-4F5C-8FE8-7B0E6C7EB83A}"/>
    <cellStyle name="Migliaia [0] 12 2 3 3" xfId="35629" xr:uid="{B4222F0D-0363-4A26-9A82-1EB87726368C}"/>
    <cellStyle name="Migliaia [0] 12 2 3 4" xfId="40745" xr:uid="{D3016EE9-1532-4C27-AB9A-D4732A6D52C5}"/>
    <cellStyle name="Migliaia [0] 12 2 3 5" xfId="11720" xr:uid="{1B522BB0-2759-43B2-8A9F-95CAA6FCBBF2}"/>
    <cellStyle name="Migliaia [0] 12 2 4" xfId="5839" xr:uid="{FAB03C12-8009-4821-8474-7E56BB49616C}"/>
    <cellStyle name="Migliaia [0] 12 2 4 2" xfId="19513" xr:uid="{11A29F8F-8377-46F1-863D-23F38725A659}"/>
    <cellStyle name="Migliaia [0] 12 2 5" xfId="2834" xr:uid="{991B8689-4909-4645-A50A-0CE6E70C88F2}"/>
    <cellStyle name="Migliaia [0] 12 2 5 2" xfId="23994" xr:uid="{C837F339-0469-4A79-AA58-D11635802C36}"/>
    <cellStyle name="Migliaia [0] 12 2 6" xfId="7239" xr:uid="{CE080944-5604-452B-B697-86285E33C36C}"/>
    <cellStyle name="Migliaia [0] 12 3" xfId="1492" xr:uid="{00000000-0005-0000-0000-0000E4010000}"/>
    <cellStyle name="Migliaia [0] 12 3 2" xfId="4562" xr:uid="{9B8EFC47-D882-4B05-9B6B-3048D7C90C16}"/>
    <cellStyle name="Migliaia [0] 12 3 2 2" xfId="18304" xr:uid="{B9106936-4F54-4891-B3B3-7FFDEBE21988}"/>
    <cellStyle name="Migliaia [0] 12 3 2 2 2" xfId="21727" xr:uid="{39592346-4631-4797-8A16-514297F15D7D}"/>
    <cellStyle name="Migliaia [0] 12 3 2 2 2 2" xfId="38095" xr:uid="{9F66644D-3ED7-4E3F-AABF-35395D4FB514}"/>
    <cellStyle name="Migliaia [0] 12 3 2 2 3" xfId="43397" xr:uid="{14ECD713-CE7C-4565-A5C1-4F1DA792CB7C}"/>
    <cellStyle name="Migliaia [0] 12 3 2 2 4" xfId="32744" xr:uid="{F2AA1D52-DA13-4FFA-B7A7-745A27D6302D}"/>
    <cellStyle name="Migliaia [0] 12 3 2 3" xfId="35630" xr:uid="{4B4D9441-2E77-448C-AA0A-AE7F7179F265}"/>
    <cellStyle name="Migliaia [0] 12 3 2 4" xfId="40746" xr:uid="{EA904707-BDCC-4381-A52C-D70C5CD183BF}"/>
    <cellStyle name="Migliaia [0] 12 3 2 5" xfId="32439" xr:uid="{95B64247-B9BC-4D05-A0B5-E4B543CC9E77}"/>
    <cellStyle name="Migliaia [0] 12 3 2 6" xfId="50755" xr:uid="{C0289138-5744-4E63-A83E-21318387986A}"/>
    <cellStyle name="Migliaia [0] 12 3 2 7" xfId="53771" xr:uid="{BEE6C16C-5CD6-49A7-80DA-E1B66BE788DE}"/>
    <cellStyle name="Migliaia [0] 12 3 2 8" xfId="17580" xr:uid="{60528423-7AA3-4ACD-9482-3954D35FCAE9}"/>
    <cellStyle name="Migliaia [0] 12 3 2 9" xfId="11721" xr:uid="{E8C7B4F5-8F06-4F33-BCF0-800C6CF6810C}"/>
    <cellStyle name="Migliaia [0] 12 3 3" xfId="5840" xr:uid="{303721FE-7B31-4311-B01E-B04D41D6AC62}"/>
    <cellStyle name="Migliaia [0] 12 3 3 2" xfId="11664" xr:uid="{2AA52962-801B-4F8B-8E90-A078EDD4C985}"/>
    <cellStyle name="Migliaia [0] 12 3 4" xfId="2836" xr:uid="{7B69FA74-4B5B-487B-AA7E-0745D5A5CF56}"/>
    <cellStyle name="Migliaia [0] 12 3 4 2" xfId="21259" xr:uid="{00487C59-AB9B-46FE-90F5-3943CADA93EB}"/>
    <cellStyle name="Migliaia [0] 12 3 4 3" xfId="46164" xr:uid="{9CB3F2D8-10AD-40F4-AC9F-5A90A9A43528}"/>
    <cellStyle name="Migliaia [0] 12 3 4 4" xfId="50274" xr:uid="{500B735A-5D07-4ADE-A804-0F2A1823B0A2}"/>
    <cellStyle name="Migliaia [0] 12 3 4 5" xfId="53290" xr:uid="{A50CFA90-1040-4BDA-AF2F-77B3BD426ECD}"/>
    <cellStyle name="Migliaia [0] 12 3 4 6" xfId="10624" xr:uid="{AE910FD3-9F5D-45C4-B560-1BB76C9EEE30}"/>
    <cellStyle name="Migliaia [0] 12 3 5" xfId="19515" xr:uid="{1AA380B3-D41C-4F19-B82E-E71566B44313}"/>
    <cellStyle name="Migliaia [0] 12 3 6" xfId="23997" xr:uid="{7752C9CE-7E27-4D1D-86FB-0F861E969802}"/>
    <cellStyle name="Migliaia [0] 12 3 7" xfId="8187" xr:uid="{74C8D24A-022B-4DCE-B8E5-D312840EBE1C}"/>
    <cellStyle name="Migliaia [0] 12 4" xfId="2837" xr:uid="{3B749466-A29E-4335-A3B7-3D4672B57B9A}"/>
    <cellStyle name="Migliaia [0] 12 4 2" xfId="4563" xr:uid="{C7753B1D-1C34-4A30-B14C-36F3682D889B}"/>
    <cellStyle name="Migliaia [0] 12 4 2 2" xfId="35072" xr:uid="{5ED4E584-6050-4F3F-A86C-E514DF89B635}"/>
    <cellStyle name="Migliaia [0] 12 4 2 2 2" xfId="40230" xr:uid="{398FE18B-E345-4A8F-8A39-A4171490C20D}"/>
    <cellStyle name="Migliaia [0] 12 4 2 2 3" xfId="45532" xr:uid="{350A72E1-81DB-4606-8B1B-B3F3EB1316D1}"/>
    <cellStyle name="Migliaia [0] 12 4 2 3" xfId="37579" xr:uid="{423FC20E-1C11-4673-B4F3-FDF719ED2617}"/>
    <cellStyle name="Migliaia [0] 12 4 2 4" xfId="42881" xr:uid="{C40BF727-16BD-4BCA-AFD9-3A777F31C4D8}"/>
    <cellStyle name="Migliaia [0] 12 4 2 5" xfId="17012" xr:uid="{1322B188-635D-41D8-A4F3-C00396C5EEB7}"/>
    <cellStyle name="Migliaia [0] 12 4 3" xfId="5841" xr:uid="{F7D59A87-2DA1-43DE-A02C-8853FA03EBC5}"/>
    <cellStyle name="Migliaia [0] 12 4 3 2" xfId="38096" xr:uid="{0F104E4A-DB54-4A63-B0ED-D5672A2B029E}"/>
    <cellStyle name="Migliaia [0] 12 4 3 3" xfId="43398" xr:uid="{7A0BEA5E-C02D-40C4-8105-D30E2A212FC5}"/>
    <cellStyle name="Migliaia [0] 12 4 3 4" xfId="32745" xr:uid="{F27A24D7-821B-4D40-B3A7-E650F494C53A}"/>
    <cellStyle name="Migliaia [0] 12 4 3 5" xfId="19516" xr:uid="{E8C638F3-601A-4889-B436-1C343C8717A0}"/>
    <cellStyle name="Migliaia [0] 12 4 4" xfId="35631" xr:uid="{5CAA192F-AEDD-4045-A293-AF8CB32DDFC5}"/>
    <cellStyle name="Migliaia [0] 12 4 5" xfId="40747" xr:uid="{F9EDFFE8-BF5D-4529-BA25-1AD0EE27D1D3}"/>
    <cellStyle name="Migliaia [0] 12 4 6" xfId="15954" xr:uid="{89F68A9F-4EE1-45BC-B729-16F1F8BA14E3}"/>
    <cellStyle name="Migliaia [0] 12 4 7" xfId="7767" xr:uid="{96B9447D-1B4A-49A1-9192-94D221997803}"/>
    <cellStyle name="Migliaia [0] 12 5" xfId="4559" xr:uid="{990C6E4F-784B-4711-AB35-D0E15F9A54C7}"/>
    <cellStyle name="Migliaia [0] 12 5 2" xfId="32746" xr:uid="{39DB7B07-0921-4324-BFB8-59EEFEAF3DF8}"/>
    <cellStyle name="Migliaia [0] 12 5 2 2" xfId="38097" xr:uid="{E7BB2B29-989E-4560-9385-1C37491AB143}"/>
    <cellStyle name="Migliaia [0] 12 5 2 3" xfId="43399" xr:uid="{B8EDCD85-C31A-4596-9375-44976FD73735}"/>
    <cellStyle name="Migliaia [0] 12 5 3" xfId="35632" xr:uid="{F3DA76BE-D540-494C-8918-9DD725C9449B}"/>
    <cellStyle name="Migliaia [0] 12 5 4" xfId="40748" xr:uid="{957E11F4-D868-435A-BDD5-1E55B1F947CC}"/>
    <cellStyle name="Migliaia [0] 12 5 5" xfId="17081" xr:uid="{E44F532E-8038-4A89-99B8-99E069E1AE1F}"/>
    <cellStyle name="Migliaia [0] 12 6" xfId="5838" xr:uid="{544904AB-2049-4D94-9672-2E5FC2179FFC}"/>
    <cellStyle name="Migliaia [0] 12 6 2" xfId="38093" xr:uid="{B14A59F5-5799-45E0-813D-C3E8F445CBB6}"/>
    <cellStyle name="Migliaia [0] 12 6 3" xfId="43395" xr:uid="{BA3B21FC-EDD7-42FD-A886-3B09EEC64F7A}"/>
    <cellStyle name="Migliaia [0] 12 6 4" xfId="32742" xr:uid="{0785C0DD-756F-482F-8EA5-26506EBDB76E}"/>
    <cellStyle name="Migliaia [0] 12 6 5" xfId="19512" xr:uid="{BA18C566-0173-46B6-8849-E17B63E95903}"/>
    <cellStyle name="Migliaia [0] 12 7" xfId="2833" xr:uid="{8251F09E-C866-4E04-A61C-CA02C7D30EF3}"/>
    <cellStyle name="Migliaia [0] 12 7 2" xfId="35628" xr:uid="{98726E57-27BF-4303-A589-2BF84E342ED9}"/>
    <cellStyle name="Migliaia [0] 12 8" xfId="40744" xr:uid="{7300E5D2-DAEB-4AD7-BC81-D33F84091B03}"/>
    <cellStyle name="Migliaia [0] 12 9" xfId="6988" xr:uid="{6AE3A55B-2F2E-4466-A510-1AE4A3EE4430}"/>
    <cellStyle name="Migliaia [0] 13" xfId="246" xr:uid="{00000000-0005-0000-0000-0000E5010000}"/>
    <cellStyle name="Migliaia [0] 13 2" xfId="1493" xr:uid="{00000000-0005-0000-0000-0000E6010000}"/>
    <cellStyle name="Migliaia [0] 13 2 2" xfId="1494" xr:uid="{00000000-0005-0000-0000-0000E7010000}"/>
    <cellStyle name="Migliaia [0] 13 2 2 2" xfId="4566" xr:uid="{22A955E1-BEBD-46C5-A2BA-429E60A57550}"/>
    <cellStyle name="Migliaia [0] 13 2 2 2 2" xfId="21728" xr:uid="{B30E7192-1A05-4B37-989A-ED19BD001978}"/>
    <cellStyle name="Migliaia [0] 13 2 2 2 3" xfId="48391" xr:uid="{BD51BEF0-F5D8-46AF-9524-888F03809EA7}"/>
    <cellStyle name="Migliaia [0] 13 2 2 2 4" xfId="50756" xr:uid="{9D5EB198-F7C4-4F34-8B96-8202AAF2A347}"/>
    <cellStyle name="Migliaia [0] 13 2 2 2 5" xfId="53772" xr:uid="{784DA9F3-B823-44CB-A975-A169C56110AD}"/>
    <cellStyle name="Migliaia [0] 13 2 2 2 6" xfId="11722" xr:uid="{F2CEDF97-C560-431F-B0BB-A4735EAEBE96}"/>
    <cellStyle name="Migliaia [0] 13 2 2 3" xfId="2840" xr:uid="{2BD6047C-9890-41A6-B215-077D73343DA6}"/>
    <cellStyle name="Migliaia [0] 13 2 2 3 2" xfId="12358" xr:uid="{9DB7C7ED-DAE0-4DD7-BFED-14329B23BD50}"/>
    <cellStyle name="Migliaia [0] 13 2 2 4" xfId="10625" xr:uid="{9E84268D-A082-4168-BA2E-1AD723B3CE79}"/>
    <cellStyle name="Migliaia [0] 13 2 2 4 2" xfId="21260" xr:uid="{42AA7629-F62A-4C35-9DE8-00FD6F106E29}"/>
    <cellStyle name="Migliaia [0] 13 2 2 4 3" xfId="48464" xr:uid="{ACBD954F-0930-4047-A851-041C0D48BF0D}"/>
    <cellStyle name="Migliaia [0] 13 2 2 4 4" xfId="50275" xr:uid="{F48BA1DA-8564-483D-A6D2-BEAE5284D5DC}"/>
    <cellStyle name="Migliaia [0] 13 2 2 4 5" xfId="53291" xr:uid="{F3BBAD1A-7B63-4EA5-91A6-02DDE318FD7F}"/>
    <cellStyle name="Migliaia [0] 13 2 2 5" xfId="19519" xr:uid="{290156F5-16B8-4EF1-AB77-788A955E0A9C}"/>
    <cellStyle name="Migliaia [0] 13 2 2 6" xfId="24002" xr:uid="{484925DF-5331-4976-8295-FD31B2A88D81}"/>
    <cellStyle name="Migliaia [0] 13 2 2 7" xfId="48824" xr:uid="{D245AB43-29E5-4295-BEB9-9D4EBD42D1B3}"/>
    <cellStyle name="Migliaia [0] 13 2 2 8" xfId="49730" xr:uid="{E2FF0F76-FFF6-48AE-8D90-1FEA8E685DDA}"/>
    <cellStyle name="Migliaia [0] 13 2 2 9" xfId="8430" xr:uid="{7B341595-62C6-407F-A212-A7E3390547A2}"/>
    <cellStyle name="Migliaia [0] 13 2 3" xfId="4565" xr:uid="{2AA102CB-5459-4977-8D27-116E6057F4AB}"/>
    <cellStyle name="Migliaia [0] 13 2 3 2" xfId="32748" xr:uid="{7C7388AF-A660-4AC4-9FE6-DCC39AFDAFED}"/>
    <cellStyle name="Migliaia [0] 13 2 3 2 2" xfId="38099" xr:uid="{187FC267-7E1C-442F-9D26-5F7DF00A2355}"/>
    <cellStyle name="Migliaia [0] 13 2 3 2 3" xfId="43401" xr:uid="{DD662706-23D0-47F6-993D-436B4AB4BC93}"/>
    <cellStyle name="Migliaia [0] 13 2 3 3" xfId="35634" xr:uid="{FD951A6E-C76E-4BB0-83FB-58E34C89DAB1}"/>
    <cellStyle name="Migliaia [0] 13 2 3 4" xfId="40750" xr:uid="{7BAA5306-AE38-4708-9524-C2994FBD150D}"/>
    <cellStyle name="Migliaia [0] 13 2 3 5" xfId="11723" xr:uid="{405E3665-CC22-418D-BA6B-E5EA86B8E7A9}"/>
    <cellStyle name="Migliaia [0] 13 2 4" xfId="5843" xr:uid="{05522FDB-75D0-4E38-B8D1-A8C5C62D2260}"/>
    <cellStyle name="Migliaia [0] 13 2 4 2" xfId="19518" xr:uid="{F157ABB2-9D74-4700-9FE0-AD97AE76B61E}"/>
    <cellStyle name="Migliaia [0] 13 2 5" xfId="2839" xr:uid="{6ED0F1EC-DEAE-4D28-98DE-8AEF01466F64}"/>
    <cellStyle name="Migliaia [0] 13 2 5 2" xfId="24001" xr:uid="{E176E979-0827-4BAC-BC3F-2B35B12F4E03}"/>
    <cellStyle name="Migliaia [0] 13 2 6" xfId="7240" xr:uid="{081FEDC0-A335-470E-B909-E20A419CDFCD}"/>
    <cellStyle name="Migliaia [0] 13 3" xfId="1495" xr:uid="{00000000-0005-0000-0000-0000E8010000}"/>
    <cellStyle name="Migliaia [0] 13 3 2" xfId="4567" xr:uid="{80644B9A-D30C-4E61-91AC-21DE9E960AF0}"/>
    <cellStyle name="Migliaia [0] 13 3 2 2" xfId="18305" xr:uid="{E2076EED-CD44-4D03-86FA-63F146BA9B0C}"/>
    <cellStyle name="Migliaia [0] 13 3 2 2 2" xfId="21729" xr:uid="{E4DE9AE8-DFC2-4CBA-B2D7-217FDD268166}"/>
    <cellStyle name="Migliaia [0] 13 3 2 2 2 2" xfId="38100" xr:uid="{34BD45CE-7510-44D7-8794-226BA0E6C75D}"/>
    <cellStyle name="Migliaia [0] 13 3 2 2 3" xfId="43402" xr:uid="{698429CB-2791-47CD-9E53-234EC7423CAB}"/>
    <cellStyle name="Migliaia [0] 13 3 2 2 4" xfId="32749" xr:uid="{8587E112-8644-4FD6-BDB0-5CA813E3DE3F}"/>
    <cellStyle name="Migliaia [0] 13 3 2 3" xfId="35635" xr:uid="{9426542D-19EB-46A5-AC88-80A1B5DBC321}"/>
    <cellStyle name="Migliaia [0] 13 3 2 4" xfId="40751" xr:uid="{946EE8C2-E680-4859-952E-F3D88C41EE5B}"/>
    <cellStyle name="Migliaia [0] 13 3 2 5" xfId="24709" xr:uid="{CB9DA9FD-5357-43A9-9E42-EFFD5BE1CD40}"/>
    <cellStyle name="Migliaia [0] 13 3 2 6" xfId="50757" xr:uid="{B497E358-D0DD-4A64-A83A-616161187D0D}"/>
    <cellStyle name="Migliaia [0] 13 3 2 7" xfId="53773" xr:uid="{78B2329A-5435-4F2C-B6FB-FDC58AA43C47}"/>
    <cellStyle name="Migliaia [0] 13 3 2 8" xfId="17581" xr:uid="{A9857665-0EEE-4966-B0BC-9D4DFA62A284}"/>
    <cellStyle name="Migliaia [0] 13 3 2 9" xfId="11724" xr:uid="{7376C0B6-E7AA-4CED-A811-4A592325063D}"/>
    <cellStyle name="Migliaia [0] 13 3 3" xfId="5844" xr:uid="{C19A80FE-D3A2-4D78-9792-C18C46D4F4E1}"/>
    <cellStyle name="Migliaia [0] 13 3 3 2" xfId="11113" xr:uid="{3E54BF78-DF35-4818-B301-8EAF5C1E4E9B}"/>
    <cellStyle name="Migliaia [0] 13 3 4" xfId="2841" xr:uid="{A2673999-0FDE-4D25-AA1C-129A443560CA}"/>
    <cellStyle name="Migliaia [0] 13 3 4 2" xfId="21261" xr:uid="{1459DB63-64C5-4519-9188-2B6A1833D8F1}"/>
    <cellStyle name="Migliaia [0] 13 3 4 3" xfId="48002" xr:uid="{D087DEF7-C63A-4B09-A43D-14C0DCBF5ADF}"/>
    <cellStyle name="Migliaia [0] 13 3 4 4" xfId="50276" xr:uid="{C7D6E192-183F-4777-B082-A694BD6AAEB6}"/>
    <cellStyle name="Migliaia [0] 13 3 4 5" xfId="53292" xr:uid="{91AE3256-97E0-42B5-8C01-1449A52D696C}"/>
    <cellStyle name="Migliaia [0] 13 3 4 6" xfId="10626" xr:uid="{110E46B4-DE55-434C-A3C2-7DD6EEFAAEC2}"/>
    <cellStyle name="Migliaia [0] 13 3 5" xfId="19520" xr:uid="{3F4766ED-0DBA-455D-A909-B7EB22EE2722}"/>
    <cellStyle name="Migliaia [0] 13 3 6" xfId="24003" xr:uid="{2DBFE104-A4BA-4DE4-A6E0-7549321292B8}"/>
    <cellStyle name="Migliaia [0] 13 3 7" xfId="8188" xr:uid="{5D48CDAF-849C-40A4-ACBD-4E340F367D27}"/>
    <cellStyle name="Migliaia [0] 13 4" xfId="2842" xr:uid="{723AD6DC-79C1-44AF-8540-A3888F9770F3}"/>
    <cellStyle name="Migliaia [0] 13 4 2" xfId="4568" xr:uid="{95CAB4F8-932D-48A4-9A44-7411EA5F8638}"/>
    <cellStyle name="Migliaia [0] 13 4 2 2" xfId="35073" xr:uid="{23C316FE-42CD-4A53-94D0-255B204656D8}"/>
    <cellStyle name="Migliaia [0] 13 4 2 2 2" xfId="40231" xr:uid="{F359AD6A-51A8-4128-BF72-9D2EE53AF5E2}"/>
    <cellStyle name="Migliaia [0] 13 4 2 2 3" xfId="45533" xr:uid="{AA031D34-C355-4F3A-AD04-4F2D8CF45DC9}"/>
    <cellStyle name="Migliaia [0] 13 4 2 3" xfId="37580" xr:uid="{EA3231A4-F951-403E-91C7-7BDDDA1B17F9}"/>
    <cellStyle name="Migliaia [0] 13 4 2 4" xfId="42882" xr:uid="{8B8478D5-0A93-4960-8230-159291DC8230}"/>
    <cellStyle name="Migliaia [0] 13 4 2 5" xfId="17013" xr:uid="{A35742EF-E151-4678-8A35-5A406FE05FDC}"/>
    <cellStyle name="Migliaia [0] 13 4 3" xfId="5845" xr:uid="{02BDF1B5-77FB-47EA-ADB0-BE6A51EDC4B3}"/>
    <cellStyle name="Migliaia [0] 13 4 3 2" xfId="38101" xr:uid="{D9CD3EDD-DBA0-4F26-B264-321677D68420}"/>
    <cellStyle name="Migliaia [0] 13 4 3 3" xfId="43403" xr:uid="{49086156-A3BE-4D56-9A3A-815F197E244C}"/>
    <cellStyle name="Migliaia [0] 13 4 3 4" xfId="32750" xr:uid="{EBDDC1BE-8A91-463D-B2D6-3765D5D7A9DA}"/>
    <cellStyle name="Migliaia [0] 13 4 3 5" xfId="19521" xr:uid="{FFF33640-B02E-4F3F-B86C-76EBCB8C467C}"/>
    <cellStyle name="Migliaia [0] 13 4 4" xfId="35636" xr:uid="{7E0DF0B4-8278-49D0-8A00-0480C126AB89}"/>
    <cellStyle name="Migliaia [0] 13 4 5" xfId="40752" xr:uid="{7EAE7C78-C453-43D8-B4B5-104D993D9F7B}"/>
    <cellStyle name="Migliaia [0] 13 4 6" xfId="15955" xr:uid="{44091016-3889-4578-822C-07763D17FC6E}"/>
    <cellStyle name="Migliaia [0] 13 4 7" xfId="7768" xr:uid="{32E2F25B-35B2-4211-B8A5-610460AD202F}"/>
    <cellStyle name="Migliaia [0] 13 5" xfId="4564" xr:uid="{E90BE0A7-9E4D-451E-85C8-6695A8BA0BB1}"/>
    <cellStyle name="Migliaia [0] 13 5 2" xfId="32751" xr:uid="{8C11338B-8B51-4418-BBF8-81158D957638}"/>
    <cellStyle name="Migliaia [0] 13 5 2 2" xfId="38102" xr:uid="{C741E9CC-B207-461A-ACE6-E21427F60DDA}"/>
    <cellStyle name="Migliaia [0] 13 5 2 3" xfId="43404" xr:uid="{9518B17A-96A0-4B8F-A2E5-2BD9BE494BF1}"/>
    <cellStyle name="Migliaia [0] 13 5 3" xfId="35637" xr:uid="{B7BD78AD-AEBF-456E-B688-8D400E6AE844}"/>
    <cellStyle name="Migliaia [0] 13 5 4" xfId="40753" xr:uid="{0F4B3995-D003-49D5-91CC-8A5D1031E97E}"/>
    <cellStyle name="Migliaia [0] 13 5 5" xfId="17082" xr:uid="{2EDDDEA4-A526-435F-B4C7-C176F332A543}"/>
    <cellStyle name="Migliaia [0] 13 6" xfId="5842" xr:uid="{212C7313-C6A8-4446-A528-BBEC49AB03AE}"/>
    <cellStyle name="Migliaia [0] 13 6 2" xfId="38098" xr:uid="{65641FC5-F1CC-4E1F-84FD-FCD45266256A}"/>
    <cellStyle name="Migliaia [0] 13 6 3" xfId="43400" xr:uid="{8B498F6E-4A14-4C36-901F-AFB5F1DE5A4E}"/>
    <cellStyle name="Migliaia [0] 13 6 4" xfId="32747" xr:uid="{AEB3B061-E576-48AB-90E6-7B023ABFE84E}"/>
    <cellStyle name="Migliaia [0] 13 6 5" xfId="19517" xr:uid="{26080A2B-954F-4624-9B5C-B1174874AEEB}"/>
    <cellStyle name="Migliaia [0] 13 7" xfId="2838" xr:uid="{7808D493-6B0E-4594-9481-FFC3283BD970}"/>
    <cellStyle name="Migliaia [0] 13 7 2" xfId="35633" xr:uid="{A6061D53-AECB-47CE-9716-852B99C68DB0}"/>
    <cellStyle name="Migliaia [0] 13 8" xfId="40749" xr:uid="{3C8FEEF7-D916-41A0-9B02-41EE7475D0B1}"/>
    <cellStyle name="Migliaia [0] 13 9" xfId="6989" xr:uid="{599285C6-7BD5-4773-8555-DAFE24DE7D1D}"/>
    <cellStyle name="Migliaia [0] 14" xfId="247" xr:uid="{00000000-0005-0000-0000-0000E9010000}"/>
    <cellStyle name="Migliaia [0] 14 2" xfId="1496" xr:uid="{00000000-0005-0000-0000-0000EA010000}"/>
    <cellStyle name="Migliaia [0] 14 2 2" xfId="1497" xr:uid="{00000000-0005-0000-0000-0000EB010000}"/>
    <cellStyle name="Migliaia [0] 14 2 2 2" xfId="4571" xr:uid="{4B859229-5D16-49C7-8662-7DB5E915B04D}"/>
    <cellStyle name="Migliaia [0] 14 2 2 2 2" xfId="21730" xr:uid="{A1A31355-5A6E-4800-89AC-141CEF6208BA}"/>
    <cellStyle name="Migliaia [0] 14 2 2 2 3" xfId="47607" xr:uid="{ADF679CD-087A-495E-828D-3570415B5CF9}"/>
    <cellStyle name="Migliaia [0] 14 2 2 2 4" xfId="50758" xr:uid="{D774E036-6F83-4A6F-ABA2-A3AC68C3EEA9}"/>
    <cellStyle name="Migliaia [0] 14 2 2 2 5" xfId="53774" xr:uid="{B462B00F-9C96-4631-9E3F-76BE89114B58}"/>
    <cellStyle name="Migliaia [0] 14 2 2 2 6" xfId="11725" xr:uid="{CAF73EE3-62D1-4EF6-8E02-30E8C6232B1A}"/>
    <cellStyle name="Migliaia [0] 14 2 2 3" xfId="2845" xr:uid="{67AD4763-4FC5-4356-8372-B99F71F7F15B}"/>
    <cellStyle name="Migliaia [0] 14 2 2 3 2" xfId="12357" xr:uid="{C1BB61B1-E59F-4E40-A5DE-C23F91EA052C}"/>
    <cellStyle name="Migliaia [0] 14 2 2 4" xfId="10627" xr:uid="{A90FD8CE-CA90-41C9-BAE5-346EBDB4D9D0}"/>
    <cellStyle name="Migliaia [0] 14 2 2 4 2" xfId="21262" xr:uid="{1DEB2FBA-F1E9-4C9B-8A2C-0D243DC05A63}"/>
    <cellStyle name="Migliaia [0] 14 2 2 4 3" xfId="46165" xr:uid="{C18C957E-1B13-453B-ACEA-DE4EE6BF5979}"/>
    <cellStyle name="Migliaia [0] 14 2 2 4 4" xfId="50277" xr:uid="{DD8B337C-B780-42A3-887A-538B4E7A4D6A}"/>
    <cellStyle name="Migliaia [0] 14 2 2 4 5" xfId="53293" xr:uid="{7856293D-788A-4110-8C7A-EC067054D6A6}"/>
    <cellStyle name="Migliaia [0] 14 2 2 5" xfId="19524" xr:uid="{F9E9A84B-784E-416E-8605-371B0F68638B}"/>
    <cellStyle name="Migliaia [0] 14 2 2 6" xfId="24006" xr:uid="{15A46DE5-F412-49AB-84E5-D2E17CAAEDF2}"/>
    <cellStyle name="Migliaia [0] 14 2 2 7" xfId="48825" xr:uid="{B6C4B3E6-5D52-4430-9B57-06E22FF81410}"/>
    <cellStyle name="Migliaia [0] 14 2 2 8" xfId="49731" xr:uid="{3C7FCF96-97CE-42C6-A58F-FB0AE7CDEAB2}"/>
    <cellStyle name="Migliaia [0] 14 2 2 9" xfId="8431" xr:uid="{CAD8DAF0-7EAD-4B2C-8B19-C3FBA484A861}"/>
    <cellStyle name="Migliaia [0] 14 2 3" xfId="4570" xr:uid="{706E171F-38F3-4276-BBBA-1E4A7F57691A}"/>
    <cellStyle name="Migliaia [0] 14 2 3 2" xfId="32753" xr:uid="{D6D2359F-C21A-4E69-B106-FB76D5FD202A}"/>
    <cellStyle name="Migliaia [0] 14 2 3 2 2" xfId="38104" xr:uid="{BCD9E1B1-D20D-4552-AB84-41D50D2DCA78}"/>
    <cellStyle name="Migliaia [0] 14 2 3 2 3" xfId="43406" xr:uid="{FDCD0709-FFBE-47B7-8CBA-CD2766AFDD4E}"/>
    <cellStyle name="Migliaia [0] 14 2 3 3" xfId="35639" xr:uid="{CA6B068E-C28D-40FC-9032-2B36C9DED7BA}"/>
    <cellStyle name="Migliaia [0] 14 2 3 4" xfId="40755" xr:uid="{EDDF3D59-E142-4F28-B422-690B54391F82}"/>
    <cellStyle name="Migliaia [0] 14 2 3 5" xfId="11726" xr:uid="{6B854891-2310-4306-B270-3266AF3620C9}"/>
    <cellStyle name="Migliaia [0] 14 2 4" xfId="5847" xr:uid="{6A0F0231-28DD-4134-9FFE-140B9219FEAA}"/>
    <cellStyle name="Migliaia [0] 14 2 4 2" xfId="19523" xr:uid="{D767C497-22CE-48CA-8117-AB23D0D05B1F}"/>
    <cellStyle name="Migliaia [0] 14 2 5" xfId="2844" xr:uid="{9CB4BD41-B5ED-4A8C-89E5-E0B9BFB162B4}"/>
    <cellStyle name="Migliaia [0] 14 2 5 2" xfId="24005" xr:uid="{E313EC58-1090-45FF-8D2A-998F34E2D47B}"/>
    <cellStyle name="Migliaia [0] 14 2 6" xfId="7241" xr:uid="{6B34D51C-329E-4911-BFD5-09AFD57B7112}"/>
    <cellStyle name="Migliaia [0] 14 3" xfId="1498" xr:uid="{00000000-0005-0000-0000-0000EC010000}"/>
    <cellStyle name="Migliaia [0] 14 3 2" xfId="4572" xr:uid="{3BD8CF32-A1F8-47EA-800F-A555EE7DD0ED}"/>
    <cellStyle name="Migliaia [0] 14 3 2 2" xfId="18306" xr:uid="{F8CF4DCD-E8E5-48D0-836B-D11536730919}"/>
    <cellStyle name="Migliaia [0] 14 3 2 2 2" xfId="21731" xr:uid="{F7567ED8-82C4-403B-BB56-615C09F6EDC6}"/>
    <cellStyle name="Migliaia [0] 14 3 2 2 2 2" xfId="38105" xr:uid="{3840001A-C2BF-45A8-96AE-DF33B98941D3}"/>
    <cellStyle name="Migliaia [0] 14 3 2 2 3" xfId="43407" xr:uid="{D6045750-54C8-49BC-98C4-C9D676811B87}"/>
    <cellStyle name="Migliaia [0] 14 3 2 2 4" xfId="32754" xr:uid="{91CE7C3F-131A-4AD9-AB40-8091C70DA3D9}"/>
    <cellStyle name="Migliaia [0] 14 3 2 3" xfId="35640" xr:uid="{356B08E6-9DB9-4E00-9542-8A1134B4F589}"/>
    <cellStyle name="Migliaia [0] 14 3 2 4" xfId="40756" xr:uid="{F78571F4-AD0A-4F71-A6BF-2A4A1E1F19C6}"/>
    <cellStyle name="Migliaia [0] 14 3 2 5" xfId="46284" xr:uid="{ACC1BD1A-2ACE-4DF8-BA74-7B85AA5491B1}"/>
    <cellStyle name="Migliaia [0] 14 3 2 6" xfId="50759" xr:uid="{53CAB725-DD19-4F9A-9E04-F5B14455A545}"/>
    <cellStyle name="Migliaia [0] 14 3 2 7" xfId="53775" xr:uid="{33AFA821-776C-4722-8C82-0AB046CC1AC7}"/>
    <cellStyle name="Migliaia [0] 14 3 2 8" xfId="17582" xr:uid="{A85E98CC-CBC0-46AC-9271-1904F037DC8A}"/>
    <cellStyle name="Migliaia [0] 14 3 2 9" xfId="11727" xr:uid="{1E2C7C16-B5F0-482B-BC06-86C651544796}"/>
    <cellStyle name="Migliaia [0] 14 3 3" xfId="5848" xr:uid="{19BA2A60-42D9-4949-9CDE-EF976C477F4A}"/>
    <cellStyle name="Migliaia [0] 14 3 3 2" xfId="12386" xr:uid="{F81F8ACE-E00F-40A5-B2A7-6941B68CC621}"/>
    <cellStyle name="Migliaia [0] 14 3 4" xfId="2846" xr:uid="{F1904C38-82FD-46AC-89CC-381E91BD65C0}"/>
    <cellStyle name="Migliaia [0] 14 3 4 2" xfId="21263" xr:uid="{6E7E7A59-A603-442F-A5D5-A37957420C90}"/>
    <cellStyle name="Migliaia [0] 14 3 4 3" xfId="48573" xr:uid="{2DE227DC-9659-4AA8-B04A-E344BA567DD0}"/>
    <cellStyle name="Migliaia [0] 14 3 4 4" xfId="50278" xr:uid="{BBC0DB2B-3E70-40B6-9178-B77BD3446ECA}"/>
    <cellStyle name="Migliaia [0] 14 3 4 5" xfId="53294" xr:uid="{EAC80A2F-EE00-4A80-A9BE-DFD73EA140E0}"/>
    <cellStyle name="Migliaia [0] 14 3 4 6" xfId="10628" xr:uid="{C771ECC5-233F-4BB9-98E5-C716EA049E06}"/>
    <cellStyle name="Migliaia [0] 14 3 5" xfId="19525" xr:uid="{0C7430E8-B3D3-4BBB-94CA-F71A65452020}"/>
    <cellStyle name="Migliaia [0] 14 3 6" xfId="24007" xr:uid="{A01D685F-8B56-43F0-9984-C3279716BC95}"/>
    <cellStyle name="Migliaia [0] 14 3 7" xfId="8189" xr:uid="{7AFD6014-15D8-4DC7-8A93-2E1B759E3D1A}"/>
    <cellStyle name="Migliaia [0] 14 4" xfId="2847" xr:uid="{5B8F95D6-E059-4E23-AE14-5C0127C487C7}"/>
    <cellStyle name="Migliaia [0] 14 4 2" xfId="4573" xr:uid="{ACD20E1E-8D79-46BF-8941-879447BDC5B1}"/>
    <cellStyle name="Migliaia [0] 14 4 2 2" xfId="35074" xr:uid="{03651B7B-BC02-4B6E-BF1D-4D0A12480DD0}"/>
    <cellStyle name="Migliaia [0] 14 4 2 2 2" xfId="40232" xr:uid="{B6CA159A-3FF2-445A-92B8-2EEE15FE38A9}"/>
    <cellStyle name="Migliaia [0] 14 4 2 2 3" xfId="45534" xr:uid="{0AC6E227-6BC7-4FCD-BCFA-2C5E5AEA406C}"/>
    <cellStyle name="Migliaia [0] 14 4 2 3" xfId="37581" xr:uid="{EFD49093-36CD-4061-B7A2-0D2593FB2D22}"/>
    <cellStyle name="Migliaia [0] 14 4 2 4" xfId="42883" xr:uid="{3499B8EF-273C-4A63-8F0E-01427D8F65F4}"/>
    <cellStyle name="Migliaia [0] 14 4 2 5" xfId="17014" xr:uid="{2A7F4C09-295F-41D5-8872-431AE5E254A0}"/>
    <cellStyle name="Migliaia [0] 14 4 3" xfId="5849" xr:uid="{AC166BDD-2F64-43F8-AD68-9A08C32B7F54}"/>
    <cellStyle name="Migliaia [0] 14 4 3 2" xfId="38106" xr:uid="{8A4C35AB-128B-4A5F-871F-05956429F16B}"/>
    <cellStyle name="Migliaia [0] 14 4 3 3" xfId="43408" xr:uid="{35679702-90BA-4121-A9DB-3A796C35B7A6}"/>
    <cellStyle name="Migliaia [0] 14 4 3 4" xfId="32755" xr:uid="{ED81C4B7-1F35-47EF-AF2D-67FFA29860A9}"/>
    <cellStyle name="Migliaia [0] 14 4 3 5" xfId="19526" xr:uid="{805C883D-5DE6-44D4-8591-B6E3C52F4EBB}"/>
    <cellStyle name="Migliaia [0] 14 4 4" xfId="35641" xr:uid="{312FBC91-F61D-4DD7-B84D-51516D1E3A9C}"/>
    <cellStyle name="Migliaia [0] 14 4 5" xfId="40757" xr:uid="{E106C77E-5100-4B5E-BB73-C84993AF8F4F}"/>
    <cellStyle name="Migliaia [0] 14 4 6" xfId="15956" xr:uid="{AD1CD625-8096-4C42-A0A9-C9EBBFD4852A}"/>
    <cellStyle name="Migliaia [0] 14 4 7" xfId="7769" xr:uid="{2AC10B6D-CBCD-452A-9FDA-8C3802E1F8D3}"/>
    <cellStyle name="Migliaia [0] 14 5" xfId="4569" xr:uid="{1E51847D-9162-4D4C-BDEA-44657EAAD08C}"/>
    <cellStyle name="Migliaia [0] 14 5 2" xfId="32756" xr:uid="{82ECD832-C24F-4A5B-B11D-B6C4F4B7F3C7}"/>
    <cellStyle name="Migliaia [0] 14 5 2 2" xfId="38107" xr:uid="{65F11FB1-2CAA-48F9-9C20-7A541B405A99}"/>
    <cellStyle name="Migliaia [0] 14 5 2 3" xfId="43409" xr:uid="{58CBD9F8-F024-4E27-8DA5-4284307C3DED}"/>
    <cellStyle name="Migliaia [0] 14 5 3" xfId="35642" xr:uid="{D399F8BD-8FE5-4B4C-A13D-FC8BE2C01990}"/>
    <cellStyle name="Migliaia [0] 14 5 4" xfId="40758" xr:uid="{E6CF99A1-0392-4811-A70D-4AF50B4EF6EC}"/>
    <cellStyle name="Migliaia [0] 14 5 5" xfId="17083" xr:uid="{2EC6A7A5-E21F-4854-8087-F9C38B3AC323}"/>
    <cellStyle name="Migliaia [0] 14 6" xfId="5846" xr:uid="{C5E7C4FC-D559-485A-B54A-E34324DF3DC5}"/>
    <cellStyle name="Migliaia [0] 14 6 2" xfId="38103" xr:uid="{C673C48A-1B5B-4DC0-8C65-CA76756BCDF5}"/>
    <cellStyle name="Migliaia [0] 14 6 3" xfId="43405" xr:uid="{3ED1CB5E-4524-47BD-9C7B-6E4EFC0BBC4F}"/>
    <cellStyle name="Migliaia [0] 14 6 4" xfId="32752" xr:uid="{39C8899D-5A20-4A1A-BB58-8182FB3E8FF9}"/>
    <cellStyle name="Migliaia [0] 14 6 5" xfId="19522" xr:uid="{51E8590D-3565-4DD2-A5F5-85E338272B5E}"/>
    <cellStyle name="Migliaia [0] 14 7" xfId="2843" xr:uid="{FA0507C9-7694-48E4-9C1B-3840448FE102}"/>
    <cellStyle name="Migliaia [0] 14 7 2" xfId="35638" xr:uid="{AEC77780-FAA1-42A2-AE17-01E68A7B3132}"/>
    <cellStyle name="Migliaia [0] 14 8" xfId="40754" xr:uid="{3F3E3515-F585-4880-8D0E-57459A29F6EC}"/>
    <cellStyle name="Migliaia [0] 14 9" xfId="6990" xr:uid="{83CDB192-F3B8-4495-B65E-4F26F1BA5D3A}"/>
    <cellStyle name="Migliaia [0] 15" xfId="248" xr:uid="{00000000-0005-0000-0000-0000ED010000}"/>
    <cellStyle name="Migliaia [0] 15 2" xfId="1499" xr:uid="{00000000-0005-0000-0000-0000EE010000}"/>
    <cellStyle name="Migliaia [0] 15 2 2" xfId="1500" xr:uid="{00000000-0005-0000-0000-0000EF010000}"/>
    <cellStyle name="Migliaia [0] 15 2 2 2" xfId="4576" xr:uid="{2CF2CC20-B1B1-40EB-A717-B447D3015A3C}"/>
    <cellStyle name="Migliaia [0] 15 2 2 2 2" xfId="21732" xr:uid="{5D9E470F-5587-4DFB-8BE0-715A6027EEA9}"/>
    <cellStyle name="Migliaia [0] 15 2 2 2 3" xfId="46285" xr:uid="{BA64E2F8-BEA3-4953-915B-18FCB65935B3}"/>
    <cellStyle name="Migliaia [0] 15 2 2 2 4" xfId="50760" xr:uid="{D02D75FF-B955-4A09-8CCD-05CAAFF64D65}"/>
    <cellStyle name="Migliaia [0] 15 2 2 2 5" xfId="53776" xr:uid="{238C55A1-D2A5-42F5-94E5-6281C2DBD6BB}"/>
    <cellStyle name="Migliaia [0] 15 2 2 2 6" xfId="11728" xr:uid="{AC8B0422-6A36-4372-AC1C-BBFD44D5AD4F}"/>
    <cellStyle name="Migliaia [0] 15 2 2 3" xfId="2850" xr:uid="{B4386033-71A7-4FD1-BFD2-FE7F2F51D49F}"/>
    <cellStyle name="Migliaia [0] 15 2 2 3 2" xfId="12356" xr:uid="{0FBA8B92-78D1-486A-B118-61598CBCA93E}"/>
    <cellStyle name="Migliaia [0] 15 2 2 4" xfId="10629" xr:uid="{945D58E7-A812-4102-8B7E-D5F308E75C8F}"/>
    <cellStyle name="Migliaia [0] 15 2 2 4 2" xfId="21264" xr:uid="{6217A064-B024-4F13-A19F-533ACE96BF3F}"/>
    <cellStyle name="Migliaia [0] 15 2 2 4 3" xfId="46166" xr:uid="{DCEF5317-5A7D-4124-B0CD-8C06343F83BA}"/>
    <cellStyle name="Migliaia [0] 15 2 2 4 4" xfId="50279" xr:uid="{585A2C7B-1EA6-4859-9B8E-842EDE1A654A}"/>
    <cellStyle name="Migliaia [0] 15 2 2 4 5" xfId="53295" xr:uid="{386D8D52-A14F-4B1A-9907-9ED2759B3A18}"/>
    <cellStyle name="Migliaia [0] 15 2 2 5" xfId="19529" xr:uid="{3DDE2B10-122E-4BBF-A606-E043D7BA4EA4}"/>
    <cellStyle name="Migliaia [0] 15 2 2 6" xfId="24010" xr:uid="{8D53E68A-A2BD-4A5A-A5DF-0777A628F37C}"/>
    <cellStyle name="Migliaia [0] 15 2 2 7" xfId="48826" xr:uid="{9B2B2E77-BEF7-4D13-988F-28833622A882}"/>
    <cellStyle name="Migliaia [0] 15 2 2 8" xfId="49732" xr:uid="{82A423A5-9448-4936-97A0-2D5EFFD653F2}"/>
    <cellStyle name="Migliaia [0] 15 2 2 9" xfId="8432" xr:uid="{ABED72E8-9D4A-42D5-B2BC-072A1608EA9B}"/>
    <cellStyle name="Migliaia [0] 15 2 3" xfId="4575" xr:uid="{873F8A1F-7632-4CDC-9129-8DF3C7C092AE}"/>
    <cellStyle name="Migliaia [0] 15 2 3 2" xfId="32758" xr:uid="{433AEDFA-5533-4855-8F7B-F22EDF8C10A9}"/>
    <cellStyle name="Migliaia [0] 15 2 3 2 2" xfId="38109" xr:uid="{225B0CA6-0783-43CC-81B0-C2036EED0589}"/>
    <cellStyle name="Migliaia [0] 15 2 3 2 3" xfId="43411" xr:uid="{50DF9358-8E0F-452C-88DA-FB31134AD856}"/>
    <cellStyle name="Migliaia [0] 15 2 3 3" xfId="35644" xr:uid="{0788C92F-381C-4A37-9AB5-A6940EB1C8DF}"/>
    <cellStyle name="Migliaia [0] 15 2 3 4" xfId="40760" xr:uid="{19A80CBD-934E-4F67-A8F5-8636BFD19ABE}"/>
    <cellStyle name="Migliaia [0] 15 2 3 5" xfId="11729" xr:uid="{31B630AA-E2EB-4469-82C8-0AAFCC5E5925}"/>
    <cellStyle name="Migliaia [0] 15 2 4" xfId="5851" xr:uid="{B3CC6D4A-D5E5-4610-9916-2CFEF82DA286}"/>
    <cellStyle name="Migliaia [0] 15 2 4 2" xfId="19528" xr:uid="{8E6F6A1B-804D-4F3B-84D8-A5DAC4E3FFD3}"/>
    <cellStyle name="Migliaia [0] 15 2 5" xfId="2849" xr:uid="{723DDF5C-E621-4F6C-A450-C482F512ECA8}"/>
    <cellStyle name="Migliaia [0] 15 2 5 2" xfId="24009" xr:uid="{6531D1D7-029A-4B65-A002-CE06DC51ED23}"/>
    <cellStyle name="Migliaia [0] 15 2 6" xfId="7242" xr:uid="{CE1D0E9D-8656-4244-B2EE-7DBF12BDC82B}"/>
    <cellStyle name="Migliaia [0] 15 3" xfId="1501" xr:uid="{00000000-0005-0000-0000-0000F0010000}"/>
    <cellStyle name="Migliaia [0] 15 3 2" xfId="4577" xr:uid="{87FC15DD-8648-4300-94B0-D31DBC0E6182}"/>
    <cellStyle name="Migliaia [0] 15 3 2 2" xfId="18307" xr:uid="{7F75384F-84C2-421D-928C-605F902BF4F6}"/>
    <cellStyle name="Migliaia [0] 15 3 2 2 2" xfId="21733" xr:uid="{7E50F335-BC50-4A38-84C4-030BCF11F631}"/>
    <cellStyle name="Migliaia [0] 15 3 2 2 2 2" xfId="38110" xr:uid="{1FF29A06-DEDB-4554-89D9-0F3D73E24ECB}"/>
    <cellStyle name="Migliaia [0] 15 3 2 2 3" xfId="43412" xr:uid="{2F1C5AC9-D657-4FF9-A1C8-805F65104844}"/>
    <cellStyle name="Migliaia [0] 15 3 2 2 4" xfId="32759" xr:uid="{ACEDCE07-5207-42E2-8BA3-261C05F3BD18}"/>
    <cellStyle name="Migliaia [0] 15 3 2 3" xfId="35645" xr:uid="{F86D32D0-13C7-4813-B07D-59AB1AAA2CE4}"/>
    <cellStyle name="Migliaia [0] 15 3 2 4" xfId="40761" xr:uid="{D05BAE20-41A9-44AA-8F05-D271029DF883}"/>
    <cellStyle name="Migliaia [0] 15 3 2 5" xfId="47518" xr:uid="{5B41EDFA-49CD-49AF-AC79-20AD0104D7F2}"/>
    <cellStyle name="Migliaia [0] 15 3 2 6" xfId="50761" xr:uid="{CECD8D56-878C-4662-8D33-A4D11BD7FE4B}"/>
    <cellStyle name="Migliaia [0] 15 3 2 7" xfId="53777" xr:uid="{F382F9B4-6C38-4F7C-B19E-287405147FE0}"/>
    <cellStyle name="Migliaia [0] 15 3 2 8" xfId="17583" xr:uid="{7FF2254B-EE8F-4780-98C9-DB1E737202BA}"/>
    <cellStyle name="Migliaia [0] 15 3 2 9" xfId="11730" xr:uid="{FFFA9CB1-5867-4412-8017-CF20CBF598F9}"/>
    <cellStyle name="Migliaia [0] 15 3 3" xfId="5852" xr:uid="{D9674381-51FB-4D46-A02F-DF04278FF65E}"/>
    <cellStyle name="Migliaia [0] 15 3 3 2" xfId="12385" xr:uid="{16BE58A9-376E-4255-B27D-144AC71B32FB}"/>
    <cellStyle name="Migliaia [0] 15 3 4" xfId="2851" xr:uid="{4DBAE9B9-3C6F-4BFD-846E-E8F36C51606C}"/>
    <cellStyle name="Migliaia [0] 15 3 4 2" xfId="21265" xr:uid="{1A31439E-793B-47EF-8A85-EB23BB46FA88}"/>
    <cellStyle name="Migliaia [0] 15 3 4 3" xfId="47707" xr:uid="{8BE1930E-B89C-4DAA-83A3-D0F529FA1D5C}"/>
    <cellStyle name="Migliaia [0] 15 3 4 4" xfId="50280" xr:uid="{62D7FC25-81DE-4623-9E67-0A1022B97D17}"/>
    <cellStyle name="Migliaia [0] 15 3 4 5" xfId="53296" xr:uid="{1F85D2F7-0DC5-4A11-9DD3-93EEB8E3B895}"/>
    <cellStyle name="Migliaia [0] 15 3 4 6" xfId="10630" xr:uid="{FCA0A34B-46FA-4EB6-A30B-AA2AC4168BF7}"/>
    <cellStyle name="Migliaia [0] 15 3 5" xfId="19530" xr:uid="{6DA74619-B8E7-40DE-A498-F53418552E65}"/>
    <cellStyle name="Migliaia [0] 15 3 6" xfId="24011" xr:uid="{8C1B7386-A63D-4884-9828-4B96369765ED}"/>
    <cellStyle name="Migliaia [0] 15 3 7" xfId="8190" xr:uid="{6D85692C-317A-4F3B-AFEC-5DE3A02CA42D}"/>
    <cellStyle name="Migliaia [0] 15 4" xfId="2852" xr:uid="{01B6110A-7A8D-4FB2-B063-D4A75CFDC6E1}"/>
    <cellStyle name="Migliaia [0] 15 4 2" xfId="4578" xr:uid="{B1590FC4-568A-43D1-9E5F-7DCF91C67C56}"/>
    <cellStyle name="Migliaia [0] 15 4 2 2" xfId="35075" xr:uid="{D2457C8F-27D5-4D1C-A258-CF6AACAE19FD}"/>
    <cellStyle name="Migliaia [0] 15 4 2 2 2" xfId="40233" xr:uid="{90E9EB77-4D8C-49B7-8589-A70954D45989}"/>
    <cellStyle name="Migliaia [0] 15 4 2 2 3" xfId="45535" xr:uid="{74BF8F9F-8212-4B2E-A74B-20B1AB41D623}"/>
    <cellStyle name="Migliaia [0] 15 4 2 3" xfId="37582" xr:uid="{0649576A-AC53-4679-ACF7-E6DD8B9F302C}"/>
    <cellStyle name="Migliaia [0] 15 4 2 4" xfId="42884" xr:uid="{453DA8DF-30B9-4F3E-8299-0DC1FB41A5B2}"/>
    <cellStyle name="Migliaia [0] 15 4 2 5" xfId="17015" xr:uid="{96E72D25-66B9-4D17-8EBE-DCEC2D569FA2}"/>
    <cellStyle name="Migliaia [0] 15 4 3" xfId="5853" xr:uid="{539D3572-1822-4CEC-A7F3-6B6B19EA3DEA}"/>
    <cellStyle name="Migliaia [0] 15 4 3 2" xfId="38111" xr:uid="{870704E5-814A-4FBC-AFC1-23959C9D1A3F}"/>
    <cellStyle name="Migliaia [0] 15 4 3 3" xfId="43413" xr:uid="{657040A1-31E0-4F3D-8733-EB36A0E77610}"/>
    <cellStyle name="Migliaia [0] 15 4 3 4" xfId="32760" xr:uid="{205246C8-9879-4D4B-BEF7-CB64FB5C9A2C}"/>
    <cellStyle name="Migliaia [0] 15 4 3 5" xfId="19531" xr:uid="{6214EE86-9466-4926-935A-B6F31B405E83}"/>
    <cellStyle name="Migliaia [0] 15 4 4" xfId="35646" xr:uid="{4227563C-25AC-40BA-9326-50D4E4AA3363}"/>
    <cellStyle name="Migliaia [0] 15 4 5" xfId="40762" xr:uid="{F864973A-DE82-4C4D-ACA8-8A83268E2370}"/>
    <cellStyle name="Migliaia [0] 15 4 6" xfId="15957" xr:uid="{E59C8662-6EA8-428B-BDCA-2CC53DD88157}"/>
    <cellStyle name="Migliaia [0] 15 4 7" xfId="7770" xr:uid="{0B922E9B-CCE9-4DB4-8B40-E8CC6F80F3BB}"/>
    <cellStyle name="Migliaia [0] 15 5" xfId="4574" xr:uid="{B5100868-4EA1-4890-9B77-B418811CFD68}"/>
    <cellStyle name="Migliaia [0] 15 5 2" xfId="32761" xr:uid="{9D109004-B241-41FD-9217-4957BF34FC0A}"/>
    <cellStyle name="Migliaia [0] 15 5 2 2" xfId="38112" xr:uid="{476EA9B4-87AA-41E6-A54D-1092ACA8D911}"/>
    <cellStyle name="Migliaia [0] 15 5 2 3" xfId="43414" xr:uid="{A503778B-D6EE-45CC-B95C-D671C35437AF}"/>
    <cellStyle name="Migliaia [0] 15 5 3" xfId="35647" xr:uid="{C12783BD-7837-4788-A469-5F1633A5C1F4}"/>
    <cellStyle name="Migliaia [0] 15 5 4" xfId="40763" xr:uid="{7A240E80-B2C3-4941-B793-4A92CA721210}"/>
    <cellStyle name="Migliaia [0] 15 5 5" xfId="17084" xr:uid="{35255DB7-125C-4EBD-8339-710870E2D597}"/>
    <cellStyle name="Migliaia [0] 15 6" xfId="5850" xr:uid="{082127E1-11AC-42CF-8338-361B49A5E550}"/>
    <cellStyle name="Migliaia [0] 15 6 2" xfId="38108" xr:uid="{E80AD7C7-80DB-4F1F-A555-BD3CD4642F1F}"/>
    <cellStyle name="Migliaia [0] 15 6 3" xfId="43410" xr:uid="{B1F9900B-B0EC-4128-9466-13181B9FC488}"/>
    <cellStyle name="Migliaia [0] 15 6 4" xfId="32757" xr:uid="{023ACD14-C080-44E9-91F6-2099E22EFAFB}"/>
    <cellStyle name="Migliaia [0] 15 6 5" xfId="19527" xr:uid="{E753A2C5-73E3-4C4B-B8BB-CEA098CC2B4B}"/>
    <cellStyle name="Migliaia [0] 15 7" xfId="2848" xr:uid="{320658C5-3F48-43A9-99DB-57080F51EDB5}"/>
    <cellStyle name="Migliaia [0] 15 7 2" xfId="35643" xr:uid="{8CEA2AF2-AC4C-496B-B9FF-E1ECE247DFBE}"/>
    <cellStyle name="Migliaia [0] 15 8" xfId="40759" xr:uid="{268BB731-AA80-464C-8C0A-C5F681A19BDC}"/>
    <cellStyle name="Migliaia [0] 15 9" xfId="6991" xr:uid="{A2C13152-C05B-4F76-A37F-1254AB0CEEA3}"/>
    <cellStyle name="Migliaia [0] 16" xfId="249" xr:uid="{00000000-0005-0000-0000-0000F1010000}"/>
    <cellStyle name="Migliaia [0] 16 2" xfId="1502" xr:uid="{00000000-0005-0000-0000-0000F2010000}"/>
    <cellStyle name="Migliaia [0] 16 2 2" xfId="1503" xr:uid="{00000000-0005-0000-0000-0000F3010000}"/>
    <cellStyle name="Migliaia [0] 16 2 2 2" xfId="4581" xr:uid="{42293C67-41CF-4FA5-960F-186CA322B323}"/>
    <cellStyle name="Migliaia [0] 16 2 2 2 2" xfId="21734" xr:uid="{9E01B380-EB39-4095-BD87-B66B8CE50F0F}"/>
    <cellStyle name="Migliaia [0] 16 2 2 2 3" xfId="46734" xr:uid="{3608E89B-2A92-484B-9554-478ECD46C66D}"/>
    <cellStyle name="Migliaia [0] 16 2 2 2 4" xfId="50762" xr:uid="{0859DD87-012B-4A20-A311-1D4F5EF63DF3}"/>
    <cellStyle name="Migliaia [0] 16 2 2 2 5" xfId="53778" xr:uid="{76D09CF7-42F4-4BCB-B1B0-6D22B3C953F9}"/>
    <cellStyle name="Migliaia [0] 16 2 2 2 6" xfId="11731" xr:uid="{B4163801-4DB5-45D7-B182-7C681533ACC3}"/>
    <cellStyle name="Migliaia [0] 16 2 2 3" xfId="2855" xr:uid="{7DFE3B25-2BBE-4754-B93B-2B4D3466CBE9}"/>
    <cellStyle name="Migliaia [0] 16 2 2 3 2" xfId="12355" xr:uid="{9B9060C1-57AE-4A46-816F-D1A93971E3D4}"/>
    <cellStyle name="Migliaia [0] 16 2 2 4" xfId="10631" xr:uid="{420C8833-7EBA-4DDE-8326-ECFA22482B15}"/>
    <cellStyle name="Migliaia [0] 16 2 2 4 2" xfId="21266" xr:uid="{DF9C3D39-6B18-41EC-A88D-C2515820574C}"/>
    <cellStyle name="Migliaia [0] 16 2 2 4 3" xfId="46167" xr:uid="{6FA46C28-6828-4E7D-9290-2B2311599A63}"/>
    <cellStyle name="Migliaia [0] 16 2 2 4 4" xfId="50281" xr:uid="{CD080143-63C4-42A6-9081-1C042F2B491C}"/>
    <cellStyle name="Migliaia [0] 16 2 2 4 5" xfId="53297" xr:uid="{5680DB22-6B79-42F0-B1A4-590EE2F5E289}"/>
    <cellStyle name="Migliaia [0] 16 2 2 5" xfId="19534" xr:uid="{878BFC3A-6162-478E-BE10-63C8634F3A51}"/>
    <cellStyle name="Migliaia [0] 16 2 2 6" xfId="24013" xr:uid="{B5E2F5C1-054C-4E1D-BF01-7248BEF9215E}"/>
    <cellStyle name="Migliaia [0] 16 2 2 7" xfId="48827" xr:uid="{7ECAB708-F50B-453C-A3B1-B26201C0475C}"/>
    <cellStyle name="Migliaia [0] 16 2 2 8" xfId="49733" xr:uid="{CFCA9972-E6B4-4437-B8FD-1F8C67B7A56A}"/>
    <cellStyle name="Migliaia [0] 16 2 2 9" xfId="8433" xr:uid="{9C3A3F6A-47AC-4F86-B0C0-8B86E2665F19}"/>
    <cellStyle name="Migliaia [0] 16 2 3" xfId="4580" xr:uid="{118DC9DF-979F-4883-BB66-9009AB29B3BF}"/>
    <cellStyle name="Migliaia [0] 16 2 3 2" xfId="32763" xr:uid="{9830B410-527D-4095-BA46-0B7483BF0BA4}"/>
    <cellStyle name="Migliaia [0] 16 2 3 2 2" xfId="38114" xr:uid="{C5D3C951-8C12-486B-9DE1-C3AB9034652D}"/>
    <cellStyle name="Migliaia [0] 16 2 3 2 3" xfId="43416" xr:uid="{A418BA38-82FC-451C-9FD1-20B798D701C4}"/>
    <cellStyle name="Migliaia [0] 16 2 3 3" xfId="35649" xr:uid="{72F8EB5A-AA8E-417E-8860-C23022B87488}"/>
    <cellStyle name="Migliaia [0] 16 2 3 4" xfId="40765" xr:uid="{2FB77614-E2C6-46CC-9FEC-74807E30E2CC}"/>
    <cellStyle name="Migliaia [0] 16 2 3 5" xfId="11732" xr:uid="{792A93E6-4372-4446-B761-E53E6DB435B6}"/>
    <cellStyle name="Migliaia [0] 16 2 4" xfId="5855" xr:uid="{9279FAE0-1441-43B7-8DE4-299CC35F871C}"/>
    <cellStyle name="Migliaia [0] 16 2 4 2" xfId="19533" xr:uid="{913AD5E3-32C8-4620-B00D-F0E8B5A96971}"/>
    <cellStyle name="Migliaia [0] 16 2 5" xfId="2854" xr:uid="{5DB5DB4F-0935-4C0F-8308-93F1F6AE441C}"/>
    <cellStyle name="Migliaia [0] 16 2 5 2" xfId="24012" xr:uid="{76674159-D835-42BB-88EB-F5D1E7E59F36}"/>
    <cellStyle name="Migliaia [0] 16 2 6" xfId="7243" xr:uid="{FAA2F182-738F-4E8E-A06C-D0280693C655}"/>
    <cellStyle name="Migliaia [0] 16 3" xfId="1504" xr:uid="{00000000-0005-0000-0000-0000F4010000}"/>
    <cellStyle name="Migliaia [0] 16 3 2" xfId="4582" xr:uid="{5AF2D3C7-CC2C-4B00-93C0-9E77A872BFEE}"/>
    <cellStyle name="Migliaia [0] 16 3 2 2" xfId="18308" xr:uid="{970F68BF-F333-48E1-9330-15619403A90B}"/>
    <cellStyle name="Migliaia [0] 16 3 2 2 2" xfId="21735" xr:uid="{DA25D871-2ED0-4D50-AFDC-432E01F9CD07}"/>
    <cellStyle name="Migliaia [0] 16 3 2 2 2 2" xfId="38115" xr:uid="{859FAF6C-8726-495C-A662-A8707ED97C57}"/>
    <cellStyle name="Migliaia [0] 16 3 2 2 3" xfId="43417" xr:uid="{7C6D5772-6D90-4BD0-AC82-EE1EAE70DCC0}"/>
    <cellStyle name="Migliaia [0] 16 3 2 2 4" xfId="32764" xr:uid="{B07164EC-99E0-404B-A567-C279867F961F}"/>
    <cellStyle name="Migliaia [0] 16 3 2 3" xfId="35650" xr:uid="{C0A13E9E-9F53-4D65-95DD-7A8C498E2344}"/>
    <cellStyle name="Migliaia [0] 16 3 2 4" xfId="40766" xr:uid="{84BA2FF8-365C-4712-8F1F-C92F3080D2AE}"/>
    <cellStyle name="Migliaia [0] 16 3 2 5" xfId="48189" xr:uid="{F2DA3795-5DCA-422C-8CC5-791EF08105EA}"/>
    <cellStyle name="Migliaia [0] 16 3 2 6" xfId="50763" xr:uid="{59AE7C24-5C6C-49CE-AAA1-8A62A7E61144}"/>
    <cellStyle name="Migliaia [0] 16 3 2 7" xfId="53779" xr:uid="{BD1D0C24-5E5B-4B43-8284-BEE60A9972A6}"/>
    <cellStyle name="Migliaia [0] 16 3 2 8" xfId="17584" xr:uid="{97FE16D3-AD45-4AEB-AEE2-8DE9ADEDC225}"/>
    <cellStyle name="Migliaia [0] 16 3 2 9" xfId="11733" xr:uid="{8D300038-C2AD-4EEA-8CE6-E64ED859A05E}"/>
    <cellStyle name="Migliaia [0] 16 3 3" xfId="5856" xr:uid="{6D1A37DA-7FEC-457F-B6CF-6C19FA5A59D2}"/>
    <cellStyle name="Migliaia [0] 16 3 3 2" xfId="12215" xr:uid="{C2D877DF-6C5D-49BC-B0EE-16BDE4869CAC}"/>
    <cellStyle name="Migliaia [0] 16 3 4" xfId="2856" xr:uid="{2663A5EB-FC83-49A6-AE4C-5519AF05CD01}"/>
    <cellStyle name="Migliaia [0] 16 3 4 2" xfId="21267" xr:uid="{3A32DE91-D45A-41D8-B9A4-6613CD7C5FBE}"/>
    <cellStyle name="Migliaia [0] 16 3 4 3" xfId="48286" xr:uid="{4641C4CE-6315-45B7-A854-4336E785D3AA}"/>
    <cellStyle name="Migliaia [0] 16 3 4 4" xfId="50282" xr:uid="{B7DB3E22-20CD-4A93-AA86-08A7346FAA3E}"/>
    <cellStyle name="Migliaia [0] 16 3 4 5" xfId="53298" xr:uid="{C10A8DAE-87F3-447B-928E-51979E852EC2}"/>
    <cellStyle name="Migliaia [0] 16 3 4 6" xfId="10632" xr:uid="{190BD210-13F7-4567-B17B-8F61F75757F7}"/>
    <cellStyle name="Migliaia [0] 16 3 5" xfId="19535" xr:uid="{0882E388-545A-45A7-B42F-DF3A437CAEDA}"/>
    <cellStyle name="Migliaia [0] 16 3 6" xfId="24014" xr:uid="{97CD3500-5F70-47B8-887F-2182BD22AC3E}"/>
    <cellStyle name="Migliaia [0] 16 3 7" xfId="8191" xr:uid="{745854A3-ACFD-4955-BF61-E143EDCDF9A2}"/>
    <cellStyle name="Migliaia [0] 16 4" xfId="2857" xr:uid="{2BC7E25F-7FC4-4735-B03B-A633849DF74D}"/>
    <cellStyle name="Migliaia [0] 16 4 2" xfId="4583" xr:uid="{17E3B84D-33A7-44A6-8624-C6ACE3024BD8}"/>
    <cellStyle name="Migliaia [0] 16 4 2 2" xfId="35076" xr:uid="{AD5D2094-D376-42EE-99FE-DAD204E9CC0E}"/>
    <cellStyle name="Migliaia [0] 16 4 2 2 2" xfId="40234" xr:uid="{0849BC59-2C84-4B20-A36A-1421CDA28765}"/>
    <cellStyle name="Migliaia [0] 16 4 2 2 3" xfId="45536" xr:uid="{F9600F36-39F4-463F-9896-B0EFD7B4A878}"/>
    <cellStyle name="Migliaia [0] 16 4 2 3" xfId="37583" xr:uid="{970C617B-0E34-41AD-9A2D-44B4A7BE719A}"/>
    <cellStyle name="Migliaia [0] 16 4 2 4" xfId="42885" xr:uid="{CE0B0887-817D-45D7-9799-E19595687485}"/>
    <cellStyle name="Migliaia [0] 16 4 2 5" xfId="17016" xr:uid="{ED02822A-77DE-4CAD-A028-D90881C39546}"/>
    <cellStyle name="Migliaia [0] 16 4 3" xfId="5857" xr:uid="{A67C460F-F99E-47EA-B49B-4848AFA75DA4}"/>
    <cellStyle name="Migliaia [0] 16 4 3 2" xfId="38116" xr:uid="{DA608E12-D3F2-4998-9478-C3FE78EE5AD2}"/>
    <cellStyle name="Migliaia [0] 16 4 3 3" xfId="43418" xr:uid="{462F2AD8-D515-4A1D-8B41-A33481A5674E}"/>
    <cellStyle name="Migliaia [0] 16 4 3 4" xfId="32765" xr:uid="{3BC1C22C-D4FC-4518-BFBA-DFF978C0D8A0}"/>
    <cellStyle name="Migliaia [0] 16 4 3 5" xfId="19536" xr:uid="{F973B91E-7EC9-45D5-83DC-0DC40DD4CB28}"/>
    <cellStyle name="Migliaia [0] 16 4 4" xfId="35651" xr:uid="{8A4DE0C6-5A9C-49EF-AE95-C14AA82EFE4D}"/>
    <cellStyle name="Migliaia [0] 16 4 5" xfId="40767" xr:uid="{257C5A9F-F038-4ADC-8F03-9AEB6C67E8AE}"/>
    <cellStyle name="Migliaia [0] 16 4 6" xfId="15958" xr:uid="{9F09D49D-4483-49DE-B623-D0ACF5715B5B}"/>
    <cellStyle name="Migliaia [0] 16 4 7" xfId="7771" xr:uid="{109631B8-092B-4016-A95B-FDBD8251D972}"/>
    <cellStyle name="Migliaia [0] 16 5" xfId="4579" xr:uid="{B9F4973C-0DA8-4C34-AF44-321695546224}"/>
    <cellStyle name="Migliaia [0] 16 5 2" xfId="32766" xr:uid="{03CD5899-45E1-4B07-86F1-8CE4540B2E7A}"/>
    <cellStyle name="Migliaia [0] 16 5 2 2" xfId="38117" xr:uid="{D80A802E-CBA7-4AE6-9D1C-9210A3AB3C1C}"/>
    <cellStyle name="Migliaia [0] 16 5 2 3" xfId="43419" xr:uid="{2646E51E-31CE-4F68-91CD-5AEFCDF9012A}"/>
    <cellStyle name="Migliaia [0] 16 5 3" xfId="35652" xr:uid="{FC82FB2E-28FD-4E22-AE1A-AE9321454CAA}"/>
    <cellStyle name="Migliaia [0] 16 5 4" xfId="40768" xr:uid="{054743C0-4523-45EF-AA77-4F3B96970E77}"/>
    <cellStyle name="Migliaia [0] 16 5 5" xfId="17085" xr:uid="{8AB6430F-0DC5-4E21-96C9-82BDE4DE4C4D}"/>
    <cellStyle name="Migliaia [0] 16 6" xfId="5854" xr:uid="{C9808045-6E27-4000-8651-4EC8EA5BEC2D}"/>
    <cellStyle name="Migliaia [0] 16 6 2" xfId="38113" xr:uid="{EACE2553-B932-4555-939A-63BFB60DCB8F}"/>
    <cellStyle name="Migliaia [0] 16 6 3" xfId="43415" xr:uid="{82B5616D-793C-43D4-B99D-57098ABCB2D1}"/>
    <cellStyle name="Migliaia [0] 16 6 4" xfId="32762" xr:uid="{5897CC43-9BB6-49A6-A648-E5EED6355BC4}"/>
    <cellStyle name="Migliaia [0] 16 6 5" xfId="19532" xr:uid="{5B831CAB-6295-41EB-807C-54F83CEFCAB2}"/>
    <cellStyle name="Migliaia [0] 16 7" xfId="2853" xr:uid="{B959A1C6-9D3F-4F0A-800F-2D7566A28395}"/>
    <cellStyle name="Migliaia [0] 16 7 2" xfId="35648" xr:uid="{2638D96B-DD99-4F35-9263-E5E15555EA34}"/>
    <cellStyle name="Migliaia [0] 16 8" xfId="40764" xr:uid="{D9D76532-2525-405F-8576-B6EF3D395D20}"/>
    <cellStyle name="Migliaia [0] 16 9" xfId="6992" xr:uid="{CB054FE2-DB67-4C83-A8E5-838C6EEA28A3}"/>
    <cellStyle name="Migliaia [0] 17" xfId="250" xr:uid="{00000000-0005-0000-0000-0000F5010000}"/>
    <cellStyle name="Migliaia [0] 17 2" xfId="1505" xr:uid="{00000000-0005-0000-0000-0000F6010000}"/>
    <cellStyle name="Migliaia [0] 17 2 2" xfId="1506" xr:uid="{00000000-0005-0000-0000-0000F7010000}"/>
    <cellStyle name="Migliaia [0] 17 2 2 2" xfId="4586" xr:uid="{F1FBBD86-94CA-4B9B-9DC5-FBDD765BB64A}"/>
    <cellStyle name="Migliaia [0] 17 2 2 2 2" xfId="21736" xr:uid="{0DADD3AF-21B8-4D81-98DB-911189B3145B}"/>
    <cellStyle name="Migliaia [0] 17 2 2 2 3" xfId="46286" xr:uid="{FBC469D2-F002-45F3-A032-7201B3184CFC}"/>
    <cellStyle name="Migliaia [0] 17 2 2 2 4" xfId="50764" xr:uid="{BC2059F6-6A97-4E74-B47E-29F1BDA656B7}"/>
    <cellStyle name="Migliaia [0] 17 2 2 2 5" xfId="53780" xr:uid="{40DEC6AF-CC80-496E-8A13-49F44C956D6F}"/>
    <cellStyle name="Migliaia [0] 17 2 2 2 6" xfId="11734" xr:uid="{9E8EB538-6212-487B-97B5-08A8866CF2CF}"/>
    <cellStyle name="Migliaia [0] 17 2 2 3" xfId="2860" xr:uid="{9950277F-9D4C-499C-AEDB-4955E596D37D}"/>
    <cellStyle name="Migliaia [0] 17 2 2 3 2" xfId="12186" xr:uid="{F796D638-CA92-47DD-B6AE-2A9107640883}"/>
    <cellStyle name="Migliaia [0] 17 2 2 4" xfId="10633" xr:uid="{7271F169-24F5-404A-B11A-D0166F5E418C}"/>
    <cellStyle name="Migliaia [0] 17 2 2 4 2" xfId="21268" xr:uid="{70F266CB-871D-4D48-8799-E9C2229529FA}"/>
    <cellStyle name="Migliaia [0] 17 2 2 4 3" xfId="46168" xr:uid="{E5BDF340-A90F-469E-96DE-053397D07F10}"/>
    <cellStyle name="Migliaia [0] 17 2 2 4 4" xfId="50283" xr:uid="{2AF07512-0146-4E26-A508-5CAF63D8B709}"/>
    <cellStyle name="Migliaia [0] 17 2 2 4 5" xfId="53299" xr:uid="{32930395-EC09-4FCB-AE8C-CCD79C4A5AB1}"/>
    <cellStyle name="Migliaia [0] 17 2 2 5" xfId="19539" xr:uid="{C52764A1-B8FE-4605-ACEF-ECA5B7EAF9C0}"/>
    <cellStyle name="Migliaia [0] 17 2 2 6" xfId="24016" xr:uid="{EB9E37C1-716B-46AA-A073-4F89ABAE063A}"/>
    <cellStyle name="Migliaia [0] 17 2 2 7" xfId="48828" xr:uid="{7FFFC0A0-C0F6-46E3-8C39-9F31225B9B3C}"/>
    <cellStyle name="Migliaia [0] 17 2 2 8" xfId="49734" xr:uid="{F51B0482-D5CD-4841-8E7D-EFE0387998D3}"/>
    <cellStyle name="Migliaia [0] 17 2 2 9" xfId="8434" xr:uid="{B114D36C-96D3-471B-A863-7C314A68111E}"/>
    <cellStyle name="Migliaia [0] 17 2 3" xfId="4585" xr:uid="{E34047E6-CC60-49F4-912F-5CC30B295292}"/>
    <cellStyle name="Migliaia [0] 17 2 3 2" xfId="32768" xr:uid="{75E73383-E97A-4A50-8AA2-59F69E26C8BA}"/>
    <cellStyle name="Migliaia [0] 17 2 3 2 2" xfId="38119" xr:uid="{541444E9-1D52-4807-B3D9-6B0633898A50}"/>
    <cellStyle name="Migliaia [0] 17 2 3 2 3" xfId="43421" xr:uid="{975D54E1-E7D1-42C8-AE23-AD72A27E315E}"/>
    <cellStyle name="Migliaia [0] 17 2 3 3" xfId="35654" xr:uid="{8E87BE47-6E4E-4C62-A3EC-FA2D90A042CB}"/>
    <cellStyle name="Migliaia [0] 17 2 3 4" xfId="40770" xr:uid="{339F0493-AEFA-4121-B83A-BDB6CEECD55C}"/>
    <cellStyle name="Migliaia [0] 17 2 3 5" xfId="11735" xr:uid="{9D9B2B8F-D59B-4C0F-861B-E42858E23643}"/>
    <cellStyle name="Migliaia [0] 17 2 4" xfId="5859" xr:uid="{5380DA51-669E-4756-9E77-9DAFB60A64A3}"/>
    <cellStyle name="Migliaia [0] 17 2 4 2" xfId="19538" xr:uid="{4ABBEE9B-9FA3-4413-B640-E76113C7E969}"/>
    <cellStyle name="Migliaia [0] 17 2 5" xfId="2859" xr:uid="{3469B607-9104-4372-9C79-57A915B5CFC6}"/>
    <cellStyle name="Migliaia [0] 17 2 5 2" xfId="24015" xr:uid="{62C1AC2C-05B9-40D7-8E32-A3D431CE87A2}"/>
    <cellStyle name="Migliaia [0] 17 2 6" xfId="7244" xr:uid="{28AF575A-FC0C-4E54-93F7-E86D74E191BD}"/>
    <cellStyle name="Migliaia [0] 17 3" xfId="1507" xr:uid="{00000000-0005-0000-0000-0000F8010000}"/>
    <cellStyle name="Migliaia [0] 17 3 2" xfId="4587" xr:uid="{14C121D0-B4DA-4EBF-8630-EF82BE993059}"/>
    <cellStyle name="Migliaia [0] 17 3 2 2" xfId="18309" xr:uid="{7ECD340F-92B9-4748-BD1F-B43D5B64859A}"/>
    <cellStyle name="Migliaia [0] 17 3 2 2 2" xfId="21737" xr:uid="{03AE767E-FAA7-4B2E-8D23-C066D325C3C3}"/>
    <cellStyle name="Migliaia [0] 17 3 2 2 2 2" xfId="38120" xr:uid="{05617599-177D-49BF-8F6F-F64AA7E21D59}"/>
    <cellStyle name="Migliaia [0] 17 3 2 2 3" xfId="43422" xr:uid="{B3E13B3B-AA05-4474-92D9-1F1E1C10F9BA}"/>
    <cellStyle name="Migliaia [0] 17 3 2 2 4" xfId="32769" xr:uid="{AC9C13C1-F2AF-4530-A477-4011A34DD0EE}"/>
    <cellStyle name="Migliaia [0] 17 3 2 3" xfId="35655" xr:uid="{958C904F-C594-44B8-9201-E1DFC6CBEF38}"/>
    <cellStyle name="Migliaia [0] 17 3 2 4" xfId="40771" xr:uid="{46151754-BEF9-4477-BFFC-352E8A1F127A}"/>
    <cellStyle name="Migliaia [0] 17 3 2 5" xfId="48099" xr:uid="{1191FBD3-B776-446E-ABAB-E69F5E7E7D74}"/>
    <cellStyle name="Migliaia [0] 17 3 2 6" xfId="50765" xr:uid="{BF5F1EF0-7EF3-4561-B3C5-2B30966D680E}"/>
    <cellStyle name="Migliaia [0] 17 3 2 7" xfId="53781" xr:uid="{7F672404-95BD-4D34-819C-AF5B2DD22924}"/>
    <cellStyle name="Migliaia [0] 17 3 2 8" xfId="17585" xr:uid="{FE14AA89-9F2E-4A2A-BE9A-81DC471CF3A0}"/>
    <cellStyle name="Migliaia [0] 17 3 2 9" xfId="11736" xr:uid="{6C3BA5F4-0CE2-4B2A-99B0-704EA98B3AF6}"/>
    <cellStyle name="Migliaia [0] 17 3 3" xfId="5860" xr:uid="{DDF2A1B8-D9C9-4B31-9B78-D1C6D62D34C6}"/>
    <cellStyle name="Migliaia [0] 17 3 3 2" xfId="11165" xr:uid="{7264CE37-479C-4BD4-B4D3-EE6F18860971}"/>
    <cellStyle name="Migliaia [0] 17 3 4" xfId="2861" xr:uid="{2D1A1BFB-4086-42AD-B1D1-1C2254173431}"/>
    <cellStyle name="Migliaia [0] 17 3 4 2" xfId="21269" xr:uid="{79B7BB8C-29F3-4E8B-B6E7-D59035C600E5}"/>
    <cellStyle name="Migliaia [0] 17 3 4 3" xfId="47889" xr:uid="{C11DB687-AB82-4B9E-BE8F-1D74980C821E}"/>
    <cellStyle name="Migliaia [0] 17 3 4 4" xfId="50284" xr:uid="{FD6F929D-A62D-453E-94B9-FD11465A5BB7}"/>
    <cellStyle name="Migliaia [0] 17 3 4 5" xfId="53300" xr:uid="{FF695F01-06A9-479B-B486-FB4EDA45B717}"/>
    <cellStyle name="Migliaia [0] 17 3 4 6" xfId="10634" xr:uid="{FD8C02BF-4255-4432-B29A-2713165D2D94}"/>
    <cellStyle name="Migliaia [0] 17 3 5" xfId="19540" xr:uid="{29D7928F-1D25-4C98-B96F-87E4986BF243}"/>
    <cellStyle name="Migliaia [0] 17 3 6" xfId="24017" xr:uid="{675EAFE3-0C2C-420B-AFC2-4A4B3D510F1C}"/>
    <cellStyle name="Migliaia [0] 17 3 7" xfId="8192" xr:uid="{626044EA-FA3A-4589-811C-64E5180039A1}"/>
    <cellStyle name="Migliaia [0] 17 4" xfId="2862" xr:uid="{BDE0EA76-A509-4E7F-BB3F-D3D726ACD764}"/>
    <cellStyle name="Migliaia [0] 17 4 2" xfId="4588" xr:uid="{F7B3D99D-EB1C-4485-BDC8-3111557CDD00}"/>
    <cellStyle name="Migliaia [0] 17 4 2 2" xfId="35077" xr:uid="{40B28078-D26D-4198-AFB7-F7E75AB9E3E3}"/>
    <cellStyle name="Migliaia [0] 17 4 2 2 2" xfId="40235" xr:uid="{D1F57C40-4C2B-4126-82FD-8A47558BE8AC}"/>
    <cellStyle name="Migliaia [0] 17 4 2 2 3" xfId="45537" xr:uid="{F6C90AB2-6A7F-4457-A15E-7162F767CA8F}"/>
    <cellStyle name="Migliaia [0] 17 4 2 3" xfId="37584" xr:uid="{41322DDA-616D-4D4E-A437-7D7DFA691201}"/>
    <cellStyle name="Migliaia [0] 17 4 2 4" xfId="42886" xr:uid="{12386966-E402-4D46-9835-CECD343D538B}"/>
    <cellStyle name="Migliaia [0] 17 4 2 5" xfId="17017" xr:uid="{644F972E-8541-462B-888F-1FA023C27FDB}"/>
    <cellStyle name="Migliaia [0] 17 4 3" xfId="5861" xr:uid="{14AB56A1-3C05-4162-9377-B8E9D88DB402}"/>
    <cellStyle name="Migliaia [0] 17 4 3 2" xfId="38121" xr:uid="{86AA039A-CE66-42E5-AB1C-2F9F8D558D52}"/>
    <cellStyle name="Migliaia [0] 17 4 3 3" xfId="43423" xr:uid="{47726381-6136-4777-8FF9-38DC660538E0}"/>
    <cellStyle name="Migliaia [0] 17 4 3 4" xfId="32770" xr:uid="{0A222ADC-46B8-45CE-BB28-B0730C7C66C0}"/>
    <cellStyle name="Migliaia [0] 17 4 3 5" xfId="19541" xr:uid="{09A109CB-B914-4883-A82D-B13FF4846313}"/>
    <cellStyle name="Migliaia [0] 17 4 4" xfId="35656" xr:uid="{F9379CC3-DEE2-424D-ADFB-6924535F9719}"/>
    <cellStyle name="Migliaia [0] 17 4 5" xfId="40772" xr:uid="{54E9F44E-CFB7-4F2C-A6E7-C5F51A9A23C1}"/>
    <cellStyle name="Migliaia [0] 17 4 6" xfId="15959" xr:uid="{5E8EACDA-474F-48F6-95F3-8F895D7307C2}"/>
    <cellStyle name="Migliaia [0] 17 4 7" xfId="7772" xr:uid="{875677D0-6428-4D24-8271-97DF733C5537}"/>
    <cellStyle name="Migliaia [0] 17 5" xfId="4584" xr:uid="{FDF3D697-A78F-4D9F-98F6-D63E0EF9F157}"/>
    <cellStyle name="Migliaia [0] 17 5 2" xfId="32771" xr:uid="{EA604285-8F61-4DBB-BEB6-D2EDEE83DD2E}"/>
    <cellStyle name="Migliaia [0] 17 5 2 2" xfId="38122" xr:uid="{15DA75BA-B7FD-47A1-81FA-EB296714FD49}"/>
    <cellStyle name="Migliaia [0] 17 5 2 3" xfId="43424" xr:uid="{8B86C8D2-1DF6-4A6D-BD33-B10C47DFE9D7}"/>
    <cellStyle name="Migliaia [0] 17 5 3" xfId="35657" xr:uid="{E4D40D9F-57F5-49A0-B31F-61CD2F14F582}"/>
    <cellStyle name="Migliaia [0] 17 5 4" xfId="40773" xr:uid="{CA40F2FC-53A8-4C7A-9279-46A019B848E8}"/>
    <cellStyle name="Migliaia [0] 17 5 5" xfId="17086" xr:uid="{7326BA90-D4E7-46DB-8052-5F5069C80FDD}"/>
    <cellStyle name="Migliaia [0] 17 6" xfId="5858" xr:uid="{7687D6DC-C27C-4423-A9B5-931BD7065F74}"/>
    <cellStyle name="Migliaia [0] 17 6 2" xfId="38118" xr:uid="{C82D60FE-61E9-4015-8898-3529662AF85E}"/>
    <cellStyle name="Migliaia [0] 17 6 3" xfId="43420" xr:uid="{A24991AD-D265-4477-968A-EB57280F4504}"/>
    <cellStyle name="Migliaia [0] 17 6 4" xfId="32767" xr:uid="{E1F381ED-C4AD-44B4-BD48-E0E5966637A4}"/>
    <cellStyle name="Migliaia [0] 17 6 5" xfId="19537" xr:uid="{D6BAFF15-6683-4430-9312-F840FEA5A4FA}"/>
    <cellStyle name="Migliaia [0] 17 7" xfId="2858" xr:uid="{7D91B9B4-FD1D-4560-82FF-7748BCDB0C53}"/>
    <cellStyle name="Migliaia [0] 17 7 2" xfId="35653" xr:uid="{79C45933-7135-4C6D-A3B0-EE5B457AD7C3}"/>
    <cellStyle name="Migliaia [0] 17 8" xfId="40769" xr:uid="{AC4904B0-91C5-4822-A082-D5DCC7099990}"/>
    <cellStyle name="Migliaia [0] 17 9" xfId="6993" xr:uid="{89D01E6A-76A5-4F8B-ABDB-7945BD65456E}"/>
    <cellStyle name="Migliaia [0] 18" xfId="251" xr:uid="{00000000-0005-0000-0000-0000F9010000}"/>
    <cellStyle name="Migliaia [0] 18 2" xfId="1508" xr:uid="{00000000-0005-0000-0000-0000FA010000}"/>
    <cellStyle name="Migliaia [0] 18 2 2" xfId="1509" xr:uid="{00000000-0005-0000-0000-0000FB010000}"/>
    <cellStyle name="Migliaia [0] 18 2 2 2" xfId="4591" xr:uid="{F505F408-46B4-43A6-80A3-90FAA0F025D3}"/>
    <cellStyle name="Migliaia [0] 18 2 2 2 2" xfId="21738" xr:uid="{97F03B8C-DA67-4610-A473-7CFB57F892C5}"/>
    <cellStyle name="Migliaia [0] 18 2 2 2 3" xfId="46735" xr:uid="{D130AAA9-48A7-4938-B41B-C1E2BCB44CB8}"/>
    <cellStyle name="Migliaia [0] 18 2 2 2 4" xfId="50766" xr:uid="{C1DEE424-FF47-4D64-B56D-465E69EB5AF0}"/>
    <cellStyle name="Migliaia [0] 18 2 2 2 5" xfId="53782" xr:uid="{E60A1457-1CAE-4B88-BCA5-887634CBFE8D}"/>
    <cellStyle name="Migliaia [0] 18 2 2 2 6" xfId="11737" xr:uid="{377682E3-A368-45A5-8055-DA41A093065C}"/>
    <cellStyle name="Migliaia [0] 18 2 2 3" xfId="2865" xr:uid="{A22E6125-3EFB-42B0-87DC-B40D706D6A1C}"/>
    <cellStyle name="Migliaia [0] 18 2 2 3 2" xfId="11551" xr:uid="{E86D6CDA-C38E-43B8-9960-9C928EA79245}"/>
    <cellStyle name="Migliaia [0] 18 2 2 4" xfId="10635" xr:uid="{0DEA23CF-7F9F-48D1-8A14-76584FDE9B6E}"/>
    <cellStyle name="Migliaia [0] 18 2 2 4 2" xfId="21270" xr:uid="{57E2CF73-8F49-48F8-AFC4-23BF4427E33C}"/>
    <cellStyle name="Migliaia [0] 18 2 2 4 3" xfId="47296" xr:uid="{CE1EE66A-9DAC-4CD4-A211-DD5547387F09}"/>
    <cellStyle name="Migliaia [0] 18 2 2 4 4" xfId="50285" xr:uid="{C2BDBB96-082C-4EB0-A4AE-4E90605F1F89}"/>
    <cellStyle name="Migliaia [0] 18 2 2 4 5" xfId="53301" xr:uid="{0E51DBF7-21F8-4516-92A1-2B46808264A5}"/>
    <cellStyle name="Migliaia [0] 18 2 2 5" xfId="19544" xr:uid="{4A84BD9B-FE69-4607-98B5-FBE0B713701B}"/>
    <cellStyle name="Migliaia [0] 18 2 2 6" xfId="24019" xr:uid="{64DBC5C1-20EB-44A1-9002-F8764BCED07A}"/>
    <cellStyle name="Migliaia [0] 18 2 2 7" xfId="48829" xr:uid="{56402C37-BFA3-47BC-87CE-32EA6D1CBC82}"/>
    <cellStyle name="Migliaia [0] 18 2 2 8" xfId="49735" xr:uid="{BF7CF1A0-42ED-42D1-835A-8CCDC8BFEB9C}"/>
    <cellStyle name="Migliaia [0] 18 2 2 9" xfId="8435" xr:uid="{EEB7A450-4C85-4882-AC13-1097B94FF607}"/>
    <cellStyle name="Migliaia [0] 18 2 3" xfId="4590" xr:uid="{13429661-C425-45F6-90A2-866C2FDC7EF0}"/>
    <cellStyle name="Migliaia [0] 18 2 3 2" xfId="32773" xr:uid="{71C2425A-1993-4115-8D06-30CF27262FCA}"/>
    <cellStyle name="Migliaia [0] 18 2 3 2 2" xfId="38124" xr:uid="{33165B8E-5323-4BDC-B35A-545AAE58B7A4}"/>
    <cellStyle name="Migliaia [0] 18 2 3 2 3" xfId="43426" xr:uid="{AD8094C9-416A-4EF6-8390-343AD2B3545F}"/>
    <cellStyle name="Migliaia [0] 18 2 3 3" xfId="35659" xr:uid="{517D14D9-A5B2-4995-A0C0-683CA72B6256}"/>
    <cellStyle name="Migliaia [0] 18 2 3 4" xfId="40775" xr:uid="{2DEC65B5-D568-4CEF-B484-A246F7DCA241}"/>
    <cellStyle name="Migliaia [0] 18 2 3 5" xfId="11738" xr:uid="{FFE4698B-A072-4C3F-8CF3-83248C4AA9AA}"/>
    <cellStyle name="Migliaia [0] 18 2 4" xfId="5863" xr:uid="{63FD39A2-DDBF-4E70-AB7F-6C0E93707D1C}"/>
    <cellStyle name="Migliaia [0] 18 2 4 2" xfId="19543" xr:uid="{4DDADC73-0EA2-4C4F-9417-B3CCDF227064}"/>
    <cellStyle name="Migliaia [0] 18 2 5" xfId="2864" xr:uid="{61DD176E-D810-443E-8FCD-8DCFE10B37CF}"/>
    <cellStyle name="Migliaia [0] 18 2 5 2" xfId="24018" xr:uid="{79880F87-C54B-407E-9DAB-A33CC9EC4463}"/>
    <cellStyle name="Migliaia [0] 18 2 6" xfId="7245" xr:uid="{9C30BFA1-51E8-46B8-AF1B-8A11A6E6B95D}"/>
    <cellStyle name="Migliaia [0] 18 3" xfId="1510" xr:uid="{00000000-0005-0000-0000-0000FC010000}"/>
    <cellStyle name="Migliaia [0] 18 3 2" xfId="4592" xr:uid="{1797A264-FBC6-4482-9D92-A6B54AAE14DC}"/>
    <cellStyle name="Migliaia [0] 18 3 2 2" xfId="18310" xr:uid="{E26449A6-4CB3-45E0-BC0C-133F15A8E3C4}"/>
    <cellStyle name="Migliaia [0] 18 3 2 2 2" xfId="21739" xr:uid="{85D23446-A178-4883-A061-3CDA3E2499A1}"/>
    <cellStyle name="Migliaia [0] 18 3 2 2 2 2" xfId="38125" xr:uid="{B2ACEB25-5741-4748-80E2-FCC614E98C34}"/>
    <cellStyle name="Migliaia [0] 18 3 2 2 3" xfId="43427" xr:uid="{6580B1A6-A079-4589-9A6A-E7D3EA5F9DDF}"/>
    <cellStyle name="Migliaia [0] 18 3 2 2 4" xfId="32774" xr:uid="{0E626646-AB50-45CB-8056-BF02C26471CE}"/>
    <cellStyle name="Migliaia [0] 18 3 2 3" xfId="35660" xr:uid="{3B36A86B-EDB9-4D0F-8384-57EC3D47E5D6}"/>
    <cellStyle name="Migliaia [0] 18 3 2 4" xfId="40776" xr:uid="{1406EABF-BDB7-475E-923F-3E604BA2FA19}"/>
    <cellStyle name="Migliaia [0] 18 3 2 5" xfId="35951" xr:uid="{303D1360-7C1B-4D42-8761-9400061E9496}"/>
    <cellStyle name="Migliaia [0] 18 3 2 6" xfId="50767" xr:uid="{B8A58E68-5529-44B4-B99D-A70C69EFED02}"/>
    <cellStyle name="Migliaia [0] 18 3 2 7" xfId="53783" xr:uid="{702F0A7B-B9B6-4D97-BAAF-0783415A024C}"/>
    <cellStyle name="Migliaia [0] 18 3 2 8" xfId="17586" xr:uid="{51C0CE53-E3C2-4CB3-8475-B4335A5B2A97}"/>
    <cellStyle name="Migliaia [0] 18 3 2 9" xfId="11739" xr:uid="{92F366EC-A8EB-4C62-8BC7-D47168076BD5}"/>
    <cellStyle name="Migliaia [0] 18 3 3" xfId="5864" xr:uid="{98B6DE05-E60F-438C-8707-4097884BF390}"/>
    <cellStyle name="Migliaia [0] 18 3 3 2" xfId="11547" xr:uid="{7E7698E4-9E2F-4865-9D42-8C767C30243B}"/>
    <cellStyle name="Migliaia [0] 18 3 4" xfId="2866" xr:uid="{5322999B-0CDA-487C-B58D-AF0050E74636}"/>
    <cellStyle name="Migliaia [0] 18 3 4 2" xfId="21271" xr:uid="{0534C7AC-84B6-455D-BBF2-B88A1E266838}"/>
    <cellStyle name="Migliaia [0] 18 3 4 3" xfId="46169" xr:uid="{5BDC5978-F9FD-44AA-9FB6-6F9D4BD01052}"/>
    <cellStyle name="Migliaia [0] 18 3 4 4" xfId="50286" xr:uid="{292A5217-FBA5-4A4D-9E90-63A7F9D5DCFA}"/>
    <cellStyle name="Migliaia [0] 18 3 4 5" xfId="53302" xr:uid="{FDA475FC-5073-4A9A-A6FF-A6FB54A846C7}"/>
    <cellStyle name="Migliaia [0] 18 3 4 6" xfId="10636" xr:uid="{FA855DE5-AE12-419F-A084-72ED155293CE}"/>
    <cellStyle name="Migliaia [0] 18 3 5" xfId="19545" xr:uid="{E77DB494-DE03-4F6B-89B5-34E9840B0970}"/>
    <cellStyle name="Migliaia [0] 18 3 6" xfId="24020" xr:uid="{7AC2689E-7B61-4DE1-8A8E-F5E2437CD559}"/>
    <cellStyle name="Migliaia [0] 18 3 7" xfId="8193" xr:uid="{43E076BE-DEE3-4F1C-9CB0-B67B4A6ED5C7}"/>
    <cellStyle name="Migliaia [0] 18 4" xfId="2867" xr:uid="{C26C3942-7771-4D14-9CE8-AB97671F23E7}"/>
    <cellStyle name="Migliaia [0] 18 4 2" xfId="4593" xr:uid="{00AABA45-ABB0-4A6B-99D5-8CFACC41315E}"/>
    <cellStyle name="Migliaia [0] 18 4 2 2" xfId="35078" xr:uid="{A0516A2E-5C4B-41FC-AEB4-B96FB657C0EE}"/>
    <cellStyle name="Migliaia [0] 18 4 2 2 2" xfId="40236" xr:uid="{F7DDE961-DB22-496E-AB37-14888BE4F3FB}"/>
    <cellStyle name="Migliaia [0] 18 4 2 2 3" xfId="45538" xr:uid="{F92BCC99-C572-46C2-B332-54A4AA546251}"/>
    <cellStyle name="Migliaia [0] 18 4 2 3" xfId="37585" xr:uid="{ACE8A591-EAA1-482A-AA1C-93F58F7C7DF7}"/>
    <cellStyle name="Migliaia [0] 18 4 2 4" xfId="42887" xr:uid="{D0960B89-1213-4951-9B0A-15FA53B29590}"/>
    <cellStyle name="Migliaia [0] 18 4 2 5" xfId="17018" xr:uid="{4330AFC4-1295-4B6E-A008-C4A4D060C6FE}"/>
    <cellStyle name="Migliaia [0] 18 4 3" xfId="5865" xr:uid="{01AB2B8E-950A-40E9-95B8-8B9E7AD29E5E}"/>
    <cellStyle name="Migliaia [0] 18 4 3 2" xfId="38126" xr:uid="{786814BD-56D8-4F8E-AD6C-8404D5190F4F}"/>
    <cellStyle name="Migliaia [0] 18 4 3 3" xfId="43428" xr:uid="{63C28CB4-0CF0-42B4-92B4-6959DC3DDA95}"/>
    <cellStyle name="Migliaia [0] 18 4 3 4" xfId="32775" xr:uid="{4878F397-6250-40E2-BCDF-C3E57D719CF9}"/>
    <cellStyle name="Migliaia [0] 18 4 3 5" xfId="19546" xr:uid="{80F7C104-2400-477C-9215-1E6D460F3386}"/>
    <cellStyle name="Migliaia [0] 18 4 4" xfId="35661" xr:uid="{42258AF7-02B4-4AAE-84A7-278238A56CEB}"/>
    <cellStyle name="Migliaia [0] 18 4 5" xfId="40777" xr:uid="{3C2EC2DD-BC8F-46FB-A4F8-01BEF072E841}"/>
    <cellStyle name="Migliaia [0] 18 4 6" xfId="15960" xr:uid="{DC577D89-88D0-4208-9365-9BC713EE9195}"/>
    <cellStyle name="Migliaia [0] 18 4 7" xfId="7773" xr:uid="{81B67FA3-FF3D-46F1-BC16-51A5BC4E2712}"/>
    <cellStyle name="Migliaia [0] 18 5" xfId="4589" xr:uid="{8E4BAA47-B919-490B-A7D4-01359FF6CF58}"/>
    <cellStyle name="Migliaia [0] 18 5 2" xfId="32776" xr:uid="{796518F4-388B-4E22-876E-51DFF8137C43}"/>
    <cellStyle name="Migliaia [0] 18 5 2 2" xfId="38127" xr:uid="{43EF3F86-F52C-4AF6-B165-AAF6FF2D198B}"/>
    <cellStyle name="Migliaia [0] 18 5 2 3" xfId="43429" xr:uid="{F0F88EA1-5AC3-464B-A1FD-E43DFA2E274E}"/>
    <cellStyle name="Migliaia [0] 18 5 3" xfId="35662" xr:uid="{DF68FBC2-6A71-431C-8D03-FA924EA40636}"/>
    <cellStyle name="Migliaia [0] 18 5 4" xfId="40778" xr:uid="{6E6CE4B8-3E30-48AC-A670-054FC157A6C1}"/>
    <cellStyle name="Migliaia [0] 18 5 5" xfId="17087" xr:uid="{4C1260C2-6468-4D3B-8F67-F85526C6E0C0}"/>
    <cellStyle name="Migliaia [0] 18 6" xfId="5862" xr:uid="{D5C4B93D-77EC-4134-8FF8-34E07775EE3E}"/>
    <cellStyle name="Migliaia [0] 18 6 2" xfId="38123" xr:uid="{A997339E-1B7D-4D11-A76F-56574B6BE05F}"/>
    <cellStyle name="Migliaia [0] 18 6 3" xfId="43425" xr:uid="{8F6799FC-540E-4F4A-8582-06DDB214A421}"/>
    <cellStyle name="Migliaia [0] 18 6 4" xfId="32772" xr:uid="{70FFDF0A-113C-4230-B8FA-CEAC92208CF7}"/>
    <cellStyle name="Migliaia [0] 18 6 5" xfId="19542" xr:uid="{AB451DE7-B7B6-4918-BA5F-02722951C9DD}"/>
    <cellStyle name="Migliaia [0] 18 7" xfId="2863" xr:uid="{DD37CF0F-097D-4274-8F7B-6C89475AA05A}"/>
    <cellStyle name="Migliaia [0] 18 7 2" xfId="35658" xr:uid="{A416635D-3188-47CE-9044-EBECF9CAB1CD}"/>
    <cellStyle name="Migliaia [0] 18 8" xfId="40774" xr:uid="{CE741FE1-E509-4B7F-9713-76FBE78E68D7}"/>
    <cellStyle name="Migliaia [0] 18 9" xfId="6994" xr:uid="{221A4964-515C-4A99-B97F-9627CB0F527F}"/>
    <cellStyle name="Migliaia [0] 19" xfId="252" xr:uid="{00000000-0005-0000-0000-0000FD010000}"/>
    <cellStyle name="Migliaia [0] 19 2" xfId="1511" xr:uid="{00000000-0005-0000-0000-0000FE010000}"/>
    <cellStyle name="Migliaia [0] 19 2 2" xfId="1512" xr:uid="{00000000-0005-0000-0000-0000FF010000}"/>
    <cellStyle name="Migliaia [0] 19 2 2 2" xfId="4596" xr:uid="{5356398C-A651-4D19-8C07-B176DA22E8F7}"/>
    <cellStyle name="Migliaia [0] 19 2 2 2 2" xfId="21740" xr:uid="{B87DB490-BF75-4A45-8E96-4C153D09F158}"/>
    <cellStyle name="Migliaia [0] 19 2 2 2 3" xfId="46287" xr:uid="{88C46F25-DFE6-4BA0-A4A7-B452172AC30F}"/>
    <cellStyle name="Migliaia [0] 19 2 2 2 4" xfId="50768" xr:uid="{493A293A-22CC-43DA-87DD-E708DAB845E4}"/>
    <cellStyle name="Migliaia [0] 19 2 2 2 5" xfId="53784" xr:uid="{857CE5A9-0BD7-4BA2-A0B0-EE91895BF58A}"/>
    <cellStyle name="Migliaia [0] 19 2 2 2 6" xfId="11740" xr:uid="{2784E933-E061-4859-AB4A-2FFFC794A5E6}"/>
    <cellStyle name="Migliaia [0] 19 2 2 3" xfId="2870" xr:uid="{E3E17C4D-34A8-4528-A88B-5C1E5307A0BF}"/>
    <cellStyle name="Migliaia [0] 19 2 2 3 2" xfId="12354" xr:uid="{832FF789-DBA6-41AF-9008-AA67601ADB92}"/>
    <cellStyle name="Migliaia [0] 19 2 2 4" xfId="10637" xr:uid="{986E48EC-A214-4D33-BE8D-E7A532FAC6A9}"/>
    <cellStyle name="Migliaia [0] 19 2 2 4 2" xfId="21272" xr:uid="{CF76B18D-FDCA-4EBC-92B8-CFCA29BA1840}"/>
    <cellStyle name="Migliaia [0] 19 2 2 4 3" xfId="46170" xr:uid="{6D3D43F5-AB76-412C-8046-9B849D542771}"/>
    <cellStyle name="Migliaia [0] 19 2 2 4 4" xfId="50287" xr:uid="{911A0D6F-40C3-4B65-9EAA-00BFAFEEE4B5}"/>
    <cellStyle name="Migliaia [0] 19 2 2 4 5" xfId="53303" xr:uid="{C15805F9-D0FE-4298-A290-974BA23F55F3}"/>
    <cellStyle name="Migliaia [0] 19 2 2 5" xfId="19549" xr:uid="{8A2E4530-6ABF-47CC-B7E1-05F5FE458868}"/>
    <cellStyle name="Migliaia [0] 19 2 2 6" xfId="24022" xr:uid="{DD4C3784-90B8-4544-AD21-20722A78ED99}"/>
    <cellStyle name="Migliaia [0] 19 2 2 7" xfId="48830" xr:uid="{F68AAA17-7EB8-40FD-8314-2533CA5B3B65}"/>
    <cellStyle name="Migliaia [0] 19 2 2 8" xfId="49736" xr:uid="{3DB6E478-380F-4FAD-AC91-6259AC62642F}"/>
    <cellStyle name="Migliaia [0] 19 2 2 9" xfId="8436" xr:uid="{7D63F8D6-A9B6-4381-AC3D-44BA763529D2}"/>
    <cellStyle name="Migliaia [0] 19 2 3" xfId="4595" xr:uid="{40B5E304-7698-4E99-9C70-58EAD436BBA9}"/>
    <cellStyle name="Migliaia [0] 19 2 3 2" xfId="32778" xr:uid="{2B195BD6-C85B-46A2-A496-AF99F247F0C7}"/>
    <cellStyle name="Migliaia [0] 19 2 3 2 2" xfId="38129" xr:uid="{F4EE5B1F-06D0-4D08-8317-FEA1088F8FFC}"/>
    <cellStyle name="Migliaia [0] 19 2 3 2 3" xfId="43431" xr:uid="{744407BC-04B5-4A1E-BE61-163BFBE5D2A6}"/>
    <cellStyle name="Migliaia [0] 19 2 3 3" xfId="35664" xr:uid="{736F7141-6F76-451C-9613-9C5A117553AD}"/>
    <cellStyle name="Migliaia [0] 19 2 3 4" xfId="40780" xr:uid="{3592855D-4FEA-4DAB-B2AE-FEF5E4E99D3D}"/>
    <cellStyle name="Migliaia [0] 19 2 3 5" xfId="11741" xr:uid="{27B26C2D-1A97-4040-8F9F-D036E27F30AF}"/>
    <cellStyle name="Migliaia [0] 19 2 4" xfId="5867" xr:uid="{F12D0934-D320-4614-B905-91DCC1899198}"/>
    <cellStyle name="Migliaia [0] 19 2 4 2" xfId="19548" xr:uid="{A3CE42F1-E6B9-4066-B68A-6B2CAC22C6B3}"/>
    <cellStyle name="Migliaia [0] 19 2 5" xfId="2869" xr:uid="{65F382B3-2DDE-4CAF-BDA8-B0148BB8953F}"/>
    <cellStyle name="Migliaia [0] 19 2 5 2" xfId="24021" xr:uid="{DB7C797D-C349-43C3-B39A-B4BCB3A4E1C5}"/>
    <cellStyle name="Migliaia [0] 19 2 6" xfId="7246" xr:uid="{3776386B-67C7-4D1D-BD5C-1210EDEE3B77}"/>
    <cellStyle name="Migliaia [0] 19 3" xfId="1513" xr:uid="{00000000-0005-0000-0000-000000020000}"/>
    <cellStyle name="Migliaia [0] 19 3 2" xfId="4597" xr:uid="{B6FEC387-C1AE-4CAF-885B-B1692C07FAEF}"/>
    <cellStyle name="Migliaia [0] 19 3 2 2" xfId="18311" xr:uid="{1122C167-B520-4D40-98D6-FEF735900C21}"/>
    <cellStyle name="Migliaia [0] 19 3 2 2 2" xfId="21741" xr:uid="{4FDF75D0-9D24-4B54-A63E-3C730A4BB79F}"/>
    <cellStyle name="Migliaia [0] 19 3 2 2 2 2" xfId="38130" xr:uid="{5256DB92-AC31-42D8-8823-56B622E5E249}"/>
    <cellStyle name="Migliaia [0] 19 3 2 2 3" xfId="43432" xr:uid="{CF246FDD-7C00-416C-AAC9-F8901ED58F57}"/>
    <cellStyle name="Migliaia [0] 19 3 2 2 4" xfId="32779" xr:uid="{715000F1-C5DA-494F-81C6-A9AAF205F086}"/>
    <cellStyle name="Migliaia [0] 19 3 2 3" xfId="35665" xr:uid="{5FE76993-FA93-40D2-918B-2D92ADB7237D}"/>
    <cellStyle name="Migliaia [0] 19 3 2 4" xfId="40781" xr:uid="{50F7E3BB-D1F2-4561-BEA3-0ADD065360DF}"/>
    <cellStyle name="Migliaia [0] 19 3 2 5" xfId="24494" xr:uid="{F414E7E3-DA4E-428B-AFC2-4821FA38CCA1}"/>
    <cellStyle name="Migliaia [0] 19 3 2 6" xfId="50769" xr:uid="{3FD13C3D-9C38-4015-ABF4-828799CF1BD9}"/>
    <cellStyle name="Migliaia [0] 19 3 2 7" xfId="53785" xr:uid="{A535B1A7-F9FA-41CB-87ED-A17C77EA16E6}"/>
    <cellStyle name="Migliaia [0] 19 3 2 8" xfId="17587" xr:uid="{7F21FC6B-0038-4F6C-B020-92F788807061}"/>
    <cellStyle name="Migliaia [0] 19 3 2 9" xfId="11742" xr:uid="{EF94833F-9ED6-4B03-A077-0CBF14BA05B6}"/>
    <cellStyle name="Migliaia [0] 19 3 3" xfId="5868" xr:uid="{A4081059-7674-4794-93F1-40CD361D0383}"/>
    <cellStyle name="Migliaia [0] 19 3 3 2" xfId="11133" xr:uid="{BA5E1400-717B-4324-B804-843468ABB3D5}"/>
    <cellStyle name="Migliaia [0] 19 3 4" xfId="2871" xr:uid="{12AB1581-2A95-4546-B214-7E38BB96C26E}"/>
    <cellStyle name="Migliaia [0] 19 3 4 2" xfId="21273" xr:uid="{AEE94781-694B-4125-8613-3BFFD1B9063B}"/>
    <cellStyle name="Migliaia [0] 19 3 4 3" xfId="46171" xr:uid="{66258777-8C7E-4B63-A741-E6650114E70B}"/>
    <cellStyle name="Migliaia [0] 19 3 4 4" xfId="50288" xr:uid="{34095717-F7FC-4A62-A8DF-00A17D62AA5B}"/>
    <cellStyle name="Migliaia [0] 19 3 4 5" xfId="53304" xr:uid="{064D9458-480D-411A-BD99-81B29B581EBC}"/>
    <cellStyle name="Migliaia [0] 19 3 4 6" xfId="10638" xr:uid="{B93EB72C-687F-4D32-9021-C62FA2C72383}"/>
    <cellStyle name="Migliaia [0] 19 3 5" xfId="19550" xr:uid="{3601ACFB-1E45-4968-BF2D-2C427615675C}"/>
    <cellStyle name="Migliaia [0] 19 3 6" xfId="24023" xr:uid="{8820AE9F-F001-4278-8DE8-96A32714746F}"/>
    <cellStyle name="Migliaia [0] 19 3 7" xfId="8194" xr:uid="{0C1A6ED1-7161-453B-8DCB-95361E0C6F14}"/>
    <cellStyle name="Migliaia [0] 19 4" xfId="2872" xr:uid="{AFCEB89A-DD55-4599-80ED-151B98AA9A5A}"/>
    <cellStyle name="Migliaia [0] 19 4 2" xfId="4598" xr:uid="{923C6A1A-9C63-4187-8639-E23A93D47026}"/>
    <cellStyle name="Migliaia [0] 19 4 2 2" xfId="35079" xr:uid="{B8BD1607-48AB-4F59-871D-FFE642B4633C}"/>
    <cellStyle name="Migliaia [0] 19 4 2 2 2" xfId="40237" xr:uid="{18D80F1B-8724-4AD5-9B36-F19B8B27B995}"/>
    <cellStyle name="Migliaia [0] 19 4 2 2 3" xfId="45539" xr:uid="{887D5026-1AEA-4A70-9724-177AA36F2537}"/>
    <cellStyle name="Migliaia [0] 19 4 2 3" xfId="37586" xr:uid="{FA3253EA-7412-405C-88CA-643CCC066733}"/>
    <cellStyle name="Migliaia [0] 19 4 2 4" xfId="42888" xr:uid="{60E44604-E360-4A31-BF4B-3BD06DF13AAE}"/>
    <cellStyle name="Migliaia [0] 19 4 2 5" xfId="17019" xr:uid="{7556E6F6-BD0A-44A2-B67F-AC10D72DB6DB}"/>
    <cellStyle name="Migliaia [0] 19 4 3" xfId="5869" xr:uid="{604F9DF5-5E35-49DC-93AA-F4C152CC4DFA}"/>
    <cellStyle name="Migliaia [0] 19 4 3 2" xfId="38131" xr:uid="{178453C1-C1F1-41F9-BC66-AB5A6C067640}"/>
    <cellStyle name="Migliaia [0] 19 4 3 3" xfId="43433" xr:uid="{8C6B8AB8-F86F-485C-B2BE-3B9F1D3FCDDE}"/>
    <cellStyle name="Migliaia [0] 19 4 3 4" xfId="32780" xr:uid="{FE1903E4-3C7A-4CDB-9314-D7340D9DF46D}"/>
    <cellStyle name="Migliaia [0] 19 4 3 5" xfId="19551" xr:uid="{6B7D5F95-8B2D-447E-9A72-C828F313D3CA}"/>
    <cellStyle name="Migliaia [0] 19 4 4" xfId="35666" xr:uid="{3D5FACD7-CBD7-4EBE-A501-DCDDBB0F12A5}"/>
    <cellStyle name="Migliaia [0] 19 4 5" xfId="40782" xr:uid="{0A67B684-081F-4AF5-83B5-65956E3F1259}"/>
    <cellStyle name="Migliaia [0] 19 4 6" xfId="15961" xr:uid="{2C34DABC-B2DC-41F5-BD00-7A1690D683F5}"/>
    <cellStyle name="Migliaia [0] 19 4 7" xfId="7774" xr:uid="{162B6D5C-465A-49DF-8968-5B7FEED9F8D5}"/>
    <cellStyle name="Migliaia [0] 19 5" xfId="4594" xr:uid="{5E1F27F8-0D36-4D21-830A-59B617EA311F}"/>
    <cellStyle name="Migliaia [0] 19 5 2" xfId="32781" xr:uid="{E34EA662-964F-47F4-B0C6-C526E866567E}"/>
    <cellStyle name="Migliaia [0] 19 5 2 2" xfId="38132" xr:uid="{645586D2-FE40-436A-BA6D-F991A13B9E05}"/>
    <cellStyle name="Migliaia [0] 19 5 2 3" xfId="43434" xr:uid="{F4972093-9C46-4566-9022-4D642F5DB4DE}"/>
    <cellStyle name="Migliaia [0] 19 5 3" xfId="35667" xr:uid="{B8236145-A8E6-4B4E-8FDC-20195B92D32D}"/>
    <cellStyle name="Migliaia [0] 19 5 4" xfId="40783" xr:uid="{C0A8480C-B2BF-4B03-A6B9-3B02902513E7}"/>
    <cellStyle name="Migliaia [0] 19 5 5" xfId="17088" xr:uid="{83FEFF4D-34FD-4E81-B32F-5C56FD89E3F7}"/>
    <cellStyle name="Migliaia [0] 19 6" xfId="5866" xr:uid="{435F2CA6-0C35-4118-86A8-230721F2278A}"/>
    <cellStyle name="Migliaia [0] 19 6 2" xfId="38128" xr:uid="{92029ADD-4700-47D4-BE1D-84D547AB29CD}"/>
    <cellStyle name="Migliaia [0] 19 6 3" xfId="43430" xr:uid="{B1CB19C7-0602-4731-8056-12E51A126A03}"/>
    <cellStyle name="Migliaia [0] 19 6 4" xfId="32777" xr:uid="{6E47C35B-7602-49D3-8FCD-DA12773BB306}"/>
    <cellStyle name="Migliaia [0] 19 6 5" xfId="19547" xr:uid="{5BE878CE-D9D0-429C-8260-537AB71E0563}"/>
    <cellStyle name="Migliaia [0] 19 7" xfId="2868" xr:uid="{EEB27739-E584-4494-A640-FE53D3149E08}"/>
    <cellStyle name="Migliaia [0] 19 7 2" xfId="35663" xr:uid="{3C8EFFC9-C353-47A1-812C-B2EF3C8BF1F6}"/>
    <cellStyle name="Migliaia [0] 19 8" xfId="40779" xr:uid="{9C87CA7F-0DBF-436F-9F5D-71ACE2DA24E1}"/>
    <cellStyle name="Migliaia [0] 19 9" xfId="6995" xr:uid="{3782C50D-F6D6-4957-88F9-41F1DFB7AA74}"/>
    <cellStyle name="Migliaia [0] 2" xfId="253" xr:uid="{00000000-0005-0000-0000-000001020000}"/>
    <cellStyle name="Migliaia [0] 2 2" xfId="1514" xr:uid="{00000000-0005-0000-0000-000002020000}"/>
    <cellStyle name="Migliaia [0] 2 2 2" xfId="1515" xr:uid="{00000000-0005-0000-0000-000003020000}"/>
    <cellStyle name="Migliaia [0] 2 2 2 2" xfId="4601" xr:uid="{F9DF5DF2-E6E9-4871-AF91-8AC0E3A655B6}"/>
    <cellStyle name="Migliaia [0] 2 2 2 2 2" xfId="21742" xr:uid="{2CCF6917-01EE-4351-836B-A4F6990FA5AD}"/>
    <cellStyle name="Migliaia [0] 2 2 2 2 3" xfId="46736" xr:uid="{580176CE-23AD-4745-AA3F-BD0049F4F158}"/>
    <cellStyle name="Migliaia [0] 2 2 2 2 4" xfId="50770" xr:uid="{E25C32A1-9A17-4BEA-8D3B-3A68027DAD26}"/>
    <cellStyle name="Migliaia [0] 2 2 2 2 5" xfId="53786" xr:uid="{27787995-BE90-42A5-AD4A-74874C439D0C}"/>
    <cellStyle name="Migliaia [0] 2 2 2 2 6" xfId="11743" xr:uid="{8A770743-14D0-4AA6-BB4F-6CADFD48BD2D}"/>
    <cellStyle name="Migliaia [0] 2 2 2 3" xfId="2875" xr:uid="{765F5C51-ECC4-4806-BE3F-C42227B1D082}"/>
    <cellStyle name="Migliaia [0] 2 2 2 3 2" xfId="12353" xr:uid="{73D5CAC1-D228-4BB2-942F-8C9B026933ED}"/>
    <cellStyle name="Migliaia [0] 2 2 2 4" xfId="10639" xr:uid="{F4F59DAC-9850-4E0A-9D9B-D2C9631E74D2}"/>
    <cellStyle name="Migliaia [0] 2 2 2 4 2" xfId="21274" xr:uid="{E7F40280-82F3-4CD7-AC98-D8583350873A}"/>
    <cellStyle name="Migliaia [0] 2 2 2 4 3" xfId="46172" xr:uid="{729BA8BE-83B9-4CC7-8219-39B7630485D8}"/>
    <cellStyle name="Migliaia [0] 2 2 2 4 4" xfId="50289" xr:uid="{C8E8D0EA-69B2-4F61-AA04-F8A9B8B3E536}"/>
    <cellStyle name="Migliaia [0] 2 2 2 4 5" xfId="53305" xr:uid="{5C3EE4AF-ABFE-4AE6-8F7C-DECE630309E0}"/>
    <cellStyle name="Migliaia [0] 2 2 2 5" xfId="19554" xr:uid="{6642810C-1E72-4C58-A023-4BFFA7935346}"/>
    <cellStyle name="Migliaia [0] 2 2 2 6" xfId="24025" xr:uid="{28D62344-3B64-40C0-9031-6176702E272D}"/>
    <cellStyle name="Migliaia [0] 2 2 2 7" xfId="48831" xr:uid="{28DA3A7B-605D-4A47-AEF8-9279A4D0281C}"/>
    <cellStyle name="Migliaia [0] 2 2 2 8" xfId="49737" xr:uid="{096E61E5-6BEC-43E3-A354-FFA116D3F207}"/>
    <cellStyle name="Migliaia [0] 2 2 2 9" xfId="8437" xr:uid="{E4AE0F94-989B-4E4D-8336-62E6BEFA1E89}"/>
    <cellStyle name="Migliaia [0] 2 2 3" xfId="4600" xr:uid="{47F78B4F-B1F9-42B5-BEAA-F5102EB58557}"/>
    <cellStyle name="Migliaia [0] 2 2 3 2" xfId="32783" xr:uid="{67F0AEBF-D27C-4FC5-BB0F-5886774145E9}"/>
    <cellStyle name="Migliaia [0] 2 2 3 2 2" xfId="38134" xr:uid="{B8339F86-9339-4C19-B94C-CD5C35F5DB7C}"/>
    <cellStyle name="Migliaia [0] 2 2 3 2 3" xfId="43436" xr:uid="{C67BA298-66A3-4469-ADD7-889987653F06}"/>
    <cellStyle name="Migliaia [0] 2 2 3 3" xfId="35669" xr:uid="{EFCCF537-8C2E-4346-82DB-B7C0D984DA57}"/>
    <cellStyle name="Migliaia [0] 2 2 3 4" xfId="40785" xr:uid="{C44176F3-F6DC-4DCF-89DE-D7584AC1EE90}"/>
    <cellStyle name="Migliaia [0] 2 2 3 5" xfId="11744" xr:uid="{5790C498-229B-4B8F-BCAF-A5BCB49C0A80}"/>
    <cellStyle name="Migliaia [0] 2 2 4" xfId="5871" xr:uid="{9A672F3E-0C3F-49EC-B9A4-6FF5E7D47D44}"/>
    <cellStyle name="Migliaia [0] 2 2 4 2" xfId="19553" xr:uid="{18149816-0264-4195-94AF-B1DD1D452582}"/>
    <cellStyle name="Migliaia [0] 2 2 5" xfId="2874" xr:uid="{F42E8338-90B5-420E-8F31-26443C4878CF}"/>
    <cellStyle name="Migliaia [0] 2 2 5 2" xfId="24024" xr:uid="{C61A5884-B7CC-481E-BF54-E28A61E0D4FC}"/>
    <cellStyle name="Migliaia [0] 2 2 6" xfId="7247" xr:uid="{E2EAEA68-A618-4B11-BAF3-DD1E36083BE3}"/>
    <cellStyle name="Migliaia [0] 2 3" xfId="1516" xr:uid="{00000000-0005-0000-0000-000004020000}"/>
    <cellStyle name="Migliaia [0] 2 3 2" xfId="4602" xr:uid="{9E82E883-FF98-46BA-957F-1A673D16F561}"/>
    <cellStyle name="Migliaia [0] 2 3 2 2" xfId="18312" xr:uid="{1E61C106-A22B-4388-A940-2CB77FE4B3F0}"/>
    <cellStyle name="Migliaia [0] 2 3 2 2 2" xfId="21743" xr:uid="{66051DB0-03F7-4D7D-83DF-91AA3B1129C0}"/>
    <cellStyle name="Migliaia [0] 2 3 2 2 2 2" xfId="38135" xr:uid="{417885A9-1669-4E8A-9BBF-DB93045C82C9}"/>
    <cellStyle name="Migliaia [0] 2 3 2 2 3" xfId="43437" xr:uid="{95077384-6F9C-40E0-BC68-8FC5A1DEA9A7}"/>
    <cellStyle name="Migliaia [0] 2 3 2 2 4" xfId="32784" xr:uid="{A88B5509-3453-4B63-A750-8E0E4E918BE5}"/>
    <cellStyle name="Migliaia [0] 2 3 2 3" xfId="35670" xr:uid="{C153FA8B-0357-4026-B314-797A09B4EED5}"/>
    <cellStyle name="Migliaia [0] 2 3 2 4" xfId="40786" xr:uid="{3B7431CB-8674-4DED-A068-59C49B0E1ACC}"/>
    <cellStyle name="Migliaia [0] 2 3 2 5" xfId="47314" xr:uid="{BC7A6E6A-1C57-496A-B53A-FD9127925CAE}"/>
    <cellStyle name="Migliaia [0] 2 3 2 6" xfId="50771" xr:uid="{DA2DE5C0-D673-487C-85C0-D433319DDAF2}"/>
    <cellStyle name="Migliaia [0] 2 3 2 7" xfId="53787" xr:uid="{C4F162E2-C943-4CB2-A62C-D87937C0DB9D}"/>
    <cellStyle name="Migliaia [0] 2 3 2 8" xfId="17588" xr:uid="{5493A9F9-CBAA-44A1-8A4D-07175762BF19}"/>
    <cellStyle name="Migliaia [0] 2 3 2 9" xfId="11745" xr:uid="{11484F59-F6DB-427A-90D5-548E4F30AD4F}"/>
    <cellStyle name="Migliaia [0] 2 3 3" xfId="5872" xr:uid="{1F2E59E2-85A7-428F-9F2E-FA425B16EF1F}"/>
    <cellStyle name="Migliaia [0] 2 3 3 2" xfId="12384" xr:uid="{BD595953-24E4-4D42-B86B-7833723804FB}"/>
    <cellStyle name="Migliaia [0] 2 3 4" xfId="2876" xr:uid="{94790294-20A6-44B3-80CD-84B38E881449}"/>
    <cellStyle name="Migliaia [0] 2 3 4 2" xfId="21275" xr:uid="{BA75B008-CD9D-400F-A42B-58CDF2D22A5B}"/>
    <cellStyle name="Migliaia [0] 2 3 4 3" xfId="48168" xr:uid="{D1CF855A-0030-4CE7-B291-4C924F4FA937}"/>
    <cellStyle name="Migliaia [0] 2 3 4 4" xfId="50290" xr:uid="{EEC64141-A23B-40F0-B328-184D2CA89CE5}"/>
    <cellStyle name="Migliaia [0] 2 3 4 5" xfId="53306" xr:uid="{BF16960F-D5F2-4851-961B-FA72E69AE2FA}"/>
    <cellStyle name="Migliaia [0] 2 3 4 6" xfId="10640" xr:uid="{C0A0FA2F-D410-4B58-9C61-692BDD53AB59}"/>
    <cellStyle name="Migliaia [0] 2 3 5" xfId="19555" xr:uid="{5B4F3856-5987-4A26-889F-BF2E564B6EAD}"/>
    <cellStyle name="Migliaia [0] 2 3 6" xfId="24026" xr:uid="{D173E924-6588-46D4-87F7-2DC4A091962D}"/>
    <cellStyle name="Migliaia [0] 2 3 7" xfId="8195" xr:uid="{3C2FE1C1-7476-45A3-9890-EE08FFB23118}"/>
    <cellStyle name="Migliaia [0] 2 4" xfId="2877" xr:uid="{51B5AC5F-46C9-43C4-9596-74D34DC4C39E}"/>
    <cellStyle name="Migliaia [0] 2 4 2" xfId="4603" xr:uid="{493ACE53-F27E-487D-A611-5A1B905F1C2B}"/>
    <cellStyle name="Migliaia [0] 2 4 2 2" xfId="35080" xr:uid="{2A06D95E-15D6-46E7-95B8-35BDA4CB24B9}"/>
    <cellStyle name="Migliaia [0] 2 4 2 2 2" xfId="40238" xr:uid="{7DF047F8-664A-4ED9-8191-BD318EC231DA}"/>
    <cellStyle name="Migliaia [0] 2 4 2 2 3" xfId="45540" xr:uid="{B04E4E19-73D0-47F6-BD77-E891723B87F1}"/>
    <cellStyle name="Migliaia [0] 2 4 2 3" xfId="37587" xr:uid="{27196F91-8091-4CB2-AF66-4F4860AEDDF5}"/>
    <cellStyle name="Migliaia [0] 2 4 2 4" xfId="42889" xr:uid="{822BEB04-0134-4856-A307-E2BEC1BF4ED5}"/>
    <cellStyle name="Migliaia [0] 2 4 2 5" xfId="17020" xr:uid="{B85DCA82-E1A9-443B-B14A-3AF458272A50}"/>
    <cellStyle name="Migliaia [0] 2 4 3" xfId="5873" xr:uid="{F0775D07-6571-4F67-A263-DE5495F4DFEB}"/>
    <cellStyle name="Migliaia [0] 2 4 3 2" xfId="38136" xr:uid="{4FBD933E-2844-4CD8-AC69-636A7B5BBB16}"/>
    <cellStyle name="Migliaia [0] 2 4 3 3" xfId="43438" xr:uid="{9CE06AEB-1DEA-45A2-A895-143C32D0F557}"/>
    <cellStyle name="Migliaia [0] 2 4 3 4" xfId="32785" xr:uid="{57EAB48A-1730-4392-83EE-2D1827E9F142}"/>
    <cellStyle name="Migliaia [0] 2 4 3 5" xfId="19556" xr:uid="{1516A09A-C050-4716-8CD1-0CB7122AEA2D}"/>
    <cellStyle name="Migliaia [0] 2 4 4" xfId="35671" xr:uid="{1007A017-CC2F-4FF5-A79D-93CBF877E9D2}"/>
    <cellStyle name="Migliaia [0] 2 4 5" xfId="40787" xr:uid="{D96A4046-7AE1-44C8-AB6C-4CE3E84084CD}"/>
    <cellStyle name="Migliaia [0] 2 4 6" xfId="15962" xr:uid="{29141237-5402-4CE7-9AF3-D7613E9C47B1}"/>
    <cellStyle name="Migliaia [0] 2 4 7" xfId="7775" xr:uid="{335F9C20-A5C7-4465-9CFC-B4E4FEBF2E5E}"/>
    <cellStyle name="Migliaia [0] 2 5" xfId="4599" xr:uid="{869155F0-6455-49D2-BE20-04EACF6AE4A0}"/>
    <cellStyle name="Migliaia [0] 2 5 2" xfId="32786" xr:uid="{642FA565-7B93-4F43-96D1-E8F1709900E6}"/>
    <cellStyle name="Migliaia [0] 2 5 2 2" xfId="38137" xr:uid="{CE31C697-9765-4BD9-B8EF-E16BC1CD0C92}"/>
    <cellStyle name="Migliaia [0] 2 5 2 3" xfId="43439" xr:uid="{84EE645F-7A4A-4E8E-9D34-254A002B7037}"/>
    <cellStyle name="Migliaia [0] 2 5 3" xfId="35672" xr:uid="{0E040590-9F64-4DCA-BB4B-7DE85FC21905}"/>
    <cellStyle name="Migliaia [0] 2 5 4" xfId="40788" xr:uid="{73A92FC6-22C5-4BFE-A16D-0C6261A24458}"/>
    <cellStyle name="Migliaia [0] 2 5 5" xfId="17089" xr:uid="{B7285538-1765-432F-971C-DBD4554757CF}"/>
    <cellStyle name="Migliaia [0] 2 6" xfId="5870" xr:uid="{0A6F5C26-E0D3-491A-B70D-1AAEEA6CE942}"/>
    <cellStyle name="Migliaia [0] 2 6 2" xfId="38133" xr:uid="{BA0C9A04-0082-4C61-A643-521846AEA56B}"/>
    <cellStyle name="Migliaia [0] 2 6 3" xfId="43435" xr:uid="{2B7EDB90-65C6-4E3E-BA86-5FD5ED952E1F}"/>
    <cellStyle name="Migliaia [0] 2 6 4" xfId="32782" xr:uid="{96A16E5C-777B-485A-880C-68299A4C59E7}"/>
    <cellStyle name="Migliaia [0] 2 6 5" xfId="19552" xr:uid="{E4D265D4-28CD-4A20-A2E4-378E486DD1B9}"/>
    <cellStyle name="Migliaia [0] 2 7" xfId="2873" xr:uid="{AEAEA709-F113-4B9A-AD16-BCFA3D549B09}"/>
    <cellStyle name="Migliaia [0] 2 7 2" xfId="35668" xr:uid="{C089AD1E-D38B-4CCF-928F-2AA50F2F5CFE}"/>
    <cellStyle name="Migliaia [0] 2 8" xfId="40784" xr:uid="{308720E0-4427-454A-BAEF-8950A2F8F949}"/>
    <cellStyle name="Migliaia [0] 2 9" xfId="6996" xr:uid="{8F7AD582-C2EF-4DF0-AD37-B76B84C8F293}"/>
    <cellStyle name="Migliaia [0] 20" xfId="254" xr:uid="{00000000-0005-0000-0000-000005020000}"/>
    <cellStyle name="Migliaia [0] 20 2" xfId="1517" xr:uid="{00000000-0005-0000-0000-000006020000}"/>
    <cellStyle name="Migliaia [0] 20 2 2" xfId="1518" xr:uid="{00000000-0005-0000-0000-000007020000}"/>
    <cellStyle name="Migliaia [0] 20 2 2 2" xfId="4606" xr:uid="{52A86C9F-F69F-4E2E-8052-D3615F821DCE}"/>
    <cellStyle name="Migliaia [0] 20 2 2 2 2" xfId="21744" xr:uid="{00BF5CFC-9F29-416F-B150-9913B11B2D54}"/>
    <cellStyle name="Migliaia [0] 20 2 2 2 3" xfId="46288" xr:uid="{E111B9AD-18E7-451D-AC55-F7D0C1EA52E7}"/>
    <cellStyle name="Migliaia [0] 20 2 2 2 4" xfId="50772" xr:uid="{8C5B55ED-639E-441E-BE1D-C8B9A89919B1}"/>
    <cellStyle name="Migliaia [0] 20 2 2 2 5" xfId="53788" xr:uid="{F55F7AD3-022A-4905-8B9F-5979913E9507}"/>
    <cellStyle name="Migliaia [0] 20 2 2 2 6" xfId="11746" xr:uid="{00D50E8B-B204-4B45-8239-8DBEAF90623E}"/>
    <cellStyle name="Migliaia [0] 20 2 2 3" xfId="2880" xr:uid="{0EBE50B9-81AB-4B9C-AC37-4B0221795BE5}"/>
    <cellStyle name="Migliaia [0] 20 2 2 3 2" xfId="12352" xr:uid="{85ECD3C9-6D11-4C9B-897D-022C6D7769F2}"/>
    <cellStyle name="Migliaia [0] 20 2 2 4" xfId="10641" xr:uid="{F61B56AE-9731-463C-892E-11F76F67C90C}"/>
    <cellStyle name="Migliaia [0] 20 2 2 4 2" xfId="21276" xr:uid="{5FB2147B-6E91-483A-B358-100A74C0E0A7}"/>
    <cellStyle name="Migliaia [0] 20 2 2 4 3" xfId="48167" xr:uid="{AFCA838C-6CFD-4248-80CC-CABFFC6D0614}"/>
    <cellStyle name="Migliaia [0] 20 2 2 4 4" xfId="50291" xr:uid="{F0D65F01-8F3E-4113-BE0D-0511C2028DCE}"/>
    <cellStyle name="Migliaia [0] 20 2 2 4 5" xfId="53307" xr:uid="{FB1AC092-CE25-4289-8380-141F077CDAAD}"/>
    <cellStyle name="Migliaia [0] 20 2 2 5" xfId="19559" xr:uid="{75C3B893-1F94-452F-8CB5-7B0E4133ED24}"/>
    <cellStyle name="Migliaia [0] 20 2 2 6" xfId="24028" xr:uid="{4EFEC2BC-94A3-484A-947E-5DB4CCD4EDF7}"/>
    <cellStyle name="Migliaia [0] 20 2 2 7" xfId="48832" xr:uid="{211008E7-FE6F-4F28-BBAE-58800E7CCAAE}"/>
    <cellStyle name="Migliaia [0] 20 2 2 8" xfId="49738" xr:uid="{4A5A14D6-D62D-49C8-A53D-A466198FF053}"/>
    <cellStyle name="Migliaia [0] 20 2 2 9" xfId="8438" xr:uid="{5050254D-B329-4995-83CE-9ED3197CC6FE}"/>
    <cellStyle name="Migliaia [0] 20 2 3" xfId="4605" xr:uid="{EC9EBDDA-F0F5-4D46-9836-3C974E17BC16}"/>
    <cellStyle name="Migliaia [0] 20 2 3 2" xfId="32788" xr:uid="{5690DE97-0BCB-4287-AB93-A25C9AC07121}"/>
    <cellStyle name="Migliaia [0] 20 2 3 2 2" xfId="38139" xr:uid="{697F5D36-C2C6-4463-B36D-E7A839E8673D}"/>
    <cellStyle name="Migliaia [0] 20 2 3 2 3" xfId="43441" xr:uid="{F2F5F650-2DA0-492F-BA62-F1D655CE9277}"/>
    <cellStyle name="Migliaia [0] 20 2 3 3" xfId="35674" xr:uid="{38EC5C73-5C1C-4F44-8A3B-7695B8344079}"/>
    <cellStyle name="Migliaia [0] 20 2 3 4" xfId="40790" xr:uid="{81054739-74BA-4B9B-8F53-B34B2479DB8E}"/>
    <cellStyle name="Migliaia [0] 20 2 3 5" xfId="11747" xr:uid="{2482E50B-AD7D-499C-B0BE-D9D02D801D62}"/>
    <cellStyle name="Migliaia [0] 20 2 4" xfId="5875" xr:uid="{6E765C4A-F353-4E58-9DFA-485D4C803AFA}"/>
    <cellStyle name="Migliaia [0] 20 2 4 2" xfId="19558" xr:uid="{5E6D47D7-FB10-45E7-8056-C69113A70182}"/>
    <cellStyle name="Migliaia [0] 20 2 5" xfId="2879" xr:uid="{C126D240-A4F0-4AF9-BDB0-C53E71A62866}"/>
    <cellStyle name="Migliaia [0] 20 2 5 2" xfId="24027" xr:uid="{597F3B21-AF0C-4EA0-A46A-B402238649F4}"/>
    <cellStyle name="Migliaia [0] 20 2 6" xfId="7248" xr:uid="{FEF5F78A-E403-4463-BD53-72C71F431B72}"/>
    <cellStyle name="Migliaia [0] 20 3" xfId="1519" xr:uid="{00000000-0005-0000-0000-000008020000}"/>
    <cellStyle name="Migliaia [0] 20 3 2" xfId="4607" xr:uid="{D4583889-12CC-4DDE-94A5-87BC78D061F9}"/>
    <cellStyle name="Migliaia [0] 20 3 2 2" xfId="18313" xr:uid="{72D70D79-8A34-453B-9075-B3088D9B49D9}"/>
    <cellStyle name="Migliaia [0] 20 3 2 2 2" xfId="21745" xr:uid="{3ED5D33F-3990-4339-8C7E-3B8648620328}"/>
    <cellStyle name="Migliaia [0] 20 3 2 2 2 2" xfId="38140" xr:uid="{66CBB1D9-DF22-4B28-B4CA-A1D774AAC8E7}"/>
    <cellStyle name="Migliaia [0] 20 3 2 2 3" xfId="43442" xr:uid="{360A79E3-915A-402F-A8C1-CB633C142D72}"/>
    <cellStyle name="Migliaia [0] 20 3 2 2 4" xfId="32789" xr:uid="{9A56B3A6-703F-4F76-9685-DBE503CE4139}"/>
    <cellStyle name="Migliaia [0] 20 3 2 3" xfId="35675" xr:uid="{1F8AEE8E-CCE4-417D-BF86-FD6C8F199E2E}"/>
    <cellStyle name="Migliaia [0] 20 3 2 4" xfId="40791" xr:uid="{0A7C7E68-0481-4BE4-8BD2-45CF34DA91B2}"/>
    <cellStyle name="Migliaia [0] 20 3 2 5" xfId="47047" xr:uid="{A1B3129A-EAEF-46C5-8607-0D1B73B7AE0D}"/>
    <cellStyle name="Migliaia [0] 20 3 2 6" xfId="50773" xr:uid="{3A417226-8C86-45CF-B620-69F05DD87BA1}"/>
    <cellStyle name="Migliaia [0] 20 3 2 7" xfId="53789" xr:uid="{2DB0F941-DBF1-4541-9711-0F3F5B4E4A9B}"/>
    <cellStyle name="Migliaia [0] 20 3 2 8" xfId="17589" xr:uid="{AEC4D581-C38D-47ED-AE5A-D970BEDDA61C}"/>
    <cellStyle name="Migliaia [0] 20 3 2 9" xfId="11748" xr:uid="{06353A56-BCA2-4369-9904-C27DBA1875E1}"/>
    <cellStyle name="Migliaia [0] 20 3 3" xfId="5876" xr:uid="{63565DD2-2723-4171-B4F7-5AE7BDBA5573}"/>
    <cellStyle name="Migliaia [0] 20 3 3 2" xfId="12383" xr:uid="{FE626A81-90CB-44C7-9215-AB1A1CF73879}"/>
    <cellStyle name="Migliaia [0] 20 3 4" xfId="2881" xr:uid="{64AE63C1-0B94-4485-A269-78EAB0B89268}"/>
    <cellStyle name="Migliaia [0] 20 3 4 2" xfId="21277" xr:uid="{B3FFA2BE-863E-4686-B4C0-E2D38367962C}"/>
    <cellStyle name="Migliaia [0] 20 3 4 3" xfId="46173" xr:uid="{3F4791C3-9B0C-489B-B8B2-ECA76FB4430F}"/>
    <cellStyle name="Migliaia [0] 20 3 4 4" xfId="50292" xr:uid="{F64D4052-2D57-428D-847D-BC8909255D1B}"/>
    <cellStyle name="Migliaia [0] 20 3 4 5" xfId="53308" xr:uid="{D159AFAF-FB01-47D7-9116-2DE6F6729BA5}"/>
    <cellStyle name="Migliaia [0] 20 3 4 6" xfId="10642" xr:uid="{1D594380-CFB9-4527-AF17-936059D38BAB}"/>
    <cellStyle name="Migliaia [0] 20 3 5" xfId="19560" xr:uid="{F54EB79E-8EE8-4E91-9E3F-AAA12AC9D0B5}"/>
    <cellStyle name="Migliaia [0] 20 3 6" xfId="24029" xr:uid="{FA451901-354A-41F3-AEB6-84651407A6C2}"/>
    <cellStyle name="Migliaia [0] 20 3 7" xfId="8196" xr:uid="{EDFE3FCE-64CD-4FA8-B6E3-63DDEAF2DE3A}"/>
    <cellStyle name="Migliaia [0] 20 4" xfId="2882" xr:uid="{1FAEDA49-C93A-4B4F-A77E-0AB9AEFF4EDA}"/>
    <cellStyle name="Migliaia [0] 20 4 2" xfId="4608" xr:uid="{A9A52AF6-7F88-4525-A7AA-62344FC314FF}"/>
    <cellStyle name="Migliaia [0] 20 4 2 2" xfId="35081" xr:uid="{3279C44E-C767-445E-8394-5DA7F2BAE39E}"/>
    <cellStyle name="Migliaia [0] 20 4 2 2 2" xfId="40239" xr:uid="{4CA29C3A-461A-490D-BC28-80F5CCEF189E}"/>
    <cellStyle name="Migliaia [0] 20 4 2 2 3" xfId="45541" xr:uid="{7E73D2AA-CDC3-4F6D-8EEA-839C3CF77DD5}"/>
    <cellStyle name="Migliaia [0] 20 4 2 3" xfId="37588" xr:uid="{5EA4CD1D-8934-4699-884A-5CCF0291BCD4}"/>
    <cellStyle name="Migliaia [0] 20 4 2 4" xfId="42890" xr:uid="{82A8A398-22DA-4431-88FB-9B83B0A38261}"/>
    <cellStyle name="Migliaia [0] 20 4 2 5" xfId="17021" xr:uid="{E976973E-D20F-453C-93D2-2679C8F2AE6D}"/>
    <cellStyle name="Migliaia [0] 20 4 3" xfId="5877" xr:uid="{19C71ECC-7AA7-42C0-9E97-314E7E80EEF7}"/>
    <cellStyle name="Migliaia [0] 20 4 3 2" xfId="38141" xr:uid="{49065F7E-3DB2-4A28-8981-56FE5F534898}"/>
    <cellStyle name="Migliaia [0] 20 4 3 3" xfId="43443" xr:uid="{F7E5C754-E5C4-43AE-9138-F91062EF9F2B}"/>
    <cellStyle name="Migliaia [0] 20 4 3 4" xfId="32790" xr:uid="{C737E46B-7583-4DB9-B1F5-7A7A48FC796A}"/>
    <cellStyle name="Migliaia [0] 20 4 3 5" xfId="19561" xr:uid="{A7261DE7-6BBC-4643-8164-DC3CAFCE08CF}"/>
    <cellStyle name="Migliaia [0] 20 4 4" xfId="35676" xr:uid="{2E751E32-610C-4FDD-814F-60CA884FAD6B}"/>
    <cellStyle name="Migliaia [0] 20 4 5" xfId="40792" xr:uid="{65561662-578F-4E48-9FFA-33A4AAE56983}"/>
    <cellStyle name="Migliaia [0] 20 4 6" xfId="15963" xr:uid="{426DE6E8-D6F6-4F6B-AD4C-9E838FEB7279}"/>
    <cellStyle name="Migliaia [0] 20 4 7" xfId="7776" xr:uid="{16DEDEE4-5F98-424F-BB20-11D89FC953A0}"/>
    <cellStyle name="Migliaia [0] 20 5" xfId="4604" xr:uid="{833261F3-9554-486B-98FE-9383D34F9773}"/>
    <cellStyle name="Migliaia [0] 20 5 2" xfId="32791" xr:uid="{BB4407F8-D728-4787-A2CA-35B30C0C1DC4}"/>
    <cellStyle name="Migliaia [0] 20 5 2 2" xfId="38142" xr:uid="{6EFBE5A8-C1BB-40AF-88E9-F94AC6289A42}"/>
    <cellStyle name="Migliaia [0] 20 5 2 3" xfId="43444" xr:uid="{2349C10E-9CAC-4303-8B51-DB16196C799D}"/>
    <cellStyle name="Migliaia [0] 20 5 3" xfId="35677" xr:uid="{FC3D445E-45DA-4EF2-8E3D-2349787F94BB}"/>
    <cellStyle name="Migliaia [0] 20 5 4" xfId="40793" xr:uid="{E8D2E37E-CF1F-42EE-878D-052FD0245194}"/>
    <cellStyle name="Migliaia [0] 20 5 5" xfId="17090" xr:uid="{A250D002-100F-4E3B-B538-7C8A14C62A8B}"/>
    <cellStyle name="Migliaia [0] 20 6" xfId="5874" xr:uid="{D8814754-014C-406A-935E-8C5F32EB63AE}"/>
    <cellStyle name="Migliaia [0] 20 6 2" xfId="38138" xr:uid="{AC97DC74-E00B-4E72-880D-79E7EC852B8B}"/>
    <cellStyle name="Migliaia [0] 20 6 3" xfId="43440" xr:uid="{7D76D05E-2537-4DDA-B66B-589C33D20BE3}"/>
    <cellStyle name="Migliaia [0] 20 6 4" xfId="32787" xr:uid="{C7A8B175-3BD1-47C1-BB80-A9E3F70E905A}"/>
    <cellStyle name="Migliaia [0] 20 6 5" xfId="19557" xr:uid="{39E1B5B5-30DE-4A7D-B294-5096E517BAB7}"/>
    <cellStyle name="Migliaia [0] 20 7" xfId="2878" xr:uid="{68FF80A9-D920-41D9-9142-D0CEC8DDEAC1}"/>
    <cellStyle name="Migliaia [0] 20 7 2" xfId="35673" xr:uid="{717AA19C-A0F6-4F51-B7D1-E997A752F73F}"/>
    <cellStyle name="Migliaia [0] 20 8" xfId="40789" xr:uid="{54A898CC-79B8-465E-BC8E-D77580AFF876}"/>
    <cellStyle name="Migliaia [0] 20 9" xfId="6997" xr:uid="{8CA010AD-CEC7-42E0-AB8F-88FF449BB98B}"/>
    <cellStyle name="Migliaia [0] 21" xfId="255" xr:uid="{00000000-0005-0000-0000-000009020000}"/>
    <cellStyle name="Migliaia [0] 21 2" xfId="1520" xr:uid="{00000000-0005-0000-0000-00000A020000}"/>
    <cellStyle name="Migliaia [0] 21 2 2" xfId="1521" xr:uid="{00000000-0005-0000-0000-00000B020000}"/>
    <cellStyle name="Migliaia [0] 21 2 2 2" xfId="4611" xr:uid="{9687E629-5B31-432A-81A3-28B134626BD6}"/>
    <cellStyle name="Migliaia [0] 21 2 2 2 2" xfId="21746" xr:uid="{BC31849D-781B-4C96-BF77-A3D65979D3F4}"/>
    <cellStyle name="Migliaia [0] 21 2 2 2 3" xfId="46737" xr:uid="{2275DD56-CA89-4433-9F1A-2AC4BD4321BC}"/>
    <cellStyle name="Migliaia [0] 21 2 2 2 4" xfId="50774" xr:uid="{17CD443D-E352-4447-9A04-E45F1A4252FC}"/>
    <cellStyle name="Migliaia [0] 21 2 2 2 5" xfId="53790" xr:uid="{4B39B86D-863C-4C3A-ACBF-DB153888C3FB}"/>
    <cellStyle name="Migliaia [0] 21 2 2 2 6" xfId="11749" xr:uid="{7BB14790-88B0-45C1-AC77-12BC992EDC1D}"/>
    <cellStyle name="Migliaia [0] 21 2 2 3" xfId="2885" xr:uid="{94AF720E-573A-42F3-B8D4-13FA00DF4623}"/>
    <cellStyle name="Migliaia [0] 21 2 2 3 2" xfId="12351" xr:uid="{7845695B-1BB7-4CA7-A23F-F2FED5772E4E}"/>
    <cellStyle name="Migliaia [0] 21 2 2 4" xfId="10643" xr:uid="{B97A1A17-B472-4078-AF18-30339D208281}"/>
    <cellStyle name="Migliaia [0] 21 2 2 4 2" xfId="21278" xr:uid="{D607CAE4-DD53-4068-A2B8-1460A3CC0F71}"/>
    <cellStyle name="Migliaia [0] 21 2 2 4 3" xfId="24256" xr:uid="{686CCFD0-EE75-4EFC-9636-19AE3E9C1F98}"/>
    <cellStyle name="Migliaia [0] 21 2 2 4 4" xfId="50293" xr:uid="{CB192A79-F484-48F8-97D4-396ACBD59DF0}"/>
    <cellStyle name="Migliaia [0] 21 2 2 4 5" xfId="53309" xr:uid="{CA06FFA9-B83D-4E1B-A827-D41C762ADE7D}"/>
    <cellStyle name="Migliaia [0] 21 2 2 5" xfId="19564" xr:uid="{D0AC0FF0-C557-4B8A-BCBD-DA5B7CF086EA}"/>
    <cellStyle name="Migliaia [0] 21 2 2 6" xfId="24031" xr:uid="{231777F0-0DD9-4627-B7F9-DF23D0B470E5}"/>
    <cellStyle name="Migliaia [0] 21 2 2 7" xfId="48833" xr:uid="{F91837DB-0E60-4CFE-B37F-28568D30AEA9}"/>
    <cellStyle name="Migliaia [0] 21 2 2 8" xfId="49739" xr:uid="{C9E06E5D-5315-462E-A05D-A3A397DDB6A4}"/>
    <cellStyle name="Migliaia [0] 21 2 2 9" xfId="8439" xr:uid="{55EF5724-BF1C-4FEA-8D8E-05E9DC6F0496}"/>
    <cellStyle name="Migliaia [0] 21 2 3" xfId="4610" xr:uid="{B9FDA454-756D-491C-8D16-21409F98C66B}"/>
    <cellStyle name="Migliaia [0] 21 2 3 2" xfId="32793" xr:uid="{9D1407E7-A4E5-46A8-94A2-DC7231235B9B}"/>
    <cellStyle name="Migliaia [0] 21 2 3 2 2" xfId="38144" xr:uid="{0D72D47F-9292-46FF-9609-CA0D4DAB41CF}"/>
    <cellStyle name="Migliaia [0] 21 2 3 2 3" xfId="43446" xr:uid="{053A11ED-1B43-44D7-B94E-E02A1847DFB0}"/>
    <cellStyle name="Migliaia [0] 21 2 3 3" xfId="35679" xr:uid="{43FBA8A2-C055-4377-86F6-7F769BEF2BB6}"/>
    <cellStyle name="Migliaia [0] 21 2 3 4" xfId="40795" xr:uid="{F1EB3C91-7285-4902-B9BC-D0D6758539DF}"/>
    <cellStyle name="Migliaia [0] 21 2 3 5" xfId="11750" xr:uid="{CCB84F60-E20E-425B-A8BB-ACDEF30BB717}"/>
    <cellStyle name="Migliaia [0] 21 2 4" xfId="5879" xr:uid="{A3B07057-FAFF-4CB3-B3AD-CA47116F49C3}"/>
    <cellStyle name="Migliaia [0] 21 2 4 2" xfId="19563" xr:uid="{085F2294-F84B-4AED-8728-0016FF50B198}"/>
    <cellStyle name="Migliaia [0] 21 2 5" xfId="2884" xr:uid="{B6280AB1-31AB-4966-BFD9-558C77E56D40}"/>
    <cellStyle name="Migliaia [0] 21 2 5 2" xfId="24030" xr:uid="{CC1213AB-7A5C-4906-9C1D-78310FEDB4C0}"/>
    <cellStyle name="Migliaia [0] 21 2 6" xfId="7249" xr:uid="{1DB7DC2A-D80F-4994-B826-B4B7356F2688}"/>
    <cellStyle name="Migliaia [0] 21 3" xfId="1522" xr:uid="{00000000-0005-0000-0000-00000C020000}"/>
    <cellStyle name="Migliaia [0] 21 3 2" xfId="4612" xr:uid="{34C2D4B4-14C7-4CEE-B7C9-469FEA948EFA}"/>
    <cellStyle name="Migliaia [0] 21 3 2 2" xfId="18314" xr:uid="{B0FE4236-CFA5-4A36-B300-4DEE48324A1D}"/>
    <cellStyle name="Migliaia [0] 21 3 2 2 2" xfId="21747" xr:uid="{6536F607-1819-4DE2-9AEF-CA07A4CBEA14}"/>
    <cellStyle name="Migliaia [0] 21 3 2 2 2 2" xfId="38145" xr:uid="{109E9346-A7B5-4573-A870-12F6E6374A29}"/>
    <cellStyle name="Migliaia [0] 21 3 2 2 3" xfId="43447" xr:uid="{68ACB204-477C-46F3-9F86-E0C73033F6FE}"/>
    <cellStyle name="Migliaia [0] 21 3 2 2 4" xfId="32794" xr:uid="{CE6C7A36-058C-49B6-9F79-5B86AC8A9AB8}"/>
    <cellStyle name="Migliaia [0] 21 3 2 3" xfId="35680" xr:uid="{DDFA1AF5-CD7D-412D-9957-24DF2EBAF0BB}"/>
    <cellStyle name="Migliaia [0] 21 3 2 4" xfId="40796" xr:uid="{4D00F0AA-4676-4387-BB7D-653AAB738F53}"/>
    <cellStyle name="Migliaia [0] 21 3 2 5" xfId="47909" xr:uid="{B244AE55-4E76-45C9-A0DC-6EF043C35DA9}"/>
    <cellStyle name="Migliaia [0] 21 3 2 6" xfId="50775" xr:uid="{57C2C9CE-9945-480B-9A11-E34C014693DE}"/>
    <cellStyle name="Migliaia [0] 21 3 2 7" xfId="53791" xr:uid="{D1082AD9-64B1-4582-A772-C5B377656DC5}"/>
    <cellStyle name="Migliaia [0] 21 3 2 8" xfId="17590" xr:uid="{877E5695-B667-470A-A5E8-5A2A8B9FC53B}"/>
    <cellStyle name="Migliaia [0] 21 3 2 9" xfId="11751" xr:uid="{605C1675-F2E9-4426-A460-EE7F24B728D7}"/>
    <cellStyle name="Migliaia [0] 21 3 3" xfId="5880" xr:uid="{BD80BF2C-43E4-42E3-97B9-D80B604EF368}"/>
    <cellStyle name="Migliaia [0] 21 3 3 2" xfId="11665" xr:uid="{13387942-1CC9-46D0-A27D-3AD1C30139B0}"/>
    <cellStyle name="Migliaia [0] 21 3 4" xfId="2886" xr:uid="{6B5F1699-B7BC-4625-8382-9E9B19A2D521}"/>
    <cellStyle name="Migliaia [0] 21 3 4 2" xfId="21279" xr:uid="{8CE2D4F3-1DAE-4D72-9049-C2A6AE680D3B}"/>
    <cellStyle name="Migliaia [0] 21 3 4 3" xfId="46174" xr:uid="{C47337B8-B3BB-4301-BFE0-B45C729B008A}"/>
    <cellStyle name="Migliaia [0] 21 3 4 4" xfId="50294" xr:uid="{9AFB5576-CB02-4ED0-ACD4-B22702CEF42E}"/>
    <cellStyle name="Migliaia [0] 21 3 4 5" xfId="53310" xr:uid="{23BD0BCB-FE20-44BA-AAE6-405914DFE18E}"/>
    <cellStyle name="Migliaia [0] 21 3 4 6" xfId="10644" xr:uid="{FA592BED-C4F0-4786-ACB1-CB5CB217B7DD}"/>
    <cellStyle name="Migliaia [0] 21 3 5" xfId="19565" xr:uid="{71C87C1C-E363-4F62-A3FB-F1A7243CC988}"/>
    <cellStyle name="Migliaia [0] 21 3 6" xfId="24032" xr:uid="{8E17CB22-2D54-43B7-BD6E-87812D898F48}"/>
    <cellStyle name="Migliaia [0] 21 3 7" xfId="8197" xr:uid="{A69E09D4-8A36-48F4-9DA7-8BA8438E3618}"/>
    <cellStyle name="Migliaia [0] 21 4" xfId="2887" xr:uid="{7936A33C-7DCC-4216-B1F3-D4463CCC128B}"/>
    <cellStyle name="Migliaia [0] 21 4 2" xfId="4613" xr:uid="{236D8E76-482A-4EC0-A82C-73AE2A083677}"/>
    <cellStyle name="Migliaia [0] 21 4 2 2" xfId="35082" xr:uid="{6DB70F3B-8EAD-4F7D-8B47-91D8D8CC50C8}"/>
    <cellStyle name="Migliaia [0] 21 4 2 2 2" xfId="40240" xr:uid="{942BF9BB-0D69-4FCD-B1F6-2CCDF87902FC}"/>
    <cellStyle name="Migliaia [0] 21 4 2 2 3" xfId="45542" xr:uid="{0C81CA06-9F27-4D88-B776-8C7AC4A781BA}"/>
    <cellStyle name="Migliaia [0] 21 4 2 3" xfId="37589" xr:uid="{F785E095-EE69-4573-A789-E7C6C142E226}"/>
    <cellStyle name="Migliaia [0] 21 4 2 4" xfId="42891" xr:uid="{B8E2B731-ED13-4D10-B283-CCCD034FEACE}"/>
    <cellStyle name="Migliaia [0] 21 4 2 5" xfId="17022" xr:uid="{E72B74FF-2323-4CCD-8926-BEC5FECDC83C}"/>
    <cellStyle name="Migliaia [0] 21 4 3" xfId="5881" xr:uid="{0FD52519-B445-42C1-B467-A2078659FF40}"/>
    <cellStyle name="Migliaia [0] 21 4 3 2" xfId="38146" xr:uid="{1FC4A5A2-8DB0-4936-84F3-3693351706FF}"/>
    <cellStyle name="Migliaia [0] 21 4 3 3" xfId="43448" xr:uid="{30199DDB-6723-4392-A79B-12B0D45512D1}"/>
    <cellStyle name="Migliaia [0] 21 4 3 4" xfId="32795" xr:uid="{72D3E82C-7511-4847-B104-642A81555888}"/>
    <cellStyle name="Migliaia [0] 21 4 3 5" xfId="19566" xr:uid="{198E1B8A-714E-4B4B-AD7D-182F2F1816B9}"/>
    <cellStyle name="Migliaia [0] 21 4 4" xfId="35681" xr:uid="{F52B55E7-1064-4339-A95D-1877F142FFBD}"/>
    <cellStyle name="Migliaia [0] 21 4 5" xfId="40797" xr:uid="{BA8DB4CF-0734-49B6-971F-C84C6D6143BC}"/>
    <cellStyle name="Migliaia [0] 21 4 6" xfId="15964" xr:uid="{1A372CCE-5FFE-4461-9892-AEB00D209D9A}"/>
    <cellStyle name="Migliaia [0] 21 4 7" xfId="7777" xr:uid="{BC0E6643-D6D1-4352-95D6-C7473BA71A08}"/>
    <cellStyle name="Migliaia [0] 21 5" xfId="4609" xr:uid="{9F93D2EE-765D-4397-B20F-D0FD0C7FE61A}"/>
    <cellStyle name="Migliaia [0] 21 5 2" xfId="32796" xr:uid="{286CB1EC-4D8B-4B2C-8634-2515E8E08512}"/>
    <cellStyle name="Migliaia [0] 21 5 2 2" xfId="38147" xr:uid="{F0F58608-9760-4484-987F-EE62E8BA61CD}"/>
    <cellStyle name="Migliaia [0] 21 5 2 3" xfId="43449" xr:uid="{93A09D32-CB08-4F25-87CA-8B563D38C42B}"/>
    <cellStyle name="Migliaia [0] 21 5 3" xfId="35682" xr:uid="{E99B6D80-0C93-4333-9EB2-D73715A6C55E}"/>
    <cellStyle name="Migliaia [0] 21 5 4" xfId="40798" xr:uid="{E91367CD-EF2D-4916-A62F-EC34EB92B54D}"/>
    <cellStyle name="Migliaia [0] 21 5 5" xfId="17091" xr:uid="{EB5F7309-68C8-4B4A-AF7A-E2CB10F3D761}"/>
    <cellStyle name="Migliaia [0] 21 6" xfId="5878" xr:uid="{F6A5D844-98A9-4D2A-AAAD-5AEB1EF60BF1}"/>
    <cellStyle name="Migliaia [0] 21 6 2" xfId="38143" xr:uid="{D85A16BD-8105-4E19-97E9-E70425C58578}"/>
    <cellStyle name="Migliaia [0] 21 6 3" xfId="43445" xr:uid="{23EF1AB5-8A96-49C8-8F58-2A1DB0E60138}"/>
    <cellStyle name="Migliaia [0] 21 6 4" xfId="32792" xr:uid="{80AFD579-CA4E-4A4B-B963-063D72A248B0}"/>
    <cellStyle name="Migliaia [0] 21 6 5" xfId="19562" xr:uid="{737926C0-F3E1-4DBE-B371-0071BFFEC225}"/>
    <cellStyle name="Migliaia [0] 21 7" xfId="2883" xr:uid="{790434CC-2483-4923-944A-461B5F3AC189}"/>
    <cellStyle name="Migliaia [0] 21 7 2" xfId="35678" xr:uid="{D0C436DF-3768-4DCD-BDD2-88EC685CB9B9}"/>
    <cellStyle name="Migliaia [0] 21 8" xfId="40794" xr:uid="{CD545FC7-B786-4BF1-87F8-B26CA691CAA2}"/>
    <cellStyle name="Migliaia [0] 21 9" xfId="6998" xr:uid="{A0A80606-ECBB-4507-9868-E1CBF0977C8B}"/>
    <cellStyle name="Migliaia [0] 22" xfId="256" xr:uid="{00000000-0005-0000-0000-00000D020000}"/>
    <cellStyle name="Migliaia [0] 22 2" xfId="1523" xr:uid="{00000000-0005-0000-0000-00000E020000}"/>
    <cellStyle name="Migliaia [0] 22 2 2" xfId="1524" xr:uid="{00000000-0005-0000-0000-00000F020000}"/>
    <cellStyle name="Migliaia [0] 22 2 2 2" xfId="4616" xr:uid="{B5D4F39A-BA8E-4FE8-807E-6CAE07E59422}"/>
    <cellStyle name="Migliaia [0] 22 2 2 2 2" xfId="21748" xr:uid="{3C947F61-0EDF-4C99-8DD7-1C8A24C99348}"/>
    <cellStyle name="Migliaia [0] 22 2 2 2 3" xfId="37509" xr:uid="{21368675-2B53-4029-A503-1493F30A9703}"/>
    <cellStyle name="Migliaia [0] 22 2 2 2 4" xfId="50776" xr:uid="{BB6A1AAD-70DB-4583-8DFF-BD8774908D33}"/>
    <cellStyle name="Migliaia [0] 22 2 2 2 5" xfId="53792" xr:uid="{AB0236A0-2D9B-44A1-9928-A5432A4D21DD}"/>
    <cellStyle name="Migliaia [0] 22 2 2 2 6" xfId="11752" xr:uid="{FB24C72D-4D47-4BA8-A57B-ECAE926BCD72}"/>
    <cellStyle name="Migliaia [0] 22 2 2 3" xfId="2890" xr:uid="{DA1163DD-253D-4FE0-89F2-86D37E113841}"/>
    <cellStyle name="Migliaia [0] 22 2 2 3 2" xfId="12185" xr:uid="{A1E03275-6091-45E3-9E00-CCCF977E3FB4}"/>
    <cellStyle name="Migliaia [0] 22 2 2 4" xfId="10645" xr:uid="{377EB5B8-CF83-4CF8-B563-0E0E39113586}"/>
    <cellStyle name="Migliaia [0] 22 2 2 4 2" xfId="21280" xr:uid="{8725EF9E-FA39-4189-9780-6C55A7D40C62}"/>
    <cellStyle name="Migliaia [0] 22 2 2 4 3" xfId="47297" xr:uid="{82950F6D-F3C6-4001-BFB2-6A89149D0FA4}"/>
    <cellStyle name="Migliaia [0] 22 2 2 4 4" xfId="50295" xr:uid="{DD276B42-97DF-4DD3-AA1F-B3915D74DA13}"/>
    <cellStyle name="Migliaia [0] 22 2 2 4 5" xfId="53311" xr:uid="{41901C06-CFD9-4100-8F84-0E6F4C07A844}"/>
    <cellStyle name="Migliaia [0] 22 2 2 5" xfId="19569" xr:uid="{7484F95D-1B18-4ADA-8B6F-4C4A5CF0750B}"/>
    <cellStyle name="Migliaia [0] 22 2 2 6" xfId="24034" xr:uid="{DE75C242-C812-4AAE-A6BA-BD3D62336005}"/>
    <cellStyle name="Migliaia [0] 22 2 2 7" xfId="48834" xr:uid="{E5E4118C-FA1F-4E27-A43C-8D27D6BA556B}"/>
    <cellStyle name="Migliaia [0] 22 2 2 8" xfId="49740" xr:uid="{768A4483-DF2E-4900-B7BA-0D0FF2CA4A52}"/>
    <cellStyle name="Migliaia [0] 22 2 2 9" xfId="8440" xr:uid="{013D5D1E-469B-49D1-B472-BD392E03788A}"/>
    <cellStyle name="Migliaia [0] 22 2 3" xfId="4615" xr:uid="{9BA79069-BE74-4BA1-A1D8-F36935A706D5}"/>
    <cellStyle name="Migliaia [0] 22 2 3 2" xfId="32798" xr:uid="{0E4C2E08-0B57-4CCD-AB7D-C118CFE295E7}"/>
    <cellStyle name="Migliaia [0] 22 2 3 2 2" xfId="38149" xr:uid="{3228ABC2-C9BD-41D1-B278-2B81E3EAAA77}"/>
    <cellStyle name="Migliaia [0] 22 2 3 2 3" xfId="43451" xr:uid="{CA02072A-4711-4C91-88D2-8BDACEC32CFE}"/>
    <cellStyle name="Migliaia [0] 22 2 3 3" xfId="35684" xr:uid="{6C3A06D7-791D-4C02-BF82-5538F552DC1E}"/>
    <cellStyle name="Migliaia [0] 22 2 3 4" xfId="40800" xr:uid="{D321C409-D695-47C7-865E-7DD9F9E737FE}"/>
    <cellStyle name="Migliaia [0] 22 2 3 5" xfId="11753" xr:uid="{DB5E8296-3E9D-4AC9-8B8B-6C209BFA005C}"/>
    <cellStyle name="Migliaia [0] 22 2 4" xfId="5883" xr:uid="{BC508E27-EAA5-45AA-BA25-45CD889FDB65}"/>
    <cellStyle name="Migliaia [0] 22 2 4 2" xfId="19568" xr:uid="{EE375999-0E1D-4505-AA6D-68F20EA5D32E}"/>
    <cellStyle name="Migliaia [0] 22 2 5" xfId="2889" xr:uid="{84D46921-BD7F-49F2-B1B8-5B039C56710A}"/>
    <cellStyle name="Migliaia [0] 22 2 5 2" xfId="24033" xr:uid="{E6EB3A9B-8EC1-4364-8AF5-D9EC11353391}"/>
    <cellStyle name="Migliaia [0] 22 2 6" xfId="7250" xr:uid="{8AA4B72C-C65E-4E3F-9CDC-0B5D9C0012F3}"/>
    <cellStyle name="Migliaia [0] 22 3" xfId="1525" xr:uid="{00000000-0005-0000-0000-000010020000}"/>
    <cellStyle name="Migliaia [0] 22 3 2" xfId="4617" xr:uid="{61DC8A04-8F28-498E-B8A7-A3B3AF59BAD9}"/>
    <cellStyle name="Migliaia [0] 22 3 2 2" xfId="18315" xr:uid="{2AA1044C-16D9-42F8-9EDF-6E87B79959F0}"/>
    <cellStyle name="Migliaia [0] 22 3 2 2 2" xfId="21749" xr:uid="{54A1853E-9517-4B37-93CB-9198EB93EA33}"/>
    <cellStyle name="Migliaia [0] 22 3 2 2 2 2" xfId="38150" xr:uid="{E84086FD-FAF6-47D3-98EE-FD7A4094D89B}"/>
    <cellStyle name="Migliaia [0] 22 3 2 2 3" xfId="43452" xr:uid="{321A6A0B-94BA-4802-BF0A-849AF3D11E5A}"/>
    <cellStyle name="Migliaia [0] 22 3 2 2 4" xfId="32799" xr:uid="{9D75866E-0E94-4586-81F7-9F4A26D3F05F}"/>
    <cellStyle name="Migliaia [0] 22 3 2 3" xfId="35685" xr:uid="{165D5DBF-034B-4BAE-96EF-7D47BA3D84A6}"/>
    <cellStyle name="Migliaia [0] 22 3 2 4" xfId="40801" xr:uid="{B0AEB54C-AD5F-4CD2-AC90-D07AA369F778}"/>
    <cellStyle name="Migliaia [0] 22 3 2 5" xfId="46656" xr:uid="{E11AB6A0-6568-40F1-9B81-90582AADB8F5}"/>
    <cellStyle name="Migliaia [0] 22 3 2 6" xfId="50777" xr:uid="{6F6B1E7A-8A7C-4B65-B501-4EA4E84393B4}"/>
    <cellStyle name="Migliaia [0] 22 3 2 7" xfId="53793" xr:uid="{6FC17C26-35DA-45B4-81AD-E080BA8D0267}"/>
    <cellStyle name="Migliaia [0] 22 3 2 8" xfId="17591" xr:uid="{792E2EC9-F58D-4246-9354-3E21B21632A0}"/>
    <cellStyle name="Migliaia [0] 22 3 2 9" xfId="11754" xr:uid="{8859BB8E-724F-4762-AD6D-F099E46A847C}"/>
    <cellStyle name="Migliaia [0] 22 3 3" xfId="5884" xr:uid="{54549013-CFDD-493F-B37C-13E6C414BC33}"/>
    <cellStyle name="Migliaia [0] 22 3 3 2" xfId="12382" xr:uid="{0184B4B1-A661-426D-9824-BD4B3428D454}"/>
    <cellStyle name="Migliaia [0] 22 3 4" xfId="2891" xr:uid="{974AB3C2-2AA2-4374-BD93-F0C452995971}"/>
    <cellStyle name="Migliaia [0] 22 3 4 2" xfId="21281" xr:uid="{4519FF77-B5CE-4A83-B112-F7FF69E2915F}"/>
    <cellStyle name="Migliaia [0] 22 3 4 3" xfId="46175" xr:uid="{215FC16D-364D-4568-9DF8-025FE87B579B}"/>
    <cellStyle name="Migliaia [0] 22 3 4 4" xfId="50296" xr:uid="{557204C8-E237-4E3F-BCC0-75D76D58F8EE}"/>
    <cellStyle name="Migliaia [0] 22 3 4 5" xfId="53312" xr:uid="{CA436371-2707-4E51-9982-B8FB185326E0}"/>
    <cellStyle name="Migliaia [0] 22 3 4 6" xfId="10646" xr:uid="{2C1261A0-51F0-42E2-A016-8008BDAD0A59}"/>
    <cellStyle name="Migliaia [0] 22 3 5" xfId="19570" xr:uid="{C254B59F-DD1D-497D-B46D-46427E0931BC}"/>
    <cellStyle name="Migliaia [0] 22 3 6" xfId="24035" xr:uid="{3A77D0CB-46F4-4DDC-9464-BBADEF9384BA}"/>
    <cellStyle name="Migliaia [0] 22 3 7" xfId="8198" xr:uid="{DD473910-5184-4939-B250-1EF5190EC98B}"/>
    <cellStyle name="Migliaia [0] 22 4" xfId="2892" xr:uid="{27F8AC92-1811-47A6-87C5-7190B8637D25}"/>
    <cellStyle name="Migliaia [0] 22 4 2" xfId="4618" xr:uid="{4EB8EEFE-B6BE-4865-AD8C-19DD2D2ACD36}"/>
    <cellStyle name="Migliaia [0] 22 4 2 2" xfId="35083" xr:uid="{36FCCE22-BA6A-4AE1-9B01-599920AE8595}"/>
    <cellStyle name="Migliaia [0] 22 4 2 2 2" xfId="40241" xr:uid="{313E48E3-10CA-4EF6-B7EB-4A715FE6EB00}"/>
    <cellStyle name="Migliaia [0] 22 4 2 2 3" xfId="45543" xr:uid="{5408DEAD-D0A2-44E9-BD81-23AAA7DCB9F2}"/>
    <cellStyle name="Migliaia [0] 22 4 2 3" xfId="37590" xr:uid="{803CC289-2E9F-46F5-8BA6-80EE59088EAE}"/>
    <cellStyle name="Migliaia [0] 22 4 2 4" xfId="42892" xr:uid="{6BEEB294-0C8A-4106-957E-E7A533B2F613}"/>
    <cellStyle name="Migliaia [0] 22 4 2 5" xfId="17023" xr:uid="{2C5FD8C1-E430-433D-80C7-CAB70E2625C9}"/>
    <cellStyle name="Migliaia [0] 22 4 3" xfId="5885" xr:uid="{ECBF6CE6-E0AD-4863-A0C9-DC42589019B7}"/>
    <cellStyle name="Migliaia [0] 22 4 3 2" xfId="38151" xr:uid="{2D0F0DBF-1583-4D55-B948-4D6DA0E565A9}"/>
    <cellStyle name="Migliaia [0] 22 4 3 3" xfId="43453" xr:uid="{26A2B5D6-AF32-4BFC-B295-000562A8F87F}"/>
    <cellStyle name="Migliaia [0] 22 4 3 4" xfId="32800" xr:uid="{8DF03548-9119-418B-87F1-06726CA5258F}"/>
    <cellStyle name="Migliaia [0] 22 4 3 5" xfId="19571" xr:uid="{BE92DFCA-76D4-4F5F-B585-47F6C8F10931}"/>
    <cellStyle name="Migliaia [0] 22 4 4" xfId="35686" xr:uid="{8F224437-E8FC-4A57-A0CD-2C066C92D076}"/>
    <cellStyle name="Migliaia [0] 22 4 5" xfId="40802" xr:uid="{C47A2D11-CA06-4286-85C9-7DEBAA5B34F0}"/>
    <cellStyle name="Migliaia [0] 22 4 6" xfId="15965" xr:uid="{E77E6B67-B9A0-4171-B48B-59D215096C28}"/>
    <cellStyle name="Migliaia [0] 22 4 7" xfId="7778" xr:uid="{49E4187B-8797-42A3-8FBE-E15926D2E29E}"/>
    <cellStyle name="Migliaia [0] 22 5" xfId="4614" xr:uid="{493BC48E-8DEB-4B59-98C7-1A53F84F40C5}"/>
    <cellStyle name="Migliaia [0] 22 5 2" xfId="32801" xr:uid="{0FBAEAEB-563B-4A4E-8551-05FAC274A456}"/>
    <cellStyle name="Migliaia [0] 22 5 2 2" xfId="38152" xr:uid="{FBF6167A-ED6B-44FA-ACF4-5CCBC8E44433}"/>
    <cellStyle name="Migliaia [0] 22 5 2 3" xfId="43454" xr:uid="{8C7BA345-CCC9-42F6-A971-6625756C825A}"/>
    <cellStyle name="Migliaia [0] 22 5 3" xfId="35687" xr:uid="{62A32B9B-7E55-4BE5-AB10-9FB55569036E}"/>
    <cellStyle name="Migliaia [0] 22 5 4" xfId="40803" xr:uid="{CDC98B44-F823-4955-B713-0F91592677E6}"/>
    <cellStyle name="Migliaia [0] 22 5 5" xfId="17092" xr:uid="{2D8E7F22-55E3-40F1-808C-147D7BE6687B}"/>
    <cellStyle name="Migliaia [0] 22 6" xfId="5882" xr:uid="{0F0F2605-A312-412C-9EA2-DD692EEB6E05}"/>
    <cellStyle name="Migliaia [0] 22 6 2" xfId="38148" xr:uid="{602EFCC9-D82F-4912-8E23-9B3D750279B2}"/>
    <cellStyle name="Migliaia [0] 22 6 3" xfId="43450" xr:uid="{A8DABBFE-5C20-4C14-87AC-BAEDEE1F297C}"/>
    <cellStyle name="Migliaia [0] 22 6 4" xfId="32797" xr:uid="{F7A406B2-0515-4D50-875E-CFB3CB48EED5}"/>
    <cellStyle name="Migliaia [0] 22 6 5" xfId="19567" xr:uid="{3A10C2E4-175C-41A8-95B2-F7F2B564C08E}"/>
    <cellStyle name="Migliaia [0] 22 7" xfId="2888" xr:uid="{275B432B-F039-4594-B076-18A2626599DE}"/>
    <cellStyle name="Migliaia [0] 22 7 2" xfId="35683" xr:uid="{F8403258-80D8-4B81-B09F-C14AB5A3CC67}"/>
    <cellStyle name="Migliaia [0] 22 8" xfId="40799" xr:uid="{4F4905A7-A1B5-4F1C-8F5F-EB541CB811F9}"/>
    <cellStyle name="Migliaia [0] 22 9" xfId="6999" xr:uid="{0E153ACD-8C99-481D-AFDF-9897C7F344FE}"/>
    <cellStyle name="Migliaia [0] 23" xfId="257" xr:uid="{00000000-0005-0000-0000-000011020000}"/>
    <cellStyle name="Migliaia [0] 23 2" xfId="1526" xr:uid="{00000000-0005-0000-0000-000012020000}"/>
    <cellStyle name="Migliaia [0] 23 2 2" xfId="1527" xr:uid="{00000000-0005-0000-0000-000013020000}"/>
    <cellStyle name="Migliaia [0] 23 2 2 2" xfId="4621" xr:uid="{4FE6D637-F9C3-4AE5-9ED5-ACACCED297D9}"/>
    <cellStyle name="Migliaia [0] 23 2 2 2 2" xfId="21750" xr:uid="{F5312EC5-DC17-4CDB-9C5C-0643E3D33BC4}"/>
    <cellStyle name="Migliaia [0] 23 2 2 2 3" xfId="36712" xr:uid="{90A97311-EEB9-430A-990F-109BD5E59491}"/>
    <cellStyle name="Migliaia [0] 23 2 2 2 4" xfId="50778" xr:uid="{3450F6ED-8921-4608-B866-9F76D3ACFDBB}"/>
    <cellStyle name="Migliaia [0] 23 2 2 2 5" xfId="53794" xr:uid="{B2C86D1B-CCD1-421B-8EF0-B448791E510A}"/>
    <cellStyle name="Migliaia [0] 23 2 2 2 6" xfId="11755" xr:uid="{C5F3D2D1-8201-408C-8115-0DBEDCF7C404}"/>
    <cellStyle name="Migliaia [0] 23 2 2 3" xfId="2895" xr:uid="{9CE2E36E-D147-4148-BFC5-79614950684C}"/>
    <cellStyle name="Migliaia [0] 23 2 2 3 2" xfId="12171" xr:uid="{F31EBFD1-65EF-4AC5-B9CE-C971DBE37FA9}"/>
    <cellStyle name="Migliaia [0] 23 2 2 4" xfId="10647" xr:uid="{8183FCF2-79B2-41A1-9813-E9B5A92A8015}"/>
    <cellStyle name="Migliaia [0] 23 2 2 4 2" xfId="21282" xr:uid="{026D6032-30A6-46D6-9DB3-D37428B38682}"/>
    <cellStyle name="Migliaia [0] 23 2 2 4 3" xfId="47890" xr:uid="{EF9A2F2F-1540-4FDB-BC12-B6FAED105CBA}"/>
    <cellStyle name="Migliaia [0] 23 2 2 4 4" xfId="50297" xr:uid="{BF912B1D-5FF4-49A5-9206-CE389717BA04}"/>
    <cellStyle name="Migliaia [0] 23 2 2 4 5" xfId="53313" xr:uid="{E7309CCA-70D1-4AB0-A58E-FB32C97DEBC1}"/>
    <cellStyle name="Migliaia [0] 23 2 2 5" xfId="19574" xr:uid="{FE88C6D9-1A2D-422D-8911-69C84ADEE087}"/>
    <cellStyle name="Migliaia [0] 23 2 2 6" xfId="24037" xr:uid="{E2232604-F14C-40A1-83A4-F1060101D695}"/>
    <cellStyle name="Migliaia [0] 23 2 2 7" xfId="48835" xr:uid="{3CCADAF0-6FED-44BA-8591-E656D5AD45E9}"/>
    <cellStyle name="Migliaia [0] 23 2 2 8" xfId="49741" xr:uid="{804ACB60-E91C-42DA-A307-87B54BC5E1EC}"/>
    <cellStyle name="Migliaia [0] 23 2 2 9" xfId="8441" xr:uid="{290A11B3-C588-4034-BD6D-F2D266D7D569}"/>
    <cellStyle name="Migliaia [0] 23 2 3" xfId="4620" xr:uid="{FCF050C4-29F8-4F32-995E-65709AC477A6}"/>
    <cellStyle name="Migliaia [0] 23 2 3 2" xfId="32803" xr:uid="{F157E4D8-41A0-4314-88FC-150565582E83}"/>
    <cellStyle name="Migliaia [0] 23 2 3 2 2" xfId="38154" xr:uid="{D89AFBB1-CED3-4D5D-8448-9C437051A9E7}"/>
    <cellStyle name="Migliaia [0] 23 2 3 2 3" xfId="43456" xr:uid="{4DE2B423-D3F3-4AF5-B8A8-4D03783879D6}"/>
    <cellStyle name="Migliaia [0] 23 2 3 3" xfId="35689" xr:uid="{B74ABB4F-DDA8-4617-9E45-FB1870CD7D00}"/>
    <cellStyle name="Migliaia [0] 23 2 3 4" xfId="40805" xr:uid="{3E177B2B-B137-4FDB-A60E-17E7FFBBB27F}"/>
    <cellStyle name="Migliaia [0] 23 2 3 5" xfId="11756" xr:uid="{1551E525-303E-45C9-85D3-E317ECD8C91B}"/>
    <cellStyle name="Migliaia [0] 23 2 4" xfId="5887" xr:uid="{9051ECFD-F5B1-4A3B-A893-4DA54F705A78}"/>
    <cellStyle name="Migliaia [0] 23 2 4 2" xfId="19573" xr:uid="{1C1C9B5E-D6BE-41BF-8BB2-3CBB5B9E6AA2}"/>
    <cellStyle name="Migliaia [0] 23 2 5" xfId="2894" xr:uid="{386DB2EC-2787-4D83-AFFF-184865DF4D0C}"/>
    <cellStyle name="Migliaia [0] 23 2 5 2" xfId="24036" xr:uid="{A0F92C68-CBD9-4167-B4EA-36470F3AE917}"/>
    <cellStyle name="Migliaia [0] 23 2 6" xfId="7251" xr:uid="{76346626-A2E9-462B-B128-6A33D4FEA751}"/>
    <cellStyle name="Migliaia [0] 23 3" xfId="1528" xr:uid="{00000000-0005-0000-0000-000014020000}"/>
    <cellStyle name="Migliaia [0] 23 3 2" xfId="4622" xr:uid="{8BD72E37-8176-4022-B225-C1DD5676741A}"/>
    <cellStyle name="Migliaia [0] 23 3 2 2" xfId="18316" xr:uid="{4D560738-7F49-470B-8150-5A31F5021CD5}"/>
    <cellStyle name="Migliaia [0] 23 3 2 2 2" xfId="21751" xr:uid="{3A52430C-6764-4544-A9F8-2992ACACD772}"/>
    <cellStyle name="Migliaia [0] 23 3 2 2 2 2" xfId="38155" xr:uid="{96F2CD45-8A16-4E5D-8BA9-EB715B42BCB4}"/>
    <cellStyle name="Migliaia [0] 23 3 2 2 3" xfId="43457" xr:uid="{482E3096-59DF-481C-BB18-F03B4BB4EC24}"/>
    <cellStyle name="Migliaia [0] 23 3 2 2 4" xfId="32804" xr:uid="{90E4C0F9-23FC-4BD8-8B9F-AC23BA7E6B4A}"/>
    <cellStyle name="Migliaia [0] 23 3 2 3" xfId="35690" xr:uid="{FD596881-2323-48F7-B582-3DE18D57FDCF}"/>
    <cellStyle name="Migliaia [0] 23 3 2 4" xfId="40806" xr:uid="{35EB4710-8A0A-4A19-BF92-D673E2B16500}"/>
    <cellStyle name="Migliaia [0] 23 3 2 5" xfId="48011" xr:uid="{009894C7-43FF-4ABD-812D-21F2ABD8875D}"/>
    <cellStyle name="Migliaia [0] 23 3 2 6" xfId="50779" xr:uid="{4E2254B0-E33E-4F6C-9A09-F17D8BAB176A}"/>
    <cellStyle name="Migliaia [0] 23 3 2 7" xfId="53795" xr:uid="{C108BCC4-A128-4810-A517-8A4BA9965C06}"/>
    <cellStyle name="Migliaia [0] 23 3 2 8" xfId="17592" xr:uid="{F824B53D-F4EE-4FBE-9040-80D622D0FB2A}"/>
    <cellStyle name="Migliaia [0] 23 3 2 9" xfId="11757" xr:uid="{D0294108-7DFD-4375-A32B-CEC9D1984F22}"/>
    <cellStyle name="Migliaia [0] 23 3 3" xfId="5888" xr:uid="{48A0B89F-D314-41C4-BE3B-318EABD43A82}"/>
    <cellStyle name="Migliaia [0] 23 3 3 2" xfId="12213" xr:uid="{A273BF63-E3F9-4020-AFCE-03A6B1F9A767}"/>
    <cellStyle name="Migliaia [0] 23 3 4" xfId="2896" xr:uid="{B67A61FA-9570-4615-94C7-6DCED64E611F}"/>
    <cellStyle name="Migliaia [0] 23 3 4 2" xfId="21283" xr:uid="{75323880-D55C-4D4D-A8E9-56D505D82AB7}"/>
    <cellStyle name="Migliaia [0] 23 3 4 3" xfId="46988" xr:uid="{ECFFE92A-5E2D-427E-BE1A-F7966BDAFEE0}"/>
    <cellStyle name="Migliaia [0] 23 3 4 4" xfId="50298" xr:uid="{89247C2D-C0E3-48C6-AAE0-1E9574BDC76D}"/>
    <cellStyle name="Migliaia [0] 23 3 4 5" xfId="53314" xr:uid="{86A7A569-899A-4BF7-B01F-5E30EE4BE8F2}"/>
    <cellStyle name="Migliaia [0] 23 3 4 6" xfId="10648" xr:uid="{3ADB5CA1-8CF7-4591-983E-2364E5B796AB}"/>
    <cellStyle name="Migliaia [0] 23 3 5" xfId="19575" xr:uid="{A70F7BD2-FB32-4E15-813E-3FEE4AB2D82F}"/>
    <cellStyle name="Migliaia [0] 23 3 6" xfId="24038" xr:uid="{7B641C74-BBAD-4078-AF55-9772B8FADBD7}"/>
    <cellStyle name="Migliaia [0] 23 3 7" xfId="8199" xr:uid="{0E657F6B-6335-41F8-9E65-791C9B1A9F24}"/>
    <cellStyle name="Migliaia [0] 23 4" xfId="2897" xr:uid="{10B569CA-9A84-45AC-B237-C0BCCDC3D4E5}"/>
    <cellStyle name="Migliaia [0] 23 4 2" xfId="4623" xr:uid="{33CBD4C4-C7AF-4D77-B832-D77E27264A87}"/>
    <cellStyle name="Migliaia [0] 23 4 2 2" xfId="35084" xr:uid="{D3AF418A-29BF-4F4D-AE79-6E32394DDCB2}"/>
    <cellStyle name="Migliaia [0] 23 4 2 2 2" xfId="40242" xr:uid="{54B2EF2F-E1CE-4450-906E-1F8C2782B0D1}"/>
    <cellStyle name="Migliaia [0] 23 4 2 2 3" xfId="45544" xr:uid="{ABBF7BD5-2FF7-4D00-9DF3-9E44696718E2}"/>
    <cellStyle name="Migliaia [0] 23 4 2 3" xfId="37591" xr:uid="{BF24F85C-38F2-4F18-B005-199A152276EC}"/>
    <cellStyle name="Migliaia [0] 23 4 2 4" xfId="42893" xr:uid="{66D381B1-2242-45C4-9342-FA146BB34D3F}"/>
    <cellStyle name="Migliaia [0] 23 4 2 5" xfId="17024" xr:uid="{EAEC9E25-B118-45B4-B268-6A95B0E229A4}"/>
    <cellStyle name="Migliaia [0] 23 4 3" xfId="5889" xr:uid="{61FAC30A-E6C3-4A6C-A5F6-2B28FEB222A2}"/>
    <cellStyle name="Migliaia [0] 23 4 3 2" xfId="38156" xr:uid="{AA2E0EF9-67EA-4676-A7B8-412DD8008C25}"/>
    <cellStyle name="Migliaia [0] 23 4 3 3" xfId="43458" xr:uid="{A0567CD8-336C-4EFA-962D-F8C7C03103F1}"/>
    <cellStyle name="Migliaia [0] 23 4 3 4" xfId="32805" xr:uid="{AC7E0477-C1F1-4461-AE90-9D5C7F1ACA8C}"/>
    <cellStyle name="Migliaia [0] 23 4 3 5" xfId="19576" xr:uid="{2C1B2C7E-8EE3-439F-AC71-05F691B698F6}"/>
    <cellStyle name="Migliaia [0] 23 4 4" xfId="35691" xr:uid="{9725EFDA-8ACF-4C5F-91E8-2E851066D9A4}"/>
    <cellStyle name="Migliaia [0] 23 4 5" xfId="40807" xr:uid="{9A0F07B5-BED9-473A-ABB2-B167FB9ED74C}"/>
    <cellStyle name="Migliaia [0] 23 4 6" xfId="15966" xr:uid="{A9B39139-08E2-41BA-984D-02730AC36353}"/>
    <cellStyle name="Migliaia [0] 23 4 7" xfId="7779" xr:uid="{716864FE-C092-413B-9F04-FD1423FDBAA1}"/>
    <cellStyle name="Migliaia [0] 23 5" xfId="4619" xr:uid="{14B248BD-A24B-4D34-90FD-FC29C50CFC28}"/>
    <cellStyle name="Migliaia [0] 23 5 2" xfId="32806" xr:uid="{17313314-368F-4DA7-8D69-7572DDB03889}"/>
    <cellStyle name="Migliaia [0] 23 5 2 2" xfId="38157" xr:uid="{8925ECD0-3BAB-44A5-96E6-02C69E4A73BA}"/>
    <cellStyle name="Migliaia [0] 23 5 2 3" xfId="43459" xr:uid="{036E1EA9-52D4-428C-A3EA-962EA037234E}"/>
    <cellStyle name="Migliaia [0] 23 5 3" xfId="35692" xr:uid="{113C397B-7ACE-4E0F-A77E-513A1D2C98DF}"/>
    <cellStyle name="Migliaia [0] 23 5 4" xfId="40808" xr:uid="{0016EC76-2BC1-477D-AE8D-2AB477D3AF95}"/>
    <cellStyle name="Migliaia [0] 23 5 5" xfId="17093" xr:uid="{E5ED1CD2-D443-4E91-8184-01E3F1FD3F2E}"/>
    <cellStyle name="Migliaia [0] 23 6" xfId="5886" xr:uid="{54640D8F-1667-4DE6-A3E8-F9C6FE39AFC4}"/>
    <cellStyle name="Migliaia [0] 23 6 2" xfId="38153" xr:uid="{05F4FC38-C258-4901-8530-6CAACE1653D8}"/>
    <cellStyle name="Migliaia [0] 23 6 3" xfId="43455" xr:uid="{FCADEB94-211C-404F-8AEF-9E97F00D7780}"/>
    <cellStyle name="Migliaia [0] 23 6 4" xfId="32802" xr:uid="{6F5098F0-A39E-47CE-9B2A-6BFBFEBEA15B}"/>
    <cellStyle name="Migliaia [0] 23 6 5" xfId="19572" xr:uid="{06965A81-D49C-481A-A33A-DF2A90EA9888}"/>
    <cellStyle name="Migliaia [0] 23 7" xfId="2893" xr:uid="{A0148927-F9EC-4B1E-8136-48B677D2B0F4}"/>
    <cellStyle name="Migliaia [0] 23 7 2" xfId="35688" xr:uid="{56C77649-212D-4191-B77E-9EADBF940C9D}"/>
    <cellStyle name="Migliaia [0] 23 8" xfId="40804" xr:uid="{1324D05F-E297-464B-930A-0693A11C37B2}"/>
    <cellStyle name="Migliaia [0] 23 9" xfId="7000" xr:uid="{D1F4E8A7-6CEE-4B70-94F9-B9BF08D70E08}"/>
    <cellStyle name="Migliaia [0] 24" xfId="258" xr:uid="{00000000-0005-0000-0000-000015020000}"/>
    <cellStyle name="Migliaia [0] 24 2" xfId="1529" xr:uid="{00000000-0005-0000-0000-000016020000}"/>
    <cellStyle name="Migliaia [0] 24 2 2" xfId="1530" xr:uid="{00000000-0005-0000-0000-000017020000}"/>
    <cellStyle name="Migliaia [0] 24 2 2 2" xfId="4626" xr:uid="{C77C53CF-7519-41ED-9CF0-FE8E538030B6}"/>
    <cellStyle name="Migliaia [0] 24 2 2 2 2" xfId="21752" xr:uid="{C4A3EF45-DE8F-4CF1-892E-804B6D54E2F8}"/>
    <cellStyle name="Migliaia [0] 24 2 2 2 3" xfId="46289" xr:uid="{13E75586-77DA-463E-86C5-178ACE33A90D}"/>
    <cellStyle name="Migliaia [0] 24 2 2 2 4" xfId="50780" xr:uid="{F452BC21-972B-421C-BAAD-1EA8367147A1}"/>
    <cellStyle name="Migliaia [0] 24 2 2 2 5" xfId="53796" xr:uid="{468923C0-A06B-464B-A1AC-5EC803AB0614}"/>
    <cellStyle name="Migliaia [0] 24 2 2 2 6" xfId="11758" xr:uid="{77173FA5-66C9-4EAC-AF1C-3D1FEB9F05F3}"/>
    <cellStyle name="Migliaia [0] 24 2 2 3" xfId="2900" xr:uid="{516691FE-B859-46E3-8E1F-C01E834174B7}"/>
    <cellStyle name="Migliaia [0] 24 2 2 3 2" xfId="12350" xr:uid="{CBD2678F-2312-4652-AED1-9065E98B2243}"/>
    <cellStyle name="Migliaia [0] 24 2 2 4" xfId="10649" xr:uid="{80C75A69-B88C-4764-AF65-1A7863194404}"/>
    <cellStyle name="Migliaia [0] 24 2 2 4 2" xfId="21284" xr:uid="{2CCCC734-7648-4739-89A9-304853D6C0AD}"/>
    <cellStyle name="Migliaia [0] 24 2 2 4 3" xfId="47981" xr:uid="{5A219A6D-E94E-4F88-BC68-4208467BDA67}"/>
    <cellStyle name="Migliaia [0] 24 2 2 4 4" xfId="50299" xr:uid="{6413EDBC-5B09-4DE1-AB3F-F9640F07348E}"/>
    <cellStyle name="Migliaia [0] 24 2 2 4 5" xfId="53315" xr:uid="{F84249E9-B345-4C17-B7C2-AED00EAE3876}"/>
    <cellStyle name="Migliaia [0] 24 2 2 5" xfId="19579" xr:uid="{D668617F-2366-43EE-8059-0E3D2F8C0B05}"/>
    <cellStyle name="Migliaia [0] 24 2 2 6" xfId="24040" xr:uid="{125B81BC-B04D-4F53-A2C9-0480F53EEE24}"/>
    <cellStyle name="Migliaia [0] 24 2 2 7" xfId="48836" xr:uid="{3F6FCC9F-CFA0-448D-8278-4D535A70FBD9}"/>
    <cellStyle name="Migliaia [0] 24 2 2 8" xfId="49742" xr:uid="{FB56D5A1-AD0C-4313-8308-66EF5E84DD64}"/>
    <cellStyle name="Migliaia [0] 24 2 2 9" xfId="8442" xr:uid="{2C6C6948-4A72-43AD-808F-443C6910607B}"/>
    <cellStyle name="Migliaia [0] 24 2 3" xfId="4625" xr:uid="{7F979F7E-0193-48D9-A4E5-E5D5428B9E6F}"/>
    <cellStyle name="Migliaia [0] 24 2 3 2" xfId="32808" xr:uid="{27B63FF9-4B46-4A42-A49A-713F2C4D0BD3}"/>
    <cellStyle name="Migliaia [0] 24 2 3 2 2" xfId="38159" xr:uid="{1EDCE799-C803-437F-89A6-4BC3BFE3F1FC}"/>
    <cellStyle name="Migliaia [0] 24 2 3 2 3" xfId="43461" xr:uid="{3B0F35CA-6766-499F-A2AA-56454AF87C21}"/>
    <cellStyle name="Migliaia [0] 24 2 3 3" xfId="35694" xr:uid="{1434EFF6-BBA7-4F64-A75F-695114ECC7CB}"/>
    <cellStyle name="Migliaia [0] 24 2 3 4" xfId="40810" xr:uid="{C09E867E-95E2-4722-8619-49CDFA35DAD7}"/>
    <cellStyle name="Migliaia [0] 24 2 3 5" xfId="11759" xr:uid="{14BFAED6-E43C-4B05-B313-339E1AF275FA}"/>
    <cellStyle name="Migliaia [0] 24 2 4" xfId="5891" xr:uid="{321D71A6-96F0-4CEA-8BBE-6D80A7ED6033}"/>
    <cellStyle name="Migliaia [0] 24 2 4 2" xfId="19578" xr:uid="{4D9C3FEB-0816-4DA6-8DAF-5AF00373574D}"/>
    <cellStyle name="Migliaia [0] 24 2 5" xfId="2899" xr:uid="{52FEDE21-808D-42CA-BBE6-FF253036C656}"/>
    <cellStyle name="Migliaia [0] 24 2 5 2" xfId="24039" xr:uid="{F4F18EE4-3176-4EA5-8F11-6C599FC7B6C0}"/>
    <cellStyle name="Migliaia [0] 24 2 6" xfId="7252" xr:uid="{DA751EDA-4DFB-4278-BBDE-86A70010E766}"/>
    <cellStyle name="Migliaia [0] 24 3" xfId="1531" xr:uid="{00000000-0005-0000-0000-000018020000}"/>
    <cellStyle name="Migliaia [0] 24 3 2" xfId="4627" xr:uid="{B2FD12AF-5E14-42FD-9661-F7CB5D0D7FEE}"/>
    <cellStyle name="Migliaia [0] 24 3 2 2" xfId="18317" xr:uid="{E8126E42-FDAD-45F8-8BB2-D1B28305E378}"/>
    <cellStyle name="Migliaia [0] 24 3 2 2 2" xfId="21753" xr:uid="{2D7DD33C-D761-4D71-B491-18F9C9EEA696}"/>
    <cellStyle name="Migliaia [0] 24 3 2 2 2 2" xfId="38160" xr:uid="{1AD16440-C08B-457F-9DE1-9E3A65B2A807}"/>
    <cellStyle name="Migliaia [0] 24 3 2 2 3" xfId="43462" xr:uid="{56190268-2C67-4AF7-9083-492B3849C5A7}"/>
    <cellStyle name="Migliaia [0] 24 3 2 2 4" xfId="32809" xr:uid="{BC3B2B38-B96D-43CD-BE0C-C5A6484775EE}"/>
    <cellStyle name="Migliaia [0] 24 3 2 3" xfId="35695" xr:uid="{B0EFF64A-A26E-41CE-8657-17F185509F9C}"/>
    <cellStyle name="Migliaia [0] 24 3 2 4" xfId="40811" xr:uid="{2A277479-E7FB-4784-A423-F634E55AF73D}"/>
    <cellStyle name="Migliaia [0] 24 3 2 5" xfId="47396" xr:uid="{4CB81725-6F58-45DE-B3F8-F4064C08CE66}"/>
    <cellStyle name="Migliaia [0] 24 3 2 6" xfId="50781" xr:uid="{F14B24CE-47D0-47B5-A56E-8F98AD4350C1}"/>
    <cellStyle name="Migliaia [0] 24 3 2 7" xfId="53797" xr:uid="{6D38B9F9-D71A-46BA-AF8D-48A6C9CEBEA7}"/>
    <cellStyle name="Migliaia [0] 24 3 2 8" xfId="17593" xr:uid="{59C7444C-B8CE-412B-9F94-DC9FB567BF5E}"/>
    <cellStyle name="Migliaia [0] 24 3 2 9" xfId="11760" xr:uid="{EBEBADD4-F710-4912-879E-7CC9584EFD53}"/>
    <cellStyle name="Migliaia [0] 24 3 3" xfId="5892" xr:uid="{BB93BE86-7A60-45B5-82ED-230B923BC7E9}"/>
    <cellStyle name="Migliaia [0] 24 3 3 2" xfId="12381" xr:uid="{A532E220-6932-4E85-BD12-35D52A79168D}"/>
    <cellStyle name="Migliaia [0] 24 3 4" xfId="2901" xr:uid="{FE9454FA-D653-4B9C-81DD-3E1D48544ECD}"/>
    <cellStyle name="Migliaia [0] 24 3 4 2" xfId="21285" xr:uid="{B97BA0E3-954A-4E62-83B4-9F6EEC65B42C}"/>
    <cellStyle name="Migliaia [0] 24 3 4 3" xfId="46634" xr:uid="{337581E8-B668-43D4-951D-A530AF972729}"/>
    <cellStyle name="Migliaia [0] 24 3 4 4" xfId="50300" xr:uid="{2DDA440D-CA9A-4F54-8352-7894D126E353}"/>
    <cellStyle name="Migliaia [0] 24 3 4 5" xfId="53316" xr:uid="{CA35EC6C-5040-402C-A096-136B3E22E36C}"/>
    <cellStyle name="Migliaia [0] 24 3 4 6" xfId="10650" xr:uid="{D7ED1917-1F09-46C8-8088-156B8E108FF1}"/>
    <cellStyle name="Migliaia [0] 24 3 5" xfId="19580" xr:uid="{91BEB381-6633-4C9D-A1AB-5B556AD7B5A5}"/>
    <cellStyle name="Migliaia [0] 24 3 6" xfId="24041" xr:uid="{77273011-375C-4F67-8CE0-3A82FFA3859F}"/>
    <cellStyle name="Migliaia [0] 24 3 7" xfId="8200" xr:uid="{E1B5871C-8812-4CA1-A6AE-452EF5F1907D}"/>
    <cellStyle name="Migliaia [0] 24 4" xfId="2902" xr:uid="{BB9FCC56-1F21-498C-A15C-98BC57644022}"/>
    <cellStyle name="Migliaia [0] 24 4 2" xfId="4628" xr:uid="{BA478609-1B24-4B54-A941-36802CF89326}"/>
    <cellStyle name="Migliaia [0] 24 4 2 2" xfId="35085" xr:uid="{B519231B-CFE0-4EA9-BBB4-EDDFF26F1D46}"/>
    <cellStyle name="Migliaia [0] 24 4 2 2 2" xfId="40243" xr:uid="{12874A1D-89A9-4828-AFB8-69DBF8649B35}"/>
    <cellStyle name="Migliaia [0] 24 4 2 2 3" xfId="45545" xr:uid="{416DDD54-A165-421D-B3BD-4D18D6E2A6F8}"/>
    <cellStyle name="Migliaia [0] 24 4 2 3" xfId="37592" xr:uid="{8712E5AB-69B3-41B6-9B01-0B0939AFB909}"/>
    <cellStyle name="Migliaia [0] 24 4 2 4" xfId="42894" xr:uid="{5B98561C-40E0-4B1B-A2C4-D240ED8F9164}"/>
    <cellStyle name="Migliaia [0] 24 4 2 5" xfId="17025" xr:uid="{D2C7277D-B927-4DE1-8042-D3914B055395}"/>
    <cellStyle name="Migliaia [0] 24 4 3" xfId="5893" xr:uid="{312D4EAC-0725-4729-8A71-EBC7C67E8D0B}"/>
    <cellStyle name="Migliaia [0] 24 4 3 2" xfId="38161" xr:uid="{F2E314E2-E8CB-48EC-974C-2944FB9140EB}"/>
    <cellStyle name="Migliaia [0] 24 4 3 3" xfId="43463" xr:uid="{90CFC83E-0F5F-4E9C-8484-F51125D304CC}"/>
    <cellStyle name="Migliaia [0] 24 4 3 4" xfId="32810" xr:uid="{BE1F3467-62F7-4841-8C1E-C2C3A5F0C33B}"/>
    <cellStyle name="Migliaia [0] 24 4 3 5" xfId="19581" xr:uid="{3B3F6AFD-0F0C-463D-8AB2-BC3D87B1FD4E}"/>
    <cellStyle name="Migliaia [0] 24 4 4" xfId="35696" xr:uid="{95246B4D-15FE-42DB-BD6B-8135F0CE9255}"/>
    <cellStyle name="Migliaia [0] 24 4 5" xfId="40812" xr:uid="{8AB86E8C-C643-4F8F-B824-10C28AED6951}"/>
    <cellStyle name="Migliaia [0] 24 4 6" xfId="15967" xr:uid="{8BB9EB68-2775-4B20-B5E2-41F77B123C7D}"/>
    <cellStyle name="Migliaia [0] 24 4 7" xfId="7780" xr:uid="{757050BF-957D-4E31-A415-72E409A5F7AF}"/>
    <cellStyle name="Migliaia [0] 24 5" xfId="4624" xr:uid="{779612A4-8552-4A40-963D-8AF4DE18FBBF}"/>
    <cellStyle name="Migliaia [0] 24 5 2" xfId="32811" xr:uid="{CC9CAC5A-353F-4B2E-AD25-248BBD81D8C6}"/>
    <cellStyle name="Migliaia [0] 24 5 2 2" xfId="38162" xr:uid="{F27C35D0-78FF-436E-9F58-6D7FB45DC1EA}"/>
    <cellStyle name="Migliaia [0] 24 5 2 3" xfId="43464" xr:uid="{E0A88F47-9B05-4339-B0F2-540B6E519BD9}"/>
    <cellStyle name="Migliaia [0] 24 5 3" xfId="35697" xr:uid="{5792B3B4-8B30-43DE-BC37-DFD828B42984}"/>
    <cellStyle name="Migliaia [0] 24 5 4" xfId="40813" xr:uid="{6C2057D0-9025-4B63-8864-A50D8D523E06}"/>
    <cellStyle name="Migliaia [0] 24 5 5" xfId="17094" xr:uid="{3F3F58F3-015A-4299-9053-E0709A1AE381}"/>
    <cellStyle name="Migliaia [0] 24 6" xfId="5890" xr:uid="{8D2E8A9B-7663-4958-BEED-12B3C716EB5B}"/>
    <cellStyle name="Migliaia [0] 24 6 2" xfId="38158" xr:uid="{88766778-401F-4B42-8BE4-AE58525EEEED}"/>
    <cellStyle name="Migliaia [0] 24 6 3" xfId="43460" xr:uid="{2D64A85B-8925-4F0A-8F2E-81B28552E867}"/>
    <cellStyle name="Migliaia [0] 24 6 4" xfId="32807" xr:uid="{AA23AA61-27B5-479C-A982-55BA256C7CDB}"/>
    <cellStyle name="Migliaia [0] 24 6 5" xfId="19577" xr:uid="{54AB6A94-B51C-4541-BA1B-B41FB32D1C72}"/>
    <cellStyle name="Migliaia [0] 24 7" xfId="2898" xr:uid="{E90FC525-A8E2-4B4C-87EA-9E4F1BD20788}"/>
    <cellStyle name="Migliaia [0] 24 7 2" xfId="35693" xr:uid="{2F66E0E7-9FBF-4303-AB47-90AAC148FB6E}"/>
    <cellStyle name="Migliaia [0] 24 8" xfId="40809" xr:uid="{FCAED04F-D2C3-4A21-856A-F74F75C4878D}"/>
    <cellStyle name="Migliaia [0] 24 9" xfId="7001" xr:uid="{F5F5936B-DD61-41FB-8626-ABE5D6FFE451}"/>
    <cellStyle name="Migliaia [0] 25" xfId="259" xr:uid="{00000000-0005-0000-0000-000019020000}"/>
    <cellStyle name="Migliaia [0] 25 2" xfId="1532" xr:uid="{00000000-0005-0000-0000-00001A020000}"/>
    <cellStyle name="Migliaia [0] 25 2 2" xfId="1533" xr:uid="{00000000-0005-0000-0000-00001B020000}"/>
    <cellStyle name="Migliaia [0] 25 2 2 2" xfId="4631" xr:uid="{B5090DFC-94E0-4AD8-A0EE-2515F0FC8078}"/>
    <cellStyle name="Migliaia [0] 25 2 2 2 2" xfId="21754" xr:uid="{BCCFA2A3-B7EF-4F9B-8205-1E9E0FF6D425}"/>
    <cellStyle name="Migliaia [0] 25 2 2 2 3" xfId="46738" xr:uid="{BEA2518D-707D-49FC-925A-D67B2FD39CF2}"/>
    <cellStyle name="Migliaia [0] 25 2 2 2 4" xfId="50782" xr:uid="{3511ED63-0556-4F01-929F-8BED2A969719}"/>
    <cellStyle name="Migliaia [0] 25 2 2 2 5" xfId="53798" xr:uid="{DE942922-3211-41D3-8AB9-71F7B1095FFD}"/>
    <cellStyle name="Migliaia [0] 25 2 2 2 6" xfId="11761" xr:uid="{ED9B6DFC-370D-4B81-854D-F9E11B607951}"/>
    <cellStyle name="Migliaia [0] 25 2 2 3" xfId="2905" xr:uid="{72832195-2E4E-494D-910D-948462742A51}"/>
    <cellStyle name="Migliaia [0] 25 2 2 3 2" xfId="12349" xr:uid="{64E8252E-1F71-4B9F-931E-041444226E94}"/>
    <cellStyle name="Migliaia [0] 25 2 2 4" xfId="10651" xr:uid="{0817FA0C-98C9-4B38-9E52-E3EF76CE52A8}"/>
    <cellStyle name="Migliaia [0] 25 2 2 4 2" xfId="21286" xr:uid="{34E9CA26-8329-404D-A8D0-0BE8ECDC492D}"/>
    <cellStyle name="Migliaia [0] 25 2 2 4 3" xfId="48031" xr:uid="{5FEB3401-B1FC-4F0C-8D12-016C0808D8EF}"/>
    <cellStyle name="Migliaia [0] 25 2 2 4 4" xfId="50301" xr:uid="{B263CCD8-E5BB-48BE-A9AD-61CE8790F8B0}"/>
    <cellStyle name="Migliaia [0] 25 2 2 4 5" xfId="53317" xr:uid="{46624B15-C5D4-40A0-BC54-40DDAF963568}"/>
    <cellStyle name="Migliaia [0] 25 2 2 5" xfId="19584" xr:uid="{058263EE-6C24-45F8-BB32-5009E158ADF2}"/>
    <cellStyle name="Migliaia [0] 25 2 2 6" xfId="24043" xr:uid="{5C1A4126-482A-4D20-9E3B-61B25650166F}"/>
    <cellStyle name="Migliaia [0] 25 2 2 7" xfId="48837" xr:uid="{B75468A9-6ED1-4E0E-A96F-C8539BC34979}"/>
    <cellStyle name="Migliaia [0] 25 2 2 8" xfId="49743" xr:uid="{8162BD3E-C00A-40B0-B25F-EEA265056BD9}"/>
    <cellStyle name="Migliaia [0] 25 2 2 9" xfId="8443" xr:uid="{205DF643-4A7C-4E91-B92B-54C79BFDC0D4}"/>
    <cellStyle name="Migliaia [0] 25 2 3" xfId="4630" xr:uid="{6AD32FF7-4E45-4DDB-8E81-3611D06093CB}"/>
    <cellStyle name="Migliaia [0] 25 2 3 2" xfId="32813" xr:uid="{F7F81DA3-0D44-454E-8025-15C001537251}"/>
    <cellStyle name="Migliaia [0] 25 2 3 2 2" xfId="38164" xr:uid="{C0A00967-E155-4CFB-9750-0EC14CD3C3FB}"/>
    <cellStyle name="Migliaia [0] 25 2 3 2 3" xfId="43466" xr:uid="{47932C86-128B-4CE0-A6C9-B370FEDB0733}"/>
    <cellStyle name="Migliaia [0] 25 2 3 3" xfId="35699" xr:uid="{C38BDCF3-C5FA-4FB2-861B-86702567229C}"/>
    <cellStyle name="Migliaia [0] 25 2 3 4" xfId="40815" xr:uid="{469352D7-6BBE-4FF8-8453-E7029963F8FB}"/>
    <cellStyle name="Migliaia [0] 25 2 3 5" xfId="11762" xr:uid="{BE5610D4-30AF-4499-BAE3-D104C098AD85}"/>
    <cellStyle name="Migliaia [0] 25 2 4" xfId="5895" xr:uid="{B7DC6B56-1DF2-4F63-8C2C-E13F0596504A}"/>
    <cellStyle name="Migliaia [0] 25 2 4 2" xfId="19583" xr:uid="{6370F8A0-B354-4D68-BD30-01469E17533F}"/>
    <cellStyle name="Migliaia [0] 25 2 5" xfId="2904" xr:uid="{683094E8-88C4-4D53-A75F-AC1D737D827C}"/>
    <cellStyle name="Migliaia [0] 25 2 5 2" xfId="24042" xr:uid="{9F3AC309-6BEF-4232-95D3-66327E79B2E0}"/>
    <cellStyle name="Migliaia [0] 25 2 6" xfId="7253" xr:uid="{CCDDD561-27B9-48D2-BB4E-0A4FFFA3400A}"/>
    <cellStyle name="Migliaia [0] 25 3" xfId="1534" xr:uid="{00000000-0005-0000-0000-00001C020000}"/>
    <cellStyle name="Migliaia [0] 25 3 2" xfId="4632" xr:uid="{8A2E62A2-F2A6-4CBC-A98F-D17C0E7F31F3}"/>
    <cellStyle name="Migliaia [0] 25 3 2 2" xfId="18318" xr:uid="{3793F630-FAA5-418C-82FF-E3ED780C25BB}"/>
    <cellStyle name="Migliaia [0] 25 3 2 2 2" xfId="21755" xr:uid="{9F4AF39C-2547-4370-830B-C308E938BE54}"/>
    <cellStyle name="Migliaia [0] 25 3 2 2 2 2" xfId="38165" xr:uid="{52048652-40B1-41E1-B1A8-D47A4AB2B038}"/>
    <cellStyle name="Migliaia [0] 25 3 2 2 3" xfId="43467" xr:uid="{6D17F8FD-F5C8-479B-B27E-F7AED3D20F5B}"/>
    <cellStyle name="Migliaia [0] 25 3 2 2 4" xfId="32814" xr:uid="{A964E3E3-B09F-4FF0-90CB-440136D36384}"/>
    <cellStyle name="Migliaia [0] 25 3 2 3" xfId="35700" xr:uid="{36B7EE76-A77B-40AE-AF4B-9A962E15081A}"/>
    <cellStyle name="Migliaia [0] 25 3 2 4" xfId="40816" xr:uid="{E857AE6D-0E4A-420B-ACC7-5C35D4BB7A61}"/>
    <cellStyle name="Migliaia [0] 25 3 2 5" xfId="48483" xr:uid="{0AC0E654-AB80-47F9-AF8E-CF8EA2CB15F5}"/>
    <cellStyle name="Migliaia [0] 25 3 2 6" xfId="50783" xr:uid="{615380FC-5A3B-4700-9096-AD46681DB160}"/>
    <cellStyle name="Migliaia [0] 25 3 2 7" xfId="53799" xr:uid="{60D294AC-23E6-4648-8627-F3FF1E1B3DE3}"/>
    <cellStyle name="Migliaia [0] 25 3 2 8" xfId="17594" xr:uid="{EE6FF8DF-864D-4AC0-9014-91A1A06C655A}"/>
    <cellStyle name="Migliaia [0] 25 3 2 9" xfId="11763" xr:uid="{2EFC4B3D-6817-4664-9F39-EAF3E57FDE2E}"/>
    <cellStyle name="Migliaia [0] 25 3 3" xfId="5896" xr:uid="{6439D134-E3F6-4CF6-8CC3-A1BECA5312CA}"/>
    <cellStyle name="Migliaia [0] 25 3 3 2" xfId="12214" xr:uid="{D1882262-95E2-4E5B-A215-B57779A231D7}"/>
    <cellStyle name="Migliaia [0] 25 3 4" xfId="2906" xr:uid="{886FB4BD-9996-4294-A612-603012C3814A}"/>
    <cellStyle name="Migliaia [0] 25 3 4 2" xfId="21287" xr:uid="{6A60168E-ED10-4805-8B18-E89D07A953F9}"/>
    <cellStyle name="Migliaia [0] 25 3 4 3" xfId="48139" xr:uid="{F424DBED-1AEC-456E-8675-D951E306A973}"/>
    <cellStyle name="Migliaia [0] 25 3 4 4" xfId="50302" xr:uid="{12EC73F7-14B1-4680-961C-F821B304D475}"/>
    <cellStyle name="Migliaia [0] 25 3 4 5" xfId="53318" xr:uid="{6E534CEF-52D5-4A45-82BE-8D51E2E1C2D8}"/>
    <cellStyle name="Migliaia [0] 25 3 4 6" xfId="10652" xr:uid="{35D7EB89-E092-4ED2-ABAA-00BDC27DFE1C}"/>
    <cellStyle name="Migliaia [0] 25 3 5" xfId="19585" xr:uid="{82688103-488D-4DC6-9D7B-2E03BD252B27}"/>
    <cellStyle name="Migliaia [0] 25 3 6" xfId="24044" xr:uid="{3EF5FCC8-AD5C-4ECA-9BC3-8AF125CE3F4A}"/>
    <cellStyle name="Migliaia [0] 25 3 7" xfId="8201" xr:uid="{2B7C8BFD-D946-4009-B7E1-45DB6506F858}"/>
    <cellStyle name="Migliaia [0] 25 4" xfId="2907" xr:uid="{9CA1A7A0-1B29-4C12-B344-92D3AF42243C}"/>
    <cellStyle name="Migliaia [0] 25 4 2" xfId="4633" xr:uid="{9089F64D-A916-4951-85ED-98A8528F7579}"/>
    <cellStyle name="Migliaia [0] 25 4 2 2" xfId="35086" xr:uid="{9A7FB174-159E-4387-9F5A-80D9178332D7}"/>
    <cellStyle name="Migliaia [0] 25 4 2 2 2" xfId="40244" xr:uid="{33D21B7B-8C43-43ED-B3D8-21631E49F851}"/>
    <cellStyle name="Migliaia [0] 25 4 2 2 3" xfId="45546" xr:uid="{C2FF1BB2-88C7-4E55-900D-686A8B8CDAF3}"/>
    <cellStyle name="Migliaia [0] 25 4 2 3" xfId="37593" xr:uid="{166E98B4-96F0-4454-82FE-B98CE2187AB8}"/>
    <cellStyle name="Migliaia [0] 25 4 2 4" xfId="42895" xr:uid="{59719F5E-D4B1-4672-B528-E717B295ADA3}"/>
    <cellStyle name="Migliaia [0] 25 4 2 5" xfId="17026" xr:uid="{4922DC56-1991-46C2-AA7D-259290EAA74E}"/>
    <cellStyle name="Migliaia [0] 25 4 3" xfId="5897" xr:uid="{90E61FAE-622A-4D77-B697-ADC435DEAE8B}"/>
    <cellStyle name="Migliaia [0] 25 4 3 2" xfId="38166" xr:uid="{DB76BC40-AF91-4148-98D9-B1785EAB8A76}"/>
    <cellStyle name="Migliaia [0] 25 4 3 3" xfId="43468" xr:uid="{2C307326-E07D-439E-B989-8F4FCCB0DF7E}"/>
    <cellStyle name="Migliaia [0] 25 4 3 4" xfId="32815" xr:uid="{BD4947E8-7AC2-4997-B55C-C1510687B204}"/>
    <cellStyle name="Migliaia [0] 25 4 3 5" xfId="19586" xr:uid="{6F4D2FBF-3676-49AE-B8AE-0C36C15F0604}"/>
    <cellStyle name="Migliaia [0] 25 4 4" xfId="35701" xr:uid="{8D354D55-1BFB-4F52-9CD4-BC5000A212CF}"/>
    <cellStyle name="Migliaia [0] 25 4 5" xfId="40817" xr:uid="{32FD9D65-B7D7-429E-90CF-227EE063BEFD}"/>
    <cellStyle name="Migliaia [0] 25 4 6" xfId="15968" xr:uid="{2C07BD11-3286-4C12-8162-F84E2A304799}"/>
    <cellStyle name="Migliaia [0] 25 4 7" xfId="7781" xr:uid="{20EF15E8-24AD-48AC-BA34-B27E3B26A496}"/>
    <cellStyle name="Migliaia [0] 25 5" xfId="4629" xr:uid="{72CEC4A6-2C5B-4D51-BE2B-2546A28A34ED}"/>
    <cellStyle name="Migliaia [0] 25 5 2" xfId="32816" xr:uid="{89CAABF5-D18F-4FA0-A061-90AB93DAAD6C}"/>
    <cellStyle name="Migliaia [0] 25 5 2 2" xfId="38167" xr:uid="{1E5DF9D4-9D1E-4D5D-A743-DC378D52B974}"/>
    <cellStyle name="Migliaia [0] 25 5 2 3" xfId="43469" xr:uid="{7EAD67AF-25BF-4F3D-8A0A-F6AD83DBEEA5}"/>
    <cellStyle name="Migliaia [0] 25 5 3" xfId="35702" xr:uid="{51E03B2B-9F13-4900-B04B-70759B8D493F}"/>
    <cellStyle name="Migliaia [0] 25 5 4" xfId="40818" xr:uid="{9815BB80-1DE6-40C1-92F1-456F5BAF312B}"/>
    <cellStyle name="Migliaia [0] 25 5 5" xfId="17095" xr:uid="{0E12B20D-C738-438A-B3D3-103595EE677A}"/>
    <cellStyle name="Migliaia [0] 25 6" xfId="5894" xr:uid="{B7412778-5E28-471E-A2C6-9E06BDF454DA}"/>
    <cellStyle name="Migliaia [0] 25 6 2" xfId="38163" xr:uid="{121706CA-5184-46FD-9456-467BF00ADCFC}"/>
    <cellStyle name="Migliaia [0] 25 6 3" xfId="43465" xr:uid="{4BC1A859-8692-47DE-A6CA-63A24FB46290}"/>
    <cellStyle name="Migliaia [0] 25 6 4" xfId="32812" xr:uid="{FBDFEF78-B94E-47CD-BABD-EDBC56CA10D8}"/>
    <cellStyle name="Migliaia [0] 25 6 5" xfId="19582" xr:uid="{9ABD9ADC-2106-4BC2-A00A-D7680EB3BA59}"/>
    <cellStyle name="Migliaia [0] 25 7" xfId="2903" xr:uid="{68509254-141A-4CF8-90A9-D31EEE7B995D}"/>
    <cellStyle name="Migliaia [0] 25 7 2" xfId="35698" xr:uid="{ED952B21-E236-4BCC-99EE-10B144641C25}"/>
    <cellStyle name="Migliaia [0] 25 8" xfId="40814" xr:uid="{08054652-805F-497A-90B2-531F4DA87B23}"/>
    <cellStyle name="Migliaia [0] 25 9" xfId="7002" xr:uid="{E806F0AB-1D00-4DF8-BE32-A1CA8C816A35}"/>
    <cellStyle name="Migliaia [0] 26" xfId="260" xr:uid="{00000000-0005-0000-0000-00001D020000}"/>
    <cellStyle name="Migliaia [0] 26 2" xfId="1535" xr:uid="{00000000-0005-0000-0000-00001E020000}"/>
    <cellStyle name="Migliaia [0] 26 2 2" xfId="1536" xr:uid="{00000000-0005-0000-0000-00001F020000}"/>
    <cellStyle name="Migliaia [0] 26 2 2 2" xfId="4636" xr:uid="{B9737711-EAE5-4553-BF69-AAFE002D06FF}"/>
    <cellStyle name="Migliaia [0] 26 2 2 2 2" xfId="21756" xr:uid="{D4D1EA1B-EC69-40F5-8262-5E30029C3AA8}"/>
    <cellStyle name="Migliaia [0] 26 2 2 2 3" xfId="34533" xr:uid="{2F0C810C-6E7F-40BC-9ACC-2EA2845F498F}"/>
    <cellStyle name="Migliaia [0] 26 2 2 2 4" xfId="50784" xr:uid="{6DAD134E-2ADC-47F2-833F-504EEA538F05}"/>
    <cellStyle name="Migliaia [0] 26 2 2 2 5" xfId="53800" xr:uid="{228A3EE8-EBD0-4BB6-B668-6D61771C253B}"/>
    <cellStyle name="Migliaia [0] 26 2 2 2 6" xfId="11764" xr:uid="{B29E48FD-D153-47E8-B258-3DC485709E3B}"/>
    <cellStyle name="Migliaia [0] 26 2 2 3" xfId="2910" xr:uid="{B947241E-5F32-4FA0-A20E-298939BF750B}"/>
    <cellStyle name="Migliaia [0] 26 2 2 3 2" xfId="12348" xr:uid="{89E33656-E240-447C-9356-0270631F1CDF}"/>
    <cellStyle name="Migliaia [0] 26 2 2 4" xfId="10653" xr:uid="{8BD38FAE-078F-49CD-AC36-D2E7DB928A2E}"/>
    <cellStyle name="Migliaia [0] 26 2 2 4 2" xfId="21288" xr:uid="{8FC21C7A-F45B-4473-B862-F80625503946}"/>
    <cellStyle name="Migliaia [0] 26 2 2 4 3" xfId="47956" xr:uid="{BA521B2C-A8D8-4A7C-8273-AB673F11DF9F}"/>
    <cellStyle name="Migliaia [0] 26 2 2 4 4" xfId="50303" xr:uid="{C4F54CE0-7A46-4A73-90CF-483AB1F698B4}"/>
    <cellStyle name="Migliaia [0] 26 2 2 4 5" xfId="53319" xr:uid="{F01148D9-938A-4638-B5DF-7C703375ED8B}"/>
    <cellStyle name="Migliaia [0] 26 2 2 5" xfId="19589" xr:uid="{ECC46592-5869-4029-BEC3-D248631E4B29}"/>
    <cellStyle name="Migliaia [0] 26 2 2 6" xfId="24046" xr:uid="{30AD8C4D-6C77-437E-914B-2A2D10E40C23}"/>
    <cellStyle name="Migliaia [0] 26 2 2 7" xfId="48838" xr:uid="{81EC6C68-67CE-4EA8-9E60-9CE2DBCCC665}"/>
    <cellStyle name="Migliaia [0] 26 2 2 8" xfId="49744" xr:uid="{4CA17755-FDCE-42CC-B5A3-F7228A80CE64}"/>
    <cellStyle name="Migliaia [0] 26 2 2 9" xfId="8444" xr:uid="{8F240FC1-EFC8-42EE-99F2-E0D39324A886}"/>
    <cellStyle name="Migliaia [0] 26 2 3" xfId="4635" xr:uid="{4877A6E5-0802-4165-B18E-53F75344AEF6}"/>
    <cellStyle name="Migliaia [0] 26 2 3 2" xfId="32818" xr:uid="{5EE891CF-BAEA-4E16-9FB1-AA2A6D7936D8}"/>
    <cellStyle name="Migliaia [0] 26 2 3 2 2" xfId="38169" xr:uid="{EBF42C7E-4113-49EB-8A67-23C357501C0E}"/>
    <cellStyle name="Migliaia [0] 26 2 3 2 3" xfId="43471" xr:uid="{2B86D26C-1823-465C-A781-5B5A6F29ADCA}"/>
    <cellStyle name="Migliaia [0] 26 2 3 3" xfId="35704" xr:uid="{8576467B-FB7E-42E8-9625-1241A5E05B1E}"/>
    <cellStyle name="Migliaia [0] 26 2 3 4" xfId="40820" xr:uid="{BD7FF2F2-A02C-4AE0-8C24-FFEBAD63C4EB}"/>
    <cellStyle name="Migliaia [0] 26 2 3 5" xfId="11765" xr:uid="{1D6B84FF-9E03-47B5-85BC-D27A9E73F638}"/>
    <cellStyle name="Migliaia [0] 26 2 4" xfId="5899" xr:uid="{C44FDFA2-4A11-4B6F-A503-2E3D5460EC6B}"/>
    <cellStyle name="Migliaia [0] 26 2 4 2" xfId="19588" xr:uid="{C6A5E565-917C-4185-A855-0B3FF6391673}"/>
    <cellStyle name="Migliaia [0] 26 2 5" xfId="2909" xr:uid="{9DEFA30B-B672-429F-BBB7-2065589B627B}"/>
    <cellStyle name="Migliaia [0] 26 2 5 2" xfId="24045" xr:uid="{E73EE831-61C9-4688-B56B-63A6D9404D2E}"/>
    <cellStyle name="Migliaia [0] 26 2 6" xfId="7254" xr:uid="{067DAB8C-4CB6-4323-BAD1-802AF7A15D62}"/>
    <cellStyle name="Migliaia [0] 26 3" xfId="1537" xr:uid="{00000000-0005-0000-0000-000020020000}"/>
    <cellStyle name="Migliaia [0] 26 3 2" xfId="4637" xr:uid="{7C7ABBF5-297B-46A0-9E43-C78929F61AC8}"/>
    <cellStyle name="Migliaia [0] 26 3 2 2" xfId="18319" xr:uid="{E85D8103-68A4-4546-977E-4D19D2B2A90D}"/>
    <cellStyle name="Migliaia [0] 26 3 2 2 2" xfId="21757" xr:uid="{4451A85D-D390-4B1D-A99C-C99DE0321185}"/>
    <cellStyle name="Migliaia [0] 26 3 2 2 2 2" xfId="38170" xr:uid="{A3838A31-FBF5-478D-B9C0-5B6BB38153EF}"/>
    <cellStyle name="Migliaia [0] 26 3 2 2 3" xfId="43472" xr:uid="{B7B88721-68AA-46A0-AEEF-D7A8A9D39391}"/>
    <cellStyle name="Migliaia [0] 26 3 2 2 4" xfId="32819" xr:uid="{0B7589EE-B9AA-40E8-B705-718397AE360D}"/>
    <cellStyle name="Migliaia [0] 26 3 2 3" xfId="35705" xr:uid="{917AF3B7-5937-4548-849A-FD9AE98CB66D}"/>
    <cellStyle name="Migliaia [0] 26 3 2 4" xfId="40821" xr:uid="{6FB8C264-5C49-46EF-81F1-8919EE81BF1A}"/>
    <cellStyle name="Migliaia [0] 26 3 2 5" xfId="46657" xr:uid="{3AEF1A56-7FA9-4F1A-906B-651B2075E73E}"/>
    <cellStyle name="Migliaia [0] 26 3 2 6" xfId="50785" xr:uid="{5F060DFA-F396-4F23-9A35-AE884A1C9BB9}"/>
    <cellStyle name="Migliaia [0] 26 3 2 7" xfId="53801" xr:uid="{E832C624-92CD-4B41-83DD-9303C12E385E}"/>
    <cellStyle name="Migliaia [0] 26 3 2 8" xfId="17595" xr:uid="{C18755EA-9C01-4C0F-B1A7-D31862496ED7}"/>
    <cellStyle name="Migliaia [0] 26 3 2 9" xfId="11766" xr:uid="{9524D727-CEE6-4166-AB28-87546234F4FC}"/>
    <cellStyle name="Migliaia [0] 26 3 3" xfId="5900" xr:uid="{E7E83485-1306-423F-9E7F-721A7C8DD077}"/>
    <cellStyle name="Migliaia [0] 26 3 3 2" xfId="11114" xr:uid="{FD50A28B-2C14-4C4B-A649-D33C043F9A4B}"/>
    <cellStyle name="Migliaia [0] 26 3 4" xfId="2911" xr:uid="{8F701692-C2D0-4519-B052-2B6E4167A747}"/>
    <cellStyle name="Migliaia [0] 26 3 4 2" xfId="21289" xr:uid="{D6B3675D-4599-4A12-AEAB-78EF68E70CE4}"/>
    <cellStyle name="Migliaia [0] 26 3 4 3" xfId="46176" xr:uid="{E831F632-15DB-4618-9D0B-1DA9C527BF1E}"/>
    <cellStyle name="Migliaia [0] 26 3 4 4" xfId="50304" xr:uid="{1F078E6F-7CB9-41F6-8826-3D3F04EEEF91}"/>
    <cellStyle name="Migliaia [0] 26 3 4 5" xfId="53320" xr:uid="{E544AD16-1580-469E-965D-0F640F8DA9D6}"/>
    <cellStyle name="Migliaia [0] 26 3 4 6" xfId="10654" xr:uid="{DEEDEF68-D508-427F-BE3D-0DE93476F466}"/>
    <cellStyle name="Migliaia [0] 26 3 5" xfId="19590" xr:uid="{37D77216-3EA0-421E-959B-2D21138A6908}"/>
    <cellStyle name="Migliaia [0] 26 3 6" xfId="24047" xr:uid="{9F61D329-C22F-484D-8531-C263B7AC76FD}"/>
    <cellStyle name="Migliaia [0] 26 3 7" xfId="8202" xr:uid="{057B5848-71C2-4CBB-903A-15EEED417B17}"/>
    <cellStyle name="Migliaia [0] 26 4" xfId="2912" xr:uid="{300932ED-6444-481E-A63E-3474F887973B}"/>
    <cellStyle name="Migliaia [0] 26 4 2" xfId="4638" xr:uid="{2BEE4DC9-ABAF-4497-BB54-862219758988}"/>
    <cellStyle name="Migliaia [0] 26 4 2 2" xfId="35087" xr:uid="{0D2F8120-B6E6-4BB6-B981-8D2E97F41EC0}"/>
    <cellStyle name="Migliaia [0] 26 4 2 2 2" xfId="40245" xr:uid="{C97A6D8D-4CC7-47A8-AF7E-90A8F5F67A97}"/>
    <cellStyle name="Migliaia [0] 26 4 2 2 3" xfId="45547" xr:uid="{6E4128B8-686C-47DE-BC00-265FB1C27347}"/>
    <cellStyle name="Migliaia [0] 26 4 2 3" xfId="37594" xr:uid="{C9FD9389-0501-4D5F-8C23-F8946CCE7827}"/>
    <cellStyle name="Migliaia [0] 26 4 2 4" xfId="42896" xr:uid="{771FC5AA-FF38-48F4-A0AA-85F34E677C5F}"/>
    <cellStyle name="Migliaia [0] 26 4 2 5" xfId="17027" xr:uid="{F6D2F6F1-4852-4B2E-B6F3-68CD01DAC9DC}"/>
    <cellStyle name="Migliaia [0] 26 4 3" xfId="5901" xr:uid="{8FA86D06-BA50-4E4A-91D8-87D9576005A5}"/>
    <cellStyle name="Migliaia [0] 26 4 3 2" xfId="38171" xr:uid="{9E774AB2-2C79-47C9-8178-3F4FC7DC8CC9}"/>
    <cellStyle name="Migliaia [0] 26 4 3 3" xfId="43473" xr:uid="{6B26249E-0641-468B-80B9-2E68ED575764}"/>
    <cellStyle name="Migliaia [0] 26 4 3 4" xfId="32820" xr:uid="{FEE0F6DC-08CC-4383-86BA-4CC5630E2BCB}"/>
    <cellStyle name="Migliaia [0] 26 4 3 5" xfId="19591" xr:uid="{9E2A1A8D-C55B-4DC5-97A8-E93C575AC7E1}"/>
    <cellStyle name="Migliaia [0] 26 4 4" xfId="35706" xr:uid="{89EDA794-543C-4379-ADA3-337CFF7A77D1}"/>
    <cellStyle name="Migliaia [0] 26 4 5" xfId="40822" xr:uid="{487A14DD-67B4-4CB2-B52B-4A3290F9B116}"/>
    <cellStyle name="Migliaia [0] 26 4 6" xfId="15969" xr:uid="{D091A908-EE1A-4651-8446-FD0B78E27377}"/>
    <cellStyle name="Migliaia [0] 26 4 7" xfId="7782" xr:uid="{B89927E3-3F38-43DA-90F4-B2163E1646F2}"/>
    <cellStyle name="Migliaia [0] 26 5" xfId="4634" xr:uid="{C7CADD94-98E0-466C-8199-9F1BF3EE0D58}"/>
    <cellStyle name="Migliaia [0] 26 5 2" xfId="32821" xr:uid="{477CB2BE-C55A-49CF-9BA4-CFDBC474D97D}"/>
    <cellStyle name="Migliaia [0] 26 5 2 2" xfId="38172" xr:uid="{7DA0BBEF-AA42-40B8-978A-ACAC2A91EA31}"/>
    <cellStyle name="Migliaia [0] 26 5 2 3" xfId="43474" xr:uid="{829107B3-5378-45B3-A830-D40DBF1CB454}"/>
    <cellStyle name="Migliaia [0] 26 5 3" xfId="35707" xr:uid="{F4DBB535-854B-4AF7-9D1F-FFF39318E0F7}"/>
    <cellStyle name="Migliaia [0] 26 5 4" xfId="40823" xr:uid="{8F78A6CF-8D6A-43FA-B484-1492879CBFE8}"/>
    <cellStyle name="Migliaia [0] 26 5 5" xfId="17096" xr:uid="{C3BBA875-3CA6-4DB5-BBC8-8748DA424970}"/>
    <cellStyle name="Migliaia [0] 26 6" xfId="5898" xr:uid="{6F18E57F-BF5F-4592-9305-A523410066BD}"/>
    <cellStyle name="Migliaia [0] 26 6 2" xfId="38168" xr:uid="{0C4818BC-B1CD-4B54-ABAF-CCCD31C7303E}"/>
    <cellStyle name="Migliaia [0] 26 6 3" xfId="43470" xr:uid="{761A886F-D562-4778-83C3-2395DD1AC1B6}"/>
    <cellStyle name="Migliaia [0] 26 6 4" xfId="32817" xr:uid="{86011AE9-74B9-4E6F-A4AF-6BF5195269A4}"/>
    <cellStyle name="Migliaia [0] 26 6 5" xfId="19587" xr:uid="{D22723BC-E522-4712-A357-E7A3418CEE47}"/>
    <cellStyle name="Migliaia [0] 26 7" xfId="2908" xr:uid="{1D93C62B-FBBF-4F10-9DD2-49D33B58F971}"/>
    <cellStyle name="Migliaia [0] 26 7 2" xfId="35703" xr:uid="{D7190922-D622-440C-BDB8-AF0D1ACE3EBD}"/>
    <cellStyle name="Migliaia [0] 26 8" xfId="40819" xr:uid="{DCA8F0AB-738B-4A35-8305-896C6EDFAFAE}"/>
    <cellStyle name="Migliaia [0] 26 9" xfId="7003" xr:uid="{DFB9F99E-BB60-4125-8B41-D102AB0B0E37}"/>
    <cellStyle name="Migliaia [0] 27" xfId="261" xr:uid="{00000000-0005-0000-0000-000021020000}"/>
    <cellStyle name="Migliaia [0] 27 2" xfId="1538" xr:uid="{00000000-0005-0000-0000-000022020000}"/>
    <cellStyle name="Migliaia [0] 27 2 2" xfId="1539" xr:uid="{00000000-0005-0000-0000-000023020000}"/>
    <cellStyle name="Migliaia [0] 27 2 2 2" xfId="4641" xr:uid="{268BD990-B538-497C-9EAC-7009B292AC09}"/>
    <cellStyle name="Migliaia [0] 27 2 2 2 2" xfId="21758" xr:uid="{CDF31935-3457-4CCB-ABC2-B0CC41FA15FA}"/>
    <cellStyle name="Migliaia [0] 27 2 2 2 3" xfId="24759" xr:uid="{17838286-F6E0-45EB-9226-71719EDDED29}"/>
    <cellStyle name="Migliaia [0] 27 2 2 2 4" xfId="50786" xr:uid="{23EAA712-06CA-40EF-826C-BCBCB76C6CD9}"/>
    <cellStyle name="Migliaia [0] 27 2 2 2 5" xfId="53802" xr:uid="{383BC02C-58DE-47BA-A42D-F6DD4347FA57}"/>
    <cellStyle name="Migliaia [0] 27 2 2 2 6" xfId="11767" xr:uid="{66517645-2FBF-4812-B0AA-B9AB477EA352}"/>
    <cellStyle name="Migliaia [0] 27 2 2 3" xfId="2915" xr:uid="{E856755D-037F-486F-ACD1-97973682B360}"/>
    <cellStyle name="Migliaia [0] 27 2 2 3 2" xfId="12347" xr:uid="{FA300A62-90DF-4E75-BD05-D4479392DF50}"/>
    <cellStyle name="Migliaia [0] 27 2 2 4" xfId="10655" xr:uid="{35FEE5BF-CE56-498B-AC82-06DB53712215}"/>
    <cellStyle name="Migliaia [0] 27 2 2 4 2" xfId="21290" xr:uid="{1F3E79FD-B185-4A30-AD35-46F80CA600D3}"/>
    <cellStyle name="Migliaia [0] 27 2 2 4 3" xfId="47592" xr:uid="{AAB82A6B-8BCF-4521-98B5-E72BFB7EEF01}"/>
    <cellStyle name="Migliaia [0] 27 2 2 4 4" xfId="50305" xr:uid="{EAAEE9E0-1E57-4995-8770-D72572E4BA6D}"/>
    <cellStyle name="Migliaia [0] 27 2 2 4 5" xfId="53321" xr:uid="{A3046F75-C5DF-4E55-89AC-C27458C20F86}"/>
    <cellStyle name="Migliaia [0] 27 2 2 5" xfId="19594" xr:uid="{1EC06637-8768-49F5-B25C-FF93AE287E12}"/>
    <cellStyle name="Migliaia [0] 27 2 2 6" xfId="24049" xr:uid="{E7B27DBD-1C97-4441-A59D-2AFA9504B3DB}"/>
    <cellStyle name="Migliaia [0] 27 2 2 7" xfId="48839" xr:uid="{0504739B-55D3-43EB-8B59-9D237DB950C6}"/>
    <cellStyle name="Migliaia [0] 27 2 2 8" xfId="49745" xr:uid="{6543FC9A-AF5F-448D-AD2D-177FCE0DFF14}"/>
    <cellStyle name="Migliaia [0] 27 2 2 9" xfId="8445" xr:uid="{EBF64AFB-73D6-46E6-82BE-2D77B74E924F}"/>
    <cellStyle name="Migliaia [0] 27 2 3" xfId="4640" xr:uid="{47342181-71DF-425D-BC88-5179270BEAE0}"/>
    <cellStyle name="Migliaia [0] 27 2 3 2" xfId="32823" xr:uid="{E6CD2616-EF49-4156-814D-654A980A25A9}"/>
    <cellStyle name="Migliaia [0] 27 2 3 2 2" xfId="38174" xr:uid="{03560B3E-697B-48ED-B5BA-8CB6B53B4897}"/>
    <cellStyle name="Migliaia [0] 27 2 3 2 3" xfId="43476" xr:uid="{162720DE-4C9F-4853-AFB8-653F782B2E5D}"/>
    <cellStyle name="Migliaia [0] 27 2 3 3" xfId="35709" xr:uid="{6CE53864-5609-4DA3-AA68-0C09F1101D13}"/>
    <cellStyle name="Migliaia [0] 27 2 3 4" xfId="40825" xr:uid="{93E4C6A4-98C4-4577-A2E1-B8339E1CB895}"/>
    <cellStyle name="Migliaia [0] 27 2 3 5" xfId="11768" xr:uid="{960A83ED-0A5C-4A49-8B95-13237E778DDD}"/>
    <cellStyle name="Migliaia [0] 27 2 4" xfId="5903" xr:uid="{B8F3148B-CC5E-443F-82DB-E1C84FF73D7A}"/>
    <cellStyle name="Migliaia [0] 27 2 4 2" xfId="19593" xr:uid="{421938C9-337E-45E0-BDEF-2EC8AC1C03B9}"/>
    <cellStyle name="Migliaia [0] 27 2 5" xfId="2914" xr:uid="{08DCAB53-8B6E-427E-BC60-ABE2063DD635}"/>
    <cellStyle name="Migliaia [0] 27 2 5 2" xfId="24048" xr:uid="{658051A0-1552-4DE7-A71C-874F54B0C559}"/>
    <cellStyle name="Migliaia [0] 27 2 6" xfId="7255" xr:uid="{A108CF9C-8A52-4C70-B48C-2570A587D1FE}"/>
    <cellStyle name="Migliaia [0] 27 3" xfId="1540" xr:uid="{00000000-0005-0000-0000-000024020000}"/>
    <cellStyle name="Migliaia [0] 27 3 2" xfId="4642" xr:uid="{3A6068C0-C1B4-49C2-9E25-58708E8807A0}"/>
    <cellStyle name="Migliaia [0] 27 3 2 2" xfId="18320" xr:uid="{445EE35E-FF6C-4699-B50F-C74E11913E94}"/>
    <cellStyle name="Migliaia [0] 27 3 2 2 2" xfId="21759" xr:uid="{C0717B1B-5316-4A50-A160-8CDECB3491AA}"/>
    <cellStyle name="Migliaia [0] 27 3 2 2 2 2" xfId="38175" xr:uid="{0BC057B8-D13D-4ABA-8E45-7D8DE621D355}"/>
    <cellStyle name="Migliaia [0] 27 3 2 2 3" xfId="43477" xr:uid="{AC837E76-1470-4861-9953-45008DE072EE}"/>
    <cellStyle name="Migliaia [0] 27 3 2 2 4" xfId="32824" xr:uid="{0834E0BD-8791-4FDB-8DCC-A6864A2E9B00}"/>
    <cellStyle name="Migliaia [0] 27 3 2 3" xfId="35710" xr:uid="{9C75DB87-3AE0-4804-9DAF-01E3607FAF49}"/>
    <cellStyle name="Migliaia [0] 27 3 2 4" xfId="40826" xr:uid="{8F890242-C005-4542-97AE-C805E9CEDE2A}"/>
    <cellStyle name="Migliaia [0] 27 3 2 5" xfId="48583" xr:uid="{DBCA8793-6D17-4683-8A88-B89414D9B976}"/>
    <cellStyle name="Migliaia [0] 27 3 2 6" xfId="50787" xr:uid="{E1911A14-234A-459A-A035-81A890C35673}"/>
    <cellStyle name="Migliaia [0] 27 3 2 7" xfId="53803" xr:uid="{3EA0C62E-AD53-4654-A149-F61166101F46}"/>
    <cellStyle name="Migliaia [0] 27 3 2 8" xfId="17596" xr:uid="{5EF8595F-FEFC-4CE0-A6A5-3A2159F54D8C}"/>
    <cellStyle name="Migliaia [0] 27 3 2 9" xfId="11769" xr:uid="{6F6DE2DE-5DEF-4B0B-9941-96A5C4619141}"/>
    <cellStyle name="Migliaia [0] 27 3 3" xfId="5904" xr:uid="{2AC384F1-AB72-4ACE-8CCD-FBCDE10D336B}"/>
    <cellStyle name="Migliaia [0] 27 3 3 2" xfId="11666" xr:uid="{3A0B2F49-CA37-44B5-A09D-D5C69887B833}"/>
    <cellStyle name="Migliaia [0] 27 3 4" xfId="2916" xr:uid="{17F3FFE5-3BE4-4D52-A141-1805BC7CEF11}"/>
    <cellStyle name="Migliaia [0] 27 3 4 2" xfId="21291" xr:uid="{D1B3F2AF-24D9-4566-8C87-62D5F02BA7C0}"/>
    <cellStyle name="Migliaia [0] 27 3 4 3" xfId="46989" xr:uid="{758F5432-0E9E-49F6-BE6B-212BEE88C8E1}"/>
    <cellStyle name="Migliaia [0] 27 3 4 4" xfId="50306" xr:uid="{C8E503C7-6B47-4E25-B1B3-0EAF062221DC}"/>
    <cellStyle name="Migliaia [0] 27 3 4 5" xfId="53322" xr:uid="{3880B13F-370B-4FF3-B573-1533962D95BE}"/>
    <cellStyle name="Migliaia [0] 27 3 4 6" xfId="10656" xr:uid="{4AC872CB-B374-4224-BDA9-3E18407BC4D7}"/>
    <cellStyle name="Migliaia [0] 27 3 5" xfId="19595" xr:uid="{DE3F40A5-C812-4354-8AFE-7676D0CD3D5D}"/>
    <cellStyle name="Migliaia [0] 27 3 6" xfId="24050" xr:uid="{D0F1ED7F-8F3E-4CDF-8F32-A1E5C3B47F51}"/>
    <cellStyle name="Migliaia [0] 27 3 7" xfId="8203" xr:uid="{D93880E1-1C29-4B8F-9728-6E2A5751891E}"/>
    <cellStyle name="Migliaia [0] 27 4" xfId="2917" xr:uid="{9717CEA8-237F-46A2-A637-D9E6FBDEECF4}"/>
    <cellStyle name="Migliaia [0] 27 4 2" xfId="4643" xr:uid="{B099B58A-88B2-4189-B900-2693634DD165}"/>
    <cellStyle name="Migliaia [0] 27 4 2 2" xfId="35088" xr:uid="{AF335D54-10F7-4C1D-9CCA-3A314F312DA0}"/>
    <cellStyle name="Migliaia [0] 27 4 2 2 2" xfId="40246" xr:uid="{220CC4AA-3A80-434A-B5DF-81B4A0E81A34}"/>
    <cellStyle name="Migliaia [0] 27 4 2 2 3" xfId="45548" xr:uid="{3D4DB1B9-7663-44DE-AC17-D2A3079FCDDB}"/>
    <cellStyle name="Migliaia [0] 27 4 2 3" xfId="37595" xr:uid="{4A164C4B-549C-49B9-98CB-6991EDDCA201}"/>
    <cellStyle name="Migliaia [0] 27 4 2 4" xfId="42897" xr:uid="{A8159385-901D-48E3-9424-F0CAD711E9F2}"/>
    <cellStyle name="Migliaia [0] 27 4 2 5" xfId="17028" xr:uid="{9F78D02B-4CF5-4F47-BB17-749D8E152CA0}"/>
    <cellStyle name="Migliaia [0] 27 4 3" xfId="5905" xr:uid="{0A897DE7-4F4F-49B6-9BC6-D464FE26E338}"/>
    <cellStyle name="Migliaia [0] 27 4 3 2" xfId="38176" xr:uid="{6AACED4E-6495-4857-8AC2-166E6E1F580A}"/>
    <cellStyle name="Migliaia [0] 27 4 3 3" xfId="43478" xr:uid="{A5E9F9E1-5717-4DA2-AC20-FE4A70A919C1}"/>
    <cellStyle name="Migliaia [0] 27 4 3 4" xfId="32825" xr:uid="{3480FC74-744A-489B-BEAF-D6B1914C86E8}"/>
    <cellStyle name="Migliaia [0] 27 4 3 5" xfId="19596" xr:uid="{748819C3-D39C-467D-88F6-81DB640B8EA2}"/>
    <cellStyle name="Migliaia [0] 27 4 4" xfId="35711" xr:uid="{30426099-1443-4A40-B5E1-5B80BD68D225}"/>
    <cellStyle name="Migliaia [0] 27 4 5" xfId="40827" xr:uid="{973249FA-3431-4D8A-B032-9D3111F535B4}"/>
    <cellStyle name="Migliaia [0] 27 4 6" xfId="15970" xr:uid="{4C6F62A7-8C57-4656-B83E-B64305BBA8E1}"/>
    <cellStyle name="Migliaia [0] 27 4 7" xfId="7783" xr:uid="{2755C34C-BD0A-4CA8-874B-BA3C5E02BBDB}"/>
    <cellStyle name="Migliaia [0] 27 5" xfId="4639" xr:uid="{A8D139F9-AF86-4FBE-9DB5-CC3149F99CD5}"/>
    <cellStyle name="Migliaia [0] 27 5 2" xfId="32826" xr:uid="{665CB3D4-ADEA-4FAD-94BB-F0D1C848A242}"/>
    <cellStyle name="Migliaia [0] 27 5 2 2" xfId="38177" xr:uid="{DFC084A9-DD4E-4C93-9B86-C61827BDB580}"/>
    <cellStyle name="Migliaia [0] 27 5 2 3" xfId="43479" xr:uid="{D28F5111-600A-4EFF-925A-596F56B4C675}"/>
    <cellStyle name="Migliaia [0] 27 5 3" xfId="35712" xr:uid="{EDA852E7-1764-41D1-8ADB-E2F6CCDAC276}"/>
    <cellStyle name="Migliaia [0] 27 5 4" xfId="40828" xr:uid="{0782F96E-26B8-42E2-B43D-274A139D4C00}"/>
    <cellStyle name="Migliaia [0] 27 5 5" xfId="17097" xr:uid="{3DDBD2DB-32DC-4A62-8383-42ACB2EB1449}"/>
    <cellStyle name="Migliaia [0] 27 6" xfId="5902" xr:uid="{75A44408-B09C-484B-8B99-B7A549CE31D3}"/>
    <cellStyle name="Migliaia [0] 27 6 2" xfId="38173" xr:uid="{A47EEE1F-21C6-4770-A1FC-4C28BE73C64F}"/>
    <cellStyle name="Migliaia [0] 27 6 3" xfId="43475" xr:uid="{BC7CB776-D648-4AC7-BC07-6DDA39674686}"/>
    <cellStyle name="Migliaia [0] 27 6 4" xfId="32822" xr:uid="{506C4198-F86B-42A4-A61E-FC46ADF22AB0}"/>
    <cellStyle name="Migliaia [0] 27 6 5" xfId="19592" xr:uid="{DA1F42C4-5F94-4507-99C9-1CD7D9C197BB}"/>
    <cellStyle name="Migliaia [0] 27 7" xfId="2913" xr:uid="{3CF28187-CC39-4D05-A768-C9624C5ECFCE}"/>
    <cellStyle name="Migliaia [0] 27 7 2" xfId="35708" xr:uid="{BF7B9FA0-D40C-42E4-9E7E-DD40262BCD87}"/>
    <cellStyle name="Migliaia [0] 27 8" xfId="40824" xr:uid="{0809E972-9D15-4951-9A95-515407D2494B}"/>
    <cellStyle name="Migliaia [0] 27 9" xfId="7004" xr:uid="{5D623223-FF95-4FF2-9A78-6F29EAAEC34B}"/>
    <cellStyle name="Migliaia [0] 28" xfId="262" xr:uid="{00000000-0005-0000-0000-000025020000}"/>
    <cellStyle name="Migliaia [0] 28 2" xfId="1541" xr:uid="{00000000-0005-0000-0000-000026020000}"/>
    <cellStyle name="Migliaia [0] 28 2 2" xfId="1542" xr:uid="{00000000-0005-0000-0000-000027020000}"/>
    <cellStyle name="Migliaia [0] 28 2 2 2" xfId="4646" xr:uid="{309F0A69-FEDC-4EBD-91CF-D43AB26DD3CE}"/>
    <cellStyle name="Migliaia [0] 28 2 2 2 2" xfId="21760" xr:uid="{116CD4F9-C613-4C39-9F78-243B7E1FB3C9}"/>
    <cellStyle name="Migliaia [0] 28 2 2 2 3" xfId="47715" xr:uid="{DF4C23A8-A65C-4515-9C72-A15CBCCC8471}"/>
    <cellStyle name="Migliaia [0] 28 2 2 2 4" xfId="50788" xr:uid="{F248DB2A-1C4D-4BDF-BAC6-96C422CDBAC4}"/>
    <cellStyle name="Migliaia [0] 28 2 2 2 5" xfId="53804" xr:uid="{E5A8674D-757D-45AA-AC40-F22CDFC29EBC}"/>
    <cellStyle name="Migliaia [0] 28 2 2 2 6" xfId="11770" xr:uid="{5182EE91-1CD5-4616-8FBA-CDC8E92F0631}"/>
    <cellStyle name="Migliaia [0] 28 2 2 3" xfId="2920" xr:uid="{972CAD39-9268-4747-B92B-B163652710E8}"/>
    <cellStyle name="Migliaia [0] 28 2 2 3 2" xfId="12184" xr:uid="{9A1C0056-803B-4F98-A463-16D6CC67CF89}"/>
    <cellStyle name="Migliaia [0] 28 2 2 4" xfId="10657" xr:uid="{DD15FAEC-AFD2-4F68-BEBA-6428294082C4}"/>
    <cellStyle name="Migliaia [0] 28 2 2 4 2" xfId="21292" xr:uid="{C7A19D1A-D01E-416D-BB72-30FCB1B630A3}"/>
    <cellStyle name="Migliaia [0] 28 2 2 4 3" xfId="48551" xr:uid="{8F1D1DBC-DFCB-4BA3-AEAF-4C9096B2C53F}"/>
    <cellStyle name="Migliaia [0] 28 2 2 4 4" xfId="50307" xr:uid="{EB787DD4-4FC2-42CF-9DD5-C08FBF1FE00D}"/>
    <cellStyle name="Migliaia [0] 28 2 2 4 5" xfId="53323" xr:uid="{99496EDF-91AF-4F31-B64A-A94000BBD011}"/>
    <cellStyle name="Migliaia [0] 28 2 2 5" xfId="19599" xr:uid="{FA1EDC98-DFE5-4677-BB26-AF7F5FCAD709}"/>
    <cellStyle name="Migliaia [0] 28 2 2 6" xfId="24052" xr:uid="{ABAFADA6-1F03-46EB-AB1D-CB240E65C41C}"/>
    <cellStyle name="Migliaia [0] 28 2 2 7" xfId="48840" xr:uid="{AD713166-F914-4FD7-B446-2AA1DC173C57}"/>
    <cellStyle name="Migliaia [0] 28 2 2 8" xfId="49746" xr:uid="{6B6D1C96-4630-4373-B080-F23DB64451F8}"/>
    <cellStyle name="Migliaia [0] 28 2 2 9" xfId="8446" xr:uid="{0A570440-5C65-42B5-A3DF-25320D2626E1}"/>
    <cellStyle name="Migliaia [0] 28 2 3" xfId="4645" xr:uid="{6CFA231B-F1ED-4B7D-91ED-6AAD74037BB6}"/>
    <cellStyle name="Migliaia [0] 28 2 3 2" xfId="32828" xr:uid="{334EECD9-79BE-43E9-ADA1-59D9FE2D384D}"/>
    <cellStyle name="Migliaia [0] 28 2 3 2 2" xfId="38179" xr:uid="{E46D6A55-1593-409C-B806-CC455BCF3B7D}"/>
    <cellStyle name="Migliaia [0] 28 2 3 2 3" xfId="43481" xr:uid="{57FAFAB9-61EF-4D3F-918B-68B8980A4F00}"/>
    <cellStyle name="Migliaia [0] 28 2 3 3" xfId="35714" xr:uid="{8B55CE78-8B7B-49C1-BCAF-A06EEF6A539E}"/>
    <cellStyle name="Migliaia [0] 28 2 3 4" xfId="40830" xr:uid="{BCF0F6C2-6373-434F-B8FE-944D45A0AEEC}"/>
    <cellStyle name="Migliaia [0] 28 2 3 5" xfId="11771" xr:uid="{10ABAE7E-2857-46BF-99EA-3C56EEFADCE7}"/>
    <cellStyle name="Migliaia [0] 28 2 4" xfId="5907" xr:uid="{251FA81D-AB71-48AD-B317-BEF9FC84FEF2}"/>
    <cellStyle name="Migliaia [0] 28 2 4 2" xfId="19598" xr:uid="{63792C33-F026-4B2E-A700-B2AC8C271444}"/>
    <cellStyle name="Migliaia [0] 28 2 5" xfId="2919" xr:uid="{8AFBD575-FD75-4996-A1FE-F7A5B68D1AEC}"/>
    <cellStyle name="Migliaia [0] 28 2 5 2" xfId="24051" xr:uid="{AE177A97-F17E-48E1-B629-4F25BC6F29D3}"/>
    <cellStyle name="Migliaia [0] 28 2 6" xfId="7256" xr:uid="{6501E1A6-DDED-4415-A54E-15E91BD8056A}"/>
    <cellStyle name="Migliaia [0] 28 3" xfId="1543" xr:uid="{00000000-0005-0000-0000-000028020000}"/>
    <cellStyle name="Migliaia [0] 28 3 2" xfId="4647" xr:uid="{C9F1638F-A612-4E26-822F-C49C065AA5C1}"/>
    <cellStyle name="Migliaia [0] 28 3 2 2" xfId="18321" xr:uid="{B6874D7A-9156-40FF-B1AC-B18C829CB833}"/>
    <cellStyle name="Migliaia [0] 28 3 2 2 2" xfId="21761" xr:uid="{0124B923-7525-4996-94C9-F0EE50E0C623}"/>
    <cellStyle name="Migliaia [0] 28 3 2 2 2 2" xfId="38180" xr:uid="{52C62247-5F12-462D-BDDA-D4EA52C22B21}"/>
    <cellStyle name="Migliaia [0] 28 3 2 2 3" xfId="43482" xr:uid="{F32E0AA9-C1CE-4026-BDE4-C0BAC816F573}"/>
    <cellStyle name="Migliaia [0] 28 3 2 2 4" xfId="32829" xr:uid="{E8BCCF32-CFCD-41A0-86B5-B2CBABE332DD}"/>
    <cellStyle name="Migliaia [0] 28 3 2 3" xfId="35715" xr:uid="{9868B92D-D02F-4CB6-A523-E028A3883503}"/>
    <cellStyle name="Migliaia [0] 28 3 2 4" xfId="40831" xr:uid="{1A9EC8FC-4EC6-42B9-A722-5BD61A72D97B}"/>
    <cellStyle name="Migliaia [0] 28 3 2 5" xfId="25131" xr:uid="{BA3FC05B-F60E-405B-A0A9-2ED818526965}"/>
    <cellStyle name="Migliaia [0] 28 3 2 6" xfId="50789" xr:uid="{EE85BC0C-8399-46FA-88B0-76CD31D413BD}"/>
    <cellStyle name="Migliaia [0] 28 3 2 7" xfId="53805" xr:uid="{568A9A02-DB77-49CB-ADB9-6E11278749D7}"/>
    <cellStyle name="Migliaia [0] 28 3 2 8" xfId="17597" xr:uid="{A5AF7039-113F-441B-988C-5AA39C98D9E4}"/>
    <cellStyle name="Migliaia [0] 28 3 2 9" xfId="11772" xr:uid="{CB5B88DF-4C81-47B2-9B41-E54FE3B7F9D3}"/>
    <cellStyle name="Migliaia [0] 28 3 3" xfId="5908" xr:uid="{AD3BD267-C619-4A2E-BF43-858B637FEFBF}"/>
    <cellStyle name="Migliaia [0] 28 3 3 2" xfId="12380" xr:uid="{CC393FF7-F1E4-4137-ABB8-12D1E4F39606}"/>
    <cellStyle name="Migliaia [0] 28 3 4" xfId="2921" xr:uid="{BB761218-FD25-4E4F-9FC9-5F4DB99D1B05}"/>
    <cellStyle name="Migliaia [0] 28 3 4 2" xfId="21293" xr:uid="{5BDDCBE0-31BF-48D2-A409-A64A6D7489E6}"/>
    <cellStyle name="Migliaia [0] 28 3 4 3" xfId="46635" xr:uid="{4B815C0F-92CA-4D6D-B8D6-C25D53C0D8E9}"/>
    <cellStyle name="Migliaia [0] 28 3 4 4" xfId="50308" xr:uid="{02927D4E-E338-4761-9FA3-13164532EB7D}"/>
    <cellStyle name="Migliaia [0] 28 3 4 5" xfId="53324" xr:uid="{E9B72ECE-9B77-4781-BBC6-463D927CF1DF}"/>
    <cellStyle name="Migliaia [0] 28 3 4 6" xfId="10658" xr:uid="{3E01D44B-0D1F-450C-9AE3-7A9B48F7431D}"/>
    <cellStyle name="Migliaia [0] 28 3 5" xfId="19600" xr:uid="{83F2FABD-FE7B-4F1A-A264-F1FEBFB8A156}"/>
    <cellStyle name="Migliaia [0] 28 3 6" xfId="24053" xr:uid="{38343BB9-8471-4938-B697-B64BBD727BA4}"/>
    <cellStyle name="Migliaia [0] 28 3 7" xfId="8204" xr:uid="{CDB0DB46-FCCE-4B79-9B7E-04CAAB3336E5}"/>
    <cellStyle name="Migliaia [0] 28 4" xfId="2922" xr:uid="{DEA92358-B272-4FE0-AE91-A2842FC939D3}"/>
    <cellStyle name="Migliaia [0] 28 4 2" xfId="4648" xr:uid="{7FD87A0B-D4C2-46E6-B46D-AA83F52E2C57}"/>
    <cellStyle name="Migliaia [0] 28 4 2 2" xfId="35089" xr:uid="{9C3C065A-EFAC-429C-B1FD-C44ABDEB4349}"/>
    <cellStyle name="Migliaia [0] 28 4 2 2 2" xfId="40247" xr:uid="{33AA064C-5EB8-4BC5-BC35-EEBEC2C37C93}"/>
    <cellStyle name="Migliaia [0] 28 4 2 2 3" xfId="45549" xr:uid="{8812B971-1A3E-464B-89FE-5868FEFE1832}"/>
    <cellStyle name="Migliaia [0] 28 4 2 3" xfId="37596" xr:uid="{5555519B-DC6A-4D15-B182-C4F7FEC789E9}"/>
    <cellStyle name="Migliaia [0] 28 4 2 4" xfId="42898" xr:uid="{4E1A644D-877F-4A38-AD27-E4540432A3A4}"/>
    <cellStyle name="Migliaia [0] 28 4 2 5" xfId="17029" xr:uid="{CB070FDD-1E6E-4D9D-9ABB-60F349D757AB}"/>
    <cellStyle name="Migliaia [0] 28 4 3" xfId="5909" xr:uid="{22311123-DA4C-42A9-B729-C6E26B91FD1E}"/>
    <cellStyle name="Migliaia [0] 28 4 3 2" xfId="38181" xr:uid="{023B0426-EB9A-4167-9F57-5AA98A04282A}"/>
    <cellStyle name="Migliaia [0] 28 4 3 3" xfId="43483" xr:uid="{69785015-6259-4C31-94C5-945639E2C02A}"/>
    <cellStyle name="Migliaia [0] 28 4 3 4" xfId="32830" xr:uid="{C12769E0-EFF8-4D04-9E7C-15F73D8903E4}"/>
    <cellStyle name="Migliaia [0] 28 4 3 5" xfId="19601" xr:uid="{9FB226DE-940F-4E02-91C1-EDCAC7C8A05D}"/>
    <cellStyle name="Migliaia [0] 28 4 4" xfId="35716" xr:uid="{E6C908F1-9A03-44B9-BFCD-C4A272CF01BE}"/>
    <cellStyle name="Migliaia [0] 28 4 5" xfId="40832" xr:uid="{4EEDC04A-94E8-46F6-A404-1553DD485055}"/>
    <cellStyle name="Migliaia [0] 28 4 6" xfId="15971" xr:uid="{84810FFB-9160-449B-8196-9E3BEAD617F0}"/>
    <cellStyle name="Migliaia [0] 28 4 7" xfId="7784" xr:uid="{2CE92BCD-C42B-447E-BC31-DD213370BBFF}"/>
    <cellStyle name="Migliaia [0] 28 5" xfId="4644" xr:uid="{EDCC0872-2C33-4E58-8A06-A33642B213B0}"/>
    <cellStyle name="Migliaia [0] 28 5 2" xfId="32831" xr:uid="{7DBF59A2-AD1D-4609-B647-14CA8F200873}"/>
    <cellStyle name="Migliaia [0] 28 5 2 2" xfId="38182" xr:uid="{CB2D8D22-87B9-401C-89CE-A622020E5F60}"/>
    <cellStyle name="Migliaia [0] 28 5 2 3" xfId="43484" xr:uid="{561A21B4-F512-4EE5-95D1-AA9B0DBBB584}"/>
    <cellStyle name="Migliaia [0] 28 5 3" xfId="35717" xr:uid="{C2511FEE-AD0D-4FBB-943B-329C9F44D504}"/>
    <cellStyle name="Migliaia [0] 28 5 4" xfId="40833" xr:uid="{7A087FC7-2D06-4ABD-9D8A-28C9A11AF215}"/>
    <cellStyle name="Migliaia [0] 28 5 5" xfId="17098" xr:uid="{032FA917-4326-4E84-91A6-B28E04F920AE}"/>
    <cellStyle name="Migliaia [0] 28 6" xfId="5906" xr:uid="{6C5458CD-F69C-40DD-8E6E-3A40428ED8F9}"/>
    <cellStyle name="Migliaia [0] 28 6 2" xfId="38178" xr:uid="{98A3927E-37BA-4C3B-9CD7-1F1A6F42454D}"/>
    <cellStyle name="Migliaia [0] 28 6 3" xfId="43480" xr:uid="{33C08163-AB7D-42E1-91DB-ED5BDEE61ABE}"/>
    <cellStyle name="Migliaia [0] 28 6 4" xfId="32827" xr:uid="{92489CDD-3E5D-4CD8-987E-68611B420CB2}"/>
    <cellStyle name="Migliaia [0] 28 6 5" xfId="19597" xr:uid="{7B5DB784-7E77-4A0D-920A-14F8C2BEDC08}"/>
    <cellStyle name="Migliaia [0] 28 7" xfId="2918" xr:uid="{D845EC11-BD87-4950-AA3B-FDA87D329966}"/>
    <cellStyle name="Migliaia [0] 28 7 2" xfId="35713" xr:uid="{C337E2DE-8DDD-4513-B002-AE29F640A44E}"/>
    <cellStyle name="Migliaia [0] 28 8" xfId="40829" xr:uid="{C90EBC00-C8AD-44F1-94BF-FDF09888568C}"/>
    <cellStyle name="Migliaia [0] 28 9" xfId="7005" xr:uid="{9C9B985D-9523-4B73-BD35-6DD9EBB9F2B2}"/>
    <cellStyle name="Migliaia [0] 29" xfId="263" xr:uid="{00000000-0005-0000-0000-000029020000}"/>
    <cellStyle name="Migliaia [0] 29 2" xfId="1544" xr:uid="{00000000-0005-0000-0000-00002A020000}"/>
    <cellStyle name="Migliaia [0] 29 2 2" xfId="1545" xr:uid="{00000000-0005-0000-0000-00002B020000}"/>
    <cellStyle name="Migliaia [0] 29 2 2 2" xfId="4651" xr:uid="{D5801C32-99DB-4218-8F35-03CD6965A3FF}"/>
    <cellStyle name="Migliaia [0] 29 2 2 2 2" xfId="21762" xr:uid="{16EB1A11-BF78-43B6-99D5-70E4BADB3A81}"/>
    <cellStyle name="Migliaia [0] 29 2 2 2 3" xfId="47223" xr:uid="{3BABCA93-B548-4099-869F-C79969202ED6}"/>
    <cellStyle name="Migliaia [0] 29 2 2 2 4" xfId="50790" xr:uid="{98D9FD8D-2DE6-4615-A367-43A237E2B01E}"/>
    <cellStyle name="Migliaia [0] 29 2 2 2 5" xfId="53806" xr:uid="{E70FB230-06BA-4042-B47A-05F31EAFD170}"/>
    <cellStyle name="Migliaia [0] 29 2 2 2 6" xfId="11773" xr:uid="{E6A3F435-D14B-4B2A-978F-99B0C990FDA7}"/>
    <cellStyle name="Migliaia [0] 29 2 2 3" xfId="2925" xr:uid="{720BB586-176C-4735-9304-8C1255CE65AA}"/>
    <cellStyle name="Migliaia [0] 29 2 2 3 2" xfId="11552" xr:uid="{94F6842B-8575-4581-ADF6-032DCB26CBD5}"/>
    <cellStyle name="Migliaia [0] 29 2 2 4" xfId="10659" xr:uid="{EE991B17-60B0-484F-B287-D94A0F2ADCF5}"/>
    <cellStyle name="Migliaia [0] 29 2 2 4 2" xfId="21294" xr:uid="{D5A77288-D2BF-4649-8EE4-EADD421BE6D5}"/>
    <cellStyle name="Migliaia [0] 29 2 2 4 3" xfId="24762" xr:uid="{97E3375F-EDFD-4DA3-B21F-5DA773058466}"/>
    <cellStyle name="Migliaia [0] 29 2 2 4 4" xfId="50309" xr:uid="{47F3319A-A7A7-460A-A142-016C8582C55E}"/>
    <cellStyle name="Migliaia [0] 29 2 2 4 5" xfId="53325" xr:uid="{4DF133AA-471C-4285-B642-845D63EDCCF0}"/>
    <cellStyle name="Migliaia [0] 29 2 2 5" xfId="19604" xr:uid="{5261861F-56B0-4886-98C5-2D9BEDC01E7E}"/>
    <cellStyle name="Migliaia [0] 29 2 2 6" xfId="24055" xr:uid="{2BE5B963-890F-4B94-8413-B501EE597C82}"/>
    <cellStyle name="Migliaia [0] 29 2 2 7" xfId="48841" xr:uid="{2C6FB79E-AAA0-4434-9FD3-9798323F7ACA}"/>
    <cellStyle name="Migliaia [0] 29 2 2 8" xfId="49747" xr:uid="{5A380FFE-0BEA-4DC9-8E33-9EE357FB65DC}"/>
    <cellStyle name="Migliaia [0] 29 2 2 9" xfId="8447" xr:uid="{FB78E38C-E2A4-4E19-9B10-F99D923D075A}"/>
    <cellStyle name="Migliaia [0] 29 2 3" xfId="4650" xr:uid="{E85F9595-857A-4B21-8C0B-5F92D4B77AD4}"/>
    <cellStyle name="Migliaia [0] 29 2 3 2" xfId="32833" xr:uid="{3EA8FC3D-DF7F-482D-89F5-ADDA6360DAC5}"/>
    <cellStyle name="Migliaia [0] 29 2 3 2 2" xfId="38184" xr:uid="{4FDCB8AD-6046-4F05-9B22-85D497B152C7}"/>
    <cellStyle name="Migliaia [0] 29 2 3 2 3" xfId="43486" xr:uid="{047FAE6B-55E7-4193-A873-07119B845FCD}"/>
    <cellStyle name="Migliaia [0] 29 2 3 3" xfId="35719" xr:uid="{AAE57916-C024-4A5D-8DC3-235C3510A5A5}"/>
    <cellStyle name="Migliaia [0] 29 2 3 4" xfId="40835" xr:uid="{B330523F-3822-4DCD-9BB9-6ECB1F770FD3}"/>
    <cellStyle name="Migliaia [0] 29 2 3 5" xfId="11774" xr:uid="{07AD5279-87D0-49AA-B7CF-03D393561D2B}"/>
    <cellStyle name="Migliaia [0] 29 2 4" xfId="5911" xr:uid="{1B3209BF-D4C5-4116-AC4D-A38380EFCBD9}"/>
    <cellStyle name="Migliaia [0] 29 2 4 2" xfId="19603" xr:uid="{C1E57267-AC0D-45AD-97B2-E058A85FE6B5}"/>
    <cellStyle name="Migliaia [0] 29 2 5" xfId="2924" xr:uid="{394CB796-BD80-400D-95FC-54A45E0A49FC}"/>
    <cellStyle name="Migliaia [0] 29 2 5 2" xfId="24054" xr:uid="{622591CA-3245-493D-A5D0-E492C36C8238}"/>
    <cellStyle name="Migliaia [0] 29 2 6" xfId="7257" xr:uid="{D89AB884-042A-4908-939B-05574AA44CEE}"/>
    <cellStyle name="Migliaia [0] 29 3" xfId="1546" xr:uid="{00000000-0005-0000-0000-00002C020000}"/>
    <cellStyle name="Migliaia [0] 29 3 2" xfId="4652" xr:uid="{82E57E02-C640-4980-B6E8-6B4592377112}"/>
    <cellStyle name="Migliaia [0] 29 3 2 2" xfId="18322" xr:uid="{F41FA497-79FB-49F2-8BA4-A73FF7E4D36B}"/>
    <cellStyle name="Migliaia [0] 29 3 2 2 2" xfId="21763" xr:uid="{A75FCD6D-3DB1-4665-A4E9-996022DADF1C}"/>
    <cellStyle name="Migliaia [0] 29 3 2 2 2 2" xfId="38185" xr:uid="{A0378308-D69F-4CD2-B3D8-58CB02C1F38D}"/>
    <cellStyle name="Migliaia [0] 29 3 2 2 3" xfId="43487" xr:uid="{76EB9DEC-FDF7-4315-899D-C921F9D49217}"/>
    <cellStyle name="Migliaia [0] 29 3 2 2 4" xfId="32834" xr:uid="{E93EABAF-4040-4CB7-91A9-3FD0BE7F51BB}"/>
    <cellStyle name="Migliaia [0] 29 3 2 3" xfId="35720" xr:uid="{F0909EDC-6323-4D11-AD7E-437B70E749D8}"/>
    <cellStyle name="Migliaia [0] 29 3 2 4" xfId="40836" xr:uid="{ECE4BDD5-C33F-4F2C-9DA0-474E5E3EBDC5}"/>
    <cellStyle name="Migliaia [0] 29 3 2 5" xfId="47462" xr:uid="{8B4C9EEA-F6C9-43DA-9581-0AB2B168BD9D}"/>
    <cellStyle name="Migliaia [0] 29 3 2 6" xfId="50791" xr:uid="{704C167D-600C-433A-A84E-5C1CD73700A7}"/>
    <cellStyle name="Migliaia [0] 29 3 2 7" xfId="53807" xr:uid="{FACEADEA-BFCE-4813-B663-CAFD0F3F7A78}"/>
    <cellStyle name="Migliaia [0] 29 3 2 8" xfId="17598" xr:uid="{61E08B85-77BE-4964-A81B-88A9429E6016}"/>
    <cellStyle name="Migliaia [0] 29 3 2 9" xfId="11775" xr:uid="{B004C889-936C-4637-AC56-110FB2FE034F}"/>
    <cellStyle name="Migliaia [0] 29 3 3" xfId="5912" xr:uid="{82A21DAD-DFF2-4C7A-B2AD-3CBFD3DBE395}"/>
    <cellStyle name="Migliaia [0] 29 3 3 2" xfId="12211" xr:uid="{3120D6A7-D813-4E15-BDE1-D72AA5F4EEC7}"/>
    <cellStyle name="Migliaia [0] 29 3 4" xfId="2926" xr:uid="{38DC9599-8A18-41A1-97DA-821F407D2C1C}"/>
    <cellStyle name="Migliaia [0] 29 3 4 2" xfId="21295" xr:uid="{DADE2133-8D11-40CF-BB30-C9B129EE8754}"/>
    <cellStyle name="Migliaia [0] 29 3 4 3" xfId="47062" xr:uid="{C78F784D-7866-4250-9C08-0AF6F0599BDE}"/>
    <cellStyle name="Migliaia [0] 29 3 4 4" xfId="50310" xr:uid="{2093CA93-61EE-41AA-AC61-2A5CF4B30A01}"/>
    <cellStyle name="Migliaia [0] 29 3 4 5" xfId="53326" xr:uid="{42D8D12B-596D-407D-B2C7-0DD6F894556C}"/>
    <cellStyle name="Migliaia [0] 29 3 4 6" xfId="10660" xr:uid="{F3BA85A4-C826-4FB5-B8AC-D40D7134B510}"/>
    <cellStyle name="Migliaia [0] 29 3 5" xfId="19605" xr:uid="{742964F5-5A6C-485B-9BAE-9C1601771B1B}"/>
    <cellStyle name="Migliaia [0] 29 3 6" xfId="24056" xr:uid="{EA206B71-5267-4E28-9BA2-FC03E9F02B95}"/>
    <cellStyle name="Migliaia [0] 29 3 7" xfId="8205" xr:uid="{34FC0C95-8DC0-4576-B828-F4B6DA0ABE44}"/>
    <cellStyle name="Migliaia [0] 29 4" xfId="2927" xr:uid="{F5A24B15-08AF-4283-A86E-109EC7697FE4}"/>
    <cellStyle name="Migliaia [0] 29 4 2" xfId="4653" xr:uid="{204BFE5A-E34E-4C78-ABC6-EE816F37BAE1}"/>
    <cellStyle name="Migliaia [0] 29 4 2 2" xfId="35090" xr:uid="{14A150CA-53CC-4CAA-B36D-6F81F8479DB6}"/>
    <cellStyle name="Migliaia [0] 29 4 2 2 2" xfId="40248" xr:uid="{EB357118-7649-435D-9997-83D0A4FC026B}"/>
    <cellStyle name="Migliaia [0] 29 4 2 2 3" xfId="45550" xr:uid="{D36D839C-7A5F-484B-BFC1-1BA366C21FA0}"/>
    <cellStyle name="Migliaia [0] 29 4 2 3" xfId="37597" xr:uid="{C1DF6F00-EFD2-4407-963D-8379B308E215}"/>
    <cellStyle name="Migliaia [0] 29 4 2 4" xfId="42899" xr:uid="{43C498AC-ED7A-4955-B10C-DBD219C8A44C}"/>
    <cellStyle name="Migliaia [0] 29 4 2 5" xfId="17030" xr:uid="{E6317495-3659-48A4-BED9-984781FBD85F}"/>
    <cellStyle name="Migliaia [0] 29 4 3" xfId="5913" xr:uid="{0244F6CE-BDA6-4F96-948F-4416C4A37D19}"/>
    <cellStyle name="Migliaia [0] 29 4 3 2" xfId="38186" xr:uid="{3E983A79-6D84-4924-9A0D-6C23CB947821}"/>
    <cellStyle name="Migliaia [0] 29 4 3 3" xfId="43488" xr:uid="{03B2EE92-AAC1-4AB9-B87C-9C01CC377243}"/>
    <cellStyle name="Migliaia [0] 29 4 3 4" xfId="32835" xr:uid="{9826C80C-6557-4572-83CC-D060525259F6}"/>
    <cellStyle name="Migliaia [0] 29 4 3 5" xfId="19606" xr:uid="{E070E520-4D9E-4DA3-A7F2-4A665DADCD44}"/>
    <cellStyle name="Migliaia [0] 29 4 4" xfId="35721" xr:uid="{FF41614E-7B45-460D-A2F1-26E87CFDBC6A}"/>
    <cellStyle name="Migliaia [0] 29 4 5" xfId="40837" xr:uid="{E7D7A69A-471F-4EE4-A349-17F18E20D0EA}"/>
    <cellStyle name="Migliaia [0] 29 4 6" xfId="15972" xr:uid="{F653B93A-7557-48DF-BAC6-3317D891956D}"/>
    <cellStyle name="Migliaia [0] 29 4 7" xfId="7785" xr:uid="{55A95F8F-2FED-45F2-9124-B75CB41DCC35}"/>
    <cellStyle name="Migliaia [0] 29 5" xfId="4649" xr:uid="{191B8EE5-3A0C-4C13-A23F-2873E043F1D9}"/>
    <cellStyle name="Migliaia [0] 29 5 2" xfId="32836" xr:uid="{40A8EE63-D4CB-4304-ACA6-BD28592682D2}"/>
    <cellStyle name="Migliaia [0] 29 5 2 2" xfId="38187" xr:uid="{2202A95C-18DF-4C17-9BFE-9AC9EE34D9F3}"/>
    <cellStyle name="Migliaia [0] 29 5 2 3" xfId="43489" xr:uid="{42DC092D-707E-4DBB-A738-0054CDBC27FD}"/>
    <cellStyle name="Migliaia [0] 29 5 3" xfId="35722" xr:uid="{AF444F0A-E368-42E6-BF9D-025F552866C2}"/>
    <cellStyle name="Migliaia [0] 29 5 4" xfId="40838" xr:uid="{00AA025E-7E3C-4A1B-8574-7531E8DEAEF1}"/>
    <cellStyle name="Migliaia [0] 29 5 5" xfId="17099" xr:uid="{C3769B9A-59DF-402A-9D7D-403CCC9A086D}"/>
    <cellStyle name="Migliaia [0] 29 6" xfId="5910" xr:uid="{1FBCF564-56A6-4811-8D47-346ED1AA1E9B}"/>
    <cellStyle name="Migliaia [0] 29 6 2" xfId="38183" xr:uid="{C2175896-77D9-4249-A945-F021DB6FA353}"/>
    <cellStyle name="Migliaia [0] 29 6 3" xfId="43485" xr:uid="{1CDC4345-E790-48B2-95FE-AB98A4C93404}"/>
    <cellStyle name="Migliaia [0] 29 6 4" xfId="32832" xr:uid="{8E771B09-8137-4729-B1FF-AACE8A400F25}"/>
    <cellStyle name="Migliaia [0] 29 6 5" xfId="19602" xr:uid="{35E107F3-7F5F-48D0-B29F-C15D604C7D1E}"/>
    <cellStyle name="Migliaia [0] 29 7" xfId="2923" xr:uid="{33BE0ABB-E903-41C0-9A7A-FE95D2A9E70F}"/>
    <cellStyle name="Migliaia [0] 29 7 2" xfId="35718" xr:uid="{7BCE4A9F-81F9-4C24-8151-1E84C666B6DC}"/>
    <cellStyle name="Migliaia [0] 29 8" xfId="40834" xr:uid="{21AE321D-476C-4B80-9D28-F26D7C4D36ED}"/>
    <cellStyle name="Migliaia [0] 29 9" xfId="7006" xr:uid="{E6A24B07-63FD-4A17-8C7D-080752159FE1}"/>
    <cellStyle name="Migliaia [0] 3" xfId="264" xr:uid="{00000000-0005-0000-0000-00002D020000}"/>
    <cellStyle name="Migliaia [0] 3 2" xfId="1547" xr:uid="{00000000-0005-0000-0000-00002E020000}"/>
    <cellStyle name="Migliaia [0] 3 2 2" xfId="1548" xr:uid="{00000000-0005-0000-0000-00002F020000}"/>
    <cellStyle name="Migliaia [0] 3 2 2 2" xfId="4656" xr:uid="{16B01420-7FC7-450C-8E6B-C8BF9BECE2C2}"/>
    <cellStyle name="Migliaia [0] 3 2 2 2 2" xfId="21764" xr:uid="{A928C344-6885-4D91-9C32-03886BB199F6}"/>
    <cellStyle name="Migliaia [0] 3 2 2 2 3" xfId="47910" xr:uid="{8C454160-E324-4D74-9F7E-DE2B602989FE}"/>
    <cellStyle name="Migliaia [0] 3 2 2 2 4" xfId="50792" xr:uid="{4BC57D9C-3936-46DC-8D70-AD3E143F5B49}"/>
    <cellStyle name="Migliaia [0] 3 2 2 2 5" xfId="53808" xr:uid="{BCCED8F4-91C6-4560-AA15-EFBF0957F541}"/>
    <cellStyle name="Migliaia [0] 3 2 2 2 6" xfId="11776" xr:uid="{94442C21-019C-48BA-B803-4DB08D3E4D73}"/>
    <cellStyle name="Migliaia [0] 3 2 2 3" xfId="2930" xr:uid="{3EC3DB64-8F58-4833-B37F-C6B23F3507ED}"/>
    <cellStyle name="Migliaia [0] 3 2 2 3 2" xfId="12346" xr:uid="{E407B9A3-E58E-4731-AABE-1BCDB24A1870}"/>
    <cellStyle name="Migliaia [0] 3 2 2 4" xfId="10661" xr:uid="{E0C87A32-8000-4EC3-8777-B6D0DA013A97}"/>
    <cellStyle name="Migliaia [0] 3 2 2 4 2" xfId="21296" xr:uid="{2AC6B1AE-FE00-4139-9293-7E2C30098216}"/>
    <cellStyle name="Migliaia [0] 3 2 2 4 3" xfId="48527" xr:uid="{F60CBA09-162E-426D-A4EB-4A56840B4F04}"/>
    <cellStyle name="Migliaia [0] 3 2 2 4 4" xfId="50311" xr:uid="{9C9DB4AB-0CF6-4401-88B2-122CA7300085}"/>
    <cellStyle name="Migliaia [0] 3 2 2 4 5" xfId="53327" xr:uid="{E720B4E4-70F7-490C-92D3-94D411998183}"/>
    <cellStyle name="Migliaia [0] 3 2 2 5" xfId="19609" xr:uid="{F437297F-25E2-4F6B-BB7F-12A2954CA6D3}"/>
    <cellStyle name="Migliaia [0] 3 2 2 6" xfId="24058" xr:uid="{E5D4973D-C9B1-4520-80F2-1FB6AE7019F6}"/>
    <cellStyle name="Migliaia [0] 3 2 2 7" xfId="48842" xr:uid="{34B9FB95-2006-421E-A1CA-182439EAD208}"/>
    <cellStyle name="Migliaia [0] 3 2 2 8" xfId="49748" xr:uid="{58E3C009-F434-45C5-95E2-770229EC9DAE}"/>
    <cellStyle name="Migliaia [0] 3 2 2 9" xfId="8448" xr:uid="{9CCC8BFC-BAE6-4274-89E5-F50781B3E526}"/>
    <cellStyle name="Migliaia [0] 3 2 3" xfId="4655" xr:uid="{9DE57690-7635-4E91-A6A1-6F628884FB86}"/>
    <cellStyle name="Migliaia [0] 3 2 3 2" xfId="32838" xr:uid="{B011B512-6A17-4E93-A8B9-F374EDD50F33}"/>
    <cellStyle name="Migliaia [0] 3 2 3 2 2" xfId="38189" xr:uid="{42580127-9EA6-4714-8EA5-1DE4C3969D50}"/>
    <cellStyle name="Migliaia [0] 3 2 3 2 3" xfId="43491" xr:uid="{B8540C45-BF32-4BC0-85DE-A27A87139B9F}"/>
    <cellStyle name="Migliaia [0] 3 2 3 3" xfId="35724" xr:uid="{8C43B12E-0DA6-471E-86C0-06144FB98C3D}"/>
    <cellStyle name="Migliaia [0] 3 2 3 4" xfId="40840" xr:uid="{5C7BA148-1E27-4E01-96DF-0AD56E33001F}"/>
    <cellStyle name="Migliaia [0] 3 2 3 5" xfId="11777" xr:uid="{AB15D920-974A-4B63-8675-BEAFE7AABBE5}"/>
    <cellStyle name="Migliaia [0] 3 2 4" xfId="5915" xr:uid="{E3B84E8B-0F94-4D35-B280-44F7E0CF4D8E}"/>
    <cellStyle name="Migliaia [0] 3 2 4 2" xfId="19608" xr:uid="{983FA37A-9589-4C2A-84D1-D07C22D56794}"/>
    <cellStyle name="Migliaia [0] 3 2 5" xfId="2929" xr:uid="{D5BC513D-945B-4C4E-A2DC-12047BEAFD27}"/>
    <cellStyle name="Migliaia [0] 3 2 5 2" xfId="24057" xr:uid="{FA7AF015-5AD4-471D-B59F-82D4A6DB69B5}"/>
    <cellStyle name="Migliaia [0] 3 2 6" xfId="7258" xr:uid="{1FC5E909-D156-49B0-8702-44D0799F8DD4}"/>
    <cellStyle name="Migliaia [0] 3 3" xfId="1549" xr:uid="{00000000-0005-0000-0000-000030020000}"/>
    <cellStyle name="Migliaia [0] 3 3 2" xfId="4657" xr:uid="{51780C54-36CD-417D-B343-B08B55FF5EB1}"/>
    <cellStyle name="Migliaia [0] 3 3 2 2" xfId="18323" xr:uid="{3E96F3F5-D3E8-41CC-88CD-8028ED6A392B}"/>
    <cellStyle name="Migliaia [0] 3 3 2 2 2" xfId="21765" xr:uid="{82227222-9691-4A10-82AD-44262D543637}"/>
    <cellStyle name="Migliaia [0] 3 3 2 2 2 2" xfId="38190" xr:uid="{D8E5A2D0-AFE7-4230-9DF0-D230BD7F86E0}"/>
    <cellStyle name="Migliaia [0] 3 3 2 2 3" xfId="43492" xr:uid="{90479EEC-7FA3-4705-9255-A676894254A2}"/>
    <cellStyle name="Migliaia [0] 3 3 2 2 4" xfId="32839" xr:uid="{C53F73E1-DC1E-4189-AE76-6CCE4EAB8811}"/>
    <cellStyle name="Migliaia [0] 3 3 2 3" xfId="35725" xr:uid="{FB070936-EDA0-4948-BA73-53FD8530C511}"/>
    <cellStyle name="Migliaia [0] 3 3 2 4" xfId="40841" xr:uid="{B16C678F-4F06-4748-B6CC-0C04E5593254}"/>
    <cellStyle name="Migliaia [0] 3 3 2 5" xfId="47986" xr:uid="{CD8E9D5C-BE7D-4078-8CC2-9855CCCF7047}"/>
    <cellStyle name="Migliaia [0] 3 3 2 6" xfId="50793" xr:uid="{6A79DF2E-8181-47DF-9DFF-CF87741CCD73}"/>
    <cellStyle name="Migliaia [0] 3 3 2 7" xfId="53809" xr:uid="{C0208071-B0D3-44A7-9698-B305596314D4}"/>
    <cellStyle name="Migliaia [0] 3 3 2 8" xfId="17599" xr:uid="{03456750-AAE2-43CF-919F-DE098FEF53F2}"/>
    <cellStyle name="Migliaia [0] 3 3 2 9" xfId="11778" xr:uid="{3D105CBB-B5BF-43A0-B10B-C2ED4162559C}"/>
    <cellStyle name="Migliaia [0] 3 3 3" xfId="5916" xr:uid="{612F8D8D-994A-42DD-8D27-866C56C341EC}"/>
    <cellStyle name="Migliaia [0] 3 3 3 2" xfId="12212" xr:uid="{029B71C5-2159-4A80-9135-C8FFEEBDC4B0}"/>
    <cellStyle name="Migliaia [0] 3 3 4" xfId="2931" xr:uid="{723E80F8-C384-4C28-A62D-51060AC0B376}"/>
    <cellStyle name="Migliaia [0] 3 3 4 2" xfId="21297" xr:uid="{136D9239-335F-4349-A041-51A72F4B9601}"/>
    <cellStyle name="Migliaia [0] 3 3 4 3" xfId="48465" xr:uid="{81B91BA7-54EA-4A90-97C4-A254AD3FF549}"/>
    <cellStyle name="Migliaia [0] 3 3 4 4" xfId="50312" xr:uid="{29ECC19E-AC30-4812-8DA6-F3787D6F3B3B}"/>
    <cellStyle name="Migliaia [0] 3 3 4 5" xfId="53328" xr:uid="{1ABC58B3-16E5-4B04-AEF8-8B2A0B679F42}"/>
    <cellStyle name="Migliaia [0] 3 3 4 6" xfId="10662" xr:uid="{C9164677-D577-4BAC-9B02-1D2A7591B3FD}"/>
    <cellStyle name="Migliaia [0] 3 3 5" xfId="19610" xr:uid="{C3FA2AC6-3C5A-491C-8C7C-EB49F401575A}"/>
    <cellStyle name="Migliaia [0] 3 3 6" xfId="24059" xr:uid="{57C31D6E-4E10-4D8C-8ED5-9E92F7C1466C}"/>
    <cellStyle name="Migliaia [0] 3 3 7" xfId="8206" xr:uid="{E04CB525-C829-46DB-97DC-2A043519EBD1}"/>
    <cellStyle name="Migliaia [0] 3 4" xfId="2932" xr:uid="{828C6A43-A9F6-417C-A7C3-839A8585DAF8}"/>
    <cellStyle name="Migliaia [0] 3 4 2" xfId="4658" xr:uid="{4266368E-5720-4834-8CA0-C12ABB4F240C}"/>
    <cellStyle name="Migliaia [0] 3 4 2 2" xfId="35091" xr:uid="{5FACE868-DD25-413D-9615-3BCC4D7E7E43}"/>
    <cellStyle name="Migliaia [0] 3 4 2 2 2" xfId="40249" xr:uid="{3F66A8EF-DCF4-449A-8742-8E11A3CB206D}"/>
    <cellStyle name="Migliaia [0] 3 4 2 2 3" xfId="45551" xr:uid="{12A94E4E-22EC-4E7C-AFBB-D62C68C47510}"/>
    <cellStyle name="Migliaia [0] 3 4 2 3" xfId="37598" xr:uid="{B66C3575-C386-472C-A160-9329363D4BF9}"/>
    <cellStyle name="Migliaia [0] 3 4 2 4" xfId="42900" xr:uid="{A87D3059-8270-4D95-BDEC-7F087F94B196}"/>
    <cellStyle name="Migliaia [0] 3 4 2 5" xfId="17031" xr:uid="{4CD03E06-C2CA-4D16-83E9-E78E8E4AEE75}"/>
    <cellStyle name="Migliaia [0] 3 4 3" xfId="5917" xr:uid="{0C8B52F7-BD36-4E29-8E52-A961E578A7AD}"/>
    <cellStyle name="Migliaia [0] 3 4 3 2" xfId="38191" xr:uid="{6EED8AA3-64E2-47C3-AE9C-BB5A7EA7DB92}"/>
    <cellStyle name="Migliaia [0] 3 4 3 3" xfId="43493" xr:uid="{6D102E14-339F-4241-9B0D-E889236CC6F2}"/>
    <cellStyle name="Migliaia [0] 3 4 3 4" xfId="32840" xr:uid="{0CFFEED4-3FDC-4BCF-B502-6973B9664E2C}"/>
    <cellStyle name="Migliaia [0] 3 4 3 5" xfId="19611" xr:uid="{4B6D0C1B-FE47-4995-A94A-59A8E81C2C01}"/>
    <cellStyle name="Migliaia [0] 3 4 4" xfId="35726" xr:uid="{803C1A1D-3EF4-437D-A4A6-0F4A42613040}"/>
    <cellStyle name="Migliaia [0] 3 4 5" xfId="40842" xr:uid="{EE7F6493-6C77-4063-AAA9-17142E32F4D2}"/>
    <cellStyle name="Migliaia [0] 3 4 6" xfId="15973" xr:uid="{52AEBA5E-0DAA-4AF4-9DAF-CDF8FC5BE48E}"/>
    <cellStyle name="Migliaia [0] 3 4 7" xfId="7786" xr:uid="{EACEDEF9-BDF7-43D4-8A9F-86A436641923}"/>
    <cellStyle name="Migliaia [0] 3 5" xfId="4654" xr:uid="{CC5EBAC2-DC75-4000-98B9-D16A423DDC34}"/>
    <cellStyle name="Migliaia [0] 3 5 2" xfId="32841" xr:uid="{2257D87E-60FB-448A-A879-39936057DC4B}"/>
    <cellStyle name="Migliaia [0] 3 5 2 2" xfId="38192" xr:uid="{45F9F90A-B637-4914-878C-72FF5CC94383}"/>
    <cellStyle name="Migliaia [0] 3 5 2 3" xfId="43494" xr:uid="{A73FCC91-CB3D-4CC9-B6CE-27EEF97B42B6}"/>
    <cellStyle name="Migliaia [0] 3 5 3" xfId="35727" xr:uid="{299B4298-D032-4030-A51B-D787AF462690}"/>
    <cellStyle name="Migliaia [0] 3 5 4" xfId="40843" xr:uid="{DEAF7787-A8A0-47E0-A49C-FE74C7D49227}"/>
    <cellStyle name="Migliaia [0] 3 5 5" xfId="17100" xr:uid="{717A2CC6-B198-4AA2-A7B9-E475FB042816}"/>
    <cellStyle name="Migliaia [0] 3 6" xfId="5914" xr:uid="{25E9EB59-3685-4CF4-84BC-075D06C3B0A3}"/>
    <cellStyle name="Migliaia [0] 3 6 2" xfId="38188" xr:uid="{0F9B16DE-FCFD-4406-B74F-1EAA42EE9B19}"/>
    <cellStyle name="Migliaia [0] 3 6 3" xfId="43490" xr:uid="{FCDAA2C2-67BD-4BFA-B4B3-FB184D93392F}"/>
    <cellStyle name="Migliaia [0] 3 6 4" xfId="32837" xr:uid="{B85ADB57-BDDE-4C72-A98C-F657E6180359}"/>
    <cellStyle name="Migliaia [0] 3 6 5" xfId="19607" xr:uid="{647DD766-2579-4AC7-963A-37AC9F945DCF}"/>
    <cellStyle name="Migliaia [0] 3 7" xfId="2928" xr:uid="{486EDCC6-333D-4BF1-8B0E-CFEF90D3DF83}"/>
    <cellStyle name="Migliaia [0] 3 7 2" xfId="35723" xr:uid="{3D249D79-8DEF-451D-B9ED-28F4B2BFF693}"/>
    <cellStyle name="Migliaia [0] 3 8" xfId="40839" xr:uid="{BF3CCB42-7772-4236-8863-8CEEBE948FC2}"/>
    <cellStyle name="Migliaia [0] 3 9" xfId="7007" xr:uid="{C4BE1D2A-E8BB-4407-8D3E-26D522B38AF3}"/>
    <cellStyle name="Migliaia [0] 30" xfId="265" xr:uid="{00000000-0005-0000-0000-000031020000}"/>
    <cellStyle name="Migliaia [0] 30 2" xfId="1550" xr:uid="{00000000-0005-0000-0000-000032020000}"/>
    <cellStyle name="Migliaia [0] 30 2 2" xfId="1551" xr:uid="{00000000-0005-0000-0000-000033020000}"/>
    <cellStyle name="Migliaia [0] 30 2 2 2" xfId="4661" xr:uid="{3B9E95A9-0D4D-4F5F-90CF-DA2709414F2F}"/>
    <cellStyle name="Migliaia [0] 30 2 2 2 2" xfId="21766" xr:uid="{F6F6F39E-85AE-4518-A828-CEDE9E5F69A1}"/>
    <cellStyle name="Migliaia [0] 30 2 2 2 3" xfId="46739" xr:uid="{D75DEB10-5BE0-49DE-8957-D50EE579FE99}"/>
    <cellStyle name="Migliaia [0] 30 2 2 2 4" xfId="50794" xr:uid="{7D229390-9E41-4F00-967C-2B4805DD5E56}"/>
    <cellStyle name="Migliaia [0] 30 2 2 2 5" xfId="53810" xr:uid="{DBBD90CD-2352-4FDC-80B0-CB97CB0D41D6}"/>
    <cellStyle name="Migliaia [0] 30 2 2 2 6" xfId="11779" xr:uid="{DC77C715-FE0F-42FC-A0A3-0E2739E9E823}"/>
    <cellStyle name="Migliaia [0] 30 2 2 3" xfId="2935" xr:uid="{8D56536F-DC48-4686-A265-701069B89922}"/>
    <cellStyle name="Migliaia [0] 30 2 2 3 2" xfId="12345" xr:uid="{46511D94-EE69-4088-9577-69DE7D6C4CCF}"/>
    <cellStyle name="Migliaia [0] 30 2 2 4" xfId="10663" xr:uid="{ABA9665D-AD6A-4752-B442-D439D4C3383D}"/>
    <cellStyle name="Migliaia [0] 30 2 2 4 2" xfId="21298" xr:uid="{35B7112A-9332-4F2C-A708-86E26A79A1CB}"/>
    <cellStyle name="Migliaia [0] 30 2 2 4 3" xfId="46177" xr:uid="{31DF51C2-3F32-4D7E-B9CB-29801A9D96D2}"/>
    <cellStyle name="Migliaia [0] 30 2 2 4 4" xfId="50313" xr:uid="{5E250A98-25AF-4E57-92D3-A9288251A9CA}"/>
    <cellStyle name="Migliaia [0] 30 2 2 4 5" xfId="53329" xr:uid="{B04B6BD1-21B3-471E-9E78-CB902D00A71B}"/>
    <cellStyle name="Migliaia [0] 30 2 2 5" xfId="19614" xr:uid="{1350CFD2-DEBA-4D6C-AC42-D52C79260A59}"/>
    <cellStyle name="Migliaia [0] 30 2 2 6" xfId="24061" xr:uid="{CB9C5FC4-C2D9-4FF4-A589-30D469D6C53B}"/>
    <cellStyle name="Migliaia [0] 30 2 2 7" xfId="48843" xr:uid="{7878DDD4-45B5-4D8D-9286-B0E67C233D65}"/>
    <cellStyle name="Migliaia [0] 30 2 2 8" xfId="49749" xr:uid="{E2FFC32F-CFCD-4F59-B31B-2628972E0C19}"/>
    <cellStyle name="Migliaia [0] 30 2 2 9" xfId="8449" xr:uid="{0BEB5BF2-F086-401B-AAA4-A83951B98E1C}"/>
    <cellStyle name="Migliaia [0] 30 2 3" xfId="4660" xr:uid="{02DA3125-4EFB-42DE-B414-710D3DC40C09}"/>
    <cellStyle name="Migliaia [0] 30 2 3 2" xfId="32843" xr:uid="{8AF92B00-EE75-4924-AFF1-1C8862ECD340}"/>
    <cellStyle name="Migliaia [0] 30 2 3 2 2" xfId="38194" xr:uid="{0182AB9C-E4C2-4B35-89B2-205F7CCB1BD5}"/>
    <cellStyle name="Migliaia [0] 30 2 3 2 3" xfId="43496" xr:uid="{F08C3C6D-AEB3-421A-BAD4-C8E9898B71FF}"/>
    <cellStyle name="Migliaia [0] 30 2 3 3" xfId="35729" xr:uid="{F87D9C8E-8359-4BEE-B866-EB2A76348BF3}"/>
    <cellStyle name="Migliaia [0] 30 2 3 4" xfId="40845" xr:uid="{4C82D764-51F1-4DF2-9809-3DB3AE794B58}"/>
    <cellStyle name="Migliaia [0] 30 2 3 5" xfId="11780" xr:uid="{E93FB617-45FB-4673-9346-66AFB1E077F6}"/>
    <cellStyle name="Migliaia [0] 30 2 4" xfId="5919" xr:uid="{16C5FE11-9E49-4A1B-A7B5-3355D4F44771}"/>
    <cellStyle name="Migliaia [0] 30 2 4 2" xfId="19613" xr:uid="{545F17B6-0D06-492A-B1A7-9E95D390ACC3}"/>
    <cellStyle name="Migliaia [0] 30 2 5" xfId="2934" xr:uid="{3285AFE4-13F3-4CCA-95D9-5EEC688EE58F}"/>
    <cellStyle name="Migliaia [0] 30 2 5 2" xfId="24060" xr:uid="{419D84A2-A2EA-4E06-AEE8-860B571CD3E9}"/>
    <cellStyle name="Migliaia [0] 30 2 6" xfId="7259" xr:uid="{407F6093-94A3-464E-8622-CF4416C960A8}"/>
    <cellStyle name="Migliaia [0] 30 3" xfId="1552" xr:uid="{00000000-0005-0000-0000-000034020000}"/>
    <cellStyle name="Migliaia [0] 30 3 2" xfId="4662" xr:uid="{4462E0EB-B701-4CEE-9851-900F9A0CAECE}"/>
    <cellStyle name="Migliaia [0] 30 3 2 2" xfId="18324" xr:uid="{2BB2DE71-F3BB-44FD-8929-3A38B25779F9}"/>
    <cellStyle name="Migliaia [0] 30 3 2 2 2" xfId="21767" xr:uid="{00A49699-838A-45BE-8ACB-514A3E35AE90}"/>
    <cellStyle name="Migliaia [0] 30 3 2 2 2 2" xfId="38195" xr:uid="{C3A21DC0-3D76-4851-936F-2A5B719A6B81}"/>
    <cellStyle name="Migliaia [0] 30 3 2 2 3" xfId="43497" xr:uid="{AC522C4E-C928-4ECC-9DD3-D2A5EC5EC347}"/>
    <cellStyle name="Migliaia [0] 30 3 2 2 4" xfId="32844" xr:uid="{5AEAB9DA-8A72-43DA-B996-3F06BE2A673F}"/>
    <cellStyle name="Migliaia [0] 30 3 2 3" xfId="35730" xr:uid="{4A95BA14-D32D-45B9-8E03-5AC8459DD93B}"/>
    <cellStyle name="Migliaia [0] 30 3 2 4" xfId="40846" xr:uid="{7BBF5884-6417-4751-AB5E-BBFDC761AA12}"/>
    <cellStyle name="Migliaia [0] 30 3 2 5" xfId="47608" xr:uid="{C012FBE8-FA75-48CA-8777-7F14C079E41D}"/>
    <cellStyle name="Migliaia [0] 30 3 2 6" xfId="50795" xr:uid="{AD925C57-C03B-4D95-80A6-E480E37DC9D3}"/>
    <cellStyle name="Migliaia [0] 30 3 2 7" xfId="53811" xr:uid="{13BED89F-B9EA-445D-8CF1-19D08A00E237}"/>
    <cellStyle name="Migliaia [0] 30 3 2 8" xfId="17600" xr:uid="{A01E3603-B8E9-469D-B684-60DA37F865B8}"/>
    <cellStyle name="Migliaia [0] 30 3 2 9" xfId="11781" xr:uid="{BDA1DF1E-FE21-4409-B165-A1070BBDF6B4}"/>
    <cellStyle name="Migliaia [0] 30 3 3" xfId="5920" xr:uid="{A10100E7-2287-406D-A4EF-2815ADD197BA}"/>
    <cellStyle name="Migliaia [0] 30 3 3 2" xfId="11115" xr:uid="{71C09668-88EC-4014-A351-6B0A0C49EEA2}"/>
    <cellStyle name="Migliaia [0] 30 3 4" xfId="2936" xr:uid="{1B5E6B2B-CE79-4749-8E61-27BD6BE8469A}"/>
    <cellStyle name="Migliaia [0] 30 3 4 2" xfId="21299" xr:uid="{F3915763-FB01-43E2-A462-C1E1FA6A0DC6}"/>
    <cellStyle name="Migliaia [0] 30 3 4 3" xfId="46178" xr:uid="{71A203BC-88AA-408B-9B41-55CDB4D8CD65}"/>
    <cellStyle name="Migliaia [0] 30 3 4 4" xfId="50314" xr:uid="{0119FC7F-B0C0-40CE-9446-43ACF98838D2}"/>
    <cellStyle name="Migliaia [0] 30 3 4 5" xfId="53330" xr:uid="{1ADE7094-B76A-4AAD-98C7-162589989717}"/>
    <cellStyle name="Migliaia [0] 30 3 4 6" xfId="10664" xr:uid="{ECBE4615-D870-46B1-B26A-A1D3C9EF29CB}"/>
    <cellStyle name="Migliaia [0] 30 3 5" xfId="19615" xr:uid="{E2238B40-A119-4E2E-94DA-0B9FDFAC4418}"/>
    <cellStyle name="Migliaia [0] 30 3 6" xfId="24062" xr:uid="{F8F914EF-73B3-48B4-BC14-89AAACD08558}"/>
    <cellStyle name="Migliaia [0] 30 3 7" xfId="8207" xr:uid="{8F773B50-6D63-480D-8BE5-C4952D90AA67}"/>
    <cellStyle name="Migliaia [0] 30 4" xfId="2937" xr:uid="{833B0738-56A5-4B91-8F98-4D68676AF07C}"/>
    <cellStyle name="Migliaia [0] 30 4 2" xfId="4663" xr:uid="{69A3D34C-4A4A-4F38-8243-E7DE0AC675F6}"/>
    <cellStyle name="Migliaia [0] 30 4 2 2" xfId="35092" xr:uid="{B0EDFE0B-49D1-4E33-B93A-F708827608DA}"/>
    <cellStyle name="Migliaia [0] 30 4 2 2 2" xfId="40250" xr:uid="{4A53C5AB-965C-4240-97B7-7B78E389EA88}"/>
    <cellStyle name="Migliaia [0] 30 4 2 2 3" xfId="45552" xr:uid="{0A40FE0F-7606-4B2D-8868-B34CBF49BB84}"/>
    <cellStyle name="Migliaia [0] 30 4 2 3" xfId="37599" xr:uid="{0F4CE581-6D0C-49FE-B002-F27F25B475EA}"/>
    <cellStyle name="Migliaia [0] 30 4 2 4" xfId="42901" xr:uid="{39AF3EBA-2B6D-49F6-B3EE-C94769A676A3}"/>
    <cellStyle name="Migliaia [0] 30 4 2 5" xfId="17032" xr:uid="{0488F846-7503-4B1C-B4D3-B9D3A782CF37}"/>
    <cellStyle name="Migliaia [0] 30 4 3" xfId="5921" xr:uid="{10AB3740-54C0-456F-9501-CA25CCC8EFEB}"/>
    <cellStyle name="Migliaia [0] 30 4 3 2" xfId="38196" xr:uid="{C550AB16-5AE2-4814-BF46-D563219A5CB2}"/>
    <cellStyle name="Migliaia [0] 30 4 3 3" xfId="43498" xr:uid="{E23C23F9-7A6C-44AD-A6FB-BB989751B36A}"/>
    <cellStyle name="Migliaia [0] 30 4 3 4" xfId="32845" xr:uid="{AF5F6C7F-4B94-4DCE-9478-C2BCCE2C4036}"/>
    <cellStyle name="Migliaia [0] 30 4 3 5" xfId="19616" xr:uid="{9FDF5D7F-AF1C-4E06-B56F-162253DED144}"/>
    <cellStyle name="Migliaia [0] 30 4 4" xfId="35731" xr:uid="{2F9533A0-5D24-4B1C-B39C-60A39040F775}"/>
    <cellStyle name="Migliaia [0] 30 4 5" xfId="40847" xr:uid="{735E343B-BD65-485E-989F-5F8D74AFB62E}"/>
    <cellStyle name="Migliaia [0] 30 4 6" xfId="15974" xr:uid="{829BE8FF-63E2-484A-BDC3-229C6444D527}"/>
    <cellStyle name="Migliaia [0] 30 4 7" xfId="7787" xr:uid="{FA0C7FA9-1068-4899-B02D-836F7077F0C0}"/>
    <cellStyle name="Migliaia [0] 30 5" xfId="4659" xr:uid="{2E3AB526-C215-498D-A056-8F9C88C7E1DF}"/>
    <cellStyle name="Migliaia [0] 30 5 2" xfId="32846" xr:uid="{68162CC6-DF28-4AEA-B934-6BFB58624692}"/>
    <cellStyle name="Migliaia [0] 30 5 2 2" xfId="38197" xr:uid="{077177E3-DFDF-4726-8806-BD852EA70E3A}"/>
    <cellStyle name="Migliaia [0] 30 5 2 3" xfId="43499" xr:uid="{57A612B5-F116-45E0-BE93-01B7707B629B}"/>
    <cellStyle name="Migliaia [0] 30 5 3" xfId="35732" xr:uid="{EE41D4CC-C35C-4AB7-BD2B-A9B194C39CF4}"/>
    <cellStyle name="Migliaia [0] 30 5 4" xfId="40848" xr:uid="{4E0192A6-12CA-4800-9287-66B6287EF48E}"/>
    <cellStyle name="Migliaia [0] 30 5 5" xfId="17101" xr:uid="{076212ED-6C32-47B2-AEE0-C6E420AA61A6}"/>
    <cellStyle name="Migliaia [0] 30 6" xfId="5918" xr:uid="{7E6FEEDE-5996-483C-83E5-0C955011CD39}"/>
    <cellStyle name="Migliaia [0] 30 6 2" xfId="38193" xr:uid="{0E3124A6-1D10-4909-81EE-7BB47910F83A}"/>
    <cellStyle name="Migliaia [0] 30 6 3" xfId="43495" xr:uid="{A1741E34-453D-4636-A17A-0031C4FFAFE5}"/>
    <cellStyle name="Migliaia [0] 30 6 4" xfId="32842" xr:uid="{5FE06882-E472-4C20-A8C3-F1D6AD448E5E}"/>
    <cellStyle name="Migliaia [0] 30 6 5" xfId="19612" xr:uid="{38AF2009-7B3A-4DC6-9837-D646C6AB7F48}"/>
    <cellStyle name="Migliaia [0] 30 7" xfId="2933" xr:uid="{4AA0737B-9994-46AB-9D4B-7064FB522518}"/>
    <cellStyle name="Migliaia [0] 30 7 2" xfId="35728" xr:uid="{15E4EC09-A531-478E-A728-79CAD33B3962}"/>
    <cellStyle name="Migliaia [0] 30 8" xfId="40844" xr:uid="{AA8EFCA9-0247-4E60-A301-FEAE9879C73B}"/>
    <cellStyle name="Migliaia [0] 30 9" xfId="7008" xr:uid="{92CBFB19-454A-4941-8A91-327E14248DB2}"/>
    <cellStyle name="Migliaia [0] 31" xfId="266" xr:uid="{00000000-0005-0000-0000-000035020000}"/>
    <cellStyle name="Migliaia [0] 31 2" xfId="1553" xr:uid="{00000000-0005-0000-0000-000036020000}"/>
    <cellStyle name="Migliaia [0] 31 2 2" xfId="1554" xr:uid="{00000000-0005-0000-0000-000037020000}"/>
    <cellStyle name="Migliaia [0] 31 2 2 2" xfId="4666" xr:uid="{73D297B1-DD28-4B85-97DB-59C2C34CADE6}"/>
    <cellStyle name="Migliaia [0] 31 2 2 2 2" xfId="21768" xr:uid="{352DDE01-65C4-4C28-9F65-66296339FBA3}"/>
    <cellStyle name="Migliaia [0] 31 2 2 2 3" xfId="46290" xr:uid="{EDF02F5A-21A1-4502-B8C4-C287D1B0088F}"/>
    <cellStyle name="Migliaia [0] 31 2 2 2 4" xfId="50796" xr:uid="{602DF8ED-BAF4-499B-9F58-C52AE16C597C}"/>
    <cellStyle name="Migliaia [0] 31 2 2 2 5" xfId="53812" xr:uid="{92865831-CECD-451A-BAA4-D03F44CFE025}"/>
    <cellStyle name="Migliaia [0] 31 2 2 2 6" xfId="11782" xr:uid="{ADCE9B43-7BF7-4E60-9662-F5AA6A8FF276}"/>
    <cellStyle name="Migliaia [0] 31 2 2 3" xfId="2940" xr:uid="{71DAA2E5-B087-405C-BACB-1EEA87E0731D}"/>
    <cellStyle name="Migliaia [0] 31 2 2 3 2" xfId="12344" xr:uid="{F81721D4-AB3A-40A4-BAB3-517D188EE085}"/>
    <cellStyle name="Migliaia [0] 31 2 2 4" xfId="10665" xr:uid="{4742EF7A-548D-4C2F-8BB1-15FAB111A936}"/>
    <cellStyle name="Migliaia [0] 31 2 2 4 2" xfId="21300" xr:uid="{5B28DCE8-97EB-4919-A491-3593E91CFC69}"/>
    <cellStyle name="Migliaia [0] 31 2 2 4 3" xfId="46179" xr:uid="{D2EEAC60-2094-4A6F-BF6A-27945E8BEA89}"/>
    <cellStyle name="Migliaia [0] 31 2 2 4 4" xfId="50315" xr:uid="{C19A67BA-1F2C-47EB-AA4A-67DBDB6F7D76}"/>
    <cellStyle name="Migliaia [0] 31 2 2 4 5" xfId="53331" xr:uid="{2E11D76A-81E6-4499-AAF8-D91D7579263E}"/>
    <cellStyle name="Migliaia [0] 31 2 2 5" xfId="19619" xr:uid="{51B075DB-9BDE-47B8-8673-76225E483E11}"/>
    <cellStyle name="Migliaia [0] 31 2 2 6" xfId="24064" xr:uid="{6BE85B58-DC12-4345-AB83-555389D95E04}"/>
    <cellStyle name="Migliaia [0] 31 2 2 7" xfId="48844" xr:uid="{B714C2C2-5D1E-45AB-BD98-77191DBA8039}"/>
    <cellStyle name="Migliaia [0] 31 2 2 8" xfId="49750" xr:uid="{CCA09F68-DBD3-4C23-85AC-8DDC977EC74C}"/>
    <cellStyle name="Migliaia [0] 31 2 2 9" xfId="8450" xr:uid="{923E60E1-C2A0-461B-8025-A251E931917F}"/>
    <cellStyle name="Migliaia [0] 31 2 3" xfId="4665" xr:uid="{BCA40F13-D55B-45EC-A425-8552D89676F5}"/>
    <cellStyle name="Migliaia [0] 31 2 3 2" xfId="32848" xr:uid="{6A6AB56C-6240-4C88-A2C0-B63ABB32939C}"/>
    <cellStyle name="Migliaia [0] 31 2 3 2 2" xfId="38199" xr:uid="{A999C9FA-6949-4CF8-9C38-D4ED92769152}"/>
    <cellStyle name="Migliaia [0] 31 2 3 2 3" xfId="43501" xr:uid="{7789EB79-29AD-4DEF-8A06-7AE978C2CF37}"/>
    <cellStyle name="Migliaia [0] 31 2 3 3" xfId="35734" xr:uid="{A33CE909-3D35-4940-AEE5-327F7A214E34}"/>
    <cellStyle name="Migliaia [0] 31 2 3 4" xfId="40850" xr:uid="{D3BB1D3C-1709-481F-BE84-A8DCBEB00A18}"/>
    <cellStyle name="Migliaia [0] 31 2 3 5" xfId="11783" xr:uid="{5534D4F4-ADF1-400E-9827-EF527561502F}"/>
    <cellStyle name="Migliaia [0] 31 2 4" xfId="5923" xr:uid="{B6731D77-6FDB-4EAE-B2C4-C789B063961D}"/>
    <cellStyle name="Migliaia [0] 31 2 4 2" xfId="19618" xr:uid="{95E4BC54-9AFD-4C37-951F-243BB5DEE330}"/>
    <cellStyle name="Migliaia [0] 31 2 5" xfId="2939" xr:uid="{A0DB600D-BCE2-4A51-BA53-A8AA1B9163EB}"/>
    <cellStyle name="Migliaia [0] 31 2 5 2" xfId="24063" xr:uid="{0EA745AD-1473-4358-B8E2-C1BB786C08F4}"/>
    <cellStyle name="Migliaia [0] 31 2 6" xfId="7260" xr:uid="{FDC8863B-50F4-4C34-ABA4-29E4B1833A26}"/>
    <cellStyle name="Migliaia [0] 31 3" xfId="1555" xr:uid="{00000000-0005-0000-0000-000038020000}"/>
    <cellStyle name="Migliaia [0] 31 3 2" xfId="4667" xr:uid="{314F0596-B7F1-4639-9105-178C7E997AC0}"/>
    <cellStyle name="Migliaia [0] 31 3 2 2" xfId="18325" xr:uid="{5DF0C772-C7C4-49B8-91A0-C68634EDBEC3}"/>
    <cellStyle name="Migliaia [0] 31 3 2 2 2" xfId="21769" xr:uid="{02F5C8C0-4879-43D4-B081-AFA8A0401D45}"/>
    <cellStyle name="Migliaia [0] 31 3 2 2 2 2" xfId="38200" xr:uid="{9E4B99C0-8D70-46A8-80D9-4AB208B0E819}"/>
    <cellStyle name="Migliaia [0] 31 3 2 2 3" xfId="43502" xr:uid="{D3A3F971-7B2D-46DB-8C7A-9E42D1B1DF51}"/>
    <cellStyle name="Migliaia [0] 31 3 2 2 4" xfId="32849" xr:uid="{04841E2C-FB31-4FF1-8050-59C2B5173C2F}"/>
    <cellStyle name="Migliaia [0] 31 3 2 3" xfId="35735" xr:uid="{B147F83F-B6DA-4736-A9BB-F65BBD6FEBE0}"/>
    <cellStyle name="Migliaia [0] 31 3 2 4" xfId="40851" xr:uid="{63F228DB-0F20-4E86-AF4A-896B2AF5A0C4}"/>
    <cellStyle name="Migliaia [0] 31 3 2 5" xfId="48557" xr:uid="{7F7ECBF6-AA7C-46F5-95F3-FF7E2A4A829F}"/>
    <cellStyle name="Migliaia [0] 31 3 2 6" xfId="50797" xr:uid="{46E9D2AF-DD11-45AC-AC94-E19C08DE62B6}"/>
    <cellStyle name="Migliaia [0] 31 3 2 7" xfId="53813" xr:uid="{F702CDC6-FEF8-4A70-B796-D4656C4F5C34}"/>
    <cellStyle name="Migliaia [0] 31 3 2 8" xfId="17601" xr:uid="{7490285A-83FC-4DB4-9E54-2FDC5B8BD0F8}"/>
    <cellStyle name="Migliaia [0] 31 3 2 9" xfId="11784" xr:uid="{C188903C-60CF-4808-A78C-8D1F4341FB9F}"/>
    <cellStyle name="Migliaia [0] 31 3 3" xfId="5924" xr:uid="{02A6340F-5517-4234-A0CB-06695AAA78C8}"/>
    <cellStyle name="Migliaia [0] 31 3 3 2" xfId="12379" xr:uid="{61A50E1B-5E29-4E7C-A202-582D2C28D31C}"/>
    <cellStyle name="Migliaia [0] 31 3 4" xfId="2941" xr:uid="{14A9C402-D71F-42F2-B6FA-280E05644509}"/>
    <cellStyle name="Migliaia [0] 31 3 4 2" xfId="21301" xr:uid="{DE0B1D5F-252A-45FC-A732-16E9F0B5E282}"/>
    <cellStyle name="Migliaia [0] 31 3 4 3" xfId="35982" xr:uid="{658A0B5C-8282-49D3-B4BB-275D3CE3A945}"/>
    <cellStyle name="Migliaia [0] 31 3 4 4" xfId="50316" xr:uid="{49E43932-9D3A-4FB1-9ADC-BB61D47DA37E}"/>
    <cellStyle name="Migliaia [0] 31 3 4 5" xfId="53332" xr:uid="{B3678A8D-7D4A-471E-992C-60BF3EE24826}"/>
    <cellStyle name="Migliaia [0] 31 3 4 6" xfId="10666" xr:uid="{E009159A-DA9F-4135-AE94-CCF0E2BE38DD}"/>
    <cellStyle name="Migliaia [0] 31 3 5" xfId="19620" xr:uid="{A23ADE11-C5EF-4541-94A1-66C7A220D310}"/>
    <cellStyle name="Migliaia [0] 31 3 6" xfId="24065" xr:uid="{B3061F0C-B1E8-4434-A8D3-0B8F38F0F973}"/>
    <cellStyle name="Migliaia [0] 31 3 7" xfId="8208" xr:uid="{4EF107D9-A68F-4EC6-A744-95A7239489B1}"/>
    <cellStyle name="Migliaia [0] 31 4" xfId="2942" xr:uid="{3839F042-9A7D-4118-9051-E0B4D3A1A06C}"/>
    <cellStyle name="Migliaia [0] 31 4 2" xfId="4668" xr:uid="{B2AA0C8C-7B52-4E46-BAFF-BD9221F3901C}"/>
    <cellStyle name="Migliaia [0] 31 4 2 2" xfId="35093" xr:uid="{0DE98C84-8FBC-4DBC-9ABC-0C97A901B553}"/>
    <cellStyle name="Migliaia [0] 31 4 2 2 2" xfId="40251" xr:uid="{94B04E7A-DD8A-4BC8-976D-A3F7EAE9F98B}"/>
    <cellStyle name="Migliaia [0] 31 4 2 2 3" xfId="45553" xr:uid="{9E55405F-FCCC-4215-89F8-1110CFE4C031}"/>
    <cellStyle name="Migliaia [0] 31 4 2 3" xfId="37600" xr:uid="{7F3AA99C-AE7A-46E2-87FA-B632BF3D66F4}"/>
    <cellStyle name="Migliaia [0] 31 4 2 4" xfId="42902" xr:uid="{7623FB2A-146A-4F4E-A1E5-1EF30A499F4A}"/>
    <cellStyle name="Migliaia [0] 31 4 2 5" xfId="17033" xr:uid="{DD19CD4B-08E2-44AF-B6CC-95216A23D32E}"/>
    <cellStyle name="Migliaia [0] 31 4 3" xfId="5925" xr:uid="{3068DFBA-C582-4F2A-979C-C938426C9AF5}"/>
    <cellStyle name="Migliaia [0] 31 4 3 2" xfId="38201" xr:uid="{1E481B2B-1E86-4416-9F3E-57BD1F30EE2D}"/>
    <cellStyle name="Migliaia [0] 31 4 3 3" xfId="43503" xr:uid="{798A2028-98BE-4F59-87C1-EB5A1609EFD1}"/>
    <cellStyle name="Migliaia [0] 31 4 3 4" xfId="32850" xr:uid="{1B3138CB-E7A0-4C55-BAEA-D9874BB723AB}"/>
    <cellStyle name="Migliaia [0] 31 4 3 5" xfId="19621" xr:uid="{36A4E2EF-FEE7-43EA-8E79-C7ABBB7165A1}"/>
    <cellStyle name="Migliaia [0] 31 4 4" xfId="35736" xr:uid="{B95279C6-87EB-4302-ADAA-BD4535B14096}"/>
    <cellStyle name="Migliaia [0] 31 4 5" xfId="40852" xr:uid="{8A6223D7-8D7C-4D90-9AFB-21932E8B1281}"/>
    <cellStyle name="Migliaia [0] 31 4 6" xfId="15975" xr:uid="{974A0657-7CCC-454B-814D-0F15ECC6CA25}"/>
    <cellStyle name="Migliaia [0] 31 4 7" xfId="7788" xr:uid="{200C32A4-B4AD-4489-9B27-A48172310ED5}"/>
    <cellStyle name="Migliaia [0] 31 5" xfId="4664" xr:uid="{EB7C0013-5998-4FB0-B3CC-21574095610C}"/>
    <cellStyle name="Migliaia [0] 31 5 2" xfId="32851" xr:uid="{DCCB340B-33B8-43F7-8986-11486C92BF46}"/>
    <cellStyle name="Migliaia [0] 31 5 2 2" xfId="38202" xr:uid="{DDEBEBF5-5A76-436D-A32A-08F804F1D7E8}"/>
    <cellStyle name="Migliaia [0] 31 5 2 3" xfId="43504" xr:uid="{7D478FCD-E886-4412-9005-A0C6EBA05B01}"/>
    <cellStyle name="Migliaia [0] 31 5 3" xfId="35737" xr:uid="{E666531D-99D3-49E3-90CE-1C2F8C15BBE4}"/>
    <cellStyle name="Migliaia [0] 31 5 4" xfId="40853" xr:uid="{320E1226-EF35-45F3-A10C-41B63B7FA8A5}"/>
    <cellStyle name="Migliaia [0] 31 5 5" xfId="17102" xr:uid="{7179207D-2A5A-4A18-946E-CE7829ECA2AC}"/>
    <cellStyle name="Migliaia [0] 31 6" xfId="5922" xr:uid="{AE5EBDED-FEB3-41ED-933C-BE5034FECF3B}"/>
    <cellStyle name="Migliaia [0] 31 6 2" xfId="38198" xr:uid="{6477D541-0B76-493C-AD1B-FF3900E833CB}"/>
    <cellStyle name="Migliaia [0] 31 6 3" xfId="43500" xr:uid="{1E631CD0-6A3D-4851-940A-9E0E9DAD25A5}"/>
    <cellStyle name="Migliaia [0] 31 6 4" xfId="32847" xr:uid="{D89E7372-AA3A-4C42-8ABA-1D04623BADE6}"/>
    <cellStyle name="Migliaia [0] 31 6 5" xfId="19617" xr:uid="{9B9717B8-3866-4DA4-8BB4-C4327227242E}"/>
    <cellStyle name="Migliaia [0] 31 7" xfId="2938" xr:uid="{2BAA86AA-A204-4395-A5A1-6692B7CF6EBC}"/>
    <cellStyle name="Migliaia [0] 31 7 2" xfId="35733" xr:uid="{77FFA546-5860-4F0E-9B1E-9A353A644FB2}"/>
    <cellStyle name="Migliaia [0] 31 8" xfId="40849" xr:uid="{A0162A37-DE22-4974-A6F4-2A075B8F9827}"/>
    <cellStyle name="Migliaia [0] 31 9" xfId="7009" xr:uid="{7EA32162-0713-4F1B-8C44-E98D32DEAECE}"/>
    <cellStyle name="Migliaia [0] 32" xfId="267" xr:uid="{00000000-0005-0000-0000-000039020000}"/>
    <cellStyle name="Migliaia [0] 32 2" xfId="1556" xr:uid="{00000000-0005-0000-0000-00003A020000}"/>
    <cellStyle name="Migliaia [0] 32 2 2" xfId="1557" xr:uid="{00000000-0005-0000-0000-00003B020000}"/>
    <cellStyle name="Migliaia [0] 32 2 2 2" xfId="4671" xr:uid="{1005C7E0-A938-45CD-A698-13579BA49C39}"/>
    <cellStyle name="Migliaia [0] 32 2 2 2 2" xfId="21770" xr:uid="{66BA5ABA-5083-484B-BB7A-52AD247712E0}"/>
    <cellStyle name="Migliaia [0] 32 2 2 2 3" xfId="46740" xr:uid="{DA9EA5A1-FC83-40F9-B161-6954994107D6}"/>
    <cellStyle name="Migliaia [0] 32 2 2 2 4" xfId="50798" xr:uid="{EAB0A063-47F4-46CC-9ECC-DB1EE6179729}"/>
    <cellStyle name="Migliaia [0] 32 2 2 2 5" xfId="53814" xr:uid="{BD3B41C0-E4AA-40F5-BE0E-CFC25E391149}"/>
    <cellStyle name="Migliaia [0] 32 2 2 2 6" xfId="11785" xr:uid="{C9225180-58FF-4BDE-8F99-808296AFAB70}"/>
    <cellStyle name="Migliaia [0] 32 2 2 3" xfId="2945" xr:uid="{D2D2D179-0937-4749-8400-10FABC9544FC}"/>
    <cellStyle name="Migliaia [0] 32 2 2 3 2" xfId="12343" xr:uid="{0CE2EF17-50A0-40E7-89CD-14B7E040DAEF}"/>
    <cellStyle name="Migliaia [0] 32 2 2 4" xfId="10667" xr:uid="{E037436F-5A36-44D4-A2ED-96E734D8AC02}"/>
    <cellStyle name="Migliaia [0] 32 2 2 4 2" xfId="21302" xr:uid="{6A37AB6A-993E-4B3F-9D6A-583C85356CD2}"/>
    <cellStyle name="Migliaia [0] 32 2 2 4 3" xfId="46180" xr:uid="{91E2DFE7-7D72-4F7B-A426-583A9F1DF4C3}"/>
    <cellStyle name="Migliaia [0] 32 2 2 4 4" xfId="50317" xr:uid="{4B9FEF31-0C00-40C2-993D-D80DA8858B2E}"/>
    <cellStyle name="Migliaia [0] 32 2 2 4 5" xfId="53333" xr:uid="{AE033EC3-FB9C-4AB3-BAAF-E27FAC75661D}"/>
    <cellStyle name="Migliaia [0] 32 2 2 5" xfId="19624" xr:uid="{4E607E30-F669-4806-AC48-30130C8654F5}"/>
    <cellStyle name="Migliaia [0] 32 2 2 6" xfId="24067" xr:uid="{F368D0F7-6B42-4861-A1BD-A32555DEEF83}"/>
    <cellStyle name="Migliaia [0] 32 2 2 7" xfId="48845" xr:uid="{525CD81D-FC00-4834-B711-DA1C94AFFD4E}"/>
    <cellStyle name="Migliaia [0] 32 2 2 8" xfId="49751" xr:uid="{F928573E-7B9F-4236-98AC-4287E93E2200}"/>
    <cellStyle name="Migliaia [0] 32 2 2 9" xfId="8451" xr:uid="{1345926D-63A7-4F1D-886F-4A58B0ED4AA9}"/>
    <cellStyle name="Migliaia [0] 32 2 3" xfId="4670" xr:uid="{85AAD99F-226D-408C-9246-BE0A6B4DA960}"/>
    <cellStyle name="Migliaia [0] 32 2 3 2" xfId="32853" xr:uid="{DC450124-510A-4FD3-8BE8-6BC6E0F2F145}"/>
    <cellStyle name="Migliaia [0] 32 2 3 2 2" xfId="38204" xr:uid="{657A1A1C-F441-4FD6-9A7C-8034CCD24284}"/>
    <cellStyle name="Migliaia [0] 32 2 3 2 3" xfId="43506" xr:uid="{D711FB17-C578-4372-8CD1-B72D3627789D}"/>
    <cellStyle name="Migliaia [0] 32 2 3 3" xfId="35739" xr:uid="{147827AC-C448-4053-88FE-1EAB3AFF072E}"/>
    <cellStyle name="Migliaia [0] 32 2 3 4" xfId="40855" xr:uid="{6FD0597A-0680-4E18-B79D-72885C9BF355}"/>
    <cellStyle name="Migliaia [0] 32 2 3 5" xfId="11786" xr:uid="{1E1D5C7D-9737-40A7-A504-1FED26802BDC}"/>
    <cellStyle name="Migliaia [0] 32 2 4" xfId="5927" xr:uid="{49AEF9B9-14C8-4D99-BC45-01A17843A67E}"/>
    <cellStyle name="Migliaia [0] 32 2 4 2" xfId="19623" xr:uid="{5E23C3C4-2359-4C23-B461-AC80CDE40244}"/>
    <cellStyle name="Migliaia [0] 32 2 5" xfId="2944" xr:uid="{F5D5C489-CA41-48CF-B58C-64293BC034FB}"/>
    <cellStyle name="Migliaia [0] 32 2 5 2" xfId="24066" xr:uid="{57DE9E22-6009-424D-AB8D-4DEBCAE3E97F}"/>
    <cellStyle name="Migliaia [0] 32 2 6" xfId="7261" xr:uid="{101B4C4B-C60E-47ED-A9AB-B47DE6F4D5F6}"/>
    <cellStyle name="Migliaia [0] 32 3" xfId="1558" xr:uid="{00000000-0005-0000-0000-00003C020000}"/>
    <cellStyle name="Migliaia [0] 32 3 2" xfId="4672" xr:uid="{8F8A21BF-D9E9-4BC7-B09B-429E9848DB03}"/>
    <cellStyle name="Migliaia [0] 32 3 2 2" xfId="18326" xr:uid="{751C1826-EEF6-40EA-BB9A-F6E33A1AF230}"/>
    <cellStyle name="Migliaia [0] 32 3 2 2 2" xfId="21771" xr:uid="{B963F846-9822-4F7F-9B6D-5DDA4065412D}"/>
    <cellStyle name="Migliaia [0] 32 3 2 2 2 2" xfId="38205" xr:uid="{741972E9-1031-4837-854D-F0E5E4CDD113}"/>
    <cellStyle name="Migliaia [0] 32 3 2 2 3" xfId="43507" xr:uid="{0958C02C-0A1D-44FE-8EA9-A99915343776}"/>
    <cellStyle name="Migliaia [0] 32 3 2 2 4" xfId="32854" xr:uid="{CF390375-1C52-4E35-9B72-24701DA15A71}"/>
    <cellStyle name="Migliaia [0] 32 3 2 3" xfId="35740" xr:uid="{D4E7ABA7-07E3-4EA6-8089-8E0978264174}"/>
    <cellStyle name="Migliaia [0] 32 3 2 4" xfId="40856" xr:uid="{898BEFBD-ED20-4F56-B2FA-C689815009CD}"/>
    <cellStyle name="Migliaia [0] 32 3 2 5" xfId="48190" xr:uid="{299BBBDC-96FE-4D84-90FF-43986BB4E645}"/>
    <cellStyle name="Migliaia [0] 32 3 2 6" xfId="50799" xr:uid="{EFCC3845-86BD-4C69-9E7B-F910E5153C48}"/>
    <cellStyle name="Migliaia [0] 32 3 2 7" xfId="53815" xr:uid="{79CA9948-9D9F-4BCE-8A2E-1215E5C1DB0E}"/>
    <cellStyle name="Migliaia [0] 32 3 2 8" xfId="17602" xr:uid="{B8397218-A95E-483C-9498-5C8508DA45DF}"/>
    <cellStyle name="Migliaia [0] 32 3 2 9" xfId="11787" xr:uid="{3344A61D-BFDA-4928-AE64-374C7FF141F5}"/>
    <cellStyle name="Migliaia [0] 32 3 3" xfId="5928" xr:uid="{203BF6F2-3160-4600-9135-520B7AFA6E04}"/>
    <cellStyle name="Migliaia [0] 32 3 3 2" xfId="12378" xr:uid="{1745BFFE-3529-4F15-B825-53E99B21476A}"/>
    <cellStyle name="Migliaia [0] 32 3 4" xfId="2946" xr:uid="{59AF3253-2581-40AA-B0E7-253D215ECA7B}"/>
    <cellStyle name="Migliaia [0] 32 3 4 2" xfId="21303" xr:uid="{FF341FAF-65CB-4FBA-874B-EC3EAD5ACF7B}"/>
    <cellStyle name="Migliaia [0] 32 3 4 3" xfId="47298" xr:uid="{6CCDF351-C34C-4730-A5E9-D33437964E4E}"/>
    <cellStyle name="Migliaia [0] 32 3 4 4" xfId="50318" xr:uid="{41F7EEE2-1A1A-460A-B06C-3541703072AB}"/>
    <cellStyle name="Migliaia [0] 32 3 4 5" xfId="53334" xr:uid="{884B2598-2D08-48D1-B7A8-1B125E9B5A2C}"/>
    <cellStyle name="Migliaia [0] 32 3 4 6" xfId="10668" xr:uid="{1E71E94B-A109-4B7C-80E1-9E2AC8E47142}"/>
    <cellStyle name="Migliaia [0] 32 3 5" xfId="19625" xr:uid="{583E8E94-7FAC-4E40-9C7B-778114FB92DE}"/>
    <cellStyle name="Migliaia [0] 32 3 6" xfId="24068" xr:uid="{951BF17E-911C-43E0-AB44-E18EDA5A73B4}"/>
    <cellStyle name="Migliaia [0] 32 3 7" xfId="8209" xr:uid="{381958AA-6F02-4A01-9632-BF4E1920B2E9}"/>
    <cellStyle name="Migliaia [0] 32 4" xfId="2947" xr:uid="{F143B702-5802-4EB8-8EFA-AF08CA33EB8B}"/>
    <cellStyle name="Migliaia [0] 32 4 2" xfId="4673" xr:uid="{048BC5CD-09AC-495A-9BD9-E29241CEFF1F}"/>
    <cellStyle name="Migliaia [0] 32 4 2 2" xfId="35094" xr:uid="{6DB4A716-44DE-4784-96CD-E32B5EC681CF}"/>
    <cellStyle name="Migliaia [0] 32 4 2 2 2" xfId="40252" xr:uid="{391A8708-06ED-4FF5-B0E2-FE1E2E500070}"/>
    <cellStyle name="Migliaia [0] 32 4 2 2 3" xfId="45554" xr:uid="{B0771075-7216-4D2D-AACA-BB652BA2A361}"/>
    <cellStyle name="Migliaia [0] 32 4 2 3" xfId="37601" xr:uid="{974C33B3-2BBC-4397-8DA2-34E384732242}"/>
    <cellStyle name="Migliaia [0] 32 4 2 4" xfId="42903" xr:uid="{ECF0CBE7-7E38-4E2A-890A-888773724DF6}"/>
    <cellStyle name="Migliaia [0] 32 4 2 5" xfId="17034" xr:uid="{329B573E-1741-4FAB-B570-6C380A18BCA2}"/>
    <cellStyle name="Migliaia [0] 32 4 3" xfId="5929" xr:uid="{29A75D47-6E1C-438C-92F6-053EEAE3EF58}"/>
    <cellStyle name="Migliaia [0] 32 4 3 2" xfId="38206" xr:uid="{26131EA8-1679-4F45-B616-2EC8D1EC6350}"/>
    <cellStyle name="Migliaia [0] 32 4 3 3" xfId="43508" xr:uid="{C5ED38B0-0F0C-4B71-A999-0831121E2513}"/>
    <cellStyle name="Migliaia [0] 32 4 3 4" xfId="32855" xr:uid="{60F780E7-79F9-4B62-9210-D8368DC003C0}"/>
    <cellStyle name="Migliaia [0] 32 4 3 5" xfId="19626" xr:uid="{2D3FD2ED-29A2-4D32-92CA-677BBC3084E6}"/>
    <cellStyle name="Migliaia [0] 32 4 4" xfId="35741" xr:uid="{D2E0FBC5-F527-44A8-8793-C84916B41887}"/>
    <cellStyle name="Migliaia [0] 32 4 5" xfId="40857" xr:uid="{C575B569-4FFA-46C7-88E6-7BA7E35164B1}"/>
    <cellStyle name="Migliaia [0] 32 4 6" xfId="15976" xr:uid="{AE585A8C-BA21-4081-8598-7B620605A730}"/>
    <cellStyle name="Migliaia [0] 32 4 7" xfId="7789" xr:uid="{C9D03FD4-19DB-44B1-B69D-C2F45D5A4E9B}"/>
    <cellStyle name="Migliaia [0] 32 5" xfId="4669" xr:uid="{8677202E-9F96-418F-8858-BF3D262D5382}"/>
    <cellStyle name="Migliaia [0] 32 5 2" xfId="32856" xr:uid="{DBD1E684-E888-4228-8583-02ABF26724A1}"/>
    <cellStyle name="Migliaia [0] 32 5 2 2" xfId="38207" xr:uid="{E12DD36E-56D4-4E2C-A435-291C0B081CAF}"/>
    <cellStyle name="Migliaia [0] 32 5 2 3" xfId="43509" xr:uid="{7E086F83-4399-4AD8-B07C-8D17FB8116C6}"/>
    <cellStyle name="Migliaia [0] 32 5 3" xfId="35742" xr:uid="{89913B90-02AF-4CB0-8856-17DF8F2D6CC3}"/>
    <cellStyle name="Migliaia [0] 32 5 4" xfId="40858" xr:uid="{B0C7735B-8075-4152-A230-7D891996515D}"/>
    <cellStyle name="Migliaia [0] 32 5 5" xfId="17103" xr:uid="{36EAF589-B74A-49E9-A40A-E5AE5BF38B1A}"/>
    <cellStyle name="Migliaia [0] 32 6" xfId="5926" xr:uid="{F158F378-C173-413E-A9D3-2F751717D91F}"/>
    <cellStyle name="Migliaia [0] 32 6 2" xfId="38203" xr:uid="{243747A7-72D3-42E8-87B0-017568BC7A35}"/>
    <cellStyle name="Migliaia [0] 32 6 3" xfId="43505" xr:uid="{EB75A24A-AA90-4138-804B-6E1F06B8BC27}"/>
    <cellStyle name="Migliaia [0] 32 6 4" xfId="32852" xr:uid="{28D97215-8961-46BF-ACC0-F89936011E01}"/>
    <cellStyle name="Migliaia [0] 32 6 5" xfId="19622" xr:uid="{58201A5F-854D-41CD-8BE7-C6F4FBED0266}"/>
    <cellStyle name="Migliaia [0] 32 7" xfId="2943" xr:uid="{36E9E9C4-91DB-42BE-8B7F-790411F9D8FE}"/>
    <cellStyle name="Migliaia [0] 32 7 2" xfId="35738" xr:uid="{F7843289-FE18-4830-892F-DA854A16A3B1}"/>
    <cellStyle name="Migliaia [0] 32 8" xfId="40854" xr:uid="{E0114A2A-57B9-484B-B90D-2E99D1B1CEB0}"/>
    <cellStyle name="Migliaia [0] 32 9" xfId="7010" xr:uid="{DE4DC30A-8456-437D-8F66-F9F6CB6A276D}"/>
    <cellStyle name="Migliaia [0] 33" xfId="268" xr:uid="{00000000-0005-0000-0000-00003D020000}"/>
    <cellStyle name="Migliaia [0] 33 2" xfId="1559" xr:uid="{00000000-0005-0000-0000-00003E020000}"/>
    <cellStyle name="Migliaia [0] 33 2 2" xfId="1560" xr:uid="{00000000-0005-0000-0000-00003F020000}"/>
    <cellStyle name="Migliaia [0] 33 2 2 2" xfId="4676" xr:uid="{15D40228-1DA1-4E2C-B7AB-FCD7DB38128B}"/>
    <cellStyle name="Migliaia [0] 33 2 2 2 2" xfId="21772" xr:uid="{EC3B5C7D-E413-461F-A84D-A4E523B367C6}"/>
    <cellStyle name="Migliaia [0] 33 2 2 2 3" xfId="46291" xr:uid="{F5F446F7-172F-44B5-A94C-C57EE310F157}"/>
    <cellStyle name="Migliaia [0] 33 2 2 2 4" xfId="50800" xr:uid="{C81FA300-E7BC-4211-9D08-90E51DCD241A}"/>
    <cellStyle name="Migliaia [0] 33 2 2 2 5" xfId="53816" xr:uid="{B3EF3B39-5E3A-4BAB-A935-FA3F96D6D2E9}"/>
    <cellStyle name="Migliaia [0] 33 2 2 2 6" xfId="11788" xr:uid="{A531520E-CB51-45D1-99A2-BFCAF5D5BF91}"/>
    <cellStyle name="Migliaia [0] 33 2 2 3" xfId="2950" xr:uid="{018E12C9-9B8F-44EE-A956-0B11ED6F3C71}"/>
    <cellStyle name="Migliaia [0] 33 2 2 3 2" xfId="12183" xr:uid="{FD54925A-60B4-40D6-93AC-14195CE47D57}"/>
    <cellStyle name="Migliaia [0] 33 2 2 4" xfId="10669" xr:uid="{F69413D5-F1A5-45C6-AF97-2CD5E322EAC9}"/>
    <cellStyle name="Migliaia [0] 33 2 2 4 2" xfId="21304" xr:uid="{7AEA3EE1-1A44-4A6B-A05F-40EFECEF9F52}"/>
    <cellStyle name="Migliaia [0] 33 2 2 4 3" xfId="46181" xr:uid="{B155D6D4-9D8F-4567-BE2B-C97EEE2EECF8}"/>
    <cellStyle name="Migliaia [0] 33 2 2 4 4" xfId="50319" xr:uid="{1171CA1D-D6D4-4179-8845-41B8F42A4D10}"/>
    <cellStyle name="Migliaia [0] 33 2 2 4 5" xfId="53335" xr:uid="{6F3309AC-2F75-41AC-B86B-ED6B868B06CE}"/>
    <cellStyle name="Migliaia [0] 33 2 2 5" xfId="19629" xr:uid="{4221452A-7D83-457D-A7CC-ECAF18A22E1F}"/>
    <cellStyle name="Migliaia [0] 33 2 2 6" xfId="24070" xr:uid="{F1CB56F4-CAD5-4324-8EB0-E174983B061F}"/>
    <cellStyle name="Migliaia [0] 33 2 2 7" xfId="48846" xr:uid="{B5BD45AD-B3FE-4F67-8E09-04FB6AA4CB0D}"/>
    <cellStyle name="Migliaia [0] 33 2 2 8" xfId="49752" xr:uid="{0F56B419-E092-47F5-8E9C-6297A53C4972}"/>
    <cellStyle name="Migliaia [0] 33 2 2 9" xfId="8452" xr:uid="{9AAF862B-5B60-4A7F-AE09-1FF6A79B93CC}"/>
    <cellStyle name="Migliaia [0] 33 2 3" xfId="4675" xr:uid="{0FD8C634-A8FD-402F-9F65-109946CA0E4C}"/>
    <cellStyle name="Migliaia [0] 33 2 3 2" xfId="32858" xr:uid="{3BE31EF3-7834-42A0-97CB-2C899F283E2A}"/>
    <cellStyle name="Migliaia [0] 33 2 3 2 2" xfId="38209" xr:uid="{C58B9335-668A-41D6-A2F8-A3B39C739589}"/>
    <cellStyle name="Migliaia [0] 33 2 3 2 3" xfId="43511" xr:uid="{2AAF7AEA-A6EC-49A8-9963-7402F8A9E7D9}"/>
    <cellStyle name="Migliaia [0] 33 2 3 3" xfId="35744" xr:uid="{2F9FB1C4-C4F1-4003-BA90-B69B8AD64E0B}"/>
    <cellStyle name="Migliaia [0] 33 2 3 4" xfId="40860" xr:uid="{903C9817-0714-416C-850A-1F6D8B20FB0F}"/>
    <cellStyle name="Migliaia [0] 33 2 3 5" xfId="11789" xr:uid="{29A772FA-BCF6-45F6-88CD-366F306A7583}"/>
    <cellStyle name="Migliaia [0] 33 2 4" xfId="5931" xr:uid="{7E7FB5AA-8182-4996-9514-F5EAB5C1798D}"/>
    <cellStyle name="Migliaia [0] 33 2 4 2" xfId="19628" xr:uid="{6065CC9E-FE4A-46AE-B74A-2915FD8BFAB2}"/>
    <cellStyle name="Migliaia [0] 33 2 5" xfId="2949" xr:uid="{BE96D273-447D-4A3E-89E8-AA105D8E8E37}"/>
    <cellStyle name="Migliaia [0] 33 2 5 2" xfId="24069" xr:uid="{5ABD21A8-E8E2-4153-9644-85CA401753DE}"/>
    <cellStyle name="Migliaia [0] 33 2 6" xfId="7262" xr:uid="{DA2208A8-5EF6-4132-BD77-BCAF6BBA7CC5}"/>
    <cellStyle name="Migliaia [0] 33 3" xfId="1561" xr:uid="{00000000-0005-0000-0000-000040020000}"/>
    <cellStyle name="Migliaia [0] 33 3 2" xfId="4677" xr:uid="{2C06F578-29E6-4F23-AB9C-BCFD50C3984B}"/>
    <cellStyle name="Migliaia [0] 33 3 2 2" xfId="18327" xr:uid="{17FE610D-3B3A-4E64-A040-4D19D30ED0FA}"/>
    <cellStyle name="Migliaia [0] 33 3 2 2 2" xfId="21773" xr:uid="{1581AD44-1A73-411C-B786-6E94EB4198C9}"/>
    <cellStyle name="Migliaia [0] 33 3 2 2 2 2" xfId="38210" xr:uid="{EEB53ECF-DBFF-4AE5-BCF6-42A974F24E6D}"/>
    <cellStyle name="Migliaia [0] 33 3 2 2 3" xfId="43512" xr:uid="{A7143729-E6A5-4D6B-9C29-8D32F09FDD48}"/>
    <cellStyle name="Migliaia [0] 33 3 2 2 4" xfId="32859" xr:uid="{C38D9955-96A6-487D-9EAD-83DEB9176AAC}"/>
    <cellStyle name="Migliaia [0] 33 3 2 3" xfId="35745" xr:uid="{4EF3CB34-A5BF-4F97-B255-013736103727}"/>
    <cellStyle name="Migliaia [0] 33 3 2 4" xfId="40861" xr:uid="{5E185B6A-EF61-4436-AAAC-CC1B80B9B42E}"/>
    <cellStyle name="Migliaia [0] 33 3 2 5" xfId="47691" xr:uid="{AEF4F174-DB6D-48CA-ADDC-C972AC649A4C}"/>
    <cellStyle name="Migliaia [0] 33 3 2 6" xfId="50801" xr:uid="{F77AFF3C-2859-4666-8460-EB19B3724FB1}"/>
    <cellStyle name="Migliaia [0] 33 3 2 7" xfId="53817" xr:uid="{0665C71E-98B6-42DF-9FEF-C5B5222E5E36}"/>
    <cellStyle name="Migliaia [0] 33 3 2 8" xfId="17603" xr:uid="{3FAF3595-BB53-4B97-98BE-CA8BF0C4F21F}"/>
    <cellStyle name="Migliaia [0] 33 3 2 9" xfId="11790" xr:uid="{BF5D79D5-4171-47A6-932C-403121D455A5}"/>
    <cellStyle name="Migliaia [0] 33 3 3" xfId="5932" xr:uid="{946FBB9D-EE58-4071-897D-FCD9CC776485}"/>
    <cellStyle name="Migliaia [0] 33 3 3 2" xfId="11667" xr:uid="{3B54BA75-50EE-428A-BDBB-A218C98715C2}"/>
    <cellStyle name="Migliaia [0] 33 3 4" xfId="2951" xr:uid="{CE510637-AA1E-45AD-B855-1F5020F29F59}"/>
    <cellStyle name="Migliaia [0] 33 3 4 2" xfId="21305" xr:uid="{C1F0DEBC-4D37-436D-8A0C-DB42FB4238B7}"/>
    <cellStyle name="Migliaia [0] 33 3 4 3" xfId="47891" xr:uid="{40500F79-9038-4169-A29F-085C3F1B2DF3}"/>
    <cellStyle name="Migliaia [0] 33 3 4 4" xfId="50320" xr:uid="{5D262A3C-EB82-4AAB-BD38-F2546EFA69F9}"/>
    <cellStyle name="Migliaia [0] 33 3 4 5" xfId="53336" xr:uid="{9E95CFBF-5616-4875-9D5D-32B266339B25}"/>
    <cellStyle name="Migliaia [0] 33 3 4 6" xfId="10670" xr:uid="{3F8A68C8-1811-4C66-97BC-6E9091BA1832}"/>
    <cellStyle name="Migliaia [0] 33 3 5" xfId="19630" xr:uid="{02A82DB5-E5B6-4F9A-A2AA-B2547A0E4B35}"/>
    <cellStyle name="Migliaia [0] 33 3 6" xfId="24071" xr:uid="{4C0A15C0-B7AA-410F-8AFE-C6B39D05D56B}"/>
    <cellStyle name="Migliaia [0] 33 3 7" xfId="8210" xr:uid="{B80138AA-ECD0-40C6-98CC-C42671A03DE0}"/>
    <cellStyle name="Migliaia [0] 33 4" xfId="2952" xr:uid="{AA339ADB-DB1E-4C24-B771-509C43021060}"/>
    <cellStyle name="Migliaia [0] 33 4 2" xfId="4678" xr:uid="{FBD288A8-E746-479B-9FE8-81B179FEB5C8}"/>
    <cellStyle name="Migliaia [0] 33 4 2 2" xfId="35095" xr:uid="{814DDE91-2AAD-43B9-BECF-DD6E56F97828}"/>
    <cellStyle name="Migliaia [0] 33 4 2 2 2" xfId="40253" xr:uid="{F3DB31B6-D8D9-454F-A1DC-01C4F5BFACA4}"/>
    <cellStyle name="Migliaia [0] 33 4 2 2 3" xfId="45555" xr:uid="{3409E196-BAD2-4188-8069-F57268C858AA}"/>
    <cellStyle name="Migliaia [0] 33 4 2 3" xfId="37602" xr:uid="{E1D9A119-D6C1-48B3-8122-6791421D52B0}"/>
    <cellStyle name="Migliaia [0] 33 4 2 4" xfId="42904" xr:uid="{4586813C-85DF-4A7F-8E05-3CB622E4D50E}"/>
    <cellStyle name="Migliaia [0] 33 4 2 5" xfId="17035" xr:uid="{CC3A1FF4-91EF-4189-A27C-FD5297B4FA32}"/>
    <cellStyle name="Migliaia [0] 33 4 3" xfId="5933" xr:uid="{D3C214DE-38CE-4BDF-8AFB-3E945A7DC5B0}"/>
    <cellStyle name="Migliaia [0] 33 4 3 2" xfId="38211" xr:uid="{311DBADA-FA45-4481-A158-B9E0DF62ADCE}"/>
    <cellStyle name="Migliaia [0] 33 4 3 3" xfId="43513" xr:uid="{1914AD7D-F79D-4283-ACB5-697120438A47}"/>
    <cellStyle name="Migliaia [0] 33 4 3 4" xfId="32860" xr:uid="{9BBF08F4-6880-4507-AEA4-A34BBC40EDFB}"/>
    <cellStyle name="Migliaia [0] 33 4 3 5" xfId="19631" xr:uid="{8F3300C9-BD62-4636-8DD5-E10958A3E6B6}"/>
    <cellStyle name="Migliaia [0] 33 4 4" xfId="35746" xr:uid="{39A6BD9C-2636-4990-A45A-B9083775DFEF}"/>
    <cellStyle name="Migliaia [0] 33 4 5" xfId="40862" xr:uid="{73E0484C-6D81-4E11-80DE-500442384C4B}"/>
    <cellStyle name="Migliaia [0] 33 4 6" xfId="15977" xr:uid="{1441091D-C4CC-4E32-884D-E72E3C8AAE0A}"/>
    <cellStyle name="Migliaia [0] 33 4 7" xfId="7790" xr:uid="{388B5BC7-9AFB-4A5E-BDFB-A70B7A78371B}"/>
    <cellStyle name="Migliaia [0] 33 5" xfId="4674" xr:uid="{9951621B-F5C1-43CA-B4A6-76CAF44F740C}"/>
    <cellStyle name="Migliaia [0] 33 5 2" xfId="32861" xr:uid="{5D5AD196-1674-4C6E-BECA-B1BC2870B061}"/>
    <cellStyle name="Migliaia [0] 33 5 2 2" xfId="38212" xr:uid="{5715D697-A04D-4D34-A996-3AC74E1EEE38}"/>
    <cellStyle name="Migliaia [0] 33 5 2 3" xfId="43514" xr:uid="{03EC5382-9D11-443A-BFD4-C0EAD6ABBDF0}"/>
    <cellStyle name="Migliaia [0] 33 5 3" xfId="35747" xr:uid="{3DC033D7-A8DA-45A3-9C72-5567C578387B}"/>
    <cellStyle name="Migliaia [0] 33 5 4" xfId="40863" xr:uid="{30F6586C-2713-4DCD-BE8D-4B1E0678D441}"/>
    <cellStyle name="Migliaia [0] 33 5 5" xfId="17104" xr:uid="{69BB43EE-84B1-44E7-ACBF-27355039C4C9}"/>
    <cellStyle name="Migliaia [0] 33 6" xfId="5930" xr:uid="{02928B65-5B48-4FE2-9AA0-54514100CEC4}"/>
    <cellStyle name="Migliaia [0] 33 6 2" xfId="38208" xr:uid="{411D687F-FC92-4C83-AB8F-831F5FF393E3}"/>
    <cellStyle name="Migliaia [0] 33 6 3" xfId="43510" xr:uid="{BF62CE32-C396-4E35-88B2-71512CFFB798}"/>
    <cellStyle name="Migliaia [0] 33 6 4" xfId="32857" xr:uid="{57D147D3-7634-4333-A21F-817627DB3735}"/>
    <cellStyle name="Migliaia [0] 33 6 5" xfId="19627" xr:uid="{C7FB44F3-C0D9-49F5-B70F-F9AAC5ACCF52}"/>
    <cellStyle name="Migliaia [0] 33 7" xfId="2948" xr:uid="{5D9E1CE4-F37B-46B0-9EED-3869F330FC67}"/>
    <cellStyle name="Migliaia [0] 33 7 2" xfId="35743" xr:uid="{49D13188-50D1-4389-8FEA-B8C6C75E098C}"/>
    <cellStyle name="Migliaia [0] 33 8" xfId="40859" xr:uid="{69E0EC73-BABE-4244-A7BB-D6E1B165D437}"/>
    <cellStyle name="Migliaia [0] 33 9" xfId="7011" xr:uid="{DA0A67DC-32D0-465A-BBE6-CDFEA039CCC5}"/>
    <cellStyle name="Migliaia [0] 34" xfId="269" xr:uid="{00000000-0005-0000-0000-000041020000}"/>
    <cellStyle name="Migliaia [0] 34 2" xfId="1562" xr:uid="{00000000-0005-0000-0000-000042020000}"/>
    <cellStyle name="Migliaia [0] 34 2 2" xfId="1563" xr:uid="{00000000-0005-0000-0000-000043020000}"/>
    <cellStyle name="Migliaia [0] 34 2 2 2" xfId="4681" xr:uid="{7FF47654-05F1-4BC2-9C03-5183BEC807B1}"/>
    <cellStyle name="Migliaia [0] 34 2 2 2 2" xfId="21774" xr:uid="{6699BC42-621D-42C9-B33F-CF0AF12F9AA3}"/>
    <cellStyle name="Migliaia [0] 34 2 2 2 3" xfId="46741" xr:uid="{F2F1D9E5-B877-43C6-810B-4EEBC55BB563}"/>
    <cellStyle name="Migliaia [0] 34 2 2 2 4" xfId="50802" xr:uid="{09B27843-F434-42CF-B2EE-F62771C49808}"/>
    <cellStyle name="Migliaia [0] 34 2 2 2 5" xfId="53818" xr:uid="{C4A5DDB4-5E33-4F82-8719-A704BD15126F}"/>
    <cellStyle name="Migliaia [0] 34 2 2 2 6" xfId="11791" xr:uid="{AFAAF6C1-BC5A-40FA-A3D2-B53EB593ACD7}"/>
    <cellStyle name="Migliaia [0] 34 2 2 3" xfId="2955" xr:uid="{1FA5AAB0-1491-4382-8B03-DD4C9B1CE052}"/>
    <cellStyle name="Migliaia [0] 34 2 2 3 2" xfId="11553" xr:uid="{B5F43F98-6C20-471E-AA72-A3B98DBCBCDF}"/>
    <cellStyle name="Migliaia [0] 34 2 2 4" xfId="10671" xr:uid="{697EF045-50BD-4C2C-8EB8-37959A8105FE}"/>
    <cellStyle name="Migliaia [0] 34 2 2 4 2" xfId="21306" xr:uid="{2C15BC69-CA6F-43D9-952A-9FCA260CC79E}"/>
    <cellStyle name="Migliaia [0] 34 2 2 4 3" xfId="25360" xr:uid="{59F07C8B-17AC-4F4F-9A6B-9AAE4A2D77C1}"/>
    <cellStyle name="Migliaia [0] 34 2 2 4 4" xfId="50321" xr:uid="{329D4CE8-CCBF-45AC-A6A5-29B86019FBD7}"/>
    <cellStyle name="Migliaia [0] 34 2 2 4 5" xfId="53337" xr:uid="{350C24EA-293A-4462-84A5-C12E41AA5CEC}"/>
    <cellStyle name="Migliaia [0] 34 2 2 5" xfId="19634" xr:uid="{38CF2D87-E9DD-4A4A-8673-9438AA381950}"/>
    <cellStyle name="Migliaia [0] 34 2 2 6" xfId="24073" xr:uid="{F2A45CB7-7DCD-4598-99FC-C38CA0031CA1}"/>
    <cellStyle name="Migliaia [0] 34 2 2 7" xfId="48847" xr:uid="{FD8B74F1-6B2D-47C3-9CB5-EE19BDE73152}"/>
    <cellStyle name="Migliaia [0] 34 2 2 8" xfId="49753" xr:uid="{904A557E-393C-4DE6-B8F1-5DC2B5882216}"/>
    <cellStyle name="Migliaia [0] 34 2 2 9" xfId="8453" xr:uid="{55788675-AA47-434D-9C5F-8043896C3202}"/>
    <cellStyle name="Migliaia [0] 34 2 3" xfId="4680" xr:uid="{3C25559C-64AA-4CAB-B820-4772BE91A039}"/>
    <cellStyle name="Migliaia [0] 34 2 3 2" xfId="32863" xr:uid="{CB242074-B1A2-44B8-A474-A426E2635E1A}"/>
    <cellStyle name="Migliaia [0] 34 2 3 2 2" xfId="38214" xr:uid="{1F0406E4-3896-41B4-8C1B-58BA64C7BDA4}"/>
    <cellStyle name="Migliaia [0] 34 2 3 2 3" xfId="43516" xr:uid="{493C876E-85E5-4C35-AD63-A9A3AA27789C}"/>
    <cellStyle name="Migliaia [0] 34 2 3 3" xfId="35749" xr:uid="{E824318B-B1E7-434C-9F64-61C9147257F3}"/>
    <cellStyle name="Migliaia [0] 34 2 3 4" xfId="40865" xr:uid="{AF1A66F9-7364-41A5-9E8D-B8F718D881BE}"/>
    <cellStyle name="Migliaia [0] 34 2 3 5" xfId="11792" xr:uid="{D86EBE0C-CB89-462A-B043-39E88C8F7AD2}"/>
    <cellStyle name="Migliaia [0] 34 2 4" xfId="5935" xr:uid="{D00B5096-26DC-446A-91CE-53B268292BDF}"/>
    <cellStyle name="Migliaia [0] 34 2 4 2" xfId="19633" xr:uid="{C6C2EA91-756E-4222-9D85-38BADAE1E835}"/>
    <cellStyle name="Migliaia [0] 34 2 5" xfId="2954" xr:uid="{EEC7EB8D-A053-4144-A011-C505167621E3}"/>
    <cellStyle name="Migliaia [0] 34 2 5 2" xfId="24072" xr:uid="{340AD96A-DF6F-454F-A5BC-26363FE47775}"/>
    <cellStyle name="Migliaia [0] 34 2 6" xfId="7263" xr:uid="{DB10DBBF-79A9-4CF7-9B44-24312E8D65F7}"/>
    <cellStyle name="Migliaia [0] 34 3" xfId="1564" xr:uid="{00000000-0005-0000-0000-000044020000}"/>
    <cellStyle name="Migliaia [0] 34 3 2" xfId="4682" xr:uid="{71731013-A285-47DB-A5DD-F587E7C2E8D7}"/>
    <cellStyle name="Migliaia [0] 34 3 2 2" xfId="18328" xr:uid="{B554A2F5-7D70-4250-B5CF-4A8C53BD2653}"/>
    <cellStyle name="Migliaia [0] 34 3 2 2 2" xfId="21775" xr:uid="{F0FC404F-897E-4B3F-8E34-A97EA073B5F2}"/>
    <cellStyle name="Migliaia [0] 34 3 2 2 2 2" xfId="38215" xr:uid="{B1DB4EC4-B511-4B50-94FE-E9247A97B66B}"/>
    <cellStyle name="Migliaia [0] 34 3 2 2 3" xfId="43517" xr:uid="{0C512299-A3FA-4267-8C81-1A73E60886EB}"/>
    <cellStyle name="Migliaia [0] 34 3 2 2 4" xfId="32864" xr:uid="{D06E9577-85B0-4B69-88FC-F39BC9B99731}"/>
    <cellStyle name="Migliaia [0] 34 3 2 3" xfId="35750" xr:uid="{12E58C3E-6597-4EBC-895F-10AFB93709FA}"/>
    <cellStyle name="Migliaia [0] 34 3 2 4" xfId="40866" xr:uid="{8ED140C8-6CDC-429D-B15C-C9E728B3CC19}"/>
    <cellStyle name="Migliaia [0] 34 3 2 5" xfId="33063" xr:uid="{E7346440-8858-4BDF-8680-1D306658B45D}"/>
    <cellStyle name="Migliaia [0] 34 3 2 6" xfId="50803" xr:uid="{CCE63BBE-60AA-4AD9-B166-7FE9C6913E02}"/>
    <cellStyle name="Migliaia [0] 34 3 2 7" xfId="53819" xr:uid="{966137E2-9987-4FBE-8435-44BDD711B61C}"/>
    <cellStyle name="Migliaia [0] 34 3 2 8" xfId="17604" xr:uid="{A8939B81-B143-4167-8C0A-89B68F3755D3}"/>
    <cellStyle name="Migliaia [0] 34 3 2 9" xfId="11793" xr:uid="{65330A1C-C608-487C-BA15-F798DD282668}"/>
    <cellStyle name="Migliaia [0] 34 3 3" xfId="5936" xr:uid="{156B4AC0-27EE-413C-B2A1-F5DE1C7444A0}"/>
    <cellStyle name="Migliaia [0] 34 3 3 2" xfId="11116" xr:uid="{8BAA72CE-B78A-4AC1-AC6A-63927DCB8A3F}"/>
    <cellStyle name="Migliaia [0] 34 3 4" xfId="2956" xr:uid="{CD818AFF-BC85-4C57-A0D8-05F5C4C5441C}"/>
    <cellStyle name="Migliaia [0] 34 3 4 2" xfId="21307" xr:uid="{54868DC3-89B7-4E18-B66A-359E6D0FF8BA}"/>
    <cellStyle name="Migliaia [0] 34 3 4 3" xfId="47683" xr:uid="{65E7B528-6567-4662-8DFD-9B6C1EDA0E67}"/>
    <cellStyle name="Migliaia [0] 34 3 4 4" xfId="50322" xr:uid="{7783EB59-22C1-45A7-8566-EFEDBE423F73}"/>
    <cellStyle name="Migliaia [0] 34 3 4 5" xfId="53338" xr:uid="{3A919DE1-F53C-4CF0-8684-D6FFC503FE3D}"/>
    <cellStyle name="Migliaia [0] 34 3 4 6" xfId="10672" xr:uid="{DAE8DFDA-7C1A-4761-8CEF-117DBF3E0622}"/>
    <cellStyle name="Migliaia [0] 34 3 5" xfId="19635" xr:uid="{BC961E8A-26BF-4590-955E-D5855074379B}"/>
    <cellStyle name="Migliaia [0] 34 3 6" xfId="24074" xr:uid="{5753F92B-2997-4E3F-93BA-8708995C040B}"/>
    <cellStyle name="Migliaia [0] 34 3 7" xfId="8211" xr:uid="{48FE9DA1-D321-423C-B734-D2D1381FC61D}"/>
    <cellStyle name="Migliaia [0] 34 4" xfId="2957" xr:uid="{D2CE1A90-8373-47AC-A0D3-3ACE96530BDC}"/>
    <cellStyle name="Migliaia [0] 34 4 2" xfId="4683" xr:uid="{10FDFCF9-DAB5-4C97-99B7-46BAE7FCDA90}"/>
    <cellStyle name="Migliaia [0] 34 4 2 2" xfId="35096" xr:uid="{EA64710B-B30C-4A37-8F10-21E2120C0CF4}"/>
    <cellStyle name="Migliaia [0] 34 4 2 2 2" xfId="40254" xr:uid="{01FD6BBB-5719-41C4-9B16-EAB0574AB32A}"/>
    <cellStyle name="Migliaia [0] 34 4 2 2 3" xfId="45556" xr:uid="{DC28E536-12C5-4089-88C2-1B64455E6E5A}"/>
    <cellStyle name="Migliaia [0] 34 4 2 3" xfId="37603" xr:uid="{905C7C0A-EFEC-4DF3-A587-1ADDB6C64F78}"/>
    <cellStyle name="Migliaia [0] 34 4 2 4" xfId="42905" xr:uid="{E75E27C8-28B4-4415-A4A5-BC418F590358}"/>
    <cellStyle name="Migliaia [0] 34 4 2 5" xfId="17036" xr:uid="{3453B7B8-B935-48D7-8BC7-AB26B65A27AA}"/>
    <cellStyle name="Migliaia [0] 34 4 3" xfId="5937" xr:uid="{A8C40249-14EF-46DA-83A2-C47DCB1E5C52}"/>
    <cellStyle name="Migliaia [0] 34 4 3 2" xfId="38216" xr:uid="{E199751D-EE9A-49E3-84A9-5A4BFE83ECD6}"/>
    <cellStyle name="Migliaia [0] 34 4 3 3" xfId="43518" xr:uid="{3482DA46-B9FE-4005-825A-3A9B04894B06}"/>
    <cellStyle name="Migliaia [0] 34 4 3 4" xfId="32865" xr:uid="{ED28497A-D2A5-42CF-A2C8-FFC4ADEE9182}"/>
    <cellStyle name="Migliaia [0] 34 4 3 5" xfId="19636" xr:uid="{5BEA7507-C7C0-4B63-97AC-921326569C7C}"/>
    <cellStyle name="Migliaia [0] 34 4 4" xfId="35751" xr:uid="{63C819C9-39C5-4D24-8790-EDBC60B95669}"/>
    <cellStyle name="Migliaia [0] 34 4 5" xfId="40867" xr:uid="{CDFC7FE1-238E-4052-A7B8-E32717EE54BC}"/>
    <cellStyle name="Migliaia [0] 34 4 6" xfId="15978" xr:uid="{F716FB8A-9C72-4C50-A664-32EEAF7AC290}"/>
    <cellStyle name="Migliaia [0] 34 4 7" xfId="7791" xr:uid="{61E06DD3-8D05-4D45-ADFF-88560C4DED76}"/>
    <cellStyle name="Migliaia [0] 34 5" xfId="4679" xr:uid="{6748E7CA-2C18-4BF4-B39D-D62B888B5ABA}"/>
    <cellStyle name="Migliaia [0] 34 5 2" xfId="32866" xr:uid="{D05AFEED-EF50-4BEA-A4F6-4401A3D6FE13}"/>
    <cellStyle name="Migliaia [0] 34 5 2 2" xfId="38217" xr:uid="{05AF2F16-F7CD-464E-A6BE-7288DB5290B2}"/>
    <cellStyle name="Migliaia [0] 34 5 2 3" xfId="43519" xr:uid="{520CC08E-3440-4E6F-861A-20327D9D887C}"/>
    <cellStyle name="Migliaia [0] 34 5 3" xfId="35752" xr:uid="{0C954DB3-1034-4018-AFDF-4BD779E4025D}"/>
    <cellStyle name="Migliaia [0] 34 5 4" xfId="40868" xr:uid="{E41AC4E1-F886-4864-A62E-0B39E90698C2}"/>
    <cellStyle name="Migliaia [0] 34 5 5" xfId="17105" xr:uid="{48226B2E-588B-48CE-9FFC-266B254AE2D7}"/>
    <cellStyle name="Migliaia [0] 34 6" xfId="5934" xr:uid="{B318F912-5BE6-4254-872A-B4E16B5FAECC}"/>
    <cellStyle name="Migliaia [0] 34 6 2" xfId="38213" xr:uid="{1DD3CBB9-216E-430C-9639-6FEAEC2065A1}"/>
    <cellStyle name="Migliaia [0] 34 6 3" xfId="43515" xr:uid="{99E3DC24-54FC-4FEB-AA0F-9DE0ECE37CCD}"/>
    <cellStyle name="Migliaia [0] 34 6 4" xfId="32862" xr:uid="{42B5BADE-40F7-43AB-811B-1FB26D8BF084}"/>
    <cellStyle name="Migliaia [0] 34 6 5" xfId="19632" xr:uid="{48312A56-3C77-4180-B142-A65911BB5F91}"/>
    <cellStyle name="Migliaia [0] 34 7" xfId="2953" xr:uid="{CA22018F-3589-48CB-AD9C-D56B57ABE325}"/>
    <cellStyle name="Migliaia [0] 34 7 2" xfId="35748" xr:uid="{FE60E7F9-B391-47CC-81AB-AD2B6D104FF7}"/>
    <cellStyle name="Migliaia [0] 34 8" xfId="40864" xr:uid="{89E03D5E-6EE0-4A1B-8DA6-743D36A5D832}"/>
    <cellStyle name="Migliaia [0] 34 9" xfId="7012" xr:uid="{44053B65-D090-41DB-83FB-2AD56F8493C9}"/>
    <cellStyle name="Migliaia [0] 35" xfId="270" xr:uid="{00000000-0005-0000-0000-000045020000}"/>
    <cellStyle name="Migliaia [0] 35 2" xfId="1565" xr:uid="{00000000-0005-0000-0000-000046020000}"/>
    <cellStyle name="Migliaia [0] 35 2 2" xfId="1566" xr:uid="{00000000-0005-0000-0000-000047020000}"/>
    <cellStyle name="Migliaia [0] 35 2 2 2" xfId="4686" xr:uid="{F23E5477-1FFE-4C3B-9B10-35A9768479F2}"/>
    <cellStyle name="Migliaia [0] 35 2 2 2 2" xfId="21776" xr:uid="{3408BEDC-DF58-4648-BAEF-A9CA2FDDC14E}"/>
    <cellStyle name="Migliaia [0] 35 2 2 2 3" xfId="46292" xr:uid="{806CBC05-33DE-4EA0-90DF-8BADE715C48D}"/>
    <cellStyle name="Migliaia [0] 35 2 2 2 4" xfId="50804" xr:uid="{322E8546-658A-457E-85F0-B2FE146DF4F4}"/>
    <cellStyle name="Migliaia [0] 35 2 2 2 5" xfId="53820" xr:uid="{8B0E9420-2EF0-4095-81F9-8C9C75E16C20}"/>
    <cellStyle name="Migliaia [0] 35 2 2 2 6" xfId="11794" xr:uid="{74FEF73A-8E70-46E5-BE1F-3C8AFBECE1B9}"/>
    <cellStyle name="Migliaia [0] 35 2 2 3" xfId="2960" xr:uid="{AF0EE2E9-05B9-4F3B-94A2-EB669D2F2101}"/>
    <cellStyle name="Migliaia [0] 35 2 2 3 2" xfId="12342" xr:uid="{BBB9F041-0054-4BD2-B4DF-346DEBD9DEA6}"/>
    <cellStyle name="Migliaia [0] 35 2 2 4" xfId="10673" xr:uid="{495CD6DF-18A3-465A-ADD9-DF5342678F8D}"/>
    <cellStyle name="Migliaia [0] 35 2 2 4 2" xfId="21308" xr:uid="{D693A19B-2F53-4016-9921-0006FF1AEC38}"/>
    <cellStyle name="Migliaia [0] 35 2 2 4 3" xfId="46636" xr:uid="{D74B535D-7477-49B7-B31A-01503E139F05}"/>
    <cellStyle name="Migliaia [0] 35 2 2 4 4" xfId="50323" xr:uid="{7E7F68E2-8185-4582-A0EC-49FA17CBED4A}"/>
    <cellStyle name="Migliaia [0] 35 2 2 4 5" xfId="53339" xr:uid="{5499033D-61C3-4613-8524-0D9D098160E3}"/>
    <cellStyle name="Migliaia [0] 35 2 2 5" xfId="19639" xr:uid="{1116C150-8C2E-4BA2-872E-C7D44D247947}"/>
    <cellStyle name="Migliaia [0] 35 2 2 6" xfId="24076" xr:uid="{222A5C9B-019E-4E81-B14B-9E3C8862EC51}"/>
    <cellStyle name="Migliaia [0] 35 2 2 7" xfId="48848" xr:uid="{6F8FA0E8-5958-4791-9BF0-B37E84DB1A4E}"/>
    <cellStyle name="Migliaia [0] 35 2 2 8" xfId="49754" xr:uid="{35E1C942-FAC3-4BF5-9348-B546D77F5FFA}"/>
    <cellStyle name="Migliaia [0] 35 2 2 9" xfId="8454" xr:uid="{961B9555-87F1-4A7D-9CD7-3C4F32E84B20}"/>
    <cellStyle name="Migliaia [0] 35 2 3" xfId="4685" xr:uid="{0156E53E-1BA6-441D-BA2C-148705B45982}"/>
    <cellStyle name="Migliaia [0] 35 2 3 2" xfId="32868" xr:uid="{8354F3A2-CDA0-455B-8228-7F7D2C5462FD}"/>
    <cellStyle name="Migliaia [0] 35 2 3 2 2" xfId="38219" xr:uid="{A59DDA81-C458-46ED-AC2F-B56AE96737AD}"/>
    <cellStyle name="Migliaia [0] 35 2 3 2 3" xfId="43521" xr:uid="{0B046361-B99D-4492-9D49-27682BD14B62}"/>
    <cellStyle name="Migliaia [0] 35 2 3 3" xfId="35754" xr:uid="{E69CA9D4-2DCE-40EB-99A8-DA5155C9D185}"/>
    <cellStyle name="Migliaia [0] 35 2 3 4" xfId="40870" xr:uid="{DFA0708B-1AB0-47CD-B736-485B8242F1A9}"/>
    <cellStyle name="Migliaia [0] 35 2 3 5" xfId="11795" xr:uid="{903D63F3-FDA5-450E-8F78-2DED5F39F1B6}"/>
    <cellStyle name="Migliaia [0] 35 2 4" xfId="5939" xr:uid="{8A84E47A-552F-4EAC-BC05-001E22E23CB3}"/>
    <cellStyle name="Migliaia [0] 35 2 4 2" xfId="19638" xr:uid="{C314E1B9-7684-4D2D-A443-3B4BEFBDD664}"/>
    <cellStyle name="Migliaia [0] 35 2 5" xfId="2959" xr:uid="{7E7A23EC-5BA3-411A-AF7C-0F441A10BD4A}"/>
    <cellStyle name="Migliaia [0] 35 2 5 2" xfId="24075" xr:uid="{4D3B09DA-85A5-49BF-AE15-11BA12C1EFCB}"/>
    <cellStyle name="Migliaia [0] 35 2 6" xfId="7264" xr:uid="{D40D8714-3B7C-4DFE-BAC9-9C6826B630EF}"/>
    <cellStyle name="Migliaia [0] 35 3" xfId="1567" xr:uid="{00000000-0005-0000-0000-000048020000}"/>
    <cellStyle name="Migliaia [0] 35 3 2" xfId="4687" xr:uid="{1C781068-C9B4-4218-B066-C62EE3D2F012}"/>
    <cellStyle name="Migliaia [0] 35 3 2 2" xfId="18329" xr:uid="{8AACDA23-A892-431E-A7B3-290179FA33A3}"/>
    <cellStyle name="Migliaia [0] 35 3 2 2 2" xfId="21777" xr:uid="{91817663-B115-4CCE-B4FA-D70BF6061C64}"/>
    <cellStyle name="Migliaia [0] 35 3 2 2 2 2" xfId="38220" xr:uid="{3D21BD98-4D09-4647-BF93-1FAF55091F81}"/>
    <cellStyle name="Migliaia [0] 35 3 2 2 3" xfId="43522" xr:uid="{E7B4431D-4C7C-4D2A-959E-EC509F8F17C6}"/>
    <cellStyle name="Migliaia [0] 35 3 2 2 4" xfId="32869" xr:uid="{AF509258-B3D7-4BEF-8951-42571858DC69}"/>
    <cellStyle name="Migliaia [0] 35 3 2 3" xfId="35755" xr:uid="{6D43E527-5EEE-45FB-BE70-DD67CDA1E4CB}"/>
    <cellStyle name="Migliaia [0] 35 3 2 4" xfId="40871" xr:uid="{6026F760-3216-47DC-B9C3-8DE847D03215}"/>
    <cellStyle name="Migliaia [0] 35 3 2 5" xfId="48270" xr:uid="{2840E0CF-3EF4-4CE4-8DE4-2DDE874FE0BE}"/>
    <cellStyle name="Migliaia [0] 35 3 2 6" xfId="50805" xr:uid="{D899CF14-3B00-4D99-92E3-182725A3870E}"/>
    <cellStyle name="Migliaia [0] 35 3 2 7" xfId="53821" xr:uid="{3FB99AE7-82DF-4A70-9207-BECB386BDE9A}"/>
    <cellStyle name="Migliaia [0] 35 3 2 8" xfId="17605" xr:uid="{9C51AA41-C60C-476E-B2AE-E721939EC7CD}"/>
    <cellStyle name="Migliaia [0] 35 3 2 9" xfId="11796" xr:uid="{A80924FC-6780-407E-999F-9DA6B57A887A}"/>
    <cellStyle name="Migliaia [0] 35 3 3" xfId="5940" xr:uid="{410D2716-D1F1-4AAE-B3F4-0B97A9FD13BA}"/>
    <cellStyle name="Migliaia [0] 35 3 3 2" xfId="12377" xr:uid="{BDD3F212-C871-48CF-987C-9264559BC71B}"/>
    <cellStyle name="Migliaia [0] 35 3 4" xfId="2961" xr:uid="{98DFD544-E333-40B6-9816-8B4EA23F57F2}"/>
    <cellStyle name="Migliaia [0] 35 3 4 2" xfId="21309" xr:uid="{B94EBD87-8C1D-443C-BE38-A9B00C057D96}"/>
    <cellStyle name="Migliaia [0] 35 3 4 3" xfId="36717" xr:uid="{7A36A91B-985B-4994-B261-691755A81D67}"/>
    <cellStyle name="Migliaia [0] 35 3 4 4" xfId="50324" xr:uid="{6812C6B9-1ADA-44A4-8645-3EEB4E036A84}"/>
    <cellStyle name="Migliaia [0] 35 3 4 5" xfId="53340" xr:uid="{D796F268-24E6-4E22-9D40-60A02FBC093E}"/>
    <cellStyle name="Migliaia [0] 35 3 4 6" xfId="10674" xr:uid="{2131E97A-735F-4296-BEF2-7E5646DDB383}"/>
    <cellStyle name="Migliaia [0] 35 3 5" xfId="19640" xr:uid="{85070DC4-278E-4270-A00E-41FA9E1130D7}"/>
    <cellStyle name="Migliaia [0] 35 3 6" xfId="24077" xr:uid="{36F44048-775E-4506-9AD6-681528023350}"/>
    <cellStyle name="Migliaia [0] 35 3 7" xfId="8212" xr:uid="{EB1EA790-E47D-4DEF-96F1-D3689AC37D53}"/>
    <cellStyle name="Migliaia [0] 35 4" xfId="2962" xr:uid="{D303A6E3-B77E-4DEC-B86B-95DF61574933}"/>
    <cellStyle name="Migliaia [0] 35 4 2" xfId="4688" xr:uid="{4A8CE6BB-B5AE-4EF8-B984-206ADA9D19E2}"/>
    <cellStyle name="Migliaia [0] 35 4 2 2" xfId="35097" xr:uid="{81D53355-B0BA-4411-B40A-D5EE23846287}"/>
    <cellStyle name="Migliaia [0] 35 4 2 2 2" xfId="40255" xr:uid="{9A17C673-9930-45F9-A3A0-ABF66486C3B7}"/>
    <cellStyle name="Migliaia [0] 35 4 2 2 3" xfId="45557" xr:uid="{1CA1BFD2-D87D-4D01-9ABD-7B575A77E022}"/>
    <cellStyle name="Migliaia [0] 35 4 2 3" xfId="37604" xr:uid="{9C778CF7-F219-4C46-918D-4F6AF2EE34CD}"/>
    <cellStyle name="Migliaia [0] 35 4 2 4" xfId="42906" xr:uid="{687015BE-F3A7-43F1-89DE-847116DAEF93}"/>
    <cellStyle name="Migliaia [0] 35 4 2 5" xfId="17037" xr:uid="{EA9E9E53-C05E-4DF5-92AB-5299C758930C}"/>
    <cellStyle name="Migliaia [0] 35 4 3" xfId="5941" xr:uid="{B9808434-302C-4464-8C9A-740DF3737E40}"/>
    <cellStyle name="Migliaia [0] 35 4 3 2" xfId="38221" xr:uid="{9BCB5995-95C6-4521-9307-11137C2E6ACF}"/>
    <cellStyle name="Migliaia [0] 35 4 3 3" xfId="43523" xr:uid="{BFFB9738-4F48-41A1-A682-C63A4F4097B2}"/>
    <cellStyle name="Migliaia [0] 35 4 3 4" xfId="32870" xr:uid="{0444ABB8-0AA5-4182-A98B-B84A0517C190}"/>
    <cellStyle name="Migliaia [0] 35 4 3 5" xfId="19641" xr:uid="{46C15377-1556-49A0-B491-A6B9A75C1482}"/>
    <cellStyle name="Migliaia [0] 35 4 4" xfId="35756" xr:uid="{E10239BB-0BFD-4329-BE57-236B69EC1C42}"/>
    <cellStyle name="Migliaia [0] 35 4 5" xfId="40872" xr:uid="{7198CF42-A798-4DE5-B984-9C3DE723D03F}"/>
    <cellStyle name="Migliaia [0] 35 4 6" xfId="15979" xr:uid="{A86E2884-33E9-44C8-8095-869C76938A53}"/>
    <cellStyle name="Migliaia [0] 35 4 7" xfId="7792" xr:uid="{2262353D-AEF5-43E2-9C97-34E2D8ABE4EC}"/>
    <cellStyle name="Migliaia [0] 35 5" xfId="4684" xr:uid="{EC1B6CFE-41DC-4511-B5A2-7302AB8361A2}"/>
    <cellStyle name="Migliaia [0] 35 5 2" xfId="32871" xr:uid="{B5578358-365B-4DA8-865A-993ACC7C1329}"/>
    <cellStyle name="Migliaia [0] 35 5 2 2" xfId="38222" xr:uid="{9CA9414F-A841-40F7-9A98-5199F65C00E3}"/>
    <cellStyle name="Migliaia [0] 35 5 2 3" xfId="43524" xr:uid="{409B5DDB-71FB-4290-BC23-A3464E0A5343}"/>
    <cellStyle name="Migliaia [0] 35 5 3" xfId="35757" xr:uid="{7B215546-A48D-4F22-957B-7C8EEE9CA3ED}"/>
    <cellStyle name="Migliaia [0] 35 5 4" xfId="40873" xr:uid="{D5A50A5A-93FF-4E99-A48F-A85ED2001C4F}"/>
    <cellStyle name="Migliaia [0] 35 5 5" xfId="17106" xr:uid="{99607AA0-B664-4B76-BAAD-608BD3912ACB}"/>
    <cellStyle name="Migliaia [0] 35 6" xfId="5938" xr:uid="{E6B0EF93-BAEA-4005-8073-ACF6942D0F58}"/>
    <cellStyle name="Migliaia [0] 35 6 2" xfId="38218" xr:uid="{BA244EAF-4608-4C51-AE7A-450048594749}"/>
    <cellStyle name="Migliaia [0] 35 6 3" xfId="43520" xr:uid="{B68EBD98-E0D5-4808-B655-4D57376B54F2}"/>
    <cellStyle name="Migliaia [0] 35 6 4" xfId="32867" xr:uid="{4B72CE8E-7527-4321-B5BE-280AE7CC7BDE}"/>
    <cellStyle name="Migliaia [0] 35 6 5" xfId="19637" xr:uid="{722F6A17-7334-4BA4-8D97-DD8BD484341F}"/>
    <cellStyle name="Migliaia [0] 35 7" xfId="2958" xr:uid="{55DEA085-289B-402A-9AFA-2145A27F5A7F}"/>
    <cellStyle name="Migliaia [0] 35 7 2" xfId="35753" xr:uid="{440C6E5E-0FEB-48B6-8717-B2E90C8A0CDA}"/>
    <cellStyle name="Migliaia [0] 35 8" xfId="40869" xr:uid="{1174AB10-0217-4910-B68D-3DF032B83D93}"/>
    <cellStyle name="Migliaia [0] 35 9" xfId="7013" xr:uid="{1FE36B0F-24A6-4825-9FC9-8BF3F355779B}"/>
    <cellStyle name="Migliaia [0] 36" xfId="271" xr:uid="{00000000-0005-0000-0000-000049020000}"/>
    <cellStyle name="Migliaia [0] 36 2" xfId="1568" xr:uid="{00000000-0005-0000-0000-00004A020000}"/>
    <cellStyle name="Migliaia [0] 36 2 2" xfId="1569" xr:uid="{00000000-0005-0000-0000-00004B020000}"/>
    <cellStyle name="Migliaia [0] 36 2 2 2" xfId="4691" xr:uid="{6630EAEE-D294-458D-9D0D-2A0A0FC93B9D}"/>
    <cellStyle name="Migliaia [0] 36 2 2 2 2" xfId="21778" xr:uid="{56E6000D-22CB-49B2-93BD-91713CB479BF}"/>
    <cellStyle name="Migliaia [0] 36 2 2 2 3" xfId="46742" xr:uid="{9613B514-9092-498E-8F03-0E581698B3F0}"/>
    <cellStyle name="Migliaia [0] 36 2 2 2 4" xfId="50806" xr:uid="{8E7A725F-46DA-4B42-A534-131679135803}"/>
    <cellStyle name="Migliaia [0] 36 2 2 2 5" xfId="53822" xr:uid="{C1843054-3F68-4318-8A8C-BEB1E9949E88}"/>
    <cellStyle name="Migliaia [0] 36 2 2 2 6" xfId="11797" xr:uid="{B2E18BBA-6DE3-4FF7-8914-36797AC29943}"/>
    <cellStyle name="Migliaia [0] 36 2 2 3" xfId="2965" xr:uid="{9BA70B29-EE7E-411C-BE94-0148DC6C5D44}"/>
    <cellStyle name="Migliaia [0] 36 2 2 3 2" xfId="12341" xr:uid="{BF9008E5-AEC8-4612-86DC-A23E24069326}"/>
    <cellStyle name="Migliaia [0] 36 2 2 4" xfId="10675" xr:uid="{F2A56EB8-AE5E-4FF2-B3F3-AD0DFC5B7806}"/>
    <cellStyle name="Migliaia [0] 36 2 2 4 2" xfId="21310" xr:uid="{2526CD51-9693-46B5-8F3F-C0863A950E83}"/>
    <cellStyle name="Migliaia [0] 36 2 2 4 3" xfId="47406" xr:uid="{3E742AF4-4A82-495D-834F-7A39301F9375}"/>
    <cellStyle name="Migliaia [0] 36 2 2 4 4" xfId="50325" xr:uid="{B82FCB3E-DB99-4C03-A219-6109CBA4C358}"/>
    <cellStyle name="Migliaia [0] 36 2 2 4 5" xfId="53341" xr:uid="{6737804E-8DB9-47DC-B344-56A755934CC5}"/>
    <cellStyle name="Migliaia [0] 36 2 2 5" xfId="19644" xr:uid="{0BEEA79A-68CC-4612-9E7F-8B338773777D}"/>
    <cellStyle name="Migliaia [0] 36 2 2 6" xfId="24079" xr:uid="{E1394CC2-5085-4628-BB48-D33934944260}"/>
    <cellStyle name="Migliaia [0] 36 2 2 7" xfId="48849" xr:uid="{5B968821-6EDA-4135-99FF-D0BF2A79AF89}"/>
    <cellStyle name="Migliaia [0] 36 2 2 8" xfId="49755" xr:uid="{AF6662D7-AC54-4750-80F8-14A45E70CB4F}"/>
    <cellStyle name="Migliaia [0] 36 2 2 9" xfId="8455" xr:uid="{6A1E3F5E-F71D-4C68-A8DF-AE13D8769E30}"/>
    <cellStyle name="Migliaia [0] 36 2 3" xfId="4690" xr:uid="{13E2D0BD-8050-4478-8260-323C80ABD532}"/>
    <cellStyle name="Migliaia [0] 36 2 3 2" xfId="32873" xr:uid="{D65FA69F-769E-4F43-90CE-6BA4F0D7B7DC}"/>
    <cellStyle name="Migliaia [0] 36 2 3 2 2" xfId="38224" xr:uid="{06996F64-FB72-4EEC-9056-5C595FF6303D}"/>
    <cellStyle name="Migliaia [0] 36 2 3 2 3" xfId="43526" xr:uid="{C713C0A1-FFAD-482B-B63C-804D285FF557}"/>
    <cellStyle name="Migliaia [0] 36 2 3 3" xfId="35759" xr:uid="{4ABF5044-57A1-49B4-B9D7-6BCA2F047592}"/>
    <cellStyle name="Migliaia [0] 36 2 3 4" xfId="40875" xr:uid="{2D45516F-B8B8-4B1B-9D9D-10E0576E1BCC}"/>
    <cellStyle name="Migliaia [0] 36 2 3 5" xfId="11798" xr:uid="{2E8BB3DC-9B7C-4D83-B9C2-FC5F51BBF077}"/>
    <cellStyle name="Migliaia [0] 36 2 4" xfId="5943" xr:uid="{AC165AD2-39C9-4906-BBC2-97F9B163666E}"/>
    <cellStyle name="Migliaia [0] 36 2 4 2" xfId="19643" xr:uid="{B6A7BEC7-8A01-40C7-834D-392392E28494}"/>
    <cellStyle name="Migliaia [0] 36 2 5" xfId="2964" xr:uid="{58C8D901-3503-4C1C-B7D2-1F9951D1ECF2}"/>
    <cellStyle name="Migliaia [0] 36 2 5 2" xfId="24078" xr:uid="{B83B545A-E6F6-4C3E-BE8B-794446813ADB}"/>
    <cellStyle name="Migliaia [0] 36 2 6" xfId="7265" xr:uid="{0E012A9E-0F29-4DAC-9C6A-82BF0531D583}"/>
    <cellStyle name="Migliaia [0] 36 3" xfId="1570" xr:uid="{00000000-0005-0000-0000-00004C020000}"/>
    <cellStyle name="Migliaia [0] 36 3 2" xfId="4692" xr:uid="{9037FA35-F9B8-4626-B919-399D5007C1B9}"/>
    <cellStyle name="Migliaia [0] 36 3 2 2" xfId="18330" xr:uid="{CD8E2AC8-FFD4-44D8-A94E-33BB7C0FAC44}"/>
    <cellStyle name="Migliaia [0] 36 3 2 2 2" xfId="21779" xr:uid="{07522B15-7CBC-4821-AFBE-996FDAC9702D}"/>
    <cellStyle name="Migliaia [0] 36 3 2 2 2 2" xfId="38225" xr:uid="{8A02E7BB-4479-4472-921B-CAC8D9E9D84D}"/>
    <cellStyle name="Migliaia [0] 36 3 2 2 3" xfId="43527" xr:uid="{A9672D87-293D-40F4-A03D-0F50E398C0FD}"/>
    <cellStyle name="Migliaia [0] 36 3 2 2 4" xfId="32874" xr:uid="{03088C17-D14F-4CEA-BA91-739F40B66490}"/>
    <cellStyle name="Migliaia [0] 36 3 2 3" xfId="35760" xr:uid="{8D59A6CF-51DE-46E9-B5A1-F7176EAC8F71}"/>
    <cellStyle name="Migliaia [0] 36 3 2 4" xfId="40876" xr:uid="{AA027373-6D59-49AC-AFC9-CF47623DF789}"/>
    <cellStyle name="Migliaia [0] 36 3 2 5" xfId="47315" xr:uid="{49124304-CFD6-4250-94D1-FC5FAD327472}"/>
    <cellStyle name="Migliaia [0] 36 3 2 6" xfId="50807" xr:uid="{E43DA2FE-B33B-47C4-9046-EEF9D4F44BC8}"/>
    <cellStyle name="Migliaia [0] 36 3 2 7" xfId="53823" xr:uid="{BB2854AD-B1E7-4042-A9A8-0DD2E1BE2857}"/>
    <cellStyle name="Migliaia [0] 36 3 2 8" xfId="17606" xr:uid="{15D698D0-1345-4E3B-9FA8-E83EF64B1581}"/>
    <cellStyle name="Migliaia [0] 36 3 2 9" xfId="11799" xr:uid="{622970F4-F11E-40DD-BCF5-A344A1D8030F}"/>
    <cellStyle name="Migliaia [0] 36 3 3" xfId="5944" xr:uid="{85A2BBC8-8511-4C40-BB3C-8F6733FCD897}"/>
    <cellStyle name="Migliaia [0] 36 3 3 2" xfId="12376" xr:uid="{6412A2A1-3042-40B6-9A32-F1D39375B656}"/>
    <cellStyle name="Migliaia [0] 36 3 4" xfId="2966" xr:uid="{AA0CB16A-BAD2-4045-A3D2-F042261253A3}"/>
    <cellStyle name="Migliaia [0] 36 3 4 2" xfId="21311" xr:uid="{6851F8DD-8679-4D26-80F3-7104AD7C35C5}"/>
    <cellStyle name="Migliaia [0] 36 3 4 3" xfId="47656" xr:uid="{D821A62F-59B8-4543-AD9C-795B491B478B}"/>
    <cellStyle name="Migliaia [0] 36 3 4 4" xfId="50326" xr:uid="{BD72039B-2B43-4285-A52B-28AD0FB97414}"/>
    <cellStyle name="Migliaia [0] 36 3 4 5" xfId="53342" xr:uid="{C149CABD-A987-4E3E-B33D-3D70DF0ECF5A}"/>
    <cellStyle name="Migliaia [0] 36 3 4 6" xfId="10676" xr:uid="{E8E5732F-81FF-4FC5-AA65-7BC5DFDB2207}"/>
    <cellStyle name="Migliaia [0] 36 3 5" xfId="19645" xr:uid="{B3E8EA0B-7BD3-4017-98B6-5B183EE46EFC}"/>
    <cellStyle name="Migliaia [0] 36 3 6" xfId="24080" xr:uid="{1F423675-97F1-412F-A493-4F66C63271CE}"/>
    <cellStyle name="Migliaia [0] 36 3 7" xfId="8213" xr:uid="{B34FA6C2-2730-4807-B222-DB80AAB9D564}"/>
    <cellStyle name="Migliaia [0] 36 4" xfId="2967" xr:uid="{3C097D4F-2462-4C5C-9DAE-903DA1E16549}"/>
    <cellStyle name="Migliaia [0] 36 4 2" xfId="4693" xr:uid="{4484610C-3F2D-449B-8E05-60E252FB917F}"/>
    <cellStyle name="Migliaia [0] 36 4 2 2" xfId="35098" xr:uid="{B27D0E6C-247D-47D1-B2D2-ADD29719670D}"/>
    <cellStyle name="Migliaia [0] 36 4 2 2 2" xfId="40256" xr:uid="{A6A3662A-34F0-43F4-BF01-A64CE4139C8B}"/>
    <cellStyle name="Migliaia [0] 36 4 2 2 3" xfId="45558" xr:uid="{D17EC1C3-1CCD-46B0-953C-828550307F73}"/>
    <cellStyle name="Migliaia [0] 36 4 2 3" xfId="37605" xr:uid="{95F40E69-3E46-4473-ACA6-DE9F61999E8B}"/>
    <cellStyle name="Migliaia [0] 36 4 2 4" xfId="42907" xr:uid="{5AA1D0A0-7081-4504-B1D1-0C345DF07409}"/>
    <cellStyle name="Migliaia [0] 36 4 2 5" xfId="17038" xr:uid="{9E02DE33-6307-4734-A1D0-44AA8B313B93}"/>
    <cellStyle name="Migliaia [0] 36 4 3" xfId="5945" xr:uid="{5CD857B6-859C-4536-B31C-B1785F24D163}"/>
    <cellStyle name="Migliaia [0] 36 4 3 2" xfId="38226" xr:uid="{5B0B63F3-76EC-4307-ADB0-3C4946892C14}"/>
    <cellStyle name="Migliaia [0] 36 4 3 3" xfId="43528" xr:uid="{909DDD7B-5D09-4CC6-A75C-11AB9EA96F80}"/>
    <cellStyle name="Migliaia [0] 36 4 3 4" xfId="32875" xr:uid="{DB5B21BC-9E29-4867-B300-F9BCF1F5580F}"/>
    <cellStyle name="Migliaia [0] 36 4 3 5" xfId="19646" xr:uid="{AD0A6693-2A03-4F8C-B7A8-6DD7DD26B282}"/>
    <cellStyle name="Migliaia [0] 36 4 4" xfId="35761" xr:uid="{03E85269-C82B-4D70-944A-5F8C97E0F68F}"/>
    <cellStyle name="Migliaia [0] 36 4 5" xfId="40877" xr:uid="{712C7E09-E742-419A-AF0E-233A75999F34}"/>
    <cellStyle name="Migliaia [0] 36 4 6" xfId="15980" xr:uid="{352B04A6-BC31-4448-B458-933A1C9AD885}"/>
    <cellStyle name="Migliaia [0] 36 4 7" xfId="7793" xr:uid="{650E5B09-CF42-42BC-A33B-2A06171308CF}"/>
    <cellStyle name="Migliaia [0] 36 5" xfId="4689" xr:uid="{A98DA38D-DCEB-43A6-90EA-63CC53B72432}"/>
    <cellStyle name="Migliaia [0] 36 5 2" xfId="32876" xr:uid="{3CF1E97E-4B7F-4459-B4E3-E03A12DCD207}"/>
    <cellStyle name="Migliaia [0] 36 5 2 2" xfId="38227" xr:uid="{630BE01E-8C19-4702-A55D-5C4BDAB0EF8B}"/>
    <cellStyle name="Migliaia [0] 36 5 2 3" xfId="43529" xr:uid="{DA225445-1B67-4DC0-963B-2E1A83D8E94E}"/>
    <cellStyle name="Migliaia [0] 36 5 3" xfId="35762" xr:uid="{7FF4B985-5516-4CB6-8324-E8C1B5EEA53B}"/>
    <cellStyle name="Migliaia [0] 36 5 4" xfId="40878" xr:uid="{CD5FFCAE-088D-4405-A3EF-71682736ADAA}"/>
    <cellStyle name="Migliaia [0] 36 5 5" xfId="17107" xr:uid="{2C24AC54-82EB-4A66-BD02-7BEBB6339258}"/>
    <cellStyle name="Migliaia [0] 36 6" xfId="5942" xr:uid="{692D149D-6B31-4E81-B8BA-A1C82A620C64}"/>
    <cellStyle name="Migliaia [0] 36 6 2" xfId="38223" xr:uid="{5245B3CE-940E-421C-9B80-6251F8AABCA5}"/>
    <cellStyle name="Migliaia [0] 36 6 3" xfId="43525" xr:uid="{3D092729-D804-490C-9044-734A241075D0}"/>
    <cellStyle name="Migliaia [0] 36 6 4" xfId="32872" xr:uid="{492451A1-84BA-4FAB-9A89-89438D5475A8}"/>
    <cellStyle name="Migliaia [0] 36 6 5" xfId="19642" xr:uid="{D0D8A46F-5236-4DE0-88DE-A294DE6253AB}"/>
    <cellStyle name="Migliaia [0] 36 7" xfId="2963" xr:uid="{BD71548B-D8C4-4FC4-A8FD-57A7D72F773F}"/>
    <cellStyle name="Migliaia [0] 36 7 2" xfId="35758" xr:uid="{12A6D9C9-D1A5-4D99-9C17-30E7DE8A47EA}"/>
    <cellStyle name="Migliaia [0] 36 8" xfId="40874" xr:uid="{E1420A4A-DF22-4228-A967-1CC5F2C88ACB}"/>
    <cellStyle name="Migliaia [0] 36 9" xfId="7014" xr:uid="{9D4CA115-E993-400A-9F3B-5D3C1349036B}"/>
    <cellStyle name="Migliaia [0] 37" xfId="272" xr:uid="{00000000-0005-0000-0000-00004D020000}"/>
    <cellStyle name="Migliaia [0] 37 2" xfId="1571" xr:uid="{00000000-0005-0000-0000-00004E020000}"/>
    <cellStyle name="Migliaia [0] 37 2 2" xfId="1572" xr:uid="{00000000-0005-0000-0000-00004F020000}"/>
    <cellStyle name="Migliaia [0] 37 2 2 2" xfId="4696" xr:uid="{DAD01564-95F7-422D-9CCB-2CE88A495CCB}"/>
    <cellStyle name="Migliaia [0] 37 2 2 2 2" xfId="21780" xr:uid="{24667572-88D3-4058-94E5-167D97E6C9A5}"/>
    <cellStyle name="Migliaia [0] 37 2 2 2 3" xfId="46293" xr:uid="{582EF0C2-502F-45F2-8C30-B403825FE459}"/>
    <cellStyle name="Migliaia [0] 37 2 2 2 4" xfId="50808" xr:uid="{E0535650-5729-48E2-BFF5-BF2F37618968}"/>
    <cellStyle name="Migliaia [0] 37 2 2 2 5" xfId="53824" xr:uid="{49E29AFE-85AD-4A44-88CA-72CF339457A9}"/>
    <cellStyle name="Migliaia [0] 37 2 2 2 6" xfId="11800" xr:uid="{0BF9374F-7BAA-4D6B-BE32-32039794FB09}"/>
    <cellStyle name="Migliaia [0] 37 2 2 3" xfId="2970" xr:uid="{0EA2AC64-695E-4C30-9C66-3F18A6175A9B}"/>
    <cellStyle name="Migliaia [0] 37 2 2 3 2" xfId="12340" xr:uid="{28AD3FFD-CCB9-4700-83B0-BD4E8FC53163}"/>
    <cellStyle name="Migliaia [0] 37 2 2 4" xfId="10677" xr:uid="{6C08EC93-600F-4DB2-92B9-E3657BD3EE19}"/>
    <cellStyle name="Migliaia [0] 37 2 2 4 2" xfId="21312" xr:uid="{E024DB23-B264-44BA-A795-CAAFC0F960BB}"/>
    <cellStyle name="Migliaia [0] 37 2 2 4 3" xfId="46182" xr:uid="{D1DDBE61-6726-4CB5-A2B6-8AC5D9388025}"/>
    <cellStyle name="Migliaia [0] 37 2 2 4 4" xfId="50327" xr:uid="{594126ED-22EB-48BB-94B5-AFF94A86FFFC}"/>
    <cellStyle name="Migliaia [0] 37 2 2 4 5" xfId="53343" xr:uid="{19A14410-47F3-4DB1-B8F8-DE5A9D440D1D}"/>
    <cellStyle name="Migliaia [0] 37 2 2 5" xfId="19649" xr:uid="{FAFA9A00-AE9B-43B1-B28E-BA5C6BCA8568}"/>
    <cellStyle name="Migliaia [0] 37 2 2 6" xfId="24082" xr:uid="{037E81E8-C1C3-484D-800F-79D923EA2230}"/>
    <cellStyle name="Migliaia [0] 37 2 2 7" xfId="48850" xr:uid="{C3796E00-76D2-426E-BB93-407CF5A3BA27}"/>
    <cellStyle name="Migliaia [0] 37 2 2 8" xfId="49756" xr:uid="{9AD44F0E-3ED5-4399-B304-CFDEC1489442}"/>
    <cellStyle name="Migliaia [0] 37 2 2 9" xfId="8456" xr:uid="{795E39A5-55BA-4FE1-A55F-2FD7CE1AAB53}"/>
    <cellStyle name="Migliaia [0] 37 2 3" xfId="4695" xr:uid="{F348FA34-FD99-437F-BF0F-D98B20A0D88D}"/>
    <cellStyle name="Migliaia [0] 37 2 3 2" xfId="32878" xr:uid="{B0A64A46-BF56-4982-8048-6AE58643CD8A}"/>
    <cellStyle name="Migliaia [0] 37 2 3 2 2" xfId="38229" xr:uid="{4FF0CB4F-D5FD-4174-869A-68C9CE24D635}"/>
    <cellStyle name="Migliaia [0] 37 2 3 2 3" xfId="43531" xr:uid="{66FFC278-5B7E-4E0C-B630-14037C1C0642}"/>
    <cellStyle name="Migliaia [0] 37 2 3 3" xfId="35764" xr:uid="{866F215D-BE4C-40A4-B382-4779355363F8}"/>
    <cellStyle name="Migliaia [0] 37 2 3 4" xfId="40880" xr:uid="{2983902F-ED78-4CC3-A42D-39CC82073242}"/>
    <cellStyle name="Migliaia [0] 37 2 3 5" xfId="11801" xr:uid="{0A567758-8E78-4879-881F-E0CFC85A6A1E}"/>
    <cellStyle name="Migliaia [0] 37 2 4" xfId="5947" xr:uid="{4ED181B4-278B-46F9-A99F-74F65201207D}"/>
    <cellStyle name="Migliaia [0] 37 2 4 2" xfId="19648" xr:uid="{2C746332-12AC-4856-B8A1-D08DBFC6AC23}"/>
    <cellStyle name="Migliaia [0] 37 2 5" xfId="2969" xr:uid="{8DA40E09-55B5-4C52-A400-D9336CF9F252}"/>
    <cellStyle name="Migliaia [0] 37 2 5 2" xfId="24081" xr:uid="{7CB1D960-2D5F-48DF-9A44-A54EBDC5C6CD}"/>
    <cellStyle name="Migliaia [0] 37 2 6" xfId="7266" xr:uid="{73B37540-FCB0-4D49-9DB3-5E389972F1DA}"/>
    <cellStyle name="Migliaia [0] 37 3" xfId="1573" xr:uid="{00000000-0005-0000-0000-000050020000}"/>
    <cellStyle name="Migliaia [0] 37 3 2" xfId="4697" xr:uid="{7688EE82-5B25-4483-95DD-0CB3A4A37323}"/>
    <cellStyle name="Migliaia [0] 37 3 2 2" xfId="18331" xr:uid="{43B1B27C-C94C-4B6E-8F49-B5EEC6F2B02F}"/>
    <cellStyle name="Migliaia [0] 37 3 2 2 2" xfId="21781" xr:uid="{F2F6D6C8-231B-40AD-BFED-4AA7FD4F2058}"/>
    <cellStyle name="Migliaia [0] 37 3 2 2 2 2" xfId="38230" xr:uid="{CE8FF80F-2A26-4ECC-9F0E-AF803FB83018}"/>
    <cellStyle name="Migliaia [0] 37 3 2 2 3" xfId="43532" xr:uid="{7EE83B12-B29C-4E9C-BECC-CD26954886DC}"/>
    <cellStyle name="Migliaia [0] 37 3 2 2 4" xfId="32879" xr:uid="{C0759AE9-41B3-4E0C-8516-FF102C2DCC39}"/>
    <cellStyle name="Migliaia [0] 37 3 2 3" xfId="35765" xr:uid="{81BA5ACC-E85D-4D87-9100-8ACD7664DFED}"/>
    <cellStyle name="Migliaia [0] 37 3 2 4" xfId="40881" xr:uid="{930707CF-379A-4714-9C30-F6AC33C02739}"/>
    <cellStyle name="Migliaia [0] 37 3 2 5" xfId="25130" xr:uid="{5EC7C8D0-235E-4657-A939-E47915E84CDD}"/>
    <cellStyle name="Migliaia [0] 37 3 2 6" xfId="50809" xr:uid="{CA43EC19-DB97-4C6D-954C-7DAE4C3FD18B}"/>
    <cellStyle name="Migliaia [0] 37 3 2 7" xfId="53825" xr:uid="{F22705FE-651A-4331-9670-8D8165F7DB12}"/>
    <cellStyle name="Migliaia [0] 37 3 2 8" xfId="17607" xr:uid="{D9865329-0BF0-4032-B874-4878349E9505}"/>
    <cellStyle name="Migliaia [0] 37 3 2 9" xfId="11802" xr:uid="{12C15A31-2973-4FA4-B8F4-959842035226}"/>
    <cellStyle name="Migliaia [0] 37 3 3" xfId="5948" xr:uid="{89769745-8312-4C44-9AC9-E438F4AF19C3}"/>
    <cellStyle name="Migliaia [0] 37 3 3 2" xfId="12375" xr:uid="{ABBD32A8-DD29-479E-A18D-0D6C4D3B3C04}"/>
    <cellStyle name="Migliaia [0] 37 3 4" xfId="2971" xr:uid="{9560137C-3FAD-4A00-B872-4D921230BE19}"/>
    <cellStyle name="Migliaia [0] 37 3 4 2" xfId="21313" xr:uid="{D0198EC4-1F5E-446C-AD29-AB3BCCFC0DF3}"/>
    <cellStyle name="Migliaia [0] 37 3 4 3" xfId="48466" xr:uid="{2F84026F-C95B-4C77-87D7-A156C349D53C}"/>
    <cellStyle name="Migliaia [0] 37 3 4 4" xfId="50328" xr:uid="{F8E175C1-E3A3-4236-8040-6CF760DF11AB}"/>
    <cellStyle name="Migliaia [0] 37 3 4 5" xfId="53344" xr:uid="{2CDC5873-6F05-4CB7-8B5F-31FA19DEBB27}"/>
    <cellStyle name="Migliaia [0] 37 3 4 6" xfId="10678" xr:uid="{EA295B94-E16E-4389-B0C6-F640504696C2}"/>
    <cellStyle name="Migliaia [0] 37 3 5" xfId="19650" xr:uid="{0394D00B-D542-4BFE-A676-54DB154B1585}"/>
    <cellStyle name="Migliaia [0] 37 3 6" xfId="24083" xr:uid="{C7D486BD-E950-4D41-AA47-00D0BF068109}"/>
    <cellStyle name="Migliaia [0] 37 3 7" xfId="8214" xr:uid="{9FF8A63A-D151-4257-9E63-9DE6C45AC465}"/>
    <cellStyle name="Migliaia [0] 37 4" xfId="2972" xr:uid="{3F093CC6-2AF0-4076-B802-88D47EC1625B}"/>
    <cellStyle name="Migliaia [0] 37 4 2" xfId="4698" xr:uid="{62D7847B-C68B-4C3B-8A57-108C2F940BDB}"/>
    <cellStyle name="Migliaia [0] 37 4 2 2" xfId="35099" xr:uid="{55E82B8E-3EA5-4411-AA97-31B486FB539B}"/>
    <cellStyle name="Migliaia [0] 37 4 2 2 2" xfId="40257" xr:uid="{6F0003D1-17A2-404C-AED9-B5A317A15390}"/>
    <cellStyle name="Migliaia [0] 37 4 2 2 3" xfId="45559" xr:uid="{7DA48179-FDBE-4DBD-B5CE-DC1050014664}"/>
    <cellStyle name="Migliaia [0] 37 4 2 3" xfId="37606" xr:uid="{4550A281-20DF-43E2-920B-BEE5C9B6CF83}"/>
    <cellStyle name="Migliaia [0] 37 4 2 4" xfId="42908" xr:uid="{BD96FFD8-1FF2-43E6-A979-D49ABA452CE7}"/>
    <cellStyle name="Migliaia [0] 37 4 2 5" xfId="17039" xr:uid="{BCE3BBF3-7390-4EA1-BA74-19FFCDB79C2B}"/>
    <cellStyle name="Migliaia [0] 37 4 3" xfId="5949" xr:uid="{D8A345F9-0F43-4479-8D35-BB3A7CE28175}"/>
    <cellStyle name="Migliaia [0] 37 4 3 2" xfId="38231" xr:uid="{82286124-2A8B-4B7E-ABCC-2E7203A55F18}"/>
    <cellStyle name="Migliaia [0] 37 4 3 3" xfId="43533" xr:uid="{1EBBF070-EDE6-4F87-B15B-E321D225564C}"/>
    <cellStyle name="Migliaia [0] 37 4 3 4" xfId="32880" xr:uid="{D158E1E7-1485-4981-A47D-F463C90E87FC}"/>
    <cellStyle name="Migliaia [0] 37 4 3 5" xfId="19651" xr:uid="{3D40EFB4-8A24-4FEB-B38F-E3044F9BDB3E}"/>
    <cellStyle name="Migliaia [0] 37 4 4" xfId="35766" xr:uid="{5D028571-C5C5-4B6D-BEA4-E642E85597A8}"/>
    <cellStyle name="Migliaia [0] 37 4 5" xfId="40882" xr:uid="{BDC3070A-5F4C-4E74-8C66-EFEB47CFEC84}"/>
    <cellStyle name="Migliaia [0] 37 4 6" xfId="15981" xr:uid="{B72163BD-1C48-4F65-89CA-6108D590D5E1}"/>
    <cellStyle name="Migliaia [0] 37 4 7" xfId="7794" xr:uid="{FB0056FB-0A01-4F39-9FBE-500B706A4623}"/>
    <cellStyle name="Migliaia [0] 37 5" xfId="4694" xr:uid="{30366D83-1F53-49FD-A952-8FF46B04C8DE}"/>
    <cellStyle name="Migliaia [0] 37 5 2" xfId="32881" xr:uid="{C0D41A63-BB3A-40CB-99B3-1EB7888F477E}"/>
    <cellStyle name="Migliaia [0] 37 5 2 2" xfId="38232" xr:uid="{D3F2F186-92C7-447F-8E20-1AA68E16EEF0}"/>
    <cellStyle name="Migliaia [0] 37 5 2 3" xfId="43534" xr:uid="{843BDDE7-91BF-4E71-8013-524A87E763FE}"/>
    <cellStyle name="Migliaia [0] 37 5 3" xfId="35767" xr:uid="{B432E74D-8658-4EF3-B063-6D0520679184}"/>
    <cellStyle name="Migliaia [0] 37 5 4" xfId="40883" xr:uid="{6B8A38D6-64A0-44EC-977B-D86CC8AB6F76}"/>
    <cellStyle name="Migliaia [0] 37 5 5" xfId="17108" xr:uid="{62C2E4EC-714A-471C-B6EB-53D0821D5324}"/>
    <cellStyle name="Migliaia [0] 37 6" xfId="5946" xr:uid="{5E3D2523-F733-42E1-90A1-057D77C8BFCF}"/>
    <cellStyle name="Migliaia [0] 37 6 2" xfId="38228" xr:uid="{DB934880-04E5-4718-8F7F-CBA57077CD0B}"/>
    <cellStyle name="Migliaia [0] 37 6 3" xfId="43530" xr:uid="{747E5CC1-DEDF-4060-8F49-074F8C1A7364}"/>
    <cellStyle name="Migliaia [0] 37 6 4" xfId="32877" xr:uid="{AB285A3E-4844-4F73-9391-85C50017B2CB}"/>
    <cellStyle name="Migliaia [0] 37 6 5" xfId="19647" xr:uid="{8BE1898B-CC83-48EE-91FA-A3B2A2F882CB}"/>
    <cellStyle name="Migliaia [0] 37 7" xfId="2968" xr:uid="{D95DC1C0-0311-466A-94CE-9442BFE949E9}"/>
    <cellStyle name="Migliaia [0] 37 7 2" xfId="35763" xr:uid="{A1D6322E-F1D5-4DE4-A3DF-8937E81F529D}"/>
    <cellStyle name="Migliaia [0] 37 8" xfId="40879" xr:uid="{334093D9-E8A4-432F-9F43-9C02ECE3CA2E}"/>
    <cellStyle name="Migliaia [0] 37 9" xfId="7015" xr:uid="{5256776A-55E7-4197-A72D-C18C1A1AA294}"/>
    <cellStyle name="Migliaia [0] 38" xfId="273" xr:uid="{00000000-0005-0000-0000-000051020000}"/>
    <cellStyle name="Migliaia [0] 38 2" xfId="1574" xr:uid="{00000000-0005-0000-0000-000052020000}"/>
    <cellStyle name="Migliaia [0] 38 2 2" xfId="1575" xr:uid="{00000000-0005-0000-0000-000053020000}"/>
    <cellStyle name="Migliaia [0] 38 2 2 2" xfId="4701" xr:uid="{BD6959D5-5CED-40ED-AE2E-F7CE47F57AE9}"/>
    <cellStyle name="Migliaia [0] 38 2 2 2 2" xfId="21782" xr:uid="{7FD25924-FA60-45D0-8B1E-9EC430C76EB7}"/>
    <cellStyle name="Migliaia [0] 38 2 2 2 3" xfId="47813" xr:uid="{C4D48C22-CE7D-4EF4-96CA-C6E09EE1CD2D}"/>
    <cellStyle name="Migliaia [0] 38 2 2 2 4" xfId="50810" xr:uid="{EBDA1D81-65EF-4C35-9A66-FFEC17176957}"/>
    <cellStyle name="Migliaia [0] 38 2 2 2 5" xfId="53826" xr:uid="{E1EE3671-CFA2-48FE-A037-6DD9EA68489C}"/>
    <cellStyle name="Migliaia [0] 38 2 2 2 6" xfId="11803" xr:uid="{9C2CEB46-A9D8-403A-806C-6F999FCE2053}"/>
    <cellStyle name="Migliaia [0] 38 2 2 3" xfId="2975" xr:uid="{EFF91115-37E4-4AEF-BB62-2A31ACDE5697}"/>
    <cellStyle name="Migliaia [0] 38 2 2 3 2" xfId="12339" xr:uid="{55B09B53-1936-4EBE-B2CE-A02C0186600C}"/>
    <cellStyle name="Migliaia [0] 38 2 2 4" xfId="10679" xr:uid="{2C10E9DC-60BF-4A6B-BFB2-07BABC8EB9EA}"/>
    <cellStyle name="Migliaia [0] 38 2 2 4 2" xfId="21314" xr:uid="{699BEF9A-8F8C-44CF-A5F4-04EFC9DED0BC}"/>
    <cellStyle name="Migliaia [0] 38 2 2 4 3" xfId="25359" xr:uid="{76B50196-37DE-41BC-A09F-CB4ADDC063E0}"/>
    <cellStyle name="Migliaia [0] 38 2 2 4 4" xfId="50329" xr:uid="{562A6BA2-9CDD-4145-B09F-C1E9CFBA7235}"/>
    <cellStyle name="Migliaia [0] 38 2 2 4 5" xfId="53345" xr:uid="{7AE99349-74A3-4E0C-99F6-C370C9052FBD}"/>
    <cellStyle name="Migliaia [0] 38 2 2 5" xfId="19654" xr:uid="{2A5B8FFB-EE72-4061-9D9A-78F2F97DF9ED}"/>
    <cellStyle name="Migliaia [0] 38 2 2 6" xfId="24085" xr:uid="{D590D3C1-D71C-43B5-B61F-6E0767894553}"/>
    <cellStyle name="Migliaia [0] 38 2 2 7" xfId="48851" xr:uid="{334F7722-EE31-4AFD-94F8-1447CCA61E3B}"/>
    <cellStyle name="Migliaia [0] 38 2 2 8" xfId="49757" xr:uid="{437CEB94-99F3-4DCE-974F-25396666344C}"/>
    <cellStyle name="Migliaia [0] 38 2 2 9" xfId="8457" xr:uid="{65108721-4019-42C9-A4FA-4D0F1E708E8B}"/>
    <cellStyle name="Migliaia [0] 38 2 3" xfId="4700" xr:uid="{16664EEC-BC53-4153-839E-18C5C4A187CC}"/>
    <cellStyle name="Migliaia [0] 38 2 3 2" xfId="32883" xr:uid="{D933618C-D1BC-47C0-BE4A-0FEF431444CB}"/>
    <cellStyle name="Migliaia [0] 38 2 3 2 2" xfId="38234" xr:uid="{8629091B-FA29-4794-B8FC-BB17CFC89EEC}"/>
    <cellStyle name="Migliaia [0] 38 2 3 2 3" xfId="43536" xr:uid="{A78CF600-66B8-4A55-841E-FA8C418E4996}"/>
    <cellStyle name="Migliaia [0] 38 2 3 3" xfId="35769" xr:uid="{C2B0E52C-3810-4109-A96E-A15D08CC93E9}"/>
    <cellStyle name="Migliaia [0] 38 2 3 4" xfId="40885" xr:uid="{501764E0-2FE2-4F0E-BB71-975090412CD1}"/>
    <cellStyle name="Migliaia [0] 38 2 3 5" xfId="11804" xr:uid="{6BD4BC29-5E7F-49C2-AD20-0CA02167F4EC}"/>
    <cellStyle name="Migliaia [0] 38 2 4" xfId="5951" xr:uid="{53444165-4085-46A9-8168-C27C5D0BBCC5}"/>
    <cellStyle name="Migliaia [0] 38 2 4 2" xfId="19653" xr:uid="{6B9B6051-799C-4D47-8C68-E691F6464319}"/>
    <cellStyle name="Migliaia [0] 38 2 5" xfId="2974" xr:uid="{3822B655-0E51-47DE-8651-6832A270281C}"/>
    <cellStyle name="Migliaia [0] 38 2 5 2" xfId="24084" xr:uid="{43BFF4DF-66E5-4D9C-932C-0DE79806FE2F}"/>
    <cellStyle name="Migliaia [0] 38 2 6" xfId="7267" xr:uid="{D48A0937-63BF-4E55-B102-877D70BAA217}"/>
    <cellStyle name="Migliaia [0] 38 3" xfId="1576" xr:uid="{00000000-0005-0000-0000-000054020000}"/>
    <cellStyle name="Migliaia [0] 38 3 2" xfId="4702" xr:uid="{6F66D0F0-81D1-4D25-ADA3-EA445CFC938D}"/>
    <cellStyle name="Migliaia [0] 38 3 2 2" xfId="18332" xr:uid="{B35707C6-D484-4583-885C-F956AFDDB26A}"/>
    <cellStyle name="Migliaia [0] 38 3 2 2 2" xfId="21783" xr:uid="{8860CB47-ABC0-4FC0-B934-90E071F1AEBE}"/>
    <cellStyle name="Migliaia [0] 38 3 2 2 2 2" xfId="38235" xr:uid="{94555AD4-812F-4946-A66A-5A66C1501B34}"/>
    <cellStyle name="Migliaia [0] 38 3 2 2 3" xfId="43537" xr:uid="{E3C7F30A-7572-4516-8C45-48095B197202}"/>
    <cellStyle name="Migliaia [0] 38 3 2 2 4" xfId="32884" xr:uid="{B0534A21-5540-407D-976D-A112B1B97F57}"/>
    <cellStyle name="Migliaia [0] 38 3 2 3" xfId="35770" xr:uid="{3EBC7E28-277A-4EEC-A0FD-934B5282CA54}"/>
    <cellStyle name="Migliaia [0] 38 3 2 4" xfId="40886" xr:uid="{6A78A3F6-2DE3-45A3-9306-3092E3EE9C52}"/>
    <cellStyle name="Migliaia [0] 38 3 2 5" xfId="48042" xr:uid="{91DD1E97-C273-4403-A750-26177F88A4E2}"/>
    <cellStyle name="Migliaia [0] 38 3 2 6" xfId="50811" xr:uid="{4A32B324-2762-4CF9-8C44-99CC6CE9F191}"/>
    <cellStyle name="Migliaia [0] 38 3 2 7" xfId="53827" xr:uid="{469F203A-7559-4A72-8428-A1DEF3E92E86}"/>
    <cellStyle name="Migliaia [0] 38 3 2 8" xfId="17608" xr:uid="{BDC0D432-0E87-46E7-91C1-F1D0F37940D8}"/>
    <cellStyle name="Migliaia [0] 38 3 2 9" xfId="11805" xr:uid="{72441752-27EB-46AB-8F4C-E2E67163062A}"/>
    <cellStyle name="Migliaia [0] 38 3 3" xfId="5952" xr:uid="{EEB67433-A8B3-4725-B6A4-76BD313824F7}"/>
    <cellStyle name="Migliaia [0] 38 3 3 2" xfId="12374" xr:uid="{CE175EBB-1DEA-4459-B96B-6BC51AA22B01}"/>
    <cellStyle name="Migliaia [0] 38 3 4" xfId="2976" xr:uid="{DEF5E573-F308-48FB-9A73-6865D8474A78}"/>
    <cellStyle name="Migliaia [0] 38 3 4 2" xfId="21315" xr:uid="{0E065C6D-F026-4ECE-A45E-255BB749CE28}"/>
    <cellStyle name="Migliaia [0] 38 3 4 3" xfId="48264" xr:uid="{C78E470F-2A7B-47A1-A003-123F4AE816C6}"/>
    <cellStyle name="Migliaia [0] 38 3 4 4" xfId="50330" xr:uid="{80C73897-13C3-49A8-9462-D5A2553AF044}"/>
    <cellStyle name="Migliaia [0] 38 3 4 5" xfId="53346" xr:uid="{2B1787E7-071C-40B8-BC95-800153391C2B}"/>
    <cellStyle name="Migliaia [0] 38 3 4 6" xfId="10680" xr:uid="{FB4B4E42-B49E-45EC-8AF3-2578A7B620BE}"/>
    <cellStyle name="Migliaia [0] 38 3 5" xfId="19655" xr:uid="{4CDE5883-F46D-45D1-891F-40098BC05E13}"/>
    <cellStyle name="Migliaia [0] 38 3 6" xfId="24086" xr:uid="{8B43D69F-8AC2-409E-B14D-48E9752608D6}"/>
    <cellStyle name="Migliaia [0] 38 3 7" xfId="8215" xr:uid="{38559D81-A59F-44BF-84AC-25D9F3E3CC7F}"/>
    <cellStyle name="Migliaia [0] 38 4" xfId="2977" xr:uid="{6584EBAF-C1C2-46DF-BD6B-9415B1C9695F}"/>
    <cellStyle name="Migliaia [0] 38 4 2" xfId="4703" xr:uid="{442F5C5D-ABBC-4779-9519-8B79F8942E6F}"/>
    <cellStyle name="Migliaia [0] 38 4 2 2" xfId="35100" xr:uid="{5F748D44-659B-4D4E-A035-28AD9F1E5E61}"/>
    <cellStyle name="Migliaia [0] 38 4 2 2 2" xfId="40258" xr:uid="{BAA5EB88-EF38-4A45-89EB-39DF0EFC8FC0}"/>
    <cellStyle name="Migliaia [0] 38 4 2 2 3" xfId="45560" xr:uid="{3BE0F041-B777-47EC-8A93-62F86507E4F6}"/>
    <cellStyle name="Migliaia [0] 38 4 2 3" xfId="37607" xr:uid="{DDDE87E6-DA9E-42F2-995D-13B43FF038AA}"/>
    <cellStyle name="Migliaia [0] 38 4 2 4" xfId="42909" xr:uid="{4CC413AC-CE1E-49B0-99DB-D6D916322521}"/>
    <cellStyle name="Migliaia [0] 38 4 2 5" xfId="17040" xr:uid="{ABD0DED5-0BF3-4B73-B712-7786E56EFAB9}"/>
    <cellStyle name="Migliaia [0] 38 4 3" xfId="5953" xr:uid="{AA9A3FEE-C824-4980-9C93-7C5B8FCA4BB0}"/>
    <cellStyle name="Migliaia [0] 38 4 3 2" xfId="38236" xr:uid="{D8103333-C317-491B-A53B-87CF1C0F2930}"/>
    <cellStyle name="Migliaia [0] 38 4 3 3" xfId="43538" xr:uid="{122558BF-3364-4949-84AE-019B774A7532}"/>
    <cellStyle name="Migliaia [0] 38 4 3 4" xfId="32885" xr:uid="{EEE94551-40FE-467C-A5ED-160283AF821D}"/>
    <cellStyle name="Migliaia [0] 38 4 3 5" xfId="19656" xr:uid="{65435B9C-AB74-49FB-880E-3DF75367D1ED}"/>
    <cellStyle name="Migliaia [0] 38 4 4" xfId="35771" xr:uid="{693C5496-BAF7-4568-B539-720AE241AF83}"/>
    <cellStyle name="Migliaia [0] 38 4 5" xfId="40887" xr:uid="{8A726177-53DE-4FF8-9FC4-FD13605F346B}"/>
    <cellStyle name="Migliaia [0] 38 4 6" xfId="15982" xr:uid="{DAA0F5BF-F8CF-40D9-9ECD-C563ED039E9F}"/>
    <cellStyle name="Migliaia [0] 38 4 7" xfId="7795" xr:uid="{F1756E76-DBC5-4EA0-9638-849C4D99C39A}"/>
    <cellStyle name="Migliaia [0] 38 5" xfId="4699" xr:uid="{584A6843-AF8E-41DF-8A28-45672D035C8C}"/>
    <cellStyle name="Migliaia [0] 38 5 2" xfId="32886" xr:uid="{8776FFD2-1A2F-4E59-BAE0-24E7EF2CAF6D}"/>
    <cellStyle name="Migliaia [0] 38 5 2 2" xfId="38237" xr:uid="{1C8D7A98-5F15-4D57-B5EC-9F1DB6BF477D}"/>
    <cellStyle name="Migliaia [0] 38 5 2 3" xfId="43539" xr:uid="{5B5549B4-228F-4ECF-B455-465F093FC2F6}"/>
    <cellStyle name="Migliaia [0] 38 5 3" xfId="35772" xr:uid="{D1888D9D-3FB6-4551-9182-DD2B9D833D25}"/>
    <cellStyle name="Migliaia [0] 38 5 4" xfId="40888" xr:uid="{C1D02F65-752E-4EF7-96FB-AF6891015C5E}"/>
    <cellStyle name="Migliaia [0] 38 5 5" xfId="17109" xr:uid="{A79D2EC9-2ADD-4D92-8AD4-A852385F7EC5}"/>
    <cellStyle name="Migliaia [0] 38 6" xfId="5950" xr:uid="{A7B96F3E-DF5E-4218-BC3D-7716FBF6C591}"/>
    <cellStyle name="Migliaia [0] 38 6 2" xfId="38233" xr:uid="{D404121D-A6C8-420D-9857-52CCFE4BAE98}"/>
    <cellStyle name="Migliaia [0] 38 6 3" xfId="43535" xr:uid="{6D5A483C-8135-4D86-B20F-97E77185B2B4}"/>
    <cellStyle name="Migliaia [0] 38 6 4" xfId="32882" xr:uid="{51D2F216-65FF-43E4-B226-43ECC9EE3599}"/>
    <cellStyle name="Migliaia [0] 38 6 5" xfId="19652" xr:uid="{A5251B72-173E-436D-8ADC-CA609F27DB8F}"/>
    <cellStyle name="Migliaia [0] 38 7" xfId="2973" xr:uid="{395AC7A6-3E82-4A59-98C8-EAED3ACF246A}"/>
    <cellStyle name="Migliaia [0] 38 7 2" xfId="35768" xr:uid="{4D2C7B78-B5D7-4ED6-9310-264AC32EC6E9}"/>
    <cellStyle name="Migliaia [0] 38 8" xfId="40884" xr:uid="{F917604F-C496-4CA2-947C-A0D2B81BEAE0}"/>
    <cellStyle name="Migliaia [0] 38 9" xfId="7016" xr:uid="{492D7842-18C6-4163-8E2E-1502BF767325}"/>
    <cellStyle name="Migliaia [0] 39" xfId="274" xr:uid="{00000000-0005-0000-0000-000055020000}"/>
    <cellStyle name="Migliaia [0] 39 2" xfId="1577" xr:uid="{00000000-0005-0000-0000-000056020000}"/>
    <cellStyle name="Migliaia [0] 39 2 2" xfId="1578" xr:uid="{00000000-0005-0000-0000-000057020000}"/>
    <cellStyle name="Migliaia [0] 39 2 2 2" xfId="4706" xr:uid="{8828DD60-1164-442E-A855-02D1B9E4DD34}"/>
    <cellStyle name="Migliaia [0] 39 2 2 2 2" xfId="21784" xr:uid="{9BB48406-B2F2-40F6-BD96-E226C0F00D31}"/>
    <cellStyle name="Migliaia [0] 39 2 2 2 3" xfId="48484" xr:uid="{22C34EDE-AF5F-4CD9-A580-4D454935EE7C}"/>
    <cellStyle name="Migliaia [0] 39 2 2 2 4" xfId="50812" xr:uid="{E2D85156-71A6-4614-B409-26CB3EBDAD70}"/>
    <cellStyle name="Migliaia [0] 39 2 2 2 5" xfId="53828" xr:uid="{C695A5F1-3F08-4299-88F4-2213D08E79CA}"/>
    <cellStyle name="Migliaia [0] 39 2 2 2 6" xfId="11806" xr:uid="{945611B2-ED35-4896-BD25-19FA2A43EDE8}"/>
    <cellStyle name="Migliaia [0] 39 2 2 3" xfId="2980" xr:uid="{5A374EB6-2F63-4C67-ABDA-FB948117B2A4}"/>
    <cellStyle name="Migliaia [0] 39 2 2 3 2" xfId="12182" xr:uid="{FC283C3E-9EA6-43CD-BB11-9A0147D19589}"/>
    <cellStyle name="Migliaia [0] 39 2 2 4" xfId="10681" xr:uid="{5717E317-5604-47AF-95D2-6A2DF57A8C88}"/>
    <cellStyle name="Migliaia [0] 39 2 2 4 2" xfId="21316" xr:uid="{17040F80-70F5-44BF-B24E-D25483353892}"/>
    <cellStyle name="Migliaia [0] 39 2 2 4 3" xfId="46637" xr:uid="{26BBD8CB-E17D-4A22-9D3F-B594BA5DBB2C}"/>
    <cellStyle name="Migliaia [0] 39 2 2 4 4" xfId="50331" xr:uid="{9C878354-0795-48D6-BCE5-E382860C2D31}"/>
    <cellStyle name="Migliaia [0] 39 2 2 4 5" xfId="53347" xr:uid="{0F747F58-DAFE-4C65-B46C-D10FD4530DC6}"/>
    <cellStyle name="Migliaia [0] 39 2 2 5" xfId="19659" xr:uid="{1FAD51CA-E7E5-4849-B98D-90FF2FD6889D}"/>
    <cellStyle name="Migliaia [0] 39 2 2 6" xfId="24088" xr:uid="{00C93F35-7E92-4288-8CD5-4630D72295DF}"/>
    <cellStyle name="Migliaia [0] 39 2 2 7" xfId="48852" xr:uid="{B7B7C719-A636-4136-8D19-8E3912149256}"/>
    <cellStyle name="Migliaia [0] 39 2 2 8" xfId="49758" xr:uid="{7F7AF574-73AB-43A8-B2C3-FE72F1305B4E}"/>
    <cellStyle name="Migliaia [0] 39 2 2 9" xfId="8458" xr:uid="{1B8776CC-F640-4B31-99D2-B3013DE01DB4}"/>
    <cellStyle name="Migliaia [0] 39 2 3" xfId="4705" xr:uid="{1B13F257-DE88-47D4-A53B-C152D3E952B4}"/>
    <cellStyle name="Migliaia [0] 39 2 3 2" xfId="32888" xr:uid="{F0C48E16-2EC3-4B99-AF18-1DA94B6EC8DE}"/>
    <cellStyle name="Migliaia [0] 39 2 3 2 2" xfId="38239" xr:uid="{B3ACD753-B493-47C9-9F0F-F11389E16CD0}"/>
    <cellStyle name="Migliaia [0] 39 2 3 2 3" xfId="43541" xr:uid="{7F77A431-9E28-403D-9307-0233924C202D}"/>
    <cellStyle name="Migliaia [0] 39 2 3 3" xfId="35774" xr:uid="{1F60319F-1D84-4CD4-AA95-0D3C76610DBB}"/>
    <cellStyle name="Migliaia [0] 39 2 3 4" xfId="40890" xr:uid="{175B41B7-06AC-4070-A7C6-2350F13F3AEB}"/>
    <cellStyle name="Migliaia [0] 39 2 3 5" xfId="11807" xr:uid="{3610B41F-EC1B-47B1-B7FC-91EEC3CFBA62}"/>
    <cellStyle name="Migliaia [0] 39 2 4" xfId="5955" xr:uid="{06DA20B4-0A0F-44B2-97FD-48FB18AF8762}"/>
    <cellStyle name="Migliaia [0] 39 2 4 2" xfId="19658" xr:uid="{A4D06E10-EBD2-4AF8-915F-00B7C445C8CD}"/>
    <cellStyle name="Migliaia [0] 39 2 5" xfId="2979" xr:uid="{F8803A83-3151-4E03-BC9D-0A1188E14613}"/>
    <cellStyle name="Migliaia [0] 39 2 5 2" xfId="24087" xr:uid="{5E9F77AE-CF6E-4707-9744-403254F217B2}"/>
    <cellStyle name="Migliaia [0] 39 2 6" xfId="7268" xr:uid="{0706E053-8303-4211-B9DB-69A922DAEE66}"/>
    <cellStyle name="Migliaia [0] 39 3" xfId="1579" xr:uid="{00000000-0005-0000-0000-000058020000}"/>
    <cellStyle name="Migliaia [0] 39 3 2" xfId="4707" xr:uid="{BA4005BC-1F3E-4079-80B0-B3205CF55272}"/>
    <cellStyle name="Migliaia [0] 39 3 2 2" xfId="18333" xr:uid="{CD1A96AD-AD88-4F52-A88C-DABF413A7B93}"/>
    <cellStyle name="Migliaia [0] 39 3 2 2 2" xfId="21785" xr:uid="{D101090C-BE71-4EE2-96B0-8368863C7F8F}"/>
    <cellStyle name="Migliaia [0] 39 3 2 2 2 2" xfId="38240" xr:uid="{CBCBD9DB-E8B2-4B7A-8B36-5EF639BE4E1C}"/>
    <cellStyle name="Migliaia [0] 39 3 2 2 3" xfId="43542" xr:uid="{51677BD2-7921-4AE0-AA78-9419FD28E270}"/>
    <cellStyle name="Migliaia [0] 39 3 2 2 4" xfId="32889" xr:uid="{70DED1F3-B0C4-47CE-AFB6-6B17E0512005}"/>
    <cellStyle name="Migliaia [0] 39 3 2 3" xfId="35775" xr:uid="{01D42635-A28C-4857-BE42-667DFFE28C57}"/>
    <cellStyle name="Migliaia [0] 39 3 2 4" xfId="40891" xr:uid="{9B6B44BC-EE05-4A3B-912D-532BF6070AE9}"/>
    <cellStyle name="Migliaia [0] 39 3 2 5" xfId="25129" xr:uid="{89321EED-D1B2-473E-B183-58310CC1E3CC}"/>
    <cellStyle name="Migliaia [0] 39 3 2 6" xfId="50813" xr:uid="{4420A1FC-9732-45F6-B78F-618228E9F549}"/>
    <cellStyle name="Migliaia [0] 39 3 2 7" xfId="53829" xr:uid="{54314E1C-563C-4791-A559-59EDE2168528}"/>
    <cellStyle name="Migliaia [0] 39 3 2 8" xfId="17609" xr:uid="{6F68A210-072F-4FBB-B78E-DF2F66D50F4A}"/>
    <cellStyle name="Migliaia [0] 39 3 2 9" xfId="11808" xr:uid="{57989DD1-82EA-4F74-822F-9D2BFCBAC65C}"/>
    <cellStyle name="Migliaia [0] 39 3 3" xfId="5956" xr:uid="{E9897F66-8636-417F-84C8-5C69F169153F}"/>
    <cellStyle name="Migliaia [0] 39 3 3 2" xfId="12189" xr:uid="{B39BE6A3-9171-4AD2-BC03-7DE45C0D5D99}"/>
    <cellStyle name="Migliaia [0] 39 3 4" xfId="2981" xr:uid="{A2B29CC0-E49E-468F-B523-D63FB3B13651}"/>
    <cellStyle name="Migliaia [0] 39 3 4 2" xfId="21317" xr:uid="{4A97A334-6DAD-475F-ABCD-B7A0C2F8990D}"/>
    <cellStyle name="Migliaia [0] 39 3 4 3" xfId="47143" xr:uid="{AC251C71-93D5-441F-81F3-531646E2C409}"/>
    <cellStyle name="Migliaia [0] 39 3 4 4" xfId="50332" xr:uid="{E55844ED-2CE6-4A13-A402-8C5979EEDFE7}"/>
    <cellStyle name="Migliaia [0] 39 3 4 5" xfId="53348" xr:uid="{6BF9D828-E3C7-4AEB-9966-34957B6ECE3D}"/>
    <cellStyle name="Migliaia [0] 39 3 4 6" xfId="10682" xr:uid="{116A54AB-79AD-4E3A-91B2-C413FC0C1433}"/>
    <cellStyle name="Migliaia [0] 39 3 5" xfId="19660" xr:uid="{C7ADE0CB-67D0-4A9A-9710-4264F7DCE979}"/>
    <cellStyle name="Migliaia [0] 39 3 6" xfId="24089" xr:uid="{AFE15A46-35D6-4E4D-A36D-3A7F68865F5C}"/>
    <cellStyle name="Migliaia [0] 39 3 7" xfId="8216" xr:uid="{D0508500-17A1-47A1-B56F-2C61346E5EE3}"/>
    <cellStyle name="Migliaia [0] 39 4" xfId="2982" xr:uid="{04F465FF-822F-41B9-AC29-46ECD945B5E0}"/>
    <cellStyle name="Migliaia [0] 39 4 2" xfId="4708" xr:uid="{35E526DF-732D-4B74-83A7-DE912F68DF1D}"/>
    <cellStyle name="Migliaia [0] 39 4 2 2" xfId="35101" xr:uid="{B3E12873-3E5E-4415-A64B-1AA5AC401C5D}"/>
    <cellStyle name="Migliaia [0] 39 4 2 2 2" xfId="40259" xr:uid="{B74E38A7-7F39-4E6D-B9B4-C28900296A1A}"/>
    <cellStyle name="Migliaia [0] 39 4 2 2 3" xfId="45561" xr:uid="{1F8A0512-50B1-4752-8463-642BD300316B}"/>
    <cellStyle name="Migliaia [0] 39 4 2 3" xfId="37608" xr:uid="{D90AB5DF-1965-488E-A370-EEB0CA783A94}"/>
    <cellStyle name="Migliaia [0] 39 4 2 4" xfId="42910" xr:uid="{B9C20D9C-DDC1-49BD-9E5B-F0872A30592C}"/>
    <cellStyle name="Migliaia [0] 39 4 2 5" xfId="17041" xr:uid="{7AA36A89-49C4-4E17-876D-5B24A56DA52F}"/>
    <cellStyle name="Migliaia [0] 39 4 3" xfId="5957" xr:uid="{AB77DEC9-899A-4654-B95C-814CB727CB47}"/>
    <cellStyle name="Migliaia [0] 39 4 3 2" xfId="38241" xr:uid="{0F7DDDBD-4127-4F66-851E-F96AE9A24E58}"/>
    <cellStyle name="Migliaia [0] 39 4 3 3" xfId="43543" xr:uid="{E05077DA-3EE7-4305-864C-34C5BA2C2D37}"/>
    <cellStyle name="Migliaia [0] 39 4 3 4" xfId="32890" xr:uid="{04D6B8A5-9F45-4F50-97F5-4DA215ED7FD7}"/>
    <cellStyle name="Migliaia [0] 39 4 3 5" xfId="19661" xr:uid="{5D81C486-7D83-4D9C-A9A5-6F4397267B82}"/>
    <cellStyle name="Migliaia [0] 39 4 4" xfId="35776" xr:uid="{9C754478-86B9-4F79-90F1-2DC733C4CEC5}"/>
    <cellStyle name="Migliaia [0] 39 4 5" xfId="40892" xr:uid="{DF50652B-59B9-4DE6-A27B-72B1AA9B480E}"/>
    <cellStyle name="Migliaia [0] 39 4 6" xfId="15983" xr:uid="{2ECAB8DA-5DB4-45AB-8138-8F6E1A10DFD7}"/>
    <cellStyle name="Migliaia [0] 39 4 7" xfId="7796" xr:uid="{7EE6F40C-6E7F-4D26-BF0B-B5BEB0428E11}"/>
    <cellStyle name="Migliaia [0] 39 5" xfId="4704" xr:uid="{D4A85247-552B-4B03-B85D-1403BD23A759}"/>
    <cellStyle name="Migliaia [0] 39 5 2" xfId="32891" xr:uid="{EC2688DB-AC45-43FC-9E4E-5A5A60906AE1}"/>
    <cellStyle name="Migliaia [0] 39 5 2 2" xfId="38242" xr:uid="{7A95DE1C-AB5E-465B-97B4-E66B02B2E137}"/>
    <cellStyle name="Migliaia [0] 39 5 2 3" xfId="43544" xr:uid="{57E49B5E-D2E9-448A-8B28-DBA41A834D3A}"/>
    <cellStyle name="Migliaia [0] 39 5 3" xfId="35777" xr:uid="{9F3F90C2-AA06-4E0A-86CE-D6E713D49809}"/>
    <cellStyle name="Migliaia [0] 39 5 4" xfId="40893" xr:uid="{06591F37-E6FA-4BFF-B29A-6319815D22E7}"/>
    <cellStyle name="Migliaia [0] 39 5 5" xfId="17110" xr:uid="{4A323C6C-354F-4785-A2CB-D621EC08C38C}"/>
    <cellStyle name="Migliaia [0] 39 6" xfId="5954" xr:uid="{609725EE-1C69-4426-AB55-C78BF62B398B}"/>
    <cellStyle name="Migliaia [0] 39 6 2" xfId="38238" xr:uid="{600CE25F-015E-49A5-8BD9-4F050EB3543B}"/>
    <cellStyle name="Migliaia [0] 39 6 3" xfId="43540" xr:uid="{95EB8022-4916-4673-AE3A-54015C4748E0}"/>
    <cellStyle name="Migliaia [0] 39 6 4" xfId="32887" xr:uid="{43B6E1E7-3839-4563-9CAD-891C58E7C3B6}"/>
    <cellStyle name="Migliaia [0] 39 6 5" xfId="19657" xr:uid="{5A55E791-728F-44AC-A8E2-5DCA23C98B8C}"/>
    <cellStyle name="Migliaia [0] 39 7" xfId="2978" xr:uid="{57442825-9EB6-4E55-8EA9-84FC541AF922}"/>
    <cellStyle name="Migliaia [0] 39 7 2" xfId="35773" xr:uid="{DB16457A-B9F1-4A92-8EAE-857918835D31}"/>
    <cellStyle name="Migliaia [0] 39 8" xfId="40889" xr:uid="{EC2BBA2D-11EB-465B-BE6E-C47A071F5DD4}"/>
    <cellStyle name="Migliaia [0] 39 9" xfId="7017" xr:uid="{AFFA8588-5CF8-4D2B-8905-925E8E494FE5}"/>
    <cellStyle name="Migliaia [0] 4" xfId="275" xr:uid="{00000000-0005-0000-0000-000059020000}"/>
    <cellStyle name="Migliaia [0] 4 2" xfId="1580" xr:uid="{00000000-0005-0000-0000-00005A020000}"/>
    <cellStyle name="Migliaia [0] 4 2 2" xfId="1581" xr:uid="{00000000-0005-0000-0000-00005B020000}"/>
    <cellStyle name="Migliaia [0] 4 2 2 2" xfId="4711" xr:uid="{A8D51E7E-B26C-4AF3-82CB-F79A0EA8AB30}"/>
    <cellStyle name="Migliaia [0] 4 2 2 2 2" xfId="21786" xr:uid="{C5F34E63-39B1-414E-883F-165CD1175F48}"/>
    <cellStyle name="Migliaia [0] 4 2 2 2 3" xfId="48392" xr:uid="{8925B4F8-0683-470F-BBA5-8D4C7A67F2C0}"/>
    <cellStyle name="Migliaia [0] 4 2 2 2 4" xfId="50814" xr:uid="{6103C231-28F7-422D-BF61-C039742AB0E0}"/>
    <cellStyle name="Migliaia [0] 4 2 2 2 5" xfId="53830" xr:uid="{A1FF8789-52B6-4D23-98E6-DB6B672A30B5}"/>
    <cellStyle name="Migliaia [0] 4 2 2 2 6" xfId="11809" xr:uid="{73CB7760-5F67-4C3A-98D7-6E4B411F9554}"/>
    <cellStyle name="Migliaia [0] 4 2 2 3" xfId="2985" xr:uid="{A383A480-D694-41D9-AA73-C66761A9562E}"/>
    <cellStyle name="Migliaia [0] 4 2 2 3 2" xfId="11554" xr:uid="{604923D4-9E36-42C6-808A-43D45A59B051}"/>
    <cellStyle name="Migliaia [0] 4 2 2 4" xfId="10683" xr:uid="{F0778B85-A02D-44A1-9577-C4BE1B4AC927}"/>
    <cellStyle name="Migliaia [0] 4 2 2 4 2" xfId="21318" xr:uid="{CF0050F5-B8E6-4E20-8FC8-F55FCFC91EE8}"/>
    <cellStyle name="Migliaia [0] 4 2 2 4 3" xfId="47997" xr:uid="{4F87CC58-8192-4C39-85F1-8C4826D91A16}"/>
    <cellStyle name="Migliaia [0] 4 2 2 4 4" xfId="50333" xr:uid="{0B2C2F4E-3EB7-4ED6-AE23-7CE41E4CB567}"/>
    <cellStyle name="Migliaia [0] 4 2 2 4 5" xfId="53349" xr:uid="{0256DE75-7C32-4ED6-89F0-425A787849A8}"/>
    <cellStyle name="Migliaia [0] 4 2 2 5" xfId="19664" xr:uid="{96D466F1-B2F6-4D1F-9F6D-2C6DA176E745}"/>
    <cellStyle name="Migliaia [0] 4 2 2 6" xfId="24091" xr:uid="{71C43F76-5EE2-4CC5-AE9E-330ED977F6B2}"/>
    <cellStyle name="Migliaia [0] 4 2 2 7" xfId="48853" xr:uid="{8C379A9A-39FA-47C7-8C5E-9FF06FD89A47}"/>
    <cellStyle name="Migliaia [0] 4 2 2 8" xfId="49759" xr:uid="{2130414D-4FD9-4B5F-AA0B-25D6F731E72E}"/>
    <cellStyle name="Migliaia [0] 4 2 2 9" xfId="8459" xr:uid="{112867D1-E474-4114-A333-9E6489DAB418}"/>
    <cellStyle name="Migliaia [0] 4 2 3" xfId="4710" xr:uid="{0853E942-ACF7-4A33-A9F8-069F0691215C}"/>
    <cellStyle name="Migliaia [0] 4 2 3 2" xfId="32893" xr:uid="{DB0E16D7-D941-48FF-90EA-8C8B7C52A8D9}"/>
    <cellStyle name="Migliaia [0] 4 2 3 2 2" xfId="38244" xr:uid="{108BA6F1-8D1B-4CE0-A936-9F6B1252727E}"/>
    <cellStyle name="Migliaia [0] 4 2 3 2 3" xfId="43546" xr:uid="{9D77276F-A197-4FEF-A7E7-67E9FCB3D492}"/>
    <cellStyle name="Migliaia [0] 4 2 3 3" xfId="35779" xr:uid="{9E31711D-9FC4-4319-8A97-C247D278EA3D}"/>
    <cellStyle name="Migliaia [0] 4 2 3 4" xfId="40895" xr:uid="{31022C44-4D69-4F86-BA28-ABCB1D5DCEF6}"/>
    <cellStyle name="Migliaia [0] 4 2 3 5" xfId="11810" xr:uid="{E781DEA9-677B-49E2-B081-B5B79F796962}"/>
    <cellStyle name="Migliaia [0] 4 2 4" xfId="5959" xr:uid="{AC00550F-3445-49F1-BEAE-598EAC6BF382}"/>
    <cellStyle name="Migliaia [0] 4 2 4 2" xfId="19663" xr:uid="{A93F2750-235A-4ED9-8545-61771AF74C64}"/>
    <cellStyle name="Migliaia [0] 4 2 5" xfId="2984" xr:uid="{CB410A93-260E-4F91-8A5D-DF451A0AA143}"/>
    <cellStyle name="Migliaia [0] 4 2 5 2" xfId="24090" xr:uid="{F2A7F8AD-175C-4F28-A456-2668C7B490DD}"/>
    <cellStyle name="Migliaia [0] 4 2 6" xfId="7269" xr:uid="{3B2D2848-DA4C-44DE-8262-7B5971B1419A}"/>
    <cellStyle name="Migliaia [0] 4 3" xfId="1582" xr:uid="{00000000-0005-0000-0000-00005C020000}"/>
    <cellStyle name="Migliaia [0] 4 3 2" xfId="4712" xr:uid="{23C4E08D-7B61-47F6-A95E-71E0DB03C204}"/>
    <cellStyle name="Migliaia [0] 4 3 2 2" xfId="18334" xr:uid="{CF0354C9-C827-41E0-821E-D7CF346EB4FD}"/>
    <cellStyle name="Migliaia [0] 4 3 2 2 2" xfId="21787" xr:uid="{265FA5DF-74D9-42A9-B66D-D83B769D6CE4}"/>
    <cellStyle name="Migliaia [0] 4 3 2 2 2 2" xfId="38245" xr:uid="{3A091756-63C3-4E3F-BEED-E4D54DEB9FED}"/>
    <cellStyle name="Migliaia [0] 4 3 2 2 3" xfId="43547" xr:uid="{69F5B322-B9BD-4284-BEB1-E885C40E97EB}"/>
    <cellStyle name="Migliaia [0] 4 3 2 2 4" xfId="32894" xr:uid="{4E11FE5C-B78B-49D1-A2AD-5C31D9E7F8DF}"/>
    <cellStyle name="Migliaia [0] 4 3 2 3" xfId="35780" xr:uid="{8AA71120-C2AB-4853-BC71-26BDB258DFB1}"/>
    <cellStyle name="Migliaia [0] 4 3 2 4" xfId="40896" xr:uid="{2F4212F6-6386-4E4F-9445-AF32F933E3DE}"/>
    <cellStyle name="Migliaia [0] 4 3 2 5" xfId="32370" xr:uid="{CAB32EF1-A193-4BAD-BA5B-67CCB0353E55}"/>
    <cellStyle name="Migliaia [0] 4 3 2 6" xfId="50815" xr:uid="{EC847EC3-C95C-4EC9-B089-2AD9F734DCD0}"/>
    <cellStyle name="Migliaia [0] 4 3 2 7" xfId="53831" xr:uid="{F9C167A1-EE19-418B-9E62-CFE9ABEF52CB}"/>
    <cellStyle name="Migliaia [0] 4 3 2 8" xfId="17610" xr:uid="{944EFEC0-5ADC-41EF-A064-3506898C2780}"/>
    <cellStyle name="Migliaia [0] 4 3 2 9" xfId="11811" xr:uid="{6AEF5F13-78BF-42D0-8DBB-993FF4B8044E}"/>
    <cellStyle name="Migliaia [0] 4 3 3" xfId="5960" xr:uid="{9AAE206C-8548-40B8-B0BF-40528F25F033}"/>
    <cellStyle name="Migliaia [0] 4 3 3 2" xfId="11173" xr:uid="{10F69F88-B3CE-4232-A4BC-62977202A9D6}"/>
    <cellStyle name="Migliaia [0] 4 3 4" xfId="2986" xr:uid="{531F806B-1B91-43E6-B0DA-EC3D2C180126}"/>
    <cellStyle name="Migliaia [0] 4 3 4 2" xfId="21319" xr:uid="{401EC739-0706-40C2-87CF-DFEB970583C2}"/>
    <cellStyle name="Migliaia [0] 4 3 4 3" xfId="48236" xr:uid="{F58EF451-5EDE-4145-A331-1996BCA8CDE8}"/>
    <cellStyle name="Migliaia [0] 4 3 4 4" xfId="50334" xr:uid="{794C4813-9B63-43F3-9CC7-CB48B65B6C1F}"/>
    <cellStyle name="Migliaia [0] 4 3 4 5" xfId="53350" xr:uid="{460D06E7-C2AB-495F-A102-F46AF168737B}"/>
    <cellStyle name="Migliaia [0] 4 3 4 6" xfId="10684" xr:uid="{5D8DA988-7B0A-476D-95A9-FAA042790C02}"/>
    <cellStyle name="Migliaia [0] 4 3 5" xfId="19665" xr:uid="{26E6A0DE-2547-4205-9FF3-F9155745280B}"/>
    <cellStyle name="Migliaia [0] 4 3 6" xfId="24092" xr:uid="{13F8FFD1-4E8C-410B-AD59-754E46C37757}"/>
    <cellStyle name="Migliaia [0] 4 3 7" xfId="8217" xr:uid="{03AAD740-B200-4AB2-A181-D48BFFCF6636}"/>
    <cellStyle name="Migliaia [0] 4 4" xfId="2987" xr:uid="{8941C3D6-A640-40BA-A107-8FDF0782425C}"/>
    <cellStyle name="Migliaia [0] 4 4 2" xfId="4713" xr:uid="{AFE59084-D100-4D02-ACE1-FDD1F34B03E6}"/>
    <cellStyle name="Migliaia [0] 4 4 2 2" xfId="35102" xr:uid="{B05E7541-BA70-4079-AB17-8F532D8F9643}"/>
    <cellStyle name="Migliaia [0] 4 4 2 2 2" xfId="40260" xr:uid="{6A9C65DD-DDD6-474F-B431-61D0F2ACE1FE}"/>
    <cellStyle name="Migliaia [0] 4 4 2 2 3" xfId="45562" xr:uid="{77B5DFAB-9073-4BBB-BB67-ED6ADC1EF8C0}"/>
    <cellStyle name="Migliaia [0] 4 4 2 3" xfId="37609" xr:uid="{D2D9472D-D128-4C7D-8CD7-A0044AA6C296}"/>
    <cellStyle name="Migliaia [0] 4 4 2 4" xfId="42911" xr:uid="{7BDAFFFC-CF76-4D29-8705-F5AE2990D72D}"/>
    <cellStyle name="Migliaia [0] 4 4 2 5" xfId="17042" xr:uid="{9684D0A3-CD52-444E-8143-AD42F62B496C}"/>
    <cellStyle name="Migliaia [0] 4 4 3" xfId="5961" xr:uid="{D4910B4A-BE3E-4111-BBDC-7E5D40BD3C02}"/>
    <cellStyle name="Migliaia [0] 4 4 3 2" xfId="38246" xr:uid="{AB47F1D9-56CF-4C43-AA0B-BEE78AE79EB6}"/>
    <cellStyle name="Migliaia [0] 4 4 3 3" xfId="43548" xr:uid="{2019A65A-847F-4A61-875E-6358A90D0CB4}"/>
    <cellStyle name="Migliaia [0] 4 4 3 4" xfId="32895" xr:uid="{A009937C-B87A-41FA-BE04-226D7338981D}"/>
    <cellStyle name="Migliaia [0] 4 4 3 5" xfId="19666" xr:uid="{490DCFED-6986-4AA4-9009-D9D15B7C5B9A}"/>
    <cellStyle name="Migliaia [0] 4 4 4" xfId="35781" xr:uid="{CBD1CBC9-BF70-4EA1-BE9C-2B7AA291D57F}"/>
    <cellStyle name="Migliaia [0] 4 4 5" xfId="40897" xr:uid="{CB41DB00-4795-40D5-AB33-AA4C7537F6FD}"/>
    <cellStyle name="Migliaia [0] 4 4 6" xfId="15984" xr:uid="{267D780A-24F1-46D8-81D7-63D011BB2D66}"/>
    <cellStyle name="Migliaia [0] 4 4 7" xfId="7797" xr:uid="{089386C0-742C-42D7-AE0C-7DC76E780AFD}"/>
    <cellStyle name="Migliaia [0] 4 5" xfId="4709" xr:uid="{FA9F9C77-8651-47CB-9DFB-1EACDC63AE1A}"/>
    <cellStyle name="Migliaia [0] 4 5 2" xfId="32896" xr:uid="{6039CF5A-47FF-4D38-AC67-13DE729991BE}"/>
    <cellStyle name="Migliaia [0] 4 5 2 2" xfId="38247" xr:uid="{4FD9FD14-EFE6-419C-987F-3C0319337E4C}"/>
    <cellStyle name="Migliaia [0] 4 5 2 3" xfId="43549" xr:uid="{146B8DD3-CF79-4773-B5A7-18A54FA75B97}"/>
    <cellStyle name="Migliaia [0] 4 5 3" xfId="35782" xr:uid="{CCF9D934-58AB-4006-BFF2-F564F53B5D10}"/>
    <cellStyle name="Migliaia [0] 4 5 4" xfId="40898" xr:uid="{9EBE4F33-9CF7-445A-8E0D-349DD156CC19}"/>
    <cellStyle name="Migliaia [0] 4 5 5" xfId="17111" xr:uid="{172C4A04-4F84-4C87-996C-CF27B6E543F4}"/>
    <cellStyle name="Migliaia [0] 4 6" xfId="5958" xr:uid="{0C823775-9FA2-4071-B96A-4A8C4574FDE0}"/>
    <cellStyle name="Migliaia [0] 4 6 2" xfId="38243" xr:uid="{B4C15AD1-4D47-4CF9-B224-812A1814A8EA}"/>
    <cellStyle name="Migliaia [0] 4 6 3" xfId="43545" xr:uid="{F7F4F21A-7F0D-4EC9-ADDC-752423A35C1B}"/>
    <cellStyle name="Migliaia [0] 4 6 4" xfId="32892" xr:uid="{11B30188-1E29-42E8-97FD-8AD749C556A4}"/>
    <cellStyle name="Migliaia [0] 4 6 5" xfId="19662" xr:uid="{265388DD-F65C-4109-9A7B-CBD066FC5032}"/>
    <cellStyle name="Migliaia [0] 4 7" xfId="2983" xr:uid="{7A2323BA-FF54-4B66-A963-26B775D5A617}"/>
    <cellStyle name="Migliaia [0] 4 7 2" xfId="35778" xr:uid="{B7723D02-CC38-4844-A678-B383A1ED6998}"/>
    <cellStyle name="Migliaia [0] 4 8" xfId="40894" xr:uid="{539142E4-18BE-44C4-B890-1CFA02BC36CD}"/>
    <cellStyle name="Migliaia [0] 4 9" xfId="7018" xr:uid="{9B740307-6FA2-481C-9D1C-49CF4762B5AD}"/>
    <cellStyle name="Migliaia [0] 40" xfId="276" xr:uid="{00000000-0005-0000-0000-00005D020000}"/>
    <cellStyle name="Migliaia [0] 40 2" xfId="1583" xr:uid="{00000000-0005-0000-0000-00005E020000}"/>
    <cellStyle name="Migliaia [0] 40 2 2" xfId="1584" xr:uid="{00000000-0005-0000-0000-00005F020000}"/>
    <cellStyle name="Migliaia [0] 40 2 2 2" xfId="4716" xr:uid="{B67E0994-D742-4907-8982-E5C15639BBB9}"/>
    <cellStyle name="Migliaia [0] 40 2 2 2 2" xfId="21788" xr:uid="{1CD73D4B-55FA-4965-ABE1-21E1CEB5F789}"/>
    <cellStyle name="Migliaia [0] 40 2 2 2 3" xfId="47609" xr:uid="{56E10D92-8618-42B6-B2B6-6737D6CC53B9}"/>
    <cellStyle name="Migliaia [0] 40 2 2 2 4" xfId="50816" xr:uid="{2AB4408D-AB46-4219-A2D8-E6341831A3FE}"/>
    <cellStyle name="Migliaia [0] 40 2 2 2 5" xfId="53832" xr:uid="{14F002C4-B72E-44F2-8B73-847229379F51}"/>
    <cellStyle name="Migliaia [0] 40 2 2 2 6" xfId="11812" xr:uid="{65039D6C-944E-43CE-A069-F759FC788FBF}"/>
    <cellStyle name="Migliaia [0] 40 2 2 3" xfId="2990" xr:uid="{A5BF0269-B57A-4398-A95F-02E2CF823D83}"/>
    <cellStyle name="Migliaia [0] 40 2 2 3 2" xfId="12338" xr:uid="{E974D77B-D015-40DC-9997-2367BAD94594}"/>
    <cellStyle name="Migliaia [0] 40 2 2 4" xfId="10685" xr:uid="{AF3E3055-B1DB-42DC-9077-82CEC2AAE949}"/>
    <cellStyle name="Migliaia [0] 40 2 2 4 2" xfId="21320" xr:uid="{F902DCEC-7B66-4857-A89A-005086EF0548}"/>
    <cellStyle name="Migliaia [0] 40 2 2 4 3" xfId="46183" xr:uid="{2D1E4757-BFB7-42F0-A5AE-81BDE2339606}"/>
    <cellStyle name="Migliaia [0] 40 2 2 4 4" xfId="50335" xr:uid="{2F933F17-FA0C-4146-B68F-649A3F65C5FA}"/>
    <cellStyle name="Migliaia [0] 40 2 2 4 5" xfId="53351" xr:uid="{C2C1B9A0-27CC-4B55-A5F6-54D15F88E374}"/>
    <cellStyle name="Migliaia [0] 40 2 2 5" xfId="19669" xr:uid="{4BF7272A-0B6C-4D34-BC46-4DBFAB92E0DA}"/>
    <cellStyle name="Migliaia [0] 40 2 2 6" xfId="24094" xr:uid="{AF144AFD-E628-4972-9DA6-547EF27D8539}"/>
    <cellStyle name="Migliaia [0] 40 2 2 7" xfId="48854" xr:uid="{ECB81B0B-8B0F-4B3A-BE79-2C21801F39E5}"/>
    <cellStyle name="Migliaia [0] 40 2 2 8" xfId="49760" xr:uid="{09B1375E-7FD2-4341-81EE-9FA9A375FFF6}"/>
    <cellStyle name="Migliaia [0] 40 2 2 9" xfId="8460" xr:uid="{F1BA6B1F-78A0-45C2-AD4B-9E3F7333C141}"/>
    <cellStyle name="Migliaia [0] 40 2 3" xfId="4715" xr:uid="{A5892F7F-C0B1-46BC-B695-586CFAC5F8D5}"/>
    <cellStyle name="Migliaia [0] 40 2 3 2" xfId="32898" xr:uid="{FF77EA73-5B41-4AB0-904B-D0555C743D91}"/>
    <cellStyle name="Migliaia [0] 40 2 3 2 2" xfId="38249" xr:uid="{15AE5DF8-78D6-4BF6-88C9-AE7C0A605472}"/>
    <cellStyle name="Migliaia [0] 40 2 3 2 3" xfId="43551" xr:uid="{7DB5C880-F523-40EE-B8CF-DF3A3BFFFAF7}"/>
    <cellStyle name="Migliaia [0] 40 2 3 3" xfId="35784" xr:uid="{91DC9504-ED8A-4AD2-B8FD-41669E744669}"/>
    <cellStyle name="Migliaia [0] 40 2 3 4" xfId="40900" xr:uid="{9D89F2D3-425C-4F8B-A827-2EDD74EB7FC9}"/>
    <cellStyle name="Migliaia [0] 40 2 3 5" xfId="11813" xr:uid="{7289B8A3-799B-488C-9F9D-D4E0EE9987C5}"/>
    <cellStyle name="Migliaia [0] 40 2 4" xfId="5963" xr:uid="{6A1B1D63-B0BF-4521-9725-B64C464C4350}"/>
    <cellStyle name="Migliaia [0] 40 2 4 2" xfId="19668" xr:uid="{9E3D3695-7833-4A3A-B737-6B215135B201}"/>
    <cellStyle name="Migliaia [0] 40 2 5" xfId="2989" xr:uid="{42881A85-6DF1-4050-B1ED-6053D873D2BF}"/>
    <cellStyle name="Migliaia [0] 40 2 5 2" xfId="24093" xr:uid="{189C7543-E8D1-4A92-BB7E-ADFF582FACC2}"/>
    <cellStyle name="Migliaia [0] 40 2 6" xfId="7270" xr:uid="{12F5ED62-3C6E-4D8E-BFA4-52632EF921D4}"/>
    <cellStyle name="Migliaia [0] 40 3" xfId="1585" xr:uid="{00000000-0005-0000-0000-000060020000}"/>
    <cellStyle name="Migliaia [0] 40 3 2" xfId="4717" xr:uid="{5FDCCABF-F7F6-4F4C-A6E7-05B847AEF36E}"/>
    <cellStyle name="Migliaia [0] 40 3 2 2" xfId="18335" xr:uid="{A09DFEB4-F62D-4A13-8C57-8FD4E0D0E417}"/>
    <cellStyle name="Migliaia [0] 40 3 2 2 2" xfId="21789" xr:uid="{63C2A8FE-D5D8-40A0-9932-BB887C8C7B88}"/>
    <cellStyle name="Migliaia [0] 40 3 2 2 2 2" xfId="38250" xr:uid="{77F2832F-473A-4193-879A-415973A108AD}"/>
    <cellStyle name="Migliaia [0] 40 3 2 2 3" xfId="43552" xr:uid="{3D80D94D-B719-4946-8A63-E9043E54D4C0}"/>
    <cellStyle name="Migliaia [0] 40 3 2 2 4" xfId="32899" xr:uid="{402BF622-0E27-4A49-B295-E71845703E12}"/>
    <cellStyle name="Migliaia [0] 40 3 2 3" xfId="35785" xr:uid="{93B0D9F6-C364-4351-8BA2-7524D5B8A611}"/>
    <cellStyle name="Migliaia [0] 40 3 2 4" xfId="40901" xr:uid="{859F5BA4-1924-4776-9929-D847B09413AA}"/>
    <cellStyle name="Migliaia [0] 40 3 2 5" xfId="25125" xr:uid="{2AF83EA5-CF86-4DAD-9387-24CE4A88B035}"/>
    <cellStyle name="Migliaia [0] 40 3 2 6" xfId="50817" xr:uid="{767F61E5-C152-43D5-B5A1-F43027010131}"/>
    <cellStyle name="Migliaia [0] 40 3 2 7" xfId="53833" xr:uid="{0E73409C-5FBF-4D1E-8B8D-508733347ACC}"/>
    <cellStyle name="Migliaia [0] 40 3 2 8" xfId="17611" xr:uid="{26E43088-926D-4C97-9757-CD838F533D9E}"/>
    <cellStyle name="Migliaia [0] 40 3 2 9" xfId="11814" xr:uid="{97C1FDB7-A7DB-4C67-9633-5FDD89044570}"/>
    <cellStyle name="Migliaia [0] 40 3 3" xfId="5964" xr:uid="{E17BCEFD-5E3E-4F7B-8B4C-CD6C95310297}"/>
    <cellStyle name="Migliaia [0] 40 3 3 2" xfId="12373" xr:uid="{7AF3BB30-28E5-4251-B153-EA318A14382C}"/>
    <cellStyle name="Migliaia [0] 40 3 4" xfId="2991" xr:uid="{4C88CBC7-BAAA-48B0-BE9F-2FBA1C921666}"/>
    <cellStyle name="Migliaia [0] 40 3 4 2" xfId="21321" xr:uid="{B94C9F4E-2B9D-4664-9753-A97112333274}"/>
    <cellStyle name="Migliaia [0] 40 3 4 3" xfId="47593" xr:uid="{36B15CA6-6320-423A-B40C-8A4830451721}"/>
    <cellStyle name="Migliaia [0] 40 3 4 4" xfId="50336" xr:uid="{558464F2-28C3-4085-9175-8805459AD13E}"/>
    <cellStyle name="Migliaia [0] 40 3 4 5" xfId="53352" xr:uid="{CD8C837F-D4E9-440B-AE2E-1BA4B8005BDD}"/>
    <cellStyle name="Migliaia [0] 40 3 4 6" xfId="10686" xr:uid="{8AC16ECE-5EC3-4345-935A-F9B6AAEB695E}"/>
    <cellStyle name="Migliaia [0] 40 3 5" xfId="19670" xr:uid="{990DC270-EB89-4951-9E9C-F144E200EB68}"/>
    <cellStyle name="Migliaia [0] 40 3 6" xfId="24095" xr:uid="{1E89232F-5815-40D9-9306-3BE34ABE5008}"/>
    <cellStyle name="Migliaia [0] 40 3 7" xfId="8218" xr:uid="{F4B055D8-DF37-4776-AE2D-C6A6A4281C4C}"/>
    <cellStyle name="Migliaia [0] 40 4" xfId="2992" xr:uid="{05FED76D-3AA4-40D6-8962-BDC93DAEB807}"/>
    <cellStyle name="Migliaia [0] 40 4 2" xfId="4718" xr:uid="{0B1F7650-0AEA-40BD-BE6A-36FBC7D81F66}"/>
    <cellStyle name="Migliaia [0] 40 4 2 2" xfId="35103" xr:uid="{99EE32FC-90A3-4A98-A449-46321CC19376}"/>
    <cellStyle name="Migliaia [0] 40 4 2 2 2" xfId="40261" xr:uid="{5D70784F-B960-443E-8C10-FC68613F70A9}"/>
    <cellStyle name="Migliaia [0] 40 4 2 2 3" xfId="45563" xr:uid="{D58FC557-F05C-4106-A67A-2D5403FAD7DF}"/>
    <cellStyle name="Migliaia [0] 40 4 2 3" xfId="37610" xr:uid="{7DF1D1F5-19AB-494A-AB40-962110894A0D}"/>
    <cellStyle name="Migliaia [0] 40 4 2 4" xfId="42912" xr:uid="{D562F008-4BA9-4C92-9A7B-5027BEE4B46F}"/>
    <cellStyle name="Migliaia [0] 40 4 2 5" xfId="17043" xr:uid="{6E00E668-FEEC-4343-A7A5-E0AF2169E264}"/>
    <cellStyle name="Migliaia [0] 40 4 3" xfId="5965" xr:uid="{93BC0DA4-E036-4553-8B85-02C9BD37FAC8}"/>
    <cellStyle name="Migliaia [0] 40 4 3 2" xfId="38251" xr:uid="{739E1FBC-E0B2-4D1D-AE8F-BB42D7DBA698}"/>
    <cellStyle name="Migliaia [0] 40 4 3 3" xfId="43553" xr:uid="{CCA41681-BA0E-4C0A-93BC-61B52A32AD29}"/>
    <cellStyle name="Migliaia [0] 40 4 3 4" xfId="32900" xr:uid="{5D20C0A8-8E9D-4525-A038-42917AC001F1}"/>
    <cellStyle name="Migliaia [0] 40 4 3 5" xfId="19671" xr:uid="{EBB8CAA7-C74E-4246-B698-75DE6F3A5AC0}"/>
    <cellStyle name="Migliaia [0] 40 4 4" xfId="35786" xr:uid="{A9B50239-4F27-491C-BBFE-1F2BFBC13468}"/>
    <cellStyle name="Migliaia [0] 40 4 5" xfId="40902" xr:uid="{6B74A42E-C9ED-4166-99A4-0DFE701A661A}"/>
    <cellStyle name="Migliaia [0] 40 4 6" xfId="15985" xr:uid="{71C340A1-DD4A-4585-9FE7-48168B22794C}"/>
    <cellStyle name="Migliaia [0] 40 4 7" xfId="7798" xr:uid="{44C11BE3-16E6-4254-B162-22F379B84DDD}"/>
    <cellStyle name="Migliaia [0] 40 5" xfId="4714" xr:uid="{8D129912-9091-4651-B122-26DC0C122B9D}"/>
    <cellStyle name="Migliaia [0] 40 5 2" xfId="32901" xr:uid="{C594D9CC-30E7-4A07-AC33-7F31416F6493}"/>
    <cellStyle name="Migliaia [0] 40 5 2 2" xfId="38252" xr:uid="{84720D29-2B55-4840-9672-57CFF91ED441}"/>
    <cellStyle name="Migliaia [0] 40 5 2 3" xfId="43554" xr:uid="{036B95A0-9453-4DFB-BA3F-DCE3BED4A5D6}"/>
    <cellStyle name="Migliaia [0] 40 5 3" xfId="35787" xr:uid="{20FF93A0-B5AE-4480-893F-CCCAC86F1C8D}"/>
    <cellStyle name="Migliaia [0] 40 5 4" xfId="40903" xr:uid="{9DF682A6-91DB-454F-9707-0162B55F1BAD}"/>
    <cellStyle name="Migliaia [0] 40 5 5" xfId="17112" xr:uid="{1854F363-39AC-48A9-B0C6-104E39FCC9A0}"/>
    <cellStyle name="Migliaia [0] 40 6" xfId="5962" xr:uid="{27AC2CC9-FF85-44D0-83BB-66E45E9A8764}"/>
    <cellStyle name="Migliaia [0] 40 6 2" xfId="38248" xr:uid="{3263E8E7-E637-47D2-A858-A2709EC6E96D}"/>
    <cellStyle name="Migliaia [0] 40 6 3" xfId="43550" xr:uid="{87824929-4449-4281-96EC-8447F2FF1B95}"/>
    <cellStyle name="Migliaia [0] 40 6 4" xfId="32897" xr:uid="{9083EB47-5B14-4D94-805F-E25350E03515}"/>
    <cellStyle name="Migliaia [0] 40 6 5" xfId="19667" xr:uid="{A5D16A59-3407-46CD-BADB-A5F381BD8030}"/>
    <cellStyle name="Migliaia [0] 40 7" xfId="2988" xr:uid="{67E5BC92-4330-4577-B05C-EFC38EA577DF}"/>
    <cellStyle name="Migliaia [0] 40 7 2" xfId="35783" xr:uid="{0156062D-6819-4657-BAB9-A729FB3DC4E3}"/>
    <cellStyle name="Migliaia [0] 40 8" xfId="40899" xr:uid="{29588E96-BB2E-44A7-93C8-03D4CB0E9663}"/>
    <cellStyle name="Migliaia [0] 40 9" xfId="7019" xr:uid="{BBC7360B-6B8C-44CF-B3F0-969D44D3EB1B}"/>
    <cellStyle name="Migliaia [0] 41" xfId="277" xr:uid="{00000000-0005-0000-0000-000061020000}"/>
    <cellStyle name="Migliaia [0] 41 2" xfId="1586" xr:uid="{00000000-0005-0000-0000-000062020000}"/>
    <cellStyle name="Migliaia [0] 41 2 2" xfId="1587" xr:uid="{00000000-0005-0000-0000-000063020000}"/>
    <cellStyle name="Migliaia [0] 41 2 2 2" xfId="4721" xr:uid="{64525ADA-D9A4-4326-8194-4A134D4C5685}"/>
    <cellStyle name="Migliaia [0] 41 2 2 2 2" xfId="21790" xr:uid="{8B4DC6D1-4E18-47AA-BC54-FA6A988E0448}"/>
    <cellStyle name="Migliaia [0] 41 2 2 2 3" xfId="47519" xr:uid="{B0E44A64-CFEF-4A4F-85EE-66E90327B2B0}"/>
    <cellStyle name="Migliaia [0] 41 2 2 2 4" xfId="50818" xr:uid="{545374CC-DDB6-4ED9-91E6-9636108E64A4}"/>
    <cellStyle name="Migliaia [0] 41 2 2 2 5" xfId="53834" xr:uid="{CAAEF7BC-3420-40EC-A355-95A64DD784B8}"/>
    <cellStyle name="Migliaia [0] 41 2 2 2 6" xfId="11815" xr:uid="{AB1A4F3A-F8E6-4F94-8166-5058738C4A08}"/>
    <cellStyle name="Migliaia [0] 41 2 2 3" xfId="2995" xr:uid="{7E7952D6-4D76-4609-BB02-67C73D183496}"/>
    <cellStyle name="Migliaia [0] 41 2 2 3 2" xfId="12337" xr:uid="{BBFEB8A3-1DEF-4FB9-989C-40BB074D8341}"/>
    <cellStyle name="Migliaia [0] 41 2 2 4" xfId="10687" xr:uid="{22BF7DE8-4928-459E-9F45-40F0524D8F09}"/>
    <cellStyle name="Migliaia [0] 41 2 2 4 2" xfId="21322" xr:uid="{05BE4683-0594-4D62-BF9F-11E8FCF7ACE9}"/>
    <cellStyle name="Migliaia [0] 41 2 2 4 3" xfId="34553" xr:uid="{9388B424-933A-45C9-B770-BAC99A9123B9}"/>
    <cellStyle name="Migliaia [0] 41 2 2 4 4" xfId="50337" xr:uid="{C4E40238-9EAC-4118-811F-C3CFE6DADA5F}"/>
    <cellStyle name="Migliaia [0] 41 2 2 4 5" xfId="53353" xr:uid="{58CAC822-294D-4D97-9D06-A2E9960D6E86}"/>
    <cellStyle name="Migliaia [0] 41 2 2 5" xfId="19674" xr:uid="{F0A631DF-722F-4BBB-BAC5-56F129C8B065}"/>
    <cellStyle name="Migliaia [0] 41 2 2 6" xfId="24097" xr:uid="{CCBBCA10-4B4A-4AC3-AE7B-DC0334DC60D4}"/>
    <cellStyle name="Migliaia [0] 41 2 2 7" xfId="48855" xr:uid="{EB5B2972-C2EE-469A-81B8-0E060C22235F}"/>
    <cellStyle name="Migliaia [0] 41 2 2 8" xfId="49761" xr:uid="{33165F98-88B6-492D-B10D-80598C770819}"/>
    <cellStyle name="Migliaia [0] 41 2 2 9" xfId="8461" xr:uid="{2BD26890-DC98-4D84-AD22-DBBAD53B40E0}"/>
    <cellStyle name="Migliaia [0] 41 2 3" xfId="4720" xr:uid="{8A9B73AF-377A-4B94-897C-5DEFE39DD291}"/>
    <cellStyle name="Migliaia [0] 41 2 3 2" xfId="32903" xr:uid="{53B13658-FF7C-4A2B-8CA1-D6026F115A80}"/>
    <cellStyle name="Migliaia [0] 41 2 3 2 2" xfId="38254" xr:uid="{386F6E01-6965-4948-8CDA-485B9084C3DF}"/>
    <cellStyle name="Migliaia [0] 41 2 3 2 3" xfId="43556" xr:uid="{051620E8-DDE5-48C1-8B8E-7229F26FFB26}"/>
    <cellStyle name="Migliaia [0] 41 2 3 3" xfId="35789" xr:uid="{6C381CA6-DC9D-485C-87FE-2055D3DE6BB1}"/>
    <cellStyle name="Migliaia [0] 41 2 3 4" xfId="40905" xr:uid="{15BC91A2-70B6-4CBC-8ECE-EEFE6FCEB0E6}"/>
    <cellStyle name="Migliaia [0] 41 2 3 5" xfId="11816" xr:uid="{6B610118-26B3-4F8C-9E75-A17C5DFF9EDD}"/>
    <cellStyle name="Migliaia [0] 41 2 4" xfId="5967" xr:uid="{595916A6-94AB-4DDB-BD39-84A70CCCA407}"/>
    <cellStyle name="Migliaia [0] 41 2 4 2" xfId="19673" xr:uid="{5C3AC807-7539-408E-8277-8EAFBCB5A897}"/>
    <cellStyle name="Migliaia [0] 41 2 5" xfId="2994" xr:uid="{A0088F7D-0086-4CC8-BCCB-DC2362043D13}"/>
    <cellStyle name="Migliaia [0] 41 2 5 2" xfId="24096" xr:uid="{6A12B16C-3019-487B-A1C6-3CAC3438E8B0}"/>
    <cellStyle name="Migliaia [0] 41 2 6" xfId="7271" xr:uid="{A8BC249C-F63A-4C34-97AB-2F6E470D4528}"/>
    <cellStyle name="Migliaia [0] 41 3" xfId="1588" xr:uid="{00000000-0005-0000-0000-000064020000}"/>
    <cellStyle name="Migliaia [0] 41 3 2" xfId="4722" xr:uid="{32A434AB-00E1-4EBB-B1AA-18A72553A956}"/>
    <cellStyle name="Migliaia [0] 41 3 2 2" xfId="18336" xr:uid="{5D5B9F8C-CBF0-4A99-8590-5DB29F5E09E6}"/>
    <cellStyle name="Migliaia [0] 41 3 2 2 2" xfId="21791" xr:uid="{3892DEEE-D844-4959-9203-6CD0CCEE4A6F}"/>
    <cellStyle name="Migliaia [0] 41 3 2 2 2 2" xfId="38255" xr:uid="{677B601E-5036-4753-8F57-A702910FC2E5}"/>
    <cellStyle name="Migliaia [0] 41 3 2 2 3" xfId="43557" xr:uid="{5FBE28CA-BF33-4EF1-963A-0542872C4D78}"/>
    <cellStyle name="Migliaia [0] 41 3 2 2 4" xfId="32904" xr:uid="{E4E0CCBF-8BB3-4712-A3C5-73A1F6B783C0}"/>
    <cellStyle name="Migliaia [0] 41 3 2 3" xfId="35790" xr:uid="{94D1339F-8D79-4808-B9E4-7E42D1AA3251}"/>
    <cellStyle name="Migliaia [0] 41 3 2 4" xfId="40906" xr:uid="{AA97006A-933B-4A8C-8193-56D99F1A343D}"/>
    <cellStyle name="Migliaia [0] 41 3 2 5" xfId="47160" xr:uid="{98F296BF-8E86-4957-AD55-85DCEE60445B}"/>
    <cellStyle name="Migliaia [0] 41 3 2 6" xfId="50819" xr:uid="{53337613-388D-4415-A151-B773162D8F39}"/>
    <cellStyle name="Migliaia [0] 41 3 2 7" xfId="53835" xr:uid="{48EA918E-2365-46EB-93D2-1ADD0BA42BC8}"/>
    <cellStyle name="Migliaia [0] 41 3 2 8" xfId="17612" xr:uid="{A4A2EC61-7E34-47B8-BCE1-048BE3B272D1}"/>
    <cellStyle name="Migliaia [0] 41 3 2 9" xfId="11817" xr:uid="{BB3F0096-8285-4A9A-BF3F-AE3C30AFBB8B}"/>
    <cellStyle name="Migliaia [0] 41 3 3" xfId="5968" xr:uid="{36B50F5F-B327-4E99-A18D-562E0AC9A88B}"/>
    <cellStyle name="Migliaia [0] 41 3 3 2" xfId="12372" xr:uid="{02972732-3D33-4BD5-8675-98BDDE86959E}"/>
    <cellStyle name="Migliaia [0] 41 3 4" xfId="2996" xr:uid="{F96D7F85-DDF9-49C3-9758-D04CB622215D}"/>
    <cellStyle name="Migliaia [0] 41 3 4 2" xfId="21323" xr:uid="{7EE6A740-0723-426F-9635-6BE66E8F6D5E}"/>
    <cellStyle name="Migliaia [0] 41 3 4 3" xfId="47208" xr:uid="{772500B9-101A-49CF-8E59-6E02E3985161}"/>
    <cellStyle name="Migliaia [0] 41 3 4 4" xfId="50338" xr:uid="{5D9ED2E7-D833-4908-AF15-72AED013FE64}"/>
    <cellStyle name="Migliaia [0] 41 3 4 5" xfId="53354" xr:uid="{72255A87-B2A0-4317-AFA7-D399E9139FFA}"/>
    <cellStyle name="Migliaia [0] 41 3 4 6" xfId="10688" xr:uid="{537280C1-CB1B-4E92-AD01-03ED725B7577}"/>
    <cellStyle name="Migliaia [0] 41 3 5" xfId="19675" xr:uid="{26898A90-59B7-4D00-9452-C13F959C6418}"/>
    <cellStyle name="Migliaia [0] 41 3 6" xfId="24098" xr:uid="{06091E20-C397-443D-99D8-A10467BAE03F}"/>
    <cellStyle name="Migliaia [0] 41 3 7" xfId="8219" xr:uid="{B2FE7E0A-6E97-423E-BEF9-4F103B8081FF}"/>
    <cellStyle name="Migliaia [0] 41 4" xfId="2997" xr:uid="{7F493A04-A23A-4502-A1E7-B84FCE04D1E4}"/>
    <cellStyle name="Migliaia [0] 41 4 2" xfId="4723" xr:uid="{453D135B-8E46-468E-A011-1A85F31093F8}"/>
    <cellStyle name="Migliaia [0] 41 4 2 2" xfId="35104" xr:uid="{D1462EA1-0089-4F82-A8AD-11CD47F6CDE9}"/>
    <cellStyle name="Migliaia [0] 41 4 2 2 2" xfId="40262" xr:uid="{C2F94811-26F0-4488-891D-FBECBF8549CC}"/>
    <cellStyle name="Migliaia [0] 41 4 2 2 3" xfId="45564" xr:uid="{27542FE2-D373-4E69-97D5-07BCD1BFE41D}"/>
    <cellStyle name="Migliaia [0] 41 4 2 3" xfId="37611" xr:uid="{820FD160-0DBE-4AA6-BCBD-8D0A66238AD7}"/>
    <cellStyle name="Migliaia [0] 41 4 2 4" xfId="42913" xr:uid="{23CF194A-2F92-4910-9D2C-F3F2815C3D5C}"/>
    <cellStyle name="Migliaia [0] 41 4 2 5" xfId="17044" xr:uid="{DBBE9326-7D06-4AB8-8ABA-A95DED6DC856}"/>
    <cellStyle name="Migliaia [0] 41 4 3" xfId="5969" xr:uid="{A2D8FF6A-9C29-4DAE-88ED-EA6435051781}"/>
    <cellStyle name="Migliaia [0] 41 4 3 2" xfId="38256" xr:uid="{1A77CC70-A0CD-4939-9F7C-FF27DF19FAAB}"/>
    <cellStyle name="Migliaia [0] 41 4 3 3" xfId="43558" xr:uid="{2D7CFA93-06D5-4218-82FD-611D0439EAB9}"/>
    <cellStyle name="Migliaia [0] 41 4 3 4" xfId="32905" xr:uid="{DB2F93A3-C832-43F3-99D9-EC0258746B5A}"/>
    <cellStyle name="Migliaia [0] 41 4 3 5" xfId="19676" xr:uid="{786DC6F4-5F4F-46E7-8016-D6239CEBB307}"/>
    <cellStyle name="Migliaia [0] 41 4 4" xfId="35791" xr:uid="{1456B0F2-CB1A-405D-BB32-D42893B7BD06}"/>
    <cellStyle name="Migliaia [0] 41 4 5" xfId="40907" xr:uid="{D4DB9FB7-7393-4862-9CF1-6E5CBFD46B72}"/>
    <cellStyle name="Migliaia [0] 41 4 6" xfId="15986" xr:uid="{EF50FADE-6F66-4E44-A99A-8A14CBD2B437}"/>
    <cellStyle name="Migliaia [0] 41 4 7" xfId="7799" xr:uid="{0D19018E-4061-4323-A9D3-C9FCF3FA0A24}"/>
    <cellStyle name="Migliaia [0] 41 5" xfId="4719" xr:uid="{FFE7B77F-089B-4690-B4F3-A98C65EB636C}"/>
    <cellStyle name="Migliaia [0] 41 5 2" xfId="32906" xr:uid="{E1F74EC7-F772-4F5E-A72B-140032EAC031}"/>
    <cellStyle name="Migliaia [0] 41 5 2 2" xfId="38257" xr:uid="{CA2A2673-7BD7-481E-BB15-28483ADF18DE}"/>
    <cellStyle name="Migliaia [0] 41 5 2 3" xfId="43559" xr:uid="{1F7C0901-0901-47C2-B35A-7A67C68DAEBE}"/>
    <cellStyle name="Migliaia [0] 41 5 3" xfId="35792" xr:uid="{0B8362AB-E3BD-4A78-8E3D-C4658BF3F90F}"/>
    <cellStyle name="Migliaia [0] 41 5 4" xfId="40908" xr:uid="{DCC88726-EA6B-4CF6-9AA7-BFAEDCE35B2A}"/>
    <cellStyle name="Migliaia [0] 41 5 5" xfId="17113" xr:uid="{45807689-6D4A-47B4-868D-3625CEFE5620}"/>
    <cellStyle name="Migliaia [0] 41 6" xfId="5966" xr:uid="{AB866711-6927-4A6A-924F-9AE5D6A9B17A}"/>
    <cellStyle name="Migliaia [0] 41 6 2" xfId="38253" xr:uid="{B0C88C14-AB7C-4522-B18C-5694065660DB}"/>
    <cellStyle name="Migliaia [0] 41 6 3" xfId="43555" xr:uid="{270AC2C8-68B3-49E1-A332-EA241DFD2AE4}"/>
    <cellStyle name="Migliaia [0] 41 6 4" xfId="32902" xr:uid="{E1FB748D-F381-46BC-BA86-EADC31FC2226}"/>
    <cellStyle name="Migliaia [0] 41 6 5" xfId="19672" xr:uid="{D572DC93-EDD7-4D17-A68D-0555F0AFA70C}"/>
    <cellStyle name="Migliaia [0] 41 7" xfId="2993" xr:uid="{FF37B8FB-324F-4B4E-B130-52BCF52012E3}"/>
    <cellStyle name="Migliaia [0] 41 7 2" xfId="35788" xr:uid="{ADE301F3-2A55-414B-9566-EB517DD7BBB7}"/>
    <cellStyle name="Migliaia [0] 41 8" xfId="40904" xr:uid="{B18FA1A9-2010-4489-A582-9148A6F9E460}"/>
    <cellStyle name="Migliaia [0] 41 9" xfId="7020" xr:uid="{C5DD8A85-BD07-496D-9E53-FB6280EE8E65}"/>
    <cellStyle name="Migliaia [0] 42" xfId="278" xr:uid="{00000000-0005-0000-0000-000065020000}"/>
    <cellStyle name="Migliaia [0] 42 2" xfId="1589" xr:uid="{00000000-0005-0000-0000-000066020000}"/>
    <cellStyle name="Migliaia [0] 42 2 2" xfId="1590" xr:uid="{00000000-0005-0000-0000-000067020000}"/>
    <cellStyle name="Migliaia [0] 42 2 2 2" xfId="4726" xr:uid="{946180B2-EB30-4AEE-A6EB-B88CAA8B062B}"/>
    <cellStyle name="Migliaia [0] 42 2 2 2 2" xfId="21792" xr:uid="{CE27CC15-FA7C-4B03-8EE6-5BC65FAD3CD9}"/>
    <cellStyle name="Migliaia [0] 42 2 2 2 3" xfId="48191" xr:uid="{19491982-5013-4800-B28F-678977D52F77}"/>
    <cellStyle name="Migliaia [0] 42 2 2 2 4" xfId="50820" xr:uid="{F0B18BA4-12BA-42F9-93D8-F56623B2687F}"/>
    <cellStyle name="Migliaia [0] 42 2 2 2 5" xfId="53836" xr:uid="{8E69D8D5-1F50-488D-A025-225C29FD3A24}"/>
    <cellStyle name="Migliaia [0] 42 2 2 2 6" xfId="11818" xr:uid="{7319E6BB-E377-47CA-A928-553757DDDBB4}"/>
    <cellStyle name="Migliaia [0] 42 2 2 3" xfId="3000" xr:uid="{03F5D43C-27B5-4EB6-8441-EE151BA1FB25}"/>
    <cellStyle name="Migliaia [0] 42 2 2 3 2" xfId="12336" xr:uid="{A5470011-329A-49E7-9E99-567DD66DFD33}"/>
    <cellStyle name="Migliaia [0] 42 2 2 4" xfId="10689" xr:uid="{0FB13648-FE97-408A-8FAC-6A4467A1A38B}"/>
    <cellStyle name="Migliaia [0] 42 2 2 4 2" xfId="21324" xr:uid="{52DAC841-AC6E-48FD-8B61-B61A4CBBA3F7}"/>
    <cellStyle name="Migliaia [0] 42 2 2 4 3" xfId="46638" xr:uid="{FBC30117-82E9-4DA5-B086-3CF2DF08AC0D}"/>
    <cellStyle name="Migliaia [0] 42 2 2 4 4" xfId="50339" xr:uid="{BE8F7865-53F9-4FA8-8178-2F2C7A3FADC5}"/>
    <cellStyle name="Migliaia [0] 42 2 2 4 5" xfId="53355" xr:uid="{C08AFABC-6A0B-466E-9B0A-4FF69635FBEB}"/>
    <cellStyle name="Migliaia [0] 42 2 2 5" xfId="19679" xr:uid="{A269CD8F-26B5-4468-ACF7-20530033A926}"/>
    <cellStyle name="Migliaia [0] 42 2 2 6" xfId="24100" xr:uid="{1AC3D902-511C-4526-A502-EAF9BF368FAA}"/>
    <cellStyle name="Migliaia [0] 42 2 2 7" xfId="48856" xr:uid="{4B78C9A5-6197-49E2-AB47-BF68D2962216}"/>
    <cellStyle name="Migliaia [0] 42 2 2 8" xfId="49762" xr:uid="{AF3119D5-3A0C-4495-8775-D9C705D78932}"/>
    <cellStyle name="Migliaia [0] 42 2 2 9" xfId="8462" xr:uid="{20BD463E-E81C-4E8C-ADE7-154075426F8F}"/>
    <cellStyle name="Migliaia [0] 42 2 3" xfId="4725" xr:uid="{B11E8D2D-924A-4198-B22F-58E59B21ABC5}"/>
    <cellStyle name="Migliaia [0] 42 2 3 2" xfId="32908" xr:uid="{2D3A0737-1C0C-477F-8B52-AA62DC47FD09}"/>
    <cellStyle name="Migliaia [0] 42 2 3 2 2" xfId="38259" xr:uid="{32541561-27B1-42EA-8C0F-C41D8A52EEBA}"/>
    <cellStyle name="Migliaia [0] 42 2 3 2 3" xfId="43561" xr:uid="{FA7A9CF0-E91C-4356-88FE-E045B5C7B10F}"/>
    <cellStyle name="Migliaia [0] 42 2 3 3" xfId="35794" xr:uid="{512AA24D-C361-445A-B088-51EB303079A8}"/>
    <cellStyle name="Migliaia [0] 42 2 3 4" xfId="40910" xr:uid="{476C444A-C17D-4521-9A1F-F96293BF4FAC}"/>
    <cellStyle name="Migliaia [0] 42 2 3 5" xfId="11819" xr:uid="{D9F181AA-2778-43E1-93DC-2FF4BFE98E55}"/>
    <cellStyle name="Migliaia [0] 42 2 4" xfId="5971" xr:uid="{3098F2A6-48AD-423C-8C6B-83B28D0D47DF}"/>
    <cellStyle name="Migliaia [0] 42 2 4 2" xfId="19678" xr:uid="{806B5030-E44A-44B2-B7C2-F8A749778D98}"/>
    <cellStyle name="Migliaia [0] 42 2 5" xfId="2999" xr:uid="{0071AAD9-B554-46BB-BC4E-0AA71CA5E456}"/>
    <cellStyle name="Migliaia [0] 42 2 5 2" xfId="24099" xr:uid="{1A23E3B8-BF2A-4FEE-A5D8-4D00E4188BF1}"/>
    <cellStyle name="Migliaia [0] 42 2 6" xfId="7272" xr:uid="{6E45F8EE-336B-43C7-9C02-B4A27FB2CF2B}"/>
    <cellStyle name="Migliaia [0] 42 3" xfId="1591" xr:uid="{00000000-0005-0000-0000-000068020000}"/>
    <cellStyle name="Migliaia [0] 42 3 2" xfId="4727" xr:uid="{696D1FC6-30FB-467D-8B71-520889BD61B5}"/>
    <cellStyle name="Migliaia [0] 42 3 2 2" xfId="18337" xr:uid="{DC82628A-EB1B-415D-A4B2-C72DAB9566D0}"/>
    <cellStyle name="Migliaia [0] 42 3 2 2 2" xfId="21793" xr:uid="{1EDC7149-CF6E-45A9-A47D-4C6548EFDC6C}"/>
    <cellStyle name="Migliaia [0] 42 3 2 2 2 2" xfId="38260" xr:uid="{C775DAF5-9A2E-4383-86B9-DFEB9D89EF14}"/>
    <cellStyle name="Migliaia [0] 42 3 2 2 3" xfId="43562" xr:uid="{FC1D52FF-3604-4C85-8D1E-91B0985235FC}"/>
    <cellStyle name="Migliaia [0] 42 3 2 2 4" xfId="32909" xr:uid="{E45E4E5B-E679-4604-A0D5-E047C3FE0259}"/>
    <cellStyle name="Migliaia [0] 42 3 2 3" xfId="35795" xr:uid="{A1E3A898-E988-4EEB-AA51-0C74EC73A2B1}"/>
    <cellStyle name="Migliaia [0] 42 3 2 4" xfId="40911" xr:uid="{650BA8B0-CCA8-413B-A069-4FEF1D611A9E}"/>
    <cellStyle name="Migliaia [0] 42 3 2 5" xfId="37193" xr:uid="{CF812213-BF9E-4065-96FE-70170D3DF81E}"/>
    <cellStyle name="Migliaia [0] 42 3 2 6" xfId="50821" xr:uid="{A6D907D6-473B-405E-9C62-36A59BD0AD48}"/>
    <cellStyle name="Migliaia [0] 42 3 2 7" xfId="53837" xr:uid="{E3194B70-D595-4B44-B779-8ABD4E1438CC}"/>
    <cellStyle name="Migliaia [0] 42 3 2 8" xfId="17613" xr:uid="{AF647F75-88E7-435A-91C5-39E12FB018F3}"/>
    <cellStyle name="Migliaia [0] 42 3 2 9" xfId="11820" xr:uid="{CF5A25D5-8DDF-4188-A139-EFED486C59D0}"/>
    <cellStyle name="Migliaia [0] 42 3 3" xfId="5972" xr:uid="{A96B4E05-20C8-4032-91EE-28751DFA68A4}"/>
    <cellStyle name="Migliaia [0] 42 3 3 2" xfId="12371" xr:uid="{3264A05A-017C-4892-A5D8-86D684533688}"/>
    <cellStyle name="Migliaia [0] 42 3 4" xfId="3001" xr:uid="{02B3BC19-6DDB-44CE-AF1F-AC842437B619}"/>
    <cellStyle name="Migliaia [0] 42 3 4 2" xfId="21325" xr:uid="{AA046A3D-A2C1-46B2-A493-BB2DA7B07FDC}"/>
    <cellStyle name="Migliaia [0] 42 3 4 3" xfId="47736" xr:uid="{0B685394-AE92-4287-B041-0FE524ACB8BF}"/>
    <cellStyle name="Migliaia [0] 42 3 4 4" xfId="50340" xr:uid="{94A5B87C-35F0-4E24-9A47-C66E25A53761}"/>
    <cellStyle name="Migliaia [0] 42 3 4 5" xfId="53356" xr:uid="{EE89D711-054D-448A-801F-C304F8387B40}"/>
    <cellStyle name="Migliaia [0] 42 3 4 6" xfId="10690" xr:uid="{FF4DCC62-DC01-4AFA-B0BB-E75EC55E8A85}"/>
    <cellStyle name="Migliaia [0] 42 3 5" xfId="19680" xr:uid="{F3451CC6-9318-417B-AADA-6E96A2AFA9A6}"/>
    <cellStyle name="Migliaia [0] 42 3 6" xfId="24101" xr:uid="{D03A631A-266A-4D15-A3DB-F592BB4490C3}"/>
    <cellStyle name="Migliaia [0] 42 3 7" xfId="8220" xr:uid="{2CE01A8E-FD72-448A-894B-4A4F0166A771}"/>
    <cellStyle name="Migliaia [0] 42 4" xfId="3002" xr:uid="{F438F24B-7286-4D1B-8C96-AA219D571AAD}"/>
    <cellStyle name="Migliaia [0] 42 4 2" xfId="4728" xr:uid="{BE32381E-EC0D-4D5E-A13D-E1BA5652826F}"/>
    <cellStyle name="Migliaia [0] 42 4 2 2" xfId="35105" xr:uid="{B8FCED8B-E363-4152-ABEC-1B81804DC9A3}"/>
    <cellStyle name="Migliaia [0] 42 4 2 2 2" xfId="40263" xr:uid="{E5E502AD-4E7E-4DC5-AE86-5634F15E6438}"/>
    <cellStyle name="Migliaia [0] 42 4 2 2 3" xfId="45565" xr:uid="{5AA0BF02-2E66-41A2-B3BB-0DA5CF8DBB97}"/>
    <cellStyle name="Migliaia [0] 42 4 2 3" xfId="37612" xr:uid="{64CB1997-252A-4656-B450-B9522B401915}"/>
    <cellStyle name="Migliaia [0] 42 4 2 4" xfId="42914" xr:uid="{124A908F-A157-4038-9EC3-1B78A411F967}"/>
    <cellStyle name="Migliaia [0] 42 4 2 5" xfId="17045" xr:uid="{B97FF177-BED1-4C07-A313-FD17636DB4CC}"/>
    <cellStyle name="Migliaia [0] 42 4 3" xfId="5973" xr:uid="{6B019B82-D4CE-4B7C-8023-8B463F23A0F8}"/>
    <cellStyle name="Migliaia [0] 42 4 3 2" xfId="38261" xr:uid="{B47C4ECD-8F63-4DF7-B378-AF5B1B68C05D}"/>
    <cellStyle name="Migliaia [0] 42 4 3 3" xfId="43563" xr:uid="{580BC970-E273-46A8-95E9-F55E49065056}"/>
    <cellStyle name="Migliaia [0] 42 4 3 4" xfId="32910" xr:uid="{6E506993-851E-48DB-9046-F3BA6B80F709}"/>
    <cellStyle name="Migliaia [0] 42 4 3 5" xfId="19681" xr:uid="{E66E4D92-025D-4736-A13D-56719EFDBC29}"/>
    <cellStyle name="Migliaia [0] 42 4 4" xfId="35796" xr:uid="{377A6C58-E273-442B-9C7B-7ECFB14D4F1E}"/>
    <cellStyle name="Migliaia [0] 42 4 5" xfId="40912" xr:uid="{A763125C-9532-43ED-8FFF-05BA0438692E}"/>
    <cellStyle name="Migliaia [0] 42 4 6" xfId="15987" xr:uid="{E1DEACDA-CFBC-4D82-8870-FF44EAE6A611}"/>
    <cellStyle name="Migliaia [0] 42 4 7" xfId="7800" xr:uid="{F1B551C6-1210-4899-A5A7-CABC3FEE2E28}"/>
    <cellStyle name="Migliaia [0] 42 5" xfId="4724" xr:uid="{3CCFFD4B-7CFA-4266-837D-AA58461A3511}"/>
    <cellStyle name="Migliaia [0] 42 5 2" xfId="32911" xr:uid="{E2D89E01-4A52-44EA-8416-8E262D6E4B9C}"/>
    <cellStyle name="Migliaia [0] 42 5 2 2" xfId="38262" xr:uid="{C3B7C55D-8E28-452D-9459-5CD56EF2237A}"/>
    <cellStyle name="Migliaia [0] 42 5 2 3" xfId="43564" xr:uid="{1E76C003-FA4D-4A37-B455-C52FB40BBA14}"/>
    <cellStyle name="Migliaia [0] 42 5 3" xfId="35797" xr:uid="{B69873B4-9EA7-488D-8BF5-495A50CE46E7}"/>
    <cellStyle name="Migliaia [0] 42 5 4" xfId="40913" xr:uid="{D40C9799-A3AF-439A-985D-DF0AAF4790F7}"/>
    <cellStyle name="Migliaia [0] 42 5 5" xfId="17114" xr:uid="{ADB12B4A-BED9-4216-9533-DAB45B80F0C4}"/>
    <cellStyle name="Migliaia [0] 42 6" xfId="5970" xr:uid="{591AF490-B474-4EA1-B7E9-016CA8CAE78B}"/>
    <cellStyle name="Migliaia [0] 42 6 2" xfId="38258" xr:uid="{8498B345-FD74-4988-ABFE-20CABCB7EF1D}"/>
    <cellStyle name="Migliaia [0] 42 6 3" xfId="43560" xr:uid="{22793727-4407-42F7-A289-C4B35C026D8D}"/>
    <cellStyle name="Migliaia [0] 42 6 4" xfId="32907" xr:uid="{DB01BC40-EC1B-41D6-8EF0-5E206BA6DF34}"/>
    <cellStyle name="Migliaia [0] 42 6 5" xfId="19677" xr:uid="{52B05F5F-75B4-46A0-AE3C-59AE4DE190ED}"/>
    <cellStyle name="Migliaia [0] 42 7" xfId="2998" xr:uid="{DD073DBF-94B6-40F8-9F8B-6DC2C0A221BA}"/>
    <cellStyle name="Migliaia [0] 42 7 2" xfId="35793" xr:uid="{77E549BD-78B9-45BF-893B-3E6ACA5DCB85}"/>
    <cellStyle name="Migliaia [0] 42 8" xfId="40909" xr:uid="{22A9F414-5C14-400C-BC55-75B2DB09561C}"/>
    <cellStyle name="Migliaia [0] 42 9" xfId="7021" xr:uid="{BABEE08D-4D54-4A1E-9D7D-88528E1B08AB}"/>
    <cellStyle name="Migliaia [0] 43" xfId="279" xr:uid="{00000000-0005-0000-0000-000069020000}"/>
    <cellStyle name="Migliaia [0] 43 2" xfId="1592" xr:uid="{00000000-0005-0000-0000-00006A020000}"/>
    <cellStyle name="Migliaia [0] 43 2 2" xfId="1593" xr:uid="{00000000-0005-0000-0000-00006B020000}"/>
    <cellStyle name="Migliaia [0] 43 2 2 2" xfId="4731" xr:uid="{BEB666D9-F925-49E6-8B89-6D4F83810EFB}"/>
    <cellStyle name="Migliaia [0] 43 2 2 2 2" xfId="21794" xr:uid="{206C2EB9-14B8-470A-8379-B4CDB30D1ACC}"/>
    <cellStyle name="Migliaia [0] 43 2 2 2 3" xfId="48100" xr:uid="{8B13CF97-26D9-4484-B93B-2407BE096951}"/>
    <cellStyle name="Migliaia [0] 43 2 2 2 4" xfId="50822" xr:uid="{3EC1996B-06D3-46D4-80A4-E7DF8EC42F63}"/>
    <cellStyle name="Migliaia [0] 43 2 2 2 5" xfId="53838" xr:uid="{EA48A7C7-364D-4D29-A0F8-0B85A06B6594}"/>
    <cellStyle name="Migliaia [0] 43 2 2 2 6" xfId="11821" xr:uid="{93BFF99B-9F08-4F9D-B132-A594275E7637}"/>
    <cellStyle name="Migliaia [0] 43 2 2 3" xfId="3005" xr:uid="{F688392F-EE3F-44B0-AA67-A59E0FCD39B0}"/>
    <cellStyle name="Migliaia [0] 43 2 2 3 2" xfId="12335" xr:uid="{6B2F907D-F808-4CBD-877C-EB74BBD9C15E}"/>
    <cellStyle name="Migliaia [0] 43 2 2 4" xfId="10691" xr:uid="{19FD244F-5F89-474F-87B3-93BC2C630D80}"/>
    <cellStyle name="Migliaia [0] 43 2 2 4 2" xfId="21326" xr:uid="{7C60CE6D-706C-488A-9228-B60F0865896E}"/>
    <cellStyle name="Migliaia [0] 43 2 2 4 3" xfId="48568" xr:uid="{2EE07ADB-E9E3-4BD2-99E4-856DC073BBF0}"/>
    <cellStyle name="Migliaia [0] 43 2 2 4 4" xfId="50341" xr:uid="{DB5275DD-6E2B-4F14-8CD9-C04C7B1F75E9}"/>
    <cellStyle name="Migliaia [0] 43 2 2 4 5" xfId="53357" xr:uid="{E1F15240-A768-44A0-AC09-5DEB6C931358}"/>
    <cellStyle name="Migliaia [0] 43 2 2 5" xfId="19684" xr:uid="{2FB8558B-BEAD-47E8-A726-7A11010F9F0E}"/>
    <cellStyle name="Migliaia [0] 43 2 2 6" xfId="24103" xr:uid="{F52450F3-7413-4F62-91C2-B2932F410FC7}"/>
    <cellStyle name="Migliaia [0] 43 2 2 7" xfId="48857" xr:uid="{C4C2B701-640A-460D-B6C0-E2F0B44A3732}"/>
    <cellStyle name="Migliaia [0] 43 2 2 8" xfId="49763" xr:uid="{6BD8BC06-CE05-43F1-A491-203E06F50C9C}"/>
    <cellStyle name="Migliaia [0] 43 2 2 9" xfId="8463" xr:uid="{D80FFD4D-C895-493F-9C93-EE07CC74AE2E}"/>
    <cellStyle name="Migliaia [0] 43 2 3" xfId="4730" xr:uid="{B6E568B1-B875-49BF-8C7F-FA09D1A0168E}"/>
    <cellStyle name="Migliaia [0] 43 2 3 2" xfId="32913" xr:uid="{BA717952-07B0-4427-A9D9-E3DD4B2C2EC1}"/>
    <cellStyle name="Migliaia [0] 43 2 3 2 2" xfId="38264" xr:uid="{C197C27F-8AB1-423F-999E-BCF051153465}"/>
    <cellStyle name="Migliaia [0] 43 2 3 2 3" xfId="43566" xr:uid="{D03D51F8-4A7C-4BAA-9715-1E62DC667944}"/>
    <cellStyle name="Migliaia [0] 43 2 3 3" xfId="35799" xr:uid="{F93A24A1-52E2-429D-9445-8092F22B245D}"/>
    <cellStyle name="Migliaia [0] 43 2 3 4" xfId="40915" xr:uid="{0CA097BE-936A-422F-82E1-D1273EDBA38A}"/>
    <cellStyle name="Migliaia [0] 43 2 3 5" xfId="11822" xr:uid="{92A6AB4F-C9A9-440B-991E-3F14096D79EF}"/>
    <cellStyle name="Migliaia [0] 43 2 4" xfId="5975" xr:uid="{65548E3E-53D7-48C9-8219-BAA27074D99B}"/>
    <cellStyle name="Migliaia [0] 43 2 4 2" xfId="19683" xr:uid="{F5A2B3F4-604B-423F-A1E7-5A898A341674}"/>
    <cellStyle name="Migliaia [0] 43 2 5" xfId="3004" xr:uid="{EB00C479-0029-4A1F-9E06-F9B859891257}"/>
    <cellStyle name="Migliaia [0] 43 2 5 2" xfId="24102" xr:uid="{54E85694-7B24-4FCB-98A9-49E66D780638}"/>
    <cellStyle name="Migliaia [0] 43 2 6" xfId="7273" xr:uid="{E308E4EB-A0F3-4C1E-8D7E-D43F58D52614}"/>
    <cellStyle name="Migliaia [0] 43 3" xfId="1594" xr:uid="{00000000-0005-0000-0000-00006C020000}"/>
    <cellStyle name="Migliaia [0] 43 3 2" xfId="4732" xr:uid="{FE20A76B-F4B3-4813-9CCD-DEB84E953CCD}"/>
    <cellStyle name="Migliaia [0] 43 3 2 2" xfId="18338" xr:uid="{1DD89733-D4DF-44EA-982A-BB1CA01F0371}"/>
    <cellStyle name="Migliaia [0] 43 3 2 2 2" xfId="21795" xr:uid="{E78B4BA6-8DE8-451A-8F61-8B7A4EA6A16E}"/>
    <cellStyle name="Migliaia [0] 43 3 2 2 2 2" xfId="38265" xr:uid="{C57AF121-13A4-452F-8198-A21571639166}"/>
    <cellStyle name="Migliaia [0] 43 3 2 2 3" xfId="43567" xr:uid="{EDE05654-BB60-4F24-A904-EC38847CC088}"/>
    <cellStyle name="Migliaia [0] 43 3 2 2 4" xfId="32914" xr:uid="{E4537A32-B4C4-491E-A995-2FFDF732CB8B}"/>
    <cellStyle name="Migliaia [0] 43 3 2 3" xfId="35800" xr:uid="{7666AB30-C946-46C9-A8C5-88665EA7A66C}"/>
    <cellStyle name="Migliaia [0] 43 3 2 4" xfId="40916" xr:uid="{EF3C5BF2-C4AB-4B15-A4DC-56A2D43CCA06}"/>
    <cellStyle name="Migliaia [0] 43 3 2 5" xfId="47753" xr:uid="{F7552506-9F29-4D40-850C-7ED4E87295CE}"/>
    <cellStyle name="Migliaia [0] 43 3 2 6" xfId="50823" xr:uid="{93026139-8C8B-42D8-9B53-460D78A1C99A}"/>
    <cellStyle name="Migliaia [0] 43 3 2 7" xfId="53839" xr:uid="{1274C8BC-6B4C-4F33-B121-E622924CE91E}"/>
    <cellStyle name="Migliaia [0] 43 3 2 8" xfId="17614" xr:uid="{7EF13D17-2EB5-4D40-B279-C5C0E8438061}"/>
    <cellStyle name="Migliaia [0] 43 3 2 9" xfId="11823" xr:uid="{CB160781-84FE-4C9E-A902-2C81FAAA5436}"/>
    <cellStyle name="Migliaia [0] 43 3 3" xfId="5976" xr:uid="{347F3CF2-AB1F-41CF-AEF5-29CE902283B7}"/>
    <cellStyle name="Migliaia [0] 43 3 3 2" xfId="12370" xr:uid="{E73857D7-4C09-4D1B-A336-BF070BD94F05}"/>
    <cellStyle name="Migliaia [0] 43 3 4" xfId="3006" xr:uid="{CC0FD5C5-F2FE-4003-A8D9-B8A5EC46C8EB}"/>
    <cellStyle name="Migliaia [0] 43 3 4 2" xfId="21327" xr:uid="{9FF4681F-1BF4-441D-A269-19153280EAB9}"/>
    <cellStyle name="Migliaia [0] 43 3 4 3" xfId="23999" xr:uid="{24C20FDD-71E7-473D-8CA4-7261426F16BD}"/>
    <cellStyle name="Migliaia [0] 43 3 4 4" xfId="50342" xr:uid="{02DD3D0F-8E42-45F6-8A28-42B700EDD240}"/>
    <cellStyle name="Migliaia [0] 43 3 4 5" xfId="53358" xr:uid="{8BC81AAF-5355-4D25-B550-A5E8F63CF9B3}"/>
    <cellStyle name="Migliaia [0] 43 3 4 6" xfId="10692" xr:uid="{97943FA1-222A-4D82-A268-EE0CF9FC9706}"/>
    <cellStyle name="Migliaia [0] 43 3 5" xfId="19685" xr:uid="{2274AA76-DA87-4D6A-8A4C-C4BC19AC61F4}"/>
    <cellStyle name="Migliaia [0] 43 3 6" xfId="24104" xr:uid="{C480D80F-D6BF-4543-A126-D2553DE66ED5}"/>
    <cellStyle name="Migliaia [0] 43 3 7" xfId="8221" xr:uid="{76C7796E-0E3C-42E9-803A-C36B9059D9E0}"/>
    <cellStyle name="Migliaia [0] 43 4" xfId="3007" xr:uid="{B8ABF366-877C-4F95-9482-95E802883843}"/>
    <cellStyle name="Migliaia [0] 43 4 2" xfId="4733" xr:uid="{F6B7CB94-9F97-4476-906E-59A2FEBD2705}"/>
    <cellStyle name="Migliaia [0] 43 4 2 2" xfId="35106" xr:uid="{B7F4F3AC-7C35-4955-80B4-F8E070510BF1}"/>
    <cellStyle name="Migliaia [0] 43 4 2 2 2" xfId="40264" xr:uid="{CBD3E59D-F79B-445C-9B30-31690BB6CB87}"/>
    <cellStyle name="Migliaia [0] 43 4 2 2 3" xfId="45566" xr:uid="{3E663974-15C5-4431-A10E-39D0B69B3058}"/>
    <cellStyle name="Migliaia [0] 43 4 2 3" xfId="37613" xr:uid="{C0E4AEEC-6803-4BD0-8DA7-6C7A8B329765}"/>
    <cellStyle name="Migliaia [0] 43 4 2 4" xfId="42915" xr:uid="{BE97DA24-29AE-4F76-A375-5AF553D729F1}"/>
    <cellStyle name="Migliaia [0] 43 4 2 5" xfId="17046" xr:uid="{6907FD2B-1F91-4E25-8F7D-02383EB5E0F3}"/>
    <cellStyle name="Migliaia [0] 43 4 3" xfId="5977" xr:uid="{232535AA-35DF-4C54-BF16-83225B56AD1F}"/>
    <cellStyle name="Migliaia [0] 43 4 3 2" xfId="38266" xr:uid="{39BE9BE7-4F6E-45EE-9314-B45C9A2EA7C9}"/>
    <cellStyle name="Migliaia [0] 43 4 3 3" xfId="43568" xr:uid="{DF8077DC-6BFF-4991-86A0-B574EBB79E47}"/>
    <cellStyle name="Migliaia [0] 43 4 3 4" xfId="32915" xr:uid="{DD3CCEFD-9FC5-431B-BF76-A725BDA27C7B}"/>
    <cellStyle name="Migliaia [0] 43 4 3 5" xfId="19686" xr:uid="{44BF444E-083C-499F-82B8-1EDF02716BEC}"/>
    <cellStyle name="Migliaia [0] 43 4 4" xfId="35801" xr:uid="{EBD13AE1-D57E-42BA-B87B-53CB4453EC71}"/>
    <cellStyle name="Migliaia [0] 43 4 5" xfId="40917" xr:uid="{92967EA4-F713-4AA3-AEC0-980B87DA6FFC}"/>
    <cellStyle name="Migliaia [0] 43 4 6" xfId="15988" xr:uid="{BDFE5F02-4A54-4F1D-BA16-F9A8E88D2CCA}"/>
    <cellStyle name="Migliaia [0] 43 4 7" xfId="7801" xr:uid="{D55728A6-CE76-44D1-BFA8-216AC820FA6F}"/>
    <cellStyle name="Migliaia [0] 43 5" xfId="4729" xr:uid="{0C08CDA1-9DCC-4C62-A9B3-FC8AE539BC42}"/>
    <cellStyle name="Migliaia [0] 43 5 2" xfId="32916" xr:uid="{7DCF2EE3-BA66-4797-942B-9B39D1C8EEAA}"/>
    <cellStyle name="Migliaia [0] 43 5 2 2" xfId="38267" xr:uid="{004C9230-378D-46A7-9CB2-8EAA594EFE00}"/>
    <cellStyle name="Migliaia [0] 43 5 2 3" xfId="43569" xr:uid="{B7D4F0EB-6C8C-4522-B8C5-D48249450117}"/>
    <cellStyle name="Migliaia [0] 43 5 3" xfId="35802" xr:uid="{271F827E-100A-4C6B-BED3-1315D622AC12}"/>
    <cellStyle name="Migliaia [0] 43 5 4" xfId="40918" xr:uid="{8C69FBB7-1340-4BE2-9A1D-C9A8F0C244A0}"/>
    <cellStyle name="Migliaia [0] 43 5 5" xfId="17115" xr:uid="{041B3F57-4CA2-4FAF-9082-ABA30BFAF7D8}"/>
    <cellStyle name="Migliaia [0] 43 6" xfId="5974" xr:uid="{ECE68018-24DA-472B-8C1A-F5C9B8C2710A}"/>
    <cellStyle name="Migliaia [0] 43 6 2" xfId="38263" xr:uid="{8884DED3-4A83-4385-8F89-A99A29A47994}"/>
    <cellStyle name="Migliaia [0] 43 6 3" xfId="43565" xr:uid="{5D0266A8-F5F0-44A4-BBF6-3AC00C87C499}"/>
    <cellStyle name="Migliaia [0] 43 6 4" xfId="32912" xr:uid="{8891BEB0-0CFA-4C31-B7DA-5D1B86306177}"/>
    <cellStyle name="Migliaia [0] 43 6 5" xfId="19682" xr:uid="{2C7473EC-B323-4A55-91F6-93486ACD2594}"/>
    <cellStyle name="Migliaia [0] 43 7" xfId="3003" xr:uid="{7DABDD17-45ED-4E0D-881D-6B9954C2E143}"/>
    <cellStyle name="Migliaia [0] 43 7 2" xfId="35798" xr:uid="{3DDA4379-AA73-46DF-962E-2D8AFBF437BA}"/>
    <cellStyle name="Migliaia [0] 43 8" xfId="40914" xr:uid="{D5B1AE40-6E15-4E0C-BF47-3730C8DE66E1}"/>
    <cellStyle name="Migliaia [0] 43 9" xfId="7022" xr:uid="{19037EE0-BBBF-40CC-ABDF-BE6380023AD3}"/>
    <cellStyle name="Migliaia [0] 44" xfId="280" xr:uid="{00000000-0005-0000-0000-00006D020000}"/>
    <cellStyle name="Migliaia [0] 44 2" xfId="1595" xr:uid="{00000000-0005-0000-0000-00006E020000}"/>
    <cellStyle name="Migliaia [0] 44 2 2" xfId="1596" xr:uid="{00000000-0005-0000-0000-00006F020000}"/>
    <cellStyle name="Migliaia [0] 44 2 2 2" xfId="4736" xr:uid="{2BDA5DCA-F418-4067-9D65-90484E2680E4}"/>
    <cellStyle name="Migliaia [0] 44 2 2 2 2" xfId="21796" xr:uid="{ADACD2C6-E2A2-4F3E-8F15-530185327FCA}"/>
    <cellStyle name="Migliaia [0] 44 2 2 2 3" xfId="24226" xr:uid="{2B8E84EB-5739-4F73-B325-C3418E65B489}"/>
    <cellStyle name="Migliaia [0] 44 2 2 2 4" xfId="50824" xr:uid="{7CCD7018-92B2-4403-8671-8F40D394BBFC}"/>
    <cellStyle name="Migliaia [0] 44 2 2 2 5" xfId="53840" xr:uid="{79E46CAB-B454-49ED-9B69-17792A80EC6C}"/>
    <cellStyle name="Migliaia [0] 44 2 2 2 6" xfId="11824" xr:uid="{28C279A3-D1C8-4224-A2A3-FFE944ACD938}"/>
    <cellStyle name="Migliaia [0] 44 2 2 3" xfId="3010" xr:uid="{DDC972D2-1B48-41A1-9A39-5F08BF63BA1F}"/>
    <cellStyle name="Migliaia [0] 44 2 2 3 2" xfId="12181" xr:uid="{0B04ABCB-2CC2-4273-B895-5F36900BE0B1}"/>
    <cellStyle name="Migliaia [0] 44 2 2 4" xfId="10693" xr:uid="{066FEB4B-7D53-4245-8425-028F80FBF37E}"/>
    <cellStyle name="Migliaia [0] 44 2 2 4 2" xfId="21328" xr:uid="{29D505E9-90E5-455D-B2A1-3D2227633631}"/>
    <cellStyle name="Migliaia [0] 44 2 2 4 3" xfId="47362" xr:uid="{BFD74B56-B705-4BDE-881E-A960BACDD976}"/>
    <cellStyle name="Migliaia [0] 44 2 2 4 4" xfId="50343" xr:uid="{5BBF5C3C-CCD9-4B13-A27B-7F04DEC0B2CA}"/>
    <cellStyle name="Migliaia [0] 44 2 2 4 5" xfId="53359" xr:uid="{D3172EE8-0782-47B1-8038-7B22FFCE2166}"/>
    <cellStyle name="Migliaia [0] 44 2 2 5" xfId="19689" xr:uid="{BBF7DD23-30C1-4EB6-BD9E-52A3195423A2}"/>
    <cellStyle name="Migliaia [0] 44 2 2 6" xfId="24106" xr:uid="{96ED7783-C4DF-42D9-91F0-00D6AE659E05}"/>
    <cellStyle name="Migliaia [0] 44 2 2 7" xfId="48858" xr:uid="{10077F54-00E2-4BDA-A6BF-892B2B79413F}"/>
    <cellStyle name="Migliaia [0] 44 2 2 8" xfId="49764" xr:uid="{A4FE8C6D-1B7C-4456-A560-D6B06493D706}"/>
    <cellStyle name="Migliaia [0] 44 2 2 9" xfId="8464" xr:uid="{C8E43335-237E-427E-AFA9-B4ECF7350F42}"/>
    <cellStyle name="Migliaia [0] 44 2 3" xfId="4735" xr:uid="{806605C9-7B7D-4356-A835-E15FC738A0B4}"/>
    <cellStyle name="Migliaia [0] 44 2 3 2" xfId="32918" xr:uid="{1AD1BDDA-8368-4754-8363-FA3095546422}"/>
    <cellStyle name="Migliaia [0] 44 2 3 2 2" xfId="38269" xr:uid="{4D85E941-91F6-4168-81CA-B5FA21B1FAA5}"/>
    <cellStyle name="Migliaia [0] 44 2 3 2 3" xfId="43571" xr:uid="{53FA4175-EA2E-4723-AEF1-444DFBFC48AA}"/>
    <cellStyle name="Migliaia [0] 44 2 3 3" xfId="35804" xr:uid="{1137E3F6-A413-4128-AF0B-CF5690EF0300}"/>
    <cellStyle name="Migliaia [0] 44 2 3 4" xfId="40920" xr:uid="{ABDCDA21-544C-465B-99CE-C538A8972BF5}"/>
    <cellStyle name="Migliaia [0] 44 2 3 5" xfId="11825" xr:uid="{1A47E059-770E-40D1-B084-434979CA72AB}"/>
    <cellStyle name="Migliaia [0] 44 2 4" xfId="5979" xr:uid="{59EFC19B-CFF2-4E5A-A432-D3A8417E2135}"/>
    <cellStyle name="Migliaia [0] 44 2 4 2" xfId="19688" xr:uid="{BFFD0AF9-3148-4091-BD18-ADA0D4ADE06D}"/>
    <cellStyle name="Migliaia [0] 44 2 5" xfId="3009" xr:uid="{95E04E5C-BB5B-46D8-BFC4-80C69A9DAE5C}"/>
    <cellStyle name="Migliaia [0] 44 2 5 2" xfId="24105" xr:uid="{6C170F4F-91B1-4060-A4F6-0555D013AE5A}"/>
    <cellStyle name="Migliaia [0] 44 2 6" xfId="7274" xr:uid="{5B11F2DA-1A18-4C2C-AD1D-E9B6007F199D}"/>
    <cellStyle name="Migliaia [0] 44 3" xfId="1597" xr:uid="{00000000-0005-0000-0000-000070020000}"/>
    <cellStyle name="Migliaia [0] 44 3 2" xfId="4737" xr:uid="{C1300508-25CB-4478-9CE6-A54FC7911D69}"/>
    <cellStyle name="Migliaia [0] 44 3 2 2" xfId="18339" xr:uid="{62C98153-2A9E-4883-8E00-D8A930C952D6}"/>
    <cellStyle name="Migliaia [0] 44 3 2 2 2" xfId="21797" xr:uid="{465D764E-1652-45BC-BBB9-BD6B09A64A73}"/>
    <cellStyle name="Migliaia [0] 44 3 2 2 2 2" xfId="38270" xr:uid="{AE46CF47-27CB-4CA3-98AA-BD40FE5E7123}"/>
    <cellStyle name="Migliaia [0] 44 3 2 2 3" xfId="43572" xr:uid="{D1C66AFA-4945-4759-B684-83ED3C46493A}"/>
    <cellStyle name="Migliaia [0] 44 3 2 2 4" xfId="32919" xr:uid="{7C4B1D6E-F520-4BC4-BC82-14EE82559C41}"/>
    <cellStyle name="Migliaia [0] 44 3 2 3" xfId="35805" xr:uid="{B115B5C3-D631-4387-BD53-717E0170EA80}"/>
    <cellStyle name="Migliaia [0] 44 3 2 4" xfId="40921" xr:uid="{74DA0892-1A1B-4244-B867-1B089473FF22}"/>
    <cellStyle name="Migliaia [0] 44 3 2 5" xfId="47010" xr:uid="{4F40A2D2-1F57-471F-B9DD-5F394BFEB1B6}"/>
    <cellStyle name="Migliaia [0] 44 3 2 6" xfId="50825" xr:uid="{9D70BEA0-E2C9-47D3-B6AE-8EC81065898C}"/>
    <cellStyle name="Migliaia [0] 44 3 2 7" xfId="53841" xr:uid="{C6CFACA0-F318-4DDF-9B4D-CB84061B32CF}"/>
    <cellStyle name="Migliaia [0] 44 3 2 8" xfId="17615" xr:uid="{B701936C-F8ED-4642-8DD3-576C1265079F}"/>
    <cellStyle name="Migliaia [0] 44 3 2 9" xfId="11826" xr:uid="{45E92971-FCCE-46C1-B88E-A2C97A6795C1}"/>
    <cellStyle name="Migliaia [0] 44 3 3" xfId="5980" xr:uid="{B3A9DEA3-055E-49AD-92FE-5ADA617F3188}"/>
    <cellStyle name="Migliaia [0] 44 3 3 2" xfId="12188" xr:uid="{C49E328B-0B48-40DD-881F-BFC3C872B9A1}"/>
    <cellStyle name="Migliaia [0] 44 3 4" xfId="3011" xr:uid="{D094741B-D001-4657-9388-3FB5253DB83C}"/>
    <cellStyle name="Migliaia [0] 44 3 4 2" xfId="21329" xr:uid="{4A0D5375-AEA1-496D-9DAD-65F9B9D5E5F1}"/>
    <cellStyle name="Migliaia [0] 44 3 4 3" xfId="46184" xr:uid="{6A2D6FF1-695B-4048-B7DE-AD6E52354920}"/>
    <cellStyle name="Migliaia [0] 44 3 4 4" xfId="50344" xr:uid="{6BEFE2C2-7022-4B1E-8DF2-AD2CBBD88994}"/>
    <cellStyle name="Migliaia [0] 44 3 4 5" xfId="53360" xr:uid="{55CE72D2-D781-4671-BF72-1AF4DD8C4B84}"/>
    <cellStyle name="Migliaia [0] 44 3 4 6" xfId="10694" xr:uid="{E1E32D52-7420-42C2-8054-6665F4A03A73}"/>
    <cellStyle name="Migliaia [0] 44 3 5" xfId="19690" xr:uid="{86989488-A14D-40F6-83D8-308529A7357D}"/>
    <cellStyle name="Migliaia [0] 44 3 6" xfId="24107" xr:uid="{6772B074-BEA4-4770-89FA-C5EFF6F2EDA3}"/>
    <cellStyle name="Migliaia [0] 44 3 7" xfId="8222" xr:uid="{FACCBAB0-9B26-4FCB-A02A-CA720B65D2EE}"/>
    <cellStyle name="Migliaia [0] 44 4" xfId="3012" xr:uid="{ACAA4913-E25F-4F83-A980-F3D8CF6D86FF}"/>
    <cellStyle name="Migliaia [0] 44 4 2" xfId="4738" xr:uid="{A7475D7A-AF49-47FA-9918-C28B93F0340E}"/>
    <cellStyle name="Migliaia [0] 44 4 2 2" xfId="35107" xr:uid="{F8DA0A11-C9B4-4CF5-B2D8-FA06C6424849}"/>
    <cellStyle name="Migliaia [0] 44 4 2 2 2" xfId="40265" xr:uid="{DCE4E4BA-B6A3-42D3-AA13-0636694D1D80}"/>
    <cellStyle name="Migliaia [0] 44 4 2 2 3" xfId="45567" xr:uid="{E0A61AF2-29FC-4F82-82D9-20A5E279D114}"/>
    <cellStyle name="Migliaia [0] 44 4 2 3" xfId="37614" xr:uid="{508A6703-764F-4671-9959-42FCA6358009}"/>
    <cellStyle name="Migliaia [0] 44 4 2 4" xfId="42916" xr:uid="{C69B827A-E977-4F90-8822-6B4A17E18DE9}"/>
    <cellStyle name="Migliaia [0] 44 4 2 5" xfId="17047" xr:uid="{29A5C7A2-611A-4917-A16D-CFE04AC645BF}"/>
    <cellStyle name="Migliaia [0] 44 4 3" xfId="5981" xr:uid="{EC755725-9159-445B-917E-D2F63FB45E38}"/>
    <cellStyle name="Migliaia [0] 44 4 3 2" xfId="38271" xr:uid="{835CCFB6-8764-432E-9436-B9E9E46E529C}"/>
    <cellStyle name="Migliaia [0] 44 4 3 3" xfId="43573" xr:uid="{1982AD93-949B-4639-807F-94133AED8A08}"/>
    <cellStyle name="Migliaia [0] 44 4 3 4" xfId="32920" xr:uid="{47D95A75-E949-4AD1-AFE5-CEC4F590B34E}"/>
    <cellStyle name="Migliaia [0] 44 4 3 5" xfId="19691" xr:uid="{5A62C70A-0758-4720-B797-A50E7A1D9DD1}"/>
    <cellStyle name="Migliaia [0] 44 4 4" xfId="35806" xr:uid="{E1715420-961C-4DC5-A24F-D3781D62E3C7}"/>
    <cellStyle name="Migliaia [0] 44 4 5" xfId="40922" xr:uid="{4AD85D5E-55BB-4DAE-A9AE-2DD42DE5630F}"/>
    <cellStyle name="Migliaia [0] 44 4 6" xfId="15989" xr:uid="{99AD75F0-5EF8-4455-9D26-FB6CBB6B9849}"/>
    <cellStyle name="Migliaia [0] 44 4 7" xfId="7802" xr:uid="{712F2E35-2F41-48E6-899A-64F1FF2B1531}"/>
    <cellStyle name="Migliaia [0] 44 5" xfId="4734" xr:uid="{27B32F46-751F-4DDB-B9C0-23C00BD74279}"/>
    <cellStyle name="Migliaia [0] 44 5 2" xfId="32921" xr:uid="{AF183842-C2DA-4D22-84C6-4F929115EBEF}"/>
    <cellStyle name="Migliaia [0] 44 5 2 2" xfId="38272" xr:uid="{D60EB3FE-1AA5-4C66-92F1-5A7C9AE3AD5C}"/>
    <cellStyle name="Migliaia [0] 44 5 2 3" xfId="43574" xr:uid="{EAD65C27-5D91-43A4-A114-9E6114CC8818}"/>
    <cellStyle name="Migliaia [0] 44 5 3" xfId="35807" xr:uid="{AA55369F-AA19-44CD-A51C-80857F1E4E14}"/>
    <cellStyle name="Migliaia [0] 44 5 4" xfId="40923" xr:uid="{62AAF898-CC3C-4E3A-99B3-7114D1499A20}"/>
    <cellStyle name="Migliaia [0] 44 5 5" xfId="17116" xr:uid="{87FEA2D5-9DD9-498F-98DA-DCD603AB7CD9}"/>
    <cellStyle name="Migliaia [0] 44 6" xfId="5978" xr:uid="{A93D00CD-7F32-445D-82E0-D4E4A755EB5E}"/>
    <cellStyle name="Migliaia [0] 44 6 2" xfId="38268" xr:uid="{1175F3DA-E31A-40BF-B188-A7B676E3E1D2}"/>
    <cellStyle name="Migliaia [0] 44 6 3" xfId="43570" xr:uid="{79E73F29-E989-49C6-95E2-88AD9AA990AF}"/>
    <cellStyle name="Migliaia [0] 44 6 4" xfId="32917" xr:uid="{EA8CCFC0-1863-49B1-A65D-B886A66A0BB5}"/>
    <cellStyle name="Migliaia [0] 44 6 5" xfId="19687" xr:uid="{E40FCD49-F6D4-421D-972B-3C7DF737C72A}"/>
    <cellStyle name="Migliaia [0] 44 7" xfId="3008" xr:uid="{16EEF622-FDA7-44B6-86E0-CD52C5F4B29E}"/>
    <cellStyle name="Migliaia [0] 44 7 2" xfId="35803" xr:uid="{3B177FBF-D7A3-4EFF-A691-EE81EC9CBD4E}"/>
    <cellStyle name="Migliaia [0] 44 8" xfId="40919" xr:uid="{80AC8789-A48B-4DCA-9AC2-1229B78F73AA}"/>
    <cellStyle name="Migliaia [0] 44 9" xfId="7023" xr:uid="{EAC5A720-6A3A-454B-A6F5-521E198EC385}"/>
    <cellStyle name="Migliaia [0] 45" xfId="281" xr:uid="{00000000-0005-0000-0000-000071020000}"/>
    <cellStyle name="Migliaia [0] 45 2" xfId="1598" xr:uid="{00000000-0005-0000-0000-000072020000}"/>
    <cellStyle name="Migliaia [0] 45 2 2" xfId="1599" xr:uid="{00000000-0005-0000-0000-000073020000}"/>
    <cellStyle name="Migliaia [0] 45 2 2 2" xfId="4741" xr:uid="{2B9BC03F-5C64-42C3-8ADF-E3BF653F5333}"/>
    <cellStyle name="Migliaia [0] 45 2 2 2 2" xfId="21798" xr:uid="{2D56A70B-8A74-45CD-B001-5A7110019BA4}"/>
    <cellStyle name="Migliaia [0] 45 2 2 2 3" xfId="24491" xr:uid="{140F6428-8FAF-4DBD-A0DF-8C8E2AA43209}"/>
    <cellStyle name="Migliaia [0] 45 2 2 2 4" xfId="50826" xr:uid="{0013B58A-D42A-4A2E-B102-58695957A054}"/>
    <cellStyle name="Migliaia [0] 45 2 2 2 5" xfId="53842" xr:uid="{A69CF974-45AB-434D-9902-0B7D7B6AA594}"/>
    <cellStyle name="Migliaia [0] 45 2 2 2 6" xfId="11827" xr:uid="{B9DB7E2A-FCAF-4A3F-A3F1-BA0D1DEC847B}"/>
    <cellStyle name="Migliaia [0] 45 2 2 3" xfId="3015" xr:uid="{9D3DBA6E-1AB6-4ADF-880C-265C5DA5BADF}"/>
    <cellStyle name="Migliaia [0] 45 2 2 3 2" xfId="11134" xr:uid="{FD3D04AD-8EA8-4B2F-81E3-3CA33D3B84DC}"/>
    <cellStyle name="Migliaia [0] 45 2 2 4" xfId="10695" xr:uid="{B4E5CDF0-C991-44F6-A2E3-6DC394392B67}"/>
    <cellStyle name="Migliaia [0] 45 2 2 4 2" xfId="21330" xr:uid="{BE4260B5-A729-4C78-B1A4-2334A3F88FDB}"/>
    <cellStyle name="Migliaia [0] 45 2 2 4 3" xfId="47892" xr:uid="{021B8B97-1946-4A14-9962-7524FB58920F}"/>
    <cellStyle name="Migliaia [0] 45 2 2 4 4" xfId="50345" xr:uid="{46B1E715-B661-4C60-B7F6-001F34D95B40}"/>
    <cellStyle name="Migliaia [0] 45 2 2 4 5" xfId="53361" xr:uid="{38728123-12ED-4375-B29C-DE15AE1C073E}"/>
    <cellStyle name="Migliaia [0] 45 2 2 5" xfId="19694" xr:uid="{A2A76F90-BF03-400C-888E-8548ADB23AA8}"/>
    <cellStyle name="Migliaia [0] 45 2 2 6" xfId="24109" xr:uid="{CFA5DF51-D5A4-4330-94A5-1B5670EEB1AC}"/>
    <cellStyle name="Migliaia [0] 45 2 2 7" xfId="48859" xr:uid="{5981C7D5-CE40-4F85-A611-E4548B9D2C6D}"/>
    <cellStyle name="Migliaia [0] 45 2 2 8" xfId="49765" xr:uid="{FE1767C6-AC1F-4DC2-8AC1-121C686627E7}"/>
    <cellStyle name="Migliaia [0] 45 2 2 9" xfId="8465" xr:uid="{85191C78-40DA-416B-BCD2-1E4706806A41}"/>
    <cellStyle name="Migliaia [0] 45 2 3" xfId="4740" xr:uid="{3ED02E97-F2F6-426C-AE69-256D9843C76B}"/>
    <cellStyle name="Migliaia [0] 45 2 3 2" xfId="32923" xr:uid="{A84D593D-E5CC-4047-9665-D32CA5CDF8BA}"/>
    <cellStyle name="Migliaia [0] 45 2 3 2 2" xfId="38274" xr:uid="{EF74E3AE-E6EB-4B17-8C39-7D48EDE2A87C}"/>
    <cellStyle name="Migliaia [0] 45 2 3 2 3" xfId="43576" xr:uid="{2EC795A2-826F-4602-B34D-A079FB2DC40F}"/>
    <cellStyle name="Migliaia [0] 45 2 3 3" xfId="35809" xr:uid="{22A57C6E-8F98-4E90-94BB-C56BBA882AA8}"/>
    <cellStyle name="Migliaia [0] 45 2 3 4" xfId="40925" xr:uid="{9A65EBEA-5D93-4B4F-8A55-7490D9E1E67D}"/>
    <cellStyle name="Migliaia [0] 45 2 3 5" xfId="11828" xr:uid="{6D2FB569-96D4-41DD-B596-E3F377886099}"/>
    <cellStyle name="Migliaia [0] 45 2 4" xfId="5983" xr:uid="{11EACD2A-2469-41AD-87BB-68F5CA71A613}"/>
    <cellStyle name="Migliaia [0] 45 2 4 2" xfId="19693" xr:uid="{107779A3-2C05-4AF5-8FC2-7DA605478615}"/>
    <cellStyle name="Migliaia [0] 45 2 5" xfId="3014" xr:uid="{EC87042B-7706-4147-AE6D-DD2FBAA2983C}"/>
    <cellStyle name="Migliaia [0] 45 2 5 2" xfId="24108" xr:uid="{E28B7D47-0F63-4F45-B519-2EED61E5EC94}"/>
    <cellStyle name="Migliaia [0] 45 2 6" xfId="7275" xr:uid="{71F3167D-A1DB-47B0-9978-34380641BDA0}"/>
    <cellStyle name="Migliaia [0] 45 3" xfId="1600" xr:uid="{00000000-0005-0000-0000-000074020000}"/>
    <cellStyle name="Migliaia [0] 45 3 2" xfId="4742" xr:uid="{ECCAB311-E634-446F-90C5-B34133EB8BEA}"/>
    <cellStyle name="Migliaia [0] 45 3 2 2" xfId="18340" xr:uid="{3C5E57EF-7CAE-4A83-94F4-2C6E7E9CFC9B}"/>
    <cellStyle name="Migliaia [0] 45 3 2 2 2" xfId="21799" xr:uid="{5890E816-C3FA-416E-BFB9-CE9D720C192B}"/>
    <cellStyle name="Migliaia [0] 45 3 2 2 2 2" xfId="38275" xr:uid="{C482BE4A-DF50-42DF-9D2B-B20617505631}"/>
    <cellStyle name="Migliaia [0] 45 3 2 2 3" xfId="43577" xr:uid="{5E276F1C-0AC4-4FF0-9986-B55A34A42BFA}"/>
    <cellStyle name="Migliaia [0] 45 3 2 2 4" xfId="32924" xr:uid="{2AF519B1-190C-4750-BDCC-87C3746B6198}"/>
    <cellStyle name="Migliaia [0] 45 3 2 3" xfId="35810" xr:uid="{BCF1B91F-5CA3-42D9-AD93-3B77E2C464D3}"/>
    <cellStyle name="Migliaia [0] 45 3 2 4" xfId="40926" xr:uid="{1EC22EA9-82C2-44FF-9B24-C03C003066F3}"/>
    <cellStyle name="Migliaia [0] 45 3 2 5" xfId="48332" xr:uid="{7A2E7955-55A1-4EE9-A74A-8FC862BCAE95}"/>
    <cellStyle name="Migliaia [0] 45 3 2 6" xfId="50827" xr:uid="{F952EA85-C3C3-4D66-81EB-56866C09213F}"/>
    <cellStyle name="Migliaia [0] 45 3 2 7" xfId="53843" xr:uid="{755E8C99-7022-403F-B323-BB8B6CF42BA5}"/>
    <cellStyle name="Migliaia [0] 45 3 2 8" xfId="17616" xr:uid="{91787E10-696E-4586-BA52-E197C110A9D3}"/>
    <cellStyle name="Migliaia [0] 45 3 2 9" xfId="11829" xr:uid="{CAE08639-8A26-44D0-99C8-99428BEA498A}"/>
    <cellStyle name="Migliaia [0] 45 3 3" xfId="5984" xr:uid="{8B17E855-9881-45AF-9D2C-B28920935627}"/>
    <cellStyle name="Migliaia [0] 45 3 3 2" xfId="11548" xr:uid="{907FE471-89D2-46DE-BCDE-414DD4BBB426}"/>
    <cellStyle name="Migliaia [0] 45 3 4" xfId="3016" xr:uid="{65F986BA-FFDA-48F1-9934-EBBB713CA2C5}"/>
    <cellStyle name="Migliaia [0] 45 3 4 2" xfId="21331" xr:uid="{B7A7D1A5-EF85-424C-BF6F-BD2D316380E2}"/>
    <cellStyle name="Migliaia [0] 45 3 4 3" xfId="48169" xr:uid="{4ADC6A2D-541E-433A-9B5C-80394F90732E}"/>
    <cellStyle name="Migliaia [0] 45 3 4 4" xfId="50346" xr:uid="{360CC7A7-CBD6-4709-886B-A0FAF6C615F6}"/>
    <cellStyle name="Migliaia [0] 45 3 4 5" xfId="53362" xr:uid="{6BC4FE14-A74C-4577-BAF8-AE4C846C5663}"/>
    <cellStyle name="Migliaia [0] 45 3 4 6" xfId="10696" xr:uid="{FA109459-EAFA-4A33-A777-2401008416F6}"/>
    <cellStyle name="Migliaia [0] 45 3 5" xfId="19695" xr:uid="{6507D50D-EC3C-4233-8879-63F221AD3933}"/>
    <cellStyle name="Migliaia [0] 45 3 6" xfId="24110" xr:uid="{AB2A7CC3-7406-4F5B-807C-C29FB5D9AD7D}"/>
    <cellStyle name="Migliaia [0] 45 3 7" xfId="8223" xr:uid="{C5D7A1B1-5A26-40A1-AA59-CA5098CD0813}"/>
    <cellStyle name="Migliaia [0] 45 4" xfId="3017" xr:uid="{217A928D-6633-4DA2-BBB4-0F8F676D0367}"/>
    <cellStyle name="Migliaia [0] 45 4 2" xfId="4743" xr:uid="{6A155E66-6988-4B49-BAAC-F1C10BFCEB13}"/>
    <cellStyle name="Migliaia [0] 45 4 2 2" xfId="35108" xr:uid="{EFC286AD-B633-4806-8228-6AED1B52660C}"/>
    <cellStyle name="Migliaia [0] 45 4 2 2 2" xfId="40266" xr:uid="{2BE50E1C-BD4A-4B2B-B494-384D8AA76C71}"/>
    <cellStyle name="Migliaia [0] 45 4 2 2 3" xfId="45568" xr:uid="{0FD65C4B-0BC6-44F8-9BFA-F91C1A94661A}"/>
    <cellStyle name="Migliaia [0] 45 4 2 3" xfId="37615" xr:uid="{2415122A-B193-4D1C-BA04-19283995D18D}"/>
    <cellStyle name="Migliaia [0] 45 4 2 4" xfId="42917" xr:uid="{2379F62E-A8C3-4685-BB1F-865E510DEF40}"/>
    <cellStyle name="Migliaia [0] 45 4 2 5" xfId="17048" xr:uid="{7332C107-3C55-4A7A-A4EB-11974FC0CBC5}"/>
    <cellStyle name="Migliaia [0] 45 4 3" xfId="5985" xr:uid="{453D02FA-D640-434B-B9D2-E03C7E7D2FDC}"/>
    <cellStyle name="Migliaia [0] 45 4 3 2" xfId="38276" xr:uid="{BF8A3AFA-17AA-429A-B73F-F2BB70CA2A32}"/>
    <cellStyle name="Migliaia [0] 45 4 3 3" xfId="43578" xr:uid="{631EA9D0-E3E5-49DF-BEF7-C484F796D39E}"/>
    <cellStyle name="Migliaia [0] 45 4 3 4" xfId="32925" xr:uid="{1D940DA0-63C4-4A1D-92EB-095FB3A25B08}"/>
    <cellStyle name="Migliaia [0] 45 4 3 5" xfId="19696" xr:uid="{830E4EDD-C0A9-4F76-8CC9-CB16F6A4B8A4}"/>
    <cellStyle name="Migliaia [0] 45 4 4" xfId="35811" xr:uid="{01632FDF-974D-48BA-BBC0-6821E4611071}"/>
    <cellStyle name="Migliaia [0] 45 4 5" xfId="40927" xr:uid="{F59B541D-6BC6-492F-842B-240CFE3C7580}"/>
    <cellStyle name="Migliaia [0] 45 4 6" xfId="15990" xr:uid="{1206369D-967D-4455-87E5-C18DCFEE2326}"/>
    <cellStyle name="Migliaia [0] 45 4 7" xfId="7803" xr:uid="{E10556C6-9875-44B1-8A75-D422B412B84A}"/>
    <cellStyle name="Migliaia [0] 45 5" xfId="4739" xr:uid="{942CF0F0-8629-4A2C-9782-6A35286B5348}"/>
    <cellStyle name="Migliaia [0] 45 5 2" xfId="32926" xr:uid="{68A48C44-4102-4204-A794-13764B962C90}"/>
    <cellStyle name="Migliaia [0] 45 5 2 2" xfId="38277" xr:uid="{CE701619-F75F-4CDC-8EE6-E73BCB1D41BF}"/>
    <cellStyle name="Migliaia [0] 45 5 2 3" xfId="43579" xr:uid="{53B1C85B-54BA-4BC2-9AA3-04E215D9ED5B}"/>
    <cellStyle name="Migliaia [0] 45 5 3" xfId="35812" xr:uid="{44BCC316-4535-416F-91E8-F4D548D226B7}"/>
    <cellStyle name="Migliaia [0] 45 5 4" xfId="40928" xr:uid="{98C86CD8-C65C-4538-8A44-305204AE87A6}"/>
    <cellStyle name="Migliaia [0] 45 5 5" xfId="17117" xr:uid="{0BFBA2DC-B454-4E28-9006-723D9D812DCB}"/>
    <cellStyle name="Migliaia [0] 45 6" xfId="5982" xr:uid="{B906DD77-E567-4C94-8606-463CAB5B59EF}"/>
    <cellStyle name="Migliaia [0] 45 6 2" xfId="38273" xr:uid="{C7490662-E49C-4062-961D-89C40513F41D}"/>
    <cellStyle name="Migliaia [0] 45 6 3" xfId="43575" xr:uid="{33EEA89E-D919-4F2C-84D1-D150CD14767C}"/>
    <cellStyle name="Migliaia [0] 45 6 4" xfId="32922" xr:uid="{188806AE-D9DB-4FF5-9B57-DF280EB68862}"/>
    <cellStyle name="Migliaia [0] 45 6 5" xfId="19692" xr:uid="{B210EFBE-3219-4E6C-A73C-62D11CCDA3DD}"/>
    <cellStyle name="Migliaia [0] 45 7" xfId="3013" xr:uid="{7AB7EE48-3AC1-4058-A25D-CACB64A61283}"/>
    <cellStyle name="Migliaia [0] 45 7 2" xfId="35808" xr:uid="{35732365-5D81-4EAD-8E6C-7E70412E75E2}"/>
    <cellStyle name="Migliaia [0] 45 8" xfId="40924" xr:uid="{32353ED7-13D5-444D-98C7-355DB518F8E7}"/>
    <cellStyle name="Migliaia [0] 45 9" xfId="7024" xr:uid="{8F0144FC-3303-43F0-85D6-E4DCFF3263F1}"/>
    <cellStyle name="Migliaia [0] 46" xfId="282" xr:uid="{00000000-0005-0000-0000-000075020000}"/>
    <cellStyle name="Migliaia [0] 46 2" xfId="1601" xr:uid="{00000000-0005-0000-0000-000076020000}"/>
    <cellStyle name="Migliaia [0] 46 2 2" xfId="1602" xr:uid="{00000000-0005-0000-0000-000077020000}"/>
    <cellStyle name="Migliaia [0] 46 2 2 2" xfId="4746" xr:uid="{2DE913F7-AEAA-4682-9239-6B1CC7DC555B}"/>
    <cellStyle name="Migliaia [0] 46 2 2 2 2" xfId="21800" xr:uid="{950456F6-209F-4201-BA32-3CB808D58CD6}"/>
    <cellStyle name="Migliaia [0] 46 2 2 2 3" xfId="47075" xr:uid="{C104287A-3486-42C6-8974-E25AAF7739E8}"/>
    <cellStyle name="Migliaia [0] 46 2 2 2 4" xfId="50828" xr:uid="{6B493D91-A3BF-4EA7-B9D1-63BEF4F24235}"/>
    <cellStyle name="Migliaia [0] 46 2 2 2 5" xfId="53844" xr:uid="{F0EF7ED5-8978-4478-9B80-057572378AC1}"/>
    <cellStyle name="Migliaia [0] 46 2 2 2 6" xfId="11830" xr:uid="{7902FB60-1BE5-44A8-A899-427DCE9C519D}"/>
    <cellStyle name="Migliaia [0] 46 2 2 3" xfId="3020" xr:uid="{EDB0151E-E63E-4166-A4AC-50D7308FDC18}"/>
    <cellStyle name="Migliaia [0] 46 2 2 3 2" xfId="12334" xr:uid="{5A6E3BB4-B1B6-4FD0-890E-A9A81B010CF2}"/>
    <cellStyle name="Migliaia [0] 46 2 2 4" xfId="10697" xr:uid="{CCE104E3-E52E-4E54-A686-5DFABE49ED6F}"/>
    <cellStyle name="Migliaia [0] 46 2 2 4 2" xfId="21332" xr:uid="{5E195B55-F4C2-4EFA-9BE2-13AC7E3DEAFA}"/>
    <cellStyle name="Migliaia [0] 46 2 2 4 3" xfId="46185" xr:uid="{7A394AF8-4599-4533-8A17-675E8327960C}"/>
    <cellStyle name="Migliaia [0] 46 2 2 4 4" xfId="50347" xr:uid="{2FC5D08C-75FF-4D08-832C-5226A17C3F1B}"/>
    <cellStyle name="Migliaia [0] 46 2 2 4 5" xfId="53363" xr:uid="{A643BAA8-E71D-4414-BDC8-F49D11B0D943}"/>
    <cellStyle name="Migliaia [0] 46 2 2 5" xfId="19699" xr:uid="{052E26F9-7722-4498-A741-41E8ADD2991A}"/>
    <cellStyle name="Migliaia [0] 46 2 2 6" xfId="24112" xr:uid="{422012EA-B3EF-4875-BCDE-DFEB9ECF48F4}"/>
    <cellStyle name="Migliaia [0] 46 2 2 7" xfId="48860" xr:uid="{D857305C-4C51-4C32-8B66-CF08CA446C8F}"/>
    <cellStyle name="Migliaia [0] 46 2 2 8" xfId="49766" xr:uid="{F6989DBB-3025-40C1-B2A4-52748D045AF9}"/>
    <cellStyle name="Migliaia [0] 46 2 2 9" xfId="8466" xr:uid="{63ED0FC4-2BA7-4E53-AAA3-15DDA17B12A1}"/>
    <cellStyle name="Migliaia [0] 46 2 3" xfId="4745" xr:uid="{448BABE9-8069-4D39-8ED6-6557A147D58C}"/>
    <cellStyle name="Migliaia [0] 46 2 3 2" xfId="32928" xr:uid="{7174A90C-6718-4175-B900-2C09750EE302}"/>
    <cellStyle name="Migliaia [0] 46 2 3 2 2" xfId="38279" xr:uid="{ABB2BA3B-89C4-4D07-916B-BE45719108B8}"/>
    <cellStyle name="Migliaia [0] 46 2 3 2 3" xfId="43581" xr:uid="{14E04CA1-B791-4A86-B8D7-467BC05555BD}"/>
    <cellStyle name="Migliaia [0] 46 2 3 3" xfId="35814" xr:uid="{0E24E25A-686C-4DA0-A748-FECCC3DCCA13}"/>
    <cellStyle name="Migliaia [0] 46 2 3 4" xfId="40930" xr:uid="{69956F6D-E2B2-4A96-A7D9-FD8879115771}"/>
    <cellStyle name="Migliaia [0] 46 2 3 5" xfId="11831" xr:uid="{B8FA5BC9-6F65-4A48-BBF1-73B620AEBFE2}"/>
    <cellStyle name="Migliaia [0] 46 2 4" xfId="5987" xr:uid="{F06252DA-9D41-4DF4-ABAA-F28FE002D131}"/>
    <cellStyle name="Migliaia [0] 46 2 4 2" xfId="19698" xr:uid="{2316AB16-5DF1-4484-A7CE-8969BA77C3CB}"/>
    <cellStyle name="Migliaia [0] 46 2 5" xfId="3019" xr:uid="{8B3711D1-AB3C-4313-96B9-4714E95D6B03}"/>
    <cellStyle name="Migliaia [0] 46 2 5 2" xfId="24111" xr:uid="{9A717720-88CD-4B69-AF77-2ED3AB5B1F7C}"/>
    <cellStyle name="Migliaia [0] 46 2 6" xfId="7276" xr:uid="{55120FA3-900D-4001-92EC-316350FAC775}"/>
    <cellStyle name="Migliaia [0] 46 3" xfId="1603" xr:uid="{00000000-0005-0000-0000-000078020000}"/>
    <cellStyle name="Migliaia [0] 46 3 2" xfId="4747" xr:uid="{F0413EF7-58ED-4C4C-9992-554D6003141B}"/>
    <cellStyle name="Migliaia [0] 46 3 2 2" xfId="18341" xr:uid="{BE424C54-394D-4CB3-B7BA-63374F7CAD46}"/>
    <cellStyle name="Migliaia [0] 46 3 2 2 2" xfId="21801" xr:uid="{32E24ACA-649B-4582-90FD-D92FF64C8305}"/>
    <cellStyle name="Migliaia [0] 46 3 2 2 2 2" xfId="38280" xr:uid="{6CFE6F6C-217D-4970-874E-4866E93A9921}"/>
    <cellStyle name="Migliaia [0] 46 3 2 2 3" xfId="43582" xr:uid="{4BAE36E0-FDEF-4D47-8EAE-5AC9A15A7F1B}"/>
    <cellStyle name="Migliaia [0] 46 3 2 2 4" xfId="32929" xr:uid="{5B1909AF-B93C-4EFB-A5B4-A4D2D77D98B9}"/>
    <cellStyle name="Migliaia [0] 46 3 2 3" xfId="35815" xr:uid="{31C3A865-2AB9-4027-A912-C76881D82824}"/>
    <cellStyle name="Migliaia [0] 46 3 2 4" xfId="40931" xr:uid="{6D6CDC7B-4350-4BE9-A476-853CF484F25B}"/>
    <cellStyle name="Migliaia [0] 46 3 2 5" xfId="46294" xr:uid="{84AC7EB4-48D2-4A96-B76E-C35F303A7663}"/>
    <cellStyle name="Migliaia [0] 46 3 2 6" xfId="50829" xr:uid="{F47A03C5-F55A-41CF-9820-6A891517C37F}"/>
    <cellStyle name="Migliaia [0] 46 3 2 7" xfId="53845" xr:uid="{0DD1174B-1972-4564-9FB7-9C1C7A4798FF}"/>
    <cellStyle name="Migliaia [0] 46 3 2 8" xfId="17617" xr:uid="{D3BBEB2E-3AAF-4E97-B18A-70C488180850}"/>
    <cellStyle name="Migliaia [0] 46 3 2 9" xfId="11832" xr:uid="{A3CE3B0B-83D1-4615-A872-D494FCD8F704}"/>
    <cellStyle name="Migliaia [0] 46 3 3" xfId="5988" xr:uid="{6EF2ABA0-ADC2-4889-9CFA-164F38011A96}"/>
    <cellStyle name="Migliaia [0] 46 3 3 2" xfId="11549" xr:uid="{2DCB5EC0-CCBB-4927-995B-30A930A4FB36}"/>
    <cellStyle name="Migliaia [0] 46 3 4" xfId="3021" xr:uid="{312F8264-ADD4-4B85-B962-D8ABF23DE534}"/>
    <cellStyle name="Migliaia [0] 46 3 4 2" xfId="21333" xr:uid="{64474F7C-0101-4195-9FF3-4F256633A7AC}"/>
    <cellStyle name="Migliaia [0] 46 3 4 3" xfId="24255" xr:uid="{FC0A27F8-A487-4D67-9397-AF2CA29A2D42}"/>
    <cellStyle name="Migliaia [0] 46 3 4 4" xfId="50348" xr:uid="{3CC12EA4-403F-4C4D-A93C-CF23D684882A}"/>
    <cellStyle name="Migliaia [0] 46 3 4 5" xfId="53364" xr:uid="{98BD828C-C361-4D93-9DFF-84367A10289B}"/>
    <cellStyle name="Migliaia [0] 46 3 4 6" xfId="10698" xr:uid="{5F36EE52-9604-4EBD-A558-7CA3F732E847}"/>
    <cellStyle name="Migliaia [0] 46 3 5" xfId="19700" xr:uid="{8D163090-0EFB-49E7-90D7-E403901B1618}"/>
    <cellStyle name="Migliaia [0] 46 3 6" xfId="24113" xr:uid="{64FAEA8F-A529-42FE-9852-27556313A67D}"/>
    <cellStyle name="Migliaia [0] 46 3 7" xfId="8224" xr:uid="{940AF0C0-4BFB-4A22-8CA9-80856633B54D}"/>
    <cellStyle name="Migliaia [0] 46 4" xfId="3022" xr:uid="{D286E590-F3DA-4F1C-A09E-E5D015321844}"/>
    <cellStyle name="Migliaia [0] 46 4 2" xfId="4748" xr:uid="{878AC833-CE81-49DD-883A-8896BE8C6946}"/>
    <cellStyle name="Migliaia [0] 46 4 2 2" xfId="35109" xr:uid="{843D840C-23C2-47F4-BADF-00F7560A0C0F}"/>
    <cellStyle name="Migliaia [0] 46 4 2 2 2" xfId="40267" xr:uid="{015679A3-28CB-4318-A06A-46BC3AA89E2E}"/>
    <cellStyle name="Migliaia [0] 46 4 2 2 3" xfId="45569" xr:uid="{1257A430-3F94-4D80-A9F3-8F7248126356}"/>
    <cellStyle name="Migliaia [0] 46 4 2 3" xfId="37616" xr:uid="{AA1E11B8-433F-42DA-8291-78510D2069C4}"/>
    <cellStyle name="Migliaia [0] 46 4 2 4" xfId="42918" xr:uid="{54647D5C-05F3-4953-8EE5-6D6767844782}"/>
    <cellStyle name="Migliaia [0] 46 4 2 5" xfId="17049" xr:uid="{6DD45C71-B3C3-4D19-A5AD-54CE6D78B80B}"/>
    <cellStyle name="Migliaia [0] 46 4 3" xfId="5989" xr:uid="{2AB91E66-E5FC-4468-8A39-D2747548EC6F}"/>
    <cellStyle name="Migliaia [0] 46 4 3 2" xfId="38281" xr:uid="{2ECAC67F-BFA7-4CB8-BABE-05C5B3494651}"/>
    <cellStyle name="Migliaia [0] 46 4 3 3" xfId="43583" xr:uid="{1EAEAA9E-2BA6-47FA-8FA0-4E7FB019E8E2}"/>
    <cellStyle name="Migliaia [0] 46 4 3 4" xfId="32930" xr:uid="{AD39EF85-F20A-4BAF-A901-C35C33F4E3A6}"/>
    <cellStyle name="Migliaia [0] 46 4 3 5" xfId="19701" xr:uid="{EAAEA484-272A-4E8E-AD8A-2B90789C41DF}"/>
    <cellStyle name="Migliaia [0] 46 4 4" xfId="35816" xr:uid="{5E5FD804-941C-404F-9F87-1D36BF57C171}"/>
    <cellStyle name="Migliaia [0] 46 4 5" xfId="40932" xr:uid="{AD147D3A-A8D2-408D-A69C-EEE70E173C23}"/>
    <cellStyle name="Migliaia [0] 46 4 6" xfId="15991" xr:uid="{7A36F089-7402-493C-B8D9-6AC4F5211501}"/>
    <cellStyle name="Migliaia [0] 46 4 7" xfId="7804" xr:uid="{DC888CF4-0625-4E58-91DC-305B3EE2D10C}"/>
    <cellStyle name="Migliaia [0] 46 5" xfId="4744" xr:uid="{7117FE0C-FBA8-400F-A40A-C7D3817AA449}"/>
    <cellStyle name="Migliaia [0] 46 5 2" xfId="32931" xr:uid="{7AE9E2BA-93E0-461B-98EE-34E7ABC9990B}"/>
    <cellStyle name="Migliaia [0] 46 5 2 2" xfId="38282" xr:uid="{F52A3278-9E24-47A0-9005-33F60E8AF0BB}"/>
    <cellStyle name="Migliaia [0] 46 5 2 3" xfId="43584" xr:uid="{10243FBA-60DB-4AA0-A26B-4AC0C58D57F0}"/>
    <cellStyle name="Migliaia [0] 46 5 3" xfId="35817" xr:uid="{A3CEC44D-0E6A-4E8D-8C20-27866A57DCAD}"/>
    <cellStyle name="Migliaia [0] 46 5 4" xfId="40933" xr:uid="{3D866CED-2714-4443-B9A6-F2C25C179598}"/>
    <cellStyle name="Migliaia [0] 46 5 5" xfId="17118" xr:uid="{F492C81B-61E8-47A9-A88B-86118043331D}"/>
    <cellStyle name="Migliaia [0] 46 6" xfId="5986" xr:uid="{A3F47528-F144-49B8-AED4-31A61EBC8513}"/>
    <cellStyle name="Migliaia [0] 46 6 2" xfId="38278" xr:uid="{ECB16AEB-4BF2-46C9-BB1E-076C5ACA5565}"/>
    <cellStyle name="Migliaia [0] 46 6 3" xfId="43580" xr:uid="{7CDFD059-0FAF-4581-843C-BBCECA21E16F}"/>
    <cellStyle name="Migliaia [0] 46 6 4" xfId="32927" xr:uid="{7037D04D-B1E4-4536-ACC2-5113BAF13BEE}"/>
    <cellStyle name="Migliaia [0] 46 6 5" xfId="19697" xr:uid="{64646935-D912-4B71-BDC2-406AE34BDDE1}"/>
    <cellStyle name="Migliaia [0] 46 7" xfId="3018" xr:uid="{6FA81226-43D9-4F0A-BA5D-B4B3CB79A803}"/>
    <cellStyle name="Migliaia [0] 46 7 2" xfId="35813" xr:uid="{9F5030F5-7E2A-457B-9B3E-5E56BCFFED64}"/>
    <cellStyle name="Migliaia [0] 46 8" xfId="40929" xr:uid="{030A27B0-2CE0-4680-B107-3D6CE627EED8}"/>
    <cellStyle name="Migliaia [0] 46 9" xfId="7025" xr:uid="{4E863748-B625-4EAB-9A99-693937A32BB0}"/>
    <cellStyle name="Migliaia [0] 47" xfId="283" xr:uid="{00000000-0005-0000-0000-000079020000}"/>
    <cellStyle name="Migliaia [0] 47 2" xfId="1604" xr:uid="{00000000-0005-0000-0000-00007A020000}"/>
    <cellStyle name="Migliaia [0] 47 2 2" xfId="1605" xr:uid="{00000000-0005-0000-0000-00007B020000}"/>
    <cellStyle name="Migliaia [0] 47 2 2 2" xfId="4751" xr:uid="{E0EABA7C-02EF-4888-BC8E-4DAEA00F8F37}"/>
    <cellStyle name="Migliaia [0] 47 2 2 2 2" xfId="21802" xr:uid="{E4606869-8AEA-4840-A178-2D9AB7F4AA57}"/>
    <cellStyle name="Migliaia [0] 47 2 2 2 3" xfId="46295" xr:uid="{55086A5D-DAD5-4516-9AFF-D5774E62D9A5}"/>
    <cellStyle name="Migliaia [0] 47 2 2 2 4" xfId="50830" xr:uid="{D3B4DF58-26A3-4182-A7B0-3AE41CCE7A1A}"/>
    <cellStyle name="Migliaia [0] 47 2 2 2 5" xfId="53846" xr:uid="{DC67FBB1-B761-4D82-889F-0A7202DA9DBD}"/>
    <cellStyle name="Migliaia [0] 47 2 2 2 6" xfId="11833" xr:uid="{67D3FA8D-EA8F-4489-97F9-204EA6285AA6}"/>
    <cellStyle name="Migliaia [0] 47 2 2 3" xfId="3025" xr:uid="{4FDD2D7B-084B-462D-B7A3-B8CF1EE0FBEF}"/>
    <cellStyle name="Migliaia [0] 47 2 2 3 2" xfId="12333" xr:uid="{13B0E4D9-61B4-46B1-8F85-53655328F5C7}"/>
    <cellStyle name="Migliaia [0] 47 2 2 4" xfId="10699" xr:uid="{2CCDDD65-2B0F-4BAF-9244-BDEB02ED3379}"/>
    <cellStyle name="Migliaia [0] 47 2 2 4 2" xfId="21334" xr:uid="{063BDE89-4CF7-4F53-90BF-A06DA57BAF48}"/>
    <cellStyle name="Migliaia [0] 47 2 2 4 3" xfId="46186" xr:uid="{F0D04655-3E0C-454C-9ADD-9184B91F32D2}"/>
    <cellStyle name="Migliaia [0] 47 2 2 4 4" xfId="50349" xr:uid="{ED7B3409-4A70-4E60-987B-C91088ED4A55}"/>
    <cellStyle name="Migliaia [0] 47 2 2 4 5" xfId="53365" xr:uid="{9E0D83ED-B7CF-4C2B-934E-3C4CE54C1A97}"/>
    <cellStyle name="Migliaia [0] 47 2 2 5" xfId="19704" xr:uid="{F868A2E1-2538-472C-96BB-E2C6B0FF98B0}"/>
    <cellStyle name="Migliaia [0] 47 2 2 6" xfId="24115" xr:uid="{A0986E6E-1A44-4C06-8F2E-275725DA21C2}"/>
    <cellStyle name="Migliaia [0] 47 2 2 7" xfId="48861" xr:uid="{DFFBC16F-AB28-473A-832E-6DBF0A7FBB27}"/>
    <cellStyle name="Migliaia [0] 47 2 2 8" xfId="49767" xr:uid="{51B69729-53C5-442C-A0C9-FC7D7BC27441}"/>
    <cellStyle name="Migliaia [0] 47 2 2 9" xfId="8467" xr:uid="{2DB34706-F6EF-4E06-8109-7379A580CA60}"/>
    <cellStyle name="Migliaia [0] 47 2 3" xfId="4750" xr:uid="{AE0A290A-BF37-4B09-A0A6-25FC4791A790}"/>
    <cellStyle name="Migliaia [0] 47 2 3 2" xfId="32933" xr:uid="{D4FD382E-D084-4BC7-9907-DFE73A603D0D}"/>
    <cellStyle name="Migliaia [0] 47 2 3 2 2" xfId="38284" xr:uid="{BCF1D008-C079-4178-A82C-91CF27CA0234}"/>
    <cellStyle name="Migliaia [0] 47 2 3 2 3" xfId="43586" xr:uid="{D1400782-9AF0-4BBA-A744-398349641A89}"/>
    <cellStyle name="Migliaia [0] 47 2 3 3" xfId="35819" xr:uid="{3944C02D-04DE-47A7-B397-0CC5E6CC27A4}"/>
    <cellStyle name="Migliaia [0] 47 2 3 4" xfId="40935" xr:uid="{F74C4ADB-E741-4CA5-B03F-1433D8E62599}"/>
    <cellStyle name="Migliaia [0] 47 2 3 5" xfId="11834" xr:uid="{FEE8F5F6-0B01-4560-9EAC-0269FCDEFB91}"/>
    <cellStyle name="Migliaia [0] 47 2 4" xfId="5991" xr:uid="{1C845458-BB1C-449A-87AC-17DCF1B3390D}"/>
    <cellStyle name="Migliaia [0] 47 2 4 2" xfId="19703" xr:uid="{F60B0D93-60BE-4C77-B02F-6E981415FA60}"/>
    <cellStyle name="Migliaia [0] 47 2 5" xfId="3024" xr:uid="{4B03B115-80AF-4B0F-BCC1-4FFB4C5097D2}"/>
    <cellStyle name="Migliaia [0] 47 2 5 2" xfId="24114" xr:uid="{F04FDFAE-AA61-4C00-B385-819A331A2233}"/>
    <cellStyle name="Migliaia [0] 47 2 6" xfId="7277" xr:uid="{5B685C7A-A078-4C49-A8B0-AE132FB17216}"/>
    <cellStyle name="Migliaia [0] 47 3" xfId="1606" xr:uid="{00000000-0005-0000-0000-00007C020000}"/>
    <cellStyle name="Migliaia [0] 47 3 2" xfId="4752" xr:uid="{07271A6C-2904-4FDA-9172-6A0D74B425DF}"/>
    <cellStyle name="Migliaia [0] 47 3 2 2" xfId="18342" xr:uid="{277385D5-6D33-4656-BFCF-77A31F0AB7FE}"/>
    <cellStyle name="Migliaia [0] 47 3 2 2 2" xfId="21803" xr:uid="{83BAE203-0D38-4CDF-98A4-ABDB12170461}"/>
    <cellStyle name="Migliaia [0] 47 3 2 2 2 2" xfId="38285" xr:uid="{37F1D23A-5180-4AB2-8508-76504C47DE06}"/>
    <cellStyle name="Migliaia [0] 47 3 2 2 3" xfId="43587" xr:uid="{71E6CD1D-3C52-4928-91F5-7C301E323C8B}"/>
    <cellStyle name="Migliaia [0] 47 3 2 2 4" xfId="32934" xr:uid="{3D2236AF-8011-483A-9ACA-CF984538CE25}"/>
    <cellStyle name="Migliaia [0] 47 3 2 3" xfId="35820" xr:uid="{9A57E6E5-EE93-4BB0-9340-1B1A5A5AEC7A}"/>
    <cellStyle name="Migliaia [0] 47 3 2 4" xfId="40936" xr:uid="{B58E1BCA-B7C8-4883-9031-BCA2721B9BCA}"/>
    <cellStyle name="Migliaia [0] 47 3 2 5" xfId="34235" xr:uid="{B91BE884-84D9-41FC-9A7A-EE7E9C6183B6}"/>
    <cellStyle name="Migliaia [0] 47 3 2 6" xfId="50831" xr:uid="{B2F4B068-D4BE-4369-ACC8-E4D61D5A843A}"/>
    <cellStyle name="Migliaia [0] 47 3 2 7" xfId="53847" xr:uid="{2BEA65D6-3B08-4BB6-B0DA-7DE254B4D473}"/>
    <cellStyle name="Migliaia [0] 47 3 2 8" xfId="17618" xr:uid="{595C36F9-1851-4FDD-8438-8591B9040827}"/>
    <cellStyle name="Migliaia [0] 47 3 2 9" xfId="11835" xr:uid="{03768987-860A-49D7-95C0-C18A11C67854}"/>
    <cellStyle name="Migliaia [0] 47 3 3" xfId="5992" xr:uid="{A67F32A4-5200-4BEE-8814-F20E0EE42923}"/>
    <cellStyle name="Migliaia [0] 47 3 3 2" xfId="12369" xr:uid="{E1A926ED-DD4F-46A9-8AD0-06A69C094C0A}"/>
    <cellStyle name="Migliaia [0] 47 3 4" xfId="3026" xr:uid="{34E74E3A-52C6-41D6-8532-D0B7C45654AF}"/>
    <cellStyle name="Migliaia [0] 47 3 4 2" xfId="21335" xr:uid="{B45A88AA-80DA-4E4D-B68E-6E84E4A46B35}"/>
    <cellStyle name="Migliaia [0] 47 3 4 3" xfId="24254" xr:uid="{0D6F0B2E-4334-4D2E-87E3-A94B452A8D7C}"/>
    <cellStyle name="Migliaia [0] 47 3 4 4" xfId="50350" xr:uid="{526422D6-EAB7-4362-BBCE-7B59577A6B9A}"/>
    <cellStyle name="Migliaia [0] 47 3 4 5" xfId="53366" xr:uid="{7F24C7A2-15A4-4CA4-BCC8-E245E5C73A53}"/>
    <cellStyle name="Migliaia [0] 47 3 4 6" xfId="10700" xr:uid="{FC0AC23E-9199-413D-83C5-967F79B092CA}"/>
    <cellStyle name="Migliaia [0] 47 3 5" xfId="19705" xr:uid="{C4F75632-3BEB-4543-A7BE-B78B077D7677}"/>
    <cellStyle name="Migliaia [0] 47 3 6" xfId="24116" xr:uid="{DF9C0470-0B86-46EB-A61D-FED3397BE694}"/>
    <cellStyle name="Migliaia [0] 47 3 7" xfId="8225" xr:uid="{587B5BA2-25AE-4148-8025-C36B0B3C7659}"/>
    <cellStyle name="Migliaia [0] 47 4" xfId="3027" xr:uid="{A08CCED2-52D7-4820-836D-AE8E49F843F0}"/>
    <cellStyle name="Migliaia [0] 47 4 2" xfId="4753" xr:uid="{D19F98DE-0F5E-494A-AA0D-177E05CF59ED}"/>
    <cellStyle name="Migliaia [0] 47 4 2 2" xfId="35110" xr:uid="{535F4BA4-B3E3-49D8-A2C8-B612872BC745}"/>
    <cellStyle name="Migliaia [0] 47 4 2 2 2" xfId="40268" xr:uid="{FF655D5E-DF65-4D79-A493-34FAD045DF20}"/>
    <cellStyle name="Migliaia [0] 47 4 2 2 3" xfId="45570" xr:uid="{00ADE128-4F9D-4A44-9432-A1DA7F38B856}"/>
    <cellStyle name="Migliaia [0] 47 4 2 3" xfId="37617" xr:uid="{DA9D2AE6-69F0-4F75-B411-4B8B9C843C3B}"/>
    <cellStyle name="Migliaia [0] 47 4 2 4" xfId="42919" xr:uid="{4B396A14-6100-4E13-8CA3-EA9BB7C6A150}"/>
    <cellStyle name="Migliaia [0] 47 4 2 5" xfId="17050" xr:uid="{0F36BE24-2AF2-467E-B2BB-BC0E973871B1}"/>
    <cellStyle name="Migliaia [0] 47 4 3" xfId="5993" xr:uid="{93BE1A5A-F66D-4D20-8E23-2D721F5F64A4}"/>
    <cellStyle name="Migliaia [0] 47 4 3 2" xfId="38286" xr:uid="{2C4C9F32-4DAD-4704-97FF-4063788C510D}"/>
    <cellStyle name="Migliaia [0] 47 4 3 3" xfId="43588" xr:uid="{E9C4FEC9-5E47-472A-84EA-573384C7AB8A}"/>
    <cellStyle name="Migliaia [0] 47 4 3 4" xfId="32935" xr:uid="{10D28B38-01B8-4473-ADAF-957A71079B67}"/>
    <cellStyle name="Migliaia [0] 47 4 3 5" xfId="19706" xr:uid="{0B011CB5-B9F8-4E2E-994C-9535F116C776}"/>
    <cellStyle name="Migliaia [0] 47 4 4" xfId="35821" xr:uid="{84FC81A5-3B9E-4A37-AB1C-BFC2BF049627}"/>
    <cellStyle name="Migliaia [0] 47 4 5" xfId="40937" xr:uid="{520CE4DB-8BF3-4FFA-BBD2-F6401A540BB9}"/>
    <cellStyle name="Migliaia [0] 47 4 6" xfId="15992" xr:uid="{2136CA10-BEC0-4EE9-9386-B78FCDA15567}"/>
    <cellStyle name="Migliaia [0] 47 4 7" xfId="7805" xr:uid="{426BAAFE-E32F-4F27-9178-B163C89C559E}"/>
    <cellStyle name="Migliaia [0] 47 5" xfId="4749" xr:uid="{8B81B289-0240-4755-9675-8E647636CDEC}"/>
    <cellStyle name="Migliaia [0] 47 5 2" xfId="32936" xr:uid="{B7E30A09-842F-41D8-AB1F-F6142569BCB5}"/>
    <cellStyle name="Migliaia [0] 47 5 2 2" xfId="38287" xr:uid="{320290BE-0A44-4A3A-BE29-8CF39580A820}"/>
    <cellStyle name="Migliaia [0] 47 5 2 3" xfId="43589" xr:uid="{A8F7D352-4641-4CFE-A840-31F2B89F2290}"/>
    <cellStyle name="Migliaia [0] 47 5 3" xfId="35822" xr:uid="{A4ABEBF3-ADB0-4F0D-B381-B6364A5BD2BE}"/>
    <cellStyle name="Migliaia [0] 47 5 4" xfId="40938" xr:uid="{EF569A19-D76B-47CE-99FC-64A48D4FCF8B}"/>
    <cellStyle name="Migliaia [0] 47 5 5" xfId="17119" xr:uid="{6D4925E1-6C3B-437D-9CDD-13BAD95238B9}"/>
    <cellStyle name="Migliaia [0] 47 6" xfId="5990" xr:uid="{6C6DCC2F-22CE-4209-B0C5-246C9D88910A}"/>
    <cellStyle name="Migliaia [0] 47 6 2" xfId="38283" xr:uid="{BEB997AA-B760-47FC-9E72-623793922C8D}"/>
    <cellStyle name="Migliaia [0] 47 6 3" xfId="43585" xr:uid="{626A069F-13E5-4A8F-85EA-95C83E6271BE}"/>
    <cellStyle name="Migliaia [0] 47 6 4" xfId="32932" xr:uid="{7484F79B-ABB5-4BBE-9822-57EC4D8D3C8F}"/>
    <cellStyle name="Migliaia [0] 47 6 5" xfId="19702" xr:uid="{3A85D87A-9A86-4A90-BB62-3A903AA6257F}"/>
    <cellStyle name="Migliaia [0] 47 7" xfId="3023" xr:uid="{FD9ED4E9-F80E-48AE-BE88-23719607ED4A}"/>
    <cellStyle name="Migliaia [0] 47 7 2" xfId="35818" xr:uid="{94188BB8-80A3-475A-915E-EFE5C14CCA77}"/>
    <cellStyle name="Migliaia [0] 47 8" xfId="40934" xr:uid="{5A480AA8-EC4A-48FC-AD94-C514F1B9FBE7}"/>
    <cellStyle name="Migliaia [0] 47 9" xfId="7026" xr:uid="{9ABDBAF9-E823-4AF8-9A69-790356533299}"/>
    <cellStyle name="Migliaia [0] 48" xfId="284" xr:uid="{00000000-0005-0000-0000-00007D020000}"/>
    <cellStyle name="Migliaia [0] 48 2" xfId="1607" xr:uid="{00000000-0005-0000-0000-00007E020000}"/>
    <cellStyle name="Migliaia [0] 48 2 2" xfId="1608" xr:uid="{00000000-0005-0000-0000-00007F020000}"/>
    <cellStyle name="Migliaia [0] 48 2 2 2" xfId="4756" xr:uid="{E21B50A1-F9B5-48B1-A582-797784CCAAFD}"/>
    <cellStyle name="Migliaia [0] 48 2 2 2 2" xfId="21804" xr:uid="{01622FDC-F77E-4E75-95F0-C0F071D624C3}"/>
    <cellStyle name="Migliaia [0] 48 2 2 2 3" xfId="47224" xr:uid="{BC3A6852-35CA-4093-BA98-E12A3B01A807}"/>
    <cellStyle name="Migliaia [0] 48 2 2 2 4" xfId="50832" xr:uid="{B3A57B15-2585-490B-BF89-FFBBDFF2672A}"/>
    <cellStyle name="Migliaia [0] 48 2 2 2 5" xfId="53848" xr:uid="{08B83819-2C11-4916-8F4F-2519B560FEBD}"/>
    <cellStyle name="Migliaia [0] 48 2 2 2 6" xfId="11836" xr:uid="{777B0711-A950-4B66-B634-905B764C561E}"/>
    <cellStyle name="Migliaia [0] 48 2 2 3" xfId="3030" xr:uid="{A26D150C-7E87-4D3D-842D-3630BDD2A056}"/>
    <cellStyle name="Migliaia [0] 48 2 2 3 2" xfId="12332" xr:uid="{73C2B447-E84B-4124-9F64-1F824CE950A4}"/>
    <cellStyle name="Migliaia [0] 48 2 2 4" xfId="10701" xr:uid="{633285FE-3BC6-4D4D-9952-B1BC529BCEE9}"/>
    <cellStyle name="Migliaia [0] 48 2 2 4 2" xfId="21336" xr:uid="{F17B1382-26FF-43DE-BBBB-3B2E894C5C14}"/>
    <cellStyle name="Migliaia [0] 48 2 2 4 3" xfId="46187" xr:uid="{3B231061-45C0-4104-8143-AC0E6EFB3019}"/>
    <cellStyle name="Migliaia [0] 48 2 2 4 4" xfId="50351" xr:uid="{EDDA3FCA-2032-49DC-A8FC-28B76A6555AB}"/>
    <cellStyle name="Migliaia [0] 48 2 2 4 5" xfId="53367" xr:uid="{2C16684C-61C8-4650-BA4F-63DB698FDA65}"/>
    <cellStyle name="Migliaia [0] 48 2 2 5" xfId="19709" xr:uid="{9E86563B-875D-4ED3-9916-1493443AE534}"/>
    <cellStyle name="Migliaia [0] 48 2 2 6" xfId="24118" xr:uid="{4DA785D7-1981-4AFE-A7BD-319AA27FEC7B}"/>
    <cellStyle name="Migliaia [0] 48 2 2 7" xfId="48862" xr:uid="{7613D38A-6F0B-4344-AF3E-9DED02EFD414}"/>
    <cellStyle name="Migliaia [0] 48 2 2 8" xfId="49768" xr:uid="{41FF7BB3-59C5-4B91-855A-DD21E200078F}"/>
    <cellStyle name="Migliaia [0] 48 2 2 9" xfId="8468" xr:uid="{CD6697D9-743D-4990-912F-78ECC6356F9D}"/>
    <cellStyle name="Migliaia [0] 48 2 3" xfId="4755" xr:uid="{5CB06C82-91CB-4FDA-9DDC-FD848F1B46B6}"/>
    <cellStyle name="Migliaia [0] 48 2 3 2" xfId="32938" xr:uid="{9EA2C392-9E1A-4177-A155-C615DF2CB158}"/>
    <cellStyle name="Migliaia [0] 48 2 3 2 2" xfId="38289" xr:uid="{EE3D88A1-5098-439F-8480-5E86104C1D9D}"/>
    <cellStyle name="Migliaia [0] 48 2 3 2 3" xfId="43591" xr:uid="{6C47A9B5-2836-44BF-A7A1-D323ECF0FE56}"/>
    <cellStyle name="Migliaia [0] 48 2 3 3" xfId="35824" xr:uid="{DECF9517-EA77-4E39-A6B1-0CF298CBBD74}"/>
    <cellStyle name="Migliaia [0] 48 2 3 4" xfId="40940" xr:uid="{11C9DFBA-8442-4B1A-B157-D1F4D08E31AB}"/>
    <cellStyle name="Migliaia [0] 48 2 3 5" xfId="11837" xr:uid="{AFE142CA-E39B-456A-8814-2CCB0B175317}"/>
    <cellStyle name="Migliaia [0] 48 2 4" xfId="5995" xr:uid="{4B6B8CD4-5446-4FCE-9AD8-142F75B1CD97}"/>
    <cellStyle name="Migliaia [0] 48 2 4 2" xfId="19708" xr:uid="{433F7843-5A3E-4A95-B31D-FFF0212BEA64}"/>
    <cellStyle name="Migliaia [0] 48 2 5" xfId="3029" xr:uid="{9FF1E0A9-37E8-4AA5-B4A3-AE6B0FF3F938}"/>
    <cellStyle name="Migliaia [0] 48 2 5 2" xfId="24117" xr:uid="{E92E7DBA-3FAA-4112-BB62-4ECB0ADD5D40}"/>
    <cellStyle name="Migliaia [0] 48 2 6" xfId="7278" xr:uid="{7B40957D-8E37-4686-B99D-DB9C22A6C767}"/>
    <cellStyle name="Migliaia [0] 48 3" xfId="1609" xr:uid="{00000000-0005-0000-0000-000080020000}"/>
    <cellStyle name="Migliaia [0] 48 3 2" xfId="4757" xr:uid="{1914A914-C0EE-4986-8718-FA74D963126D}"/>
    <cellStyle name="Migliaia [0] 48 3 2 2" xfId="18343" xr:uid="{8F09DB0F-1C26-4009-8404-9F6837555BFE}"/>
    <cellStyle name="Migliaia [0] 48 3 2 2 2" xfId="21805" xr:uid="{077BC00B-7742-4ED1-9CCF-2C16E655351C}"/>
    <cellStyle name="Migliaia [0] 48 3 2 2 2 2" xfId="38290" xr:uid="{D1A2B600-D113-4A3E-94AA-6AEB14E34193}"/>
    <cellStyle name="Migliaia [0] 48 3 2 2 3" xfId="43592" xr:uid="{8DF543D4-DCC3-454E-AE04-B4E4E184EEA6}"/>
    <cellStyle name="Migliaia [0] 48 3 2 2 4" xfId="32939" xr:uid="{3425F7A1-7478-452D-8226-6A79D0F5C119}"/>
    <cellStyle name="Migliaia [0] 48 3 2 3" xfId="35825" xr:uid="{3A19CFB5-6F8A-4EC4-8B39-C094295FBC2D}"/>
    <cellStyle name="Migliaia [0] 48 3 2 4" xfId="40941" xr:uid="{37CB3629-DE1E-4946-A26A-93AAD1D82877}"/>
    <cellStyle name="Migliaia [0] 48 3 2 5" xfId="47463" xr:uid="{96873867-CB1B-4C9C-95A7-FC7102E2F643}"/>
    <cellStyle name="Migliaia [0] 48 3 2 6" xfId="50833" xr:uid="{DE67409D-CEB5-4C18-9275-CA20B1757C22}"/>
    <cellStyle name="Migliaia [0] 48 3 2 7" xfId="53849" xr:uid="{063BF7E9-F4E8-43DD-BB82-F79AF7B216AC}"/>
    <cellStyle name="Migliaia [0] 48 3 2 8" xfId="17619" xr:uid="{1C78182B-6616-4F3B-A863-E175058C1CF8}"/>
    <cellStyle name="Migliaia [0] 48 3 2 9" xfId="11838" xr:uid="{D2322446-3011-41C8-8988-E5AAB2628CDB}"/>
    <cellStyle name="Migliaia [0] 48 3 3" xfId="5996" xr:uid="{F0BBCFDE-49A2-4572-B02A-DBEB5F6DA331}"/>
    <cellStyle name="Migliaia [0] 48 3 3 2" xfId="12368" xr:uid="{412BCD02-5A04-405D-A3AB-45C112675249}"/>
    <cellStyle name="Migliaia [0] 48 3 4" xfId="3031" xr:uid="{CD1CEB34-8707-44F7-BC78-50FCFB201E79}"/>
    <cellStyle name="Migliaia [0] 48 3 4 2" xfId="21337" xr:uid="{E8A44355-7382-412F-90E6-17C2870A2AF5}"/>
    <cellStyle name="Migliaia [0] 48 3 4 3" xfId="24249" xr:uid="{9F553CBC-FD30-4D4C-95DD-318CA9EC393D}"/>
    <cellStyle name="Migliaia [0] 48 3 4 4" xfId="50352" xr:uid="{9540EAE8-201D-47FE-8DCD-3674E24CAB15}"/>
    <cellStyle name="Migliaia [0] 48 3 4 5" xfId="53368" xr:uid="{98B7E790-3F2C-4C3D-BCB3-44830299AB8A}"/>
    <cellStyle name="Migliaia [0] 48 3 4 6" xfId="10702" xr:uid="{3607D645-C708-4D31-96DC-4CDF3863C9D3}"/>
    <cellStyle name="Migliaia [0] 48 3 5" xfId="19710" xr:uid="{348E6587-992E-47E2-A471-CA27347DBCB2}"/>
    <cellStyle name="Migliaia [0] 48 3 6" xfId="24119" xr:uid="{AD836B9A-92FD-46FF-8C6C-D300B7CFA680}"/>
    <cellStyle name="Migliaia [0] 48 3 7" xfId="8226" xr:uid="{F499C598-B192-4B8D-81DB-EFF7795F2519}"/>
    <cellStyle name="Migliaia [0] 48 4" xfId="3032" xr:uid="{CE6C6FAF-B33C-4A65-8476-6703F9EEC77B}"/>
    <cellStyle name="Migliaia [0] 48 4 2" xfId="4758" xr:uid="{98C9696E-ECF2-49D8-8456-FBCE29D3B987}"/>
    <cellStyle name="Migliaia [0] 48 4 2 2" xfId="35111" xr:uid="{D34334D1-5781-4208-A1D2-DD35A243F300}"/>
    <cellStyle name="Migliaia [0] 48 4 2 2 2" xfId="40269" xr:uid="{EB1BA2C7-CAE3-41CD-A1B7-3C47484EFE51}"/>
    <cellStyle name="Migliaia [0] 48 4 2 2 3" xfId="45571" xr:uid="{4F991A3C-8F7D-4D35-9AF7-128526C13F6D}"/>
    <cellStyle name="Migliaia [0] 48 4 2 3" xfId="37618" xr:uid="{B6112B02-7C16-41E9-B01F-CCA4AA38ECF7}"/>
    <cellStyle name="Migliaia [0] 48 4 2 4" xfId="42920" xr:uid="{FF607E09-D7B4-4245-8E43-D2B82AE2D907}"/>
    <cellStyle name="Migliaia [0] 48 4 2 5" xfId="17051" xr:uid="{1CF08C1D-CBBC-4A21-A570-88ABC3DEC338}"/>
    <cellStyle name="Migliaia [0] 48 4 3" xfId="5997" xr:uid="{AB248E03-66B4-4B48-9D97-44F855A2A998}"/>
    <cellStyle name="Migliaia [0] 48 4 3 2" xfId="38291" xr:uid="{FE87CEBB-6AB0-41BC-BDCB-08A3D2DEEA4F}"/>
    <cellStyle name="Migliaia [0] 48 4 3 3" xfId="43593" xr:uid="{82F82D75-FE8F-48E8-8ABA-1338DF94ADA5}"/>
    <cellStyle name="Migliaia [0] 48 4 3 4" xfId="32940" xr:uid="{E2D2AC82-B70C-4254-AC37-87A1B2DFF645}"/>
    <cellStyle name="Migliaia [0] 48 4 3 5" xfId="19711" xr:uid="{4B958A38-B39A-4346-AE3D-870459343D5B}"/>
    <cellStyle name="Migliaia [0] 48 4 4" xfId="35826" xr:uid="{3A57AFDB-00B1-4FAB-A960-92332960CCF6}"/>
    <cellStyle name="Migliaia [0] 48 4 5" xfId="40942" xr:uid="{6D1037EA-C160-4CB1-83F0-A906720FED88}"/>
    <cellStyle name="Migliaia [0] 48 4 6" xfId="15993" xr:uid="{48253694-110B-4C87-B97A-C36ACC405770}"/>
    <cellStyle name="Migliaia [0] 48 4 7" xfId="7806" xr:uid="{9416984B-34D6-46BD-AC91-337B3BFA3E11}"/>
    <cellStyle name="Migliaia [0] 48 5" xfId="4754" xr:uid="{D8484013-E32B-4F88-8865-0B2A9D89846B}"/>
    <cellStyle name="Migliaia [0] 48 5 2" xfId="32941" xr:uid="{2C94AB05-28A7-4816-B207-49F5EA4DC372}"/>
    <cellStyle name="Migliaia [0] 48 5 2 2" xfId="38292" xr:uid="{B83C0406-707F-4671-AC83-62E9398DBB1F}"/>
    <cellStyle name="Migliaia [0] 48 5 2 3" xfId="43594" xr:uid="{65AB34C4-4BCB-4941-BF0C-16E86B1333F8}"/>
    <cellStyle name="Migliaia [0] 48 5 3" xfId="35827" xr:uid="{E572C80C-4549-453B-AA3B-7916CEDDF2E7}"/>
    <cellStyle name="Migliaia [0] 48 5 4" xfId="40943" xr:uid="{47BB4FC4-1F05-43E7-9B9A-684D6D57F66D}"/>
    <cellStyle name="Migliaia [0] 48 5 5" xfId="17120" xr:uid="{8AD81686-2C14-47D7-8A1D-98C149127063}"/>
    <cellStyle name="Migliaia [0] 48 6" xfId="5994" xr:uid="{261F27A2-BAB4-441B-8BC6-8058A415DEF8}"/>
    <cellStyle name="Migliaia [0] 48 6 2" xfId="38288" xr:uid="{769CF2FD-1389-4FA4-BD2E-D76E6AD84067}"/>
    <cellStyle name="Migliaia [0] 48 6 3" xfId="43590" xr:uid="{1F0B945F-02CF-4B47-9D1D-FFE52985BEF1}"/>
    <cellStyle name="Migliaia [0] 48 6 4" xfId="32937" xr:uid="{A401A6CD-2C39-4A92-81F4-4E6F2DDD53A2}"/>
    <cellStyle name="Migliaia [0] 48 6 5" xfId="19707" xr:uid="{7293A28D-8F25-4588-96D3-F33BDC188E1B}"/>
    <cellStyle name="Migliaia [0] 48 7" xfId="3028" xr:uid="{3D3AB772-CF43-49D1-A55A-921BE16FE5F8}"/>
    <cellStyle name="Migliaia [0] 48 7 2" xfId="35823" xr:uid="{2E651DB2-5592-4A6C-899E-FC23D44E2DB0}"/>
    <cellStyle name="Migliaia [0] 48 8" xfId="40939" xr:uid="{F88AACEA-BFC9-4A42-8AB9-4A9DDBD5967E}"/>
    <cellStyle name="Migliaia [0] 48 9" xfId="7027" xr:uid="{05943033-2363-4ECC-950A-BF1FDC035C6F}"/>
    <cellStyle name="Migliaia [0] 49" xfId="285" xr:uid="{00000000-0005-0000-0000-000081020000}"/>
    <cellStyle name="Migliaia [0] 49 2" xfId="1610" xr:uid="{00000000-0005-0000-0000-000082020000}"/>
    <cellStyle name="Migliaia [0] 49 2 2" xfId="1611" xr:uid="{00000000-0005-0000-0000-000083020000}"/>
    <cellStyle name="Migliaia [0] 49 2 2 2" xfId="4761" xr:uid="{3C6003DF-869B-461D-8753-1ED04AB8B518}"/>
    <cellStyle name="Migliaia [0] 49 2 2 2 2" xfId="21806" xr:uid="{0E8B97E9-51B9-4DEB-A8CD-960E952BFB9A}"/>
    <cellStyle name="Migliaia [0] 49 2 2 2 3" xfId="47076" xr:uid="{4BBEAE48-DA2E-4436-90B9-12EFCC1E54CE}"/>
    <cellStyle name="Migliaia [0] 49 2 2 2 4" xfId="50834" xr:uid="{CF5969B9-62BE-4BA5-9F1D-DC96F0746E1D}"/>
    <cellStyle name="Migliaia [0] 49 2 2 2 5" xfId="53850" xr:uid="{27C62303-011D-4334-BEA0-46E7308E4816}"/>
    <cellStyle name="Migliaia [0] 49 2 2 2 6" xfId="11839" xr:uid="{1460657B-50DC-4F0E-B875-AFB4AA6B9AE5}"/>
    <cellStyle name="Migliaia [0] 49 2 2 3" xfId="3035" xr:uid="{32268093-270A-4804-95A9-BCFE2C33FA8E}"/>
    <cellStyle name="Migliaia [0] 49 2 2 3 2" xfId="12331" xr:uid="{25D689D3-E524-49BF-957F-AF35DCFB49A6}"/>
    <cellStyle name="Migliaia [0] 49 2 2 4" xfId="10703" xr:uid="{4A1D2308-A2D2-4DBE-9C9D-45728B4A13D7}"/>
    <cellStyle name="Migliaia [0] 49 2 2 4 2" xfId="21338" xr:uid="{43A68A1D-38B0-42A3-ABAB-B08462EAB1C4}"/>
    <cellStyle name="Migliaia [0] 49 2 2 4 3" xfId="46188" xr:uid="{CDF5B9A6-C5F0-4B35-9AA4-9DEABF36D3F4}"/>
    <cellStyle name="Migliaia [0] 49 2 2 4 4" xfId="50353" xr:uid="{EBF02B4E-FF1D-4B38-9E46-20CEFEBCB939}"/>
    <cellStyle name="Migliaia [0] 49 2 2 4 5" xfId="53369" xr:uid="{C89AC52C-65C6-4177-A4C4-22725FAA3148}"/>
    <cellStyle name="Migliaia [0] 49 2 2 5" xfId="19714" xr:uid="{38A78EF2-04E8-43A5-A53D-FBC5A622274E}"/>
    <cellStyle name="Migliaia [0] 49 2 2 6" xfId="24121" xr:uid="{F747737D-8640-4D48-8980-30897FA40FC0}"/>
    <cellStyle name="Migliaia [0] 49 2 2 7" xfId="48863" xr:uid="{7581B3AF-201F-4510-9BDF-7823C271E71D}"/>
    <cellStyle name="Migliaia [0] 49 2 2 8" xfId="49769" xr:uid="{419E84E7-2557-4BFC-B1E4-9D68B24219AC}"/>
    <cellStyle name="Migliaia [0] 49 2 2 9" xfId="8469" xr:uid="{EBEE8139-82E3-43E5-AAAF-5F62F5100835}"/>
    <cellStyle name="Migliaia [0] 49 2 3" xfId="4760" xr:uid="{BD7F406C-7365-4FE1-B0B4-4408BD27A330}"/>
    <cellStyle name="Migliaia [0] 49 2 3 2" xfId="32943" xr:uid="{D87A297F-BEE9-4BB8-8E3E-2EA90B60D602}"/>
    <cellStyle name="Migliaia [0] 49 2 3 2 2" xfId="38294" xr:uid="{1EACB18D-4240-49E3-9FFF-A63C450C1032}"/>
    <cellStyle name="Migliaia [0] 49 2 3 2 3" xfId="43596" xr:uid="{5AFF051F-A537-46AB-A7C3-0D9F6DFAD2CC}"/>
    <cellStyle name="Migliaia [0] 49 2 3 3" xfId="35829" xr:uid="{700AB9FF-6CBC-4A0B-9A47-083482A2CF41}"/>
    <cellStyle name="Migliaia [0] 49 2 3 4" xfId="40945" xr:uid="{22B56A8E-1F30-433D-9FA3-102D4EA0B50D}"/>
    <cellStyle name="Migliaia [0] 49 2 3 5" xfId="11840" xr:uid="{A74892E9-9D20-4AD0-B615-4EE8F4343372}"/>
    <cellStyle name="Migliaia [0] 49 2 4" xfId="5999" xr:uid="{EAEFD5DB-C7A2-41F1-B91F-CCFD2EDFF54E}"/>
    <cellStyle name="Migliaia [0] 49 2 4 2" xfId="19713" xr:uid="{1A682F2E-AF0C-4372-A3A0-9BE758B9CC6E}"/>
    <cellStyle name="Migliaia [0] 49 2 5" xfId="3034" xr:uid="{CED74A81-A9F8-48D5-B306-ABF2B2DF4910}"/>
    <cellStyle name="Migliaia [0] 49 2 5 2" xfId="24120" xr:uid="{FCF1640C-F5C6-4426-9A7C-0D44BD4E7A0D}"/>
    <cellStyle name="Migliaia [0] 49 2 6" xfId="7279" xr:uid="{6157381D-5BBF-4737-8367-B821725095BA}"/>
    <cellStyle name="Migliaia [0] 49 3" xfId="1612" xr:uid="{00000000-0005-0000-0000-000084020000}"/>
    <cellStyle name="Migliaia [0] 49 3 2" xfId="4762" xr:uid="{E5CD9F26-ED87-4977-A337-DECA20E1124C}"/>
    <cellStyle name="Migliaia [0] 49 3 2 2" xfId="18344" xr:uid="{60B6E4E6-6787-46B6-BDEE-413008AF03B3}"/>
    <cellStyle name="Migliaia [0] 49 3 2 2 2" xfId="21807" xr:uid="{63200302-D4F9-4C67-8800-390BFAEEC820}"/>
    <cellStyle name="Migliaia [0] 49 3 2 2 2 2" xfId="38295" xr:uid="{E01ACE7F-0500-4ECD-A78B-5E0E28550CD9}"/>
    <cellStyle name="Migliaia [0] 49 3 2 2 3" xfId="43597" xr:uid="{79F7A803-A92A-4BDC-AFF8-84932E3C12F1}"/>
    <cellStyle name="Migliaia [0] 49 3 2 2 4" xfId="32944" xr:uid="{79C12E11-FF61-46D6-8D0A-04437D1E3891}"/>
    <cellStyle name="Migliaia [0] 49 3 2 3" xfId="35830" xr:uid="{710C2E1A-FF62-4F7B-9ED9-8979E852C49B}"/>
    <cellStyle name="Migliaia [0] 49 3 2 4" xfId="40946" xr:uid="{BFEB96C2-68E3-4DC6-9920-0D22BBAFF4D6}"/>
    <cellStyle name="Migliaia [0] 49 3 2 5" xfId="25124" xr:uid="{E2C81EC4-CAD7-4CE1-A853-70D64AFFE1C6}"/>
    <cellStyle name="Migliaia [0] 49 3 2 6" xfId="50835" xr:uid="{576074B1-7AA0-4B7C-95CB-17680753918D}"/>
    <cellStyle name="Migliaia [0] 49 3 2 7" xfId="53851" xr:uid="{EF805141-7E2E-4114-9D42-0F896887EF66}"/>
    <cellStyle name="Migliaia [0] 49 3 2 8" xfId="17620" xr:uid="{FB3BC0F3-CC2C-42C4-9731-E2EE59B0FF62}"/>
    <cellStyle name="Migliaia [0] 49 3 2 9" xfId="11841" xr:uid="{13CBB7E6-2F1F-4088-B045-8E4E28649D60}"/>
    <cellStyle name="Migliaia [0] 49 3 3" xfId="6000" xr:uid="{09D198C6-D025-496F-86F7-2A708A4ECB65}"/>
    <cellStyle name="Migliaia [0] 49 3 3 2" xfId="11668" xr:uid="{786A6E3B-A2DA-43C3-93D3-5E5DAA9E3E2D}"/>
    <cellStyle name="Migliaia [0] 49 3 4" xfId="3036" xr:uid="{52D3F223-2A44-4E42-AC74-467957D02FEB}"/>
    <cellStyle name="Migliaia [0] 49 3 4 2" xfId="21339" xr:uid="{E4C1C186-4764-4A37-A1CA-E210C14D9DC5}"/>
    <cellStyle name="Migliaia [0] 49 3 4 3" xfId="47299" xr:uid="{E40DE796-CF7D-49A2-AC40-8AD61018DC94}"/>
    <cellStyle name="Migliaia [0] 49 3 4 4" xfId="50354" xr:uid="{E3BA1E0B-E48D-4D21-B45C-A0DBE0093BCC}"/>
    <cellStyle name="Migliaia [0] 49 3 4 5" xfId="53370" xr:uid="{CD277C26-63A3-44EE-8503-F06412475C5A}"/>
    <cellStyle name="Migliaia [0] 49 3 4 6" xfId="10704" xr:uid="{EC76BE63-AF4F-4D46-98BD-B03FD4B78541}"/>
    <cellStyle name="Migliaia [0] 49 3 5" xfId="19715" xr:uid="{784EBC13-3AF8-4DE8-9C37-EFDE2AABE13C}"/>
    <cellStyle name="Migliaia [0] 49 3 6" xfId="24122" xr:uid="{92C0A0DF-65D9-4180-9A32-F70660A91F13}"/>
    <cellStyle name="Migliaia [0] 49 3 7" xfId="8227" xr:uid="{781515DF-9275-461E-BDF7-2BBBC37FCF2F}"/>
    <cellStyle name="Migliaia [0] 49 4" xfId="3037" xr:uid="{D065ECA2-E2B6-446C-86B2-01B5FFA9DBB0}"/>
    <cellStyle name="Migliaia [0] 49 4 2" xfId="4763" xr:uid="{D1DA396D-20DC-44EC-80AA-45BEE6402603}"/>
    <cellStyle name="Migliaia [0] 49 4 2 2" xfId="35112" xr:uid="{B9B4BE60-40A2-4313-A33B-42071A90A144}"/>
    <cellStyle name="Migliaia [0] 49 4 2 2 2" xfId="40270" xr:uid="{860EA4BD-3CCF-4B21-99A9-EEC5A3BC6660}"/>
    <cellStyle name="Migliaia [0] 49 4 2 2 3" xfId="45572" xr:uid="{9F1336C2-2A57-42C6-9831-C4014D67CB65}"/>
    <cellStyle name="Migliaia [0] 49 4 2 3" xfId="37619" xr:uid="{426B2142-AF51-4E95-B29E-E3EDA03F45CA}"/>
    <cellStyle name="Migliaia [0] 49 4 2 4" xfId="42921" xr:uid="{41FDB389-AEAE-442F-9D8A-76342A1AA88B}"/>
    <cellStyle name="Migliaia [0] 49 4 2 5" xfId="17052" xr:uid="{C6376CE6-DFFD-42E0-92B2-5DC981554F13}"/>
    <cellStyle name="Migliaia [0] 49 4 3" xfId="6001" xr:uid="{0CE3157A-F034-4BFC-BA7A-5E0A8BFA7ECA}"/>
    <cellStyle name="Migliaia [0] 49 4 3 2" xfId="38296" xr:uid="{93F1FD0A-EE64-49EF-BE2A-D23DCE199FD5}"/>
    <cellStyle name="Migliaia [0] 49 4 3 3" xfId="43598" xr:uid="{0922AADB-6E62-494B-9C4A-E4EAAAC39DD0}"/>
    <cellStyle name="Migliaia [0] 49 4 3 4" xfId="32945" xr:uid="{52226C73-6788-4EEC-8186-337F51CB8553}"/>
    <cellStyle name="Migliaia [0] 49 4 3 5" xfId="19716" xr:uid="{C8E5254C-9947-4C01-86BD-E1C14FC36F66}"/>
    <cellStyle name="Migliaia [0] 49 4 4" xfId="35831" xr:uid="{B66110CE-EFE2-42FB-BA6F-08F2E2E863ED}"/>
    <cellStyle name="Migliaia [0] 49 4 5" xfId="40947" xr:uid="{5D7DB37A-CFB7-48BF-8BC8-435B26CFE809}"/>
    <cellStyle name="Migliaia [0] 49 4 6" xfId="15994" xr:uid="{67C43CA5-FEC1-4BAF-873D-370F3945E6E7}"/>
    <cellStyle name="Migliaia [0] 49 4 7" xfId="7807" xr:uid="{71A87C0C-0FFE-450D-AC58-55BB9B367078}"/>
    <cellStyle name="Migliaia [0] 49 5" xfId="4759" xr:uid="{39BA03DC-FEC9-44F1-AB6C-527FDA81A51D}"/>
    <cellStyle name="Migliaia [0] 49 5 2" xfId="32946" xr:uid="{442E87FD-DAF7-4D81-8DFF-93A4A3C1C334}"/>
    <cellStyle name="Migliaia [0] 49 5 2 2" xfId="38297" xr:uid="{DD013B76-DB0B-45E2-83F6-A0B44F948864}"/>
    <cellStyle name="Migliaia [0] 49 5 2 3" xfId="43599" xr:uid="{D2968864-CC84-4A65-8930-D9BE1C1397BC}"/>
    <cellStyle name="Migliaia [0] 49 5 3" xfId="35832" xr:uid="{B09E08E8-0C91-4F57-BFCD-723DD27FC047}"/>
    <cellStyle name="Migliaia [0] 49 5 4" xfId="40948" xr:uid="{E42C8F45-136B-41EE-A2A6-3E2F31417A69}"/>
    <cellStyle name="Migliaia [0] 49 5 5" xfId="17121" xr:uid="{0D899E94-AFC2-4ED7-A7F5-A220F1E206AF}"/>
    <cellStyle name="Migliaia [0] 49 6" xfId="5998" xr:uid="{B3E44F3A-CF40-4017-9D3A-7297D8BE74F0}"/>
    <cellStyle name="Migliaia [0] 49 6 2" xfId="38293" xr:uid="{75DA61BC-B2BE-40D5-9E87-8C8A1D2867F3}"/>
    <cellStyle name="Migliaia [0] 49 6 3" xfId="43595" xr:uid="{D3623E87-C0A1-40E2-9E9A-3DEA28DB7A89}"/>
    <cellStyle name="Migliaia [0] 49 6 4" xfId="32942" xr:uid="{13D81991-1567-4B5A-8E9A-67CCA9E19607}"/>
    <cellStyle name="Migliaia [0] 49 6 5" xfId="19712" xr:uid="{309B11B3-FB60-4F1F-BAF4-FF2C193E315B}"/>
    <cellStyle name="Migliaia [0] 49 7" xfId="3033" xr:uid="{9C199CD1-15E7-4FFD-BF5D-716F687F1BEA}"/>
    <cellStyle name="Migliaia [0] 49 7 2" xfId="35828" xr:uid="{913398C1-517E-4CC6-A349-2BEBE2082FA7}"/>
    <cellStyle name="Migliaia [0] 49 8" xfId="40944" xr:uid="{A340567A-C204-4C4B-ADBE-0510BD3214EE}"/>
    <cellStyle name="Migliaia [0] 49 9" xfId="7028" xr:uid="{79B9EC81-3129-4688-896D-DBF36087038C}"/>
    <cellStyle name="Migliaia [0] 5" xfId="286" xr:uid="{00000000-0005-0000-0000-000085020000}"/>
    <cellStyle name="Migliaia [0] 5 2" xfId="1613" xr:uid="{00000000-0005-0000-0000-000086020000}"/>
    <cellStyle name="Migliaia [0] 5 2 2" xfId="1614" xr:uid="{00000000-0005-0000-0000-000087020000}"/>
    <cellStyle name="Migliaia [0] 5 2 2 2" xfId="4766" xr:uid="{69ADC4E3-B026-4351-82BE-096B2247E0AB}"/>
    <cellStyle name="Migliaia [0] 5 2 2 2 2" xfId="21808" xr:uid="{52DD0017-4D5A-444D-9366-8F154300F4C9}"/>
    <cellStyle name="Migliaia [0] 5 2 2 2 3" xfId="47814" xr:uid="{D0CAC346-50A8-4996-92D8-94C2AEBF1A02}"/>
    <cellStyle name="Migliaia [0] 5 2 2 2 4" xfId="50836" xr:uid="{7FA93628-C93F-4867-98DB-3A9D59AFCCBA}"/>
    <cellStyle name="Migliaia [0] 5 2 2 2 5" xfId="53852" xr:uid="{47B785E5-2323-4CD1-914E-319889F12611}"/>
    <cellStyle name="Migliaia [0] 5 2 2 2 6" xfId="11842" xr:uid="{475C0BB6-6124-4420-BC0D-095D7DE232F1}"/>
    <cellStyle name="Migliaia [0] 5 2 2 3" xfId="3040" xr:uid="{AF19255E-C24E-4158-8FF4-C6C15647A130}"/>
    <cellStyle name="Migliaia [0] 5 2 2 3 2" xfId="12180" xr:uid="{A84B68C1-BBCB-42BF-80C7-DC0C24E7072F}"/>
    <cellStyle name="Migliaia [0] 5 2 2 4" xfId="10705" xr:uid="{FEAD2302-B8CA-427B-B75D-352F3123BA2A}"/>
    <cellStyle name="Migliaia [0] 5 2 2 4 2" xfId="21340" xr:uid="{EF06EF33-3D58-4062-BA66-05C716B0B9ED}"/>
    <cellStyle name="Migliaia [0] 5 2 2 4 3" xfId="46189" xr:uid="{8C26077E-820E-42D1-9A58-CD9644E55D7B}"/>
    <cellStyle name="Migliaia [0] 5 2 2 4 4" xfId="50355" xr:uid="{32F3C57A-5F7F-4898-9644-35BBD261E795}"/>
    <cellStyle name="Migliaia [0] 5 2 2 4 5" xfId="53371" xr:uid="{81BDCD45-FE3B-4B2E-8256-FE54147A3FD3}"/>
    <cellStyle name="Migliaia [0] 5 2 2 5" xfId="19719" xr:uid="{8D7213C3-7771-423D-8E01-79C8F3C66E0A}"/>
    <cellStyle name="Migliaia [0] 5 2 2 6" xfId="24124" xr:uid="{3C35AA7F-6DA9-495A-8B06-9841FD31A9CA}"/>
    <cellStyle name="Migliaia [0] 5 2 2 7" xfId="48864" xr:uid="{01BB1850-ADDA-40D6-94BD-3C56F9AAF851}"/>
    <cellStyle name="Migliaia [0] 5 2 2 8" xfId="49770" xr:uid="{698250D9-67BB-42FE-8C39-720A7C7ADB5E}"/>
    <cellStyle name="Migliaia [0] 5 2 2 9" xfId="8470" xr:uid="{2FAC42C4-CE27-4184-88C7-7A31F6BBE3A0}"/>
    <cellStyle name="Migliaia [0] 5 2 3" xfId="4765" xr:uid="{AAF02636-24C8-41CE-9119-236991F3296B}"/>
    <cellStyle name="Migliaia [0] 5 2 3 2" xfId="32948" xr:uid="{02542C5A-00EC-4982-A500-2E6AD90A6FDE}"/>
    <cellStyle name="Migliaia [0] 5 2 3 2 2" xfId="38299" xr:uid="{3E77CD6E-6647-4809-BCBB-2AF7FAF61816}"/>
    <cellStyle name="Migliaia [0] 5 2 3 2 3" xfId="43601" xr:uid="{00654E8A-55B7-422B-BCA7-608BB8E151B6}"/>
    <cellStyle name="Migliaia [0] 5 2 3 3" xfId="35834" xr:uid="{DD64048E-8F23-4CBB-BCB9-322C7C5C919B}"/>
    <cellStyle name="Migliaia [0] 5 2 3 4" xfId="40950" xr:uid="{F54980B5-CAD0-4797-9705-C2BD44C949F7}"/>
    <cellStyle name="Migliaia [0] 5 2 3 5" xfId="11843" xr:uid="{C4BD864D-8BF5-4761-B6AD-55F2114CCD54}"/>
    <cellStyle name="Migliaia [0] 5 2 4" xfId="6003" xr:uid="{81A99985-9F3C-476A-96FF-4A9D149E3EE1}"/>
    <cellStyle name="Migliaia [0] 5 2 4 2" xfId="19718" xr:uid="{D91835BD-A029-4CA5-B8EA-BB963F048840}"/>
    <cellStyle name="Migliaia [0] 5 2 5" xfId="3039" xr:uid="{65F3B956-7D7C-45D3-8CE2-1B6DF77BDE2D}"/>
    <cellStyle name="Migliaia [0] 5 2 5 2" xfId="24123" xr:uid="{14742864-96F2-4CD4-B955-59E41C67058E}"/>
    <cellStyle name="Migliaia [0] 5 2 6" xfId="7280" xr:uid="{92143004-90DF-4C5D-AD65-3562A5BA4224}"/>
    <cellStyle name="Migliaia [0] 5 3" xfId="1615" xr:uid="{00000000-0005-0000-0000-000088020000}"/>
    <cellStyle name="Migliaia [0] 5 3 2" xfId="4767" xr:uid="{EEA64456-ECD8-45E4-8A53-6E42394FDD0C}"/>
    <cellStyle name="Migliaia [0] 5 3 2 2" xfId="18345" xr:uid="{8C1BC772-A18F-4E26-A654-8DDE4A906D64}"/>
    <cellStyle name="Migliaia [0] 5 3 2 2 2" xfId="21809" xr:uid="{1FF9F8BB-B2B4-470F-A7C1-BF798B613FFC}"/>
    <cellStyle name="Migliaia [0] 5 3 2 2 2 2" xfId="38300" xr:uid="{1CC4EB04-F90D-4F50-8870-A55440E2869F}"/>
    <cellStyle name="Migliaia [0] 5 3 2 2 3" xfId="43602" xr:uid="{1DA3D651-EA36-4C50-A70E-E78A519BBD01}"/>
    <cellStyle name="Migliaia [0] 5 3 2 2 4" xfId="32949" xr:uid="{8445A234-2D2D-4A08-9DC7-07E037432365}"/>
    <cellStyle name="Migliaia [0] 5 3 2 3" xfId="35835" xr:uid="{0AE15584-D8A2-4BD0-856E-1340EAE872C5}"/>
    <cellStyle name="Migliaia [0] 5 3 2 4" xfId="40951" xr:uid="{47C7A054-4E56-4539-BB31-22FA332D76D4}"/>
    <cellStyle name="Migliaia [0] 5 3 2 5" xfId="48043" xr:uid="{2FBD5BC9-C0F1-4382-BAAE-AC1E28D572DC}"/>
    <cellStyle name="Migliaia [0] 5 3 2 6" xfId="50837" xr:uid="{4BB4232B-9B6F-45E7-8395-59A44A8D72C7}"/>
    <cellStyle name="Migliaia [0] 5 3 2 7" xfId="53853" xr:uid="{929A99D3-5376-4219-81F1-83DA44F7D8FC}"/>
    <cellStyle name="Migliaia [0] 5 3 2 8" xfId="17621" xr:uid="{B2F92898-4364-40B6-83B2-14E0B51CE55A}"/>
    <cellStyle name="Migliaia [0] 5 3 2 9" xfId="11844" xr:uid="{797D2A9B-E305-4767-BB0A-51B3A534CA07}"/>
    <cellStyle name="Migliaia [0] 5 3 3" xfId="6004" xr:uid="{67E8C61C-4043-43B8-907F-F5F9B8856E02}"/>
    <cellStyle name="Migliaia [0] 5 3 3 2" xfId="12367" xr:uid="{DE73347B-0076-4320-B0B3-105C651FFE05}"/>
    <cellStyle name="Migliaia [0] 5 3 4" xfId="3041" xr:uid="{17168358-18AF-45FE-921A-42CBE63FB5DA}"/>
    <cellStyle name="Migliaia [0] 5 3 4 2" xfId="21341" xr:uid="{EAE49A2B-B8A4-489B-B1DF-EB152805DF61}"/>
    <cellStyle name="Migliaia [0] 5 3 4 3" xfId="46190" xr:uid="{B96E572E-4853-44D4-B69F-75508CDC8B33}"/>
    <cellStyle name="Migliaia [0] 5 3 4 4" xfId="50356" xr:uid="{6C84C544-6D6C-4E24-AB82-C1D3977A9311}"/>
    <cellStyle name="Migliaia [0] 5 3 4 5" xfId="53372" xr:uid="{0EBA70EA-F526-4FDE-9A5D-E15403C26B59}"/>
    <cellStyle name="Migliaia [0] 5 3 4 6" xfId="10706" xr:uid="{A9A47995-8109-4C35-9DC4-E1DAB755A2B7}"/>
    <cellStyle name="Migliaia [0] 5 3 5" xfId="19720" xr:uid="{C836817F-AED2-4C66-B6B0-23CA5D4F7C1B}"/>
    <cellStyle name="Migliaia [0] 5 3 6" xfId="24125" xr:uid="{16FE5D5B-1778-4350-BCB7-76EC7A61F53A}"/>
    <cellStyle name="Migliaia [0] 5 3 7" xfId="8228" xr:uid="{78264879-44F4-43B8-B083-F7DF1BD26DF5}"/>
    <cellStyle name="Migliaia [0] 5 4" xfId="3042" xr:uid="{EA0C2312-05AA-4F91-865D-92231B8278CA}"/>
    <cellStyle name="Migliaia [0] 5 4 2" xfId="4768" xr:uid="{8AF591E4-31E7-42B5-8345-B85016F1D6C2}"/>
    <cellStyle name="Migliaia [0] 5 4 2 2" xfId="35113" xr:uid="{649DE802-930F-4215-980F-171FEC51AE83}"/>
    <cellStyle name="Migliaia [0] 5 4 2 2 2" xfId="40271" xr:uid="{3B0918B0-2F35-4A3F-B60E-E181967CAB80}"/>
    <cellStyle name="Migliaia [0] 5 4 2 2 3" xfId="45573" xr:uid="{D33E925F-B66C-440E-AD4D-920074A07C67}"/>
    <cellStyle name="Migliaia [0] 5 4 2 3" xfId="37620" xr:uid="{8B3808D4-E621-4A72-83BE-10BD875F1E50}"/>
    <cellStyle name="Migliaia [0] 5 4 2 4" xfId="42922" xr:uid="{1B40ECDC-4695-4EE0-A66B-330BF6E67713}"/>
    <cellStyle name="Migliaia [0] 5 4 2 5" xfId="17053" xr:uid="{49900F29-717B-46A7-A8E1-F15E19AE290F}"/>
    <cellStyle name="Migliaia [0] 5 4 3" xfId="6005" xr:uid="{9EBF40E5-A356-488A-AEEB-671F944DD992}"/>
    <cellStyle name="Migliaia [0] 5 4 3 2" xfId="38301" xr:uid="{97A15FB1-4151-4056-864C-36844C309B28}"/>
    <cellStyle name="Migliaia [0] 5 4 3 3" xfId="43603" xr:uid="{C2E6B0DA-6F19-44D9-9128-0F4A3BF1D25B}"/>
    <cellStyle name="Migliaia [0] 5 4 3 4" xfId="32950" xr:uid="{C007015B-D77D-4939-9258-C207273CEDEA}"/>
    <cellStyle name="Migliaia [0] 5 4 3 5" xfId="19721" xr:uid="{90A2EBE2-1272-4B9B-A400-762744240111}"/>
    <cellStyle name="Migliaia [0] 5 4 4" xfId="35836" xr:uid="{165DC901-F35F-40D6-9BC2-0D11B11CF780}"/>
    <cellStyle name="Migliaia [0] 5 4 5" xfId="40952" xr:uid="{E0F8F166-206D-4D70-B570-F9B98917001B}"/>
    <cellStyle name="Migliaia [0] 5 4 6" xfId="15995" xr:uid="{DD657B4E-5BEB-4DA9-93B3-FA8015914656}"/>
    <cellStyle name="Migliaia [0] 5 4 7" xfId="7808" xr:uid="{61956B54-2B87-40AA-9090-3822FB18272E}"/>
    <cellStyle name="Migliaia [0] 5 5" xfId="4764" xr:uid="{3C6DB823-6801-463D-97C9-65D553F44DC7}"/>
    <cellStyle name="Migliaia [0] 5 5 2" xfId="32951" xr:uid="{B8F7592F-8EAE-4CDA-A48A-9D671DE46415}"/>
    <cellStyle name="Migliaia [0] 5 5 2 2" xfId="38302" xr:uid="{1C56C303-E7EF-4812-AAEC-5079D6220632}"/>
    <cellStyle name="Migliaia [0] 5 5 2 3" xfId="43604" xr:uid="{3478A64F-AA07-4A28-AE63-A860110C32B8}"/>
    <cellStyle name="Migliaia [0] 5 5 3" xfId="35837" xr:uid="{3FE1CFED-E67F-4222-BDF2-D760197141D5}"/>
    <cellStyle name="Migliaia [0] 5 5 4" xfId="40953" xr:uid="{D303312A-F5A4-4A21-A000-344E7001225C}"/>
    <cellStyle name="Migliaia [0] 5 5 5" xfId="17122" xr:uid="{C718E149-573A-4777-B383-6CF7E93DF553}"/>
    <cellStyle name="Migliaia [0] 5 6" xfId="6002" xr:uid="{28CE114B-9253-431D-BBD6-76D162CCFAAC}"/>
    <cellStyle name="Migliaia [0] 5 6 2" xfId="38298" xr:uid="{4DC00164-001D-4555-9E4B-E24F51B8C92D}"/>
    <cellStyle name="Migliaia [0] 5 6 3" xfId="43600" xr:uid="{03728021-FEA4-4792-99AD-CAF90ECB6032}"/>
    <cellStyle name="Migliaia [0] 5 6 4" xfId="32947" xr:uid="{EBDD562F-D9A0-4BB7-90B0-F881D3B79B76}"/>
    <cellStyle name="Migliaia [0] 5 6 5" xfId="19717" xr:uid="{65337CD9-D209-48F9-AEB2-2BBFA6668492}"/>
    <cellStyle name="Migliaia [0] 5 7" xfId="3038" xr:uid="{3F0DB9DB-E00E-459B-B0E7-0B35896E61C4}"/>
    <cellStyle name="Migliaia [0] 5 7 2" xfId="35833" xr:uid="{2B995635-060F-4153-9E4D-E21228557666}"/>
    <cellStyle name="Migliaia [0] 5 8" xfId="40949" xr:uid="{6E7080F9-DC7A-41D3-85FB-50939D472AC3}"/>
    <cellStyle name="Migliaia [0] 5 9" xfId="7029" xr:uid="{A44627C1-6008-4B3A-9ABF-848F2DA0498A}"/>
    <cellStyle name="Migliaia [0] 50" xfId="287" xr:uid="{00000000-0005-0000-0000-000089020000}"/>
    <cellStyle name="Migliaia [0] 50 2" xfId="1616" xr:uid="{00000000-0005-0000-0000-00008A020000}"/>
    <cellStyle name="Migliaia [0] 50 2 2" xfId="1617" xr:uid="{00000000-0005-0000-0000-00008B020000}"/>
    <cellStyle name="Migliaia [0] 50 2 2 2" xfId="4771" xr:uid="{1B09896B-A258-412A-A7DD-E7DB6D81541A}"/>
    <cellStyle name="Migliaia [0] 50 2 2 2 2" xfId="21810" xr:uid="{0D779509-9171-4F31-B20A-E050D3FA89BB}"/>
    <cellStyle name="Migliaia [0] 50 2 2 2 3" xfId="47415" xr:uid="{0A592F25-D1B5-439E-8FBB-E66322557DB8}"/>
    <cellStyle name="Migliaia [0] 50 2 2 2 4" xfId="50838" xr:uid="{9EE27707-2286-4637-A63D-263CBB28C12E}"/>
    <cellStyle name="Migliaia [0] 50 2 2 2 5" xfId="53854" xr:uid="{93E056BF-FEA3-44B5-B4FF-0EDE5FE23D4B}"/>
    <cellStyle name="Migliaia [0] 50 2 2 2 6" xfId="11845" xr:uid="{D7BD6D21-B639-48ED-96A1-24361C5DC444}"/>
    <cellStyle name="Migliaia [0] 50 2 2 3" xfId="3045" xr:uid="{6501384D-D0CB-4354-B932-812AEBBC6B88}"/>
    <cellStyle name="Migliaia [0] 50 2 2 3 2" xfId="11174" xr:uid="{1D857B50-CB9E-4453-9DE6-5B77D3F0BC27}"/>
    <cellStyle name="Migliaia [0] 50 2 2 4" xfId="10707" xr:uid="{BF920876-F5A1-4938-85C2-8E5A0A5DD57F}"/>
    <cellStyle name="Migliaia [0] 50 2 2 4 2" xfId="21342" xr:uid="{FF3BC3AC-F8AA-4705-AA77-369ADA809462}"/>
    <cellStyle name="Migliaia [0] 50 2 2 4 3" xfId="48287" xr:uid="{AA215645-1137-4E23-BF97-08CEC3DAB65A}"/>
    <cellStyle name="Migliaia [0] 50 2 2 4 4" xfId="50357" xr:uid="{B4D6D501-FA11-4A71-9A3C-D7C3CBC3225A}"/>
    <cellStyle name="Migliaia [0] 50 2 2 4 5" xfId="53373" xr:uid="{2EA34045-771F-498D-9D83-2DE1460911DC}"/>
    <cellStyle name="Migliaia [0] 50 2 2 5" xfId="19724" xr:uid="{9A54F824-C004-4F21-876F-45CA8D3EB6F3}"/>
    <cellStyle name="Migliaia [0] 50 2 2 6" xfId="24127" xr:uid="{71470F48-11DA-4FEB-AA85-083681CB6511}"/>
    <cellStyle name="Migliaia [0] 50 2 2 7" xfId="48865" xr:uid="{C62C4BCF-6612-43B0-B6C2-352B2EF870B0}"/>
    <cellStyle name="Migliaia [0] 50 2 2 8" xfId="49771" xr:uid="{D43F522A-ED88-4993-9026-82FDB96587CF}"/>
    <cellStyle name="Migliaia [0] 50 2 2 9" xfId="8471" xr:uid="{413A1610-84CF-4652-971B-7AAD175F36FB}"/>
    <cellStyle name="Migliaia [0] 50 2 3" xfId="4770" xr:uid="{C77DDA14-7259-4990-B0D4-73A23DBB14B7}"/>
    <cellStyle name="Migliaia [0] 50 2 3 2" xfId="32953" xr:uid="{D0E5F5A9-B47F-4437-88B9-6263037B573A}"/>
    <cellStyle name="Migliaia [0] 50 2 3 2 2" xfId="38304" xr:uid="{F46D8312-16CF-4F50-A3E7-2AC4F07E5F43}"/>
    <cellStyle name="Migliaia [0] 50 2 3 2 3" xfId="43606" xr:uid="{FF252AAB-C1B0-494D-9F5F-BD2D9271F33F}"/>
    <cellStyle name="Migliaia [0] 50 2 3 3" xfId="35839" xr:uid="{2D37B6D0-164D-4721-A99F-48C19C7DBC7C}"/>
    <cellStyle name="Migliaia [0] 50 2 3 4" xfId="40955" xr:uid="{BA0E0835-522E-4C66-989B-27BBDCA30E61}"/>
    <cellStyle name="Migliaia [0] 50 2 3 5" xfId="11846" xr:uid="{27779D9E-629E-4D21-A1F8-879B7D639ABB}"/>
    <cellStyle name="Migliaia [0] 50 2 4" xfId="6007" xr:uid="{8EF7FCB7-F223-4BF7-9277-E9A53A29E859}"/>
    <cellStyle name="Migliaia [0] 50 2 4 2" xfId="19723" xr:uid="{8173DB31-2466-4238-AB86-4895C7326EF4}"/>
    <cellStyle name="Migliaia [0] 50 2 5" xfId="3044" xr:uid="{EED3D59E-5F89-4CC4-966C-01CB231358D6}"/>
    <cellStyle name="Migliaia [0] 50 2 5 2" xfId="24126" xr:uid="{6C14C1D6-9DB1-4D34-BF11-8BD7F7839AAC}"/>
    <cellStyle name="Migliaia [0] 50 2 6" xfId="7281" xr:uid="{12E5534F-0AD1-429E-9F2A-14F74630EB44}"/>
    <cellStyle name="Migliaia [0] 50 3" xfId="1618" xr:uid="{00000000-0005-0000-0000-00008C020000}"/>
    <cellStyle name="Migliaia [0] 50 3 2" xfId="4772" xr:uid="{7A24BE6B-A743-4370-9A0C-C46050A87090}"/>
    <cellStyle name="Migliaia [0] 50 3 2 2" xfId="18346" xr:uid="{67693AB5-9988-47F3-B3B6-1250F9F9B130}"/>
    <cellStyle name="Migliaia [0] 50 3 2 2 2" xfId="21811" xr:uid="{FC7658CA-89B8-4FBF-8281-A8089DF7D190}"/>
    <cellStyle name="Migliaia [0] 50 3 2 2 2 2" xfId="38305" xr:uid="{55D23817-8502-43DD-8196-A806DA69602F}"/>
    <cellStyle name="Migliaia [0] 50 3 2 2 3" xfId="43607" xr:uid="{E61E7AE5-09C4-4013-909F-37B6C755F33B}"/>
    <cellStyle name="Migliaia [0] 50 3 2 2 4" xfId="32954" xr:uid="{0F21AD68-23D1-4CEC-8C6D-0841055722BC}"/>
    <cellStyle name="Migliaia [0] 50 3 2 3" xfId="35840" xr:uid="{47B60D79-97AE-4CF4-9781-449415C2F21A}"/>
    <cellStyle name="Migliaia [0] 50 3 2 4" xfId="40956" xr:uid="{4202573C-FC2F-46F5-8D01-18B0B4BA9E68}"/>
    <cellStyle name="Migliaia [0] 50 3 2 5" xfId="32437" xr:uid="{0164CF5D-21B1-44B1-8001-08B2164E7A98}"/>
    <cellStyle name="Migliaia [0] 50 3 2 6" xfId="50839" xr:uid="{D4A46CEC-CB46-45A2-9CD1-D74BAE97B1D0}"/>
    <cellStyle name="Migliaia [0] 50 3 2 7" xfId="53855" xr:uid="{D3388949-BA3C-45CE-9512-1B783D0DBFC8}"/>
    <cellStyle name="Migliaia [0] 50 3 2 8" xfId="17622" xr:uid="{D4786CC9-B50B-4DE4-B5D7-E4F8F6BD884B}"/>
    <cellStyle name="Migliaia [0] 50 3 2 9" xfId="11847" xr:uid="{9471DBA6-C278-4D6C-89CB-42C55A3C6F27}"/>
    <cellStyle name="Migliaia [0] 50 3 3" xfId="6008" xr:uid="{D98FA3CE-2541-4421-A400-D0232D7559F7}"/>
    <cellStyle name="Migliaia [0] 50 3 3 2" xfId="12209" xr:uid="{E70FDFA6-B6AF-4B95-AD17-6C8694852CFE}"/>
    <cellStyle name="Migliaia [0] 50 3 4" xfId="3046" xr:uid="{D9EC0509-567B-4F93-BD4C-9AFF436746F4}"/>
    <cellStyle name="Migliaia [0] 50 3 4 2" xfId="21343" xr:uid="{CDEA1CD2-17CF-4CC0-B4A5-6FB510F0CDE4}"/>
    <cellStyle name="Migliaia [0] 50 3 4 3" xfId="48467" xr:uid="{AA7BD62C-2CFA-4F0B-A236-3FCDD3716A3A}"/>
    <cellStyle name="Migliaia [0] 50 3 4 4" xfId="50358" xr:uid="{4B04CD79-E9B8-45E1-94E0-2A8A8E3BB5D1}"/>
    <cellStyle name="Migliaia [0] 50 3 4 5" xfId="53374" xr:uid="{FAFFC1B9-0CBC-453E-8C47-F81079E9D87D}"/>
    <cellStyle name="Migliaia [0] 50 3 4 6" xfId="10708" xr:uid="{B1D3E95D-3AD2-45E0-9718-E57064809A22}"/>
    <cellStyle name="Migliaia [0] 50 3 5" xfId="19725" xr:uid="{50016285-DF15-42EB-AD77-B6FE618F59A7}"/>
    <cellStyle name="Migliaia [0] 50 3 6" xfId="24128" xr:uid="{767E88CE-46FA-4263-8553-B4BDB4A405FE}"/>
    <cellStyle name="Migliaia [0] 50 3 7" xfId="8229" xr:uid="{49DB432C-0119-4B3C-B39A-0179C5B0AEED}"/>
    <cellStyle name="Migliaia [0] 50 4" xfId="3047" xr:uid="{CAE89269-BD28-4093-9E2F-D1E40A8F8202}"/>
    <cellStyle name="Migliaia [0] 50 4 2" xfId="4773" xr:uid="{70405372-B612-46CC-8641-9F5DBCB4E0F1}"/>
    <cellStyle name="Migliaia [0] 50 4 2 2" xfId="35114" xr:uid="{CE0E311D-8A0B-405D-BDBF-14F3F14E4917}"/>
    <cellStyle name="Migliaia [0] 50 4 2 2 2" xfId="40272" xr:uid="{6D77E4C3-3F21-49FD-81F3-D2A803651748}"/>
    <cellStyle name="Migliaia [0] 50 4 2 2 3" xfId="45574" xr:uid="{83E4A895-5194-4786-9F5B-C8C207A80084}"/>
    <cellStyle name="Migliaia [0] 50 4 2 3" xfId="37621" xr:uid="{58DC82AB-859A-4B83-8D45-24B821A626A7}"/>
    <cellStyle name="Migliaia [0] 50 4 2 4" xfId="42923" xr:uid="{296EB02B-7DCD-4E4C-AFCC-D3460275CBF6}"/>
    <cellStyle name="Migliaia [0] 50 4 2 5" xfId="17054" xr:uid="{40AC1319-2C23-443B-8196-2A06A43F4AF5}"/>
    <cellStyle name="Migliaia [0] 50 4 3" xfId="6009" xr:uid="{674A426F-A4AA-4F46-960C-5D4843A32D7E}"/>
    <cellStyle name="Migliaia [0] 50 4 3 2" xfId="38306" xr:uid="{94BF0F8B-98C1-4722-9ED1-5C7EE49CAB0D}"/>
    <cellStyle name="Migliaia [0] 50 4 3 3" xfId="43608" xr:uid="{D5F6DB2F-9C62-458F-9D6E-5C68E393E756}"/>
    <cellStyle name="Migliaia [0] 50 4 3 4" xfId="32955" xr:uid="{EF00DE0E-DF74-4CDF-91D5-AA013EBACADC}"/>
    <cellStyle name="Migliaia [0] 50 4 3 5" xfId="19726" xr:uid="{9609E53B-6523-4250-96B6-5D7739DFCF02}"/>
    <cellStyle name="Migliaia [0] 50 4 4" xfId="35841" xr:uid="{835319DF-D9EC-4F4A-8A07-8368B27B4F13}"/>
    <cellStyle name="Migliaia [0] 50 4 5" xfId="40957" xr:uid="{ABDD8BB5-586E-419A-93C6-669291150D27}"/>
    <cellStyle name="Migliaia [0] 50 4 6" xfId="15996" xr:uid="{6CE5A688-919A-4F93-87B9-7206DC64ECD9}"/>
    <cellStyle name="Migliaia [0] 50 4 7" xfId="7809" xr:uid="{8C994083-054E-491D-9E06-9703B53510FB}"/>
    <cellStyle name="Migliaia [0] 50 5" xfId="4769" xr:uid="{1362F498-5A50-4EAD-9FC1-6C4B94FEF5BE}"/>
    <cellStyle name="Migliaia [0] 50 5 2" xfId="32956" xr:uid="{D04F9FC2-870F-4C06-8212-DE393F5EBFEE}"/>
    <cellStyle name="Migliaia [0] 50 5 2 2" xfId="38307" xr:uid="{4CBA307B-EB59-45D8-B4FB-47A3FB0A905E}"/>
    <cellStyle name="Migliaia [0] 50 5 2 3" xfId="43609" xr:uid="{9307F536-3107-487E-B6C3-05E7691D214A}"/>
    <cellStyle name="Migliaia [0] 50 5 3" xfId="35842" xr:uid="{E86E4503-4F00-4E4B-A0B8-4BF712EB3D03}"/>
    <cellStyle name="Migliaia [0] 50 5 4" xfId="40958" xr:uid="{87A0636E-B673-44A2-BC58-47E647C0AF56}"/>
    <cellStyle name="Migliaia [0] 50 5 5" xfId="17123" xr:uid="{625383D6-B506-4076-9B51-EEDD91BE4914}"/>
    <cellStyle name="Migliaia [0] 50 6" xfId="6006" xr:uid="{B4B0825C-A5DA-473D-8EC6-40CBCAF67322}"/>
    <cellStyle name="Migliaia [0] 50 6 2" xfId="38303" xr:uid="{17B11985-2C9E-411B-A724-C619557D8AC4}"/>
    <cellStyle name="Migliaia [0] 50 6 3" xfId="43605" xr:uid="{782E36E9-D953-4BCF-9938-96DB264A856D}"/>
    <cellStyle name="Migliaia [0] 50 6 4" xfId="32952" xr:uid="{512BEAD1-AC77-4ADF-A250-EB7AF985B28B}"/>
    <cellStyle name="Migliaia [0] 50 6 5" xfId="19722" xr:uid="{B2D52448-1E79-4647-8ECC-4E83137BCA6A}"/>
    <cellStyle name="Migliaia [0] 50 7" xfId="3043" xr:uid="{E0E10029-BAA8-4245-B483-84A5D72059E2}"/>
    <cellStyle name="Migliaia [0] 50 7 2" xfId="35838" xr:uid="{49D113B5-D6B1-4F85-8FEA-80FA406A635C}"/>
    <cellStyle name="Migliaia [0] 50 8" xfId="40954" xr:uid="{46913918-5BC2-4C25-B719-785B6FC27E50}"/>
    <cellStyle name="Migliaia [0] 50 9" xfId="7030" xr:uid="{C07FEE0C-22D7-48EB-9685-275293085CBF}"/>
    <cellStyle name="Migliaia [0] 51" xfId="288" xr:uid="{00000000-0005-0000-0000-00008D020000}"/>
    <cellStyle name="Migliaia [0] 51 2" xfId="1619" xr:uid="{00000000-0005-0000-0000-00008E020000}"/>
    <cellStyle name="Migliaia [0] 51 2 2" xfId="1620" xr:uid="{00000000-0005-0000-0000-00008F020000}"/>
    <cellStyle name="Migliaia [0] 51 2 2 2" xfId="4776" xr:uid="{D057B8B0-6A27-4052-A826-3ED5C60BF2FE}"/>
    <cellStyle name="Migliaia [0] 51 2 2 2 2" xfId="21812" xr:uid="{BAE1E163-C9AE-4816-8CF5-492E21FD9A58}"/>
    <cellStyle name="Migliaia [0] 51 2 2 2 3" xfId="48393" xr:uid="{B967835E-4A02-4D58-BC5A-C759BB03AE7A}"/>
    <cellStyle name="Migliaia [0] 51 2 2 2 4" xfId="50840" xr:uid="{8987FB87-89E7-48B9-B506-17BEAED03137}"/>
    <cellStyle name="Migliaia [0] 51 2 2 2 5" xfId="53856" xr:uid="{53928B78-0E04-4938-B9D0-4B94FFCF8E7A}"/>
    <cellStyle name="Migliaia [0] 51 2 2 2 6" xfId="11848" xr:uid="{58AAE645-0D67-4A94-959D-7419E1645B6A}"/>
    <cellStyle name="Migliaia [0] 51 2 2 3" xfId="3050" xr:uid="{5771EA5A-8C39-42DB-8645-129826F8F624}"/>
    <cellStyle name="Migliaia [0] 51 2 2 3 2" xfId="12330" xr:uid="{73DCD7A2-C10F-4698-8F3C-9F56FDD17745}"/>
    <cellStyle name="Migliaia [0] 51 2 2 4" xfId="10709" xr:uid="{E6857429-47DA-40F8-93A7-CA626354D66B}"/>
    <cellStyle name="Migliaia [0] 51 2 2 4 2" xfId="21344" xr:uid="{AC968838-7E65-4319-876E-60CEC8E67740}"/>
    <cellStyle name="Migliaia [0] 51 2 2 4 3" xfId="46191" xr:uid="{52F46572-F3A3-43C4-9595-C55D65DDDDA5}"/>
    <cellStyle name="Migliaia [0] 51 2 2 4 4" xfId="50359" xr:uid="{3338AE49-9C4A-4645-8363-A22A064D1CB7}"/>
    <cellStyle name="Migliaia [0] 51 2 2 4 5" xfId="53375" xr:uid="{7C1F94C0-0A93-4727-8E80-B67FB245BF50}"/>
    <cellStyle name="Migliaia [0] 51 2 2 5" xfId="19729" xr:uid="{E48DB0AE-B457-4CF0-946B-EDC25C8904E5}"/>
    <cellStyle name="Migliaia [0] 51 2 2 6" xfId="24130" xr:uid="{1055A1F4-C6DF-444D-BF29-1FAAD7B1845C}"/>
    <cellStyle name="Migliaia [0] 51 2 2 7" xfId="48866" xr:uid="{231DE12F-7691-48E0-B52F-9299171C55CB}"/>
    <cellStyle name="Migliaia [0] 51 2 2 8" xfId="49772" xr:uid="{B03A941D-11E8-4348-976F-9E0B98BFF05E}"/>
    <cellStyle name="Migliaia [0] 51 2 2 9" xfId="8472" xr:uid="{CE9DC235-EFF9-417C-95DC-C53B53883206}"/>
    <cellStyle name="Migliaia [0] 51 2 3" xfId="4775" xr:uid="{2B4E65B6-8FF6-4A35-A3E7-5BF79BAFD099}"/>
    <cellStyle name="Migliaia [0] 51 2 3 2" xfId="32958" xr:uid="{64BA04C9-2BE1-4632-ABCD-C6299BC7AAB2}"/>
    <cellStyle name="Migliaia [0] 51 2 3 2 2" xfId="38309" xr:uid="{5CCC0AC1-E75A-4D56-9D75-99474D216482}"/>
    <cellStyle name="Migliaia [0] 51 2 3 2 3" xfId="43611" xr:uid="{A3E1F99B-3091-4962-B756-9E18D486C609}"/>
    <cellStyle name="Migliaia [0] 51 2 3 3" xfId="35844" xr:uid="{D55BEA44-4ABF-4001-BA89-05AD1CCE7B43}"/>
    <cellStyle name="Migliaia [0] 51 2 3 4" xfId="40960" xr:uid="{32B019D9-087A-46F6-9257-28B04E4EC34E}"/>
    <cellStyle name="Migliaia [0] 51 2 3 5" xfId="11849" xr:uid="{1FED25E3-7FBD-4AD0-A9CC-243AE6851EA2}"/>
    <cellStyle name="Migliaia [0] 51 2 4" xfId="6011" xr:uid="{8E85BB4A-456D-4332-AEF4-BD3537B3F358}"/>
    <cellStyle name="Migliaia [0] 51 2 4 2" xfId="19728" xr:uid="{56D6885F-EC03-41C4-8C28-C20E15E0E8D3}"/>
    <cellStyle name="Migliaia [0] 51 2 5" xfId="3049" xr:uid="{A3A741F7-3D2D-4092-BB8E-EBB5E98B0FA6}"/>
    <cellStyle name="Migliaia [0] 51 2 5 2" xfId="24129" xr:uid="{8383B0AD-A171-4C0B-9552-12728D6E9553}"/>
    <cellStyle name="Migliaia [0] 51 2 6" xfId="7282" xr:uid="{9F376A6C-3BC4-488B-A256-7914B95958B5}"/>
    <cellStyle name="Migliaia [0] 51 3" xfId="1621" xr:uid="{00000000-0005-0000-0000-000090020000}"/>
    <cellStyle name="Migliaia [0] 51 3 2" xfId="4777" xr:uid="{59AFADEC-D985-494A-AC3B-B927EC602DF8}"/>
    <cellStyle name="Migliaia [0] 51 3 2 2" xfId="18347" xr:uid="{DCB11A1B-0CFE-431C-956B-94F260AD72DB}"/>
    <cellStyle name="Migliaia [0] 51 3 2 2 2" xfId="21813" xr:uid="{00CDFCFE-0F1D-4452-9FEC-2FC7661BFD05}"/>
    <cellStyle name="Migliaia [0] 51 3 2 2 2 2" xfId="38310" xr:uid="{555AA84B-EA49-46C1-A7E9-C4EDD8280D2E}"/>
    <cellStyle name="Migliaia [0] 51 3 2 2 3" xfId="43612" xr:uid="{D5EC004B-A7C2-43ED-BCAF-AD028094AC84}"/>
    <cellStyle name="Migliaia [0] 51 3 2 2 4" xfId="32959" xr:uid="{2F716110-86BD-4F47-A89E-B06A8F22DFB9}"/>
    <cellStyle name="Migliaia [0] 51 3 2 3" xfId="35845" xr:uid="{F0E36332-E541-4771-8AA1-3A216753A3E6}"/>
    <cellStyle name="Migliaia [0] 51 3 2 4" xfId="40961" xr:uid="{37306413-8889-4A88-9BB3-BDF9988CB341}"/>
    <cellStyle name="Migliaia [0] 51 3 2 5" xfId="47159" xr:uid="{23FA99F2-63CE-47B4-B073-70604D913DAB}"/>
    <cellStyle name="Migliaia [0] 51 3 2 6" xfId="50841" xr:uid="{32AC8D93-AC71-409C-80B6-CD13330A929A}"/>
    <cellStyle name="Migliaia [0] 51 3 2 7" xfId="53857" xr:uid="{1A2E7663-1C67-44CC-A9F9-DE0547989141}"/>
    <cellStyle name="Migliaia [0] 51 3 2 8" xfId="17623" xr:uid="{AE1D2FA6-ACB1-4FFA-A81E-397F1056C232}"/>
    <cellStyle name="Migliaia [0] 51 3 2 9" xfId="11850" xr:uid="{155F0505-0AC3-4D0D-8767-E52042DD2371}"/>
    <cellStyle name="Migliaia [0] 51 3 3" xfId="6012" xr:uid="{43A95878-3908-4303-BA22-168A8EAE614C}"/>
    <cellStyle name="Migliaia [0] 51 3 3 2" xfId="12366" xr:uid="{C9B54049-E5A7-45AE-B394-42153FF231A9}"/>
    <cellStyle name="Migliaia [0] 51 3 4" xfId="3051" xr:uid="{EE70C815-DD67-445E-8CD2-670D8D2CBD85}"/>
    <cellStyle name="Migliaia [0] 51 3 4 2" xfId="21345" xr:uid="{D44F42FE-26CA-483C-B589-E8CED9EFC767}"/>
    <cellStyle name="Migliaia [0] 51 3 4 3" xfId="47594" xr:uid="{10924BE4-6CB8-4CEA-90ED-C6933573AB40}"/>
    <cellStyle name="Migliaia [0] 51 3 4 4" xfId="50360" xr:uid="{0DAB65DA-4581-497F-91D4-0C812474E258}"/>
    <cellStyle name="Migliaia [0] 51 3 4 5" xfId="53376" xr:uid="{AE67070F-A07E-4C84-A79A-2BC26126D623}"/>
    <cellStyle name="Migliaia [0] 51 3 4 6" xfId="10710" xr:uid="{D73D74A6-0869-43BC-BBBF-F3770FBE5378}"/>
    <cellStyle name="Migliaia [0] 51 3 5" xfId="19730" xr:uid="{ABE843A5-E063-4F33-8A40-22267E384D36}"/>
    <cellStyle name="Migliaia [0] 51 3 6" xfId="24131" xr:uid="{DE3CF452-348C-4377-9561-86335F5E1E7D}"/>
    <cellStyle name="Migliaia [0] 51 3 7" xfId="8230" xr:uid="{5DB3A31E-BE45-448A-A905-E68F4C9E3203}"/>
    <cellStyle name="Migliaia [0] 51 4" xfId="3052" xr:uid="{CC7E76CC-99AA-4139-AB8A-1F39706E4C26}"/>
    <cellStyle name="Migliaia [0] 51 4 2" xfId="4778" xr:uid="{233A750B-33EC-40F0-BBE5-797030766A56}"/>
    <cellStyle name="Migliaia [0] 51 4 2 2" xfId="35115" xr:uid="{B9EF9336-3BCE-4C6A-ACCE-2176D69E92DC}"/>
    <cellStyle name="Migliaia [0] 51 4 2 2 2" xfId="40273" xr:uid="{0366C10C-FA5B-4EAB-A3B7-38DFECFEA4FB}"/>
    <cellStyle name="Migliaia [0] 51 4 2 2 3" xfId="45575" xr:uid="{85F61C09-19B8-42A8-B1F7-DB964AFE9B15}"/>
    <cellStyle name="Migliaia [0] 51 4 2 3" xfId="37622" xr:uid="{A97C9E6B-483B-46C9-9583-EA59E379BBE9}"/>
    <cellStyle name="Migliaia [0] 51 4 2 4" xfId="42924" xr:uid="{831AE8EE-24E6-4561-9A22-DC69C64F1BA6}"/>
    <cellStyle name="Migliaia [0] 51 4 2 5" xfId="17055" xr:uid="{2A5E7389-0194-4C1B-B6CE-D5AED06D32DB}"/>
    <cellStyle name="Migliaia [0] 51 4 3" xfId="6013" xr:uid="{0F3D1A97-E64A-49BF-82A3-AE10E560097C}"/>
    <cellStyle name="Migliaia [0] 51 4 3 2" xfId="38311" xr:uid="{53714D75-7E88-4A65-A70B-78839ED127A5}"/>
    <cellStyle name="Migliaia [0] 51 4 3 3" xfId="43613" xr:uid="{9E1D0633-A063-411C-A9A7-78996A3CCEDF}"/>
    <cellStyle name="Migliaia [0] 51 4 3 4" xfId="32960" xr:uid="{6F8E87D5-A0DD-4C62-9B84-EAA8A7F5B2DA}"/>
    <cellStyle name="Migliaia [0] 51 4 3 5" xfId="19731" xr:uid="{6C5334BB-36D8-484B-BCA8-697C9AEB44AE}"/>
    <cellStyle name="Migliaia [0] 51 4 4" xfId="35846" xr:uid="{FC19EBDA-85CD-4BEC-A597-927F1F18DAA8}"/>
    <cellStyle name="Migliaia [0] 51 4 5" xfId="40962" xr:uid="{E840E546-0621-43CC-8031-AD1DCC743AF0}"/>
    <cellStyle name="Migliaia [0] 51 4 6" xfId="15997" xr:uid="{9B0D28EB-AC65-4E44-A56D-F8C3451971A7}"/>
    <cellStyle name="Migliaia [0] 51 4 7" xfId="7810" xr:uid="{12DD7958-F04E-4935-B640-BF0250F909AC}"/>
    <cellStyle name="Migliaia [0] 51 5" xfId="4774" xr:uid="{42248D48-CD4C-46EF-9510-257DE98A6F9E}"/>
    <cellStyle name="Migliaia [0] 51 5 2" xfId="32961" xr:uid="{8CA8FC27-3E81-4763-9BAC-5ECBBF44E490}"/>
    <cellStyle name="Migliaia [0] 51 5 2 2" xfId="38312" xr:uid="{9000499F-B913-4CF8-AC9F-98D331D7FF8C}"/>
    <cellStyle name="Migliaia [0] 51 5 2 3" xfId="43614" xr:uid="{FF50D374-1A72-4AE0-B306-7BDE2F7120DC}"/>
    <cellStyle name="Migliaia [0] 51 5 3" xfId="35847" xr:uid="{C6265231-05A4-4923-941E-E16DDA809CA4}"/>
    <cellStyle name="Migliaia [0] 51 5 4" xfId="40963" xr:uid="{A6DE5E74-258D-4691-AB53-3B63465E925B}"/>
    <cellStyle name="Migliaia [0] 51 5 5" xfId="17124" xr:uid="{8BF69655-F68B-46F9-9156-F001E184FE10}"/>
    <cellStyle name="Migliaia [0] 51 6" xfId="6010" xr:uid="{6DD7CE24-44CB-42E2-A807-FF2C6F89D3D0}"/>
    <cellStyle name="Migliaia [0] 51 6 2" xfId="38308" xr:uid="{C1008659-5857-4618-A8B0-D2A0073D072B}"/>
    <cellStyle name="Migliaia [0] 51 6 3" xfId="43610" xr:uid="{9E89C385-5862-4F65-92F9-C3C345C86C12}"/>
    <cellStyle name="Migliaia [0] 51 6 4" xfId="32957" xr:uid="{275AE345-0AE8-4DB0-ADEB-D30B7E58462E}"/>
    <cellStyle name="Migliaia [0] 51 6 5" xfId="19727" xr:uid="{0A4E0870-10CE-4E1B-BE61-9BC62ADE02B9}"/>
    <cellStyle name="Migliaia [0] 51 7" xfId="3048" xr:uid="{4A28D015-CC96-47E3-B146-54586E08B880}"/>
    <cellStyle name="Migliaia [0] 51 7 2" xfId="35843" xr:uid="{744AA196-EC63-4824-AF62-55C2E64B37CF}"/>
    <cellStyle name="Migliaia [0] 51 8" xfId="40959" xr:uid="{326FCC74-A415-4068-A8AE-59922A867424}"/>
    <cellStyle name="Migliaia [0] 51 9" xfId="7031" xr:uid="{2836C799-79B1-46BF-98A0-5A4283B234F3}"/>
    <cellStyle name="Migliaia [0] 52" xfId="289" xr:uid="{00000000-0005-0000-0000-000091020000}"/>
    <cellStyle name="Migliaia [0] 52 2" xfId="1622" xr:uid="{00000000-0005-0000-0000-000092020000}"/>
    <cellStyle name="Migliaia [0] 52 2 2" xfId="1623" xr:uid="{00000000-0005-0000-0000-000093020000}"/>
    <cellStyle name="Migliaia [0] 52 2 2 2" xfId="4781" xr:uid="{5F6F9507-4B46-4DAA-A72B-9B2FECC3A56B}"/>
    <cellStyle name="Migliaia [0] 52 2 2 2 2" xfId="21814" xr:uid="{554A9C1A-2259-4F5A-BEE4-145C0DCFE921}"/>
    <cellStyle name="Migliaia [0] 52 2 2 2 3" xfId="48006" xr:uid="{6276D919-4863-4588-9832-9D1B6874AE95}"/>
    <cellStyle name="Migliaia [0] 52 2 2 2 4" xfId="50842" xr:uid="{F1DD001F-E2A4-47BD-9687-C0483D35766A}"/>
    <cellStyle name="Migliaia [0] 52 2 2 2 5" xfId="53858" xr:uid="{0059389B-9BFD-4381-BB11-9928AEA405E1}"/>
    <cellStyle name="Migliaia [0] 52 2 2 2 6" xfId="11851" xr:uid="{0882D14A-4433-435A-AA2D-EB784C1FA2B5}"/>
    <cellStyle name="Migliaia [0] 52 2 2 3" xfId="3055" xr:uid="{A6BEC58A-B439-4B86-B230-5FE5DC12D512}"/>
    <cellStyle name="Migliaia [0] 52 2 2 3 2" xfId="12329" xr:uid="{451E361A-6894-4C9A-9FF4-61311B62197D}"/>
    <cellStyle name="Migliaia [0] 52 2 2 4" xfId="10711" xr:uid="{95BFCC7E-6E2A-4D30-83A8-B1B73D07DC85}"/>
    <cellStyle name="Migliaia [0] 52 2 2 4 2" xfId="21346" xr:uid="{3B374E51-4896-43AA-BA03-D7F2AE6583F0}"/>
    <cellStyle name="Migliaia [0] 52 2 2 4 3" xfId="46192" xr:uid="{D676F8E0-D5FA-4138-8895-BC8B798CB0F9}"/>
    <cellStyle name="Migliaia [0] 52 2 2 4 4" xfId="50361" xr:uid="{F8600B49-A9AD-46CE-B46C-7CEABFF02F20}"/>
    <cellStyle name="Migliaia [0] 52 2 2 4 5" xfId="53377" xr:uid="{32EC0F1F-7B53-42C2-900B-A0B56B8B2ACC}"/>
    <cellStyle name="Migliaia [0] 52 2 2 5" xfId="19734" xr:uid="{7844710B-8365-4777-A47A-436C3A2091D6}"/>
    <cellStyle name="Migliaia [0] 52 2 2 6" xfId="24133" xr:uid="{6097D353-7C45-45D3-99E5-1582A45C3688}"/>
    <cellStyle name="Migliaia [0] 52 2 2 7" xfId="48867" xr:uid="{E4E50F7A-7797-447A-B205-E3FD5922167F}"/>
    <cellStyle name="Migliaia [0] 52 2 2 8" xfId="49773" xr:uid="{A1D31CA4-EA48-431C-84CD-0AE45FBEDA78}"/>
    <cellStyle name="Migliaia [0] 52 2 2 9" xfId="8473" xr:uid="{F2C05E06-7A8C-4FD8-8F0C-C43E762895EC}"/>
    <cellStyle name="Migliaia [0] 52 2 3" xfId="4780" xr:uid="{6F7DEC58-B58C-4CAA-A1D8-25A8864451CC}"/>
    <cellStyle name="Migliaia [0] 52 2 3 2" xfId="32963" xr:uid="{D0EBF67E-CC49-41F1-B518-99CDE053F013}"/>
    <cellStyle name="Migliaia [0] 52 2 3 2 2" xfId="38314" xr:uid="{C32DBB32-B695-463F-AE23-EDC325D5BAFA}"/>
    <cellStyle name="Migliaia [0] 52 2 3 2 3" xfId="43616" xr:uid="{02FB4B31-9763-4529-97D6-0F0E90E44AF1}"/>
    <cellStyle name="Migliaia [0] 52 2 3 3" xfId="35849" xr:uid="{7BBFB64C-7443-425B-93B6-8F9460ABF21F}"/>
    <cellStyle name="Migliaia [0] 52 2 3 4" xfId="40965" xr:uid="{7157E69F-2BD9-4658-B1DC-B3CFD4681460}"/>
    <cellStyle name="Migliaia [0] 52 2 3 5" xfId="11852" xr:uid="{37340A22-9D75-404C-ACAF-A0842F147BF4}"/>
    <cellStyle name="Migliaia [0] 52 2 4" xfId="6015" xr:uid="{A30B5FE9-AA91-4881-860B-3E88A7275B2F}"/>
    <cellStyle name="Migliaia [0] 52 2 4 2" xfId="19733" xr:uid="{BBAF94D0-984E-476E-AD30-E5B46F4E2DD7}"/>
    <cellStyle name="Migliaia [0] 52 2 5" xfId="3054" xr:uid="{38A63953-4C32-4A85-AB5C-09DDD2102FDF}"/>
    <cellStyle name="Migliaia [0] 52 2 5 2" xfId="24132" xr:uid="{CF3319F4-BE1B-45DF-8DD7-590243F99B10}"/>
    <cellStyle name="Migliaia [0] 52 2 6" xfId="7283" xr:uid="{E104FA7B-68DE-4427-A8E3-5B02975BA05E}"/>
    <cellStyle name="Migliaia [0] 52 3" xfId="1624" xr:uid="{00000000-0005-0000-0000-000094020000}"/>
    <cellStyle name="Migliaia [0] 52 3 2" xfId="4782" xr:uid="{BDC2EB66-46E4-4F6D-9082-7368C569F5DB}"/>
    <cellStyle name="Migliaia [0] 52 3 2 2" xfId="18348" xr:uid="{B578041A-468C-45A4-B504-DF4014BF07B9}"/>
    <cellStyle name="Migliaia [0] 52 3 2 2 2" xfId="21815" xr:uid="{1AC6D616-741E-4A0F-A55A-AAB577A58EA5}"/>
    <cellStyle name="Migliaia [0] 52 3 2 2 2 2" xfId="38315" xr:uid="{BD890EEB-6831-488F-9D5F-B4418E19FD5E}"/>
    <cellStyle name="Migliaia [0] 52 3 2 2 3" xfId="43617" xr:uid="{A571C8EF-10DF-4B2D-83C8-498739447DDC}"/>
    <cellStyle name="Migliaia [0] 52 3 2 2 4" xfId="32964" xr:uid="{3EE34454-62BE-4E30-A3DF-EB32EDF0AA1A}"/>
    <cellStyle name="Migliaia [0] 52 3 2 3" xfId="35850" xr:uid="{69FABD38-0DFD-4334-82B9-2EFCA5D094D9}"/>
    <cellStyle name="Migliaia [0] 52 3 2 4" xfId="40966" xr:uid="{878C07C2-5EF2-426B-BE14-C76BD7DAA388}"/>
    <cellStyle name="Migliaia [0] 52 3 2 5" xfId="25123" xr:uid="{8C05ABDE-BD98-4088-8E51-2CAF7A66414D}"/>
    <cellStyle name="Migliaia [0] 52 3 2 6" xfId="50843" xr:uid="{068505BC-A5F6-4E4B-82EF-17D934426261}"/>
    <cellStyle name="Migliaia [0] 52 3 2 7" xfId="53859" xr:uid="{91AD95C3-3A58-4FB7-BBBD-20D9BBC8D94A}"/>
    <cellStyle name="Migliaia [0] 52 3 2 8" xfId="17624" xr:uid="{CC6CD3BA-52C7-4740-AE4B-098E922B6379}"/>
    <cellStyle name="Migliaia [0] 52 3 2 9" xfId="11853" xr:uid="{4D901551-6756-4117-95AD-A4EF74A3952F}"/>
    <cellStyle name="Migliaia [0] 52 3 3" xfId="6016" xr:uid="{2E580CF6-88A9-4019-98C1-7542B28963C3}"/>
    <cellStyle name="Migliaia [0] 52 3 3 2" xfId="12210" xr:uid="{8D0C89D0-0FC6-46B8-B6FB-FE93610BF820}"/>
    <cellStyle name="Migliaia [0] 52 3 4" xfId="3056" xr:uid="{8165A51B-2992-41F2-B079-B1C4CAAE80F4}"/>
    <cellStyle name="Migliaia [0] 52 3 4 2" xfId="21347" xr:uid="{C12C3797-1776-40AD-9C6A-7530D5477910}"/>
    <cellStyle name="Migliaia [0] 52 3 4 3" xfId="48170" xr:uid="{9C70E99B-17FB-4845-899E-075C8CE6A28B}"/>
    <cellStyle name="Migliaia [0] 52 3 4 4" xfId="50362" xr:uid="{39E10A4E-8A57-4EC1-8AFB-C5F791E17347}"/>
    <cellStyle name="Migliaia [0] 52 3 4 5" xfId="53378" xr:uid="{8779F546-88F9-4E75-9CF2-285FF7A4C5DA}"/>
    <cellStyle name="Migliaia [0] 52 3 4 6" xfId="10712" xr:uid="{0A1F7E56-447B-487B-AF65-B239822F8D20}"/>
    <cellStyle name="Migliaia [0] 52 3 5" xfId="19735" xr:uid="{86B1685D-9234-4210-8BC8-F0930D0220EA}"/>
    <cellStyle name="Migliaia [0] 52 3 6" xfId="24134" xr:uid="{90F06B7C-9852-4827-8575-65B46338EF5F}"/>
    <cellStyle name="Migliaia [0] 52 3 7" xfId="8231" xr:uid="{F4B5C948-62F7-4B80-947A-F8FB1A16DD43}"/>
    <cellStyle name="Migliaia [0] 52 4" xfId="3057" xr:uid="{B2498148-7299-45FA-9073-DAAC32142C6C}"/>
    <cellStyle name="Migliaia [0] 52 4 2" xfId="4783" xr:uid="{1831141C-B017-4F27-8A31-A5E223483273}"/>
    <cellStyle name="Migliaia [0] 52 4 2 2" xfId="35116" xr:uid="{80A4EF26-1E79-48B3-B107-A58025507009}"/>
    <cellStyle name="Migliaia [0] 52 4 2 2 2" xfId="40274" xr:uid="{9EF865E8-B7CD-4B8F-AC11-D99F63D10035}"/>
    <cellStyle name="Migliaia [0] 52 4 2 2 3" xfId="45576" xr:uid="{91CFF374-8ABC-42C2-9E73-D014765CE8F6}"/>
    <cellStyle name="Migliaia [0] 52 4 2 3" xfId="37623" xr:uid="{81FCA5CB-BA94-453A-BF06-D7B85321D91A}"/>
    <cellStyle name="Migliaia [0] 52 4 2 4" xfId="42925" xr:uid="{07DE6D96-07C2-4F1F-8DED-E83D7D4A98D6}"/>
    <cellStyle name="Migliaia [0] 52 4 2 5" xfId="17056" xr:uid="{65521528-71EE-4EDE-AF6A-3EBE71EEB735}"/>
    <cellStyle name="Migliaia [0] 52 4 3" xfId="6017" xr:uid="{8C94118D-6A8A-4A4D-AF09-04FAD040C927}"/>
    <cellStyle name="Migliaia [0] 52 4 3 2" xfId="38316" xr:uid="{0F6D0FB8-E57B-4069-ABD1-1931B89CBB96}"/>
    <cellStyle name="Migliaia [0] 52 4 3 3" xfId="43618" xr:uid="{B05C1E70-ED2B-46C5-A760-E01D8C05EC5D}"/>
    <cellStyle name="Migliaia [0] 52 4 3 4" xfId="32965" xr:uid="{EACB2FE5-6C88-44AC-93B1-09B6E30D2B3E}"/>
    <cellStyle name="Migliaia [0] 52 4 3 5" xfId="19736" xr:uid="{A2AA1B60-B5BC-41FB-8203-C7CE0FAC95E6}"/>
    <cellStyle name="Migliaia [0] 52 4 4" xfId="35851" xr:uid="{6F99725A-39D8-469B-8C65-4B8ECEF33723}"/>
    <cellStyle name="Migliaia [0] 52 4 5" xfId="40967" xr:uid="{27D6ED78-AB4E-4665-88B1-F8B9B2ADF69E}"/>
    <cellStyle name="Migliaia [0] 52 4 6" xfId="15998" xr:uid="{C43ACC52-633B-4AFB-BEFF-4104A4468468}"/>
    <cellStyle name="Migliaia [0] 52 4 7" xfId="7811" xr:uid="{B3CADCA7-4618-4EB5-BA57-8B21BC25A957}"/>
    <cellStyle name="Migliaia [0] 52 5" xfId="4779" xr:uid="{C8C9579A-C7B0-4236-A5E1-6DBCB79F7A78}"/>
    <cellStyle name="Migliaia [0] 52 5 2" xfId="32966" xr:uid="{D0FDE776-A73C-4057-82B8-E18C79C4F646}"/>
    <cellStyle name="Migliaia [0] 52 5 2 2" xfId="38317" xr:uid="{9A10A670-AC4B-4CCE-BD67-1D8024212BB9}"/>
    <cellStyle name="Migliaia [0] 52 5 2 3" xfId="43619" xr:uid="{8AB61B3E-2402-4D31-8005-32ABA961B0AC}"/>
    <cellStyle name="Migliaia [0] 52 5 3" xfId="35852" xr:uid="{D7128CC8-1684-434B-B0D8-C3A6217D2B45}"/>
    <cellStyle name="Migliaia [0] 52 5 4" xfId="40968" xr:uid="{1EFA194F-A1BC-471F-9617-36CEB17A960B}"/>
    <cellStyle name="Migliaia [0] 52 5 5" xfId="17125" xr:uid="{98432BEB-5557-497F-9DE9-A9CC868C239E}"/>
    <cellStyle name="Migliaia [0] 52 6" xfId="6014" xr:uid="{7665F33B-1CEF-4D5F-B08D-32E36C47DDC8}"/>
    <cellStyle name="Migliaia [0] 52 6 2" xfId="38313" xr:uid="{33BB928A-D8DC-4069-A178-398CCBBD9C02}"/>
    <cellStyle name="Migliaia [0] 52 6 3" xfId="43615" xr:uid="{A5F6F81B-162A-49EF-97D3-02EFBD95413D}"/>
    <cellStyle name="Migliaia [0] 52 6 4" xfId="32962" xr:uid="{277CD111-A147-4BE9-84DC-7A02421FF2A2}"/>
    <cellStyle name="Migliaia [0] 52 6 5" xfId="19732" xr:uid="{C3200E9D-6368-4172-97B5-6ED3056B12BA}"/>
    <cellStyle name="Migliaia [0] 52 7" xfId="3053" xr:uid="{37DC50DF-5C3C-4046-A602-543B1D222D34}"/>
    <cellStyle name="Migliaia [0] 52 7 2" xfId="35848" xr:uid="{89127E3B-43A5-4389-9292-0C83CDC43ADF}"/>
    <cellStyle name="Migliaia [0] 52 8" xfId="40964" xr:uid="{C23CFFF0-C730-4BF4-A6A0-B5FBBF96A31C}"/>
    <cellStyle name="Migliaia [0] 52 9" xfId="7032" xr:uid="{6D0B5F87-0089-4305-A73A-0F4213FFA941}"/>
    <cellStyle name="Migliaia [0] 53" xfId="290" xr:uid="{00000000-0005-0000-0000-000095020000}"/>
    <cellStyle name="Migliaia [0] 53 2" xfId="1625" xr:uid="{00000000-0005-0000-0000-000096020000}"/>
    <cellStyle name="Migliaia [0] 53 2 2" xfId="1626" xr:uid="{00000000-0005-0000-0000-000097020000}"/>
    <cellStyle name="Migliaia [0] 53 2 2 2" xfId="4786" xr:uid="{316087C8-DD39-4656-838C-F5E8D129AB49}"/>
    <cellStyle name="Migliaia [0] 53 2 2 2 2" xfId="21816" xr:uid="{3E261FD4-7D3C-40F3-BB50-98AFD21431FB}"/>
    <cellStyle name="Migliaia [0] 53 2 2 2 3" xfId="47520" xr:uid="{E08A7FCB-00D7-4484-893F-A9C4CDDD93C7}"/>
    <cellStyle name="Migliaia [0] 53 2 2 2 4" xfId="50844" xr:uid="{430FEA34-7563-4F2E-94A2-107E6139145B}"/>
    <cellStyle name="Migliaia [0] 53 2 2 2 5" xfId="53860" xr:uid="{1B3CA2D4-3D12-41A0-B321-0BBD116A1A66}"/>
    <cellStyle name="Migliaia [0] 53 2 2 2 6" xfId="11854" xr:uid="{98F9439A-1BA9-44FE-8143-B335FF5ABF63}"/>
    <cellStyle name="Migliaia [0] 53 2 2 3" xfId="3060" xr:uid="{8CF465D2-6F86-4BE8-B656-25F2BAE81AEC}"/>
    <cellStyle name="Migliaia [0] 53 2 2 3 2" xfId="12328" xr:uid="{3524FE13-FFD9-41FD-B228-507EE276B10E}"/>
    <cellStyle name="Migliaia [0] 53 2 2 4" xfId="10713" xr:uid="{500FCFDF-FB87-4886-BDC8-649CBC55AA7B}"/>
    <cellStyle name="Migliaia [0] 53 2 2 4 2" xfId="21348" xr:uid="{4B6820DE-D02F-4A93-B30F-BD4B5043557E}"/>
    <cellStyle name="Migliaia [0] 53 2 2 4 3" xfId="46193" xr:uid="{8908A0BE-FA04-4BD0-B8B3-C3BD6C3DFEF7}"/>
    <cellStyle name="Migliaia [0] 53 2 2 4 4" xfId="50363" xr:uid="{9F20699F-52BC-44A9-95F3-92834883EA6F}"/>
    <cellStyle name="Migliaia [0] 53 2 2 4 5" xfId="53379" xr:uid="{D90B2FBF-472B-430D-A2E1-3D87C22C1E0E}"/>
    <cellStyle name="Migliaia [0] 53 2 2 5" xfId="19739" xr:uid="{622B413A-1DC5-48F6-ACEB-D3339055B184}"/>
    <cellStyle name="Migliaia [0] 53 2 2 6" xfId="24136" xr:uid="{BBC1EFCC-43FB-412B-9D47-B0801FE9618B}"/>
    <cellStyle name="Migliaia [0] 53 2 2 7" xfId="48868" xr:uid="{62E9250D-BB20-4FC4-8853-38268ECB41EF}"/>
    <cellStyle name="Migliaia [0] 53 2 2 8" xfId="49774" xr:uid="{B0752782-747D-437E-B457-70C0D33211DF}"/>
    <cellStyle name="Migliaia [0] 53 2 2 9" xfId="8474" xr:uid="{0B2EF882-98E9-46F9-A856-215BA603FBD7}"/>
    <cellStyle name="Migliaia [0] 53 2 3" xfId="4785" xr:uid="{52CCD22F-2397-414D-A008-AF8DE7223F9A}"/>
    <cellStyle name="Migliaia [0] 53 2 3 2" xfId="32968" xr:uid="{2363B54F-ABB3-4D63-B15B-976DB967BE10}"/>
    <cellStyle name="Migliaia [0] 53 2 3 2 2" xfId="38319" xr:uid="{54FB129A-6FD2-42D6-B37B-A7C9853E8960}"/>
    <cellStyle name="Migliaia [0] 53 2 3 2 3" xfId="43621" xr:uid="{E28E443A-21A0-405B-92D8-1F0E2C61503B}"/>
    <cellStyle name="Migliaia [0] 53 2 3 3" xfId="35854" xr:uid="{C60D00AA-CDE5-47AF-B30F-B4467317F264}"/>
    <cellStyle name="Migliaia [0] 53 2 3 4" xfId="40970" xr:uid="{43801775-67A7-438C-95B2-CFAEAC95C3DB}"/>
    <cellStyle name="Migliaia [0] 53 2 3 5" xfId="11855" xr:uid="{8550EFA2-DAFF-448D-9B94-5F70EF90CB1C}"/>
    <cellStyle name="Migliaia [0] 53 2 4" xfId="6019" xr:uid="{265A2FC2-65CD-43A1-BC2E-59755C673984}"/>
    <cellStyle name="Migliaia [0] 53 2 4 2" xfId="19738" xr:uid="{E4E861B7-8C25-4D7F-A0D7-E0099BD988D0}"/>
    <cellStyle name="Migliaia [0] 53 2 5" xfId="3059" xr:uid="{3AB1EE8F-EEE8-4D3A-9991-B66419621C3B}"/>
    <cellStyle name="Migliaia [0] 53 2 5 2" xfId="24135" xr:uid="{7CEB524C-57BE-4D4A-906F-FA565100EA71}"/>
    <cellStyle name="Migliaia [0] 53 2 6" xfId="7284" xr:uid="{F97F3866-680A-4363-98E9-06F6B0E8B410}"/>
    <cellStyle name="Migliaia [0] 53 3" xfId="1627" xr:uid="{00000000-0005-0000-0000-000098020000}"/>
    <cellStyle name="Migliaia [0] 53 3 2" xfId="4787" xr:uid="{86E21B47-AC8B-4AF4-A9FF-338B02DE17DA}"/>
    <cellStyle name="Migliaia [0] 53 3 2 2" xfId="18349" xr:uid="{0B4429C3-C852-4E0F-9525-E8B9A14387DE}"/>
    <cellStyle name="Migliaia [0] 53 3 2 2 2" xfId="21817" xr:uid="{CA6CD023-4C04-4D9E-B258-17992C8C7DC4}"/>
    <cellStyle name="Migliaia [0] 53 3 2 2 2 2" xfId="38320" xr:uid="{8DC563E9-C1D7-4E05-9C13-C79E6F16704A}"/>
    <cellStyle name="Migliaia [0] 53 3 2 2 3" xfId="43622" xr:uid="{632A2C46-5E1F-4DD8-A2EF-E363BAFF0DC5}"/>
    <cellStyle name="Migliaia [0] 53 3 2 2 4" xfId="32969" xr:uid="{5A760CEE-9525-42DE-A2FA-7B3A58515672}"/>
    <cellStyle name="Migliaia [0] 53 3 2 3" xfId="35855" xr:uid="{E5503C67-3064-4467-8EBD-6B8223A763CF}"/>
    <cellStyle name="Migliaia [0] 53 3 2 4" xfId="40971" xr:uid="{D0482F01-C027-4E84-97E9-5D916A0520A5}"/>
    <cellStyle name="Migliaia [0] 53 3 2 5" xfId="47751" xr:uid="{A4461923-9415-4EA7-841D-E138B59262F8}"/>
    <cellStyle name="Migliaia [0] 53 3 2 6" xfId="50845" xr:uid="{623B8342-3706-4611-A25C-F0D044537A4E}"/>
    <cellStyle name="Migliaia [0] 53 3 2 7" xfId="53861" xr:uid="{CC2741D0-3FA5-43AD-90A5-FDD70F62DB55}"/>
    <cellStyle name="Migliaia [0] 53 3 2 8" xfId="17625" xr:uid="{01AA4A2F-844D-4CAF-96E1-600C48427C96}"/>
    <cellStyle name="Migliaia [0] 53 3 2 9" xfId="11856" xr:uid="{6277BCA3-BE34-45A0-BF57-060480768D59}"/>
    <cellStyle name="Migliaia [0] 53 3 3" xfId="6020" xr:uid="{5E8E526E-77C7-4135-87CA-203D5A40E355}"/>
    <cellStyle name="Migliaia [0] 53 3 3 2" xfId="11117" xr:uid="{8F96C754-567E-4073-8475-E449D2817A05}"/>
    <cellStyle name="Migliaia [0] 53 3 4" xfId="3061" xr:uid="{21E48DE2-A40A-4B88-B9F5-D01C35C8AEA6}"/>
    <cellStyle name="Migliaia [0] 53 3 4 2" xfId="21349" xr:uid="{A072F61F-91AB-4792-887C-7146E0AC16A5}"/>
    <cellStyle name="Migliaia [0] 53 3 4 3" xfId="47071" xr:uid="{5199356C-69E8-4720-91EF-58C8661D7234}"/>
    <cellStyle name="Migliaia [0] 53 3 4 4" xfId="50364" xr:uid="{51999E80-163F-4990-88FF-1EBF148E90A9}"/>
    <cellStyle name="Migliaia [0] 53 3 4 5" xfId="53380" xr:uid="{5F10B523-C714-4925-A5A3-FFE926ACCEFB}"/>
    <cellStyle name="Migliaia [0] 53 3 4 6" xfId="10714" xr:uid="{81461F2D-E890-44BF-80B0-9D3D731A8CE0}"/>
    <cellStyle name="Migliaia [0] 53 3 5" xfId="19740" xr:uid="{8ABEBDAE-2ED9-4FA6-A451-1457703BE362}"/>
    <cellStyle name="Migliaia [0] 53 3 6" xfId="24137" xr:uid="{D6BEE149-8B95-43DD-8993-DE38401FDF59}"/>
    <cellStyle name="Migliaia [0] 53 3 7" xfId="8232" xr:uid="{21877115-6BDA-41C5-B1D0-20B1B2DB3D45}"/>
    <cellStyle name="Migliaia [0] 53 4" xfId="3062" xr:uid="{CB5EFF73-451C-4B4B-9D75-5D534B37EEAA}"/>
    <cellStyle name="Migliaia [0] 53 4 2" xfId="4788" xr:uid="{C9A8684B-13EB-4703-A62D-4A361CFB5639}"/>
    <cellStyle name="Migliaia [0] 53 4 2 2" xfId="35117" xr:uid="{A114B5A7-3C44-4C7D-954A-30ACB577F3F5}"/>
    <cellStyle name="Migliaia [0] 53 4 2 2 2" xfId="40275" xr:uid="{2FEBF23A-3F8F-43F7-B56B-7A2DDA8B98B6}"/>
    <cellStyle name="Migliaia [0] 53 4 2 2 3" xfId="45577" xr:uid="{9A9248CE-4567-48F0-A981-7B15138B06BB}"/>
    <cellStyle name="Migliaia [0] 53 4 2 3" xfId="37624" xr:uid="{73EB3CA1-C5F2-4ACF-8D5A-2BF06CFFE2C1}"/>
    <cellStyle name="Migliaia [0] 53 4 2 4" xfId="42926" xr:uid="{BA028124-C5EA-4E58-BB15-E72B7187182D}"/>
    <cellStyle name="Migliaia [0] 53 4 2 5" xfId="17057" xr:uid="{E7B0A7C5-E619-4BCE-BC5F-F102C503488C}"/>
    <cellStyle name="Migliaia [0] 53 4 3" xfId="6021" xr:uid="{EC04CCD8-DF98-4924-8969-4D0946570BAD}"/>
    <cellStyle name="Migliaia [0] 53 4 3 2" xfId="38321" xr:uid="{2C7A9A66-5E3E-47B8-80E3-4893A5C14F38}"/>
    <cellStyle name="Migliaia [0] 53 4 3 3" xfId="43623" xr:uid="{A3BE6A26-F6CD-42C0-8E80-DBB668F2C836}"/>
    <cellStyle name="Migliaia [0] 53 4 3 4" xfId="32970" xr:uid="{A43906A4-B6DA-479F-A84A-7E3770741D31}"/>
    <cellStyle name="Migliaia [0] 53 4 3 5" xfId="19741" xr:uid="{D10D3E57-BC51-40BB-B5FC-C83BEA6A42D2}"/>
    <cellStyle name="Migliaia [0] 53 4 4" xfId="35856" xr:uid="{68293786-F5F5-471D-B12A-80E4B668F12F}"/>
    <cellStyle name="Migliaia [0] 53 4 5" xfId="40972" xr:uid="{5AFB5B30-9C56-44E9-8C0D-8394F6869F7C}"/>
    <cellStyle name="Migliaia [0] 53 4 6" xfId="15999" xr:uid="{D1D44F15-B15B-46C5-911D-0E96B91BC4D8}"/>
    <cellStyle name="Migliaia [0] 53 4 7" xfId="7812" xr:uid="{7D4F3333-9E60-4CE0-B706-8A3BADD52455}"/>
    <cellStyle name="Migliaia [0] 53 5" xfId="4784" xr:uid="{D3A35F88-C82B-433A-94C0-6CA780A2FDA8}"/>
    <cellStyle name="Migliaia [0] 53 5 2" xfId="32971" xr:uid="{EECDF96A-BAB8-4BDC-A8B7-BEC1916729CF}"/>
    <cellStyle name="Migliaia [0] 53 5 2 2" xfId="38322" xr:uid="{DF7CA4C0-A2AD-4856-9237-ECB6CAC462F0}"/>
    <cellStyle name="Migliaia [0] 53 5 2 3" xfId="43624" xr:uid="{E3510A28-942C-4D62-95D6-30B86F652A69}"/>
    <cellStyle name="Migliaia [0] 53 5 3" xfId="35857" xr:uid="{36407D39-D41E-47AC-96EE-77CD886EB87C}"/>
    <cellStyle name="Migliaia [0] 53 5 4" xfId="40973" xr:uid="{584381A9-D384-4B1B-90D8-283AC42F0E1E}"/>
    <cellStyle name="Migliaia [0] 53 5 5" xfId="17126" xr:uid="{BD8BC5E9-0504-4B69-ADD1-FD407D1797D0}"/>
    <cellStyle name="Migliaia [0] 53 6" xfId="6018" xr:uid="{C60CEE32-BB38-4B9D-9B58-907D432916DC}"/>
    <cellStyle name="Migliaia [0] 53 6 2" xfId="38318" xr:uid="{508A4546-DA52-4675-9AC0-D1FEE9157160}"/>
    <cellStyle name="Migliaia [0] 53 6 3" xfId="43620" xr:uid="{B93C809E-FB0A-4EF3-B601-6531652DBE0F}"/>
    <cellStyle name="Migliaia [0] 53 6 4" xfId="32967" xr:uid="{FC31F18B-F110-42C3-9AB0-9A84C7AEB7A6}"/>
    <cellStyle name="Migliaia [0] 53 6 5" xfId="19737" xr:uid="{664787BD-7D3C-4528-9533-F00375768966}"/>
    <cellStyle name="Migliaia [0] 53 7" xfId="3058" xr:uid="{45D240B8-8F67-49BD-8A4F-90257045FAFA}"/>
    <cellStyle name="Migliaia [0] 53 7 2" xfId="35853" xr:uid="{3B576361-7ECB-4BD7-BFD3-1E4447577BBA}"/>
    <cellStyle name="Migliaia [0] 53 8" xfId="40969" xr:uid="{6717B455-18F9-43DA-A4CF-BA9A2E038DE8}"/>
    <cellStyle name="Migliaia [0] 53 9" xfId="7033" xr:uid="{58F0C426-4727-4817-9696-DA892C85ADD7}"/>
    <cellStyle name="Migliaia [0] 54" xfId="291" xr:uid="{00000000-0005-0000-0000-000099020000}"/>
    <cellStyle name="Migliaia [0] 54 2" xfId="1628" xr:uid="{00000000-0005-0000-0000-00009A020000}"/>
    <cellStyle name="Migliaia [0] 54 2 2" xfId="1629" xr:uid="{00000000-0005-0000-0000-00009B020000}"/>
    <cellStyle name="Migliaia [0] 54 2 2 2" xfId="4791" xr:uid="{114F6748-BE84-419C-B17C-553AF166F672}"/>
    <cellStyle name="Migliaia [0] 54 2 2 2 2" xfId="21818" xr:uid="{B91BE227-664F-48F0-9499-EC3EA3A60FF3}"/>
    <cellStyle name="Migliaia [0] 54 2 2 2 3" xfId="48576" xr:uid="{21E1C248-0A61-4319-A32B-9048F95938F6}"/>
    <cellStyle name="Migliaia [0] 54 2 2 2 4" xfId="50846" xr:uid="{01E6A0FD-82EA-4CCF-AAF5-28A69626158D}"/>
    <cellStyle name="Migliaia [0] 54 2 2 2 5" xfId="53862" xr:uid="{3C22D9EF-5F9E-4B5A-9010-655C2312454F}"/>
    <cellStyle name="Migliaia [0] 54 2 2 2 6" xfId="11857" xr:uid="{FEAD6D76-BC30-482F-8768-EB4862854036}"/>
    <cellStyle name="Migliaia [0] 54 2 2 3" xfId="3065" xr:uid="{FC73AD0A-9DC6-47B1-9A14-F6044BED51A0}"/>
    <cellStyle name="Migliaia [0] 54 2 2 3 2" xfId="12327" xr:uid="{6410B35E-6D51-4386-A77B-B3D784BB5A29}"/>
    <cellStyle name="Migliaia [0] 54 2 2 4" xfId="10715" xr:uid="{5B028AB6-5648-43AE-8046-457D076E3ACA}"/>
    <cellStyle name="Migliaia [0] 54 2 2 4 2" xfId="21350" xr:uid="{975C99B1-BF17-4C3A-A9DF-A96E423BA09F}"/>
    <cellStyle name="Migliaia [0] 54 2 2 4 3" xfId="46194" xr:uid="{5ABA07A1-1CFE-4C11-B945-D43EFCA7BDBD}"/>
    <cellStyle name="Migliaia [0] 54 2 2 4 4" xfId="50365" xr:uid="{851B80E9-4767-4081-AA76-D53B08AD67C2}"/>
    <cellStyle name="Migliaia [0] 54 2 2 4 5" xfId="53381" xr:uid="{C98593D4-CE7C-42E9-9511-0CA8D5FA5EA6}"/>
    <cellStyle name="Migliaia [0] 54 2 2 5" xfId="19744" xr:uid="{3E449A76-8B9D-441F-855D-4B02686F6541}"/>
    <cellStyle name="Migliaia [0] 54 2 2 6" xfId="24139" xr:uid="{B141BE1A-4F52-4779-857E-88F086FD398D}"/>
    <cellStyle name="Migliaia [0] 54 2 2 7" xfId="48869" xr:uid="{C9BBDA60-757E-4544-A87D-3856CAD6FE8C}"/>
    <cellStyle name="Migliaia [0] 54 2 2 8" xfId="49775" xr:uid="{6EA407BE-D5EB-477F-B599-013EFF252E20}"/>
    <cellStyle name="Migliaia [0] 54 2 2 9" xfId="8475" xr:uid="{0AFFE79C-C653-4C37-82DF-1677E6EAA9A2}"/>
    <cellStyle name="Migliaia [0] 54 2 3" xfId="4790" xr:uid="{F4FB53CB-1F1F-40B9-A88D-929B8DE091F1}"/>
    <cellStyle name="Migliaia [0] 54 2 3 2" xfId="32973" xr:uid="{2A3A0D06-A7D4-415B-9819-9AE566570EB3}"/>
    <cellStyle name="Migliaia [0] 54 2 3 2 2" xfId="38324" xr:uid="{3E1C8F4B-CF84-421E-A416-1FC065B9766A}"/>
    <cellStyle name="Migliaia [0] 54 2 3 2 3" xfId="43626" xr:uid="{7E8B6964-3B46-492F-8E3F-468CAC9779D1}"/>
    <cellStyle name="Migliaia [0] 54 2 3 3" xfId="35859" xr:uid="{48E424A5-445C-43BB-8BEB-FE636C7D186D}"/>
    <cellStyle name="Migliaia [0] 54 2 3 4" xfId="40975" xr:uid="{D7F4CD8B-4164-4F6E-BE30-D66941041B5F}"/>
    <cellStyle name="Migliaia [0] 54 2 3 5" xfId="11858" xr:uid="{8750A656-88EE-4400-B24E-EEBA4832BC33}"/>
    <cellStyle name="Migliaia [0] 54 2 4" xfId="6023" xr:uid="{DD369C1A-8FCB-443C-9A84-B2F92A14B8C5}"/>
    <cellStyle name="Migliaia [0] 54 2 4 2" xfId="19743" xr:uid="{CF82C218-F70C-40EA-B7E1-913AEB79A83F}"/>
    <cellStyle name="Migliaia [0] 54 2 5" xfId="3064" xr:uid="{34B2E2B9-9190-4F3D-9835-7EDC5219BB10}"/>
    <cellStyle name="Migliaia [0] 54 2 5 2" xfId="24138" xr:uid="{ECD0D751-4E6E-412B-ABA2-7D34B1AFAF0E}"/>
    <cellStyle name="Migliaia [0] 54 2 6" xfId="7285" xr:uid="{A674D3C8-B71B-4181-818B-E5691013A6CA}"/>
    <cellStyle name="Migliaia [0] 54 3" xfId="1630" xr:uid="{00000000-0005-0000-0000-00009C020000}"/>
    <cellStyle name="Migliaia [0] 54 3 2" xfId="4792" xr:uid="{79657E01-1E47-410E-B0BE-B436B89CB00E}"/>
    <cellStyle name="Migliaia [0] 54 3 2 2" xfId="18350" xr:uid="{E4563BD1-E9FE-4C1A-9714-90B9757E5C52}"/>
    <cellStyle name="Migliaia [0] 54 3 2 2 2" xfId="21819" xr:uid="{51592DF5-2CB3-4843-835C-85B8998D1D10}"/>
    <cellStyle name="Migliaia [0] 54 3 2 2 2 2" xfId="38325" xr:uid="{4428E005-8AE0-422A-9F3A-9DEBD7C39807}"/>
    <cellStyle name="Migliaia [0] 54 3 2 2 3" xfId="43627" xr:uid="{0A36794B-E595-4039-B0BE-31999F8052B1}"/>
    <cellStyle name="Migliaia [0] 54 3 2 2 4" xfId="32974" xr:uid="{4FCEC821-FD05-40B1-934A-8EC9E712DEA3}"/>
    <cellStyle name="Migliaia [0] 54 3 2 3" xfId="35860" xr:uid="{DB62CBB1-E338-4550-BDD0-231404B9AB68}"/>
    <cellStyle name="Migliaia [0] 54 3 2 4" xfId="40976" xr:uid="{22A49A8B-42B8-49BB-9A52-82F2DC79DB46}"/>
    <cellStyle name="Migliaia [0] 54 3 2 5" xfId="47211" xr:uid="{A1585752-48C1-4BF0-9699-DD864325BF1A}"/>
    <cellStyle name="Migliaia [0] 54 3 2 6" xfId="50847" xr:uid="{5F579355-6C4F-4B0B-A578-E341AC226E7E}"/>
    <cellStyle name="Migliaia [0] 54 3 2 7" xfId="53863" xr:uid="{B519BFC0-F0AD-459A-BD98-42DECE0FA38E}"/>
    <cellStyle name="Migliaia [0] 54 3 2 8" xfId="17626" xr:uid="{3FB30F15-7212-4E78-8CF9-131E98B7656E}"/>
    <cellStyle name="Migliaia [0] 54 3 2 9" xfId="11859" xr:uid="{B15484B8-C574-4F4F-8710-1C50384CDA74}"/>
    <cellStyle name="Migliaia [0] 54 3 3" xfId="6024" xr:uid="{D58E503D-AFC4-4434-B549-2FB18BF4012D}"/>
    <cellStyle name="Migliaia [0] 54 3 3 2" xfId="11669" xr:uid="{A066BCD4-C68B-4D29-8B15-17DA25020F25}"/>
    <cellStyle name="Migliaia [0] 54 3 4" xfId="3066" xr:uid="{39BC87CC-51BF-441E-A4B9-4ED72DF7966A}"/>
    <cellStyle name="Migliaia [0] 54 3 4 2" xfId="21351" xr:uid="{C310A768-11A4-484C-825E-ADAC8E5CA580}"/>
    <cellStyle name="Migliaia [0] 54 3 4 3" xfId="47411" xr:uid="{97D487E0-CAC5-4862-B6A2-9E68A360830F}"/>
    <cellStyle name="Migliaia [0] 54 3 4 4" xfId="50366" xr:uid="{0E6C00A7-D199-4613-9411-EA432DDEA9C4}"/>
    <cellStyle name="Migliaia [0] 54 3 4 5" xfId="53382" xr:uid="{191204AE-5C65-4550-84A5-5AC0291F73EF}"/>
    <cellStyle name="Migliaia [0] 54 3 4 6" xfId="10716" xr:uid="{6CDB5118-6FCC-429B-84F3-A41CD81A4B41}"/>
    <cellStyle name="Migliaia [0] 54 3 5" xfId="19745" xr:uid="{EA71A5D9-912F-4FC7-A4D8-948F6F0FDF77}"/>
    <cellStyle name="Migliaia [0] 54 3 6" xfId="24140" xr:uid="{352D7E9D-AF41-48A7-9CC8-3E09833443ED}"/>
    <cellStyle name="Migliaia [0] 54 3 7" xfId="8233" xr:uid="{3D8929A8-685B-455E-8872-4CA70B7D59B1}"/>
    <cellStyle name="Migliaia [0] 54 4" xfId="3067" xr:uid="{61DE0B87-E9F6-4FF9-9E1B-A605C81E72A6}"/>
    <cellStyle name="Migliaia [0] 54 4 2" xfId="4793" xr:uid="{09EE1087-4741-4BAF-9268-F67AE36BC563}"/>
    <cellStyle name="Migliaia [0] 54 4 2 2" xfId="35118" xr:uid="{FDEAF0A4-8842-45B9-8F5F-5A228F186F8E}"/>
    <cellStyle name="Migliaia [0] 54 4 2 2 2" xfId="40276" xr:uid="{7FA33BAE-744C-41DE-938C-89DB6DAF8E5F}"/>
    <cellStyle name="Migliaia [0] 54 4 2 2 3" xfId="45578" xr:uid="{B0287495-12D8-43A1-A48B-01171CD92DD0}"/>
    <cellStyle name="Migliaia [0] 54 4 2 3" xfId="37625" xr:uid="{062EA639-9B04-4365-8E1A-67B6CE2E0A6C}"/>
    <cellStyle name="Migliaia [0] 54 4 2 4" xfId="42927" xr:uid="{6942F042-2D99-473A-AC61-A54C3D2B1857}"/>
    <cellStyle name="Migliaia [0] 54 4 2 5" xfId="17058" xr:uid="{B9A18156-CFF5-4F1A-8A58-458ED6860ADD}"/>
    <cellStyle name="Migliaia [0] 54 4 3" xfId="6025" xr:uid="{A52AF561-328C-4B27-AEA8-A3658BC4099C}"/>
    <cellStyle name="Migliaia [0] 54 4 3 2" xfId="38326" xr:uid="{E349A14B-FCF3-482B-9340-E0E3243C1D97}"/>
    <cellStyle name="Migliaia [0] 54 4 3 3" xfId="43628" xr:uid="{A31C49EA-8CCF-4865-81ED-4AABBED45535}"/>
    <cellStyle name="Migliaia [0] 54 4 3 4" xfId="32975" xr:uid="{29A506A4-4AA3-462B-A4DE-E6E2695C640D}"/>
    <cellStyle name="Migliaia [0] 54 4 3 5" xfId="19746" xr:uid="{354E24C1-9C24-493C-BAFC-B0C8812E4A35}"/>
    <cellStyle name="Migliaia [0] 54 4 4" xfId="35861" xr:uid="{8316921A-F14B-401F-B83A-18D56A0549D5}"/>
    <cellStyle name="Migliaia [0] 54 4 5" xfId="40977" xr:uid="{0AFF63B1-4AD0-4784-BD9B-147DA90E0722}"/>
    <cellStyle name="Migliaia [0] 54 4 6" xfId="16000" xr:uid="{AF3467AC-AAF9-49F9-8A41-E7854CF0E280}"/>
    <cellStyle name="Migliaia [0] 54 4 7" xfId="7813" xr:uid="{224D1D2E-EA46-45FD-94A6-245198C86BBC}"/>
    <cellStyle name="Migliaia [0] 54 5" xfId="4789" xr:uid="{3A46AD77-BC3C-49BD-AF16-95C600A9DCE0}"/>
    <cellStyle name="Migliaia [0] 54 5 2" xfId="32976" xr:uid="{C4E81890-ADB7-4CEB-A38F-76DF71FAFC0C}"/>
    <cellStyle name="Migliaia [0] 54 5 2 2" xfId="38327" xr:uid="{53CDD668-483D-4215-93FD-63A086ECA644}"/>
    <cellStyle name="Migliaia [0] 54 5 2 3" xfId="43629" xr:uid="{2BB17CDB-246B-4DB3-9221-9E544E849CFF}"/>
    <cellStyle name="Migliaia [0] 54 5 3" xfId="35862" xr:uid="{CA22BF5F-EE8C-44E4-8590-68F86ED08D1C}"/>
    <cellStyle name="Migliaia [0] 54 5 4" xfId="40978" xr:uid="{CA38945F-2098-4364-B0E2-FD860A589664}"/>
    <cellStyle name="Migliaia [0] 54 5 5" xfId="17127" xr:uid="{923348D3-B177-44F3-A57B-7A0FAED7E0E8}"/>
    <cellStyle name="Migliaia [0] 54 6" xfId="6022" xr:uid="{7B799D0F-88BE-441F-9654-36EFF451D92A}"/>
    <cellStyle name="Migliaia [0] 54 6 2" xfId="38323" xr:uid="{744B31E1-18D9-4ADD-9BD8-3B690271F870}"/>
    <cellStyle name="Migliaia [0] 54 6 3" xfId="43625" xr:uid="{D4510D3B-5628-42B7-A767-08E18C680BEB}"/>
    <cellStyle name="Migliaia [0] 54 6 4" xfId="32972" xr:uid="{8513B5FF-36CC-4BD4-8E9F-EAAC685AE726}"/>
    <cellStyle name="Migliaia [0] 54 6 5" xfId="19742" xr:uid="{081DCB07-EFF8-4470-821D-FFD58CE49061}"/>
    <cellStyle name="Migliaia [0] 54 7" xfId="3063" xr:uid="{37B45DBE-00BD-43F3-B428-A7DC649A027E}"/>
    <cellStyle name="Migliaia [0] 54 7 2" xfId="35858" xr:uid="{743C48B9-3CF0-4A95-AB3A-246877AD95D1}"/>
    <cellStyle name="Migliaia [0] 54 8" xfId="40974" xr:uid="{8EDDC017-0E31-4D98-ABC4-D440A52B5D77}"/>
    <cellStyle name="Migliaia [0] 54 9" xfId="7034" xr:uid="{7D5D449C-487D-45BD-BAAA-D66BF70D442C}"/>
    <cellStyle name="Migliaia [0] 55" xfId="292" xr:uid="{00000000-0005-0000-0000-00009D020000}"/>
    <cellStyle name="Migliaia [0] 55 2" xfId="1631" xr:uid="{00000000-0005-0000-0000-00009E020000}"/>
    <cellStyle name="Migliaia [0] 55 2 2" xfId="1632" xr:uid="{00000000-0005-0000-0000-00009F020000}"/>
    <cellStyle name="Migliaia [0] 55 2 2 2" xfId="4796" xr:uid="{BFE43E66-7FB7-46EC-A49A-89D14BFC2C6E}"/>
    <cellStyle name="Migliaia [0] 55 2 2 2 2" xfId="21820" xr:uid="{72101062-652A-4F03-8583-5E141748AF15}"/>
    <cellStyle name="Migliaia [0] 55 2 2 2 3" xfId="46658" xr:uid="{B1B7EA10-C940-44F4-BFE5-EFD4063E6FF3}"/>
    <cellStyle name="Migliaia [0] 55 2 2 2 4" xfId="50848" xr:uid="{5E94BE8E-9F95-48D3-9276-CD019C536F9F}"/>
    <cellStyle name="Migliaia [0] 55 2 2 2 5" xfId="53864" xr:uid="{DBB053AE-0775-449E-9752-3BFEDC853E63}"/>
    <cellStyle name="Migliaia [0] 55 2 2 2 6" xfId="11860" xr:uid="{0FCDD52F-0783-4189-BAC3-097C72717FE8}"/>
    <cellStyle name="Migliaia [0] 55 2 2 3" xfId="3070" xr:uid="{3E7D282B-A20A-442F-832F-47838B302013}"/>
    <cellStyle name="Migliaia [0] 55 2 2 3 2" xfId="11678" xr:uid="{39561012-399F-469E-874C-59EE95F1AC22}"/>
    <cellStyle name="Migliaia [0] 55 2 2 4" xfId="10717" xr:uid="{A6566BC0-CCA0-44CE-98A2-B2742811CD1B}"/>
    <cellStyle name="Migliaia [0] 55 2 2 4 2" xfId="21352" xr:uid="{F974042B-36B9-4DF1-A027-317117182DB5}"/>
    <cellStyle name="Migliaia [0] 55 2 2 4 3" xfId="46195" xr:uid="{3A70321F-1A38-4602-BA69-4CA272DA602A}"/>
    <cellStyle name="Migliaia [0] 55 2 2 4 4" xfId="50367" xr:uid="{73A54765-7646-4551-B3F4-868358DA2AE6}"/>
    <cellStyle name="Migliaia [0] 55 2 2 4 5" xfId="53383" xr:uid="{BA699B79-604C-49AD-9CB8-FE71B0ABC2B2}"/>
    <cellStyle name="Migliaia [0] 55 2 2 5" xfId="19749" xr:uid="{017948B5-2BB1-45BF-B741-85216129CE02}"/>
    <cellStyle name="Migliaia [0] 55 2 2 6" xfId="24142" xr:uid="{DCE0A87A-8772-4CD3-948C-66B7E6673981}"/>
    <cellStyle name="Migliaia [0] 55 2 2 7" xfId="48870" xr:uid="{418E4318-5301-4E24-A148-DA66F0950E7D}"/>
    <cellStyle name="Migliaia [0] 55 2 2 8" xfId="49776" xr:uid="{50CB0473-06D8-40C6-9900-D2636FBB64E4}"/>
    <cellStyle name="Migliaia [0] 55 2 2 9" xfId="8476" xr:uid="{4D7625C6-9F78-4630-9F64-89266B33BD66}"/>
    <cellStyle name="Migliaia [0] 55 2 3" xfId="4795" xr:uid="{84C0092C-7441-4F8A-9269-0AD44C246B4E}"/>
    <cellStyle name="Migliaia [0] 55 2 3 2" xfId="32978" xr:uid="{7EBC7A87-35BC-4F7F-AB9D-E4690CC0B32E}"/>
    <cellStyle name="Migliaia [0] 55 2 3 2 2" xfId="38329" xr:uid="{EE4EE7AC-E9FA-46D8-8193-82CDDFC983DB}"/>
    <cellStyle name="Migliaia [0] 55 2 3 2 3" xfId="43631" xr:uid="{C18E7D22-06AA-4EF8-9555-8F00B10C394A}"/>
    <cellStyle name="Migliaia [0] 55 2 3 3" xfId="35864" xr:uid="{5A148252-66AB-4B8F-AF6C-FDB32E64E912}"/>
    <cellStyle name="Migliaia [0] 55 2 3 4" xfId="40980" xr:uid="{643ABA00-9BF0-49C4-B8B1-5691463AA348}"/>
    <cellStyle name="Migliaia [0] 55 2 3 5" xfId="11861" xr:uid="{26013E83-7325-4BFB-B86C-7C4081D33DE2}"/>
    <cellStyle name="Migliaia [0] 55 2 4" xfId="6027" xr:uid="{D467B8C5-D001-4F40-B1D1-DA6912AA2941}"/>
    <cellStyle name="Migliaia [0] 55 2 4 2" xfId="19748" xr:uid="{79D06A79-1471-4E60-958B-492D25193CBE}"/>
    <cellStyle name="Migliaia [0] 55 2 5" xfId="3069" xr:uid="{4C250386-9609-48B5-A067-D65B9C35E1FA}"/>
    <cellStyle name="Migliaia [0] 55 2 5 2" xfId="24141" xr:uid="{781DDF70-E6C1-4DA5-9A69-22DEE3E4DB53}"/>
    <cellStyle name="Migliaia [0] 55 2 6" xfId="7286" xr:uid="{D8E5821A-305A-45B8-84DB-79398F35C071}"/>
    <cellStyle name="Migliaia [0] 55 3" xfId="1633" xr:uid="{00000000-0005-0000-0000-0000A0020000}"/>
    <cellStyle name="Migliaia [0] 55 3 2" xfId="4797" xr:uid="{9A159581-4814-4B47-8AE6-D8DF7B45E838}"/>
    <cellStyle name="Migliaia [0] 55 3 2 2" xfId="18351" xr:uid="{B42AF654-575A-40BE-8E94-6723C8414B65}"/>
    <cellStyle name="Migliaia [0] 55 3 2 2 2" xfId="21821" xr:uid="{3AB1F221-DCDA-4EF0-AA5C-7656C61AC9A8}"/>
    <cellStyle name="Migliaia [0] 55 3 2 2 2 2" xfId="38330" xr:uid="{9BAC4CE4-0536-4814-B8E1-21A8BCD6A005}"/>
    <cellStyle name="Migliaia [0] 55 3 2 2 3" xfId="43632" xr:uid="{38DF4FAB-D3AE-47B3-B659-76B448E84640}"/>
    <cellStyle name="Migliaia [0] 55 3 2 2 4" xfId="32979" xr:uid="{C5F13B91-0730-45BA-851F-0211BEE429E6}"/>
    <cellStyle name="Migliaia [0] 55 3 2 3" xfId="35865" xr:uid="{8C757217-45D5-4195-A158-76563A82FDED}"/>
    <cellStyle name="Migliaia [0] 55 3 2 4" xfId="40981" xr:uid="{FA61D97A-B0A0-42B7-A933-CD4DD8F989AF}"/>
    <cellStyle name="Migliaia [0] 55 3 2 5" xfId="47857" xr:uid="{AB8256A7-694F-40A0-B111-88A003301B19}"/>
    <cellStyle name="Migliaia [0] 55 3 2 6" xfId="50849" xr:uid="{BFC88732-0732-42FF-AF02-D760F3CB8F76}"/>
    <cellStyle name="Migliaia [0] 55 3 2 7" xfId="53865" xr:uid="{748DD0C4-97F0-4B37-BAA5-66632D90FEDC}"/>
    <cellStyle name="Migliaia [0] 55 3 2 8" xfId="17627" xr:uid="{0819EE8D-B80E-4C34-88EE-289D557AA76E}"/>
    <cellStyle name="Migliaia [0] 55 3 2 9" xfId="11862" xr:uid="{F5B62158-31F7-42F1-893A-AC912B358878}"/>
    <cellStyle name="Migliaia [0] 55 3 3" xfId="6028" xr:uid="{47DC5F4A-B314-4732-BEE8-76C710FF9B70}"/>
    <cellStyle name="Migliaia [0] 55 3 3 2" xfId="12365" xr:uid="{C9BED3D1-77C0-4F13-AD83-E4FD2A0971BC}"/>
    <cellStyle name="Migliaia [0] 55 3 4" xfId="3071" xr:uid="{2331F957-0EBA-4C06-B16C-2AAC73AAE6FE}"/>
    <cellStyle name="Migliaia [0] 55 3 4 2" xfId="21353" xr:uid="{C4FCA0F3-CD49-479E-856B-B1FE204F4CF8}"/>
    <cellStyle name="Migliaia [0] 55 3 4 3" xfId="47708" xr:uid="{75613EBE-CCD6-43D2-8EE1-112C8A707903}"/>
    <cellStyle name="Migliaia [0] 55 3 4 4" xfId="50368" xr:uid="{558050C9-71DD-488B-B07A-C59D76DAB4CD}"/>
    <cellStyle name="Migliaia [0] 55 3 4 5" xfId="53384" xr:uid="{1B51BA99-CC7D-4AD0-A354-AABE1F386076}"/>
    <cellStyle name="Migliaia [0] 55 3 4 6" xfId="10718" xr:uid="{8FE14D8C-9319-4A7F-8382-203A5B2D2616}"/>
    <cellStyle name="Migliaia [0] 55 3 5" xfId="19750" xr:uid="{9A49815A-A8EB-4D03-809A-EE86AE51CEED}"/>
    <cellStyle name="Migliaia [0] 55 3 6" xfId="24143" xr:uid="{5A500F53-B2DA-4AF1-A842-E7C34A7726DE}"/>
    <cellStyle name="Migliaia [0] 55 3 7" xfId="8234" xr:uid="{14234534-91F3-43AF-BABE-99888BFEBB26}"/>
    <cellStyle name="Migliaia [0] 55 4" xfId="3072" xr:uid="{04C9F5AA-9885-4D04-93F8-1D79B8CFA665}"/>
    <cellStyle name="Migliaia [0] 55 4 2" xfId="4798" xr:uid="{E91482C7-31B0-45CE-B034-D2D681E127E6}"/>
    <cellStyle name="Migliaia [0] 55 4 2 2" xfId="35119" xr:uid="{7AE6E324-DB8F-4436-8610-A2125DE27373}"/>
    <cellStyle name="Migliaia [0] 55 4 2 2 2" xfId="40277" xr:uid="{FB5A88B5-F04E-4FED-95C5-1C2C0FFD1BC2}"/>
    <cellStyle name="Migliaia [0] 55 4 2 2 3" xfId="45579" xr:uid="{38D86045-FCFA-492C-9155-712B76908BC6}"/>
    <cellStyle name="Migliaia [0] 55 4 2 3" xfId="37626" xr:uid="{77AC35D8-DD36-4001-A447-B2600E486E17}"/>
    <cellStyle name="Migliaia [0] 55 4 2 4" xfId="42928" xr:uid="{4AA53FE6-0452-481B-9B15-7A2391972908}"/>
    <cellStyle name="Migliaia [0] 55 4 2 5" xfId="17059" xr:uid="{E76396E6-BB13-4ACF-A38B-724455DD8427}"/>
    <cellStyle name="Migliaia [0] 55 4 3" xfId="6029" xr:uid="{2DB7BE47-676B-4576-BFE9-F1D088692DA8}"/>
    <cellStyle name="Migliaia [0] 55 4 3 2" xfId="38331" xr:uid="{E82F0CCF-1717-44C8-8846-30C59E68ACEA}"/>
    <cellStyle name="Migliaia [0] 55 4 3 3" xfId="43633" xr:uid="{54EA62ED-77B0-43CD-A72B-66E42CBC131C}"/>
    <cellStyle name="Migliaia [0] 55 4 3 4" xfId="32980" xr:uid="{752211BB-FC4B-4B85-9107-945788F0A569}"/>
    <cellStyle name="Migliaia [0] 55 4 3 5" xfId="19751" xr:uid="{C94FC0D8-B5BD-45F3-AF86-F31986F84232}"/>
    <cellStyle name="Migliaia [0] 55 4 4" xfId="35866" xr:uid="{F81D5FCA-DEB5-40A2-94AD-DF17C78F66E2}"/>
    <cellStyle name="Migliaia [0] 55 4 5" xfId="40982" xr:uid="{76B2D43B-3DBC-427A-B73C-0DCC302C0849}"/>
    <cellStyle name="Migliaia [0] 55 4 6" xfId="16001" xr:uid="{7555595D-470C-433A-A684-4F955EEE902A}"/>
    <cellStyle name="Migliaia [0] 55 4 7" xfId="7814" xr:uid="{1463D21C-4C30-40BB-B479-1B2A2820BA7B}"/>
    <cellStyle name="Migliaia [0] 55 5" xfId="4794" xr:uid="{1FB84817-2C66-4069-B9B9-D3CA52F84505}"/>
    <cellStyle name="Migliaia [0] 55 5 2" xfId="32981" xr:uid="{30383317-1378-4252-8CDD-454D93822D42}"/>
    <cellStyle name="Migliaia [0] 55 5 2 2" xfId="38332" xr:uid="{57A4FEAE-55ED-4889-A601-5C9541F611AA}"/>
    <cellStyle name="Migliaia [0] 55 5 2 3" xfId="43634" xr:uid="{E1B29C0E-C526-4B16-BB57-565449052724}"/>
    <cellStyle name="Migliaia [0] 55 5 3" xfId="35867" xr:uid="{D8AA4DA7-3BDD-4D90-8DDD-400DAB264158}"/>
    <cellStyle name="Migliaia [0] 55 5 4" xfId="40983" xr:uid="{569D8409-3945-4466-9565-27ED1D23EB92}"/>
    <cellStyle name="Migliaia [0] 55 5 5" xfId="17128" xr:uid="{385FAB53-9501-4300-95A2-A6E6CE1B68F2}"/>
    <cellStyle name="Migliaia [0] 55 6" xfId="6026" xr:uid="{97DF3CA0-740A-4BB4-B6AA-8286821F3E9D}"/>
    <cellStyle name="Migliaia [0] 55 6 2" xfId="38328" xr:uid="{8911684C-441F-432F-958D-D8A342602D6A}"/>
    <cellStyle name="Migliaia [0] 55 6 3" xfId="43630" xr:uid="{42C642FF-87C2-4BA7-90F1-E91284947FCB}"/>
    <cellStyle name="Migliaia [0] 55 6 4" xfId="32977" xr:uid="{007868C2-4DF0-4EEE-9757-8C7B1BE0B085}"/>
    <cellStyle name="Migliaia [0] 55 6 5" xfId="19747" xr:uid="{3EEF65FB-AB4E-4F54-A248-41CDF715831E}"/>
    <cellStyle name="Migliaia [0] 55 7" xfId="3068" xr:uid="{640039D4-44CD-486D-9E5B-88C6D27EB6FD}"/>
    <cellStyle name="Migliaia [0] 55 7 2" xfId="35863" xr:uid="{1A033BE2-13DD-4507-B2B5-0A161F825DD7}"/>
    <cellStyle name="Migliaia [0] 55 8" xfId="40979" xr:uid="{95CA14EE-BEDD-468E-80F1-203BDEF7685E}"/>
    <cellStyle name="Migliaia [0] 55 9" xfId="7035" xr:uid="{533031DF-5BD7-42E1-BAA7-23BC4B584D87}"/>
    <cellStyle name="Migliaia [0] 56" xfId="293" xr:uid="{00000000-0005-0000-0000-0000A1020000}"/>
    <cellStyle name="Migliaia [0] 56 2" xfId="1634" xr:uid="{00000000-0005-0000-0000-0000A2020000}"/>
    <cellStyle name="Migliaia [0] 56 2 2" xfId="1635" xr:uid="{00000000-0005-0000-0000-0000A3020000}"/>
    <cellStyle name="Migliaia [0] 56 2 2 2" xfId="4801" xr:uid="{AD020D14-894C-4083-BFC7-86D1DA4C5BF4}"/>
    <cellStyle name="Migliaia [0] 56 2 2 2 2" xfId="21822" xr:uid="{CD840C60-364C-4DE4-AC54-92453523F5C6}"/>
    <cellStyle name="Migliaia [0] 56 2 2 2 3" xfId="48296" xr:uid="{6895E70C-B688-4E30-A89F-1A5135FBD54B}"/>
    <cellStyle name="Migliaia [0] 56 2 2 2 4" xfId="50850" xr:uid="{FB05A4A8-06B1-4587-B209-7BF68CB6A966}"/>
    <cellStyle name="Migliaia [0] 56 2 2 2 5" xfId="53866" xr:uid="{F2B2FFE7-4C1D-4C6E-B5FD-321B7AAB202E}"/>
    <cellStyle name="Migliaia [0] 56 2 2 2 6" xfId="11863" xr:uid="{0E4E0294-3EEF-4DB6-A0C1-1BB32AA3AF86}"/>
    <cellStyle name="Migliaia [0] 56 2 2 3" xfId="3075" xr:uid="{ED7E2A12-86EA-493B-9B24-D25FB970958A}"/>
    <cellStyle name="Migliaia [0] 56 2 2 3 2" xfId="11555" xr:uid="{C414E56D-0464-46F3-A04F-0A4126030133}"/>
    <cellStyle name="Migliaia [0] 56 2 2 4" xfId="10719" xr:uid="{C18C9796-9D6A-44BB-9462-E7F7C1887EDA}"/>
    <cellStyle name="Migliaia [0] 56 2 2 4 2" xfId="21354" xr:uid="{A9E454A7-5F36-4442-9F7C-31B53AE2E465}"/>
    <cellStyle name="Migliaia [0] 56 2 2 4 3" xfId="48003" xr:uid="{51DEF3E0-918C-4F9C-AAA5-AB9F25F86DEC}"/>
    <cellStyle name="Migliaia [0] 56 2 2 4 4" xfId="50369" xr:uid="{3F7CA925-F171-400B-82F6-101C7D2FECA4}"/>
    <cellStyle name="Migliaia [0] 56 2 2 4 5" xfId="53385" xr:uid="{EE9D7A0F-0385-488D-8CB5-649CFA49216D}"/>
    <cellStyle name="Migliaia [0] 56 2 2 5" xfId="19754" xr:uid="{924196A3-1D59-473D-9305-23E9652D5806}"/>
    <cellStyle name="Migliaia [0] 56 2 2 6" xfId="24145" xr:uid="{7C6A1B12-B990-4485-9886-76345D4CA63E}"/>
    <cellStyle name="Migliaia [0] 56 2 2 7" xfId="48871" xr:uid="{620B6627-0AEF-498F-B85B-FA51FD6858D9}"/>
    <cellStyle name="Migliaia [0] 56 2 2 8" xfId="49777" xr:uid="{D5B03D12-9ABA-4AFB-B422-5ADBD52EA45F}"/>
    <cellStyle name="Migliaia [0] 56 2 2 9" xfId="8477" xr:uid="{32B5ECFA-3E22-40BF-87AF-FD0B3F00B8DD}"/>
    <cellStyle name="Migliaia [0] 56 2 3" xfId="4800" xr:uid="{0BECB78D-8A69-4675-87D2-29487D49AE10}"/>
    <cellStyle name="Migliaia [0] 56 2 3 2" xfId="32983" xr:uid="{12BFE63F-288D-44EA-95B4-204A20C70D17}"/>
    <cellStyle name="Migliaia [0] 56 2 3 2 2" xfId="38334" xr:uid="{2AA23FE2-22B8-42FE-A5D6-57ABBCC62C70}"/>
    <cellStyle name="Migliaia [0] 56 2 3 2 3" xfId="43636" xr:uid="{2EACEF44-372A-4FBB-A1E1-C75578839BB2}"/>
    <cellStyle name="Migliaia [0] 56 2 3 3" xfId="35869" xr:uid="{8BF74163-1C58-4B02-B84C-4CAEEF827A19}"/>
    <cellStyle name="Migliaia [0] 56 2 3 4" xfId="40985" xr:uid="{7A22B3CF-F41F-471C-ACEB-0CEB38BEDD63}"/>
    <cellStyle name="Migliaia [0] 56 2 3 5" xfId="11864" xr:uid="{E391A7AB-D0F6-4EF0-8B30-E7D240235D9C}"/>
    <cellStyle name="Migliaia [0] 56 2 4" xfId="6031" xr:uid="{9FC27219-0FFA-4845-8B98-CCD22747FE4E}"/>
    <cellStyle name="Migliaia [0] 56 2 4 2" xfId="19753" xr:uid="{3F0A530A-EBE2-400E-8705-0EC27627F0A8}"/>
    <cellStyle name="Migliaia [0] 56 2 5" xfId="3074" xr:uid="{70BB7426-E453-4F53-B893-A1FCA6BE7167}"/>
    <cellStyle name="Migliaia [0] 56 2 5 2" xfId="24144" xr:uid="{E59DADB2-4F52-4E71-AF23-D979C5FD83AD}"/>
    <cellStyle name="Migliaia [0] 56 2 6" xfId="7287" xr:uid="{918C9FE0-E29D-4232-A92B-36969B46B456}"/>
    <cellStyle name="Migliaia [0] 56 3" xfId="1636" xr:uid="{00000000-0005-0000-0000-0000A4020000}"/>
    <cellStyle name="Migliaia [0] 56 3 2" xfId="4802" xr:uid="{6A029718-D782-45EB-82F2-892452A3A8B7}"/>
    <cellStyle name="Migliaia [0] 56 3 2 2" xfId="18352" xr:uid="{45AAB1D5-F209-437C-8649-AA59FB1F998D}"/>
    <cellStyle name="Migliaia [0] 56 3 2 2 2" xfId="21823" xr:uid="{93F890D8-CE8C-4B77-9524-EB40BFA52130}"/>
    <cellStyle name="Migliaia [0] 56 3 2 2 2 2" xfId="38335" xr:uid="{757A0D47-9C88-435E-9DA6-BB4EEDD6D566}"/>
    <cellStyle name="Migliaia [0] 56 3 2 2 3" xfId="43637" xr:uid="{202C03CF-B3DD-4919-8DAF-4D7820F87AA0}"/>
    <cellStyle name="Migliaia [0] 56 3 2 2 4" xfId="32984" xr:uid="{64928622-B580-4406-ADE5-E2E3D8837054}"/>
    <cellStyle name="Migliaia [0] 56 3 2 3" xfId="35870" xr:uid="{A9D6CAC1-DEBA-4930-8326-FAC2933C6699}"/>
    <cellStyle name="Migliaia [0] 56 3 2 4" xfId="40986" xr:uid="{540AAC79-E92D-4F6A-A32C-02529F75DA96}"/>
    <cellStyle name="Migliaia [0] 56 3 2 5" xfId="25340" xr:uid="{7DB6FE0F-FB14-458B-91BC-89F9F1E39531}"/>
    <cellStyle name="Migliaia [0] 56 3 2 6" xfId="50851" xr:uid="{E6F1010E-343E-4F15-808E-D8150BEA6646}"/>
    <cellStyle name="Migliaia [0] 56 3 2 7" xfId="53867" xr:uid="{8D01C667-9244-4613-AD3C-48ED364C05B9}"/>
    <cellStyle name="Migliaia [0] 56 3 2 8" xfId="17628" xr:uid="{C19B822A-30DE-4D65-A045-31B7CB6F66E0}"/>
    <cellStyle name="Migliaia [0] 56 3 2 9" xfId="11865" xr:uid="{CB3794DA-E5C7-4008-85FA-04B1E38E7206}"/>
    <cellStyle name="Migliaia [0] 56 3 3" xfId="6032" xr:uid="{50B662D2-3531-4E7A-8CDF-E200654BF44F}"/>
    <cellStyle name="Migliaia [0] 56 3 3 2" xfId="12207" xr:uid="{5C573299-A4BA-4289-8EFA-8CC81DDB967B}"/>
    <cellStyle name="Migliaia [0] 56 3 4" xfId="3076" xr:uid="{8D716C5B-1195-488D-AD59-C7AA64FD2993}"/>
    <cellStyle name="Migliaia [0] 56 3 4 2" xfId="21355" xr:uid="{9D7314F4-9489-4ED0-BBD2-820ABD3BB32D}"/>
    <cellStyle name="Migliaia [0] 56 3 4 3" xfId="46196" xr:uid="{9FE2B47C-0A39-424C-84C2-4415E7A4BBC8}"/>
    <cellStyle name="Migliaia [0] 56 3 4 4" xfId="50370" xr:uid="{CCEDEC20-F6DF-4AC8-A0FA-990AF7A25D72}"/>
    <cellStyle name="Migliaia [0] 56 3 4 5" xfId="53386" xr:uid="{DF4FF0A2-154B-4EF6-B609-003336F76C91}"/>
    <cellStyle name="Migliaia [0] 56 3 4 6" xfId="10720" xr:uid="{5F51FBF0-6B14-41ED-BE82-29B31456BD92}"/>
    <cellStyle name="Migliaia [0] 56 3 5" xfId="19755" xr:uid="{3D30FF1C-7EBE-416A-AE9A-804DF2B4BEB5}"/>
    <cellStyle name="Migliaia [0] 56 3 6" xfId="24146" xr:uid="{1F59B6F7-5421-445D-8BD1-AF17D1A13094}"/>
    <cellStyle name="Migliaia [0] 56 3 7" xfId="8235" xr:uid="{4779CD4C-F662-4410-8DD8-732A53D87DC9}"/>
    <cellStyle name="Migliaia [0] 56 4" xfId="3077" xr:uid="{A8BF5B66-CB83-4980-8DC5-A239E5F88147}"/>
    <cellStyle name="Migliaia [0] 56 4 2" xfId="4803" xr:uid="{904ED14C-6FD4-4260-854B-6C8E1FCB5C73}"/>
    <cellStyle name="Migliaia [0] 56 4 2 2" xfId="35120" xr:uid="{CF0C8EC9-AC54-4448-8B55-BED11A786322}"/>
    <cellStyle name="Migliaia [0] 56 4 2 2 2" xfId="40278" xr:uid="{F75ABAD8-18AE-43D6-9982-46CB15FBD310}"/>
    <cellStyle name="Migliaia [0] 56 4 2 2 3" xfId="45580" xr:uid="{29A16A15-88B5-427F-8B73-96015150CF1A}"/>
    <cellStyle name="Migliaia [0] 56 4 2 3" xfId="37627" xr:uid="{AA5A50C3-A180-4509-8313-EA7A400C7A46}"/>
    <cellStyle name="Migliaia [0] 56 4 2 4" xfId="42929" xr:uid="{D0D3C13B-6569-4FCA-BA70-F28963D76C2B}"/>
    <cellStyle name="Migliaia [0] 56 4 2 5" xfId="17060" xr:uid="{83AED264-CEE2-4554-A33C-C409F0154CFB}"/>
    <cellStyle name="Migliaia [0] 56 4 3" xfId="6033" xr:uid="{827AA4E7-B042-4911-97F8-213F987E80F5}"/>
    <cellStyle name="Migliaia [0] 56 4 3 2" xfId="38336" xr:uid="{888ABED1-4156-40B3-A4AE-D0E0BB7C3850}"/>
    <cellStyle name="Migliaia [0] 56 4 3 3" xfId="43638" xr:uid="{017927DB-2D08-49A9-B55E-3931F87C68C9}"/>
    <cellStyle name="Migliaia [0] 56 4 3 4" xfId="32985" xr:uid="{47F8D1DC-A924-4A91-8EEB-312E0793702E}"/>
    <cellStyle name="Migliaia [0] 56 4 3 5" xfId="19756" xr:uid="{9179DB8F-3F9B-4940-9053-9A8810AFEE31}"/>
    <cellStyle name="Migliaia [0] 56 4 4" xfId="35871" xr:uid="{1708621B-0FD9-42CE-8D12-0DC7489BD43B}"/>
    <cellStyle name="Migliaia [0] 56 4 5" xfId="40987" xr:uid="{E2C6623B-2955-4BE9-8C70-132828BC5B3D}"/>
    <cellStyle name="Migliaia [0] 56 4 6" xfId="16002" xr:uid="{B67B4ABB-5A6F-42D7-9E7C-FC96228ECF3F}"/>
    <cellStyle name="Migliaia [0] 56 4 7" xfId="7815" xr:uid="{8DFAD1AE-6123-43A3-A12B-41A5D8358EF9}"/>
    <cellStyle name="Migliaia [0] 56 5" xfId="4799" xr:uid="{4ADB6B4B-1699-47F6-B319-530865D8AB5A}"/>
    <cellStyle name="Migliaia [0] 56 5 2" xfId="32986" xr:uid="{79CA4C4A-5F24-4AA4-AF82-5A44CB42EB92}"/>
    <cellStyle name="Migliaia [0] 56 5 2 2" xfId="38337" xr:uid="{5AE277DA-F558-44BC-B2F6-DBF68A4FB3DF}"/>
    <cellStyle name="Migliaia [0] 56 5 2 3" xfId="43639" xr:uid="{6506A1E5-0CE7-494E-9467-F2F5BD7CFE92}"/>
    <cellStyle name="Migliaia [0] 56 5 3" xfId="35872" xr:uid="{A1C5120A-AE7D-4792-92F8-AC15E7A603E4}"/>
    <cellStyle name="Migliaia [0] 56 5 4" xfId="40988" xr:uid="{36C6E05C-1940-453E-BAE3-341CF1D9DAF8}"/>
    <cellStyle name="Migliaia [0] 56 5 5" xfId="17129" xr:uid="{4E8EED6E-5C82-42AE-93B3-7144684E5DAC}"/>
    <cellStyle name="Migliaia [0] 56 6" xfId="6030" xr:uid="{3637DAC5-A674-4909-9BB2-EF30B1F50CEB}"/>
    <cellStyle name="Migliaia [0] 56 6 2" xfId="38333" xr:uid="{FAD6885D-FA5A-4BFA-B7DA-0D7782656489}"/>
    <cellStyle name="Migliaia [0] 56 6 3" xfId="43635" xr:uid="{A90D7776-2C49-4C33-8B74-9692DFFE1868}"/>
    <cellStyle name="Migliaia [0] 56 6 4" xfId="32982" xr:uid="{E177A281-DF0B-47A8-99AA-52402E853FB2}"/>
    <cellStyle name="Migliaia [0] 56 6 5" xfId="19752" xr:uid="{7BBA9655-9B6C-4BB4-8F30-1A4930369860}"/>
    <cellStyle name="Migliaia [0] 56 7" xfId="3073" xr:uid="{B4A479B9-8C6E-451C-9DFE-A1D74A2E20A1}"/>
    <cellStyle name="Migliaia [0] 56 7 2" xfId="35868" xr:uid="{86DBDBAC-D6A3-4E9F-BEDC-CC98FF65BEA3}"/>
    <cellStyle name="Migliaia [0] 56 8" xfId="40984" xr:uid="{0CF86304-A926-4352-BC94-FFC6BB761DBB}"/>
    <cellStyle name="Migliaia [0] 56 9" xfId="7036" xr:uid="{A93DC577-B3B4-4E4C-AD4F-A11DDD613FE8}"/>
    <cellStyle name="Migliaia [0] 57" xfId="294" xr:uid="{00000000-0005-0000-0000-0000A5020000}"/>
    <cellStyle name="Migliaia [0] 57 2" xfId="1637" xr:uid="{00000000-0005-0000-0000-0000A6020000}"/>
    <cellStyle name="Migliaia [0] 57 2 2" xfId="1638" xr:uid="{00000000-0005-0000-0000-0000A7020000}"/>
    <cellStyle name="Migliaia [0] 57 2 2 2" xfId="4806" xr:uid="{BCCBF600-990C-4B36-B3D0-FA136E4272E4}"/>
    <cellStyle name="Migliaia [0] 57 2 2 2 2" xfId="21824" xr:uid="{E92AD56C-8C2B-46FF-98B0-EE3A1D291AF3}"/>
    <cellStyle name="Migliaia [0] 57 2 2 2 3" xfId="47804" xr:uid="{E64DD650-6BE1-4C76-A378-D89A857AD8DA}"/>
    <cellStyle name="Migliaia [0] 57 2 2 2 4" xfId="50852" xr:uid="{7F97366B-4E5E-46A6-A930-60DC01776F64}"/>
    <cellStyle name="Migliaia [0] 57 2 2 2 5" xfId="53868" xr:uid="{C0FC1A6F-110A-474A-AAC7-8CCDB6AD9E41}"/>
    <cellStyle name="Migliaia [0] 57 2 2 2 6" xfId="11866" xr:uid="{58A0785F-B63B-43C9-B15B-247FCFBA72CD}"/>
    <cellStyle name="Migliaia [0] 57 2 2 3" xfId="3080" xr:uid="{907FFE9F-6FCA-4ED8-8407-2CDF41CF0B12}"/>
    <cellStyle name="Migliaia [0] 57 2 2 3 2" xfId="12326" xr:uid="{11DB10B8-B8F1-4541-85C1-5BA8332D9C16}"/>
    <cellStyle name="Migliaia [0] 57 2 2 4" xfId="10721" xr:uid="{647A7C0A-42BC-47E8-8537-B192E42EC64B}"/>
    <cellStyle name="Migliaia [0] 57 2 2 4 2" xfId="21356" xr:uid="{5C686F36-4C32-4344-9EAF-9D58CB894B03}"/>
    <cellStyle name="Migliaia [0] 57 2 2 4 3" xfId="48574" xr:uid="{88BD75BA-B1C0-4B67-B446-3BA003297176}"/>
    <cellStyle name="Migliaia [0] 57 2 2 4 4" xfId="50371" xr:uid="{22BEC2CF-2A0F-4C10-A5F2-B8417ED25CF1}"/>
    <cellStyle name="Migliaia [0] 57 2 2 4 5" xfId="53387" xr:uid="{F08176F7-F49A-4743-9705-312AB9FC8E6B}"/>
    <cellStyle name="Migliaia [0] 57 2 2 5" xfId="19759" xr:uid="{EBBE565E-F23C-453D-AB4B-70C1F205B542}"/>
    <cellStyle name="Migliaia [0] 57 2 2 6" xfId="24148" xr:uid="{C894835A-1F54-443B-B9EC-5DCB58AAAFFA}"/>
    <cellStyle name="Migliaia [0] 57 2 2 7" xfId="48872" xr:uid="{A7E8B3A9-2AE0-474B-B84B-B0D8858AF58C}"/>
    <cellStyle name="Migliaia [0] 57 2 2 8" xfId="49778" xr:uid="{04872BA1-8E07-49E9-AE16-02A264CEDE4B}"/>
    <cellStyle name="Migliaia [0] 57 2 2 9" xfId="8478" xr:uid="{5B8DB0AF-7305-47BF-8568-2E1E6F49647E}"/>
    <cellStyle name="Migliaia [0] 57 2 3" xfId="4805" xr:uid="{1B769285-B18C-4CF7-8A40-ACBBCCD9AF7C}"/>
    <cellStyle name="Migliaia [0] 57 2 3 2" xfId="32988" xr:uid="{10FBDFA8-C79E-4738-9424-203AE9386C63}"/>
    <cellStyle name="Migliaia [0] 57 2 3 2 2" xfId="38339" xr:uid="{9E9382E9-6D41-4B7F-BD3A-A168FCD934AF}"/>
    <cellStyle name="Migliaia [0] 57 2 3 2 3" xfId="43641" xr:uid="{5A48E03A-C0C2-4448-AA5A-828AAD111EBF}"/>
    <cellStyle name="Migliaia [0] 57 2 3 3" xfId="35874" xr:uid="{D6658816-EB04-4296-B31C-1DEEB4836C43}"/>
    <cellStyle name="Migliaia [0] 57 2 3 4" xfId="40990" xr:uid="{E298E793-6C61-4CB0-9287-5D3692911954}"/>
    <cellStyle name="Migliaia [0] 57 2 3 5" xfId="11867" xr:uid="{8313ADDC-2508-4550-972D-B11D9480E99F}"/>
    <cellStyle name="Migliaia [0] 57 2 4" xfId="6035" xr:uid="{C7C5C9FE-0F1D-4187-952B-7970CC7030B0}"/>
    <cellStyle name="Migliaia [0] 57 2 4 2" xfId="19758" xr:uid="{8D1CC5D2-AFA9-451F-9237-CB96C764D19C}"/>
    <cellStyle name="Migliaia [0] 57 2 5" xfId="3079" xr:uid="{E6681FF5-925E-4399-887A-093A7484D249}"/>
    <cellStyle name="Migliaia [0] 57 2 5 2" xfId="24147" xr:uid="{49848BA7-B755-4A42-81FB-622CD2BD06AF}"/>
    <cellStyle name="Migliaia [0] 57 2 6" xfId="7288" xr:uid="{1B961821-E4DB-4E6C-97BE-D1919F4937CE}"/>
    <cellStyle name="Migliaia [0] 57 3" xfId="1639" xr:uid="{00000000-0005-0000-0000-0000A8020000}"/>
    <cellStyle name="Migliaia [0] 57 3 2" xfId="4807" xr:uid="{46460498-71DB-43A4-A232-3013A84AC5AE}"/>
    <cellStyle name="Migliaia [0] 57 3 2 2" xfId="18353" xr:uid="{B7023F9A-E87C-424E-BAD1-F70F0453FDB0}"/>
    <cellStyle name="Migliaia [0] 57 3 2 2 2" xfId="21825" xr:uid="{06A9CA5E-C3E5-4E20-A78A-89234C2D86A2}"/>
    <cellStyle name="Migliaia [0] 57 3 2 2 2 2" xfId="38340" xr:uid="{566A769B-DCFA-4609-B09D-E695568956D8}"/>
    <cellStyle name="Migliaia [0] 57 3 2 2 3" xfId="43642" xr:uid="{4FFF1505-9111-49AF-A040-7C8FF2589C60}"/>
    <cellStyle name="Migliaia [0] 57 3 2 2 4" xfId="32989" xr:uid="{F6FB39F5-3DE2-4658-BC90-D027A33A3383}"/>
    <cellStyle name="Migliaia [0] 57 3 2 3" xfId="35875" xr:uid="{F30E93F1-E1ED-46EC-A093-871375E5D3D1}"/>
    <cellStyle name="Migliaia [0] 57 3 2 4" xfId="40991" xr:uid="{FAB53E04-8328-4AE6-A835-04B518F78A7D}"/>
    <cellStyle name="Migliaia [0] 57 3 2 5" xfId="47740" xr:uid="{5E02E669-1FB1-492A-83D8-B304DBB82C1E}"/>
    <cellStyle name="Migliaia [0] 57 3 2 6" xfId="50853" xr:uid="{05F48618-7BB4-464D-A68E-90B6A8FCECBE}"/>
    <cellStyle name="Migliaia [0] 57 3 2 7" xfId="53869" xr:uid="{302EFB8F-92D1-451C-9EB8-3AD0FFB36293}"/>
    <cellStyle name="Migliaia [0] 57 3 2 8" xfId="17629" xr:uid="{1FB9559C-9E93-45E8-92C3-37F4F3F5EEB6}"/>
    <cellStyle name="Migliaia [0] 57 3 2 9" xfId="11868" xr:uid="{CC903265-E3B4-489C-9AF3-EFEA1465A8FC}"/>
    <cellStyle name="Migliaia [0] 57 3 3" xfId="6036" xr:uid="{9884EB31-2CF3-4F3C-8E48-ABA0336B62C0}"/>
    <cellStyle name="Migliaia [0] 57 3 3 2" xfId="12208" xr:uid="{9F859D90-9CF0-4BFB-9624-E442E53ABEC6}"/>
    <cellStyle name="Migliaia [0] 57 3 4" xfId="3081" xr:uid="{FA3DA1C4-F236-442B-952B-9F63C7EE7F59}"/>
    <cellStyle name="Migliaia [0] 57 3 4 2" xfId="21357" xr:uid="{E70073E1-71A5-4BD6-B635-A4FCF6970577}"/>
    <cellStyle name="Migliaia [0] 57 3 4 3" xfId="46197" xr:uid="{A0965F38-EC2C-4299-B0F6-EF055D1CFCE2}"/>
    <cellStyle name="Migliaia [0] 57 3 4 4" xfId="50372" xr:uid="{04C6E1ED-8809-4A1B-AFE1-EDAEECAA4EC7}"/>
    <cellStyle name="Migliaia [0] 57 3 4 5" xfId="53388" xr:uid="{368333B6-49BA-4A1B-B59D-97FB11194140}"/>
    <cellStyle name="Migliaia [0] 57 3 4 6" xfId="10722" xr:uid="{452FD1DB-4FB6-4F5E-BFAA-A7FDC945224B}"/>
    <cellStyle name="Migliaia [0] 57 3 5" xfId="19760" xr:uid="{5E3D0C15-A5A4-4C1C-859C-520261349844}"/>
    <cellStyle name="Migliaia [0] 57 3 6" xfId="24149" xr:uid="{5B29BF87-AB92-4666-B4BF-1CDA75EA4301}"/>
    <cellStyle name="Migliaia [0] 57 3 7" xfId="8236" xr:uid="{B80E406A-6836-43F4-A98C-9147BADC342A}"/>
    <cellStyle name="Migliaia [0] 57 4" xfId="3082" xr:uid="{652C5535-FB99-4133-A7FC-6C75DED114FE}"/>
    <cellStyle name="Migliaia [0] 57 4 2" xfId="4808" xr:uid="{B1984610-FD6E-44BE-9B0F-DA13F6E70060}"/>
    <cellStyle name="Migliaia [0] 57 4 2 2" xfId="35121" xr:uid="{DC93F724-B6EB-4789-99C6-4708A18D8630}"/>
    <cellStyle name="Migliaia [0] 57 4 2 2 2" xfId="40279" xr:uid="{13B290D7-E40B-4B83-A068-6D6D5CB3CEF3}"/>
    <cellStyle name="Migliaia [0] 57 4 2 2 3" xfId="45581" xr:uid="{57CCB92C-5C44-44E3-9B23-4A7CB3552080}"/>
    <cellStyle name="Migliaia [0] 57 4 2 3" xfId="37628" xr:uid="{35704730-570C-4075-B0A3-5B4DA3850634}"/>
    <cellStyle name="Migliaia [0] 57 4 2 4" xfId="42930" xr:uid="{08453F83-3066-4732-BDCC-2384C9E24207}"/>
    <cellStyle name="Migliaia [0] 57 4 2 5" xfId="17061" xr:uid="{AB283F7D-FEE4-4639-A548-B4F98345B38D}"/>
    <cellStyle name="Migliaia [0] 57 4 3" xfId="6037" xr:uid="{37021624-C8C4-4FF8-BA1E-B1377B32593F}"/>
    <cellStyle name="Migliaia [0] 57 4 3 2" xfId="38341" xr:uid="{55A51F83-DE12-42E7-8F80-A3C7A010D4F7}"/>
    <cellStyle name="Migliaia [0] 57 4 3 3" xfId="43643" xr:uid="{5135D4C6-25C9-4BA6-BA3B-515BBD91C6EB}"/>
    <cellStyle name="Migliaia [0] 57 4 3 4" xfId="32990" xr:uid="{C03D98DE-BF0E-4C8E-804A-F2362333D9BC}"/>
    <cellStyle name="Migliaia [0] 57 4 3 5" xfId="19761" xr:uid="{3CBD71B0-C52E-4DCD-ACFC-0C5E5E846B9F}"/>
    <cellStyle name="Migliaia [0] 57 4 4" xfId="35876" xr:uid="{AADA79D3-441D-4020-A13B-87954630F217}"/>
    <cellStyle name="Migliaia [0] 57 4 5" xfId="40992" xr:uid="{F4FFF58B-466B-4963-B2D9-631CF7E4EF71}"/>
    <cellStyle name="Migliaia [0] 57 4 6" xfId="16003" xr:uid="{F3A9DDDD-41BD-4F9C-8185-EB418AB9D907}"/>
    <cellStyle name="Migliaia [0] 57 4 7" xfId="7816" xr:uid="{92AD8B9D-F242-444D-89EC-550075B7376A}"/>
    <cellStyle name="Migliaia [0] 57 5" xfId="4804" xr:uid="{9CA9186F-1D48-4469-92E4-E90142B6D1E9}"/>
    <cellStyle name="Migliaia [0] 57 5 2" xfId="32991" xr:uid="{D4DEA9B0-8A0E-4C13-8E88-E4EBD1D5C7E3}"/>
    <cellStyle name="Migliaia [0] 57 5 2 2" xfId="38342" xr:uid="{4C6D8F21-CEEC-4142-AB2B-845FD795BB4F}"/>
    <cellStyle name="Migliaia [0] 57 5 2 3" xfId="43644" xr:uid="{E5621FB7-AE9F-4B78-8A83-199FB576EC72}"/>
    <cellStyle name="Migliaia [0] 57 5 3" xfId="35877" xr:uid="{A5542F65-BAC4-4652-AD85-2016EB5B58BA}"/>
    <cellStyle name="Migliaia [0] 57 5 4" xfId="40993" xr:uid="{889C71C6-02DF-49B3-918C-C81CD7A70239}"/>
    <cellStyle name="Migliaia [0] 57 5 5" xfId="17130" xr:uid="{40EC8C96-31CF-4B2B-B5A4-686B5A4A6E65}"/>
    <cellStyle name="Migliaia [0] 57 6" xfId="6034" xr:uid="{3D7EFBEC-E2B2-4B75-965D-BB75CE03351F}"/>
    <cellStyle name="Migliaia [0] 57 6 2" xfId="38338" xr:uid="{FB7832E8-4EEC-4196-9360-C8C2C8E7C54F}"/>
    <cellStyle name="Migliaia [0] 57 6 3" xfId="43640" xr:uid="{85B8E549-FD7E-4B03-B57D-556DE4355F4A}"/>
    <cellStyle name="Migliaia [0] 57 6 4" xfId="32987" xr:uid="{8204FFF5-ACBB-41CC-B2B3-A0ED96CDECD5}"/>
    <cellStyle name="Migliaia [0] 57 6 5" xfId="19757" xr:uid="{E395075F-536E-4EC1-8797-CCDA317545E0}"/>
    <cellStyle name="Migliaia [0] 57 7" xfId="3078" xr:uid="{0B26BB52-6D74-4D2F-A2E6-3EEB3BD45DB3}"/>
    <cellStyle name="Migliaia [0] 57 7 2" xfId="35873" xr:uid="{D760D501-A679-4220-9A67-A394D4034154}"/>
    <cellStyle name="Migliaia [0] 57 8" xfId="40989" xr:uid="{5EF20D85-0629-4362-8656-F1A73E0AC7DC}"/>
    <cellStyle name="Migliaia [0] 57 9" xfId="7037" xr:uid="{2DE01B10-0325-4135-BD0B-F9B4FA657EBE}"/>
    <cellStyle name="Migliaia [0] 58" xfId="295" xr:uid="{00000000-0005-0000-0000-0000A9020000}"/>
    <cellStyle name="Migliaia [0] 58 2" xfId="1640" xr:uid="{00000000-0005-0000-0000-0000AA020000}"/>
    <cellStyle name="Migliaia [0] 58 2 2" xfId="1641" xr:uid="{00000000-0005-0000-0000-0000AB020000}"/>
    <cellStyle name="Migliaia [0] 58 2 2 2" xfId="4811" xr:uid="{776D53D5-5899-429A-80CA-3198C0EC423C}"/>
    <cellStyle name="Migliaia [0] 58 2 2 2 2" xfId="21826" xr:uid="{B8F46DB7-B480-45FA-972E-0E3345F2F98E}"/>
    <cellStyle name="Migliaia [0] 58 2 2 2 3" xfId="48435" xr:uid="{7C78923A-D5AB-492F-886F-8609C6DA8575}"/>
    <cellStyle name="Migliaia [0] 58 2 2 2 4" xfId="50854" xr:uid="{C4692B1C-CCAC-41D5-9BAC-6743D9F5C3A7}"/>
    <cellStyle name="Migliaia [0] 58 2 2 2 5" xfId="53870" xr:uid="{AEA862F1-20F5-4E7F-86C9-07BA532FB18F}"/>
    <cellStyle name="Migliaia [0] 58 2 2 2 6" xfId="11869" xr:uid="{6C8E7D8B-6D1A-470F-84DD-3ECD132D3916}"/>
    <cellStyle name="Migliaia [0] 58 2 2 3" xfId="3085" xr:uid="{C86D34DD-E3DD-4B79-914A-659786E0BE4F}"/>
    <cellStyle name="Migliaia [0] 58 2 2 3 2" xfId="12325" xr:uid="{9F6A7E79-6736-4A9A-8BF8-57A4FE052210}"/>
    <cellStyle name="Migliaia [0] 58 2 2 4" xfId="10723" xr:uid="{9E30A527-AC69-494E-A248-74EEB3B8167A}"/>
    <cellStyle name="Migliaia [0] 58 2 2 4 2" xfId="21358" xr:uid="{C34995E1-D5D5-4739-9898-9E1632431B3F}"/>
    <cellStyle name="Migliaia [0] 58 2 2 4 3" xfId="46198" xr:uid="{033C5DF7-4278-4474-BF40-8B3347F8B9C3}"/>
    <cellStyle name="Migliaia [0] 58 2 2 4 4" xfId="50373" xr:uid="{F6398299-4C38-4308-B444-1C3BF7D4867F}"/>
    <cellStyle name="Migliaia [0] 58 2 2 4 5" xfId="53389" xr:uid="{8D6168D0-AC1A-4E60-BA0D-568DC015302E}"/>
    <cellStyle name="Migliaia [0] 58 2 2 5" xfId="19764" xr:uid="{04B41FF0-F009-4C9A-8180-1D285D519F8A}"/>
    <cellStyle name="Migliaia [0] 58 2 2 6" xfId="24151" xr:uid="{061ED67C-F049-44FD-8A92-BDF7509853CB}"/>
    <cellStyle name="Migliaia [0] 58 2 2 7" xfId="48873" xr:uid="{607C15AE-C73D-4D7B-8696-109B6EBD8EBB}"/>
    <cellStyle name="Migliaia [0] 58 2 2 8" xfId="49779" xr:uid="{F62ECAB7-1D53-4486-A95F-44974C6388A5}"/>
    <cellStyle name="Migliaia [0] 58 2 2 9" xfId="8479" xr:uid="{5E01F12D-F1F8-4F1A-9E14-B55E3C763CAB}"/>
    <cellStyle name="Migliaia [0] 58 2 3" xfId="4810" xr:uid="{54968533-7AE0-45E8-ACC9-C00AC9607A28}"/>
    <cellStyle name="Migliaia [0] 58 2 3 2" xfId="32993" xr:uid="{04FF57CE-936C-42AF-B216-F87CBC2846D6}"/>
    <cellStyle name="Migliaia [0] 58 2 3 2 2" xfId="38344" xr:uid="{460C3AF1-64FA-4A3D-8209-FD4987997562}"/>
    <cellStyle name="Migliaia [0] 58 2 3 2 3" xfId="43646" xr:uid="{D956E85F-BEB0-4C35-9752-175A036D2BBA}"/>
    <cellStyle name="Migliaia [0] 58 2 3 3" xfId="35879" xr:uid="{26413D88-281F-4798-95D5-DBDFF4262633}"/>
    <cellStyle name="Migliaia [0] 58 2 3 4" xfId="40995" xr:uid="{B98501F2-DA4C-4F5F-AFE2-70A67818826E}"/>
    <cellStyle name="Migliaia [0] 58 2 3 5" xfId="11870" xr:uid="{0D5F6965-EF7E-4A65-B76B-9E8DE4948578}"/>
    <cellStyle name="Migliaia [0] 58 2 4" xfId="6039" xr:uid="{7BE0BBDD-9E08-47D4-8BA7-F6678B510173}"/>
    <cellStyle name="Migliaia [0] 58 2 4 2" xfId="19763" xr:uid="{A4038061-056A-4487-B7EA-8D26CC254F6D}"/>
    <cellStyle name="Migliaia [0] 58 2 5" xfId="3084" xr:uid="{CD93F50D-1EBF-4731-902C-A51E31D60490}"/>
    <cellStyle name="Migliaia [0] 58 2 5 2" xfId="24150" xr:uid="{8329D163-4310-43FF-9424-BAADE9F02036}"/>
    <cellStyle name="Migliaia [0] 58 2 6" xfId="7289" xr:uid="{E45F22BD-1695-4413-A67B-2A57CB8C616E}"/>
    <cellStyle name="Migliaia [0] 58 3" xfId="1642" xr:uid="{00000000-0005-0000-0000-0000AC020000}"/>
    <cellStyle name="Migliaia [0] 58 3 2" xfId="4812" xr:uid="{C2CDBF34-AD80-4D88-B1DE-BD295D5F52B5}"/>
    <cellStyle name="Migliaia [0] 58 3 2 2" xfId="18354" xr:uid="{8D9D2312-C18C-40E0-AD13-924F14799C0F}"/>
    <cellStyle name="Migliaia [0] 58 3 2 2 2" xfId="21827" xr:uid="{DA9A5414-9530-42D5-974F-C191FD404158}"/>
    <cellStyle name="Migliaia [0] 58 3 2 2 2 2" xfId="38345" xr:uid="{EEAB9B3D-E80D-4DC8-8976-D7D455C851B4}"/>
    <cellStyle name="Migliaia [0] 58 3 2 2 3" xfId="43647" xr:uid="{A045A39E-48BB-4F61-B14D-0E677B0985E6}"/>
    <cellStyle name="Migliaia [0] 58 3 2 2 4" xfId="32994" xr:uid="{92490D6B-8EF2-4D63-B614-05F53F3AF6EF}"/>
    <cellStyle name="Migliaia [0] 58 3 2 3" xfId="35880" xr:uid="{B4274C3E-EE73-448A-8D8C-D5E95795671A}"/>
    <cellStyle name="Migliaia [0] 58 3 2 4" xfId="40996" xr:uid="{D7BAC788-0FF4-4B87-8E65-AE3AADC3B043}"/>
    <cellStyle name="Migliaia [0] 58 3 2 5" xfId="32436" xr:uid="{2B088D50-8B77-4190-AE26-63546449EEDA}"/>
    <cellStyle name="Migliaia [0] 58 3 2 6" xfId="50855" xr:uid="{BD81C21C-F2BE-4BF9-A78D-7E52F7956710}"/>
    <cellStyle name="Migliaia [0] 58 3 2 7" xfId="53871" xr:uid="{8202B6AC-FB5A-4FA6-B9D2-8B9C8C412FB3}"/>
    <cellStyle name="Migliaia [0] 58 3 2 8" xfId="17630" xr:uid="{622F7841-832A-4772-AAC7-DADA7B658028}"/>
    <cellStyle name="Migliaia [0] 58 3 2 9" xfId="11871" xr:uid="{4CB4A5B1-045C-4CE8-A6A3-2E823E59A12F}"/>
    <cellStyle name="Migliaia [0] 58 3 3" xfId="6040" xr:uid="{B1319965-46CD-44F6-8740-9C7B3E4E2FF8}"/>
    <cellStyle name="Migliaia [0] 58 3 3 2" xfId="11118" xr:uid="{C10E3151-3015-4BD4-98DC-2574605A5146}"/>
    <cellStyle name="Migliaia [0] 58 3 4" xfId="3086" xr:uid="{08F753D8-5EC7-4895-B287-CD3C065F4E48}"/>
    <cellStyle name="Migliaia [0] 58 3 4 2" xfId="21359" xr:uid="{E38C9168-7AB7-4051-9A28-53DD130D9B06}"/>
    <cellStyle name="Migliaia [0] 58 3 4 3" xfId="46199" xr:uid="{399EE4BD-5208-4CCC-AA5D-5FD91218561B}"/>
    <cellStyle name="Migliaia [0] 58 3 4 4" xfId="50374" xr:uid="{5D9EC4A4-2E80-401E-812C-65EF57E0B86A}"/>
    <cellStyle name="Migliaia [0] 58 3 4 5" xfId="53390" xr:uid="{46EFB72F-9502-4BB7-9E41-08D8919EDD17}"/>
    <cellStyle name="Migliaia [0] 58 3 4 6" xfId="10724" xr:uid="{72AFE73C-A38C-43B1-A8B1-88EF9A1332D0}"/>
    <cellStyle name="Migliaia [0] 58 3 5" xfId="19765" xr:uid="{A2074E54-3176-4DCA-B16F-1B60922529DA}"/>
    <cellStyle name="Migliaia [0] 58 3 6" xfId="24152" xr:uid="{11CAD362-0717-4B83-AA7E-FD701F030949}"/>
    <cellStyle name="Migliaia [0] 58 3 7" xfId="8237" xr:uid="{C70563BF-1C3A-4671-B66F-791EC600DE27}"/>
    <cellStyle name="Migliaia [0] 58 4" xfId="3087" xr:uid="{D02DA499-F2E2-48F0-B72C-7C407089A775}"/>
    <cellStyle name="Migliaia [0] 58 4 2" xfId="4813" xr:uid="{F0A8FA95-3E7D-4082-8412-1637A1B8E477}"/>
    <cellStyle name="Migliaia [0] 58 4 2 2" xfId="35122" xr:uid="{B7D89AB6-041A-407A-B384-B0643F387EA5}"/>
    <cellStyle name="Migliaia [0] 58 4 2 2 2" xfId="40280" xr:uid="{6EE119B4-DD1F-470F-B5DC-ABE9ECA03A72}"/>
    <cellStyle name="Migliaia [0] 58 4 2 2 3" xfId="45582" xr:uid="{9B4CB132-1BAC-4955-80CD-798552B23EC2}"/>
    <cellStyle name="Migliaia [0] 58 4 2 3" xfId="37629" xr:uid="{B37D875F-EF61-4842-9FDA-22267DF27FB3}"/>
    <cellStyle name="Migliaia [0] 58 4 2 4" xfId="42931" xr:uid="{BBE631BA-6B86-4879-99D0-6FEFF79F7589}"/>
    <cellStyle name="Migliaia [0] 58 4 2 5" xfId="17062" xr:uid="{CE81E9C2-84B4-48E7-B09C-7194F1A29877}"/>
    <cellStyle name="Migliaia [0] 58 4 3" xfId="6041" xr:uid="{95E10B2C-64C9-41AC-B8F8-200AE4D3AEFA}"/>
    <cellStyle name="Migliaia [0] 58 4 3 2" xfId="38346" xr:uid="{82D642B9-BC59-4DA7-8611-7E769377269D}"/>
    <cellStyle name="Migliaia [0] 58 4 3 3" xfId="43648" xr:uid="{D22A79D7-6801-4E81-B8E8-C130BFB31A55}"/>
    <cellStyle name="Migliaia [0] 58 4 3 4" xfId="32995" xr:uid="{ABC50F1D-D346-47B8-8E48-90B87F7DD48F}"/>
    <cellStyle name="Migliaia [0] 58 4 3 5" xfId="19766" xr:uid="{51302439-6670-4EA4-BC45-2D2025C8FEBC}"/>
    <cellStyle name="Migliaia [0] 58 4 4" xfId="35881" xr:uid="{AEE670A1-979E-4449-9D99-06EC0A4E6403}"/>
    <cellStyle name="Migliaia [0] 58 4 5" xfId="40997" xr:uid="{A00588F6-ADED-442A-859B-BE59DDA5DC58}"/>
    <cellStyle name="Migliaia [0] 58 4 6" xfId="16004" xr:uid="{0D1757CA-9117-45E4-BF02-D183ABCC755D}"/>
    <cellStyle name="Migliaia [0] 58 4 7" xfId="7817" xr:uid="{B1A34E55-A3EC-4A12-A665-0EC9B81DB896}"/>
    <cellStyle name="Migliaia [0] 58 5" xfId="4809" xr:uid="{3149DE35-87CA-4936-9630-FEE6A384A6D4}"/>
    <cellStyle name="Migliaia [0] 58 5 2" xfId="32996" xr:uid="{94E13CCC-A91B-4458-B5FD-1D9213465C10}"/>
    <cellStyle name="Migliaia [0] 58 5 2 2" xfId="38347" xr:uid="{D34B4680-52B2-422F-907C-96FD15A975FA}"/>
    <cellStyle name="Migliaia [0] 58 5 2 3" xfId="43649" xr:uid="{9F68359F-87CC-40CE-B98D-BB5DC4DEB51C}"/>
    <cellStyle name="Migliaia [0] 58 5 3" xfId="35882" xr:uid="{08BAE752-EC07-45BF-BAFF-B5C52D0F551F}"/>
    <cellStyle name="Migliaia [0] 58 5 4" xfId="40998" xr:uid="{E0980773-7D9C-4AAE-9267-DF4111DE9734}"/>
    <cellStyle name="Migliaia [0] 58 5 5" xfId="17131" xr:uid="{8510B7F0-A6B2-482A-B3C9-57EBC88F5D6D}"/>
    <cellStyle name="Migliaia [0] 58 6" xfId="6038" xr:uid="{6800754F-0A58-4557-8046-3705C745A255}"/>
    <cellStyle name="Migliaia [0] 58 6 2" xfId="38343" xr:uid="{C6740151-7CD9-4E65-A807-AA174C1EC716}"/>
    <cellStyle name="Migliaia [0] 58 6 3" xfId="43645" xr:uid="{C3DC571B-650E-4F2F-938F-214588137F42}"/>
    <cellStyle name="Migliaia [0] 58 6 4" xfId="32992" xr:uid="{9FD69186-ED9A-4E85-AA4D-1E0003DBC488}"/>
    <cellStyle name="Migliaia [0] 58 6 5" xfId="19762" xr:uid="{50542E45-6630-4DD4-8CC9-444391D748E3}"/>
    <cellStyle name="Migliaia [0] 58 7" xfId="3083" xr:uid="{DA1B74D2-0738-46AA-99BE-FB9910D24126}"/>
    <cellStyle name="Migliaia [0] 58 7 2" xfId="35878" xr:uid="{D61AA91E-BB60-4F3B-8DA3-CBD703199A93}"/>
    <cellStyle name="Migliaia [0] 58 8" xfId="40994" xr:uid="{6867BED4-2C5E-4DA9-856F-5DB9240FD0A2}"/>
    <cellStyle name="Migliaia [0] 58 9" xfId="7038" xr:uid="{DA8C74B5-99E6-4BE9-9E00-BA86C1070196}"/>
    <cellStyle name="Migliaia [0] 59" xfId="296" xr:uid="{00000000-0005-0000-0000-0000AD020000}"/>
    <cellStyle name="Migliaia [0] 59 2" xfId="1643" xr:uid="{00000000-0005-0000-0000-0000AE020000}"/>
    <cellStyle name="Migliaia [0] 59 2 2" xfId="1644" xr:uid="{00000000-0005-0000-0000-0000AF020000}"/>
    <cellStyle name="Migliaia [0] 59 2 2 2" xfId="4816" xr:uid="{33C5FD98-19B5-460A-9B32-58149E090107}"/>
    <cellStyle name="Migliaia [0] 59 2 2 2 2" xfId="21828" xr:uid="{3346C62F-1AAF-44AB-8E6A-71E057D5B5E8}"/>
    <cellStyle name="Migliaia [0] 59 2 2 2 3" xfId="48101" xr:uid="{071EC8EB-38A9-4BF1-988B-8760BFC6BA5F}"/>
    <cellStyle name="Migliaia [0] 59 2 2 2 4" xfId="50856" xr:uid="{8BDDF599-E03D-4273-8E8F-6E741539B4E5}"/>
    <cellStyle name="Migliaia [0] 59 2 2 2 5" xfId="53872" xr:uid="{F28DAF1A-E0A7-4885-BA3E-FC21EE9221A9}"/>
    <cellStyle name="Migliaia [0] 59 2 2 2 6" xfId="11872" xr:uid="{764B24F7-1B39-4CBA-AF3B-5E1D806805D2}"/>
    <cellStyle name="Migliaia [0] 59 2 2 3" xfId="3090" xr:uid="{670297E0-5EB0-400A-BC46-1C1307F45750}"/>
    <cellStyle name="Migliaia [0] 59 2 2 3 2" xfId="12324" xr:uid="{D941691B-F98B-4CBE-87F4-BBDE56BBFC27}"/>
    <cellStyle name="Migliaia [0] 59 2 2 4" xfId="10725" xr:uid="{A5248827-9354-4B4F-BA98-F3E6BFFE735F}"/>
    <cellStyle name="Migliaia [0] 59 2 2 4 2" xfId="21360" xr:uid="{55817A49-B01B-4E42-B71B-BA8D4F391195}"/>
    <cellStyle name="Migliaia [0] 59 2 2 4 3" xfId="48172" xr:uid="{5F9443E9-BDC4-4965-B74E-4897DCF1B5C3}"/>
    <cellStyle name="Migliaia [0] 59 2 2 4 4" xfId="50375" xr:uid="{1EA38493-AD9A-4555-A510-EC47CD0054A5}"/>
    <cellStyle name="Migliaia [0] 59 2 2 4 5" xfId="53391" xr:uid="{00578300-221C-4B73-80D2-5ABAD0B5B646}"/>
    <cellStyle name="Migliaia [0] 59 2 2 5" xfId="19769" xr:uid="{A9B2BCCF-447E-4F5A-AEEA-A9F91C0553B6}"/>
    <cellStyle name="Migliaia [0] 59 2 2 6" xfId="24154" xr:uid="{D23158B2-7113-429F-BF76-C2D121E445A5}"/>
    <cellStyle name="Migliaia [0] 59 2 2 7" xfId="48874" xr:uid="{4CD39096-95CA-408D-B4D3-3E8FEEC9FAE3}"/>
    <cellStyle name="Migliaia [0] 59 2 2 8" xfId="49780" xr:uid="{5007FDDA-5328-48BA-BCAD-3B5803C4294B}"/>
    <cellStyle name="Migliaia [0] 59 2 2 9" xfId="8480" xr:uid="{961A8954-3377-4461-9706-1C4D8CF1388C}"/>
    <cellStyle name="Migliaia [0] 59 2 3" xfId="4815" xr:uid="{71F6711F-25E0-42D8-A95F-D229288203FD}"/>
    <cellStyle name="Migliaia [0] 59 2 3 2" xfId="32998" xr:uid="{C790D5BB-1649-4037-BE9E-846C4BE45419}"/>
    <cellStyle name="Migliaia [0] 59 2 3 2 2" xfId="38349" xr:uid="{3C3876AB-27C8-4D0D-97C2-49E854B87DAE}"/>
    <cellStyle name="Migliaia [0] 59 2 3 2 3" xfId="43651" xr:uid="{F32A3D3E-A61B-4B44-8ADB-96C66D9F609D}"/>
    <cellStyle name="Migliaia [0] 59 2 3 3" xfId="35884" xr:uid="{EC7A11FB-9C2A-4CE2-A1A2-A5634980A642}"/>
    <cellStyle name="Migliaia [0] 59 2 3 4" xfId="41000" xr:uid="{25F6CFBE-F649-45EB-B82C-9DF2AB40C062}"/>
    <cellStyle name="Migliaia [0] 59 2 3 5" xfId="11873" xr:uid="{29B6A43B-AF2B-48E2-AA09-A83C8EAB0D71}"/>
    <cellStyle name="Migliaia [0] 59 2 4" xfId="6043" xr:uid="{BC034600-EB98-412C-ACC9-BFDD02587706}"/>
    <cellStyle name="Migliaia [0] 59 2 4 2" xfId="19768" xr:uid="{70DF3DA9-F812-4909-A7A7-28BA96DC4415}"/>
    <cellStyle name="Migliaia [0] 59 2 5" xfId="3089" xr:uid="{F4B9DAEF-D9A9-4586-A567-BB64EE875908}"/>
    <cellStyle name="Migliaia [0] 59 2 5 2" xfId="24153" xr:uid="{6CC7C420-7937-4462-8FC4-9D1B446BAC39}"/>
    <cellStyle name="Migliaia [0] 59 2 6" xfId="7290" xr:uid="{A6C97C71-A2DC-4F1A-8937-10C1C07B2710}"/>
    <cellStyle name="Migliaia [0] 59 3" xfId="1645" xr:uid="{00000000-0005-0000-0000-0000B0020000}"/>
    <cellStyle name="Migliaia [0] 59 3 2" xfId="4817" xr:uid="{EB9817E4-1086-4664-B73E-B58E57CA1FBA}"/>
    <cellStyle name="Migliaia [0] 59 3 2 2" xfId="18355" xr:uid="{3CE4E538-A511-4ACB-99B5-61CAB387D321}"/>
    <cellStyle name="Migliaia [0] 59 3 2 2 2" xfId="21829" xr:uid="{9E57064E-EF08-4701-BEA1-B351793FC619}"/>
    <cellStyle name="Migliaia [0] 59 3 2 2 2 2" xfId="38350" xr:uid="{06A86793-D0A7-4464-B58E-98B54512DCBF}"/>
    <cellStyle name="Migliaia [0] 59 3 2 2 3" xfId="43652" xr:uid="{06E8CA95-F675-4707-A9CA-96B839D53785}"/>
    <cellStyle name="Migliaia [0] 59 3 2 2 4" xfId="32999" xr:uid="{82CE9F1E-9E38-4814-BA8D-C2709370B014}"/>
    <cellStyle name="Migliaia [0] 59 3 2 3" xfId="35885" xr:uid="{7C9CB7C5-6EB8-45DD-B436-F4B18D1730E3}"/>
    <cellStyle name="Migliaia [0] 59 3 2 4" xfId="41001" xr:uid="{5E692BB5-A193-486D-ABF2-EAE4B189C9E2}"/>
    <cellStyle name="Migliaia [0] 59 3 2 5" xfId="48331" xr:uid="{16C797D5-B518-4E1E-A7BD-D3F5D017602E}"/>
    <cellStyle name="Migliaia [0] 59 3 2 6" xfId="50857" xr:uid="{3F8AD34B-1107-46E9-BC1F-00E1E96B2146}"/>
    <cellStyle name="Migliaia [0] 59 3 2 7" xfId="53873" xr:uid="{E1DA514F-23E2-4B7C-A818-F994E65F0651}"/>
    <cellStyle name="Migliaia [0] 59 3 2 8" xfId="17631" xr:uid="{C1348997-770A-45B9-97F6-DD8815B01B37}"/>
    <cellStyle name="Migliaia [0] 59 3 2 9" xfId="11874" xr:uid="{BDC8CFE3-C7C2-4729-B8E5-5E6851E2E9A4}"/>
    <cellStyle name="Migliaia [0] 59 3 3" xfId="6044" xr:uid="{B52BFB1A-28E7-417A-8CCF-1E007ADAF3FF}"/>
    <cellStyle name="Migliaia [0] 59 3 3 2" xfId="12364" xr:uid="{4938FAC0-E8F0-4502-8BF8-305BDD7757BB}"/>
    <cellStyle name="Migliaia [0] 59 3 4" xfId="3091" xr:uid="{4BDC48B6-5B27-4D1A-AEF8-52FAA4229BE3}"/>
    <cellStyle name="Migliaia [0] 59 3 4 2" xfId="21361" xr:uid="{E67C9B07-EB88-495A-9DBA-4CBFD43B4EFF}"/>
    <cellStyle name="Migliaia [0] 59 3 4 3" xfId="35978" xr:uid="{7FE0FBD3-1298-4F7C-A0A3-53A81EAA9EAD}"/>
    <cellStyle name="Migliaia [0] 59 3 4 4" xfId="50376" xr:uid="{6A5DA285-9157-4F55-8DDC-14B5E9E7062C}"/>
    <cellStyle name="Migliaia [0] 59 3 4 5" xfId="53392" xr:uid="{08921868-2E63-4F76-B790-89F08CDF6A40}"/>
    <cellStyle name="Migliaia [0] 59 3 4 6" xfId="10726" xr:uid="{D3F1F05B-DCD6-4DBA-B2F5-BE635A7B1DF8}"/>
    <cellStyle name="Migliaia [0] 59 3 5" xfId="19770" xr:uid="{C3A6737F-188E-4621-B3EC-86B78A5966C6}"/>
    <cellStyle name="Migliaia [0] 59 3 6" xfId="24155" xr:uid="{D5923145-E9B9-4B6A-A259-A0E30F104938}"/>
    <cellStyle name="Migliaia [0] 59 3 7" xfId="8238" xr:uid="{97234D1A-FDEE-4D10-AF93-F61D6F9A1AAD}"/>
    <cellStyle name="Migliaia [0] 59 4" xfId="3092" xr:uid="{74607B56-75B4-41D7-8722-27D5621E1CAE}"/>
    <cellStyle name="Migliaia [0] 59 4 2" xfId="4818" xr:uid="{80C400A6-B90A-4204-81B7-730CEFEC2390}"/>
    <cellStyle name="Migliaia [0] 59 4 2 2" xfId="35123" xr:uid="{AF167865-94FD-4B13-A43A-28844A2F0C4B}"/>
    <cellStyle name="Migliaia [0] 59 4 2 2 2" xfId="40281" xr:uid="{0D7D05FA-E367-49C5-A634-209E3EC71FB8}"/>
    <cellStyle name="Migliaia [0] 59 4 2 2 3" xfId="45583" xr:uid="{147369F3-86C2-4332-8A92-D757EEE4E259}"/>
    <cellStyle name="Migliaia [0] 59 4 2 3" xfId="37630" xr:uid="{12015804-D70C-46A7-B73E-E183154E466A}"/>
    <cellStyle name="Migliaia [0] 59 4 2 4" xfId="42932" xr:uid="{E718DC67-5E1F-4D51-BAF5-74BE23737228}"/>
    <cellStyle name="Migliaia [0] 59 4 2 5" xfId="17063" xr:uid="{4DC4B956-2571-49A6-AFFE-B2EFC58FB3DF}"/>
    <cellStyle name="Migliaia [0] 59 4 3" xfId="6045" xr:uid="{20CC54EB-6DED-476B-A13A-33EE0E996F19}"/>
    <cellStyle name="Migliaia [0] 59 4 3 2" xfId="38351" xr:uid="{A19DF8F5-703A-4B8A-8D91-FB4832B27D5D}"/>
    <cellStyle name="Migliaia [0] 59 4 3 3" xfId="43653" xr:uid="{16C8B3FF-6C09-4606-A1F3-F301D4B9653B}"/>
    <cellStyle name="Migliaia [0] 59 4 3 4" xfId="33000" xr:uid="{E55C34B8-4A5C-4286-8AEC-300F729FFCD7}"/>
    <cellStyle name="Migliaia [0] 59 4 3 5" xfId="19771" xr:uid="{3585605B-7E01-4F44-9F51-9EC189AEA3CE}"/>
    <cellStyle name="Migliaia [0] 59 4 4" xfId="35886" xr:uid="{D6CFF758-1A1F-421E-9812-E8FBDD192198}"/>
    <cellStyle name="Migliaia [0] 59 4 5" xfId="41002" xr:uid="{EDFDAEEF-06DC-486A-856A-F03A4B5542C5}"/>
    <cellStyle name="Migliaia [0] 59 4 6" xfId="16005" xr:uid="{1044268F-CD29-410F-9958-2FBAD86F740D}"/>
    <cellStyle name="Migliaia [0] 59 4 7" xfId="7818" xr:uid="{E95536B1-3698-4EAA-A99B-B23BA7645F60}"/>
    <cellStyle name="Migliaia [0] 59 5" xfId="4814" xr:uid="{E3ACD634-6BB8-4A42-A021-E00918023DEF}"/>
    <cellStyle name="Migliaia [0] 59 5 2" xfId="33001" xr:uid="{6BDCE75B-5CF3-4DD6-ACA7-E118699655FC}"/>
    <cellStyle name="Migliaia [0] 59 5 2 2" xfId="38352" xr:uid="{DF40A019-F86D-4D40-8E8D-3DAE5DF18940}"/>
    <cellStyle name="Migliaia [0] 59 5 2 3" xfId="43654" xr:uid="{C3E2CB71-0723-470C-9E3C-71F99930B869}"/>
    <cellStyle name="Migliaia [0] 59 5 3" xfId="35887" xr:uid="{BB8FC5F1-149F-44C0-ADD0-7CF8E475D318}"/>
    <cellStyle name="Migliaia [0] 59 5 4" xfId="41003" xr:uid="{FA05C8C6-2F13-48E6-8F86-81CBFA424202}"/>
    <cellStyle name="Migliaia [0] 59 5 5" xfId="17132" xr:uid="{50D5B9F6-6DE9-43E3-AB0A-96F17E5846FA}"/>
    <cellStyle name="Migliaia [0] 59 6" xfId="6042" xr:uid="{24A8B4F7-5C46-439A-BE01-A146F1C5384A}"/>
    <cellStyle name="Migliaia [0] 59 6 2" xfId="38348" xr:uid="{F47A5D04-BAAA-4147-BBCD-249E0137C68E}"/>
    <cellStyle name="Migliaia [0] 59 6 3" xfId="43650" xr:uid="{84461FCD-D445-4982-A8FC-74C8AB821110}"/>
    <cellStyle name="Migliaia [0] 59 6 4" xfId="32997" xr:uid="{D3BD00FF-22C7-42AD-B8D1-D5C737EE367C}"/>
    <cellStyle name="Migliaia [0] 59 6 5" xfId="19767" xr:uid="{897C3390-1878-4A49-B90A-B8CA09DDB29B}"/>
    <cellStyle name="Migliaia [0] 59 7" xfId="3088" xr:uid="{0C50AC25-51E0-4A2F-85C2-9FFC90D3ECB4}"/>
    <cellStyle name="Migliaia [0] 59 7 2" xfId="35883" xr:uid="{A9898DA6-326C-4C99-A5C6-EC5ABE3025B8}"/>
    <cellStyle name="Migliaia [0] 59 8" xfId="40999" xr:uid="{A26FF09E-0BFD-4A6F-B5EC-631B582C405F}"/>
    <cellStyle name="Migliaia [0] 59 9" xfId="7039" xr:uid="{50658F4A-8F87-4532-A50B-7BB96611062C}"/>
    <cellStyle name="Migliaia [0] 6" xfId="297" xr:uid="{00000000-0005-0000-0000-0000B1020000}"/>
    <cellStyle name="Migliaia [0] 6 2" xfId="1646" xr:uid="{00000000-0005-0000-0000-0000B2020000}"/>
    <cellStyle name="Migliaia [0] 6 2 2" xfId="1647" xr:uid="{00000000-0005-0000-0000-0000B3020000}"/>
    <cellStyle name="Migliaia [0] 6 2 2 2" xfId="4821" xr:uid="{FF5AD1E6-BF59-4926-860A-A6AF43F6EDD7}"/>
    <cellStyle name="Migliaia [0] 6 2 2 2 2" xfId="21830" xr:uid="{985DD9CA-4663-4CF5-8A6E-3CE536199F53}"/>
    <cellStyle name="Migliaia [0] 6 2 2 2 3" xfId="47710" xr:uid="{825903D6-FFFF-4382-8AE5-6E36716DC031}"/>
    <cellStyle name="Migliaia [0] 6 2 2 2 4" xfId="50858" xr:uid="{46FD46A1-3430-4B6E-86F3-A1D99547107F}"/>
    <cellStyle name="Migliaia [0] 6 2 2 2 5" xfId="53874" xr:uid="{EF9B4486-83C5-43F8-913F-F6E26C0829E0}"/>
    <cellStyle name="Migliaia [0] 6 2 2 2 6" xfId="11875" xr:uid="{33CB4D07-F94D-4F85-816B-C673DF34C52B}"/>
    <cellStyle name="Migliaia [0] 6 2 2 3" xfId="3095" xr:uid="{88769076-2B97-4D93-A1B7-1FD5D4A4DE80}"/>
    <cellStyle name="Migliaia [0] 6 2 2 3 2" xfId="12323" xr:uid="{57DA90E9-6C75-471E-B67D-7B6B46DF61B4}"/>
    <cellStyle name="Migliaia [0] 6 2 2 4" xfId="10727" xr:uid="{836DC3A4-1203-4912-B5EF-161E620BC906}"/>
    <cellStyle name="Migliaia [0] 6 2 2 4 2" xfId="21362" xr:uid="{EE3122E3-8A24-4919-B6B5-843DCB329708}"/>
    <cellStyle name="Migliaia [0] 6 2 2 4 3" xfId="46200" xr:uid="{A9A65261-3241-4A86-9C05-03525C23DBBA}"/>
    <cellStyle name="Migliaia [0] 6 2 2 4 4" xfId="50377" xr:uid="{CD5E948A-6C49-44EC-AA99-FF1459A7B070}"/>
    <cellStyle name="Migliaia [0] 6 2 2 4 5" xfId="53393" xr:uid="{A3A4BEF0-A69E-4BB1-A81A-B785C27A69F2}"/>
    <cellStyle name="Migliaia [0] 6 2 2 5" xfId="19774" xr:uid="{F9091FA5-3043-4DB3-82D0-49C63E4DD0CC}"/>
    <cellStyle name="Migliaia [0] 6 2 2 6" xfId="24159" xr:uid="{8A33E2F2-B4AE-41B1-99F4-B6F2ECED124B}"/>
    <cellStyle name="Migliaia [0] 6 2 2 7" xfId="48875" xr:uid="{2928278A-EA75-4438-88DB-C0F8914C78D5}"/>
    <cellStyle name="Migliaia [0] 6 2 2 8" xfId="49781" xr:uid="{A3620AA8-3664-4566-B281-95CD4B26EF4F}"/>
    <cellStyle name="Migliaia [0] 6 2 2 9" xfId="8481" xr:uid="{03E88658-21F0-4CC9-94F0-7FF4691AFD41}"/>
    <cellStyle name="Migliaia [0] 6 2 3" xfId="4820" xr:uid="{07119281-F52E-4B61-B6B8-6853C39659D0}"/>
    <cellStyle name="Migliaia [0] 6 2 3 2" xfId="33003" xr:uid="{83F92554-EEAD-4F66-A23A-C2C455DC45D7}"/>
    <cellStyle name="Migliaia [0] 6 2 3 2 2" xfId="38354" xr:uid="{2447B25D-6CA8-4437-B900-F5A9EEE5DA77}"/>
    <cellStyle name="Migliaia [0] 6 2 3 2 3" xfId="43656" xr:uid="{EBAE7F4B-6227-4C18-898A-77286AA8A9CA}"/>
    <cellStyle name="Migliaia [0] 6 2 3 3" xfId="35889" xr:uid="{3FF88BE8-815E-4764-BB2B-11F80EFBD51F}"/>
    <cellStyle name="Migliaia [0] 6 2 3 4" xfId="41005" xr:uid="{588F4A87-26C1-4CC1-B4AD-D256F223D5D6}"/>
    <cellStyle name="Migliaia [0] 6 2 3 5" xfId="11876" xr:uid="{4A8DB07B-63E6-4A5D-92D3-8239ACE098B0}"/>
    <cellStyle name="Migliaia [0] 6 2 4" xfId="6047" xr:uid="{6E5A1789-70C8-4D16-96A1-50B74A305560}"/>
    <cellStyle name="Migliaia [0] 6 2 4 2" xfId="19773" xr:uid="{89AA7129-FD4F-4871-B37F-B99E62F9A2CA}"/>
    <cellStyle name="Migliaia [0] 6 2 5" xfId="3094" xr:uid="{B036836A-83C9-48FA-9A4A-5D3972FC7101}"/>
    <cellStyle name="Migliaia [0] 6 2 5 2" xfId="24158" xr:uid="{AB51A166-7344-441D-B7E9-3FC3EB324A4E}"/>
    <cellStyle name="Migliaia [0] 6 2 6" xfId="7291" xr:uid="{3E9E49E6-3582-44F1-B9B5-68D63289066C}"/>
    <cellStyle name="Migliaia [0] 6 3" xfId="1648" xr:uid="{00000000-0005-0000-0000-0000B4020000}"/>
    <cellStyle name="Migliaia [0] 6 3 2" xfId="4822" xr:uid="{7E9DC6DA-73D6-44AA-AFAE-9AFAD5309075}"/>
    <cellStyle name="Migliaia [0] 6 3 2 2" xfId="18356" xr:uid="{84D1C199-DA33-4A14-931F-C9BE71869D8E}"/>
    <cellStyle name="Migliaia [0] 6 3 2 2 2" xfId="21831" xr:uid="{B6A40EFC-FB4B-4CDC-9792-147C311C7D32}"/>
    <cellStyle name="Migliaia [0] 6 3 2 2 2 2" xfId="38355" xr:uid="{A1FCF414-87EA-47B9-8C14-7AEE3FFA91D0}"/>
    <cellStyle name="Migliaia [0] 6 3 2 2 3" xfId="43657" xr:uid="{A4554BBB-8986-4554-BB87-345F7A034225}"/>
    <cellStyle name="Migliaia [0] 6 3 2 2 4" xfId="33004" xr:uid="{C2DF3B31-6EBC-446C-82EB-0E4B95CCEA4B}"/>
    <cellStyle name="Migliaia [0] 6 3 2 3" xfId="35890" xr:uid="{D3878B8E-A183-4AFB-9DB3-C3F5826F725D}"/>
    <cellStyle name="Migliaia [0] 6 3 2 4" xfId="41006" xr:uid="{C42C5208-5CF7-4C37-A818-12BE783D4871}"/>
    <cellStyle name="Migliaia [0] 6 3 2 5" xfId="46296" xr:uid="{93F5301C-42B4-4FE9-9042-6AD3B97B8F2C}"/>
    <cellStyle name="Migliaia [0] 6 3 2 6" xfId="50859" xr:uid="{74B83789-6E98-485D-A56E-B28996A9260F}"/>
    <cellStyle name="Migliaia [0] 6 3 2 7" xfId="53875" xr:uid="{3BE108F2-F6F9-4784-BFC9-E52B0A7A0645}"/>
    <cellStyle name="Migliaia [0] 6 3 2 8" xfId="17632" xr:uid="{87434F8E-64AB-4EAB-A6CA-1AB9071A9134}"/>
    <cellStyle name="Migliaia [0] 6 3 2 9" xfId="11877" xr:uid="{6643665E-86D7-4FCF-8F2D-45978C4E4F25}"/>
    <cellStyle name="Migliaia [0] 6 3 3" xfId="6048" xr:uid="{0317DC0F-AC0C-4EE0-A856-82BCF9EAC3FE}"/>
    <cellStyle name="Migliaia [0] 6 3 3 2" xfId="12363" xr:uid="{BFA10650-B349-4B61-BB7E-0ADE332931F7}"/>
    <cellStyle name="Migliaia [0] 6 3 4" xfId="3096" xr:uid="{C4071D29-EBE0-4E0C-9B02-F64AA92CBDC6}"/>
    <cellStyle name="Migliaia [0] 6 3 4 2" xfId="21363" xr:uid="{99DB898F-0317-4939-907E-6784203184AA}"/>
    <cellStyle name="Migliaia [0] 6 3 4 3" xfId="47072" xr:uid="{805E58AC-5E42-4912-BD7D-27776B5CE78E}"/>
    <cellStyle name="Migliaia [0] 6 3 4 4" xfId="50378" xr:uid="{CD1C68D4-35EA-4912-A69B-EE3AF939767A}"/>
    <cellStyle name="Migliaia [0] 6 3 4 5" xfId="53394" xr:uid="{3275830C-49CD-4029-B1B1-39190A186741}"/>
    <cellStyle name="Migliaia [0] 6 3 4 6" xfId="10728" xr:uid="{2D80C08C-AA56-4131-8746-BC39BBA78DAC}"/>
    <cellStyle name="Migliaia [0] 6 3 5" xfId="19775" xr:uid="{506F6968-55FF-440E-A756-A8CC50F122CA}"/>
    <cellStyle name="Migliaia [0] 6 3 6" xfId="24161" xr:uid="{DCEE9CB8-4FD1-449F-9A0E-6DF7958DAED2}"/>
    <cellStyle name="Migliaia [0] 6 3 7" xfId="8239" xr:uid="{0C866B08-9463-4FB7-B1F0-0E357FA91B22}"/>
    <cellStyle name="Migliaia [0] 6 4" xfId="3097" xr:uid="{6FE6AD64-0378-4351-B73D-F471E98294AF}"/>
    <cellStyle name="Migliaia [0] 6 4 2" xfId="4823" xr:uid="{C738CE35-7D29-4F54-B19D-AE4AB19913A7}"/>
    <cellStyle name="Migliaia [0] 6 4 2 2" xfId="35124" xr:uid="{A509F258-C842-4E1A-A1C8-323F3B10CA14}"/>
    <cellStyle name="Migliaia [0] 6 4 2 2 2" xfId="40282" xr:uid="{084461FA-EE20-4238-A509-0CAEA9D4356C}"/>
    <cellStyle name="Migliaia [0] 6 4 2 2 3" xfId="45584" xr:uid="{6D0BC7EC-C841-4116-8A46-3E9931610A2A}"/>
    <cellStyle name="Migliaia [0] 6 4 2 3" xfId="37631" xr:uid="{1E72F787-4553-4F98-8ADF-321EF10E6622}"/>
    <cellStyle name="Migliaia [0] 6 4 2 4" xfId="42933" xr:uid="{51B9C8DC-D1BD-47E6-AF52-DEF1A13078AB}"/>
    <cellStyle name="Migliaia [0] 6 4 2 5" xfId="17064" xr:uid="{6F4E5A48-E525-4DB8-ACBA-D03E9064D8BC}"/>
    <cellStyle name="Migliaia [0] 6 4 3" xfId="6049" xr:uid="{AC863FE8-FF82-49F9-9828-D7A33A4C7C31}"/>
    <cellStyle name="Migliaia [0] 6 4 3 2" xfId="38356" xr:uid="{4E7168E2-FB30-463A-BE5C-7740C060E828}"/>
    <cellStyle name="Migliaia [0] 6 4 3 3" xfId="43658" xr:uid="{C70F8A95-58B9-4B10-9FD8-75D9E5C2B00B}"/>
    <cellStyle name="Migliaia [0] 6 4 3 4" xfId="33005" xr:uid="{B239F9F9-A093-4A90-9AC4-685EB0A06CFC}"/>
    <cellStyle name="Migliaia [0] 6 4 3 5" xfId="19776" xr:uid="{4A4A9D09-CF3E-41C8-B624-A7893C14144C}"/>
    <cellStyle name="Migliaia [0] 6 4 4" xfId="35891" xr:uid="{DCF1788D-20D1-472D-9C1D-38364D6129A3}"/>
    <cellStyle name="Migliaia [0] 6 4 5" xfId="41007" xr:uid="{3AD16752-56AA-4F4B-85C7-2A57FFA3ECD6}"/>
    <cellStyle name="Migliaia [0] 6 4 6" xfId="16006" xr:uid="{97A4223E-6AB8-43D1-98A9-9E83C61A851B}"/>
    <cellStyle name="Migliaia [0] 6 4 7" xfId="7819" xr:uid="{84F2DAA4-1D7E-474A-8B34-A01BF338A6CF}"/>
    <cellStyle name="Migliaia [0] 6 5" xfId="4819" xr:uid="{34ACB464-23E0-4A92-B6DB-E45AE5B36925}"/>
    <cellStyle name="Migliaia [0] 6 5 2" xfId="33006" xr:uid="{530BCBDA-FB26-495A-8749-401834A39AE1}"/>
    <cellStyle name="Migliaia [0] 6 5 2 2" xfId="38357" xr:uid="{CF456DE0-5BEE-4169-8FE5-CEC6A5719A17}"/>
    <cellStyle name="Migliaia [0] 6 5 2 3" xfId="43659" xr:uid="{2F25991D-2090-4CC5-87E1-5E2CC2F4C075}"/>
    <cellStyle name="Migliaia [0] 6 5 3" xfId="35892" xr:uid="{6A6C0E28-DE07-4B36-889D-D615E0EE7EA3}"/>
    <cellStyle name="Migliaia [0] 6 5 4" xfId="41008" xr:uid="{662BA6A0-1488-49CE-A526-803C5F71F5B5}"/>
    <cellStyle name="Migliaia [0] 6 5 5" xfId="17133" xr:uid="{EA2F9F99-A5B4-4736-B303-C7F85F226D37}"/>
    <cellStyle name="Migliaia [0] 6 6" xfId="6046" xr:uid="{B1A0424C-8D6F-44D8-AD14-84D4B0537A13}"/>
    <cellStyle name="Migliaia [0] 6 6 2" xfId="38353" xr:uid="{E44F0F06-9C04-4470-A98A-E493DC8B483A}"/>
    <cellStyle name="Migliaia [0] 6 6 3" xfId="43655" xr:uid="{AB706C5F-9579-4C37-8AD0-2C03BCCFD2FC}"/>
    <cellStyle name="Migliaia [0] 6 6 4" xfId="33002" xr:uid="{0446C9C7-B98E-4AC0-9B7A-8101C408741D}"/>
    <cellStyle name="Migliaia [0] 6 6 5" xfId="19772" xr:uid="{B237526B-C920-4ACA-8896-A8DD052400C9}"/>
    <cellStyle name="Migliaia [0] 6 7" xfId="3093" xr:uid="{970D0782-8B41-4CA2-8EE1-02BAFF50D160}"/>
    <cellStyle name="Migliaia [0] 6 7 2" xfId="35888" xr:uid="{4250154D-A1B1-4799-A927-D748E4C662D2}"/>
    <cellStyle name="Migliaia [0] 6 8" xfId="41004" xr:uid="{542A35E1-8B48-4969-8B05-31C03968993E}"/>
    <cellStyle name="Migliaia [0] 6 9" xfId="7040" xr:uid="{07F0BB81-AD39-4273-A61C-88EBB03E33F5}"/>
    <cellStyle name="Migliaia [0] 7" xfId="298" xr:uid="{00000000-0005-0000-0000-0000B5020000}"/>
    <cellStyle name="Migliaia [0] 7 2" xfId="1649" xr:uid="{00000000-0005-0000-0000-0000B6020000}"/>
    <cellStyle name="Migliaia [0] 7 2 2" xfId="1650" xr:uid="{00000000-0005-0000-0000-0000B7020000}"/>
    <cellStyle name="Migliaia [0] 7 2 2 2" xfId="4826" xr:uid="{3A230641-9A52-4047-B624-C50A6C2658C9}"/>
    <cellStyle name="Migliaia [0] 7 2 2 2 2" xfId="21832" xr:uid="{E64E36A0-4CAD-42AC-BFD0-500FF337CD4D}"/>
    <cellStyle name="Migliaia [0] 7 2 2 2 3" xfId="46297" xr:uid="{DB0A6D25-C44B-41B5-AB72-387B499E67BF}"/>
    <cellStyle name="Migliaia [0] 7 2 2 2 4" xfId="50860" xr:uid="{4D323808-1AD6-405C-A250-5965F029CC4D}"/>
    <cellStyle name="Migliaia [0] 7 2 2 2 5" xfId="53876" xr:uid="{CF36B1BC-8B41-41F9-A5C9-578ACB66A82E}"/>
    <cellStyle name="Migliaia [0] 7 2 2 2 6" xfId="11878" xr:uid="{B49315C7-B81B-48F9-AE71-58B46AD7059D}"/>
    <cellStyle name="Migliaia [0] 7 2 2 3" xfId="3100" xr:uid="{1285F521-5119-45F3-9B09-FE0AE282ED90}"/>
    <cellStyle name="Migliaia [0] 7 2 2 3 2" xfId="11679" xr:uid="{5FEE2D2D-107E-4B2B-B76E-EE3331D49C28}"/>
    <cellStyle name="Migliaia [0] 7 2 2 4" xfId="10729" xr:uid="{CB502C9C-90E6-4564-997D-96A79F80B47E}"/>
    <cellStyle name="Migliaia [0] 7 2 2 4 2" xfId="21364" xr:uid="{C0287757-834B-415A-BF4F-DCE36D1FDAE8}"/>
    <cellStyle name="Migliaia [0] 7 2 2 4 3" xfId="46201" xr:uid="{8CD23A32-6854-46D5-9AFD-A69E5A6866B6}"/>
    <cellStyle name="Migliaia [0] 7 2 2 4 4" xfId="50379" xr:uid="{0CA7837D-3A77-4431-99BD-B4DAD2E74894}"/>
    <cellStyle name="Migliaia [0] 7 2 2 4 5" xfId="53395" xr:uid="{DBCD65CC-6061-4267-B215-4759FAD9DF35}"/>
    <cellStyle name="Migliaia [0] 7 2 2 5" xfId="19779" xr:uid="{D08B5603-21A6-4744-8D42-38D51C2E6D71}"/>
    <cellStyle name="Migliaia [0] 7 2 2 6" xfId="24167" xr:uid="{A8B4864A-2645-42CA-A80C-CEC81EF1B2C9}"/>
    <cellStyle name="Migliaia [0] 7 2 2 7" xfId="48876" xr:uid="{7AA684FD-04AB-43C1-A191-D3D0224AFBD4}"/>
    <cellStyle name="Migliaia [0] 7 2 2 8" xfId="49782" xr:uid="{617434F1-4C55-43CE-B417-3A9DF26DBCD6}"/>
    <cellStyle name="Migliaia [0] 7 2 2 9" xfId="8482" xr:uid="{737E5244-1C0A-4442-8ED9-3ED735421684}"/>
    <cellStyle name="Migliaia [0] 7 2 3" xfId="4825" xr:uid="{30DB4908-B790-40A6-8735-F2E75985CFBD}"/>
    <cellStyle name="Migliaia [0] 7 2 3 2" xfId="33008" xr:uid="{6C737C9D-C4C7-423F-9A42-7CAF30B22DA9}"/>
    <cellStyle name="Migliaia [0] 7 2 3 2 2" xfId="38359" xr:uid="{C762AD10-C481-4AFD-AA38-E8952B84FF67}"/>
    <cellStyle name="Migliaia [0] 7 2 3 2 3" xfId="43661" xr:uid="{1C591BFA-1001-45A4-A3AC-7CDA0B7ED2BD}"/>
    <cellStyle name="Migliaia [0] 7 2 3 3" xfId="35894" xr:uid="{8E9B994E-1540-42D4-BC3D-E5A5E8524B25}"/>
    <cellStyle name="Migliaia [0] 7 2 3 4" xfId="41010" xr:uid="{CC0D9EFC-761B-4E40-A882-0313D49565DA}"/>
    <cellStyle name="Migliaia [0] 7 2 3 5" xfId="11879" xr:uid="{8924A4FB-31F8-48CD-B7ED-5B0B21E6B6A7}"/>
    <cellStyle name="Migliaia [0] 7 2 4" xfId="6051" xr:uid="{E0C8543D-CE12-485D-94A1-4EFE78497198}"/>
    <cellStyle name="Migliaia [0] 7 2 4 2" xfId="19778" xr:uid="{ED16BCBF-00C9-4F10-A458-D987565CF2B8}"/>
    <cellStyle name="Migliaia [0] 7 2 5" xfId="3099" xr:uid="{314EBA8D-5665-44F2-B50A-D71B73D77714}"/>
    <cellStyle name="Migliaia [0] 7 2 5 2" xfId="24166" xr:uid="{5761338A-2170-4A14-8E3D-4988DF5F9E1F}"/>
    <cellStyle name="Migliaia [0] 7 2 6" xfId="7292" xr:uid="{54487EC0-06E0-470B-BEB3-D5CD957A1898}"/>
    <cellStyle name="Migliaia [0] 7 3" xfId="1651" xr:uid="{00000000-0005-0000-0000-0000B8020000}"/>
    <cellStyle name="Migliaia [0] 7 3 2" xfId="4827" xr:uid="{5991A37A-BC88-4FE1-A1EA-DDBCAE813419}"/>
    <cellStyle name="Migliaia [0] 7 3 2 2" xfId="18357" xr:uid="{FC614E08-0756-48E9-9A69-5B7100EE203C}"/>
    <cellStyle name="Migliaia [0] 7 3 2 2 2" xfId="21833" xr:uid="{9DA38163-4D86-4F49-8E22-374571CA2CA5}"/>
    <cellStyle name="Migliaia [0] 7 3 2 2 2 2" xfId="38360" xr:uid="{206FE0C2-B469-456A-9688-CD0CE0C86AF3}"/>
    <cellStyle name="Migliaia [0] 7 3 2 2 3" xfId="43662" xr:uid="{30AAA158-8441-4E33-AE9E-2B19A328C7D5}"/>
    <cellStyle name="Migliaia [0] 7 3 2 2 4" xfId="33009" xr:uid="{5C6AF449-CE22-43DD-82AC-55C74646DB0A}"/>
    <cellStyle name="Migliaia [0] 7 3 2 3" xfId="35895" xr:uid="{D07BF74B-AAA4-45CB-B4DF-1EE09C95A402}"/>
    <cellStyle name="Migliaia [0] 7 3 2 4" xfId="41011" xr:uid="{5084AEE2-8FF8-4102-9B20-928C1C6C9B3B}"/>
    <cellStyle name="Migliaia [0] 7 3 2 5" xfId="36321" xr:uid="{1C15DD6E-9F37-4D9D-8C3A-7021D5BF9F6D}"/>
    <cellStyle name="Migliaia [0] 7 3 2 6" xfId="50861" xr:uid="{A5E1726B-D19E-45BD-88EE-7CFC16F990AB}"/>
    <cellStyle name="Migliaia [0] 7 3 2 7" xfId="53877" xr:uid="{CC4B7AA7-EF6F-4928-9185-EAB1CB8BCA19}"/>
    <cellStyle name="Migliaia [0] 7 3 2 8" xfId="17633" xr:uid="{59B23268-C601-4477-A8DB-25621BE0DB21}"/>
    <cellStyle name="Migliaia [0] 7 3 2 9" xfId="11880" xr:uid="{AB35F12B-EACC-4435-BFEF-72485E704DE7}"/>
    <cellStyle name="Migliaia [0] 7 3 3" xfId="6052" xr:uid="{D351C09E-EEDC-4759-84B0-B06D795522C0}"/>
    <cellStyle name="Migliaia [0] 7 3 3 2" xfId="11670" xr:uid="{B5B7AF32-6C2A-4111-B313-F1EAC712A1FF}"/>
    <cellStyle name="Migliaia [0] 7 3 4" xfId="3101" xr:uid="{999862CA-74D9-47CB-901B-27C03647BD3B}"/>
    <cellStyle name="Migliaia [0] 7 3 4 2" xfId="21365" xr:uid="{69C7D7C8-DE79-40FA-8C63-92000A7799CC}"/>
    <cellStyle name="Migliaia [0] 7 3 4 3" xfId="47412" xr:uid="{A5945849-D7D3-41A1-A63A-427F8FC99B4C}"/>
    <cellStyle name="Migliaia [0] 7 3 4 4" xfId="50380" xr:uid="{F16619B2-819F-4B5F-9D54-5CA122C16CFC}"/>
    <cellStyle name="Migliaia [0] 7 3 4 5" xfId="53396" xr:uid="{C37CEEA0-DDE1-4E29-849D-A3A09803E0A8}"/>
    <cellStyle name="Migliaia [0] 7 3 4 6" xfId="10730" xr:uid="{6AD08E28-4270-4B10-BFBB-F33A82F90923}"/>
    <cellStyle name="Migliaia [0] 7 3 5" xfId="19780" xr:uid="{BAEE20DB-D820-440F-840D-EDAD3B2066C3}"/>
    <cellStyle name="Migliaia [0] 7 3 6" xfId="24169" xr:uid="{F98F91EE-28F7-4F4C-98A0-499A6A8492C7}"/>
    <cellStyle name="Migliaia [0] 7 3 7" xfId="8240" xr:uid="{AB170E3B-4C90-41FA-B45A-206F82A3D513}"/>
    <cellStyle name="Migliaia [0] 7 4" xfId="3102" xr:uid="{09E6BB3F-14A3-45CB-8011-94723E00218C}"/>
    <cellStyle name="Migliaia [0] 7 4 2" xfId="4828" xr:uid="{F7546F5C-EB34-4392-9AA3-880BEBC9E473}"/>
    <cellStyle name="Migliaia [0] 7 4 2 2" xfId="35125" xr:uid="{E580768C-47BD-4476-8A7C-94C3B9C6786A}"/>
    <cellStyle name="Migliaia [0] 7 4 2 2 2" xfId="40283" xr:uid="{9867E8F8-06B7-4624-808E-6F01303564B7}"/>
    <cellStyle name="Migliaia [0] 7 4 2 2 3" xfId="45585" xr:uid="{48F4634B-8189-4EBA-8266-EB1320B12529}"/>
    <cellStyle name="Migliaia [0] 7 4 2 3" xfId="37632" xr:uid="{6297F5FE-A5A4-412B-9A95-48E01E11F420}"/>
    <cellStyle name="Migliaia [0] 7 4 2 4" xfId="42934" xr:uid="{A0415E9E-A9AA-4671-B05C-65F937B63A54}"/>
    <cellStyle name="Migliaia [0] 7 4 2 5" xfId="17065" xr:uid="{EC959530-1D47-4883-8E30-3E887439F7C9}"/>
    <cellStyle name="Migliaia [0] 7 4 3" xfId="6053" xr:uid="{3389BD2C-FF73-4DC5-8845-50CC901B7313}"/>
    <cellStyle name="Migliaia [0] 7 4 3 2" xfId="38361" xr:uid="{52FEC27E-BF0A-4061-A5A3-8341A4AE3B24}"/>
    <cellStyle name="Migliaia [0] 7 4 3 3" xfId="43663" xr:uid="{56F4DD85-06F7-48CD-AF22-08BF9098CE10}"/>
    <cellStyle name="Migliaia [0] 7 4 3 4" xfId="33010" xr:uid="{8C2AA744-7AA7-46D9-92BC-0CDC2E8D890D}"/>
    <cellStyle name="Migliaia [0] 7 4 3 5" xfId="19781" xr:uid="{D0409FB5-C36A-4B75-96A7-BADB8E4BA9EA}"/>
    <cellStyle name="Migliaia [0] 7 4 4" xfId="35896" xr:uid="{F05943B4-E6D5-450C-89E2-402E1F2DB192}"/>
    <cellStyle name="Migliaia [0] 7 4 5" xfId="41012" xr:uid="{6A0DB98A-6860-4082-8454-9CA497DB8654}"/>
    <cellStyle name="Migliaia [0] 7 4 6" xfId="16007" xr:uid="{74B311BC-CCAB-45CC-B4C6-87C066EB8C50}"/>
    <cellStyle name="Migliaia [0] 7 4 7" xfId="7820" xr:uid="{03B81DA7-18F9-47E5-A9D7-F802BE5E66F6}"/>
    <cellStyle name="Migliaia [0] 7 5" xfId="4824" xr:uid="{BA326C9D-72AD-49D3-BE9A-C036757DAFD9}"/>
    <cellStyle name="Migliaia [0] 7 5 2" xfId="33011" xr:uid="{79DA1F16-9D0F-4FEA-A2A0-18EAEE4735B5}"/>
    <cellStyle name="Migliaia [0] 7 5 2 2" xfId="38362" xr:uid="{97F4244E-34FE-4761-969A-64014D35A76E}"/>
    <cellStyle name="Migliaia [0] 7 5 2 3" xfId="43664" xr:uid="{58662F27-A16F-44CD-B412-E2CB5D2EC60C}"/>
    <cellStyle name="Migliaia [0] 7 5 3" xfId="35897" xr:uid="{394E25FF-857B-43C5-9997-5E6905CD6D71}"/>
    <cellStyle name="Migliaia [0] 7 5 4" xfId="41013" xr:uid="{E7754B27-04EC-4022-869C-67DA4165FD0C}"/>
    <cellStyle name="Migliaia [0] 7 5 5" xfId="17134" xr:uid="{7A9CB8E5-485A-4CA2-9F82-879B7FA0F035}"/>
    <cellStyle name="Migliaia [0] 7 6" xfId="6050" xr:uid="{A4F0FA15-22CB-446D-9876-CA21805D843A}"/>
    <cellStyle name="Migliaia [0] 7 6 2" xfId="38358" xr:uid="{3C3A828B-3019-429F-9955-463EF6E06A97}"/>
    <cellStyle name="Migliaia [0] 7 6 3" xfId="43660" xr:uid="{4CC10430-F244-4D8A-B76C-446D73F6462A}"/>
    <cellStyle name="Migliaia [0] 7 6 4" xfId="33007" xr:uid="{5EE8DEEE-FE0B-41C8-BDB5-80D43CF9DC5A}"/>
    <cellStyle name="Migliaia [0] 7 6 5" xfId="19777" xr:uid="{5618D6EA-25AB-464E-951D-504AEA5A6C19}"/>
    <cellStyle name="Migliaia [0] 7 7" xfId="3098" xr:uid="{1FE9D56E-3E9A-4936-99BE-862A4D79822E}"/>
    <cellStyle name="Migliaia [0] 7 7 2" xfId="35893" xr:uid="{C8DC1C45-7E8C-401C-B872-D4AED2ABDBED}"/>
    <cellStyle name="Migliaia [0] 7 8" xfId="41009" xr:uid="{47373865-41FA-49E7-B744-25CD09B58908}"/>
    <cellStyle name="Migliaia [0] 7 9" xfId="7041" xr:uid="{02010990-4D80-4000-8779-A3ABB6712779}"/>
    <cellStyle name="Migliaia [0] 8" xfId="299" xr:uid="{00000000-0005-0000-0000-0000B9020000}"/>
    <cellStyle name="Migliaia [0] 8 2" xfId="1652" xr:uid="{00000000-0005-0000-0000-0000BA020000}"/>
    <cellStyle name="Migliaia [0] 8 2 2" xfId="1653" xr:uid="{00000000-0005-0000-0000-0000BB020000}"/>
    <cellStyle name="Migliaia [0] 8 2 2 2" xfId="4831" xr:uid="{9FF8390D-759B-407C-B69D-8F4ACB183510}"/>
    <cellStyle name="Migliaia [0] 8 2 2 2 2" xfId="21834" xr:uid="{2AF0D86E-15D9-4143-BB5D-925CFA6E032B}"/>
    <cellStyle name="Migliaia [0] 8 2 2 2 3" xfId="46743" xr:uid="{FE9F316E-9250-4448-88E6-13BF3D1B833F}"/>
    <cellStyle name="Migliaia [0] 8 2 2 2 4" xfId="50862" xr:uid="{5A1B8C22-6DBD-46D5-996E-0B80E5B58789}"/>
    <cellStyle name="Migliaia [0] 8 2 2 2 5" xfId="53878" xr:uid="{B42AC399-45EF-435A-9134-44AB8BA0AC3A}"/>
    <cellStyle name="Migliaia [0] 8 2 2 2 6" xfId="11881" xr:uid="{CBBCBC42-B9DC-4CAC-98D0-9A8321143F2B}"/>
    <cellStyle name="Migliaia [0] 8 2 2 3" xfId="3105" xr:uid="{CE98BE60-9006-41AE-9AF0-2EFD47090D4C}"/>
    <cellStyle name="Migliaia [0] 8 2 2 3 2" xfId="11556" xr:uid="{2F6DC517-4B44-47BE-83E6-DBF7A2398A47}"/>
    <cellStyle name="Migliaia [0] 8 2 2 4" xfId="10731" xr:uid="{F65D0762-EF99-4CED-8805-FB3B51745DFD}"/>
    <cellStyle name="Migliaia [0] 8 2 2 4 2" xfId="21366" xr:uid="{BA336212-D19F-4F74-AE54-FEB5862645C5}"/>
    <cellStyle name="Migliaia [0] 8 2 2 4 3" xfId="46202" xr:uid="{279DC2AB-E11F-4811-B69D-CBD135FD428C}"/>
    <cellStyle name="Migliaia [0] 8 2 2 4 4" xfId="50381" xr:uid="{414DA6C7-A29F-4613-903D-B47AA3A640F3}"/>
    <cellStyle name="Migliaia [0] 8 2 2 4 5" xfId="53397" xr:uid="{B8433AB4-D8A0-473F-8E72-1D062D9C95E4}"/>
    <cellStyle name="Migliaia [0] 8 2 2 5" xfId="19784" xr:uid="{009755DC-ADC0-4C33-B166-38C9E4C6ED76}"/>
    <cellStyle name="Migliaia [0] 8 2 2 6" xfId="24175" xr:uid="{B6B96997-B9AE-4FB9-95F7-9802B382F043}"/>
    <cellStyle name="Migliaia [0] 8 2 2 7" xfId="48877" xr:uid="{130DF843-6123-4B22-8005-3D43179C2842}"/>
    <cellStyle name="Migliaia [0] 8 2 2 8" xfId="49783" xr:uid="{42A7906C-ADA1-44ED-9557-75B4E51A991B}"/>
    <cellStyle name="Migliaia [0] 8 2 2 9" xfId="8483" xr:uid="{E378C287-5D92-4C50-8B33-07E7ADA6AE1E}"/>
    <cellStyle name="Migliaia [0] 8 2 3" xfId="4830" xr:uid="{A8C927B4-1E32-482C-A022-A6005C8DAE4A}"/>
    <cellStyle name="Migliaia [0] 8 2 3 2" xfId="33013" xr:uid="{401E6A3E-3E15-4F83-9183-7B97E6DEE2BD}"/>
    <cellStyle name="Migliaia [0] 8 2 3 2 2" xfId="38364" xr:uid="{B67758E2-973D-4591-AF3F-13F1067B0A4E}"/>
    <cellStyle name="Migliaia [0] 8 2 3 2 3" xfId="43666" xr:uid="{79DAC828-77CE-460F-B9B6-B3B0725FE43B}"/>
    <cellStyle name="Migliaia [0] 8 2 3 3" xfId="35899" xr:uid="{F033EB53-607A-4BEA-A15B-6F2CA4C60F50}"/>
    <cellStyle name="Migliaia [0] 8 2 3 4" xfId="41015" xr:uid="{B4DC6553-A2B4-4DD6-9E32-85CFD6803856}"/>
    <cellStyle name="Migliaia [0] 8 2 3 5" xfId="11882" xr:uid="{DA927751-272E-4ECD-B61F-B0AC3168FE0C}"/>
    <cellStyle name="Migliaia [0] 8 2 4" xfId="6055" xr:uid="{E152400E-ED79-44C2-A01E-B930E293D9F2}"/>
    <cellStyle name="Migliaia [0] 8 2 4 2" xfId="19783" xr:uid="{7F30A2EA-2F1C-4431-AD9A-24AB94DD1288}"/>
    <cellStyle name="Migliaia [0] 8 2 5" xfId="3104" xr:uid="{5EF69358-7B7B-4A74-B581-C1A333FE779B}"/>
    <cellStyle name="Migliaia [0] 8 2 5 2" xfId="24174" xr:uid="{FB02C2BB-546C-4861-980B-F94BDBDBE9A2}"/>
    <cellStyle name="Migliaia [0] 8 2 6" xfId="7293" xr:uid="{99F8A046-2FCB-4F1C-80E4-9F0E5AD8B857}"/>
    <cellStyle name="Migliaia [0] 8 3" xfId="1654" xr:uid="{00000000-0005-0000-0000-0000BC020000}"/>
    <cellStyle name="Migliaia [0] 8 3 2" xfId="4832" xr:uid="{E55D5662-5EC5-4C89-81E2-268A5AF9CF4C}"/>
    <cellStyle name="Migliaia [0] 8 3 2 2" xfId="18358" xr:uid="{EF3DA47C-324D-4A7D-A116-090D9572ECF5}"/>
    <cellStyle name="Migliaia [0] 8 3 2 2 2" xfId="21835" xr:uid="{72BFD90A-58D0-4634-A8B9-33217C6DF941}"/>
    <cellStyle name="Migliaia [0] 8 3 2 2 2 2" xfId="38365" xr:uid="{BD17B3C8-95ED-4983-AD14-088A02794F43}"/>
    <cellStyle name="Migliaia [0] 8 3 2 2 3" xfId="43667" xr:uid="{B297C598-5C76-4BDF-83A5-DC9219D787E1}"/>
    <cellStyle name="Migliaia [0] 8 3 2 2 4" xfId="33014" xr:uid="{2E5385C9-5849-4071-82A4-E300E31870AF}"/>
    <cellStyle name="Migliaia [0] 8 3 2 3" xfId="35900" xr:uid="{3002CA44-EE12-428D-A567-92E5140996BB}"/>
    <cellStyle name="Migliaia [0] 8 3 2 4" xfId="41016" xr:uid="{FD3CA9DA-597B-4364-8126-437D2FD96B73}"/>
    <cellStyle name="Migliaia [0] 8 3 2 5" xfId="48289" xr:uid="{CD5BEA9B-CD7A-489E-8DE2-05E6E39A8161}"/>
    <cellStyle name="Migliaia [0] 8 3 2 6" xfId="50863" xr:uid="{DE89E45C-5A29-427B-A84E-16FC3445D661}"/>
    <cellStyle name="Migliaia [0] 8 3 2 7" xfId="53879" xr:uid="{9E2C641D-3982-490B-9798-F51794BA230A}"/>
    <cellStyle name="Migliaia [0] 8 3 2 8" xfId="17634" xr:uid="{10E41853-A306-4B8F-87CC-3CC0C2462330}"/>
    <cellStyle name="Migliaia [0] 8 3 2 9" xfId="11883" xr:uid="{B6739F1C-A223-4EED-A918-E752F6966BD0}"/>
    <cellStyle name="Migliaia [0] 8 3 3" xfId="6056" xr:uid="{AB173F62-079B-4446-A80C-A8CDF8B32301}"/>
    <cellStyle name="Migliaia [0] 8 3 3 2" xfId="11119" xr:uid="{82E2988B-33DA-4AD0-9EB6-618565C0F7A4}"/>
    <cellStyle name="Migliaia [0] 8 3 4" xfId="3106" xr:uid="{EA9158A6-4B9F-4616-9C20-EA3633CFC18D}"/>
    <cellStyle name="Migliaia [0] 8 3 4 2" xfId="21367" xr:uid="{927FBC3F-A0C4-48BF-AAAE-4BFDD7962D4F}"/>
    <cellStyle name="Migliaia [0] 8 3 4 3" xfId="48004" xr:uid="{94F66C76-7375-4DDE-88EB-E85E7F50E280}"/>
    <cellStyle name="Migliaia [0] 8 3 4 4" xfId="50382" xr:uid="{7FD4032B-A2EC-42D1-B880-514B7CF3CC98}"/>
    <cellStyle name="Migliaia [0] 8 3 4 5" xfId="53398" xr:uid="{95B58BB9-422E-4A36-AA90-4634A6A4C8BC}"/>
    <cellStyle name="Migliaia [0] 8 3 4 6" xfId="10732" xr:uid="{EAC687A2-FC6D-4AAD-800A-6F88DDAFF224}"/>
    <cellStyle name="Migliaia [0] 8 3 5" xfId="19785" xr:uid="{410A9B43-1501-4D2C-A94A-C7F70E127F65}"/>
    <cellStyle name="Migliaia [0] 8 3 6" xfId="24177" xr:uid="{00542776-6BBC-4659-B7D6-743818E7BE43}"/>
    <cellStyle name="Migliaia [0] 8 3 7" xfId="8241" xr:uid="{D3AA93F1-07AA-456A-B354-2608732E32C8}"/>
    <cellStyle name="Migliaia [0] 8 4" xfId="3107" xr:uid="{42B44F06-A944-448B-B636-0A94D87A6196}"/>
    <cellStyle name="Migliaia [0] 8 4 2" xfId="4833" xr:uid="{0018B7D3-7EC0-4AF5-8260-6ACDB9FE225A}"/>
    <cellStyle name="Migliaia [0] 8 4 2 2" xfId="35126" xr:uid="{1FBD7255-64DF-40FD-95C8-55339791449D}"/>
    <cellStyle name="Migliaia [0] 8 4 2 2 2" xfId="40284" xr:uid="{CDDAB619-58F6-485C-8E5D-8B531D1DE302}"/>
    <cellStyle name="Migliaia [0] 8 4 2 2 3" xfId="45586" xr:uid="{96FD5A2A-D2D7-4F48-B1AB-7DF0F5026647}"/>
    <cellStyle name="Migliaia [0] 8 4 2 3" xfId="37633" xr:uid="{5486A701-D70D-4510-B021-BADC62960F32}"/>
    <cellStyle name="Migliaia [0] 8 4 2 4" xfId="42935" xr:uid="{6CC0E4BA-E5F3-4F4F-9B00-F6AE8F5432FD}"/>
    <cellStyle name="Migliaia [0] 8 4 2 5" xfId="17066" xr:uid="{8273B699-03B5-4A9F-9C2B-17C36FB8C933}"/>
    <cellStyle name="Migliaia [0] 8 4 3" xfId="6057" xr:uid="{64F68C14-9D61-4E40-A078-7F44F6A3061B}"/>
    <cellStyle name="Migliaia [0] 8 4 3 2" xfId="38366" xr:uid="{74B3C009-B8B0-4C5F-A5B6-B7D9D1685474}"/>
    <cellStyle name="Migliaia [0] 8 4 3 3" xfId="43668" xr:uid="{E346D102-8406-41F4-A1D3-8C35672A2AC5}"/>
    <cellStyle name="Migliaia [0] 8 4 3 4" xfId="33015" xr:uid="{86C5CB38-79F0-4D70-98A2-F61D0BF9DF72}"/>
    <cellStyle name="Migliaia [0] 8 4 3 5" xfId="19786" xr:uid="{D44AB121-020C-42EF-BFDE-9F2D88191257}"/>
    <cellStyle name="Migliaia [0] 8 4 4" xfId="35901" xr:uid="{1E57E387-EA9B-48C2-A13B-00A02A331A69}"/>
    <cellStyle name="Migliaia [0] 8 4 5" xfId="41017" xr:uid="{ECFEB6CD-EC8B-490D-8196-B0B0305FB982}"/>
    <cellStyle name="Migliaia [0] 8 4 6" xfId="16008" xr:uid="{4B58D1DD-70B2-4621-8223-57016BFC8F6A}"/>
    <cellStyle name="Migliaia [0] 8 4 7" xfId="7821" xr:uid="{5565D122-6CBA-43C1-BB81-052CB0866005}"/>
    <cellStyle name="Migliaia [0] 8 5" xfId="4829" xr:uid="{56154EF9-C464-4DE3-9645-CF40DA145D87}"/>
    <cellStyle name="Migliaia [0] 8 5 2" xfId="33016" xr:uid="{E026C3E9-0D7D-4466-996A-B9237D1E8C9C}"/>
    <cellStyle name="Migliaia [0] 8 5 2 2" xfId="38367" xr:uid="{2BBD9858-CD75-4C4A-ADAE-82DE96E1CCBE}"/>
    <cellStyle name="Migliaia [0] 8 5 2 3" xfId="43669" xr:uid="{EB8F1B7D-66EF-4F70-8F9E-70148A5676C8}"/>
    <cellStyle name="Migliaia [0] 8 5 3" xfId="35902" xr:uid="{5168D489-6856-4E73-BAD9-C143A78E23DC}"/>
    <cellStyle name="Migliaia [0] 8 5 4" xfId="41018" xr:uid="{24A4E1EE-C405-4ADD-A16D-7CEE963DCC80}"/>
    <cellStyle name="Migliaia [0] 8 5 5" xfId="17135" xr:uid="{7232076D-C757-47B4-8111-738592EDB332}"/>
    <cellStyle name="Migliaia [0] 8 6" xfId="6054" xr:uid="{24649AC4-A41B-478E-AD8D-63197797D7FC}"/>
    <cellStyle name="Migliaia [0] 8 6 2" xfId="38363" xr:uid="{014E37F0-7FC6-437E-BF6B-B8FF0874E1C2}"/>
    <cellStyle name="Migliaia [0] 8 6 3" xfId="43665" xr:uid="{CAC220A1-2975-4105-9097-6BFC959B9E52}"/>
    <cellStyle name="Migliaia [0] 8 6 4" xfId="33012" xr:uid="{9F3D76B0-B62F-4A5D-A50E-D319303F3551}"/>
    <cellStyle name="Migliaia [0] 8 6 5" xfId="19782" xr:uid="{6EEEC5D2-41A2-4861-88A7-A1A1C9BBDA33}"/>
    <cellStyle name="Migliaia [0] 8 7" xfId="3103" xr:uid="{9ED4EE9C-176B-4AE4-A8CB-F564CB0B63AB}"/>
    <cellStyle name="Migliaia [0] 8 7 2" xfId="35898" xr:uid="{04718543-EEE1-432F-AE5F-00A953382B27}"/>
    <cellStyle name="Migliaia [0] 8 8" xfId="41014" xr:uid="{B0D92C83-CEEC-42D6-B393-6AE333354439}"/>
    <cellStyle name="Migliaia [0] 8 9" xfId="7042" xr:uid="{382FCB15-65DB-48C9-B4F1-55E5AD09D05C}"/>
    <cellStyle name="Migliaia [0] 9" xfId="300" xr:uid="{00000000-0005-0000-0000-0000BD020000}"/>
    <cellStyle name="Migliaia [0] 9 2" xfId="1655" xr:uid="{00000000-0005-0000-0000-0000BE020000}"/>
    <cellStyle name="Migliaia [0] 9 2 2" xfId="1656" xr:uid="{00000000-0005-0000-0000-0000BF020000}"/>
    <cellStyle name="Migliaia [0] 9 2 2 2" xfId="4836" xr:uid="{5FD7E025-5265-4BBB-8D2C-1F4E23AD1990}"/>
    <cellStyle name="Migliaia [0] 9 2 2 2 2" xfId="21836" xr:uid="{F102BC42-ADE4-42AB-868C-5642262ABABA}"/>
    <cellStyle name="Migliaia [0] 9 2 2 2 3" xfId="46298" xr:uid="{68A780D6-8307-4290-96DC-BED8849C39A6}"/>
    <cellStyle name="Migliaia [0] 9 2 2 2 4" xfId="50864" xr:uid="{39B9513E-C92B-49A5-A9C3-EA01D5CAED7C}"/>
    <cellStyle name="Migliaia [0] 9 2 2 2 5" xfId="53880" xr:uid="{5F696234-F7A2-4E28-8753-192C511FC38B}"/>
    <cellStyle name="Migliaia [0] 9 2 2 2 6" xfId="11884" xr:uid="{EA035CC6-8B84-4161-A18A-8807131DAC39}"/>
    <cellStyle name="Migliaia [0] 9 2 2 3" xfId="3110" xr:uid="{1981BF27-08BC-4CC5-94C3-737DE5898ADF}"/>
    <cellStyle name="Migliaia [0] 9 2 2 3 2" xfId="12322" xr:uid="{220D6EED-13E8-4DBC-BCDC-DB5F9CF2F4BF}"/>
    <cellStyle name="Migliaia [0] 9 2 2 4" xfId="10733" xr:uid="{E231DAEB-F6EF-47FF-BAA9-0FE7173CD7C4}"/>
    <cellStyle name="Migliaia [0] 9 2 2 4 2" xfId="21368" xr:uid="{E12FAAAB-96F0-4615-93CC-87A282CA6D0B}"/>
    <cellStyle name="Migliaia [0] 9 2 2 4 3" xfId="25358" xr:uid="{775B05F2-07EF-4539-85B9-79018041FDE9}"/>
    <cellStyle name="Migliaia [0] 9 2 2 4 4" xfId="50383" xr:uid="{C9ADF795-C884-49B9-8B70-13C54029E1BB}"/>
    <cellStyle name="Migliaia [0] 9 2 2 4 5" xfId="53399" xr:uid="{E8EE116F-5016-462B-9F19-CA5C518DDEEB}"/>
    <cellStyle name="Migliaia [0] 9 2 2 5" xfId="19789" xr:uid="{34130ECF-F33D-41B8-ACAA-C0CE58DAFB21}"/>
    <cellStyle name="Migliaia [0] 9 2 2 6" xfId="24183" xr:uid="{780B2AE8-08E8-4AF2-BF8E-9A95CC199176}"/>
    <cellStyle name="Migliaia [0] 9 2 2 7" xfId="48878" xr:uid="{68499EA8-6D44-4C1D-9200-17F74D89980D}"/>
    <cellStyle name="Migliaia [0] 9 2 2 8" xfId="49784" xr:uid="{7A272495-8C1D-461F-A7E0-9A1185597E02}"/>
    <cellStyle name="Migliaia [0] 9 2 2 9" xfId="8484" xr:uid="{88F9B1DC-3277-464E-8F36-E0D3F19FE70C}"/>
    <cellStyle name="Migliaia [0] 9 2 3" xfId="4835" xr:uid="{4E4EC15B-B91E-4087-899B-AEED016B64C7}"/>
    <cellStyle name="Migliaia [0] 9 2 3 2" xfId="33018" xr:uid="{463FC740-7C2C-44A5-95B3-DB5FB58D2965}"/>
    <cellStyle name="Migliaia [0] 9 2 3 2 2" xfId="38369" xr:uid="{053E50CC-0EFE-48F9-82CE-ADABF0EF42C0}"/>
    <cellStyle name="Migliaia [0] 9 2 3 2 3" xfId="43671" xr:uid="{0EAA14CC-8090-4A5A-8DE5-360AEB54BA19}"/>
    <cellStyle name="Migliaia [0] 9 2 3 3" xfId="35904" xr:uid="{7B84D886-0AF0-4121-BC6D-301B3CB2FC62}"/>
    <cellStyle name="Migliaia [0] 9 2 3 4" xfId="41020" xr:uid="{59740AB5-5738-4D13-9E99-7F153C819B3C}"/>
    <cellStyle name="Migliaia [0] 9 2 3 5" xfId="11885" xr:uid="{662E611D-46C2-4878-96A6-4459A8E70D23}"/>
    <cellStyle name="Migliaia [0] 9 2 4" xfId="6059" xr:uid="{6CFC8A18-C5C9-45B1-9BC2-3D210B8763A5}"/>
    <cellStyle name="Migliaia [0] 9 2 4 2" xfId="19788" xr:uid="{71662E0E-EE60-4181-BFE3-09E94898F19D}"/>
    <cellStyle name="Migliaia [0] 9 2 5" xfId="3109" xr:uid="{B2D83EED-D225-4823-BB0E-34B1D854D514}"/>
    <cellStyle name="Migliaia [0] 9 2 5 2" xfId="24182" xr:uid="{36F295FC-BF71-4C1E-A418-016420BB3B9E}"/>
    <cellStyle name="Migliaia [0] 9 2 6" xfId="7294" xr:uid="{45B35A55-218F-4B1A-8F82-096E50EB5113}"/>
    <cellStyle name="Migliaia [0] 9 3" xfId="1657" xr:uid="{00000000-0005-0000-0000-0000C0020000}"/>
    <cellStyle name="Migliaia [0] 9 3 2" xfId="4837" xr:uid="{0F8FBF84-3CE8-4C49-A992-F0056AD59728}"/>
    <cellStyle name="Migliaia [0] 9 3 2 2" xfId="18359" xr:uid="{D082EE40-9EBD-4986-AC83-ED3474A8EE6C}"/>
    <cellStyle name="Migliaia [0] 9 3 2 2 2" xfId="21837" xr:uid="{3825037A-CA81-49C2-AA42-7A6D27A08454}"/>
    <cellStyle name="Migliaia [0] 9 3 2 2 2 2" xfId="38370" xr:uid="{9317554C-40C5-40ED-AFDB-83F6C4195ADD}"/>
    <cellStyle name="Migliaia [0] 9 3 2 2 3" xfId="43672" xr:uid="{A3912BB2-987E-4933-B772-364564D15378}"/>
    <cellStyle name="Migliaia [0] 9 3 2 2 4" xfId="33019" xr:uid="{1CB45D6E-0ED6-4C39-A4FA-BA2EE604C985}"/>
    <cellStyle name="Migliaia [0] 9 3 2 3" xfId="35905" xr:uid="{5792ECEB-D999-4002-8E07-29804C607138}"/>
    <cellStyle name="Migliaia [0] 9 3 2 4" xfId="41021" xr:uid="{F2950D2C-00B1-4569-AD2E-FFDBC0BEDBB4}"/>
    <cellStyle name="Migliaia [0] 9 3 2 5" xfId="47225" xr:uid="{61AF55A0-B723-4174-B01A-700235B4575B}"/>
    <cellStyle name="Migliaia [0] 9 3 2 6" xfId="50865" xr:uid="{4B6A6FD7-2699-453C-9AEC-F038C014749B}"/>
    <cellStyle name="Migliaia [0] 9 3 2 7" xfId="53881" xr:uid="{3EB412AD-42B0-493C-879E-C38E436B000B}"/>
    <cellStyle name="Migliaia [0] 9 3 2 8" xfId="17635" xr:uid="{D3F9336E-11A5-4230-95F4-981C7080F8C2}"/>
    <cellStyle name="Migliaia [0] 9 3 2 9" xfId="11886" xr:uid="{DC01DA1D-8CC9-490E-9DE9-2A8BFDE07332}"/>
    <cellStyle name="Migliaia [0] 9 3 3" xfId="6060" xr:uid="{05A47E1A-B474-45C5-8F9D-874462179E20}"/>
    <cellStyle name="Migliaia [0] 9 3 3 2" xfId="12362" xr:uid="{023C2C59-74FE-4D73-8927-E414F1662E0E}"/>
    <cellStyle name="Migliaia [0] 9 3 4" xfId="3111" xr:uid="{79205EAD-548A-4299-ADDC-BC70D5B50083}"/>
    <cellStyle name="Migliaia [0] 9 3 4 2" xfId="21369" xr:uid="{43250911-A6FA-47D6-BB49-2F9AE4328EDF}"/>
    <cellStyle name="Migliaia [0] 9 3 4 3" xfId="47800" xr:uid="{16A013D1-5F63-4811-B0B5-5498D6EE7846}"/>
    <cellStyle name="Migliaia [0] 9 3 4 4" xfId="50384" xr:uid="{B15573F9-BDFB-4A14-A49D-3C529CE50A65}"/>
    <cellStyle name="Migliaia [0] 9 3 4 5" xfId="53400" xr:uid="{E1981AA1-45C0-4886-9FBC-C9D2690052A4}"/>
    <cellStyle name="Migliaia [0] 9 3 4 6" xfId="10734" xr:uid="{8F30582D-D45C-4EED-9543-1B8BA3120636}"/>
    <cellStyle name="Migliaia [0] 9 3 5" xfId="19790" xr:uid="{0E0B3BA5-755C-449E-9713-829C1ACA968F}"/>
    <cellStyle name="Migliaia [0] 9 3 6" xfId="24185" xr:uid="{501B27FD-C3C7-4548-91A8-141928F30402}"/>
    <cellStyle name="Migliaia [0] 9 3 7" xfId="8242" xr:uid="{97B1513C-CDC2-4EDB-82C0-1E928F73617F}"/>
    <cellStyle name="Migliaia [0] 9 4" xfId="3112" xr:uid="{19D79E60-EEE3-4AFF-9789-9908328B7618}"/>
    <cellStyle name="Migliaia [0] 9 4 2" xfId="4838" xr:uid="{672546F8-B57B-4A09-806D-F24E1A45D124}"/>
    <cellStyle name="Migliaia [0] 9 4 2 2" xfId="35127" xr:uid="{094F6DCB-26C5-4993-8511-670DF2CDBEA0}"/>
    <cellStyle name="Migliaia [0] 9 4 2 2 2" xfId="40285" xr:uid="{C67C351B-009B-4D90-9CE5-E14D927D754B}"/>
    <cellStyle name="Migliaia [0] 9 4 2 2 3" xfId="45587" xr:uid="{80FC3C66-1790-484E-8BFB-18615AD4C405}"/>
    <cellStyle name="Migliaia [0] 9 4 2 3" xfId="37634" xr:uid="{5631AF58-0E81-4E59-A92B-DDCAA5E3943B}"/>
    <cellStyle name="Migliaia [0] 9 4 2 4" xfId="42936" xr:uid="{05777389-EB4A-4F6A-94B6-963AE12696F0}"/>
    <cellStyle name="Migliaia [0] 9 4 2 5" xfId="17576" xr:uid="{B1091FA4-D733-4710-A61A-5C541C6F9F99}"/>
    <cellStyle name="Migliaia [0] 9 4 3" xfId="6061" xr:uid="{C3490AC5-BC11-484A-A3B8-A8D8D45F77E7}"/>
    <cellStyle name="Migliaia [0] 9 4 3 2" xfId="38371" xr:uid="{036D3A43-A3F1-4F6B-B1F4-159C276D6CBE}"/>
    <cellStyle name="Migliaia [0] 9 4 3 3" xfId="43673" xr:uid="{6459CAFB-DD41-415B-AC12-B0202E854C28}"/>
    <cellStyle name="Migliaia [0] 9 4 3 4" xfId="33020" xr:uid="{9373E3F7-6A97-4240-AC43-0A6AB51B929A}"/>
    <cellStyle name="Migliaia [0] 9 4 3 5" xfId="19791" xr:uid="{10CE5B63-D8E2-4F2C-86A2-BAB15D8B8AEE}"/>
    <cellStyle name="Migliaia [0] 9 4 4" xfId="35906" xr:uid="{47FCC044-E27F-4718-8311-1F4966D0D5B0}"/>
    <cellStyle name="Migliaia [0] 9 4 5" xfId="41022" xr:uid="{50C83FA1-8F64-477D-AD10-107BAA6E0A02}"/>
    <cellStyle name="Migliaia [0] 9 4 6" xfId="16009" xr:uid="{7C221D1E-E4B0-496E-9031-208068D77601}"/>
    <cellStyle name="Migliaia [0] 9 4 7" xfId="7822" xr:uid="{1D8FCED2-3849-40A2-A95B-FEAED93DA73A}"/>
    <cellStyle name="Migliaia [0] 9 5" xfId="4834" xr:uid="{7FF4374C-0386-4479-AAC9-401AD615DAB2}"/>
    <cellStyle name="Migliaia [0] 9 5 2" xfId="33021" xr:uid="{0F49F8EB-5C75-4855-8B7A-AAD84F021630}"/>
    <cellStyle name="Migliaia [0] 9 5 2 2" xfId="38372" xr:uid="{8B7959D2-810D-49FF-ACF4-BCA5B53B38EB}"/>
    <cellStyle name="Migliaia [0] 9 5 2 3" xfId="43674" xr:uid="{7A86860D-150B-4C92-B64F-40005C3BEEB6}"/>
    <cellStyle name="Migliaia [0] 9 5 3" xfId="35907" xr:uid="{2991CA7B-F253-42C8-BE2F-52EAB7E12093}"/>
    <cellStyle name="Migliaia [0] 9 5 4" xfId="41023" xr:uid="{B5C9B9EA-52FF-4BF1-8523-FBDB98C518BD}"/>
    <cellStyle name="Migliaia [0] 9 5 5" xfId="17136" xr:uid="{AA059FA3-0D0E-4F0A-B194-061770CF70E8}"/>
    <cellStyle name="Migliaia [0] 9 6" xfId="6058" xr:uid="{1169638F-FCB5-4427-BF62-698B0CFAB2A4}"/>
    <cellStyle name="Migliaia [0] 9 6 2" xfId="38368" xr:uid="{F59335D7-5F6D-4311-BD02-23A37AF04B5A}"/>
    <cellStyle name="Migliaia [0] 9 6 3" xfId="43670" xr:uid="{05CE6E27-8FC5-4E7C-9CFD-459508511D36}"/>
    <cellStyle name="Migliaia [0] 9 6 4" xfId="33017" xr:uid="{CA80F2A3-DED6-4461-98CD-18AF505E6B73}"/>
    <cellStyle name="Migliaia [0] 9 6 5" xfId="19787" xr:uid="{4934403C-04E3-4911-BBB3-9276DDDE3545}"/>
    <cellStyle name="Migliaia [0] 9 7" xfId="3108" xr:uid="{E97C50CB-0575-494D-A9D4-E7B7C540CDF9}"/>
    <cellStyle name="Migliaia [0] 9 7 2" xfId="35903" xr:uid="{852E73C3-C10D-4EC2-9A82-BBC487659376}"/>
    <cellStyle name="Migliaia [0] 9 8" xfId="41019" xr:uid="{5C5D33C9-06F4-436A-A072-A4072DB7CABF}"/>
    <cellStyle name="Migliaia [0] 9 9" xfId="7043" xr:uid="{9F2673B6-1657-4E60-8141-7A2B3DED0BD6}"/>
    <cellStyle name="Migliaia 10" xfId="301" xr:uid="{00000000-0005-0000-0000-0000C1020000}"/>
    <cellStyle name="Migliaia 10 10" xfId="6062" xr:uid="{9F3F750A-25A9-4F5F-8AAE-D77FD64D6E26}"/>
    <cellStyle name="Migliaia 10 10 2" xfId="38373" xr:uid="{F784C85F-2312-44AA-A303-7272EF53D8B5}"/>
    <cellStyle name="Migliaia 10 10 3" xfId="43675" xr:uid="{B77EA58E-BD1F-4FFC-ABF2-3B13039518CC}"/>
    <cellStyle name="Migliaia 10 10 4" xfId="33022" xr:uid="{734CC00F-99E4-4F90-AE5B-BE994B440C05}"/>
    <cellStyle name="Migliaia 10 10 5" xfId="19792" xr:uid="{33B32DF4-4C75-4785-B52E-42E5F3A43F9C}"/>
    <cellStyle name="Migliaia 10 11" xfId="3113" xr:uid="{87F0B160-BE96-4131-8803-06789C394A9A}"/>
    <cellStyle name="Migliaia 10 11 2" xfId="35908" xr:uid="{772EA25E-95DE-4B57-84F1-0091322815E3}"/>
    <cellStyle name="Migliaia 10 12" xfId="41024" xr:uid="{794F1C1E-D695-490B-BFF2-1ED610DDCE98}"/>
    <cellStyle name="Migliaia 10 13" xfId="7044" xr:uid="{54F84677-1036-4798-B85A-71F01322967C}"/>
    <cellStyle name="Migliaia 10 2" xfId="302" xr:uid="{00000000-0005-0000-0000-0000C2020000}"/>
    <cellStyle name="Migliaia 10 2 2" xfId="1658" xr:uid="{00000000-0005-0000-0000-0000C3020000}"/>
    <cellStyle name="Migliaia 10 2 2 2" xfId="4841" xr:uid="{4FCCF3A9-551F-4251-A9FA-066227C7A3CC}"/>
    <cellStyle name="Migliaia 10 2 2 2 2" xfId="14363" xr:uid="{7A98FF72-189D-4919-A58D-E556BC74D311}"/>
    <cellStyle name="Migliaia 10 2 2 2 2 2" xfId="38374" xr:uid="{DE9D6479-A919-408E-BB93-303A2614B3E7}"/>
    <cellStyle name="Migliaia 10 2 2 2 2 3" xfId="43676" xr:uid="{8307411A-92F3-40B7-BA5D-A245A73D214A}"/>
    <cellStyle name="Migliaia 10 2 2 2 3" xfId="18360" xr:uid="{36C4A1FF-54CF-47F3-8F25-F6DA09BC48B1}"/>
    <cellStyle name="Migliaia 10 2 2 2 4" xfId="19795" xr:uid="{AED175D7-13B9-48D1-AE03-EB5E2C5ACBD9}"/>
    <cellStyle name="Migliaia 10 2 2 2 4 2" xfId="41025" xr:uid="{6D686C9E-7C4A-46A6-A051-8E622C700ABA}"/>
    <cellStyle name="Migliaia 10 2 2 2 5" xfId="16010" xr:uid="{A0C55B20-68CF-4E66-98CA-1FDC0B73C513}"/>
    <cellStyle name="Migliaia 10 2 2 2 6" xfId="8486" xr:uid="{0A559FB9-9899-47BD-8FA0-D9020CCBA890}"/>
    <cellStyle name="Migliaia 10 2 2 3" xfId="6064" xr:uid="{F236CB6D-CD39-47FC-965F-4D8928DB3590}"/>
    <cellStyle name="Migliaia 10 2 2 3 2" xfId="35128" xr:uid="{028A8DBD-9E3B-4F60-8BCB-51870851E166}"/>
    <cellStyle name="Migliaia 10 2 2 3 2 2" xfId="40286" xr:uid="{B3674F73-2FFA-4E17-B8A0-C02E6C2FD7C9}"/>
    <cellStyle name="Migliaia 10 2 2 3 2 3" xfId="45588" xr:uid="{64CEA3EB-6155-45BF-B76F-C175CC42DC17}"/>
    <cellStyle name="Migliaia 10 2 2 3 3" xfId="37635" xr:uid="{64269FBB-35BD-42FD-9995-D418FAD0BB4D}"/>
    <cellStyle name="Migliaia 10 2 2 3 4" xfId="42937" xr:uid="{592014CA-E08D-4BC3-A36A-766C00B41CAA}"/>
    <cellStyle name="Migliaia 10 2 2 3 5" xfId="11592" xr:uid="{F4BF75AD-DD12-4435-9A85-FF08495D0E75}"/>
    <cellStyle name="Migliaia 10 2 2 4" xfId="3115" xr:uid="{307CC970-7098-47DB-8D61-6D998AE07405}"/>
    <cellStyle name="Migliaia 10 2 2 4 2" xfId="21370" xr:uid="{22EC565F-C151-4596-B60F-FE926EA7D4C8}"/>
    <cellStyle name="Migliaia 10 2 2 4 3" xfId="46639" xr:uid="{AD494A6C-FFCC-451B-BD88-432E4F21D101}"/>
    <cellStyle name="Migliaia 10 2 2 4 4" xfId="50385" xr:uid="{ECAB7405-681D-4273-B04E-EBC9151937D0}"/>
    <cellStyle name="Migliaia 10 2 2 4 5" xfId="53401" xr:uid="{5EF2FC4A-7145-425A-A41A-E459E2F670C8}"/>
    <cellStyle name="Migliaia 10 2 2 4 6" xfId="10735" xr:uid="{6224F5F3-3E32-461A-9B33-33E64CA54293}"/>
    <cellStyle name="Migliaia 10 2 2 5" xfId="19794" xr:uid="{43C58FD7-6328-4F9C-A3CD-2C3240799631}"/>
    <cellStyle name="Migliaia 10 2 2 6" xfId="24191" xr:uid="{4788BF93-8692-4606-B86A-E4F6C5095497}"/>
    <cellStyle name="Migliaia 10 2 2 7" xfId="7296" xr:uid="{E9BB3108-23ED-4145-AB29-5F384B1EBBA7}"/>
    <cellStyle name="Migliaia 10 2 3" xfId="3116" xr:uid="{14E37A83-20BF-4C1A-90EE-3795AF12FBED}"/>
    <cellStyle name="Migliaia 10 2 3 2" xfId="4842" xr:uid="{3A07B38C-04D6-4CB5-9F52-879D0FDB345C}"/>
    <cellStyle name="Migliaia 10 2 3 2 2" xfId="35129" xr:uid="{06559696-D95D-4461-B323-6DE7E4A90454}"/>
    <cellStyle name="Migliaia 10 2 3 2 2 2" xfId="40287" xr:uid="{5374D27D-5511-46D4-B5BB-24A4FCF277F7}"/>
    <cellStyle name="Migliaia 10 2 3 2 2 3" xfId="45589" xr:uid="{3B497547-4F80-462C-A32B-482A857EBD3D}"/>
    <cellStyle name="Migliaia 10 2 3 2 3" xfId="37636" xr:uid="{97AF2DE9-C4A2-4FB1-8EAD-1B3E04434F00}"/>
    <cellStyle name="Migliaia 10 2 3 2 4" xfId="42938" xr:uid="{99FD44B7-7D6B-4C15-85A6-242ED0539950}"/>
    <cellStyle name="Migliaia 10 2 3 2 5" xfId="14182" xr:uid="{4FEA0C00-7FE7-4B82-B4E4-29ED320BB56F}"/>
    <cellStyle name="Migliaia 10 2 3 3" xfId="6065" xr:uid="{A3A626A1-4E21-41B2-8711-6F4F455DCC2D}"/>
    <cellStyle name="Migliaia 10 2 3 3 2" xfId="38375" xr:uid="{48FBFDE2-1ED3-4BF9-8EBA-E7933CB41AEF}"/>
    <cellStyle name="Migliaia 10 2 3 3 3" xfId="43677" xr:uid="{9CAED91B-5C9A-4B0C-8B5E-026545B47BDE}"/>
    <cellStyle name="Migliaia 10 2 3 3 4" xfId="33024" xr:uid="{734D6A8E-C3F7-46BE-8A8B-C5386F14DFBC}"/>
    <cellStyle name="Migliaia 10 2 3 3 5" xfId="19796" xr:uid="{B4FF55BF-EF54-48AD-A6CD-E01EF0AD9E4E}"/>
    <cellStyle name="Migliaia 10 2 3 4" xfId="35910" xr:uid="{D92EDAE9-46D6-4F08-B40C-F9EDCF6D7B60}"/>
    <cellStyle name="Migliaia 10 2 3 5" xfId="41026" xr:uid="{32A08195-D533-4DC0-9A7F-EEAF0616D5CD}"/>
    <cellStyle name="Migliaia 10 2 3 6" xfId="16011" xr:uid="{9CB4AD0F-23B3-4A17-A5FE-68C4C254D46D}"/>
    <cellStyle name="Migliaia 10 2 3 7" xfId="8244" xr:uid="{537CF635-4D42-4C5A-A860-405C7DE9EE51}"/>
    <cellStyle name="Migliaia 10 2 4" xfId="4840" xr:uid="{F2E1EBAC-0DE2-4790-8A21-20FE86499B4E}"/>
    <cellStyle name="Migliaia 10 2 4 2" xfId="13885" xr:uid="{9E6CE036-4D2C-493E-86D0-E31821B69314}"/>
    <cellStyle name="Migliaia 10 2 4 2 2" xfId="38376" xr:uid="{367E7EFE-D0F9-4D61-B957-54BC985B4206}"/>
    <cellStyle name="Migliaia 10 2 4 2 3" xfId="43678" xr:uid="{71CDD133-6F80-49AB-B81D-39676540F154}"/>
    <cellStyle name="Migliaia 10 2 4 3" xfId="18729" xr:uid="{A8BE815D-C1E9-424A-A2B3-072E78BA1059}"/>
    <cellStyle name="Migliaia 10 2 4 4" xfId="19797" xr:uid="{F62BB894-1835-4117-B180-9BD78226D71D}"/>
    <cellStyle name="Migliaia 10 2 4 4 2" xfId="41027" xr:uid="{DF0C6CF2-4DD5-43B7-B417-F8B72FE927CF}"/>
    <cellStyle name="Migliaia 10 2 4 5" xfId="16012" xr:uid="{5B7566D4-65A5-4C3E-BDEA-1711E9241B03}"/>
    <cellStyle name="Migliaia 10 2 4 6" xfId="7824" xr:uid="{6827ACA4-7532-494F-BF75-3B6530EE89B8}"/>
    <cellStyle name="Migliaia 10 2 5" xfId="6063" xr:uid="{4902E973-CA72-49EA-8846-1609DFB6CDB3}"/>
    <cellStyle name="Migliaia 10 2 5 2" xfId="33026" xr:uid="{F97A5B6E-065A-412B-B07C-564649D8975C}"/>
    <cellStyle name="Migliaia 10 2 5 2 2" xfId="38377" xr:uid="{FB5FCF8A-5427-4DA1-A943-A02D298FBEC7}"/>
    <cellStyle name="Migliaia 10 2 5 2 3" xfId="43679" xr:uid="{30A5C614-0B39-4F7F-8B55-F394DA291DD0}"/>
    <cellStyle name="Migliaia 10 2 5 3" xfId="35911" xr:uid="{C7E3D2D8-82A3-4578-BA31-2C461FECFB33}"/>
    <cellStyle name="Migliaia 10 2 5 4" xfId="41028" xr:uid="{D4781B12-41E8-46F1-9F4E-C226061F2C37}"/>
    <cellStyle name="Migliaia 10 2 5 5" xfId="13103" xr:uid="{D3000516-E8B6-48B7-8005-4A2FEFF2C3AB}"/>
    <cellStyle name="Migliaia 10 2 6" xfId="3114" xr:uid="{2ABEF558-69AA-4301-BCE1-CA87D073A5BB}"/>
    <cellStyle name="Migliaia 10 2 6 2" xfId="33027" xr:uid="{C8122728-AB78-4620-94D3-B83A42F5ABA6}"/>
    <cellStyle name="Migliaia 10 2 6 2 2" xfId="38378" xr:uid="{118641D2-73FC-47E0-9C13-2CFD73F4AB37}"/>
    <cellStyle name="Migliaia 10 2 6 2 3" xfId="43680" xr:uid="{D6F4EED3-EC12-43A8-8A56-4431A7744F7A}"/>
    <cellStyle name="Migliaia 10 2 6 3" xfId="35912" xr:uid="{1A9D24E7-3550-46B1-BBAB-0CD087992FC6}"/>
    <cellStyle name="Migliaia 10 2 6 4" xfId="41029" xr:uid="{775E3F37-0C8A-470C-97C9-9B7611F63084}"/>
    <cellStyle name="Migliaia 10 2 6 5" xfId="24195" xr:uid="{486D1188-D3A4-4EDA-B3A4-DDCFBB7F3B35}"/>
    <cellStyle name="Migliaia 10 2 6 6" xfId="19793" xr:uid="{FA257537-9EE2-4AA2-9382-3F42F7AE4ACB}"/>
    <cellStyle name="Migliaia 10 2 7" xfId="24190" xr:uid="{BD5A7D44-6CDB-43A9-AED8-AA93E7F264C5}"/>
    <cellStyle name="Migliaia 10 2 8" xfId="7045" xr:uid="{1BCD4E8B-1923-4FE9-BDC5-AB33A66CF62F}"/>
    <cellStyle name="Migliaia 10 3" xfId="303" xr:uid="{00000000-0005-0000-0000-0000C4020000}"/>
    <cellStyle name="Migliaia 10 3 10" xfId="24196" xr:uid="{0BB18BD9-D144-42B2-A25F-4F0E24DC27DF}"/>
    <cellStyle name="Migliaia 10 3 11" xfId="16013" xr:uid="{26851F4A-FDD7-4A36-A154-3BF1C627F6BE}"/>
    <cellStyle name="Migliaia 10 3 12" xfId="7046" xr:uid="{B806D1EC-3128-4FE5-88A4-8BC26E9F36EE}"/>
    <cellStyle name="Migliaia 10 3 2" xfId="304" xr:uid="{00000000-0005-0000-0000-0000C5020000}"/>
    <cellStyle name="Migliaia 10 3 2 2" xfId="1659" xr:uid="{00000000-0005-0000-0000-0000C6020000}"/>
    <cellStyle name="Migliaia 10 3 2 2 2" xfId="4845" xr:uid="{E1235BE6-2F34-41F0-BC63-0F6DBE40EB9F}"/>
    <cellStyle name="Migliaia 10 3 2 2 2 2" xfId="18361" xr:uid="{83618839-D4BE-4EA1-80F3-391325A46F3F}"/>
    <cellStyle name="Migliaia 10 3 2 2 2 2 2" xfId="21838" xr:uid="{E24E37EE-8FAF-4CE4-ACAE-33578A471C81}"/>
    <cellStyle name="Migliaia 10 3 2 2 2 2 2 2" xfId="38379" xr:uid="{0EC60797-6158-4EC7-8B11-CF1E5D797E17}"/>
    <cellStyle name="Migliaia 10 3 2 2 2 2 3" xfId="43681" xr:uid="{3B31803F-851E-4A78-A497-AA16AE58B6B7}"/>
    <cellStyle name="Migliaia 10 3 2 2 2 2 4" xfId="33028" xr:uid="{0252CB39-D3F9-4BC9-92E0-03F096044535}"/>
    <cellStyle name="Migliaia 10 3 2 2 2 3" xfId="35913" xr:uid="{87FD4EAB-67F8-4BFE-948C-A3560240FC29}"/>
    <cellStyle name="Migliaia 10 3 2 2 2 4" xfId="41030" xr:uid="{2081D1A2-E580-4C0D-ADDC-C5D602D3239F}"/>
    <cellStyle name="Migliaia 10 3 2 2 2 5" xfId="46744" xr:uid="{B79C0A41-827D-4CF3-9710-8B65C2FB8303}"/>
    <cellStyle name="Migliaia 10 3 2 2 2 6" xfId="50866" xr:uid="{56828E72-0754-4305-A993-F933C21D00D8}"/>
    <cellStyle name="Migliaia 10 3 2 2 2 7" xfId="53882" xr:uid="{905334BE-E823-4C05-85C9-6A88E6702DDE}"/>
    <cellStyle name="Migliaia 10 3 2 2 2 8" xfId="17639" xr:uid="{1A6A6AA2-9213-433E-A2F2-2799E31188A4}"/>
    <cellStyle name="Migliaia 10 3 2 2 2 9" xfId="11887" xr:uid="{992148A2-C2B4-4A94-BB26-2BBBF317C0F9}"/>
    <cellStyle name="Migliaia 10 3 2 2 3" xfId="6068" xr:uid="{C13E6D0F-BAB4-490D-860E-2E7D42017FCE}"/>
    <cellStyle name="Migliaia 10 3 2 2 3 2" xfId="11680" xr:uid="{570323AC-A38F-4AA8-A2BE-187CCEB68AA4}"/>
    <cellStyle name="Migliaia 10 3 2 2 4" xfId="3119" xr:uid="{DF55D60F-9DD1-4D2D-9D89-C6E84D2A4718}"/>
    <cellStyle name="Migliaia 10 3 2 2 4 2" xfId="21371" xr:uid="{485A9FC3-904B-4D99-BE34-294834F8514A}"/>
    <cellStyle name="Migliaia 10 3 2 2 4 3" xfId="48315" xr:uid="{3A83FA8A-89EC-4B86-83AE-E27DCFCFE53B}"/>
    <cellStyle name="Migliaia 10 3 2 2 4 4" xfId="50386" xr:uid="{4CA09EE8-CC3C-4EC9-AF11-BBCFEA2FA2B4}"/>
    <cellStyle name="Migliaia 10 3 2 2 4 5" xfId="53402" xr:uid="{8E192F1C-4049-4BFE-879B-7367A7776619}"/>
    <cellStyle name="Migliaia 10 3 2 2 4 6" xfId="10736" xr:uid="{6BC7DC2B-23D8-48CA-8659-5B9108671078}"/>
    <cellStyle name="Migliaia 10 3 2 2 5" xfId="19800" xr:uid="{805F853E-9E6E-494B-921C-FE0E3D6FAD5F}"/>
    <cellStyle name="Migliaia 10 3 2 2 6" xfId="24198" xr:uid="{61385194-FBB5-47A0-B25C-BB43D5DD0EBF}"/>
    <cellStyle name="Migliaia 10 3 2 2 7" xfId="8488" xr:uid="{14F6E90B-5C52-40F6-8623-9A165FB49414}"/>
    <cellStyle name="Migliaia 10 3 2 3" xfId="4844" xr:uid="{3B06EAF2-A82A-4A34-B174-E3D996F1FE55}"/>
    <cellStyle name="Migliaia 10 3 2 3 2" xfId="11655" xr:uid="{4F205021-8B05-4DC4-83AB-19A241CED703}"/>
    <cellStyle name="Migliaia 10 3 2 3 2 2" xfId="38380" xr:uid="{CE126976-1E01-4645-91F8-298D03B5C69B}"/>
    <cellStyle name="Migliaia 10 3 2 3 2 3" xfId="43682" xr:uid="{40F49801-7DB8-468A-9771-4B0A621CF716}"/>
    <cellStyle name="Migliaia 10 3 2 3 2 4" xfId="33029" xr:uid="{A60DDAA8-8614-4F91-85C5-2A47447D34AB}"/>
    <cellStyle name="Migliaia 10 3 2 3 3" xfId="11888" xr:uid="{105ADD8A-462F-4909-AE6D-70AB38D9B5DB}"/>
    <cellStyle name="Migliaia 10 3 2 3 4" xfId="19801" xr:uid="{43500F48-58BB-4540-BAE7-C615921F2816}"/>
    <cellStyle name="Migliaia 10 3 2 3 4 2" xfId="41031" xr:uid="{80CE712F-2E25-4001-9E6F-B21208F0B4BF}"/>
    <cellStyle name="Migliaia 10 3 2 3 5" xfId="16014" xr:uid="{487F19B4-1903-4C9E-9794-BA8A23238A79}"/>
    <cellStyle name="Migliaia 10 3 2 3 6" xfId="7826" xr:uid="{5458986E-7654-40F9-9195-DA454D677B16}"/>
    <cellStyle name="Migliaia 10 3 2 4" xfId="6067" xr:uid="{FC2CB318-F6FE-4ACB-BED8-EC3F67D4821D}"/>
    <cellStyle name="Migliaia 10 3 2 4 2" xfId="18058" xr:uid="{1E2E6B95-202F-478F-988C-0862D0688CE7}"/>
    <cellStyle name="Migliaia 10 3 2 4 2 2" xfId="38381" xr:uid="{642E818A-6DB0-4509-8799-4427D25BDE7E}"/>
    <cellStyle name="Migliaia 10 3 2 4 2 3" xfId="43683" xr:uid="{934ACF79-5106-42E8-A807-87FA93246FFA}"/>
    <cellStyle name="Migliaia 10 3 2 4 3" xfId="35914" xr:uid="{227F7294-5C62-4958-806E-E757A8F5FF26}"/>
    <cellStyle name="Migliaia 10 3 2 4 4" xfId="41032" xr:uid="{B6EDAA83-A312-4127-BB3D-EF25583CB568}"/>
    <cellStyle name="Migliaia 10 3 2 4 5" xfId="17138" xr:uid="{26DCCEE5-89B8-4EA6-BF53-4D4BE338E264}"/>
    <cellStyle name="Migliaia 10 3 2 4 6" xfId="11240" xr:uid="{518B6165-E289-493A-8A33-A349C37B314E}"/>
    <cellStyle name="Migliaia 10 3 2 5" xfId="3118" xr:uid="{1E34D88F-DEF6-4F54-8120-3FBA217AAEB4}"/>
    <cellStyle name="Migliaia 10 3 2 5 2" xfId="33030" xr:uid="{DE318458-F9EF-424F-B129-F77681BE6854}"/>
    <cellStyle name="Migliaia 10 3 2 5 2 2" xfId="38382" xr:uid="{5A9AFC85-0C69-4076-B036-D1AEC935501B}"/>
    <cellStyle name="Migliaia 10 3 2 5 2 3" xfId="43684" xr:uid="{7AD11381-D574-48B6-932C-1CE4CFF3BFAF}"/>
    <cellStyle name="Migliaia 10 3 2 5 3" xfId="35915" xr:uid="{3433D10E-9537-4A48-8B47-ADF22EA16FF8}"/>
    <cellStyle name="Migliaia 10 3 2 5 4" xfId="41033" xr:uid="{83E77CFC-8FB5-48C2-B409-2B069F819223}"/>
    <cellStyle name="Migliaia 10 3 2 5 5" xfId="17423" xr:uid="{D6E0EB1F-2225-4D21-A697-71B37D351747}"/>
    <cellStyle name="Migliaia 10 3 2 6" xfId="19799" xr:uid="{F364556D-F03D-4D09-8373-8F0DE85EBEB9}"/>
    <cellStyle name="Migliaia 10 3 2 6 2" xfId="33031" xr:uid="{1D0CB567-3CED-468E-A4E6-D00633088DC9}"/>
    <cellStyle name="Migliaia 10 3 2 6 2 2" xfId="38383" xr:uid="{C2ACE18D-F4E2-480C-A71F-B825CCFCFEA7}"/>
    <cellStyle name="Migliaia 10 3 2 6 2 3" xfId="43685" xr:uid="{160030AC-31AD-4A4D-904E-6296043AC657}"/>
    <cellStyle name="Migliaia 10 3 2 6 3" xfId="35916" xr:uid="{E2DAF72D-6A14-4F2F-92EF-0E2F73DBD553}"/>
    <cellStyle name="Migliaia 10 3 2 6 4" xfId="41034" xr:uid="{26EFD44A-6F71-4699-9974-295660263ADB}"/>
    <cellStyle name="Migliaia 10 3 2 6 5" xfId="24199" xr:uid="{F047C080-F3DA-4E6F-95A7-3A882FDE0CE8}"/>
    <cellStyle name="Migliaia 10 3 2 7" xfId="24197" xr:uid="{423DDBAA-7324-4B30-9D54-0D0C70C5839D}"/>
    <cellStyle name="Migliaia 10 3 2 8" xfId="7298" xr:uid="{B4D6F97E-30A8-4B10-8109-B6F36098EDD9}"/>
    <cellStyle name="Migliaia 10 3 3" xfId="3120" xr:uid="{0948A49E-6D7B-42C7-BF5B-976A458A2C37}"/>
    <cellStyle name="Migliaia 10 3 3 10" xfId="7297" xr:uid="{7085520C-6F95-483D-8F84-A9A8E5B50EE2}"/>
    <cellStyle name="Migliaia 10 3 3 2" xfId="4846" xr:uid="{08CECC23-E5FF-4977-825A-CBC4C1C262AB}"/>
    <cellStyle name="Migliaia 10 3 3 2 2" xfId="9884" xr:uid="{CD1858EE-CCEF-4C13-B833-1B8E319D68F5}"/>
    <cellStyle name="Migliaia 10 3 3 2 2 2" xfId="38385" xr:uid="{9042CA58-96A2-488C-9BD3-675603DA0EAA}"/>
    <cellStyle name="Migliaia 10 3 3 2 2 3" xfId="43687" xr:uid="{9441884F-F653-4675-8086-DE071FA70750}"/>
    <cellStyle name="Migliaia 10 3 3 2 3" xfId="18164" xr:uid="{B1645D78-A744-48DF-B7F4-620C81952727}"/>
    <cellStyle name="Migliaia 10 3 3 2 4" xfId="19803" xr:uid="{0A2A4069-85C1-45BE-AE39-21D715DDE4FC}"/>
    <cellStyle name="Migliaia 10 3 3 2 4 2" xfId="41036" xr:uid="{06194262-3FCB-427D-AD95-547851D4731A}"/>
    <cellStyle name="Migliaia 10 3 3 2 5" xfId="16016" xr:uid="{6DE750F6-AE2D-4FF7-83AC-5EF3CDB5C8CC}"/>
    <cellStyle name="Migliaia 10 3 3 2 6" xfId="8487" xr:uid="{2E3130DC-DF67-4890-8F4C-F0766E94FD88}"/>
    <cellStyle name="Migliaia 10 3 3 3" xfId="6069" xr:uid="{CBC98E31-301A-4B97-813F-5F47DC5A6D78}"/>
    <cellStyle name="Migliaia 10 3 3 3 2" xfId="33033" xr:uid="{BAF43114-CD1E-44BA-A318-A757107F9D4D}"/>
    <cellStyle name="Migliaia 10 3 3 3 2 2" xfId="38386" xr:uid="{DCFB7BA9-CEEE-416B-B4E7-CDEC3E0EA4BC}"/>
    <cellStyle name="Migliaia 10 3 3 3 2 3" xfId="43688" xr:uid="{5D96C78A-1529-40FC-AF6C-E63C97B5F6B1}"/>
    <cellStyle name="Migliaia 10 3 3 3 3" xfId="35918" xr:uid="{58E47E64-54BF-46FA-969C-5CBC78C8022C}"/>
    <cellStyle name="Migliaia 10 3 3 3 4" xfId="41037" xr:uid="{05CF7AC1-9C15-47A8-BB8A-839E09597173}"/>
    <cellStyle name="Migliaia 10 3 3 3 5" xfId="9647" xr:uid="{69AF992F-FBCC-4B70-A769-3FE11516DFF8}"/>
    <cellStyle name="Migliaia 10 3 3 4" xfId="19802" xr:uid="{7D3D02D2-4041-4BBB-95CA-F3528B79452A}"/>
    <cellStyle name="Migliaia 10 3 3 4 2" xfId="33034" xr:uid="{AE2CFB3C-FC5D-4340-B59C-4C76A8C59A6A}"/>
    <cellStyle name="Migliaia 10 3 3 4 2 2" xfId="38387" xr:uid="{34746D06-5510-4E2B-9A27-FD399F0C634A}"/>
    <cellStyle name="Migliaia 10 3 3 4 2 3" xfId="43689" xr:uid="{7D940EE8-4DD2-4F83-9A12-202C83DBCA41}"/>
    <cellStyle name="Migliaia 10 3 3 4 3" xfId="35919" xr:uid="{3BB47F75-D675-4638-9F16-A9E08D13E29C}"/>
    <cellStyle name="Migliaia 10 3 3 4 4" xfId="41038" xr:uid="{49C9C523-9651-445C-B571-22C37949A0EE}"/>
    <cellStyle name="Migliaia 10 3 3 4 5" xfId="24200" xr:uid="{1FC2162E-6926-411E-B3CA-C8BAB56D5D48}"/>
    <cellStyle name="Migliaia 10 3 3 5" xfId="24201" xr:uid="{DF83B178-3840-4760-99A7-AEB28EE40584}"/>
    <cellStyle name="Migliaia 10 3 3 5 2" xfId="33035" xr:uid="{8B5C4904-55CE-446F-A6F4-3072A8EAE433}"/>
    <cellStyle name="Migliaia 10 3 3 5 2 2" xfId="38388" xr:uid="{981C680C-0AEA-4329-9841-4F07D267D4B6}"/>
    <cellStyle name="Migliaia 10 3 3 5 2 3" xfId="43690" xr:uid="{53B84925-57B2-4697-9377-C856F3301B03}"/>
    <cellStyle name="Migliaia 10 3 3 5 3" xfId="35920" xr:uid="{A3EE613C-622E-4EAF-9D7B-16657129EA72}"/>
    <cellStyle name="Migliaia 10 3 3 5 4" xfId="41039" xr:uid="{6BD2A3FD-D7D9-41BA-AB5A-4BD89F13645E}"/>
    <cellStyle name="Migliaia 10 3 3 6" xfId="33032" xr:uid="{BABC7F37-05CE-479F-AF44-03EE46926F13}"/>
    <cellStyle name="Migliaia 10 3 3 6 2" xfId="38384" xr:uid="{1A39FD20-806B-4B84-9A76-0296E10EB6AE}"/>
    <cellStyle name="Migliaia 10 3 3 6 3" xfId="43686" xr:uid="{455EA34E-5E8E-4359-A0D0-0D5FB6881E76}"/>
    <cellStyle name="Migliaia 10 3 3 7" xfId="35917" xr:uid="{42F25869-937D-4CF3-A55E-17843A5FAC04}"/>
    <cellStyle name="Migliaia 10 3 3 8" xfId="41035" xr:uid="{5D09BCFD-A054-4570-B037-EFB58D5FFAC0}"/>
    <cellStyle name="Migliaia 10 3 3 9" xfId="16015" xr:uid="{FDC9D046-AB57-473D-A58E-7BE14F557377}"/>
    <cellStyle name="Migliaia 10 3 4" xfId="3121" xr:uid="{B7E0A7F7-2847-44E4-84FC-0E1BFDD43C6F}"/>
    <cellStyle name="Migliaia 10 3 4 2" xfId="4847" xr:uid="{84E2367F-EA71-47BD-A054-361AC4EBDDF5}"/>
    <cellStyle name="Migliaia 10 3 4 2 2" xfId="14424" xr:uid="{A3D6F486-04E3-45BD-96AD-B670F0F4E7BF}"/>
    <cellStyle name="Migliaia 10 3 4 2 3" xfId="18592" xr:uid="{1936CCDD-7DE7-465F-A106-940BB0F4FD32}"/>
    <cellStyle name="Migliaia 10 3 4 2 4" xfId="19805" xr:uid="{C4F11703-182B-4B7E-A4FA-83D8C8707DC6}"/>
    <cellStyle name="Migliaia 10 3 4 2 5" xfId="32287" xr:uid="{C3647BCC-E255-45C4-B4C8-7FDD214859BF}"/>
    <cellStyle name="Migliaia 10 3 4 2 6" xfId="16018" xr:uid="{787B8079-86F7-45FF-829A-A9E820E09B2B}"/>
    <cellStyle name="Migliaia 10 3 4 2 7" xfId="8847" xr:uid="{4F456014-87B2-4088-9967-E0C472406102}"/>
    <cellStyle name="Migliaia 10 3 4 3" xfId="6070" xr:uid="{90618E43-F9FF-4B04-8CDC-5F117A836CED}"/>
    <cellStyle name="Migliaia 10 3 4 3 2" xfId="35130" xr:uid="{F216CA8B-2481-4117-8835-7E7521CE67B9}"/>
    <cellStyle name="Migliaia 10 3 4 3 2 2" xfId="40288" xr:uid="{2CAC6AEF-E126-4DC7-A8DD-7530E4B3ACF3}"/>
    <cellStyle name="Migliaia 10 3 4 3 2 3" xfId="45590" xr:uid="{07CFD376-A020-4F74-8503-A941833506C1}"/>
    <cellStyle name="Migliaia 10 3 4 3 3" xfId="37637" xr:uid="{66A4F44F-E95F-4AA6-A84C-CD4FCD39FE3D}"/>
    <cellStyle name="Migliaia 10 3 4 3 4" xfId="42939" xr:uid="{EFA98F51-D2BD-4E48-B3E1-95B373C71ABC}"/>
    <cellStyle name="Migliaia 10 3 4 3 5" xfId="13672" xr:uid="{6CA29724-E257-4EAC-96D5-E3486DB13877}"/>
    <cellStyle name="Migliaia 10 3 4 4" xfId="19804" xr:uid="{AAB06F87-2D83-49A8-AC58-9EB2624FE6A1}"/>
    <cellStyle name="Migliaia 10 3 4 4 2" xfId="38389" xr:uid="{07434B65-1240-4AC7-974E-C2E609746464}"/>
    <cellStyle name="Migliaia 10 3 4 4 3" xfId="43691" xr:uid="{BB875F6E-45F0-401E-91B1-8C903258F504}"/>
    <cellStyle name="Migliaia 10 3 4 4 4" xfId="33036" xr:uid="{8CE4910A-5B4C-4C99-9EE9-B5BA553AC1EA}"/>
    <cellStyle name="Migliaia 10 3 4 5" xfId="35921" xr:uid="{DE0869C8-583D-45EC-964E-0CDB9FD9017D}"/>
    <cellStyle name="Migliaia 10 3 4 6" xfId="41040" xr:uid="{4856DBD4-7CF7-4654-B07A-C8BF0FF3185A}"/>
    <cellStyle name="Migliaia 10 3 4 7" xfId="16017" xr:uid="{2A42489D-2E0C-47EC-88AA-BB4039145FF2}"/>
    <cellStyle name="Migliaia 10 3 4 8" xfId="7657" xr:uid="{BBF40409-80FC-4D47-B181-FDD91576E0DB}"/>
    <cellStyle name="Migliaia 10 3 5" xfId="3122" xr:uid="{F96CBF0E-061A-48FC-9797-824F455E142B}"/>
    <cellStyle name="Migliaia 10 3 5 2" xfId="4848" xr:uid="{5B7DC88E-31B8-478D-8015-192461C09EEA}"/>
    <cellStyle name="Migliaia 10 3 5 2 2" xfId="35131" xr:uid="{035B954D-F62C-4AA9-BE30-717B7CB244F1}"/>
    <cellStyle name="Migliaia 10 3 5 2 2 2" xfId="40289" xr:uid="{49D39D70-0D1B-4607-B9DF-8732D6DDF1D7}"/>
    <cellStyle name="Migliaia 10 3 5 2 2 3" xfId="45591" xr:uid="{E8B69CC2-73D3-4329-8BCD-AE94FC43E1E3}"/>
    <cellStyle name="Migliaia 10 3 5 2 3" xfId="37638" xr:uid="{980F3C59-89E7-411D-8329-837E934B2E1F}"/>
    <cellStyle name="Migliaia 10 3 5 2 4" xfId="42940" xr:uid="{D07594CB-6257-47B2-8D2E-99F84AADC7E9}"/>
    <cellStyle name="Migliaia 10 3 5 2 5" xfId="14183" xr:uid="{1E6C17E5-06A1-445E-95D9-04C3AC081424}"/>
    <cellStyle name="Migliaia 10 3 5 3" xfId="6071" xr:uid="{F1CCDB85-F1B0-47A8-9401-26F98A8398E2}"/>
    <cellStyle name="Migliaia 10 3 5 3 2" xfId="38390" xr:uid="{F9A264BF-3790-40F5-8C44-8DFB9D828CF2}"/>
    <cellStyle name="Migliaia 10 3 5 3 3" xfId="43692" xr:uid="{4DBB674C-573E-40B2-B17C-5F3EF7D7A053}"/>
    <cellStyle name="Migliaia 10 3 5 3 4" xfId="33037" xr:uid="{C404EF6F-50BB-4FAE-91A4-AA3E17525168}"/>
    <cellStyle name="Migliaia 10 3 5 3 5" xfId="19806" xr:uid="{F8B71149-7585-44E0-8F01-3376AA99ECC1}"/>
    <cellStyle name="Migliaia 10 3 5 4" xfId="35922" xr:uid="{10EC2465-B497-4545-9231-54917BDB6BF9}"/>
    <cellStyle name="Migliaia 10 3 5 5" xfId="41041" xr:uid="{2FBD258B-5334-48DA-A6FF-EF67C9E7C2B3}"/>
    <cellStyle name="Migliaia 10 3 5 6" xfId="16019" xr:uid="{1B80E2FF-39BF-43B7-A209-0F16F9D4407D}"/>
    <cellStyle name="Migliaia 10 3 5 7" xfId="8245" xr:uid="{B7E097A1-B07D-4952-8198-33C0231E8C38}"/>
    <cellStyle name="Migliaia 10 3 6" xfId="4843" xr:uid="{FDE819AD-8544-4629-833F-AAFE16D76846}"/>
    <cellStyle name="Migliaia 10 3 6 2" xfId="13886" xr:uid="{03A2ACF5-3613-4B8B-93CF-77F964C6555D}"/>
    <cellStyle name="Migliaia 10 3 6 2 2" xfId="38391" xr:uid="{E3EB6A9F-B788-414D-8F3C-F4EC946913CF}"/>
    <cellStyle name="Migliaia 10 3 6 2 3" xfId="43693" xr:uid="{399ABB55-3F3D-43DD-AEB9-3797422C4E27}"/>
    <cellStyle name="Migliaia 10 3 6 3" xfId="18012" xr:uid="{22AF749F-7E19-4FA2-AA83-0E8E1284FC55}"/>
    <cellStyle name="Migliaia 10 3 6 4" xfId="19807" xr:uid="{CC97025D-7AA6-453E-87FA-D50812376534}"/>
    <cellStyle name="Migliaia 10 3 6 4 2" xfId="41042" xr:uid="{5907A9A3-3B8D-467A-AE84-DDF0C35EE270}"/>
    <cellStyle name="Migliaia 10 3 6 5" xfId="16020" xr:uid="{BE95C28D-327D-49E4-9D8C-00CDC1A038F0}"/>
    <cellStyle name="Migliaia 10 3 6 6" xfId="7825" xr:uid="{FA8303E5-DE33-407A-BF1D-5BD1803F0238}"/>
    <cellStyle name="Migliaia 10 3 7" xfId="6066" xr:uid="{4DF2092F-3ABA-4FB2-B53D-B465F95C33F9}"/>
    <cellStyle name="Migliaia 10 3 7 2" xfId="33038" xr:uid="{1E7964BB-6166-4487-A48F-8B6EB597A788}"/>
    <cellStyle name="Migliaia 10 3 7 2 2" xfId="38392" xr:uid="{59B6A50C-1548-4D8F-9292-B9D97DEAB94E}"/>
    <cellStyle name="Migliaia 10 3 7 2 3" xfId="43694" xr:uid="{1EDC4A82-3FD0-485B-A6E4-B716DB80E295}"/>
    <cellStyle name="Migliaia 10 3 7 3" xfId="35923" xr:uid="{C40E2745-CF9F-4395-898C-D1A385A1871B}"/>
    <cellStyle name="Migliaia 10 3 7 4" xfId="41043" xr:uid="{1EC1209E-84E6-42C0-BB65-8C239C998D1C}"/>
    <cellStyle name="Migliaia 10 3 7 5" xfId="12276" xr:uid="{43F86B71-8C7B-46E2-90D3-08CE0D45A5E6}"/>
    <cellStyle name="Migliaia 10 3 8" xfId="3117" xr:uid="{746B2425-6AD4-4F0C-BB23-1E59ABD48EC1}"/>
    <cellStyle name="Migliaia 10 3 8 2" xfId="33039" xr:uid="{98318447-1268-4E8E-A334-3031B9EE5979}"/>
    <cellStyle name="Migliaia 10 3 8 2 2" xfId="38393" xr:uid="{CB60C938-060F-4BD6-AE05-BB77B9707A72}"/>
    <cellStyle name="Migliaia 10 3 8 2 3" xfId="43695" xr:uid="{92E2E3C2-9978-4948-952B-319589C95A63}"/>
    <cellStyle name="Migliaia 10 3 8 3" xfId="35924" xr:uid="{7F7A59B3-77D1-4811-A47D-C7443153D4A4}"/>
    <cellStyle name="Migliaia 10 3 8 4" xfId="41044" xr:uid="{DED7EACF-F155-4275-9E29-71724B81B91E}"/>
    <cellStyle name="Migliaia 10 3 8 5" xfId="24202" xr:uid="{33A1819D-3E4F-4A76-8716-18589C78A21E}"/>
    <cellStyle name="Migliaia 10 3 8 6" xfId="17424" xr:uid="{101D78B2-C469-4480-9157-60475DE013F1}"/>
    <cellStyle name="Migliaia 10 3 9" xfId="19798" xr:uid="{2987F523-DBCA-4A62-B2CB-393E2E450036}"/>
    <cellStyle name="Migliaia 10 4" xfId="1660" xr:uid="{00000000-0005-0000-0000-0000C7020000}"/>
    <cellStyle name="Migliaia 10 4 2" xfId="1661" xr:uid="{00000000-0005-0000-0000-0000C8020000}"/>
    <cellStyle name="Migliaia 10 4 2 2" xfId="4850" xr:uid="{8F9C726E-1C8B-4551-B54D-5238D09BF7D0}"/>
    <cellStyle name="Migliaia 10 4 2 2 2" xfId="33040" xr:uid="{E3BC5533-79B2-497F-A036-4C0196FBBEC5}"/>
    <cellStyle name="Migliaia 10 4 2 2 2 2" xfId="38394" xr:uid="{13DFFCA3-B938-4EE6-97D7-DE649F2068FA}"/>
    <cellStyle name="Migliaia 10 4 2 2 2 3" xfId="43696" xr:uid="{FA013846-5767-4929-B097-9ABB15A085BA}"/>
    <cellStyle name="Migliaia 10 4 2 2 3" xfId="35925" xr:uid="{B09079C5-EFD9-4531-9B38-D539418347F6}"/>
    <cellStyle name="Migliaia 10 4 2 2 4" xfId="41045" xr:uid="{9BD14A60-C68F-4ECE-9D18-B7E4033337A7}"/>
    <cellStyle name="Migliaia 10 4 2 2 5" xfId="9110" xr:uid="{7B0EA1CC-600D-4B0C-AB70-5AEAE8A0D1AC}"/>
    <cellStyle name="Migliaia 10 4 2 3" xfId="3124" xr:uid="{2D4C33D0-627F-4385-A6F8-68EC9772BE78}"/>
    <cellStyle name="Migliaia 10 4 2 3 2" xfId="33041" xr:uid="{F8DAFD43-4662-4358-A964-FF98D47639F6}"/>
    <cellStyle name="Migliaia 10 4 2 3 2 2" xfId="38395" xr:uid="{20A5C621-E923-42F9-A3C7-E0BBFD5B2603}"/>
    <cellStyle name="Migliaia 10 4 2 3 2 3" xfId="43697" xr:uid="{665CA418-2408-43F0-AA07-A69769054FB4}"/>
    <cellStyle name="Migliaia 10 4 2 3 3" xfId="35926" xr:uid="{AA8C4658-A872-41CA-A118-CEB8687966E0}"/>
    <cellStyle name="Migliaia 10 4 2 3 4" xfId="41046" xr:uid="{30377856-5B56-43D6-B25E-25C693A25C91}"/>
    <cellStyle name="Migliaia 10 4 2 3 5" xfId="11889" xr:uid="{CEA82364-D205-4BFB-943B-C3AF819AAD63}"/>
    <cellStyle name="Migliaia 10 4 2 4" xfId="11242" xr:uid="{D019FDDD-9A3E-4E25-BEE0-2C73225B3BBA}"/>
    <cellStyle name="Migliaia 10 4 2 5" xfId="10738" xr:uid="{5898AD6E-4788-428A-999C-F58AAE3BD8D5}"/>
    <cellStyle name="Migliaia 10 4 2 5 2" xfId="21373" xr:uid="{076366D1-B188-4E7D-A049-842298EB7667}"/>
    <cellStyle name="Migliaia 10 4 2 5 3" xfId="47957" xr:uid="{2265BBDA-6E28-4699-BA20-1B58BAB99EB1}"/>
    <cellStyle name="Migliaia 10 4 2 5 4" xfId="50388" xr:uid="{E12B09DF-B8BF-4B7D-952D-D085777A368E}"/>
    <cellStyle name="Migliaia 10 4 2 5 5" xfId="53404" xr:uid="{3B1CEB5D-3CA4-4767-89FB-1AB7AF3D7E7E}"/>
    <cellStyle name="Migliaia 10 4 2 6" xfId="19809" xr:uid="{7F339EAB-7B91-4105-8510-0DBE06BEB552}"/>
    <cellStyle name="Migliaia 10 4 2 7" xfId="24204" xr:uid="{1E04CBA7-0C39-48E8-904D-CD8BDB95B0DE}"/>
    <cellStyle name="Migliaia 10 4 2 8" xfId="8489" xr:uid="{37BA63F5-6508-491A-BF24-EDE5DB2ADC99}"/>
    <cellStyle name="Migliaia 10 4 3" xfId="4849" xr:uid="{BB6069B6-2D7D-4094-BF97-248D87C1D109}"/>
    <cellStyle name="Migliaia 10 4 3 2" xfId="18165" xr:uid="{4B4920B1-EFE1-4554-8C5A-243C024F238A}"/>
    <cellStyle name="Migliaia 10 4 3 2 2" xfId="38396" xr:uid="{2F11E619-DF2C-4477-98F9-89E9B9CC3811}"/>
    <cellStyle name="Migliaia 10 4 3 2 3" xfId="43698" xr:uid="{AB6FCA67-682B-4B5B-A540-3EBB9BFB885D}"/>
    <cellStyle name="Migliaia 10 4 3 3" xfId="35927" xr:uid="{2C3AEEB1-DEBE-466F-A9AD-25977749F4DB}"/>
    <cellStyle name="Migliaia 10 4 3 4" xfId="41047" xr:uid="{098570C1-B8F7-4961-844F-AB2AF915BD1D}"/>
    <cellStyle name="Migliaia 10 4 3 5" xfId="17422" xr:uid="{4985D47C-ECE1-4EE3-B053-79B0143199C4}"/>
    <cellStyle name="Migliaia 10 4 3 6" xfId="9111" xr:uid="{62A75B44-489B-4CBF-9ACD-D55D7C6DDAEF}"/>
    <cellStyle name="Migliaia 10 4 4" xfId="6072" xr:uid="{360C3AFB-E763-427F-A942-1698565FD6CE}"/>
    <cellStyle name="Migliaia 10 4 4 2" xfId="33042" xr:uid="{734F7A93-FF30-4B93-AF8A-CA4A5E6A4538}"/>
    <cellStyle name="Migliaia 10 4 4 2 2" xfId="38397" xr:uid="{0E7DB8AF-5053-48EF-9A6F-34FFBCDC6639}"/>
    <cellStyle name="Migliaia 10 4 4 2 3" xfId="43699" xr:uid="{7E5576F2-56F9-4494-A954-005A7D7E340D}"/>
    <cellStyle name="Migliaia 10 4 4 3" xfId="35928" xr:uid="{0F4C9AFB-FA68-4161-BC76-F3CD41DCE12B}"/>
    <cellStyle name="Migliaia 10 4 4 4" xfId="41048" xr:uid="{3F5CA090-C87F-4641-905F-9A2520C2F4C1}"/>
    <cellStyle name="Migliaia 10 4 4 5" xfId="11890" xr:uid="{E7A091AA-70F3-4B3E-9709-FAF5A3B7D854}"/>
    <cellStyle name="Migliaia 10 4 5" xfId="3123" xr:uid="{9C1BE531-3890-42D5-96D3-125218BF4744}"/>
    <cellStyle name="Migliaia 10 4 5 2" xfId="33043" xr:uid="{E8881BF7-7F00-497C-86C1-6BAAFB87FE5E}"/>
    <cellStyle name="Migliaia 10 4 5 2 2" xfId="38398" xr:uid="{06C97317-C55E-4C5C-94EA-562E0B1A9789}"/>
    <cellStyle name="Migliaia 10 4 5 2 3" xfId="43700" xr:uid="{0763BEF9-C996-4A45-B0C7-A92421E20F71}"/>
    <cellStyle name="Migliaia 10 4 5 3" xfId="35929" xr:uid="{E367446B-65E5-4F55-BFE7-959BC5691AE8}"/>
    <cellStyle name="Migliaia 10 4 5 4" xfId="41049" xr:uid="{EEC05DA6-8267-4CA4-9CE3-BD89E77E489C}"/>
    <cellStyle name="Migliaia 10 4 5 5" xfId="11241" xr:uid="{789E6A8A-5BC6-496C-99D2-6C283CAD8ABF}"/>
    <cellStyle name="Migliaia 10 4 6" xfId="10737" xr:uid="{D7661B85-E522-49C6-BCE4-B3925852C7F2}"/>
    <cellStyle name="Migliaia 10 4 6 2" xfId="21372" xr:uid="{1035E6FD-2FC0-432B-949D-7D7F4AB393BB}"/>
    <cellStyle name="Migliaia 10 4 6 2 2" xfId="38399" xr:uid="{7022E3BD-916C-4172-9E42-705F1B587E17}"/>
    <cellStyle name="Migliaia 10 4 6 2 3" xfId="43701" xr:uid="{FC6C0958-DC9F-488D-801B-0F26DEEACEBF}"/>
    <cellStyle name="Migliaia 10 4 6 2 4" xfId="33044" xr:uid="{3693AA26-0DB1-47C1-AA7A-0FE7E293F1C3}"/>
    <cellStyle name="Migliaia 10 4 6 3" xfId="35930" xr:uid="{2B5E449A-BC03-4246-AB05-5EB7C620E94B}"/>
    <cellStyle name="Migliaia 10 4 6 4" xfId="41050" xr:uid="{A31C3261-EEBE-45B6-B3C4-57C63533F1D0}"/>
    <cellStyle name="Migliaia 10 4 6 5" xfId="24205" xr:uid="{CA03FA9F-E8B1-4E23-A442-59F30CE21883}"/>
    <cellStyle name="Migliaia 10 4 6 6" xfId="47701" xr:uid="{F4923C64-57BA-418F-BA37-FABA98EF86DB}"/>
    <cellStyle name="Migliaia 10 4 6 7" xfId="50387" xr:uid="{0058ED10-31BC-4AC0-A78B-678C57787A96}"/>
    <cellStyle name="Migliaia 10 4 6 8" xfId="53403" xr:uid="{C313877B-AF4D-41D5-8310-CAD8DACB38ED}"/>
    <cellStyle name="Migliaia 10 4 7" xfId="19808" xr:uid="{1E218CA5-FFA2-4CA8-86E3-DFA2180F0835}"/>
    <cellStyle name="Migliaia 10 4 7 2" xfId="33045" xr:uid="{C41454B3-84A1-463B-AB15-D72508FAE43A}"/>
    <cellStyle name="Migliaia 10 4 7 2 2" xfId="38400" xr:uid="{6547C331-4D63-40EA-BC21-3984577CED03}"/>
    <cellStyle name="Migliaia 10 4 7 2 3" xfId="43702" xr:uid="{E1CF8836-F640-4D0B-B2E9-37AD9A874359}"/>
    <cellStyle name="Migliaia 10 4 7 3" xfId="35931" xr:uid="{E63641BE-8F97-47BC-BFC0-E1AEE7D4EA84}"/>
    <cellStyle name="Migliaia 10 4 7 4" xfId="41051" xr:uid="{7E670ADD-76B4-46B8-A67C-99D03842C87C}"/>
    <cellStyle name="Migliaia 10 4 7 5" xfId="24206" xr:uid="{B147E2DA-E39E-4B98-A8CA-453CE72B7C55}"/>
    <cellStyle name="Migliaia 10 4 8" xfId="24203" xr:uid="{D5A36A86-444C-4F32-8086-02AC42702954}"/>
    <cellStyle name="Migliaia 10 4 9" xfId="7299" xr:uid="{426E2FD8-B012-4749-B135-4AB86C9F9702}"/>
    <cellStyle name="Migliaia 10 5" xfId="1662" xr:uid="{00000000-0005-0000-0000-0000C9020000}"/>
    <cellStyle name="Migliaia 10 5 2" xfId="4851" xr:uid="{E060A36F-61DF-4504-B124-0E69E2C47AC5}"/>
    <cellStyle name="Migliaia 10 5 2 2" xfId="18362" xr:uid="{8BBCC8AE-CFF7-4DF9-AE02-D2896E500125}"/>
    <cellStyle name="Migliaia 10 5 2 2 2" xfId="38401" xr:uid="{1647A652-5C9C-40B5-9643-E298A8C76A74}"/>
    <cellStyle name="Migliaia 10 5 2 2 3" xfId="43703" xr:uid="{E1EA1B31-4147-4FF8-81B1-DDD43AA9A496}"/>
    <cellStyle name="Migliaia 10 5 2 3" xfId="19811" xr:uid="{342F7C15-73D5-4C3F-9C5A-415B99038220}"/>
    <cellStyle name="Migliaia 10 5 2 3 2" xfId="35932" xr:uid="{AA9430CB-9E88-45AD-AD80-37A9E3907E36}"/>
    <cellStyle name="Migliaia 10 5 2 4" xfId="41052" xr:uid="{0293D786-B5B9-40E2-BF01-D75F91CE0DB7}"/>
    <cellStyle name="Migliaia 10 5 2 5" xfId="16021" xr:uid="{E6FEA9D4-644E-4593-A5E3-0654519999AB}"/>
    <cellStyle name="Migliaia 10 5 2 6" xfId="8490" xr:uid="{FDAC7057-42C4-4980-8CCE-4B358892E722}"/>
    <cellStyle name="Migliaia 10 5 3" xfId="6073" xr:uid="{9E882E1C-D9DC-497A-B655-2C78871294F7}"/>
    <cellStyle name="Migliaia 10 5 3 2" xfId="33046" xr:uid="{ECAA7FB6-49FD-4E41-8001-38D0A9FA28D1}"/>
    <cellStyle name="Migliaia 10 5 3 2 2" xfId="38402" xr:uid="{55836247-98DF-45F6-BC51-234D3786953E}"/>
    <cellStyle name="Migliaia 10 5 3 2 3" xfId="43704" xr:uid="{879A2EB2-E1A9-47ED-B96C-D2F938E19D0D}"/>
    <cellStyle name="Migliaia 10 5 3 3" xfId="35933" xr:uid="{BFAF56B8-4A05-4C7E-B41A-178836B563C0}"/>
    <cellStyle name="Migliaia 10 5 3 4" xfId="41053" xr:uid="{F3DA0CD7-60B6-4CFD-AA4E-6B9381B3E9A3}"/>
    <cellStyle name="Migliaia 10 5 3 5" xfId="11243" xr:uid="{6FB8DBB3-EE71-46A1-951A-1DC326B56D83}"/>
    <cellStyle name="Migliaia 10 5 4" xfId="3125" xr:uid="{FAEC4E63-52D4-44A3-92D4-07B0C8162E94}"/>
    <cellStyle name="Migliaia 10 5 4 2" xfId="21374" xr:uid="{3E678015-D82B-482C-8167-2C9DDEA10705}"/>
    <cellStyle name="Migliaia 10 5 4 2 2" xfId="38403" xr:uid="{FA2A1996-61CC-4313-A2BA-8B18B93A3524}"/>
    <cellStyle name="Migliaia 10 5 4 2 3" xfId="43705" xr:uid="{1A4AE99E-9594-483A-BB61-C0262970E56D}"/>
    <cellStyle name="Migliaia 10 5 4 2 4" xfId="33047" xr:uid="{DB88C7E3-636E-43C8-8EF7-D65449994F6C}"/>
    <cellStyle name="Migliaia 10 5 4 3" xfId="35934" xr:uid="{388EE42B-A5AD-4910-8E21-93E924EF33E8}"/>
    <cellStyle name="Migliaia 10 5 4 4" xfId="41054" xr:uid="{EF0BF780-91B5-4C11-9EB1-9C1E850B9AA6}"/>
    <cellStyle name="Migliaia 10 5 4 5" xfId="24208" xr:uid="{F1F3B79C-B198-4751-A3BA-DA14DE941295}"/>
    <cellStyle name="Migliaia 10 5 4 6" xfId="46203" xr:uid="{1CA80317-795A-42FE-9BA5-9D57722F7306}"/>
    <cellStyle name="Migliaia 10 5 4 7" xfId="50389" xr:uid="{094A8035-AD46-4FAE-BDE6-83BD852154B4}"/>
    <cellStyle name="Migliaia 10 5 4 8" xfId="53405" xr:uid="{F975230B-48F8-4F0C-86E6-3097B4D712F2}"/>
    <cellStyle name="Migliaia 10 5 4 9" xfId="10739" xr:uid="{07471954-6222-4E1F-9926-2A893AA6A636}"/>
    <cellStyle name="Migliaia 10 5 5" xfId="19810" xr:uid="{6B0EED63-4396-435F-9B59-24C66868AD98}"/>
    <cellStyle name="Migliaia 10 5 5 2" xfId="33048" xr:uid="{41EDC250-0D79-4EFD-9061-2ACB8778873A}"/>
    <cellStyle name="Migliaia 10 5 5 2 2" xfId="38404" xr:uid="{1B8447D8-CD24-4F8E-B136-EB76EB331217}"/>
    <cellStyle name="Migliaia 10 5 5 2 3" xfId="43706" xr:uid="{42DD5A95-74CC-41D3-B588-DA69B2720D2E}"/>
    <cellStyle name="Migliaia 10 5 5 3" xfId="35935" xr:uid="{430122D2-5C7C-4F61-B4A1-C548A2A27936}"/>
    <cellStyle name="Migliaia 10 5 5 4" xfId="41055" xr:uid="{9980DAE9-D8AC-4650-94CD-6CAB1C823CD3}"/>
    <cellStyle name="Migliaia 10 5 5 5" xfId="24209" xr:uid="{A227F11D-8953-4FDC-9D1D-396B51964D1F}"/>
    <cellStyle name="Migliaia 10 5 6" xfId="24210" xr:uid="{609D12C4-6007-40DB-9928-09097552DA6B}"/>
    <cellStyle name="Migliaia 10 5 6 2" xfId="33049" xr:uid="{3A0BBD35-B065-40C7-B76F-C8A1E6CE962A}"/>
    <cellStyle name="Migliaia 10 5 6 2 2" xfId="38405" xr:uid="{480CFF07-1DFC-4BBC-AF88-076A93F82BEB}"/>
    <cellStyle name="Migliaia 10 5 6 2 3" xfId="43707" xr:uid="{F18CDAC5-AE13-4375-8B62-7CCD01BC4054}"/>
    <cellStyle name="Migliaia 10 5 6 3" xfId="35936" xr:uid="{8BE8D414-9F33-4840-84D8-5E6B333F37CF}"/>
    <cellStyle name="Migliaia 10 5 6 4" xfId="41056" xr:uid="{789B9A0D-3D97-4B12-BB85-D27CA0E8C329}"/>
    <cellStyle name="Migliaia 10 5 7" xfId="24207" xr:uid="{111CBD8F-137A-4784-988E-E6131203525D}"/>
    <cellStyle name="Migliaia 10 5 8" xfId="7300" xr:uid="{EA18520E-2FAA-4953-A1F5-2F7E87EF67C0}"/>
    <cellStyle name="Migliaia 10 6" xfId="3126" xr:uid="{0F51BBE6-FE90-4D8C-8B79-7A1342EA8CB3}"/>
    <cellStyle name="Migliaia 10 6 2" xfId="4852" xr:uid="{29BFF3CF-F15F-4255-BBA9-0630A2E67775}"/>
    <cellStyle name="Migliaia 10 6 2 2" xfId="9883" xr:uid="{2E9E0464-19B5-4236-A281-A9B0C91E714B}"/>
    <cellStyle name="Migliaia 10 6 2 3" xfId="18679" xr:uid="{093FC479-B379-4016-9986-17EDECA82D3E}"/>
    <cellStyle name="Migliaia 10 6 2 4" xfId="19813" xr:uid="{20E30726-4F2B-4FD7-BAC0-15B1C6A09D62}"/>
    <cellStyle name="Migliaia 10 6 2 5" xfId="32288" xr:uid="{1259BE39-9975-4C4D-9D59-C891D815A5FE}"/>
    <cellStyle name="Migliaia 10 6 2 6" xfId="16023" xr:uid="{EA2CE1BD-4FE7-4BB5-824B-F323DA00E0F2}"/>
    <cellStyle name="Migliaia 10 6 2 7" xfId="8485" xr:uid="{2D988804-A27B-4424-A05D-1BDCB7B02FFA}"/>
    <cellStyle name="Migliaia 10 6 3" xfId="6074" xr:uid="{DBEB1514-0A89-4CBD-BD9D-319B65171784}"/>
    <cellStyle name="Migliaia 10 6 3 2" xfId="35132" xr:uid="{A32D96CE-39AA-490A-8F9E-43910004E198}"/>
    <cellStyle name="Migliaia 10 6 3 2 2" xfId="40290" xr:uid="{7A30BF86-E4E6-41C8-8902-11BD57442E8E}"/>
    <cellStyle name="Migliaia 10 6 3 2 3" xfId="45592" xr:uid="{CC5D6749-DC92-496C-873E-7EB9D7FDC507}"/>
    <cellStyle name="Migliaia 10 6 3 3" xfId="37639" xr:uid="{C84D6789-EB73-472B-8BEB-2492210B2490}"/>
    <cellStyle name="Migliaia 10 6 3 4" xfId="42941" xr:uid="{4C7C0E5A-0D8C-45F7-9D37-8805B5A93A40}"/>
    <cellStyle name="Migliaia 10 6 3 5" xfId="9646" xr:uid="{6B341894-912F-4D68-8B67-FA3FAADCD8CA}"/>
    <cellStyle name="Migliaia 10 6 4" xfId="19812" xr:uid="{5A586E89-99FD-4F56-98EB-71AAD9E646D9}"/>
    <cellStyle name="Migliaia 10 6 4 2" xfId="38406" xr:uid="{2151C159-8D93-4E45-BD7A-1E7BB1407A8A}"/>
    <cellStyle name="Migliaia 10 6 4 3" xfId="43708" xr:uid="{CE62DB15-04B1-44B8-9080-87A66F467F53}"/>
    <cellStyle name="Migliaia 10 6 4 4" xfId="33050" xr:uid="{FA14E3BF-C228-4CF6-A704-EFFCF58F52C0}"/>
    <cellStyle name="Migliaia 10 6 5" xfId="35937" xr:uid="{0642DEA6-565B-4731-B7BA-36A22D0B36F5}"/>
    <cellStyle name="Migliaia 10 6 6" xfId="41057" xr:uid="{1183C200-C35D-45CB-B2F5-6658BE54C747}"/>
    <cellStyle name="Migliaia 10 6 7" xfId="16022" xr:uid="{E8DC6B82-A8D0-4728-A56A-CD07E229F98A}"/>
    <cellStyle name="Migliaia 10 6 8" xfId="7295" xr:uid="{97F685AD-8A04-4D77-A421-001B2C194955}"/>
    <cellStyle name="Migliaia 10 7" xfId="3127" xr:uid="{D0143A49-652C-4E00-B6A3-460BB4626E63}"/>
    <cellStyle name="Migliaia 10 7 2" xfId="4853" xr:uid="{4F79149A-4801-46BD-8949-B3D68BE4121D}"/>
    <cellStyle name="Migliaia 10 7 2 2" xfId="35133" xr:uid="{ED382DD5-CDF9-43E9-B1A2-E529D920555F}"/>
    <cellStyle name="Migliaia 10 7 2 2 2" xfId="40291" xr:uid="{21B2AD8E-88AC-4DFF-9B01-C8190020C41F}"/>
    <cellStyle name="Migliaia 10 7 2 2 3" xfId="45593" xr:uid="{99C0BE82-5B9B-4EA8-A76D-1F99C133D6C1}"/>
    <cellStyle name="Migliaia 10 7 2 3" xfId="37640" xr:uid="{BEA17B88-00AA-48DC-A7A3-9779FCB4FB4F}"/>
    <cellStyle name="Migliaia 10 7 2 4" xfId="42942" xr:uid="{61891E76-5C0E-4668-BC2C-1CB681B49B6E}"/>
    <cellStyle name="Migliaia 10 7 2 5" xfId="14181" xr:uid="{54F0284C-483C-4E3C-AD07-6F21B6123D15}"/>
    <cellStyle name="Migliaia 10 7 3" xfId="6075" xr:uid="{490A4E8B-87DE-4B89-A1A7-F6C3A2A17262}"/>
    <cellStyle name="Migliaia 10 7 3 2" xfId="38407" xr:uid="{13F40CF3-7589-49CD-90D6-DFAE584EE629}"/>
    <cellStyle name="Migliaia 10 7 3 3" xfId="43709" xr:uid="{9EDB761F-FF95-4C03-844F-8B11AA8E9CAD}"/>
    <cellStyle name="Migliaia 10 7 3 4" xfId="33051" xr:uid="{E4A9EBD2-31BF-493A-A977-19D9366E9701}"/>
    <cellStyle name="Migliaia 10 7 3 5" xfId="19814" xr:uid="{7B631F32-E86E-48C7-AB69-6281C676DBE9}"/>
    <cellStyle name="Migliaia 10 7 4" xfId="35938" xr:uid="{7F1C4C02-F3D8-47D5-9DFB-7382A4CC4A13}"/>
    <cellStyle name="Migliaia 10 7 5" xfId="41058" xr:uid="{85E2ECDA-68C2-47A5-83E3-8B86BC1193C1}"/>
    <cellStyle name="Migliaia 10 7 6" xfId="16024" xr:uid="{666CB71F-A22B-4792-9CA7-B42D722AE27E}"/>
    <cellStyle name="Migliaia 10 7 7" xfId="8243" xr:uid="{91069F64-EAE0-45D3-9ECD-B3B658DC70E6}"/>
    <cellStyle name="Migliaia 10 8" xfId="3128" xr:uid="{BF9A5880-9F67-48E8-ADB4-666ADFB60A7D}"/>
    <cellStyle name="Migliaia 10 8 2" xfId="4854" xr:uid="{48EDDB18-C419-43C8-B92D-D749E9574BC4}"/>
    <cellStyle name="Migliaia 10 8 2 2" xfId="35134" xr:uid="{3500DB30-E505-4463-968D-A73E1452D0FE}"/>
    <cellStyle name="Migliaia 10 8 2 2 2" xfId="40292" xr:uid="{4FB06E45-1CE0-48B9-A086-E2F31E7C08FF}"/>
    <cellStyle name="Migliaia 10 8 2 2 3" xfId="45594" xr:uid="{48CC1811-FF32-4544-A3A6-A83C9295611F}"/>
    <cellStyle name="Migliaia 10 8 2 3" xfId="37641" xr:uid="{4D52F04F-78C8-4505-AD28-E921CE8710A0}"/>
    <cellStyle name="Migliaia 10 8 2 4" xfId="42943" xr:uid="{48BDCCE4-6D13-4C45-9884-FFCF923957AE}"/>
    <cellStyle name="Migliaia 10 8 2 5" xfId="13884" xr:uid="{7E178EAD-4E09-4B2A-ACDE-9F23816D449F}"/>
    <cellStyle name="Migliaia 10 8 3" xfId="6076" xr:uid="{50214093-927B-41B6-893F-AC512265B1E8}"/>
    <cellStyle name="Migliaia 10 8 3 2" xfId="38408" xr:uid="{BD5FB56C-DDA2-443A-85DC-8A6F129C4DE5}"/>
    <cellStyle name="Migliaia 10 8 3 3" xfId="43710" xr:uid="{BA4E7AB5-C757-4C1B-93E8-886C10FA58CD}"/>
    <cellStyle name="Migliaia 10 8 3 4" xfId="33052" xr:uid="{AED3F2BD-91B0-4473-A140-00DAF7DECB1E}"/>
    <cellStyle name="Migliaia 10 8 3 5" xfId="19815" xr:uid="{EB4FEBF2-B83B-408C-A89E-003D958BFD2C}"/>
    <cellStyle name="Migliaia 10 8 4" xfId="35939" xr:uid="{A8E15174-75F9-4706-B627-F7B8739CBD2C}"/>
    <cellStyle name="Migliaia 10 8 5" xfId="41059" xr:uid="{F3480BFB-50E0-4B0E-8D3E-CE16FB0BA00A}"/>
    <cellStyle name="Migliaia 10 8 6" xfId="16025" xr:uid="{0D37ACDB-143C-435B-96D2-282CCA2E1641}"/>
    <cellStyle name="Migliaia 10 8 7" xfId="7823" xr:uid="{F9BF198E-66D7-479E-9506-5125AA872A51}"/>
    <cellStyle name="Migliaia 10 9" xfId="4839" xr:uid="{608DDB49-0C32-46DA-8C0D-F30A28222E60}"/>
    <cellStyle name="Migliaia 10 9 2" xfId="33053" xr:uid="{289AD822-5C2C-4548-BEC3-8F544D89F94F}"/>
    <cellStyle name="Migliaia 10 9 2 2" xfId="38409" xr:uid="{0D001090-D0DB-4022-942C-56FCD2A5BEAD}"/>
    <cellStyle name="Migliaia 10 9 2 3" xfId="43711" xr:uid="{804A11EB-3381-4595-9971-36A88D7B95A7}"/>
    <cellStyle name="Migliaia 10 9 3" xfId="35940" xr:uid="{8EAA9508-1B28-48AA-BE0B-BABB1D7AA594}"/>
    <cellStyle name="Migliaia 10 9 4" xfId="41060" xr:uid="{4C88263F-CA4B-4A74-BE74-CE3482A6B410}"/>
    <cellStyle name="Migliaia 10 9 5" xfId="17137" xr:uid="{14587E9A-5CBA-49C0-84A7-59F59B8753AB}"/>
    <cellStyle name="Migliaia 11" xfId="305" xr:uid="{00000000-0005-0000-0000-0000CA020000}"/>
    <cellStyle name="Migliaia 11 10" xfId="6077" xr:uid="{0EAFB025-663C-4013-981E-176C1559EAAC}"/>
    <cellStyle name="Migliaia 11 10 2" xfId="38410" xr:uid="{FAC99363-226A-470F-939D-CB443ED20A64}"/>
    <cellStyle name="Migliaia 11 10 3" xfId="43712" xr:uid="{86AE2004-6714-4AC8-8D3B-20C3F59D32A3}"/>
    <cellStyle name="Migliaia 11 10 4" xfId="33054" xr:uid="{1BA83DCF-3099-42E6-A296-94C4DA98EB40}"/>
    <cellStyle name="Migliaia 11 10 5" xfId="19816" xr:uid="{508FB6CB-5AC3-404E-8398-1DDFE0342751}"/>
    <cellStyle name="Migliaia 11 11" xfId="3129" xr:uid="{54D4DD11-4824-4ADC-BE1F-0FB9DD0C6FCC}"/>
    <cellStyle name="Migliaia 11 11 2" xfId="35941" xr:uid="{9BD75323-47D4-4209-8B20-EFDCA1BE008F}"/>
    <cellStyle name="Migliaia 11 12" xfId="41061" xr:uid="{4EC75411-6BDE-43DE-8E77-C1D72D3A0427}"/>
    <cellStyle name="Migliaia 11 13" xfId="7047" xr:uid="{A4499F92-6917-48BB-B409-2C5B14FF588F}"/>
    <cellStyle name="Migliaia 11 2" xfId="306" xr:uid="{00000000-0005-0000-0000-0000CB020000}"/>
    <cellStyle name="Migliaia 11 2 2" xfId="1663" xr:uid="{00000000-0005-0000-0000-0000CC020000}"/>
    <cellStyle name="Migliaia 11 2 2 2" xfId="4857" xr:uid="{0304DF01-975C-4853-85F4-F4F21E1AFE16}"/>
    <cellStyle name="Migliaia 11 2 2 2 2" xfId="14364" xr:uid="{8B0193CF-143D-4DF1-9AF9-4F3F20502ABE}"/>
    <cellStyle name="Migliaia 11 2 2 2 2 2" xfId="38411" xr:uid="{424D5A56-6ADE-41EB-A99E-14B0A3620FD9}"/>
    <cellStyle name="Migliaia 11 2 2 2 2 3" xfId="43713" xr:uid="{00FA5BE9-C902-46E1-BBC6-E18A04AD926E}"/>
    <cellStyle name="Migliaia 11 2 2 2 3" xfId="18363" xr:uid="{945F1F7E-633A-4EEE-BF11-14B9996CCF99}"/>
    <cellStyle name="Migliaia 11 2 2 2 4" xfId="19819" xr:uid="{8D013C28-C202-4F0D-8167-43F0010B23EC}"/>
    <cellStyle name="Migliaia 11 2 2 2 4 2" xfId="41062" xr:uid="{B6B8FF7B-FE57-48A5-A956-099EC04580E1}"/>
    <cellStyle name="Migliaia 11 2 2 2 5" xfId="16026" xr:uid="{23E94E19-4B43-45F9-B9D4-C1DC5226D0D7}"/>
    <cellStyle name="Migliaia 11 2 2 2 6" xfId="8492" xr:uid="{9D8183F4-7551-484A-BBFE-41A6290355BF}"/>
    <cellStyle name="Migliaia 11 2 2 3" xfId="6079" xr:uid="{9B6CABAB-B548-4639-AA2E-EECD3EF420E7}"/>
    <cellStyle name="Migliaia 11 2 2 3 2" xfId="35135" xr:uid="{5BDF2FD9-A7FD-4555-96E8-B323C24E6C23}"/>
    <cellStyle name="Migliaia 11 2 2 3 2 2" xfId="40293" xr:uid="{ECAF88AC-E87C-44D6-B0CC-FDA572A39747}"/>
    <cellStyle name="Migliaia 11 2 2 3 2 3" xfId="45595" xr:uid="{0F583FC1-57DF-49DC-B716-C281BDFD4C83}"/>
    <cellStyle name="Migliaia 11 2 2 3 3" xfId="37642" xr:uid="{A0740379-21B6-4E3B-9891-43E63B88D4B2}"/>
    <cellStyle name="Migliaia 11 2 2 3 4" xfId="42944" xr:uid="{6DC521E2-2E59-4363-A422-382DD272A0FF}"/>
    <cellStyle name="Migliaia 11 2 2 3 5" xfId="11593" xr:uid="{AEF5FA45-5B29-4D38-B913-C89171BDAEC9}"/>
    <cellStyle name="Migliaia 11 2 2 4" xfId="3131" xr:uid="{F6DF6EF6-1AC3-4CEA-AA8D-544D2A4A17DB}"/>
    <cellStyle name="Migliaia 11 2 2 4 2" xfId="21375" xr:uid="{72347E97-5826-4845-A451-2B2E96218765}"/>
    <cellStyle name="Migliaia 11 2 2 4 3" xfId="48575" xr:uid="{B57D2743-7F4C-4DC5-8B90-D317AE293BC5}"/>
    <cellStyle name="Migliaia 11 2 2 4 4" xfId="50390" xr:uid="{C6299139-0D0C-4C86-B691-7E4720ED74FA}"/>
    <cellStyle name="Migliaia 11 2 2 4 5" xfId="53406" xr:uid="{9B9A52E9-FAF8-4598-9282-99EA4A9D0D33}"/>
    <cellStyle name="Migliaia 11 2 2 4 6" xfId="10740" xr:uid="{8B7EF734-5C45-4F8F-9103-A9EB8ADAE6F1}"/>
    <cellStyle name="Migliaia 11 2 2 5" xfId="19818" xr:uid="{CCAA7C9C-EB63-4702-8788-D0031580EE1A}"/>
    <cellStyle name="Migliaia 11 2 2 6" xfId="24217" xr:uid="{6BEAEFE8-C955-4DAC-AB18-6453C3AE5622}"/>
    <cellStyle name="Migliaia 11 2 2 7" xfId="7302" xr:uid="{9C354C65-1D61-41C7-AA16-240B5093AB1E}"/>
    <cellStyle name="Migliaia 11 2 3" xfId="3132" xr:uid="{E8CC12A4-850F-44C1-A0BC-A9947DEF2FC0}"/>
    <cellStyle name="Migliaia 11 2 3 2" xfId="4858" xr:uid="{D7B585F8-783F-4544-90B0-41C573527E3B}"/>
    <cellStyle name="Migliaia 11 2 3 2 2" xfId="35136" xr:uid="{232FDCCE-DB60-417F-B605-25B677F26ABB}"/>
    <cellStyle name="Migliaia 11 2 3 2 2 2" xfId="40294" xr:uid="{CEFE72DD-C007-4647-9CD8-BE6CEA9A8E7A}"/>
    <cellStyle name="Migliaia 11 2 3 2 2 3" xfId="45596" xr:uid="{ED005900-4283-4397-8BD5-915B08899E36}"/>
    <cellStyle name="Migliaia 11 2 3 2 3" xfId="37643" xr:uid="{ADB46E5B-AC6D-4C30-AD14-F92923EAE289}"/>
    <cellStyle name="Migliaia 11 2 3 2 4" xfId="42945" xr:uid="{A1081070-F1E1-4ED4-8A13-7A8056EA10CA}"/>
    <cellStyle name="Migliaia 11 2 3 2 5" xfId="14185" xr:uid="{F2188590-F011-45D9-8426-5B7995B7A7CC}"/>
    <cellStyle name="Migliaia 11 2 3 3" xfId="6080" xr:uid="{0D7E27F5-92FC-4969-BF57-43D4795617E4}"/>
    <cellStyle name="Migliaia 11 2 3 3 2" xfId="38412" xr:uid="{728EC0A6-3658-4F36-9A3E-979C0BB083D0}"/>
    <cellStyle name="Migliaia 11 2 3 3 3" xfId="43714" xr:uid="{B980F1AA-6BCE-4628-9828-33977803DC11}"/>
    <cellStyle name="Migliaia 11 2 3 3 4" xfId="33055" xr:uid="{C63C779B-B72B-420B-BCCE-47996CE6CD08}"/>
    <cellStyle name="Migliaia 11 2 3 3 5" xfId="19820" xr:uid="{DDC92DEA-1A71-4FF1-AD5E-D47D8F497DAF}"/>
    <cellStyle name="Migliaia 11 2 3 4" xfId="35943" xr:uid="{51A03957-68F5-4D09-962C-CFAB937EC72D}"/>
    <cellStyle name="Migliaia 11 2 3 5" xfId="41063" xr:uid="{F61B34E0-9821-4778-BE7D-93CCA52A091E}"/>
    <cellStyle name="Migliaia 11 2 3 6" xfId="16027" xr:uid="{38F5E8FE-AE1A-4F14-AE91-64C0FB09327F}"/>
    <cellStyle name="Migliaia 11 2 3 7" xfId="8247" xr:uid="{F573B1B2-ACCD-4D44-B6AD-0FC795D485DB}"/>
    <cellStyle name="Migliaia 11 2 4" xfId="4856" xr:uid="{1F8B22D0-8E08-4D4E-8CB2-EB859C1F9D58}"/>
    <cellStyle name="Migliaia 11 2 4 2" xfId="13888" xr:uid="{FEF8F492-FFD5-41EC-97E7-A8EC6FAF9889}"/>
    <cellStyle name="Migliaia 11 2 4 2 2" xfId="38413" xr:uid="{8980B084-0680-491E-8E97-DB4F691F2E20}"/>
    <cellStyle name="Migliaia 11 2 4 2 3" xfId="43715" xr:uid="{77709262-0596-46F4-B345-00E1B3AD8390}"/>
    <cellStyle name="Migliaia 11 2 4 3" xfId="18728" xr:uid="{F7EF99E1-43A1-482F-AC46-70BFCA6A5D90}"/>
    <cellStyle name="Migliaia 11 2 4 4" xfId="19821" xr:uid="{64E12827-18D6-4BDF-B0CE-F81D0E896CF4}"/>
    <cellStyle name="Migliaia 11 2 4 4 2" xfId="41064" xr:uid="{4C9ADBA5-8AF9-47E8-9733-F5070D256F33}"/>
    <cellStyle name="Migliaia 11 2 4 5" xfId="16028" xr:uid="{B8BAC049-5D95-4FBC-B7C1-7C239EA4D54E}"/>
    <cellStyle name="Migliaia 11 2 4 6" xfId="7828" xr:uid="{71604E2F-D380-4B77-A73C-A356018E8546}"/>
    <cellStyle name="Migliaia 11 2 5" xfId="6078" xr:uid="{8E6B8D50-9008-4732-9215-4845FADAC8CB}"/>
    <cellStyle name="Migliaia 11 2 5 2" xfId="33056" xr:uid="{7F94B2A8-73C2-4832-86DE-AA383AB5E309}"/>
    <cellStyle name="Migliaia 11 2 5 2 2" xfId="38414" xr:uid="{D1E5C4BF-72F2-4624-A813-A3701B3F1589}"/>
    <cellStyle name="Migliaia 11 2 5 2 3" xfId="43716" xr:uid="{EF859BAE-77D3-4966-B5AB-45475CD62FE9}"/>
    <cellStyle name="Migliaia 11 2 5 3" xfId="35944" xr:uid="{B96487C4-9469-4440-9364-EBBF78712955}"/>
    <cellStyle name="Migliaia 11 2 5 4" xfId="41065" xr:uid="{9C37EBB6-9605-45A2-A829-C89A3CA1D2F0}"/>
    <cellStyle name="Migliaia 11 2 5 5" xfId="13104" xr:uid="{97B9C592-1187-4B5C-86B1-BA56B5587DF2}"/>
    <cellStyle name="Migliaia 11 2 6" xfId="3130" xr:uid="{1407B6B4-6D42-4A83-93C1-184B4BB79A70}"/>
    <cellStyle name="Migliaia 11 2 6 2" xfId="33057" xr:uid="{FE7E29E4-1377-476B-A6C9-C713D11C0C99}"/>
    <cellStyle name="Migliaia 11 2 6 2 2" xfId="38415" xr:uid="{50507246-DF1F-4704-BD37-6B2106478906}"/>
    <cellStyle name="Migliaia 11 2 6 2 3" xfId="43717" xr:uid="{D843F19E-4DF5-4EB7-B034-5599423274B0}"/>
    <cellStyle name="Migliaia 11 2 6 3" xfId="35945" xr:uid="{76C8D876-AA39-461D-90C1-5401E7B32A4D}"/>
    <cellStyle name="Migliaia 11 2 6 4" xfId="41066" xr:uid="{64A10968-D070-425E-A18A-AF15515BCCDB}"/>
    <cellStyle name="Migliaia 11 2 6 5" xfId="24221" xr:uid="{7096E83C-80CF-4AEA-A6F1-C96AD8EE03C4}"/>
    <cellStyle name="Migliaia 11 2 6 6" xfId="19817" xr:uid="{38018FBA-1925-4DB6-AD97-7EE02B434E1C}"/>
    <cellStyle name="Migliaia 11 2 7" xfId="24216" xr:uid="{72F9B30F-258D-453F-BB76-1DBA62CB6900}"/>
    <cellStyle name="Migliaia 11 2 8" xfId="7048" xr:uid="{6670FB75-AC00-4F44-88B7-9E61FEEBA966}"/>
    <cellStyle name="Migliaia 11 3" xfId="307" xr:uid="{00000000-0005-0000-0000-0000CD020000}"/>
    <cellStyle name="Migliaia 11 3 10" xfId="24222" xr:uid="{23E85A32-DD50-4610-96B3-783E5F0CC01F}"/>
    <cellStyle name="Migliaia 11 3 11" xfId="16029" xr:uid="{17E7EB31-A600-4F5C-8B25-E633B9098BD4}"/>
    <cellStyle name="Migliaia 11 3 12" xfId="7049" xr:uid="{2198E147-0EF3-48A6-B2C5-B31D7133EFB3}"/>
    <cellStyle name="Migliaia 11 3 2" xfId="308" xr:uid="{00000000-0005-0000-0000-0000CE020000}"/>
    <cellStyle name="Migliaia 11 3 2 2" xfId="1664" xr:uid="{00000000-0005-0000-0000-0000CF020000}"/>
    <cellStyle name="Migliaia 11 3 2 2 2" xfId="4861" xr:uid="{9A41124B-162D-4B6E-A25E-950C0E55B9E3}"/>
    <cellStyle name="Migliaia 11 3 2 2 2 2" xfId="18364" xr:uid="{B66A5436-0E9C-46C1-B749-772C8223BA6F}"/>
    <cellStyle name="Migliaia 11 3 2 2 2 2 2" xfId="21839" xr:uid="{C34870A5-4D8E-4063-954F-90C32DCF02F2}"/>
    <cellStyle name="Migliaia 11 3 2 2 2 2 2 2" xfId="38416" xr:uid="{52483619-DA74-48CC-921D-EC3AF676C9CF}"/>
    <cellStyle name="Migliaia 11 3 2 2 2 2 3" xfId="43718" xr:uid="{41807A3A-4472-4744-87B1-BED4FB5DB975}"/>
    <cellStyle name="Migliaia 11 3 2 2 2 2 4" xfId="33058" xr:uid="{5BBE9BFF-A5A3-4293-BA00-12D058A2F35C}"/>
    <cellStyle name="Migliaia 11 3 2 2 2 3" xfId="35946" xr:uid="{F0B696B4-33C4-4EDD-AFFC-F3EA53FBC545}"/>
    <cellStyle name="Migliaia 11 3 2 2 2 4" xfId="41067" xr:uid="{0DF72EE9-3D50-4C1E-83FB-6BE0F6CA2A09}"/>
    <cellStyle name="Migliaia 11 3 2 2 2 5" xfId="37187" xr:uid="{D3C2BFC0-43EB-428D-A6D9-68CDC895F024}"/>
    <cellStyle name="Migliaia 11 3 2 2 2 6" xfId="50867" xr:uid="{A7E11DA1-15DB-4947-9C31-B3EBD4F4F2CF}"/>
    <cellStyle name="Migliaia 11 3 2 2 2 7" xfId="53883" xr:uid="{62947DD3-0D63-44C4-9E8F-E361ABBD36DB}"/>
    <cellStyle name="Migliaia 11 3 2 2 2 8" xfId="17640" xr:uid="{361048DE-BB41-45D8-824C-7EC4CC1A8689}"/>
    <cellStyle name="Migliaia 11 3 2 2 2 9" xfId="11891" xr:uid="{B1F79E77-736D-49C9-9AC5-0B5B9AFC89AC}"/>
    <cellStyle name="Migliaia 11 3 2 2 3" xfId="6083" xr:uid="{A51089CD-A31F-4E30-A2CF-A040CE6C293A}"/>
    <cellStyle name="Migliaia 11 3 2 2 3 2" xfId="11681" xr:uid="{C4C23991-D23A-421B-9EED-9EE9E99FFD25}"/>
    <cellStyle name="Migliaia 11 3 2 2 4" xfId="3135" xr:uid="{1AF9A8FF-8900-4449-90F7-4179CFCFEB0E}"/>
    <cellStyle name="Migliaia 11 3 2 2 4 2" xfId="21376" xr:uid="{7C5832AE-E752-4F4D-85C3-398F6930E31A}"/>
    <cellStyle name="Migliaia 11 3 2 2 4 3" xfId="25357" xr:uid="{48A2BBE0-CC45-4D25-9915-318A353C632D}"/>
    <cellStyle name="Migliaia 11 3 2 2 4 4" xfId="50391" xr:uid="{798F8AD0-CB3F-409E-848C-D8B742BD53CF}"/>
    <cellStyle name="Migliaia 11 3 2 2 4 5" xfId="53407" xr:uid="{1CB8B2DF-365B-4FA4-B906-6933948BF2D0}"/>
    <cellStyle name="Migliaia 11 3 2 2 4 6" xfId="10741" xr:uid="{D9DE7C30-EA84-4ECB-B606-BB78E8556CC5}"/>
    <cellStyle name="Migliaia 11 3 2 2 5" xfId="19824" xr:uid="{77222F61-18F5-4398-99AE-30B19E7B9B3C}"/>
    <cellStyle name="Migliaia 11 3 2 2 6" xfId="24224" xr:uid="{E2921DE3-E92F-4227-99FD-0A34D2B49CAE}"/>
    <cellStyle name="Migliaia 11 3 2 2 7" xfId="8494" xr:uid="{DA2CD189-A596-4B98-A539-B794382358ED}"/>
    <cellStyle name="Migliaia 11 3 2 3" xfId="4860" xr:uid="{463CD9AF-E241-4C6A-8E12-83419741BE09}"/>
    <cellStyle name="Migliaia 11 3 2 3 2" xfId="11513" xr:uid="{52B5C78E-D643-4938-A584-9E700F38A236}"/>
    <cellStyle name="Migliaia 11 3 2 3 2 2" xfId="38417" xr:uid="{D972E1ED-33BF-4DDC-A657-751A98C04DF1}"/>
    <cellStyle name="Migliaia 11 3 2 3 2 3" xfId="43719" xr:uid="{2A1CCBDB-817C-41D0-9807-A8738B25372B}"/>
    <cellStyle name="Migliaia 11 3 2 3 2 4" xfId="33059" xr:uid="{F699D3C6-1E27-4E7F-8FFD-30DD9C20B408}"/>
    <cellStyle name="Migliaia 11 3 2 3 3" xfId="11892" xr:uid="{28C72BB3-B701-4C8B-8397-F891217FF6D0}"/>
    <cellStyle name="Migliaia 11 3 2 3 4" xfId="19825" xr:uid="{F5743A35-2C49-4ADF-B4F0-FBC81B149E3B}"/>
    <cellStyle name="Migliaia 11 3 2 3 4 2" xfId="41068" xr:uid="{7931A887-080B-4D21-BB6C-0A025CEAF0D5}"/>
    <cellStyle name="Migliaia 11 3 2 3 5" xfId="16030" xr:uid="{32C712F8-34DD-488F-BC17-8B2219693CFF}"/>
    <cellStyle name="Migliaia 11 3 2 3 6" xfId="7830" xr:uid="{484053C9-3B37-40F7-8DCC-1133A1D221F9}"/>
    <cellStyle name="Migliaia 11 3 2 4" xfId="6082" xr:uid="{856A064C-297D-4D0D-ABF3-44EB7EAD9040}"/>
    <cellStyle name="Migliaia 11 3 2 4 2" xfId="18059" xr:uid="{7E11B823-7A14-42DA-98E1-4DED924A3603}"/>
    <cellStyle name="Migliaia 11 3 2 4 2 2" xfId="38418" xr:uid="{E101FA77-D817-4992-8DED-08D018D8449B}"/>
    <cellStyle name="Migliaia 11 3 2 4 2 3" xfId="43720" xr:uid="{CEF1318B-183D-43E4-8E37-9975CAC61855}"/>
    <cellStyle name="Migliaia 11 3 2 4 3" xfId="35947" xr:uid="{67D79C5C-BBDB-4A74-9023-B9544A53CA88}"/>
    <cellStyle name="Migliaia 11 3 2 4 4" xfId="41069" xr:uid="{E17AEAF5-F039-453D-8CC9-326BB16F1592}"/>
    <cellStyle name="Migliaia 11 3 2 4 5" xfId="17140" xr:uid="{76EC371E-4A6B-4546-9BE5-85BA409B9670}"/>
    <cellStyle name="Migliaia 11 3 2 4 6" xfId="11244" xr:uid="{B1F5188D-990D-4BC4-B0F2-AFDA7F10D808}"/>
    <cellStyle name="Migliaia 11 3 2 5" xfId="3134" xr:uid="{7519487A-66A7-4327-A8FA-B90336674E35}"/>
    <cellStyle name="Migliaia 11 3 2 5 2" xfId="33060" xr:uid="{26DC63AF-9329-425A-8D1F-4C98E823F869}"/>
    <cellStyle name="Migliaia 11 3 2 5 2 2" xfId="38419" xr:uid="{D1D10E81-9623-4826-817A-8FC20CDA65F0}"/>
    <cellStyle name="Migliaia 11 3 2 5 2 3" xfId="43721" xr:uid="{61BA0AAF-45C0-4F03-BBAA-BD83E96C4B4A}"/>
    <cellStyle name="Migliaia 11 3 2 5 3" xfId="35948" xr:uid="{42674128-14C9-4012-BD23-39D928A15EEB}"/>
    <cellStyle name="Migliaia 11 3 2 5 4" xfId="41070" xr:uid="{03FA2339-0FBE-42B3-A562-22D9D82F4B1B}"/>
    <cellStyle name="Migliaia 11 3 2 5 5" xfId="17420" xr:uid="{067ACE90-7621-4EC9-B0B6-53C7693C2AAC}"/>
    <cellStyle name="Migliaia 11 3 2 6" xfId="19823" xr:uid="{FD9D362F-57CE-4763-83DB-4AF9197A35D7}"/>
    <cellStyle name="Migliaia 11 3 2 6 2" xfId="33061" xr:uid="{5A913EB3-896F-4174-B823-D6638B14BEF6}"/>
    <cellStyle name="Migliaia 11 3 2 6 2 2" xfId="38420" xr:uid="{92812238-7365-468F-A5AD-241B095D721D}"/>
    <cellStyle name="Migliaia 11 3 2 6 2 3" xfId="43722" xr:uid="{767F1629-8D6A-418E-AA63-D8D086C81125}"/>
    <cellStyle name="Migliaia 11 3 2 6 3" xfId="35949" xr:uid="{E3C59C1C-3658-4BFA-ACCD-EF37DD00D097}"/>
    <cellStyle name="Migliaia 11 3 2 6 4" xfId="41071" xr:uid="{89C23AC6-D709-406B-8B8A-4B533F087AAB}"/>
    <cellStyle name="Migliaia 11 3 2 6 5" xfId="24225" xr:uid="{ACD4C163-94E4-49BE-A7C1-CB97C4B947AD}"/>
    <cellStyle name="Migliaia 11 3 2 7" xfId="24223" xr:uid="{37325770-4163-4368-852D-073EAF4AD980}"/>
    <cellStyle name="Migliaia 11 3 2 8" xfId="7304" xr:uid="{13CC51D6-8E76-41B5-8DFB-A8601ED3C374}"/>
    <cellStyle name="Migliaia 11 3 3" xfId="3136" xr:uid="{81E70F5A-4FB2-45F1-A9F4-F21F14CF5FE4}"/>
    <cellStyle name="Migliaia 11 3 3 10" xfId="7303" xr:uid="{F4FAE1B7-2C02-4475-AE39-ACA23417A170}"/>
    <cellStyle name="Migliaia 11 3 3 2" xfId="4862" xr:uid="{038B4243-7E04-46DF-8688-33D36104651A}"/>
    <cellStyle name="Migliaia 11 3 3 2 2" xfId="9886" xr:uid="{990C5413-B859-484C-83DE-B2291C8C9E6C}"/>
    <cellStyle name="Migliaia 11 3 3 2 2 2" xfId="38422" xr:uid="{5857FEE1-6993-4917-B2EF-CC0C2B62431D}"/>
    <cellStyle name="Migliaia 11 3 3 2 2 3" xfId="43724" xr:uid="{96607074-39EE-448A-A7B5-7F873D05A719}"/>
    <cellStyle name="Migliaia 11 3 3 2 3" xfId="18166" xr:uid="{16165DA6-6517-4101-BC1A-435EDEABE5D3}"/>
    <cellStyle name="Migliaia 11 3 3 2 4" xfId="19827" xr:uid="{F70107F5-22D8-47CE-9961-71AB40367985}"/>
    <cellStyle name="Migliaia 11 3 3 2 4 2" xfId="41073" xr:uid="{7AAAC637-A23B-4143-87F2-634A6AAB73AE}"/>
    <cellStyle name="Migliaia 11 3 3 2 5" xfId="16032" xr:uid="{8FEFE68B-9E93-45FA-BA24-40193B136AFE}"/>
    <cellStyle name="Migliaia 11 3 3 2 6" xfId="8493" xr:uid="{C14514DA-4249-4C9A-8D3F-100190CECE59}"/>
    <cellStyle name="Migliaia 11 3 3 3" xfId="6084" xr:uid="{65803611-EF28-4E04-9A92-C57536E4078A}"/>
    <cellStyle name="Migliaia 11 3 3 3 2" xfId="33064" xr:uid="{B987B6CC-F76E-4175-BDCA-BB8EBA5DEC6C}"/>
    <cellStyle name="Migliaia 11 3 3 3 2 2" xfId="38423" xr:uid="{539C41C4-F6D6-41CD-8CCE-87EB0128158B}"/>
    <cellStyle name="Migliaia 11 3 3 3 2 3" xfId="43725" xr:uid="{4D485CBA-0BB2-474B-B2A8-2981334CF001}"/>
    <cellStyle name="Migliaia 11 3 3 3 3" xfId="35952" xr:uid="{40AE6753-1796-4BE7-9C18-369DD5117AA0}"/>
    <cellStyle name="Migliaia 11 3 3 3 4" xfId="41074" xr:uid="{E4F51AB0-4E7D-4001-8196-94D64C9CE6E6}"/>
    <cellStyle name="Migliaia 11 3 3 3 5" xfId="9649" xr:uid="{520A90D9-F148-4F56-B90E-C2270DDBD6BA}"/>
    <cellStyle name="Migliaia 11 3 3 4" xfId="19826" xr:uid="{AF924097-95B6-460B-8F9E-7443FAADA317}"/>
    <cellStyle name="Migliaia 11 3 3 4 2" xfId="33065" xr:uid="{C3F86C30-E53F-419A-B475-76BDCDEE70C4}"/>
    <cellStyle name="Migliaia 11 3 3 4 2 2" xfId="38424" xr:uid="{573FABEA-E308-4737-9E6D-7484AE54414F}"/>
    <cellStyle name="Migliaia 11 3 3 4 2 3" xfId="43726" xr:uid="{D8779A34-CBF5-4C0E-83C8-FD4EE7FD5674}"/>
    <cellStyle name="Migliaia 11 3 3 4 3" xfId="35953" xr:uid="{A677FC94-38E3-44B1-AB06-2F7A4A915E54}"/>
    <cellStyle name="Migliaia 11 3 3 4 4" xfId="41075" xr:uid="{E969E798-CEF6-4B6F-9266-5D4FD1441DC6}"/>
    <cellStyle name="Migliaia 11 3 3 4 5" xfId="24228" xr:uid="{A993664F-6507-43CC-BF58-EE2479EED228}"/>
    <cellStyle name="Migliaia 11 3 3 5" xfId="24229" xr:uid="{009188B6-46CC-47FB-8485-BF70D1D27C60}"/>
    <cellStyle name="Migliaia 11 3 3 5 2" xfId="33066" xr:uid="{944ECE57-6889-45A4-A18C-95FB5463AC63}"/>
    <cellStyle name="Migliaia 11 3 3 5 2 2" xfId="38425" xr:uid="{E63307C3-624E-41CF-B5AE-C1E171BA1B2B}"/>
    <cellStyle name="Migliaia 11 3 3 5 2 3" xfId="43727" xr:uid="{BB53147A-BCA8-4BD7-B5BE-FD09DE19683D}"/>
    <cellStyle name="Migliaia 11 3 3 5 3" xfId="35954" xr:uid="{05CC7947-B90E-4264-A62A-E1ABEF72F5B7}"/>
    <cellStyle name="Migliaia 11 3 3 5 4" xfId="41076" xr:uid="{6C12E90A-4900-44DC-B0F5-0A78808EA760}"/>
    <cellStyle name="Migliaia 11 3 3 6" xfId="33062" xr:uid="{9E827D1D-708B-4756-A962-BAE02A019B35}"/>
    <cellStyle name="Migliaia 11 3 3 6 2" xfId="38421" xr:uid="{9086A638-7923-4167-8512-FFF557AA86CE}"/>
    <cellStyle name="Migliaia 11 3 3 6 3" xfId="43723" xr:uid="{4CE4C2D3-781D-4DFC-A96D-F96671C356F0}"/>
    <cellStyle name="Migliaia 11 3 3 7" xfId="35950" xr:uid="{E2144051-B919-4592-997B-30E972F8212B}"/>
    <cellStyle name="Migliaia 11 3 3 8" xfId="41072" xr:uid="{480B6466-E5B1-4052-98FF-B3A9F9715589}"/>
    <cellStyle name="Migliaia 11 3 3 9" xfId="16031" xr:uid="{476336D4-D681-4B4E-A4E0-56A278E35ACE}"/>
    <cellStyle name="Migliaia 11 3 4" xfId="3137" xr:uid="{96A4160B-9CA5-420A-929F-C1407976CA36}"/>
    <cellStyle name="Migliaia 11 3 4 2" xfId="4863" xr:uid="{A41B862D-1B69-493A-8C4F-C6018D9A0D73}"/>
    <cellStyle name="Migliaia 11 3 4 2 2" xfId="14425" xr:uid="{4EB7D7A3-9E44-4D68-B5C6-E206977EBBAA}"/>
    <cellStyle name="Migliaia 11 3 4 2 3" xfId="18593" xr:uid="{815D1B30-214B-4D2E-AEA2-09A9760A7382}"/>
    <cellStyle name="Migliaia 11 3 4 2 4" xfId="19829" xr:uid="{E4A806CA-80DA-47E5-91C5-6704449271C6}"/>
    <cellStyle name="Migliaia 11 3 4 2 5" xfId="32293" xr:uid="{DEBE0F8C-5116-4E34-AD2B-3C2D1638ED4F}"/>
    <cellStyle name="Migliaia 11 3 4 2 6" xfId="16034" xr:uid="{95F43DA0-959E-436A-87D3-4A64CC3815DA}"/>
    <cellStyle name="Migliaia 11 3 4 2 7" xfId="8848" xr:uid="{81F326DB-B0B0-4912-BFF0-FA0AD013DA04}"/>
    <cellStyle name="Migliaia 11 3 4 3" xfId="6085" xr:uid="{30E7FB46-7E2E-4476-B660-1D6B016D1E47}"/>
    <cellStyle name="Migliaia 11 3 4 3 2" xfId="35137" xr:uid="{FE2524FD-867B-4061-A86A-B6FFC49699D3}"/>
    <cellStyle name="Migliaia 11 3 4 3 2 2" xfId="40295" xr:uid="{DB58CEC5-36B8-4CD2-8662-E935E80480E3}"/>
    <cellStyle name="Migliaia 11 3 4 3 2 3" xfId="45597" xr:uid="{ABAE5C8C-AA1A-450D-8D5E-42ED4D946C93}"/>
    <cellStyle name="Migliaia 11 3 4 3 3" xfId="37644" xr:uid="{16410F23-3F58-4897-A096-132F8C0B14C6}"/>
    <cellStyle name="Migliaia 11 3 4 3 4" xfId="42946" xr:uid="{40982078-FEFB-4A7E-89FE-17BCCDD9B3D1}"/>
    <cellStyle name="Migliaia 11 3 4 3 5" xfId="13673" xr:uid="{CD4F32CF-96F8-463F-ABD8-E64C6C2A69C2}"/>
    <cellStyle name="Migliaia 11 3 4 4" xfId="19828" xr:uid="{2765BF5E-62F7-4BEC-A34D-25114044E8A8}"/>
    <cellStyle name="Migliaia 11 3 4 4 2" xfId="38426" xr:uid="{542152AB-4E03-4676-BBB1-BC497A219685}"/>
    <cellStyle name="Migliaia 11 3 4 4 3" xfId="43728" xr:uid="{A14DADAA-D855-415E-820F-E5390B582900}"/>
    <cellStyle name="Migliaia 11 3 4 4 4" xfId="33067" xr:uid="{E0EFBE94-8B19-4533-A979-8734DA1AAD42}"/>
    <cellStyle name="Migliaia 11 3 4 5" xfId="35955" xr:uid="{41A1490B-3C46-4D7F-95F7-3819466EA6AB}"/>
    <cellStyle name="Migliaia 11 3 4 6" xfId="41077" xr:uid="{E390D9A8-208A-43CA-9754-8810EA33FDC2}"/>
    <cellStyle name="Migliaia 11 3 4 7" xfId="16033" xr:uid="{96E7810E-E4B9-4B68-9849-034404254938}"/>
    <cellStyle name="Migliaia 11 3 4 8" xfId="7658" xr:uid="{FE3FAD9A-A079-454B-9F8B-AF5B6A8A9E69}"/>
    <cellStyle name="Migliaia 11 3 5" xfId="3138" xr:uid="{3E6DCE25-E8B6-4D5D-8986-9F0C8458C12B}"/>
    <cellStyle name="Migliaia 11 3 5 2" xfId="4864" xr:uid="{89C3D5B7-A2F4-4701-8447-E7AF10AC7769}"/>
    <cellStyle name="Migliaia 11 3 5 2 2" xfId="35138" xr:uid="{E03F9E08-6CCF-4B62-BD4B-548FA410AD74}"/>
    <cellStyle name="Migliaia 11 3 5 2 2 2" xfId="40296" xr:uid="{E180F4AC-3005-4BCB-AB3C-9DD7897D043D}"/>
    <cellStyle name="Migliaia 11 3 5 2 2 3" xfId="45598" xr:uid="{B7681753-D214-473F-B81E-78563E882F47}"/>
    <cellStyle name="Migliaia 11 3 5 2 3" xfId="37645" xr:uid="{60A3DAA8-BC1B-4D3B-84B3-4026E363C2D1}"/>
    <cellStyle name="Migliaia 11 3 5 2 4" xfId="42947" xr:uid="{F2745D64-60A9-4396-88B3-4124659175AF}"/>
    <cellStyle name="Migliaia 11 3 5 2 5" xfId="14186" xr:uid="{3D7DFE32-3D70-4F1B-BB6A-E71308CAE57E}"/>
    <cellStyle name="Migliaia 11 3 5 3" xfId="6086" xr:uid="{4F6A8136-CA0B-4D7A-B210-074670FFB571}"/>
    <cellStyle name="Migliaia 11 3 5 3 2" xfId="38427" xr:uid="{AD06C9AD-D6E4-4F74-8EDC-AEC187ED590B}"/>
    <cellStyle name="Migliaia 11 3 5 3 3" xfId="43729" xr:uid="{4F920C02-42E0-4768-ACB7-2E8129B60F3A}"/>
    <cellStyle name="Migliaia 11 3 5 3 4" xfId="33068" xr:uid="{5FEEC074-2365-4434-8EC9-9897C5C6B1A2}"/>
    <cellStyle name="Migliaia 11 3 5 3 5" xfId="19830" xr:uid="{5A66C21F-2A0A-42E7-A6E2-2591AE225C3E}"/>
    <cellStyle name="Migliaia 11 3 5 4" xfId="35956" xr:uid="{E34EFDE1-FF49-4567-928C-0729333C8A79}"/>
    <cellStyle name="Migliaia 11 3 5 5" xfId="41078" xr:uid="{4E8C9793-06D7-4480-BC80-CD2E4217168D}"/>
    <cellStyle name="Migliaia 11 3 5 6" xfId="16035" xr:uid="{9947D53E-C7AC-48A0-A7C6-29E56EE978E5}"/>
    <cellStyle name="Migliaia 11 3 5 7" xfId="8248" xr:uid="{63F40F5E-4001-4ABF-97CC-A2739AD12881}"/>
    <cellStyle name="Migliaia 11 3 6" xfId="4859" xr:uid="{90E817AB-42D9-4E62-BDCB-2762854E06A7}"/>
    <cellStyle name="Migliaia 11 3 6 2" xfId="13889" xr:uid="{6BA3083A-0798-4CCF-AE81-BA3242D46CDD}"/>
    <cellStyle name="Migliaia 11 3 6 2 2" xfId="38428" xr:uid="{27929A19-CA73-4C60-AE4C-24A8C3A822A9}"/>
    <cellStyle name="Migliaia 11 3 6 2 3" xfId="43730" xr:uid="{393DF830-E4F0-45D9-B8A2-D6AC6076179A}"/>
    <cellStyle name="Migliaia 11 3 6 3" xfId="18622" xr:uid="{C6F4CCC8-07D3-4999-8F7D-6711BF962EBF}"/>
    <cellStyle name="Migliaia 11 3 6 4" xfId="19831" xr:uid="{719AFA64-600D-4929-A1B3-1A3445A3B77A}"/>
    <cellStyle name="Migliaia 11 3 6 4 2" xfId="41079" xr:uid="{8FC71D5B-34DC-4B7D-99EB-58EC55EDF6A9}"/>
    <cellStyle name="Migliaia 11 3 6 5" xfId="16036" xr:uid="{2DCDDF92-FEF7-4CEC-898F-BFAB565C7CFC}"/>
    <cellStyle name="Migliaia 11 3 6 6" xfId="7829" xr:uid="{57831F66-090C-42F2-ADCB-8C1F19D2D71E}"/>
    <cellStyle name="Migliaia 11 3 7" xfId="6081" xr:uid="{8E5FFF7A-24FF-4136-956C-8A6837C2A323}"/>
    <cellStyle name="Migliaia 11 3 7 2" xfId="33069" xr:uid="{B1E1404E-0272-4B25-A062-1FF47A7CC85A}"/>
    <cellStyle name="Migliaia 11 3 7 2 2" xfId="38429" xr:uid="{29E7A079-91FC-4EAC-9841-1CB2B62455C7}"/>
    <cellStyle name="Migliaia 11 3 7 2 3" xfId="43731" xr:uid="{23F15BDC-0794-49AC-A995-7B8472BA33DB}"/>
    <cellStyle name="Migliaia 11 3 7 3" xfId="35957" xr:uid="{0F45C87A-7F3D-42DC-9DE2-BFACD7304535}"/>
    <cellStyle name="Migliaia 11 3 7 4" xfId="41080" xr:uid="{D5FB0069-37A3-486F-BBFA-44C0ED06F7C8}"/>
    <cellStyle name="Migliaia 11 3 7 5" xfId="11223" xr:uid="{D71ADC74-26C3-45DA-92BC-A07C7AE75602}"/>
    <cellStyle name="Migliaia 11 3 8" xfId="3133" xr:uid="{1E0949C0-D6E0-4144-B3FC-C0A41691A577}"/>
    <cellStyle name="Migliaia 11 3 8 2" xfId="33070" xr:uid="{B66F7E45-D136-427A-AAAA-146709016567}"/>
    <cellStyle name="Migliaia 11 3 8 2 2" xfId="38430" xr:uid="{A4F81C65-6B0A-44CB-87D0-490CF6B143E6}"/>
    <cellStyle name="Migliaia 11 3 8 2 3" xfId="43732" xr:uid="{F0E03347-93C8-48E5-BA29-75F9E91A8872}"/>
    <cellStyle name="Migliaia 11 3 8 3" xfId="35958" xr:uid="{8AAB70F8-C752-40BB-BE9C-FD93DBEA4045}"/>
    <cellStyle name="Migliaia 11 3 8 4" xfId="41081" xr:uid="{F0A54E0E-97B1-411F-AF18-922ED575F6F4}"/>
    <cellStyle name="Migliaia 11 3 8 5" xfId="24230" xr:uid="{BF5490E9-622C-4BE6-B112-9A37A95B5E4A}"/>
    <cellStyle name="Migliaia 11 3 8 6" xfId="17421" xr:uid="{BC968FC3-7A51-45C9-8EB0-C2D0B6C35602}"/>
    <cellStyle name="Migliaia 11 3 9" xfId="19822" xr:uid="{B1A3440F-D0BF-4229-AD9D-5A0CBD7DBAFF}"/>
    <cellStyle name="Migliaia 11 4" xfId="1665" xr:uid="{00000000-0005-0000-0000-0000D0020000}"/>
    <cellStyle name="Migliaia 11 4 2" xfId="1666" xr:uid="{00000000-0005-0000-0000-0000D1020000}"/>
    <cellStyle name="Migliaia 11 4 2 2" xfId="4866" xr:uid="{5483FAEB-2B8B-4702-9141-B22E54F03B50}"/>
    <cellStyle name="Migliaia 11 4 2 2 2" xfId="33071" xr:uid="{D9B838EF-DB8C-4CAA-801E-503BD8A301E8}"/>
    <cellStyle name="Migliaia 11 4 2 2 2 2" xfId="38431" xr:uid="{21EA483C-A248-4141-A95B-884D06E68E2E}"/>
    <cellStyle name="Migliaia 11 4 2 2 2 3" xfId="43733" xr:uid="{69CD9F6F-A34A-415C-A328-B7782FE4A353}"/>
    <cellStyle name="Migliaia 11 4 2 2 3" xfId="35959" xr:uid="{E2CD5DEC-2628-458D-A40B-AB9CBE65DC36}"/>
    <cellStyle name="Migliaia 11 4 2 2 4" xfId="41082" xr:uid="{7BF810B0-000E-4B82-9A71-6E57F581BC3B}"/>
    <cellStyle name="Migliaia 11 4 2 2 5" xfId="9112" xr:uid="{C4FFE22F-02B9-4E2D-845C-71089F8E4CCB}"/>
    <cellStyle name="Migliaia 11 4 2 3" xfId="3140" xr:uid="{6C884B19-13C5-4E6E-A1C7-D37EBBFA88DE}"/>
    <cellStyle name="Migliaia 11 4 2 3 2" xfId="33072" xr:uid="{9AA407A3-8D7F-4C9A-A1EB-B34BC19B4BD3}"/>
    <cellStyle name="Migliaia 11 4 2 3 2 2" xfId="38432" xr:uid="{D868BB0F-0677-4570-BC49-0E8878CF5674}"/>
    <cellStyle name="Migliaia 11 4 2 3 2 3" xfId="43734" xr:uid="{AA307775-4E4E-42D8-8C81-4F3516640949}"/>
    <cellStyle name="Migliaia 11 4 2 3 3" xfId="35960" xr:uid="{6D7A5E16-CAB7-4C7C-AD12-AB77305EEE12}"/>
    <cellStyle name="Migliaia 11 4 2 3 4" xfId="41083" xr:uid="{2C8DDCA3-3A33-4FB5-A448-06FED257AAFD}"/>
    <cellStyle name="Migliaia 11 4 2 3 5" xfId="11893" xr:uid="{847DD85B-7E49-4D1E-842E-E756AB0B0D2D}"/>
    <cellStyle name="Migliaia 11 4 2 4" xfId="11246" xr:uid="{4EAB69A2-D0DD-4E67-96AA-70D08319877B}"/>
    <cellStyle name="Migliaia 11 4 2 5" xfId="10743" xr:uid="{45017053-3CCD-4343-BBFD-D059977CD789}"/>
    <cellStyle name="Migliaia 11 4 2 5 2" xfId="21378" xr:uid="{D3811DFE-989B-4E65-8532-2007CE70D4BC}"/>
    <cellStyle name="Migliaia 11 4 2 5 3" xfId="46640" xr:uid="{E08A5518-D3BF-4CB0-AD6B-3B8BC40C9599}"/>
    <cellStyle name="Migliaia 11 4 2 5 4" xfId="50393" xr:uid="{5D067085-27DE-4B59-898F-B97F465FCDD4}"/>
    <cellStyle name="Migliaia 11 4 2 5 5" xfId="53409" xr:uid="{85D93763-DE0A-4C35-B178-F8C0A00016F2}"/>
    <cellStyle name="Migliaia 11 4 2 6" xfId="19833" xr:uid="{04690116-CBF6-4C0B-A3F0-4B9474071290}"/>
    <cellStyle name="Migliaia 11 4 2 7" xfId="24232" xr:uid="{4C93959A-F75F-4560-8FEE-7D5685B3C892}"/>
    <cellStyle name="Migliaia 11 4 2 8" xfId="8495" xr:uid="{009273B4-B7F6-4284-A45D-A97D81430295}"/>
    <cellStyle name="Migliaia 11 4 3" xfId="4865" xr:uid="{C707F8C5-2504-4811-B50F-76628C743FA8}"/>
    <cellStyle name="Migliaia 11 4 3 2" xfId="18167" xr:uid="{E8A081CC-BB8B-4575-9C2A-4F894A6603C3}"/>
    <cellStyle name="Migliaia 11 4 3 2 2" xfId="38433" xr:uid="{F59D2DB1-53A2-4F1A-A40D-D0CFABF3CCDF}"/>
    <cellStyle name="Migliaia 11 4 3 2 3" xfId="43735" xr:uid="{2BDABAA9-06A6-4FFC-B22D-848671C481F6}"/>
    <cellStyle name="Migliaia 11 4 3 3" xfId="35961" xr:uid="{8E3FA350-517B-4805-B777-F9CC40C42404}"/>
    <cellStyle name="Migliaia 11 4 3 4" xfId="41084" xr:uid="{A853A241-E7B9-473D-A76F-7D3B6B92F3F7}"/>
    <cellStyle name="Migliaia 11 4 3 5" xfId="17419" xr:uid="{733702F4-0169-420C-8C4A-B21E663CC489}"/>
    <cellStyle name="Migliaia 11 4 3 6" xfId="9113" xr:uid="{4B8C3723-D7A4-4BDB-82F9-41063005C79B}"/>
    <cellStyle name="Migliaia 11 4 4" xfId="6087" xr:uid="{7469A170-1BD1-4BE6-BC43-47E03BA52379}"/>
    <cellStyle name="Migliaia 11 4 4 2" xfId="33073" xr:uid="{D03A1377-D10E-4C00-B3F7-C90370DEDF0E}"/>
    <cellStyle name="Migliaia 11 4 4 2 2" xfId="38434" xr:uid="{B85BBB1B-EC09-4453-82B1-D21220EA57A3}"/>
    <cellStyle name="Migliaia 11 4 4 2 3" xfId="43736" xr:uid="{9FD0E627-A19E-4D18-A72C-1B82B7647BE2}"/>
    <cellStyle name="Migliaia 11 4 4 3" xfId="35962" xr:uid="{1E02B574-1515-4B2F-A061-CC9F6FB38EF2}"/>
    <cellStyle name="Migliaia 11 4 4 4" xfId="41085" xr:uid="{9AFF10DA-CF5E-48E5-B3FF-74E9804E4448}"/>
    <cellStyle name="Migliaia 11 4 4 5" xfId="11894" xr:uid="{17809C20-72FE-4EAC-88AA-FB3C0ED18796}"/>
    <cellStyle name="Migliaia 11 4 5" xfId="3139" xr:uid="{C8B7C00B-0B4E-4065-BB74-DE0D67BC5DD9}"/>
    <cellStyle name="Migliaia 11 4 5 2" xfId="33074" xr:uid="{927723EF-9E36-4316-9369-1A5838C6B098}"/>
    <cellStyle name="Migliaia 11 4 5 2 2" xfId="38435" xr:uid="{8ABDFE06-5235-47F2-BB19-F3EB684B90D0}"/>
    <cellStyle name="Migliaia 11 4 5 2 3" xfId="43737" xr:uid="{04BD3AD5-787F-450B-B179-3CEE6C7F71E7}"/>
    <cellStyle name="Migliaia 11 4 5 3" xfId="35963" xr:uid="{3E425902-22F2-4216-965A-9CA5FD76BC85}"/>
    <cellStyle name="Migliaia 11 4 5 4" xfId="41086" xr:uid="{DE9C556E-313E-4F21-B603-C6B46859A6A5}"/>
    <cellStyle name="Migliaia 11 4 5 5" xfId="11245" xr:uid="{CD365FF7-E9CF-4314-82AB-FC07828761AD}"/>
    <cellStyle name="Migliaia 11 4 6" xfId="10742" xr:uid="{3EF6740A-8C04-49D2-90E2-DE41006C1817}"/>
    <cellStyle name="Migliaia 11 4 6 2" xfId="21377" xr:uid="{C1C89AA8-6B28-428C-BCCC-EE6465030340}"/>
    <cellStyle name="Migliaia 11 4 6 2 2" xfId="38436" xr:uid="{60BDCC1D-75CF-41B3-8165-56115B6F9674}"/>
    <cellStyle name="Migliaia 11 4 6 2 3" xfId="43738" xr:uid="{47F9129D-B70C-4DE8-B20B-F876269D9DE8}"/>
    <cellStyle name="Migliaia 11 4 6 2 4" xfId="33075" xr:uid="{0F1595E9-B700-453E-A585-1777FFD4C2DD}"/>
    <cellStyle name="Migliaia 11 4 6 3" xfId="35964" xr:uid="{D6472F65-B6BD-474C-A5AD-9BEFBE8EF1D6}"/>
    <cellStyle name="Migliaia 11 4 6 4" xfId="41087" xr:uid="{445D38D8-E326-4DCD-857B-77753D012291}"/>
    <cellStyle name="Migliaia 11 4 6 5" xfId="24233" xr:uid="{AF9ABCDF-824E-4C86-8DB1-499B0C87F4EB}"/>
    <cellStyle name="Migliaia 11 4 6 6" xfId="48378" xr:uid="{30703708-565F-4169-B959-7FC76804EEED}"/>
    <cellStyle name="Migliaia 11 4 6 7" xfId="50392" xr:uid="{EE06010F-A2B9-436F-A180-C4B268C9E4F9}"/>
    <cellStyle name="Migliaia 11 4 6 8" xfId="53408" xr:uid="{098BA4E1-9A98-457C-800E-A732C0DC89CE}"/>
    <cellStyle name="Migliaia 11 4 7" xfId="19832" xr:uid="{7084E221-9DC3-4376-A0DE-DFC916D213AB}"/>
    <cellStyle name="Migliaia 11 4 7 2" xfId="33076" xr:uid="{144DD849-99A2-4315-BD3E-756EB3EAFC68}"/>
    <cellStyle name="Migliaia 11 4 7 2 2" xfId="38437" xr:uid="{1FB5F72C-28D5-4239-B150-7D8B9D9C949A}"/>
    <cellStyle name="Migliaia 11 4 7 2 3" xfId="43739" xr:uid="{C9295C56-2B00-4134-AF27-4FCF2A377A49}"/>
    <cellStyle name="Migliaia 11 4 7 3" xfId="35965" xr:uid="{04F9B28E-DBA5-4FDF-B2E6-E43169EE1D8F}"/>
    <cellStyle name="Migliaia 11 4 7 4" xfId="41088" xr:uid="{0EFFBCF5-7C00-4B77-A5FC-71BCD07D5B45}"/>
    <cellStyle name="Migliaia 11 4 7 5" xfId="24234" xr:uid="{72740029-7484-4CC5-89B1-1DB58A0D954A}"/>
    <cellStyle name="Migliaia 11 4 8" xfId="24231" xr:uid="{81A02212-6398-41F3-9606-99CD7CDF4B11}"/>
    <cellStyle name="Migliaia 11 4 9" xfId="7305" xr:uid="{890F536D-038F-4A93-A293-7A644B05D812}"/>
    <cellStyle name="Migliaia 11 5" xfId="1667" xr:uid="{00000000-0005-0000-0000-0000D2020000}"/>
    <cellStyle name="Migliaia 11 5 2" xfId="4867" xr:uid="{7164FA7B-381C-4AE9-9662-37CB4B6EC591}"/>
    <cellStyle name="Migliaia 11 5 2 2" xfId="18365" xr:uid="{14952D32-D99B-40B7-B894-EE9A2160DFC3}"/>
    <cellStyle name="Migliaia 11 5 2 2 2" xfId="38438" xr:uid="{AF54A3DD-805B-4B34-B9B6-3392F74AF3BD}"/>
    <cellStyle name="Migliaia 11 5 2 2 3" xfId="43740" xr:uid="{F107CC82-480E-46FA-8D0B-C7B3B7580B8F}"/>
    <cellStyle name="Migliaia 11 5 2 3" xfId="19835" xr:uid="{5C754404-158F-4C3C-9B8B-0EB4B1239A9B}"/>
    <cellStyle name="Migliaia 11 5 2 3 2" xfId="35966" xr:uid="{E3FC403C-FDDF-4303-AC3E-B2F1E4D625A8}"/>
    <cellStyle name="Migliaia 11 5 2 4" xfId="41089" xr:uid="{87CC99B4-2D86-42D9-BB59-1C7A6D08B97C}"/>
    <cellStyle name="Migliaia 11 5 2 5" xfId="16037" xr:uid="{9D3622A5-5FE6-406C-82BF-B2F68A9BC37E}"/>
    <cellStyle name="Migliaia 11 5 2 6" xfId="8496" xr:uid="{EDB83B02-CF87-4DE2-A065-7CCA77A23C92}"/>
    <cellStyle name="Migliaia 11 5 3" xfId="6088" xr:uid="{1D86F9FE-1313-46DC-A14F-F88D47148B86}"/>
    <cellStyle name="Migliaia 11 5 3 2" xfId="33078" xr:uid="{91A3AB8F-6072-4ACB-AF66-F07C78D3FF7B}"/>
    <cellStyle name="Migliaia 11 5 3 2 2" xfId="38439" xr:uid="{673CFDBD-BDC4-4803-B423-CF682E888FBF}"/>
    <cellStyle name="Migliaia 11 5 3 2 3" xfId="43741" xr:uid="{21E3FCC1-42BB-46B6-A500-113DA07AEED4}"/>
    <cellStyle name="Migliaia 11 5 3 3" xfId="35967" xr:uid="{DEF977D4-A61B-4C3C-B7A2-2796676563F9}"/>
    <cellStyle name="Migliaia 11 5 3 4" xfId="41090" xr:uid="{473ED65B-E5C8-4695-81BB-F4FF7CE4E630}"/>
    <cellStyle name="Migliaia 11 5 3 5" xfId="11247" xr:uid="{70A25781-CF7D-4FC0-BDA6-48E8247A2F01}"/>
    <cellStyle name="Migliaia 11 5 4" xfId="3141" xr:uid="{474CACC1-97B9-413D-9CE1-30AB918D1582}"/>
    <cellStyle name="Migliaia 11 5 4 2" xfId="21379" xr:uid="{1198ABA7-13A7-46A4-9283-2EF8833AD008}"/>
    <cellStyle name="Migliaia 11 5 4 2 2" xfId="38440" xr:uid="{A8D01F96-26C2-4A5F-B4E4-AC4EA827F55B}"/>
    <cellStyle name="Migliaia 11 5 4 2 3" xfId="43742" xr:uid="{FABC1752-B1BA-4673-A3B4-5D64F1F47606}"/>
    <cellStyle name="Migliaia 11 5 4 2 4" xfId="33079" xr:uid="{62B4FEA7-B933-47F5-8EC1-8EF2A864CB08}"/>
    <cellStyle name="Migliaia 11 5 4 3" xfId="35968" xr:uid="{18E10CF4-2670-4F3B-8304-B21A9EC81EBB}"/>
    <cellStyle name="Migliaia 11 5 4 4" xfId="41091" xr:uid="{D649C296-10AE-4039-AB82-3C8E5A7DC522}"/>
    <cellStyle name="Migliaia 11 5 4 5" xfId="24236" xr:uid="{40F735E6-4C34-44DD-980B-EF31F5E42505}"/>
    <cellStyle name="Migliaia 11 5 4 6" xfId="47447" xr:uid="{3C0AA143-C3B4-4935-BC96-EA557D2B6DA9}"/>
    <cellStyle name="Migliaia 11 5 4 7" xfId="50394" xr:uid="{85A9339D-71B5-4E44-A695-8D564A0AF129}"/>
    <cellStyle name="Migliaia 11 5 4 8" xfId="53410" xr:uid="{8815ADAC-31FF-459B-8B39-9CAA19F83A91}"/>
    <cellStyle name="Migliaia 11 5 4 9" xfId="10744" xr:uid="{239B5468-532D-4128-A79C-968E879498A7}"/>
    <cellStyle name="Migliaia 11 5 5" xfId="19834" xr:uid="{B4F06CB1-5215-47C1-BCB9-7A342C9A7255}"/>
    <cellStyle name="Migliaia 11 5 5 2" xfId="33080" xr:uid="{A34DFA7A-6318-4CA6-B071-9BB6165E8975}"/>
    <cellStyle name="Migliaia 11 5 5 2 2" xfId="38441" xr:uid="{3BC2F84A-4F7B-4BCB-BBAB-30CA9768C407}"/>
    <cellStyle name="Migliaia 11 5 5 2 3" xfId="43743" xr:uid="{EB91DD8C-5ECB-4059-A3A6-D433A66801DA}"/>
    <cellStyle name="Migliaia 11 5 5 3" xfId="35969" xr:uid="{7D1E607B-384F-4158-A908-51F3663EE04C}"/>
    <cellStyle name="Migliaia 11 5 5 4" xfId="41092" xr:uid="{72B8EC25-C7D8-4D9B-ADB8-2EEACEF3A7B1}"/>
    <cellStyle name="Migliaia 11 5 5 5" xfId="24237" xr:uid="{166296BD-C668-4A01-8500-16FB89283C7D}"/>
    <cellStyle name="Migliaia 11 5 6" xfId="24238" xr:uid="{51756D87-7154-4C27-8BB2-EDB3491A09D5}"/>
    <cellStyle name="Migliaia 11 5 6 2" xfId="33081" xr:uid="{18AE86B4-BA6A-4438-BE49-4829B3EEDF9A}"/>
    <cellStyle name="Migliaia 11 5 6 2 2" xfId="38442" xr:uid="{AA140A72-588A-4F7C-8FB0-9265A048ADD0}"/>
    <cellStyle name="Migliaia 11 5 6 2 3" xfId="43744" xr:uid="{94661234-06B3-414E-8C85-AFDE93A03FBE}"/>
    <cellStyle name="Migliaia 11 5 6 3" xfId="35970" xr:uid="{FE13D14B-6749-428B-978D-B1256016B878}"/>
    <cellStyle name="Migliaia 11 5 6 4" xfId="41093" xr:uid="{8EB99B13-E1F4-49D7-A907-50BBBFC3D7AB}"/>
    <cellStyle name="Migliaia 11 5 7" xfId="24235" xr:uid="{A76B842B-C355-4C77-B7AE-C19DB0FD5E02}"/>
    <cellStyle name="Migliaia 11 5 8" xfId="7306" xr:uid="{5D6D5528-1E7B-4F91-9374-4347CDCBE8D3}"/>
    <cellStyle name="Migliaia 11 6" xfId="3142" xr:uid="{D394E5D4-1D0D-4BDA-A8B0-FB38CD9F764F}"/>
    <cellStyle name="Migliaia 11 6 2" xfId="4868" xr:uid="{F08DA367-879F-47E2-A0E3-710BF60542EC}"/>
    <cellStyle name="Migliaia 11 6 2 2" xfId="9885" xr:uid="{A9C7C073-60E0-4F1C-9AAE-4AE52B29009F}"/>
    <cellStyle name="Migliaia 11 6 2 3" xfId="18678" xr:uid="{D5981EE9-A59F-4240-8FF5-22292C27EEC3}"/>
    <cellStyle name="Migliaia 11 6 2 4" xfId="19837" xr:uid="{8410B7D6-EC74-425C-B74F-D58A08312B5A}"/>
    <cellStyle name="Migliaia 11 6 2 5" xfId="32294" xr:uid="{E31D2403-2EFF-4920-B060-50987B41D28C}"/>
    <cellStyle name="Migliaia 11 6 2 6" xfId="16039" xr:uid="{CFA809BE-E357-457B-B516-D710F953F9CD}"/>
    <cellStyle name="Migliaia 11 6 2 7" xfId="8491" xr:uid="{332CEE8F-D46B-4FA3-A672-65A6006F9F85}"/>
    <cellStyle name="Migliaia 11 6 3" xfId="6089" xr:uid="{C6CE8509-8012-47AF-BDA2-084D2D976117}"/>
    <cellStyle name="Migliaia 11 6 3 2" xfId="35139" xr:uid="{8792CE31-5EA2-4074-968D-996ED88522E1}"/>
    <cellStyle name="Migliaia 11 6 3 2 2" xfId="40297" xr:uid="{F32C30A0-AD57-42B2-A9E4-392A86CB846D}"/>
    <cellStyle name="Migliaia 11 6 3 2 3" xfId="45599" xr:uid="{368FE72A-F5D1-4EA6-9431-D58340C4D077}"/>
    <cellStyle name="Migliaia 11 6 3 3" xfId="37646" xr:uid="{E1A4C125-4D53-4FB6-8FE9-71B53B57DE8D}"/>
    <cellStyle name="Migliaia 11 6 3 4" xfId="42948" xr:uid="{DE193785-C433-4CAE-BB74-C2AD7391FF57}"/>
    <cellStyle name="Migliaia 11 6 3 5" xfId="9648" xr:uid="{A3852EC6-3E68-4A85-9B80-CD7524E757EC}"/>
    <cellStyle name="Migliaia 11 6 4" xfId="19836" xr:uid="{1A844A5F-CF61-4943-9F1B-03EABF99C7CF}"/>
    <cellStyle name="Migliaia 11 6 4 2" xfId="38443" xr:uid="{E5FEBF78-18BA-49AE-9307-E82CE011FF92}"/>
    <cellStyle name="Migliaia 11 6 4 3" xfId="43745" xr:uid="{54665BD4-EC21-422A-81E7-A51361DE3D45}"/>
    <cellStyle name="Migliaia 11 6 4 4" xfId="33082" xr:uid="{92F5A3FC-88D7-42E9-822F-660163DAB222}"/>
    <cellStyle name="Migliaia 11 6 5" xfId="35971" xr:uid="{98378BD1-3DE9-4EFA-A483-DDF35620282D}"/>
    <cellStyle name="Migliaia 11 6 6" xfId="41094" xr:uid="{CF41769C-CCE8-49D9-8B09-0A8EC681C310}"/>
    <cellStyle name="Migliaia 11 6 7" xfId="16038" xr:uid="{5AB46A6F-3EA2-40A6-84A3-246C2A8737EA}"/>
    <cellStyle name="Migliaia 11 6 8" xfId="7301" xr:uid="{8567CF1C-A852-4C17-8ABB-A77814921024}"/>
    <cellStyle name="Migliaia 11 7" xfId="3143" xr:uid="{7A437DCE-82F4-4584-9795-4D0E740AB800}"/>
    <cellStyle name="Migliaia 11 7 2" xfId="4869" xr:uid="{409F1A58-8268-4316-A7C4-B7D3613204CA}"/>
    <cellStyle name="Migliaia 11 7 2 2" xfId="35140" xr:uid="{6582E216-8039-4D7C-A21A-9184742BBE95}"/>
    <cellStyle name="Migliaia 11 7 2 2 2" xfId="40298" xr:uid="{48930345-9230-40CB-AE75-2C81B49A60D3}"/>
    <cellStyle name="Migliaia 11 7 2 2 3" xfId="45600" xr:uid="{83B61023-9892-4E3C-921C-78926D416AAB}"/>
    <cellStyle name="Migliaia 11 7 2 3" xfId="37647" xr:uid="{DB57D04E-F979-4656-A049-511B529361B8}"/>
    <cellStyle name="Migliaia 11 7 2 4" xfId="42949" xr:uid="{9D3A1008-9886-4B82-9058-1F15C8ABAE8C}"/>
    <cellStyle name="Migliaia 11 7 2 5" xfId="14184" xr:uid="{C7142A99-7A83-49B5-B508-056A74C0B9D4}"/>
    <cellStyle name="Migliaia 11 7 3" xfId="6090" xr:uid="{E8AC16F1-5F20-45A6-B66A-4AD0F2EFEAF3}"/>
    <cellStyle name="Migliaia 11 7 3 2" xfId="38444" xr:uid="{6894B772-C47F-4498-A4F5-46E48B234062}"/>
    <cellStyle name="Migliaia 11 7 3 3" xfId="43746" xr:uid="{552BDBA2-FDA9-47E4-930F-8B301C4EA44A}"/>
    <cellStyle name="Migliaia 11 7 3 4" xfId="33083" xr:uid="{C6BF7E01-BCB7-4D5B-8D71-CDE7EC877C84}"/>
    <cellStyle name="Migliaia 11 7 3 5" xfId="19838" xr:uid="{F44984C4-C81D-4CA4-A4E2-2BACA7B681AF}"/>
    <cellStyle name="Migliaia 11 7 4" xfId="35972" xr:uid="{D7163561-119C-4B4D-92F2-8C71060F7ED7}"/>
    <cellStyle name="Migliaia 11 7 5" xfId="41095" xr:uid="{F9298D75-3284-44A2-8FDA-162B4D5E99AA}"/>
    <cellStyle name="Migliaia 11 7 6" xfId="16040" xr:uid="{8699E510-73C6-4D25-BC7A-BEF757E1528C}"/>
    <cellStyle name="Migliaia 11 7 7" xfId="8246" xr:uid="{F1DD2914-1EB2-471F-811F-7C00AE0359A5}"/>
    <cellStyle name="Migliaia 11 8" xfId="3144" xr:uid="{06A245D8-65AD-43DC-B36D-7656E6869C0B}"/>
    <cellStyle name="Migliaia 11 8 2" xfId="4870" xr:uid="{79AE1711-416E-48F7-83FA-C9B633EC6929}"/>
    <cellStyle name="Migliaia 11 8 2 2" xfId="35141" xr:uid="{7B63A434-284D-4D2B-A135-590FFCE89871}"/>
    <cellStyle name="Migliaia 11 8 2 2 2" xfId="40299" xr:uid="{09E01FD3-AC02-4AE4-A7D2-75E5913B38E5}"/>
    <cellStyle name="Migliaia 11 8 2 2 3" xfId="45601" xr:uid="{822EFEDF-D7B1-48DA-BE10-E347EE089983}"/>
    <cellStyle name="Migliaia 11 8 2 3" xfId="37648" xr:uid="{2F390BA3-0C7D-42C9-B386-5E8FAE342FD5}"/>
    <cellStyle name="Migliaia 11 8 2 4" xfId="42950" xr:uid="{E911E81E-0DF0-4FEB-8891-A7D0099D0997}"/>
    <cellStyle name="Migliaia 11 8 2 5" xfId="13887" xr:uid="{7DBFCDED-434F-4F8B-A684-C10FA824E194}"/>
    <cellStyle name="Migliaia 11 8 3" xfId="6091" xr:uid="{A6491D5E-7B5D-43D5-A473-6E1A49EAD4C8}"/>
    <cellStyle name="Migliaia 11 8 3 2" xfId="38445" xr:uid="{49A740D0-00AA-42E7-B70F-E3DB35E47500}"/>
    <cellStyle name="Migliaia 11 8 3 3" xfId="43747" xr:uid="{BA5C4DD6-EE02-47C2-94BB-9D23212B5486}"/>
    <cellStyle name="Migliaia 11 8 3 4" xfId="33084" xr:uid="{250A15A1-A489-4AC5-BF7B-A70BA5872A8B}"/>
    <cellStyle name="Migliaia 11 8 3 5" xfId="19839" xr:uid="{DA1823BD-C056-4C3D-B4A4-FECFB1CD7CEE}"/>
    <cellStyle name="Migliaia 11 8 4" xfId="35973" xr:uid="{7CC6BF5C-0E4C-4839-9A90-F8B61E757CE0}"/>
    <cellStyle name="Migliaia 11 8 5" xfId="41096" xr:uid="{4985ABE5-9933-4020-82F2-4AADC30FDF04}"/>
    <cellStyle name="Migliaia 11 8 6" xfId="16041" xr:uid="{2C487B48-2413-448E-9A3E-EF7230EB54CF}"/>
    <cellStyle name="Migliaia 11 8 7" xfId="7827" xr:uid="{413797A7-AB24-4F66-8FF8-EEEEB981821A}"/>
    <cellStyle name="Migliaia 11 9" xfId="4855" xr:uid="{31A8ED30-21DA-4D61-8426-0799E74A3DB1}"/>
    <cellStyle name="Migliaia 11 9 2" xfId="33085" xr:uid="{490BEFED-40F0-4A09-83FD-6F75A89EB238}"/>
    <cellStyle name="Migliaia 11 9 2 2" xfId="38446" xr:uid="{EB983F49-9635-49C8-930E-7D64963B84EB}"/>
    <cellStyle name="Migliaia 11 9 2 3" xfId="43748" xr:uid="{8B5543F6-B41F-4C7E-B92E-9563476F6901}"/>
    <cellStyle name="Migliaia 11 9 3" xfId="35974" xr:uid="{D7DA4EA2-32D6-47FA-A4C5-5229D776D077}"/>
    <cellStyle name="Migliaia 11 9 4" xfId="41097" xr:uid="{23FDB36D-DFB8-4C28-849B-D415CFBE14AB}"/>
    <cellStyle name="Migliaia 11 9 5" xfId="17139" xr:uid="{1F6054F1-018A-4233-BC12-7497D025CC2A}"/>
    <cellStyle name="Migliaia 12" xfId="309" xr:uid="{00000000-0005-0000-0000-0000D3020000}"/>
    <cellStyle name="Migliaia 12 10" xfId="6092" xr:uid="{A39D08B0-BD17-4105-A192-A973B91A9317}"/>
    <cellStyle name="Migliaia 12 10 2" xfId="38447" xr:uid="{B0C8F6EE-2381-4316-A07F-60E6CC90A593}"/>
    <cellStyle name="Migliaia 12 10 3" xfId="43749" xr:uid="{DD3A56A3-C828-413E-9A0A-BB90453DD12B}"/>
    <cellStyle name="Migliaia 12 10 4" xfId="33086" xr:uid="{70674CEB-DAF0-45E3-9271-6DD5ECDB6FEC}"/>
    <cellStyle name="Migliaia 12 10 5" xfId="19840" xr:uid="{86DA4700-C825-4BEA-A0D2-4C20A28D8D46}"/>
    <cellStyle name="Migliaia 12 11" xfId="3145" xr:uid="{966C89CC-7E67-4DD7-9BFB-01D1700CC2B6}"/>
    <cellStyle name="Migliaia 12 11 2" xfId="35975" xr:uid="{D6547A79-6A08-4223-8908-7612C22CAD91}"/>
    <cellStyle name="Migliaia 12 12" xfId="41098" xr:uid="{20FF2A5C-2900-4E0B-9846-17A6D8F71F1E}"/>
    <cellStyle name="Migliaia 12 13" xfId="7050" xr:uid="{3ACCC9A0-263C-47DD-BE84-7DC48CB57F33}"/>
    <cellStyle name="Migliaia 12 2" xfId="310" xr:uid="{00000000-0005-0000-0000-0000D4020000}"/>
    <cellStyle name="Migliaia 12 2 2" xfId="1668" xr:uid="{00000000-0005-0000-0000-0000D5020000}"/>
    <cellStyle name="Migliaia 12 2 2 2" xfId="4873" xr:uid="{EA916E09-61D2-4C42-B5D2-AD4DF848E103}"/>
    <cellStyle name="Migliaia 12 2 2 2 2" xfId="14365" xr:uid="{7B8E4A71-356C-4AE6-A4DA-F09EEC39C4FD}"/>
    <cellStyle name="Migliaia 12 2 2 2 2 2" xfId="38448" xr:uid="{F6F85033-4BAF-42A3-850E-1225CEA2B259}"/>
    <cellStyle name="Migliaia 12 2 2 2 2 3" xfId="43750" xr:uid="{4E47BE33-F6B9-4748-9960-2BA0F6D2A313}"/>
    <cellStyle name="Migliaia 12 2 2 2 3" xfId="18366" xr:uid="{E0BFDAE8-6734-47C6-B090-F713DD8D704E}"/>
    <cellStyle name="Migliaia 12 2 2 2 4" xfId="19843" xr:uid="{24691676-1FCE-4EAF-B0B2-504BB9CBD176}"/>
    <cellStyle name="Migliaia 12 2 2 2 4 2" xfId="41099" xr:uid="{213B0192-1DEB-493C-898C-66CCD4DEE126}"/>
    <cellStyle name="Migliaia 12 2 2 2 5" xfId="16042" xr:uid="{655FA59B-207B-43C1-94F9-FCEC9A17E790}"/>
    <cellStyle name="Migliaia 12 2 2 2 6" xfId="8498" xr:uid="{583F87B1-DD81-4923-B245-E7956AB70549}"/>
    <cellStyle name="Migliaia 12 2 2 3" xfId="6094" xr:uid="{C32B766A-9919-40D8-909F-831B5EBFB133}"/>
    <cellStyle name="Migliaia 12 2 2 3 2" xfId="35142" xr:uid="{5C2FF071-A325-406F-8519-D75A7A25BC46}"/>
    <cellStyle name="Migliaia 12 2 2 3 2 2" xfId="40300" xr:uid="{14FEA47A-3F34-4ED9-AFFE-DE0E8D8F465C}"/>
    <cellStyle name="Migliaia 12 2 2 3 2 3" xfId="45602" xr:uid="{4501CA6E-C589-4185-8D45-E54B2079CAFE}"/>
    <cellStyle name="Migliaia 12 2 2 3 3" xfId="37649" xr:uid="{F32FD5AF-F8C3-4F1F-929C-BB8DC1090E38}"/>
    <cellStyle name="Migliaia 12 2 2 3 4" xfId="42951" xr:uid="{3634FFF9-FFC6-4096-86D5-279F3894CEA9}"/>
    <cellStyle name="Migliaia 12 2 2 3 5" xfId="11594" xr:uid="{81164C20-2BE0-416B-9A77-04DA27A7A112}"/>
    <cellStyle name="Migliaia 12 2 2 4" xfId="3147" xr:uid="{88E4A111-B9A2-4C6B-AE71-FB565826A997}"/>
    <cellStyle name="Migliaia 12 2 2 4 2" xfId="21380" xr:uid="{C8818AB8-77AA-476E-ADE7-24C4D010064D}"/>
    <cellStyle name="Migliaia 12 2 2 4 3" xfId="48281" xr:uid="{3B9E1049-DAED-42BE-9EF9-690B830CA18F}"/>
    <cellStyle name="Migliaia 12 2 2 4 4" xfId="50395" xr:uid="{7B5D5DFC-559E-4B13-8B18-D87784A19028}"/>
    <cellStyle name="Migliaia 12 2 2 4 5" xfId="53411" xr:uid="{EBCF095B-9699-4198-88C2-4D2449793A13}"/>
    <cellStyle name="Migliaia 12 2 2 4 6" xfId="10745" xr:uid="{737A91C4-F1F8-43C9-9494-233A8FFF58A0}"/>
    <cellStyle name="Migliaia 12 2 2 5" xfId="19842" xr:uid="{21DDE780-010B-48E4-B38A-5E720AAE2295}"/>
    <cellStyle name="Migliaia 12 2 2 6" xfId="24245" xr:uid="{396C2D6E-7BF3-4F42-89C1-79E0BABCEEE0}"/>
    <cellStyle name="Migliaia 12 2 2 7" xfId="7308" xr:uid="{604AE35C-EE2D-49D4-BFCF-701763D8A7C8}"/>
    <cellStyle name="Migliaia 12 2 3" xfId="3148" xr:uid="{6246DD2B-0CEA-4D07-8876-CE13DD323C4C}"/>
    <cellStyle name="Migliaia 12 2 3 2" xfId="4874" xr:uid="{A87A6FED-81D1-471C-88B8-5BA8761E7A68}"/>
    <cellStyle name="Migliaia 12 2 3 2 2" xfId="35143" xr:uid="{D13D16A5-26E3-4343-A505-66B9091AA8ED}"/>
    <cellStyle name="Migliaia 12 2 3 2 2 2" xfId="40301" xr:uid="{A6A5D919-C422-4C24-BB15-78614D9EAFEF}"/>
    <cellStyle name="Migliaia 12 2 3 2 2 3" xfId="45603" xr:uid="{0BB9D846-9D14-4158-A663-354E5CE922C4}"/>
    <cellStyle name="Migliaia 12 2 3 2 3" xfId="37650" xr:uid="{4EB86900-3160-4717-83CF-9A2237F1B03E}"/>
    <cellStyle name="Migliaia 12 2 3 2 4" xfId="42952" xr:uid="{F62305C6-1058-4722-9E32-53684E42BCCD}"/>
    <cellStyle name="Migliaia 12 2 3 2 5" xfId="14188" xr:uid="{EEFB6274-5270-4FCD-9BD3-4FA696D9C50B}"/>
    <cellStyle name="Migliaia 12 2 3 3" xfId="6095" xr:uid="{ECEA7AEB-2C08-44D4-A23B-7B6DF767D1C2}"/>
    <cellStyle name="Migliaia 12 2 3 3 2" xfId="38449" xr:uid="{06069845-FF88-4D87-8E79-7730CC529273}"/>
    <cellStyle name="Migliaia 12 2 3 3 3" xfId="43751" xr:uid="{F3030B31-71B5-49AD-9110-30AC05121E3B}"/>
    <cellStyle name="Migliaia 12 2 3 3 4" xfId="33088" xr:uid="{10CB57F3-C4BB-4343-973F-98DB47E8C74E}"/>
    <cellStyle name="Migliaia 12 2 3 3 5" xfId="19844" xr:uid="{8CDEFEE4-1D5C-433C-9A69-65EDD6A7A8F4}"/>
    <cellStyle name="Migliaia 12 2 3 4" xfId="35977" xr:uid="{E64F0EFD-5E54-4CDB-84C2-3FDF8F0F178F}"/>
    <cellStyle name="Migliaia 12 2 3 5" xfId="41100" xr:uid="{756DDC53-1299-4C10-A4D3-C57F5981B7D1}"/>
    <cellStyle name="Migliaia 12 2 3 6" xfId="16043" xr:uid="{CD99462F-6DF8-4938-B394-05291E6FD199}"/>
    <cellStyle name="Migliaia 12 2 3 7" xfId="8250" xr:uid="{5FFF8C5D-A8F0-4BB2-89D0-84FA13E027F1}"/>
    <cellStyle name="Migliaia 12 2 4" xfId="4872" xr:uid="{07AFB867-CB38-4385-B48D-BDE6F40D71F0}"/>
    <cellStyle name="Migliaia 12 2 4 2" xfId="13891" xr:uid="{0F5AB71F-8669-49A3-9B5B-1722B929C55C}"/>
    <cellStyle name="Migliaia 12 2 4 2 2" xfId="38450" xr:uid="{356633D7-BD20-4E11-B713-2FB8A5A7A98D}"/>
    <cellStyle name="Migliaia 12 2 4 2 3" xfId="43752" xr:uid="{5B8EE256-58B9-4BB7-95B0-FBF7A65FE3C8}"/>
    <cellStyle name="Migliaia 12 2 4 3" xfId="18727" xr:uid="{65EC6344-0CC4-4B7F-8FC7-EBA73170B5BB}"/>
    <cellStyle name="Migliaia 12 2 4 4" xfId="19845" xr:uid="{2B0F027E-2172-41ED-B66A-BCD11D54BDEF}"/>
    <cellStyle name="Migliaia 12 2 4 4 2" xfId="41101" xr:uid="{4507A536-EC36-4E28-80F7-0E2FA46AD86F}"/>
    <cellStyle name="Migliaia 12 2 4 5" xfId="16044" xr:uid="{6D5AED41-404D-44E9-AD58-FF3923561BAA}"/>
    <cellStyle name="Migliaia 12 2 4 6" xfId="7832" xr:uid="{2B776454-DA6F-465D-8380-ECE4E2A05E07}"/>
    <cellStyle name="Migliaia 12 2 5" xfId="6093" xr:uid="{93457ABC-4951-4796-B168-0EA3FF289D8E}"/>
    <cellStyle name="Migliaia 12 2 5 2" xfId="33090" xr:uid="{F9B5D1F0-32AC-4A5A-B120-060660CD8ABA}"/>
    <cellStyle name="Migliaia 12 2 5 2 2" xfId="38451" xr:uid="{A4038E8F-FFD5-4A6E-973B-5E5EEFD9AA94}"/>
    <cellStyle name="Migliaia 12 2 5 2 3" xfId="43753" xr:uid="{24889139-1FF0-4AD6-9F0A-BE100DF72BA0}"/>
    <cellStyle name="Migliaia 12 2 5 3" xfId="35979" xr:uid="{97C5FD55-EFBF-4BF9-8FF2-DC42DB3AB5DA}"/>
    <cellStyle name="Migliaia 12 2 5 4" xfId="41102" xr:uid="{558DF3D4-E854-4AB1-B13E-070703AC6B7B}"/>
    <cellStyle name="Migliaia 12 2 5 5" xfId="13105" xr:uid="{2326F0D4-2028-495F-9684-999B8CFB98E5}"/>
    <cellStyle name="Migliaia 12 2 6" xfId="3146" xr:uid="{6FC51661-0B9F-4AE6-B0A9-F8AEDF4A46D8}"/>
    <cellStyle name="Migliaia 12 2 6 2" xfId="33091" xr:uid="{340ECF12-954E-4D25-9DCF-3C569E7F9110}"/>
    <cellStyle name="Migliaia 12 2 6 2 2" xfId="38452" xr:uid="{1A6C1B3B-994D-4404-A903-58A66EA37E66}"/>
    <cellStyle name="Migliaia 12 2 6 2 3" xfId="43754" xr:uid="{5B111669-E56B-4CA6-85F6-4695AB3F2574}"/>
    <cellStyle name="Migliaia 12 2 6 3" xfId="35980" xr:uid="{2E4E0830-7E21-4D6C-A050-56ACDE3FC7D1}"/>
    <cellStyle name="Migliaia 12 2 6 4" xfId="41103" xr:uid="{77B7AC4A-69F5-491B-9A86-1A2568E5F065}"/>
    <cellStyle name="Migliaia 12 2 6 5" xfId="24250" xr:uid="{2B14F3D9-6485-4EFC-BBE0-87806886D4FD}"/>
    <cellStyle name="Migliaia 12 2 6 6" xfId="19841" xr:uid="{2BBE3CD7-1A25-4081-9D8E-E663459D3AF2}"/>
    <cellStyle name="Migliaia 12 2 7" xfId="24244" xr:uid="{01BDC120-21FB-4F32-9549-CC070B8803A1}"/>
    <cellStyle name="Migliaia 12 2 8" xfId="7051" xr:uid="{550F0390-D3F4-483B-B11B-5F5A930974D6}"/>
    <cellStyle name="Migliaia 12 3" xfId="311" xr:uid="{00000000-0005-0000-0000-0000D6020000}"/>
    <cellStyle name="Migliaia 12 3 10" xfId="24251" xr:uid="{AAF843E3-8F8E-416B-A340-D83BA25652A9}"/>
    <cellStyle name="Migliaia 12 3 11" xfId="16045" xr:uid="{0F1C52BB-77F3-415C-9381-6CDCC59C294C}"/>
    <cellStyle name="Migliaia 12 3 12" xfId="7052" xr:uid="{42F943C2-0271-4D55-8F24-80EAF14195E5}"/>
    <cellStyle name="Migliaia 12 3 2" xfId="312" xr:uid="{00000000-0005-0000-0000-0000D7020000}"/>
    <cellStyle name="Migliaia 12 3 2 2" xfId="1669" xr:uid="{00000000-0005-0000-0000-0000D8020000}"/>
    <cellStyle name="Migliaia 12 3 2 2 2" xfId="4877" xr:uid="{64915956-DBCE-4E20-A832-C7AA2A9EE279}"/>
    <cellStyle name="Migliaia 12 3 2 2 2 2" xfId="18367" xr:uid="{CAF10101-C2E0-4B76-AE48-5839C35FC3C1}"/>
    <cellStyle name="Migliaia 12 3 2 2 2 2 2" xfId="21840" xr:uid="{6FADA2DA-43D8-4980-A223-CE8ED06EABB1}"/>
    <cellStyle name="Migliaia 12 3 2 2 2 2 2 2" xfId="38453" xr:uid="{2CA34184-2C1C-45F4-A533-035B7083E32A}"/>
    <cellStyle name="Migliaia 12 3 2 2 2 2 3" xfId="43755" xr:uid="{EB851ACE-EAF0-44BE-BC39-AA10AA78901E}"/>
    <cellStyle name="Migliaia 12 3 2 2 2 2 4" xfId="33092" xr:uid="{79E94513-2001-4061-B6A3-B1380E51111E}"/>
    <cellStyle name="Migliaia 12 3 2 2 2 3" xfId="35981" xr:uid="{1723DE7E-42C6-4EEF-A53E-5D632CA172C1}"/>
    <cellStyle name="Migliaia 12 3 2 2 2 4" xfId="41104" xr:uid="{2DFB82AD-F3C4-4C0B-9516-B9B4863106F3}"/>
    <cellStyle name="Migliaia 12 3 2 2 2 5" xfId="47911" xr:uid="{A6F58015-025A-4782-B49A-CA53782B61AB}"/>
    <cellStyle name="Migliaia 12 3 2 2 2 6" xfId="50868" xr:uid="{506A5F96-A7F1-43EF-93EB-5586D4F1805A}"/>
    <cellStyle name="Migliaia 12 3 2 2 2 7" xfId="53884" xr:uid="{4D551C9A-A29F-4920-A39E-C82A65D0C45D}"/>
    <cellStyle name="Migliaia 12 3 2 2 2 8" xfId="17641" xr:uid="{281F5BE3-6DF4-4F59-9EDE-4A53D3182D87}"/>
    <cellStyle name="Migliaia 12 3 2 2 2 9" xfId="11895" xr:uid="{355D974B-DBD1-446B-90D3-079DFBA17D14}"/>
    <cellStyle name="Migliaia 12 3 2 2 3" xfId="6098" xr:uid="{227E8D48-F0F9-4B9D-8968-FE490EA19686}"/>
    <cellStyle name="Migliaia 12 3 2 2 3 2" xfId="11682" xr:uid="{EF36E6E7-931F-4040-AD21-68B5C96F3743}"/>
    <cellStyle name="Migliaia 12 3 2 2 4" xfId="3151" xr:uid="{9220755F-364E-44E4-BC8F-AE1BA6350B1F}"/>
    <cellStyle name="Migliaia 12 3 2 2 4 2" xfId="21381" xr:uid="{4BC9C546-A896-4A90-9389-B9F1A5560D35}"/>
    <cellStyle name="Migliaia 12 3 2 2 4 3" xfId="48528" xr:uid="{11735ABE-3C54-4CCF-84A6-D2ABA60ECF15}"/>
    <cellStyle name="Migliaia 12 3 2 2 4 4" xfId="50396" xr:uid="{27A64EDA-DE05-46BF-9200-0B7E59B7644E}"/>
    <cellStyle name="Migliaia 12 3 2 2 4 5" xfId="53412" xr:uid="{D198BF60-2C02-494A-A243-46534D2F13A7}"/>
    <cellStyle name="Migliaia 12 3 2 2 4 6" xfId="10746" xr:uid="{BFF3BF29-74D2-42FA-91B0-041D2736B0EE}"/>
    <cellStyle name="Migliaia 12 3 2 2 5" xfId="19848" xr:uid="{5483F4DA-4FCB-4D69-9CF6-1493DB9F39B0}"/>
    <cellStyle name="Migliaia 12 3 2 2 6" xfId="24253" xr:uid="{813F887A-0795-4249-9EA4-19D16D03CA38}"/>
    <cellStyle name="Migliaia 12 3 2 2 7" xfId="8500" xr:uid="{D8EF3C64-D33E-4D57-B320-5B6E2B15E787}"/>
    <cellStyle name="Migliaia 12 3 2 3" xfId="4876" xr:uid="{4752DE17-AE2E-4065-BB62-0D4309E8C7B0}"/>
    <cellStyle name="Migliaia 12 3 2 3 2" xfId="11654" xr:uid="{B6B81104-E13D-4806-9F69-5B999972540F}"/>
    <cellStyle name="Migliaia 12 3 2 3 2 2" xfId="38454" xr:uid="{0A0D6ED7-BFAA-4677-80C3-50E9109D9090}"/>
    <cellStyle name="Migliaia 12 3 2 3 2 3" xfId="43756" xr:uid="{A3950FB0-9E27-46BA-ADD3-D5ACF83A5FBF}"/>
    <cellStyle name="Migliaia 12 3 2 3 2 4" xfId="33093" xr:uid="{39E7B1D3-1C2C-43AF-BC56-1550119BE9FC}"/>
    <cellStyle name="Migliaia 12 3 2 3 3" xfId="11896" xr:uid="{87833FEC-22AC-471B-A7F2-DB0BDE9FFB36}"/>
    <cellStyle name="Migliaia 12 3 2 3 4" xfId="19849" xr:uid="{B5BDD554-B5AD-4766-A9D6-82B0755675CE}"/>
    <cellStyle name="Migliaia 12 3 2 3 4 2" xfId="41105" xr:uid="{DE1069CC-1F1A-4290-A75E-EE1300A62A0D}"/>
    <cellStyle name="Migliaia 12 3 2 3 5" xfId="16046" xr:uid="{6C75238F-291F-472B-A040-03C52223C452}"/>
    <cellStyle name="Migliaia 12 3 2 3 6" xfId="7834" xr:uid="{F05CB76A-842A-4420-A846-BC7B1481D4EE}"/>
    <cellStyle name="Migliaia 12 3 2 4" xfId="6097" xr:uid="{9783CE4D-C188-4C6E-ACAF-D23E24B50F9D}"/>
    <cellStyle name="Migliaia 12 3 2 4 2" xfId="18060" xr:uid="{8932F2D5-4B25-4947-AF6C-490B9E309F2F}"/>
    <cellStyle name="Migliaia 12 3 2 4 2 2" xfId="38455" xr:uid="{039AD27D-C5E2-4A76-87F4-896A9717923A}"/>
    <cellStyle name="Migliaia 12 3 2 4 2 3" xfId="43757" xr:uid="{AD9AA7D2-8AA3-470A-95CD-82E9EC9D4936}"/>
    <cellStyle name="Migliaia 12 3 2 4 3" xfId="35983" xr:uid="{7968ECF6-9763-48BF-BF69-6AE1BFBE6544}"/>
    <cellStyle name="Migliaia 12 3 2 4 4" xfId="41106" xr:uid="{DEC740ED-5970-4053-AA44-7D2ABBD23EEA}"/>
    <cellStyle name="Migliaia 12 3 2 4 5" xfId="17142" xr:uid="{ACDA19C6-71E4-4138-94B2-FF3A218021A4}"/>
    <cellStyle name="Migliaia 12 3 2 4 6" xfId="11248" xr:uid="{9B7F8D6D-64C0-461C-86B0-BB28DADBFEF6}"/>
    <cellStyle name="Migliaia 12 3 2 5" xfId="3150" xr:uid="{509466E2-8570-45F8-925D-A5017F3EA9EB}"/>
    <cellStyle name="Migliaia 12 3 2 5 2" xfId="33095" xr:uid="{168A5DBD-66DF-4F66-8B89-B3F17FD16688}"/>
    <cellStyle name="Migliaia 12 3 2 5 2 2" xfId="38456" xr:uid="{ED7692B6-76D7-42D3-A2B6-14FD3DC29784}"/>
    <cellStyle name="Migliaia 12 3 2 5 2 3" xfId="43758" xr:uid="{B7948B87-947A-48D5-92D9-02AE8696D5A4}"/>
    <cellStyle name="Migliaia 12 3 2 5 3" xfId="35984" xr:uid="{392CDBCA-4D6E-420E-BD46-EAE630B110CA}"/>
    <cellStyle name="Migliaia 12 3 2 5 4" xfId="41107" xr:uid="{D03ECC54-FE09-4875-B7D8-00DBB64915D3}"/>
    <cellStyle name="Migliaia 12 3 2 5 5" xfId="17417" xr:uid="{91412D42-F273-4C30-BCEE-DC2FDB1A2362}"/>
    <cellStyle name="Migliaia 12 3 2 6" xfId="19847" xr:uid="{D1681F4D-097B-4430-8214-F8718A99C25C}"/>
    <cellStyle name="Migliaia 12 3 2 6 2" xfId="33096" xr:uid="{2E101E68-C5AE-4EE8-9198-BE3E1B605A0A}"/>
    <cellStyle name="Migliaia 12 3 2 6 2 2" xfId="38457" xr:uid="{8A496BC8-E8DC-4180-A371-0AE38766EE30}"/>
    <cellStyle name="Migliaia 12 3 2 6 2 3" xfId="43759" xr:uid="{324A326E-70DA-4BD7-B94A-1CB01A88FBDD}"/>
    <cellStyle name="Migliaia 12 3 2 6 3" xfId="35985" xr:uid="{46A612CA-B23F-47BB-A9A7-4077E989DE91}"/>
    <cellStyle name="Migliaia 12 3 2 6 4" xfId="41108" xr:uid="{2181CE59-97EE-49C9-9B5E-6D040852C9DC}"/>
    <cellStyle name="Migliaia 12 3 2 6 5" xfId="24257" xr:uid="{F48EB044-0E2E-46C8-B896-EB525AB93B4C}"/>
    <cellStyle name="Migliaia 12 3 2 7" xfId="24252" xr:uid="{70ED79D0-8522-4257-AA74-374D1FC88B1A}"/>
    <cellStyle name="Migliaia 12 3 2 8" xfId="7310" xr:uid="{A1980EB5-2894-4A5E-96DF-BFAA9E9B61B3}"/>
    <cellStyle name="Migliaia 12 3 3" xfId="3152" xr:uid="{054AABEF-7611-4991-9857-BC68111C252F}"/>
    <cellStyle name="Migliaia 12 3 3 10" xfId="7309" xr:uid="{B52CD6CD-8659-4A6F-BC98-9579C93D5105}"/>
    <cellStyle name="Migliaia 12 3 3 2" xfId="4878" xr:uid="{3B652F87-4782-4790-9068-73ED6193A85E}"/>
    <cellStyle name="Migliaia 12 3 3 2 2" xfId="9888" xr:uid="{C5FC8A24-D211-45CF-A067-E6D90E5F9C70}"/>
    <cellStyle name="Migliaia 12 3 3 2 2 2" xfId="38459" xr:uid="{159DB88E-3E4F-49A1-903C-BF704C17BA96}"/>
    <cellStyle name="Migliaia 12 3 3 2 2 3" xfId="43761" xr:uid="{C529AE89-4A76-42CB-8686-0924D3C214AC}"/>
    <cellStyle name="Migliaia 12 3 3 2 3" xfId="18168" xr:uid="{6BAE5166-787D-44C8-9AB1-E2AC78CA45CC}"/>
    <cellStyle name="Migliaia 12 3 3 2 4" xfId="19851" xr:uid="{0484AC00-89A7-45D4-9696-DA78C32D94F5}"/>
    <cellStyle name="Migliaia 12 3 3 2 4 2" xfId="41110" xr:uid="{EEEFCEC9-6E52-4DDD-92FF-D502DA951ADE}"/>
    <cellStyle name="Migliaia 12 3 3 2 5" xfId="16048" xr:uid="{A821B3F6-8593-41FF-8AB9-715856A73F7B}"/>
    <cellStyle name="Migliaia 12 3 3 2 6" xfId="8499" xr:uid="{2F9C9565-7ACA-43FF-9B09-2997BAF9075B}"/>
    <cellStyle name="Migliaia 12 3 3 3" xfId="6099" xr:uid="{FEAB8AB0-B68A-4BC1-9B9F-5AB2461CCE08}"/>
    <cellStyle name="Migliaia 12 3 3 3 2" xfId="33098" xr:uid="{FB46E013-93D7-4632-80B5-81B7B0BD2423}"/>
    <cellStyle name="Migliaia 12 3 3 3 2 2" xfId="38460" xr:uid="{132EECF2-4BCF-406C-AE8C-D4DFD4E9581B}"/>
    <cellStyle name="Migliaia 12 3 3 3 2 3" xfId="43762" xr:uid="{52BF490C-1BF6-40D7-9E32-14D0114226AD}"/>
    <cellStyle name="Migliaia 12 3 3 3 3" xfId="35988" xr:uid="{0CDAA2CA-54AF-493D-9D4F-E96AD2B95FEA}"/>
    <cellStyle name="Migliaia 12 3 3 3 4" xfId="41111" xr:uid="{847B1144-8DC0-4CF0-824A-3D9F150F5461}"/>
    <cellStyle name="Migliaia 12 3 3 3 5" xfId="9651" xr:uid="{92A1CD86-A373-4361-BAC8-18A0AE1B589D}"/>
    <cellStyle name="Migliaia 12 3 3 4" xfId="19850" xr:uid="{628ADE3C-D347-400A-817D-7040F911B996}"/>
    <cellStyle name="Migliaia 12 3 3 4 2" xfId="33099" xr:uid="{EEE8F4C8-D660-460F-9267-E5A56F559263}"/>
    <cellStyle name="Migliaia 12 3 3 4 2 2" xfId="38461" xr:uid="{2F76566C-1F4C-497F-B875-97ACB52AAF98}"/>
    <cellStyle name="Migliaia 12 3 3 4 2 3" xfId="43763" xr:uid="{D32B6ED0-51BA-449C-8ECA-A0735B427E53}"/>
    <cellStyle name="Migliaia 12 3 3 4 3" xfId="35989" xr:uid="{905F5EE4-7D72-4515-A0CE-3572BA2FCBE6}"/>
    <cellStyle name="Migliaia 12 3 3 4 4" xfId="41112" xr:uid="{AD98609D-EE5E-4514-8902-786195A1D8FC}"/>
    <cellStyle name="Migliaia 12 3 3 4 5" xfId="24261" xr:uid="{AD0A866D-388C-4D11-8B93-43FF2CC74228}"/>
    <cellStyle name="Migliaia 12 3 3 5" xfId="24262" xr:uid="{9405E816-7D31-46F8-86CF-10749A39859C}"/>
    <cellStyle name="Migliaia 12 3 3 5 2" xfId="33100" xr:uid="{ACA042AD-B094-4818-8B67-728840B0F15B}"/>
    <cellStyle name="Migliaia 12 3 3 5 2 2" xfId="38462" xr:uid="{E546D26B-EEEB-44F3-9C4A-5A2A8C84AE94}"/>
    <cellStyle name="Migliaia 12 3 3 5 2 3" xfId="43764" xr:uid="{EF63C6F4-1E45-462F-9C47-2857633BBEF0}"/>
    <cellStyle name="Migliaia 12 3 3 5 3" xfId="35990" xr:uid="{38C3040C-32FD-4A62-B1FD-89820E2D3A63}"/>
    <cellStyle name="Migliaia 12 3 3 5 4" xfId="41113" xr:uid="{A2167B8D-7B9E-4302-8C73-FEF5D01D71A9}"/>
    <cellStyle name="Migliaia 12 3 3 6" xfId="33097" xr:uid="{E19F74C1-B207-4BC4-B8CD-AB2118E50EFF}"/>
    <cellStyle name="Migliaia 12 3 3 6 2" xfId="38458" xr:uid="{21805F46-75CA-41B8-BA91-618F3FBD8F0E}"/>
    <cellStyle name="Migliaia 12 3 3 6 3" xfId="43760" xr:uid="{ADC5E415-7E5E-4276-8553-3BC475D2FEE3}"/>
    <cellStyle name="Migliaia 12 3 3 7" xfId="35986" xr:uid="{D5295890-961F-4BAA-A895-00E72E47F3BC}"/>
    <cellStyle name="Migliaia 12 3 3 8" xfId="41109" xr:uid="{3AF944F9-5F4E-447C-9300-61873196C06B}"/>
    <cellStyle name="Migliaia 12 3 3 9" xfId="16047" xr:uid="{737589E5-6834-4128-91AA-1F1FE6859184}"/>
    <cellStyle name="Migliaia 12 3 4" xfId="3153" xr:uid="{8178739E-405A-435A-A7C7-1BB8B63F3A4A}"/>
    <cellStyle name="Migliaia 12 3 4 2" xfId="4879" xr:uid="{AFDD348B-746B-4BD8-89A7-AFB7611D5890}"/>
    <cellStyle name="Migliaia 12 3 4 2 2" xfId="14426" xr:uid="{8AEDBDAA-50D9-4381-AB33-23E4BC0928C9}"/>
    <cellStyle name="Migliaia 12 3 4 2 3" xfId="18123" xr:uid="{B99A7B18-CA51-4589-A482-514E63287654}"/>
    <cellStyle name="Migliaia 12 3 4 2 4" xfId="19853" xr:uid="{2B935762-984F-4012-88C6-3A94B6081A02}"/>
    <cellStyle name="Migliaia 12 3 4 2 5" xfId="32300" xr:uid="{5B8A38F5-1400-4CE0-9C5B-F8DF71F3497A}"/>
    <cellStyle name="Migliaia 12 3 4 2 6" xfId="16050" xr:uid="{79740858-8735-4BA7-9BB1-666B54081424}"/>
    <cellStyle name="Migliaia 12 3 4 2 7" xfId="8849" xr:uid="{7641843A-DE05-4B25-8872-1FE0621877F1}"/>
    <cellStyle name="Migliaia 12 3 4 3" xfId="6100" xr:uid="{5AF1D86E-62BC-4A97-A496-263DD57BE6D8}"/>
    <cellStyle name="Migliaia 12 3 4 3 2" xfId="35144" xr:uid="{85C3E2A0-3E4B-49AD-8C57-499EC4FC3B0F}"/>
    <cellStyle name="Migliaia 12 3 4 3 2 2" xfId="40302" xr:uid="{B83CCE3D-ECAE-44A5-BA93-57812BD95610}"/>
    <cellStyle name="Migliaia 12 3 4 3 2 3" xfId="45604" xr:uid="{1F16817A-844B-46AA-89EC-4E368470113B}"/>
    <cellStyle name="Migliaia 12 3 4 3 3" xfId="37651" xr:uid="{F934ED5B-BBCD-4203-B86F-8E057FFE7FAA}"/>
    <cellStyle name="Migliaia 12 3 4 3 4" xfId="42953" xr:uid="{E2016880-55A0-410A-8BC7-079837FC3065}"/>
    <cellStyle name="Migliaia 12 3 4 3 5" xfId="13674" xr:uid="{4038EBBF-CA20-4C4B-926D-BA59DE298C9B}"/>
    <cellStyle name="Migliaia 12 3 4 4" xfId="19852" xr:uid="{53965E50-C3BD-4784-8F6D-550B02EE3A48}"/>
    <cellStyle name="Migliaia 12 3 4 4 2" xfId="38463" xr:uid="{C2BDA08A-DD98-4CF6-AF66-9E53EA43A85F}"/>
    <cellStyle name="Migliaia 12 3 4 4 3" xfId="43765" xr:uid="{BB65B032-51EE-469F-91C8-B0847F814F1A}"/>
    <cellStyle name="Migliaia 12 3 4 4 4" xfId="33101" xr:uid="{C9A7C269-5F98-44A1-BE39-2B888A9B6360}"/>
    <cellStyle name="Migliaia 12 3 4 5" xfId="35991" xr:uid="{B8415B6B-F224-4473-9B28-254C8FEE0784}"/>
    <cellStyle name="Migliaia 12 3 4 6" xfId="41114" xr:uid="{EE6CD038-58AD-424A-B091-EAA8339650F0}"/>
    <cellStyle name="Migliaia 12 3 4 7" xfId="16049" xr:uid="{66D31040-5982-41D9-A097-DCF246BD5DB3}"/>
    <cellStyle name="Migliaia 12 3 4 8" xfId="7659" xr:uid="{5DDBA917-C3FA-4CB9-90E9-DE5D70A9E948}"/>
    <cellStyle name="Migliaia 12 3 5" xfId="3154" xr:uid="{492F36A3-B5D0-4AEB-842D-2464647AD64C}"/>
    <cellStyle name="Migliaia 12 3 5 2" xfId="4880" xr:uid="{66DA381E-E6CF-4D4C-AA56-BA4987492713}"/>
    <cellStyle name="Migliaia 12 3 5 2 2" xfId="35145" xr:uid="{AC86EA49-695B-4C67-B81C-788BC8377685}"/>
    <cellStyle name="Migliaia 12 3 5 2 2 2" xfId="40303" xr:uid="{84CD675B-1381-4FC3-A4F8-FA04A79370AC}"/>
    <cellStyle name="Migliaia 12 3 5 2 2 3" xfId="45605" xr:uid="{B2DFB04E-C2D3-4565-AB45-A1B937C2C02B}"/>
    <cellStyle name="Migliaia 12 3 5 2 3" xfId="37652" xr:uid="{B5FFD926-7FFE-4DEA-B8DE-222625F7C548}"/>
    <cellStyle name="Migliaia 12 3 5 2 4" xfId="42954" xr:uid="{474CF11E-1C9B-4587-9462-3C158CC7FC2C}"/>
    <cellStyle name="Migliaia 12 3 5 2 5" xfId="14189" xr:uid="{67F64A2C-E52E-46E1-9FA3-3E1C6BE1451A}"/>
    <cellStyle name="Migliaia 12 3 5 3" xfId="6101" xr:uid="{970692A7-995C-477A-AB08-2FAB0920E134}"/>
    <cellStyle name="Migliaia 12 3 5 3 2" xfId="38464" xr:uid="{71759DC9-2952-4F59-B1A1-CDE341373FED}"/>
    <cellStyle name="Migliaia 12 3 5 3 3" xfId="43766" xr:uid="{80B729B2-89B4-4372-8A14-7694C5CEA6D0}"/>
    <cellStyle name="Migliaia 12 3 5 3 4" xfId="33102" xr:uid="{A30BAE08-F452-4876-8087-E4F664BFD433}"/>
    <cellStyle name="Migliaia 12 3 5 3 5" xfId="19854" xr:uid="{3A49DE88-9602-4A2A-9E73-EB05C89D0877}"/>
    <cellStyle name="Migliaia 12 3 5 4" xfId="35992" xr:uid="{84235D84-FCCD-4810-9FE0-B258F64FB0C2}"/>
    <cellStyle name="Migliaia 12 3 5 5" xfId="41115" xr:uid="{8BC3D49F-080A-460A-A879-A94EFC733C9E}"/>
    <cellStyle name="Migliaia 12 3 5 6" xfId="16051" xr:uid="{B721255E-8831-4130-ADFD-40CC0F499D97}"/>
    <cellStyle name="Migliaia 12 3 5 7" xfId="8251" xr:uid="{D94F7CBE-F17D-4EC1-8AF8-D3DBED0FB401}"/>
    <cellStyle name="Migliaia 12 3 6" xfId="4875" xr:uid="{C448DC17-F901-42C0-B428-A6B0E69CD659}"/>
    <cellStyle name="Migliaia 12 3 6 2" xfId="13892" xr:uid="{51F0ABF4-2696-4E7C-8FDA-7D07DEC9BF79}"/>
    <cellStyle name="Migliaia 12 3 6 2 2" xfId="38465" xr:uid="{652B75A3-5FD6-4FCD-A9F9-13D3667139C2}"/>
    <cellStyle name="Migliaia 12 3 6 2 3" xfId="43767" xr:uid="{75B492BF-B72A-40F8-B833-20A3A301F1B5}"/>
    <cellStyle name="Migliaia 12 3 6 3" xfId="18726" xr:uid="{4C130FC1-DF28-42CB-AF2E-A1059B5D61F9}"/>
    <cellStyle name="Migliaia 12 3 6 4" xfId="19855" xr:uid="{9EEF38E7-611A-4766-8E86-59A61F30B69E}"/>
    <cellStyle name="Migliaia 12 3 6 4 2" xfId="41116" xr:uid="{E9AFBBC5-1F79-46A2-BD76-D1CCCBAD2EBF}"/>
    <cellStyle name="Migliaia 12 3 6 5" xfId="16052" xr:uid="{0B86DB14-C7C1-460D-BC29-494DF084CEB1}"/>
    <cellStyle name="Migliaia 12 3 6 6" xfId="7833" xr:uid="{95101843-DFCF-4E9B-9FC7-87F768A12011}"/>
    <cellStyle name="Migliaia 12 3 7" xfId="6096" xr:uid="{591653F3-782E-43B7-B29C-5FB6E4E94E44}"/>
    <cellStyle name="Migliaia 12 3 7 2" xfId="33103" xr:uid="{8DA47C13-9DE7-46C1-9FAD-4AEE827C0285}"/>
    <cellStyle name="Migliaia 12 3 7 2 2" xfId="38466" xr:uid="{479A9DC7-4FE3-489A-9B57-AD7039244C41}"/>
    <cellStyle name="Migliaia 12 3 7 2 3" xfId="43768" xr:uid="{B663BEA7-9E3C-44F9-A0E1-DD52D91EC2AB}"/>
    <cellStyle name="Migliaia 12 3 7 3" xfId="35994" xr:uid="{FB308374-5EAE-4744-9E4B-7E56930F4F60}"/>
    <cellStyle name="Migliaia 12 3 7 4" xfId="41117" xr:uid="{89F96890-EACC-42BC-B095-9E0DB7A5DBA5}"/>
    <cellStyle name="Migliaia 12 3 7 5" xfId="11536" xr:uid="{5E436DE7-1627-40A5-B379-72A31D0A766B}"/>
    <cellStyle name="Migliaia 12 3 8" xfId="3149" xr:uid="{D033ECDC-07B2-4114-8759-D3578544B6F0}"/>
    <cellStyle name="Migliaia 12 3 8 2" xfId="33104" xr:uid="{1D7658F6-DF5A-4AAD-84D8-999D02B67E32}"/>
    <cellStyle name="Migliaia 12 3 8 2 2" xfId="38467" xr:uid="{533B5539-F15B-473D-B98E-8CA77FFEC85E}"/>
    <cellStyle name="Migliaia 12 3 8 2 3" xfId="43769" xr:uid="{5E58C54B-8844-4DFB-983C-AB230A7D4976}"/>
    <cellStyle name="Migliaia 12 3 8 3" xfId="35995" xr:uid="{8D2C9D1B-FA73-45A0-9EEF-8A02D6CD49B8}"/>
    <cellStyle name="Migliaia 12 3 8 4" xfId="41118" xr:uid="{E1798DB6-EDBB-4008-8432-A6F41E8DB994}"/>
    <cellStyle name="Migliaia 12 3 8 5" xfId="24266" xr:uid="{41099032-7CCD-4296-BF4A-3E327594E623}"/>
    <cellStyle name="Migliaia 12 3 8 6" xfId="17418" xr:uid="{5340246C-4BCA-4637-890A-F0AA232CA0EB}"/>
    <cellStyle name="Migliaia 12 3 9" xfId="19846" xr:uid="{63A36259-6855-42BC-AB2C-03BB619C177C}"/>
    <cellStyle name="Migliaia 12 4" xfId="1670" xr:uid="{00000000-0005-0000-0000-0000D9020000}"/>
    <cellStyle name="Migliaia 12 4 2" xfId="1671" xr:uid="{00000000-0005-0000-0000-0000DA020000}"/>
    <cellStyle name="Migliaia 12 4 2 2" xfId="4882" xr:uid="{64ADEC96-35AE-427F-AC03-E63B5C4A0257}"/>
    <cellStyle name="Migliaia 12 4 2 2 2" xfId="33105" xr:uid="{E3185428-5948-417D-A144-E51BC3D6C28D}"/>
    <cellStyle name="Migliaia 12 4 2 2 2 2" xfId="38468" xr:uid="{C4B6B87C-7B6E-4505-847B-62898F914631}"/>
    <cellStyle name="Migliaia 12 4 2 2 2 3" xfId="43770" xr:uid="{C7D6EB93-A869-4984-B271-DFECA0C98ACC}"/>
    <cellStyle name="Migliaia 12 4 2 2 3" xfId="35996" xr:uid="{2304D37D-1763-45ED-93E0-70C05A642AE6}"/>
    <cellStyle name="Migliaia 12 4 2 2 4" xfId="41119" xr:uid="{F2ADE3E7-185B-496A-ACF8-A82036C23878}"/>
    <cellStyle name="Migliaia 12 4 2 2 5" xfId="9114" xr:uid="{6965DF6D-9E0B-4304-8BF1-45E726CE1929}"/>
    <cellStyle name="Migliaia 12 4 2 3" xfId="3156" xr:uid="{2DFE1BE3-1A35-4771-90E3-BFD323A3B8AE}"/>
    <cellStyle name="Migliaia 12 4 2 3 2" xfId="33106" xr:uid="{F8084055-C1B7-4137-A34E-B13A30959B2A}"/>
    <cellStyle name="Migliaia 12 4 2 3 2 2" xfId="38469" xr:uid="{9FEEBBE1-B8D0-4E90-AC26-EF92E5235787}"/>
    <cellStyle name="Migliaia 12 4 2 3 2 3" xfId="43771" xr:uid="{2A7AB3B9-1FF0-49CC-8848-DD0FA0D7A4F8}"/>
    <cellStyle name="Migliaia 12 4 2 3 3" xfId="35997" xr:uid="{70915F0D-040C-4913-B388-34CC31A50735}"/>
    <cellStyle name="Migliaia 12 4 2 3 4" xfId="41120" xr:uid="{2409F0C3-D826-4BFA-AD44-22FD604088DC}"/>
    <cellStyle name="Migliaia 12 4 2 3 5" xfId="11897" xr:uid="{3F2C8E16-53D4-4CE3-AEAF-67BAA38E7FE2}"/>
    <cellStyle name="Migliaia 12 4 2 4" xfId="11250" xr:uid="{1FC66FA4-1B68-4B08-91A0-750213AB1518}"/>
    <cellStyle name="Migliaia 12 4 2 5" xfId="10748" xr:uid="{ABC22400-A317-4B6D-9215-FFA6F8F6482A}"/>
    <cellStyle name="Migliaia 12 4 2 5 2" xfId="21383" xr:uid="{43E29348-A924-46E4-80CF-8D5AEDE9D58D}"/>
    <cellStyle name="Migliaia 12 4 2 5 3" xfId="46204" xr:uid="{174E0A5A-9E00-4557-9ACA-6F62F49ADFC0}"/>
    <cellStyle name="Migliaia 12 4 2 5 4" xfId="50398" xr:uid="{76763F90-5EEC-4567-AFC2-81EE7B675D78}"/>
    <cellStyle name="Migliaia 12 4 2 5 5" xfId="53414" xr:uid="{D3B0504E-A96D-490D-85D7-FF519FCB153B}"/>
    <cellStyle name="Migliaia 12 4 2 6" xfId="19857" xr:uid="{92FE4C58-72D3-4143-92A1-9E335FB7B6A8}"/>
    <cellStyle name="Migliaia 12 4 2 7" xfId="24268" xr:uid="{ABFE2CC6-EA4C-4A9E-B105-75C42C97B700}"/>
    <cellStyle name="Migliaia 12 4 2 8" xfId="8501" xr:uid="{8AC895DB-EF11-4D75-9C62-2E84EC759CA8}"/>
    <cellStyle name="Migliaia 12 4 3" xfId="4881" xr:uid="{94686066-066E-4C73-8762-AFA38DA81BA6}"/>
    <cellStyle name="Migliaia 12 4 3 2" xfId="18169" xr:uid="{563499E1-D9CB-491B-AC5C-4073A9B005D1}"/>
    <cellStyle name="Migliaia 12 4 3 2 2" xfId="38470" xr:uid="{72956707-2D8B-44C3-9A6E-B8C2BF7AE82C}"/>
    <cellStyle name="Migliaia 12 4 3 2 3" xfId="43772" xr:uid="{49F9CD8E-4D9A-4E4D-B103-1A6E45DDD7F7}"/>
    <cellStyle name="Migliaia 12 4 3 3" xfId="35998" xr:uid="{87A19D24-F3BB-4DDD-9406-185FE481C561}"/>
    <cellStyle name="Migliaia 12 4 3 4" xfId="41121" xr:uid="{E236DE1A-C6AD-4B7A-B9E8-81439C4E6802}"/>
    <cellStyle name="Migliaia 12 4 3 5" xfId="17416" xr:uid="{1FF24943-555E-41C3-BE61-9BA235EFA38D}"/>
    <cellStyle name="Migliaia 12 4 3 6" xfId="9115" xr:uid="{4F452EDD-A485-4099-ABB5-53CDF76CDDB6}"/>
    <cellStyle name="Migliaia 12 4 4" xfId="6102" xr:uid="{F5F5D41C-7F64-43A1-A652-3A5B4A45F42A}"/>
    <cellStyle name="Migliaia 12 4 4 2" xfId="33108" xr:uid="{27283054-22A0-431B-8E3B-6E4CAB1F4410}"/>
    <cellStyle name="Migliaia 12 4 4 2 2" xfId="38471" xr:uid="{1B60651E-8759-43F2-A647-EA1EEE8B74DE}"/>
    <cellStyle name="Migliaia 12 4 4 2 3" xfId="43773" xr:uid="{4F23A831-D3FE-4BBD-BB85-0F3A71C95485}"/>
    <cellStyle name="Migliaia 12 4 4 3" xfId="35999" xr:uid="{4826B3B2-DCB5-4C8D-AFC0-EA5F6AD8F662}"/>
    <cellStyle name="Migliaia 12 4 4 4" xfId="41122" xr:uid="{7D2FB3EE-6274-40E8-8790-C510C3858A69}"/>
    <cellStyle name="Migliaia 12 4 4 5" xfId="11898" xr:uid="{1F26541D-0E4F-47CB-A3F6-1FAC3C6ABFB4}"/>
    <cellStyle name="Migliaia 12 4 5" xfId="3155" xr:uid="{F4C2503B-6570-41EF-B2E5-5822E770F9E7}"/>
    <cellStyle name="Migliaia 12 4 5 2" xfId="33109" xr:uid="{073AC3D0-9D14-4D30-9DE5-19C81A6710A7}"/>
    <cellStyle name="Migliaia 12 4 5 2 2" xfId="38472" xr:uid="{81967BB2-AE48-4DAF-9065-23589834B289}"/>
    <cellStyle name="Migliaia 12 4 5 2 3" xfId="43774" xr:uid="{D717F0EB-363F-46CC-A35D-5B1CB1B019D7}"/>
    <cellStyle name="Migliaia 12 4 5 3" xfId="36000" xr:uid="{5B94E344-7F45-48C3-8D7E-458D687DFDA5}"/>
    <cellStyle name="Migliaia 12 4 5 4" xfId="41123" xr:uid="{1623BBA7-6B86-4E4F-B9DF-E6BF7527CDD9}"/>
    <cellStyle name="Migliaia 12 4 5 5" xfId="11249" xr:uid="{DB961A35-D30A-4706-96AD-C5729942A9FC}"/>
    <cellStyle name="Migliaia 12 4 6" xfId="10747" xr:uid="{0E44F4B0-C0DC-4980-A6C7-91C7EEFC001A}"/>
    <cellStyle name="Migliaia 12 4 6 2" xfId="21382" xr:uid="{A5161040-DC56-42C2-929F-439243C2FA9F}"/>
    <cellStyle name="Migliaia 12 4 6 2 2" xfId="38473" xr:uid="{47250455-BFA8-4C49-A995-7AB4B577165E}"/>
    <cellStyle name="Migliaia 12 4 6 2 3" xfId="43775" xr:uid="{67509E28-6E64-43EB-BB47-946D43CD218B}"/>
    <cellStyle name="Migliaia 12 4 6 2 4" xfId="33110" xr:uid="{8C395921-333B-42A6-B6F7-D1C5F3CB490F}"/>
    <cellStyle name="Migliaia 12 4 6 3" xfId="36001" xr:uid="{CBAAA4DC-CAD3-48FE-BA84-BAECBD6C1B06}"/>
    <cellStyle name="Migliaia 12 4 6 4" xfId="41124" xr:uid="{33E8A58D-FB40-40A9-88AD-978A37B7C474}"/>
    <cellStyle name="Migliaia 12 4 6 5" xfId="24272" xr:uid="{F9BA27D1-C906-4EA5-B14A-3CC76C4FE324}"/>
    <cellStyle name="Migliaia 12 4 6 6" xfId="47657" xr:uid="{6FBA7373-FE78-494B-A606-2F91B03AF46F}"/>
    <cellStyle name="Migliaia 12 4 6 7" xfId="50397" xr:uid="{BD2E9B3F-F241-4AE2-8471-734C81AE0040}"/>
    <cellStyle name="Migliaia 12 4 6 8" xfId="53413" xr:uid="{4AC236A4-589D-4D37-9925-5A7E54A04C7F}"/>
    <cellStyle name="Migliaia 12 4 7" xfId="19856" xr:uid="{E382010E-F11A-44C6-9428-B801C6A1A2AE}"/>
    <cellStyle name="Migliaia 12 4 7 2" xfId="33111" xr:uid="{45E76D08-77B5-438D-873D-774A514356D4}"/>
    <cellStyle name="Migliaia 12 4 7 2 2" xfId="38474" xr:uid="{8A58B1B7-1AA9-48E2-B49F-DF06BCF7E696}"/>
    <cellStyle name="Migliaia 12 4 7 2 3" xfId="43776" xr:uid="{3980248D-9BF2-4E58-8D98-6A0EC2B58A8B}"/>
    <cellStyle name="Migliaia 12 4 7 3" xfId="36002" xr:uid="{6503FF19-931B-4A95-923F-3936DBAF0A86}"/>
    <cellStyle name="Migliaia 12 4 7 4" xfId="41125" xr:uid="{3E7B9802-8B41-4666-B424-21AB6B217243}"/>
    <cellStyle name="Migliaia 12 4 7 5" xfId="24273" xr:uid="{57599DAD-BE95-4CDB-9AAE-89486D1AD948}"/>
    <cellStyle name="Migliaia 12 4 8" xfId="24267" xr:uid="{E50C9890-56BF-44CF-BD6C-58314AD36454}"/>
    <cellStyle name="Migliaia 12 4 9" xfId="7311" xr:uid="{E67A72F3-FDBC-482C-AFE8-981201F3B316}"/>
    <cellStyle name="Migliaia 12 5" xfId="1672" xr:uid="{00000000-0005-0000-0000-0000DB020000}"/>
    <cellStyle name="Migliaia 12 5 2" xfId="4883" xr:uid="{38762639-744D-4E2E-A5D1-1F058BE1A8F3}"/>
    <cellStyle name="Migliaia 12 5 2 2" xfId="18368" xr:uid="{71E55D41-C6BE-425F-AE2C-A7C30123C942}"/>
    <cellStyle name="Migliaia 12 5 2 2 2" xfId="38475" xr:uid="{217B2B4D-B95A-4D0B-B583-74F441071C6D}"/>
    <cellStyle name="Migliaia 12 5 2 2 3" xfId="43777" xr:uid="{3F0331B1-9C6C-4836-BF3A-8A74143D5F6D}"/>
    <cellStyle name="Migliaia 12 5 2 3" xfId="19859" xr:uid="{73597348-2646-4C73-9E09-02E7F9155314}"/>
    <cellStyle name="Migliaia 12 5 2 3 2" xfId="36003" xr:uid="{89B665C8-429E-4B6C-BE68-9B0B299EA61A}"/>
    <cellStyle name="Migliaia 12 5 2 4" xfId="41126" xr:uid="{B7EAFB53-6DF3-42E8-A332-78A8F70526F3}"/>
    <cellStyle name="Migliaia 12 5 2 5" xfId="16053" xr:uid="{A2823AEA-97F5-4D5B-9549-0E1E7D6B5581}"/>
    <cellStyle name="Migliaia 12 5 2 6" xfId="8502" xr:uid="{7F891993-5C45-4390-8E29-AF1885D07973}"/>
    <cellStyle name="Migliaia 12 5 3" xfId="6103" xr:uid="{08AD2E37-95D7-47B9-925A-1BFC38CC5B52}"/>
    <cellStyle name="Migliaia 12 5 3 2" xfId="33112" xr:uid="{C05DB0A5-E5AD-4FC7-BCC6-233E580213A9}"/>
    <cellStyle name="Migliaia 12 5 3 2 2" xfId="38476" xr:uid="{38E97CA1-3195-4A37-BB19-68D4866B219F}"/>
    <cellStyle name="Migliaia 12 5 3 2 3" xfId="43778" xr:uid="{FA94798E-198F-462A-8E94-8190B667C68A}"/>
    <cellStyle name="Migliaia 12 5 3 3" xfId="36004" xr:uid="{04567FDB-5E60-4439-958B-400754FCAFD1}"/>
    <cellStyle name="Migliaia 12 5 3 4" xfId="41127" xr:uid="{2B295F00-911D-4ED5-BCFB-3B618F741532}"/>
    <cellStyle name="Migliaia 12 5 3 5" xfId="11251" xr:uid="{B1640766-966F-4D55-95FB-C27FCA81203B}"/>
    <cellStyle name="Migliaia 12 5 4" xfId="3157" xr:uid="{18458A4A-BDBC-4D50-9F14-16CBB8C6CEAA}"/>
    <cellStyle name="Migliaia 12 5 4 2" xfId="21384" xr:uid="{D03914BA-BBD2-48C7-AE62-C5F0FA8C243F}"/>
    <cellStyle name="Migliaia 12 5 4 2 2" xfId="38477" xr:uid="{8393E3F9-F4B2-4845-AA3F-C44FD09644A8}"/>
    <cellStyle name="Migliaia 12 5 4 2 3" xfId="43779" xr:uid="{8BF1FEDE-C760-48D9-AD9A-7E536AC3020C}"/>
    <cellStyle name="Migliaia 12 5 4 2 4" xfId="33113" xr:uid="{5203F827-A6AC-4738-9553-206A08764ECB}"/>
    <cellStyle name="Migliaia 12 5 4 3" xfId="36005" xr:uid="{86CEEA9A-4AF7-466D-AF6B-1A88C29191AE}"/>
    <cellStyle name="Migliaia 12 5 4 4" xfId="41128" xr:uid="{860A5A78-AC34-46B6-AA54-0579ED4E94E4}"/>
    <cellStyle name="Migliaia 12 5 4 5" xfId="24276" xr:uid="{AADA9F79-F02D-4FBF-8CCC-B403DBC5EA7E}"/>
    <cellStyle name="Migliaia 12 5 4 6" xfId="48468" xr:uid="{0FC1A687-533A-4705-8975-F49C2B39A204}"/>
    <cellStyle name="Migliaia 12 5 4 7" xfId="50399" xr:uid="{C87C876E-F9D5-43A4-A968-7F06C4CABAE3}"/>
    <cellStyle name="Migliaia 12 5 4 8" xfId="53415" xr:uid="{25317C33-BE77-4649-82A8-EF36577362EF}"/>
    <cellStyle name="Migliaia 12 5 4 9" xfId="10749" xr:uid="{DBE81409-9D14-47DD-9A48-83E135EADCFC}"/>
    <cellStyle name="Migliaia 12 5 5" xfId="19858" xr:uid="{ED261F33-4123-4A41-B20E-E6DD02D2CB26}"/>
    <cellStyle name="Migliaia 12 5 5 2" xfId="33114" xr:uid="{87330F1E-1CE4-49C8-9B3E-12C474804E5E}"/>
    <cellStyle name="Migliaia 12 5 5 2 2" xfId="38478" xr:uid="{EB1F1A63-D1BF-4090-8845-963EE93149AB}"/>
    <cellStyle name="Migliaia 12 5 5 2 3" xfId="43780" xr:uid="{E49EAC13-485A-456D-8234-55F34E818194}"/>
    <cellStyle name="Migliaia 12 5 5 3" xfId="36006" xr:uid="{272DE43A-E75B-46B8-A721-EF98E202F3CD}"/>
    <cellStyle name="Migliaia 12 5 5 4" xfId="41129" xr:uid="{51D3AD3B-F6BB-4392-B116-16CE330E8C0E}"/>
    <cellStyle name="Migliaia 12 5 5 5" xfId="24277" xr:uid="{DE401DB1-FC28-45E7-8C88-4AB10FABC349}"/>
    <cellStyle name="Migliaia 12 5 6" xfId="24278" xr:uid="{FB96238B-3512-4240-9F5A-8051A46D5AFA}"/>
    <cellStyle name="Migliaia 12 5 6 2" xfId="33115" xr:uid="{59AA7262-BA13-4F36-A6D9-93828687D1F4}"/>
    <cellStyle name="Migliaia 12 5 6 2 2" xfId="38479" xr:uid="{803569C6-9635-4D88-A262-9279BF9E4CA8}"/>
    <cellStyle name="Migliaia 12 5 6 2 3" xfId="43781" xr:uid="{208ACF1B-49D7-458E-AE83-3625EE7B261B}"/>
    <cellStyle name="Migliaia 12 5 6 3" xfId="36007" xr:uid="{3E6A5515-493B-46E2-ACF7-AB38FD821524}"/>
    <cellStyle name="Migliaia 12 5 6 4" xfId="41130" xr:uid="{EECDEAA8-60FC-4CCA-AF65-BE1BC15C3CC9}"/>
    <cellStyle name="Migliaia 12 5 7" xfId="24274" xr:uid="{0596E5D3-8816-469F-A6A7-96C0370D9E4A}"/>
    <cellStyle name="Migliaia 12 5 8" xfId="7312" xr:uid="{A210C92F-8AC7-4AE7-AF31-2CD433175374}"/>
    <cellStyle name="Migliaia 12 6" xfId="3158" xr:uid="{9503B7AD-BA91-46F1-B22D-A652C757E984}"/>
    <cellStyle name="Migliaia 12 6 2" xfId="4884" xr:uid="{877E4229-2819-4A41-944C-85AF6E445815}"/>
    <cellStyle name="Migliaia 12 6 2 2" xfId="9887" xr:uid="{81EC56C0-6154-43A0-9982-5C5FB555308E}"/>
    <cellStyle name="Migliaia 12 6 2 3" xfId="18677" xr:uid="{C1B72BF1-28F3-475C-B823-9AB6517DC6C2}"/>
    <cellStyle name="Migliaia 12 6 2 4" xfId="19861" xr:uid="{23CE94BF-2D50-4A3E-A0E0-562BE6C3E409}"/>
    <cellStyle name="Migliaia 12 6 2 5" xfId="32302" xr:uid="{FAFD3320-AC4B-4931-B785-88C9A37BE917}"/>
    <cellStyle name="Migliaia 12 6 2 6" xfId="16055" xr:uid="{219AB93B-D1C5-4992-9075-C746CD3D3A17}"/>
    <cellStyle name="Migliaia 12 6 2 7" xfId="8497" xr:uid="{6BEBFF2F-C4B5-4ADC-A2D1-1FEEEDBCE211}"/>
    <cellStyle name="Migliaia 12 6 3" xfId="6104" xr:uid="{B5987781-2502-4D75-855B-0A3CF0ACF3F6}"/>
    <cellStyle name="Migliaia 12 6 3 2" xfId="35146" xr:uid="{40962928-69EB-4797-8403-6C1F60A7F313}"/>
    <cellStyle name="Migliaia 12 6 3 2 2" xfId="40304" xr:uid="{C59C36A0-F225-4F65-BD95-EC16D94C0F59}"/>
    <cellStyle name="Migliaia 12 6 3 2 3" xfId="45606" xr:uid="{49F8FAC3-5BBE-4203-B022-D93627441748}"/>
    <cellStyle name="Migliaia 12 6 3 3" xfId="37653" xr:uid="{E626ECBE-5AAB-4F77-A61B-585D2A790628}"/>
    <cellStyle name="Migliaia 12 6 3 4" xfId="42955" xr:uid="{F430EFE5-49C3-4FA9-B118-E6E57C594BBE}"/>
    <cellStyle name="Migliaia 12 6 3 5" xfId="9650" xr:uid="{DF96AC1A-7C3D-4C1B-83F2-FA39BBB80365}"/>
    <cellStyle name="Migliaia 12 6 4" xfId="19860" xr:uid="{3913EDBF-1E4F-460F-8195-101839DA5F44}"/>
    <cellStyle name="Migliaia 12 6 4 2" xfId="38480" xr:uid="{9D4D7D40-866F-4432-8D18-C1103679F37E}"/>
    <cellStyle name="Migliaia 12 6 4 3" xfId="43782" xr:uid="{2ABA948F-C61C-4E95-AF1E-04DDF1BC630A}"/>
    <cellStyle name="Migliaia 12 6 4 4" xfId="33116" xr:uid="{09F992A9-9075-4A87-A8B5-37E8F8FB5971}"/>
    <cellStyle name="Migliaia 12 6 5" xfId="36008" xr:uid="{18628A60-A1D0-4C05-B36A-522A57217C5F}"/>
    <cellStyle name="Migliaia 12 6 6" xfId="41131" xr:uid="{5332A66B-CBD0-4879-9928-F5438EF99AC3}"/>
    <cellStyle name="Migliaia 12 6 7" xfId="16054" xr:uid="{A8E3BB26-EEC1-4F0A-8E64-FB587FE67FE0}"/>
    <cellStyle name="Migliaia 12 6 8" xfId="7307" xr:uid="{F41E35DC-07A1-46F2-8E6E-87638C2DDE67}"/>
    <cellStyle name="Migliaia 12 7" xfId="3159" xr:uid="{ACF34F87-6BB0-47D8-B927-0C79E96B6B07}"/>
    <cellStyle name="Migliaia 12 7 2" xfId="4885" xr:uid="{8E2875EA-BF38-4B52-B802-C75B67C1756E}"/>
    <cellStyle name="Migliaia 12 7 2 2" xfId="35147" xr:uid="{FE4CDB15-38F0-4D98-B1CE-1FA939DBF18B}"/>
    <cellStyle name="Migliaia 12 7 2 2 2" xfId="40305" xr:uid="{75744782-80EF-4131-BA2A-BF51C59CBD04}"/>
    <cellStyle name="Migliaia 12 7 2 2 3" xfId="45607" xr:uid="{76514405-332F-4B7F-A16C-08A9E3EE800C}"/>
    <cellStyle name="Migliaia 12 7 2 3" xfId="37654" xr:uid="{08B492BB-7FD7-44AF-ACBB-501A43843748}"/>
    <cellStyle name="Migliaia 12 7 2 4" xfId="42956" xr:uid="{3409CE2E-4BEB-4344-B2DC-BD148F110FFB}"/>
    <cellStyle name="Migliaia 12 7 2 5" xfId="14187" xr:uid="{75BC3BC1-02CE-4370-BA94-5E73642C7A45}"/>
    <cellStyle name="Migliaia 12 7 3" xfId="6105" xr:uid="{4CCDF21F-2D5C-4788-9FF7-E5DC671434CA}"/>
    <cellStyle name="Migliaia 12 7 3 2" xfId="38481" xr:uid="{600FCA9D-3462-4021-99EA-F71B9ED6BEC0}"/>
    <cellStyle name="Migliaia 12 7 3 3" xfId="43783" xr:uid="{7B2DBBAC-9AF5-4D8A-A08E-E87A439DDA1F}"/>
    <cellStyle name="Migliaia 12 7 3 4" xfId="33117" xr:uid="{BB463672-C3FA-4CB0-B98C-A5248D86E82F}"/>
    <cellStyle name="Migliaia 12 7 3 5" xfId="19862" xr:uid="{DD11B9A0-5BDF-42FF-A0C7-B44E20B75E8A}"/>
    <cellStyle name="Migliaia 12 7 4" xfId="36009" xr:uid="{98B6DD39-1D5B-426E-B7D0-5FEEA3C8579C}"/>
    <cellStyle name="Migliaia 12 7 5" xfId="41132" xr:uid="{747C7715-5D04-450C-93D2-9EA43750ACBD}"/>
    <cellStyle name="Migliaia 12 7 6" xfId="16056" xr:uid="{5A5EDEC6-5D47-40E1-AF0F-AF0327D0FE7D}"/>
    <cellStyle name="Migliaia 12 7 7" xfId="8249" xr:uid="{6773306B-4AC9-41AD-BEEC-0EAED601DF4B}"/>
    <cellStyle name="Migliaia 12 8" xfId="3160" xr:uid="{1DB4988F-B914-42C9-A67D-9B3082907BFA}"/>
    <cellStyle name="Migliaia 12 8 2" xfId="4886" xr:uid="{199382FC-D74F-49AF-9B0A-818EEDE5DE3A}"/>
    <cellStyle name="Migliaia 12 8 2 2" xfId="35148" xr:uid="{64E71298-5F0E-4DD1-B6EB-3DC6C39B4C3F}"/>
    <cellStyle name="Migliaia 12 8 2 2 2" xfId="40306" xr:uid="{EA23738D-B13A-4319-8457-DF5D468CF5AC}"/>
    <cellStyle name="Migliaia 12 8 2 2 3" xfId="45608" xr:uid="{88722D66-43EC-4DB3-8D0B-B8FFD07056B3}"/>
    <cellStyle name="Migliaia 12 8 2 3" xfId="37655" xr:uid="{849D623E-6CD8-4E4B-9975-798D1A10A8B4}"/>
    <cellStyle name="Migliaia 12 8 2 4" xfId="42957" xr:uid="{625042D2-C03C-40FE-A9DD-60C548C43A4E}"/>
    <cellStyle name="Migliaia 12 8 2 5" xfId="13890" xr:uid="{A3840AF2-F8D3-4203-91E0-2121ACF29014}"/>
    <cellStyle name="Migliaia 12 8 3" xfId="6106" xr:uid="{BB4E5FF9-63DB-47C2-B924-94818810A7BE}"/>
    <cellStyle name="Migliaia 12 8 3 2" xfId="38482" xr:uid="{EA9C82BA-23FA-4393-ABC5-4DDB0292A3FF}"/>
    <cellStyle name="Migliaia 12 8 3 3" xfId="43784" xr:uid="{4D589F99-7E5E-45E3-A890-84ADCF36992A}"/>
    <cellStyle name="Migliaia 12 8 3 4" xfId="33118" xr:uid="{68E63804-E5BC-4A56-8C65-145C081A4465}"/>
    <cellStyle name="Migliaia 12 8 3 5" xfId="19863" xr:uid="{17E8517C-18E2-4AF3-BD19-ACE17988E01D}"/>
    <cellStyle name="Migliaia 12 8 4" xfId="36010" xr:uid="{7EA59135-826F-4499-887E-E1387CF981D8}"/>
    <cellStyle name="Migliaia 12 8 5" xfId="41133" xr:uid="{04A9B474-960A-42FC-81A3-C59E96F648D3}"/>
    <cellStyle name="Migliaia 12 8 6" xfId="16057" xr:uid="{BDDF4167-F03B-4069-A4AD-82D256622D39}"/>
    <cellStyle name="Migliaia 12 8 7" xfId="7831" xr:uid="{08C7BABC-E205-439C-A2EA-1748B7FC8FDB}"/>
    <cellStyle name="Migliaia 12 9" xfId="4871" xr:uid="{F28BA2FE-2EE4-4FE3-A14B-DC4F9E9E900A}"/>
    <cellStyle name="Migliaia 12 9 2" xfId="33119" xr:uid="{57B9718D-D61C-4D7F-A588-DD93FEB11BB9}"/>
    <cellStyle name="Migliaia 12 9 2 2" xfId="38483" xr:uid="{08F86D5A-5665-41F5-BF25-63510F6E54C9}"/>
    <cellStyle name="Migliaia 12 9 2 3" xfId="43785" xr:uid="{655F32DD-2489-4DF6-A0F8-4B9ABF6373B9}"/>
    <cellStyle name="Migliaia 12 9 3" xfId="36011" xr:uid="{213D324D-5962-4823-8FAE-15AE6F88DB61}"/>
    <cellStyle name="Migliaia 12 9 4" xfId="41134" xr:uid="{74F9B252-C58A-448B-A5A4-0326B9D9478A}"/>
    <cellStyle name="Migliaia 12 9 5" xfId="17141" xr:uid="{6B116451-9D68-4769-977E-34D58B33D316}"/>
    <cellStyle name="Migliaia 13" xfId="313" xr:uid="{00000000-0005-0000-0000-0000DC020000}"/>
    <cellStyle name="Migliaia 13 10" xfId="6107" xr:uid="{5D6D4B16-DA40-47C3-8243-13938052D7C9}"/>
    <cellStyle name="Migliaia 13 10 2" xfId="38484" xr:uid="{F67A63B2-67BD-4B49-8CAE-CE3580D9F233}"/>
    <cellStyle name="Migliaia 13 10 3" xfId="43786" xr:uid="{A6906076-D7B4-4362-9A47-EAE0C89CF1C4}"/>
    <cellStyle name="Migliaia 13 10 4" xfId="33120" xr:uid="{90ED5AD3-EEAE-4B52-BDF8-38C7D5D6B083}"/>
    <cellStyle name="Migliaia 13 10 5" xfId="19864" xr:uid="{59E0AF99-0056-4C21-BD30-A4518964AD2F}"/>
    <cellStyle name="Migliaia 13 11" xfId="3161" xr:uid="{09E6412F-0F58-4666-B9AC-2E9D7F747AFC}"/>
    <cellStyle name="Migliaia 13 11 2" xfId="36012" xr:uid="{80347B30-FBC9-4C1C-9874-1FCF616EE567}"/>
    <cellStyle name="Migliaia 13 12" xfId="41135" xr:uid="{0275051D-5344-45F1-95F2-D56B4326A273}"/>
    <cellStyle name="Migliaia 13 13" xfId="7053" xr:uid="{CF46D87E-8AE9-4310-B4D1-C58A7F7B90E7}"/>
    <cellStyle name="Migliaia 13 2" xfId="314" xr:uid="{00000000-0005-0000-0000-0000DD020000}"/>
    <cellStyle name="Migliaia 13 2 2" xfId="1673" xr:uid="{00000000-0005-0000-0000-0000DE020000}"/>
    <cellStyle name="Migliaia 13 2 2 2" xfId="4889" xr:uid="{FC4E82FF-9D03-45BA-A766-864BD39DB474}"/>
    <cellStyle name="Migliaia 13 2 2 2 2" xfId="14366" xr:uid="{8085C5DC-A28E-4EEF-9E2E-D93914FF5F6C}"/>
    <cellStyle name="Migliaia 13 2 2 2 2 2" xfId="38485" xr:uid="{F0295566-2DCE-463F-BFE1-4187CFB6288F}"/>
    <cellStyle name="Migliaia 13 2 2 2 2 3" xfId="43787" xr:uid="{8AC8E510-A905-41A0-8AE9-89B37CA638F0}"/>
    <cellStyle name="Migliaia 13 2 2 2 3" xfId="18369" xr:uid="{9B3DF302-C990-4D04-8105-965D853267CA}"/>
    <cellStyle name="Migliaia 13 2 2 2 4" xfId="19867" xr:uid="{0874976D-2306-43ED-85CA-23E41097DE53}"/>
    <cellStyle name="Migliaia 13 2 2 2 4 2" xfId="41136" xr:uid="{77D432EB-F043-41DA-A707-8A773E676929}"/>
    <cellStyle name="Migliaia 13 2 2 2 5" xfId="16058" xr:uid="{28359CFC-53A3-49F0-BEA4-EEAB048CBCB4}"/>
    <cellStyle name="Migliaia 13 2 2 2 6" xfId="8504" xr:uid="{11D30C22-4B12-4FFF-BD70-E9028D2E32FA}"/>
    <cellStyle name="Migliaia 13 2 2 3" xfId="6109" xr:uid="{DB9DC704-4F9C-42AB-9FDB-7985C106CC11}"/>
    <cellStyle name="Migliaia 13 2 2 3 2" xfId="35149" xr:uid="{0BC149C7-702D-493F-830B-3BD678D41C81}"/>
    <cellStyle name="Migliaia 13 2 2 3 2 2" xfId="40307" xr:uid="{C241327A-DA4E-4D3D-AB3E-C97935C31123}"/>
    <cellStyle name="Migliaia 13 2 2 3 2 3" xfId="45609" xr:uid="{11E406DB-F8ED-45FB-843B-6D531B32DFF0}"/>
    <cellStyle name="Migliaia 13 2 2 3 3" xfId="37656" xr:uid="{8839FCCA-F64C-45A3-A310-527926A8D08F}"/>
    <cellStyle name="Migliaia 13 2 2 3 4" xfId="42958" xr:uid="{A9DB306F-3257-4207-A897-0AC2A893CCD2}"/>
    <cellStyle name="Migliaia 13 2 2 3 5" xfId="11595" xr:uid="{8C2747FD-822B-4B5C-B6BE-E6E8EE5DA491}"/>
    <cellStyle name="Migliaia 13 2 2 4" xfId="3163" xr:uid="{63D960BE-A424-478C-84BF-5B369371F83F}"/>
    <cellStyle name="Migliaia 13 2 2 4 2" xfId="21385" xr:uid="{B18B73E1-5B8B-4AE2-B81A-C1FAB9949309}"/>
    <cellStyle name="Migliaia 13 2 2 4 3" xfId="47709" xr:uid="{F7E92C70-761E-479A-8118-B8F93F4A2FA2}"/>
    <cellStyle name="Migliaia 13 2 2 4 4" xfId="50400" xr:uid="{9BCD673C-5CE5-45BE-A6FB-90B674646E81}"/>
    <cellStyle name="Migliaia 13 2 2 4 5" xfId="53416" xr:uid="{A5BB65DA-3651-4428-89E5-6F9435AFD18D}"/>
    <cellStyle name="Migliaia 13 2 2 4 6" xfId="10750" xr:uid="{C250C1A3-6DF8-40EB-B045-6ECB1B9CBEEE}"/>
    <cellStyle name="Migliaia 13 2 2 5" xfId="19866" xr:uid="{4C447600-16F0-48C6-A087-B3FE8FEA363F}"/>
    <cellStyle name="Migliaia 13 2 2 6" xfId="24282" xr:uid="{4287D536-BFF7-4B17-A404-B472494774B9}"/>
    <cellStyle name="Migliaia 13 2 2 7" xfId="7314" xr:uid="{6F1F2658-62A9-462C-A4D6-5854274C48B1}"/>
    <cellStyle name="Migliaia 13 2 3" xfId="3164" xr:uid="{9D27D88A-F843-4C61-8D6A-73876A5CA16D}"/>
    <cellStyle name="Migliaia 13 2 3 2" xfId="4890" xr:uid="{9BFFE2B8-2E98-44AB-8CF3-CCAC76611FFB}"/>
    <cellStyle name="Migliaia 13 2 3 2 2" xfId="35150" xr:uid="{1860E640-F5A8-4567-A4AB-3E86B945A2B8}"/>
    <cellStyle name="Migliaia 13 2 3 2 2 2" xfId="40308" xr:uid="{F605E033-3E78-41B0-AD06-4F06955666FB}"/>
    <cellStyle name="Migliaia 13 2 3 2 2 3" xfId="45610" xr:uid="{E221A1DE-0ED2-4CD1-9FB2-FAE3E1C612E8}"/>
    <cellStyle name="Migliaia 13 2 3 2 3" xfId="37657" xr:uid="{8DD8CE83-B111-4B08-9835-F07E993178F6}"/>
    <cellStyle name="Migliaia 13 2 3 2 4" xfId="42959" xr:uid="{3E052F91-C5C2-4953-A868-0D9ED0F2D095}"/>
    <cellStyle name="Migliaia 13 2 3 2 5" xfId="14191" xr:uid="{E4E48BAC-9D4E-4B18-966C-031DCA6E7360}"/>
    <cellStyle name="Migliaia 13 2 3 3" xfId="6110" xr:uid="{CA312D67-2DBF-4A1D-B861-7AF4731EB0E3}"/>
    <cellStyle name="Migliaia 13 2 3 3 2" xfId="38486" xr:uid="{55D047DE-34B6-4B76-9009-D75DD3882308}"/>
    <cellStyle name="Migliaia 13 2 3 3 3" xfId="43788" xr:uid="{A13FA218-5544-48A8-93D3-B5A6F7B393B2}"/>
    <cellStyle name="Migliaia 13 2 3 3 4" xfId="33121" xr:uid="{9A24475F-082E-47CF-B30A-38869019002B}"/>
    <cellStyle name="Migliaia 13 2 3 3 5" xfId="19868" xr:uid="{BB89726D-8C6A-417A-BB7F-07859DAF66C0}"/>
    <cellStyle name="Migliaia 13 2 3 4" xfId="36013" xr:uid="{6856A3A9-0F1E-4C33-BB55-E6D12B509E40}"/>
    <cellStyle name="Migliaia 13 2 3 5" xfId="41137" xr:uid="{C042C2B1-167D-4157-874D-0198495306B8}"/>
    <cellStyle name="Migliaia 13 2 3 6" xfId="16059" xr:uid="{A7FCB255-068E-4A36-8DA1-CD15D8346A84}"/>
    <cellStyle name="Migliaia 13 2 3 7" xfId="8253" xr:uid="{626E2F1A-FAF5-48E9-AF16-2F8C313584CE}"/>
    <cellStyle name="Migliaia 13 2 4" xfId="4888" xr:uid="{C45F99DF-7532-49A3-AFEB-2DA09467268B}"/>
    <cellStyle name="Migliaia 13 2 4 2" xfId="13894" xr:uid="{8679ED33-92BD-4499-8258-284F3E21D6B5}"/>
    <cellStyle name="Migliaia 13 2 4 2 2" xfId="38487" xr:uid="{DB95A8D4-2D80-449F-90A4-806AC79EACB9}"/>
    <cellStyle name="Migliaia 13 2 4 2 3" xfId="43789" xr:uid="{80D0F791-CD39-48F8-B1AB-7F38E0984602}"/>
    <cellStyle name="Migliaia 13 2 4 3" xfId="18621" xr:uid="{378C210E-8804-4E38-91B1-32A62ABFBB9B}"/>
    <cellStyle name="Migliaia 13 2 4 4" xfId="19869" xr:uid="{52FDD361-D03A-40D0-8C89-9B0C991DF2FE}"/>
    <cellStyle name="Migliaia 13 2 4 4 2" xfId="41138" xr:uid="{9206F731-DCDE-45D7-A59F-E50ECBCA9421}"/>
    <cellStyle name="Migliaia 13 2 4 5" xfId="16060" xr:uid="{E3B8C340-FCEA-4349-A627-99524F7FD3C8}"/>
    <cellStyle name="Migliaia 13 2 4 6" xfId="7836" xr:uid="{9E621748-536A-47F5-B18F-FE4FD33A6A18}"/>
    <cellStyle name="Migliaia 13 2 5" xfId="6108" xr:uid="{115A4F19-8093-4D4E-AC14-9B16F248F8E6}"/>
    <cellStyle name="Migliaia 13 2 5 2" xfId="33122" xr:uid="{DB17DBE3-EEC5-444C-B205-0BB38C480B99}"/>
    <cellStyle name="Migliaia 13 2 5 2 2" xfId="38488" xr:uid="{6A83248A-B5C2-48FC-967A-40C974600140}"/>
    <cellStyle name="Migliaia 13 2 5 2 3" xfId="43790" xr:uid="{E2F8F938-D4B6-411D-B499-B58043F1B15F}"/>
    <cellStyle name="Migliaia 13 2 5 3" xfId="36014" xr:uid="{33D2F415-AE0F-41A1-AD17-2FABEB261CF0}"/>
    <cellStyle name="Migliaia 13 2 5 4" xfId="41139" xr:uid="{7EE94C8E-B5A1-41FC-A97E-3A4AFB06F801}"/>
    <cellStyle name="Migliaia 13 2 5 5" xfId="13106" xr:uid="{D993BD00-D523-4B87-9B23-0BA34634053E}"/>
    <cellStyle name="Migliaia 13 2 6" xfId="3162" xr:uid="{155E54D4-3460-40DA-81FC-81B681406173}"/>
    <cellStyle name="Migliaia 13 2 6 2" xfId="33123" xr:uid="{BF9C1BCB-8B3F-4D8B-A4BF-F81B0618849F}"/>
    <cellStyle name="Migliaia 13 2 6 2 2" xfId="38489" xr:uid="{09F32E4A-7A8F-4084-A799-A40B1DD206AA}"/>
    <cellStyle name="Migliaia 13 2 6 2 3" xfId="43791" xr:uid="{CFA04556-86B4-45F7-821A-7A6F637C3AC1}"/>
    <cellStyle name="Migliaia 13 2 6 3" xfId="36015" xr:uid="{E4467274-CF25-4E1E-873A-04918D969CCD}"/>
    <cellStyle name="Migliaia 13 2 6 4" xfId="41140" xr:uid="{C8D9ADAB-2423-43D6-BA6E-2FA530D8A74F}"/>
    <cellStyle name="Migliaia 13 2 6 5" xfId="24284" xr:uid="{0040627A-8CB5-448B-A827-0663CF6BE835}"/>
    <cellStyle name="Migliaia 13 2 6 6" xfId="19865" xr:uid="{A58575B0-F2D3-4E2C-8FEA-9B909A5CD456}"/>
    <cellStyle name="Migliaia 13 2 7" xfId="24281" xr:uid="{D3B5A207-4D2B-46AE-9610-DDC7A5F04828}"/>
    <cellStyle name="Migliaia 13 2 8" xfId="7054" xr:uid="{377355B7-526A-498D-B72E-828072E1B355}"/>
    <cellStyle name="Migliaia 13 3" xfId="315" xr:uid="{00000000-0005-0000-0000-0000DF020000}"/>
    <cellStyle name="Migliaia 13 3 10" xfId="24285" xr:uid="{695D1931-698C-4CF6-A0C7-7E9EC01F4365}"/>
    <cellStyle name="Migliaia 13 3 11" xfId="16061" xr:uid="{BD5217E7-E09F-4A0F-9CC3-BE873F781575}"/>
    <cellStyle name="Migliaia 13 3 12" xfId="7055" xr:uid="{E19C80BB-9220-411C-930E-5501D863BD63}"/>
    <cellStyle name="Migliaia 13 3 2" xfId="316" xr:uid="{00000000-0005-0000-0000-0000E0020000}"/>
    <cellStyle name="Migliaia 13 3 2 2" xfId="1674" xr:uid="{00000000-0005-0000-0000-0000E1020000}"/>
    <cellStyle name="Migliaia 13 3 2 2 2" xfId="4893" xr:uid="{C5056A13-1A38-4030-8737-65812B4CF267}"/>
    <cellStyle name="Migliaia 13 3 2 2 2 2" xfId="18370" xr:uid="{B547A2C3-9D4F-4732-B19D-3AA54F697E17}"/>
    <cellStyle name="Migliaia 13 3 2 2 2 2 2" xfId="21841" xr:uid="{1FE4410A-553F-4D7C-BF7E-B8CC6BA955D2}"/>
    <cellStyle name="Migliaia 13 3 2 2 2 2 2 2" xfId="38490" xr:uid="{7A5F0233-06FC-4A85-948F-130CF9AC0EE6}"/>
    <cellStyle name="Migliaia 13 3 2 2 2 2 3" xfId="43792" xr:uid="{8F0A4DA3-9956-4DC5-B39E-A1AA97512353}"/>
    <cellStyle name="Migliaia 13 3 2 2 2 2 4" xfId="33124" xr:uid="{4CA4199D-0F76-455B-8385-AB62C37E4BBA}"/>
    <cellStyle name="Migliaia 13 3 2 2 2 3" xfId="36016" xr:uid="{C8C1097D-E6F2-488D-97D6-8181D41E099F}"/>
    <cellStyle name="Migliaia 13 3 2 2 2 4" xfId="41141" xr:uid="{2229C532-A8DE-4BD8-972A-3143EA2C0BA1}"/>
    <cellStyle name="Migliaia 13 3 2 2 2 5" xfId="48319" xr:uid="{F7EB2BCD-6E22-4ACF-85FD-862DF1EB39B8}"/>
    <cellStyle name="Migliaia 13 3 2 2 2 6" xfId="50869" xr:uid="{4BF544EA-66CD-408C-A691-CED96E8E9CA8}"/>
    <cellStyle name="Migliaia 13 3 2 2 2 7" xfId="53885" xr:uid="{17AE7836-24CE-4391-A275-A09F9804629F}"/>
    <cellStyle name="Migliaia 13 3 2 2 2 8" xfId="17642" xr:uid="{CF0FF939-4751-4B57-8DC6-75740FD3BB3F}"/>
    <cellStyle name="Migliaia 13 3 2 2 2 9" xfId="11899" xr:uid="{8D7C2397-3413-4305-8F80-2F8AB8ACD510}"/>
    <cellStyle name="Migliaia 13 3 2 2 3" xfId="6113" xr:uid="{CD15CD71-C6D3-43F6-A745-C7428349F5FA}"/>
    <cellStyle name="Migliaia 13 3 2 2 3 2" xfId="11683" xr:uid="{B4D644D2-2BD4-4640-B454-64B1ECB46E3F}"/>
    <cellStyle name="Migliaia 13 3 2 2 4" xfId="3167" xr:uid="{36D8744D-29B7-435E-9C04-FDD237B7375D}"/>
    <cellStyle name="Migliaia 13 3 2 2 4 2" xfId="21386" xr:uid="{893481CA-DF44-47EB-AE1D-4F776286302F}"/>
    <cellStyle name="Migliaia 13 3 2 2 4 3" xfId="46205" xr:uid="{E681A86C-33F8-4594-9F47-0782B78D5D3B}"/>
    <cellStyle name="Migliaia 13 3 2 2 4 4" xfId="50401" xr:uid="{8D4C01F6-EA58-4439-8DD5-A7DEC3E65316}"/>
    <cellStyle name="Migliaia 13 3 2 2 4 5" xfId="53417" xr:uid="{5979F21D-3E13-4266-B1A1-23085DB7D931}"/>
    <cellStyle name="Migliaia 13 3 2 2 4 6" xfId="10751" xr:uid="{33BCDF90-2BBA-44FE-AFE1-23CADCA3E763}"/>
    <cellStyle name="Migliaia 13 3 2 2 5" xfId="19872" xr:uid="{5F99DD9F-F84F-43A4-9ECA-077C54E6DC98}"/>
    <cellStyle name="Migliaia 13 3 2 2 6" xfId="24287" xr:uid="{7B5A2AF3-103B-4E8B-A035-24C59B93EC25}"/>
    <cellStyle name="Migliaia 13 3 2 2 7" xfId="8506" xr:uid="{BCFC9975-5D01-4183-951E-85BE2F8CAD4A}"/>
    <cellStyle name="Migliaia 13 3 2 3" xfId="4892" xr:uid="{C74095C0-EB27-42DC-9582-C1C0DF80B826}"/>
    <cellStyle name="Migliaia 13 3 2 3 2" xfId="12230" xr:uid="{10A1B32D-2ECA-47B1-B547-126E5FCDEA7C}"/>
    <cellStyle name="Migliaia 13 3 2 3 2 2" xfId="38491" xr:uid="{C55E11EC-AE83-4A3A-A0D3-DDC9875C799D}"/>
    <cellStyle name="Migliaia 13 3 2 3 2 3" xfId="43793" xr:uid="{558A9F79-7892-4635-960A-2285D95B854D}"/>
    <cellStyle name="Migliaia 13 3 2 3 2 4" xfId="33125" xr:uid="{8D56D85E-1C64-4220-92A3-4E29E7F86464}"/>
    <cellStyle name="Migliaia 13 3 2 3 3" xfId="11900" xr:uid="{57D5AF94-7EEF-48EC-B95C-14D88190AB34}"/>
    <cellStyle name="Migliaia 13 3 2 3 4" xfId="19873" xr:uid="{06F64D4C-C265-4CD7-A8FD-4E5EFDFA7B5C}"/>
    <cellStyle name="Migliaia 13 3 2 3 4 2" xfId="41142" xr:uid="{393E1E55-39FF-4134-B492-6ED53634DB55}"/>
    <cellStyle name="Migliaia 13 3 2 3 5" xfId="16062" xr:uid="{55285ADD-5319-4D74-ABE1-C63DB5BE83A0}"/>
    <cellStyle name="Migliaia 13 3 2 3 6" xfId="7838" xr:uid="{7E40BFE7-5ACD-42BE-BBFD-6622F787FB06}"/>
    <cellStyle name="Migliaia 13 3 2 4" xfId="6112" xr:uid="{A3E9D46F-E1E5-46B7-BD89-05FEDAAC51A8}"/>
    <cellStyle name="Migliaia 13 3 2 4 2" xfId="18061" xr:uid="{A275D42F-EE70-4C5A-BAF7-2340AEE030CF}"/>
    <cellStyle name="Migliaia 13 3 2 4 2 2" xfId="38492" xr:uid="{DA8A71F5-9C43-4D16-A9A2-B0FE59739F98}"/>
    <cellStyle name="Migliaia 13 3 2 4 2 3" xfId="43794" xr:uid="{5D84E24F-24F6-45DE-BE74-4DB3B77E8F58}"/>
    <cellStyle name="Migliaia 13 3 2 4 3" xfId="36017" xr:uid="{048E8295-D2B6-4D4F-96E3-5CCF4E44E550}"/>
    <cellStyle name="Migliaia 13 3 2 4 4" xfId="41143" xr:uid="{41E2DDA9-B9DA-4EA4-B88C-2AAE416E2F45}"/>
    <cellStyle name="Migliaia 13 3 2 4 5" xfId="17144" xr:uid="{21807994-EC28-4420-945B-67882487FBA0}"/>
    <cellStyle name="Migliaia 13 3 2 4 6" xfId="11252" xr:uid="{2E0D13EF-F558-45F6-BAE8-26183AE47D99}"/>
    <cellStyle name="Migliaia 13 3 2 5" xfId="3166" xr:uid="{83C5FE20-DFA4-4E8F-9C85-83F3D81FA44B}"/>
    <cellStyle name="Migliaia 13 3 2 5 2" xfId="33126" xr:uid="{FD303AD3-F20E-414B-A281-B3E36EA99D29}"/>
    <cellStyle name="Migliaia 13 3 2 5 2 2" xfId="38493" xr:uid="{1C85637A-897C-405C-9073-81879DE41D4A}"/>
    <cellStyle name="Migliaia 13 3 2 5 2 3" xfId="43795" xr:uid="{D061C224-D057-40CD-A6D4-0C8E00345105}"/>
    <cellStyle name="Migliaia 13 3 2 5 3" xfId="36018" xr:uid="{3AFD2D73-58FF-4D97-9491-539CD6519DBE}"/>
    <cellStyle name="Migliaia 13 3 2 5 4" xfId="41144" xr:uid="{D95A87AD-FFB0-474D-9635-05F7429B0D5F}"/>
    <cellStyle name="Migliaia 13 3 2 5 5" xfId="17414" xr:uid="{0ABC631B-D0EA-4465-A688-87CDD0FD0439}"/>
    <cellStyle name="Migliaia 13 3 2 6" xfId="19871" xr:uid="{A5DB9374-5340-469C-8803-D39428C77295}"/>
    <cellStyle name="Migliaia 13 3 2 6 2" xfId="33127" xr:uid="{DD2E9D13-C409-4C6A-8DC7-A22322C709A7}"/>
    <cellStyle name="Migliaia 13 3 2 6 2 2" xfId="38494" xr:uid="{EFD0F37C-E8E8-43FC-9002-DDA4B06F1465}"/>
    <cellStyle name="Migliaia 13 3 2 6 2 3" xfId="43796" xr:uid="{D192DCE6-2F25-498B-9E95-71F5BF551E1B}"/>
    <cellStyle name="Migliaia 13 3 2 6 3" xfId="36019" xr:uid="{96458C42-1853-4CF8-A593-C5CC1F4C5F30}"/>
    <cellStyle name="Migliaia 13 3 2 6 4" xfId="41145" xr:uid="{D4BC9B6F-81EF-48EB-AEE2-AD251202D68E}"/>
    <cellStyle name="Migliaia 13 3 2 6 5" xfId="24288" xr:uid="{5DE57111-FBD3-4ED6-9C9A-5F8A9A268B61}"/>
    <cellStyle name="Migliaia 13 3 2 7" xfId="24286" xr:uid="{D97A8603-8D04-4D94-9A36-41EAA0EEF273}"/>
    <cellStyle name="Migliaia 13 3 2 8" xfId="7316" xr:uid="{15BA2662-E48D-4A6F-B62A-4352918D46AC}"/>
    <cellStyle name="Migliaia 13 3 3" xfId="3168" xr:uid="{01C7999D-9801-4DF6-9189-0B1618EBC488}"/>
    <cellStyle name="Migliaia 13 3 3 10" xfId="7315" xr:uid="{F7776939-DF37-4BF4-8EB4-492423E3E058}"/>
    <cellStyle name="Migliaia 13 3 3 2" xfId="4894" xr:uid="{9B8F57F6-0A2A-4DF3-AC3C-8570DB1143D2}"/>
    <cellStyle name="Migliaia 13 3 3 2 2" xfId="9890" xr:uid="{A758C2BC-B7FE-4C20-B742-DC246E608DB3}"/>
    <cellStyle name="Migliaia 13 3 3 2 2 2" xfId="38496" xr:uid="{DBCE2735-2F02-41DD-91E8-3F6AEEFEA2BE}"/>
    <cellStyle name="Migliaia 13 3 3 2 2 3" xfId="43798" xr:uid="{C466FE7A-C2F6-4882-9E53-D6B7BF46ED40}"/>
    <cellStyle name="Migliaia 13 3 3 2 3" xfId="18170" xr:uid="{ACC28F55-18A6-43D8-89CE-5101369651BA}"/>
    <cellStyle name="Migliaia 13 3 3 2 4" xfId="19875" xr:uid="{CB1FDCEC-B04F-4184-9133-94EB05D9C70E}"/>
    <cellStyle name="Migliaia 13 3 3 2 4 2" xfId="41147" xr:uid="{BC0AD68D-98D2-4B8A-9334-2A2219B1D8D6}"/>
    <cellStyle name="Migliaia 13 3 3 2 5" xfId="16064" xr:uid="{235EE33F-01D5-45AF-B502-826E25C2A0E2}"/>
    <cellStyle name="Migliaia 13 3 3 2 6" xfId="8505" xr:uid="{FB37B0DE-CEC0-449A-B7B1-4A82ED5D3AD3}"/>
    <cellStyle name="Migliaia 13 3 3 3" xfId="6114" xr:uid="{B5370FC0-1A0A-4602-A6AE-9CA4C871D6BA}"/>
    <cellStyle name="Migliaia 13 3 3 3 2" xfId="33129" xr:uid="{F0289015-94F8-4595-AE42-9E5449B48096}"/>
    <cellStyle name="Migliaia 13 3 3 3 2 2" xfId="38497" xr:uid="{A8422077-E7F1-4FC8-AA51-991633B69F55}"/>
    <cellStyle name="Migliaia 13 3 3 3 2 3" xfId="43799" xr:uid="{8CFE1B3F-96BA-432F-8C24-241BADD76598}"/>
    <cellStyle name="Migliaia 13 3 3 3 3" xfId="36021" xr:uid="{CE1C219F-ADF3-4997-AD39-B664B33BF472}"/>
    <cellStyle name="Migliaia 13 3 3 3 4" xfId="41148" xr:uid="{B1752BD1-99D9-4AA7-9747-1E3D1CD0C7BB}"/>
    <cellStyle name="Migliaia 13 3 3 3 5" xfId="9653" xr:uid="{2B09EBCB-1661-4599-ABA2-9F8EEF1D51A3}"/>
    <cellStyle name="Migliaia 13 3 3 4" xfId="19874" xr:uid="{3F335271-1239-4887-9289-471982AFD78D}"/>
    <cellStyle name="Migliaia 13 3 3 4 2" xfId="33130" xr:uid="{9ED262FD-FAF3-48DD-8D41-8B47819F917A}"/>
    <cellStyle name="Migliaia 13 3 3 4 2 2" xfId="38498" xr:uid="{937533F2-E8EB-4939-912F-A0A22F298F0F}"/>
    <cellStyle name="Migliaia 13 3 3 4 2 3" xfId="43800" xr:uid="{263A51B5-1785-4660-82AA-C688242F5DDB}"/>
    <cellStyle name="Migliaia 13 3 3 4 3" xfId="36022" xr:uid="{0AB07C8F-338D-47C2-BE6E-BF26FDC6806D}"/>
    <cellStyle name="Migliaia 13 3 3 4 4" xfId="41149" xr:uid="{27D3ACF9-C645-4DFF-8A1E-957054AFF3F3}"/>
    <cellStyle name="Migliaia 13 3 3 4 5" xfId="24289" xr:uid="{ABA023FE-B396-41C2-8EB3-9A5E33954AC5}"/>
    <cellStyle name="Migliaia 13 3 3 5" xfId="24290" xr:uid="{BC0457B8-C6B4-457F-9866-6BFB94DAB4CC}"/>
    <cellStyle name="Migliaia 13 3 3 5 2" xfId="33131" xr:uid="{27AC7BCB-B3D9-4724-B8DC-590AA4F8C410}"/>
    <cellStyle name="Migliaia 13 3 3 5 2 2" xfId="38499" xr:uid="{27F8D0A6-87B6-48A5-BFAC-9F83CC60A92E}"/>
    <cellStyle name="Migliaia 13 3 3 5 2 3" xfId="43801" xr:uid="{9C0F05C7-6A98-4E22-956E-47B175665C94}"/>
    <cellStyle name="Migliaia 13 3 3 5 3" xfId="36023" xr:uid="{85D52C16-E518-4DFF-AF7E-537755BEA870}"/>
    <cellStyle name="Migliaia 13 3 3 5 4" xfId="41150" xr:uid="{6CBE42E2-8985-4D08-A465-AF200F4EF6AC}"/>
    <cellStyle name="Migliaia 13 3 3 6" xfId="33128" xr:uid="{26DEDCCE-1D15-4FC3-A793-DD2EA6B989C9}"/>
    <cellStyle name="Migliaia 13 3 3 6 2" xfId="38495" xr:uid="{14921817-ED05-434C-860E-36C175A64480}"/>
    <cellStyle name="Migliaia 13 3 3 6 3" xfId="43797" xr:uid="{44EDCE3B-FC96-43F2-928E-6F293F2A5389}"/>
    <cellStyle name="Migliaia 13 3 3 7" xfId="36020" xr:uid="{DEB8B4E7-859D-445C-BFBF-08327548E1C5}"/>
    <cellStyle name="Migliaia 13 3 3 8" xfId="41146" xr:uid="{6C71EB55-5407-44CE-AD16-36C9B827E763}"/>
    <cellStyle name="Migliaia 13 3 3 9" xfId="16063" xr:uid="{C4BD6F7C-9873-4D20-AF0B-9A3C71E463E6}"/>
    <cellStyle name="Migliaia 13 3 4" xfId="3169" xr:uid="{A61A1210-B8E5-475E-BABD-732487E89306}"/>
    <cellStyle name="Migliaia 13 3 4 2" xfId="4895" xr:uid="{18EE2707-D1BC-47FD-8981-5F175A889292}"/>
    <cellStyle name="Migliaia 13 3 4 2 2" xfId="14427" xr:uid="{73DFCAF7-FD19-43C0-8790-E266D0478E38}"/>
    <cellStyle name="Migliaia 13 3 4 2 3" xfId="18124" xr:uid="{FC927985-1816-4500-8A1B-64AF30BE2D8A}"/>
    <cellStyle name="Migliaia 13 3 4 2 4" xfId="19877" xr:uid="{69229E31-9236-4F5C-8352-DDB32A4A94D5}"/>
    <cellStyle name="Migliaia 13 3 4 2 5" xfId="32306" xr:uid="{6C2D9659-3434-4A93-AE0F-BA61E6C4E378}"/>
    <cellStyle name="Migliaia 13 3 4 2 6" xfId="16066" xr:uid="{955A3673-DD14-4B83-AD6E-A7DF401DBA6B}"/>
    <cellStyle name="Migliaia 13 3 4 2 7" xfId="8850" xr:uid="{81006866-8338-4E60-BFDA-49025DD9C642}"/>
    <cellStyle name="Migliaia 13 3 4 3" xfId="6115" xr:uid="{261F2727-3BF5-4372-B120-02CEE8202AD5}"/>
    <cellStyle name="Migliaia 13 3 4 3 2" xfId="35151" xr:uid="{EEADC89F-AAE8-4359-A9CA-AD64FC80D0CA}"/>
    <cellStyle name="Migliaia 13 3 4 3 2 2" xfId="40309" xr:uid="{B4EC5F4C-66D1-4CEA-B264-ECDD02686F06}"/>
    <cellStyle name="Migliaia 13 3 4 3 2 3" xfId="45611" xr:uid="{C93BE1F3-928F-466F-A7EC-D2215D0B7E30}"/>
    <cellStyle name="Migliaia 13 3 4 3 3" xfId="37658" xr:uid="{7CF8D75E-8641-4CE5-96C3-FC691D2A271A}"/>
    <cellStyle name="Migliaia 13 3 4 3 4" xfId="42960" xr:uid="{EDF99230-0DB4-48D9-A2DD-4F5F20559890}"/>
    <cellStyle name="Migliaia 13 3 4 3 5" xfId="13675" xr:uid="{D0607EC0-3F04-43D4-97A3-A08457C234A7}"/>
    <cellStyle name="Migliaia 13 3 4 4" xfId="19876" xr:uid="{214F7C01-2B87-40E3-B66B-AAD106ED3755}"/>
    <cellStyle name="Migliaia 13 3 4 4 2" xfId="38500" xr:uid="{D1D1F8B2-0A13-4E14-8B92-DF619EAEC31F}"/>
    <cellStyle name="Migliaia 13 3 4 4 3" xfId="43802" xr:uid="{0E86EB3C-37C7-43EE-8E1F-2C45C517931B}"/>
    <cellStyle name="Migliaia 13 3 4 4 4" xfId="33132" xr:uid="{08901327-461B-4AD5-B87C-A7E223196985}"/>
    <cellStyle name="Migliaia 13 3 4 5" xfId="36024" xr:uid="{A94D2549-0E20-4D2B-8C0E-B30B7F832C06}"/>
    <cellStyle name="Migliaia 13 3 4 6" xfId="41151" xr:uid="{A6F91BD4-120C-4692-9A69-F4553CD82A77}"/>
    <cellStyle name="Migliaia 13 3 4 7" xfId="16065" xr:uid="{AC745AA2-7921-45BC-9F3B-95839445EA95}"/>
    <cellStyle name="Migliaia 13 3 4 8" xfId="7660" xr:uid="{7FE1FE73-7BEA-4DB4-97DD-755206E79271}"/>
    <cellStyle name="Migliaia 13 3 5" xfId="3170" xr:uid="{410ABB33-A421-470A-8A3F-4D60B1326D36}"/>
    <cellStyle name="Migliaia 13 3 5 2" xfId="4896" xr:uid="{D6AD3404-3C82-400C-B5ED-E6C80DB31045}"/>
    <cellStyle name="Migliaia 13 3 5 2 2" xfId="35152" xr:uid="{623362B1-2325-40DD-84E0-9A6846463EE5}"/>
    <cellStyle name="Migliaia 13 3 5 2 2 2" xfId="40310" xr:uid="{5B6C4EEA-28D4-46C6-BF22-411DC9CCC834}"/>
    <cellStyle name="Migliaia 13 3 5 2 2 3" xfId="45612" xr:uid="{21DAC837-6EDC-45CC-A271-6C7A85713867}"/>
    <cellStyle name="Migliaia 13 3 5 2 3" xfId="37659" xr:uid="{3537F842-7A65-4C95-AE4A-0629E55AA5CC}"/>
    <cellStyle name="Migliaia 13 3 5 2 4" xfId="42961" xr:uid="{9828CCFB-92F0-438E-B7A3-E93F6C051E36}"/>
    <cellStyle name="Migliaia 13 3 5 2 5" xfId="14192" xr:uid="{98B20F58-13F0-45E6-881B-EFA409C2EE32}"/>
    <cellStyle name="Migliaia 13 3 5 3" xfId="6116" xr:uid="{7E5E9E5D-C0FC-4126-9366-9A48628C0366}"/>
    <cellStyle name="Migliaia 13 3 5 3 2" xfId="38501" xr:uid="{4D6787F4-A4F3-44E5-A535-45EE62F18B72}"/>
    <cellStyle name="Migliaia 13 3 5 3 3" xfId="43803" xr:uid="{969BE628-8F89-416F-8280-92AAD471AA06}"/>
    <cellStyle name="Migliaia 13 3 5 3 4" xfId="33133" xr:uid="{74257700-84B0-4D96-8E52-05A000E58170}"/>
    <cellStyle name="Migliaia 13 3 5 3 5" xfId="19878" xr:uid="{1EE49E10-9088-49F3-99C1-3621EE6A3C57}"/>
    <cellStyle name="Migliaia 13 3 5 4" xfId="36025" xr:uid="{F82926E8-79C7-48FC-8BD3-6BEB24F7AA0D}"/>
    <cellStyle name="Migliaia 13 3 5 5" xfId="41152" xr:uid="{71E76345-4CFA-4F22-BF2E-9521085DE6E6}"/>
    <cellStyle name="Migliaia 13 3 5 6" xfId="16067" xr:uid="{6B663030-38C1-45FA-BAF2-0E0436DC556A}"/>
    <cellStyle name="Migliaia 13 3 5 7" xfId="8254" xr:uid="{538F63B1-BC54-497F-BEC2-61EBE5A49466}"/>
    <cellStyle name="Migliaia 13 3 6" xfId="4891" xr:uid="{858D9BBD-0F9D-4BCE-8635-24FBC9C78950}"/>
    <cellStyle name="Migliaia 13 3 6 2" xfId="13895" xr:uid="{290E83DA-5657-402C-BA1C-682AFFA9CD1C}"/>
    <cellStyle name="Migliaia 13 3 6 2 2" xfId="38502" xr:uid="{FAE024C9-EA9F-48AE-919E-C83D9B342A25}"/>
    <cellStyle name="Migliaia 13 3 6 2 3" xfId="43804" xr:uid="{87E7924D-97D0-44BA-A3B7-E34C47479F57}"/>
    <cellStyle name="Migliaia 13 3 6 3" xfId="18725" xr:uid="{3DC852B0-0D48-4062-BB8F-9E32E566B535}"/>
    <cellStyle name="Migliaia 13 3 6 4" xfId="19879" xr:uid="{BE2139F2-D9C7-40CC-87CE-9708724929A6}"/>
    <cellStyle name="Migliaia 13 3 6 4 2" xfId="41153" xr:uid="{7C5674B4-1DE4-44F7-9DD3-9F6DF50502F9}"/>
    <cellStyle name="Migliaia 13 3 6 5" xfId="16068" xr:uid="{A6DB407F-9E8B-4DFA-9A13-3E173B75DAF7}"/>
    <cellStyle name="Migliaia 13 3 6 6" xfId="7837" xr:uid="{D91B749A-12EA-4CD4-AE96-748E2FE7E442}"/>
    <cellStyle name="Migliaia 13 3 7" xfId="6111" xr:uid="{C486398C-25B5-4552-AC69-2C4289274139}"/>
    <cellStyle name="Migliaia 13 3 7 2" xfId="33134" xr:uid="{81702407-5EE1-4CAF-BE33-ABF8036D39CC}"/>
    <cellStyle name="Migliaia 13 3 7 2 2" xfId="38503" xr:uid="{477B24C5-E712-4828-8F53-A61631A08F59}"/>
    <cellStyle name="Migliaia 13 3 7 2 3" xfId="43805" xr:uid="{C9C26002-ECF8-4222-A1CE-1CB93E46ECBC}"/>
    <cellStyle name="Migliaia 13 3 7 3" xfId="36026" xr:uid="{6FA27A09-B079-4049-9D59-5A860EB266A0}"/>
    <cellStyle name="Migliaia 13 3 7 4" xfId="41154" xr:uid="{38420493-5B58-4657-9F9F-4DD158F4F44B}"/>
    <cellStyle name="Migliaia 13 3 7 5" xfId="11537" xr:uid="{969E253F-C756-48AD-BD9D-53CF197F0596}"/>
    <cellStyle name="Migliaia 13 3 8" xfId="3165" xr:uid="{2B86652C-9C3C-46EC-AD65-45BF4149F07D}"/>
    <cellStyle name="Migliaia 13 3 8 2" xfId="33135" xr:uid="{33147197-AC59-4888-8730-5D125F12FF40}"/>
    <cellStyle name="Migliaia 13 3 8 2 2" xfId="38504" xr:uid="{3D2C07EC-82E5-414F-9BD5-2B996E73627B}"/>
    <cellStyle name="Migliaia 13 3 8 2 3" xfId="43806" xr:uid="{5759B342-F93E-45CD-805A-E1032A612750}"/>
    <cellStyle name="Migliaia 13 3 8 3" xfId="36027" xr:uid="{A47A6518-EBB2-423F-8087-7F84C43B2BD0}"/>
    <cellStyle name="Migliaia 13 3 8 4" xfId="41155" xr:uid="{06CFD5C4-1F05-47D9-B8E4-1E7EE5F5E985}"/>
    <cellStyle name="Migliaia 13 3 8 5" xfId="24291" xr:uid="{2C3B42CA-5537-43CE-BE04-D7F42962C0F4}"/>
    <cellStyle name="Migliaia 13 3 8 6" xfId="17415" xr:uid="{CFC3A4D7-B714-47AF-B98B-A5498F1F49A9}"/>
    <cellStyle name="Migliaia 13 3 9" xfId="19870" xr:uid="{6793AB0E-B160-484F-8D65-A4AC0B645956}"/>
    <cellStyle name="Migliaia 13 4" xfId="1675" xr:uid="{00000000-0005-0000-0000-0000E2020000}"/>
    <cellStyle name="Migliaia 13 4 2" xfId="1676" xr:uid="{00000000-0005-0000-0000-0000E3020000}"/>
    <cellStyle name="Migliaia 13 4 2 2" xfId="4898" xr:uid="{B3A36047-123D-47F2-B1E0-E4A09A8F394D}"/>
    <cellStyle name="Migliaia 13 4 2 2 2" xfId="33136" xr:uid="{42A87BD4-FA4C-4592-A29A-5E2084D9F38D}"/>
    <cellStyle name="Migliaia 13 4 2 2 2 2" xfId="38505" xr:uid="{9B016901-822B-4C0D-8922-7C93475B4935}"/>
    <cellStyle name="Migliaia 13 4 2 2 2 3" xfId="43807" xr:uid="{DD4F9299-C638-44DB-B4FD-ABF8719C419A}"/>
    <cellStyle name="Migliaia 13 4 2 2 3" xfId="36028" xr:uid="{D795B05E-0498-4BE2-B520-8E7B7FCEA16A}"/>
    <cellStyle name="Migliaia 13 4 2 2 4" xfId="41156" xr:uid="{0A450C79-74B2-4CE9-AC47-A7610FE61F4F}"/>
    <cellStyle name="Migliaia 13 4 2 2 5" xfId="9116" xr:uid="{D4329E2E-F283-49BC-BEA4-F8E7517E490A}"/>
    <cellStyle name="Migliaia 13 4 2 3" xfId="3172" xr:uid="{83692C0B-9970-497B-A1B1-6A5560D3D7D9}"/>
    <cellStyle name="Migliaia 13 4 2 3 2" xfId="33137" xr:uid="{FA545E86-B25F-47D7-A340-A5ADD4290845}"/>
    <cellStyle name="Migliaia 13 4 2 3 2 2" xfId="38506" xr:uid="{B7515984-017C-46C9-8896-5046A9C659D9}"/>
    <cellStyle name="Migliaia 13 4 2 3 2 3" xfId="43808" xr:uid="{0805016D-394D-4B06-9E3E-F960301BA524}"/>
    <cellStyle name="Migliaia 13 4 2 3 3" xfId="36029" xr:uid="{8570B593-871C-4CB8-B1A0-9EBD282E5AED}"/>
    <cellStyle name="Migliaia 13 4 2 3 4" xfId="41157" xr:uid="{55E20B4E-E723-42B1-9FE6-BBAE9B1E3829}"/>
    <cellStyle name="Migliaia 13 4 2 3 5" xfId="11901" xr:uid="{755EC655-7EB0-4C63-91B9-BEE848AE690D}"/>
    <cellStyle name="Migliaia 13 4 2 4" xfId="11254" xr:uid="{670949F5-0B83-42E5-AFC9-F88DBB625F1F}"/>
    <cellStyle name="Migliaia 13 4 2 5" xfId="10753" xr:uid="{E50D963F-10B9-4321-9C7D-FBB8D62FD49E}"/>
    <cellStyle name="Migliaia 13 4 2 5 2" xfId="21388" xr:uid="{59FA774F-F561-4F1E-B6A5-363F0D8787A3}"/>
    <cellStyle name="Migliaia 13 4 2 5 3" xfId="46206" xr:uid="{8337E772-1C5A-40CD-9FEE-670C20E89F82}"/>
    <cellStyle name="Migliaia 13 4 2 5 4" xfId="50403" xr:uid="{D823162B-C1C7-4927-A9E7-7F7BF5045AD1}"/>
    <cellStyle name="Migliaia 13 4 2 5 5" xfId="53419" xr:uid="{461DD0CB-0B65-4567-88A8-4C967A4B5A19}"/>
    <cellStyle name="Migliaia 13 4 2 6" xfId="19881" xr:uid="{75D90760-AAB5-4F0B-A1FE-3AAC4C092F96}"/>
    <cellStyle name="Migliaia 13 4 2 7" xfId="24293" xr:uid="{885BA528-8F2D-4840-8816-C51D83EC4838}"/>
    <cellStyle name="Migliaia 13 4 2 8" xfId="8507" xr:uid="{D2425F8B-79FD-45D4-8AE1-F50DFE0D7C64}"/>
    <cellStyle name="Migliaia 13 4 3" xfId="4897" xr:uid="{711F58F8-8663-4039-A95F-0C01D4930FB8}"/>
    <cellStyle name="Migliaia 13 4 3 2" xfId="18171" xr:uid="{80AFED1D-F92E-4EAA-A039-8AA2520967F0}"/>
    <cellStyle name="Migliaia 13 4 3 2 2" xfId="38507" xr:uid="{5A770A35-68FB-4C3A-B6FD-DD7DD5AFD4C0}"/>
    <cellStyle name="Migliaia 13 4 3 2 3" xfId="43809" xr:uid="{6BA74E7D-56EE-4DCA-9764-820929A46BB8}"/>
    <cellStyle name="Migliaia 13 4 3 3" xfId="36030" xr:uid="{2BC186DE-F7FF-4557-AF9C-FAF1F1DDBAE9}"/>
    <cellStyle name="Migliaia 13 4 3 4" xfId="41158" xr:uid="{F35D50BF-5206-48CF-A5A6-615C596F4C06}"/>
    <cellStyle name="Migliaia 13 4 3 5" xfId="17413" xr:uid="{74B06A15-5B26-4034-B567-28980FCAAE8A}"/>
    <cellStyle name="Migliaia 13 4 3 6" xfId="9117" xr:uid="{7725E552-2DC4-40E8-B42B-3C7A8859FC65}"/>
    <cellStyle name="Migliaia 13 4 4" xfId="6117" xr:uid="{D81A398A-2A1B-43C5-A7F9-2DAC2AC3B283}"/>
    <cellStyle name="Migliaia 13 4 4 2" xfId="33138" xr:uid="{D503203A-8A81-47F8-94ED-06DBD04EBBE5}"/>
    <cellStyle name="Migliaia 13 4 4 2 2" xfId="38508" xr:uid="{E14BD15B-17CE-46D6-AF94-1CFFD35FE955}"/>
    <cellStyle name="Migliaia 13 4 4 2 3" xfId="43810" xr:uid="{2F9031C6-2B4D-43B4-B61E-369CB253D2A7}"/>
    <cellStyle name="Migliaia 13 4 4 3" xfId="36031" xr:uid="{48157D7F-E9D9-4C35-BE97-B8293E9DB038}"/>
    <cellStyle name="Migliaia 13 4 4 4" xfId="41159" xr:uid="{0FDF23F0-B66B-4287-AF04-3E0EF385244E}"/>
    <cellStyle name="Migliaia 13 4 4 5" xfId="11902" xr:uid="{D725919C-0D72-440E-8ADC-9D796E635EA0}"/>
    <cellStyle name="Migliaia 13 4 5" xfId="3171" xr:uid="{0AD3A0E4-6ACF-45CD-B481-0B20E880362E}"/>
    <cellStyle name="Migliaia 13 4 5 2" xfId="33139" xr:uid="{A6FBFE95-DA72-40C9-97F4-45A297B7D64D}"/>
    <cellStyle name="Migliaia 13 4 5 2 2" xfId="38509" xr:uid="{FF1939D3-877C-4D40-959D-F799DDE733C0}"/>
    <cellStyle name="Migliaia 13 4 5 2 3" xfId="43811" xr:uid="{6469BE71-5D00-4E1F-ADF9-ED6160D201A3}"/>
    <cellStyle name="Migliaia 13 4 5 3" xfId="36032" xr:uid="{DD21A5DD-566F-4C45-9F3E-F9BD4928D54D}"/>
    <cellStyle name="Migliaia 13 4 5 4" xfId="41160" xr:uid="{D6E72F80-D7AF-4492-8596-B789E4992E45}"/>
    <cellStyle name="Migliaia 13 4 5 5" xfId="11253" xr:uid="{6C2828DD-E6A0-464B-B1EB-003507C311BD}"/>
    <cellStyle name="Migliaia 13 4 6" xfId="10752" xr:uid="{C3479E68-1FDC-41B6-AF0D-2236C461F5C7}"/>
    <cellStyle name="Migliaia 13 4 6 2" xfId="21387" xr:uid="{B8FBC699-8E57-4365-9B34-BB441F893A9F}"/>
    <cellStyle name="Migliaia 13 4 6 2 2" xfId="38510" xr:uid="{61752FDD-91E4-4FC6-B973-F28F34236A26}"/>
    <cellStyle name="Migliaia 13 4 6 2 3" xfId="43812" xr:uid="{8CF414B0-63FD-4B22-82E7-350F082B1818}"/>
    <cellStyle name="Migliaia 13 4 6 2 4" xfId="33140" xr:uid="{8D17FBAB-6737-42D7-B5DF-1B65EFBA01F9}"/>
    <cellStyle name="Migliaia 13 4 6 3" xfId="36033" xr:uid="{1A3C2171-D24D-45AC-8BB9-2C2ECF1E937C}"/>
    <cellStyle name="Migliaia 13 4 6 4" xfId="41161" xr:uid="{E6D68F82-D2EA-416C-B8DF-D5810BFB0E2D}"/>
    <cellStyle name="Migliaia 13 4 6 5" xfId="24294" xr:uid="{F20AE55E-52DD-4D37-8E32-BC863D171E35}"/>
    <cellStyle name="Migliaia 13 4 6 6" xfId="48288" xr:uid="{56EE33AB-B482-4E4B-B444-B7802C6D1CCB}"/>
    <cellStyle name="Migliaia 13 4 6 7" xfId="50402" xr:uid="{1DC1C5E2-BF86-4D5E-9127-AD40E1F57A51}"/>
    <cellStyle name="Migliaia 13 4 6 8" xfId="53418" xr:uid="{DE6B36BB-8B67-4ECF-A912-EB0F1C517D89}"/>
    <cellStyle name="Migliaia 13 4 7" xfId="19880" xr:uid="{67DB3A32-E343-46DF-AF5E-6656A1CCE6E9}"/>
    <cellStyle name="Migliaia 13 4 7 2" xfId="33141" xr:uid="{99716DFD-B47C-4BCB-9051-FBE069955238}"/>
    <cellStyle name="Migliaia 13 4 7 2 2" xfId="38511" xr:uid="{CC03CFA4-F469-4510-9F71-A45F835B98D9}"/>
    <cellStyle name="Migliaia 13 4 7 2 3" xfId="43813" xr:uid="{F78DEA16-C7A8-43F8-9F47-CFE6318DE90A}"/>
    <cellStyle name="Migliaia 13 4 7 3" xfId="36034" xr:uid="{68B75C7E-51ED-4F1A-9CBF-AF650261CB81}"/>
    <cellStyle name="Migliaia 13 4 7 4" xfId="41162" xr:uid="{61109483-2544-47FA-B7F5-83B9AD506574}"/>
    <cellStyle name="Migliaia 13 4 7 5" xfId="24295" xr:uid="{88F0DA72-2DE2-4514-AF17-D3F991493C87}"/>
    <cellStyle name="Migliaia 13 4 8" xfId="24292" xr:uid="{77BD7B34-EA3B-4AF9-9AF7-A87CD3766043}"/>
    <cellStyle name="Migliaia 13 4 9" xfId="7317" xr:uid="{97D325CC-3DB2-4CF0-B782-DC432AF1327D}"/>
    <cellStyle name="Migliaia 13 5" xfId="1677" xr:uid="{00000000-0005-0000-0000-0000E4020000}"/>
    <cellStyle name="Migliaia 13 5 2" xfId="4899" xr:uid="{F18C8C67-41AE-4411-92E0-0E2781DA4201}"/>
    <cellStyle name="Migliaia 13 5 2 2" xfId="18371" xr:uid="{55FB874F-81D8-45B7-BA89-93452E1673CA}"/>
    <cellStyle name="Migliaia 13 5 2 2 2" xfId="38512" xr:uid="{6EB933B8-9E75-4B81-A73E-C2A2994D94F0}"/>
    <cellStyle name="Migliaia 13 5 2 2 3" xfId="43814" xr:uid="{94694091-1CCF-49E1-B1CC-2FE6BC41800A}"/>
    <cellStyle name="Migliaia 13 5 2 3" xfId="19883" xr:uid="{58657380-4904-42BF-8F60-0018A1A472C4}"/>
    <cellStyle name="Migliaia 13 5 2 3 2" xfId="36035" xr:uid="{888EC172-D6B7-4DCB-9E06-6D2C5DC4FD80}"/>
    <cellStyle name="Migliaia 13 5 2 4" xfId="41163" xr:uid="{9911A6B1-FFFF-45B1-89D9-82282017420A}"/>
    <cellStyle name="Migliaia 13 5 2 5" xfId="16069" xr:uid="{BD0334E2-E8DE-4C74-9E92-53C6DC8ED15A}"/>
    <cellStyle name="Migliaia 13 5 2 6" xfId="8508" xr:uid="{544106B1-FDAE-484F-9A5A-7D80A14AA199}"/>
    <cellStyle name="Migliaia 13 5 3" xfId="6118" xr:uid="{66ED7BD3-5C9C-4C53-9DF5-B8F8BA69CB87}"/>
    <cellStyle name="Migliaia 13 5 3 2" xfId="33142" xr:uid="{9636B4EA-4742-4FC4-9B6D-84529E6D40CF}"/>
    <cellStyle name="Migliaia 13 5 3 2 2" xfId="38513" xr:uid="{33CA0F71-7CFE-4B31-8EBA-F3B77FD39712}"/>
    <cellStyle name="Migliaia 13 5 3 2 3" xfId="43815" xr:uid="{5B8BC182-0065-426C-A060-9FDE6560C2B2}"/>
    <cellStyle name="Migliaia 13 5 3 3" xfId="36036" xr:uid="{44816237-00D7-4410-B664-20865B1206FC}"/>
    <cellStyle name="Migliaia 13 5 3 4" xfId="41164" xr:uid="{44F0EB65-8076-463C-83CE-2D007287ECC5}"/>
    <cellStyle name="Migliaia 13 5 3 5" xfId="11255" xr:uid="{484F4FA7-B5C8-4541-9CA2-F29DC81FD8B4}"/>
    <cellStyle name="Migliaia 13 5 4" xfId="3173" xr:uid="{A0836E60-A796-4B81-9C6A-4C3FB9145E77}"/>
    <cellStyle name="Migliaia 13 5 4 2" xfId="21389" xr:uid="{DF479013-38F7-4C8E-9633-FA1A4C5C2A91}"/>
    <cellStyle name="Migliaia 13 5 4 2 2" xfId="38514" xr:uid="{3E217622-D775-4549-A674-8B1A9DF7463B}"/>
    <cellStyle name="Migliaia 13 5 4 2 3" xfId="43816" xr:uid="{BD8EC983-7AB8-455A-852E-53920CA24780}"/>
    <cellStyle name="Migliaia 13 5 4 2 4" xfId="33143" xr:uid="{EE66C35C-4BE4-4E11-AD9A-7C7B1DB994CE}"/>
    <cellStyle name="Migliaia 13 5 4 3" xfId="36037" xr:uid="{D8E6F0DD-9F7C-4A05-AA74-1E178D9F254B}"/>
    <cellStyle name="Migliaia 13 5 4 4" xfId="41165" xr:uid="{67D588DE-C809-409B-8A8A-1BAA07459325}"/>
    <cellStyle name="Migliaia 13 5 4 5" xfId="24297" xr:uid="{3B84B158-1380-4880-9D21-2B4128B70EF1}"/>
    <cellStyle name="Migliaia 13 5 4 6" xfId="47300" xr:uid="{375E4AE2-8DAC-450D-8D1B-148BBE122808}"/>
    <cellStyle name="Migliaia 13 5 4 7" xfId="50404" xr:uid="{6A05FEF6-2D49-44DA-88FD-3BA0DB68A360}"/>
    <cellStyle name="Migliaia 13 5 4 8" xfId="53420" xr:uid="{C191B21B-74BD-464E-9119-36A5B4A11AAF}"/>
    <cellStyle name="Migliaia 13 5 4 9" xfId="10754" xr:uid="{D6DB2D08-9DDB-48C3-BB7D-0F42BAFF0512}"/>
    <cellStyle name="Migliaia 13 5 5" xfId="19882" xr:uid="{6A9EF6F7-FCB2-4AFB-9526-EDA7D993D363}"/>
    <cellStyle name="Migliaia 13 5 5 2" xfId="33144" xr:uid="{5BDEC56E-8725-454E-A552-2ED6FC7EC391}"/>
    <cellStyle name="Migliaia 13 5 5 2 2" xfId="38515" xr:uid="{558B4B65-65BC-4C57-A00C-3B15091E2FB1}"/>
    <cellStyle name="Migliaia 13 5 5 2 3" xfId="43817" xr:uid="{21C72AC5-BAA4-40BB-9831-93F2769B7188}"/>
    <cellStyle name="Migliaia 13 5 5 3" xfId="36038" xr:uid="{53E73467-8D26-443C-902B-E6D31E8B856A}"/>
    <cellStyle name="Migliaia 13 5 5 4" xfId="41166" xr:uid="{B254FE10-DF0A-4F09-8576-8A82587488FE}"/>
    <cellStyle name="Migliaia 13 5 5 5" xfId="24298" xr:uid="{C2C013C0-E0ED-4CEE-A396-4580C57EA267}"/>
    <cellStyle name="Migliaia 13 5 6" xfId="24299" xr:uid="{FC0BB3D2-C55C-4E3C-BB2E-399BE35492B9}"/>
    <cellStyle name="Migliaia 13 5 6 2" xfId="33145" xr:uid="{1BA155B9-2BF7-48C3-81F0-4BC774AA16FC}"/>
    <cellStyle name="Migliaia 13 5 6 2 2" xfId="38516" xr:uid="{A3CAEC0D-2CD6-45A9-9AB9-7160F516C0DC}"/>
    <cellStyle name="Migliaia 13 5 6 2 3" xfId="43818" xr:uid="{165A1816-544D-4291-8574-BC1C42099227}"/>
    <cellStyle name="Migliaia 13 5 6 3" xfId="36039" xr:uid="{D808C6E8-C7D8-41EF-B382-00CCAC06725C}"/>
    <cellStyle name="Migliaia 13 5 6 4" xfId="41167" xr:uid="{D36663F6-0567-40C7-ABB3-D4BC0B7A7804}"/>
    <cellStyle name="Migliaia 13 5 7" xfId="24296" xr:uid="{83349A3D-ED20-4913-AC3A-8B78EE590400}"/>
    <cellStyle name="Migliaia 13 5 8" xfId="7318" xr:uid="{4DA8059C-A065-40DB-841B-CCEDAAD72BA4}"/>
    <cellStyle name="Migliaia 13 6" xfId="3174" xr:uid="{CE1B7F1C-7D78-4B76-A55C-FE5798633F07}"/>
    <cellStyle name="Migliaia 13 6 2" xfId="4900" xr:uid="{E3B8178D-DDED-4F1F-A089-ADA8A44EFF91}"/>
    <cellStyle name="Migliaia 13 6 2 2" xfId="9889" xr:uid="{6671354B-9ACE-42A6-8A6D-5E0551C6E069}"/>
    <cellStyle name="Migliaia 13 6 2 3" xfId="18676" xr:uid="{004783EA-B33A-4B50-9B18-24DA65A6E4B5}"/>
    <cellStyle name="Migliaia 13 6 2 4" xfId="19885" xr:uid="{41FF3440-A793-42AD-ABB2-9EF374AC4D58}"/>
    <cellStyle name="Migliaia 13 6 2 5" xfId="32307" xr:uid="{80C0F73C-521B-48B2-B5D6-28F02E6669DE}"/>
    <cellStyle name="Migliaia 13 6 2 6" xfId="16071" xr:uid="{DBCF1BAB-0CE7-466A-92F7-368029320C2F}"/>
    <cellStyle name="Migliaia 13 6 2 7" xfId="8503" xr:uid="{5FADAEA8-31F2-4207-8CDC-CFB4A1C4E133}"/>
    <cellStyle name="Migliaia 13 6 3" xfId="6119" xr:uid="{A2AA4359-D3F0-4189-B69B-B61DC128451E}"/>
    <cellStyle name="Migliaia 13 6 3 2" xfId="35153" xr:uid="{FC157022-F096-4E6E-AC8D-4781D30B0642}"/>
    <cellStyle name="Migliaia 13 6 3 2 2" xfId="40311" xr:uid="{8379A4B3-8195-4B61-8212-6731C5AF9F8E}"/>
    <cellStyle name="Migliaia 13 6 3 2 3" xfId="45613" xr:uid="{031D1A15-8890-4220-9C01-B7D995BF27D8}"/>
    <cellStyle name="Migliaia 13 6 3 3" xfId="37660" xr:uid="{178C8F4E-BD29-46D7-99E7-2BC9D462D282}"/>
    <cellStyle name="Migliaia 13 6 3 4" xfId="42962" xr:uid="{E6904C30-5B5A-4D49-B20D-AF53A783DC9D}"/>
    <cellStyle name="Migliaia 13 6 3 5" xfId="9652" xr:uid="{66B9BA0F-B3DE-46F6-81CA-3767647C7EF3}"/>
    <cellStyle name="Migliaia 13 6 4" xfId="19884" xr:uid="{A43AB79D-576B-4A82-AA9A-A8DD635F427B}"/>
    <cellStyle name="Migliaia 13 6 4 2" xfId="38517" xr:uid="{B346B248-F048-4C7D-B35E-E7A467541FB6}"/>
    <cellStyle name="Migliaia 13 6 4 3" xfId="43819" xr:uid="{F0F607BC-11C3-4726-80C3-0DB80A655C57}"/>
    <cellStyle name="Migliaia 13 6 4 4" xfId="33146" xr:uid="{EA11353A-51B6-4CA7-90A2-6225A266F2EB}"/>
    <cellStyle name="Migliaia 13 6 5" xfId="36040" xr:uid="{15C76789-B972-4419-AF33-B3DD28004BA7}"/>
    <cellStyle name="Migliaia 13 6 6" xfId="41168" xr:uid="{90E9163A-2762-4B37-9A1F-25EF1AE41D5C}"/>
    <cellStyle name="Migliaia 13 6 7" xfId="16070" xr:uid="{72483167-9ED5-418A-874C-9D58D43DACBA}"/>
    <cellStyle name="Migliaia 13 6 8" xfId="7313" xr:uid="{8B4695D9-CE5E-4F83-A358-8E4906EF3440}"/>
    <cellStyle name="Migliaia 13 7" xfId="3175" xr:uid="{F2B4D53E-3B7A-4476-B9EA-28716B1C0261}"/>
    <cellStyle name="Migliaia 13 7 2" xfId="4901" xr:uid="{EE3FAAD7-ECDA-4512-80E1-D398A5ACCAF5}"/>
    <cellStyle name="Migliaia 13 7 2 2" xfId="35154" xr:uid="{460CE8EC-12F9-4083-9C6E-B44FF8763609}"/>
    <cellStyle name="Migliaia 13 7 2 2 2" xfId="40312" xr:uid="{C99EA8DA-BD57-4595-A641-F2212C346108}"/>
    <cellStyle name="Migliaia 13 7 2 2 3" xfId="45614" xr:uid="{1BCBA3F7-5445-4012-8199-CC222797A478}"/>
    <cellStyle name="Migliaia 13 7 2 3" xfId="37661" xr:uid="{4521D11D-A4B8-45F0-B36E-787A4586E2D3}"/>
    <cellStyle name="Migliaia 13 7 2 4" xfId="42963" xr:uid="{1A7B0B3C-A03C-4466-8254-AB14A085CAD0}"/>
    <cellStyle name="Migliaia 13 7 2 5" xfId="14190" xr:uid="{2D687C2C-A340-40B6-B857-3C50999F3E58}"/>
    <cellStyle name="Migliaia 13 7 3" xfId="6120" xr:uid="{AAE0BC7D-E9A3-4924-AD41-8819BB72148B}"/>
    <cellStyle name="Migliaia 13 7 3 2" xfId="38518" xr:uid="{B1AB54A1-DEFD-420E-A634-80BEEF82F4A0}"/>
    <cellStyle name="Migliaia 13 7 3 3" xfId="43820" xr:uid="{03A84541-2D34-41BA-A152-E3BE9083E5F6}"/>
    <cellStyle name="Migliaia 13 7 3 4" xfId="33147" xr:uid="{1E7E1196-05C0-4B82-8B96-E45A7D397341}"/>
    <cellStyle name="Migliaia 13 7 3 5" xfId="19886" xr:uid="{185331CA-A25A-4CD2-A1B0-3E63F506BDBF}"/>
    <cellStyle name="Migliaia 13 7 4" xfId="36041" xr:uid="{B50927E9-0F20-44C0-AC6D-0C7D9070B1D7}"/>
    <cellStyle name="Migliaia 13 7 5" xfId="41169" xr:uid="{12F81F7E-6B98-47AA-8587-AD44E6F5866F}"/>
    <cellStyle name="Migliaia 13 7 6" xfId="16072" xr:uid="{D4AF85A0-CE02-4580-A425-3DE81A685154}"/>
    <cellStyle name="Migliaia 13 7 7" xfId="8252" xr:uid="{60A6F641-699A-4752-8A61-5E44838C29AA}"/>
    <cellStyle name="Migliaia 13 8" xfId="3176" xr:uid="{6C611D75-8C11-4475-ABEC-F475F7738929}"/>
    <cellStyle name="Migliaia 13 8 2" xfId="4902" xr:uid="{CCEF93C9-81AF-4D94-94A4-117CF2EA4B6C}"/>
    <cellStyle name="Migliaia 13 8 2 2" xfId="35155" xr:uid="{C1881006-959F-41A2-AB28-17FBC0322BD4}"/>
    <cellStyle name="Migliaia 13 8 2 2 2" xfId="40313" xr:uid="{D9781DDB-C60F-4A97-B678-6C0FE1A086E0}"/>
    <cellStyle name="Migliaia 13 8 2 2 3" xfId="45615" xr:uid="{09AA256B-1220-441E-B436-386AF7A77F1F}"/>
    <cellStyle name="Migliaia 13 8 2 3" xfId="37662" xr:uid="{7B704A5E-6CE6-4EE7-91B4-26BF0F3EB353}"/>
    <cellStyle name="Migliaia 13 8 2 4" xfId="42964" xr:uid="{1529B2DC-2FAE-4696-9673-AE0F687443D7}"/>
    <cellStyle name="Migliaia 13 8 2 5" xfId="13893" xr:uid="{16DB425E-B24E-4E1A-93DD-F021FC9B7B3D}"/>
    <cellStyle name="Migliaia 13 8 3" xfId="6121" xr:uid="{16DF3222-E734-45C8-A646-AAB2935B52AE}"/>
    <cellStyle name="Migliaia 13 8 3 2" xfId="38519" xr:uid="{51BA05D8-B55F-4F8A-9521-BA7BF92DBEEC}"/>
    <cellStyle name="Migliaia 13 8 3 3" xfId="43821" xr:uid="{7AC84393-9FCD-4ED6-BB45-E266F7EA5109}"/>
    <cellStyle name="Migliaia 13 8 3 4" xfId="33148" xr:uid="{4E27C67D-B8C5-4AE3-8862-D7EEBE8BC8CB}"/>
    <cellStyle name="Migliaia 13 8 3 5" xfId="19887" xr:uid="{907D0214-F1D7-412F-9BD1-BC4F7BDAE411}"/>
    <cellStyle name="Migliaia 13 8 4" xfId="36042" xr:uid="{A5FB4337-B083-4D6A-B04B-A142E038ABB5}"/>
    <cellStyle name="Migliaia 13 8 5" xfId="41170" xr:uid="{1EF852E5-8761-4D92-B8CC-E8027721B105}"/>
    <cellStyle name="Migliaia 13 8 6" xfId="16073" xr:uid="{772E4B4A-90D7-4547-81D2-FC2E18C146D3}"/>
    <cellStyle name="Migliaia 13 8 7" xfId="7835" xr:uid="{8E7BEBA3-7D2D-43DF-9868-4E31E989B326}"/>
    <cellStyle name="Migliaia 13 9" xfId="4887" xr:uid="{C6B1E964-4974-4B1E-AB6E-DF1142806F8B}"/>
    <cellStyle name="Migliaia 13 9 2" xfId="33149" xr:uid="{F36BFB54-76CF-4FBB-A28F-664A9305AEC0}"/>
    <cellStyle name="Migliaia 13 9 2 2" xfId="38520" xr:uid="{A545EAC1-C2F0-478A-ADBC-AC2C730CCEAE}"/>
    <cellStyle name="Migliaia 13 9 2 3" xfId="43822" xr:uid="{9FC89445-7036-4E33-ABFB-60C5A194BE03}"/>
    <cellStyle name="Migliaia 13 9 3" xfId="36043" xr:uid="{6792ED95-35D0-4205-9A4A-5C000D3BC63A}"/>
    <cellStyle name="Migliaia 13 9 4" xfId="41171" xr:uid="{9B4ED42D-6811-4F77-A928-F22C42BCD3FB}"/>
    <cellStyle name="Migliaia 13 9 5" xfId="17143" xr:uid="{7856E001-00F8-4F01-B6BF-0841F2A7B796}"/>
    <cellStyle name="Migliaia 14" xfId="317" xr:uid="{00000000-0005-0000-0000-0000E5020000}"/>
    <cellStyle name="Migliaia 14 10" xfId="6122" xr:uid="{AFACF5B1-C2F3-4AEB-9BCE-49C4D3ACC986}"/>
    <cellStyle name="Migliaia 14 10 2" xfId="38521" xr:uid="{C1D0AA0D-ADE9-4823-9412-E884A2F5A337}"/>
    <cellStyle name="Migliaia 14 10 3" xfId="43823" xr:uid="{09E85EBD-AD99-40FC-85C7-5B7C9F6D2E79}"/>
    <cellStyle name="Migliaia 14 10 4" xfId="33150" xr:uid="{27C0FAD6-B2D7-4401-916B-6875DBB1BA32}"/>
    <cellStyle name="Migliaia 14 10 5" xfId="19888" xr:uid="{D023BE3A-68B3-4041-ACFB-2B38111494EC}"/>
    <cellStyle name="Migliaia 14 11" xfId="3177" xr:uid="{78461DA8-8FA0-482B-8F9A-044A55B48314}"/>
    <cellStyle name="Migliaia 14 11 2" xfId="36044" xr:uid="{901FF3A3-DB9D-44CC-8AFA-15B63AB82D2E}"/>
    <cellStyle name="Migliaia 14 12" xfId="41172" xr:uid="{6CA679D3-47A1-435A-8621-11C5991464A1}"/>
    <cellStyle name="Migliaia 14 13" xfId="7056" xr:uid="{1AA3B54C-E46A-430E-9C89-E178B6D4A471}"/>
    <cellStyle name="Migliaia 14 2" xfId="318" xr:uid="{00000000-0005-0000-0000-0000E6020000}"/>
    <cellStyle name="Migliaia 14 2 2" xfId="1678" xr:uid="{00000000-0005-0000-0000-0000E7020000}"/>
    <cellStyle name="Migliaia 14 2 2 2" xfId="4905" xr:uid="{F52D6DEA-4681-4C4C-BBA3-BF6643C38E59}"/>
    <cellStyle name="Migliaia 14 2 2 2 2" xfId="14367" xr:uid="{E5EC9185-E031-45F8-A675-B5602138B5B8}"/>
    <cellStyle name="Migliaia 14 2 2 2 2 2" xfId="38522" xr:uid="{ACAA560D-B2A0-455A-B38F-298F6CA0D90D}"/>
    <cellStyle name="Migliaia 14 2 2 2 2 3" xfId="43824" xr:uid="{C4B506F5-02C9-403E-9C48-ADC8D27A9A76}"/>
    <cellStyle name="Migliaia 14 2 2 2 3" xfId="18372" xr:uid="{7357510F-A1BA-45E2-9F46-317AD1B26B5A}"/>
    <cellStyle name="Migliaia 14 2 2 2 4" xfId="19891" xr:uid="{636AF86B-0331-46C9-9EA1-370477A226A1}"/>
    <cellStyle name="Migliaia 14 2 2 2 4 2" xfId="41173" xr:uid="{10CD394B-336E-44D9-8B41-DC7A6FF81772}"/>
    <cellStyle name="Migliaia 14 2 2 2 5" xfId="16074" xr:uid="{87492518-09C8-46D8-BB8A-113BC75804D5}"/>
    <cellStyle name="Migliaia 14 2 2 2 6" xfId="8510" xr:uid="{AE80EF08-F13D-4D7D-9C2A-76E5B14EDD72}"/>
    <cellStyle name="Migliaia 14 2 2 3" xfId="6124" xr:uid="{5D9525EA-ECB8-4772-BE57-F5038E65D7E8}"/>
    <cellStyle name="Migliaia 14 2 2 3 2" xfId="35156" xr:uid="{B45DCD7A-905B-4595-B838-38A13A3B1DAB}"/>
    <cellStyle name="Migliaia 14 2 2 3 2 2" xfId="40314" xr:uid="{ADE803AC-299E-4ADA-8F28-1190A302E7A5}"/>
    <cellStyle name="Migliaia 14 2 2 3 2 3" xfId="45616" xr:uid="{3BE61AD0-A66D-49CE-81F4-9D75D1C2DBEF}"/>
    <cellStyle name="Migliaia 14 2 2 3 3" xfId="37663" xr:uid="{EE0C7E03-FF60-4CB5-BB50-15BBFC08CC87}"/>
    <cellStyle name="Migliaia 14 2 2 3 4" xfId="42965" xr:uid="{C02EC9C1-2539-4BAB-84E7-918FAC90E6DC}"/>
    <cellStyle name="Migliaia 14 2 2 3 5" xfId="11596" xr:uid="{9771F3F0-1D8D-4D42-A975-CCAB3F982230}"/>
    <cellStyle name="Migliaia 14 2 2 4" xfId="3179" xr:uid="{82FBAFE7-646B-42EC-B368-3B8605EFADBD}"/>
    <cellStyle name="Migliaia 14 2 2 4 2" xfId="21390" xr:uid="{150DB793-BD82-4A20-95EF-81F8DE788D2D}"/>
    <cellStyle name="Migliaia 14 2 2 4 3" xfId="46207" xr:uid="{924E932C-7A9E-439A-ACB2-1FFF7EEEF8AD}"/>
    <cellStyle name="Migliaia 14 2 2 4 4" xfId="50405" xr:uid="{9EDF6B1D-980B-4133-8E32-6773098E33F4}"/>
    <cellStyle name="Migliaia 14 2 2 4 5" xfId="53421" xr:uid="{0B024939-FFA6-4BF0-84CB-1464A3502D89}"/>
    <cellStyle name="Migliaia 14 2 2 4 6" xfId="10755" xr:uid="{A4D6208B-4C4A-473A-B168-2C326266DB54}"/>
    <cellStyle name="Migliaia 14 2 2 5" xfId="19890" xr:uid="{D98561F1-9AF5-477C-B687-D3CA4DF6C98E}"/>
    <cellStyle name="Migliaia 14 2 2 6" xfId="24301" xr:uid="{25EDC3C1-2499-4277-A931-39059B13D39E}"/>
    <cellStyle name="Migliaia 14 2 2 7" xfId="7320" xr:uid="{5E273ABD-F298-4801-B795-A60BA5CCBD07}"/>
    <cellStyle name="Migliaia 14 2 3" xfId="3180" xr:uid="{32BEA417-3353-4F51-B00C-88EE0C5B6102}"/>
    <cellStyle name="Migliaia 14 2 3 2" xfId="4906" xr:uid="{940981CB-36D8-4ECE-B7D0-01CB84AF46C7}"/>
    <cellStyle name="Migliaia 14 2 3 2 2" xfId="35157" xr:uid="{31E77326-7DAC-4C5B-A545-6DF97E660CE0}"/>
    <cellStyle name="Migliaia 14 2 3 2 2 2" xfId="40315" xr:uid="{B72E752F-B372-4441-AF11-6A30DB08772F}"/>
    <cellStyle name="Migliaia 14 2 3 2 2 3" xfId="45617" xr:uid="{DA943A6B-B947-42F0-9D3B-4C1D8640FA15}"/>
    <cellStyle name="Migliaia 14 2 3 2 3" xfId="37664" xr:uid="{1C864A16-55AF-4BA3-8EFE-D0DF7FBD0A2D}"/>
    <cellStyle name="Migliaia 14 2 3 2 4" xfId="42966" xr:uid="{9C20A4C3-F36E-4255-A08B-4B69130E7E9C}"/>
    <cellStyle name="Migliaia 14 2 3 2 5" xfId="14194" xr:uid="{5B9DBDF0-1950-4462-8E30-BEB83954E99C}"/>
    <cellStyle name="Migliaia 14 2 3 3" xfId="6125" xr:uid="{D561AFD0-14F8-493C-9F25-E619828D2D6F}"/>
    <cellStyle name="Migliaia 14 2 3 3 2" xfId="38523" xr:uid="{DB1C3635-96E2-4157-B650-5C951016FF2B}"/>
    <cellStyle name="Migliaia 14 2 3 3 3" xfId="43825" xr:uid="{CF2D76E8-9128-4934-A823-35EB0EC637B7}"/>
    <cellStyle name="Migliaia 14 2 3 3 4" xfId="33151" xr:uid="{EC00FCC0-B2C8-4DFD-982A-13966D70C726}"/>
    <cellStyle name="Migliaia 14 2 3 3 5" xfId="19892" xr:uid="{3056E3C4-0582-41F3-BD32-D34F1E796536}"/>
    <cellStyle name="Migliaia 14 2 3 4" xfId="36045" xr:uid="{E8E45BC3-8B16-49F7-B6F9-B0117DFB6CDF}"/>
    <cellStyle name="Migliaia 14 2 3 5" xfId="41174" xr:uid="{5CCD46FC-06BD-4688-84D8-09DAB39FA0E3}"/>
    <cellStyle name="Migliaia 14 2 3 6" xfId="16075" xr:uid="{A0191910-BC00-4732-B64C-78DCDB890E52}"/>
    <cellStyle name="Migliaia 14 2 3 7" xfId="8256" xr:uid="{A0088051-C4DD-4CFC-BC6D-D4B74A2F2AAC}"/>
    <cellStyle name="Migliaia 14 2 4" xfId="4904" xr:uid="{5251EC31-29E0-4091-AB8A-DC3B8E62B3DB}"/>
    <cellStyle name="Migliaia 14 2 4 2" xfId="13897" xr:uid="{8B1715B8-6472-423D-97C8-45B8C6E4EC97}"/>
    <cellStyle name="Migliaia 14 2 4 2 2" xfId="38524" xr:uid="{5ECEEC35-67E7-42CC-9DCC-2439189F1957}"/>
    <cellStyle name="Migliaia 14 2 4 2 3" xfId="43826" xr:uid="{14CC94F0-DC98-41E4-8857-72CD4256BD4C}"/>
    <cellStyle name="Migliaia 14 2 4 3" xfId="18013" xr:uid="{93047A84-3441-4FF9-B44D-1FFC28A97CCE}"/>
    <cellStyle name="Migliaia 14 2 4 4" xfId="19893" xr:uid="{4FE7A76C-B401-45C6-B332-CB77CC9B92AB}"/>
    <cellStyle name="Migliaia 14 2 4 4 2" xfId="41175" xr:uid="{00DC8DA6-8601-4CFD-9E94-260E7DB0D1C1}"/>
    <cellStyle name="Migliaia 14 2 4 5" xfId="16076" xr:uid="{AC35D904-385A-4AE6-B325-06C02AC61BAE}"/>
    <cellStyle name="Migliaia 14 2 4 6" xfId="7840" xr:uid="{08FC95BF-F9E6-40C1-9340-666208CEBA5B}"/>
    <cellStyle name="Migliaia 14 2 5" xfId="6123" xr:uid="{09CD4F76-96EC-494D-A98B-7D418438084F}"/>
    <cellStyle name="Migliaia 14 2 5 2" xfId="33152" xr:uid="{B5927BDD-FD9B-4EB1-9AC9-2FE9D14335F7}"/>
    <cellStyle name="Migliaia 14 2 5 2 2" xfId="38525" xr:uid="{B41DA60F-40CA-4AFD-82A5-F77AC7ACF9A1}"/>
    <cellStyle name="Migliaia 14 2 5 2 3" xfId="43827" xr:uid="{7F959AC0-D57D-498F-A938-720033F8C50D}"/>
    <cellStyle name="Migliaia 14 2 5 3" xfId="36046" xr:uid="{A8E01118-0C5A-45B7-B570-AA5144C9A25A}"/>
    <cellStyle name="Migliaia 14 2 5 4" xfId="41176" xr:uid="{BA12B95B-04BA-4A4C-96A8-CABFFEFFF6CA}"/>
    <cellStyle name="Migliaia 14 2 5 5" xfId="13107" xr:uid="{1B731F3E-8161-42A7-BE4A-0260599E2A9F}"/>
    <cellStyle name="Migliaia 14 2 6" xfId="3178" xr:uid="{74A4A554-2E88-4081-A7EB-F7671F8EB68D}"/>
    <cellStyle name="Migliaia 14 2 6 2" xfId="33153" xr:uid="{59F4F62C-627C-4AE0-95C1-549991C484A8}"/>
    <cellStyle name="Migliaia 14 2 6 2 2" xfId="38526" xr:uid="{FCB188E5-B1D2-4787-B4A0-210D168818CC}"/>
    <cellStyle name="Migliaia 14 2 6 2 3" xfId="43828" xr:uid="{784D1E07-BCB3-4D87-90C5-CDE826E9CAC5}"/>
    <cellStyle name="Migliaia 14 2 6 3" xfId="36047" xr:uid="{2F992291-C9FE-4CA3-9236-6BAE63F6693F}"/>
    <cellStyle name="Migliaia 14 2 6 4" xfId="41177" xr:uid="{0A9ABF8A-38A6-46FD-934F-26918FFDC674}"/>
    <cellStyle name="Migliaia 14 2 6 5" xfId="24302" xr:uid="{8F759785-B364-4570-82EE-A5D516E2FAC9}"/>
    <cellStyle name="Migliaia 14 2 6 6" xfId="19889" xr:uid="{0781619E-19B4-41B2-A2EC-53028DDAE5E7}"/>
    <cellStyle name="Migliaia 14 2 7" xfId="24300" xr:uid="{3A6E4FD7-695F-4FE9-9078-9CA638F59A3C}"/>
    <cellStyle name="Migliaia 14 2 8" xfId="7057" xr:uid="{A54FBA84-0C4B-49D3-A766-61FC1FB4B94D}"/>
    <cellStyle name="Migliaia 14 3" xfId="319" xr:uid="{00000000-0005-0000-0000-0000E8020000}"/>
    <cellStyle name="Migliaia 14 3 10" xfId="24303" xr:uid="{3C2CA67B-A5EC-4101-9EFC-98BEA704E975}"/>
    <cellStyle name="Migliaia 14 3 11" xfId="16077" xr:uid="{577AFD19-FB0C-49DE-9847-3BF393646A3C}"/>
    <cellStyle name="Migliaia 14 3 12" xfId="7058" xr:uid="{16F23169-127F-4C8C-BDDB-4272236A52CC}"/>
    <cellStyle name="Migliaia 14 3 2" xfId="320" xr:uid="{00000000-0005-0000-0000-0000E9020000}"/>
    <cellStyle name="Migliaia 14 3 2 2" xfId="1679" xr:uid="{00000000-0005-0000-0000-0000EA020000}"/>
    <cellStyle name="Migliaia 14 3 2 2 2" xfId="4909" xr:uid="{41CE3350-31F8-46B8-BC3F-A316BB34751B}"/>
    <cellStyle name="Migliaia 14 3 2 2 2 2" xfId="18373" xr:uid="{F165BAFD-5488-46DE-ADE1-B9D024088B95}"/>
    <cellStyle name="Migliaia 14 3 2 2 2 2 2" xfId="21842" xr:uid="{E7248319-FC69-4610-809A-1918A9E8FFB8}"/>
    <cellStyle name="Migliaia 14 3 2 2 2 2 2 2" xfId="38527" xr:uid="{F021E581-1495-4577-B3F4-B8263D515DDB}"/>
    <cellStyle name="Migliaia 14 3 2 2 2 2 3" xfId="43829" xr:uid="{ECB2152B-F24F-4539-B4E0-E70FD9943C46}"/>
    <cellStyle name="Migliaia 14 3 2 2 2 2 4" xfId="33154" xr:uid="{18CB0AFA-69BC-44DA-A7D6-76E799CC1AE8}"/>
    <cellStyle name="Migliaia 14 3 2 2 2 3" xfId="36048" xr:uid="{F0209CFE-DFBA-4F09-99B1-46119262B1C6}"/>
    <cellStyle name="Migliaia 14 3 2 2 2 4" xfId="41178" xr:uid="{E8A668D1-AA73-4798-A0BB-B951C1ADE450}"/>
    <cellStyle name="Migliaia 14 3 2 2 2 5" xfId="47011" xr:uid="{FA873E99-A689-4F0B-922B-6F3A796FD069}"/>
    <cellStyle name="Migliaia 14 3 2 2 2 6" xfId="50870" xr:uid="{7A3FAC1A-FC31-45E8-BCAB-E34B9E635EDD}"/>
    <cellStyle name="Migliaia 14 3 2 2 2 7" xfId="53886" xr:uid="{4732F40A-43B1-49D1-8399-38EAF56E6B2D}"/>
    <cellStyle name="Migliaia 14 3 2 2 2 8" xfId="17643" xr:uid="{B4B3959D-E2A7-4668-8C4C-B416870198E6}"/>
    <cellStyle name="Migliaia 14 3 2 2 2 9" xfId="11903" xr:uid="{E6C98EEE-56DA-41E7-968D-AB4A40323D7A}"/>
    <cellStyle name="Migliaia 14 3 2 2 3" xfId="6128" xr:uid="{D802CEEB-D8D8-4D38-8969-12DF2413B3AD}"/>
    <cellStyle name="Migliaia 14 3 2 2 3 2" xfId="11684" xr:uid="{63E62E25-7D6A-4054-ABD2-5B4FDD2A8F3E}"/>
    <cellStyle name="Migliaia 14 3 2 2 4" xfId="3183" xr:uid="{74E7B9BD-C74A-4CB3-8CCF-ABBC90B4FC95}"/>
    <cellStyle name="Migliaia 14 3 2 2 4 2" xfId="21391" xr:uid="{FC0037A1-E5F4-4D4E-B8AD-B307246EFBD3}"/>
    <cellStyle name="Migliaia 14 3 2 2 4 3" xfId="47893" xr:uid="{1ED8681A-C796-45DA-8A69-A704D2CC3C17}"/>
    <cellStyle name="Migliaia 14 3 2 2 4 4" xfId="50406" xr:uid="{A44DCC71-0956-46C2-A8C8-0F62B513B9E5}"/>
    <cellStyle name="Migliaia 14 3 2 2 4 5" xfId="53422" xr:uid="{845BA1D3-4177-4988-9BEC-7BD316EC6752}"/>
    <cellStyle name="Migliaia 14 3 2 2 4 6" xfId="10756" xr:uid="{481CA621-C63A-478B-92DC-B97B08147A1A}"/>
    <cellStyle name="Migliaia 14 3 2 2 5" xfId="19896" xr:uid="{6E54C4D9-F41A-430E-8A6E-2DB8D11D7E53}"/>
    <cellStyle name="Migliaia 14 3 2 2 6" xfId="24305" xr:uid="{18EDD79C-E717-4DC1-9323-EEE4E5D4A467}"/>
    <cellStyle name="Migliaia 14 3 2 2 7" xfId="8512" xr:uid="{FCAB6E4A-85EE-41A7-8D68-A52014D4059F}"/>
    <cellStyle name="Migliaia 14 3 2 3" xfId="4908" xr:uid="{B232A490-8FE6-420F-B286-0DD6248FEF86}"/>
    <cellStyle name="Migliaia 14 3 2 3 2" xfId="12229" xr:uid="{9631D86B-DB0A-4A58-8969-A12D21B85006}"/>
    <cellStyle name="Migliaia 14 3 2 3 2 2" xfId="38528" xr:uid="{0C353A9F-71C1-4367-AAFE-773592B983E7}"/>
    <cellStyle name="Migliaia 14 3 2 3 2 3" xfId="43830" xr:uid="{8B125071-DDB3-494B-8D3B-9795EEADF1AE}"/>
    <cellStyle name="Migliaia 14 3 2 3 2 4" xfId="33155" xr:uid="{A13E61A6-19CA-4FAC-A874-D4187B8788C8}"/>
    <cellStyle name="Migliaia 14 3 2 3 3" xfId="11904" xr:uid="{90C262F6-124A-4992-8EE4-6412C7E78C80}"/>
    <cellStyle name="Migliaia 14 3 2 3 4" xfId="19897" xr:uid="{23E6B408-F54B-46D1-AD0A-A22285BC8124}"/>
    <cellStyle name="Migliaia 14 3 2 3 4 2" xfId="41179" xr:uid="{051FC932-8766-4086-ACAE-3829056C5EB2}"/>
    <cellStyle name="Migliaia 14 3 2 3 5" xfId="16078" xr:uid="{36D3AF57-3608-4EDD-93FB-3698B4367CE3}"/>
    <cellStyle name="Migliaia 14 3 2 3 6" xfId="7842" xr:uid="{393C3883-3C3D-4FE8-810A-B6291E8D40F4}"/>
    <cellStyle name="Migliaia 14 3 2 4" xfId="6127" xr:uid="{39C6231B-DA26-4A21-B036-C02DB5C2B50C}"/>
    <cellStyle name="Migliaia 14 3 2 4 2" xfId="18062" xr:uid="{C34D441C-5812-40BD-BCFD-B98B474B437C}"/>
    <cellStyle name="Migliaia 14 3 2 4 2 2" xfId="38529" xr:uid="{59BB7ABF-30FA-4AC3-9467-15637B92D1A0}"/>
    <cellStyle name="Migliaia 14 3 2 4 2 3" xfId="43831" xr:uid="{420702B3-8DD4-476E-A531-5CBD2F5640A6}"/>
    <cellStyle name="Migliaia 14 3 2 4 3" xfId="36049" xr:uid="{76AD4847-2435-4F42-BD9B-AAA6531A845F}"/>
    <cellStyle name="Migliaia 14 3 2 4 4" xfId="41180" xr:uid="{C7C98953-1CEB-42A6-9CA6-729C31B418D3}"/>
    <cellStyle name="Migliaia 14 3 2 4 5" xfId="17146" xr:uid="{EBC447C4-539B-4BCD-81CC-762C44C4C9CA}"/>
    <cellStyle name="Migliaia 14 3 2 4 6" xfId="11256" xr:uid="{42699003-3C2A-4188-8142-CEBEC766AD48}"/>
    <cellStyle name="Migliaia 14 3 2 5" xfId="3182" xr:uid="{6D45E44A-773D-49DB-9840-317B2F7A8008}"/>
    <cellStyle name="Migliaia 14 3 2 5 2" xfId="33156" xr:uid="{B9637F82-6EE0-4621-837C-E0F196C9A393}"/>
    <cellStyle name="Migliaia 14 3 2 5 2 2" xfId="38530" xr:uid="{3DD8EA34-0584-483F-96F5-688AF1BF7DE5}"/>
    <cellStyle name="Migliaia 14 3 2 5 2 3" xfId="43832" xr:uid="{B5D1CF3C-0FDD-4DDF-9523-D697934AB166}"/>
    <cellStyle name="Migliaia 14 3 2 5 3" xfId="36050" xr:uid="{7B25D02E-F2EF-4306-80F4-964E18F4BAED}"/>
    <cellStyle name="Migliaia 14 3 2 5 4" xfId="41181" xr:uid="{3A44DED8-098C-4730-A498-2617A1F6A7D4}"/>
    <cellStyle name="Migliaia 14 3 2 5 5" xfId="17411" xr:uid="{76F949D4-7ABC-43E3-96C9-93197C996827}"/>
    <cellStyle name="Migliaia 14 3 2 6" xfId="19895" xr:uid="{D7F6CBED-CCEF-4AFC-97EA-3BB281D8F9F4}"/>
    <cellStyle name="Migliaia 14 3 2 6 2" xfId="33157" xr:uid="{6D2298B3-F96D-4833-8FFB-A6B94443581F}"/>
    <cellStyle name="Migliaia 14 3 2 6 2 2" xfId="38531" xr:uid="{FDAB7E14-42FF-4CF7-AF7F-E2674775459F}"/>
    <cellStyle name="Migliaia 14 3 2 6 2 3" xfId="43833" xr:uid="{247A7D39-2E94-4400-A1DA-82381C6239CC}"/>
    <cellStyle name="Migliaia 14 3 2 6 3" xfId="36051" xr:uid="{0369604B-4637-4618-B4A7-DBE4E287255B}"/>
    <cellStyle name="Migliaia 14 3 2 6 4" xfId="41182" xr:uid="{0678942B-4EC1-4E5F-8297-B8E45E4D915E}"/>
    <cellStyle name="Migliaia 14 3 2 6 5" xfId="24306" xr:uid="{C26446E8-BC5B-4B19-8DF4-48D926804253}"/>
    <cellStyle name="Migliaia 14 3 2 7" xfId="24304" xr:uid="{3073E27F-1D88-4971-8BD4-F66A3D312FBB}"/>
    <cellStyle name="Migliaia 14 3 2 8" xfId="7322" xr:uid="{FD2CB1D8-FB23-4070-8C0B-DBDDADFCF949}"/>
    <cellStyle name="Migliaia 14 3 3" xfId="3184" xr:uid="{77B6B7C9-BEE3-4219-9908-79E01EEC9A5E}"/>
    <cellStyle name="Migliaia 14 3 3 10" xfId="7321" xr:uid="{FA332ECA-DE23-4C7B-834E-908D2150B1B2}"/>
    <cellStyle name="Migliaia 14 3 3 2" xfId="4910" xr:uid="{339D99ED-FA04-4698-9C93-F6AFE701BD66}"/>
    <cellStyle name="Migliaia 14 3 3 2 2" xfId="9892" xr:uid="{587DC493-344C-4124-B1EE-BD32D41511EF}"/>
    <cellStyle name="Migliaia 14 3 3 2 2 2" xfId="38533" xr:uid="{E4CB58DC-79F9-4516-BD88-5EDC8D00AC5C}"/>
    <cellStyle name="Migliaia 14 3 3 2 2 3" xfId="43835" xr:uid="{EFED0053-7707-49E5-BD18-3EE82DA74B4A}"/>
    <cellStyle name="Migliaia 14 3 3 2 3" xfId="18172" xr:uid="{7E0F3060-4AD8-4204-86E9-33D4F5A2BF83}"/>
    <cellStyle name="Migliaia 14 3 3 2 4" xfId="19899" xr:uid="{70EAA542-2F49-4135-AF5F-503F243F3E3A}"/>
    <cellStyle name="Migliaia 14 3 3 2 4 2" xfId="41184" xr:uid="{C8856DF2-DE56-477F-872F-5269E2D2315C}"/>
    <cellStyle name="Migliaia 14 3 3 2 5" xfId="16080" xr:uid="{2C65882F-58CE-4F94-AC22-DC04C2EC1DCD}"/>
    <cellStyle name="Migliaia 14 3 3 2 6" xfId="8511" xr:uid="{CE32ACB1-3EB5-4341-B9AF-A9DCE93788FA}"/>
    <cellStyle name="Migliaia 14 3 3 3" xfId="6129" xr:uid="{537EF845-9A4C-4164-A1AB-E22DA3A22BAB}"/>
    <cellStyle name="Migliaia 14 3 3 3 2" xfId="33159" xr:uid="{6BD2C782-177A-4B31-A175-E04B9A3B9C79}"/>
    <cellStyle name="Migliaia 14 3 3 3 2 2" xfId="38534" xr:uid="{452A7293-2610-415E-BBA5-19F35A3C632E}"/>
    <cellStyle name="Migliaia 14 3 3 3 2 3" xfId="43836" xr:uid="{E92BB78A-A4C7-47D1-80F0-9D8D86A4DF47}"/>
    <cellStyle name="Migliaia 14 3 3 3 3" xfId="36053" xr:uid="{3D564776-4873-460E-BD50-18EBAAC59A68}"/>
    <cellStyle name="Migliaia 14 3 3 3 4" xfId="41185" xr:uid="{1D8259A2-528E-44E3-BC86-3EDAEE399D6D}"/>
    <cellStyle name="Migliaia 14 3 3 3 5" xfId="9655" xr:uid="{9E655186-3CB7-4583-AE39-1C897B184717}"/>
    <cellStyle name="Migliaia 14 3 3 4" xfId="19898" xr:uid="{DBCF3341-2705-45A6-8042-FA8A4B6EF773}"/>
    <cellStyle name="Migliaia 14 3 3 4 2" xfId="33160" xr:uid="{E6D2BBC2-E76A-4191-A957-423093CCBCCE}"/>
    <cellStyle name="Migliaia 14 3 3 4 2 2" xfId="38535" xr:uid="{FC117751-711A-4ABC-8A4C-84F89A0E4DF9}"/>
    <cellStyle name="Migliaia 14 3 3 4 2 3" xfId="43837" xr:uid="{651BA3B7-F7A2-4A03-8F1F-55132F9A40F7}"/>
    <cellStyle name="Migliaia 14 3 3 4 3" xfId="36054" xr:uid="{480794EB-B3CA-4F48-9458-D83902B5B588}"/>
    <cellStyle name="Migliaia 14 3 3 4 4" xfId="41186" xr:uid="{C76E9435-8D56-4175-AB8E-9FF108E02C0B}"/>
    <cellStyle name="Migliaia 14 3 3 4 5" xfId="24307" xr:uid="{3717FECF-7419-4249-BDFA-7C4949136229}"/>
    <cellStyle name="Migliaia 14 3 3 5" xfId="24308" xr:uid="{C44713CE-D2BB-4A7F-A15A-42BB17B77EE9}"/>
    <cellStyle name="Migliaia 14 3 3 5 2" xfId="33161" xr:uid="{3AD90E83-45DC-49A4-BC53-E307C7D17C84}"/>
    <cellStyle name="Migliaia 14 3 3 5 2 2" xfId="38536" xr:uid="{88DF9220-7A09-4DA3-8B16-3EAC43347424}"/>
    <cellStyle name="Migliaia 14 3 3 5 2 3" xfId="43838" xr:uid="{9C029CB2-FA4D-4A60-8059-233EB6DC365D}"/>
    <cellStyle name="Migliaia 14 3 3 5 3" xfId="36055" xr:uid="{22E54C94-EBDC-4A33-A481-3EACCFB38345}"/>
    <cellStyle name="Migliaia 14 3 3 5 4" xfId="41187" xr:uid="{A363EA79-30F9-4886-B1A9-2238E07B8587}"/>
    <cellStyle name="Migliaia 14 3 3 6" xfId="33158" xr:uid="{2E3A7C85-084A-4AB8-AE14-57CAA78C0B59}"/>
    <cellStyle name="Migliaia 14 3 3 6 2" xfId="38532" xr:uid="{574E574A-3ABF-4423-8C9E-F7A6D4A9E803}"/>
    <cellStyle name="Migliaia 14 3 3 6 3" xfId="43834" xr:uid="{A60C0015-96AB-46DF-BD3B-C730EE3C6F87}"/>
    <cellStyle name="Migliaia 14 3 3 7" xfId="36052" xr:uid="{6688C23E-CE50-4731-B2F1-0B09A5A01C7D}"/>
    <cellStyle name="Migliaia 14 3 3 8" xfId="41183" xr:uid="{10E156EF-0DB7-45F9-84E5-1BCE52AF1752}"/>
    <cellStyle name="Migliaia 14 3 3 9" xfId="16079" xr:uid="{BB3D3A44-D38C-4B86-9A6B-55081F602EE7}"/>
    <cellStyle name="Migliaia 14 3 4" xfId="3185" xr:uid="{A1EA2DB7-F7D2-4E69-A1E3-C4E9B0E70487}"/>
    <cellStyle name="Migliaia 14 3 4 2" xfId="4911" xr:uid="{9DB0BA99-6A06-41B5-87EE-FF0581E1AD4A}"/>
    <cellStyle name="Migliaia 14 3 4 2 2" xfId="14428" xr:uid="{DFB52A4B-79D4-421E-B208-3EE984846675}"/>
    <cellStyle name="Migliaia 14 3 4 2 3" xfId="18590" xr:uid="{1DC66BA3-68FE-415B-96A1-DB0F26D1D895}"/>
    <cellStyle name="Migliaia 14 3 4 2 4" xfId="19901" xr:uid="{3CE5CD89-6C71-437B-B0D0-61888BBD8F3A}"/>
    <cellStyle name="Migliaia 14 3 4 2 5" xfId="32308" xr:uid="{79FF99F2-EF60-4F5C-9AF8-5006B2477015}"/>
    <cellStyle name="Migliaia 14 3 4 2 6" xfId="16082" xr:uid="{EB8CD7E3-6FAC-411A-94C8-7BD71EBCBDB4}"/>
    <cellStyle name="Migliaia 14 3 4 2 7" xfId="8851" xr:uid="{EC80AF0C-CD31-481E-9D60-649518A0B3C8}"/>
    <cellStyle name="Migliaia 14 3 4 3" xfId="6130" xr:uid="{F2793EA7-0D19-41B5-B2C8-CEBC7078C830}"/>
    <cellStyle name="Migliaia 14 3 4 3 2" xfId="35158" xr:uid="{9583A157-10CD-47D5-9699-8A583F1C1392}"/>
    <cellStyle name="Migliaia 14 3 4 3 2 2" xfId="40316" xr:uid="{45203ABE-A586-4D72-ABAC-C5630AD01C9E}"/>
    <cellStyle name="Migliaia 14 3 4 3 2 3" xfId="45618" xr:uid="{F9255F09-FA4E-4092-A858-2E3DB350C3AC}"/>
    <cellStyle name="Migliaia 14 3 4 3 3" xfId="37665" xr:uid="{2C672F2C-5C47-4B39-BC55-0AB1BD715A26}"/>
    <cellStyle name="Migliaia 14 3 4 3 4" xfId="42967" xr:uid="{D9AB312D-6385-4874-91BA-0360BBC0A08B}"/>
    <cellStyle name="Migliaia 14 3 4 3 5" xfId="13676" xr:uid="{1BEC15A8-E0D3-42A2-AA2F-25975BDB41AC}"/>
    <cellStyle name="Migliaia 14 3 4 4" xfId="19900" xr:uid="{87095BB7-AE7A-4AC7-8618-986AAB4EB90B}"/>
    <cellStyle name="Migliaia 14 3 4 4 2" xfId="38537" xr:uid="{ED0F0894-D8AE-4A0F-A922-1F21848A235B}"/>
    <cellStyle name="Migliaia 14 3 4 4 3" xfId="43839" xr:uid="{0A77125C-F34B-4925-BBDB-BC18E7E96427}"/>
    <cellStyle name="Migliaia 14 3 4 4 4" xfId="33162" xr:uid="{2992360E-AB4C-4401-8F84-7CBC91CE112F}"/>
    <cellStyle name="Migliaia 14 3 4 5" xfId="36056" xr:uid="{2E307412-7358-436F-9ADB-F7129F0D50E3}"/>
    <cellStyle name="Migliaia 14 3 4 6" xfId="41188" xr:uid="{230BEC15-61E2-4844-BCC8-549EFB4667FE}"/>
    <cellStyle name="Migliaia 14 3 4 7" xfId="16081" xr:uid="{4DD9A0F3-DE3E-4B02-A0AF-766D850E9158}"/>
    <cellStyle name="Migliaia 14 3 4 8" xfId="7661" xr:uid="{C32E770C-8456-478F-B0C4-7F1CD1CE7C60}"/>
    <cellStyle name="Migliaia 14 3 5" xfId="3186" xr:uid="{45BB84BB-5639-4FF8-A183-C59773CCAD04}"/>
    <cellStyle name="Migliaia 14 3 5 2" xfId="4912" xr:uid="{6A4A9AA9-46A7-4B3F-A8C0-22FD0377A141}"/>
    <cellStyle name="Migliaia 14 3 5 2 2" xfId="35159" xr:uid="{734B478F-FAAE-4A6D-AB78-AF15A013B6CF}"/>
    <cellStyle name="Migliaia 14 3 5 2 2 2" xfId="40317" xr:uid="{15FD9506-0B53-4D75-BAD7-7CD74C134D44}"/>
    <cellStyle name="Migliaia 14 3 5 2 2 3" xfId="45619" xr:uid="{79489D8A-7768-4B2E-BA34-745ECF3D0A6F}"/>
    <cellStyle name="Migliaia 14 3 5 2 3" xfId="37666" xr:uid="{40DA44B5-F2B8-44CD-8AD5-5A8D697FCEEB}"/>
    <cellStyle name="Migliaia 14 3 5 2 4" xfId="42968" xr:uid="{AA9B2593-3402-476B-8BE6-1C9052D363ED}"/>
    <cellStyle name="Migliaia 14 3 5 2 5" xfId="14195" xr:uid="{B1E0D2D8-AD1E-45BC-87A4-2D60EB2A7DB1}"/>
    <cellStyle name="Migliaia 14 3 5 3" xfId="6131" xr:uid="{99C11310-EE17-4A91-8C4B-96692250718C}"/>
    <cellStyle name="Migliaia 14 3 5 3 2" xfId="38538" xr:uid="{314EAED1-319C-4E71-A315-488100612951}"/>
    <cellStyle name="Migliaia 14 3 5 3 3" xfId="43840" xr:uid="{C0D1BB47-795D-4C6E-BFC8-77000989D3CB}"/>
    <cellStyle name="Migliaia 14 3 5 3 4" xfId="33163" xr:uid="{B45A5D82-969E-4CBD-B374-343A7EE5DCDB}"/>
    <cellStyle name="Migliaia 14 3 5 3 5" xfId="19902" xr:uid="{139B61D3-5DBB-452B-9FB1-A993D96E58E8}"/>
    <cellStyle name="Migliaia 14 3 5 4" xfId="36057" xr:uid="{6700DDD3-5D31-4BAA-8061-BE7149DDEBEF}"/>
    <cellStyle name="Migliaia 14 3 5 5" xfId="41189" xr:uid="{A49DB6D4-F9E7-460C-A62F-C396CA90C224}"/>
    <cellStyle name="Migliaia 14 3 5 6" xfId="16083" xr:uid="{1808A08F-4AED-43EF-BCCF-3CD38FD34504}"/>
    <cellStyle name="Migliaia 14 3 5 7" xfId="8257" xr:uid="{FDB96DC4-8E80-4D4C-AA6B-DADDB8257F70}"/>
    <cellStyle name="Migliaia 14 3 6" xfId="4907" xr:uid="{C9EE868E-C7D0-43EC-9439-13FF0AFEFCFE}"/>
    <cellStyle name="Migliaia 14 3 6 2" xfId="13898" xr:uid="{0E047370-C71D-4FE4-B845-1DB669AF2AE9}"/>
    <cellStyle name="Migliaia 14 3 6 2 2" xfId="38539" xr:uid="{24989A41-780C-43FF-B176-B146D611F711}"/>
    <cellStyle name="Migliaia 14 3 6 2 3" xfId="43841" xr:uid="{A8C68BD0-6A07-436B-ACD3-07230F44D937}"/>
    <cellStyle name="Migliaia 14 3 6 3" xfId="18724" xr:uid="{400511DF-CA84-43C0-861F-6EE414128397}"/>
    <cellStyle name="Migliaia 14 3 6 4" xfId="19903" xr:uid="{9D0D3DAC-9DF6-4F2E-AC8F-38CA6967F12A}"/>
    <cellStyle name="Migliaia 14 3 6 4 2" xfId="41190" xr:uid="{C30170C7-509C-409A-B6CD-E828A21F9878}"/>
    <cellStyle name="Migliaia 14 3 6 5" xfId="16084" xr:uid="{0DDBA85D-4950-4C28-AA42-25868A12CF57}"/>
    <cellStyle name="Migliaia 14 3 6 6" xfId="7841" xr:uid="{3FC9C6B4-68F1-4319-A722-1503B797D9B5}"/>
    <cellStyle name="Migliaia 14 3 7" xfId="6126" xr:uid="{17DF4EE6-88E2-48FB-B2A3-BBC49217EFAC}"/>
    <cellStyle name="Migliaia 14 3 7 2" xfId="33164" xr:uid="{AA0133B9-ACD5-4BB9-ABE9-CB0EA7B223B0}"/>
    <cellStyle name="Migliaia 14 3 7 2 2" xfId="38540" xr:uid="{F41AE793-46A8-4164-9E60-76E22D8688E5}"/>
    <cellStyle name="Migliaia 14 3 7 2 3" xfId="43842" xr:uid="{3E6F5B3D-99A6-49B8-AAFF-D16781CD3C1B}"/>
    <cellStyle name="Migliaia 14 3 7 3" xfId="36059" xr:uid="{3C2F6237-1ADE-4D88-838E-95AB22DE5F22}"/>
    <cellStyle name="Migliaia 14 3 7 4" xfId="41191" xr:uid="{8149C89B-E7FF-431D-9741-5D4F27F87332}"/>
    <cellStyle name="Migliaia 14 3 7 5" xfId="11222" xr:uid="{F8E240BF-37C9-4F7E-A9D0-46B408D72649}"/>
    <cellStyle name="Migliaia 14 3 8" xfId="3181" xr:uid="{6BE41C24-B8C9-445C-878A-E46708774162}"/>
    <cellStyle name="Migliaia 14 3 8 2" xfId="33165" xr:uid="{E5588EBE-0F92-4037-978B-A08578EF87D6}"/>
    <cellStyle name="Migliaia 14 3 8 2 2" xfId="38541" xr:uid="{7908F303-6EA5-46DE-A501-C630CE5E2968}"/>
    <cellStyle name="Migliaia 14 3 8 2 3" xfId="43843" xr:uid="{6BE97FAA-D0AA-49C5-BBF3-0ADB57F28AE6}"/>
    <cellStyle name="Migliaia 14 3 8 3" xfId="36060" xr:uid="{F51A75B7-E6FD-4304-8219-7CCF9F7622F8}"/>
    <cellStyle name="Migliaia 14 3 8 4" xfId="41192" xr:uid="{15605105-CEB5-4B1B-8FC4-CCDA6D4BE1EC}"/>
    <cellStyle name="Migliaia 14 3 8 5" xfId="24310" xr:uid="{05839B43-0693-458E-9228-5E42759D4D48}"/>
    <cellStyle name="Migliaia 14 3 8 6" xfId="17412" xr:uid="{31E6400B-65A0-43D3-B240-61FD8C45C119}"/>
    <cellStyle name="Migliaia 14 3 9" xfId="19894" xr:uid="{FE9F0DBB-3286-4DA1-B06E-A527148BCF74}"/>
    <cellStyle name="Migliaia 14 4" xfId="1680" xr:uid="{00000000-0005-0000-0000-0000EB020000}"/>
    <cellStyle name="Migliaia 14 4 2" xfId="1681" xr:uid="{00000000-0005-0000-0000-0000EC020000}"/>
    <cellStyle name="Migliaia 14 4 2 2" xfId="4914" xr:uid="{5221FF7D-2A52-41F0-AE8B-10CBECCFF2EC}"/>
    <cellStyle name="Migliaia 14 4 2 2 2" xfId="33166" xr:uid="{C704FB6B-4D44-4005-A1D4-CDB5B481C518}"/>
    <cellStyle name="Migliaia 14 4 2 2 2 2" xfId="38542" xr:uid="{E16FD695-71F7-4870-B6CB-49D6495CA6BF}"/>
    <cellStyle name="Migliaia 14 4 2 2 2 3" xfId="43844" xr:uid="{7F2C7774-1DF0-418C-8194-D10637692481}"/>
    <cellStyle name="Migliaia 14 4 2 2 3" xfId="36061" xr:uid="{435B6F30-13A1-4428-8079-F1238F73F8C5}"/>
    <cellStyle name="Migliaia 14 4 2 2 4" xfId="41193" xr:uid="{01B51405-6D33-490C-8DBE-2A8FE8FDAA7A}"/>
    <cellStyle name="Migliaia 14 4 2 2 5" xfId="9118" xr:uid="{3A9759FA-F3D9-443E-8B6A-7F3814EA5D3A}"/>
    <cellStyle name="Migliaia 14 4 2 3" xfId="3188" xr:uid="{C54C62C7-FA7C-47A7-B735-283770C5007E}"/>
    <cellStyle name="Migliaia 14 4 2 3 2" xfId="33167" xr:uid="{6FFCF5CA-CF45-4954-B5E6-53E05705D5C5}"/>
    <cellStyle name="Migliaia 14 4 2 3 2 2" xfId="38543" xr:uid="{844C308F-E676-4295-807A-E8CB8BA8E960}"/>
    <cellStyle name="Migliaia 14 4 2 3 2 3" xfId="43845" xr:uid="{BB6CF709-512C-43FE-81FF-7B57AE083B5C}"/>
    <cellStyle name="Migliaia 14 4 2 3 3" xfId="36062" xr:uid="{7567DBC5-1221-416C-AED1-9EC43AEA80DE}"/>
    <cellStyle name="Migliaia 14 4 2 3 4" xfId="41194" xr:uid="{ED3998BD-2AC8-4C10-9492-51A86EFC513A}"/>
    <cellStyle name="Migliaia 14 4 2 3 5" xfId="11905" xr:uid="{E202E015-00DB-4566-B194-A370D272CD0D}"/>
    <cellStyle name="Migliaia 14 4 2 4" xfId="11258" xr:uid="{83BA6371-BE5B-456F-BA81-FBEDD4E54662}"/>
    <cellStyle name="Migliaia 14 4 2 5" xfId="10758" xr:uid="{97214CF5-BFFE-4B54-A873-0820CEE6184F}"/>
    <cellStyle name="Migliaia 14 4 2 5 2" xfId="21393" xr:uid="{0BE20979-43C7-4702-B186-550DCDA52703}"/>
    <cellStyle name="Migliaia 14 4 2 5 3" xfId="46209" xr:uid="{AE1D45B8-9A22-417E-AC28-7EEDE6D8637F}"/>
    <cellStyle name="Migliaia 14 4 2 5 4" xfId="50408" xr:uid="{D69CE45E-8F16-41C6-AB94-9B061C23E406}"/>
    <cellStyle name="Migliaia 14 4 2 5 5" xfId="53424" xr:uid="{43D40255-7BD9-4321-B429-DF4DDC275D75}"/>
    <cellStyle name="Migliaia 14 4 2 6" xfId="19905" xr:uid="{E1DF71DB-7B9C-4CD5-B1C3-5FD54D7A9E4F}"/>
    <cellStyle name="Migliaia 14 4 2 7" xfId="24312" xr:uid="{65BE748B-B680-4C1F-9516-6FCDA8891358}"/>
    <cellStyle name="Migliaia 14 4 2 8" xfId="8513" xr:uid="{F50C578F-AF3F-4866-8BFB-391A768AA1DC}"/>
    <cellStyle name="Migliaia 14 4 3" xfId="4913" xr:uid="{918A0472-B2C7-4907-891C-E492A19C61BB}"/>
    <cellStyle name="Migliaia 14 4 3 2" xfId="18173" xr:uid="{1A01C0F3-16BC-4D5F-84DE-A56E997B3479}"/>
    <cellStyle name="Migliaia 14 4 3 2 2" xfId="38544" xr:uid="{5CB8E730-6635-4394-ADEF-7091503EE53E}"/>
    <cellStyle name="Migliaia 14 4 3 2 3" xfId="43846" xr:uid="{89DF4FB0-A96D-493F-AB52-D794D81ECD61}"/>
    <cellStyle name="Migliaia 14 4 3 3" xfId="36063" xr:uid="{1E59D8F0-F2B2-4948-85C6-7FE025079D46}"/>
    <cellStyle name="Migliaia 14 4 3 4" xfId="41195" xr:uid="{F113262A-34BE-414A-B596-611E33791E7B}"/>
    <cellStyle name="Migliaia 14 4 3 5" xfId="17410" xr:uid="{B9512EBD-8148-4CF4-AEC1-7C9559B0D807}"/>
    <cellStyle name="Migliaia 14 4 3 6" xfId="9119" xr:uid="{8A5991F9-3F66-4BDA-B231-774D92BF8AE1}"/>
    <cellStyle name="Migliaia 14 4 4" xfId="6132" xr:uid="{820D8213-5592-4CFF-982D-9851E2FD878D}"/>
    <cellStyle name="Migliaia 14 4 4 2" xfId="33169" xr:uid="{548EE332-CB17-47D5-91AD-6FC58EBD6780}"/>
    <cellStyle name="Migliaia 14 4 4 2 2" xfId="38545" xr:uid="{3ED5EECA-DDBD-4A19-B2C1-3043574DDA59}"/>
    <cellStyle name="Migliaia 14 4 4 2 3" xfId="43847" xr:uid="{69552277-121A-4B21-8FBF-0B195DA1F5A2}"/>
    <cellStyle name="Migliaia 14 4 4 3" xfId="36064" xr:uid="{638F3A29-3F43-4252-A1AA-A0B3C7D1990A}"/>
    <cellStyle name="Migliaia 14 4 4 4" xfId="41196" xr:uid="{6160DB15-A213-4051-B4E6-D2DD2D395D13}"/>
    <cellStyle name="Migliaia 14 4 4 5" xfId="11906" xr:uid="{94CC2C6A-D0E3-409D-A262-A424745E6FB7}"/>
    <cellStyle name="Migliaia 14 4 5" xfId="3187" xr:uid="{BC286E36-6ADB-44AB-ACF3-BDB94DD408AD}"/>
    <cellStyle name="Migliaia 14 4 5 2" xfId="33170" xr:uid="{23DFE0CB-6D0A-4B23-B89E-7A819D9A5FAB}"/>
    <cellStyle name="Migliaia 14 4 5 2 2" xfId="38546" xr:uid="{84432882-82A8-49E7-B6CE-876D06DFD05A}"/>
    <cellStyle name="Migliaia 14 4 5 2 3" xfId="43848" xr:uid="{7F3BBC49-4995-41B4-B4E6-F0F4BEE78E17}"/>
    <cellStyle name="Migliaia 14 4 5 3" xfId="36065" xr:uid="{1C5F57EB-9D0A-415B-A95A-B066DA06C54D}"/>
    <cellStyle name="Migliaia 14 4 5 4" xfId="41197" xr:uid="{F6539369-384D-4777-869B-90F562C9EEBF}"/>
    <cellStyle name="Migliaia 14 4 5 5" xfId="11257" xr:uid="{3E2423AA-4F19-450D-94EB-E85B08938075}"/>
    <cellStyle name="Migliaia 14 4 6" xfId="10757" xr:uid="{13D001F7-533F-4052-89FA-080CE9973E2A}"/>
    <cellStyle name="Migliaia 14 4 6 2" xfId="21392" xr:uid="{4C13B776-52AB-4FC0-A8C7-87F4118CE5EB}"/>
    <cellStyle name="Migliaia 14 4 6 2 2" xfId="38547" xr:uid="{E59ABBC9-F6C2-46B1-B1F5-DFD5D4F17EB4}"/>
    <cellStyle name="Migliaia 14 4 6 2 3" xfId="43849" xr:uid="{09A7900C-15ED-400C-AAE1-08C15CC03702}"/>
    <cellStyle name="Migliaia 14 4 6 2 4" xfId="33171" xr:uid="{6476E19B-A2A3-4934-8863-28D84F49324F}"/>
    <cellStyle name="Migliaia 14 4 6 3" xfId="36066" xr:uid="{2C9C94C9-7C98-4E6F-8EED-DA3D2C88FEB0}"/>
    <cellStyle name="Migliaia 14 4 6 4" xfId="41198" xr:uid="{AF028236-4B5D-4625-96A9-E9E3AB24C063}"/>
    <cellStyle name="Migliaia 14 4 6 5" xfId="24317" xr:uid="{31C01CDC-B91C-4CFB-B359-E7046E5B665E}"/>
    <cellStyle name="Migliaia 14 4 6 6" xfId="46208" xr:uid="{D578CE96-B7DA-408F-A9D5-1B80B8F2A0D2}"/>
    <cellStyle name="Migliaia 14 4 6 7" xfId="50407" xr:uid="{8AAFA9B6-F204-4059-A9D0-7D761B2A689F}"/>
    <cellStyle name="Migliaia 14 4 6 8" xfId="53423" xr:uid="{5E4530AF-2BE5-46E3-833A-E83BED27882D}"/>
    <cellStyle name="Migliaia 14 4 7" xfId="19904" xr:uid="{C30689F5-5A26-4CFE-8F85-F6DAEABC167D}"/>
    <cellStyle name="Migliaia 14 4 7 2" xfId="33172" xr:uid="{51DA1C08-73FC-4695-9A3B-4DCB93F2D66A}"/>
    <cellStyle name="Migliaia 14 4 7 2 2" xfId="38548" xr:uid="{94720733-CC76-4467-BFF1-16C0A5ED3A69}"/>
    <cellStyle name="Migliaia 14 4 7 2 3" xfId="43850" xr:uid="{DB2EC6B0-230D-4295-9FAA-FE086441EDA2}"/>
    <cellStyle name="Migliaia 14 4 7 3" xfId="36067" xr:uid="{56501EC8-0857-4905-9D3B-93080C53507B}"/>
    <cellStyle name="Migliaia 14 4 7 4" xfId="41199" xr:uid="{1759DA51-E062-4060-8F96-A85F1ED11F35}"/>
    <cellStyle name="Migliaia 14 4 7 5" xfId="24318" xr:uid="{2C52EE2C-B77A-4B99-BA92-01327501B22D}"/>
    <cellStyle name="Migliaia 14 4 8" xfId="24311" xr:uid="{EDE59271-68B3-4CCF-A68D-492361390C36}"/>
    <cellStyle name="Migliaia 14 4 9" xfId="7323" xr:uid="{4F0140F9-9981-41C8-9259-85FF4DA3679A}"/>
    <cellStyle name="Migliaia 14 5" xfId="1682" xr:uid="{00000000-0005-0000-0000-0000ED020000}"/>
    <cellStyle name="Migliaia 14 5 2" xfId="4915" xr:uid="{482ABD40-BBF9-46F6-8409-5A5630DB9417}"/>
    <cellStyle name="Migliaia 14 5 2 2" xfId="18374" xr:uid="{ABE91369-3A22-4FE6-8733-2EAAF987EDB4}"/>
    <cellStyle name="Migliaia 14 5 2 2 2" xfId="38549" xr:uid="{9D17CF5F-13DE-4EB0-8888-5FB2297E0584}"/>
    <cellStyle name="Migliaia 14 5 2 2 3" xfId="43851" xr:uid="{AFFDE406-FC32-48C6-98AC-2CBAB1C005DD}"/>
    <cellStyle name="Migliaia 14 5 2 3" xfId="19907" xr:uid="{298F394A-D808-43FE-BFF4-A1B7DCED90F2}"/>
    <cellStyle name="Migliaia 14 5 2 3 2" xfId="36068" xr:uid="{B0193DB0-7C52-4915-A1A6-D1AD06143203}"/>
    <cellStyle name="Migliaia 14 5 2 4" xfId="41200" xr:uid="{51A8ABCC-50B6-48FE-A09C-6E7E0F7B2C90}"/>
    <cellStyle name="Migliaia 14 5 2 5" xfId="16085" xr:uid="{7AD4DEAA-037B-4817-9ADB-F4CBD3169358}"/>
    <cellStyle name="Migliaia 14 5 2 6" xfId="8514" xr:uid="{5382C5CF-7954-4E1A-A123-645B8A2D0BCD}"/>
    <cellStyle name="Migliaia 14 5 3" xfId="6133" xr:uid="{067A04A7-0942-47F2-87E4-D968C2557137}"/>
    <cellStyle name="Migliaia 14 5 3 2" xfId="33173" xr:uid="{7846DF79-6E29-404B-95C8-968154E0C8D9}"/>
    <cellStyle name="Migliaia 14 5 3 2 2" xfId="38550" xr:uid="{A707B04C-DC72-450B-9AA3-A38114DDD3C6}"/>
    <cellStyle name="Migliaia 14 5 3 2 3" xfId="43852" xr:uid="{150F9117-6D81-49A6-A1F0-E0B230B5DD9A}"/>
    <cellStyle name="Migliaia 14 5 3 3" xfId="36069" xr:uid="{89CE4FBE-D0F7-4DBA-AA16-CABAA66E54C0}"/>
    <cellStyle name="Migliaia 14 5 3 4" xfId="41201" xr:uid="{110DA762-B507-4834-94DB-AC981413EDA9}"/>
    <cellStyle name="Migliaia 14 5 3 5" xfId="11259" xr:uid="{C7A9032A-E1B7-4EDE-A84E-126A87A30DD7}"/>
    <cellStyle name="Migliaia 14 5 4" xfId="3189" xr:uid="{EAF6DF6C-09F4-464E-AE15-06C92F06EE35}"/>
    <cellStyle name="Migliaia 14 5 4 2" xfId="21394" xr:uid="{266C1A7D-0C26-4867-9CA7-BDB8FEB3EF1D}"/>
    <cellStyle name="Migliaia 14 5 4 2 2" xfId="38551" xr:uid="{06385F11-350F-4D6B-A4F9-B5ABD0EB6F7C}"/>
    <cellStyle name="Migliaia 14 5 4 2 3" xfId="43853" xr:uid="{3BE60867-6C5A-4D3C-BEA1-6ABCD3147E46}"/>
    <cellStyle name="Migliaia 14 5 4 2 4" xfId="33174" xr:uid="{BB3F4199-7E76-4CD9-AF0A-68FE164B6106}"/>
    <cellStyle name="Migliaia 14 5 4 3" xfId="36070" xr:uid="{51165706-6B89-4E9F-8179-78AB24BFE68F}"/>
    <cellStyle name="Migliaia 14 5 4 4" xfId="41202" xr:uid="{342D0E3A-08E2-45FB-A6BB-2DA6CD451653}"/>
    <cellStyle name="Migliaia 14 5 4 5" xfId="24320" xr:uid="{44059D4D-04A5-49E7-9C63-E4A5A7C638AB}"/>
    <cellStyle name="Migliaia 14 5 4 6" xfId="47596" xr:uid="{E26BD476-4A4F-4B7A-AC33-560BA750A4DA}"/>
    <cellStyle name="Migliaia 14 5 4 7" xfId="50409" xr:uid="{29D2FBB3-CDA9-4452-AC38-A60BBA804E7C}"/>
    <cellStyle name="Migliaia 14 5 4 8" xfId="53425" xr:uid="{FCAAFA3E-F705-4BA5-BA06-8FB5F4DE78EA}"/>
    <cellStyle name="Migliaia 14 5 4 9" xfId="10759" xr:uid="{99BC7182-7F3B-4F05-885C-E5D5DCC7804A}"/>
    <cellStyle name="Migliaia 14 5 5" xfId="19906" xr:uid="{486B8BEA-F11B-4BBF-B784-E7E77F744896}"/>
    <cellStyle name="Migliaia 14 5 5 2" xfId="33175" xr:uid="{205CC15B-F12C-40AF-AC10-87248B83B077}"/>
    <cellStyle name="Migliaia 14 5 5 2 2" xfId="38552" xr:uid="{25194D83-80DC-4D0D-84AE-00A70CF0538D}"/>
    <cellStyle name="Migliaia 14 5 5 2 3" xfId="43854" xr:uid="{D9820F54-BA95-4B1B-A7DD-23C54AB5D453}"/>
    <cellStyle name="Migliaia 14 5 5 3" xfId="36071" xr:uid="{938D8CB8-303A-466A-A731-2287FD281D0A}"/>
    <cellStyle name="Migliaia 14 5 5 4" xfId="41203" xr:uid="{D8A12F15-92EF-4ACC-98CB-1F38308CA0DC}"/>
    <cellStyle name="Migliaia 14 5 5 5" xfId="24321" xr:uid="{45FE23E9-B485-4B87-96CE-D8A3CC65188E}"/>
    <cellStyle name="Migliaia 14 5 6" xfId="24322" xr:uid="{D1E31FEB-4E62-4EB9-99C9-4AD036773D3E}"/>
    <cellStyle name="Migliaia 14 5 6 2" xfId="33176" xr:uid="{2CF5C1D8-5F64-4C59-825F-E4243D2005D5}"/>
    <cellStyle name="Migliaia 14 5 6 2 2" xfId="38553" xr:uid="{09E23AD8-AE07-4677-953F-3746AF7839D0}"/>
    <cellStyle name="Migliaia 14 5 6 2 3" xfId="43855" xr:uid="{E330AA27-8139-4B05-A4D4-FA5FFBEE785F}"/>
    <cellStyle name="Migliaia 14 5 6 3" xfId="36072" xr:uid="{AB316B6B-3D7D-4DE1-8591-034E83C8E8F5}"/>
    <cellStyle name="Migliaia 14 5 6 4" xfId="41204" xr:uid="{A10BC7AF-3CFD-4712-BC0C-7F282DF8E785}"/>
    <cellStyle name="Migliaia 14 5 7" xfId="24319" xr:uid="{88CBA463-82AB-459D-9EED-D762C89A995A}"/>
    <cellStyle name="Migliaia 14 5 8" xfId="7324" xr:uid="{5CA77168-DEC3-41EE-82E3-705DE97F1C48}"/>
    <cellStyle name="Migliaia 14 6" xfId="3190" xr:uid="{5B7FA07A-DD4B-48EA-8CAE-35B92D471FB4}"/>
    <cellStyle name="Migliaia 14 6 2" xfId="4916" xr:uid="{E8054902-4583-4A77-805E-3D0CFC3FB816}"/>
    <cellStyle name="Migliaia 14 6 2 2" xfId="9891" xr:uid="{564B511C-8971-4280-9049-0285A200A4F0}"/>
    <cellStyle name="Migliaia 14 6 2 3" xfId="18675" xr:uid="{9EDFC359-4002-445A-8EB3-1BA98237E902}"/>
    <cellStyle name="Migliaia 14 6 2 4" xfId="19909" xr:uid="{B2D64AC8-680B-42E3-AFD3-DBDBCC6194D0}"/>
    <cellStyle name="Migliaia 14 6 2 5" xfId="32309" xr:uid="{1CEC483F-87A5-4AD7-87AA-52C6921F4575}"/>
    <cellStyle name="Migliaia 14 6 2 6" xfId="16087" xr:uid="{760B41B5-8C85-4379-AB17-E9F5ED9AA4A7}"/>
    <cellStyle name="Migliaia 14 6 2 7" xfId="8509" xr:uid="{9FCF0930-296C-4BE8-BC15-693C5E8156EC}"/>
    <cellStyle name="Migliaia 14 6 3" xfId="6134" xr:uid="{A9BB2211-B30D-42E8-AAE1-3CDA90774B32}"/>
    <cellStyle name="Migliaia 14 6 3 2" xfId="35160" xr:uid="{39B12B02-B26C-4F10-ACAE-03C79B99AE48}"/>
    <cellStyle name="Migliaia 14 6 3 2 2" xfId="40318" xr:uid="{B50A9FCF-416D-44D1-B9B7-C9B0E317148F}"/>
    <cellStyle name="Migliaia 14 6 3 2 3" xfId="45620" xr:uid="{D3B1625E-4860-4699-86D1-CF8E15B878D4}"/>
    <cellStyle name="Migliaia 14 6 3 3" xfId="37667" xr:uid="{DBB7F981-5D93-45E5-9466-8BEBE7962DDF}"/>
    <cellStyle name="Migliaia 14 6 3 4" xfId="42969" xr:uid="{466F168B-218E-4E34-9541-E2B43B5B4066}"/>
    <cellStyle name="Migliaia 14 6 3 5" xfId="9654" xr:uid="{FAC0C2FF-75D0-4E4F-8961-A4BFD7C7E4CD}"/>
    <cellStyle name="Migliaia 14 6 4" xfId="19908" xr:uid="{91FF11CB-6A53-4A21-9DF0-242C79B56B90}"/>
    <cellStyle name="Migliaia 14 6 4 2" xfId="38554" xr:uid="{8F10A1A7-242F-4518-ACBA-5D7695198679}"/>
    <cellStyle name="Migliaia 14 6 4 3" xfId="43856" xr:uid="{25A4AEFB-C135-4E27-A3D3-0C196471F652}"/>
    <cellStyle name="Migliaia 14 6 4 4" xfId="33177" xr:uid="{2CB052FB-08BE-4144-BA60-D9F9136A8337}"/>
    <cellStyle name="Migliaia 14 6 5" xfId="36073" xr:uid="{94E336ED-45DB-4324-ACB5-33EC83087EBC}"/>
    <cellStyle name="Migliaia 14 6 6" xfId="41205" xr:uid="{A4C7B944-6F03-46F5-A3D7-B1370B9C061B}"/>
    <cellStyle name="Migliaia 14 6 7" xfId="16086" xr:uid="{A63FCDB5-ED33-489B-BC8F-CD4AB98B478D}"/>
    <cellStyle name="Migliaia 14 6 8" xfId="7319" xr:uid="{2DE58EB7-FBD0-4C09-BC15-8B57F6590484}"/>
    <cellStyle name="Migliaia 14 7" xfId="3191" xr:uid="{B0502376-8199-4235-998D-A43526585DF6}"/>
    <cellStyle name="Migliaia 14 7 2" xfId="4917" xr:uid="{81C9A68C-3CA4-4195-A397-794860A0D82B}"/>
    <cellStyle name="Migliaia 14 7 2 2" xfId="35161" xr:uid="{1E734DBA-E3B3-444E-AFA7-2AF5801753D1}"/>
    <cellStyle name="Migliaia 14 7 2 2 2" xfId="40319" xr:uid="{AF5794FD-3BB7-472A-BC19-1DCE8A06C032}"/>
    <cellStyle name="Migliaia 14 7 2 2 3" xfId="45621" xr:uid="{053F2957-11D9-48F7-969E-BC2B252EB66C}"/>
    <cellStyle name="Migliaia 14 7 2 3" xfId="37668" xr:uid="{BDE7E447-B931-413B-9D17-0B2D51801402}"/>
    <cellStyle name="Migliaia 14 7 2 4" xfId="42970" xr:uid="{33D8A830-9E16-4252-9810-87EE0BF3818E}"/>
    <cellStyle name="Migliaia 14 7 2 5" xfId="14193" xr:uid="{12B62338-45E7-4544-BBEF-891D69FE4EFF}"/>
    <cellStyle name="Migliaia 14 7 3" xfId="6135" xr:uid="{FFAD9086-CABD-41F9-9A98-0B3F6E130EB4}"/>
    <cellStyle name="Migliaia 14 7 3 2" xfId="38555" xr:uid="{8E0F0460-2A52-4F0D-AFBC-8E8AEFB89C9A}"/>
    <cellStyle name="Migliaia 14 7 3 3" xfId="43857" xr:uid="{0104A5D2-6379-4080-BB0C-262C68792B38}"/>
    <cellStyle name="Migliaia 14 7 3 4" xfId="33178" xr:uid="{12CB694E-5862-4854-884D-633B319F3DDC}"/>
    <cellStyle name="Migliaia 14 7 3 5" xfId="19910" xr:uid="{6609AB38-564E-4E05-80F9-32FFDC58E535}"/>
    <cellStyle name="Migliaia 14 7 4" xfId="36074" xr:uid="{10FA7D14-F33C-4CBB-A9BD-6669B418DF15}"/>
    <cellStyle name="Migliaia 14 7 5" xfId="41206" xr:uid="{C3C5EC8F-7CFD-4B7F-817F-F73C8C9B7332}"/>
    <cellStyle name="Migliaia 14 7 6" xfId="16088" xr:uid="{8274DACF-9E6B-404B-8DA5-647241CAC3AD}"/>
    <cellStyle name="Migliaia 14 7 7" xfId="8255" xr:uid="{C8EAA807-E443-4015-9762-7810125EE12F}"/>
    <cellStyle name="Migliaia 14 8" xfId="3192" xr:uid="{99BD47AC-F989-47E9-93BE-9704085BD7F7}"/>
    <cellStyle name="Migliaia 14 8 2" xfId="4918" xr:uid="{E4CF2ED6-EF0B-4C64-A84D-736089083BC6}"/>
    <cellStyle name="Migliaia 14 8 2 2" xfId="35162" xr:uid="{B651276A-0AAD-4520-B94F-59F3F19A4914}"/>
    <cellStyle name="Migliaia 14 8 2 2 2" xfId="40320" xr:uid="{84CC97EF-9B26-464D-9FE6-96183909240B}"/>
    <cellStyle name="Migliaia 14 8 2 2 3" xfId="45622" xr:uid="{0D790391-FB65-4ED2-AE7A-62F72CFF64C5}"/>
    <cellStyle name="Migliaia 14 8 2 3" xfId="37669" xr:uid="{68DDF553-8C75-4365-BA0C-AD36FD2AC169}"/>
    <cellStyle name="Migliaia 14 8 2 4" xfId="42971" xr:uid="{0206C107-0BF1-45CC-80A5-803679777F54}"/>
    <cellStyle name="Migliaia 14 8 2 5" xfId="13896" xr:uid="{1C90DD37-055C-4463-A0BC-6236FADDB0FD}"/>
    <cellStyle name="Migliaia 14 8 3" xfId="6136" xr:uid="{0F04EDF2-8A69-48D2-88FB-7C3B10DDA678}"/>
    <cellStyle name="Migliaia 14 8 3 2" xfId="38556" xr:uid="{BB31E680-2DFE-4448-842C-1B7E0EE0C3DA}"/>
    <cellStyle name="Migliaia 14 8 3 3" xfId="43858" xr:uid="{42E5AB70-435E-4507-8962-A8AA9BEA0806}"/>
    <cellStyle name="Migliaia 14 8 3 4" xfId="33179" xr:uid="{0DF923AF-382F-413D-87D3-CCBD2EE87AC1}"/>
    <cellStyle name="Migliaia 14 8 3 5" xfId="19911" xr:uid="{E82E3222-3391-405C-93B3-9C474389C5EE}"/>
    <cellStyle name="Migliaia 14 8 4" xfId="36075" xr:uid="{051C96D6-BEAC-4781-9C6B-67799AC9ED4F}"/>
    <cellStyle name="Migliaia 14 8 5" xfId="41207" xr:uid="{2CEFD0A0-D6CB-4E12-9138-3B411379CADA}"/>
    <cellStyle name="Migliaia 14 8 6" xfId="16089" xr:uid="{11E247F1-68FC-4CF0-81F2-92C7F2C8B6B9}"/>
    <cellStyle name="Migliaia 14 8 7" xfId="7839" xr:uid="{D9A3D342-7A85-4050-8D61-706C97AF3D24}"/>
    <cellStyle name="Migliaia 14 9" xfId="4903" xr:uid="{CBE8CFEB-CA4A-407E-8C18-4385B40E25C9}"/>
    <cellStyle name="Migliaia 14 9 2" xfId="33180" xr:uid="{780DB616-3014-435C-B151-7602DA64DBEC}"/>
    <cellStyle name="Migliaia 14 9 2 2" xfId="38557" xr:uid="{AEBBA2D7-DDA4-4959-A74D-4F2AC1E5C0E0}"/>
    <cellStyle name="Migliaia 14 9 2 3" xfId="43859" xr:uid="{C5C75F99-269C-4ECC-AA32-4B8B49F1803C}"/>
    <cellStyle name="Migliaia 14 9 3" xfId="36076" xr:uid="{211CD71C-32D7-4E21-9425-9ACB72163D50}"/>
    <cellStyle name="Migliaia 14 9 4" xfId="41208" xr:uid="{525F3C53-2B9C-496B-9B12-21A3F9EDC990}"/>
    <cellStyle name="Migliaia 14 9 5" xfId="17145" xr:uid="{53D60D71-32B6-45E7-9AAD-6F6FA02ABC3C}"/>
    <cellStyle name="Migliaia 15" xfId="321" xr:uid="{00000000-0005-0000-0000-0000EE020000}"/>
    <cellStyle name="Migliaia 15 10" xfId="6137" xr:uid="{7B07B8FF-C2D1-44C1-A38B-753950E972E6}"/>
    <cellStyle name="Migliaia 15 10 2" xfId="38558" xr:uid="{11A07A7C-85AC-4F5A-9525-BD6F9F2A4C75}"/>
    <cellStyle name="Migliaia 15 10 3" xfId="43860" xr:uid="{DC1DB7D6-9CC1-478D-9259-771C6F098FD8}"/>
    <cellStyle name="Migliaia 15 10 4" xfId="33181" xr:uid="{912444F5-EBBA-4596-8DA0-A0C770515A2D}"/>
    <cellStyle name="Migliaia 15 10 5" xfId="19912" xr:uid="{4386BB8A-13B7-4048-BE65-8E45A82350E9}"/>
    <cellStyle name="Migliaia 15 11" xfId="3193" xr:uid="{3858E639-CA17-4088-809F-78DA78A8ADBF}"/>
    <cellStyle name="Migliaia 15 11 2" xfId="36077" xr:uid="{08C4200A-8E5E-4D10-93F7-C1114F2C87D7}"/>
    <cellStyle name="Migliaia 15 12" xfId="41209" xr:uid="{2EE01587-C9FA-4A28-97B8-6FDC8F2B0412}"/>
    <cellStyle name="Migliaia 15 13" xfId="7059" xr:uid="{2A88EACC-4028-49E8-A19D-B7AC74ABE5B9}"/>
    <cellStyle name="Migliaia 15 2" xfId="322" xr:uid="{00000000-0005-0000-0000-0000EF020000}"/>
    <cellStyle name="Migliaia 15 2 2" xfId="1683" xr:uid="{00000000-0005-0000-0000-0000F0020000}"/>
    <cellStyle name="Migliaia 15 2 2 2" xfId="4921" xr:uid="{D9FDB017-771C-4B12-844E-FA437A7D6E76}"/>
    <cellStyle name="Migliaia 15 2 2 2 2" xfId="14368" xr:uid="{D6A66F0E-97DD-48B1-AB12-421AB7FE19B9}"/>
    <cellStyle name="Migliaia 15 2 2 2 2 2" xfId="38559" xr:uid="{C003DAC4-DCCB-49C3-9596-75823A029641}"/>
    <cellStyle name="Migliaia 15 2 2 2 2 3" xfId="43861" xr:uid="{F6075E7D-C940-4401-9F49-D78F7D204D6E}"/>
    <cellStyle name="Migliaia 15 2 2 2 3" xfId="18375" xr:uid="{C7D60D10-18BA-42DE-8120-24799FFF4967}"/>
    <cellStyle name="Migliaia 15 2 2 2 4" xfId="19915" xr:uid="{5C806F89-DA94-49FF-A8EA-A0460A33ECD1}"/>
    <cellStyle name="Migliaia 15 2 2 2 4 2" xfId="41210" xr:uid="{20AA1C01-FAA4-45F4-A400-270C35267AC1}"/>
    <cellStyle name="Migliaia 15 2 2 2 5" xfId="16090" xr:uid="{BE1BA2B7-E894-4082-95F6-7AC8D92B569A}"/>
    <cellStyle name="Migliaia 15 2 2 2 6" xfId="8516" xr:uid="{EAEEB7A1-4846-4C0F-988E-FCF0E395B3F7}"/>
    <cellStyle name="Migliaia 15 2 2 3" xfId="6139" xr:uid="{37155FB9-7BC1-4086-B933-A7C2AEAF8181}"/>
    <cellStyle name="Migliaia 15 2 2 3 2" xfId="35163" xr:uid="{F1649E24-DE3B-4C86-9CB4-59BDB60E48E3}"/>
    <cellStyle name="Migliaia 15 2 2 3 2 2" xfId="40321" xr:uid="{06E3350A-A00E-4CCA-98BC-B731114C009B}"/>
    <cellStyle name="Migliaia 15 2 2 3 2 3" xfId="45623" xr:uid="{065C9284-DFEF-4394-B762-3809BD358255}"/>
    <cellStyle name="Migliaia 15 2 2 3 3" xfId="37670" xr:uid="{BFA2D767-43D3-466F-8C13-0FC204613731}"/>
    <cellStyle name="Migliaia 15 2 2 3 4" xfId="42972" xr:uid="{77922209-776E-4252-B2A4-ABB5D6F962C5}"/>
    <cellStyle name="Migliaia 15 2 2 3 5" xfId="11597" xr:uid="{DD2152A7-81FD-4F63-8E61-CFDA59B47CD2}"/>
    <cellStyle name="Migliaia 15 2 2 4" xfId="3195" xr:uid="{5DFBFD05-EDAC-4F4A-83D5-82D47E6CB0EA}"/>
    <cellStyle name="Migliaia 15 2 2 4 2" xfId="21395" xr:uid="{71C19F4C-4586-401F-963C-1AA20A5B2DB1}"/>
    <cellStyle name="Migliaia 15 2 2 4 3" xfId="47595" xr:uid="{E6D9376C-005F-4C8B-AC21-32A9CB49308E}"/>
    <cellStyle name="Migliaia 15 2 2 4 4" xfId="50410" xr:uid="{D8FD9946-3607-487B-91AF-2968E419097E}"/>
    <cellStyle name="Migliaia 15 2 2 4 5" xfId="53426" xr:uid="{45B66E3F-2D97-491C-A62F-417B0F2183B9}"/>
    <cellStyle name="Migliaia 15 2 2 4 6" xfId="10760" xr:uid="{AEDCEB8A-2ECD-4C4E-9731-A3D866FBA551}"/>
    <cellStyle name="Migliaia 15 2 2 5" xfId="19914" xr:uid="{2A08E29C-ED91-4989-AD49-1ADB7A2089BF}"/>
    <cellStyle name="Migliaia 15 2 2 6" xfId="24326" xr:uid="{5699C1E9-122C-41F7-9E6B-51872CD4CF88}"/>
    <cellStyle name="Migliaia 15 2 2 7" xfId="7326" xr:uid="{00FFA949-D6CF-4CBC-B6C2-E3F4B85C07FA}"/>
    <cellStyle name="Migliaia 15 2 3" xfId="3196" xr:uid="{481F3C6A-B2FB-47C5-ABD5-4E4CEA617EE3}"/>
    <cellStyle name="Migliaia 15 2 3 2" xfId="4922" xr:uid="{1600B0C0-F5B7-40A1-8564-FBFDEAFC3445}"/>
    <cellStyle name="Migliaia 15 2 3 2 2" xfId="35164" xr:uid="{30B1DD7C-DADA-4F4C-9E38-4EA424AA2D96}"/>
    <cellStyle name="Migliaia 15 2 3 2 2 2" xfId="40322" xr:uid="{FE73B2F9-3B2C-4762-950D-006BD21945B8}"/>
    <cellStyle name="Migliaia 15 2 3 2 2 3" xfId="45624" xr:uid="{0D8F9653-97D1-481C-9395-25CF5B62870C}"/>
    <cellStyle name="Migliaia 15 2 3 2 3" xfId="37671" xr:uid="{41F4A060-73D1-4BAC-AE88-B169C7BB0CB5}"/>
    <cellStyle name="Migliaia 15 2 3 2 4" xfId="42973" xr:uid="{8E585128-5AFA-4594-9BE2-2B97285617D4}"/>
    <cellStyle name="Migliaia 15 2 3 2 5" xfId="14197" xr:uid="{DCB7CAFC-BDBC-4E6E-ACEE-7CBF06826F37}"/>
    <cellStyle name="Migliaia 15 2 3 3" xfId="6140" xr:uid="{ABDB16BF-A422-42B8-BD44-6AC6A2A855DF}"/>
    <cellStyle name="Migliaia 15 2 3 3 2" xfId="38560" xr:uid="{841D0831-763E-449D-852C-EF43134B324B}"/>
    <cellStyle name="Migliaia 15 2 3 3 3" xfId="43862" xr:uid="{EA85454F-ED10-4097-805B-40E2E6A150BB}"/>
    <cellStyle name="Migliaia 15 2 3 3 4" xfId="33182" xr:uid="{52943425-108E-4583-BC71-1464C241FAB1}"/>
    <cellStyle name="Migliaia 15 2 3 3 5" xfId="19916" xr:uid="{2CFF87B4-78E3-4F71-9F51-1EF3614E37DC}"/>
    <cellStyle name="Migliaia 15 2 3 4" xfId="36078" xr:uid="{DDB0E0DE-0A6A-4ADE-AF39-C6339E27BEE2}"/>
    <cellStyle name="Migliaia 15 2 3 5" xfId="41211" xr:uid="{C5AAADC5-17DF-478E-AFB5-DE0BD86AAFED}"/>
    <cellStyle name="Migliaia 15 2 3 6" xfId="16091" xr:uid="{0382422C-9FC5-4C32-99BD-A0D9A7638B0D}"/>
    <cellStyle name="Migliaia 15 2 3 7" xfId="8259" xr:uid="{F20EF821-18C9-4D47-9D79-4E5749EAEB7A}"/>
    <cellStyle name="Migliaia 15 2 4" xfId="4920" xr:uid="{36129831-AD7B-4BDE-A8F7-8C1AAFCD490F}"/>
    <cellStyle name="Migliaia 15 2 4 2" xfId="13900" xr:uid="{9FD0CE0B-C445-48A8-98D0-7B8E89A16293}"/>
    <cellStyle name="Migliaia 15 2 4 2 2" xfId="38561" xr:uid="{A2F4D02F-9F81-4534-ABE4-D7968DF5DF54}"/>
    <cellStyle name="Migliaia 15 2 4 2 3" xfId="43863" xr:uid="{2E316C59-7053-4451-9A51-C2BE7E71A02E}"/>
    <cellStyle name="Migliaia 15 2 4 3" xfId="18014" xr:uid="{01A8CFC1-A3F6-41C8-8161-33F856DF2D44}"/>
    <cellStyle name="Migliaia 15 2 4 4" xfId="19917" xr:uid="{7300AEE2-4960-4B70-B881-3201B9EDA0C2}"/>
    <cellStyle name="Migliaia 15 2 4 4 2" xfId="41212" xr:uid="{772B7D9E-A332-441C-A002-645324B51F59}"/>
    <cellStyle name="Migliaia 15 2 4 5" xfId="16092" xr:uid="{BF5DA47D-4FDC-46CC-96CE-AD688DE69CED}"/>
    <cellStyle name="Migliaia 15 2 4 6" xfId="7844" xr:uid="{97B8A1A5-6D7E-4F7D-8200-A677833F6DAF}"/>
    <cellStyle name="Migliaia 15 2 5" xfId="6138" xr:uid="{4874C8E8-3ABD-4056-A296-F6E4D301D127}"/>
    <cellStyle name="Migliaia 15 2 5 2" xfId="33184" xr:uid="{AF483B0D-6010-4771-AB77-F673E615AB0F}"/>
    <cellStyle name="Migliaia 15 2 5 2 2" xfId="38562" xr:uid="{84E74B02-1588-4D99-9723-0A93AE8231BF}"/>
    <cellStyle name="Migliaia 15 2 5 2 3" xfId="43864" xr:uid="{9DBDF50F-74E9-4D44-BCBB-9CADF7AA407F}"/>
    <cellStyle name="Migliaia 15 2 5 3" xfId="36080" xr:uid="{7D8350C7-5B92-4BD3-969B-0BB330E42B92}"/>
    <cellStyle name="Migliaia 15 2 5 4" xfId="41213" xr:uid="{69BCCED4-DCED-4A4B-84DD-F28E9FF42950}"/>
    <cellStyle name="Migliaia 15 2 5 5" xfId="13108" xr:uid="{6CE107F1-6880-4D06-B545-74A311F015D3}"/>
    <cellStyle name="Migliaia 15 2 6" xfId="3194" xr:uid="{7C2277CD-4845-4997-B428-97F4B1717E11}"/>
    <cellStyle name="Migliaia 15 2 6 2" xfId="33185" xr:uid="{18F26002-6342-4F10-A562-85CF6354D745}"/>
    <cellStyle name="Migliaia 15 2 6 2 2" xfId="38563" xr:uid="{D146C577-3762-456A-9EDA-8FAE59C0EAC2}"/>
    <cellStyle name="Migliaia 15 2 6 2 3" xfId="43865" xr:uid="{E5447242-8755-4A5C-AE6A-6C869F8DB1A0}"/>
    <cellStyle name="Migliaia 15 2 6 3" xfId="36081" xr:uid="{8C9EB6F4-AA78-43BB-B460-E37893D392B4}"/>
    <cellStyle name="Migliaia 15 2 6 4" xfId="41214" xr:uid="{5CCC43EC-D958-4FAC-95EA-A4A4FD77DC10}"/>
    <cellStyle name="Migliaia 15 2 6 5" xfId="24329" xr:uid="{E5EC63EE-08FF-4B95-911F-857B902BF3A0}"/>
    <cellStyle name="Migliaia 15 2 6 6" xfId="19913" xr:uid="{E13C2399-E29C-4A8A-AC93-95778FD5E03C}"/>
    <cellStyle name="Migliaia 15 2 7" xfId="24325" xr:uid="{73372E14-D1E6-47FB-94E3-C18CE2BDC393}"/>
    <cellStyle name="Migliaia 15 2 8" xfId="7060" xr:uid="{FFD0FF5C-E011-4F4B-8BAA-089F3CBE270B}"/>
    <cellStyle name="Migliaia 15 3" xfId="323" xr:uid="{00000000-0005-0000-0000-0000F1020000}"/>
    <cellStyle name="Migliaia 15 3 10" xfId="24330" xr:uid="{D40DC108-28EB-4BE5-B584-3AA0C3B4906E}"/>
    <cellStyle name="Migliaia 15 3 11" xfId="16093" xr:uid="{CCE925FF-1A9E-4D63-ACB7-DBEFD91A60FF}"/>
    <cellStyle name="Migliaia 15 3 12" xfId="7061" xr:uid="{668EDB5D-37C0-447A-9A6A-29C98C309E13}"/>
    <cellStyle name="Migliaia 15 3 2" xfId="324" xr:uid="{00000000-0005-0000-0000-0000F2020000}"/>
    <cellStyle name="Migliaia 15 3 2 2" xfId="1684" xr:uid="{00000000-0005-0000-0000-0000F3020000}"/>
    <cellStyle name="Migliaia 15 3 2 2 2" xfId="4925" xr:uid="{A23F9B21-E516-4B42-A1A5-C78BCB985F94}"/>
    <cellStyle name="Migliaia 15 3 2 2 2 2" xfId="18376" xr:uid="{44B5F166-DEA9-4721-8764-44871C6E45DB}"/>
    <cellStyle name="Migliaia 15 3 2 2 2 2 2" xfId="21843" xr:uid="{2B07E006-1522-4BC6-96E7-60B178CE2251}"/>
    <cellStyle name="Migliaia 15 3 2 2 2 2 2 2" xfId="38564" xr:uid="{49FFF2E3-9217-457C-AD4C-934DE73E4FCD}"/>
    <cellStyle name="Migliaia 15 3 2 2 2 2 3" xfId="43866" xr:uid="{1DA434DE-2151-4D4E-A9E3-F626BD49E8A4}"/>
    <cellStyle name="Migliaia 15 3 2 2 2 2 4" xfId="33186" xr:uid="{635AB27F-C8AD-47FB-9EEE-0031F22331C5}"/>
    <cellStyle name="Migliaia 15 3 2 2 2 3" xfId="36082" xr:uid="{93F31CB1-DEFE-474C-9DCB-872313FFC23C}"/>
    <cellStyle name="Migliaia 15 3 2 2 2 4" xfId="41215" xr:uid="{C9B17755-8B89-4522-930C-7F6CD2B33BB8}"/>
    <cellStyle name="Migliaia 15 3 2 2 2 5" xfId="48485" xr:uid="{BCE3C54A-EC5D-4D0B-BF6D-B42790C2E061}"/>
    <cellStyle name="Migliaia 15 3 2 2 2 6" xfId="50871" xr:uid="{D4A9BCC9-6C24-4A7A-B765-37577262EBA3}"/>
    <cellStyle name="Migliaia 15 3 2 2 2 7" xfId="53887" xr:uid="{F498E164-03C1-4082-A9BE-586BB67F08CE}"/>
    <cellStyle name="Migliaia 15 3 2 2 2 8" xfId="17644" xr:uid="{53897B8B-978E-49DC-942E-D125F85E15F1}"/>
    <cellStyle name="Migliaia 15 3 2 2 2 9" xfId="11907" xr:uid="{FD08D605-6014-436A-A437-2768C68FCAB3}"/>
    <cellStyle name="Migliaia 15 3 2 2 3" xfId="6143" xr:uid="{9B1CE36B-50AB-4823-B464-F06ED05E7278}"/>
    <cellStyle name="Migliaia 15 3 2 2 3 2" xfId="11685" xr:uid="{76D5CF1F-3F61-45AB-9FDA-6164AA3B3482}"/>
    <cellStyle name="Migliaia 15 3 2 2 4" xfId="3199" xr:uid="{9BE245FA-3D26-4EEB-8E8D-683B64F61F6B}"/>
    <cellStyle name="Migliaia 15 3 2 2 4 2" xfId="21396" xr:uid="{8B6D74E6-FF50-46E3-9237-DA6BE6B71F6E}"/>
    <cellStyle name="Migliaia 15 3 2 2 4 3" xfId="46210" xr:uid="{3CFE6D8A-76B5-4BBA-B106-9C45C2E3F8EB}"/>
    <cellStyle name="Migliaia 15 3 2 2 4 4" xfId="50411" xr:uid="{BDA18968-9D77-49C8-8A7A-A5DFF0960861}"/>
    <cellStyle name="Migliaia 15 3 2 2 4 5" xfId="53427" xr:uid="{2431C386-02A3-46B5-BC6C-08EE1A574941}"/>
    <cellStyle name="Migliaia 15 3 2 2 4 6" xfId="10761" xr:uid="{3B45739C-CB70-4285-96DC-C97D3494D1B2}"/>
    <cellStyle name="Migliaia 15 3 2 2 5" xfId="19920" xr:uid="{631B6751-0440-46D9-8204-B63D68BC5697}"/>
    <cellStyle name="Migliaia 15 3 2 2 6" xfId="24332" xr:uid="{C8E57F2F-AAF2-4FD6-899E-0DA1D28F99FA}"/>
    <cellStyle name="Migliaia 15 3 2 2 7" xfId="8518" xr:uid="{4936CCE3-33A0-43EF-8F73-6A455C17A087}"/>
    <cellStyle name="Migliaia 15 3 2 3" xfId="4924" xr:uid="{D35E0E3C-31DE-47C9-A845-D82E40A1C66C}"/>
    <cellStyle name="Migliaia 15 3 2 3 2" xfId="12422" xr:uid="{DBFDB9E4-1D28-47FF-8153-8FBBF2343008}"/>
    <cellStyle name="Migliaia 15 3 2 3 2 2" xfId="38565" xr:uid="{B6AC02F1-7DB7-42FD-B2AD-4DF80ADE0FC4}"/>
    <cellStyle name="Migliaia 15 3 2 3 2 3" xfId="43867" xr:uid="{09CEB574-E7F5-4DBB-AA11-985B4E70B9A3}"/>
    <cellStyle name="Migliaia 15 3 2 3 2 4" xfId="33187" xr:uid="{C0B2248E-68D3-4ED7-B753-25A7D9F6BC6E}"/>
    <cellStyle name="Migliaia 15 3 2 3 3" xfId="11908" xr:uid="{105B8FA4-AF3F-489D-834E-C290E2324910}"/>
    <cellStyle name="Migliaia 15 3 2 3 4" xfId="19921" xr:uid="{37962CC0-8361-48C0-8F57-0A5813CC988F}"/>
    <cellStyle name="Migliaia 15 3 2 3 4 2" xfId="41216" xr:uid="{CB848C29-1F13-4B2C-A8D9-67E92932D065}"/>
    <cellStyle name="Migliaia 15 3 2 3 5" xfId="16094" xr:uid="{E3C20EFC-B67E-401B-B0EB-506DD6A014BB}"/>
    <cellStyle name="Migliaia 15 3 2 3 6" xfId="7846" xr:uid="{28A64F2F-C9DA-48F8-A80D-7C22D2E0A692}"/>
    <cellStyle name="Migliaia 15 3 2 4" xfId="6142" xr:uid="{F3AF43DF-A99B-4688-BCE6-2E3E5B173773}"/>
    <cellStyle name="Migliaia 15 3 2 4 2" xfId="18063" xr:uid="{613AD36D-4D1A-4458-B564-FE7373138C27}"/>
    <cellStyle name="Migliaia 15 3 2 4 2 2" xfId="38566" xr:uid="{56343C3C-D9D7-4C0F-835B-1E87E90675C7}"/>
    <cellStyle name="Migliaia 15 3 2 4 2 3" xfId="43868" xr:uid="{C55F7573-BF36-4909-89FB-B5E8EE53E14A}"/>
    <cellStyle name="Migliaia 15 3 2 4 3" xfId="36084" xr:uid="{5865A52E-2C38-4C31-A850-10BDD59D5766}"/>
    <cellStyle name="Migliaia 15 3 2 4 4" xfId="41217" xr:uid="{A9B15E84-2F5E-484E-A849-F4F23859BB9E}"/>
    <cellStyle name="Migliaia 15 3 2 4 5" xfId="17148" xr:uid="{74546613-5143-41DF-BC17-5D3BD6DC56C5}"/>
    <cellStyle name="Migliaia 15 3 2 4 6" xfId="11260" xr:uid="{BFCD491A-AE83-48DE-8854-010426531088}"/>
    <cellStyle name="Migliaia 15 3 2 5" xfId="3198" xr:uid="{5E82AD15-F9A0-410A-91E5-F26E020B9186}"/>
    <cellStyle name="Migliaia 15 3 2 5 2" xfId="33188" xr:uid="{9C080A51-35BC-44A9-A9B8-CF4C9B21109B}"/>
    <cellStyle name="Migliaia 15 3 2 5 2 2" xfId="38567" xr:uid="{051CC32A-8347-4986-9730-DA16651EFA9F}"/>
    <cellStyle name="Migliaia 15 3 2 5 2 3" xfId="43869" xr:uid="{6F6DC3E7-F54D-4A9A-A593-CCB5470E3C08}"/>
    <cellStyle name="Migliaia 15 3 2 5 3" xfId="36085" xr:uid="{A771EEF5-8399-471E-9C79-E53F28CE5160}"/>
    <cellStyle name="Migliaia 15 3 2 5 4" xfId="41218" xr:uid="{24EF94EA-7F29-41D2-92EB-66A74BFD145A}"/>
    <cellStyle name="Migliaia 15 3 2 5 5" xfId="17408" xr:uid="{7A96F778-7E2A-48A6-BC18-5F86F55131A2}"/>
    <cellStyle name="Migliaia 15 3 2 6" xfId="19919" xr:uid="{DEC335CF-5750-4006-9F4D-2EC7547B6DD7}"/>
    <cellStyle name="Migliaia 15 3 2 6 2" xfId="33189" xr:uid="{12BA0B1E-C4F7-4FAE-B1A0-19D826209945}"/>
    <cellStyle name="Migliaia 15 3 2 6 2 2" xfId="38568" xr:uid="{243E513E-3AB2-4CEE-ADFF-241E64231D6D}"/>
    <cellStyle name="Migliaia 15 3 2 6 2 3" xfId="43870" xr:uid="{986B5792-8181-4ED5-89DC-BAB8B70149E1}"/>
    <cellStyle name="Migliaia 15 3 2 6 3" xfId="36086" xr:uid="{ADBB4EC0-28BA-4EE8-9458-7573BAB4DBD7}"/>
    <cellStyle name="Migliaia 15 3 2 6 4" xfId="41219" xr:uid="{63B68AFD-DD46-4D0B-80CC-C03BF2C79EE2}"/>
    <cellStyle name="Migliaia 15 3 2 6 5" xfId="24335" xr:uid="{36F942EE-4477-4637-8CD1-10E78519C580}"/>
    <cellStyle name="Migliaia 15 3 2 7" xfId="24331" xr:uid="{395FBB99-BC3F-491B-BDB7-557685363973}"/>
    <cellStyle name="Migliaia 15 3 2 8" xfId="7328" xr:uid="{F6E8A6EC-088A-4480-886D-71C00F1DCDE6}"/>
    <cellStyle name="Migliaia 15 3 3" xfId="3200" xr:uid="{D8D3A422-13AD-4B2E-9C66-20BD6A9ABA85}"/>
    <cellStyle name="Migliaia 15 3 3 10" xfId="7327" xr:uid="{7C32527C-D102-442D-9B31-7F2627BAC3FA}"/>
    <cellStyle name="Migliaia 15 3 3 2" xfId="4926" xr:uid="{BA3E4949-F9B6-40BC-A13D-9C45349CF198}"/>
    <cellStyle name="Migliaia 15 3 3 2 2" xfId="9894" xr:uid="{D611FEA1-672B-43DB-A961-533DE1CAF6C6}"/>
    <cellStyle name="Migliaia 15 3 3 2 2 2" xfId="38570" xr:uid="{C3BB2381-EA62-46E3-8EC9-AD92FFF66538}"/>
    <cellStyle name="Migliaia 15 3 3 2 2 3" xfId="43872" xr:uid="{0C1A2697-B19A-4B22-B5E8-9A1BD7DAAB82}"/>
    <cellStyle name="Migliaia 15 3 3 2 3" xfId="18174" xr:uid="{C93684CA-CFC1-4458-AB76-A90677D86A45}"/>
    <cellStyle name="Migliaia 15 3 3 2 4" xfId="19923" xr:uid="{0EC98329-D4FB-4F38-B0E5-A4CD29494025}"/>
    <cellStyle name="Migliaia 15 3 3 2 4 2" xfId="41221" xr:uid="{169593CC-CE45-4EED-BA1D-81833AF6AD32}"/>
    <cellStyle name="Migliaia 15 3 3 2 5" xfId="16096" xr:uid="{8B38113D-1E68-43C8-BFB9-9CB8DEDA68A7}"/>
    <cellStyle name="Migliaia 15 3 3 2 6" xfId="8517" xr:uid="{460EA830-7CC0-4E3D-AA51-35D7F9F77631}"/>
    <cellStyle name="Migliaia 15 3 3 3" xfId="6144" xr:uid="{F3155F4F-FE05-4660-A85F-A83E0B774135}"/>
    <cellStyle name="Migliaia 15 3 3 3 2" xfId="33191" xr:uid="{A1FB5D6A-29F5-4C56-B2F7-69B2DED4F336}"/>
    <cellStyle name="Migliaia 15 3 3 3 2 2" xfId="38571" xr:uid="{9519E60B-0B55-4A46-B153-427CDBCEEA06}"/>
    <cellStyle name="Migliaia 15 3 3 3 2 3" xfId="43873" xr:uid="{DB994C24-C141-48E4-AB9F-05C451BCC237}"/>
    <cellStyle name="Migliaia 15 3 3 3 3" xfId="36088" xr:uid="{4441885D-DE21-4B34-8C3B-95EB2AF2BC96}"/>
    <cellStyle name="Migliaia 15 3 3 3 4" xfId="41222" xr:uid="{774906B2-CADC-40AF-BDE7-556C65CD7966}"/>
    <cellStyle name="Migliaia 15 3 3 3 5" xfId="9657" xr:uid="{B89BB049-B9E5-4090-B6EB-89DD6AF8AE32}"/>
    <cellStyle name="Migliaia 15 3 3 4" xfId="19922" xr:uid="{3E1B9852-0825-444A-A13F-EA992469C130}"/>
    <cellStyle name="Migliaia 15 3 3 4 2" xfId="33192" xr:uid="{EA8F1862-6011-4C28-8E2F-C43E9B432C26}"/>
    <cellStyle name="Migliaia 15 3 3 4 2 2" xfId="38572" xr:uid="{ECC96FCD-1457-49F6-9179-C8FEDB4687CA}"/>
    <cellStyle name="Migliaia 15 3 3 4 2 3" xfId="43874" xr:uid="{A7E49DAA-954E-4D5C-8088-08A68C0234F2}"/>
    <cellStyle name="Migliaia 15 3 3 4 3" xfId="36089" xr:uid="{A656913F-B9D7-4DE0-9B74-A2B8F96F9BED}"/>
    <cellStyle name="Migliaia 15 3 3 4 4" xfId="41223" xr:uid="{08093C6B-BD16-4BF5-A890-B272537D0B8D}"/>
    <cellStyle name="Migliaia 15 3 3 4 5" xfId="24336" xr:uid="{B4DB413B-05F5-47DB-8545-173347434EED}"/>
    <cellStyle name="Migliaia 15 3 3 5" xfId="24337" xr:uid="{E7367F17-670B-43E2-AB9A-303738C45EBE}"/>
    <cellStyle name="Migliaia 15 3 3 5 2" xfId="33193" xr:uid="{8BE0B32C-A42E-4E44-86B1-8ED7920C399C}"/>
    <cellStyle name="Migliaia 15 3 3 5 2 2" xfId="38573" xr:uid="{B50F54C9-D5FD-49CB-B16C-2405E3D6C8B5}"/>
    <cellStyle name="Migliaia 15 3 3 5 2 3" xfId="43875" xr:uid="{DC9D3F08-3CB6-423A-9053-1DA216A0B0AF}"/>
    <cellStyle name="Migliaia 15 3 3 5 3" xfId="36090" xr:uid="{FF8B30C5-EB8B-4311-A185-F9DF646EDC71}"/>
    <cellStyle name="Migliaia 15 3 3 5 4" xfId="41224" xr:uid="{FC93AAE0-6E0F-438F-9A24-D8042B78E1E6}"/>
    <cellStyle name="Migliaia 15 3 3 6" xfId="33190" xr:uid="{77B56A12-1F72-42CB-86E6-32150B92896D}"/>
    <cellStyle name="Migliaia 15 3 3 6 2" xfId="38569" xr:uid="{433FC8B3-654D-4A82-96A3-3F8B8C014DB7}"/>
    <cellStyle name="Migliaia 15 3 3 6 3" xfId="43871" xr:uid="{202F1EE6-A0F5-40C5-B052-D71D1F5591EA}"/>
    <cellStyle name="Migliaia 15 3 3 7" xfId="36087" xr:uid="{8BEE766D-EEAB-47B1-B4CE-FAF3E16865F0}"/>
    <cellStyle name="Migliaia 15 3 3 8" xfId="41220" xr:uid="{9C5713C9-A789-4F2A-8B7F-B7C26C72C012}"/>
    <cellStyle name="Migliaia 15 3 3 9" xfId="16095" xr:uid="{4D259F98-DDB9-499B-9FBA-F7F991918B1E}"/>
    <cellStyle name="Migliaia 15 3 4" xfId="3201" xr:uid="{BF52E8F6-432C-4E48-9E70-815FE8DBC92E}"/>
    <cellStyle name="Migliaia 15 3 4 2" xfId="4927" xr:uid="{0688F647-C651-4606-9B37-A716D0090F0B}"/>
    <cellStyle name="Migliaia 15 3 4 2 2" xfId="14429" xr:uid="{6D0CB39E-B78F-4A97-A575-D9E2893E92FD}"/>
    <cellStyle name="Migliaia 15 3 4 2 3" xfId="18591" xr:uid="{68EAA470-FD29-49C2-870C-46E23FA89D7D}"/>
    <cellStyle name="Migliaia 15 3 4 2 4" xfId="19925" xr:uid="{0D5D0468-BB56-40CF-B715-FAEB5FFB299D}"/>
    <cellStyle name="Migliaia 15 3 4 2 5" xfId="32312" xr:uid="{6ECB50DE-FB38-47A8-B745-8D2088A891ED}"/>
    <cellStyle name="Migliaia 15 3 4 2 6" xfId="16098" xr:uid="{A7A555EB-2F8D-4F9A-823C-E5ABB57E1C16}"/>
    <cellStyle name="Migliaia 15 3 4 2 7" xfId="8852" xr:uid="{03E22A7D-1F54-465B-9551-45DBEB5A947C}"/>
    <cellStyle name="Migliaia 15 3 4 3" xfId="6145" xr:uid="{20358AD4-7B8A-4072-965E-BCE96F1D6104}"/>
    <cellStyle name="Migliaia 15 3 4 3 2" xfId="35165" xr:uid="{CC90B20D-142E-482B-95CD-FEDB6743A596}"/>
    <cellStyle name="Migliaia 15 3 4 3 2 2" xfId="40323" xr:uid="{072866A9-50B6-4C16-9DC2-9DC37D1269F2}"/>
    <cellStyle name="Migliaia 15 3 4 3 2 3" xfId="45625" xr:uid="{CB1C8D84-62CB-4B4F-8771-26C8D7DD3DD6}"/>
    <cellStyle name="Migliaia 15 3 4 3 3" xfId="37672" xr:uid="{10FE2FF4-A723-4583-A7E3-82528810F8BC}"/>
    <cellStyle name="Migliaia 15 3 4 3 4" xfId="42974" xr:uid="{DFA97211-083D-4203-9A8E-6D64361476E2}"/>
    <cellStyle name="Migliaia 15 3 4 3 5" xfId="13677" xr:uid="{CD7C8617-4D77-4543-89DF-B1AA54EFB9CC}"/>
    <cellStyle name="Migliaia 15 3 4 4" xfId="19924" xr:uid="{D5CC2850-94BB-4674-8A7A-10A3CDD4FF24}"/>
    <cellStyle name="Migliaia 15 3 4 4 2" xfId="38574" xr:uid="{84754F8C-3B25-4F0A-A184-58F3E13CA5A8}"/>
    <cellStyle name="Migliaia 15 3 4 4 3" xfId="43876" xr:uid="{83EDC33A-A937-45B7-A393-8E6A9FED00F7}"/>
    <cellStyle name="Migliaia 15 3 4 4 4" xfId="33194" xr:uid="{5C28A453-0629-4D5C-A7C5-03F45E6C19C7}"/>
    <cellStyle name="Migliaia 15 3 4 5" xfId="36091" xr:uid="{DABC904D-C8A7-41C4-A6CB-99A589FCA8AD}"/>
    <cellStyle name="Migliaia 15 3 4 6" xfId="41225" xr:uid="{9229A211-7576-478C-AFBC-F5160B4F5AC6}"/>
    <cellStyle name="Migliaia 15 3 4 7" xfId="16097" xr:uid="{6DD76090-C7BB-4A29-80A3-621B06060CFB}"/>
    <cellStyle name="Migliaia 15 3 4 8" xfId="7662" xr:uid="{65DACACE-587A-465D-BC04-F3C147C9E582}"/>
    <cellStyle name="Migliaia 15 3 5" xfId="3202" xr:uid="{906EC72C-390D-4FAF-BC90-1C63139743B5}"/>
    <cellStyle name="Migliaia 15 3 5 2" xfId="4928" xr:uid="{6C2BE880-1069-4E36-8FFB-74E0B90B150E}"/>
    <cellStyle name="Migliaia 15 3 5 2 2" xfId="35166" xr:uid="{C8F63AC4-0446-4818-BDE2-4502FE84277E}"/>
    <cellStyle name="Migliaia 15 3 5 2 2 2" xfId="40324" xr:uid="{8BD5BA2F-E985-4C2D-8909-E8A90D7B6B98}"/>
    <cellStyle name="Migliaia 15 3 5 2 2 3" xfId="45626" xr:uid="{C8E66F7B-80EE-43EB-883E-F2E23B3F9B3B}"/>
    <cellStyle name="Migliaia 15 3 5 2 3" xfId="37673" xr:uid="{EB9A4446-0A6B-4272-A020-22E812986353}"/>
    <cellStyle name="Migliaia 15 3 5 2 4" xfId="42975" xr:uid="{5C4378FA-DB03-431F-9999-074076FF4DB9}"/>
    <cellStyle name="Migliaia 15 3 5 2 5" xfId="14198" xr:uid="{CE6ADBE2-BBFF-4979-B3D3-C3B752AB3D21}"/>
    <cellStyle name="Migliaia 15 3 5 3" xfId="6146" xr:uid="{6C3041CF-B857-4B58-84E7-E3655F4FCA1D}"/>
    <cellStyle name="Migliaia 15 3 5 3 2" xfId="38575" xr:uid="{B30052FC-A7EF-4875-8957-81DC639BFDCD}"/>
    <cellStyle name="Migliaia 15 3 5 3 3" xfId="43877" xr:uid="{A50B9900-4836-4DB9-B2C0-14B981109C22}"/>
    <cellStyle name="Migliaia 15 3 5 3 4" xfId="33195" xr:uid="{0C1447ED-51FF-40E8-A673-7B0A56A7C03D}"/>
    <cellStyle name="Migliaia 15 3 5 3 5" xfId="19926" xr:uid="{CF39F007-F988-40EF-B3C6-9984E811069D}"/>
    <cellStyle name="Migliaia 15 3 5 4" xfId="36092" xr:uid="{56AE81C5-9746-4BF5-AD90-85A2027B452C}"/>
    <cellStyle name="Migliaia 15 3 5 5" xfId="41226" xr:uid="{8AA7019D-4851-46DD-AC72-D198D8043BB0}"/>
    <cellStyle name="Migliaia 15 3 5 6" xfId="16099" xr:uid="{A5E56ED5-A2DF-47F6-AA9A-61429F411BE7}"/>
    <cellStyle name="Migliaia 15 3 5 7" xfId="8260" xr:uid="{B8C60512-9A0E-41EE-B429-64BAE20F162F}"/>
    <cellStyle name="Migliaia 15 3 6" xfId="4923" xr:uid="{1D5A5665-20A8-4010-B6BE-CC7C9D7435FE}"/>
    <cellStyle name="Migliaia 15 3 6 2" xfId="13901" xr:uid="{5088B75D-4B4C-4BAC-8AAE-5A12E078B90C}"/>
    <cellStyle name="Migliaia 15 3 6 2 2" xfId="38576" xr:uid="{02117926-BD2C-44A5-A1B2-6293053D2FA7}"/>
    <cellStyle name="Migliaia 15 3 6 2 3" xfId="43878" xr:uid="{DD9ED174-3985-4B34-AB0F-E79FFE9D81ED}"/>
    <cellStyle name="Migliaia 15 3 6 3" xfId="18723" xr:uid="{FAE251E3-9E2F-4F12-A44B-4111103BDF11}"/>
    <cellStyle name="Migliaia 15 3 6 4" xfId="19927" xr:uid="{A336C3E9-7374-4F12-8DDC-77519D6D56B4}"/>
    <cellStyle name="Migliaia 15 3 6 4 2" xfId="41227" xr:uid="{77EB948E-2AEA-44F0-B34B-DD6DFA064CB2}"/>
    <cellStyle name="Migliaia 15 3 6 5" xfId="16100" xr:uid="{D04FA320-5E0A-447F-8682-F606F7188830}"/>
    <cellStyle name="Migliaia 15 3 6 6" xfId="7845" xr:uid="{97FAE22F-7694-4004-93CF-96ECB7DE0DAD}"/>
    <cellStyle name="Migliaia 15 3 7" xfId="6141" xr:uid="{76D5811D-D168-4737-B64B-386D4C94D7D3}"/>
    <cellStyle name="Migliaia 15 3 7 2" xfId="33196" xr:uid="{725C7AAF-8892-4AB6-B275-E3FEE32E3394}"/>
    <cellStyle name="Migliaia 15 3 7 2 2" xfId="38577" xr:uid="{4238FA93-64EC-4848-8856-24090CE9A882}"/>
    <cellStyle name="Migliaia 15 3 7 2 3" xfId="43879" xr:uid="{88AF4724-1761-4840-90AA-23591146BFDB}"/>
    <cellStyle name="Migliaia 15 3 7 3" xfId="36093" xr:uid="{A443084D-6F24-47EA-AC63-1EE69E7BBCE7}"/>
    <cellStyle name="Migliaia 15 3 7 4" xfId="41228" xr:uid="{52EDE628-774D-4044-AC96-39943BA419EB}"/>
    <cellStyle name="Migliaia 15 3 7 5" xfId="12240" xr:uid="{CCA112BB-E2C6-4AD6-AAB7-73534765989F}"/>
    <cellStyle name="Migliaia 15 3 8" xfId="3197" xr:uid="{BECCB3E2-8A0A-487C-964D-9A075F5A9432}"/>
    <cellStyle name="Migliaia 15 3 8 2" xfId="33197" xr:uid="{703D4EC3-98DB-4B6B-AC3C-740BC567ADA2}"/>
    <cellStyle name="Migliaia 15 3 8 2 2" xfId="38578" xr:uid="{54CA03AE-C1E2-4F6C-8863-C158895728F9}"/>
    <cellStyle name="Migliaia 15 3 8 2 3" xfId="43880" xr:uid="{00BF184E-A4F7-443B-AC4A-24994736A3A1}"/>
    <cellStyle name="Migliaia 15 3 8 3" xfId="36094" xr:uid="{5E5D7CF4-CBF3-4AD0-958A-5E1092D42A99}"/>
    <cellStyle name="Migliaia 15 3 8 4" xfId="41229" xr:uid="{9022CFAC-355B-4193-B4A6-284AFCD79C95}"/>
    <cellStyle name="Migliaia 15 3 8 5" xfId="24338" xr:uid="{3EABDB17-BA7A-4479-ACC5-1ED84CBA7055}"/>
    <cellStyle name="Migliaia 15 3 8 6" xfId="17409" xr:uid="{14495BB6-89B9-4B3F-B2FD-EB222FBC98E3}"/>
    <cellStyle name="Migliaia 15 3 9" xfId="19918" xr:uid="{CF096428-5BDE-4C2F-82FB-775202223F29}"/>
    <cellStyle name="Migliaia 15 4" xfId="1685" xr:uid="{00000000-0005-0000-0000-0000F4020000}"/>
    <cellStyle name="Migliaia 15 4 2" xfId="1686" xr:uid="{00000000-0005-0000-0000-0000F5020000}"/>
    <cellStyle name="Migliaia 15 4 2 2" xfId="4930" xr:uid="{F0315FC7-1B6D-4DCB-9A82-93271EAED387}"/>
    <cellStyle name="Migliaia 15 4 2 2 2" xfId="33198" xr:uid="{0A49BFED-3FD1-40F3-AAAD-4DF062533BB6}"/>
    <cellStyle name="Migliaia 15 4 2 2 2 2" xfId="38579" xr:uid="{15FE8F4A-6C7D-42CF-BDD3-A2639A7705AE}"/>
    <cellStyle name="Migliaia 15 4 2 2 2 3" xfId="43881" xr:uid="{4235525F-2439-43BB-BD7D-0404B39D977D}"/>
    <cellStyle name="Migliaia 15 4 2 2 3" xfId="36095" xr:uid="{876AA161-0D39-4755-AD01-0358D3971840}"/>
    <cellStyle name="Migliaia 15 4 2 2 4" xfId="41230" xr:uid="{D678CC23-7220-4933-B139-10707F46C501}"/>
    <cellStyle name="Migliaia 15 4 2 2 5" xfId="9120" xr:uid="{08009A0D-0411-42B7-A91C-BD7D2F5D3A33}"/>
    <cellStyle name="Migliaia 15 4 2 3" xfId="3204" xr:uid="{D7D70FDB-1670-4614-90A7-3910191D886B}"/>
    <cellStyle name="Migliaia 15 4 2 3 2" xfId="33199" xr:uid="{F7FF87C4-5742-436D-A4C3-45C8D650F781}"/>
    <cellStyle name="Migliaia 15 4 2 3 2 2" xfId="38580" xr:uid="{C6075D65-73C4-4812-9162-A9EB89BF9FF3}"/>
    <cellStyle name="Migliaia 15 4 2 3 2 3" xfId="43882" xr:uid="{1859AF7B-8811-438A-BC9D-B5D6A9CC96AC}"/>
    <cellStyle name="Migliaia 15 4 2 3 3" xfId="36096" xr:uid="{34453133-AC57-47B9-B2AA-2C7229371A69}"/>
    <cellStyle name="Migliaia 15 4 2 3 4" xfId="41231" xr:uid="{77D37543-0143-4EE0-AB5D-6DE1BC0ADFD5}"/>
    <cellStyle name="Migliaia 15 4 2 3 5" xfId="11909" xr:uid="{1799EF63-05F0-45EF-85F4-7612DA0ED60D}"/>
    <cellStyle name="Migliaia 15 4 2 4" xfId="11262" xr:uid="{7EC25FB2-1DA8-4D80-8F80-CA5058E4CA8D}"/>
    <cellStyle name="Migliaia 15 4 2 5" xfId="10763" xr:uid="{4127AC4B-6ECF-4E0A-93C0-8829EE2F7A52}"/>
    <cellStyle name="Migliaia 15 4 2 5 2" xfId="21398" xr:uid="{A2D8743D-2CB8-4BC6-AEF1-02E055AFD249}"/>
    <cellStyle name="Migliaia 15 4 2 5 3" xfId="46211" xr:uid="{99815DE9-BB18-490E-8A20-746DBB447059}"/>
    <cellStyle name="Migliaia 15 4 2 5 4" xfId="50413" xr:uid="{46629FC9-E433-4B57-87D8-72584957D39D}"/>
    <cellStyle name="Migliaia 15 4 2 5 5" xfId="53429" xr:uid="{148571E1-3084-46A9-9822-96954AE1B0DB}"/>
    <cellStyle name="Migliaia 15 4 2 6" xfId="19929" xr:uid="{D74E1B6F-2760-4C77-874F-D05F30A29F7A}"/>
    <cellStyle name="Migliaia 15 4 2 7" xfId="24340" xr:uid="{96CB7F97-AC59-4E45-9D8D-FE7669A75A32}"/>
    <cellStyle name="Migliaia 15 4 2 8" xfId="8519" xr:uid="{FD2BA068-62EA-4FF6-85F5-71F951A3F397}"/>
    <cellStyle name="Migliaia 15 4 3" xfId="4929" xr:uid="{74F9374A-0F94-4442-8850-61E54C977B71}"/>
    <cellStyle name="Migliaia 15 4 3 2" xfId="18175" xr:uid="{8B019767-B1F3-42EF-A955-1C7D80B4D1FB}"/>
    <cellStyle name="Migliaia 15 4 3 2 2" xfId="38581" xr:uid="{00B5773E-0D4C-4110-8EBF-7E92CD4E2CCA}"/>
    <cellStyle name="Migliaia 15 4 3 2 3" xfId="43883" xr:uid="{FC0B8896-3A09-46BC-B9FE-4E20D708E407}"/>
    <cellStyle name="Migliaia 15 4 3 3" xfId="36097" xr:uid="{0C39596F-2AE3-4AAD-BDA7-8312594EB738}"/>
    <cellStyle name="Migliaia 15 4 3 4" xfId="41232" xr:uid="{9584CA4A-AE03-4700-B778-E587640AE6FB}"/>
    <cellStyle name="Migliaia 15 4 3 5" xfId="17407" xr:uid="{AFE243A3-15AC-4333-8555-5C256223B302}"/>
    <cellStyle name="Migliaia 15 4 3 6" xfId="9121" xr:uid="{CE69A2CE-8514-46CA-BCB4-8A375BC4A440}"/>
    <cellStyle name="Migliaia 15 4 4" xfId="6147" xr:uid="{99B47C6C-44E3-432F-BEF7-061E82C9C296}"/>
    <cellStyle name="Migliaia 15 4 4 2" xfId="33200" xr:uid="{225C6E99-BCDD-4A7D-A21C-BADCD06609BF}"/>
    <cellStyle name="Migliaia 15 4 4 2 2" xfId="38582" xr:uid="{CDEDD6E6-0962-4D30-9340-27817EF1D7F7}"/>
    <cellStyle name="Migliaia 15 4 4 2 3" xfId="43884" xr:uid="{93D50303-D849-421F-8E5E-AC543B46C274}"/>
    <cellStyle name="Migliaia 15 4 4 3" xfId="36098" xr:uid="{79F9080E-B9E7-47CE-A4E3-6A4639E34617}"/>
    <cellStyle name="Migliaia 15 4 4 4" xfId="41233" xr:uid="{BCFF5229-2614-4637-B319-FA3511BEE021}"/>
    <cellStyle name="Migliaia 15 4 4 5" xfId="11910" xr:uid="{8262A869-0C79-46BD-B010-CA258380DAE7}"/>
    <cellStyle name="Migliaia 15 4 5" xfId="3203" xr:uid="{3C459EEA-2071-4A48-9706-F3AA822F3A39}"/>
    <cellStyle name="Migliaia 15 4 5 2" xfId="33201" xr:uid="{B5F1F146-AD1E-443C-8907-D57DF38914A0}"/>
    <cellStyle name="Migliaia 15 4 5 2 2" xfId="38583" xr:uid="{D722A848-8E23-4F6D-9D01-57AC030B2A60}"/>
    <cellStyle name="Migliaia 15 4 5 2 3" xfId="43885" xr:uid="{F3A4B3B9-C2EC-4932-A1C1-C2FF657666AE}"/>
    <cellStyle name="Migliaia 15 4 5 3" xfId="36099" xr:uid="{4C9B3F0C-4CD9-4FFB-8EBC-9E3EBCDA3CCE}"/>
    <cellStyle name="Migliaia 15 4 5 4" xfId="41234" xr:uid="{CC916DAA-BD2A-4D9D-B519-B7141A50A5CA}"/>
    <cellStyle name="Migliaia 15 4 5 5" xfId="11261" xr:uid="{25DF2ABC-5AB5-49D2-86D1-1EFCB326376D}"/>
    <cellStyle name="Migliaia 15 4 6" xfId="10762" xr:uid="{09143AFD-0ABB-4F1B-883F-A1DA59BEADFC}"/>
    <cellStyle name="Migliaia 15 4 6 2" xfId="21397" xr:uid="{5251B042-ED16-4026-ADDF-BE0CBF8F1C69}"/>
    <cellStyle name="Migliaia 15 4 6 2 2" xfId="38584" xr:uid="{903DD8CB-B6F7-419B-A9BB-FD08F0604A15}"/>
    <cellStyle name="Migliaia 15 4 6 2 3" xfId="43886" xr:uid="{20CE1D35-53C7-4261-8460-0CD3F7FC5281}"/>
    <cellStyle name="Migliaia 15 4 6 2 4" xfId="33202" xr:uid="{D99B4463-4F33-4E85-82EF-2E7C382C63BD}"/>
    <cellStyle name="Migliaia 15 4 6 3" xfId="36100" xr:uid="{D53F2F64-EE9B-4AC0-9CC7-F7F0FCDAD3DD}"/>
    <cellStyle name="Migliaia 15 4 6 4" xfId="41235" xr:uid="{845009BB-DDAE-4480-968F-9E2F52FA5243}"/>
    <cellStyle name="Migliaia 15 4 6 5" xfId="24341" xr:uid="{D2CCA8C5-76F0-4006-B720-581FB04CE051}"/>
    <cellStyle name="Migliaia 15 4 6 6" xfId="48171" xr:uid="{1D6983AF-E2C4-4213-A661-246918E54E99}"/>
    <cellStyle name="Migliaia 15 4 6 7" xfId="50412" xr:uid="{C7FA1F9B-178B-48DB-9F27-4BDD74053704}"/>
    <cellStyle name="Migliaia 15 4 6 8" xfId="53428" xr:uid="{839A56CC-F103-49C0-AFA5-CB3519C272DA}"/>
    <cellStyle name="Migliaia 15 4 7" xfId="19928" xr:uid="{E8C8E4FC-9621-4925-BE3D-51AA09C436CD}"/>
    <cellStyle name="Migliaia 15 4 7 2" xfId="33203" xr:uid="{A6CF1D92-4817-4F0C-9298-36D0381852C9}"/>
    <cellStyle name="Migliaia 15 4 7 2 2" xfId="38585" xr:uid="{CA13D40F-EC12-42FF-98F3-D2FDC20803AB}"/>
    <cellStyle name="Migliaia 15 4 7 2 3" xfId="43887" xr:uid="{AB2FD64F-D60C-4EF2-A592-673651223788}"/>
    <cellStyle name="Migliaia 15 4 7 3" xfId="36101" xr:uid="{8E1653DB-6071-479E-B5A6-BB4CB250645C}"/>
    <cellStyle name="Migliaia 15 4 7 4" xfId="41236" xr:uid="{4EFF631D-D700-4867-8828-8F3FBD947E39}"/>
    <cellStyle name="Migliaia 15 4 7 5" xfId="24342" xr:uid="{0BBB819A-9B21-4C29-8A5C-F8B85224AA21}"/>
    <cellStyle name="Migliaia 15 4 8" xfId="24339" xr:uid="{83696358-CEE8-462E-953D-7119B70AA20D}"/>
    <cellStyle name="Migliaia 15 4 9" xfId="7329" xr:uid="{B298B8B8-ECDB-49C3-9E3C-6964125295FB}"/>
    <cellStyle name="Migliaia 15 5" xfId="1687" xr:uid="{00000000-0005-0000-0000-0000F6020000}"/>
    <cellStyle name="Migliaia 15 5 2" xfId="4931" xr:uid="{406E4B41-3978-412D-A8EB-3DAE53749793}"/>
    <cellStyle name="Migliaia 15 5 2 2" xfId="18377" xr:uid="{CDC6A4D0-C079-4024-9D34-F2CD41D9A3E4}"/>
    <cellStyle name="Migliaia 15 5 2 2 2" xfId="38586" xr:uid="{98BE843E-DA04-4997-B8FF-443DBBA238D3}"/>
    <cellStyle name="Migliaia 15 5 2 2 3" xfId="43888" xr:uid="{6CCAE07D-6005-4DE8-8FEB-93D8CB634ABE}"/>
    <cellStyle name="Migliaia 15 5 2 3" xfId="19931" xr:uid="{6A9507A3-0A7E-40E9-A86F-75AC01E3353F}"/>
    <cellStyle name="Migliaia 15 5 2 3 2" xfId="36102" xr:uid="{8AA64F52-E913-40E3-ADF8-3720788E40E6}"/>
    <cellStyle name="Migliaia 15 5 2 4" xfId="41237" xr:uid="{E03F0380-96D2-482E-A5AE-3A2E2159DBC6}"/>
    <cellStyle name="Migliaia 15 5 2 5" xfId="16101" xr:uid="{1CECC315-7CD2-48A6-A99B-EF21C5E4E829}"/>
    <cellStyle name="Migliaia 15 5 2 6" xfId="8520" xr:uid="{C0AF20CB-9D0B-4AD1-8448-8EBA53EE0AFC}"/>
    <cellStyle name="Migliaia 15 5 3" xfId="6148" xr:uid="{BAEB0A72-3CED-432B-B54F-15E743DD28F3}"/>
    <cellStyle name="Migliaia 15 5 3 2" xfId="33204" xr:uid="{C1A468E7-D95B-4F87-8541-C795A769D11F}"/>
    <cellStyle name="Migliaia 15 5 3 2 2" xfId="38587" xr:uid="{A1DFF070-3B6D-4E2E-8CEE-49FEA2974945}"/>
    <cellStyle name="Migliaia 15 5 3 2 3" xfId="43889" xr:uid="{D1DAD569-5BBD-4FD1-AA9E-1F1B6DCE1AA1}"/>
    <cellStyle name="Migliaia 15 5 3 3" xfId="36103" xr:uid="{4034F7FB-1731-4316-8082-028602A9FCDE}"/>
    <cellStyle name="Migliaia 15 5 3 4" xfId="41238" xr:uid="{8B0ACE90-4E5B-491B-BA7B-65170AD6B89E}"/>
    <cellStyle name="Migliaia 15 5 3 5" xfId="11263" xr:uid="{58466D27-32F6-4AA0-A93B-F0E4FBBD5558}"/>
    <cellStyle name="Migliaia 15 5 4" xfId="3205" xr:uid="{A1490F85-18DA-4582-A053-BD0899C472C3}"/>
    <cellStyle name="Migliaia 15 5 4 2" xfId="21399" xr:uid="{F9EC2B49-DF8F-4CCF-BB48-FC4AC45C6C88}"/>
    <cellStyle name="Migliaia 15 5 4 2 2" xfId="38588" xr:uid="{D9848CF4-5E00-442D-ACD4-4994ADFE1430}"/>
    <cellStyle name="Migliaia 15 5 4 2 3" xfId="43890" xr:uid="{B57A342A-3D7B-4D3D-85D1-872947390C4F}"/>
    <cellStyle name="Migliaia 15 5 4 2 4" xfId="33205" xr:uid="{B0ECC455-8D57-47DF-8A93-85C4F931EBCA}"/>
    <cellStyle name="Migliaia 15 5 4 3" xfId="36104" xr:uid="{D9EE240B-C4CC-4EF7-8147-045ABAA253AC}"/>
    <cellStyle name="Migliaia 15 5 4 4" xfId="41239" xr:uid="{15FF85F9-02C1-4A67-8AC5-1E7F00DE665A}"/>
    <cellStyle name="Migliaia 15 5 4 5" xfId="24344" xr:uid="{B1D1788A-AD8E-46C6-92A1-F1D951909493}"/>
    <cellStyle name="Migliaia 15 5 4 6" xfId="33089" xr:uid="{9714EC3B-5AE4-4D29-AB26-B7B01383F863}"/>
    <cellStyle name="Migliaia 15 5 4 7" xfId="50414" xr:uid="{4C730DE1-3922-473C-9E11-ACB5C63E4D72}"/>
    <cellStyle name="Migliaia 15 5 4 8" xfId="53430" xr:uid="{E7ADE665-B312-45A4-9B84-8A2FDF0F50C7}"/>
    <cellStyle name="Migliaia 15 5 4 9" xfId="10764" xr:uid="{50C18D8C-6415-49EA-BF7D-D7BE8AC47A69}"/>
    <cellStyle name="Migliaia 15 5 5" xfId="19930" xr:uid="{59CBCC75-CBF0-47B9-90EE-EE4A9D8C9F68}"/>
    <cellStyle name="Migliaia 15 5 5 2" xfId="33206" xr:uid="{612D6F72-9062-44E5-AB21-6E83A9788EF7}"/>
    <cellStyle name="Migliaia 15 5 5 2 2" xfId="38589" xr:uid="{A0642FC7-1CB4-4182-B34F-DFE5DE79C1BD}"/>
    <cellStyle name="Migliaia 15 5 5 2 3" xfId="43891" xr:uid="{78C09E2F-E92A-4BCA-B047-006BF4354802}"/>
    <cellStyle name="Migliaia 15 5 5 3" xfId="36105" xr:uid="{3DDAADC9-4491-4367-A98A-FC6A425B5A63}"/>
    <cellStyle name="Migliaia 15 5 5 4" xfId="41240" xr:uid="{A471E0F8-0214-41BD-BEEC-2C52192C817F}"/>
    <cellStyle name="Migliaia 15 5 5 5" xfId="24345" xr:uid="{F0B2258F-8CE9-4CB2-AC00-264EA0E794EB}"/>
    <cellStyle name="Migliaia 15 5 6" xfId="24346" xr:uid="{EAC7EE6C-315E-414E-9672-2AE70720EF6F}"/>
    <cellStyle name="Migliaia 15 5 6 2" xfId="33207" xr:uid="{DA190A61-34AA-48A0-894C-761697F9E0AF}"/>
    <cellStyle name="Migliaia 15 5 6 2 2" xfId="38590" xr:uid="{2F21BCA3-90D6-4CAC-AC33-84CF97C30373}"/>
    <cellStyle name="Migliaia 15 5 6 2 3" xfId="43892" xr:uid="{A8484B54-A080-4F03-ADEE-444C0E893B33}"/>
    <cellStyle name="Migliaia 15 5 6 3" xfId="36106" xr:uid="{69539C14-30F7-463C-B90B-C30D24D07186}"/>
    <cellStyle name="Migliaia 15 5 6 4" xfId="41241" xr:uid="{F54B652D-CDA4-4C29-86D0-51E4D8F21E1E}"/>
    <cellStyle name="Migliaia 15 5 7" xfId="24343" xr:uid="{37C3FFD0-BF64-4685-A65C-F662C5E34274}"/>
    <cellStyle name="Migliaia 15 5 8" xfId="7330" xr:uid="{A543D059-332E-4B16-9F79-A3D59272FC87}"/>
    <cellStyle name="Migliaia 15 6" xfId="3206" xr:uid="{91C84716-3AB3-47AC-814F-628D07476DA0}"/>
    <cellStyle name="Migliaia 15 6 2" xfId="4932" xr:uid="{41DEB13C-20EF-4157-91D8-656487658DA6}"/>
    <cellStyle name="Migliaia 15 6 2 2" xfId="9893" xr:uid="{73946358-1D0F-43CE-9329-A27CEDCDFAF8}"/>
    <cellStyle name="Migliaia 15 6 2 3" xfId="18674" xr:uid="{E6AA9546-4717-473A-BB41-A57AAA133938}"/>
    <cellStyle name="Migliaia 15 6 2 4" xfId="19933" xr:uid="{C4EDBF7B-3B3F-4EF8-BA80-F2F6D26A87B4}"/>
    <cellStyle name="Migliaia 15 6 2 5" xfId="32313" xr:uid="{686DB2CC-B738-4D1B-8301-4766E072F276}"/>
    <cellStyle name="Migliaia 15 6 2 6" xfId="16103" xr:uid="{5C5CF37B-580E-44AC-8BED-E0D0189E2CA1}"/>
    <cellStyle name="Migliaia 15 6 2 7" xfId="8515" xr:uid="{15DFE0EB-B2B7-47C3-B027-A88F57D55162}"/>
    <cellStyle name="Migliaia 15 6 3" xfId="6149" xr:uid="{F5E79BA5-3C71-44DA-991A-6F3A3698B9D2}"/>
    <cellStyle name="Migliaia 15 6 3 2" xfId="35167" xr:uid="{E3680E98-E574-4F63-B08E-7C2A7F807C15}"/>
    <cellStyle name="Migliaia 15 6 3 2 2" xfId="40325" xr:uid="{FFC783FE-B82F-4498-8CF6-F47623F60559}"/>
    <cellStyle name="Migliaia 15 6 3 2 3" xfId="45627" xr:uid="{A50215F3-16DF-4D05-B958-B3812D371080}"/>
    <cellStyle name="Migliaia 15 6 3 3" xfId="37674" xr:uid="{1F73D95C-3861-4B73-9809-DAF20BD891C4}"/>
    <cellStyle name="Migliaia 15 6 3 4" xfId="42976" xr:uid="{4562C6A3-B2C3-4DA9-8B66-58301540C506}"/>
    <cellStyle name="Migliaia 15 6 3 5" xfId="9656" xr:uid="{B248C432-D489-4608-88F4-81F15FABD68C}"/>
    <cellStyle name="Migliaia 15 6 4" xfId="19932" xr:uid="{EDF20483-B7DA-447C-BCC8-E23106825C09}"/>
    <cellStyle name="Migliaia 15 6 4 2" xfId="38591" xr:uid="{856FE62C-EB8F-4513-B33D-40C5F6DCFDCB}"/>
    <cellStyle name="Migliaia 15 6 4 3" xfId="43893" xr:uid="{FFFC54FF-E489-4287-B71D-86CB4A87551C}"/>
    <cellStyle name="Migliaia 15 6 4 4" xfId="33208" xr:uid="{21065ECC-AF19-4A1A-9926-B1DFFEEAD8C1}"/>
    <cellStyle name="Migliaia 15 6 5" xfId="36107" xr:uid="{FE884AA2-B617-4AA9-A1F4-5DD036E9C322}"/>
    <cellStyle name="Migliaia 15 6 6" xfId="41242" xr:uid="{E6FB7D0C-4B39-45D9-80A5-59757D635509}"/>
    <cellStyle name="Migliaia 15 6 7" xfId="16102" xr:uid="{DFA394D4-90EB-4456-9A39-74B63A3B24F8}"/>
    <cellStyle name="Migliaia 15 6 8" xfId="7325" xr:uid="{C22DC42A-F004-493C-ACB8-64D07B7AC35B}"/>
    <cellStyle name="Migliaia 15 7" xfId="3207" xr:uid="{C2051085-84AA-4FB9-B3A2-8112F538E386}"/>
    <cellStyle name="Migliaia 15 7 2" xfId="4933" xr:uid="{97DD9A87-770D-4E17-9423-B9792975C01C}"/>
    <cellStyle name="Migliaia 15 7 2 2" xfId="35168" xr:uid="{77233111-71DF-4132-B39A-3C13E3BD6034}"/>
    <cellStyle name="Migliaia 15 7 2 2 2" xfId="40326" xr:uid="{9635E57B-0E1F-4262-8BBE-A282881F2E7D}"/>
    <cellStyle name="Migliaia 15 7 2 2 3" xfId="45628" xr:uid="{29CD9648-43EB-4BCE-9387-5FB9F809671C}"/>
    <cellStyle name="Migliaia 15 7 2 3" xfId="37675" xr:uid="{06F1AA65-FCF7-4C13-A5D2-BE1FCBEF267A}"/>
    <cellStyle name="Migliaia 15 7 2 4" xfId="42977" xr:uid="{6882F342-27A7-4E5C-91E9-6D9A6B47DEAB}"/>
    <cellStyle name="Migliaia 15 7 2 5" xfId="14196" xr:uid="{0A07FD1D-100F-49F9-A7EB-5A5440DDB266}"/>
    <cellStyle name="Migliaia 15 7 3" xfId="6150" xr:uid="{9D13C3A7-40DD-4DC9-A1C1-319CB80BC3E1}"/>
    <cellStyle name="Migliaia 15 7 3 2" xfId="38592" xr:uid="{B0CEC19E-3193-434C-954E-CDEC1FC2343C}"/>
    <cellStyle name="Migliaia 15 7 3 3" xfId="43894" xr:uid="{34E9F4E8-3C5A-46E0-839E-61805697986D}"/>
    <cellStyle name="Migliaia 15 7 3 4" xfId="33209" xr:uid="{3F1DA8E6-7BAC-426C-B1AD-B1940613111B}"/>
    <cellStyle name="Migliaia 15 7 3 5" xfId="19934" xr:uid="{D3651384-8636-454E-8D10-8742019EAEF4}"/>
    <cellStyle name="Migliaia 15 7 4" xfId="36108" xr:uid="{D4E69C3B-1A8B-4E54-A367-EEEFA0707C2E}"/>
    <cellStyle name="Migliaia 15 7 5" xfId="41243" xr:uid="{F07389DE-D396-43B4-8909-8D578361C9B9}"/>
    <cellStyle name="Migliaia 15 7 6" xfId="16104" xr:uid="{82DF921F-81C9-498D-9FFE-28E05C34C955}"/>
    <cellStyle name="Migliaia 15 7 7" xfId="8258" xr:uid="{40352F0E-DE47-488C-90B1-133DB4061443}"/>
    <cellStyle name="Migliaia 15 8" xfId="3208" xr:uid="{F9FB3714-966D-4FD4-84D8-F3EEDB8F10D0}"/>
    <cellStyle name="Migliaia 15 8 2" xfId="4934" xr:uid="{34E7FDAB-5CED-485A-BA5F-DDB25AF1A923}"/>
    <cellStyle name="Migliaia 15 8 2 2" xfId="35169" xr:uid="{67B1BC95-9AC0-4A58-88BB-80CA8C9401C7}"/>
    <cellStyle name="Migliaia 15 8 2 2 2" xfId="40327" xr:uid="{311012E3-D276-4BB1-A153-625CEA4F7A3F}"/>
    <cellStyle name="Migliaia 15 8 2 2 3" xfId="45629" xr:uid="{AD984597-3329-4A11-9406-78E290C18142}"/>
    <cellStyle name="Migliaia 15 8 2 3" xfId="37676" xr:uid="{15520B55-D864-44EF-91B0-E81AE0AD7607}"/>
    <cellStyle name="Migliaia 15 8 2 4" xfId="42978" xr:uid="{0E54E2B6-CBBD-4546-8455-CE1C78C4842D}"/>
    <cellStyle name="Migliaia 15 8 2 5" xfId="13899" xr:uid="{7C7BE377-4C25-4F1E-B4C0-AEC680E38782}"/>
    <cellStyle name="Migliaia 15 8 3" xfId="6151" xr:uid="{C46C367F-F677-4C36-AC0E-3E931A673B03}"/>
    <cellStyle name="Migliaia 15 8 3 2" xfId="38593" xr:uid="{E788DFCE-5D09-4061-8A10-4786C4B7F338}"/>
    <cellStyle name="Migliaia 15 8 3 3" xfId="43895" xr:uid="{78B258E9-AB28-4BEB-AFD9-1C3D1209D841}"/>
    <cellStyle name="Migliaia 15 8 3 4" xfId="33210" xr:uid="{E6BE2D53-2319-46F1-B8CC-18811ADE838A}"/>
    <cellStyle name="Migliaia 15 8 3 5" xfId="19935" xr:uid="{43378650-EB70-4468-9779-28A11CB55F2F}"/>
    <cellStyle name="Migliaia 15 8 4" xfId="36109" xr:uid="{0DC367DB-C70F-4686-92FD-D91BACD6B171}"/>
    <cellStyle name="Migliaia 15 8 5" xfId="41244" xr:uid="{B9E900DC-FCE9-4A2E-92ED-52C94EA2167F}"/>
    <cellStyle name="Migliaia 15 8 6" xfId="16105" xr:uid="{2C64FBDB-3FE3-45E5-86F1-63293CAC2349}"/>
    <cellStyle name="Migliaia 15 8 7" xfId="7843" xr:uid="{D40F5D92-DD8D-4C3B-9969-4AD4B48D2D8F}"/>
    <cellStyle name="Migliaia 15 9" xfId="4919" xr:uid="{29D03140-C706-474F-B3A8-566A2EC01030}"/>
    <cellStyle name="Migliaia 15 9 2" xfId="33211" xr:uid="{C8249F94-F5A3-4151-A7E8-21C27EAAFE39}"/>
    <cellStyle name="Migliaia 15 9 2 2" xfId="38594" xr:uid="{9AE1B65F-C3B1-4D7C-AD04-4D261E07C8E9}"/>
    <cellStyle name="Migliaia 15 9 2 3" xfId="43896" xr:uid="{F05446DD-2394-40D9-9C37-ED392EDAC6F4}"/>
    <cellStyle name="Migliaia 15 9 3" xfId="36110" xr:uid="{B01CA184-B9FC-4C79-B0CA-545ED79EAB34}"/>
    <cellStyle name="Migliaia 15 9 4" xfId="41245" xr:uid="{2ACBCD6F-0454-4578-9F60-560173BF612C}"/>
    <cellStyle name="Migliaia 15 9 5" xfId="17147" xr:uid="{186D5303-3F8F-4BAA-8C28-C568FB516A29}"/>
    <cellStyle name="Migliaia 16" xfId="325" xr:uid="{00000000-0005-0000-0000-0000F7020000}"/>
    <cellStyle name="Migliaia 16 10" xfId="6152" xr:uid="{A458F813-D2A8-40BA-9C11-FB508621C721}"/>
    <cellStyle name="Migliaia 16 10 2" xfId="38595" xr:uid="{580FFBBD-6EC9-45B7-BA77-128414CDB4C1}"/>
    <cellStyle name="Migliaia 16 10 3" xfId="43897" xr:uid="{1A4E3B8B-F111-4F77-B3E1-05B0AEC42DCE}"/>
    <cellStyle name="Migliaia 16 10 4" xfId="33212" xr:uid="{6B4A887F-920F-4474-B4B2-FCFB205C13D4}"/>
    <cellStyle name="Migliaia 16 10 5" xfId="19936" xr:uid="{EB13F93B-E979-4758-938C-945A5C438237}"/>
    <cellStyle name="Migliaia 16 11" xfId="3209" xr:uid="{D0E80C30-C1E1-4410-97DE-A42569E1E65E}"/>
    <cellStyle name="Migliaia 16 11 2" xfId="36111" xr:uid="{A23FF212-4C7F-4E1D-A939-D7C90131A548}"/>
    <cellStyle name="Migliaia 16 12" xfId="41246" xr:uid="{E4D5949E-EBFF-494E-B7E1-4DCA133B8C1D}"/>
    <cellStyle name="Migliaia 16 13" xfId="7062" xr:uid="{E9BCFE29-E45D-400C-B93D-B298A40B27F1}"/>
    <cellStyle name="Migliaia 16 2" xfId="326" xr:uid="{00000000-0005-0000-0000-0000F8020000}"/>
    <cellStyle name="Migliaia 16 2 2" xfId="1688" xr:uid="{00000000-0005-0000-0000-0000F9020000}"/>
    <cellStyle name="Migliaia 16 2 2 2" xfId="4937" xr:uid="{E1DD2827-8E5B-4DB5-A199-FEF4BD8CCCE4}"/>
    <cellStyle name="Migliaia 16 2 2 2 2" xfId="14369" xr:uid="{48F4A20E-F1E4-4070-B3BC-A290754EDA14}"/>
    <cellStyle name="Migliaia 16 2 2 2 2 2" xfId="38596" xr:uid="{483DED47-1434-4E37-877C-CB58C6A81953}"/>
    <cellStyle name="Migliaia 16 2 2 2 2 3" xfId="43898" xr:uid="{575A14C4-A833-41E5-AD60-5976B456FAE4}"/>
    <cellStyle name="Migliaia 16 2 2 2 3" xfId="18378" xr:uid="{80923644-EC6E-4E8E-9D85-932BC2E69DA0}"/>
    <cellStyle name="Migliaia 16 2 2 2 4" xfId="19939" xr:uid="{D828F2D0-763D-4811-A6F0-AA28B33822C7}"/>
    <cellStyle name="Migliaia 16 2 2 2 4 2" xfId="41247" xr:uid="{39A4F227-7A83-46B0-B968-F2722EADCE22}"/>
    <cellStyle name="Migliaia 16 2 2 2 5" xfId="16106" xr:uid="{B60F561A-C698-4358-9B46-3A8C0B586E39}"/>
    <cellStyle name="Migliaia 16 2 2 2 6" xfId="8522" xr:uid="{255A2A75-E874-450A-8E7F-B277971E51B5}"/>
    <cellStyle name="Migliaia 16 2 2 3" xfId="6154" xr:uid="{D660994A-5113-4282-AFB3-817CC42605D2}"/>
    <cellStyle name="Migliaia 16 2 2 3 2" xfId="35170" xr:uid="{4AC40687-A37B-4099-BAA0-658C94BEEBA3}"/>
    <cellStyle name="Migliaia 16 2 2 3 2 2" xfId="40328" xr:uid="{B571613A-E271-4F48-8904-85B88238A82A}"/>
    <cellStyle name="Migliaia 16 2 2 3 2 3" xfId="45630" xr:uid="{B26B5A04-E65A-4C70-B0F7-76419BFA3732}"/>
    <cellStyle name="Migliaia 16 2 2 3 3" xfId="37677" xr:uid="{67EF8772-6F3C-4910-B63C-33918878E8CF}"/>
    <cellStyle name="Migliaia 16 2 2 3 4" xfId="42979" xr:uid="{13138C05-CD9C-46C2-BAA1-822B9E657BDC}"/>
    <cellStyle name="Migliaia 16 2 2 3 5" xfId="11598" xr:uid="{CF440F0E-40C9-4C1B-8573-57687949BC45}"/>
    <cellStyle name="Migliaia 16 2 2 4" xfId="3211" xr:uid="{324ED930-B00C-4F15-8EFB-D7046203C253}"/>
    <cellStyle name="Migliaia 16 2 2 4 2" xfId="21400" xr:uid="{21EFAF0C-D56C-4220-A2D5-0023E5CAEC74}"/>
    <cellStyle name="Migliaia 16 2 2 4 3" xfId="47115" xr:uid="{106AA8EA-36D6-4645-A770-BA731C3F807D}"/>
    <cellStyle name="Migliaia 16 2 2 4 4" xfId="50415" xr:uid="{CADF2D6D-2692-479F-B08B-2F545BAEE0F0}"/>
    <cellStyle name="Migliaia 16 2 2 4 5" xfId="53431" xr:uid="{2744779D-CC06-4333-AD68-632394E11433}"/>
    <cellStyle name="Migliaia 16 2 2 4 6" xfId="10765" xr:uid="{AF36D93C-E3F0-4583-B2E7-E61EA757AA1D}"/>
    <cellStyle name="Migliaia 16 2 2 5" xfId="19938" xr:uid="{75793145-35F6-4048-8A4D-EEFD805327A4}"/>
    <cellStyle name="Migliaia 16 2 2 6" xfId="24348" xr:uid="{C89C41FE-786D-43A5-8F33-3C92A1A6B1AB}"/>
    <cellStyle name="Migliaia 16 2 2 7" xfId="7332" xr:uid="{C186AF65-D7A1-4C43-A706-6540EE788DD7}"/>
    <cellStyle name="Migliaia 16 2 3" xfId="3212" xr:uid="{8D050877-C74C-4E3B-BF05-0027D5C5482C}"/>
    <cellStyle name="Migliaia 16 2 3 2" xfId="4938" xr:uid="{25BA2046-E345-4D53-9150-232D9788F847}"/>
    <cellStyle name="Migliaia 16 2 3 2 2" xfId="35171" xr:uid="{0ADF95AA-8E7F-4F53-A2E7-FA64542A98BA}"/>
    <cellStyle name="Migliaia 16 2 3 2 2 2" xfId="40329" xr:uid="{3842A115-FFA5-4368-A80D-2F29E980C933}"/>
    <cellStyle name="Migliaia 16 2 3 2 2 3" xfId="45631" xr:uid="{3CAA23FA-7F6C-46A8-928C-E251B1E21A6F}"/>
    <cellStyle name="Migliaia 16 2 3 2 3" xfId="37678" xr:uid="{E28C9AE9-BF45-4B6C-955E-4C6F83368F85}"/>
    <cellStyle name="Migliaia 16 2 3 2 4" xfId="42980" xr:uid="{82C04E44-41B6-4B9E-9DCC-499CD0299503}"/>
    <cellStyle name="Migliaia 16 2 3 2 5" xfId="14200" xr:uid="{48631341-D131-4E5C-920B-F92DCF614C25}"/>
    <cellStyle name="Migliaia 16 2 3 3" xfId="6155" xr:uid="{E223A856-631D-4177-B855-17F93EF56F47}"/>
    <cellStyle name="Migliaia 16 2 3 3 2" xfId="38597" xr:uid="{3069F65E-99EC-4701-81E5-24B853157E9E}"/>
    <cellStyle name="Migliaia 16 2 3 3 3" xfId="43899" xr:uid="{1D9A3A2B-8644-4F1B-AA8E-91FAF6A16488}"/>
    <cellStyle name="Migliaia 16 2 3 3 4" xfId="33213" xr:uid="{7A6B18F3-5937-4423-9D4A-6AA5A682A712}"/>
    <cellStyle name="Migliaia 16 2 3 3 5" xfId="19940" xr:uid="{129FBC72-626D-4991-9A32-02A98F2A2B54}"/>
    <cellStyle name="Migliaia 16 2 3 4" xfId="36112" xr:uid="{60B6AA46-8355-421E-919D-337470BF36E1}"/>
    <cellStyle name="Migliaia 16 2 3 5" xfId="41248" xr:uid="{560FA2C2-F049-4599-9ACD-EA193946A008}"/>
    <cellStyle name="Migliaia 16 2 3 6" xfId="16107" xr:uid="{F7530E43-7845-472F-B8D6-8657FDBBA7B5}"/>
    <cellStyle name="Migliaia 16 2 3 7" xfId="8262" xr:uid="{AA5ABC2C-BEC1-4235-A529-7800FEF158B9}"/>
    <cellStyle name="Migliaia 16 2 4" xfId="4936" xr:uid="{A6CD6303-25FE-4FA1-980D-0C8F0846086D}"/>
    <cellStyle name="Migliaia 16 2 4 2" xfId="13903" xr:uid="{1C6018B7-30C1-4058-812C-1976E9DFFAB1}"/>
    <cellStyle name="Migliaia 16 2 4 2 2" xfId="38598" xr:uid="{C4FE7BF6-DDBC-462B-9928-095AA55C1FE4}"/>
    <cellStyle name="Migliaia 16 2 4 2 3" xfId="43900" xr:uid="{5447D9B4-5913-4E6A-B937-8E2483F8A772}"/>
    <cellStyle name="Migliaia 16 2 4 3" xfId="18015" xr:uid="{3EB38968-6DF8-48D0-9188-5BAB43520042}"/>
    <cellStyle name="Migliaia 16 2 4 4" xfId="19941" xr:uid="{0884916E-335F-49A4-B63A-D0A0704898EE}"/>
    <cellStyle name="Migliaia 16 2 4 4 2" xfId="41249" xr:uid="{3D0369B8-B3DD-4755-A559-45901E368969}"/>
    <cellStyle name="Migliaia 16 2 4 5" xfId="16108" xr:uid="{A10AD8B7-2E88-4F55-B4B3-66FB036C890E}"/>
    <cellStyle name="Migliaia 16 2 4 6" xfId="7848" xr:uid="{18CE678E-9656-46D4-880C-EA6F1FE3CE29}"/>
    <cellStyle name="Migliaia 16 2 5" xfId="6153" xr:uid="{B2950C2F-0546-4574-A6DD-4BE0709E50BE}"/>
    <cellStyle name="Migliaia 16 2 5 2" xfId="33214" xr:uid="{8DBB98E3-CB5C-409A-97A2-6FDD46E6B63F}"/>
    <cellStyle name="Migliaia 16 2 5 2 2" xfId="38599" xr:uid="{7C8B14BD-951C-425E-B77F-084A5495556F}"/>
    <cellStyle name="Migliaia 16 2 5 2 3" xfId="43901" xr:uid="{38F1C8C5-6D95-4C73-AF4B-A4E8B382EA2E}"/>
    <cellStyle name="Migliaia 16 2 5 3" xfId="36113" xr:uid="{ED133F94-C983-4F5C-8B6C-231ED2EE94AE}"/>
    <cellStyle name="Migliaia 16 2 5 4" xfId="41250" xr:uid="{50B4E326-E5DE-413E-ACAC-12417BD562B0}"/>
    <cellStyle name="Migliaia 16 2 5 5" xfId="13109" xr:uid="{EB0A5617-FDF1-45CA-8775-A64040C2B70A}"/>
    <cellStyle name="Migliaia 16 2 6" xfId="3210" xr:uid="{8368FD26-3CEC-4A82-80D5-403BC16C9C61}"/>
    <cellStyle name="Migliaia 16 2 6 2" xfId="33215" xr:uid="{0E92BFCF-9DD9-4146-8F03-78481DA34BC9}"/>
    <cellStyle name="Migliaia 16 2 6 2 2" xfId="38600" xr:uid="{534B4425-6322-4315-BA6D-1E930D71C1B8}"/>
    <cellStyle name="Migliaia 16 2 6 2 3" xfId="43902" xr:uid="{21DB6734-8A1C-42EE-A389-1C071CA3A89C}"/>
    <cellStyle name="Migliaia 16 2 6 3" xfId="36114" xr:uid="{BF8547DC-1E9A-4326-83A1-64C5FA8E7BE6}"/>
    <cellStyle name="Migliaia 16 2 6 4" xfId="41251" xr:uid="{9D146AFE-343F-42A4-85F7-321F9A49398F}"/>
    <cellStyle name="Migliaia 16 2 6 5" xfId="24349" xr:uid="{CCDF1F01-BB63-45FC-83F3-BF6443298462}"/>
    <cellStyle name="Migliaia 16 2 6 6" xfId="19937" xr:uid="{CB8D31F7-2BA9-40DA-80F9-0594FE977433}"/>
    <cellStyle name="Migliaia 16 2 7" xfId="24347" xr:uid="{DCF8C17D-F1FF-4296-AA7F-D0D534648B1E}"/>
    <cellStyle name="Migliaia 16 2 8" xfId="7063" xr:uid="{20D80B1C-69F5-4D8B-A5A1-04BF3AA5AD33}"/>
    <cellStyle name="Migliaia 16 3" xfId="327" xr:uid="{00000000-0005-0000-0000-0000FA020000}"/>
    <cellStyle name="Migliaia 16 3 10" xfId="24350" xr:uid="{B1101935-AAA4-4E58-A7F1-D2B0CC60E34E}"/>
    <cellStyle name="Migliaia 16 3 11" xfId="16109" xr:uid="{70794D43-0390-4B01-99C5-B9D0E3A7FF6B}"/>
    <cellStyle name="Migliaia 16 3 12" xfId="7064" xr:uid="{AA8E639A-0D6A-4265-B2FD-7C4FE62ADC78}"/>
    <cellStyle name="Migliaia 16 3 2" xfId="328" xr:uid="{00000000-0005-0000-0000-0000FB020000}"/>
    <cellStyle name="Migliaia 16 3 2 2" xfId="1689" xr:uid="{00000000-0005-0000-0000-0000FC020000}"/>
    <cellStyle name="Migliaia 16 3 2 2 2" xfId="4941" xr:uid="{D5C00C69-87FB-428A-B87A-C0A76BFFEBF9}"/>
    <cellStyle name="Migliaia 16 3 2 2 2 2" xfId="18379" xr:uid="{7D027C33-FF8F-49A2-BDB0-FA39C4851CD1}"/>
    <cellStyle name="Migliaia 16 3 2 2 2 2 2" xfId="21844" xr:uid="{A863E0A2-73EB-4A35-AA4B-7DE60306830F}"/>
    <cellStyle name="Migliaia 16 3 2 2 2 2 2 2" xfId="38601" xr:uid="{13602CA6-863D-45E5-847C-973C06EA5570}"/>
    <cellStyle name="Migliaia 16 3 2 2 2 2 3" xfId="43903" xr:uid="{863AF04C-8573-4EED-817E-9C97AF1780B5}"/>
    <cellStyle name="Migliaia 16 3 2 2 2 2 4" xfId="33216" xr:uid="{8793F260-04CE-40B1-AECE-1E94E2378364}"/>
    <cellStyle name="Migliaia 16 3 2 2 2 3" xfId="36115" xr:uid="{F7801852-DE25-4565-BD81-8B6F72DAE665}"/>
    <cellStyle name="Migliaia 16 3 2 2 2 4" xfId="41252" xr:uid="{660B5676-A503-4A0F-B911-AD997596D0BA}"/>
    <cellStyle name="Migliaia 16 3 2 2 2 5" xfId="47450" xr:uid="{29A33919-FE04-46EA-99CD-3E0D0B5EEF58}"/>
    <cellStyle name="Migliaia 16 3 2 2 2 6" xfId="50872" xr:uid="{5CBC10B4-02B1-480E-BA08-BF1EDF727C8A}"/>
    <cellStyle name="Migliaia 16 3 2 2 2 7" xfId="53888" xr:uid="{F9B12965-B0FE-49D3-8AAD-03C05D613A94}"/>
    <cellStyle name="Migliaia 16 3 2 2 2 8" xfId="17645" xr:uid="{1658718C-B791-4456-A8D8-D90BD5D66184}"/>
    <cellStyle name="Migliaia 16 3 2 2 2 9" xfId="11911" xr:uid="{6EA20DDE-EDC5-4B9B-8875-646B719DF6AF}"/>
    <cellStyle name="Migliaia 16 3 2 2 3" xfId="6158" xr:uid="{7ED3B557-4352-409A-B9F7-CA638A0C95DD}"/>
    <cellStyle name="Migliaia 16 3 2 2 3 2" xfId="11686" xr:uid="{9AD16051-B1D7-4575-969B-A079C5F0B6BF}"/>
    <cellStyle name="Migliaia 16 3 2 2 4" xfId="3215" xr:uid="{6BEF3A34-01EF-4ECC-AC62-39BA76C482F6}"/>
    <cellStyle name="Migliaia 16 3 2 2 4 2" xfId="21401" xr:uid="{5CC6138A-3A1E-49C0-97A5-3D671B369EB2}"/>
    <cellStyle name="Migliaia 16 3 2 2 4 3" xfId="47301" xr:uid="{A31D9E93-FD5A-45AC-9127-06517B651F28}"/>
    <cellStyle name="Migliaia 16 3 2 2 4 4" xfId="50416" xr:uid="{DB671147-669F-42F7-A0DB-B0C44606AB16}"/>
    <cellStyle name="Migliaia 16 3 2 2 4 5" xfId="53432" xr:uid="{B0D8FC51-3BDC-4601-ACEA-92AC588D859B}"/>
    <cellStyle name="Migliaia 16 3 2 2 4 6" xfId="10766" xr:uid="{A2CE2A4D-8F58-40F1-A883-166E429C9B73}"/>
    <cellStyle name="Migliaia 16 3 2 2 5" xfId="19944" xr:uid="{DEF6BB5F-0363-47AC-8E2B-0532382ED797}"/>
    <cellStyle name="Migliaia 16 3 2 2 6" xfId="24352" xr:uid="{EFA82FBE-AD4F-45AD-B46F-9778C71017C0}"/>
    <cellStyle name="Migliaia 16 3 2 2 7" xfId="8524" xr:uid="{2991651A-2CC2-4996-B5C0-C716763E8880}"/>
    <cellStyle name="Migliaia 16 3 2 3" xfId="4940" xr:uid="{8C06B9D4-7CA3-4861-B45B-20C32E99E95C}"/>
    <cellStyle name="Migliaia 16 3 2 3 2" xfId="12421" xr:uid="{91FD7417-6EC0-4B07-89ED-22A9667BBBFF}"/>
    <cellStyle name="Migliaia 16 3 2 3 2 2" xfId="38602" xr:uid="{6EA744AC-051D-4220-AE79-98695875EAC7}"/>
    <cellStyle name="Migliaia 16 3 2 3 2 3" xfId="43904" xr:uid="{0C5FC094-8E71-44C9-8B10-35D1EB8F1F35}"/>
    <cellStyle name="Migliaia 16 3 2 3 2 4" xfId="33217" xr:uid="{F84A9AA8-7CD8-4F92-B819-EA70EB62BFDA}"/>
    <cellStyle name="Migliaia 16 3 2 3 3" xfId="11912" xr:uid="{E8780139-44FD-44F8-8DF3-3FA490D21425}"/>
    <cellStyle name="Migliaia 16 3 2 3 4" xfId="19945" xr:uid="{02A59375-880C-4CDD-A01A-99C77FF591C9}"/>
    <cellStyle name="Migliaia 16 3 2 3 4 2" xfId="41253" xr:uid="{9F749291-5D93-4176-B2D9-E17E6DFCA50A}"/>
    <cellStyle name="Migliaia 16 3 2 3 5" xfId="16110" xr:uid="{763DC202-9C01-42B2-AB45-793367135D21}"/>
    <cellStyle name="Migliaia 16 3 2 3 6" xfId="7850" xr:uid="{AD3BC069-8281-402B-B4E3-11EF8680322D}"/>
    <cellStyle name="Migliaia 16 3 2 4" xfId="6157" xr:uid="{BAB117E8-8454-4F3D-AFFD-6E5D20F5C2C3}"/>
    <cellStyle name="Migliaia 16 3 2 4 2" xfId="18064" xr:uid="{1DBB4243-C452-4E03-B21A-BE8D699E4FDA}"/>
    <cellStyle name="Migliaia 16 3 2 4 2 2" xfId="38603" xr:uid="{6EB1CD47-9EF9-4E72-A288-E1EAA55FE58C}"/>
    <cellStyle name="Migliaia 16 3 2 4 2 3" xfId="43905" xr:uid="{97700F0B-DDD5-4D43-9236-6B5E6EF3DD5D}"/>
    <cellStyle name="Migliaia 16 3 2 4 3" xfId="36116" xr:uid="{6706A706-A7E0-4F69-A14D-7790255E9F1F}"/>
    <cellStyle name="Migliaia 16 3 2 4 4" xfId="41254" xr:uid="{908D67BE-E046-4AC4-A266-F79587B28E66}"/>
    <cellStyle name="Migliaia 16 3 2 4 5" xfId="17150" xr:uid="{A07FF433-BBB7-43DF-8332-F184A9DC89DB}"/>
    <cellStyle name="Migliaia 16 3 2 4 6" xfId="11264" xr:uid="{9800D830-6628-4550-B010-2B10505A278B}"/>
    <cellStyle name="Migliaia 16 3 2 5" xfId="3214" xr:uid="{0736BE52-8B4E-4198-BD8D-B2545DBB7C79}"/>
    <cellStyle name="Migliaia 16 3 2 5 2" xfId="33218" xr:uid="{8863A6D2-06FF-4F19-BED2-1BA93BBDC669}"/>
    <cellStyle name="Migliaia 16 3 2 5 2 2" xfId="38604" xr:uid="{52B9FE63-88AF-4116-B369-8C681366C57C}"/>
    <cellStyle name="Migliaia 16 3 2 5 2 3" xfId="43906" xr:uid="{61185E90-0F28-4654-8A06-CD8974F3C975}"/>
    <cellStyle name="Migliaia 16 3 2 5 3" xfId="36117" xr:uid="{22A3FC9B-AA49-4BB9-8ABA-97F8E9E020DD}"/>
    <cellStyle name="Migliaia 16 3 2 5 4" xfId="41255" xr:uid="{532D34B0-C1DE-492E-92DC-2EFA73012F05}"/>
    <cellStyle name="Migliaia 16 3 2 5 5" xfId="17405" xr:uid="{FD46D9CB-2106-4527-9A00-3F2FBE51F953}"/>
    <cellStyle name="Migliaia 16 3 2 6" xfId="19943" xr:uid="{98A686BD-7C89-41A7-A16A-8609BA469430}"/>
    <cellStyle name="Migliaia 16 3 2 6 2" xfId="33219" xr:uid="{C085A391-7B31-499B-8A2B-202E6A74B341}"/>
    <cellStyle name="Migliaia 16 3 2 6 2 2" xfId="38605" xr:uid="{09899627-5D1F-400A-BEAD-2714F4B2B645}"/>
    <cellStyle name="Migliaia 16 3 2 6 2 3" xfId="43907" xr:uid="{3E1CE7C6-D015-4B21-B0FC-98B1CA414FAF}"/>
    <cellStyle name="Migliaia 16 3 2 6 3" xfId="36118" xr:uid="{EA788965-6DB0-4957-81AF-749EA47CC3F4}"/>
    <cellStyle name="Migliaia 16 3 2 6 4" xfId="41256" xr:uid="{59D679EC-8169-4FB4-8E7B-EF2E381F695C}"/>
    <cellStyle name="Migliaia 16 3 2 6 5" xfId="24353" xr:uid="{D9C46003-FEEB-4256-AC90-FF23C52914F4}"/>
    <cellStyle name="Migliaia 16 3 2 7" xfId="24351" xr:uid="{0A91F369-32A4-4C27-BF7D-530C768D7617}"/>
    <cellStyle name="Migliaia 16 3 2 8" xfId="7334" xr:uid="{BA7C866C-91C6-4EE5-A54D-EDA1A619B81E}"/>
    <cellStyle name="Migliaia 16 3 3" xfId="3216" xr:uid="{21A3FBAC-31AF-4780-AAC4-1A173292D86D}"/>
    <cellStyle name="Migliaia 16 3 3 10" xfId="7333" xr:uid="{AEC2CFEE-DF4B-4796-97B5-AEDC729EE8C3}"/>
    <cellStyle name="Migliaia 16 3 3 2" xfId="4942" xr:uid="{2B9D2E43-3C7F-468F-B5AA-DE807D4E18D6}"/>
    <cellStyle name="Migliaia 16 3 3 2 2" xfId="9896" xr:uid="{46B0FB47-1EA7-47FB-A51A-D122288001E4}"/>
    <cellStyle name="Migliaia 16 3 3 2 2 2" xfId="38607" xr:uid="{89D48AFC-2D78-4AA2-8794-17364C99B906}"/>
    <cellStyle name="Migliaia 16 3 3 2 2 3" xfId="43909" xr:uid="{751AE55B-87B1-4671-AF02-1522866A2024}"/>
    <cellStyle name="Migliaia 16 3 3 2 3" xfId="18176" xr:uid="{4705A63F-1A0D-40E3-A473-FF8D48FC1310}"/>
    <cellStyle name="Migliaia 16 3 3 2 4" xfId="19947" xr:uid="{1F22D0C2-07AA-440A-84D1-BC0D988696BB}"/>
    <cellStyle name="Migliaia 16 3 3 2 4 2" xfId="41258" xr:uid="{D069E7A1-BE7C-436E-AF58-A47D5D243354}"/>
    <cellStyle name="Migliaia 16 3 3 2 5" xfId="16112" xr:uid="{0125EB12-9C2D-4340-B71F-006FE75A7E31}"/>
    <cellStyle name="Migliaia 16 3 3 2 6" xfId="8523" xr:uid="{0B52F541-A946-491D-908D-C42304483AC2}"/>
    <cellStyle name="Migliaia 16 3 3 3" xfId="6159" xr:uid="{660E4021-C2B9-4652-9296-9D45E689D00C}"/>
    <cellStyle name="Migliaia 16 3 3 3 2" xfId="33221" xr:uid="{79161D8F-889D-460C-81A3-8F20335154C7}"/>
    <cellStyle name="Migliaia 16 3 3 3 2 2" xfId="38608" xr:uid="{DC8A3ACA-0B18-4C8A-95E8-08AA7F2F194A}"/>
    <cellStyle name="Migliaia 16 3 3 3 2 3" xfId="43910" xr:uid="{5432FED6-267F-47C5-AEB4-B9B8DF96C354}"/>
    <cellStyle name="Migliaia 16 3 3 3 3" xfId="36120" xr:uid="{AAFE74F9-9001-45ED-A72C-9894BA6B0953}"/>
    <cellStyle name="Migliaia 16 3 3 3 4" xfId="41259" xr:uid="{2CA6A201-8965-4EDC-8642-38EBE650975E}"/>
    <cellStyle name="Migliaia 16 3 3 3 5" xfId="9659" xr:uid="{AFC7AD12-C7C0-45BD-A475-2EE4CDAB8952}"/>
    <cellStyle name="Migliaia 16 3 3 4" xfId="19946" xr:uid="{DDFF46A2-E5B1-419D-AB61-46262264F079}"/>
    <cellStyle name="Migliaia 16 3 3 4 2" xfId="33222" xr:uid="{92FE2A99-2E19-432B-910F-2D41DB26BC4F}"/>
    <cellStyle name="Migliaia 16 3 3 4 2 2" xfId="38609" xr:uid="{023E9884-54EB-449E-B14A-C14F61EF206D}"/>
    <cellStyle name="Migliaia 16 3 3 4 2 3" xfId="43911" xr:uid="{805C37D8-AC38-4FAA-B297-7D6A0C45F497}"/>
    <cellStyle name="Migliaia 16 3 3 4 3" xfId="36121" xr:uid="{9BDEE3A5-0C73-4284-9DAA-BAEA927DE310}"/>
    <cellStyle name="Migliaia 16 3 3 4 4" xfId="41260" xr:uid="{3C7F90A0-BF46-44DD-8924-76C544583BA0}"/>
    <cellStyle name="Migliaia 16 3 3 4 5" xfId="24354" xr:uid="{BEF3779F-AE39-4092-81A0-D90ECE3DFDEB}"/>
    <cellStyle name="Migliaia 16 3 3 5" xfId="24355" xr:uid="{37D188C2-2F40-4D43-B686-E5635F2E3BA5}"/>
    <cellStyle name="Migliaia 16 3 3 5 2" xfId="33223" xr:uid="{743817CB-3F79-4390-9F5E-AB0874D73F9F}"/>
    <cellStyle name="Migliaia 16 3 3 5 2 2" xfId="38610" xr:uid="{D63AC7DC-859B-4F98-AC12-9A6A5F72B5DA}"/>
    <cellStyle name="Migliaia 16 3 3 5 2 3" xfId="43912" xr:uid="{8FF7278D-3B75-4664-BFA9-DDCF35997CF7}"/>
    <cellStyle name="Migliaia 16 3 3 5 3" xfId="36122" xr:uid="{D00ED263-FFB4-4AD1-A552-A1913E495F16}"/>
    <cellStyle name="Migliaia 16 3 3 5 4" xfId="41261" xr:uid="{68F055CC-E72C-4929-B10A-8728CAF906BA}"/>
    <cellStyle name="Migliaia 16 3 3 6" xfId="33220" xr:uid="{4572C456-0ABD-47F5-8AFB-96F8835EC85E}"/>
    <cellStyle name="Migliaia 16 3 3 6 2" xfId="38606" xr:uid="{294A6879-D97C-421B-BE05-4449643186CC}"/>
    <cellStyle name="Migliaia 16 3 3 6 3" xfId="43908" xr:uid="{0C996361-8933-4B9D-9D5C-93751BF0145C}"/>
    <cellStyle name="Migliaia 16 3 3 7" xfId="36119" xr:uid="{42E0F65F-FA22-47B4-ABC4-AA7CBC9DD497}"/>
    <cellStyle name="Migliaia 16 3 3 8" xfId="41257" xr:uid="{97195DAA-26AE-4D44-BAC1-CB0DFFCFD670}"/>
    <cellStyle name="Migliaia 16 3 3 9" xfId="16111" xr:uid="{A3CA392C-6659-4531-B0C1-6BE31C77C442}"/>
    <cellStyle name="Migliaia 16 3 4" xfId="3217" xr:uid="{2BC36462-1492-4B99-9ED1-41E3181EECB0}"/>
    <cellStyle name="Migliaia 16 3 4 2" xfId="4943" xr:uid="{20849AFC-71DE-4430-A01C-83EBB7DF3642}"/>
    <cellStyle name="Migliaia 16 3 4 2 2" xfId="14430" xr:uid="{729E1CC7-DE38-4979-9BDF-E419ADA96ABC}"/>
    <cellStyle name="Migliaia 16 3 4 2 3" xfId="18033" xr:uid="{0C3B9A4C-60D7-48F4-AEF2-E833C421C890}"/>
    <cellStyle name="Migliaia 16 3 4 2 4" xfId="19949" xr:uid="{77CCA6E6-852B-48F3-9A95-247582E41990}"/>
    <cellStyle name="Migliaia 16 3 4 2 5" xfId="32314" xr:uid="{D3B016D8-5A60-4B4C-BAB8-D3DEB056AA3D}"/>
    <cellStyle name="Migliaia 16 3 4 2 6" xfId="16114" xr:uid="{2F037308-8C98-45B8-890D-96D666B8F798}"/>
    <cellStyle name="Migliaia 16 3 4 2 7" xfId="8853" xr:uid="{3D73D651-8E51-4E61-A256-85F4271498FB}"/>
    <cellStyle name="Migliaia 16 3 4 3" xfId="6160" xr:uid="{97EF078D-C318-45EA-AAFF-3A421D7EAFB7}"/>
    <cellStyle name="Migliaia 16 3 4 3 2" xfId="35172" xr:uid="{1E4556D5-1C28-48C4-AA7D-CDC5E21556F0}"/>
    <cellStyle name="Migliaia 16 3 4 3 2 2" xfId="40330" xr:uid="{647AD4B4-6769-4C98-8268-0DB22751B549}"/>
    <cellStyle name="Migliaia 16 3 4 3 2 3" xfId="45632" xr:uid="{8E0F2ED4-780D-43CF-B04E-2A43C12BEA87}"/>
    <cellStyle name="Migliaia 16 3 4 3 3" xfId="37679" xr:uid="{C1048131-4340-496D-97C2-F39353451DA1}"/>
    <cellStyle name="Migliaia 16 3 4 3 4" xfId="42981" xr:uid="{08B128DD-7BC0-48B6-9A19-3C782843DF8C}"/>
    <cellStyle name="Migliaia 16 3 4 3 5" xfId="13678" xr:uid="{654AC9E1-7776-4E00-A82E-F39B2AF5B854}"/>
    <cellStyle name="Migliaia 16 3 4 4" xfId="19948" xr:uid="{CE87768F-1727-4084-AAFE-4928E6027F71}"/>
    <cellStyle name="Migliaia 16 3 4 4 2" xfId="38611" xr:uid="{941A5F7E-0A9D-4396-A806-3BFC4852F29A}"/>
    <cellStyle name="Migliaia 16 3 4 4 3" xfId="43913" xr:uid="{36746A1A-29A6-40AD-AB14-590405E9EE3B}"/>
    <cellStyle name="Migliaia 16 3 4 4 4" xfId="33224" xr:uid="{B8BF7D7E-A677-4134-A174-389418E3D5E4}"/>
    <cellStyle name="Migliaia 16 3 4 5" xfId="36123" xr:uid="{F1DF0FD2-D0C5-4D2C-AFF7-ECE698CB630D}"/>
    <cellStyle name="Migliaia 16 3 4 6" xfId="41262" xr:uid="{BB1DFEF6-4CE0-4E15-8E29-839D789807C4}"/>
    <cellStyle name="Migliaia 16 3 4 7" xfId="16113" xr:uid="{1B9794BC-62F3-4BE8-9358-750F59621231}"/>
    <cellStyle name="Migliaia 16 3 4 8" xfId="7663" xr:uid="{6F746281-9CAA-4991-BBB8-6019CCAD0073}"/>
    <cellStyle name="Migliaia 16 3 5" xfId="3218" xr:uid="{A90785C4-DFDF-4332-AC54-1CDA67480740}"/>
    <cellStyle name="Migliaia 16 3 5 2" xfId="4944" xr:uid="{3E5199E1-1F7E-4A2D-9961-E629987FEE54}"/>
    <cellStyle name="Migliaia 16 3 5 2 2" xfId="35173" xr:uid="{C88DE0B6-08C1-4B29-A69A-DAC15D643001}"/>
    <cellStyle name="Migliaia 16 3 5 2 2 2" xfId="40331" xr:uid="{389F3B4B-EE37-4146-8F38-2947D35F26A1}"/>
    <cellStyle name="Migliaia 16 3 5 2 2 3" xfId="45633" xr:uid="{08F3DFB8-1AAC-4348-98D1-87F211FF1CEB}"/>
    <cellStyle name="Migliaia 16 3 5 2 3" xfId="37680" xr:uid="{77ABD28E-8FBF-4D1E-A288-EC5792B97530}"/>
    <cellStyle name="Migliaia 16 3 5 2 4" xfId="42982" xr:uid="{88C51716-65F5-42E9-8C12-B224893401EE}"/>
    <cellStyle name="Migliaia 16 3 5 2 5" xfId="14201" xr:uid="{43501212-D93D-4BCF-B0CA-D8C7F00E146E}"/>
    <cellStyle name="Migliaia 16 3 5 3" xfId="6161" xr:uid="{FC833FDF-BDCD-4896-B72F-B830E950E2DD}"/>
    <cellStyle name="Migliaia 16 3 5 3 2" xfId="38612" xr:uid="{A8DC8F0A-EA71-4572-AD97-8996893F3DC0}"/>
    <cellStyle name="Migliaia 16 3 5 3 3" xfId="43914" xr:uid="{A45D209B-D4EB-4A95-AE22-EB133C5AA682}"/>
    <cellStyle name="Migliaia 16 3 5 3 4" xfId="33225" xr:uid="{5723E308-51DB-41D1-B4A7-903EEDE721F3}"/>
    <cellStyle name="Migliaia 16 3 5 3 5" xfId="19950" xr:uid="{2FC04596-793C-4604-917A-B37EE251375B}"/>
    <cellStyle name="Migliaia 16 3 5 4" xfId="36124" xr:uid="{23B0D030-6B0A-4FC0-9C84-679D08E72CD9}"/>
    <cellStyle name="Migliaia 16 3 5 5" xfId="41263" xr:uid="{617F6816-B0BB-42E6-9746-F0A08280F9F4}"/>
    <cellStyle name="Migliaia 16 3 5 6" xfId="16115" xr:uid="{A4223CC8-C19B-45FE-9F17-DA2B72EB3A30}"/>
    <cellStyle name="Migliaia 16 3 5 7" xfId="8263" xr:uid="{292D34DB-F48D-41E5-BA03-2213FDD66A87}"/>
    <cellStyle name="Migliaia 16 3 6" xfId="4939" xr:uid="{5EA4443C-0496-4476-B8BE-A5CE1F575BE8}"/>
    <cellStyle name="Migliaia 16 3 6 2" xfId="13904" xr:uid="{F75E4FF9-4E17-4C8B-A242-F9865202BAEF}"/>
    <cellStyle name="Migliaia 16 3 6 2 2" xfId="38613" xr:uid="{24B0ABDD-76CF-46FC-B369-0652DCECD64B}"/>
    <cellStyle name="Migliaia 16 3 6 2 3" xfId="43915" xr:uid="{3B33BE0D-56D2-4661-88AB-EFB27FEA1992}"/>
    <cellStyle name="Migliaia 16 3 6 3" xfId="18722" xr:uid="{89D5115E-3963-47C9-A289-7315B5644DC8}"/>
    <cellStyle name="Migliaia 16 3 6 4" xfId="19951" xr:uid="{53A27B17-0297-4045-9623-46FDF3BA264F}"/>
    <cellStyle name="Migliaia 16 3 6 4 2" xfId="41264" xr:uid="{282688B0-D7F9-48E2-B9C6-320424F4A433}"/>
    <cellStyle name="Migliaia 16 3 6 5" xfId="16116" xr:uid="{EEE2977B-0296-4F31-9522-CC24EE552F98}"/>
    <cellStyle name="Migliaia 16 3 6 6" xfId="7849" xr:uid="{7CD7F2B0-63B9-406F-A512-0F56EA4C8104}"/>
    <cellStyle name="Migliaia 16 3 7" xfId="6156" xr:uid="{FBE4E020-7F17-4AE8-A927-05DCC289AC59}"/>
    <cellStyle name="Migliaia 16 3 7 2" xfId="33226" xr:uid="{B4AFDA9D-3910-43A9-956B-1E6D802EAFFF}"/>
    <cellStyle name="Migliaia 16 3 7 2 2" xfId="38614" xr:uid="{07F404D2-A898-468E-B9EF-90D5424C63F2}"/>
    <cellStyle name="Migliaia 16 3 7 2 3" xfId="43916" xr:uid="{A6C7C660-3E5A-42ED-B2A1-EEA1CCD1F3E1}"/>
    <cellStyle name="Migliaia 16 3 7 3" xfId="36125" xr:uid="{A349CDC9-F91F-4868-B9DC-6825E0DFCC79}"/>
    <cellStyle name="Migliaia 16 3 7 4" xfId="41265" xr:uid="{46BB699E-F31D-4FDB-A104-AFA9FA8CAAF3}"/>
    <cellStyle name="Migliaia 16 3 7 5" xfId="12279" xr:uid="{E7B27C3C-5CA0-4E90-BF25-D1569DD63009}"/>
    <cellStyle name="Migliaia 16 3 8" xfId="3213" xr:uid="{37890EC3-B3B9-4EDE-876F-E9882B80912E}"/>
    <cellStyle name="Migliaia 16 3 8 2" xfId="33227" xr:uid="{A475BDCC-C1A1-48FA-8168-9A91B8943EA4}"/>
    <cellStyle name="Migliaia 16 3 8 2 2" xfId="38615" xr:uid="{CDEA2418-E10D-4EA1-AF6E-2361ADBA120D}"/>
    <cellStyle name="Migliaia 16 3 8 2 3" xfId="43917" xr:uid="{43871EA1-C002-4403-97D1-2278CB1CAF99}"/>
    <cellStyle name="Migliaia 16 3 8 3" xfId="36126" xr:uid="{835A928C-9FF5-4789-BAF8-9BF8E486E9D5}"/>
    <cellStyle name="Migliaia 16 3 8 4" xfId="41266" xr:uid="{B1D34873-2CB7-4FD0-81C6-25460582F713}"/>
    <cellStyle name="Migliaia 16 3 8 5" xfId="24356" xr:uid="{FDE3C7F7-A581-438A-8FB9-E8AFDFA9CDE0}"/>
    <cellStyle name="Migliaia 16 3 8 6" xfId="17406" xr:uid="{2E08B518-923F-4965-8CBC-FBB2AC0FA6FA}"/>
    <cellStyle name="Migliaia 16 3 9" xfId="19942" xr:uid="{23376AF9-721D-430D-81A3-788099873787}"/>
    <cellStyle name="Migliaia 16 4" xfId="1690" xr:uid="{00000000-0005-0000-0000-0000FD020000}"/>
    <cellStyle name="Migliaia 16 4 2" xfId="1691" xr:uid="{00000000-0005-0000-0000-0000FE020000}"/>
    <cellStyle name="Migliaia 16 4 2 2" xfId="4946" xr:uid="{33748097-BF56-4AD6-ACE1-6610C0301E59}"/>
    <cellStyle name="Migliaia 16 4 2 2 2" xfId="33228" xr:uid="{EF049D46-69E6-445C-A5BF-7B8F4C7C6305}"/>
    <cellStyle name="Migliaia 16 4 2 2 2 2" xfId="38616" xr:uid="{4B3DD087-D3BC-4C29-B23B-2FD35E67DD25}"/>
    <cellStyle name="Migliaia 16 4 2 2 2 3" xfId="43918" xr:uid="{847B4C3A-D7E6-4CA4-9A9A-F640DDCE1F03}"/>
    <cellStyle name="Migliaia 16 4 2 2 3" xfId="36127" xr:uid="{CF36ACEC-1D23-458A-94BC-BC6419439DF0}"/>
    <cellStyle name="Migliaia 16 4 2 2 4" xfId="41267" xr:uid="{052316EE-13F4-407D-9429-061643E119B2}"/>
    <cellStyle name="Migliaia 16 4 2 2 5" xfId="9122" xr:uid="{12D909C1-7501-4D6A-8B89-11EC5865D1F9}"/>
    <cellStyle name="Migliaia 16 4 2 3" xfId="3220" xr:uid="{4623FA19-E8E2-4B98-88A4-5996386DF123}"/>
    <cellStyle name="Migliaia 16 4 2 3 2" xfId="33229" xr:uid="{351D522F-3D30-4779-8D5A-1F47AC8FC246}"/>
    <cellStyle name="Migliaia 16 4 2 3 2 2" xfId="38617" xr:uid="{F22C6BE1-5EB5-46BA-92D8-72DDAC190353}"/>
    <cellStyle name="Migliaia 16 4 2 3 2 3" xfId="43919" xr:uid="{57530E7E-85F3-4F72-A3E0-D6FA6C76F620}"/>
    <cellStyle name="Migliaia 16 4 2 3 3" xfId="36128" xr:uid="{530A11FE-275F-4EE6-93F5-814E080BE2C6}"/>
    <cellStyle name="Migliaia 16 4 2 3 4" xfId="41268" xr:uid="{45316445-C23B-480F-985A-C3CE4B66F6D6}"/>
    <cellStyle name="Migliaia 16 4 2 3 5" xfId="11913" xr:uid="{5C3FE879-21F7-4731-A580-ED89AFB5E08C}"/>
    <cellStyle name="Migliaia 16 4 2 4" xfId="11266" xr:uid="{FA3956EC-2CBF-4B40-A7B2-6CDC236B0AAD}"/>
    <cellStyle name="Migliaia 16 4 2 5" xfId="10768" xr:uid="{F53E1326-3D9A-4845-B5BE-2143A9D56594}"/>
    <cellStyle name="Migliaia 16 4 2 5 2" xfId="21403" xr:uid="{EAAC8579-F961-497C-82F8-E832E7F2A292}"/>
    <cellStyle name="Migliaia 16 4 2 5 3" xfId="48469" xr:uid="{6F120213-8C88-45CB-A576-B3DD9ADEB271}"/>
    <cellStyle name="Migliaia 16 4 2 5 4" xfId="50418" xr:uid="{4D5CAADE-CC53-40C5-AFBB-DA1F1AF4BABC}"/>
    <cellStyle name="Migliaia 16 4 2 5 5" xfId="53434" xr:uid="{86F8A9D1-37CC-4A67-80B8-A8E7E5A9717D}"/>
    <cellStyle name="Migliaia 16 4 2 6" xfId="19953" xr:uid="{B4A8BFF2-F36E-45D4-95B0-F2E22A416041}"/>
    <cellStyle name="Migliaia 16 4 2 7" xfId="24358" xr:uid="{610079FA-2B62-441F-9B94-F709AA6106B0}"/>
    <cellStyle name="Migliaia 16 4 2 8" xfId="8525" xr:uid="{C5965C10-D731-4894-A4BC-6E21C89DC70D}"/>
    <cellStyle name="Migliaia 16 4 3" xfId="4945" xr:uid="{612FC0C7-567C-48A8-B4C0-28E29EB27411}"/>
    <cellStyle name="Migliaia 16 4 3 2" xfId="18177" xr:uid="{1BFB51EF-1B6C-4E56-9551-7094B3BED1C8}"/>
    <cellStyle name="Migliaia 16 4 3 2 2" xfId="38618" xr:uid="{1942D815-C85E-4D27-8B3E-EC42D3E410AD}"/>
    <cellStyle name="Migliaia 16 4 3 2 3" xfId="43920" xr:uid="{98813566-5EEB-40C2-A4BB-C37296BF6C33}"/>
    <cellStyle name="Migliaia 16 4 3 3" xfId="36129" xr:uid="{BABE4B14-802B-4A2D-967A-D289C7A85396}"/>
    <cellStyle name="Migliaia 16 4 3 4" xfId="41269" xr:uid="{157305A4-BE07-4719-94B3-20FAE68BBD69}"/>
    <cellStyle name="Migliaia 16 4 3 5" xfId="17404" xr:uid="{4DA96E88-3B72-42EB-8589-BA9799272B65}"/>
    <cellStyle name="Migliaia 16 4 3 6" xfId="9123" xr:uid="{AAF6768A-7D5B-4B5D-BCFC-A51BA65340EC}"/>
    <cellStyle name="Migliaia 16 4 4" xfId="6162" xr:uid="{EE0E1019-BA5D-451C-A865-8943731C0874}"/>
    <cellStyle name="Migliaia 16 4 4 2" xfId="33230" xr:uid="{58F236F4-3BE2-4772-9E84-D66435485A88}"/>
    <cellStyle name="Migliaia 16 4 4 2 2" xfId="38619" xr:uid="{10C77992-313B-46D2-BD1D-77C83A829BF5}"/>
    <cellStyle name="Migliaia 16 4 4 2 3" xfId="43921" xr:uid="{FFE78E92-CB06-484C-A433-DB61AEC6BACE}"/>
    <cellStyle name="Migliaia 16 4 4 3" xfId="36130" xr:uid="{7EE82547-7380-46B1-8976-9FB8743BB526}"/>
    <cellStyle name="Migliaia 16 4 4 4" xfId="41270" xr:uid="{4F2B3EAC-39DF-456F-B6AB-A4D84AD508CF}"/>
    <cellStyle name="Migliaia 16 4 4 5" xfId="11914" xr:uid="{65825A56-C770-449F-A8FB-CC3598CF9551}"/>
    <cellStyle name="Migliaia 16 4 5" xfId="3219" xr:uid="{B4233E2A-7FC8-4227-B35D-15BE41C99CDD}"/>
    <cellStyle name="Migliaia 16 4 5 2" xfId="33231" xr:uid="{0887B4BE-A23D-473B-85A4-CDDD49AB6F44}"/>
    <cellStyle name="Migliaia 16 4 5 2 2" xfId="38620" xr:uid="{53F5944A-6008-4497-A4CE-7E1EB0F9C5D1}"/>
    <cellStyle name="Migliaia 16 4 5 2 3" xfId="43922" xr:uid="{8C886214-8CF9-415B-BCFB-74DACBD61771}"/>
    <cellStyle name="Migliaia 16 4 5 3" xfId="36131" xr:uid="{9B4CC388-CD41-4C06-A22B-4F7A9BFF8712}"/>
    <cellStyle name="Migliaia 16 4 5 4" xfId="41271" xr:uid="{DB50DE5E-E273-450F-98B1-E76906F11FCF}"/>
    <cellStyle name="Migliaia 16 4 5 5" xfId="11265" xr:uid="{735D7798-2E00-4BAA-8D24-71674D2E0034}"/>
    <cellStyle name="Migliaia 16 4 6" xfId="10767" xr:uid="{4D068051-EF57-487F-8DAF-D891A94FA382}"/>
    <cellStyle name="Migliaia 16 4 6 2" xfId="21402" xr:uid="{86AC641B-CD78-400C-876D-3450E47832BE}"/>
    <cellStyle name="Migliaia 16 4 6 2 2" xfId="38621" xr:uid="{30A24DDE-C8EB-4C81-8E2C-DE384D77D067}"/>
    <cellStyle name="Migliaia 16 4 6 2 3" xfId="43923" xr:uid="{D960DB82-E540-4D2F-BBF3-9C62EBB6C674}"/>
    <cellStyle name="Migliaia 16 4 6 2 4" xfId="33232" xr:uid="{1FF72B4B-4913-47AC-99B7-8E077EBEFE40}"/>
    <cellStyle name="Migliaia 16 4 6 3" xfId="36132" xr:uid="{23384D03-BEA3-440F-BD32-2E4D43A6DD1F}"/>
    <cellStyle name="Migliaia 16 4 6 4" xfId="41272" xr:uid="{60BF27B0-BEF1-4555-BBC9-B451FBF1A2FE}"/>
    <cellStyle name="Migliaia 16 4 6 5" xfId="24359" xr:uid="{A2C61E78-E862-4BC5-82C1-D466D8EA4265}"/>
    <cellStyle name="Migliaia 16 4 6 6" xfId="46212" xr:uid="{83A3F7B1-2012-47F3-BF67-52F8BB82B620}"/>
    <cellStyle name="Migliaia 16 4 6 7" xfId="50417" xr:uid="{3FF780AA-83F0-4E52-AA35-21F86EE6C8C0}"/>
    <cellStyle name="Migliaia 16 4 6 8" xfId="53433" xr:uid="{78AADC0A-FB9D-4808-90CF-80CF5B81CF9D}"/>
    <cellStyle name="Migliaia 16 4 7" xfId="19952" xr:uid="{0B1B4419-325B-4AB4-B537-424A0DA1DC5B}"/>
    <cellStyle name="Migliaia 16 4 7 2" xfId="33233" xr:uid="{CA334A4F-60B2-4A98-9200-FECD75A24D6C}"/>
    <cellStyle name="Migliaia 16 4 7 2 2" xfId="38622" xr:uid="{CAA26200-D18B-4468-B925-8CF8B140750F}"/>
    <cellStyle name="Migliaia 16 4 7 2 3" xfId="43924" xr:uid="{E41DF771-E208-4F1C-8C9E-6320F392CE13}"/>
    <cellStyle name="Migliaia 16 4 7 3" xfId="36133" xr:uid="{6FBEDDF4-2B5F-46AD-9EDF-A1317C2B2F54}"/>
    <cellStyle name="Migliaia 16 4 7 4" xfId="41273" xr:uid="{A21AA385-D7DE-4959-BF41-FBDB55DFE93C}"/>
    <cellStyle name="Migliaia 16 4 7 5" xfId="24360" xr:uid="{E8342581-B7F5-4024-807A-2A0B4B8652C0}"/>
    <cellStyle name="Migliaia 16 4 8" xfId="24357" xr:uid="{516EC437-531B-4C73-B862-BCA2B08E40B3}"/>
    <cellStyle name="Migliaia 16 4 9" xfId="7335" xr:uid="{A7D9B295-081D-4E8F-B503-0A6F77C72615}"/>
    <cellStyle name="Migliaia 16 5" xfId="1692" xr:uid="{00000000-0005-0000-0000-0000FF020000}"/>
    <cellStyle name="Migliaia 16 5 2" xfId="4947" xr:uid="{FECCBD8E-1D57-4C1D-8A50-26C3EA39370E}"/>
    <cellStyle name="Migliaia 16 5 2 2" xfId="18380" xr:uid="{1365AF44-1F22-4599-8400-C79001BE021F}"/>
    <cellStyle name="Migliaia 16 5 2 2 2" xfId="38623" xr:uid="{51E19B75-2A83-47C2-B96C-3E9E62B0B09D}"/>
    <cellStyle name="Migliaia 16 5 2 2 3" xfId="43925" xr:uid="{CDE1ABDC-7C49-4E1D-B36C-5868C5DF4A5F}"/>
    <cellStyle name="Migliaia 16 5 2 3" xfId="19955" xr:uid="{35887FD6-8349-45FA-9E7F-01D75805A6D0}"/>
    <cellStyle name="Migliaia 16 5 2 3 2" xfId="36134" xr:uid="{C89B62D1-2D04-413F-93B1-79D31F1C0855}"/>
    <cellStyle name="Migliaia 16 5 2 4" xfId="41274" xr:uid="{262800A6-8B95-4323-857A-B85DE6C1D7B2}"/>
    <cellStyle name="Migliaia 16 5 2 5" xfId="16117" xr:uid="{AF898C8E-2FA1-4813-9A7B-EAF444371143}"/>
    <cellStyle name="Migliaia 16 5 2 6" xfId="8526" xr:uid="{8780CFA9-7B3B-40E4-BD15-4F8A9CAF112C}"/>
    <cellStyle name="Migliaia 16 5 3" xfId="6163" xr:uid="{430DC52C-4757-4EEE-A55E-DF1BAAC038BA}"/>
    <cellStyle name="Migliaia 16 5 3 2" xfId="33234" xr:uid="{33C3729D-64AB-4C09-AED7-0E002F971FC8}"/>
    <cellStyle name="Migliaia 16 5 3 2 2" xfId="38624" xr:uid="{637401F0-7111-4425-8284-7DFE8C904AE3}"/>
    <cellStyle name="Migliaia 16 5 3 2 3" xfId="43926" xr:uid="{418B9CEB-B911-4F21-A0DA-3165ECBEF380}"/>
    <cellStyle name="Migliaia 16 5 3 3" xfId="36135" xr:uid="{20F550B9-DF02-4233-A585-2FA40E92CAD8}"/>
    <cellStyle name="Migliaia 16 5 3 4" xfId="41275" xr:uid="{2F6194A5-5E32-4C03-A6B8-0335069A7012}"/>
    <cellStyle name="Migliaia 16 5 3 5" xfId="11267" xr:uid="{B962C6D9-25F9-4201-9A15-0D0E9FB9547F}"/>
    <cellStyle name="Migliaia 16 5 4" xfId="3221" xr:uid="{82A7E26C-C8AC-4C75-B7F2-670D9EDDA009}"/>
    <cellStyle name="Migliaia 16 5 4 2" xfId="21404" xr:uid="{94F883B2-A3B3-4D2C-9D8B-69B70A2651F4}"/>
    <cellStyle name="Migliaia 16 5 4 2 2" xfId="38625" xr:uid="{81C56BD1-FF2A-4B9E-B316-32AA4EED3272}"/>
    <cellStyle name="Migliaia 16 5 4 2 3" xfId="43927" xr:uid="{D519B07A-F7D4-4A3A-B3AC-5D01354B49DF}"/>
    <cellStyle name="Migliaia 16 5 4 2 4" xfId="33235" xr:uid="{DEAA6BEE-5AF9-4F28-8963-18A4EB258881}"/>
    <cellStyle name="Migliaia 16 5 4 3" xfId="36136" xr:uid="{F773D170-757B-4A93-9012-A14B939C4204}"/>
    <cellStyle name="Migliaia 16 5 4 4" xfId="41276" xr:uid="{043085B1-59A2-43E9-AA3F-9F1E4FDEA2A3}"/>
    <cellStyle name="Migliaia 16 5 4 5" xfId="24362" xr:uid="{71816D7A-D4E7-4AC3-83F9-68A6F3C3C3BE}"/>
    <cellStyle name="Migliaia 16 5 4 6" xfId="47894" xr:uid="{75AA1272-A975-41FD-A304-7CB7EA6BBC01}"/>
    <cellStyle name="Migliaia 16 5 4 7" xfId="50419" xr:uid="{8519C745-7528-433A-A924-471D3D537819}"/>
    <cellStyle name="Migliaia 16 5 4 8" xfId="53435" xr:uid="{17886891-2530-4369-8F6A-1B051A064CF4}"/>
    <cellStyle name="Migliaia 16 5 4 9" xfId="10769" xr:uid="{24B15DEE-8D0A-4AB1-94D4-DD4EFF229AF7}"/>
    <cellStyle name="Migliaia 16 5 5" xfId="19954" xr:uid="{AD099A20-F304-440C-8000-A77B280E4673}"/>
    <cellStyle name="Migliaia 16 5 5 2" xfId="33236" xr:uid="{717745CB-C3D2-448C-8EDA-6508BA6B8F25}"/>
    <cellStyle name="Migliaia 16 5 5 2 2" xfId="38626" xr:uid="{10AC867C-9D67-41CF-963F-C1DF7E61BBB5}"/>
    <cellStyle name="Migliaia 16 5 5 2 3" xfId="43928" xr:uid="{BB613216-87C2-45D6-9B81-E2C365C1E860}"/>
    <cellStyle name="Migliaia 16 5 5 3" xfId="36137" xr:uid="{3C0C7346-B776-428E-819D-1743A8E0C639}"/>
    <cellStyle name="Migliaia 16 5 5 4" xfId="41277" xr:uid="{AD803BFF-75D0-43B7-902E-53ABE265D08A}"/>
    <cellStyle name="Migliaia 16 5 5 5" xfId="24363" xr:uid="{DA76A78C-8060-4176-A295-9DDF2D4077EB}"/>
    <cellStyle name="Migliaia 16 5 6" xfId="24364" xr:uid="{474643C1-2187-45DD-8A5E-62DAE1A9962A}"/>
    <cellStyle name="Migliaia 16 5 6 2" xfId="33237" xr:uid="{807017ED-334C-4BD8-9BEB-245DC299564D}"/>
    <cellStyle name="Migliaia 16 5 6 2 2" xfId="38627" xr:uid="{E6598368-A480-459B-88F4-DC3DE73095E5}"/>
    <cellStyle name="Migliaia 16 5 6 2 3" xfId="43929" xr:uid="{2707A2CC-07CF-4BB3-B112-EC238B77C993}"/>
    <cellStyle name="Migliaia 16 5 6 3" xfId="36138" xr:uid="{CAD4F7F4-1F5F-435E-81E1-20F1F10DEB34}"/>
    <cellStyle name="Migliaia 16 5 6 4" xfId="41278" xr:uid="{4B86B498-BCEB-46C1-9220-CDD7707F3E45}"/>
    <cellStyle name="Migliaia 16 5 7" xfId="24361" xr:uid="{0E117C60-DF59-4AB2-A250-1F5BC88BD99A}"/>
    <cellStyle name="Migliaia 16 5 8" xfId="7336" xr:uid="{67876D50-13A9-4EF2-A402-F46AA3E4A10B}"/>
    <cellStyle name="Migliaia 16 6" xfId="3222" xr:uid="{66EDDB79-6AA3-4646-8F38-4D76577588FD}"/>
    <cellStyle name="Migliaia 16 6 2" xfId="4948" xr:uid="{7DB9EAB6-4387-45F8-96C1-93C58C807D5F}"/>
    <cellStyle name="Migliaia 16 6 2 2" xfId="9895" xr:uid="{213CAF51-6AB9-4267-97D8-7D40998AE23B}"/>
    <cellStyle name="Migliaia 16 6 2 3" xfId="18673" xr:uid="{51E1ADCB-EA3B-42A2-9F80-C7EAD9667723}"/>
    <cellStyle name="Migliaia 16 6 2 4" xfId="19957" xr:uid="{A1BF94A8-B27E-4992-8B0D-7FC28ADABEAF}"/>
    <cellStyle name="Migliaia 16 6 2 5" xfId="32315" xr:uid="{FA06763C-E689-4682-8383-7F31DC00B50A}"/>
    <cellStyle name="Migliaia 16 6 2 6" xfId="16119" xr:uid="{AB963D8A-7E37-458B-A978-D7E7FDE88DFA}"/>
    <cellStyle name="Migliaia 16 6 2 7" xfId="8521" xr:uid="{5F91CE8D-2581-4432-956F-6CDB41CCCD42}"/>
    <cellStyle name="Migliaia 16 6 3" xfId="6164" xr:uid="{DBB586DC-B786-4B33-B3B4-E3265610A976}"/>
    <cellStyle name="Migliaia 16 6 3 2" xfId="35174" xr:uid="{5C5E259F-502F-4E83-8E6D-44D2F2DB4519}"/>
    <cellStyle name="Migliaia 16 6 3 2 2" xfId="40332" xr:uid="{02F28DDE-8D98-473B-AA8E-3DCF3651D1DC}"/>
    <cellStyle name="Migliaia 16 6 3 2 3" xfId="45634" xr:uid="{2FAC0A90-DC5F-44E7-A836-5B20C8CEB8B6}"/>
    <cellStyle name="Migliaia 16 6 3 3" xfId="37681" xr:uid="{6C58C55D-D0E0-4CDC-8C1C-8248C3781AF7}"/>
    <cellStyle name="Migliaia 16 6 3 4" xfId="42983" xr:uid="{BBEE9698-CEA4-41DA-AAE5-CD90580D2653}"/>
    <cellStyle name="Migliaia 16 6 3 5" xfId="9658" xr:uid="{17649B34-C24B-49AA-89FA-361BCC1D5416}"/>
    <cellStyle name="Migliaia 16 6 4" xfId="19956" xr:uid="{BCF18FEE-33A5-4F76-BD04-882C1DA72428}"/>
    <cellStyle name="Migliaia 16 6 4 2" xfId="38628" xr:uid="{81BAA3EC-EE2E-41EE-92C2-A105A3354191}"/>
    <cellStyle name="Migliaia 16 6 4 3" xfId="43930" xr:uid="{534C4DE5-23FB-4638-9343-2D0B517ACC09}"/>
    <cellStyle name="Migliaia 16 6 4 4" xfId="33238" xr:uid="{7ABC46CE-9B37-4049-91B5-3C1E1D1D982A}"/>
    <cellStyle name="Migliaia 16 6 5" xfId="36139" xr:uid="{D9E64C45-B0CE-4C64-972C-FF7D8D7BDFEE}"/>
    <cellStyle name="Migliaia 16 6 6" xfId="41279" xr:uid="{B992991A-F906-4D87-A17B-F0DC0765126B}"/>
    <cellStyle name="Migliaia 16 6 7" xfId="16118" xr:uid="{2B38826D-6922-4D84-95BE-D7D44561F76A}"/>
    <cellStyle name="Migliaia 16 6 8" xfId="7331" xr:uid="{53DC7EDE-EF66-47A3-8008-4BE5B848A239}"/>
    <cellStyle name="Migliaia 16 7" xfId="3223" xr:uid="{9116D72B-23F8-4790-BAB6-73152061C4CA}"/>
    <cellStyle name="Migliaia 16 7 2" xfId="4949" xr:uid="{8500CA5C-8D52-4E38-A342-3AFD01F418E4}"/>
    <cellStyle name="Migliaia 16 7 2 2" xfId="35175" xr:uid="{1B4E0CC4-CBCD-49ED-8209-20DB3C0A2E28}"/>
    <cellStyle name="Migliaia 16 7 2 2 2" xfId="40333" xr:uid="{32ED87FC-208F-46E9-9025-91A069EA2143}"/>
    <cellStyle name="Migliaia 16 7 2 2 3" xfId="45635" xr:uid="{4B0B7D04-EB3E-450F-9618-13BEFDBC807D}"/>
    <cellStyle name="Migliaia 16 7 2 3" xfId="37682" xr:uid="{86E680EB-3E3D-4B46-BEAC-F8F34FB1A28C}"/>
    <cellStyle name="Migliaia 16 7 2 4" xfId="42984" xr:uid="{17F527A1-4935-4E0B-B126-64CBC87C3753}"/>
    <cellStyle name="Migliaia 16 7 2 5" xfId="14199" xr:uid="{C9D773B8-FCB5-46A1-8478-83EFA100327B}"/>
    <cellStyle name="Migliaia 16 7 3" xfId="6165" xr:uid="{5376C883-DF44-4A3E-B3E1-A5A04B9F6B36}"/>
    <cellStyle name="Migliaia 16 7 3 2" xfId="38629" xr:uid="{56CD2025-68A3-4C0D-BA8C-702336C37ADB}"/>
    <cellStyle name="Migliaia 16 7 3 3" xfId="43931" xr:uid="{F10666B6-B6BC-482A-9EDF-4B91D3EEAA99}"/>
    <cellStyle name="Migliaia 16 7 3 4" xfId="33239" xr:uid="{181E91D4-E9C0-44E4-AD59-AD03A283CD1A}"/>
    <cellStyle name="Migliaia 16 7 3 5" xfId="19958" xr:uid="{FD590284-4016-4D5C-863F-FE313C7C0827}"/>
    <cellStyle name="Migliaia 16 7 4" xfId="36140" xr:uid="{58F89D82-6A54-4CB5-864D-ECE5667086D8}"/>
    <cellStyle name="Migliaia 16 7 5" xfId="41280" xr:uid="{2E9197E6-DE9F-41EF-ABB9-2FC069F38676}"/>
    <cellStyle name="Migliaia 16 7 6" xfId="16120" xr:uid="{E2DA430F-7327-4687-87A8-FC785D966902}"/>
    <cellStyle name="Migliaia 16 7 7" xfId="8261" xr:uid="{AC96EA17-F0D9-4D97-949B-8697780C06F1}"/>
    <cellStyle name="Migliaia 16 8" xfId="3224" xr:uid="{F5E9D481-4024-4216-B3A7-18E13A81E535}"/>
    <cellStyle name="Migliaia 16 8 2" xfId="4950" xr:uid="{719F73F2-1384-4687-8842-89D1854050D4}"/>
    <cellStyle name="Migliaia 16 8 2 2" xfId="35176" xr:uid="{17D0FD5D-8AB2-405D-B820-000BC5A29547}"/>
    <cellStyle name="Migliaia 16 8 2 2 2" xfId="40334" xr:uid="{AE854CA0-2D3C-4FB2-A53C-EA53090409DB}"/>
    <cellStyle name="Migliaia 16 8 2 2 3" xfId="45636" xr:uid="{56AF987A-7919-4675-81D8-E2CD7C7FF340}"/>
    <cellStyle name="Migliaia 16 8 2 3" xfId="37683" xr:uid="{BA4AB2DC-D25E-4462-9CF1-A28C7D2BD9E6}"/>
    <cellStyle name="Migliaia 16 8 2 4" xfId="42985" xr:uid="{7EE779EC-B4DB-445D-AA91-76BE69F58D32}"/>
    <cellStyle name="Migliaia 16 8 2 5" xfId="13902" xr:uid="{FCDDBEFB-C173-413A-BF4E-40A68A78BC29}"/>
    <cellStyle name="Migliaia 16 8 3" xfId="6166" xr:uid="{AE8F9E46-D909-4E5A-8AA1-D58B68859054}"/>
    <cellStyle name="Migliaia 16 8 3 2" xfId="38630" xr:uid="{459EA9F8-3DA3-4ED2-B7CB-5E030CCFB0EB}"/>
    <cellStyle name="Migliaia 16 8 3 3" xfId="43932" xr:uid="{8AF7B83D-C09A-4FEB-94E9-C6EE1A60CD0E}"/>
    <cellStyle name="Migliaia 16 8 3 4" xfId="33240" xr:uid="{3AF9E119-F5A8-4A6A-8DBF-0EC1FABD8E9B}"/>
    <cellStyle name="Migliaia 16 8 3 5" xfId="19959" xr:uid="{FC4A25FB-22A2-4CE3-9BC8-D9529C65D1DA}"/>
    <cellStyle name="Migliaia 16 8 4" xfId="36141" xr:uid="{49FDFD01-6E25-40E0-B090-32EEEEF86692}"/>
    <cellStyle name="Migliaia 16 8 5" xfId="41281" xr:uid="{FCE85E9B-7410-45D7-880F-C00D738455D7}"/>
    <cellStyle name="Migliaia 16 8 6" xfId="16121" xr:uid="{30222956-8E38-4A66-AFE5-83C5DDDDD8B1}"/>
    <cellStyle name="Migliaia 16 8 7" xfId="7847" xr:uid="{74169595-4600-4DBD-B413-40F6F78D1BCC}"/>
    <cellStyle name="Migliaia 16 9" xfId="4935" xr:uid="{92157AAB-3F43-49E5-A200-E9CBC37921B5}"/>
    <cellStyle name="Migliaia 16 9 2" xfId="33241" xr:uid="{6EB18193-E08B-490E-892C-09A2CCC50E03}"/>
    <cellStyle name="Migliaia 16 9 2 2" xfId="38631" xr:uid="{E0346405-24A5-4973-90DA-EC16A16AD172}"/>
    <cellStyle name="Migliaia 16 9 2 3" xfId="43933" xr:uid="{ECBF548A-6737-4D15-B133-7437002BBEAB}"/>
    <cellStyle name="Migliaia 16 9 3" xfId="36142" xr:uid="{37875761-2694-4AB8-BF3E-9457AD5E13A1}"/>
    <cellStyle name="Migliaia 16 9 4" xfId="41282" xr:uid="{14145234-0DFE-4227-B162-663D80534B9E}"/>
    <cellStyle name="Migliaia 16 9 5" xfId="17149" xr:uid="{51BCFD1C-CFB1-42A6-A6AA-AD5813325560}"/>
    <cellStyle name="Migliaia 17" xfId="329" xr:uid="{00000000-0005-0000-0000-000000030000}"/>
    <cellStyle name="Migliaia 17 10" xfId="6167" xr:uid="{B449B038-E41A-43A1-B283-DD8A34D3ED52}"/>
    <cellStyle name="Migliaia 17 10 2" xfId="38632" xr:uid="{9E8C4C0A-0DA0-4642-9D53-96DAB85B4592}"/>
    <cellStyle name="Migliaia 17 10 3" xfId="43934" xr:uid="{0669F917-DA37-420B-B237-7972D3BC5616}"/>
    <cellStyle name="Migliaia 17 10 4" xfId="33242" xr:uid="{F2239F6F-A775-4814-87DD-55A5B6C3A0B3}"/>
    <cellStyle name="Migliaia 17 10 5" xfId="19960" xr:uid="{8D10313E-BD6D-4B44-9501-2D91AD89C57F}"/>
    <cellStyle name="Migliaia 17 11" xfId="3225" xr:uid="{3046D155-BC93-4761-A084-C4E6361BB75B}"/>
    <cellStyle name="Migliaia 17 11 2" xfId="36143" xr:uid="{40A89BE5-2552-49C6-B7CD-3800EC724B2C}"/>
    <cellStyle name="Migliaia 17 12" xfId="41283" xr:uid="{A988D3D7-D0FB-4867-B681-236D1120DD48}"/>
    <cellStyle name="Migliaia 17 13" xfId="7065" xr:uid="{7E22735B-84BA-4D97-AB47-3B56FD0110CF}"/>
    <cellStyle name="Migliaia 17 2" xfId="330" xr:uid="{00000000-0005-0000-0000-000001030000}"/>
    <cellStyle name="Migliaia 17 2 2" xfId="1693" xr:uid="{00000000-0005-0000-0000-000002030000}"/>
    <cellStyle name="Migliaia 17 2 2 2" xfId="4953" xr:uid="{695FE019-1048-4F96-87E5-CB4E1C1EE737}"/>
    <cellStyle name="Migliaia 17 2 2 2 2" xfId="14370" xr:uid="{54907CFE-2036-4300-91A1-35AC6FF8E76A}"/>
    <cellStyle name="Migliaia 17 2 2 2 2 2" xfId="38633" xr:uid="{D2C73655-C532-40F8-A2D3-C865B7EBCE8C}"/>
    <cellStyle name="Migliaia 17 2 2 2 2 3" xfId="43935" xr:uid="{A318D58B-46B0-4A39-BE2E-0991896970D7}"/>
    <cellStyle name="Migliaia 17 2 2 2 3" xfId="18381" xr:uid="{C75EC32C-3A8B-4561-AFDE-4EBAFF070427}"/>
    <cellStyle name="Migliaia 17 2 2 2 4" xfId="19963" xr:uid="{C04B57C1-32CE-489B-A23C-E55F1089832A}"/>
    <cellStyle name="Migliaia 17 2 2 2 4 2" xfId="41284" xr:uid="{0FCC133E-8B9F-46BB-9EF8-551BFDCDFAF6}"/>
    <cellStyle name="Migliaia 17 2 2 2 5" xfId="16122" xr:uid="{F3FF8562-A7FF-4EEB-B146-44B98ED62041}"/>
    <cellStyle name="Migliaia 17 2 2 2 6" xfId="8528" xr:uid="{A251528A-6481-4940-99B3-DAD2BC84F726}"/>
    <cellStyle name="Migliaia 17 2 2 3" xfId="6169" xr:uid="{59EA1EA9-D1A2-4ADE-96BF-8C4DB3BDBB8C}"/>
    <cellStyle name="Migliaia 17 2 2 3 2" xfId="35177" xr:uid="{0AC0916E-06F8-4BF0-87A2-86D37B6EE8E2}"/>
    <cellStyle name="Migliaia 17 2 2 3 2 2" xfId="40335" xr:uid="{C6A3FA7B-05DF-484D-B53F-2AA83AEB1620}"/>
    <cellStyle name="Migliaia 17 2 2 3 2 3" xfId="45637" xr:uid="{32F368AF-FB11-4772-BA65-2E5905D3A254}"/>
    <cellStyle name="Migliaia 17 2 2 3 3" xfId="37684" xr:uid="{91D98528-7127-44E9-8412-6C6E5D38CF68}"/>
    <cellStyle name="Migliaia 17 2 2 3 4" xfId="42986" xr:uid="{AFFB5D2B-FAB1-4808-8F71-DD8895CCC87A}"/>
    <cellStyle name="Migliaia 17 2 2 3 5" xfId="11599" xr:uid="{F67B5F90-E355-4198-A52C-E1DC05E0C056}"/>
    <cellStyle name="Migliaia 17 2 2 4" xfId="3227" xr:uid="{7703B99E-8B88-4E71-B09F-8CE24733E721}"/>
    <cellStyle name="Migliaia 17 2 2 4 2" xfId="21405" xr:uid="{049D4B03-D639-4DE4-B18E-E5816F6EEF11}"/>
    <cellStyle name="Migliaia 17 2 2 4 3" xfId="46213" xr:uid="{3AB9506D-DE54-48BF-83F9-DDF4D8E158A2}"/>
    <cellStyle name="Migliaia 17 2 2 4 4" xfId="50420" xr:uid="{432C77BA-CC57-47CD-BED3-CCDE674C9EFF}"/>
    <cellStyle name="Migliaia 17 2 2 4 5" xfId="53436" xr:uid="{2B7F8976-2A03-4423-87EB-ED6B39825D66}"/>
    <cellStyle name="Migliaia 17 2 2 4 6" xfId="10770" xr:uid="{FF3E0A22-5FC4-4103-A0EE-8648BF9967CC}"/>
    <cellStyle name="Migliaia 17 2 2 5" xfId="19962" xr:uid="{61B53B67-7480-497B-B76F-27EBD1EB2368}"/>
    <cellStyle name="Migliaia 17 2 2 6" xfId="24366" xr:uid="{075AD09B-80FA-413E-A07D-55A3B94CD123}"/>
    <cellStyle name="Migliaia 17 2 2 7" xfId="7338" xr:uid="{ED944338-38B5-45C1-9A1D-CD6533C2505B}"/>
    <cellStyle name="Migliaia 17 2 3" xfId="3228" xr:uid="{0B847C8A-4DCD-4132-8C9E-CAA77CE9928A}"/>
    <cellStyle name="Migliaia 17 2 3 2" xfId="4954" xr:uid="{A164BD99-8283-40BF-8EB6-539D876E88F1}"/>
    <cellStyle name="Migliaia 17 2 3 2 2" xfId="35178" xr:uid="{956E3ADA-7300-4BEC-AB64-11C7B24239DE}"/>
    <cellStyle name="Migliaia 17 2 3 2 2 2" xfId="40336" xr:uid="{9BD19FEE-06D9-4866-B065-4CEB09D6D4BA}"/>
    <cellStyle name="Migliaia 17 2 3 2 2 3" xfId="45638" xr:uid="{A2DB6B2F-3DB3-4E67-BC56-228F93171424}"/>
    <cellStyle name="Migliaia 17 2 3 2 3" xfId="37685" xr:uid="{D44AA5DC-9B8D-4A34-9288-D27A55651E1A}"/>
    <cellStyle name="Migliaia 17 2 3 2 4" xfId="42987" xr:uid="{D1A33497-CE9F-47BC-88D1-41519A6F4D37}"/>
    <cellStyle name="Migliaia 17 2 3 2 5" xfId="14203" xr:uid="{8B2421FC-B8BD-47D1-8C56-3387CE87F9C5}"/>
    <cellStyle name="Migliaia 17 2 3 3" xfId="6170" xr:uid="{67FCBE1A-BC13-47B3-B5F6-D287E5FCC063}"/>
    <cellStyle name="Migliaia 17 2 3 3 2" xfId="38634" xr:uid="{8A01A3BC-BE06-4756-9650-7E03F2B14611}"/>
    <cellStyle name="Migliaia 17 2 3 3 3" xfId="43936" xr:uid="{C418E403-7F6A-431B-9F5A-3B53FF028854}"/>
    <cellStyle name="Migliaia 17 2 3 3 4" xfId="33243" xr:uid="{6DCC7D6A-A54A-46F2-9A1A-4346EE5E1CEE}"/>
    <cellStyle name="Migliaia 17 2 3 3 5" xfId="19964" xr:uid="{1F09644F-2127-41C6-B046-837605DFD386}"/>
    <cellStyle name="Migliaia 17 2 3 4" xfId="36144" xr:uid="{D3479BF0-BF0D-4337-BC83-1B10E8F53BD3}"/>
    <cellStyle name="Migliaia 17 2 3 5" xfId="41285" xr:uid="{A24D0385-2C88-4333-B018-4335BFA4ADF0}"/>
    <cellStyle name="Migliaia 17 2 3 6" xfId="16123" xr:uid="{06A31656-0AD1-4B20-B7C5-20B706B5A6CD}"/>
    <cellStyle name="Migliaia 17 2 3 7" xfId="8265" xr:uid="{1DCB137C-AC1D-492A-BAF1-525C9C5B96BD}"/>
    <cellStyle name="Migliaia 17 2 4" xfId="4952" xr:uid="{4D730830-2A8D-44F6-891A-BAE705955E6A}"/>
    <cellStyle name="Migliaia 17 2 4 2" xfId="13906" xr:uid="{989A84EA-5BE2-4C80-AE3C-AD7DF189AA11}"/>
    <cellStyle name="Migliaia 17 2 4 2 2" xfId="38635" xr:uid="{6C341AEF-0627-4B64-ABF7-CDC77F9E5361}"/>
    <cellStyle name="Migliaia 17 2 4 2 3" xfId="43937" xr:uid="{77CCFEF7-1BE9-48D1-B722-AF60FDFF8DA2}"/>
    <cellStyle name="Migliaia 17 2 4 3" xfId="18037" xr:uid="{0401657A-EBAB-4EBB-8D9B-45E3FFEBA57B}"/>
    <cellStyle name="Migliaia 17 2 4 4" xfId="19965" xr:uid="{548CB9C6-F236-4DEF-BBE8-5D6F4C4AEFAC}"/>
    <cellStyle name="Migliaia 17 2 4 4 2" xfId="41286" xr:uid="{BBDA4D85-F2E4-4B4C-860B-EABD79C7EA73}"/>
    <cellStyle name="Migliaia 17 2 4 5" xfId="16124" xr:uid="{CDC8DE12-A519-4513-83EB-C2A30B29F4F4}"/>
    <cellStyle name="Migliaia 17 2 4 6" xfId="7852" xr:uid="{3F7DF65C-F761-4829-A9E1-DCCCFFC6D60B}"/>
    <cellStyle name="Migliaia 17 2 5" xfId="6168" xr:uid="{55BF6CD0-2152-456E-9153-6075540BED1F}"/>
    <cellStyle name="Migliaia 17 2 5 2" xfId="33244" xr:uid="{4A16FC28-86E3-4F68-BA24-0EEB308E37CD}"/>
    <cellStyle name="Migliaia 17 2 5 2 2" xfId="38636" xr:uid="{CAA91EE2-43B3-4DE2-BA8E-224C74E8EAB2}"/>
    <cellStyle name="Migliaia 17 2 5 2 3" xfId="43938" xr:uid="{88E32656-36C8-4F37-AB97-E2AAD3A92381}"/>
    <cellStyle name="Migliaia 17 2 5 3" xfId="36145" xr:uid="{54D490FD-227B-4532-BE92-740882516B7D}"/>
    <cellStyle name="Migliaia 17 2 5 4" xfId="41287" xr:uid="{61BA04BF-CF65-43FF-90E8-EB338AEEF5A7}"/>
    <cellStyle name="Migliaia 17 2 5 5" xfId="13110" xr:uid="{F3BCFA3B-BA4A-465F-9AAC-B6A995D6336E}"/>
    <cellStyle name="Migliaia 17 2 6" xfId="3226" xr:uid="{FB3752D8-FD09-45FE-B603-F3340391FA73}"/>
    <cellStyle name="Migliaia 17 2 6 2" xfId="33245" xr:uid="{4E36AF71-972A-4C13-A3DC-66A549876C5B}"/>
    <cellStyle name="Migliaia 17 2 6 2 2" xfId="38637" xr:uid="{44A365DF-6C8C-4EFF-8BB3-292B7C15AF34}"/>
    <cellStyle name="Migliaia 17 2 6 2 3" xfId="43939" xr:uid="{AA75E65D-FED8-4E12-8859-938B0FBF4568}"/>
    <cellStyle name="Migliaia 17 2 6 3" xfId="36146" xr:uid="{A50137B0-B81E-4995-81D5-1D50DC9674AA}"/>
    <cellStyle name="Migliaia 17 2 6 4" xfId="41288" xr:uid="{203866A3-C66E-4128-9560-EE74A3B32DEC}"/>
    <cellStyle name="Migliaia 17 2 6 5" xfId="24367" xr:uid="{3857656E-3261-4C06-8CCC-AF56AD5C5C2E}"/>
    <cellStyle name="Migliaia 17 2 6 6" xfId="19961" xr:uid="{2F06A27F-B493-4048-962B-69CABBB9D0C4}"/>
    <cellStyle name="Migliaia 17 2 7" xfId="24365" xr:uid="{18C4B83E-8793-4404-BC47-0D212B842D42}"/>
    <cellStyle name="Migliaia 17 2 8" xfId="7066" xr:uid="{8F8CF34C-1564-40F9-849C-787625831EDD}"/>
    <cellStyle name="Migliaia 17 3" xfId="331" xr:uid="{00000000-0005-0000-0000-000003030000}"/>
    <cellStyle name="Migliaia 17 3 10" xfId="24368" xr:uid="{DC516846-AF4E-4539-8836-9A537815A8DB}"/>
    <cellStyle name="Migliaia 17 3 11" xfId="16125" xr:uid="{1B32E09C-CF63-4FBC-8244-9C4B1C6688D6}"/>
    <cellStyle name="Migliaia 17 3 12" xfId="7067" xr:uid="{F53F1333-B419-4347-A318-569ACBCBD9B2}"/>
    <cellStyle name="Migliaia 17 3 2" xfId="332" xr:uid="{00000000-0005-0000-0000-000004030000}"/>
    <cellStyle name="Migliaia 17 3 2 2" xfId="1694" xr:uid="{00000000-0005-0000-0000-000005030000}"/>
    <cellStyle name="Migliaia 17 3 2 2 2" xfId="4957" xr:uid="{EAFDC47D-6F89-4548-8DC7-9811C57B3594}"/>
    <cellStyle name="Migliaia 17 3 2 2 2 2" xfId="18382" xr:uid="{67F3E7C7-FF80-4F4F-B2FE-FD3EBC13D3F4}"/>
    <cellStyle name="Migliaia 17 3 2 2 2 2 2" xfId="21845" xr:uid="{2E742B63-7870-41AE-A8C2-35CEF1F8BACF}"/>
    <cellStyle name="Migliaia 17 3 2 2 2 2 2 2" xfId="38638" xr:uid="{35DA64C3-9935-42AD-ABD1-BA31AF46B2E3}"/>
    <cellStyle name="Migliaia 17 3 2 2 2 2 3" xfId="43940" xr:uid="{990690D4-BCF9-4132-BD02-8352FE9D6677}"/>
    <cellStyle name="Migliaia 17 3 2 2 2 2 4" xfId="33246" xr:uid="{ADFC38D2-1034-437E-BA66-3AE13DF970BF}"/>
    <cellStyle name="Migliaia 17 3 2 2 2 3" xfId="36147" xr:uid="{68B8D57B-895C-4683-A85F-916649398E60}"/>
    <cellStyle name="Migliaia 17 3 2 2 2 4" xfId="41289" xr:uid="{77823050-F214-483A-9A18-127B9BB1887B}"/>
    <cellStyle name="Migliaia 17 3 2 2 2 5" xfId="47012" xr:uid="{4BEA76B3-6E5D-4512-AAF9-860EF761BF02}"/>
    <cellStyle name="Migliaia 17 3 2 2 2 6" xfId="50873" xr:uid="{FD777EB7-111F-4CB5-8285-3A6F97B8033F}"/>
    <cellStyle name="Migliaia 17 3 2 2 2 7" xfId="53889" xr:uid="{7830D8BE-4982-4EF4-9998-C0412A9697AB}"/>
    <cellStyle name="Migliaia 17 3 2 2 2 8" xfId="17646" xr:uid="{6EE92FA2-D73A-4760-BB54-DAD6C056A290}"/>
    <cellStyle name="Migliaia 17 3 2 2 2 9" xfId="11915" xr:uid="{FD2E061B-2F60-4510-A8FB-5878B31C274F}"/>
    <cellStyle name="Migliaia 17 3 2 2 3" xfId="6173" xr:uid="{03F2D1A1-C66C-4C0E-8BC7-4884B93EF7C6}"/>
    <cellStyle name="Migliaia 17 3 2 2 3 2" xfId="11687" xr:uid="{EC0DB964-6D20-453A-814C-BEDE0F8D51F9}"/>
    <cellStyle name="Migliaia 17 3 2 2 4" xfId="3231" xr:uid="{48A5F7A4-3E71-4609-812F-59F6D9139260}"/>
    <cellStyle name="Migliaia 17 3 2 2 4 2" xfId="21406" xr:uid="{4FEE47F2-B079-4CA6-9BAF-7A0BBACF7B2B}"/>
    <cellStyle name="Migliaia 17 3 2 2 4 3" xfId="46214" xr:uid="{E1A1C1A5-A544-469C-B6F8-65B5B3075779}"/>
    <cellStyle name="Migliaia 17 3 2 2 4 4" xfId="50421" xr:uid="{EF9EB4EF-C9BD-4CEF-9EA9-364EDECAD4F4}"/>
    <cellStyle name="Migliaia 17 3 2 2 4 5" xfId="53437" xr:uid="{7F97CC5F-E93D-42F0-84E4-572BBDA23CD0}"/>
    <cellStyle name="Migliaia 17 3 2 2 4 6" xfId="10771" xr:uid="{0A5D4B7A-FF3C-460D-B825-2EB50E0EB21C}"/>
    <cellStyle name="Migliaia 17 3 2 2 5" xfId="19968" xr:uid="{C11D27C0-6219-4F92-81B5-D87F0D47C9E2}"/>
    <cellStyle name="Migliaia 17 3 2 2 6" xfId="24370" xr:uid="{E73B8BF7-E080-4F5C-9B98-ACEAF2B7B996}"/>
    <cellStyle name="Migliaia 17 3 2 2 7" xfId="8530" xr:uid="{6E6EDA39-5AD0-4A41-8288-7B8846C9BC26}"/>
    <cellStyle name="Migliaia 17 3 2 3" xfId="4956" xr:uid="{BFD71815-3366-482C-8B9F-6B7E59AC4D32}"/>
    <cellStyle name="Migliaia 17 3 2 3 2" xfId="12420" xr:uid="{6F9D5A9F-E1BA-46CC-9753-E92DDD569DD0}"/>
    <cellStyle name="Migliaia 17 3 2 3 2 2" xfId="38639" xr:uid="{76F9E58A-0528-496F-8498-4580A6EB1332}"/>
    <cellStyle name="Migliaia 17 3 2 3 2 3" xfId="43941" xr:uid="{8CB2741F-2D91-4C0A-BCD0-57389AAFD91C}"/>
    <cellStyle name="Migliaia 17 3 2 3 2 4" xfId="33247" xr:uid="{BFA832D8-FE72-4AE7-91DC-B7D8B84BADDC}"/>
    <cellStyle name="Migliaia 17 3 2 3 3" xfId="11916" xr:uid="{1E890120-C677-4FA7-91C5-D3CAF037500E}"/>
    <cellStyle name="Migliaia 17 3 2 3 4" xfId="19969" xr:uid="{BF69DC16-BDA4-419C-B1FA-03D81FCDDC81}"/>
    <cellStyle name="Migliaia 17 3 2 3 4 2" xfId="41290" xr:uid="{64E5282A-09D0-4650-8DFD-EB19570CCDEA}"/>
    <cellStyle name="Migliaia 17 3 2 3 5" xfId="16126" xr:uid="{3383E7A1-A31A-49C2-BAE2-30DBC5385028}"/>
    <cellStyle name="Migliaia 17 3 2 3 6" xfId="7854" xr:uid="{9A2671AD-2506-4BB0-B235-C11789DD5A6D}"/>
    <cellStyle name="Migliaia 17 3 2 4" xfId="6172" xr:uid="{B9C3E0C3-34CA-4438-ADDD-BFD99F6726B3}"/>
    <cellStyle name="Migliaia 17 3 2 4 2" xfId="18065" xr:uid="{5D0B996D-9F4A-468E-9E19-6E73374A7F55}"/>
    <cellStyle name="Migliaia 17 3 2 4 2 2" xfId="38640" xr:uid="{4E2A999A-2C33-4281-8541-3C8422C5BDB8}"/>
    <cellStyle name="Migliaia 17 3 2 4 2 3" xfId="43942" xr:uid="{82AD9950-8B83-4416-9F01-88C0105E1F29}"/>
    <cellStyle name="Migliaia 17 3 2 4 3" xfId="36148" xr:uid="{6CDA3637-76AA-489C-9928-232F5C134CC9}"/>
    <cellStyle name="Migliaia 17 3 2 4 4" xfId="41291" xr:uid="{9EA56CAA-6F51-4D1A-9293-4B96761C3E02}"/>
    <cellStyle name="Migliaia 17 3 2 4 5" xfId="17152" xr:uid="{37058580-AD0E-48A6-8101-C275CCF46442}"/>
    <cellStyle name="Migliaia 17 3 2 4 6" xfId="11268" xr:uid="{AB248D6D-789F-47D6-88B7-5DE9BFEACC5F}"/>
    <cellStyle name="Migliaia 17 3 2 5" xfId="3230" xr:uid="{2B9C8FD2-44DC-4C24-92A5-3D6D6B051CD1}"/>
    <cellStyle name="Migliaia 17 3 2 5 2" xfId="33248" xr:uid="{43796F83-6292-4746-823C-01513F4AC251}"/>
    <cellStyle name="Migliaia 17 3 2 5 2 2" xfId="38641" xr:uid="{9DDD84B0-9B25-4D68-9528-E993E39E9544}"/>
    <cellStyle name="Migliaia 17 3 2 5 2 3" xfId="43943" xr:uid="{80097DD2-2C57-4283-8733-AECC432D5277}"/>
    <cellStyle name="Migliaia 17 3 2 5 3" xfId="36149" xr:uid="{1D7D8393-0562-4655-9C75-AA4DE7561B84}"/>
    <cellStyle name="Migliaia 17 3 2 5 4" xfId="41292" xr:uid="{FD97BA04-0655-493D-BADF-29CC3590C07B}"/>
    <cellStyle name="Migliaia 17 3 2 5 5" xfId="17402" xr:uid="{7A6BFB72-F1AB-44B3-A334-4C4D456C5704}"/>
    <cellStyle name="Migliaia 17 3 2 6" xfId="19967" xr:uid="{BDD6326C-984E-4F3E-B644-5121FD99D045}"/>
    <cellStyle name="Migliaia 17 3 2 6 2" xfId="33249" xr:uid="{60966B9D-1083-4D22-91BB-B1E073931CBD}"/>
    <cellStyle name="Migliaia 17 3 2 6 2 2" xfId="38642" xr:uid="{34ACA1F3-AB75-485B-B7ED-C2F91EEB12A2}"/>
    <cellStyle name="Migliaia 17 3 2 6 2 3" xfId="43944" xr:uid="{7B2D9822-1884-43B6-B980-3695D40603C4}"/>
    <cellStyle name="Migliaia 17 3 2 6 3" xfId="36150" xr:uid="{2DC455FD-32BC-485C-AAB6-BF7119022913}"/>
    <cellStyle name="Migliaia 17 3 2 6 4" xfId="41293" xr:uid="{EEC08D85-1226-44E9-A191-D1111E691B26}"/>
    <cellStyle name="Migliaia 17 3 2 6 5" xfId="24371" xr:uid="{53A641D1-D732-40E4-A51E-2A7123BD3F3C}"/>
    <cellStyle name="Migliaia 17 3 2 7" xfId="24369" xr:uid="{00E0DE6D-01D2-4959-AB43-BED231203968}"/>
    <cellStyle name="Migliaia 17 3 2 8" xfId="7340" xr:uid="{8B7AEB54-A2E4-435B-82D8-99E6FC38CD18}"/>
    <cellStyle name="Migliaia 17 3 3" xfId="3232" xr:uid="{A80063E3-B088-41B8-9A02-523362C1393B}"/>
    <cellStyle name="Migliaia 17 3 3 10" xfId="7339" xr:uid="{D1E24BC9-A78A-43BF-B9ED-10D1AB47281C}"/>
    <cellStyle name="Migliaia 17 3 3 2" xfId="4958" xr:uid="{C5AAF257-1944-4FD3-8FB6-60DD81F4CFE2}"/>
    <cellStyle name="Migliaia 17 3 3 2 2" xfId="9898" xr:uid="{9747B959-3BD1-45CC-8C2A-4E2986297F9C}"/>
    <cellStyle name="Migliaia 17 3 3 2 2 2" xfId="38644" xr:uid="{CDB0D9C3-62D4-4A67-8B7E-43C61AD06C19}"/>
    <cellStyle name="Migliaia 17 3 3 2 2 3" xfId="43946" xr:uid="{785CC999-4220-436D-B1A1-E2C315A73809}"/>
    <cellStyle name="Migliaia 17 3 3 2 3" xfId="18178" xr:uid="{CC749553-EA74-4BCD-8B00-7D827C0E0CE9}"/>
    <cellStyle name="Migliaia 17 3 3 2 4" xfId="19971" xr:uid="{0A06860B-AFE4-4C62-B731-76677152E67C}"/>
    <cellStyle name="Migliaia 17 3 3 2 4 2" xfId="41295" xr:uid="{9055CDCF-17A2-4100-9876-03088326CB01}"/>
    <cellStyle name="Migliaia 17 3 3 2 5" xfId="16128" xr:uid="{5357F337-7C2B-45A6-88A6-37DFC7CD3BF2}"/>
    <cellStyle name="Migliaia 17 3 3 2 6" xfId="8529" xr:uid="{701A44FA-7557-4F56-9A1D-4A3C7B3B136A}"/>
    <cellStyle name="Migliaia 17 3 3 3" xfId="6174" xr:uid="{CC8B715A-52C4-4EC2-89C0-EB35B3C3E5CE}"/>
    <cellStyle name="Migliaia 17 3 3 3 2" xfId="33251" xr:uid="{7F29D9E0-CF8E-4BA0-BBDD-412513D956E6}"/>
    <cellStyle name="Migliaia 17 3 3 3 2 2" xfId="38645" xr:uid="{77C01EAE-9589-4DC7-9A1A-A1F2E6DA493C}"/>
    <cellStyle name="Migliaia 17 3 3 3 2 3" xfId="43947" xr:uid="{BBC3D8C9-C9D4-4F7B-B167-321BD82DEAEA}"/>
    <cellStyle name="Migliaia 17 3 3 3 3" xfId="36152" xr:uid="{24917D9D-A004-4A35-ACE4-6A265FDB9060}"/>
    <cellStyle name="Migliaia 17 3 3 3 4" xfId="41296" xr:uid="{65F77B2A-E5AF-4329-B5A9-7DF7C51CB82D}"/>
    <cellStyle name="Migliaia 17 3 3 3 5" xfId="9661" xr:uid="{7DB300FD-5344-4583-A7F7-0D17A23A3469}"/>
    <cellStyle name="Migliaia 17 3 3 4" xfId="19970" xr:uid="{347D124B-8EA5-49DB-808A-BEFA10D296D3}"/>
    <cellStyle name="Migliaia 17 3 3 4 2" xfId="33252" xr:uid="{02F33E70-C0AA-4F04-A5BE-1EB377F0C6C2}"/>
    <cellStyle name="Migliaia 17 3 3 4 2 2" xfId="38646" xr:uid="{4F65CA18-854A-4093-961E-37E8A104EB4C}"/>
    <cellStyle name="Migliaia 17 3 3 4 2 3" xfId="43948" xr:uid="{BAAFE9D4-B2E2-4E46-8D0D-00495261173F}"/>
    <cellStyle name="Migliaia 17 3 3 4 3" xfId="36153" xr:uid="{A3160904-16F1-4D2F-A7D2-031983C3523E}"/>
    <cellStyle name="Migliaia 17 3 3 4 4" xfId="41297" xr:uid="{77D74BF0-9C65-4270-91CF-450BF7A74C7C}"/>
    <cellStyle name="Migliaia 17 3 3 4 5" xfId="24372" xr:uid="{5D5DE8C0-AD38-4063-9AFC-F97781D43B59}"/>
    <cellStyle name="Migliaia 17 3 3 5" xfId="24373" xr:uid="{56551602-8A2C-4048-991A-40BB906E2C49}"/>
    <cellStyle name="Migliaia 17 3 3 5 2" xfId="33253" xr:uid="{22B5E680-FCC8-4661-AE03-B03CE2260587}"/>
    <cellStyle name="Migliaia 17 3 3 5 2 2" xfId="38647" xr:uid="{D4FB754A-3FB5-4F43-B104-B9EE128F4DB7}"/>
    <cellStyle name="Migliaia 17 3 3 5 2 3" xfId="43949" xr:uid="{759E8544-15A5-4E79-8472-1C6F3D442523}"/>
    <cellStyle name="Migliaia 17 3 3 5 3" xfId="36154" xr:uid="{82999E6F-E2A6-4592-8429-93582994919B}"/>
    <cellStyle name="Migliaia 17 3 3 5 4" xfId="41298" xr:uid="{4BAB0219-A2F2-4509-BDE0-3BF6964312AF}"/>
    <cellStyle name="Migliaia 17 3 3 6" xfId="33250" xr:uid="{6BBD938D-D7EB-4E54-99B0-9E3BCF9A536D}"/>
    <cellStyle name="Migliaia 17 3 3 6 2" xfId="38643" xr:uid="{CBCDEB96-C12E-4469-B03B-A84B50CAAE12}"/>
    <cellStyle name="Migliaia 17 3 3 6 3" xfId="43945" xr:uid="{A64E350A-6720-493B-95A6-C8639C5090A8}"/>
    <cellStyle name="Migliaia 17 3 3 7" xfId="36151" xr:uid="{ECF4CAD8-85B5-438C-9BB8-DD926AA92D9D}"/>
    <cellStyle name="Migliaia 17 3 3 8" xfId="41294" xr:uid="{11A9447A-06BE-4976-87F2-990BD95E6EBF}"/>
    <cellStyle name="Migliaia 17 3 3 9" xfId="16127" xr:uid="{B960A75C-7828-45FD-97E1-4227427E47ED}"/>
    <cellStyle name="Migliaia 17 3 4" xfId="3233" xr:uid="{8E72B6F0-A2BD-4AE4-8B2A-45ABB98C85D9}"/>
    <cellStyle name="Migliaia 17 3 4 2" xfId="4959" xr:uid="{9867DA51-5C58-4E79-AA12-71F9A24E03C9}"/>
    <cellStyle name="Migliaia 17 3 4 2 2" xfId="14431" xr:uid="{14805276-127D-4361-AE43-1B9093D4CC42}"/>
    <cellStyle name="Migliaia 17 3 4 2 3" xfId="18630" xr:uid="{F8615EF5-93CF-4A02-9A73-4FCA3C914CD4}"/>
    <cellStyle name="Migliaia 17 3 4 2 4" xfId="19973" xr:uid="{A61ADE68-485F-45B4-8558-96F0D14826CA}"/>
    <cellStyle name="Migliaia 17 3 4 2 5" xfId="32316" xr:uid="{5B600506-3B02-4E93-BE2B-C7FD0A5B4812}"/>
    <cellStyle name="Migliaia 17 3 4 2 6" xfId="16130" xr:uid="{B5227A91-678C-47A8-AD9C-4620483C2BBC}"/>
    <cellStyle name="Migliaia 17 3 4 2 7" xfId="8854" xr:uid="{33BEF809-5366-404B-8337-B7C84D656511}"/>
    <cellStyle name="Migliaia 17 3 4 3" xfId="6175" xr:uid="{99FE320E-2D40-43D6-8FE4-2EAF9FE9C851}"/>
    <cellStyle name="Migliaia 17 3 4 3 2" xfId="35179" xr:uid="{00D12E05-04BD-475C-BEFF-BEB0161E3B9B}"/>
    <cellStyle name="Migliaia 17 3 4 3 2 2" xfId="40337" xr:uid="{7C3E32C7-E0B2-497F-BF95-BE1F8FFCB60D}"/>
    <cellStyle name="Migliaia 17 3 4 3 2 3" xfId="45639" xr:uid="{19ED795C-D6A8-4147-902F-09897DF1EE69}"/>
    <cellStyle name="Migliaia 17 3 4 3 3" xfId="37686" xr:uid="{997EE07C-3329-4944-8C61-4387B8CDBAB9}"/>
    <cellStyle name="Migliaia 17 3 4 3 4" xfId="42988" xr:uid="{03BAF29D-D7B2-409C-8CE7-FB0D48272EC2}"/>
    <cellStyle name="Migliaia 17 3 4 3 5" xfId="13679" xr:uid="{93210857-95AC-4E10-A247-EDBA673889C1}"/>
    <cellStyle name="Migliaia 17 3 4 4" xfId="19972" xr:uid="{B906EDB6-AAA1-4DCA-B3FD-B29D6FF32213}"/>
    <cellStyle name="Migliaia 17 3 4 4 2" xfId="38648" xr:uid="{2A99154C-1E66-480B-A958-80F1EC52408A}"/>
    <cellStyle name="Migliaia 17 3 4 4 3" xfId="43950" xr:uid="{054323BB-AC90-4281-8F84-CA02316144BF}"/>
    <cellStyle name="Migliaia 17 3 4 4 4" xfId="33254" xr:uid="{5FC72A7C-6FDA-40C6-B64A-B4B09FD9C2B3}"/>
    <cellStyle name="Migliaia 17 3 4 5" xfId="36155" xr:uid="{29BA9455-43EA-44D8-BBD8-68347DCEA225}"/>
    <cellStyle name="Migliaia 17 3 4 6" xfId="41299" xr:uid="{1EB460CC-71C2-46CC-A078-B5AB6899B864}"/>
    <cellStyle name="Migliaia 17 3 4 7" xfId="16129" xr:uid="{CFDBCF4C-AB3B-479C-86DE-44E135FE5731}"/>
    <cellStyle name="Migliaia 17 3 4 8" xfId="7664" xr:uid="{16A4B8D8-3471-4602-B8F5-AD9129690804}"/>
    <cellStyle name="Migliaia 17 3 5" xfId="3234" xr:uid="{FA61D102-D688-4095-994F-E7644FBC5035}"/>
    <cellStyle name="Migliaia 17 3 5 2" xfId="4960" xr:uid="{975A1586-6716-459C-8B1E-F42FF417E0F1}"/>
    <cellStyle name="Migliaia 17 3 5 2 2" xfId="35180" xr:uid="{8B6E5D17-3B57-4463-99A7-43C9B12EA94D}"/>
    <cellStyle name="Migliaia 17 3 5 2 2 2" xfId="40338" xr:uid="{E4259C3E-2926-4226-A077-B716A7EB0905}"/>
    <cellStyle name="Migliaia 17 3 5 2 2 3" xfId="45640" xr:uid="{2B4897F6-0B82-4E8D-8252-D686B0EE8738}"/>
    <cellStyle name="Migliaia 17 3 5 2 3" xfId="37687" xr:uid="{4A6E6B32-1CE5-437F-AF95-49F8397DE916}"/>
    <cellStyle name="Migliaia 17 3 5 2 4" xfId="42989" xr:uid="{306E8D32-2E5A-4561-82AB-BEE570091B09}"/>
    <cellStyle name="Migliaia 17 3 5 2 5" xfId="14204" xr:uid="{63D81AA6-54DD-413B-BDB0-2B62864ADA37}"/>
    <cellStyle name="Migliaia 17 3 5 3" xfId="6176" xr:uid="{E9256CF4-117D-44BE-B3D0-E174700CC2A2}"/>
    <cellStyle name="Migliaia 17 3 5 3 2" xfId="38649" xr:uid="{8BF509B2-3D8E-4278-8227-B1B69265162B}"/>
    <cellStyle name="Migliaia 17 3 5 3 3" xfId="43951" xr:uid="{ACB54699-A892-403B-BC12-9185C8E99605}"/>
    <cellStyle name="Migliaia 17 3 5 3 4" xfId="33255" xr:uid="{F6094D80-A027-40A8-9B43-7DEBB754118D}"/>
    <cellStyle name="Migliaia 17 3 5 3 5" xfId="19974" xr:uid="{C7839D37-5DFC-43D8-BCF1-A38E306B25D8}"/>
    <cellStyle name="Migliaia 17 3 5 4" xfId="36156" xr:uid="{32C92865-3AD9-49D4-BB51-045C68942DA3}"/>
    <cellStyle name="Migliaia 17 3 5 5" xfId="41300" xr:uid="{C5F1160F-26A9-47BA-BF86-46CF8F9A5995}"/>
    <cellStyle name="Migliaia 17 3 5 6" xfId="16131" xr:uid="{BECDBD3F-89A1-451B-8636-D5638638BEA5}"/>
    <cellStyle name="Migliaia 17 3 5 7" xfId="8266" xr:uid="{A569A431-839E-4CB4-ADF4-773C7DE7DE24}"/>
    <cellStyle name="Migliaia 17 3 6" xfId="4955" xr:uid="{8C261088-6E59-4060-9B7A-9D82E997A473}"/>
    <cellStyle name="Migliaia 17 3 6 2" xfId="13907" xr:uid="{25A3E6B9-6E99-4D87-921A-4F484EFE9D81}"/>
    <cellStyle name="Migliaia 17 3 6 2 2" xfId="38650" xr:uid="{3AE8BF2F-4D2C-437F-BAC7-B37B8F636F71}"/>
    <cellStyle name="Migliaia 17 3 6 2 3" xfId="43952" xr:uid="{6188521A-7711-4354-A3EF-A2DE621C5728}"/>
    <cellStyle name="Migliaia 17 3 6 3" xfId="18151" xr:uid="{899FC44B-FEA1-4841-B268-102716824A4F}"/>
    <cellStyle name="Migliaia 17 3 6 4" xfId="19975" xr:uid="{270BC2E1-8890-42DF-B426-3EF6CDC57427}"/>
    <cellStyle name="Migliaia 17 3 6 4 2" xfId="41301" xr:uid="{47AC783C-42A5-4135-95F1-2B278D3B804E}"/>
    <cellStyle name="Migliaia 17 3 6 5" xfId="16132" xr:uid="{7740FCAC-EFB9-4681-AD32-41E74B4D20F3}"/>
    <cellStyle name="Migliaia 17 3 6 6" xfId="7853" xr:uid="{8F03D81C-5C44-4E77-BF0D-1A1C0940C15C}"/>
    <cellStyle name="Migliaia 17 3 7" xfId="6171" xr:uid="{4D0DAE86-91A0-4490-9FBE-2D8A0CB81B60}"/>
    <cellStyle name="Migliaia 17 3 7 2" xfId="33256" xr:uid="{3A8C9DC8-F7C0-4838-BA50-0711C1879C37}"/>
    <cellStyle name="Migliaia 17 3 7 2 2" xfId="38651" xr:uid="{B6075176-6C5B-4694-B70A-9E9BCAA2F1A7}"/>
    <cellStyle name="Migliaia 17 3 7 2 3" xfId="43953" xr:uid="{59C8B5B0-6534-40CC-ACC7-0FDE635A356F}"/>
    <cellStyle name="Migliaia 17 3 7 3" xfId="36157" xr:uid="{957CF238-BF16-43B3-8125-40F6AE2B3D44}"/>
    <cellStyle name="Migliaia 17 3 7 4" xfId="41302" xr:uid="{466FB695-3BCF-4679-92D2-F3294685AA28}"/>
    <cellStyle name="Migliaia 17 3 7 5" xfId="12278" xr:uid="{B41A2FFD-1ABA-4C6A-AB0E-4AF1A60A760C}"/>
    <cellStyle name="Migliaia 17 3 8" xfId="3229" xr:uid="{4C4F8F08-D78A-406A-AC12-07AFB98FD700}"/>
    <cellStyle name="Migliaia 17 3 8 2" xfId="33257" xr:uid="{7DB13F26-0960-40F3-A4EF-027840C0B2FD}"/>
    <cellStyle name="Migliaia 17 3 8 2 2" xfId="38652" xr:uid="{18FD21B3-C2CF-4FDF-8747-0BE37AB657B6}"/>
    <cellStyle name="Migliaia 17 3 8 2 3" xfId="43954" xr:uid="{83B8A6DD-4A35-404C-B788-797893FDE9E5}"/>
    <cellStyle name="Migliaia 17 3 8 3" xfId="36158" xr:uid="{1A13E3D3-FAD7-4184-AD2F-132528D9F79F}"/>
    <cellStyle name="Migliaia 17 3 8 4" xfId="41303" xr:uid="{37E0417B-B814-4237-9A2A-D12795C41D8F}"/>
    <cellStyle name="Migliaia 17 3 8 5" xfId="24374" xr:uid="{9570EF61-E08E-45AE-A35A-06B9554E7473}"/>
    <cellStyle name="Migliaia 17 3 8 6" xfId="17403" xr:uid="{4FC2E113-7A9D-46E2-B9AB-ADBF257E3857}"/>
    <cellStyle name="Migliaia 17 3 9" xfId="19966" xr:uid="{3551A41F-2308-4D7F-8E27-167C53EE4AB5}"/>
    <cellStyle name="Migliaia 17 4" xfId="1695" xr:uid="{00000000-0005-0000-0000-000006030000}"/>
    <cellStyle name="Migliaia 17 4 2" xfId="1696" xr:uid="{00000000-0005-0000-0000-000007030000}"/>
    <cellStyle name="Migliaia 17 4 2 2" xfId="4962" xr:uid="{EA948EB0-65CE-4A56-91D0-E2FDF1EFEB82}"/>
    <cellStyle name="Migliaia 17 4 2 2 2" xfId="33258" xr:uid="{4061F405-B4D1-4D43-B077-D07DF7FD9F34}"/>
    <cellStyle name="Migliaia 17 4 2 2 2 2" xfId="38653" xr:uid="{65818559-8E5D-4A4C-ABE9-DDD47657BB4B}"/>
    <cellStyle name="Migliaia 17 4 2 2 2 3" xfId="43955" xr:uid="{9FE5E140-B21B-48C0-9574-C7B33B8A94EC}"/>
    <cellStyle name="Migliaia 17 4 2 2 3" xfId="36159" xr:uid="{5A536FF2-3026-4E6C-AE98-0318E30A1FFC}"/>
    <cellStyle name="Migliaia 17 4 2 2 4" xfId="41304" xr:uid="{DBDC592E-89B4-4594-8CF1-0BFB3B499809}"/>
    <cellStyle name="Migliaia 17 4 2 2 5" xfId="9124" xr:uid="{0DE86AC9-EB78-4CBD-92CD-FD23FD7B979B}"/>
    <cellStyle name="Migliaia 17 4 2 3" xfId="3236" xr:uid="{38E83EC4-9AD6-4D1A-BB4F-2967DE7C4D9F}"/>
    <cellStyle name="Migliaia 17 4 2 3 2" xfId="33259" xr:uid="{0B5A7F66-9FA0-44AC-9FCE-A82091A3808B}"/>
    <cellStyle name="Migliaia 17 4 2 3 2 2" xfId="38654" xr:uid="{1ABD01CF-11D8-43D9-B939-FFAFAD18648C}"/>
    <cellStyle name="Migliaia 17 4 2 3 2 3" xfId="43956" xr:uid="{2C75A031-6640-4AFA-9939-DAFD8DC4AC57}"/>
    <cellStyle name="Migliaia 17 4 2 3 3" xfId="36160" xr:uid="{F2AF347D-8195-4EFB-AB3A-11AEF4F3AA7A}"/>
    <cellStyle name="Migliaia 17 4 2 3 4" xfId="41305" xr:uid="{91DE9B65-1E6A-41EF-A5D0-B3A1DF8D92D1}"/>
    <cellStyle name="Migliaia 17 4 2 3 5" xfId="11917" xr:uid="{1026604A-8C7D-4663-9851-C5B993AA6CC0}"/>
    <cellStyle name="Migliaia 17 4 2 4" xfId="11270" xr:uid="{EB074027-DC5F-413D-88D5-B0A2DA8364FF}"/>
    <cellStyle name="Migliaia 17 4 2 5" xfId="10773" xr:uid="{2BD5613F-F85E-4EEE-A18A-E01249A5DB84}"/>
    <cellStyle name="Migliaia 17 4 2 5 2" xfId="21408" xr:uid="{D46373E3-5BE1-4DCA-ADB3-2D5B81F34FE6}"/>
    <cellStyle name="Migliaia 17 4 2 5 3" xfId="46216" xr:uid="{70033626-D9DD-42C6-8D5A-732E9C167C44}"/>
    <cellStyle name="Migliaia 17 4 2 5 4" xfId="50423" xr:uid="{AA8D7321-645D-4BC5-8109-E5801E166BA4}"/>
    <cellStyle name="Migliaia 17 4 2 5 5" xfId="53439" xr:uid="{51F17C15-1656-450F-BC25-2ED31F0E529F}"/>
    <cellStyle name="Migliaia 17 4 2 6" xfId="19977" xr:uid="{EF00231F-87B9-4E85-8C4B-659A2C6EB1FA}"/>
    <cellStyle name="Migliaia 17 4 2 7" xfId="24376" xr:uid="{F8B4573F-3B1E-4115-8158-E40DCD451BA2}"/>
    <cellStyle name="Migliaia 17 4 2 8" xfId="8531" xr:uid="{F39BEE44-8774-4FB5-A290-0124ECF3F99B}"/>
    <cellStyle name="Migliaia 17 4 3" xfId="4961" xr:uid="{8D50FFE8-B994-400F-9759-66E5DCF7E603}"/>
    <cellStyle name="Migliaia 17 4 3 2" xfId="18179" xr:uid="{3E85213C-456E-42DF-9CF3-00D92770FE75}"/>
    <cellStyle name="Migliaia 17 4 3 2 2" xfId="38655" xr:uid="{22DB63BA-77DD-4D20-99F8-6BAB8D5C0A44}"/>
    <cellStyle name="Migliaia 17 4 3 2 3" xfId="43957" xr:uid="{524C9519-BEEC-4382-BB01-4BD68A570A85}"/>
    <cellStyle name="Migliaia 17 4 3 3" xfId="36161" xr:uid="{A9904348-94D7-48BE-8C4B-D736928EE1DA}"/>
    <cellStyle name="Migliaia 17 4 3 4" xfId="41306" xr:uid="{ACA46080-EDA1-4FBC-A429-35FA86A51734}"/>
    <cellStyle name="Migliaia 17 4 3 5" xfId="17401" xr:uid="{2EB8F574-849E-40E8-999C-8D10BFE2F15E}"/>
    <cellStyle name="Migliaia 17 4 3 6" xfId="9125" xr:uid="{FDFA4846-590D-4069-8EA3-CFC45784F95F}"/>
    <cellStyle name="Migliaia 17 4 4" xfId="6177" xr:uid="{4081831F-FEC0-41DD-B863-4210B06B10FF}"/>
    <cellStyle name="Migliaia 17 4 4 2" xfId="33260" xr:uid="{94DF58DB-654C-46CD-A16E-B0ADC435E92B}"/>
    <cellStyle name="Migliaia 17 4 4 2 2" xfId="38656" xr:uid="{B7697C0D-DAC7-4F73-9FA7-0A1EB98EF520}"/>
    <cellStyle name="Migliaia 17 4 4 2 3" xfId="43958" xr:uid="{D6E8B409-5DD5-4F84-944B-1C658A7CE91F}"/>
    <cellStyle name="Migliaia 17 4 4 3" xfId="36162" xr:uid="{74444F30-C178-42F5-AC80-C32054807FE7}"/>
    <cellStyle name="Migliaia 17 4 4 4" xfId="41307" xr:uid="{A9C1524F-8FAD-42C6-920B-B8C87C8CD2CE}"/>
    <cellStyle name="Migliaia 17 4 4 5" xfId="11918" xr:uid="{4340E103-1137-43CA-AD0A-F45F1B37ACF1}"/>
    <cellStyle name="Migliaia 17 4 5" xfId="3235" xr:uid="{6358207B-6C03-42A2-A1E0-B356CCA37138}"/>
    <cellStyle name="Migliaia 17 4 5 2" xfId="33261" xr:uid="{176AED85-2A7F-4400-9BF4-BD210A615CCE}"/>
    <cellStyle name="Migliaia 17 4 5 2 2" xfId="38657" xr:uid="{E47A7365-4CCE-41E8-945F-ABA934FE3EB1}"/>
    <cellStyle name="Migliaia 17 4 5 2 3" xfId="43959" xr:uid="{B076026F-269D-4A67-806E-468F004B6F0F}"/>
    <cellStyle name="Migliaia 17 4 5 3" xfId="36163" xr:uid="{D9D2A683-CA95-48A5-A0E6-B9A54FA44405}"/>
    <cellStyle name="Migliaia 17 4 5 4" xfId="41308" xr:uid="{6F448CAA-343F-4A97-A0A4-021482536502}"/>
    <cellStyle name="Migliaia 17 4 5 5" xfId="11269" xr:uid="{50E15731-58F1-4A70-94E0-98EB2DDF76C8}"/>
    <cellStyle name="Migliaia 17 4 6" xfId="10772" xr:uid="{FB79BF5F-CFE3-4AC9-BBEC-3F7C82548798}"/>
    <cellStyle name="Migliaia 17 4 6 2" xfId="21407" xr:uid="{5F615FCA-1788-4849-8EDB-7A1F7968B216}"/>
    <cellStyle name="Migliaia 17 4 6 2 2" xfId="38658" xr:uid="{9EB8BCCE-9255-43C2-82A2-1E1F4E1452B1}"/>
    <cellStyle name="Migliaia 17 4 6 2 3" xfId="43960" xr:uid="{3FF9313A-5F2C-4D1D-817A-C9259B24F060}"/>
    <cellStyle name="Migliaia 17 4 6 2 4" xfId="33262" xr:uid="{F2B1808D-A855-4838-883E-72D0118A6659}"/>
    <cellStyle name="Migliaia 17 4 6 3" xfId="36164" xr:uid="{BB43EEEA-EA9E-48F0-B868-A0D7237722D7}"/>
    <cellStyle name="Migliaia 17 4 6 4" xfId="41309" xr:uid="{CDB05B42-0D52-4A73-8BA3-CFE4C4825793}"/>
    <cellStyle name="Migliaia 17 4 6 5" xfId="24377" xr:uid="{AF64BAE4-1FE7-4BBB-B291-9A44B9667755}"/>
    <cellStyle name="Migliaia 17 4 6 6" xfId="46215" xr:uid="{BCF761A0-5281-4DDD-ADE5-83FA702DAC47}"/>
    <cellStyle name="Migliaia 17 4 6 7" xfId="50422" xr:uid="{482D063B-4886-48AB-8A1F-C00B72BD379B}"/>
    <cellStyle name="Migliaia 17 4 6 8" xfId="53438" xr:uid="{9C902ACE-E8E0-4332-931B-B7D67B2DB7FE}"/>
    <cellStyle name="Migliaia 17 4 7" xfId="19976" xr:uid="{CE56F9EE-5DB9-4B2D-AE60-5C89BD53F975}"/>
    <cellStyle name="Migliaia 17 4 7 2" xfId="33263" xr:uid="{0D80D5E6-64DB-4A90-A249-20841B19544B}"/>
    <cellStyle name="Migliaia 17 4 7 2 2" xfId="38659" xr:uid="{8203A3E7-C0EF-478D-93DC-023FAD90F108}"/>
    <cellStyle name="Migliaia 17 4 7 2 3" xfId="43961" xr:uid="{4B946A28-0FCC-4720-A822-9EA692E10795}"/>
    <cellStyle name="Migliaia 17 4 7 3" xfId="36165" xr:uid="{B55F1E95-0AF6-4AE0-8B3C-E9F85A4DC240}"/>
    <cellStyle name="Migliaia 17 4 7 4" xfId="41310" xr:uid="{CEF65EB6-50F6-4807-8CEA-FD1C297EC9EE}"/>
    <cellStyle name="Migliaia 17 4 7 5" xfId="24378" xr:uid="{C63C7EFE-5492-4E9B-9B74-5238492A17BC}"/>
    <cellStyle name="Migliaia 17 4 8" xfId="24375" xr:uid="{52BD8CE0-19AB-418F-A215-CE2485DD1F12}"/>
    <cellStyle name="Migliaia 17 4 9" xfId="7341" xr:uid="{6F0F07F6-00AD-439F-A43E-1EFF7EF39245}"/>
    <cellStyle name="Migliaia 17 5" xfId="1697" xr:uid="{00000000-0005-0000-0000-000008030000}"/>
    <cellStyle name="Migliaia 17 5 2" xfId="4963" xr:uid="{85C5DCF9-C859-4531-9C7B-A9BCF7AC412B}"/>
    <cellStyle name="Migliaia 17 5 2 2" xfId="18383" xr:uid="{AE8C7C86-9216-4FDD-AAEF-80664D60AF13}"/>
    <cellStyle name="Migliaia 17 5 2 2 2" xfId="38660" xr:uid="{2AA8F958-DBA6-4167-A4BE-23F449A06526}"/>
    <cellStyle name="Migliaia 17 5 2 2 3" xfId="43962" xr:uid="{9666F595-6F89-43D6-9AA1-BEE69BFCB88B}"/>
    <cellStyle name="Migliaia 17 5 2 3" xfId="19979" xr:uid="{A835E618-8962-47A0-AC5C-F463BE27AD94}"/>
    <cellStyle name="Migliaia 17 5 2 3 2" xfId="36166" xr:uid="{3F64D83C-F851-45E1-AA93-FFF20A749D98}"/>
    <cellStyle name="Migliaia 17 5 2 4" xfId="41311" xr:uid="{C3B929DF-2414-48A4-A732-8AEB1F76DD3B}"/>
    <cellStyle name="Migliaia 17 5 2 5" xfId="16133" xr:uid="{C2161123-CBB3-4AF0-85C2-6D49EDFF8D05}"/>
    <cellStyle name="Migliaia 17 5 2 6" xfId="8532" xr:uid="{865292EF-2F66-44EA-A3C2-95C4C74DAAE3}"/>
    <cellStyle name="Migliaia 17 5 3" xfId="6178" xr:uid="{C19D1431-B0B3-4C4D-8446-6DC11B039C80}"/>
    <cellStyle name="Migliaia 17 5 3 2" xfId="33264" xr:uid="{2BF74C71-E88C-4880-94BF-A4AA689EEA4A}"/>
    <cellStyle name="Migliaia 17 5 3 2 2" xfId="38661" xr:uid="{14CA29B7-62FC-4F08-8C6F-477D6BAE4662}"/>
    <cellStyle name="Migliaia 17 5 3 2 3" xfId="43963" xr:uid="{7290917F-D342-4B67-B8D2-4C99700BAE92}"/>
    <cellStyle name="Migliaia 17 5 3 3" xfId="36167" xr:uid="{6DC3643F-9B49-484F-BC31-9022C1B88A80}"/>
    <cellStyle name="Migliaia 17 5 3 4" xfId="41312" xr:uid="{2632C193-91B9-432C-8E4C-781B1B26D599}"/>
    <cellStyle name="Migliaia 17 5 3 5" xfId="11271" xr:uid="{3FC5DA1F-63BB-4D03-9FC1-D6BF1EFC2BF6}"/>
    <cellStyle name="Migliaia 17 5 4" xfId="3237" xr:uid="{8B1FB564-F176-448E-AF2B-2C1C55D260C9}"/>
    <cellStyle name="Migliaia 17 5 4 2" xfId="21409" xr:uid="{AD7D8ACE-9A2B-47F8-84A0-2DF7B609EE4E}"/>
    <cellStyle name="Migliaia 17 5 4 2 2" xfId="38662" xr:uid="{5FE160C5-1FB1-44C6-9145-2A4079C4AE40}"/>
    <cellStyle name="Migliaia 17 5 4 2 3" xfId="43964" xr:uid="{FAAAAB42-ECCF-42F7-AC32-47890D189BB4}"/>
    <cellStyle name="Migliaia 17 5 4 2 4" xfId="33265" xr:uid="{1F70D9E4-8A0A-4410-AE55-CEC90DAE6392}"/>
    <cellStyle name="Migliaia 17 5 4 3" xfId="36168" xr:uid="{0946D029-A713-4AC0-8CBC-01C5E046DF1D}"/>
    <cellStyle name="Migliaia 17 5 4 4" xfId="41313" xr:uid="{BB614C84-19E1-4226-8C6F-FDBBFF68B6E5}"/>
    <cellStyle name="Migliaia 17 5 4 5" xfId="24380" xr:uid="{838BE503-179B-49EA-B52B-9FF648EF4642}"/>
    <cellStyle name="Migliaia 17 5 4 6" xfId="32299" xr:uid="{C40AEEF3-0530-45D9-BB23-BC072A10C246}"/>
    <cellStyle name="Migliaia 17 5 4 7" xfId="50424" xr:uid="{99D39033-47EB-4002-B4F0-1B37ECE2C03C}"/>
    <cellStyle name="Migliaia 17 5 4 8" xfId="53440" xr:uid="{48979346-1EAA-4813-BA21-7B79AFAB02B7}"/>
    <cellStyle name="Migliaia 17 5 4 9" xfId="10774" xr:uid="{0BACDFC6-BE63-4939-A271-A50CC4DE6006}"/>
    <cellStyle name="Migliaia 17 5 5" xfId="19978" xr:uid="{3F9E7AFA-6FD6-4982-93C1-80361D42864B}"/>
    <cellStyle name="Migliaia 17 5 5 2" xfId="33266" xr:uid="{9B25D6CF-447A-4F7F-ABDE-7474F70931EC}"/>
    <cellStyle name="Migliaia 17 5 5 2 2" xfId="38663" xr:uid="{82C43B24-80AF-4EDC-B6C8-3EE77BF237E9}"/>
    <cellStyle name="Migliaia 17 5 5 2 3" xfId="43965" xr:uid="{0EC206BC-761B-4091-AF22-D5FFCD2FB92B}"/>
    <cellStyle name="Migliaia 17 5 5 3" xfId="36169" xr:uid="{0140C273-0CFA-401B-8ED7-6461A6AAD13C}"/>
    <cellStyle name="Migliaia 17 5 5 4" xfId="41314" xr:uid="{6A118074-354A-4EA1-AD2B-FD5C090D1E6A}"/>
    <cellStyle name="Migliaia 17 5 5 5" xfId="24381" xr:uid="{517F0955-CE3B-4CE3-8B48-2B36C4185769}"/>
    <cellStyle name="Migliaia 17 5 6" xfId="24382" xr:uid="{D903B164-837A-43EB-98AD-A1B4DAFC7817}"/>
    <cellStyle name="Migliaia 17 5 6 2" xfId="33267" xr:uid="{7701231E-E95F-43B4-9453-C8FC714A80DE}"/>
    <cellStyle name="Migliaia 17 5 6 2 2" xfId="38664" xr:uid="{C7A87B69-0033-4D18-A49F-6F528BACEB73}"/>
    <cellStyle name="Migliaia 17 5 6 2 3" xfId="43966" xr:uid="{3C065A06-BA1D-4221-B28C-A1E233DA3F74}"/>
    <cellStyle name="Migliaia 17 5 6 3" xfId="36170" xr:uid="{FB48427D-931E-4811-BD52-87C7FC0E3596}"/>
    <cellStyle name="Migliaia 17 5 6 4" xfId="41315" xr:uid="{251762E0-E6EC-425B-9AE7-604C43B1CAC5}"/>
    <cellStyle name="Migliaia 17 5 7" xfId="24379" xr:uid="{1B8C4579-5D17-45A2-A2AD-0E3CCB2027BF}"/>
    <cellStyle name="Migliaia 17 5 8" xfId="7342" xr:uid="{329D688F-288E-406E-A74E-F76194FD145A}"/>
    <cellStyle name="Migliaia 17 6" xfId="3238" xr:uid="{4DE26CC1-1D91-4FAF-86BA-4722C17A60B7}"/>
    <cellStyle name="Migliaia 17 6 2" xfId="4964" xr:uid="{6C405154-6A46-4C0C-846D-53DBEE1743F2}"/>
    <cellStyle name="Migliaia 17 6 2 2" xfId="9897" xr:uid="{13616DE7-0120-4A81-B8B7-BE2A7DDCCC92}"/>
    <cellStyle name="Migliaia 17 6 2 3" xfId="18672" xr:uid="{BD84A016-6641-4F4F-8CFA-9DAB422A5851}"/>
    <cellStyle name="Migliaia 17 6 2 4" xfId="19981" xr:uid="{0B1C43B3-BF3A-484B-9135-59781EEDEA88}"/>
    <cellStyle name="Migliaia 17 6 2 5" xfId="32317" xr:uid="{E352E30D-51B9-4F80-8CC9-5FBB499C1144}"/>
    <cellStyle name="Migliaia 17 6 2 6" xfId="16135" xr:uid="{AD599E8B-9579-418E-A6DD-F97BE9FF5B78}"/>
    <cellStyle name="Migliaia 17 6 2 7" xfId="8527" xr:uid="{71A8283E-A00E-4B6D-9F8C-3F4C0058A5B2}"/>
    <cellStyle name="Migliaia 17 6 3" xfId="6179" xr:uid="{FCC1FADF-1434-4BAD-9114-E749D59E36E2}"/>
    <cellStyle name="Migliaia 17 6 3 2" xfId="35181" xr:uid="{66FFD332-AEC0-4E13-B040-C7905C831173}"/>
    <cellStyle name="Migliaia 17 6 3 2 2" xfId="40339" xr:uid="{9ECE3CBF-7E0D-4E7B-9DFC-3BC949AF4A69}"/>
    <cellStyle name="Migliaia 17 6 3 2 3" xfId="45641" xr:uid="{48EB361A-DEBD-424D-9FA8-C4A61A1E6850}"/>
    <cellStyle name="Migliaia 17 6 3 3" xfId="37688" xr:uid="{C78F039B-B558-4003-953D-7CE9894A310F}"/>
    <cellStyle name="Migliaia 17 6 3 4" xfId="42990" xr:uid="{BFC91DA7-FFD3-414B-8FCE-66A1E5CC254E}"/>
    <cellStyle name="Migliaia 17 6 3 5" xfId="9660" xr:uid="{2702CC73-7D14-4D9B-B470-C01B880E7728}"/>
    <cellStyle name="Migliaia 17 6 4" xfId="19980" xr:uid="{89BBCF71-3481-4FDF-9429-895FE863CCC6}"/>
    <cellStyle name="Migliaia 17 6 4 2" xfId="38665" xr:uid="{0829433C-29C7-4B91-8B10-4D83FFA031F0}"/>
    <cellStyle name="Migliaia 17 6 4 3" xfId="43967" xr:uid="{356A5BF1-6CC6-42A1-AE5A-F249DC57551D}"/>
    <cellStyle name="Migliaia 17 6 4 4" xfId="33268" xr:uid="{C091C55B-D1ED-4A0C-8DA1-FC9A911B8BA2}"/>
    <cellStyle name="Migliaia 17 6 5" xfId="36171" xr:uid="{7E1B9F28-215F-4E3C-AF85-8A1707A61E1E}"/>
    <cellStyle name="Migliaia 17 6 6" xfId="41316" xr:uid="{94F6852E-E95A-4C2F-B8D5-0A2C33439870}"/>
    <cellStyle name="Migliaia 17 6 7" xfId="16134" xr:uid="{98F142C5-F219-4C20-8C27-032D6CC7ECA7}"/>
    <cellStyle name="Migliaia 17 6 8" xfId="7337" xr:uid="{3B2C4E45-B56B-4F22-821D-BD1014633F73}"/>
    <cellStyle name="Migliaia 17 7" xfId="3239" xr:uid="{CD92DC21-FF47-45E4-A089-FA24C227C465}"/>
    <cellStyle name="Migliaia 17 7 2" xfId="4965" xr:uid="{1E73715D-6A5F-4F26-BD3F-2AE652BF7760}"/>
    <cellStyle name="Migliaia 17 7 2 2" xfId="35182" xr:uid="{AEE52EC8-3137-4D36-82EC-3596D1903DAB}"/>
    <cellStyle name="Migliaia 17 7 2 2 2" xfId="40340" xr:uid="{8BC99FED-FDB5-4ABE-BA3E-223A748BBC5F}"/>
    <cellStyle name="Migliaia 17 7 2 2 3" xfId="45642" xr:uid="{6F5C545D-5E3C-45D5-A78E-40D575E0823F}"/>
    <cellStyle name="Migliaia 17 7 2 3" xfId="37689" xr:uid="{4456D632-B5FC-41AE-83C8-064229BF93B9}"/>
    <cellStyle name="Migliaia 17 7 2 4" xfId="42991" xr:uid="{057DF39F-368F-4066-9854-BB15762D828F}"/>
    <cellStyle name="Migliaia 17 7 2 5" xfId="14202" xr:uid="{BA824A1B-FF85-4BC4-8E40-38C82E089AF4}"/>
    <cellStyle name="Migliaia 17 7 3" xfId="6180" xr:uid="{74626AA6-CBB9-49CA-B849-B6F3A3E695D1}"/>
    <cellStyle name="Migliaia 17 7 3 2" xfId="38666" xr:uid="{ED047387-1284-4889-BFAB-D8161F904455}"/>
    <cellStyle name="Migliaia 17 7 3 3" xfId="43968" xr:uid="{0EAD3359-FE3B-46CC-80C9-FD30DE76499F}"/>
    <cellStyle name="Migliaia 17 7 3 4" xfId="33269" xr:uid="{D9B5F33A-5CA5-4D5E-974D-F757D581A991}"/>
    <cellStyle name="Migliaia 17 7 3 5" xfId="19982" xr:uid="{BC2727CF-ADD3-4B46-BE7C-46DE8D8048E4}"/>
    <cellStyle name="Migliaia 17 7 4" xfId="36172" xr:uid="{33082F20-D815-4811-A831-FEE0876F3F35}"/>
    <cellStyle name="Migliaia 17 7 5" xfId="41317" xr:uid="{20B8E61A-19F8-41DA-8F11-701CC3F61FAC}"/>
    <cellStyle name="Migliaia 17 7 6" xfId="16136" xr:uid="{3748E98A-EBF4-40B7-92EF-8EA85B9CCE05}"/>
    <cellStyle name="Migliaia 17 7 7" xfId="8264" xr:uid="{586B16B4-BC22-461A-B02A-0D9AD73BAFAB}"/>
    <cellStyle name="Migliaia 17 8" xfId="3240" xr:uid="{27BA129C-EE2A-4CE8-B3CC-77F0996D1203}"/>
    <cellStyle name="Migliaia 17 8 2" xfId="4966" xr:uid="{C157ADDC-F69A-4A90-8A04-7CB2043C705F}"/>
    <cellStyle name="Migliaia 17 8 2 2" xfId="35183" xr:uid="{B4E32680-EF84-4F61-9529-D2822E37AEE7}"/>
    <cellStyle name="Migliaia 17 8 2 2 2" xfId="40341" xr:uid="{482C7D39-452B-42EE-ABC9-7E1963DF6D93}"/>
    <cellStyle name="Migliaia 17 8 2 2 3" xfId="45643" xr:uid="{C8F069FF-58A9-4EF5-AD1F-9940947E354D}"/>
    <cellStyle name="Migliaia 17 8 2 3" xfId="37690" xr:uid="{D7B55900-88A5-43EC-8500-40432BB04BFC}"/>
    <cellStyle name="Migliaia 17 8 2 4" xfId="42992" xr:uid="{2A9A5B11-B095-4691-919B-839F3716E2E7}"/>
    <cellStyle name="Migliaia 17 8 2 5" xfId="13905" xr:uid="{82612CEE-5F50-4C31-B0B5-69D2D6C2142C}"/>
    <cellStyle name="Migliaia 17 8 3" xfId="6181" xr:uid="{2750B2C4-F597-45FF-84B2-54122E95EA12}"/>
    <cellStyle name="Migliaia 17 8 3 2" xfId="38667" xr:uid="{6AF14182-B629-457C-BE50-1699C64B764B}"/>
    <cellStyle name="Migliaia 17 8 3 3" xfId="43969" xr:uid="{09232286-1F50-4FD9-909C-D9816013EF09}"/>
    <cellStyle name="Migliaia 17 8 3 4" xfId="33270" xr:uid="{FD4F8C47-895A-4751-8802-C59B24559377}"/>
    <cellStyle name="Migliaia 17 8 3 5" xfId="19983" xr:uid="{8A5164E7-DDAF-49CB-BA50-6BC830B40941}"/>
    <cellStyle name="Migliaia 17 8 4" xfId="36173" xr:uid="{5B654AF7-84C0-4735-BC0C-55527C08E09E}"/>
    <cellStyle name="Migliaia 17 8 5" xfId="41318" xr:uid="{BFEED062-FC46-4F4A-BFC3-F20AEC9885D5}"/>
    <cellStyle name="Migliaia 17 8 6" xfId="16137" xr:uid="{A7E4A316-A9C8-43DF-860A-9C5EACFD2591}"/>
    <cellStyle name="Migliaia 17 8 7" xfId="7851" xr:uid="{37F6C097-BDE2-423D-9859-1D3A97971E8C}"/>
    <cellStyle name="Migliaia 17 9" xfId="4951" xr:uid="{3B01EF58-5995-47A2-BF0B-D0E7DDEC5F71}"/>
    <cellStyle name="Migliaia 17 9 2" xfId="33271" xr:uid="{CD0FCFD3-2726-4D00-B57C-F273560EFABD}"/>
    <cellStyle name="Migliaia 17 9 2 2" xfId="38668" xr:uid="{3EFC08D2-4934-4EE0-8177-C19FF1A85198}"/>
    <cellStyle name="Migliaia 17 9 2 3" xfId="43970" xr:uid="{7FC1C557-3E5A-4C36-8AF4-AC4991F5F12A}"/>
    <cellStyle name="Migliaia 17 9 3" xfId="36174" xr:uid="{BEEA5689-804E-4236-9B31-A8E951C5CA72}"/>
    <cellStyle name="Migliaia 17 9 4" xfId="41319" xr:uid="{146E63DC-AB5E-434C-9F4E-4EF7A42AD6B0}"/>
    <cellStyle name="Migliaia 17 9 5" xfId="17151" xr:uid="{5059C4F0-C006-4BC5-A3AF-5C2020314C80}"/>
    <cellStyle name="Migliaia 18" xfId="333" xr:uid="{00000000-0005-0000-0000-000009030000}"/>
    <cellStyle name="Migliaia 18 10" xfId="6182" xr:uid="{36F4397E-53D2-4029-A735-5FA42F1809EE}"/>
    <cellStyle name="Migliaia 18 10 2" xfId="38669" xr:uid="{07352BD3-E7E3-4F6D-8308-8EBB8A8D699D}"/>
    <cellStyle name="Migliaia 18 10 3" xfId="43971" xr:uid="{5E1A0CA7-251A-4211-9311-382057B9A08A}"/>
    <cellStyle name="Migliaia 18 10 4" xfId="33272" xr:uid="{C4C5BEA9-B9D6-43BB-9A33-2421AD7BDF1E}"/>
    <cellStyle name="Migliaia 18 10 5" xfId="19984" xr:uid="{43AB8E17-5C40-4BB5-AC0A-F76D1C3D272C}"/>
    <cellStyle name="Migliaia 18 11" xfId="3241" xr:uid="{E1980C94-BECB-4725-A3DC-DADD294D717B}"/>
    <cellStyle name="Migliaia 18 11 2" xfId="36175" xr:uid="{43FEA7D9-6496-420B-89DC-4C9340DA5BFD}"/>
    <cellStyle name="Migliaia 18 12" xfId="41320" xr:uid="{E51F50AA-7062-4BA8-A2CE-4644DB813F76}"/>
    <cellStyle name="Migliaia 18 13" xfId="7068" xr:uid="{9D67F6F4-07B7-4B62-9CBB-C5908F011424}"/>
    <cellStyle name="Migliaia 18 2" xfId="334" xr:uid="{00000000-0005-0000-0000-00000A030000}"/>
    <cellStyle name="Migliaia 18 2 2" xfId="1698" xr:uid="{00000000-0005-0000-0000-00000B030000}"/>
    <cellStyle name="Migliaia 18 2 2 2" xfId="4969" xr:uid="{A71E8641-E7CA-411E-9CA4-8900CA4196B8}"/>
    <cellStyle name="Migliaia 18 2 2 2 2" xfId="14371" xr:uid="{DE48CE36-9B29-44F1-A600-1247A1198329}"/>
    <cellStyle name="Migliaia 18 2 2 2 2 2" xfId="38670" xr:uid="{CD6B4C17-B35D-4489-8AA0-6A04522BB076}"/>
    <cellStyle name="Migliaia 18 2 2 2 2 3" xfId="43972" xr:uid="{BCD5543E-6753-440B-BDCF-C29FE7210C4D}"/>
    <cellStyle name="Migliaia 18 2 2 2 3" xfId="18384" xr:uid="{16AF4FCB-0E37-461F-B436-2F5EA80CCAF6}"/>
    <cellStyle name="Migliaia 18 2 2 2 4" xfId="19987" xr:uid="{59DC6ACE-A830-418E-A142-FF4343E17A73}"/>
    <cellStyle name="Migliaia 18 2 2 2 4 2" xfId="41321" xr:uid="{F483A4F8-9A37-4C15-8D14-3941020165F4}"/>
    <cellStyle name="Migliaia 18 2 2 2 5" xfId="16138" xr:uid="{546D2DE4-425B-4C8B-AF2C-F128D9146622}"/>
    <cellStyle name="Migliaia 18 2 2 2 6" xfId="8534" xr:uid="{4C018A12-CE66-46E3-BC6C-4EDB8D9AC4FF}"/>
    <cellStyle name="Migliaia 18 2 2 3" xfId="6184" xr:uid="{AA3AE2D2-A546-476A-A26F-908A55AEBCBE}"/>
    <cellStyle name="Migliaia 18 2 2 3 2" xfId="35184" xr:uid="{FD7B3B73-BE6D-4605-BB60-F41C1FE743D6}"/>
    <cellStyle name="Migliaia 18 2 2 3 2 2" xfId="40342" xr:uid="{D4807848-7558-4D92-AB56-37DAE7160F04}"/>
    <cellStyle name="Migliaia 18 2 2 3 2 3" xfId="45644" xr:uid="{C791E1B2-EDE9-4796-95CE-A384DBFF66BB}"/>
    <cellStyle name="Migliaia 18 2 2 3 3" xfId="37691" xr:uid="{C1E63225-C040-4D4B-8B46-2A1E8E083F0B}"/>
    <cellStyle name="Migliaia 18 2 2 3 4" xfId="42993" xr:uid="{026B24FC-90A4-4087-8B7D-FDD556C50104}"/>
    <cellStyle name="Migliaia 18 2 2 3 5" xfId="11600" xr:uid="{27C487E6-8FB6-4F4F-9641-0B1A8B21A468}"/>
    <cellStyle name="Migliaia 18 2 2 4" xfId="3243" xr:uid="{16468B8A-E153-47DF-AACF-DACAE5BF140D}"/>
    <cellStyle name="Migliaia 18 2 2 4 2" xfId="21410" xr:uid="{9DE25AF1-85A8-4927-B44A-62920A4B84BE}"/>
    <cellStyle name="Migliaia 18 2 2 4 3" xfId="24248" xr:uid="{CE0B43BC-64B2-40AE-8833-AA0E684602BC}"/>
    <cellStyle name="Migliaia 18 2 2 4 4" xfId="50425" xr:uid="{1DAA2822-418D-4210-9542-B06A2C7DB08E}"/>
    <cellStyle name="Migliaia 18 2 2 4 5" xfId="53441" xr:uid="{1AA3F0C8-5878-40CC-AB29-57FE937860A5}"/>
    <cellStyle name="Migliaia 18 2 2 4 6" xfId="10775" xr:uid="{D472331D-D401-4EC2-B7C5-CFC48C48890C}"/>
    <cellStyle name="Migliaia 18 2 2 5" xfId="19986" xr:uid="{F226DDC8-352C-40E9-8CF2-98FC75C2661B}"/>
    <cellStyle name="Migliaia 18 2 2 6" xfId="24384" xr:uid="{AD3E127E-4D72-4F9E-8EF4-6C2CBC3F6E7E}"/>
    <cellStyle name="Migliaia 18 2 2 7" xfId="7344" xr:uid="{D0F57906-1151-4CD7-8105-B93AF51BA4F2}"/>
    <cellStyle name="Migliaia 18 2 3" xfId="3244" xr:uid="{259C5CCE-5155-401E-A417-4339BBD49EA4}"/>
    <cellStyle name="Migliaia 18 2 3 2" xfId="4970" xr:uid="{45CF8233-509F-4388-87FE-F73AB72A4433}"/>
    <cellStyle name="Migliaia 18 2 3 2 2" xfId="35185" xr:uid="{47B4A5FD-1CC3-46FC-8EDD-42683FEAB7CE}"/>
    <cellStyle name="Migliaia 18 2 3 2 2 2" xfId="40343" xr:uid="{340E7D2D-BC75-4506-849A-E5374903BFD8}"/>
    <cellStyle name="Migliaia 18 2 3 2 2 3" xfId="45645" xr:uid="{D40C5D95-8C65-48B5-AE26-A0976E642E5A}"/>
    <cellStyle name="Migliaia 18 2 3 2 3" xfId="37692" xr:uid="{96CD9757-4868-43C7-9E75-EE6198A70BBB}"/>
    <cellStyle name="Migliaia 18 2 3 2 4" xfId="42994" xr:uid="{7EF79479-AD34-4EEF-A083-0131ED96F6EF}"/>
    <cellStyle name="Migliaia 18 2 3 2 5" xfId="14206" xr:uid="{AAE879C7-4802-4154-8E45-9CE901BEEFF1}"/>
    <cellStyle name="Migliaia 18 2 3 3" xfId="6185" xr:uid="{7E1CBE8C-3EEB-4485-B3F2-3BEA2C707E79}"/>
    <cellStyle name="Migliaia 18 2 3 3 2" xfId="38671" xr:uid="{F6F41B03-B2CE-48ED-ABB5-2E22ABB5058C}"/>
    <cellStyle name="Migliaia 18 2 3 3 3" xfId="43973" xr:uid="{9476F0B3-7D0C-4602-8C4C-C6CD527CA109}"/>
    <cellStyle name="Migliaia 18 2 3 3 4" xfId="33273" xr:uid="{FA25E04D-1028-44F1-BF7D-AC204BE83DA9}"/>
    <cellStyle name="Migliaia 18 2 3 3 5" xfId="19988" xr:uid="{275E030A-6CBC-42DA-BF31-B93924E60717}"/>
    <cellStyle name="Migliaia 18 2 3 4" xfId="36176" xr:uid="{F8F9CF8B-335F-4FBE-9623-3EC98452652C}"/>
    <cellStyle name="Migliaia 18 2 3 5" xfId="41322" xr:uid="{6DED6DF9-3E88-45D6-AD3D-2F8FBA710104}"/>
    <cellStyle name="Migliaia 18 2 3 6" xfId="16139" xr:uid="{7A295940-62E0-46BD-8F69-9CB46B16D161}"/>
    <cellStyle name="Migliaia 18 2 3 7" xfId="8268" xr:uid="{1851E33F-20BB-4230-AEF4-AD45DFA73E69}"/>
    <cellStyle name="Migliaia 18 2 4" xfId="4968" xr:uid="{1404A246-297D-4A47-9EE6-B70F5C069C22}"/>
    <cellStyle name="Migliaia 18 2 4 2" xfId="13909" xr:uid="{9D1592C4-39A5-429C-A867-CE21C1E6771E}"/>
    <cellStyle name="Migliaia 18 2 4 2 2" xfId="38672" xr:uid="{4CEB250E-A637-4244-AD3C-90D1DD631F0B}"/>
    <cellStyle name="Migliaia 18 2 4 2 3" xfId="43974" xr:uid="{06FEFDF8-F12E-4C31-98D2-596901BA88F4}"/>
    <cellStyle name="Migliaia 18 2 4 3" xfId="18285" xr:uid="{444B1BE0-F1DF-4E55-9FC1-9E0A91A903C7}"/>
    <cellStyle name="Migliaia 18 2 4 4" xfId="19989" xr:uid="{61B3D180-7622-4A50-8597-A9AEC53CD2B0}"/>
    <cellStyle name="Migliaia 18 2 4 4 2" xfId="41323" xr:uid="{D534000A-5316-4143-A42E-E0A26EBE001C}"/>
    <cellStyle name="Migliaia 18 2 4 5" xfId="16140" xr:uid="{CC1A21C6-21B1-43BC-89C7-A5F8DDB6BE85}"/>
    <cellStyle name="Migliaia 18 2 4 6" xfId="7856" xr:uid="{33D009F8-756B-4BBF-B6E7-84454E92D1F8}"/>
    <cellStyle name="Migliaia 18 2 5" xfId="6183" xr:uid="{21B9BB6A-2983-4B41-9CBE-72C15599D672}"/>
    <cellStyle name="Migliaia 18 2 5 2" xfId="33274" xr:uid="{7811234A-85EA-413F-830F-7FE04823AFF3}"/>
    <cellStyle name="Migliaia 18 2 5 2 2" xfId="38673" xr:uid="{33C1B2A2-F0E2-454D-8877-8124D5003F0A}"/>
    <cellStyle name="Migliaia 18 2 5 2 3" xfId="43975" xr:uid="{F5DF6B65-2E4A-4ECE-B157-A5DE4C4774C7}"/>
    <cellStyle name="Migliaia 18 2 5 3" xfId="36177" xr:uid="{38586A8B-4446-4150-87A1-29C9234F40DE}"/>
    <cellStyle name="Migliaia 18 2 5 4" xfId="41324" xr:uid="{69C321A6-200E-4D49-9BFA-13364EE119B0}"/>
    <cellStyle name="Migliaia 18 2 5 5" xfId="13111" xr:uid="{65C6AC8D-43C7-4D29-BFA3-E78572D12FE3}"/>
    <cellStyle name="Migliaia 18 2 6" xfId="3242" xr:uid="{5F30935A-B8D3-4E40-A511-758B78429BE0}"/>
    <cellStyle name="Migliaia 18 2 6 2" xfId="33275" xr:uid="{3FDFF647-5CDF-4486-A284-1E9819A79F23}"/>
    <cellStyle name="Migliaia 18 2 6 2 2" xfId="38674" xr:uid="{533D29BD-1542-4D94-BCE6-673B20C3588C}"/>
    <cellStyle name="Migliaia 18 2 6 2 3" xfId="43976" xr:uid="{8CFAABCE-2AC8-4A66-80D3-7B97FB0D3B0C}"/>
    <cellStyle name="Migliaia 18 2 6 3" xfId="36178" xr:uid="{96514600-A07C-468A-B07A-A3432F90DC45}"/>
    <cellStyle name="Migliaia 18 2 6 4" xfId="41325" xr:uid="{2E031840-2C54-44E3-9395-44B95DB2855B}"/>
    <cellStyle name="Migliaia 18 2 6 5" xfId="24385" xr:uid="{48535E4E-ADF5-45A5-9215-823AF5E58C54}"/>
    <cellStyle name="Migliaia 18 2 6 6" xfId="19985" xr:uid="{0F3F889A-B59E-40D8-ACAF-2C512B24B109}"/>
    <cellStyle name="Migliaia 18 2 7" xfId="24383" xr:uid="{09123246-14D1-4491-8741-3356B6791FF3}"/>
    <cellStyle name="Migliaia 18 2 8" xfId="7069" xr:uid="{2E9F8BC5-1E76-4532-B49D-0BEDC3BFD8A8}"/>
    <cellStyle name="Migliaia 18 3" xfId="335" xr:uid="{00000000-0005-0000-0000-00000C030000}"/>
    <cellStyle name="Migliaia 18 3 10" xfId="24386" xr:uid="{681A1F59-0D97-4866-B813-8B111DF65E7D}"/>
    <cellStyle name="Migliaia 18 3 11" xfId="16141" xr:uid="{3C9790FB-596F-404B-B392-68F23180FF02}"/>
    <cellStyle name="Migliaia 18 3 12" xfId="7070" xr:uid="{12085CDC-B5E6-49DC-999F-C9B778B3AF46}"/>
    <cellStyle name="Migliaia 18 3 2" xfId="336" xr:uid="{00000000-0005-0000-0000-00000D030000}"/>
    <cellStyle name="Migliaia 18 3 2 2" xfId="1699" xr:uid="{00000000-0005-0000-0000-00000E030000}"/>
    <cellStyle name="Migliaia 18 3 2 2 2" xfId="4973" xr:uid="{55FF77B5-B280-4A7F-B6F9-FCC79EF42BBD}"/>
    <cellStyle name="Migliaia 18 3 2 2 2 2" xfId="18385" xr:uid="{591CF16B-EF9F-41F4-BB1C-B0473CB05228}"/>
    <cellStyle name="Migliaia 18 3 2 2 2 2 2" xfId="21846" xr:uid="{89702E85-AD43-488D-B828-8276169C9C28}"/>
    <cellStyle name="Migliaia 18 3 2 2 2 2 2 2" xfId="38675" xr:uid="{A7A949B4-3F1D-4480-AE71-DB07C3F2D2C9}"/>
    <cellStyle name="Migliaia 18 3 2 2 2 2 3" xfId="43977" xr:uid="{D37C0711-C9C5-4C30-9AFC-A50A72A55B1E}"/>
    <cellStyle name="Migliaia 18 3 2 2 2 2 4" xfId="33276" xr:uid="{53185B97-9E21-49D8-9BF4-F57CEE3A96BE}"/>
    <cellStyle name="Migliaia 18 3 2 2 2 3" xfId="36179" xr:uid="{E7A5C9A8-DC79-4637-B6CA-D4C9032AB308}"/>
    <cellStyle name="Migliaia 18 3 2 2 2 4" xfId="41326" xr:uid="{BB2718B4-B866-4251-884F-5B94E399387F}"/>
    <cellStyle name="Migliaia 18 3 2 2 2 5" xfId="47610" xr:uid="{8F19EE86-63C3-483D-8C91-4EC0FC110E28}"/>
    <cellStyle name="Migliaia 18 3 2 2 2 6" xfId="50874" xr:uid="{63E8AF17-E313-49C4-8591-8032AE7D7517}"/>
    <cellStyle name="Migliaia 18 3 2 2 2 7" xfId="53890" xr:uid="{CE9360B0-118E-4F84-99BE-D07A50D7EB90}"/>
    <cellStyle name="Migliaia 18 3 2 2 2 8" xfId="17647" xr:uid="{4DB67D3F-E1F4-4CAE-BE58-E1BFCDB8B171}"/>
    <cellStyle name="Migliaia 18 3 2 2 2 9" xfId="11919" xr:uid="{3360417C-6ED2-4932-9C2F-71143127BE4B}"/>
    <cellStyle name="Migliaia 18 3 2 2 3" xfId="6188" xr:uid="{0DA875BA-3D75-4924-94FB-B39D7544A924}"/>
    <cellStyle name="Migliaia 18 3 2 2 3 2" xfId="11688" xr:uid="{EA8A5357-FC9E-49DD-A248-79E6718EF1FB}"/>
    <cellStyle name="Migliaia 18 3 2 2 4" xfId="3247" xr:uid="{A405EDCB-D416-4927-8743-A9D12C6D3421}"/>
    <cellStyle name="Migliaia 18 3 2 2 4 2" xfId="21411" xr:uid="{C3A99BA2-50BC-4D89-BABB-BC36D303829C}"/>
    <cellStyle name="Migliaia 18 3 2 2 4 3" xfId="46217" xr:uid="{434EC7BF-0D99-40B0-9B8C-E6B713F01C01}"/>
    <cellStyle name="Migliaia 18 3 2 2 4 4" xfId="50426" xr:uid="{AF9EB816-B322-4119-B3FD-2ADF4F46C9C4}"/>
    <cellStyle name="Migliaia 18 3 2 2 4 5" xfId="53442" xr:uid="{B23FA60C-C5FC-4FAA-B988-600781194CE2}"/>
    <cellStyle name="Migliaia 18 3 2 2 4 6" xfId="10776" xr:uid="{447F5304-3893-47E6-8E03-58A3C0982D40}"/>
    <cellStyle name="Migliaia 18 3 2 2 5" xfId="19992" xr:uid="{A151D3A8-2221-4DA2-9DD1-CCF9D77A659D}"/>
    <cellStyle name="Migliaia 18 3 2 2 6" xfId="24388" xr:uid="{4651FDEF-E554-4C68-8113-FAD8273C008C}"/>
    <cellStyle name="Migliaia 18 3 2 2 7" xfId="8536" xr:uid="{7BF2E9AA-0A88-45E5-A7D3-73FDF494C545}"/>
    <cellStyle name="Migliaia 18 3 2 3" xfId="4972" xr:uid="{7ED9093F-318D-4552-B1EC-C780F0CAE4CC}"/>
    <cellStyle name="Migliaia 18 3 2 3 2" xfId="12228" xr:uid="{13D97EB3-F524-4DD4-A133-86E6914EBB45}"/>
    <cellStyle name="Migliaia 18 3 2 3 2 2" xfId="38676" xr:uid="{A3F63A6B-8348-4879-B2F9-E054984FD240}"/>
    <cellStyle name="Migliaia 18 3 2 3 2 3" xfId="43978" xr:uid="{3EAE37C9-1107-420B-BF08-8A93F4C3223D}"/>
    <cellStyle name="Migliaia 18 3 2 3 2 4" xfId="33277" xr:uid="{7A710BFE-AA98-4E5C-B140-2136FA416D6F}"/>
    <cellStyle name="Migliaia 18 3 2 3 3" xfId="11920" xr:uid="{D9217884-147D-488B-A8EC-21518CFF7B91}"/>
    <cellStyle name="Migliaia 18 3 2 3 4" xfId="19993" xr:uid="{027C3AE5-62B0-4F1B-92F7-714B4A827443}"/>
    <cellStyle name="Migliaia 18 3 2 3 4 2" xfId="41327" xr:uid="{6E18E3D0-FEBB-4067-9982-7AF25555F2F8}"/>
    <cellStyle name="Migliaia 18 3 2 3 5" xfId="16142" xr:uid="{7883E0A3-AE8D-438B-A8BC-41FE043306A3}"/>
    <cellStyle name="Migliaia 18 3 2 3 6" xfId="7858" xr:uid="{85B8C7F7-1FD5-4624-9112-721C24958D4D}"/>
    <cellStyle name="Migliaia 18 3 2 4" xfId="6187" xr:uid="{B6FD2D44-EFF2-4E51-8929-DFC10D1ED45E}"/>
    <cellStyle name="Migliaia 18 3 2 4 2" xfId="18066" xr:uid="{4300E6EA-2F1D-4413-A08E-C742B2B51079}"/>
    <cellStyle name="Migliaia 18 3 2 4 2 2" xfId="38677" xr:uid="{8CAB0851-29FB-453A-9EF0-87C97CB522E5}"/>
    <cellStyle name="Migliaia 18 3 2 4 2 3" xfId="43979" xr:uid="{11198D05-EE15-4C1E-A96A-7A0BB4772296}"/>
    <cellStyle name="Migliaia 18 3 2 4 3" xfId="36180" xr:uid="{C611A11B-B61B-4A84-8978-CCA75C070B07}"/>
    <cellStyle name="Migliaia 18 3 2 4 4" xfId="41328" xr:uid="{1217C062-B334-47D5-8FC9-5B9EE749E553}"/>
    <cellStyle name="Migliaia 18 3 2 4 5" xfId="17154" xr:uid="{D1F35E32-64C7-4182-BA4D-9CB013708E0F}"/>
    <cellStyle name="Migliaia 18 3 2 4 6" xfId="11272" xr:uid="{53039961-4C18-4373-9268-924408EA620F}"/>
    <cellStyle name="Migliaia 18 3 2 5" xfId="3246" xr:uid="{FC030BE4-6931-41B1-A709-FC9C4F953837}"/>
    <cellStyle name="Migliaia 18 3 2 5 2" xfId="33278" xr:uid="{56A1F0CC-CA6A-41BB-887B-82C3D13B5BBC}"/>
    <cellStyle name="Migliaia 18 3 2 5 2 2" xfId="38678" xr:uid="{710CFF4D-40D7-4369-8E99-0A43EDBB4BFD}"/>
    <cellStyle name="Migliaia 18 3 2 5 2 3" xfId="43980" xr:uid="{EDCB2FAC-0CB8-4985-A53C-9C22B87C88B5}"/>
    <cellStyle name="Migliaia 18 3 2 5 3" xfId="36181" xr:uid="{A55B125F-4646-4697-9630-CCD21C3C95DE}"/>
    <cellStyle name="Migliaia 18 3 2 5 4" xfId="41329" xr:uid="{5FDAF3E5-C5D0-4B79-8656-DFEF09125621}"/>
    <cellStyle name="Migliaia 18 3 2 5 5" xfId="17399" xr:uid="{DFFD9AEF-5946-4727-8058-3DD7439F80FF}"/>
    <cellStyle name="Migliaia 18 3 2 6" xfId="19991" xr:uid="{76D4E2AE-F182-4EA3-9551-DAB851954CCC}"/>
    <cellStyle name="Migliaia 18 3 2 6 2" xfId="33279" xr:uid="{9B799969-CBE9-433F-AE44-CA4BC61DB0BE}"/>
    <cellStyle name="Migliaia 18 3 2 6 2 2" xfId="38679" xr:uid="{434FE026-4CEA-4DF4-9AE1-52BD336E855A}"/>
    <cellStyle name="Migliaia 18 3 2 6 2 3" xfId="43981" xr:uid="{B0450F28-F000-49D5-92F7-1728E9D847FB}"/>
    <cellStyle name="Migliaia 18 3 2 6 3" xfId="36182" xr:uid="{A884A10D-6B47-4A3D-A226-12BD576A480A}"/>
    <cellStyle name="Migliaia 18 3 2 6 4" xfId="41330" xr:uid="{D5648A08-58BD-46AE-B4D4-E978604D71FD}"/>
    <cellStyle name="Migliaia 18 3 2 6 5" xfId="24389" xr:uid="{2EAAC100-561E-4F2B-8E0D-2FFDEA3283B5}"/>
    <cellStyle name="Migliaia 18 3 2 7" xfId="24387" xr:uid="{C6B1DB9C-3512-4C0B-9D21-D284D050D38A}"/>
    <cellStyle name="Migliaia 18 3 2 8" xfId="7346" xr:uid="{A1629FEF-98C8-492F-9432-07D41357A911}"/>
    <cellStyle name="Migliaia 18 3 3" xfId="3248" xr:uid="{430B9F98-81F4-4DE4-9E7B-CC42C9FA1FB0}"/>
    <cellStyle name="Migliaia 18 3 3 10" xfId="7345" xr:uid="{5C48C6CB-03C6-4540-87D6-2053E4996974}"/>
    <cellStyle name="Migliaia 18 3 3 2" xfId="4974" xr:uid="{156C09C0-292F-4410-80BE-6124317C1B1A}"/>
    <cellStyle name="Migliaia 18 3 3 2 2" xfId="9900" xr:uid="{91BCD279-3937-46BD-8416-082888BCB9AE}"/>
    <cellStyle name="Migliaia 18 3 3 2 2 2" xfId="38681" xr:uid="{DBE520A1-2B12-40C6-994D-EAA1C3241550}"/>
    <cellStyle name="Migliaia 18 3 3 2 2 3" xfId="43983" xr:uid="{C85E1CAA-6091-4212-9EF6-0B36DE896FEA}"/>
    <cellStyle name="Migliaia 18 3 3 2 3" xfId="18180" xr:uid="{C27DC687-03DB-431E-9379-3EF588A7D317}"/>
    <cellStyle name="Migliaia 18 3 3 2 4" xfId="19995" xr:uid="{EDE35325-1F09-467D-807D-47145F5EAEF2}"/>
    <cellStyle name="Migliaia 18 3 3 2 4 2" xfId="41332" xr:uid="{C2AF6FC2-D245-48D3-BC12-D782EB5CD9AD}"/>
    <cellStyle name="Migliaia 18 3 3 2 5" xfId="16144" xr:uid="{0F50E41C-AA2D-4D80-BDE3-6059D6591260}"/>
    <cellStyle name="Migliaia 18 3 3 2 6" xfId="8535" xr:uid="{9E482B97-BA7F-43B3-B64E-5A93E568DC3A}"/>
    <cellStyle name="Migliaia 18 3 3 3" xfId="6189" xr:uid="{7B963DDB-A511-4C50-8C4D-F52EA317543F}"/>
    <cellStyle name="Migliaia 18 3 3 3 2" xfId="33281" xr:uid="{F8F5265C-7DA8-4CE7-9FF9-7F19D20CC46E}"/>
    <cellStyle name="Migliaia 18 3 3 3 2 2" xfId="38682" xr:uid="{B1CCBD7C-B29D-4E68-AF80-E238D758B1D4}"/>
    <cellStyle name="Migliaia 18 3 3 3 2 3" xfId="43984" xr:uid="{F07DE647-91A1-4A65-A02A-2899186D641C}"/>
    <cellStyle name="Migliaia 18 3 3 3 3" xfId="36184" xr:uid="{A46B7CFE-0336-421A-8825-C9A48F1FB953}"/>
    <cellStyle name="Migliaia 18 3 3 3 4" xfId="41333" xr:uid="{DE337EE4-B085-425F-93BB-48C4D29E12EE}"/>
    <cellStyle name="Migliaia 18 3 3 3 5" xfId="9663" xr:uid="{68D9AF52-E7DD-44E5-9591-B24482213A96}"/>
    <cellStyle name="Migliaia 18 3 3 4" xfId="19994" xr:uid="{37FFB616-62DC-4AB2-A30A-56B4CC14DB94}"/>
    <cellStyle name="Migliaia 18 3 3 4 2" xfId="33282" xr:uid="{DE1FAB86-A99E-4926-AA4C-EDCF8A529EFB}"/>
    <cellStyle name="Migliaia 18 3 3 4 2 2" xfId="38683" xr:uid="{AB0A081A-4B92-4CE8-834F-CF68E3E0F28B}"/>
    <cellStyle name="Migliaia 18 3 3 4 2 3" xfId="43985" xr:uid="{D042C98A-13B3-4386-9A3A-CE538118A025}"/>
    <cellStyle name="Migliaia 18 3 3 4 3" xfId="36185" xr:uid="{9E670F0A-1425-45A4-A0D9-9550663FB2A8}"/>
    <cellStyle name="Migliaia 18 3 3 4 4" xfId="41334" xr:uid="{8079C364-21DE-43E7-8F88-CF2458C5E6F0}"/>
    <cellStyle name="Migliaia 18 3 3 4 5" xfId="24390" xr:uid="{84AD111A-149D-4D22-9B2C-5767480BB02F}"/>
    <cellStyle name="Migliaia 18 3 3 5" xfId="24391" xr:uid="{4951700B-40C2-4493-B584-0AD38B67172D}"/>
    <cellStyle name="Migliaia 18 3 3 5 2" xfId="33283" xr:uid="{0EA71F77-067F-4D77-83A4-41059CBF6441}"/>
    <cellStyle name="Migliaia 18 3 3 5 2 2" xfId="38684" xr:uid="{E1C8B9D9-AFFE-4689-B032-630E32DEADEF}"/>
    <cellStyle name="Migliaia 18 3 3 5 2 3" xfId="43986" xr:uid="{20BEE44F-42C5-4B10-A1ED-0D8EA7B41D68}"/>
    <cellStyle name="Migliaia 18 3 3 5 3" xfId="36186" xr:uid="{533E9D5B-66A7-4A28-B92D-71E2FA2B57AF}"/>
    <cellStyle name="Migliaia 18 3 3 5 4" xfId="41335" xr:uid="{3B7F4615-9969-4F10-95E1-D2D0D6A976CC}"/>
    <cellStyle name="Migliaia 18 3 3 6" xfId="33280" xr:uid="{2877E676-48DE-43B5-B7B4-F995349CF5AC}"/>
    <cellStyle name="Migliaia 18 3 3 6 2" xfId="38680" xr:uid="{38E98E1B-65FF-41A2-B067-05862A14C40B}"/>
    <cellStyle name="Migliaia 18 3 3 6 3" xfId="43982" xr:uid="{AF05C728-3C87-45D0-9383-64B1463B7A39}"/>
    <cellStyle name="Migliaia 18 3 3 7" xfId="36183" xr:uid="{2BF6BA0E-9B7B-410F-B281-F901EB750583}"/>
    <cellStyle name="Migliaia 18 3 3 8" xfId="41331" xr:uid="{3297A982-DC62-4EF5-B04E-5DB455225BD9}"/>
    <cellStyle name="Migliaia 18 3 3 9" xfId="16143" xr:uid="{7B37D553-6F14-41C4-B161-1A3C144BD800}"/>
    <cellStyle name="Migliaia 18 3 4" xfId="3249" xr:uid="{F5F6F761-2D0E-4D86-8F87-37956FAF3AA6}"/>
    <cellStyle name="Migliaia 18 3 4 2" xfId="4975" xr:uid="{156AFBDD-1C9B-4CE9-B4D4-E8A357EDF98D}"/>
    <cellStyle name="Migliaia 18 3 4 2 2" xfId="14432" xr:uid="{D0DE9AD0-CC1E-4C61-8EE0-CB67E69B6909}"/>
    <cellStyle name="Migliaia 18 3 4 2 3" xfId="18044" xr:uid="{5007053C-9401-4741-86AC-E95E9BAA32F1}"/>
    <cellStyle name="Migliaia 18 3 4 2 4" xfId="19997" xr:uid="{79DCA7D9-CF90-4C8B-AEAD-B3EDE5CA40F9}"/>
    <cellStyle name="Migliaia 18 3 4 2 5" xfId="32318" xr:uid="{0A2B3F01-919A-45F0-B1B8-80B69AB2E964}"/>
    <cellStyle name="Migliaia 18 3 4 2 6" xfId="16146" xr:uid="{2A371200-7ED6-453A-9B7B-A28D548AF661}"/>
    <cellStyle name="Migliaia 18 3 4 2 7" xfId="8855" xr:uid="{86B6569F-1F56-48E0-8621-68F5459948D5}"/>
    <cellStyle name="Migliaia 18 3 4 3" xfId="6190" xr:uid="{260D90DD-FD82-4E5D-83EA-C12406F7F007}"/>
    <cellStyle name="Migliaia 18 3 4 3 2" xfId="35186" xr:uid="{FC92268E-73FF-4A4F-AF5A-B63352BDF687}"/>
    <cellStyle name="Migliaia 18 3 4 3 2 2" xfId="40344" xr:uid="{A1C2D0A8-802F-4FAB-B8E1-900FE9F0A9EF}"/>
    <cellStyle name="Migliaia 18 3 4 3 2 3" xfId="45646" xr:uid="{AAB7558C-8A2C-4593-B3C7-8D8916493ED9}"/>
    <cellStyle name="Migliaia 18 3 4 3 3" xfId="37693" xr:uid="{2165DD4A-83BE-4A2E-A85E-ABDB7A0E2898}"/>
    <cellStyle name="Migliaia 18 3 4 3 4" xfId="42995" xr:uid="{0EC0C5B5-8B8A-4CEB-823A-EBA072679CB0}"/>
    <cellStyle name="Migliaia 18 3 4 3 5" xfId="13680" xr:uid="{4DA67D68-20E5-4C19-83A4-30D6AE21CDE6}"/>
    <cellStyle name="Migliaia 18 3 4 4" xfId="19996" xr:uid="{A77675EF-4DB9-4271-AEC2-A51E3E1996B2}"/>
    <cellStyle name="Migliaia 18 3 4 4 2" xfId="38685" xr:uid="{A368F075-79B7-4890-AFD8-C763840DFBD9}"/>
    <cellStyle name="Migliaia 18 3 4 4 3" xfId="43987" xr:uid="{2B8A67CF-B9AC-4B09-8861-3293CE25D9D4}"/>
    <cellStyle name="Migliaia 18 3 4 4 4" xfId="33284" xr:uid="{F733BED8-9C5B-431C-8DA1-2A2C9B682001}"/>
    <cellStyle name="Migliaia 18 3 4 5" xfId="36187" xr:uid="{70D1D39D-88FE-4AC2-9106-39176744AD20}"/>
    <cellStyle name="Migliaia 18 3 4 6" xfId="41336" xr:uid="{B751D560-248C-4976-A1F8-094ED407E59D}"/>
    <cellStyle name="Migliaia 18 3 4 7" xfId="16145" xr:uid="{E664C4C6-F13F-4D97-989C-19DEF0A97374}"/>
    <cellStyle name="Migliaia 18 3 4 8" xfId="7665" xr:uid="{BF9A5024-504A-4A4A-9011-AC8D6C3CDD01}"/>
    <cellStyle name="Migliaia 18 3 5" xfId="3250" xr:uid="{D5FAE978-7003-4C46-A043-FCC3D4781EC9}"/>
    <cellStyle name="Migliaia 18 3 5 2" xfId="4976" xr:uid="{3E5E59C9-1C93-4DFF-82B8-D71C12297645}"/>
    <cellStyle name="Migliaia 18 3 5 2 2" xfId="35187" xr:uid="{2529F158-71D4-4C48-B533-2D90E24677AC}"/>
    <cellStyle name="Migliaia 18 3 5 2 2 2" xfId="40345" xr:uid="{DB4D5E1F-5308-4561-96B2-AB8D6D7415CA}"/>
    <cellStyle name="Migliaia 18 3 5 2 2 3" xfId="45647" xr:uid="{FAE84243-E3A5-437F-BEFB-18001616F148}"/>
    <cellStyle name="Migliaia 18 3 5 2 3" xfId="37694" xr:uid="{415C2A3B-C2DF-42B6-852F-BEC3FAC42D98}"/>
    <cellStyle name="Migliaia 18 3 5 2 4" xfId="42996" xr:uid="{0050AE0A-31EC-4378-9568-983228942821}"/>
    <cellStyle name="Migliaia 18 3 5 2 5" xfId="14207" xr:uid="{8AAF2B73-0E5C-4236-B967-73BB816E00C7}"/>
    <cellStyle name="Migliaia 18 3 5 3" xfId="6191" xr:uid="{79ACBB37-7CC4-4D6C-B59D-437DF2CFF59E}"/>
    <cellStyle name="Migliaia 18 3 5 3 2" xfId="38686" xr:uid="{F9FF17A5-F0BF-4C2B-B1B1-801237090AD6}"/>
    <cellStyle name="Migliaia 18 3 5 3 3" xfId="43988" xr:uid="{5030830B-DAA0-4180-AF8E-40337FB4BE34}"/>
    <cellStyle name="Migliaia 18 3 5 3 4" xfId="33285" xr:uid="{80409918-F10C-400B-8190-80DAD98A1F1B}"/>
    <cellStyle name="Migliaia 18 3 5 3 5" xfId="19998" xr:uid="{F3F13EC2-046B-4BA6-92A5-337846FB045B}"/>
    <cellStyle name="Migliaia 18 3 5 4" xfId="36188" xr:uid="{5B00A7EB-E3F6-492E-B8E7-9799F9A0BA41}"/>
    <cellStyle name="Migliaia 18 3 5 5" xfId="41337" xr:uid="{51562B16-CB99-4E2A-B98B-36BDB31EDA7A}"/>
    <cellStyle name="Migliaia 18 3 5 6" xfId="16147" xr:uid="{EAE26CB2-B575-4A58-8C7B-32450FF8C49B}"/>
    <cellStyle name="Migliaia 18 3 5 7" xfId="8269" xr:uid="{864908D9-F661-4492-9233-955E283107D6}"/>
    <cellStyle name="Migliaia 18 3 6" xfId="4971" xr:uid="{A251C484-39B1-480B-A25D-02ABBC4FAFA7}"/>
    <cellStyle name="Migliaia 18 3 6 2" xfId="13910" xr:uid="{FBE68077-3505-4F04-B374-F4265EC5816E}"/>
    <cellStyle name="Migliaia 18 3 6 2 2" xfId="38687" xr:uid="{30A580E2-CB6E-43AE-BF48-BB85BF2D5B1E}"/>
    <cellStyle name="Migliaia 18 3 6 2 3" xfId="43989" xr:uid="{DAC9447B-5494-4BFA-AB19-78E12A381159}"/>
    <cellStyle name="Migliaia 18 3 6 3" xfId="18721" xr:uid="{8D2F1551-EFE6-4905-9F1B-249B5BDC5A41}"/>
    <cellStyle name="Migliaia 18 3 6 4" xfId="19999" xr:uid="{EFB88A77-A737-48B5-A698-19D60852ED7D}"/>
    <cellStyle name="Migliaia 18 3 6 4 2" xfId="41338" xr:uid="{4F3D91CD-6BB7-43C6-BF9E-A9402868C722}"/>
    <cellStyle name="Migliaia 18 3 6 5" xfId="16148" xr:uid="{DEEC6800-FA44-41E0-B14D-E146B1BF3D42}"/>
    <cellStyle name="Migliaia 18 3 6 6" xfId="7857" xr:uid="{EF6231B3-6866-40B8-A940-E877448162DC}"/>
    <cellStyle name="Migliaia 18 3 7" xfId="6186" xr:uid="{86055873-FA63-4967-A37C-5BC95402A521}"/>
    <cellStyle name="Migliaia 18 3 7 2" xfId="33286" xr:uid="{793D35A3-80BB-402E-99F7-BC7E116A8286}"/>
    <cellStyle name="Migliaia 18 3 7 2 2" xfId="38688" xr:uid="{5C432C09-5139-43DE-951A-213D61845012}"/>
    <cellStyle name="Migliaia 18 3 7 2 3" xfId="43990" xr:uid="{10854C25-8965-4E42-BECF-284410FF14FC}"/>
    <cellStyle name="Migliaia 18 3 7 3" xfId="36189" xr:uid="{6B58DF25-66C7-4F00-9B59-6833322ABF66}"/>
    <cellStyle name="Migliaia 18 3 7 4" xfId="41339" xr:uid="{FCEA5F38-F740-4F14-89F2-29A7CAAEDC3C}"/>
    <cellStyle name="Migliaia 18 3 7 5" xfId="11170" xr:uid="{BF60A7EB-EC19-4FA3-A184-DD13D545862E}"/>
    <cellStyle name="Migliaia 18 3 8" xfId="3245" xr:uid="{C18AA86D-3A41-48BC-9780-FA515A7B1EDF}"/>
    <cellStyle name="Migliaia 18 3 8 2" xfId="33287" xr:uid="{C7378154-5640-4B66-B951-456D3DBAAB33}"/>
    <cellStyle name="Migliaia 18 3 8 2 2" xfId="38689" xr:uid="{A104C502-C8A3-49BE-86AD-D81CC40D8A48}"/>
    <cellStyle name="Migliaia 18 3 8 2 3" xfId="43991" xr:uid="{C03E6606-E740-4A6E-9A13-F4E3D877E74F}"/>
    <cellStyle name="Migliaia 18 3 8 3" xfId="36190" xr:uid="{8E323BBC-C397-4340-BF22-9604D8A16C68}"/>
    <cellStyle name="Migliaia 18 3 8 4" xfId="41340" xr:uid="{D532BE1D-D25E-444C-AD15-72E3C515719E}"/>
    <cellStyle name="Migliaia 18 3 8 5" xfId="24392" xr:uid="{11FD7864-56A0-4CC7-9FD0-1F17AFD53A63}"/>
    <cellStyle name="Migliaia 18 3 8 6" xfId="17400" xr:uid="{0BF0BCBC-2652-44F9-B836-DA8333D288B0}"/>
    <cellStyle name="Migliaia 18 3 9" xfId="19990" xr:uid="{E05CDBB1-A375-48F1-8DCF-229351CD9FE0}"/>
    <cellStyle name="Migliaia 18 4" xfId="1700" xr:uid="{00000000-0005-0000-0000-00000F030000}"/>
    <cellStyle name="Migliaia 18 4 2" xfId="1701" xr:uid="{00000000-0005-0000-0000-000010030000}"/>
    <cellStyle name="Migliaia 18 4 2 2" xfId="4978" xr:uid="{CB6C5291-2053-48BC-B6E4-9E3E503A7291}"/>
    <cellStyle name="Migliaia 18 4 2 2 2" xfId="33288" xr:uid="{6652A917-6E8D-4D19-A472-0AC3A923B30C}"/>
    <cellStyle name="Migliaia 18 4 2 2 2 2" xfId="38690" xr:uid="{8ADBF6D3-E9AA-4239-B0CF-F46A5451550A}"/>
    <cellStyle name="Migliaia 18 4 2 2 2 3" xfId="43992" xr:uid="{05AD4C3E-F368-4FA8-AB3E-481110AD0465}"/>
    <cellStyle name="Migliaia 18 4 2 2 3" xfId="36191" xr:uid="{C4009F50-1EE3-4004-925E-0A0E4B51E905}"/>
    <cellStyle name="Migliaia 18 4 2 2 4" xfId="41341" xr:uid="{C639436F-CE8C-4BC9-8AF5-E873F420B60B}"/>
    <cellStyle name="Migliaia 18 4 2 2 5" xfId="9126" xr:uid="{41F88C5D-5A84-4F00-B1FA-BC56475A8992}"/>
    <cellStyle name="Migliaia 18 4 2 3" xfId="3252" xr:uid="{C25EADA2-F88D-4E27-9E3E-A9381DE8B3AA}"/>
    <cellStyle name="Migliaia 18 4 2 3 2" xfId="33289" xr:uid="{3954B6AC-47A9-48B1-9976-5AC692FD979B}"/>
    <cellStyle name="Migliaia 18 4 2 3 2 2" xfId="38691" xr:uid="{187D9318-177E-4A84-AD09-4935FB0529D5}"/>
    <cellStyle name="Migliaia 18 4 2 3 2 3" xfId="43993" xr:uid="{96F0A4E4-2A52-4AC7-8371-AB07EAE8CFA6}"/>
    <cellStyle name="Migliaia 18 4 2 3 3" xfId="36192" xr:uid="{5BCA4BBE-CF45-4012-8B99-B8BADFD1CC2E}"/>
    <cellStyle name="Migliaia 18 4 2 3 4" xfId="41342" xr:uid="{2BA2DA17-26A4-4E39-98C6-192796CB8759}"/>
    <cellStyle name="Migliaia 18 4 2 3 5" xfId="11921" xr:uid="{69596C02-9D77-4D78-A2A8-E034B892A291}"/>
    <cellStyle name="Migliaia 18 4 2 4" xfId="11274" xr:uid="{4F68CEA1-CC97-4706-B51C-B535A7C62315}"/>
    <cellStyle name="Migliaia 18 4 2 5" xfId="10778" xr:uid="{9B03D567-7DC9-4BB7-906A-C0DA7E90B5E2}"/>
    <cellStyle name="Migliaia 18 4 2 5 2" xfId="21413" xr:uid="{F5A9518C-6EE2-426F-B16E-5802EA342AEC}"/>
    <cellStyle name="Migliaia 18 4 2 5 3" xfId="46218" xr:uid="{59FC0CD8-3356-4CA8-AD77-D4AD6C9959A4}"/>
    <cellStyle name="Migliaia 18 4 2 5 4" xfId="50428" xr:uid="{FB95E301-6A56-4421-B06C-F01BCB830EE8}"/>
    <cellStyle name="Migliaia 18 4 2 5 5" xfId="53444" xr:uid="{9A85C897-3D01-4358-884A-AACC1522C4DD}"/>
    <cellStyle name="Migliaia 18 4 2 6" xfId="20001" xr:uid="{30CF0E08-3D1E-43AA-95EF-B57F9549716F}"/>
    <cellStyle name="Migliaia 18 4 2 7" xfId="24394" xr:uid="{DB0C426F-7752-480E-98DB-30E88FD6ECA5}"/>
    <cellStyle name="Migliaia 18 4 2 8" xfId="8537" xr:uid="{4049AE9B-6944-46A9-B1FB-97558265EFAF}"/>
    <cellStyle name="Migliaia 18 4 3" xfId="4977" xr:uid="{C642B941-0DA9-46F6-9D7C-81EFB3C2EE7B}"/>
    <cellStyle name="Migliaia 18 4 3 2" xfId="18181" xr:uid="{B8B08D11-1095-40ED-8771-8CFD207F0730}"/>
    <cellStyle name="Migliaia 18 4 3 2 2" xfId="38692" xr:uid="{D98654C8-82E1-428E-BFA3-1DEDA133DAB7}"/>
    <cellStyle name="Migliaia 18 4 3 2 3" xfId="43994" xr:uid="{65F7A44E-25CB-4E56-896F-A8316F57AFFA}"/>
    <cellStyle name="Migliaia 18 4 3 3" xfId="36193" xr:uid="{0B9BEB65-7A7E-4F7F-93BB-BD087D781920}"/>
    <cellStyle name="Migliaia 18 4 3 4" xfId="41343" xr:uid="{05F50C14-E06C-49EF-AD9B-B9CE480CDD31}"/>
    <cellStyle name="Migliaia 18 4 3 5" xfId="17398" xr:uid="{17687B9D-3236-4ABC-B87F-EA3FADCD39BC}"/>
    <cellStyle name="Migliaia 18 4 3 6" xfId="9127" xr:uid="{F1F32696-5EC2-416B-94F3-56371523F735}"/>
    <cellStyle name="Migliaia 18 4 4" xfId="6192" xr:uid="{E6C8AD2C-FF1B-455F-9EFC-38183A76351F}"/>
    <cellStyle name="Migliaia 18 4 4 2" xfId="33290" xr:uid="{2365273E-A21A-4760-A909-1E10852C8846}"/>
    <cellStyle name="Migliaia 18 4 4 2 2" xfId="38693" xr:uid="{245A66CC-9C1B-4E5F-BA8E-E22EC796B105}"/>
    <cellStyle name="Migliaia 18 4 4 2 3" xfId="43995" xr:uid="{B279A33D-4657-4D47-944B-8383B69B744A}"/>
    <cellStyle name="Migliaia 18 4 4 3" xfId="36194" xr:uid="{4AEBB073-5F74-498A-B454-9F4430E74F9F}"/>
    <cellStyle name="Migliaia 18 4 4 4" xfId="41344" xr:uid="{2CBBC549-6E82-4E12-A93F-FE90923717C5}"/>
    <cellStyle name="Migliaia 18 4 4 5" xfId="11922" xr:uid="{5761EB8D-5CB1-4DEA-AE48-F6FFA3108812}"/>
    <cellStyle name="Migliaia 18 4 5" xfId="3251" xr:uid="{A7158CD3-8D23-4D72-93AF-9956B8CB27DE}"/>
    <cellStyle name="Migliaia 18 4 5 2" xfId="33291" xr:uid="{C1CB386F-8D88-4087-9D2F-CF96ADAE96EA}"/>
    <cellStyle name="Migliaia 18 4 5 2 2" xfId="38694" xr:uid="{35FDE9D8-F432-42DB-8C08-FD240137D1BE}"/>
    <cellStyle name="Migliaia 18 4 5 2 3" xfId="43996" xr:uid="{98BE0F5D-1E5F-4F4E-9685-5BCDD6C95076}"/>
    <cellStyle name="Migliaia 18 4 5 3" xfId="36195" xr:uid="{FC9C1A0A-0855-433E-BB0F-DD967E2FD1B1}"/>
    <cellStyle name="Migliaia 18 4 5 4" xfId="41345" xr:uid="{6741FC72-5A98-4F13-B19A-F27C4D4DFA9A}"/>
    <cellStyle name="Migliaia 18 4 5 5" xfId="11273" xr:uid="{8B8946A6-AC75-4C2B-8ECB-BFF4D8824766}"/>
    <cellStyle name="Migliaia 18 4 6" xfId="10777" xr:uid="{655FB8CB-F257-4259-BCD4-39CB791CF61C}"/>
    <cellStyle name="Migliaia 18 4 6 2" xfId="21412" xr:uid="{B8265A67-1F1A-4AE6-8778-9CC146B5165D}"/>
    <cellStyle name="Migliaia 18 4 6 2 2" xfId="38695" xr:uid="{F36D4736-CAA3-424C-B178-EBB567303379}"/>
    <cellStyle name="Migliaia 18 4 6 2 3" xfId="43997" xr:uid="{1D74F439-B913-4563-9E78-BE96600A99F8}"/>
    <cellStyle name="Migliaia 18 4 6 2 4" xfId="33292" xr:uid="{947D8056-B786-48F4-9929-63A64A37F907}"/>
    <cellStyle name="Migliaia 18 4 6 3" xfId="36196" xr:uid="{3916CF03-08DD-4F3F-8513-007D061A37BF}"/>
    <cellStyle name="Migliaia 18 4 6 4" xfId="41346" xr:uid="{CE3BC043-3294-47B8-B4E3-FFA850C26192}"/>
    <cellStyle name="Migliaia 18 4 6 5" xfId="24395" xr:uid="{EF1CAD11-BE77-4402-BD10-188ED7C51A0A}"/>
    <cellStyle name="Migliaia 18 4 6 6" xfId="47302" xr:uid="{9CF971EB-CD00-40E7-9E0A-E460A4D70DBC}"/>
    <cellStyle name="Migliaia 18 4 6 7" xfId="50427" xr:uid="{FE41136D-B87D-463B-B1D1-94BB8F3F58BD}"/>
    <cellStyle name="Migliaia 18 4 6 8" xfId="53443" xr:uid="{7659857D-FA3E-4E91-A98C-EB23B0377ECA}"/>
    <cellStyle name="Migliaia 18 4 7" xfId="20000" xr:uid="{99FFC4DB-1D65-4029-9FC3-A35B4C7C40B7}"/>
    <cellStyle name="Migliaia 18 4 7 2" xfId="33293" xr:uid="{5A166ED8-C0E9-4292-B3C3-20C77E35C078}"/>
    <cellStyle name="Migliaia 18 4 7 2 2" xfId="38696" xr:uid="{AA2ACEFF-BDA0-4809-ADBD-2F21B5DB5807}"/>
    <cellStyle name="Migliaia 18 4 7 2 3" xfId="43998" xr:uid="{9ABCFE30-847A-4D1F-92BD-ED684DE431DE}"/>
    <cellStyle name="Migliaia 18 4 7 3" xfId="36197" xr:uid="{7DC9BFED-F91E-4B3D-9AA2-FEB484BF4925}"/>
    <cellStyle name="Migliaia 18 4 7 4" xfId="41347" xr:uid="{C46B2583-8619-4679-943B-8C2886AC00E7}"/>
    <cellStyle name="Migliaia 18 4 7 5" xfId="24396" xr:uid="{98EDC7CC-8E73-4A29-8BD6-21507DF4F0B1}"/>
    <cellStyle name="Migliaia 18 4 8" xfId="24393" xr:uid="{FB6A0F4B-8D9D-4324-9C9C-A6415DBD4E7A}"/>
    <cellStyle name="Migliaia 18 4 9" xfId="7347" xr:uid="{5A147507-4BD4-4D51-B195-52B05AA8881A}"/>
    <cellStyle name="Migliaia 18 5" xfId="1702" xr:uid="{00000000-0005-0000-0000-000011030000}"/>
    <cellStyle name="Migliaia 18 5 2" xfId="4979" xr:uid="{E297393A-EC80-4BB4-853A-F766CA6B4C3A}"/>
    <cellStyle name="Migliaia 18 5 2 2" xfId="18386" xr:uid="{AB51F75D-AB03-4893-B0F0-BBE7A33C9DA9}"/>
    <cellStyle name="Migliaia 18 5 2 2 2" xfId="38697" xr:uid="{A67B46C6-2351-4EBA-B9CA-ADC5CB554369}"/>
    <cellStyle name="Migliaia 18 5 2 2 3" xfId="43999" xr:uid="{DF5F43C4-BDF2-471F-BE77-690C112B83E0}"/>
    <cellStyle name="Migliaia 18 5 2 3" xfId="20003" xr:uid="{3F0002BA-05AD-4377-B69C-2D4BA1880AA3}"/>
    <cellStyle name="Migliaia 18 5 2 3 2" xfId="36198" xr:uid="{3E26E249-E078-4F5A-B0D9-A089E76ED8E0}"/>
    <cellStyle name="Migliaia 18 5 2 4" xfId="41348" xr:uid="{87ADCE75-71BA-4BA3-B780-2B5107EE53C4}"/>
    <cellStyle name="Migliaia 18 5 2 5" xfId="16149" xr:uid="{50DDA30C-4924-484B-B67D-DA45157593C8}"/>
    <cellStyle name="Migliaia 18 5 2 6" xfId="8538" xr:uid="{3B1AE94A-ED18-44E2-A136-0BD33FA96829}"/>
    <cellStyle name="Migliaia 18 5 3" xfId="6193" xr:uid="{394108E8-E9BC-47C0-BFEC-6A27180EC848}"/>
    <cellStyle name="Migliaia 18 5 3 2" xfId="33294" xr:uid="{F4EBB68E-286C-4D7F-91B6-48718CBE046F}"/>
    <cellStyle name="Migliaia 18 5 3 2 2" xfId="38698" xr:uid="{0CC9DA3A-4101-4F26-AECB-6CF65D6B8083}"/>
    <cellStyle name="Migliaia 18 5 3 2 3" xfId="44000" xr:uid="{12F22B00-F94A-4CBB-A019-8F97891CA101}"/>
    <cellStyle name="Migliaia 18 5 3 3" xfId="36199" xr:uid="{E4589A08-008D-408A-B3FE-13DD3CA534B5}"/>
    <cellStyle name="Migliaia 18 5 3 4" xfId="41349" xr:uid="{19DFCF1B-86E4-47F7-9B11-84F97E9A5DB3}"/>
    <cellStyle name="Migliaia 18 5 3 5" xfId="11275" xr:uid="{79D33FF0-71BE-48AD-B4C4-5EA664E8E3E8}"/>
    <cellStyle name="Migliaia 18 5 4" xfId="3253" xr:uid="{74D5BC7B-ABC9-4CB8-B50B-B541E1D07398}"/>
    <cellStyle name="Migliaia 18 5 4 2" xfId="21414" xr:uid="{DFDA2728-A687-46C7-92AD-B9F3A153846D}"/>
    <cellStyle name="Migliaia 18 5 4 2 2" xfId="38699" xr:uid="{D95811D3-DAD0-4208-BFC5-189C3C944794}"/>
    <cellStyle name="Migliaia 18 5 4 2 3" xfId="44001" xr:uid="{D1E38AB0-C210-469F-A4C3-50998D1464D0}"/>
    <cellStyle name="Migliaia 18 5 4 2 4" xfId="33295" xr:uid="{8441F492-4988-4E2B-A541-3B717565DF16}"/>
    <cellStyle name="Migliaia 18 5 4 3" xfId="36200" xr:uid="{78D3DD12-E2B3-4CF2-B0A0-FA72A29C566C}"/>
    <cellStyle name="Migliaia 18 5 4 4" xfId="41350" xr:uid="{83567279-CF99-4250-90FB-EE767427DAFE}"/>
    <cellStyle name="Migliaia 18 5 4 5" xfId="24398" xr:uid="{C60EEC17-A325-4909-B3AF-92C28B28950F}"/>
    <cellStyle name="Migliaia 18 5 4 6" xfId="47895" xr:uid="{1B80AC08-FF37-4FA3-8EBE-A007712520E5}"/>
    <cellStyle name="Migliaia 18 5 4 7" xfId="50429" xr:uid="{0D1F57AD-BF70-4E2C-8574-F46A42A020C8}"/>
    <cellStyle name="Migliaia 18 5 4 8" xfId="53445" xr:uid="{3DC8128A-75C3-438B-8F91-B63BBAD341DC}"/>
    <cellStyle name="Migliaia 18 5 4 9" xfId="10779" xr:uid="{21B3D448-C28D-40C2-AB0F-4C8ACB68B283}"/>
    <cellStyle name="Migliaia 18 5 5" xfId="20002" xr:uid="{996F1C14-3653-4EF9-BD55-510883316C3A}"/>
    <cellStyle name="Migliaia 18 5 5 2" xfId="33296" xr:uid="{1B13C5B4-BC0F-42C4-902C-610B09C7530E}"/>
    <cellStyle name="Migliaia 18 5 5 2 2" xfId="38700" xr:uid="{9EB763E0-2785-4BDA-A802-12CF673CAD61}"/>
    <cellStyle name="Migliaia 18 5 5 2 3" xfId="44002" xr:uid="{8F31B599-EFD3-4075-AB62-B9B253C5BABC}"/>
    <cellStyle name="Migliaia 18 5 5 3" xfId="36201" xr:uid="{793F8D02-C9B5-488D-AFA8-08ABCC6C1A85}"/>
    <cellStyle name="Migliaia 18 5 5 4" xfId="41351" xr:uid="{8E98A27F-AE5C-4EED-A0FC-486FAB2D24FD}"/>
    <cellStyle name="Migliaia 18 5 5 5" xfId="24399" xr:uid="{0C9EFD97-B940-44FF-AA4A-D9A21AB75505}"/>
    <cellStyle name="Migliaia 18 5 6" xfId="24400" xr:uid="{4B9DAC7A-93C7-4B2B-AA59-3383BCB1EED0}"/>
    <cellStyle name="Migliaia 18 5 6 2" xfId="33297" xr:uid="{82E63DDD-D5A0-44A6-923B-31C202CEBCBB}"/>
    <cellStyle name="Migliaia 18 5 6 2 2" xfId="38701" xr:uid="{630FAC23-1692-4F57-90D1-245C6B6A66D6}"/>
    <cellStyle name="Migliaia 18 5 6 2 3" xfId="44003" xr:uid="{A4FA18E1-FB06-4DD4-BD2C-DF4F8DE21389}"/>
    <cellStyle name="Migliaia 18 5 6 3" xfId="36202" xr:uid="{8809781D-3F11-42F2-AFE6-FCA3A0320309}"/>
    <cellStyle name="Migliaia 18 5 6 4" xfId="41352" xr:uid="{B47160B1-C5CF-44FC-9587-8AD72D4E994C}"/>
    <cellStyle name="Migliaia 18 5 7" xfId="24397" xr:uid="{A4FF38FE-E0D1-484C-9187-5205415F264B}"/>
    <cellStyle name="Migliaia 18 5 8" xfId="7348" xr:uid="{FC92DDCB-EB0A-4B60-AB7F-4A26DBE22052}"/>
    <cellStyle name="Migliaia 18 6" xfId="3254" xr:uid="{3498BE42-B814-4C83-B7FD-9D05ED71684E}"/>
    <cellStyle name="Migliaia 18 6 2" xfId="4980" xr:uid="{4A83D9D6-647E-4AE2-AE6D-B898F24326A4}"/>
    <cellStyle name="Migliaia 18 6 2 2" xfId="9899" xr:uid="{274AA407-8B03-4352-9B8D-E1A785A368C8}"/>
    <cellStyle name="Migliaia 18 6 2 3" xfId="18671" xr:uid="{643953AC-64FA-4E9C-A527-B8B233AE51ED}"/>
    <cellStyle name="Migliaia 18 6 2 4" xfId="20005" xr:uid="{0C6C71C5-1136-4BB9-9711-93FFC38D6449}"/>
    <cellStyle name="Migliaia 18 6 2 5" xfId="32319" xr:uid="{71F1A15A-52A8-4B9C-BB3A-8F5FFEBEB3A8}"/>
    <cellStyle name="Migliaia 18 6 2 6" xfId="16151" xr:uid="{87BB119A-FC39-4918-832B-1E61AD93CA27}"/>
    <cellStyle name="Migliaia 18 6 2 7" xfId="8533" xr:uid="{1B1D2710-74F9-47CA-BD13-09A43E9146D3}"/>
    <cellStyle name="Migliaia 18 6 3" xfId="6194" xr:uid="{595170DD-7BCA-4302-9C2B-23DE8AA19F08}"/>
    <cellStyle name="Migliaia 18 6 3 2" xfId="35188" xr:uid="{CAA1A526-3F74-4CEB-A544-7C6C37215F11}"/>
    <cellStyle name="Migliaia 18 6 3 2 2" xfId="40346" xr:uid="{F1685436-F79D-45F6-B49F-154D1AB601E8}"/>
    <cellStyle name="Migliaia 18 6 3 2 3" xfId="45648" xr:uid="{90F92983-A6E2-4700-ABF9-A1DFBF4B84D6}"/>
    <cellStyle name="Migliaia 18 6 3 3" xfId="37695" xr:uid="{09C4C73B-DD10-463D-9E35-034B1CAB27EC}"/>
    <cellStyle name="Migliaia 18 6 3 4" xfId="42997" xr:uid="{7DF28D8B-D05C-4CC3-BCC1-55745ED5C8AC}"/>
    <cellStyle name="Migliaia 18 6 3 5" xfId="9662" xr:uid="{36FBFE96-5CDF-4731-913A-01AE1FEC11B9}"/>
    <cellStyle name="Migliaia 18 6 4" xfId="20004" xr:uid="{6DBCDE9A-B595-425C-9D5C-11335501709A}"/>
    <cellStyle name="Migliaia 18 6 4 2" xfId="38702" xr:uid="{CC575593-3818-4D6C-8B94-7B0DF92EC86D}"/>
    <cellStyle name="Migliaia 18 6 4 3" xfId="44004" xr:uid="{E8063FFF-0DFF-42F3-A7C9-FCD46C4F5651}"/>
    <cellStyle name="Migliaia 18 6 4 4" xfId="33298" xr:uid="{38E0F131-2371-4790-ACF4-DB3162D03260}"/>
    <cellStyle name="Migliaia 18 6 5" xfId="36203" xr:uid="{001C1B2E-E0F1-4662-933C-C1E65B535271}"/>
    <cellStyle name="Migliaia 18 6 6" xfId="41353" xr:uid="{45785412-F610-4C5B-91D9-B18A40A79F4D}"/>
    <cellStyle name="Migliaia 18 6 7" xfId="16150" xr:uid="{EEBCDBDA-249D-4EF0-A65D-6E8826173A60}"/>
    <cellStyle name="Migliaia 18 6 8" xfId="7343" xr:uid="{2C1168BB-3E92-462C-AD8D-FB7D01355293}"/>
    <cellStyle name="Migliaia 18 7" xfId="3255" xr:uid="{206CE5AF-B63C-475E-9426-19CB5C7EF6A1}"/>
    <cellStyle name="Migliaia 18 7 2" xfId="4981" xr:uid="{657C8964-6238-4F06-A362-2B3D9DB238D6}"/>
    <cellStyle name="Migliaia 18 7 2 2" xfId="35189" xr:uid="{56653F05-7FCE-4E65-BD25-2B5C811E5471}"/>
    <cellStyle name="Migliaia 18 7 2 2 2" xfId="40347" xr:uid="{8E200BF2-7FBC-4D4C-8DF2-372294629BA0}"/>
    <cellStyle name="Migliaia 18 7 2 2 3" xfId="45649" xr:uid="{F5B18389-177E-46F3-B94E-5520F4E5FD63}"/>
    <cellStyle name="Migliaia 18 7 2 3" xfId="37696" xr:uid="{E20A15DC-99C7-483D-94DF-5A0C7EF83603}"/>
    <cellStyle name="Migliaia 18 7 2 4" xfId="42998" xr:uid="{7311C135-143D-45C3-B63B-478276160B9C}"/>
    <cellStyle name="Migliaia 18 7 2 5" xfId="14205" xr:uid="{D4C712AF-B14A-4C82-9F89-2444E7BE0B9D}"/>
    <cellStyle name="Migliaia 18 7 3" xfId="6195" xr:uid="{5AEBC77C-D365-432E-A1A8-C0E33617CA18}"/>
    <cellStyle name="Migliaia 18 7 3 2" xfId="38703" xr:uid="{52C64ADC-0763-4BD0-BD07-5A8B27522272}"/>
    <cellStyle name="Migliaia 18 7 3 3" xfId="44005" xr:uid="{09B8DD8D-1D53-4725-B415-087D12E5A910}"/>
    <cellStyle name="Migliaia 18 7 3 4" xfId="33299" xr:uid="{DE7FDAFD-0D8C-4B13-BE6F-DFD95C317997}"/>
    <cellStyle name="Migliaia 18 7 3 5" xfId="20006" xr:uid="{B2800E0F-355A-4187-9CF9-B5A3D7A4C54D}"/>
    <cellStyle name="Migliaia 18 7 4" xfId="36204" xr:uid="{0C5C988E-557B-47FF-B012-176821BEB0CA}"/>
    <cellStyle name="Migliaia 18 7 5" xfId="41354" xr:uid="{0C5A1683-E27E-4726-A118-D84229E4F267}"/>
    <cellStyle name="Migliaia 18 7 6" xfId="16152" xr:uid="{BFA2BD0C-E2D1-42F5-849E-A6A8E842811C}"/>
    <cellStyle name="Migliaia 18 7 7" xfId="8267" xr:uid="{A0042DB1-3E54-4F73-9158-17863CA41CC0}"/>
    <cellStyle name="Migliaia 18 8" xfId="3256" xr:uid="{6D1929A2-F3D2-4667-B144-AF276F38C545}"/>
    <cellStyle name="Migliaia 18 8 2" xfId="4982" xr:uid="{EDAE835E-7130-43B1-9258-0F1DF4940E4D}"/>
    <cellStyle name="Migliaia 18 8 2 2" xfId="35190" xr:uid="{66C74D1C-DD0C-47D3-935D-5BAB36C364DE}"/>
    <cellStyle name="Migliaia 18 8 2 2 2" xfId="40348" xr:uid="{3C68F9A8-0AFD-4952-A3CB-9C6D25AE1774}"/>
    <cellStyle name="Migliaia 18 8 2 2 3" xfId="45650" xr:uid="{D78BE253-5859-4D43-B58B-4851B7A5A276}"/>
    <cellStyle name="Migliaia 18 8 2 3" xfId="37697" xr:uid="{EEE10B04-D97D-46DF-9305-27B62A4A41C6}"/>
    <cellStyle name="Migliaia 18 8 2 4" xfId="42999" xr:uid="{318231D4-70DA-48B3-B4CB-9B177447002C}"/>
    <cellStyle name="Migliaia 18 8 2 5" xfId="13908" xr:uid="{67FBB53C-B260-40E3-86EA-FE65BAC72109}"/>
    <cellStyle name="Migliaia 18 8 3" xfId="6196" xr:uid="{08C5AA62-83C5-4B77-9684-48FECFC26092}"/>
    <cellStyle name="Migliaia 18 8 3 2" xfId="38704" xr:uid="{2B9E1853-B830-4394-84C8-5B18F4016B1F}"/>
    <cellStyle name="Migliaia 18 8 3 3" xfId="44006" xr:uid="{B95CF518-91FE-4C10-AC5D-E85D7589DB22}"/>
    <cellStyle name="Migliaia 18 8 3 4" xfId="33300" xr:uid="{BA95BE91-40A0-407A-956D-5A743C7A36EC}"/>
    <cellStyle name="Migliaia 18 8 3 5" xfId="20007" xr:uid="{A2BC7AA9-D569-42FD-8F2E-A39662548AEE}"/>
    <cellStyle name="Migliaia 18 8 4" xfId="36205" xr:uid="{7F3FED12-6AB2-4220-9C6A-63E38E8C6FA5}"/>
    <cellStyle name="Migliaia 18 8 5" xfId="41355" xr:uid="{BA9BE426-EB33-497E-87F4-98552B247504}"/>
    <cellStyle name="Migliaia 18 8 6" xfId="16153" xr:uid="{2DF86487-24BE-4D62-B84A-58803B357B9D}"/>
    <cellStyle name="Migliaia 18 8 7" xfId="7855" xr:uid="{DE682423-EBFC-4E05-A213-DCEE8522F1BB}"/>
    <cellStyle name="Migliaia 18 9" xfId="4967" xr:uid="{55F06D92-48AB-43F3-9B9C-87408D17C528}"/>
    <cellStyle name="Migliaia 18 9 2" xfId="33301" xr:uid="{D1D281F9-7A48-4005-BB27-E7E489446162}"/>
    <cellStyle name="Migliaia 18 9 2 2" xfId="38705" xr:uid="{D8FF94D1-D464-4AA3-9260-3686D7E62AD8}"/>
    <cellStyle name="Migliaia 18 9 2 3" xfId="44007" xr:uid="{F75C8D24-B11A-4C11-A56C-93C06BFB17FE}"/>
    <cellStyle name="Migliaia 18 9 3" xfId="36206" xr:uid="{AC9F9359-B98F-4901-84F8-093E1386F75F}"/>
    <cellStyle name="Migliaia 18 9 4" xfId="41356" xr:uid="{1F8481CD-70F4-4BC9-8055-92E738840BD8}"/>
    <cellStyle name="Migliaia 18 9 5" xfId="17153" xr:uid="{468122B8-2167-4393-B30A-F46B2195DA42}"/>
    <cellStyle name="Migliaia 19" xfId="337" xr:uid="{00000000-0005-0000-0000-000012030000}"/>
    <cellStyle name="Migliaia 19 10" xfId="6197" xr:uid="{C2AF1743-B07D-4726-B6A6-5F02C1CDC405}"/>
    <cellStyle name="Migliaia 19 10 2" xfId="38706" xr:uid="{2658C8A4-BE7F-450A-B5E3-1B35E1A11769}"/>
    <cellStyle name="Migliaia 19 10 3" xfId="44008" xr:uid="{3D7059F5-73DE-450E-8AAA-24C7FD5973F8}"/>
    <cellStyle name="Migliaia 19 10 4" xfId="33302" xr:uid="{D6CA8D78-2431-4224-95FB-70D7DC425A07}"/>
    <cellStyle name="Migliaia 19 10 5" xfId="20008" xr:uid="{0B6F59EC-7989-4E89-BDEF-A62A005350A7}"/>
    <cellStyle name="Migliaia 19 11" xfId="3257" xr:uid="{AB62268D-6912-4A2A-893D-E7EBC2DD6476}"/>
    <cellStyle name="Migliaia 19 11 2" xfId="36207" xr:uid="{215AC61D-4453-4055-B230-7F6C022FFFCA}"/>
    <cellStyle name="Migliaia 19 12" xfId="41357" xr:uid="{0A1DD245-6827-4971-92C6-C932FEF70640}"/>
    <cellStyle name="Migliaia 19 13" xfId="7071" xr:uid="{33891F14-4403-489E-81AA-557B08F7A800}"/>
    <cellStyle name="Migliaia 19 2" xfId="338" xr:uid="{00000000-0005-0000-0000-000013030000}"/>
    <cellStyle name="Migliaia 19 2 2" xfId="1703" xr:uid="{00000000-0005-0000-0000-000014030000}"/>
    <cellStyle name="Migliaia 19 2 2 2" xfId="4985" xr:uid="{E7BD9BEB-9AAB-418B-9D86-2BD326F53B24}"/>
    <cellStyle name="Migliaia 19 2 2 2 2" xfId="14372" xr:uid="{EB329AD8-BF55-4909-941F-AFCFB0EF5CB5}"/>
    <cellStyle name="Migliaia 19 2 2 2 2 2" xfId="38707" xr:uid="{78EEE48B-82CB-41ED-8B64-C2E229636F6C}"/>
    <cellStyle name="Migliaia 19 2 2 2 2 3" xfId="44009" xr:uid="{E9AD26BE-5F2B-4D4B-9C8C-F08F1E4DE908}"/>
    <cellStyle name="Migliaia 19 2 2 2 3" xfId="18387" xr:uid="{D9AF0AB8-A095-4F3B-8018-561DF25E161F}"/>
    <cellStyle name="Migliaia 19 2 2 2 4" xfId="20011" xr:uid="{AD745BDB-2EAA-4E24-87DB-81DDF62D2C83}"/>
    <cellStyle name="Migliaia 19 2 2 2 4 2" xfId="41358" xr:uid="{3FE8F544-6275-4611-99FD-A8440FE3786D}"/>
    <cellStyle name="Migliaia 19 2 2 2 5" xfId="16154" xr:uid="{ACC728A3-CD77-442D-94B9-B12BCEA02F16}"/>
    <cellStyle name="Migliaia 19 2 2 2 6" xfId="8540" xr:uid="{9E1B864F-C346-4BDE-A4AD-87FA808C0006}"/>
    <cellStyle name="Migliaia 19 2 2 3" xfId="6199" xr:uid="{5BA40000-DAC1-4889-AAB7-7B27DA42DB75}"/>
    <cellStyle name="Migliaia 19 2 2 3 2" xfId="35191" xr:uid="{92829383-6004-45A8-A402-EA261C510CAC}"/>
    <cellStyle name="Migliaia 19 2 2 3 2 2" xfId="40349" xr:uid="{9250C7ED-4776-4FD9-B301-E3DFFE96A3CD}"/>
    <cellStyle name="Migliaia 19 2 2 3 2 3" xfId="45651" xr:uid="{DAAB0BF6-508E-46E4-890F-783CF0A6BCDF}"/>
    <cellStyle name="Migliaia 19 2 2 3 3" xfId="37698" xr:uid="{F37C246A-5827-48DD-BA72-B24566A99AE7}"/>
    <cellStyle name="Migliaia 19 2 2 3 4" xfId="43000" xr:uid="{DC51E967-0C40-4757-83F1-A4DBA1DB0CE1}"/>
    <cellStyle name="Migliaia 19 2 2 3 5" xfId="11601" xr:uid="{EFB4BA9F-17B5-4A78-90B9-8006C5DC4B83}"/>
    <cellStyle name="Migliaia 19 2 2 4" xfId="3259" xr:uid="{4A40C458-532A-4333-BC84-0F5988C66984}"/>
    <cellStyle name="Migliaia 19 2 2 4 2" xfId="21415" xr:uid="{7931B141-5A0B-4EB6-A38A-84BDBF81C88F}"/>
    <cellStyle name="Migliaia 19 2 2 4 3" xfId="46219" xr:uid="{E69FA679-4E3D-4C1B-9176-6CDF880E327F}"/>
    <cellStyle name="Migliaia 19 2 2 4 4" xfId="50430" xr:uid="{457DBC7D-DC26-4F37-9289-1C77DF5C2BEE}"/>
    <cellStyle name="Migliaia 19 2 2 4 5" xfId="53446" xr:uid="{1639B9D7-4449-499D-88A9-9D6379223219}"/>
    <cellStyle name="Migliaia 19 2 2 4 6" xfId="10780" xr:uid="{A2068905-6933-44B9-B0FC-FDDE1BDC35F9}"/>
    <cellStyle name="Migliaia 19 2 2 5" xfId="20010" xr:uid="{E589DA89-4BF4-415F-B6EB-97FFE92D3D8D}"/>
    <cellStyle name="Migliaia 19 2 2 6" xfId="24402" xr:uid="{385EDC80-D31E-42C1-B3E1-9C1F605BECC5}"/>
    <cellStyle name="Migliaia 19 2 2 7" xfId="7350" xr:uid="{E6BFB5D5-D476-4FB1-A35F-3E700C7C9F5C}"/>
    <cellStyle name="Migliaia 19 2 3" xfId="3260" xr:uid="{93D562CB-150D-44C1-8FB4-39996E533BE7}"/>
    <cellStyle name="Migliaia 19 2 3 2" xfId="4986" xr:uid="{B96B279A-42E6-478A-9B7C-DB4BB94B714A}"/>
    <cellStyle name="Migliaia 19 2 3 2 2" xfId="35192" xr:uid="{60ECB5F1-B02C-4850-B1AA-303438DD2483}"/>
    <cellStyle name="Migliaia 19 2 3 2 2 2" xfId="40350" xr:uid="{DC36C656-A4EB-41D6-8EE7-B899C6220D30}"/>
    <cellStyle name="Migliaia 19 2 3 2 2 3" xfId="45652" xr:uid="{AB098A76-19DA-4E04-87EE-2C9959346F10}"/>
    <cellStyle name="Migliaia 19 2 3 2 3" xfId="37699" xr:uid="{E3D11CAF-BD46-4645-BC69-D5A0C2355D21}"/>
    <cellStyle name="Migliaia 19 2 3 2 4" xfId="43001" xr:uid="{EDA444F5-B534-46AC-9C6B-A3758AB48290}"/>
    <cellStyle name="Migliaia 19 2 3 2 5" xfId="14209" xr:uid="{16DE83D3-348E-4CAC-A493-B7B2D5D4FBF6}"/>
    <cellStyle name="Migliaia 19 2 3 3" xfId="6200" xr:uid="{E1A81C96-9813-49A0-958C-201DCF294027}"/>
    <cellStyle name="Migliaia 19 2 3 3 2" xfId="38708" xr:uid="{4774AA61-03CA-43A8-8937-8CD6D754A753}"/>
    <cellStyle name="Migliaia 19 2 3 3 3" xfId="44010" xr:uid="{837103F6-4DBA-4232-8E51-074D9B3D6AF3}"/>
    <cellStyle name="Migliaia 19 2 3 3 4" xfId="33303" xr:uid="{F05D2A9F-42D3-4D5B-85E3-B9988F3EF2D6}"/>
    <cellStyle name="Migliaia 19 2 3 3 5" xfId="20012" xr:uid="{B1185B14-64CA-4D6B-A841-66E773B653EE}"/>
    <cellStyle name="Migliaia 19 2 3 4" xfId="36208" xr:uid="{B801EA2F-32DB-4A64-8FEA-CEF9CA390C71}"/>
    <cellStyle name="Migliaia 19 2 3 5" xfId="41359" xr:uid="{9D5CD27E-73F1-4017-AC01-C71391C6538C}"/>
    <cellStyle name="Migliaia 19 2 3 6" xfId="16155" xr:uid="{B2FE1429-E10E-4B6F-9570-F97053A2DB1E}"/>
    <cellStyle name="Migliaia 19 2 3 7" xfId="8271" xr:uid="{2AA0577D-2B01-4C28-BB61-4845744C05B7}"/>
    <cellStyle name="Migliaia 19 2 4" xfId="4984" xr:uid="{C793143C-B402-42D0-AB28-3BD64F5249B6}"/>
    <cellStyle name="Migliaia 19 2 4 2" xfId="13912" xr:uid="{B6BDB3AE-C0E6-4FA8-A54F-98C08289EAC4}"/>
    <cellStyle name="Migliaia 19 2 4 2 2" xfId="38709" xr:uid="{619E0895-D217-451E-B61D-BB88331DCEB0}"/>
    <cellStyle name="Migliaia 19 2 4 2 3" xfId="44011" xr:uid="{46B627F4-8854-4F8A-9E27-85FF6E16AC57}"/>
    <cellStyle name="Migliaia 19 2 4 3" xfId="18620" xr:uid="{055BA807-2AF3-4B1B-9F64-805D5101C3DB}"/>
    <cellStyle name="Migliaia 19 2 4 4" xfId="20013" xr:uid="{095C0B2D-0E2A-426E-8454-3131C4DA3026}"/>
    <cellStyle name="Migliaia 19 2 4 4 2" xfId="41360" xr:uid="{7182C418-170E-46CE-8C77-0B195D1F8A62}"/>
    <cellStyle name="Migliaia 19 2 4 5" xfId="16156" xr:uid="{386FA3B7-5CC0-4D12-A684-6EA49A63EC63}"/>
    <cellStyle name="Migliaia 19 2 4 6" xfId="7860" xr:uid="{1C9C7EFF-FA94-49F1-B435-54358D6108AF}"/>
    <cellStyle name="Migliaia 19 2 5" xfId="6198" xr:uid="{AF0B5318-5D52-4428-BF2C-AC1DED89A204}"/>
    <cellStyle name="Migliaia 19 2 5 2" xfId="33304" xr:uid="{0E4B1240-3F52-4ED4-8614-D44B8F790776}"/>
    <cellStyle name="Migliaia 19 2 5 2 2" xfId="38710" xr:uid="{E23FE35B-636C-4904-ACB2-43117858EF45}"/>
    <cellStyle name="Migliaia 19 2 5 2 3" xfId="44012" xr:uid="{496E3D7B-38E3-45F9-889F-DA1CFEA2E5D7}"/>
    <cellStyle name="Migliaia 19 2 5 3" xfId="36209" xr:uid="{C2903C8A-C31C-4A6B-AA99-5C49A795664D}"/>
    <cellStyle name="Migliaia 19 2 5 4" xfId="41361" xr:uid="{29D6E7F6-C414-43EA-A55E-3C2F97848989}"/>
    <cellStyle name="Migliaia 19 2 5 5" xfId="13112" xr:uid="{0CB7EEAC-800B-4894-A9F3-1145C9234EE5}"/>
    <cellStyle name="Migliaia 19 2 6" xfId="3258" xr:uid="{85FE3AEE-D9F4-40E3-89FB-A1E14EEBD672}"/>
    <cellStyle name="Migliaia 19 2 6 2" xfId="33305" xr:uid="{007F6701-EBEA-4D37-BCA8-52AB575CA11B}"/>
    <cellStyle name="Migliaia 19 2 6 2 2" xfId="38711" xr:uid="{FE4086D8-E9FA-4CEA-BFE3-975BAA00779B}"/>
    <cellStyle name="Migliaia 19 2 6 2 3" xfId="44013" xr:uid="{B33DD25B-F7C5-4793-B740-1BBC321FFBC3}"/>
    <cellStyle name="Migliaia 19 2 6 3" xfId="36210" xr:uid="{ADA2DDA4-12EB-41C8-869B-B4EE3AA5AF5C}"/>
    <cellStyle name="Migliaia 19 2 6 4" xfId="41362" xr:uid="{F0C6DF97-650E-4745-B326-DFE608B320F3}"/>
    <cellStyle name="Migliaia 19 2 6 5" xfId="24403" xr:uid="{9C96E56D-9B76-49A7-A04F-529406A0FD8F}"/>
    <cellStyle name="Migliaia 19 2 6 6" xfId="20009" xr:uid="{997EDC78-E137-47C4-89B8-BFBD0DC84337}"/>
    <cellStyle name="Migliaia 19 2 7" xfId="24401" xr:uid="{925CC520-9E09-4E62-8036-F42D68B51135}"/>
    <cellStyle name="Migliaia 19 2 8" xfId="7072" xr:uid="{C60606A8-CD82-4790-8EE1-1F7BF688FA69}"/>
    <cellStyle name="Migliaia 19 3" xfId="339" xr:uid="{00000000-0005-0000-0000-000015030000}"/>
    <cellStyle name="Migliaia 19 3 10" xfId="24404" xr:uid="{B11E87CB-E87B-4ABC-B8EF-00D5D46D1B69}"/>
    <cellStyle name="Migliaia 19 3 11" xfId="16157" xr:uid="{9A8A9BCD-6513-44E1-B2AB-2254F6E064D4}"/>
    <cellStyle name="Migliaia 19 3 12" xfId="7073" xr:uid="{5B6384EC-9299-458D-8399-4AEB9533AFA8}"/>
    <cellStyle name="Migliaia 19 3 2" xfId="340" xr:uid="{00000000-0005-0000-0000-000016030000}"/>
    <cellStyle name="Migliaia 19 3 2 2" xfId="1704" xr:uid="{00000000-0005-0000-0000-000017030000}"/>
    <cellStyle name="Migliaia 19 3 2 2 2" xfId="4989" xr:uid="{A1BAE3DD-820A-49AF-AA68-4C3930EA6216}"/>
    <cellStyle name="Migliaia 19 3 2 2 2 2" xfId="18388" xr:uid="{7E64B54C-9224-4D10-9EA9-C7082F9206ED}"/>
    <cellStyle name="Migliaia 19 3 2 2 2 2 2" xfId="21847" xr:uid="{CAE7CDF4-7FF6-4755-9018-EF55BB4BF0C1}"/>
    <cellStyle name="Migliaia 19 3 2 2 2 2 2 2" xfId="38712" xr:uid="{A565763F-C24A-4147-B22E-AD4B5548AD36}"/>
    <cellStyle name="Migliaia 19 3 2 2 2 2 3" xfId="44014" xr:uid="{C3A597A6-AE90-407F-A357-2F9CDC3FA20E}"/>
    <cellStyle name="Migliaia 19 3 2 2 2 2 4" xfId="33306" xr:uid="{CC95B84A-5E28-455A-8850-906ACC7C4341}"/>
    <cellStyle name="Migliaia 19 3 2 2 2 3" xfId="36211" xr:uid="{91E5648B-2C3E-4789-AC9D-4F688E9B5F3D}"/>
    <cellStyle name="Migliaia 19 3 2 2 2 4" xfId="41363" xr:uid="{45B10680-EB8B-4C7B-9397-9DE71801415D}"/>
    <cellStyle name="Migliaia 19 3 2 2 2 5" xfId="48034" xr:uid="{4F54FD58-3706-49B3-BBAB-E378FD809D7B}"/>
    <cellStyle name="Migliaia 19 3 2 2 2 6" xfId="50875" xr:uid="{6E4CABF9-7D3D-41A6-90E9-322E8A6DC967}"/>
    <cellStyle name="Migliaia 19 3 2 2 2 7" xfId="53891" xr:uid="{0B513F68-70D5-462F-9718-EA27FBED58F8}"/>
    <cellStyle name="Migliaia 19 3 2 2 2 8" xfId="17648" xr:uid="{B3311226-1EFC-4C7C-9195-13232BC31F0F}"/>
    <cellStyle name="Migliaia 19 3 2 2 2 9" xfId="11923" xr:uid="{0D18327A-5B93-4DCF-A073-1AA73216A880}"/>
    <cellStyle name="Migliaia 19 3 2 2 3" xfId="6203" xr:uid="{491965D6-8099-40DA-BE0F-6272D26187E1}"/>
    <cellStyle name="Migliaia 19 3 2 2 3 2" xfId="11689" xr:uid="{7C0CB161-0732-4DDA-A977-2F36D117F8DE}"/>
    <cellStyle name="Migliaia 19 3 2 2 4" xfId="3263" xr:uid="{3401942F-8864-444A-9B47-92F0FE77A196}"/>
    <cellStyle name="Migliaia 19 3 2 2 4 2" xfId="21416" xr:uid="{7102D77A-A898-4F17-B540-94B98B3A212C}"/>
    <cellStyle name="Migliaia 19 3 2 2 4 3" xfId="48470" xr:uid="{4E7AD688-25DA-4B6A-AA60-A4C79B54F2BD}"/>
    <cellStyle name="Migliaia 19 3 2 2 4 4" xfId="50431" xr:uid="{E4DAD1D1-9450-4111-97AB-5BC8EF1D555C}"/>
    <cellStyle name="Migliaia 19 3 2 2 4 5" xfId="53447" xr:uid="{80127767-BD27-464B-BFEB-9983514A6BF9}"/>
    <cellStyle name="Migliaia 19 3 2 2 4 6" xfId="10781" xr:uid="{AABF90C6-D4B7-41E9-8749-A216FCDAD21B}"/>
    <cellStyle name="Migliaia 19 3 2 2 5" xfId="20016" xr:uid="{9A32B558-8643-4E65-B3CC-D774A853F65F}"/>
    <cellStyle name="Migliaia 19 3 2 2 6" xfId="24406" xr:uid="{FEDB7C9A-5AB3-4280-B2AE-ED33EFF31782}"/>
    <cellStyle name="Migliaia 19 3 2 2 7" xfId="8542" xr:uid="{03BB0E86-6F00-43CB-AFED-8B977C1EE595}"/>
    <cellStyle name="Migliaia 19 3 2 3" xfId="4988" xr:uid="{AAC3B8DD-58FE-4913-BE27-C5214A88C764}"/>
    <cellStyle name="Migliaia 19 3 2 3 2" xfId="11104" xr:uid="{2A9D8D9C-8B1B-40B1-B3E4-97BB5812C00E}"/>
    <cellStyle name="Migliaia 19 3 2 3 2 2" xfId="38713" xr:uid="{39E3FC52-F8D0-47C9-807F-683F65C443D5}"/>
    <cellStyle name="Migliaia 19 3 2 3 2 3" xfId="44015" xr:uid="{6CDB5EB9-0529-4590-BC4B-2FF4EE2D3E90}"/>
    <cellStyle name="Migliaia 19 3 2 3 2 4" xfId="33307" xr:uid="{7F3CEFF9-D6AA-4D10-AB53-1C656176AB6F}"/>
    <cellStyle name="Migliaia 19 3 2 3 3" xfId="11924" xr:uid="{31F01D6C-FF74-45EC-A8EE-59812A0DA611}"/>
    <cellStyle name="Migliaia 19 3 2 3 4" xfId="20017" xr:uid="{542C5E9D-87DF-4CD3-8F40-3EF5A49B5E72}"/>
    <cellStyle name="Migliaia 19 3 2 3 4 2" xfId="41364" xr:uid="{2B30DF0C-F7A4-412E-804B-194BD75736B2}"/>
    <cellStyle name="Migliaia 19 3 2 3 5" xfId="16158" xr:uid="{7ABB8FC3-4956-41B3-BAFB-4BFF0D3F3148}"/>
    <cellStyle name="Migliaia 19 3 2 3 6" xfId="7862" xr:uid="{5E9DE3C0-831B-4ACD-AFA6-1B8ADDEF2EE9}"/>
    <cellStyle name="Migliaia 19 3 2 4" xfId="6202" xr:uid="{77E51C55-6F86-4456-AC6C-E8FCD54AB083}"/>
    <cellStyle name="Migliaia 19 3 2 4 2" xfId="18067" xr:uid="{7435E20C-BC2D-436F-BA6F-63DA30C7FB80}"/>
    <cellStyle name="Migliaia 19 3 2 4 2 2" xfId="38714" xr:uid="{4FA9751E-1FBF-4D55-A1F2-1A9C5A579199}"/>
    <cellStyle name="Migliaia 19 3 2 4 2 3" xfId="44016" xr:uid="{4F09331D-8CB9-4106-9B1C-15249CADED67}"/>
    <cellStyle name="Migliaia 19 3 2 4 3" xfId="36212" xr:uid="{2B2DD447-B6D2-429C-9C4C-F7FF43646A99}"/>
    <cellStyle name="Migliaia 19 3 2 4 4" xfId="41365" xr:uid="{F51EE2EC-01F0-4669-9CE9-9A0806A40777}"/>
    <cellStyle name="Migliaia 19 3 2 4 5" xfId="17156" xr:uid="{6412584E-E599-423E-B8BF-682EB4297981}"/>
    <cellStyle name="Migliaia 19 3 2 4 6" xfId="11276" xr:uid="{D6750727-CD26-4763-8135-80512D98954A}"/>
    <cellStyle name="Migliaia 19 3 2 5" xfId="3262" xr:uid="{2BD6D86B-BC73-42BD-B1EA-B22170EA6BE9}"/>
    <cellStyle name="Migliaia 19 3 2 5 2" xfId="33308" xr:uid="{3477D35B-78BD-4CEB-9937-A2869B240140}"/>
    <cellStyle name="Migliaia 19 3 2 5 2 2" xfId="38715" xr:uid="{415E4272-F93C-416F-8C83-949E3EAD78F1}"/>
    <cellStyle name="Migliaia 19 3 2 5 2 3" xfId="44017" xr:uid="{CDEED874-6B76-4242-82F9-74045E16908B}"/>
    <cellStyle name="Migliaia 19 3 2 5 3" xfId="36213" xr:uid="{82C518B0-DF99-4923-A0CC-AB7A4E5F6307}"/>
    <cellStyle name="Migliaia 19 3 2 5 4" xfId="41366" xr:uid="{8081A9DA-2D2B-4CA4-9641-6B8217B767AD}"/>
    <cellStyle name="Migliaia 19 3 2 5 5" xfId="17396" xr:uid="{F639D3CD-B95A-4E85-B848-BB77F889BFB5}"/>
    <cellStyle name="Migliaia 19 3 2 6" xfId="20015" xr:uid="{06765607-E8FE-42E7-99B0-434810FB4616}"/>
    <cellStyle name="Migliaia 19 3 2 6 2" xfId="33309" xr:uid="{163934BF-6DE2-4DE6-BA4E-E89550D3DECF}"/>
    <cellStyle name="Migliaia 19 3 2 6 2 2" xfId="38716" xr:uid="{9D557F40-EE71-4804-B82D-6C91B9136695}"/>
    <cellStyle name="Migliaia 19 3 2 6 2 3" xfId="44018" xr:uid="{EDE35FC6-CA39-462D-9D45-F391085967F8}"/>
    <cellStyle name="Migliaia 19 3 2 6 3" xfId="36214" xr:uid="{6FAF8CD7-F346-40BB-B330-28ECE479E624}"/>
    <cellStyle name="Migliaia 19 3 2 6 4" xfId="41367" xr:uid="{77883306-BD26-4B3D-B1C1-2B2730E944B4}"/>
    <cellStyle name="Migliaia 19 3 2 6 5" xfId="24407" xr:uid="{7CECC288-A491-4854-974B-DD621F6A3947}"/>
    <cellStyle name="Migliaia 19 3 2 7" xfId="24405" xr:uid="{D65EA606-3954-4D7E-B30E-57E5F1544688}"/>
    <cellStyle name="Migliaia 19 3 2 8" xfId="7352" xr:uid="{D163855C-2D64-4290-BC34-033855794801}"/>
    <cellStyle name="Migliaia 19 3 3" xfId="3264" xr:uid="{95E934C0-2E91-490A-A54A-8CB19BB87552}"/>
    <cellStyle name="Migliaia 19 3 3 10" xfId="7351" xr:uid="{3963F2B3-A43B-43EC-804F-EABBBE604DE3}"/>
    <cellStyle name="Migliaia 19 3 3 2" xfId="4990" xr:uid="{C3BED81C-BE51-42DC-8EE0-4D6331C7903C}"/>
    <cellStyle name="Migliaia 19 3 3 2 2" xfId="9902" xr:uid="{B959FC3E-85F6-40DD-B729-0629C26EF1FE}"/>
    <cellStyle name="Migliaia 19 3 3 2 2 2" xfId="38718" xr:uid="{50D0D446-0547-470F-89AA-0FACE5504E51}"/>
    <cellStyle name="Migliaia 19 3 3 2 2 3" xfId="44020" xr:uid="{369266F0-2C9F-43DC-9B2C-99E58FCC35BE}"/>
    <cellStyle name="Migliaia 19 3 3 2 3" xfId="18182" xr:uid="{5753F73F-B7E2-42DC-A5FB-4C43F111C377}"/>
    <cellStyle name="Migliaia 19 3 3 2 4" xfId="20019" xr:uid="{D010FCF2-F5A0-4C58-9290-886226E199E9}"/>
    <cellStyle name="Migliaia 19 3 3 2 4 2" xfId="41369" xr:uid="{AF9F8D65-EDC4-41AE-A108-4CA39AC02DB7}"/>
    <cellStyle name="Migliaia 19 3 3 2 5" xfId="16160" xr:uid="{A092A9D3-7EF7-4F5B-8292-05ED2D76771E}"/>
    <cellStyle name="Migliaia 19 3 3 2 6" xfId="8541" xr:uid="{C8585DBC-2384-45BE-B2AA-D9F6023B8F77}"/>
    <cellStyle name="Migliaia 19 3 3 3" xfId="6204" xr:uid="{B42D0791-23A0-4522-B2D4-0FB9D408F63C}"/>
    <cellStyle name="Migliaia 19 3 3 3 2" xfId="33311" xr:uid="{4E730F4B-53B5-4A1F-884C-7D2F45FB28FA}"/>
    <cellStyle name="Migliaia 19 3 3 3 2 2" xfId="38719" xr:uid="{9226303F-E0FA-47E5-A4D2-3019B3312E8E}"/>
    <cellStyle name="Migliaia 19 3 3 3 2 3" xfId="44021" xr:uid="{6F4FA5B6-3522-4E44-B6D9-18C2A86E5277}"/>
    <cellStyle name="Migliaia 19 3 3 3 3" xfId="36216" xr:uid="{A4E62C0B-ACFD-4000-8625-AA34C2CD7485}"/>
    <cellStyle name="Migliaia 19 3 3 3 4" xfId="41370" xr:uid="{D17B946D-F8D3-41FD-817E-16BFBEF8561C}"/>
    <cellStyle name="Migliaia 19 3 3 3 5" xfId="9665" xr:uid="{33FF5600-03A0-4B1F-8D06-DC25D191CD7F}"/>
    <cellStyle name="Migliaia 19 3 3 4" xfId="20018" xr:uid="{205FC833-C287-4EC0-8795-B5FE9098849D}"/>
    <cellStyle name="Migliaia 19 3 3 4 2" xfId="33312" xr:uid="{C03898B3-298A-48D0-ABF3-36199B5066D5}"/>
    <cellStyle name="Migliaia 19 3 3 4 2 2" xfId="38720" xr:uid="{82B74096-7987-4C4D-AF63-79F6C72B86BC}"/>
    <cellStyle name="Migliaia 19 3 3 4 2 3" xfId="44022" xr:uid="{6229A847-4D7F-402A-B460-8E0B77B9189F}"/>
    <cellStyle name="Migliaia 19 3 3 4 3" xfId="36217" xr:uid="{3460253B-1FB6-499A-9C3B-B301BE9CB3B6}"/>
    <cellStyle name="Migliaia 19 3 3 4 4" xfId="41371" xr:uid="{CB4211F8-2DFC-40C8-BE6A-5BCA36898F12}"/>
    <cellStyle name="Migliaia 19 3 3 4 5" xfId="24408" xr:uid="{F555238A-EBA8-4730-8824-EA39C16658A8}"/>
    <cellStyle name="Migliaia 19 3 3 5" xfId="24409" xr:uid="{167E4B83-9C85-4115-874B-97AAFA5E0F78}"/>
    <cellStyle name="Migliaia 19 3 3 5 2" xfId="33313" xr:uid="{B5BB0DD3-0A83-4706-9DC8-53440778194E}"/>
    <cellStyle name="Migliaia 19 3 3 5 2 2" xfId="38721" xr:uid="{082F1FEC-A1F3-4DFD-84A4-C908553A1B84}"/>
    <cellStyle name="Migliaia 19 3 3 5 2 3" xfId="44023" xr:uid="{9283E4E7-A390-4501-AD4E-57D171ECA8DE}"/>
    <cellStyle name="Migliaia 19 3 3 5 3" xfId="36218" xr:uid="{81594651-CE07-4A6B-87EB-5B77320A89A4}"/>
    <cellStyle name="Migliaia 19 3 3 5 4" xfId="41372" xr:uid="{32A2FF99-DD29-417D-AB44-DD830A57576B}"/>
    <cellStyle name="Migliaia 19 3 3 6" xfId="33310" xr:uid="{D79FC2D4-4C18-4947-A8C9-8A2090C7EC9A}"/>
    <cellStyle name="Migliaia 19 3 3 6 2" xfId="38717" xr:uid="{C8800881-733A-4E4C-959D-5BD5EE1256D0}"/>
    <cellStyle name="Migliaia 19 3 3 6 3" xfId="44019" xr:uid="{D281916C-5557-4407-BD61-F30AC1089DED}"/>
    <cellStyle name="Migliaia 19 3 3 7" xfId="36215" xr:uid="{BB955A4F-1CCA-4428-8C76-109D7E170F99}"/>
    <cellStyle name="Migliaia 19 3 3 8" xfId="41368" xr:uid="{6E23ADE0-1137-4781-B814-B28BF1064002}"/>
    <cellStyle name="Migliaia 19 3 3 9" xfId="16159" xr:uid="{E6879DEB-D352-46F8-AACF-867C280B7458}"/>
    <cellStyle name="Migliaia 19 3 4" xfId="3265" xr:uid="{7AE4E268-5745-47EA-A3A7-1B75C330C6F2}"/>
    <cellStyle name="Migliaia 19 3 4 2" xfId="4991" xr:uid="{C43FD034-2D57-4E28-BA33-8811DD7D8BF2}"/>
    <cellStyle name="Migliaia 19 3 4 2 2" xfId="14433" xr:uid="{64AAB4EC-E513-4552-9FFC-C94FF7A86B30}"/>
    <cellStyle name="Migliaia 19 3 4 2 3" xfId="18125" xr:uid="{04834807-0E05-4F60-9114-C8A878E67004}"/>
    <cellStyle name="Migliaia 19 3 4 2 4" xfId="20021" xr:uid="{DF5EE6BD-FC0F-45F5-9628-44E478EAAAA5}"/>
    <cellStyle name="Migliaia 19 3 4 2 5" xfId="32320" xr:uid="{E3E3EB9C-68B4-4F31-8E43-6FF1EED4D586}"/>
    <cellStyle name="Migliaia 19 3 4 2 6" xfId="16162" xr:uid="{FE00FE4D-F263-4F6E-A5A1-C2D7BF606247}"/>
    <cellStyle name="Migliaia 19 3 4 2 7" xfId="8856" xr:uid="{E6359A4E-4730-48CE-B9E1-823EBC5DD857}"/>
    <cellStyle name="Migliaia 19 3 4 3" xfId="6205" xr:uid="{66ECF252-D3A6-4BEF-A3B2-38A11E62F731}"/>
    <cellStyle name="Migliaia 19 3 4 3 2" xfId="35193" xr:uid="{A8B2E4C4-3516-44EC-9B4A-118212C87BF5}"/>
    <cellStyle name="Migliaia 19 3 4 3 2 2" xfId="40351" xr:uid="{ED7A801A-3702-4531-BC71-0DA4D6969F40}"/>
    <cellStyle name="Migliaia 19 3 4 3 2 3" xfId="45653" xr:uid="{75A8AEF4-FECB-423F-94A7-EFF57534EEDA}"/>
    <cellStyle name="Migliaia 19 3 4 3 3" xfId="37700" xr:uid="{7D339279-6F1B-4EA1-B5F7-2F1F3EAE5EC1}"/>
    <cellStyle name="Migliaia 19 3 4 3 4" xfId="43002" xr:uid="{0836829D-B087-40A2-9528-6444A4F77B70}"/>
    <cellStyle name="Migliaia 19 3 4 3 5" xfId="13681" xr:uid="{4A61832F-D473-4173-BA32-7F7DD00C76A6}"/>
    <cellStyle name="Migliaia 19 3 4 4" xfId="20020" xr:uid="{C8B1E694-9B76-403A-8FA7-D2057BBCD1DB}"/>
    <cellStyle name="Migliaia 19 3 4 4 2" xfId="38722" xr:uid="{42CE11EE-F492-455C-AFD8-B58A2F484DCE}"/>
    <cellStyle name="Migliaia 19 3 4 4 3" xfId="44024" xr:uid="{3BE973E0-7ABF-4E6D-A558-C62B25A545C6}"/>
    <cellStyle name="Migliaia 19 3 4 4 4" xfId="33314" xr:uid="{4554F24A-ADFC-492A-9760-A0D9E00528B3}"/>
    <cellStyle name="Migliaia 19 3 4 5" xfId="36219" xr:uid="{D7BB8408-9F1A-4FF1-8500-567A2E4D07BD}"/>
    <cellStyle name="Migliaia 19 3 4 6" xfId="41373" xr:uid="{1688D238-C9DE-45AF-8BD7-FB21148E429D}"/>
    <cellStyle name="Migliaia 19 3 4 7" xfId="16161" xr:uid="{0903A2CA-5CA0-439A-971D-D544BEA44EDA}"/>
    <cellStyle name="Migliaia 19 3 4 8" xfId="7666" xr:uid="{A668A322-D5A9-4395-AA77-089DDCAD28B5}"/>
    <cellStyle name="Migliaia 19 3 5" xfId="3266" xr:uid="{7DBC6E18-9DCF-4DF2-B801-CA13363F3EA5}"/>
    <cellStyle name="Migliaia 19 3 5 2" xfId="4992" xr:uid="{B09A3B84-BB0E-4386-AD27-CCCBEC6CCD7F}"/>
    <cellStyle name="Migliaia 19 3 5 2 2" xfId="35194" xr:uid="{F7AB143F-84F2-49FE-A362-44A38CBFF97C}"/>
    <cellStyle name="Migliaia 19 3 5 2 2 2" xfId="40352" xr:uid="{FAF7A392-E252-4904-9D42-16FA7E54F589}"/>
    <cellStyle name="Migliaia 19 3 5 2 2 3" xfId="45654" xr:uid="{23674197-229B-4EE8-9157-6BDABC253F9C}"/>
    <cellStyle name="Migliaia 19 3 5 2 3" xfId="37701" xr:uid="{DB7E587D-1A26-485C-841C-F7F444FAA991}"/>
    <cellStyle name="Migliaia 19 3 5 2 4" xfId="43003" xr:uid="{FC624441-5BA4-4589-BC4B-D0C616A0DA7A}"/>
    <cellStyle name="Migliaia 19 3 5 2 5" xfId="14210" xr:uid="{BD7C26B5-6059-471C-B57A-B94C947B7E13}"/>
    <cellStyle name="Migliaia 19 3 5 3" xfId="6206" xr:uid="{885B50DB-7E80-4EEC-8866-2842E19F13F7}"/>
    <cellStyle name="Migliaia 19 3 5 3 2" xfId="38723" xr:uid="{233A7816-E0B9-4E81-BAB8-D01E568EF771}"/>
    <cellStyle name="Migliaia 19 3 5 3 3" xfId="44025" xr:uid="{EE6E16A8-EA85-44C1-9437-668879829C25}"/>
    <cellStyle name="Migliaia 19 3 5 3 4" xfId="33315" xr:uid="{32A852DA-89B5-4F5C-A4E6-D4AF910664CA}"/>
    <cellStyle name="Migliaia 19 3 5 3 5" xfId="20022" xr:uid="{FD7F8732-F4DC-40FF-8789-5FADBE497F23}"/>
    <cellStyle name="Migliaia 19 3 5 4" xfId="36220" xr:uid="{720051DF-5FE5-4CA8-A0D4-B88ABCF9C360}"/>
    <cellStyle name="Migliaia 19 3 5 5" xfId="41374" xr:uid="{08274A0A-A148-46B3-8F56-2F48D1229D7B}"/>
    <cellStyle name="Migliaia 19 3 5 6" xfId="16163" xr:uid="{4006E7C7-7D1F-4940-8D36-6F764103C04D}"/>
    <cellStyle name="Migliaia 19 3 5 7" xfId="8272" xr:uid="{12F25D0D-5B92-439F-B122-CE532E3D7572}"/>
    <cellStyle name="Migliaia 19 3 6" xfId="4987" xr:uid="{49C4597E-B242-4533-A086-C6465140A1F1}"/>
    <cellStyle name="Migliaia 19 3 6 2" xfId="13913" xr:uid="{4534FF77-5F4F-475D-A55B-E97E99903106}"/>
    <cellStyle name="Migliaia 19 3 6 2 2" xfId="38724" xr:uid="{DD4EEB33-7415-4568-866F-AE16FA19EEF9}"/>
    <cellStyle name="Migliaia 19 3 6 2 3" xfId="44026" xr:uid="{FEE89E05-7BA5-40B6-B8CA-A1AADBFE57C7}"/>
    <cellStyle name="Migliaia 19 3 6 3" xfId="18284" xr:uid="{4E5E1C55-EE00-41F8-8681-7DEF9AE08FC9}"/>
    <cellStyle name="Migliaia 19 3 6 4" xfId="20023" xr:uid="{B636A309-4C43-456E-AE46-85C1408CCBFC}"/>
    <cellStyle name="Migliaia 19 3 6 4 2" xfId="41375" xr:uid="{91DC4194-9F11-4CFD-9724-90E7A7A340EC}"/>
    <cellStyle name="Migliaia 19 3 6 5" xfId="16164" xr:uid="{0195F767-FD19-456A-880E-B637217D243B}"/>
    <cellStyle name="Migliaia 19 3 6 6" xfId="7861" xr:uid="{8B085D41-0E6E-4E6A-A35A-7669FE2F3476}"/>
    <cellStyle name="Migliaia 19 3 7" xfId="6201" xr:uid="{590C9D33-19A5-44AB-A278-CFCB3369BEC6}"/>
    <cellStyle name="Migliaia 19 3 7 2" xfId="33316" xr:uid="{789A6294-4653-4A96-8B19-A43619A9338C}"/>
    <cellStyle name="Migliaia 19 3 7 2 2" xfId="38725" xr:uid="{93978D2B-E222-4AEF-A2D8-1BF07CF1C2CC}"/>
    <cellStyle name="Migliaia 19 3 7 2 3" xfId="44027" xr:uid="{0499B81E-4D6A-4398-A096-D2FB7719A7B2}"/>
    <cellStyle name="Migliaia 19 3 7 3" xfId="36221" xr:uid="{4FCA7A6B-8D21-40C0-87DC-F01C4038ED96}"/>
    <cellStyle name="Migliaia 19 3 7 4" xfId="41376" xr:uid="{1F4389E1-D324-4F11-BEC3-6AD26E70319F}"/>
    <cellStyle name="Migliaia 19 3 7 5" xfId="11153" xr:uid="{24FFCA82-F75B-45C5-9B52-5D953EC1FAF0}"/>
    <cellStyle name="Migliaia 19 3 8" xfId="3261" xr:uid="{D1585B06-D85F-4FD1-9716-BA81838D8BEA}"/>
    <cellStyle name="Migliaia 19 3 8 2" xfId="33317" xr:uid="{B0DFA7A9-6DFE-47CC-ACBE-AE4DA870707E}"/>
    <cellStyle name="Migliaia 19 3 8 2 2" xfId="38726" xr:uid="{55D1ACD7-7BB6-43BE-9079-5D748AD2B522}"/>
    <cellStyle name="Migliaia 19 3 8 2 3" xfId="44028" xr:uid="{DC81B492-6270-4BF6-9BF4-9C2548ECE0A7}"/>
    <cellStyle name="Migliaia 19 3 8 3" xfId="36222" xr:uid="{061E00C2-2E68-4571-9690-590F7AC6DA0C}"/>
    <cellStyle name="Migliaia 19 3 8 4" xfId="41377" xr:uid="{D8C2AFE7-5B8E-48D3-A947-319E36BC2CCA}"/>
    <cellStyle name="Migliaia 19 3 8 5" xfId="24410" xr:uid="{D80F8E62-D46E-4885-95A4-79F9F32969B0}"/>
    <cellStyle name="Migliaia 19 3 8 6" xfId="17397" xr:uid="{8B61653D-DF12-4419-971B-00375EBE74B6}"/>
    <cellStyle name="Migliaia 19 3 9" xfId="20014" xr:uid="{1C0BDB71-3426-4777-AFDA-F2D0468604C7}"/>
    <cellStyle name="Migliaia 19 4" xfId="1705" xr:uid="{00000000-0005-0000-0000-000018030000}"/>
    <cellStyle name="Migliaia 19 4 2" xfId="1706" xr:uid="{00000000-0005-0000-0000-000019030000}"/>
    <cellStyle name="Migliaia 19 4 2 2" xfId="4994" xr:uid="{9A7E0493-C426-4B43-A10C-65DFF4630C10}"/>
    <cellStyle name="Migliaia 19 4 2 2 2" xfId="33318" xr:uid="{A3B6B49A-08B2-4A16-9A1C-44BE7801EAB6}"/>
    <cellStyle name="Migliaia 19 4 2 2 2 2" xfId="38727" xr:uid="{D02D64BD-66AB-4F14-8BFE-BB758BD4A3FB}"/>
    <cellStyle name="Migliaia 19 4 2 2 2 3" xfId="44029" xr:uid="{1883EDFD-C52E-439F-8D4E-A601E6530E7D}"/>
    <cellStyle name="Migliaia 19 4 2 2 3" xfId="36223" xr:uid="{15BE44CA-189D-4B55-8005-B6197EFB2A9B}"/>
    <cellStyle name="Migliaia 19 4 2 2 4" xfId="41378" xr:uid="{A978B24E-6DC2-4919-8BCA-25104FB0F86E}"/>
    <cellStyle name="Migliaia 19 4 2 2 5" xfId="9128" xr:uid="{D42879A1-9C59-4879-8546-2B1B0821FD6A}"/>
    <cellStyle name="Migliaia 19 4 2 3" xfId="3268" xr:uid="{0331420F-C1C0-4F70-8B65-7C19B75EA04A}"/>
    <cellStyle name="Migliaia 19 4 2 3 2" xfId="33319" xr:uid="{BBCD78B1-DFA6-4FDB-BC67-48FA8D5D1055}"/>
    <cellStyle name="Migliaia 19 4 2 3 2 2" xfId="38728" xr:uid="{ABB59DB7-D1B7-42DE-A232-7F78D47261E4}"/>
    <cellStyle name="Migliaia 19 4 2 3 2 3" xfId="44030" xr:uid="{F9DD283C-5854-404E-B77C-D63FF187C2AB}"/>
    <cellStyle name="Migliaia 19 4 2 3 3" xfId="36224" xr:uid="{90F423C1-A7F2-4E46-8818-F6395F68AE4D}"/>
    <cellStyle name="Migliaia 19 4 2 3 4" xfId="41379" xr:uid="{212AC411-B139-4B65-9281-F59EC5D1245D}"/>
    <cellStyle name="Migliaia 19 4 2 3 5" xfId="11925" xr:uid="{5AF50A60-10BB-47CD-BC90-7BB4FA1691B6}"/>
    <cellStyle name="Migliaia 19 4 2 4" xfId="11278" xr:uid="{7F97FBE8-639F-457D-9749-2CB19D52465A}"/>
    <cellStyle name="Migliaia 19 4 2 5" xfId="10783" xr:uid="{0BC90DA6-6C2D-43A6-9482-E0100B9D2EE0}"/>
    <cellStyle name="Migliaia 19 4 2 5 2" xfId="21418" xr:uid="{E18FAECE-E9A5-49B4-B3AA-AAEAD1A5EA51}"/>
    <cellStyle name="Migliaia 19 4 2 5 3" xfId="47510" xr:uid="{A915D1EE-C591-4211-8A74-EAE0FAC11A84}"/>
    <cellStyle name="Migliaia 19 4 2 5 4" xfId="50433" xr:uid="{F3DA111E-5CFA-47F2-B4E7-CC4984341588}"/>
    <cellStyle name="Migliaia 19 4 2 5 5" xfId="53449" xr:uid="{780218B4-E7A9-4CCF-9B2A-EE4E3871C0D9}"/>
    <cellStyle name="Migliaia 19 4 2 6" xfId="20025" xr:uid="{A065521C-9111-420A-9E6A-239C1F73CAED}"/>
    <cellStyle name="Migliaia 19 4 2 7" xfId="24412" xr:uid="{421F4B0F-E300-4FA2-BE45-51FD85D50ED6}"/>
    <cellStyle name="Migliaia 19 4 2 8" xfId="8543" xr:uid="{8F617E21-1BDA-48A3-B9B3-3F530C4EB201}"/>
    <cellStyle name="Migliaia 19 4 3" xfId="4993" xr:uid="{8E2B633E-7A4D-4718-A1C5-F4F5A6A43BA4}"/>
    <cellStyle name="Migliaia 19 4 3 2" xfId="18183" xr:uid="{AF1A9A07-DAB9-4EEA-BACC-D2266945B990}"/>
    <cellStyle name="Migliaia 19 4 3 2 2" xfId="38729" xr:uid="{32407F9A-BD9E-4DF2-84D7-788E5CD8CF72}"/>
    <cellStyle name="Migliaia 19 4 3 2 3" xfId="44031" xr:uid="{112AE0F2-8B94-48A4-B731-77DF762B24EC}"/>
    <cellStyle name="Migliaia 19 4 3 3" xfId="36225" xr:uid="{A9F2169A-FCA2-45FE-93E0-B491D4DB096D}"/>
    <cellStyle name="Migliaia 19 4 3 4" xfId="41380" xr:uid="{864375CB-702B-4327-907F-40C74F79F30C}"/>
    <cellStyle name="Migliaia 19 4 3 5" xfId="17395" xr:uid="{BD8B0A27-FBF1-4687-8ABC-CF4898C47DDB}"/>
    <cellStyle name="Migliaia 19 4 3 6" xfId="9129" xr:uid="{8783F385-74FD-42C7-B46F-73BF03F01F95}"/>
    <cellStyle name="Migliaia 19 4 4" xfId="6207" xr:uid="{4009F911-1E47-417E-9639-404C56AFD691}"/>
    <cellStyle name="Migliaia 19 4 4 2" xfId="33320" xr:uid="{2DC0711B-F414-45B3-93D0-8B9D5C9CFE2C}"/>
    <cellStyle name="Migliaia 19 4 4 2 2" xfId="38730" xr:uid="{CF75503A-61A8-4C7D-8280-DE06DF2034A3}"/>
    <cellStyle name="Migliaia 19 4 4 2 3" xfId="44032" xr:uid="{BE161814-B243-4357-82EC-90128F529384}"/>
    <cellStyle name="Migliaia 19 4 4 3" xfId="36226" xr:uid="{06346F87-7A21-44D3-ACA0-39D15FDB07F5}"/>
    <cellStyle name="Migliaia 19 4 4 4" xfId="41381" xr:uid="{A499EEE9-1B11-48A7-9003-26C55B85F33A}"/>
    <cellStyle name="Migliaia 19 4 4 5" xfId="11926" xr:uid="{440F1549-8ABF-4382-A7C4-CF8B6B5B5043}"/>
    <cellStyle name="Migliaia 19 4 5" xfId="3267" xr:uid="{48EFFAB1-8DE9-48F6-89BA-FE2089E96E51}"/>
    <cellStyle name="Migliaia 19 4 5 2" xfId="33321" xr:uid="{BAECF780-258D-4114-8F58-D2064BAB3DC4}"/>
    <cellStyle name="Migliaia 19 4 5 2 2" xfId="38731" xr:uid="{C7F3E419-0E03-4B71-B936-A485E48127DE}"/>
    <cellStyle name="Migliaia 19 4 5 2 3" xfId="44033" xr:uid="{FF71E524-E24B-43E2-A825-1E30C97BF310}"/>
    <cellStyle name="Migliaia 19 4 5 3" xfId="36227" xr:uid="{1DF9FD80-BE0F-4EE3-A257-8C7AE0C6AADA}"/>
    <cellStyle name="Migliaia 19 4 5 4" xfId="41382" xr:uid="{6488D82C-ADDD-471A-B575-50FC8A7F587D}"/>
    <cellStyle name="Migliaia 19 4 5 5" xfId="11277" xr:uid="{E7867458-88D9-402F-92E0-F57F93799DCA}"/>
    <cellStyle name="Migliaia 19 4 6" xfId="10782" xr:uid="{685334C2-DAC1-4141-AA26-462E4CE737F2}"/>
    <cellStyle name="Migliaia 19 4 6 2" xfId="21417" xr:uid="{68C2ED6B-FB48-4F2E-96D8-EE3E5E1FD94C}"/>
    <cellStyle name="Migliaia 19 4 6 2 2" xfId="38732" xr:uid="{0A2824EC-ADD7-4526-BFD4-452634E2C8E5}"/>
    <cellStyle name="Migliaia 19 4 6 2 3" xfId="44034" xr:uid="{BE47BBAE-ADCF-4380-AD8C-242F6805AB77}"/>
    <cellStyle name="Migliaia 19 4 6 2 4" xfId="33322" xr:uid="{F0572057-5651-4F00-A0AE-560BD8410843}"/>
    <cellStyle name="Migliaia 19 4 6 3" xfId="36228" xr:uid="{121DC5C7-6331-4642-9AD5-E2A3E298F93A}"/>
    <cellStyle name="Migliaia 19 4 6 4" xfId="41383" xr:uid="{507AB781-D461-4547-B738-1EC138CC3E34}"/>
    <cellStyle name="Migliaia 19 4 6 5" xfId="24413" xr:uid="{2E9E7209-A566-4CB6-9971-7B0C18D17ACE}"/>
    <cellStyle name="Migliaia 19 4 6 6" xfId="25356" xr:uid="{A2DD55E7-B1E5-4BD8-BCE7-E6AA66008F18}"/>
    <cellStyle name="Migliaia 19 4 6 7" xfId="50432" xr:uid="{6C2ADE09-73E0-48E1-830F-A64B105961BB}"/>
    <cellStyle name="Migliaia 19 4 6 8" xfId="53448" xr:uid="{53ED3FC4-5B36-46DE-93D1-382B074EAE5F}"/>
    <cellStyle name="Migliaia 19 4 7" xfId="20024" xr:uid="{9A123EBE-B7AF-4281-A4F4-8C06557FC750}"/>
    <cellStyle name="Migliaia 19 4 7 2" xfId="33323" xr:uid="{C9A64987-AA63-4F71-9CE5-B692E91A268A}"/>
    <cellStyle name="Migliaia 19 4 7 2 2" xfId="38733" xr:uid="{0C1AAD1C-A7AD-4012-AECE-4A39A18767AA}"/>
    <cellStyle name="Migliaia 19 4 7 2 3" xfId="44035" xr:uid="{2AAA7D85-4352-4070-BB8F-C6FB882E8818}"/>
    <cellStyle name="Migliaia 19 4 7 3" xfId="36229" xr:uid="{473E0AE4-55FE-400A-8F8B-2E2F0F825CD0}"/>
    <cellStyle name="Migliaia 19 4 7 4" xfId="41384" xr:uid="{91048FCE-E965-42FA-B508-517B45362E16}"/>
    <cellStyle name="Migliaia 19 4 7 5" xfId="24414" xr:uid="{A390FB7D-14B3-4E29-AF81-9D7FBFA28317}"/>
    <cellStyle name="Migliaia 19 4 8" xfId="24411" xr:uid="{8490E49C-14BD-45C6-A544-8AD5F0276C55}"/>
    <cellStyle name="Migliaia 19 4 9" xfId="7353" xr:uid="{EBC4F6A8-5630-4EA5-A67A-41CA3BB62B6B}"/>
    <cellStyle name="Migliaia 19 5" xfId="1707" xr:uid="{00000000-0005-0000-0000-00001A030000}"/>
    <cellStyle name="Migliaia 19 5 2" xfId="4995" xr:uid="{6C3915C5-B17E-43D0-8D4A-A8D692791784}"/>
    <cellStyle name="Migliaia 19 5 2 2" xfId="18389" xr:uid="{B7CF790D-4B89-4DA6-A117-A001F7E1332A}"/>
    <cellStyle name="Migliaia 19 5 2 2 2" xfId="38734" xr:uid="{6C86CE4D-BE6D-49A5-BA6C-E4B555A6CB29}"/>
    <cellStyle name="Migliaia 19 5 2 2 3" xfId="44036" xr:uid="{66281E05-9F28-439E-8CF2-BF0B42BB4E5B}"/>
    <cellStyle name="Migliaia 19 5 2 3" xfId="20027" xr:uid="{BB5CD387-E616-46D0-B5CD-EB485C3C2789}"/>
    <cellStyle name="Migliaia 19 5 2 3 2" xfId="36230" xr:uid="{C9392C77-188B-4CE8-909F-64631258E84D}"/>
    <cellStyle name="Migliaia 19 5 2 4" xfId="41385" xr:uid="{F3AA3698-D0AE-48E3-923F-7377B6A68903}"/>
    <cellStyle name="Migliaia 19 5 2 5" xfId="16165" xr:uid="{0636802F-CC55-4CE3-91AE-CAC4BBE78DA6}"/>
    <cellStyle name="Migliaia 19 5 2 6" xfId="8544" xr:uid="{40CC1468-1C7C-449C-8C4B-F531D0AE5A01}"/>
    <cellStyle name="Migliaia 19 5 3" xfId="6208" xr:uid="{6337CDC3-6F42-4890-8DDC-D92BCB0691A6}"/>
    <cellStyle name="Migliaia 19 5 3 2" xfId="33324" xr:uid="{B8E7C28F-C655-4DB0-BD8D-A9C7C5E4F8F0}"/>
    <cellStyle name="Migliaia 19 5 3 2 2" xfId="38735" xr:uid="{D997939B-95AC-41FD-A213-16E230B3E66D}"/>
    <cellStyle name="Migliaia 19 5 3 2 3" xfId="44037" xr:uid="{683255F6-DA7C-4EAE-87A1-3ED9A87DE886}"/>
    <cellStyle name="Migliaia 19 5 3 3" xfId="36231" xr:uid="{DCF364AF-E3DF-4469-AEEF-32E1E2D67D94}"/>
    <cellStyle name="Migliaia 19 5 3 4" xfId="41386" xr:uid="{31ADEE18-C402-4CCB-A949-80170CAC42E9}"/>
    <cellStyle name="Migliaia 19 5 3 5" xfId="11279" xr:uid="{618337C7-24BE-4AB4-B646-79DA8DFF26AA}"/>
    <cellStyle name="Migliaia 19 5 4" xfId="3269" xr:uid="{900A732B-E6FB-4C98-80FD-512C52368D6D}"/>
    <cellStyle name="Migliaia 19 5 4 2" xfId="21419" xr:uid="{9829B61A-B1B6-4280-B4A1-F54FBC0A52F7}"/>
    <cellStyle name="Migliaia 19 5 4 2 2" xfId="38736" xr:uid="{80375388-E257-424E-BDF3-86288F13E576}"/>
    <cellStyle name="Migliaia 19 5 4 2 3" xfId="44038" xr:uid="{B048E96F-DAF4-41E1-BDF9-9DAFF6810836}"/>
    <cellStyle name="Migliaia 19 5 4 2 4" xfId="33325" xr:uid="{6E71E114-14B0-4A6F-A08B-A92C40A3DA52}"/>
    <cellStyle name="Migliaia 19 5 4 3" xfId="36232" xr:uid="{23E34F39-B90E-48F5-8D04-5FDA5002DEBB}"/>
    <cellStyle name="Migliaia 19 5 4 4" xfId="41387" xr:uid="{FA84B9F7-1F5D-4353-A5AA-E38A1AEDD55F}"/>
    <cellStyle name="Migliaia 19 5 4 5" xfId="24416" xr:uid="{1CB7599E-6903-48D2-8E8E-2A4913A12985}"/>
    <cellStyle name="Migliaia 19 5 4 6" xfId="46641" xr:uid="{8D140FF8-F284-4517-BCCE-900D6A75CFD4}"/>
    <cellStyle name="Migliaia 19 5 4 7" xfId="50434" xr:uid="{C0C3E1D8-7D9A-4858-BB96-9B8CE44DA882}"/>
    <cellStyle name="Migliaia 19 5 4 8" xfId="53450" xr:uid="{9FA208F5-8C93-4D79-99AC-AF16C5C8251E}"/>
    <cellStyle name="Migliaia 19 5 4 9" xfId="10784" xr:uid="{A94E93BD-224C-4516-922F-B76236B75A70}"/>
    <cellStyle name="Migliaia 19 5 5" xfId="20026" xr:uid="{097642FD-A81D-4FE0-8BFA-F8E23473A998}"/>
    <cellStyle name="Migliaia 19 5 5 2" xfId="33326" xr:uid="{DFD1899C-E2AC-4207-8A9D-333807010F26}"/>
    <cellStyle name="Migliaia 19 5 5 2 2" xfId="38737" xr:uid="{0A731911-99E8-4417-B445-A717F3F312EA}"/>
    <cellStyle name="Migliaia 19 5 5 2 3" xfId="44039" xr:uid="{3A752BB4-F6D3-4930-B459-EC82E8FBA724}"/>
    <cellStyle name="Migliaia 19 5 5 3" xfId="36233" xr:uid="{70A75A2D-3D3F-48F9-980A-3A190FC5DFE0}"/>
    <cellStyle name="Migliaia 19 5 5 4" xfId="41388" xr:uid="{B39459B7-07ED-4AF7-A9C0-AE4B7FA32B71}"/>
    <cellStyle name="Migliaia 19 5 5 5" xfId="24417" xr:uid="{00EE7565-3381-4F9E-9E7B-061636DEAE97}"/>
    <cellStyle name="Migliaia 19 5 6" xfId="24418" xr:uid="{AE406D2F-88F6-4632-A902-9541F50D1FB6}"/>
    <cellStyle name="Migliaia 19 5 6 2" xfId="33327" xr:uid="{8B2B073B-A9F4-492D-B75E-73B274147B8E}"/>
    <cellStyle name="Migliaia 19 5 6 2 2" xfId="38738" xr:uid="{07CA01FD-7CAA-4A14-BFE1-81EFE90E87F4}"/>
    <cellStyle name="Migliaia 19 5 6 2 3" xfId="44040" xr:uid="{D817383D-FFF7-4862-86B2-559399CB9BA9}"/>
    <cellStyle name="Migliaia 19 5 6 3" xfId="36234" xr:uid="{67975F22-F13D-44C0-A323-8CA3645BD125}"/>
    <cellStyle name="Migliaia 19 5 6 4" xfId="41389" xr:uid="{281F5DE0-ADA4-44FB-B90E-212454AEFB97}"/>
    <cellStyle name="Migliaia 19 5 7" xfId="24415" xr:uid="{F77CB3E2-F500-4500-9437-9FB41F4D984A}"/>
    <cellStyle name="Migliaia 19 5 8" xfId="7354" xr:uid="{F7FCBE2B-BA32-4F27-86D8-ECEA8D97D9A9}"/>
    <cellStyle name="Migliaia 19 6" xfId="3270" xr:uid="{9E9B04EA-73B5-4D5F-AD77-19BC7159F5F6}"/>
    <cellStyle name="Migliaia 19 6 2" xfId="4996" xr:uid="{BEF9BF70-E567-427B-A749-B4BF012B562E}"/>
    <cellStyle name="Migliaia 19 6 2 2" xfId="9901" xr:uid="{E7BA0BA0-8373-4BFD-925E-1204A804741C}"/>
    <cellStyle name="Migliaia 19 6 2 3" xfId="18670" xr:uid="{8A43E0D0-0149-49F4-AD47-C1DA9E46157E}"/>
    <cellStyle name="Migliaia 19 6 2 4" xfId="20029" xr:uid="{92DD9B66-38CA-4BE4-8A66-35830E9A80D5}"/>
    <cellStyle name="Migliaia 19 6 2 5" xfId="32321" xr:uid="{21EA5E36-24E4-4288-B809-1451ACA059BD}"/>
    <cellStyle name="Migliaia 19 6 2 6" xfId="16167" xr:uid="{A7C799AA-D5C5-4D8A-A733-7195E2C8D7AA}"/>
    <cellStyle name="Migliaia 19 6 2 7" xfId="8539" xr:uid="{872DE083-59CF-462E-A3DE-FC770E01A54C}"/>
    <cellStyle name="Migliaia 19 6 3" xfId="6209" xr:uid="{AA3B5161-7F66-4F29-9650-14FB5D09038A}"/>
    <cellStyle name="Migliaia 19 6 3 2" xfId="35195" xr:uid="{688B643C-5B42-48E1-9246-DB6A89527A08}"/>
    <cellStyle name="Migliaia 19 6 3 2 2" xfId="40353" xr:uid="{7E328D6F-033C-4946-8219-D2963A202C8F}"/>
    <cellStyle name="Migliaia 19 6 3 2 3" xfId="45655" xr:uid="{3C5FA514-621E-4B37-BFE8-AC2F09FFBEC0}"/>
    <cellStyle name="Migliaia 19 6 3 3" xfId="37702" xr:uid="{CF919D72-EED1-4A8B-90A9-357700CABCBA}"/>
    <cellStyle name="Migliaia 19 6 3 4" xfId="43004" xr:uid="{2C43DFBB-FACE-4FC5-9409-943B395A05A9}"/>
    <cellStyle name="Migliaia 19 6 3 5" xfId="9664" xr:uid="{A11F4D50-BCDD-49E4-9AAC-F248D0F44E40}"/>
    <cellStyle name="Migliaia 19 6 4" xfId="20028" xr:uid="{55873864-4A84-4E32-927D-9E10F507B627}"/>
    <cellStyle name="Migliaia 19 6 4 2" xfId="38739" xr:uid="{BAA85C4E-EDCB-4BDF-B838-7EF0E5FA68B9}"/>
    <cellStyle name="Migliaia 19 6 4 3" xfId="44041" xr:uid="{AF79CA51-B8D1-4553-8593-B98D56CCB7AB}"/>
    <cellStyle name="Migliaia 19 6 4 4" xfId="33328" xr:uid="{8C1CF259-6744-47D4-8C73-4D504CE42AD1}"/>
    <cellStyle name="Migliaia 19 6 5" xfId="36235" xr:uid="{0A3C2C0C-F4FA-43AE-A424-7BA558578C72}"/>
    <cellStyle name="Migliaia 19 6 6" xfId="41390" xr:uid="{06D5E3DB-F62E-4CD7-A757-383E451801EE}"/>
    <cellStyle name="Migliaia 19 6 7" xfId="16166" xr:uid="{497BF3DF-BE9F-4EFD-9E04-050F6F78342D}"/>
    <cellStyle name="Migliaia 19 6 8" xfId="7349" xr:uid="{54770B47-5106-465C-A7BC-3AE53F5B45A6}"/>
    <cellStyle name="Migliaia 19 7" xfId="3271" xr:uid="{AF4F06DB-E708-406F-ABF3-550629CB2981}"/>
    <cellStyle name="Migliaia 19 7 2" xfId="4997" xr:uid="{25F5E1BD-2A63-4269-B98E-1FB3CC9225E7}"/>
    <cellStyle name="Migliaia 19 7 2 2" xfId="35196" xr:uid="{BF6C4F3A-28D7-40CF-8454-05A68064D552}"/>
    <cellStyle name="Migliaia 19 7 2 2 2" xfId="40354" xr:uid="{8E93AB57-B516-4B71-9A0B-2BE0A45E82B0}"/>
    <cellStyle name="Migliaia 19 7 2 2 3" xfId="45656" xr:uid="{FA1A310D-6C06-4967-9732-0189D1F6B7AE}"/>
    <cellStyle name="Migliaia 19 7 2 3" xfId="37703" xr:uid="{0B2C1D80-0FE9-40E2-A394-3BA62BEF96B1}"/>
    <cellStyle name="Migliaia 19 7 2 4" xfId="43005" xr:uid="{DA0B3067-1043-4BCE-9FE9-B8B2B4F9A0BE}"/>
    <cellStyle name="Migliaia 19 7 2 5" xfId="14208" xr:uid="{04CC0476-68F8-48FE-B0B9-D1A7ABA07F03}"/>
    <cellStyle name="Migliaia 19 7 3" xfId="6210" xr:uid="{55BDB78C-303D-4D0E-AD1D-619FA0383594}"/>
    <cellStyle name="Migliaia 19 7 3 2" xfId="38740" xr:uid="{255870B3-0735-4BEB-B923-32839B2EDB1D}"/>
    <cellStyle name="Migliaia 19 7 3 3" xfId="44042" xr:uid="{3A75D4B4-DD98-441F-810A-D734A363567A}"/>
    <cellStyle name="Migliaia 19 7 3 4" xfId="33329" xr:uid="{19F4541A-7F6B-496A-BF41-6EFF4BCE5B5A}"/>
    <cellStyle name="Migliaia 19 7 3 5" xfId="20030" xr:uid="{4C31C687-C765-4065-AAF6-CB9228CCD430}"/>
    <cellStyle name="Migliaia 19 7 4" xfId="36236" xr:uid="{4641B8FF-6010-4AF9-A9E3-10430C431DDD}"/>
    <cellStyle name="Migliaia 19 7 5" xfId="41391" xr:uid="{22B2BF61-A236-49AC-BD64-A6E0F83547E8}"/>
    <cellStyle name="Migliaia 19 7 6" xfId="16168" xr:uid="{49C7D5D8-F4C7-4217-9BCB-9F241B29A93A}"/>
    <cellStyle name="Migliaia 19 7 7" xfId="8270" xr:uid="{BEFBF744-9311-4E1B-9383-A10993ADD9B0}"/>
    <cellStyle name="Migliaia 19 8" xfId="3272" xr:uid="{5566C951-33FE-44D7-A4E8-F43C5A3EF700}"/>
    <cellStyle name="Migliaia 19 8 2" xfId="4998" xr:uid="{B8CC2568-7246-4347-916C-67F7C6ABC2A9}"/>
    <cellStyle name="Migliaia 19 8 2 2" xfId="35197" xr:uid="{80C2ABA9-004E-4C6C-BC7D-DF2D31A822D5}"/>
    <cellStyle name="Migliaia 19 8 2 2 2" xfId="40355" xr:uid="{8E9E0D33-0E8B-40EA-B60E-6F6B0E297765}"/>
    <cellStyle name="Migliaia 19 8 2 2 3" xfId="45657" xr:uid="{D9CA7C40-05D5-4A9E-B9F1-31E024932925}"/>
    <cellStyle name="Migliaia 19 8 2 3" xfId="37704" xr:uid="{B5E8B5B6-40DD-4EEC-BB8E-D08C2678FF54}"/>
    <cellStyle name="Migliaia 19 8 2 4" xfId="43006" xr:uid="{68FB98FF-0B3A-4C8B-9C1B-1903A5C3E968}"/>
    <cellStyle name="Migliaia 19 8 2 5" xfId="13911" xr:uid="{F6A67192-6A7C-4AFA-B65C-CB2B8C73BEE3}"/>
    <cellStyle name="Migliaia 19 8 3" xfId="6211" xr:uid="{BA7C29A5-E350-40E2-A6C7-2C692546E808}"/>
    <cellStyle name="Migliaia 19 8 3 2" xfId="38741" xr:uid="{0AEDEF3C-BB9D-4533-8119-BF0B1F38D2B4}"/>
    <cellStyle name="Migliaia 19 8 3 3" xfId="44043" xr:uid="{90B16E7F-8B3D-44FD-A9DA-A07529EE3986}"/>
    <cellStyle name="Migliaia 19 8 3 4" xfId="33330" xr:uid="{AE0E5C99-575E-4330-94D9-57E06691E2F2}"/>
    <cellStyle name="Migliaia 19 8 3 5" xfId="20031" xr:uid="{33A75AD8-3FDC-4AE4-A979-57E0DFB79786}"/>
    <cellStyle name="Migliaia 19 8 4" xfId="36237" xr:uid="{3B72A9A1-4B70-477E-B761-C8E770E1BD94}"/>
    <cellStyle name="Migliaia 19 8 5" xfId="41392" xr:uid="{C5AA8C2D-1954-4F0E-BC35-A436155AD194}"/>
    <cellStyle name="Migliaia 19 8 6" xfId="16169" xr:uid="{B7CACCDC-BF75-4E5F-9D0D-0F7D64E00304}"/>
    <cellStyle name="Migliaia 19 8 7" xfId="7859" xr:uid="{C2D395DD-64E1-4B4B-A554-04551546AA07}"/>
    <cellStyle name="Migliaia 19 9" xfId="4983" xr:uid="{5F3156E5-6723-4E6B-A76C-941F804F61BC}"/>
    <cellStyle name="Migliaia 19 9 2" xfId="33331" xr:uid="{94F1A84B-3C73-45E1-9BF6-0C9084279039}"/>
    <cellStyle name="Migliaia 19 9 2 2" xfId="38742" xr:uid="{76C9448F-71DE-4516-A5EE-947F75D72A95}"/>
    <cellStyle name="Migliaia 19 9 2 3" xfId="44044" xr:uid="{D5983B7A-812E-46F4-8294-3C61C35F8C2F}"/>
    <cellStyle name="Migliaia 19 9 3" xfId="36238" xr:uid="{FBC2D0F9-03F0-40D1-87C3-F5D7A85E7C5E}"/>
    <cellStyle name="Migliaia 19 9 4" xfId="41393" xr:uid="{91D85D67-B73C-4890-966B-CB95C0C1A0A0}"/>
    <cellStyle name="Migliaia 19 9 5" xfId="17155" xr:uid="{A6CA0B53-920C-430E-9463-C8AF544F5F93}"/>
    <cellStyle name="Migliaia 2" xfId="341" xr:uid="{00000000-0005-0000-0000-00001B030000}"/>
    <cellStyle name="Migliaia 2 10" xfId="4999" xr:uid="{1480CEB5-1E07-4C79-8572-8D3FB29E028C}"/>
    <cellStyle name="Migliaia 2 10 2" xfId="33333" xr:uid="{5259A681-EB37-401C-873D-850A99293890}"/>
    <cellStyle name="Migliaia 2 10 2 2" xfId="38744" xr:uid="{B2C27B2F-0A60-4668-842C-2379C9111A09}"/>
    <cellStyle name="Migliaia 2 10 2 3" xfId="44046" xr:uid="{FC82B226-C1B0-425A-9B5E-F0BFE9A7A96F}"/>
    <cellStyle name="Migliaia 2 10 3" xfId="36240" xr:uid="{54272243-0B1B-476B-9C1A-B3316468EAF6}"/>
    <cellStyle name="Migliaia 2 10 4" xfId="41395" xr:uid="{168F3A47-A8B8-445C-AD71-24863FDCCA63}"/>
    <cellStyle name="Migliaia 2 10 5" xfId="17157" xr:uid="{50AB3997-EF98-477D-B36E-B24E5C3BB31F}"/>
    <cellStyle name="Migliaia 2 11" xfId="6212" xr:uid="{E2A3FF69-2D76-49D2-860F-7E229160CB45}"/>
    <cellStyle name="Migliaia 2 11 2" xfId="38743" xr:uid="{F2624769-4AE4-42E5-92C7-F70B9C223DE4}"/>
    <cellStyle name="Migliaia 2 11 3" xfId="44045" xr:uid="{76F776ED-1B2E-46FC-9DED-4D10FB8881EE}"/>
    <cellStyle name="Migliaia 2 11 4" xfId="33332" xr:uid="{C64F5166-0B70-4F66-9D6D-FBB65B3DACB4}"/>
    <cellStyle name="Migliaia 2 11 5" xfId="20032" xr:uid="{776BF45B-35CF-4726-8F40-8787048BACC0}"/>
    <cellStyle name="Migliaia 2 12" xfId="3273" xr:uid="{D9B214DA-C113-486E-9C50-6BFF5CF73B48}"/>
    <cellStyle name="Migliaia 2 12 2" xfId="36239" xr:uid="{C20EB4FE-3AB6-4D92-8929-AD08C6C1ABD0}"/>
    <cellStyle name="Migliaia 2 13" xfId="41394" xr:uid="{A439D3C7-09EA-45FA-A41F-A3D5B3E6FFA4}"/>
    <cellStyle name="Migliaia 2 14" xfId="7074" xr:uid="{46C11791-1B9F-4CC3-9D79-5E38325D1470}"/>
    <cellStyle name="Migliaia 2 2" xfId="342" xr:uid="{00000000-0005-0000-0000-00001C030000}"/>
    <cellStyle name="Migliaia 2 2 2" xfId="343" xr:uid="{00000000-0005-0000-0000-00001D030000}"/>
    <cellStyle name="Migliaia 2 2 2 2" xfId="1708" xr:uid="{00000000-0005-0000-0000-00001E030000}"/>
    <cellStyle name="Migliaia 2 2 2 2 2" xfId="5002" xr:uid="{4151EF42-B990-4EA4-A64D-394F5CA3E2F9}"/>
    <cellStyle name="Migliaia 2 2 2 2 2 2" xfId="14373" xr:uid="{634B9219-E15F-43D6-ACCF-AD7CA4AE05A7}"/>
    <cellStyle name="Migliaia 2 2 2 2 2 2 2" xfId="40356" xr:uid="{400E14BC-391D-4DF8-A163-E0D04DADDEEE}"/>
    <cellStyle name="Migliaia 2 2 2 2 2 2 3" xfId="45658" xr:uid="{F4C9394C-0D96-492C-814B-261DC88D2D18}"/>
    <cellStyle name="Migliaia 2 2 2 2 2 3" xfId="18390" xr:uid="{5356D76D-C968-42B9-BD1F-A45DC1FC35F6}"/>
    <cellStyle name="Migliaia 2 2 2 2 2 3 2" xfId="21848" xr:uid="{6D2BF530-FECE-4CC1-A4B3-072E6A7EBC4E}"/>
    <cellStyle name="Migliaia 2 2 2 2 2 3 3" xfId="37705" xr:uid="{FB23BE44-55ED-4815-A489-246342FC59F0}"/>
    <cellStyle name="Migliaia 2 2 2 2 2 4" xfId="43007" xr:uid="{FDD52600-6612-4217-A03C-74B21C631537}"/>
    <cellStyle name="Migliaia 2 2 2 2 2 5" xfId="46299" xr:uid="{D175D9FE-E1CC-46C4-9706-1ABCBC946822}"/>
    <cellStyle name="Migliaia 2 2 2 2 2 6" xfId="50876" xr:uid="{21416358-302D-4CF7-BE7C-86C06E772A00}"/>
    <cellStyle name="Migliaia 2 2 2 2 2 7" xfId="53892" xr:uid="{0AC4011B-DED9-4D53-8984-1F822949AD6B}"/>
    <cellStyle name="Migliaia 2 2 2 2 2 8" xfId="11927" xr:uid="{E6B9DBA3-3B8E-4239-A384-69527A97D92A}"/>
    <cellStyle name="Migliaia 2 2 2 2 3" xfId="6215" xr:uid="{C9B664DE-3406-4329-AC2B-3BA5854A637C}"/>
    <cellStyle name="Migliaia 2 2 2 2 3 2" xfId="12321" xr:uid="{D2269481-46FE-4CE1-8758-2FEFB2B8BBB0}"/>
    <cellStyle name="Migliaia 2 2 2 2 4" xfId="3276" xr:uid="{27A40D0C-C092-4C67-89EA-E2BF5349A4E2}"/>
    <cellStyle name="Migliaia 2 2 2 2 4 2" xfId="21420" xr:uid="{CAB4D01A-4EFC-4AA0-A682-8C9D0E2C5476}"/>
    <cellStyle name="Migliaia 2 2 2 2 4 3" xfId="48032" xr:uid="{52FE6ECF-5F26-4AF9-86C1-37E5F8AB3296}"/>
    <cellStyle name="Migliaia 2 2 2 2 4 4" xfId="50435" xr:uid="{2DA0DB26-5C7C-48CC-BBD8-7294A0A3E612}"/>
    <cellStyle name="Migliaia 2 2 2 2 4 5" xfId="53451" xr:uid="{575757EE-20DF-4F56-BED4-911EDA53D38D}"/>
    <cellStyle name="Migliaia 2 2 2 2 4 6" xfId="10785" xr:uid="{39409F43-428D-4E1F-9770-2362BEB7FB0C}"/>
    <cellStyle name="Migliaia 2 2 2 2 5" xfId="20035" xr:uid="{BA3B9CAE-8CE1-4CBC-B02D-CE53B1917E1B}"/>
    <cellStyle name="Migliaia 2 2 2 2 6" xfId="24420" xr:uid="{6E81679C-07A5-4FC7-9F6D-55060E62D762}"/>
    <cellStyle name="Migliaia 2 2 2 2 7" xfId="48879" xr:uid="{C993A4CE-CBA9-4226-BA2D-992947409206}"/>
    <cellStyle name="Migliaia 2 2 2 2 8" xfId="49785" xr:uid="{B5E6BF6A-3DB6-4607-91E7-A0AC733D93F9}"/>
    <cellStyle name="Migliaia 2 2 2 2 9" xfId="8546" xr:uid="{039A1A85-E66D-4BC5-A634-215B12AAF005}"/>
    <cellStyle name="Migliaia 2 2 2 3" xfId="5001" xr:uid="{909FAF59-2F5D-45F8-B7F2-5DF77332F382}"/>
    <cellStyle name="Migliaia 2 2 2 3 2" xfId="13916" xr:uid="{327786BB-1CA0-4C4A-9B82-E0FC1E6E189D}"/>
    <cellStyle name="Migliaia 2 2 2 3 2 2" xfId="38746" xr:uid="{50268C34-3EB5-4512-980B-940FF5AFBFBC}"/>
    <cellStyle name="Migliaia 2 2 2 3 2 3" xfId="44048" xr:uid="{0B9B06C9-F0F9-4740-B439-C236B8576FEF}"/>
    <cellStyle name="Migliaia 2 2 2 3 3" xfId="18391" xr:uid="{6FE3F1AA-EC49-4C61-B1F8-B529794AAECF}"/>
    <cellStyle name="Migliaia 2 2 2 3 4" xfId="20036" xr:uid="{E1BA81FE-C021-4007-A482-26851C6B14CA}"/>
    <cellStyle name="Migliaia 2 2 2 3 4 2" xfId="41397" xr:uid="{ADB5545D-A72C-4251-8775-659AF11563E4}"/>
    <cellStyle name="Migliaia 2 2 2 3 5" xfId="16170" xr:uid="{0F95FBF8-F09D-43EE-92DA-55DEE89AE3F9}"/>
    <cellStyle name="Migliaia 2 2 2 3 6" xfId="7865" xr:uid="{9F4D753C-F63F-4DA7-B4CA-6F84F1A47087}"/>
    <cellStyle name="Migliaia 2 2 2 4" xfId="6214" xr:uid="{C8872AF5-4A70-4ABC-A8A7-72D0B07CCC90}"/>
    <cellStyle name="Migliaia 2 2 2 4 2" xfId="35198" xr:uid="{6D22EC10-B13B-415E-9154-6C2C6E725E6B}"/>
    <cellStyle name="Migliaia 2 2 2 4 2 2" xfId="40357" xr:uid="{43DCC28B-BA13-40E4-B125-3E13302E745D}"/>
    <cellStyle name="Migliaia 2 2 2 4 2 3" xfId="45659" xr:uid="{2CF09856-0E22-4455-83D7-1D75D30F75E3}"/>
    <cellStyle name="Migliaia 2 2 2 4 3" xfId="37706" xr:uid="{1B5C71F2-9770-4FD7-AEDC-EE8F2D0F7D76}"/>
    <cellStyle name="Migliaia 2 2 2 4 4" xfId="43008" xr:uid="{601265C3-7DE8-429F-9BD6-6D551EEB2162}"/>
    <cellStyle name="Migliaia 2 2 2 4 5" xfId="13424" xr:uid="{7386B26A-F341-4C69-8266-7FEB61228F3A}"/>
    <cellStyle name="Migliaia 2 2 2 5" xfId="3275" xr:uid="{1EB91DD0-EC1B-452B-8B94-3EB9A3794F69}"/>
    <cellStyle name="Migliaia 2 2 2 5 2" xfId="20034" xr:uid="{ADAF22FB-D013-4D46-936D-5B704C293AC5}"/>
    <cellStyle name="Migliaia 2 2 2 6" xfId="24419" xr:uid="{559A39E9-1294-4080-8CE9-B74883D48836}"/>
    <cellStyle name="Migliaia 2 2 2 7" xfId="7356" xr:uid="{B3ACA9F7-2734-4258-8725-2E75E48A5EDA}"/>
    <cellStyle name="Migliaia 2 2 3" xfId="1709" xr:uid="{00000000-0005-0000-0000-00001F030000}"/>
    <cellStyle name="Migliaia 2 2 3 2" xfId="5003" xr:uid="{01E80628-C824-494C-936A-0574AB80B482}"/>
    <cellStyle name="Migliaia 2 2 3 2 2" xfId="14212" xr:uid="{41D82864-9966-4DBF-8A9C-D8B4EE70FE68}"/>
    <cellStyle name="Migliaia 2 2 3 2 2 2" xfId="38747" xr:uid="{D6CF6732-0D3D-45F4-9E8D-D2A68BB437D9}"/>
    <cellStyle name="Migliaia 2 2 3 2 2 3" xfId="44049" xr:uid="{CDA0D9FB-DDA3-40C0-9E2F-6734FFDDB591}"/>
    <cellStyle name="Migliaia 2 2 3 2 3" xfId="18392" xr:uid="{A968516C-DC7B-47EF-962B-3963726D60B8}"/>
    <cellStyle name="Migliaia 2 2 3 2 3 2" xfId="21849" xr:uid="{DBDFB638-B052-4500-8372-9F7FD10B5021}"/>
    <cellStyle name="Migliaia 2 2 3 2 3 3" xfId="36242" xr:uid="{608A97D5-355D-43A1-8490-99067CB8C4F4}"/>
    <cellStyle name="Migliaia 2 2 3 2 4" xfId="41398" xr:uid="{A54566AB-2EB9-4093-B2AE-439CCCAA1B39}"/>
    <cellStyle name="Migliaia 2 2 3 2 5" xfId="34229" xr:uid="{43996A90-122E-4CF3-ADFC-919FC88D9C3C}"/>
    <cellStyle name="Migliaia 2 2 3 2 6" xfId="50877" xr:uid="{92F08A41-E251-495E-A371-D49505A5ACDC}"/>
    <cellStyle name="Migliaia 2 2 3 2 7" xfId="53893" xr:uid="{FDA94FBE-1235-4F94-B625-D969D85F1346}"/>
    <cellStyle name="Migliaia 2 2 3 2 8" xfId="11928" xr:uid="{C3939CA6-45C3-4CFD-AF33-841938793915}"/>
    <cellStyle name="Migliaia 2 2 3 3" xfId="6216" xr:uid="{E1BC3190-97DF-4C15-A597-B73A2D70083F}"/>
    <cellStyle name="Migliaia 2 2 3 3 2" xfId="12361" xr:uid="{1C5B7197-5FEB-463A-A363-CDB2D3DB1D79}"/>
    <cellStyle name="Migliaia 2 2 3 4" xfId="3277" xr:uid="{C7CBA413-010A-43CB-97D0-248DE553800E}"/>
    <cellStyle name="Migliaia 2 2 3 4 2" xfId="21421" xr:uid="{CFDD191F-A6C2-4A2E-873A-810FDA81F502}"/>
    <cellStyle name="Migliaia 2 2 3 4 3" xfId="32311" xr:uid="{8AA7EAC8-7A01-4494-A1F3-B28374884CBB}"/>
    <cellStyle name="Migliaia 2 2 3 4 4" xfId="50436" xr:uid="{F27E1E43-FC0D-4B8D-812A-F6C4D721ADB1}"/>
    <cellStyle name="Migliaia 2 2 3 4 5" xfId="53452" xr:uid="{5765B041-AA08-4C4B-8123-4719EE610DBC}"/>
    <cellStyle name="Migliaia 2 2 3 4 6" xfId="10786" xr:uid="{1D39699C-5029-425B-861D-033FAE8AF85F}"/>
    <cellStyle name="Migliaia 2 2 3 5" xfId="20037" xr:uid="{4518C99B-33B4-4BA0-B7AD-E9851CF1B4C4}"/>
    <cellStyle name="Migliaia 2 2 3 6" xfId="24421" xr:uid="{6DEAC35A-0284-439A-AD26-718FB366EF82}"/>
    <cellStyle name="Migliaia 2 2 3 7" xfId="8274" xr:uid="{6F9EBFAD-01BA-4C5A-AD2B-384788C66D3B}"/>
    <cellStyle name="Migliaia 2 2 4" xfId="3278" xr:uid="{3D5921FC-0AD1-48B0-A019-A9DA0E364A2A}"/>
    <cellStyle name="Migliaia 2 2 4 2" xfId="5004" xr:uid="{FDFB4F86-09F9-40DF-AA98-CFA4057DC610}"/>
    <cellStyle name="Migliaia 2 2 4 2 2" xfId="35199" xr:uid="{F9026A45-0502-4139-B406-91B84F8AAEDD}"/>
    <cellStyle name="Migliaia 2 2 4 2 2 2" xfId="40358" xr:uid="{FC015540-03A4-4CCA-8C05-A24ECDA8DE3A}"/>
    <cellStyle name="Migliaia 2 2 4 2 2 3" xfId="45660" xr:uid="{B3510D9A-36C7-4174-AC80-C6C69AD107F1}"/>
    <cellStyle name="Migliaia 2 2 4 2 3" xfId="37707" xr:uid="{AD8613F2-32B9-4882-844E-5A5AD52FABB4}"/>
    <cellStyle name="Migliaia 2 2 4 2 4" xfId="43009" xr:uid="{C0CAB8EC-EB94-4306-8367-C48CD69F51A5}"/>
    <cellStyle name="Migliaia 2 2 4 2 5" xfId="13915" xr:uid="{BDD5D86C-D37C-4DE0-A4AB-A569EDF16618}"/>
    <cellStyle name="Migliaia 2 2 4 3" xfId="6217" xr:uid="{21AFA343-1DC7-460D-A31D-639A802EBC7E}"/>
    <cellStyle name="Migliaia 2 2 4 3 2" xfId="38748" xr:uid="{6E9A2AFD-F220-4BFB-B036-4B2B8D4A0B8C}"/>
    <cellStyle name="Migliaia 2 2 4 3 3" xfId="44050" xr:uid="{79C7EB68-1384-4319-8349-51EE9FFA6351}"/>
    <cellStyle name="Migliaia 2 2 4 3 4" xfId="33335" xr:uid="{E7B13EB4-4E8F-4CF7-99E6-C79252946433}"/>
    <cellStyle name="Migliaia 2 2 4 3 5" xfId="20038" xr:uid="{A0677FDB-FBA4-40CB-843F-24AC4FA621F4}"/>
    <cellStyle name="Migliaia 2 2 4 4" xfId="36243" xr:uid="{389A1875-749B-4BFA-9C79-5D310B37F0D6}"/>
    <cellStyle name="Migliaia 2 2 4 5" xfId="41399" xr:uid="{BE606A08-AA59-4803-A4B7-411D48BBC2DC}"/>
    <cellStyle name="Migliaia 2 2 4 6" xfId="16171" xr:uid="{46942864-3D3A-4715-BA29-71D6206C761A}"/>
    <cellStyle name="Migliaia 2 2 4 7" xfId="7864" xr:uid="{22F5CFD2-C1C3-4551-9136-68009288CF83}"/>
    <cellStyle name="Migliaia 2 2 5" xfId="5000" xr:uid="{7FC49C26-C1A9-4FB4-B783-69D167268BA9}"/>
    <cellStyle name="Migliaia 2 2 5 2" xfId="33336" xr:uid="{21BD6EB9-BAE7-4F11-991A-FE6168510A53}"/>
    <cellStyle name="Migliaia 2 2 5 2 2" xfId="38749" xr:uid="{5EC8219C-DBA6-4828-862E-D2C2789588F0}"/>
    <cellStyle name="Migliaia 2 2 5 2 3" xfId="44051" xr:uid="{F1FB615B-6A86-4A4B-90F9-88CD4C1A1184}"/>
    <cellStyle name="Migliaia 2 2 5 3" xfId="36244" xr:uid="{00BF8782-5BFA-4773-8FA6-B05C34021889}"/>
    <cellStyle name="Migliaia 2 2 5 4" xfId="41400" xr:uid="{0F0498C4-104D-40DD-9883-365408396277}"/>
    <cellStyle name="Migliaia 2 2 5 5" xfId="13113" xr:uid="{82F527F3-5841-45D2-9650-F093E2B88549}"/>
    <cellStyle name="Migliaia 2 2 6" xfId="6213" xr:uid="{E99B7043-BBBD-4ED5-9F1B-376533687FEF}"/>
    <cellStyle name="Migliaia 2 2 6 2" xfId="38745" xr:uid="{E2907E9B-4BB7-464F-BA40-A828F4FEA6A5}"/>
    <cellStyle name="Migliaia 2 2 6 3" xfId="44047" xr:uid="{EEE55B37-A448-42B9-A9CC-1697A6D5BAA6}"/>
    <cellStyle name="Migliaia 2 2 6 4" xfId="33334" xr:uid="{DFBBCCF2-AD28-448F-A0B1-59B168C6F938}"/>
    <cellStyle name="Migliaia 2 2 6 5" xfId="20033" xr:uid="{F42B524A-6A34-4FFA-9C1B-83269BDE2F4E}"/>
    <cellStyle name="Migliaia 2 2 7" xfId="3274" xr:uid="{8E4D8616-416F-4F8B-84CE-4463CE69F919}"/>
    <cellStyle name="Migliaia 2 2 7 2" xfId="36241" xr:uid="{D55A64BB-4819-4E7D-9C18-35715BF895C9}"/>
    <cellStyle name="Migliaia 2 2 8" xfId="41396" xr:uid="{1DDC7795-A460-4415-9E58-AD3FABCB59DF}"/>
    <cellStyle name="Migliaia 2 2 9" xfId="7075" xr:uid="{F1337438-DC36-4938-87C2-0691AF7BEA35}"/>
    <cellStyle name="Migliaia 2 3" xfId="344" xr:uid="{00000000-0005-0000-0000-000020030000}"/>
    <cellStyle name="Migliaia 2 3 2" xfId="345" xr:uid="{00000000-0005-0000-0000-000021030000}"/>
    <cellStyle name="Migliaia 2 3 2 2" xfId="1710" xr:uid="{00000000-0005-0000-0000-000022030000}"/>
    <cellStyle name="Migliaia 2 3 2 2 2" xfId="5007" xr:uid="{23FD522D-2D1F-4361-8EEB-80C70AB7C9B6}"/>
    <cellStyle name="Migliaia 2 3 2 2 2 2" xfId="14374" xr:uid="{4EABF0AA-515B-471B-939E-AE0B2C457C3C}"/>
    <cellStyle name="Migliaia 2 3 2 2 2 2 2" xfId="40359" xr:uid="{33E81392-3E0D-40B5-A508-7330CB850B2D}"/>
    <cellStyle name="Migliaia 2 3 2 2 2 2 3" xfId="45661" xr:uid="{32FFE910-2DB4-4C8E-8C18-5EAE7415CD9A}"/>
    <cellStyle name="Migliaia 2 3 2 2 2 3" xfId="18393" xr:uid="{3E6A2B54-FE88-4C84-B6C2-778EA3DED3CD}"/>
    <cellStyle name="Migliaia 2 3 2 2 2 3 2" xfId="21850" xr:uid="{B346645F-2A1E-4BC0-81DE-003C3DCB447C}"/>
    <cellStyle name="Migliaia 2 3 2 2 2 3 3" xfId="37708" xr:uid="{41D79DE5-A80E-4724-A19E-C0253A1B2B42}"/>
    <cellStyle name="Migliaia 2 3 2 2 2 4" xfId="43010" xr:uid="{B4D968D3-455F-4608-83A6-8A1A503BF7B1}"/>
    <cellStyle name="Migliaia 2 3 2 2 2 5" xfId="48102" xr:uid="{761EA916-CECF-43E0-BE3C-6721CCAC798E}"/>
    <cellStyle name="Migliaia 2 3 2 2 2 6" xfId="50878" xr:uid="{D8F0360F-777A-4E29-8848-020F536B873B}"/>
    <cellStyle name="Migliaia 2 3 2 2 2 7" xfId="53894" xr:uid="{4C315017-F0BB-4862-87C7-BFF9F94DFF86}"/>
    <cellStyle name="Migliaia 2 3 2 2 2 8" xfId="11929" xr:uid="{9E7712A9-FC2D-4E58-A263-341A8E1EE7E5}"/>
    <cellStyle name="Migliaia 2 3 2 2 3" xfId="6220" xr:uid="{CFE0DA81-A6B2-4F4B-A137-CB592F01CAF8}"/>
    <cellStyle name="Migliaia 2 3 2 2 3 2" xfId="12320" xr:uid="{5C190C4E-EEAC-4502-9E69-6195C3652DBD}"/>
    <cellStyle name="Migliaia 2 3 2 2 4" xfId="3281" xr:uid="{46959D5D-19D9-46C3-AE7C-4377508B6F29}"/>
    <cellStyle name="Migliaia 2 3 2 2 4 2" xfId="21422" xr:uid="{AD6F2EA0-DFC2-4F0F-8F95-C6837B5C90FD}"/>
    <cellStyle name="Migliaia 2 3 2 2 4 3" xfId="48237" xr:uid="{BB82D588-6CE2-4C7E-B042-183595EA261A}"/>
    <cellStyle name="Migliaia 2 3 2 2 4 4" xfId="50437" xr:uid="{AA10A300-0AB9-4C7E-B996-A1426F9F6DF7}"/>
    <cellStyle name="Migliaia 2 3 2 2 4 5" xfId="53453" xr:uid="{9A961663-4E68-4C78-ACD2-B50942CBB37B}"/>
    <cellStyle name="Migliaia 2 3 2 2 4 6" xfId="10787" xr:uid="{E9D074DC-21EC-4D6B-9909-44401B1EC832}"/>
    <cellStyle name="Migliaia 2 3 2 2 5" xfId="20041" xr:uid="{277D31A5-A4B2-4BAA-831A-C0C1E97EC72A}"/>
    <cellStyle name="Migliaia 2 3 2 2 6" xfId="24423" xr:uid="{E3DE3A4B-55D9-40E2-BD61-02071F0C15CA}"/>
    <cellStyle name="Migliaia 2 3 2 2 7" xfId="48880" xr:uid="{1531DA26-93F0-4266-B1D7-2FD07232DD72}"/>
    <cellStyle name="Migliaia 2 3 2 2 8" xfId="49786" xr:uid="{0AE33CBE-35F5-4055-B27D-362582745849}"/>
    <cellStyle name="Migliaia 2 3 2 2 9" xfId="8547" xr:uid="{C7321832-4C68-4527-9E8F-3EE59151B027}"/>
    <cellStyle name="Migliaia 2 3 2 3" xfId="5006" xr:uid="{90607764-0333-47FE-8ADD-08043CADD077}"/>
    <cellStyle name="Migliaia 2 3 2 3 2" xfId="13918" xr:uid="{87B6CF00-5BFD-487E-94B9-CF62605EA4EB}"/>
    <cellStyle name="Migliaia 2 3 2 3 2 2" xfId="38751" xr:uid="{9D8865E1-60CA-489D-AE63-CEFBC2C03D50}"/>
    <cellStyle name="Migliaia 2 3 2 3 2 3" xfId="44053" xr:uid="{F7E3E1E4-32C2-4238-8DEA-BC2DF2AF00E2}"/>
    <cellStyle name="Migliaia 2 3 2 3 3" xfId="18394" xr:uid="{F3935CFD-B2E7-4D7A-9659-ED164322E0BA}"/>
    <cellStyle name="Migliaia 2 3 2 3 4" xfId="20042" xr:uid="{1C9A0EF9-7EB5-4710-A37B-E02A1C08727D}"/>
    <cellStyle name="Migliaia 2 3 2 3 4 2" xfId="41402" xr:uid="{2235B3F9-EE6C-4616-BE3B-AFD2A1A12726}"/>
    <cellStyle name="Migliaia 2 3 2 3 5" xfId="16172" xr:uid="{0CF55406-B8AC-461F-9F9D-7FB0EDA80A59}"/>
    <cellStyle name="Migliaia 2 3 2 3 6" xfId="7867" xr:uid="{72E1BF35-0858-4F5E-90AE-6F6EB73AE265}"/>
    <cellStyle name="Migliaia 2 3 2 4" xfId="6219" xr:uid="{39D79570-887C-4031-BE1A-84DF0F37F61B}"/>
    <cellStyle name="Migliaia 2 3 2 4 2" xfId="35200" xr:uid="{87E1C5F8-7EA9-40E2-BA42-59999D3091EC}"/>
    <cellStyle name="Migliaia 2 3 2 4 2 2" xfId="40360" xr:uid="{4CBAC95D-F3C4-4101-AD14-512479F22E7B}"/>
    <cellStyle name="Migliaia 2 3 2 4 2 3" xfId="45662" xr:uid="{ACE6B89A-A956-4C1E-AB11-AC7685A84EF0}"/>
    <cellStyle name="Migliaia 2 3 2 4 3" xfId="37709" xr:uid="{47F7759C-2F54-4FB7-8EEF-C424D2D1DB41}"/>
    <cellStyle name="Migliaia 2 3 2 4 4" xfId="43011" xr:uid="{732AE90D-36F6-4D4C-BE24-416C50D238EC}"/>
    <cellStyle name="Migliaia 2 3 2 4 5" xfId="13425" xr:uid="{627494CC-6B9E-4EFC-ABC2-24D1E1F9ED66}"/>
    <cellStyle name="Migliaia 2 3 2 5" xfId="3280" xr:uid="{D21DD2B8-0CC5-449D-A615-A2CEA3998AE9}"/>
    <cellStyle name="Migliaia 2 3 2 5 2" xfId="20040" xr:uid="{1F3342D6-695B-42C8-9E71-09C5531E02F4}"/>
    <cellStyle name="Migliaia 2 3 2 6" xfId="24422" xr:uid="{61956F49-E230-4AA6-9051-8F1399F89A5D}"/>
    <cellStyle name="Migliaia 2 3 2 7" xfId="7357" xr:uid="{B9162646-3E61-45D4-A31B-AE16D1A3BAD2}"/>
    <cellStyle name="Migliaia 2 3 3" xfId="1711" xr:uid="{00000000-0005-0000-0000-000023030000}"/>
    <cellStyle name="Migliaia 2 3 3 2" xfId="5008" xr:uid="{32E7F843-F741-464B-92D9-9D98A020FAD1}"/>
    <cellStyle name="Migliaia 2 3 3 2 2" xfId="14213" xr:uid="{64E764AA-A75A-4073-BDCF-C52135B0E42E}"/>
    <cellStyle name="Migliaia 2 3 3 2 2 2" xfId="38752" xr:uid="{E9C22E07-0751-4BEA-9BE9-E51425F5AF46}"/>
    <cellStyle name="Migliaia 2 3 3 2 2 3" xfId="44054" xr:uid="{422F67EA-3F9E-4827-BF05-5BA70CF6DD43}"/>
    <cellStyle name="Migliaia 2 3 3 2 3" xfId="18395" xr:uid="{28A6C0A4-0EC3-44D3-920D-E8C0264E3ABF}"/>
    <cellStyle name="Migliaia 2 3 3 2 3 2" xfId="21851" xr:uid="{F3022CC2-6970-43E5-A284-B3EE0086B3FE}"/>
    <cellStyle name="Migliaia 2 3 3 2 3 3" xfId="36246" xr:uid="{04F2884F-EAD8-472C-82D2-262BB4131988}"/>
    <cellStyle name="Migliaia 2 3 3 2 4" xfId="41403" xr:uid="{4B3ADBF8-3923-43DE-9CC4-6308A376AFFF}"/>
    <cellStyle name="Migliaia 2 3 3 2 5" xfId="46745" xr:uid="{98604482-C3E5-4176-9064-748C0BA4B85C}"/>
    <cellStyle name="Migliaia 2 3 3 2 6" xfId="50879" xr:uid="{04E790E9-EEC2-4B17-96D8-A5C934669C1C}"/>
    <cellStyle name="Migliaia 2 3 3 2 7" xfId="53895" xr:uid="{90C9F93C-5E82-4A33-B797-1D7C5D93DB85}"/>
    <cellStyle name="Migliaia 2 3 3 2 8" xfId="11930" xr:uid="{5ECF33B0-32F0-47E3-A5B3-5C8934352680}"/>
    <cellStyle name="Migliaia 2 3 3 3" xfId="6221" xr:uid="{CBED6DD8-C44F-4484-ADDF-27053AA8F4D9}"/>
    <cellStyle name="Migliaia 2 3 3 3 2" xfId="12206" xr:uid="{16EA82D8-46BC-4F56-9FC0-C916745E8CA9}"/>
    <cellStyle name="Migliaia 2 3 3 4" xfId="3282" xr:uid="{58CB81B8-7558-4515-99EF-269EE35CBD77}"/>
    <cellStyle name="Migliaia 2 3 3 4 2" xfId="21423" xr:uid="{53E77737-E01E-462E-A80F-BA851369D4F3}"/>
    <cellStyle name="Migliaia 2 3 3 4 3" xfId="46220" xr:uid="{8838C759-18F3-4F48-9014-74B7145CB6CE}"/>
    <cellStyle name="Migliaia 2 3 3 4 4" xfId="50438" xr:uid="{7BBA7246-AF7F-4160-A81E-919BB565683D}"/>
    <cellStyle name="Migliaia 2 3 3 4 5" xfId="53454" xr:uid="{21B9C977-9381-445F-8A49-8418F76AD605}"/>
    <cellStyle name="Migliaia 2 3 3 4 6" xfId="10788" xr:uid="{BD1AEBAB-84B7-4AC8-9CCD-45111CD1FD79}"/>
    <cellStyle name="Migliaia 2 3 3 5" xfId="20043" xr:uid="{3A6EF7C2-0D95-4E5F-A477-92C234960B75}"/>
    <cellStyle name="Migliaia 2 3 3 6" xfId="24424" xr:uid="{D66C38E9-1D24-4C1A-B81A-F8CA6DCFFDB7}"/>
    <cellStyle name="Migliaia 2 3 3 7" xfId="8275" xr:uid="{4E154A4D-0F88-4961-9BFA-BBE13C6757DE}"/>
    <cellStyle name="Migliaia 2 3 4" xfId="3283" xr:uid="{1046049D-0618-453C-8721-E7E3AFA1BBC5}"/>
    <cellStyle name="Migliaia 2 3 4 2" xfId="5009" xr:uid="{B06C11EE-4197-421B-B65A-F2F6E68134C9}"/>
    <cellStyle name="Migliaia 2 3 4 2 2" xfId="35201" xr:uid="{62537689-733E-407C-9977-DDB19CD25A23}"/>
    <cellStyle name="Migliaia 2 3 4 2 2 2" xfId="40361" xr:uid="{7816C2CA-1DE9-4C3D-ABFD-14C7800EF0C1}"/>
    <cellStyle name="Migliaia 2 3 4 2 2 3" xfId="45663" xr:uid="{6F0848A5-8F3C-4C71-921F-C6B3A8D6E8DA}"/>
    <cellStyle name="Migliaia 2 3 4 2 3" xfId="37710" xr:uid="{7C5FC91A-63FB-4E68-A103-E61DB032C598}"/>
    <cellStyle name="Migliaia 2 3 4 2 4" xfId="43012" xr:uid="{6BDCBD88-0A95-49F5-853F-33C53A10D233}"/>
    <cellStyle name="Migliaia 2 3 4 2 5" xfId="13917" xr:uid="{8D38F847-41E6-4001-B0E1-13C57F20BA7B}"/>
    <cellStyle name="Migliaia 2 3 4 3" xfId="6222" xr:uid="{4E13B1AE-3BFC-4C3C-8CC9-9AC679DF91EF}"/>
    <cellStyle name="Migliaia 2 3 4 3 2" xfId="38753" xr:uid="{DDC512B7-7612-4D0B-AA06-A6C5203A952E}"/>
    <cellStyle name="Migliaia 2 3 4 3 3" xfId="44055" xr:uid="{B8CAB0BE-2679-4C77-AC6E-6E229EF06A79}"/>
    <cellStyle name="Migliaia 2 3 4 3 4" xfId="33338" xr:uid="{11F52A5A-028F-49DB-9B58-DC3104695454}"/>
    <cellStyle name="Migliaia 2 3 4 3 5" xfId="20044" xr:uid="{63E31A92-4655-4715-96AA-61AACD8C62F1}"/>
    <cellStyle name="Migliaia 2 3 4 4" xfId="36247" xr:uid="{E7160A3A-081E-4C3A-A07F-AEBE477418C6}"/>
    <cellStyle name="Migliaia 2 3 4 5" xfId="41404" xr:uid="{B5089F96-9C2E-42CE-9D58-D311BB477DE0}"/>
    <cellStyle name="Migliaia 2 3 4 6" xfId="16173" xr:uid="{CBF2C6C3-DEF0-48CE-8CFA-A88577EB0CD7}"/>
    <cellStyle name="Migliaia 2 3 4 7" xfId="7866" xr:uid="{5A496B8A-7265-4F59-A8EC-9059852C57C3}"/>
    <cellStyle name="Migliaia 2 3 5" xfId="5005" xr:uid="{FE31A036-F8A8-4D03-A7EB-D665C8849A76}"/>
    <cellStyle name="Migliaia 2 3 5 2" xfId="33339" xr:uid="{C8BF8B99-CF52-4885-8EDF-48E72B2BA22C}"/>
    <cellStyle name="Migliaia 2 3 5 2 2" xfId="38754" xr:uid="{56BDE571-79C8-4EF8-BFFB-EBDACF366AF8}"/>
    <cellStyle name="Migliaia 2 3 5 2 3" xfId="44056" xr:uid="{E14F59FC-74AF-4CDA-9552-619F723ABCD0}"/>
    <cellStyle name="Migliaia 2 3 5 3" xfId="36248" xr:uid="{DF419E1B-AD3C-4989-A3F9-ACAD12B0F689}"/>
    <cellStyle name="Migliaia 2 3 5 4" xfId="41405" xr:uid="{610F5657-492E-45B4-866A-AA41000A013A}"/>
    <cellStyle name="Migliaia 2 3 5 5" xfId="13114" xr:uid="{313DDAC7-B3DE-44F2-8A28-EEC98135726C}"/>
    <cellStyle name="Migliaia 2 3 6" xfId="6218" xr:uid="{F415DDD9-26DC-4E6A-8F43-27B2BA59D7A2}"/>
    <cellStyle name="Migliaia 2 3 6 2" xfId="38750" xr:uid="{0BDCBA4D-4E6D-49BF-9E74-8B8956C8BD88}"/>
    <cellStyle name="Migliaia 2 3 6 3" xfId="44052" xr:uid="{2B4B1203-743F-4607-A2CE-DFE403C01910}"/>
    <cellStyle name="Migliaia 2 3 6 4" xfId="33337" xr:uid="{3F74DDFA-21E4-47C9-846C-435EFC61B321}"/>
    <cellStyle name="Migliaia 2 3 6 5" xfId="20039" xr:uid="{29398D2B-297E-4E7C-B410-0C8D9398C4DE}"/>
    <cellStyle name="Migliaia 2 3 7" xfId="3279" xr:uid="{6A53BADA-415B-42DD-91A8-5A6BAE9B0D2D}"/>
    <cellStyle name="Migliaia 2 3 7 2" xfId="36245" xr:uid="{7EFEF9FD-EA3C-40F6-A85C-65536C3ABBE2}"/>
    <cellStyle name="Migliaia 2 3 8" xfId="41401" xr:uid="{41B3BC09-7B01-4B76-8204-F941FBD3A4A2}"/>
    <cellStyle name="Migliaia 2 3 9" xfId="7076" xr:uid="{C4A315EF-6789-435A-83FD-63EEF8883597}"/>
    <cellStyle name="Migliaia 2 4" xfId="346" xr:uid="{00000000-0005-0000-0000-000024030000}"/>
    <cellStyle name="Migliaia 2 4 10" xfId="24425" xr:uid="{94909370-37FC-4EF1-BB1F-4B3BC62776BE}"/>
    <cellStyle name="Migliaia 2 4 11" xfId="16174" xr:uid="{27E50699-F19E-4808-BB93-F802378E38C2}"/>
    <cellStyle name="Migliaia 2 4 12" xfId="7077" xr:uid="{A0F4F46B-0797-436D-91F5-F18AE1855D21}"/>
    <cellStyle name="Migliaia 2 4 2" xfId="347" xr:uid="{00000000-0005-0000-0000-000025030000}"/>
    <cellStyle name="Migliaia 2 4 2 2" xfId="1712" xr:uid="{00000000-0005-0000-0000-000026030000}"/>
    <cellStyle name="Migliaia 2 4 2 2 2" xfId="5012" xr:uid="{E8E4F5F2-E2AB-42E8-A528-C5B8C0F01698}"/>
    <cellStyle name="Migliaia 2 4 2 2 2 2" xfId="18396" xr:uid="{3887D09A-46CA-4159-B5FF-3D5B4AC5233A}"/>
    <cellStyle name="Migliaia 2 4 2 2 2 2 2" xfId="21852" xr:uid="{9A5FCCF4-A082-49CB-8C4F-E0D38363DAAA}"/>
    <cellStyle name="Migliaia 2 4 2 2 2 2 2 2" xfId="38755" xr:uid="{992AECA4-EF4D-4ABB-88EB-946585A1FF8A}"/>
    <cellStyle name="Migliaia 2 4 2 2 2 2 3" xfId="44057" xr:uid="{B4ECD0EB-AB7B-4BE0-AB14-DB46F84C44B0}"/>
    <cellStyle name="Migliaia 2 4 2 2 2 2 4" xfId="33340" xr:uid="{861887CA-5ECD-40F0-94C1-615ED97865DE}"/>
    <cellStyle name="Migliaia 2 4 2 2 2 3" xfId="36249" xr:uid="{E8FA4111-974B-4C23-99EB-B3771CDB4516}"/>
    <cellStyle name="Migliaia 2 4 2 2 2 4" xfId="41406" xr:uid="{B65AE30D-F993-470C-97DD-0B49653A3F6B}"/>
    <cellStyle name="Migliaia 2 4 2 2 2 5" xfId="32369" xr:uid="{033097A5-1487-449B-8901-1BB1B682E379}"/>
    <cellStyle name="Migliaia 2 4 2 2 2 6" xfId="50880" xr:uid="{3B63C355-E090-4EE2-8C58-F644CAA4D6B5}"/>
    <cellStyle name="Migliaia 2 4 2 2 2 7" xfId="53896" xr:uid="{C151AE7F-ABBC-414A-AF2B-34935448F595}"/>
    <cellStyle name="Migliaia 2 4 2 2 2 8" xfId="17649" xr:uid="{F5D8B2FF-8BA3-45BF-A6EF-A1B01305E346}"/>
    <cellStyle name="Migliaia 2 4 2 2 2 9" xfId="11931" xr:uid="{C81C21F8-8B94-4ACD-B0BF-7E64941094DA}"/>
    <cellStyle name="Migliaia 2 4 2 2 3" xfId="6225" xr:uid="{32AAB6BA-F6BD-4F97-88BD-E82E2FE18686}"/>
    <cellStyle name="Migliaia 2 4 2 2 3 2" xfId="11135" xr:uid="{E7B8923D-5FD3-4245-B82E-BAB032A938BE}"/>
    <cellStyle name="Migliaia 2 4 2 2 4" xfId="3286" xr:uid="{93EBDA48-AC11-4098-A9DE-A4321B82135D}"/>
    <cellStyle name="Migliaia 2 4 2 2 4 2" xfId="21424" xr:uid="{22E08E11-3A2F-4E6C-A135-872E163714C5}"/>
    <cellStyle name="Migliaia 2 4 2 2 4 3" xfId="48173" xr:uid="{B311725B-E0A8-4478-887E-41C82A872CB0}"/>
    <cellStyle name="Migliaia 2 4 2 2 4 4" xfId="50439" xr:uid="{773C6CDB-6A54-4F57-BD27-CCE65CD3451C}"/>
    <cellStyle name="Migliaia 2 4 2 2 4 5" xfId="53455" xr:uid="{6B36D3D4-FDA0-407C-B26D-BE7F20D49047}"/>
    <cellStyle name="Migliaia 2 4 2 2 4 6" xfId="10789" xr:uid="{DEFC1065-1017-4544-9D44-0E1CB54EC221}"/>
    <cellStyle name="Migliaia 2 4 2 2 5" xfId="20047" xr:uid="{3FA2CD42-4E42-4DEB-8CDA-4F94BC29A48C}"/>
    <cellStyle name="Migliaia 2 4 2 2 6" xfId="24427" xr:uid="{F7B10CC9-4B8D-4D35-92F5-88CFD862F6F8}"/>
    <cellStyle name="Migliaia 2 4 2 2 7" xfId="8549" xr:uid="{67F136E0-79D8-47F5-9E7D-CF8B0A5CBFDF}"/>
    <cellStyle name="Migliaia 2 4 2 3" xfId="5011" xr:uid="{EFB12892-107F-4990-BE20-6C86ABA3CE33}"/>
    <cellStyle name="Migliaia 2 4 2 3 2" xfId="11656" xr:uid="{F8F18FBA-5E87-46B2-92C2-C130BB255D50}"/>
    <cellStyle name="Migliaia 2 4 2 3 2 2" xfId="38756" xr:uid="{D4C8504A-E16C-47C7-AF25-7B9E5205838D}"/>
    <cellStyle name="Migliaia 2 4 2 3 2 3" xfId="44058" xr:uid="{2F59D9A1-E42E-45EB-A1F5-60409F80C7FE}"/>
    <cellStyle name="Migliaia 2 4 2 3 2 4" xfId="33341" xr:uid="{8ACF2B1C-467C-4785-8718-83BC02487F48}"/>
    <cellStyle name="Migliaia 2 4 2 3 3" xfId="11932" xr:uid="{436C3C78-9C83-4408-AF68-1C9C99C1D1CB}"/>
    <cellStyle name="Migliaia 2 4 2 3 4" xfId="20048" xr:uid="{8B1260B5-EECA-4538-B49F-E6BA5B1A1DA0}"/>
    <cellStyle name="Migliaia 2 4 2 3 4 2" xfId="41407" xr:uid="{C7CF1141-1858-4DF7-BF8F-EBCC044AFFD6}"/>
    <cellStyle name="Migliaia 2 4 2 3 5" xfId="16175" xr:uid="{5AA603F1-C11D-42CD-849B-17EE80C16677}"/>
    <cellStyle name="Migliaia 2 4 2 3 6" xfId="7869" xr:uid="{3FFA4FFF-91C6-4CE2-BBFF-41642650A566}"/>
    <cellStyle name="Migliaia 2 4 2 4" xfId="6224" xr:uid="{346D6FCC-A8B2-4A45-8C76-ABCB6081163D}"/>
    <cellStyle name="Migliaia 2 4 2 4 2" xfId="18068" xr:uid="{BCEBEC2F-EF0A-47B2-8784-72FA0E746B75}"/>
    <cellStyle name="Migliaia 2 4 2 4 2 2" xfId="38757" xr:uid="{9D634947-2E62-4682-9892-9B33FC491852}"/>
    <cellStyle name="Migliaia 2 4 2 4 2 3" xfId="44059" xr:uid="{AF23BEF5-FFC7-4F2A-AF0A-805B02D3874E}"/>
    <cellStyle name="Migliaia 2 4 2 4 3" xfId="36250" xr:uid="{5AEE5AEA-0E91-4482-A819-D416562EBA8B}"/>
    <cellStyle name="Migliaia 2 4 2 4 4" xfId="41408" xr:uid="{23967B0A-0EED-496B-B242-E2953D463882}"/>
    <cellStyle name="Migliaia 2 4 2 4 5" xfId="17158" xr:uid="{7235D10B-EB52-4446-94DF-B998AC2E2359}"/>
    <cellStyle name="Migliaia 2 4 2 4 6" xfId="11280" xr:uid="{C7A99DA0-44F2-49C8-85F2-781A3FF72582}"/>
    <cellStyle name="Migliaia 2 4 2 5" xfId="3285" xr:uid="{D4B547F0-ED5F-46EE-A72A-C6C01C6C62E7}"/>
    <cellStyle name="Migliaia 2 4 2 5 2" xfId="33342" xr:uid="{F639744C-3CA3-49A7-9707-A30F11550FC5}"/>
    <cellStyle name="Migliaia 2 4 2 5 2 2" xfId="38758" xr:uid="{DF01655E-8E80-40F5-A421-0191FE21F5B8}"/>
    <cellStyle name="Migliaia 2 4 2 5 2 3" xfId="44060" xr:uid="{0FF647B3-1478-43F2-89C2-DDF65017606F}"/>
    <cellStyle name="Migliaia 2 4 2 5 3" xfId="36251" xr:uid="{D42C274C-9DFB-4EAA-8FCF-9A7950CF2208}"/>
    <cellStyle name="Migliaia 2 4 2 5 4" xfId="41409" xr:uid="{01B45585-2ED5-4505-A35C-F8C63AA6D3AA}"/>
    <cellStyle name="Migliaia 2 4 2 5 5" xfId="17393" xr:uid="{99B6405E-8577-46BF-9DCE-69AD5BFC6753}"/>
    <cellStyle name="Migliaia 2 4 2 6" xfId="20046" xr:uid="{382BE7FF-80E1-4669-976E-12FEE110776D}"/>
    <cellStyle name="Migliaia 2 4 2 6 2" xfId="33343" xr:uid="{79BA1B1A-FF34-4C55-B3E8-F59DFB3CC183}"/>
    <cellStyle name="Migliaia 2 4 2 6 2 2" xfId="38759" xr:uid="{49EE6B11-F658-4A81-A002-5B1FD76629E4}"/>
    <cellStyle name="Migliaia 2 4 2 6 2 3" xfId="44061" xr:uid="{076A9673-A5F0-4116-8E99-021A20E4C246}"/>
    <cellStyle name="Migliaia 2 4 2 6 3" xfId="36252" xr:uid="{F6A0F061-82B8-4218-AD85-AB4BFC72493B}"/>
    <cellStyle name="Migliaia 2 4 2 6 4" xfId="41410" xr:uid="{8B7655C1-2F8D-4597-BE3E-367A45A2570B}"/>
    <cellStyle name="Migliaia 2 4 2 6 5" xfId="24428" xr:uid="{C4820288-4F45-4886-86D9-2E706AC1B7EB}"/>
    <cellStyle name="Migliaia 2 4 2 7" xfId="24426" xr:uid="{88A9C379-64F3-455A-A07F-CF9274E5AFF5}"/>
    <cellStyle name="Migliaia 2 4 2 8" xfId="7359" xr:uid="{612D6CC2-A562-4C53-8B73-4441D76CEAC4}"/>
    <cellStyle name="Migliaia 2 4 3" xfId="3287" xr:uid="{6773787C-506C-4F7A-B3F4-FC25C2A3FD3D}"/>
    <cellStyle name="Migliaia 2 4 3 10" xfId="7358" xr:uid="{33311101-B47F-4D14-8BE9-8654DDFABB91}"/>
    <cellStyle name="Migliaia 2 4 3 2" xfId="5013" xr:uid="{A7C3AE6B-5FE9-4093-BB37-ABF4D206E5DD}"/>
    <cellStyle name="Migliaia 2 4 3 2 2" xfId="9904" xr:uid="{7E724A2F-7358-4297-9D72-983DA515017E}"/>
    <cellStyle name="Migliaia 2 4 3 2 2 2" xfId="38761" xr:uid="{B40B8A87-B4BC-41AE-96E5-5C466E4D8CD4}"/>
    <cellStyle name="Migliaia 2 4 3 2 2 3" xfId="44063" xr:uid="{0ED910AF-3FD3-4064-82D7-429284062633}"/>
    <cellStyle name="Migliaia 2 4 3 2 3" xfId="18184" xr:uid="{AF719FB3-17AF-48DD-8F14-F23D3DF8E195}"/>
    <cellStyle name="Migliaia 2 4 3 2 4" xfId="20050" xr:uid="{529C2AD4-6323-46CF-8D41-B3812FF1D0B5}"/>
    <cellStyle name="Migliaia 2 4 3 2 4 2" xfId="41412" xr:uid="{DEDA3555-3706-4C93-88BC-E68146B878C8}"/>
    <cellStyle name="Migliaia 2 4 3 2 5" xfId="16177" xr:uid="{F484160D-299A-4BB3-9B04-1D668D93A0AE}"/>
    <cellStyle name="Migliaia 2 4 3 2 6" xfId="8548" xr:uid="{8B3BE295-ACF6-40FD-AA2A-4F401E980870}"/>
    <cellStyle name="Migliaia 2 4 3 3" xfId="6226" xr:uid="{B93834EA-3B72-4FB4-B87D-7E85C51B412B}"/>
    <cellStyle name="Migliaia 2 4 3 3 2" xfId="33346" xr:uid="{5221B6C7-411D-4011-8F1A-D3D91C41B0F5}"/>
    <cellStyle name="Migliaia 2 4 3 3 2 2" xfId="38762" xr:uid="{C54E360C-47A1-46A3-A461-8E225EE7D3B4}"/>
    <cellStyle name="Migliaia 2 4 3 3 2 3" xfId="44064" xr:uid="{66608664-8596-4F64-A212-2CA47352DF68}"/>
    <cellStyle name="Migliaia 2 4 3 3 3" xfId="36255" xr:uid="{9EDF88B3-F947-438F-A8E4-C3F8B67C2884}"/>
    <cellStyle name="Migliaia 2 4 3 3 4" xfId="41413" xr:uid="{FB1A2B40-EA7C-4FE0-AAB0-22E8C3936B9F}"/>
    <cellStyle name="Migliaia 2 4 3 3 5" xfId="9667" xr:uid="{65CE8DA6-61AD-44E4-B4D8-DF4B7E1ACE4E}"/>
    <cellStyle name="Migliaia 2 4 3 4" xfId="20049" xr:uid="{A552C4D9-95A7-41FB-86AF-FB46CDB003E3}"/>
    <cellStyle name="Migliaia 2 4 3 4 2" xfId="33347" xr:uid="{1D97894A-302F-4670-B098-4AD749B01A62}"/>
    <cellStyle name="Migliaia 2 4 3 4 2 2" xfId="38763" xr:uid="{CA24E057-3D4B-429D-86B8-8AB924354887}"/>
    <cellStyle name="Migliaia 2 4 3 4 2 3" xfId="44065" xr:uid="{67201CC9-23D9-4BD3-A085-F62037275CDA}"/>
    <cellStyle name="Migliaia 2 4 3 4 3" xfId="36256" xr:uid="{4017E7A9-ED21-4D29-ADE0-07F5A40703B1}"/>
    <cellStyle name="Migliaia 2 4 3 4 4" xfId="41414" xr:uid="{2016016F-51B5-46E2-ADA6-D012E84CAB54}"/>
    <cellStyle name="Migliaia 2 4 3 4 5" xfId="24431" xr:uid="{FDA70345-49FC-49EC-9336-C6B661EB29FC}"/>
    <cellStyle name="Migliaia 2 4 3 5" xfId="24432" xr:uid="{46EAECE5-CF4A-480B-BF57-DC832A50573F}"/>
    <cellStyle name="Migliaia 2 4 3 5 2" xfId="33348" xr:uid="{6BBAF128-D852-48F7-ABBD-AF0BDB5BDC3A}"/>
    <cellStyle name="Migliaia 2 4 3 5 2 2" xfId="38764" xr:uid="{40E32D22-3E08-4B8D-B832-777C15E61ACD}"/>
    <cellStyle name="Migliaia 2 4 3 5 2 3" xfId="44066" xr:uid="{FC9DAF4C-3A2E-4D2E-8C60-C99A0539397C}"/>
    <cellStyle name="Migliaia 2 4 3 5 3" xfId="36257" xr:uid="{53AADF98-7F07-4257-8DE1-D2AF4A2F90EF}"/>
    <cellStyle name="Migliaia 2 4 3 5 4" xfId="41415" xr:uid="{45F795BD-1C5C-4B8A-90A5-6329C2ABA1D6}"/>
    <cellStyle name="Migliaia 2 4 3 6" xfId="33344" xr:uid="{7FBA321B-8B62-447C-A810-4C93F21CD62F}"/>
    <cellStyle name="Migliaia 2 4 3 6 2" xfId="38760" xr:uid="{E87B10FF-0BAB-46FC-9B15-162A9F377FA8}"/>
    <cellStyle name="Migliaia 2 4 3 6 3" xfId="44062" xr:uid="{8742B7FB-AF23-4ED0-9F8A-CDC8B808CD11}"/>
    <cellStyle name="Migliaia 2 4 3 7" xfId="36253" xr:uid="{EDAB03F0-5CFA-43B7-94AA-EDD7CC57E81C}"/>
    <cellStyle name="Migliaia 2 4 3 8" xfId="41411" xr:uid="{00103DEA-A384-42F5-9FBA-D12136C22335}"/>
    <cellStyle name="Migliaia 2 4 3 9" xfId="16176" xr:uid="{7C4BEDAC-EB2D-4C81-ABCD-7B42F63B23B8}"/>
    <cellStyle name="Migliaia 2 4 4" xfId="3288" xr:uid="{D2F8B913-FBFB-4260-BAE9-4FBC8FEF9287}"/>
    <cellStyle name="Migliaia 2 4 4 2" xfId="5014" xr:uid="{B1876A30-D678-4F59-96E5-F988C599CC7C}"/>
    <cellStyle name="Migliaia 2 4 4 2 2" xfId="14434" xr:uid="{B4BD31E3-0000-4C9A-80E1-75EEA80D129F}"/>
    <cellStyle name="Migliaia 2 4 4 2 3" xfId="18589" xr:uid="{9078020F-B7E1-4A23-A602-66FF5573E8CA}"/>
    <cellStyle name="Migliaia 2 4 4 2 4" xfId="20052" xr:uid="{74FC741A-3919-4D57-B9A6-C045A60D95E8}"/>
    <cellStyle name="Migliaia 2 4 4 2 5" xfId="32322" xr:uid="{B9557279-1178-4BDE-8C6C-4BFCC4BEF6C2}"/>
    <cellStyle name="Migliaia 2 4 4 2 6" xfId="16179" xr:uid="{AB1C2D0B-1316-4D43-ACBC-0B2151CC0F66}"/>
    <cellStyle name="Migliaia 2 4 4 2 7" xfId="8857" xr:uid="{280EEA2F-1A54-41D7-B82D-689CC0CD609D}"/>
    <cellStyle name="Migliaia 2 4 4 3" xfId="6227" xr:uid="{D5863DA8-CD6C-45C2-85F3-94261CC78BBE}"/>
    <cellStyle name="Migliaia 2 4 4 3 2" xfId="35202" xr:uid="{94C4657A-E0A1-4D34-A912-2BC73AC7F2DD}"/>
    <cellStyle name="Migliaia 2 4 4 3 2 2" xfId="40362" xr:uid="{73202DB0-B273-4534-BD8D-A3016E3A7476}"/>
    <cellStyle name="Migliaia 2 4 4 3 2 3" xfId="45664" xr:uid="{A0D43821-C2FE-42C6-BBB4-57BDE450F0F6}"/>
    <cellStyle name="Migliaia 2 4 4 3 3" xfId="37711" xr:uid="{60270A5A-76A2-4D24-B0E2-C6E0A4C2F9DA}"/>
    <cellStyle name="Migliaia 2 4 4 3 4" xfId="43013" xr:uid="{8ABD8B41-968E-4E26-8540-263B091CF81B}"/>
    <cellStyle name="Migliaia 2 4 4 3 5" xfId="13682" xr:uid="{A969A554-101C-469E-BEF7-6FD6EE6193E5}"/>
    <cellStyle name="Migliaia 2 4 4 4" xfId="20051" xr:uid="{F0CD82CE-64C8-475F-B996-BA9806E9C452}"/>
    <cellStyle name="Migliaia 2 4 4 4 2" xfId="38765" xr:uid="{58B6522E-2259-4FB3-B42A-2E9869D6B336}"/>
    <cellStyle name="Migliaia 2 4 4 4 3" xfId="44067" xr:uid="{C0DBF095-D419-406C-8DA4-7496632EA762}"/>
    <cellStyle name="Migliaia 2 4 4 4 4" xfId="33349" xr:uid="{ACE10792-828A-43FA-A3ED-3CED8395ACCF}"/>
    <cellStyle name="Migliaia 2 4 4 5" xfId="36258" xr:uid="{8223D4B5-31FC-47E8-8E79-A8267FB52427}"/>
    <cellStyle name="Migliaia 2 4 4 6" xfId="41416" xr:uid="{37CDC8DF-0DB1-4DD7-9639-83EDBFFB0D17}"/>
    <cellStyle name="Migliaia 2 4 4 7" xfId="16178" xr:uid="{E3E25CFD-38F4-4772-92AB-DB769AF8F304}"/>
    <cellStyle name="Migliaia 2 4 4 8" xfId="7667" xr:uid="{9BC72672-DC5C-4504-8678-9335A09B1CAB}"/>
    <cellStyle name="Migliaia 2 4 5" xfId="3289" xr:uid="{FCFD3830-21C6-43C7-B379-F69622E682A8}"/>
    <cellStyle name="Migliaia 2 4 5 2" xfId="5015" xr:uid="{2B448884-D15D-4649-B059-209AEADDFBE6}"/>
    <cellStyle name="Migliaia 2 4 5 2 2" xfId="35203" xr:uid="{6972551A-C47C-4583-8A00-C2236609F367}"/>
    <cellStyle name="Migliaia 2 4 5 2 2 2" xfId="40363" xr:uid="{A14D3FA1-3E9D-475F-B063-736C0643DCBB}"/>
    <cellStyle name="Migliaia 2 4 5 2 2 3" xfId="45665" xr:uid="{FFB9E733-2F55-49F3-A4FA-2FC687E678CB}"/>
    <cellStyle name="Migliaia 2 4 5 2 3" xfId="37712" xr:uid="{F8137B25-7A75-4A98-97F3-94473AB24D14}"/>
    <cellStyle name="Migliaia 2 4 5 2 4" xfId="43014" xr:uid="{E36284A7-BD3E-44AF-8610-9B8C05C6BED4}"/>
    <cellStyle name="Migliaia 2 4 5 2 5" xfId="14214" xr:uid="{2FD9437C-392F-4915-9FE7-DB596354F8E6}"/>
    <cellStyle name="Migliaia 2 4 5 3" xfId="6228" xr:uid="{3669D17E-14F2-41E8-B4F2-7185758F6B06}"/>
    <cellStyle name="Migliaia 2 4 5 3 2" xfId="38766" xr:uid="{B122BB19-1E71-44D4-A751-031805CB91B5}"/>
    <cellStyle name="Migliaia 2 4 5 3 3" xfId="44068" xr:uid="{FC7633DD-6FFE-4A22-BB7C-5DC0F44E913B}"/>
    <cellStyle name="Migliaia 2 4 5 3 4" xfId="33350" xr:uid="{54700EC5-AA76-4F87-894E-C2C00C332B55}"/>
    <cellStyle name="Migliaia 2 4 5 3 5" xfId="20053" xr:uid="{B1333D1D-6CE5-459F-B876-149EC204BF5B}"/>
    <cellStyle name="Migliaia 2 4 5 4" xfId="36259" xr:uid="{6409B427-BA28-4565-ADA6-4E8C7A368FA1}"/>
    <cellStyle name="Migliaia 2 4 5 5" xfId="41417" xr:uid="{3F8DEE61-DCD8-433C-8593-17BF9681C9B1}"/>
    <cellStyle name="Migliaia 2 4 5 6" xfId="16180" xr:uid="{0040A0FA-FB8E-4A77-8CF2-D0D36C857743}"/>
    <cellStyle name="Migliaia 2 4 5 7" xfId="8276" xr:uid="{6D23EB6D-D052-489E-A237-DB52B803EDE4}"/>
    <cellStyle name="Migliaia 2 4 6" xfId="5010" xr:uid="{73A036D0-27F8-4D04-90F1-CB92AC6BCB96}"/>
    <cellStyle name="Migliaia 2 4 6 2" xfId="13919" xr:uid="{4A164075-7745-41BD-AD69-DD9F7C26476E}"/>
    <cellStyle name="Migliaia 2 4 6 2 2" xfId="38767" xr:uid="{30985A6E-67E2-429C-8B98-D793506F20C4}"/>
    <cellStyle name="Migliaia 2 4 6 2 3" xfId="44069" xr:uid="{7A760A8D-B128-47E1-B156-B3809157D4D9}"/>
    <cellStyle name="Migliaia 2 4 6 3" xfId="18720" xr:uid="{BC33D941-5F45-42C1-92E0-7277D2C64BBE}"/>
    <cellStyle name="Migliaia 2 4 6 4" xfId="20054" xr:uid="{6D9AEB66-CE48-494A-A031-4B6B6803FC9F}"/>
    <cellStyle name="Migliaia 2 4 6 4 2" xfId="41418" xr:uid="{6F3CCB5A-93C7-45FF-82E9-6C1EF84764E7}"/>
    <cellStyle name="Migliaia 2 4 6 5" xfId="16181" xr:uid="{BF33451C-8D43-46FE-92C9-0F784703B777}"/>
    <cellStyle name="Migliaia 2 4 6 6" xfId="7868" xr:uid="{BAB9AB5E-7F57-4C35-AF2F-692A6678AFED}"/>
    <cellStyle name="Migliaia 2 4 7" xfId="6223" xr:uid="{8966786E-3C56-48F6-8867-236387508E69}"/>
    <cellStyle name="Migliaia 2 4 7 2" xfId="33352" xr:uid="{DA9D35F4-05CE-4116-A638-C6D781575DFF}"/>
    <cellStyle name="Migliaia 2 4 7 2 2" xfId="38768" xr:uid="{60B370FB-E041-4580-9D0F-9242E95F1D78}"/>
    <cellStyle name="Migliaia 2 4 7 2 3" xfId="44070" xr:uid="{03C22B0F-E2C1-4869-A06B-0D150D9B0AF0}"/>
    <cellStyle name="Migliaia 2 4 7 3" xfId="36261" xr:uid="{144F4996-9E31-4D39-A2E0-6BC5E268EACC}"/>
    <cellStyle name="Migliaia 2 4 7 4" xfId="41419" xr:uid="{2402890A-BB50-444B-AA6E-024D1C25278A}"/>
    <cellStyle name="Migliaia 2 4 7 5" xfId="12242" xr:uid="{1FBD43FC-4D0C-4560-9CCD-75E71B147D20}"/>
    <cellStyle name="Migliaia 2 4 8" xfId="3284" xr:uid="{17716854-2421-4F77-85A3-548D80B88D03}"/>
    <cellStyle name="Migliaia 2 4 8 2" xfId="33353" xr:uid="{42BE69ED-CF88-49CB-89FF-AA9FD527ADC3}"/>
    <cellStyle name="Migliaia 2 4 8 2 2" xfId="38769" xr:uid="{654D7A9B-2A2E-459C-BCB2-98A433427E5F}"/>
    <cellStyle name="Migliaia 2 4 8 2 3" xfId="44071" xr:uid="{9E77719C-C75C-4085-BD2B-4452CA64BC6F}"/>
    <cellStyle name="Migliaia 2 4 8 3" xfId="36262" xr:uid="{19626D6B-B5AC-4472-8168-F4105A048CCE}"/>
    <cellStyle name="Migliaia 2 4 8 4" xfId="41420" xr:uid="{24FAE28B-F397-4ECE-B7A5-DAD6AE02EA45}"/>
    <cellStyle name="Migliaia 2 4 8 5" xfId="24437" xr:uid="{EA77457D-14D2-4FAD-BA60-9A9C1185BD73}"/>
    <cellStyle name="Migliaia 2 4 8 6" xfId="17394" xr:uid="{99EDB5BF-EC0A-4EFA-A969-3F59E56F88CE}"/>
    <cellStyle name="Migliaia 2 4 9" xfId="20045" xr:uid="{9029E69C-6145-47C9-8CAA-8C2345F5BB6C}"/>
    <cellStyle name="Migliaia 2 5" xfId="1713" xr:uid="{00000000-0005-0000-0000-000027030000}"/>
    <cellStyle name="Migliaia 2 5 2" xfId="1714" xr:uid="{00000000-0005-0000-0000-000028030000}"/>
    <cellStyle name="Migliaia 2 5 2 2" xfId="5017" xr:uid="{44FADA94-FF22-4C65-B658-685C6E8AF8AD}"/>
    <cellStyle name="Migliaia 2 5 2 2 2" xfId="33354" xr:uid="{5B9E3598-DA5D-4854-A6A4-59FA7F44DBBB}"/>
    <cellStyle name="Migliaia 2 5 2 2 2 2" xfId="38770" xr:uid="{F6892D53-8174-4702-8062-6667C474B68C}"/>
    <cellStyle name="Migliaia 2 5 2 2 2 3" xfId="44072" xr:uid="{F5D1BD8D-C45F-460C-B406-A6FAB247C18E}"/>
    <cellStyle name="Migliaia 2 5 2 2 3" xfId="36263" xr:uid="{F6B52846-A4A4-46E8-B85F-ADB65EC56CBA}"/>
    <cellStyle name="Migliaia 2 5 2 2 4" xfId="41421" xr:uid="{5BED2311-2989-4E69-8404-E8A61183CC13}"/>
    <cellStyle name="Migliaia 2 5 2 2 5" xfId="9130" xr:uid="{E63E56B8-A03C-4E21-B3CE-9C5F90504AF5}"/>
    <cellStyle name="Migliaia 2 5 2 3" xfId="3291" xr:uid="{8022DF06-7796-4E28-85CC-7F90D6FDC2F9}"/>
    <cellStyle name="Migliaia 2 5 2 3 2" xfId="33355" xr:uid="{301F22E5-B1BE-4F09-B9C9-70A29B13B7C3}"/>
    <cellStyle name="Migliaia 2 5 2 3 2 2" xfId="38771" xr:uid="{B723307E-10E6-4288-8470-301972E79663}"/>
    <cellStyle name="Migliaia 2 5 2 3 2 3" xfId="44073" xr:uid="{8D8C63EF-B84E-424A-B341-CE6686D9B5EB}"/>
    <cellStyle name="Migliaia 2 5 2 3 3" xfId="36264" xr:uid="{2A2DA942-3B2E-4600-A0EC-2372F976B051}"/>
    <cellStyle name="Migliaia 2 5 2 3 4" xfId="41422" xr:uid="{C8A1A566-293C-4C9E-85B4-B4F3A8213FE9}"/>
    <cellStyle name="Migliaia 2 5 2 3 5" xfId="11933" xr:uid="{DE3624DB-86D3-4D36-BB6B-4F26BCA13C2D}"/>
    <cellStyle name="Migliaia 2 5 2 4" xfId="11282" xr:uid="{095D5B4A-78A6-4898-9598-C0F9AABF46E0}"/>
    <cellStyle name="Migliaia 2 5 2 5" xfId="10791" xr:uid="{2725919E-A49A-4219-8C4E-0F3C043A5D24}"/>
    <cellStyle name="Migliaia 2 5 2 5 2" xfId="21426" xr:uid="{28F1D639-91B5-41D3-836F-112D5C95C151}"/>
    <cellStyle name="Migliaia 2 5 2 5 3" xfId="48091" xr:uid="{4A7F872B-DE84-4C49-8D08-91EC3E42F48A}"/>
    <cellStyle name="Migliaia 2 5 2 5 4" xfId="50441" xr:uid="{9E5578B7-F6BA-43EA-80AD-0A96AB9785E0}"/>
    <cellStyle name="Migliaia 2 5 2 5 5" xfId="53457" xr:uid="{0D24BFF7-9571-4731-BA74-F76063E84BA9}"/>
    <cellStyle name="Migliaia 2 5 2 6" xfId="20056" xr:uid="{76357BE1-9A77-464E-965E-6E6FBF24D1A5}"/>
    <cellStyle name="Migliaia 2 5 2 7" xfId="24439" xr:uid="{B4FC2360-4408-4838-9FC8-27F2C750B564}"/>
    <cellStyle name="Migliaia 2 5 2 8" xfId="8550" xr:uid="{EA1CDAD3-DAE6-419A-AD7C-8CC4A6775DE2}"/>
    <cellStyle name="Migliaia 2 5 3" xfId="5016" xr:uid="{849FD1B5-8348-4CD9-ACB8-1C41D81D6DF2}"/>
    <cellStyle name="Migliaia 2 5 3 2" xfId="18185" xr:uid="{5034C0FF-5C0F-4544-BE1F-5F6D5D334000}"/>
    <cellStyle name="Migliaia 2 5 3 2 2" xfId="38772" xr:uid="{2559E454-0057-45BF-9B16-0C2AC2C2DEF8}"/>
    <cellStyle name="Migliaia 2 5 3 2 3" xfId="44074" xr:uid="{CA1A1379-D7F2-42D9-83BD-346C0916795D}"/>
    <cellStyle name="Migliaia 2 5 3 3" xfId="36265" xr:uid="{F944EE3F-38CE-4DD1-B0F1-ED46EB8534E4}"/>
    <cellStyle name="Migliaia 2 5 3 4" xfId="41423" xr:uid="{173E9DE0-7C77-4AFE-825E-8C7EDE9B0AF1}"/>
    <cellStyle name="Migliaia 2 5 3 5" xfId="17392" xr:uid="{ED3E643A-C26C-490D-B8A4-4AAD46D0CF02}"/>
    <cellStyle name="Migliaia 2 5 3 6" xfId="9131" xr:uid="{3A309D89-CA57-4309-A589-7B436A2013A4}"/>
    <cellStyle name="Migliaia 2 5 4" xfId="6229" xr:uid="{8B7CC546-7B11-46C8-AA2B-08089385C232}"/>
    <cellStyle name="Migliaia 2 5 4 2" xfId="33357" xr:uid="{F33F8C18-A7F6-4BD4-9D08-7BAC70D816B6}"/>
    <cellStyle name="Migliaia 2 5 4 2 2" xfId="38773" xr:uid="{6135C2F2-4D2D-48AE-8609-A70248F4CB44}"/>
    <cellStyle name="Migliaia 2 5 4 2 3" xfId="44075" xr:uid="{6C5680B6-6775-413C-BD98-8263AEF4D730}"/>
    <cellStyle name="Migliaia 2 5 4 3" xfId="36266" xr:uid="{F663F975-F764-42C3-AE93-4B2A42C0FEED}"/>
    <cellStyle name="Migliaia 2 5 4 4" xfId="41424" xr:uid="{CDD4E958-650F-4332-A7DF-A22DB1CD9EAB}"/>
    <cellStyle name="Migliaia 2 5 4 5" xfId="11934" xr:uid="{6934B792-02A2-4458-91B8-0C01078DAFBF}"/>
    <cellStyle name="Migliaia 2 5 5" xfId="3290" xr:uid="{22768DDA-9E50-40D6-920D-86E954561F62}"/>
    <cellStyle name="Migliaia 2 5 5 2" xfId="33358" xr:uid="{0602F257-C246-4069-B7EE-EC49BCECF9F2}"/>
    <cellStyle name="Migliaia 2 5 5 2 2" xfId="38774" xr:uid="{2A85D31E-E588-46D7-96E9-9880E8D4D5F7}"/>
    <cellStyle name="Migliaia 2 5 5 2 3" xfId="44076" xr:uid="{DBAB0D6E-624C-4A56-AF72-31322487B022}"/>
    <cellStyle name="Migliaia 2 5 5 3" xfId="36267" xr:uid="{D3294D43-972C-4906-B963-F5D072EC077A}"/>
    <cellStyle name="Migliaia 2 5 5 4" xfId="41425" xr:uid="{6B096E8C-9AF5-40A0-BA9A-DC71B3618672}"/>
    <cellStyle name="Migliaia 2 5 5 5" xfId="11281" xr:uid="{9F8DA251-393A-43D5-B2FD-58D9D3EB278B}"/>
    <cellStyle name="Migliaia 2 5 6" xfId="10790" xr:uid="{5A874BFF-95F9-4E33-AF92-4575DD2D12F1}"/>
    <cellStyle name="Migliaia 2 5 6 2" xfId="21425" xr:uid="{FE9AAD73-3D9B-4650-9A65-AD09BF95F8C6}"/>
    <cellStyle name="Migliaia 2 5 6 2 2" xfId="38775" xr:uid="{B035FB42-620D-4AA1-9513-88FD91390469}"/>
    <cellStyle name="Migliaia 2 5 6 2 3" xfId="44077" xr:uid="{E6AEA4BF-D397-4AA8-8AB0-6C71E4BF21CA}"/>
    <cellStyle name="Migliaia 2 5 6 2 4" xfId="33359" xr:uid="{A19CB3C7-7CF1-4A8A-AFCD-108910A52172}"/>
    <cellStyle name="Migliaia 2 5 6 3" xfId="36268" xr:uid="{67E9550D-D10F-4328-9D61-A05C3B66EAF8}"/>
    <cellStyle name="Migliaia 2 5 6 4" xfId="41426" xr:uid="{5A98DFDE-F46B-4ACF-84C0-24369B4AC3F0}"/>
    <cellStyle name="Migliaia 2 5 6 5" xfId="24445" xr:uid="{2B2BDA9F-897C-4A8A-B3CE-91C9C3D20218}"/>
    <cellStyle name="Migliaia 2 5 6 6" xfId="46990" xr:uid="{C386F55A-BFD6-4D82-8A63-8CC1AB778500}"/>
    <cellStyle name="Migliaia 2 5 6 7" xfId="50440" xr:uid="{0B0D1FEF-9EFF-4263-8FBC-52C6EB2BF757}"/>
    <cellStyle name="Migliaia 2 5 6 8" xfId="53456" xr:uid="{5F72D8DD-7FF2-476D-8D44-9FFE639F9EC9}"/>
    <cellStyle name="Migliaia 2 5 7" xfId="20055" xr:uid="{C43E9343-91FD-4B27-AA16-FE8D4953EF7B}"/>
    <cellStyle name="Migliaia 2 5 7 2" xfId="33360" xr:uid="{F1E51331-765E-4ADB-8458-265657B3FDA3}"/>
    <cellStyle name="Migliaia 2 5 7 2 2" xfId="38776" xr:uid="{E010D85F-BBB5-4A9F-B176-E182285FC34C}"/>
    <cellStyle name="Migliaia 2 5 7 2 3" xfId="44078" xr:uid="{F295DCE4-BA0C-4820-8191-8198351A48D3}"/>
    <cellStyle name="Migliaia 2 5 7 3" xfId="36269" xr:uid="{1BD07E4A-F7DF-4856-A703-A9C849E19BA3}"/>
    <cellStyle name="Migliaia 2 5 7 4" xfId="41427" xr:uid="{EE91D510-3527-49E5-9962-60BA0FF9FF38}"/>
    <cellStyle name="Migliaia 2 5 7 5" xfId="24446" xr:uid="{2DA02DCD-CE67-46C4-A87F-A46839E90230}"/>
    <cellStyle name="Migliaia 2 5 8" xfId="24438" xr:uid="{461E4296-B618-47C3-A7F1-BF50E9315302}"/>
    <cellStyle name="Migliaia 2 5 9" xfId="7360" xr:uid="{A3D9DDA7-DDD1-4979-9CC1-DE8308DE16A7}"/>
    <cellStyle name="Migliaia 2 6" xfId="1715" xr:uid="{00000000-0005-0000-0000-000029030000}"/>
    <cellStyle name="Migliaia 2 6 2" xfId="5018" xr:uid="{3D8FD8E2-0E5F-42AD-BC74-2A09D49DBDC6}"/>
    <cellStyle name="Migliaia 2 6 2 2" xfId="18397" xr:uid="{4A02D837-2E8A-44B5-84B9-F2F46026CDB0}"/>
    <cellStyle name="Migliaia 2 6 2 2 2" xfId="38777" xr:uid="{5EDD9192-23F5-42A1-BA75-406A789019F2}"/>
    <cellStyle name="Migliaia 2 6 2 2 3" xfId="44079" xr:uid="{987896E6-09A8-400C-820D-BA96863CA9C3}"/>
    <cellStyle name="Migliaia 2 6 2 3" xfId="20058" xr:uid="{B9DD8D7C-077A-4047-911F-0271962E3990}"/>
    <cellStyle name="Migliaia 2 6 2 3 2" xfId="36270" xr:uid="{3E43F844-CD25-4F1C-A5C3-D1633130510F}"/>
    <cellStyle name="Migliaia 2 6 2 4" xfId="41428" xr:uid="{35A905DC-F1F6-4910-B7C5-CA2044861537}"/>
    <cellStyle name="Migliaia 2 6 2 5" xfId="16182" xr:uid="{A5D19AFA-1C63-401C-A5D6-82A4BB78781A}"/>
    <cellStyle name="Migliaia 2 6 2 6" xfId="8551" xr:uid="{432113FB-DC29-4019-9AEF-4983B5447753}"/>
    <cellStyle name="Migliaia 2 6 3" xfId="6230" xr:uid="{8CFB1711-6679-4C73-A0B6-62BBBB00EA8C}"/>
    <cellStyle name="Migliaia 2 6 3 2" xfId="33362" xr:uid="{68B6A305-4E4D-4D06-9F32-93A3F4E452D9}"/>
    <cellStyle name="Migliaia 2 6 3 2 2" xfId="38778" xr:uid="{A0CF6E6B-D51F-4EFB-B897-F604A8FA3F52}"/>
    <cellStyle name="Migliaia 2 6 3 2 3" xfId="44080" xr:uid="{D32B0D67-F824-4DFC-844C-BEBB2AAFE225}"/>
    <cellStyle name="Migliaia 2 6 3 3" xfId="36271" xr:uid="{BB09F04F-43A7-4FDB-B340-0C7A86443B76}"/>
    <cellStyle name="Migliaia 2 6 3 4" xfId="41429" xr:uid="{6BB848FE-9286-4C3E-81C8-97D825225C9E}"/>
    <cellStyle name="Migliaia 2 6 3 5" xfId="11283" xr:uid="{76A6960A-050A-446C-B646-5D63515C26A7}"/>
    <cellStyle name="Migliaia 2 6 4" xfId="3292" xr:uid="{13E20299-CEF5-4C30-91A4-C2E5DFBD7A7A}"/>
    <cellStyle name="Migliaia 2 6 4 2" xfId="21427" xr:uid="{1B2E4373-3235-4C5D-B874-C1BC6B580213}"/>
    <cellStyle name="Migliaia 2 6 4 2 2" xfId="38779" xr:uid="{EA56E3A3-4B70-45A7-9785-9E43A9047B84}"/>
    <cellStyle name="Migliaia 2 6 4 2 3" xfId="44081" xr:uid="{14CE69CA-6945-4FF3-B1FA-EBA72CF07AB0}"/>
    <cellStyle name="Migliaia 2 6 4 2 4" xfId="33363" xr:uid="{72FF53FE-7740-4117-BA3D-87692A1E61F3}"/>
    <cellStyle name="Migliaia 2 6 4 3" xfId="36272" xr:uid="{6690B0B5-F47D-4519-B16F-EA3354B47EEA}"/>
    <cellStyle name="Migliaia 2 6 4 4" xfId="41430" xr:uid="{067FACF6-66DA-4412-A3F0-802E0992781F}"/>
    <cellStyle name="Migliaia 2 6 4 5" xfId="24450" xr:uid="{56B14DB1-5CFD-44C4-A6C3-C73273080188}"/>
    <cellStyle name="Migliaia 2 6 4 6" xfId="46642" xr:uid="{02828E1F-53A4-4774-B3CA-02E7C405800A}"/>
    <cellStyle name="Migliaia 2 6 4 7" xfId="50442" xr:uid="{07CD19F0-EB1A-4FF6-8071-7C204E4B14FD}"/>
    <cellStyle name="Migliaia 2 6 4 8" xfId="53458" xr:uid="{97AACED4-52AF-4773-A611-3B4C3CBE0FEC}"/>
    <cellStyle name="Migliaia 2 6 4 9" xfId="10792" xr:uid="{E861EF3C-BCBE-4011-B728-A785C95B291B}"/>
    <cellStyle name="Migliaia 2 6 5" xfId="20057" xr:uid="{955FECE2-1E2A-4102-97DF-037E544E6D4D}"/>
    <cellStyle name="Migliaia 2 6 5 2" xfId="33364" xr:uid="{70314BFF-EF07-453C-8A08-E3FB30FFCF9D}"/>
    <cellStyle name="Migliaia 2 6 5 2 2" xfId="38780" xr:uid="{43CE75A3-8E6C-4949-AB54-E1CE2393FED2}"/>
    <cellStyle name="Migliaia 2 6 5 2 3" xfId="44082" xr:uid="{D60A781C-2CED-45BA-B7BC-FB5FD40CA145}"/>
    <cellStyle name="Migliaia 2 6 5 3" xfId="36273" xr:uid="{8C91583D-4D16-4FC6-A0F4-77E978B6C791}"/>
    <cellStyle name="Migliaia 2 6 5 4" xfId="41431" xr:uid="{07661FD2-135A-4971-BD53-8A9FC283EEB8}"/>
    <cellStyle name="Migliaia 2 6 5 5" xfId="24451" xr:uid="{52BF00B2-8437-4AE1-B6C8-215A6C71D244}"/>
    <cellStyle name="Migliaia 2 6 6" xfId="24452" xr:uid="{087C5178-6ED8-42E8-B34D-AB9CBF88022C}"/>
    <cellStyle name="Migliaia 2 6 6 2" xfId="33365" xr:uid="{91612340-E1F1-4C17-9A57-C06BA43335E8}"/>
    <cellStyle name="Migliaia 2 6 6 2 2" xfId="38781" xr:uid="{10AA59C7-9AB9-41FE-A3CF-9C9758D6F09E}"/>
    <cellStyle name="Migliaia 2 6 6 2 3" xfId="44083" xr:uid="{BCC29380-45AA-4F3D-B26F-81C8B8370C31}"/>
    <cellStyle name="Migliaia 2 6 6 3" xfId="36274" xr:uid="{8447AE36-E6CB-4C1C-946B-A8334F711E2A}"/>
    <cellStyle name="Migliaia 2 6 6 4" xfId="41432" xr:uid="{2981C7F4-C366-4FA4-8B3C-A50BD5C26AED}"/>
    <cellStyle name="Migliaia 2 6 7" xfId="24447" xr:uid="{05D33622-BF2D-4D12-BB73-7663E766B191}"/>
    <cellStyle name="Migliaia 2 6 8" xfId="7361" xr:uid="{90BCD6CC-9019-4179-9FBD-D4D15513AA6A}"/>
    <cellStyle name="Migliaia 2 7" xfId="3293" xr:uid="{78903D78-8E1C-4A87-9C1C-3DCCB9D8732C}"/>
    <cellStyle name="Migliaia 2 7 2" xfId="5019" xr:uid="{7CCE4399-0168-4BFB-B938-FC5996119C9A}"/>
    <cellStyle name="Migliaia 2 7 2 2" xfId="9903" xr:uid="{EE43F49B-6489-482B-BFFF-0A8D9712A16D}"/>
    <cellStyle name="Migliaia 2 7 2 3" xfId="18669" xr:uid="{EEA65477-5CAD-49BE-BB20-8BF23455A1A7}"/>
    <cellStyle name="Migliaia 2 7 2 4" xfId="20060" xr:uid="{724B6FA3-5DA0-4C5C-B1DD-5B8668C1A090}"/>
    <cellStyle name="Migliaia 2 7 2 5" xfId="32325" xr:uid="{1A75DCEB-6299-4B71-A745-26AE42DD88CF}"/>
    <cellStyle name="Migliaia 2 7 2 6" xfId="16184" xr:uid="{B44A3509-F1CA-4B9C-97BD-1FD2776F3AE6}"/>
    <cellStyle name="Migliaia 2 7 2 7" xfId="8545" xr:uid="{AC6EBD31-DF03-4083-9106-15715F3A5799}"/>
    <cellStyle name="Migliaia 2 7 3" xfId="6231" xr:uid="{4E0449D4-F979-45B5-8C2D-5851662595C3}"/>
    <cellStyle name="Migliaia 2 7 3 2" xfId="35204" xr:uid="{59BE1629-7379-4184-8822-8EA6296D4A91}"/>
    <cellStyle name="Migliaia 2 7 3 2 2" xfId="40364" xr:uid="{B207E0D1-ABCA-46EF-A39A-2912430C3354}"/>
    <cellStyle name="Migliaia 2 7 3 2 3" xfId="45666" xr:uid="{3485CC75-43F2-472F-AFAC-8B1B128D45AF}"/>
    <cellStyle name="Migliaia 2 7 3 3" xfId="37713" xr:uid="{C96BBE19-FF21-44C2-8694-FE724A5C5016}"/>
    <cellStyle name="Migliaia 2 7 3 4" xfId="43015" xr:uid="{94C32676-D146-445D-BF80-52B8FAF39986}"/>
    <cellStyle name="Migliaia 2 7 3 5" xfId="9666" xr:uid="{D691E924-F008-45D2-B103-F04CFF042105}"/>
    <cellStyle name="Migliaia 2 7 4" xfId="20059" xr:uid="{C46704B5-FA41-47EC-9D8E-A2D19BD7DF81}"/>
    <cellStyle name="Migliaia 2 7 4 2" xfId="38782" xr:uid="{3A239D58-6322-4F8B-B973-B6430E5EECD5}"/>
    <cellStyle name="Migliaia 2 7 4 3" xfId="44084" xr:uid="{1C91332B-5AF0-49F2-A296-54B111812119}"/>
    <cellStyle name="Migliaia 2 7 4 4" xfId="33366" xr:uid="{8842D231-97AE-4B12-AF52-2D418AE3C2A0}"/>
    <cellStyle name="Migliaia 2 7 5" xfId="36275" xr:uid="{0B5A9BBD-2E87-4AF4-B84F-2C1108D9DA3A}"/>
    <cellStyle name="Migliaia 2 7 6" xfId="41433" xr:uid="{56962C13-DD4F-4A7C-9CF2-B436C75967F7}"/>
    <cellStyle name="Migliaia 2 7 7" xfId="16183" xr:uid="{9A061F21-62B0-4833-BE5F-EAA2C34462F5}"/>
    <cellStyle name="Migliaia 2 7 8" xfId="7355" xr:uid="{69B14685-1C49-45F0-9480-2C4E0E4E0DDC}"/>
    <cellStyle name="Migliaia 2 8" xfId="3294" xr:uid="{86ECFAAB-FAD6-472A-9E67-E31D3269714B}"/>
    <cellStyle name="Migliaia 2 8 2" xfId="5020" xr:uid="{3720FAC7-423A-4FD8-9816-A274ED2C4B3A}"/>
    <cellStyle name="Migliaia 2 8 2 2" xfId="35205" xr:uid="{B554A710-CE58-4CB3-8290-FFF3D7C1A5D1}"/>
    <cellStyle name="Migliaia 2 8 2 2 2" xfId="40365" xr:uid="{018E913D-9346-416D-9010-4A7F9CEC0FE2}"/>
    <cellStyle name="Migliaia 2 8 2 2 3" xfId="45667" xr:uid="{817FB4EA-D030-48FD-8C37-66A236FD10B8}"/>
    <cellStyle name="Migliaia 2 8 2 3" xfId="37714" xr:uid="{5C5DB4C1-9BBE-4F9A-BEB3-653FDC8A763B}"/>
    <cellStyle name="Migliaia 2 8 2 4" xfId="43016" xr:uid="{88A6049F-B2B1-4370-9C17-A694457E57C5}"/>
    <cellStyle name="Migliaia 2 8 2 5" xfId="14211" xr:uid="{31ACF652-9AFF-420D-8694-BB115D2BA26B}"/>
    <cellStyle name="Migliaia 2 8 3" xfId="6232" xr:uid="{150BF95C-39C8-48A7-9237-8E01383320D7}"/>
    <cellStyle name="Migliaia 2 8 3 2" xfId="38783" xr:uid="{A09ABF34-A033-4D01-B330-9294DA5A0117}"/>
    <cellStyle name="Migliaia 2 8 3 3" xfId="44085" xr:uid="{FE49A8DF-90A2-441A-9CBB-E4803A4B5125}"/>
    <cellStyle name="Migliaia 2 8 3 4" xfId="33367" xr:uid="{640AAEBA-B6EB-47FA-B7B4-481D3C76AD2C}"/>
    <cellStyle name="Migliaia 2 8 3 5" xfId="20061" xr:uid="{6A89695E-0A24-46B1-A6D3-2F8032412FA2}"/>
    <cellStyle name="Migliaia 2 8 4" xfId="36276" xr:uid="{71D6A228-5524-42FD-BEAB-33B39CE6E223}"/>
    <cellStyle name="Migliaia 2 8 5" xfId="41434" xr:uid="{B44E6F58-27CD-4B58-B96E-B02DC5C392B9}"/>
    <cellStyle name="Migliaia 2 8 6" xfId="16185" xr:uid="{070619B1-336B-4E07-852B-6353C4626989}"/>
    <cellStyle name="Migliaia 2 8 7" xfId="8273" xr:uid="{7B63F6AF-C52C-4868-99DB-8F431D6C5218}"/>
    <cellStyle name="Migliaia 2 9" xfId="3295" xr:uid="{B053A15E-2E9B-4371-875E-87510B4B7718}"/>
    <cellStyle name="Migliaia 2 9 2" xfId="5021" xr:uid="{444ADB4F-8060-4F06-B335-28548C8F684E}"/>
    <cellStyle name="Migliaia 2 9 2 2" xfId="35206" xr:uid="{619C9F1A-464A-4534-9A59-25172FF288AB}"/>
    <cellStyle name="Migliaia 2 9 2 2 2" xfId="40366" xr:uid="{214C7EDF-1A15-4DBA-AA28-5058C45D1CBF}"/>
    <cellStyle name="Migliaia 2 9 2 2 3" xfId="45668" xr:uid="{C590079A-02B1-492F-AFD1-A245EEDE081D}"/>
    <cellStyle name="Migliaia 2 9 2 3" xfId="37715" xr:uid="{2D321364-0FEC-4EFD-94A1-A263FEEFAA5B}"/>
    <cellStyle name="Migliaia 2 9 2 4" xfId="43017" xr:uid="{E688B1EA-90DD-4F15-B7A4-721704A2D139}"/>
    <cellStyle name="Migliaia 2 9 2 5" xfId="13914" xr:uid="{9DBAD143-85E6-46CB-8D0E-566C93710B83}"/>
    <cellStyle name="Migliaia 2 9 3" xfId="6233" xr:uid="{31997909-8540-4461-B1B6-FF13B8551299}"/>
    <cellStyle name="Migliaia 2 9 3 2" xfId="38784" xr:uid="{252B9866-0250-44F6-A67A-6156BC5A7DD5}"/>
    <cellStyle name="Migliaia 2 9 3 3" xfId="44086" xr:uid="{3C6C16A2-BC56-452B-8194-DAD4538D7895}"/>
    <cellStyle name="Migliaia 2 9 3 4" xfId="33368" xr:uid="{96D28798-0259-4CA7-ADF0-D0E4735CFCB3}"/>
    <cellStyle name="Migliaia 2 9 3 5" xfId="20062" xr:uid="{3A9E3403-4048-4EF6-9A70-F56264B4A479}"/>
    <cellStyle name="Migliaia 2 9 4" xfId="36277" xr:uid="{7E82CF76-F294-40E2-B9CB-3E8B633A3CE1}"/>
    <cellStyle name="Migliaia 2 9 5" xfId="41435" xr:uid="{CBBC8EF1-0DBF-45C7-99AF-B355AF41EFAC}"/>
    <cellStyle name="Migliaia 2 9 6" xfId="16186" xr:uid="{C5C582A7-2AC3-4553-B439-CB3EEBC3AA75}"/>
    <cellStyle name="Migliaia 2 9 7" xfId="7863" xr:uid="{586D940F-7A11-4792-A64B-C0C552534433}"/>
    <cellStyle name="Migliaia 2_Domestico_reg&amp;naz" xfId="348" xr:uid="{00000000-0005-0000-0000-00002A030000}"/>
    <cellStyle name="Migliaia 20" xfId="349" xr:uid="{00000000-0005-0000-0000-00002B030000}"/>
    <cellStyle name="Migliaia 20 10" xfId="6234" xr:uid="{09C1254B-4066-4040-AEC8-96E67004F079}"/>
    <cellStyle name="Migliaia 20 10 2" xfId="38785" xr:uid="{76DD6C0C-C974-4F97-8660-AAB5D4D87C75}"/>
    <cellStyle name="Migliaia 20 10 3" xfId="44087" xr:uid="{3F15227A-115E-467A-AED6-4E815D01B1B3}"/>
    <cellStyle name="Migliaia 20 10 4" xfId="33369" xr:uid="{F710BA1B-8E09-4A78-AEA0-CE7035EBD0B1}"/>
    <cellStyle name="Migliaia 20 10 5" xfId="20063" xr:uid="{6217A06B-06E4-494D-B9A7-27431E06A727}"/>
    <cellStyle name="Migliaia 20 11" xfId="3296" xr:uid="{51E0C443-0B0E-477A-A1B7-543751C10135}"/>
    <cellStyle name="Migliaia 20 11 2" xfId="36278" xr:uid="{2A6207CB-7F82-46FC-BCF3-09F4D3ECD8BB}"/>
    <cellStyle name="Migliaia 20 12" xfId="41436" xr:uid="{E972BDFC-4F25-4492-AC68-A926932CE431}"/>
    <cellStyle name="Migliaia 20 13" xfId="7078" xr:uid="{C985E475-B773-4E72-91B0-33E4F5C31830}"/>
    <cellStyle name="Migliaia 20 2" xfId="350" xr:uid="{00000000-0005-0000-0000-00002C030000}"/>
    <cellStyle name="Migliaia 20 2 2" xfId="1716" xr:uid="{00000000-0005-0000-0000-00002D030000}"/>
    <cellStyle name="Migliaia 20 2 2 2" xfId="5024" xr:uid="{4483A384-E81A-458E-8460-16A4CF5F83AE}"/>
    <cellStyle name="Migliaia 20 2 2 2 2" xfId="14375" xr:uid="{88FDFF7F-5D1F-49E2-9AFA-E23373482D75}"/>
    <cellStyle name="Migliaia 20 2 2 2 2 2" xfId="38786" xr:uid="{C40E469A-D110-42D6-A9CC-1B547ABA1F41}"/>
    <cellStyle name="Migliaia 20 2 2 2 2 3" xfId="44088" xr:uid="{BE72FC88-2621-4EDE-86F1-85A5118B3C67}"/>
    <cellStyle name="Migliaia 20 2 2 2 3" xfId="18398" xr:uid="{D085BBA0-A566-469D-AE27-143654F7FAC7}"/>
    <cellStyle name="Migliaia 20 2 2 2 4" xfId="20066" xr:uid="{8A590F44-731B-4192-821D-7949F328313F}"/>
    <cellStyle name="Migliaia 20 2 2 2 4 2" xfId="41437" xr:uid="{8EF95C7A-5039-4C93-A234-49959869E09D}"/>
    <cellStyle name="Migliaia 20 2 2 2 5" xfId="16187" xr:uid="{7D26BC8C-281F-4F74-A48D-A0E5CA54F172}"/>
    <cellStyle name="Migliaia 20 2 2 2 6" xfId="8553" xr:uid="{30742BC3-1094-4CC9-BE89-6CFBB42EF8F6}"/>
    <cellStyle name="Migliaia 20 2 2 3" xfId="6236" xr:uid="{8DAA7853-6C5C-4B96-9F8D-6048623EA17E}"/>
    <cellStyle name="Migliaia 20 2 2 3 2" xfId="35207" xr:uid="{F47C2681-93F9-46B1-B2BE-F0121A3B6EE2}"/>
    <cellStyle name="Migliaia 20 2 2 3 2 2" xfId="40367" xr:uid="{BF668FBF-F8EE-48E3-980B-74EB3F9DF5F1}"/>
    <cellStyle name="Migliaia 20 2 2 3 2 3" xfId="45669" xr:uid="{7E3DCF9E-5D73-4670-B6FD-EB77C9C5E4ED}"/>
    <cellStyle name="Migliaia 20 2 2 3 3" xfId="37716" xr:uid="{D5C58352-07B5-4259-A7CC-E80E19813802}"/>
    <cellStyle name="Migliaia 20 2 2 3 4" xfId="43018" xr:uid="{1A279B86-7699-4A1B-8A81-45F15572E7AB}"/>
    <cellStyle name="Migliaia 20 2 2 3 5" xfId="11602" xr:uid="{53B78297-7F65-496B-9C0C-3ED242ABCFB8}"/>
    <cellStyle name="Migliaia 20 2 2 4" xfId="3298" xr:uid="{BEA27ECB-21E2-4490-A30F-4137FD2E0B61}"/>
    <cellStyle name="Migliaia 20 2 2 4 2" xfId="21428" xr:uid="{8F8694E2-93B2-4862-80CF-02C83CBEA4C9}"/>
    <cellStyle name="Migliaia 20 2 2 4 3" xfId="33782" xr:uid="{DB51A685-FE78-4E79-B39A-BFB451F0D5BB}"/>
    <cellStyle name="Migliaia 20 2 2 4 4" xfId="50443" xr:uid="{0CC440D1-ED6E-40B0-9249-4F076D2C7A3D}"/>
    <cellStyle name="Migliaia 20 2 2 4 5" xfId="53459" xr:uid="{BCF27F57-FCB8-4EB6-B9BF-2A425F5A3B05}"/>
    <cellStyle name="Migliaia 20 2 2 4 6" xfId="10793" xr:uid="{C031A717-8F78-44BB-B677-70E1277DEA78}"/>
    <cellStyle name="Migliaia 20 2 2 5" xfId="20065" xr:uid="{C950557D-C313-465E-A207-04839FD43781}"/>
    <cellStyle name="Migliaia 20 2 2 6" xfId="24458" xr:uid="{2F945B28-224D-49A3-845F-C9B39CD49CDE}"/>
    <cellStyle name="Migliaia 20 2 2 7" xfId="7363" xr:uid="{CF06589C-84C2-43B9-A0CC-B85B0BEF66A1}"/>
    <cellStyle name="Migliaia 20 2 3" xfId="3299" xr:uid="{4C2C4986-E553-4008-87E4-209F6EB137BE}"/>
    <cellStyle name="Migliaia 20 2 3 2" xfId="5025" xr:uid="{0CD160EE-02EC-41AB-9FB4-51E75B9D74B4}"/>
    <cellStyle name="Migliaia 20 2 3 2 2" xfId="35208" xr:uid="{AFE56817-7F53-4436-A33A-06316BC44ED7}"/>
    <cellStyle name="Migliaia 20 2 3 2 2 2" xfId="40368" xr:uid="{1E7CF647-2F0A-45A4-BAB4-5AF38CAA1ED2}"/>
    <cellStyle name="Migliaia 20 2 3 2 2 3" xfId="45670" xr:uid="{10FD98AC-7433-4556-BCA1-A16491C89969}"/>
    <cellStyle name="Migliaia 20 2 3 2 3" xfId="37717" xr:uid="{E34D0A21-CC95-4B1D-BF85-7AB8EF34FD47}"/>
    <cellStyle name="Migliaia 20 2 3 2 4" xfId="43019" xr:uid="{EC243582-84A7-4299-9D18-D9F4067CFEFE}"/>
    <cellStyle name="Migliaia 20 2 3 2 5" xfId="14216" xr:uid="{D8693E71-F8F9-4BAF-9860-0133930022DF}"/>
    <cellStyle name="Migliaia 20 2 3 3" xfId="6237" xr:uid="{C41AEA15-B0A9-4053-8E36-222FA2906A01}"/>
    <cellStyle name="Migliaia 20 2 3 3 2" xfId="38787" xr:uid="{9B730F06-363F-4E43-93B7-44D55FE9DAA6}"/>
    <cellStyle name="Migliaia 20 2 3 3 3" xfId="44089" xr:uid="{A3A45162-2267-4076-9F16-8754BDDE8A07}"/>
    <cellStyle name="Migliaia 20 2 3 3 4" xfId="33371" xr:uid="{D109DFEA-6405-4148-87FA-2B04733B77BA}"/>
    <cellStyle name="Migliaia 20 2 3 3 5" xfId="20067" xr:uid="{BA63D5D9-EC81-44CC-8D66-3D79F3FDF5E9}"/>
    <cellStyle name="Migliaia 20 2 3 4" xfId="36280" xr:uid="{8795E217-1A34-4042-ABCC-FA0366BF8880}"/>
    <cellStyle name="Migliaia 20 2 3 5" xfId="41438" xr:uid="{7F10D9AC-AF5D-4707-B06B-3F403B054F4F}"/>
    <cellStyle name="Migliaia 20 2 3 6" xfId="16188" xr:uid="{630840ED-6968-4115-91F6-E6F8BC6C7378}"/>
    <cellStyle name="Migliaia 20 2 3 7" xfId="8278" xr:uid="{11EE2C72-32C9-4D58-BE4F-F72AF59AC700}"/>
    <cellStyle name="Migliaia 20 2 4" xfId="5023" xr:uid="{E690E513-41D2-4F5F-B2D0-3A977F8ABB90}"/>
    <cellStyle name="Migliaia 20 2 4 2" xfId="13921" xr:uid="{240FA36D-0ED3-4F18-8E10-C935A687685D}"/>
    <cellStyle name="Migliaia 20 2 4 2 2" xfId="38788" xr:uid="{A53040BF-41F6-403A-A535-68D9D60094F0}"/>
    <cellStyle name="Migliaia 20 2 4 2 3" xfId="44090" xr:uid="{B20DE2C4-5CC6-478D-A914-7FF97E8B42EF}"/>
    <cellStyle name="Migliaia 20 2 4 3" xfId="18719" xr:uid="{95E30E9D-9C15-4127-90BE-341F86C5FEDC}"/>
    <cellStyle name="Migliaia 20 2 4 4" xfId="20068" xr:uid="{38060229-A978-45F9-A009-F64761E57CC8}"/>
    <cellStyle name="Migliaia 20 2 4 4 2" xfId="41439" xr:uid="{E72DB524-F588-412D-92B2-E902EFB013A9}"/>
    <cellStyle name="Migliaia 20 2 4 5" xfId="16189" xr:uid="{3398D8AF-8665-4F50-9A65-DE8B025CAD89}"/>
    <cellStyle name="Migliaia 20 2 4 6" xfId="7871" xr:uid="{5C945C41-0018-4B8D-9627-65FED1F85F1E}"/>
    <cellStyle name="Migliaia 20 2 5" xfId="6235" xr:uid="{FF37BF19-91B6-4B3E-A92E-127F81DA7260}"/>
    <cellStyle name="Migliaia 20 2 5 2" xfId="33372" xr:uid="{3774D4EC-28C7-4CF1-849D-478D597DF977}"/>
    <cellStyle name="Migliaia 20 2 5 2 2" xfId="38789" xr:uid="{D2A45269-FD21-4316-8820-9B9813605618}"/>
    <cellStyle name="Migliaia 20 2 5 2 3" xfId="44091" xr:uid="{6B3B4FCF-1727-44AE-BFC1-FD18E90E98A7}"/>
    <cellStyle name="Migliaia 20 2 5 3" xfId="36281" xr:uid="{AF001F02-0956-450C-B298-933E1EADFCC1}"/>
    <cellStyle name="Migliaia 20 2 5 4" xfId="41440" xr:uid="{D4DE2673-ABD6-49E8-BF57-1D7406395089}"/>
    <cellStyle name="Migliaia 20 2 5 5" xfId="13115" xr:uid="{3147E584-E1B4-4A12-B4C1-F81F8DACD4A8}"/>
    <cellStyle name="Migliaia 20 2 6" xfId="3297" xr:uid="{7F3C78A9-AE06-4C91-9E2C-AAEEEABDBC72}"/>
    <cellStyle name="Migliaia 20 2 6 2" xfId="33373" xr:uid="{5675B69B-3D54-4D62-BA01-E944E9B68225}"/>
    <cellStyle name="Migliaia 20 2 6 2 2" xfId="38790" xr:uid="{C7DFF3EA-2DE6-4926-AE09-CFBADA1BEEBF}"/>
    <cellStyle name="Migliaia 20 2 6 2 3" xfId="44092" xr:uid="{AEDDDDCA-5F7A-489E-8BD6-0051340B7BF4}"/>
    <cellStyle name="Migliaia 20 2 6 3" xfId="36282" xr:uid="{7779A5A2-03E2-4617-BB8B-CB4356831D7F}"/>
    <cellStyle name="Migliaia 20 2 6 4" xfId="41441" xr:uid="{545F1D60-7680-41D2-9BF6-A4385DF82330}"/>
    <cellStyle name="Migliaia 20 2 6 5" xfId="24461" xr:uid="{9271C1FD-AA47-4249-95BE-19F40FB0A590}"/>
    <cellStyle name="Migliaia 20 2 6 6" xfId="20064" xr:uid="{09AA98A5-1EDC-468E-AFDE-AE12B98C2AE3}"/>
    <cellStyle name="Migliaia 20 2 7" xfId="24457" xr:uid="{3435B057-6D4B-426D-9C9F-9D72C7373992}"/>
    <cellStyle name="Migliaia 20 2 8" xfId="7079" xr:uid="{269FF50A-CAD5-4C6F-A8D0-F4A2B720FF13}"/>
    <cellStyle name="Migliaia 20 3" xfId="351" xr:uid="{00000000-0005-0000-0000-00002E030000}"/>
    <cellStyle name="Migliaia 20 3 10" xfId="24462" xr:uid="{A17C928C-3AB5-427B-8155-E0C11ED29699}"/>
    <cellStyle name="Migliaia 20 3 11" xfId="16190" xr:uid="{0085834A-B4BC-4E8F-9254-0B9A1770D6BE}"/>
    <cellStyle name="Migliaia 20 3 12" xfId="7080" xr:uid="{C1DA829C-A7B1-4E46-8F26-CB5C0039DA54}"/>
    <cellStyle name="Migliaia 20 3 2" xfId="352" xr:uid="{00000000-0005-0000-0000-00002F030000}"/>
    <cellStyle name="Migliaia 20 3 2 2" xfId="1717" xr:uid="{00000000-0005-0000-0000-000030030000}"/>
    <cellStyle name="Migliaia 20 3 2 2 2" xfId="5028" xr:uid="{E6FCE665-6B03-4854-BAFC-9D6DF9752672}"/>
    <cellStyle name="Migliaia 20 3 2 2 2 2" xfId="18399" xr:uid="{8BD545CE-BDCC-47E5-A826-8958ECB34B8A}"/>
    <cellStyle name="Migliaia 20 3 2 2 2 2 2" xfId="21853" xr:uid="{86BE38A1-87E0-4990-B31B-C5748BB43CAB}"/>
    <cellStyle name="Migliaia 20 3 2 2 2 2 2 2" xfId="38791" xr:uid="{69698E00-9997-4AC0-B3F7-393520D34D13}"/>
    <cellStyle name="Migliaia 20 3 2 2 2 2 3" xfId="44093" xr:uid="{3E3B7347-83EC-41D4-8076-7613BDAE7E63}"/>
    <cellStyle name="Migliaia 20 3 2 2 2 2 4" xfId="33374" xr:uid="{9B826E4A-21C7-4D5E-9221-04BB2AC381CA}"/>
    <cellStyle name="Migliaia 20 3 2 2 2 3" xfId="36283" xr:uid="{489CFB81-4E00-43E9-8E1F-180B34AE1765}"/>
    <cellStyle name="Migliaia 20 3 2 2 2 4" xfId="41442" xr:uid="{A2CFB6ED-B99B-49D0-A706-9EB8C4993BCB}"/>
    <cellStyle name="Migliaia 20 3 2 2 2 5" xfId="33410" xr:uid="{2AD93B0A-D472-4EAF-81AD-7C2A64652639}"/>
    <cellStyle name="Migliaia 20 3 2 2 2 6" xfId="50881" xr:uid="{6E2DD9F2-E3B0-4873-B6E7-EEC5E9DE4E5F}"/>
    <cellStyle name="Migliaia 20 3 2 2 2 7" xfId="53897" xr:uid="{141E300C-7AD7-4989-A1BA-833FCDBB1A4B}"/>
    <cellStyle name="Migliaia 20 3 2 2 2 8" xfId="17650" xr:uid="{9C8D73F4-14D0-4B29-9992-EAA1B8A44BFA}"/>
    <cellStyle name="Migliaia 20 3 2 2 2 9" xfId="11935" xr:uid="{DB8D743D-BE2F-4EA6-968C-7536B86BFA66}"/>
    <cellStyle name="Migliaia 20 3 2 2 3" xfId="6240" xr:uid="{57CE9A27-30DB-436C-BF92-68F3E852652C}"/>
    <cellStyle name="Migliaia 20 3 2 2 3 2" xfId="11671" xr:uid="{5A0C01CC-5C22-40FD-A29A-BA66239AC47D}"/>
    <cellStyle name="Migliaia 20 3 2 2 4" xfId="3302" xr:uid="{F74D9D9D-625F-4285-A195-459E63E670BC}"/>
    <cellStyle name="Migliaia 20 3 2 2 4 2" xfId="21429" xr:uid="{11C4FB04-4A9E-48F6-B0F1-7249603B682F}"/>
    <cellStyle name="Migliaia 20 3 2 2 4 3" xfId="47063" xr:uid="{F38DFD9D-1076-4125-A11C-2D2A7B03006F}"/>
    <cellStyle name="Migliaia 20 3 2 2 4 4" xfId="50444" xr:uid="{547268B3-28AC-4142-8060-C3BEF0FDDFEE}"/>
    <cellStyle name="Migliaia 20 3 2 2 4 5" xfId="53460" xr:uid="{264EAAFA-1672-47AF-8E23-12A65001D48D}"/>
    <cellStyle name="Migliaia 20 3 2 2 4 6" xfId="10794" xr:uid="{5FF074A4-5EB6-4068-9559-6964886301F3}"/>
    <cellStyle name="Migliaia 20 3 2 2 5" xfId="20071" xr:uid="{F6BB960D-4AA8-4D3F-9C78-A8A765A8F3B6}"/>
    <cellStyle name="Migliaia 20 3 2 2 6" xfId="24464" xr:uid="{1C224087-0A54-4488-9509-65EB2DF4EDD6}"/>
    <cellStyle name="Migliaia 20 3 2 2 7" xfId="8555" xr:uid="{BDDB9F06-A3FF-4EE9-82C6-D098ACC64F80}"/>
    <cellStyle name="Migliaia 20 3 2 3" xfId="5027" xr:uid="{8A8376F0-2401-4CFE-A451-CA53D0A8F04D}"/>
    <cellStyle name="Migliaia 20 3 2 3 2" xfId="12227" xr:uid="{E5D030C1-D702-42BD-A656-43BB87ACAF49}"/>
    <cellStyle name="Migliaia 20 3 2 3 2 2" xfId="38792" xr:uid="{14D9856F-F27D-4A4D-BC60-2A36AFFA102E}"/>
    <cellStyle name="Migliaia 20 3 2 3 2 3" xfId="44094" xr:uid="{8C468954-1D19-48B0-A34A-2A6BAAF192E1}"/>
    <cellStyle name="Migliaia 20 3 2 3 2 4" xfId="33375" xr:uid="{F96F718D-3CDA-4221-B534-CEAE5B2B96D7}"/>
    <cellStyle name="Migliaia 20 3 2 3 3" xfId="11936" xr:uid="{D708CCA0-30D5-4223-B75E-D1FE29478E81}"/>
    <cellStyle name="Migliaia 20 3 2 3 4" xfId="20072" xr:uid="{1831CCD9-D791-45F6-90B1-CF8C8AD5F6D4}"/>
    <cellStyle name="Migliaia 20 3 2 3 4 2" xfId="41443" xr:uid="{7527B870-C5B9-42DB-A79A-CD0B05026379}"/>
    <cellStyle name="Migliaia 20 3 2 3 5" xfId="16191" xr:uid="{4410F69F-71E0-44B6-8615-A277F8BEAEC6}"/>
    <cellStyle name="Migliaia 20 3 2 3 6" xfId="7873" xr:uid="{5AAB10DC-FCC2-4926-9347-B8E3321A3A25}"/>
    <cellStyle name="Migliaia 20 3 2 4" xfId="6239" xr:uid="{47707BAA-DEA3-40FD-8145-10731F90B767}"/>
    <cellStyle name="Migliaia 20 3 2 4 2" xfId="18069" xr:uid="{82D3D426-5560-4480-8B2F-F0BEBF89A972}"/>
    <cellStyle name="Migliaia 20 3 2 4 2 2" xfId="38793" xr:uid="{0E86FAC4-5699-4E9D-9FD7-12061A69A8B9}"/>
    <cellStyle name="Migliaia 20 3 2 4 2 3" xfId="44095" xr:uid="{C2082BF6-F645-4028-8E98-16621CC0507A}"/>
    <cellStyle name="Migliaia 20 3 2 4 3" xfId="36284" xr:uid="{08CEBBE6-FB5D-4C06-A433-63A29C8C35A2}"/>
    <cellStyle name="Migliaia 20 3 2 4 4" xfId="41444" xr:uid="{FA8FFA2D-E369-4A4A-9351-75FB9141C034}"/>
    <cellStyle name="Migliaia 20 3 2 4 5" xfId="17160" xr:uid="{70D8E08A-5E6A-45D1-8D38-C8633644F0EE}"/>
    <cellStyle name="Migliaia 20 3 2 4 6" xfId="11284" xr:uid="{278E56E6-2B74-4AAD-B989-50818BEB44F6}"/>
    <cellStyle name="Migliaia 20 3 2 5" xfId="3301" xr:uid="{B25961CB-D410-45B9-B077-5028FFE1B82F}"/>
    <cellStyle name="Migliaia 20 3 2 5 2" xfId="33376" xr:uid="{AD579B22-BC14-429B-97F1-0338EF0520C3}"/>
    <cellStyle name="Migliaia 20 3 2 5 2 2" xfId="38794" xr:uid="{A161C357-4789-49D9-B55C-E46311A32332}"/>
    <cellStyle name="Migliaia 20 3 2 5 2 3" xfId="44096" xr:uid="{30DC804B-4B3E-43B1-A965-B9F6936C5882}"/>
    <cellStyle name="Migliaia 20 3 2 5 3" xfId="36285" xr:uid="{D6FE94FF-A6F5-47A6-B574-200BB286272F}"/>
    <cellStyle name="Migliaia 20 3 2 5 4" xfId="41445" xr:uid="{20A22DBD-2809-4171-B924-EDB40EF3A280}"/>
    <cellStyle name="Migliaia 20 3 2 5 5" xfId="17390" xr:uid="{815E4FF7-3C87-4A51-8C50-16AC753BE700}"/>
    <cellStyle name="Migliaia 20 3 2 6" xfId="20070" xr:uid="{0DD90139-23ED-46D1-B498-F4FCF85F46A7}"/>
    <cellStyle name="Migliaia 20 3 2 6 2" xfId="33377" xr:uid="{E94146A6-52A6-4D1A-A0A4-19930607887A}"/>
    <cellStyle name="Migliaia 20 3 2 6 2 2" xfId="38795" xr:uid="{510BFE7F-4BB2-4C07-9CC6-5E6882AD3214}"/>
    <cellStyle name="Migliaia 20 3 2 6 2 3" xfId="44097" xr:uid="{DA03918C-FAE7-41D0-B988-1160F1379F35}"/>
    <cellStyle name="Migliaia 20 3 2 6 3" xfId="36286" xr:uid="{CF2D3AC7-F64E-48BE-92FA-1B9C11F1507E}"/>
    <cellStyle name="Migliaia 20 3 2 6 4" xfId="41446" xr:uid="{07759690-12A9-4D49-80FE-BC6C86B7F225}"/>
    <cellStyle name="Migliaia 20 3 2 6 5" xfId="24465" xr:uid="{25464AC2-3D96-4183-879C-19D1B47C14ED}"/>
    <cellStyle name="Migliaia 20 3 2 7" xfId="24463" xr:uid="{C66F03A7-3F9C-4F3C-B0AF-D9B17FAFD92C}"/>
    <cellStyle name="Migliaia 20 3 2 8" xfId="7365" xr:uid="{B8554499-9ECF-4F6D-9F3F-AAD59E769EFC}"/>
    <cellStyle name="Migliaia 20 3 3" xfId="3303" xr:uid="{0A7F90EE-771F-4DC2-B84D-11BB559D1429}"/>
    <cellStyle name="Migliaia 20 3 3 10" xfId="7364" xr:uid="{17B6D7B0-9193-4D17-AC17-2951A6AF8886}"/>
    <cellStyle name="Migliaia 20 3 3 2" xfId="5029" xr:uid="{6E96B5C7-43CC-465F-94A6-CB6A4C61889A}"/>
    <cellStyle name="Migliaia 20 3 3 2 2" xfId="9906" xr:uid="{C08D98CF-B599-4CE6-8AC6-26E19664F3B1}"/>
    <cellStyle name="Migliaia 20 3 3 2 2 2" xfId="38797" xr:uid="{F4CC941E-68DC-4865-9202-29DE40B17708}"/>
    <cellStyle name="Migliaia 20 3 3 2 2 3" xfId="44099" xr:uid="{8BAFC7DB-091F-4159-8D1B-3B40E0983847}"/>
    <cellStyle name="Migliaia 20 3 3 2 3" xfId="18186" xr:uid="{6FEF4D3F-4348-4639-A5CC-5B2C2EE7EBF9}"/>
    <cellStyle name="Migliaia 20 3 3 2 4" xfId="20074" xr:uid="{475CB908-5C93-459C-8FAA-EE03DBC50EB2}"/>
    <cellStyle name="Migliaia 20 3 3 2 4 2" xfId="41448" xr:uid="{EAEDF548-3F0B-4ECF-BAD0-93B35BF3851E}"/>
    <cellStyle name="Migliaia 20 3 3 2 5" xfId="16193" xr:uid="{C50B3CD1-74AB-450F-99F6-7B665561CC72}"/>
    <cellStyle name="Migliaia 20 3 3 2 6" xfId="8554" xr:uid="{115B8379-FC69-41FD-AE6E-F1B342985B61}"/>
    <cellStyle name="Migliaia 20 3 3 3" xfId="6241" xr:uid="{1584519A-704C-49C9-BFEE-0111DBF08D03}"/>
    <cellStyle name="Migliaia 20 3 3 3 2" xfId="33379" xr:uid="{A17583D3-BA04-4FA0-BE8B-915D8D0502B1}"/>
    <cellStyle name="Migliaia 20 3 3 3 2 2" xfId="38798" xr:uid="{C6D28FCC-5FF0-475E-8DD8-C7276A26F623}"/>
    <cellStyle name="Migliaia 20 3 3 3 2 3" xfId="44100" xr:uid="{70ECDD93-CED2-4D0D-B38C-6B20563848B7}"/>
    <cellStyle name="Migliaia 20 3 3 3 3" xfId="36288" xr:uid="{FA1E8770-8860-451B-8587-36BFF65E60B3}"/>
    <cellStyle name="Migliaia 20 3 3 3 4" xfId="41449" xr:uid="{79EBE2F3-633C-4074-88EC-BC1EDAEDF5A1}"/>
    <cellStyle name="Migliaia 20 3 3 3 5" xfId="9669" xr:uid="{B968158F-7243-463A-8C62-9BE226677763}"/>
    <cellStyle name="Migliaia 20 3 3 4" xfId="20073" xr:uid="{65E4927C-D330-4AE6-9609-DAC9C5028FD5}"/>
    <cellStyle name="Migliaia 20 3 3 4 2" xfId="33380" xr:uid="{942E6642-4EC1-41D1-A580-8831D28BC801}"/>
    <cellStyle name="Migliaia 20 3 3 4 2 2" xfId="38799" xr:uid="{329CE132-3AA2-418B-B6AC-D32A378AD3E0}"/>
    <cellStyle name="Migliaia 20 3 3 4 2 3" xfId="44101" xr:uid="{CEA7D693-FF0A-4B3B-9898-42C941910FF5}"/>
    <cellStyle name="Migliaia 20 3 3 4 3" xfId="36289" xr:uid="{432EEDEC-3DB1-4C3F-A598-A8785C46986E}"/>
    <cellStyle name="Migliaia 20 3 3 4 4" xfId="41450" xr:uid="{A1D711AE-72AC-4731-B6E3-6E6A768414C9}"/>
    <cellStyle name="Migliaia 20 3 3 4 5" xfId="24466" xr:uid="{C165E444-1A40-4D8C-9B03-83D69D84EBB4}"/>
    <cellStyle name="Migliaia 20 3 3 5" xfId="24467" xr:uid="{2D187CA7-328C-4857-AC00-CB27CCB256E4}"/>
    <cellStyle name="Migliaia 20 3 3 5 2" xfId="33381" xr:uid="{900B0004-3534-48AD-A40A-20BAE56151AD}"/>
    <cellStyle name="Migliaia 20 3 3 5 2 2" xfId="38800" xr:uid="{EAF6EEA0-D669-4B4A-9B93-3D200A394485}"/>
    <cellStyle name="Migliaia 20 3 3 5 2 3" xfId="44102" xr:uid="{03C3F5C4-7A7B-4787-9E2D-52DA0AE01190}"/>
    <cellStyle name="Migliaia 20 3 3 5 3" xfId="36290" xr:uid="{AB07E5E5-3D9C-4362-865F-5FDE0077218F}"/>
    <cellStyle name="Migliaia 20 3 3 5 4" xfId="41451" xr:uid="{62A161BA-C478-4101-A4F0-E7019BFBA4DC}"/>
    <cellStyle name="Migliaia 20 3 3 6" xfId="33378" xr:uid="{8EF0CF96-FEB5-4A2A-9246-A3379A5F7DFF}"/>
    <cellStyle name="Migliaia 20 3 3 6 2" xfId="38796" xr:uid="{36F36B6F-0DC0-4333-BE36-3EA684FCF596}"/>
    <cellStyle name="Migliaia 20 3 3 6 3" xfId="44098" xr:uid="{3880DD36-5495-403F-B017-C16661F60806}"/>
    <cellStyle name="Migliaia 20 3 3 7" xfId="36287" xr:uid="{72960EF2-3A26-4686-8CFC-304DB8ECA012}"/>
    <cellStyle name="Migliaia 20 3 3 8" xfId="41447" xr:uid="{8C7C277E-6656-4A9F-9293-B1725853CAEF}"/>
    <cellStyle name="Migliaia 20 3 3 9" xfId="16192" xr:uid="{B02018EA-AA95-43CA-8605-5D9FF5497731}"/>
    <cellStyle name="Migliaia 20 3 4" xfId="3304" xr:uid="{D40C12FB-7BE6-4B5C-B430-28748EF6E8CF}"/>
    <cellStyle name="Migliaia 20 3 4 2" xfId="5030" xr:uid="{AEA51B74-8505-48C0-B779-50D67A7C9DA4}"/>
    <cellStyle name="Migliaia 20 3 4 2 2" xfId="14435" xr:uid="{E0E16F88-4484-4359-A982-AC348A760F16}"/>
    <cellStyle name="Migliaia 20 3 4 2 3" xfId="18145" xr:uid="{A4A12C54-C714-46E5-88BC-3B5C26561766}"/>
    <cellStyle name="Migliaia 20 3 4 2 4" xfId="20076" xr:uid="{FDD89D5F-E57C-4161-8CFC-ED654CA66F77}"/>
    <cellStyle name="Migliaia 20 3 4 2 5" xfId="32331" xr:uid="{544F4D19-FE41-4080-B04A-E4CA67C0A811}"/>
    <cellStyle name="Migliaia 20 3 4 2 6" xfId="16195" xr:uid="{61DEAB6D-31CF-4336-A239-3B9D52751962}"/>
    <cellStyle name="Migliaia 20 3 4 2 7" xfId="8858" xr:uid="{AEC22804-151F-4396-A8F0-111B17B0E171}"/>
    <cellStyle name="Migliaia 20 3 4 3" xfId="6242" xr:uid="{E63B86CD-E5CA-43EB-8FB5-344E37318619}"/>
    <cellStyle name="Migliaia 20 3 4 3 2" xfId="35209" xr:uid="{92F1AACE-5712-4D4F-A42A-36E63FD9DD4C}"/>
    <cellStyle name="Migliaia 20 3 4 3 2 2" xfId="40369" xr:uid="{56DBF920-FEAF-4821-8E19-DB12EC1750FF}"/>
    <cellStyle name="Migliaia 20 3 4 3 2 3" xfId="45671" xr:uid="{166E0073-67B6-4E45-9BAD-6A09FD0317CF}"/>
    <cellStyle name="Migliaia 20 3 4 3 3" xfId="37718" xr:uid="{3AEBEC8C-376E-4FB4-A892-AF45B27AC5D1}"/>
    <cellStyle name="Migliaia 20 3 4 3 4" xfId="43020" xr:uid="{2CE7A09E-6172-403E-BDCE-24DD8C0C4EE0}"/>
    <cellStyle name="Migliaia 20 3 4 3 5" xfId="13683" xr:uid="{695BB32C-C6A7-410D-87B7-6662C32745E6}"/>
    <cellStyle name="Migliaia 20 3 4 4" xfId="20075" xr:uid="{0DEE9D9B-AA64-4486-A9B9-56B464CE099C}"/>
    <cellStyle name="Migliaia 20 3 4 4 2" xfId="38801" xr:uid="{490963D0-3955-4EBB-A67E-A1AC18516F4E}"/>
    <cellStyle name="Migliaia 20 3 4 4 3" xfId="44103" xr:uid="{FE4892AE-9AAB-4734-9630-5DE3D9FE7522}"/>
    <cellStyle name="Migliaia 20 3 4 4 4" xfId="33382" xr:uid="{DD4EEBFC-2228-4662-884C-9ACA57861E88}"/>
    <cellStyle name="Migliaia 20 3 4 5" xfId="36291" xr:uid="{A4CFB204-CA52-4B19-959E-37C0C7179EE4}"/>
    <cellStyle name="Migliaia 20 3 4 6" xfId="41452" xr:uid="{66A25FAD-156F-43AF-96F9-08F3A2AED1B1}"/>
    <cellStyle name="Migliaia 20 3 4 7" xfId="16194" xr:uid="{B056467A-E05E-47BD-9164-973B3CC88E13}"/>
    <cellStyle name="Migliaia 20 3 4 8" xfId="7668" xr:uid="{84B627EA-4F04-4943-848E-07B620DD8E27}"/>
    <cellStyle name="Migliaia 20 3 5" xfId="3305" xr:uid="{5A1F4818-424A-472C-BBF0-0C2DF6112EA4}"/>
    <cellStyle name="Migliaia 20 3 5 2" xfId="5031" xr:uid="{F2C81148-6863-410D-97FA-676C0B29DACB}"/>
    <cellStyle name="Migliaia 20 3 5 2 2" xfId="35210" xr:uid="{D2B24583-5599-4BF0-82F6-1323DCBC59B4}"/>
    <cellStyle name="Migliaia 20 3 5 2 2 2" xfId="40370" xr:uid="{983C6D1C-6892-4166-AE89-3BE59A68A45A}"/>
    <cellStyle name="Migliaia 20 3 5 2 2 3" xfId="45672" xr:uid="{3238683F-F38E-4B4A-8681-2C54F8EF763C}"/>
    <cellStyle name="Migliaia 20 3 5 2 3" xfId="37719" xr:uid="{FD2DCA4C-F908-4B27-8D4A-3DD90942703A}"/>
    <cellStyle name="Migliaia 20 3 5 2 4" xfId="43021" xr:uid="{3FA88A4F-27B7-4043-956C-D79C06C4BC06}"/>
    <cellStyle name="Migliaia 20 3 5 2 5" xfId="14217" xr:uid="{1F6B242F-D0AE-48FD-B8B1-3AF9D344DC73}"/>
    <cellStyle name="Migliaia 20 3 5 3" xfId="6243" xr:uid="{07C5F843-C900-4F07-A1FB-60B5A5FBDB15}"/>
    <cellStyle name="Migliaia 20 3 5 3 2" xfId="38802" xr:uid="{EF9951E2-B783-4598-A93A-C8E0AAAADEB5}"/>
    <cellStyle name="Migliaia 20 3 5 3 3" xfId="44104" xr:uid="{4B154156-53E8-41AB-B75C-50FDEF86FB6A}"/>
    <cellStyle name="Migliaia 20 3 5 3 4" xfId="33383" xr:uid="{48CC5265-E324-4F8D-A38D-E8980B648F19}"/>
    <cellStyle name="Migliaia 20 3 5 3 5" xfId="20077" xr:uid="{9E9BD431-FCF6-44BD-8477-0D5BCED5FC3C}"/>
    <cellStyle name="Migliaia 20 3 5 4" xfId="36292" xr:uid="{35AF5AD3-F090-497D-9230-1347684DCD81}"/>
    <cellStyle name="Migliaia 20 3 5 5" xfId="41453" xr:uid="{EAC45F60-0258-472C-B585-A85A534D031E}"/>
    <cellStyle name="Migliaia 20 3 5 6" xfId="16196" xr:uid="{CBAFFB81-6BD3-4C52-9296-8D83E23E111A}"/>
    <cellStyle name="Migliaia 20 3 5 7" xfId="8279" xr:uid="{1D1577AE-4F77-4F31-9BBD-6DE927211A0E}"/>
    <cellStyle name="Migliaia 20 3 6" xfId="5026" xr:uid="{82106CB1-518C-4F8C-8A1B-63A867B346BD}"/>
    <cellStyle name="Migliaia 20 3 6 2" xfId="13922" xr:uid="{D9A7239A-11BD-4AA8-A93B-876A5ECC28E3}"/>
    <cellStyle name="Migliaia 20 3 6 2 2" xfId="38803" xr:uid="{6BEF767A-5E24-4A90-BFB5-BA154C20D708}"/>
    <cellStyle name="Migliaia 20 3 6 2 3" xfId="44105" xr:uid="{8E868E35-562B-4145-9D4B-D273656D3E0B}"/>
    <cellStyle name="Migliaia 20 3 6 3" xfId="18718" xr:uid="{0174797A-0AEB-4E79-86BF-5E704437EBD2}"/>
    <cellStyle name="Migliaia 20 3 6 4" xfId="20078" xr:uid="{16DEDFFF-169D-478C-8B02-5E13A9C5F4FD}"/>
    <cellStyle name="Migliaia 20 3 6 4 2" xfId="41454" xr:uid="{3CBBAAC3-9E10-4E42-95AD-5C89A77987A0}"/>
    <cellStyle name="Migliaia 20 3 6 5" xfId="16197" xr:uid="{2235003E-A579-4614-B77B-45F1AA73248F}"/>
    <cellStyle name="Migliaia 20 3 6 6" xfId="7872" xr:uid="{30EF9DB3-2345-4A55-9959-D4C7787C4B27}"/>
    <cellStyle name="Migliaia 20 3 7" xfId="6238" xr:uid="{2B403D09-B6CD-418E-A250-A2EF9F538168}"/>
    <cellStyle name="Migliaia 20 3 7 2" xfId="33384" xr:uid="{86570340-1575-4F21-97D2-36B7F45458B1}"/>
    <cellStyle name="Migliaia 20 3 7 2 2" xfId="38804" xr:uid="{A9457E08-7C68-4F58-B49D-B74778451D9A}"/>
    <cellStyle name="Migliaia 20 3 7 2 3" xfId="44106" xr:uid="{3D34D163-9A84-4B2D-9B4B-BAE557B302C5}"/>
    <cellStyle name="Migliaia 20 3 7 3" xfId="36293" xr:uid="{67E40F71-52AD-43E8-89BA-B8237C55F234}"/>
    <cellStyle name="Migliaia 20 3 7 4" xfId="41455" xr:uid="{6B7FF468-076F-42F5-9F3B-B46D37048A32}"/>
    <cellStyle name="Migliaia 20 3 7 5" xfId="11519" xr:uid="{740375E0-5047-40AA-AE09-AE9F61604E07}"/>
    <cellStyle name="Migliaia 20 3 8" xfId="3300" xr:uid="{C9285DF3-A1A0-4BE7-A8CE-BD69AE65FECD}"/>
    <cellStyle name="Migliaia 20 3 8 2" xfId="33385" xr:uid="{367863E1-FB5C-4EC4-A185-B0CF573526B2}"/>
    <cellStyle name="Migliaia 20 3 8 2 2" xfId="38805" xr:uid="{993E1E83-CCE5-4581-B7A2-211C0DF3C856}"/>
    <cellStyle name="Migliaia 20 3 8 2 3" xfId="44107" xr:uid="{2BA5BE46-7C64-46EA-9B00-5DF34F7CA38D}"/>
    <cellStyle name="Migliaia 20 3 8 3" xfId="36294" xr:uid="{2712F54D-86B7-49F5-8C2B-0AFCD5F16BA3}"/>
    <cellStyle name="Migliaia 20 3 8 4" xfId="41456" xr:uid="{F7B6EA70-2BDD-4AF0-A580-9976FC82CE9A}"/>
    <cellStyle name="Migliaia 20 3 8 5" xfId="24468" xr:uid="{2B1D5394-8CE8-4467-8650-5274207EE8B7}"/>
    <cellStyle name="Migliaia 20 3 8 6" xfId="17391" xr:uid="{375343C9-9EB9-4BF3-B058-7B25B5408B25}"/>
    <cellStyle name="Migliaia 20 3 9" xfId="20069" xr:uid="{57D9BAAC-6A5B-49DC-962E-9E6310557B9C}"/>
    <cellStyle name="Migliaia 20 4" xfId="1718" xr:uid="{00000000-0005-0000-0000-000031030000}"/>
    <cellStyle name="Migliaia 20 4 2" xfId="1719" xr:uid="{00000000-0005-0000-0000-000032030000}"/>
    <cellStyle name="Migliaia 20 4 2 2" xfId="5033" xr:uid="{55B599D6-0F1A-47A0-B4C9-80786FA520F6}"/>
    <cellStyle name="Migliaia 20 4 2 2 2" xfId="33386" xr:uid="{2DBD3820-2CE5-4F7F-8181-9ADC41BCB3D0}"/>
    <cellStyle name="Migliaia 20 4 2 2 2 2" xfId="38806" xr:uid="{348E2E19-D1BC-4597-BDA9-182FCD6BFF80}"/>
    <cellStyle name="Migliaia 20 4 2 2 2 3" xfId="44108" xr:uid="{0F00F63C-CA14-4B56-BB32-FF497FACE7F5}"/>
    <cellStyle name="Migliaia 20 4 2 2 3" xfId="36295" xr:uid="{84CD1C53-A8F0-4461-A004-DE743E566703}"/>
    <cellStyle name="Migliaia 20 4 2 2 4" xfId="41457" xr:uid="{CE5B6616-BCEA-4807-95AE-FDE073DB957B}"/>
    <cellStyle name="Migliaia 20 4 2 2 5" xfId="9132" xr:uid="{CA246449-D33F-47ED-9001-496362F969F9}"/>
    <cellStyle name="Migliaia 20 4 2 3" xfId="3307" xr:uid="{6198E792-1BEF-4FC3-BDE0-BA62190CB66F}"/>
    <cellStyle name="Migliaia 20 4 2 3 2" xfId="33387" xr:uid="{2344B976-6A07-44C8-840E-BE78A7D3FF33}"/>
    <cellStyle name="Migliaia 20 4 2 3 2 2" xfId="38807" xr:uid="{FCD72A5A-7C10-4CC0-9689-661DE4879757}"/>
    <cellStyle name="Migliaia 20 4 2 3 2 3" xfId="44109" xr:uid="{3195810D-E6C7-4C88-A205-BF3674C7AD02}"/>
    <cellStyle name="Migliaia 20 4 2 3 3" xfId="36296" xr:uid="{4DBDE5D0-4465-472B-8F73-0190952B5EE0}"/>
    <cellStyle name="Migliaia 20 4 2 3 4" xfId="41458" xr:uid="{E77183AC-FBF7-4FD0-A3A9-7AF685246DAF}"/>
    <cellStyle name="Migliaia 20 4 2 3 5" xfId="11937" xr:uid="{60B6EAE8-A632-4C04-8FA8-4B225BF90A18}"/>
    <cellStyle name="Migliaia 20 4 2 4" xfId="11286" xr:uid="{E6CCE3C1-3E12-4FC1-B971-A51651BB8705}"/>
    <cellStyle name="Migliaia 20 4 2 5" xfId="10796" xr:uid="{7E144E6E-4A76-436E-B98E-271995D410CB}"/>
    <cellStyle name="Migliaia 20 4 2 5 2" xfId="21431" xr:uid="{A4F40495-26BE-41D7-AF58-80A441104C5D}"/>
    <cellStyle name="Migliaia 20 4 2 5 3" xfId="47597" xr:uid="{809345C9-1945-4AA0-8F07-B8F77FB722BC}"/>
    <cellStyle name="Migliaia 20 4 2 5 4" xfId="50446" xr:uid="{3652EEFE-25E3-4621-AD68-1F066BF91B32}"/>
    <cellStyle name="Migliaia 20 4 2 5 5" xfId="53462" xr:uid="{A80E0D08-10A8-428E-A95D-69F5389EC3C4}"/>
    <cellStyle name="Migliaia 20 4 2 6" xfId="20080" xr:uid="{6C7273F0-1AAF-4EE8-990D-9575C8785C7C}"/>
    <cellStyle name="Migliaia 20 4 2 7" xfId="24470" xr:uid="{73D4164A-17DB-41FA-9FE5-1AEE7C0C0F9C}"/>
    <cellStyle name="Migliaia 20 4 2 8" xfId="8556" xr:uid="{C27AB129-1A6F-498A-9B47-D590BF68BA61}"/>
    <cellStyle name="Migliaia 20 4 3" xfId="5032" xr:uid="{8E31D9DF-A807-4FC7-9B3E-D5749C7DDAB2}"/>
    <cellStyle name="Migliaia 20 4 3 2" xfId="18187" xr:uid="{08B187E4-AD24-4D32-A8E4-50FEAF9599F5}"/>
    <cellStyle name="Migliaia 20 4 3 2 2" xfId="38808" xr:uid="{95700F47-09A4-435A-8DAA-2503CB725F6C}"/>
    <cellStyle name="Migliaia 20 4 3 2 3" xfId="44110" xr:uid="{237C3B9C-CC19-4589-90C6-86CD6E6DF721}"/>
    <cellStyle name="Migliaia 20 4 3 3" xfId="36297" xr:uid="{461E3629-A884-4DBB-8B68-ADAF4A9EBFB1}"/>
    <cellStyle name="Migliaia 20 4 3 4" xfId="41459" xr:uid="{D8174299-8304-4228-93B7-D59BAAA830FB}"/>
    <cellStyle name="Migliaia 20 4 3 5" xfId="17389" xr:uid="{6848CBDF-6B26-49A2-923E-5CC1EC565863}"/>
    <cellStyle name="Migliaia 20 4 3 6" xfId="9133" xr:uid="{DB095A99-73D8-4869-800C-042B2F3FFAF1}"/>
    <cellStyle name="Migliaia 20 4 4" xfId="6244" xr:uid="{E62C35C4-36E2-42F4-AAFC-E3F161E8831D}"/>
    <cellStyle name="Migliaia 20 4 4 2" xfId="33388" xr:uid="{4E45E283-FCF2-45CD-BC1F-06FC83F719DF}"/>
    <cellStyle name="Migliaia 20 4 4 2 2" xfId="38809" xr:uid="{B8C2FDFC-E18B-4B39-ACB8-4C49ABEF3E71}"/>
    <cellStyle name="Migliaia 20 4 4 2 3" xfId="44111" xr:uid="{B910F16B-125E-466D-BC6E-55CE09CAD279}"/>
    <cellStyle name="Migliaia 20 4 4 3" xfId="36298" xr:uid="{D538A14D-38FE-4AF1-BA6C-B56EC835764A}"/>
    <cellStyle name="Migliaia 20 4 4 4" xfId="41460" xr:uid="{C7C2D3CC-29AD-44C8-B6B7-10588A66422B}"/>
    <cellStyle name="Migliaia 20 4 4 5" xfId="11938" xr:uid="{C94F591F-230F-42A2-A591-BFD98CF82A5A}"/>
    <cellStyle name="Migliaia 20 4 5" xfId="3306" xr:uid="{4FB76E85-52CF-42E2-91A0-1574BD4A21EA}"/>
    <cellStyle name="Migliaia 20 4 5 2" xfId="33389" xr:uid="{A6FA1CB4-6D3B-4536-B6DB-5AE95BD830F8}"/>
    <cellStyle name="Migliaia 20 4 5 2 2" xfId="38810" xr:uid="{85EDF34F-D4CD-470B-A1F0-DFB0A7BF1F69}"/>
    <cellStyle name="Migliaia 20 4 5 2 3" xfId="44112" xr:uid="{D75F5CD3-85B5-4FBD-BC7A-74FD16633764}"/>
    <cellStyle name="Migliaia 20 4 5 3" xfId="36299" xr:uid="{D8F6796C-5799-4D58-A930-BD4462DB90CE}"/>
    <cellStyle name="Migliaia 20 4 5 4" xfId="41461" xr:uid="{0421B033-85D8-4878-A2D4-68EA60C237B4}"/>
    <cellStyle name="Migliaia 20 4 5 5" xfId="11285" xr:uid="{EFEC93F0-D56A-4216-9547-CDC9029B82BC}"/>
    <cellStyle name="Migliaia 20 4 6" xfId="10795" xr:uid="{22C06E4F-D0C3-4131-92FC-A56746EFD9B2}"/>
    <cellStyle name="Migliaia 20 4 6 2" xfId="21430" xr:uid="{FAF70D45-00D1-4F94-B161-5F7F818E2BEC}"/>
    <cellStyle name="Migliaia 20 4 6 2 2" xfId="38811" xr:uid="{03EC2F8D-35EE-4C0F-9B30-6AE14AA41DD4}"/>
    <cellStyle name="Migliaia 20 4 6 2 3" xfId="44113" xr:uid="{8F142D2E-48E3-4E07-BCB3-17DBE58E87D5}"/>
    <cellStyle name="Migliaia 20 4 6 2 4" xfId="33390" xr:uid="{CBE19217-5732-4E24-A92B-7F23358E9BC4}"/>
    <cellStyle name="Migliaia 20 4 6 3" xfId="36300" xr:uid="{A5E53078-D4C4-4E42-95EE-91A3227CA073}"/>
    <cellStyle name="Migliaia 20 4 6 4" xfId="41462" xr:uid="{8F903584-A493-45F5-AD61-26DF3B6CF910}"/>
    <cellStyle name="Migliaia 20 4 6 5" xfId="24471" xr:uid="{E4A6FC9C-900F-4FFA-8C6B-6ED55C9B2D43}"/>
    <cellStyle name="Migliaia 20 4 6 6" xfId="23998" xr:uid="{425BF0D1-1743-410F-AB4D-15A08B0B06BE}"/>
    <cellStyle name="Migliaia 20 4 6 7" xfId="50445" xr:uid="{ACE72984-6098-42E8-9708-3A78DCD8B9E6}"/>
    <cellStyle name="Migliaia 20 4 6 8" xfId="53461" xr:uid="{8F48F2DA-55E5-4A62-BBA7-0FAB44EECD35}"/>
    <cellStyle name="Migliaia 20 4 7" xfId="20079" xr:uid="{2EB98910-4A28-4246-8473-493875E183A5}"/>
    <cellStyle name="Migliaia 20 4 7 2" xfId="33391" xr:uid="{7B2E2E11-3F02-41E2-8214-60315B9CEC1D}"/>
    <cellStyle name="Migliaia 20 4 7 2 2" xfId="38812" xr:uid="{AF1E1A0A-5EC8-4EEE-98F7-DC261562DC37}"/>
    <cellStyle name="Migliaia 20 4 7 2 3" xfId="44114" xr:uid="{EBD238B5-0AEB-4CB9-B74E-C0A86C1E1512}"/>
    <cellStyle name="Migliaia 20 4 7 3" xfId="36301" xr:uid="{AFF6C592-DD31-4135-83CF-60CE0AC39727}"/>
    <cellStyle name="Migliaia 20 4 7 4" xfId="41463" xr:uid="{BCD7742A-FF7E-425C-8843-E03F6F9A0FDE}"/>
    <cellStyle name="Migliaia 20 4 7 5" xfId="24472" xr:uid="{48C5FF43-0468-4949-B539-C7DFF7BFAA90}"/>
    <cellStyle name="Migliaia 20 4 8" xfId="24469" xr:uid="{BE4276C7-6D5A-42CD-926E-9F738232424A}"/>
    <cellStyle name="Migliaia 20 4 9" xfId="7366" xr:uid="{52626DEB-E889-4C04-8E36-FA8FA4069380}"/>
    <cellStyle name="Migliaia 20 5" xfId="1720" xr:uid="{00000000-0005-0000-0000-000033030000}"/>
    <cellStyle name="Migliaia 20 5 2" xfId="5034" xr:uid="{62DCAD72-A3E1-41D8-BFC0-DEDB4B6B5BFB}"/>
    <cellStyle name="Migliaia 20 5 2 2" xfId="18400" xr:uid="{7F91B91D-41E3-40B9-8CC0-67FE47883FF6}"/>
    <cellStyle name="Migliaia 20 5 2 2 2" xfId="38813" xr:uid="{8C14607A-9D15-4733-BD7D-B7301566E870}"/>
    <cellStyle name="Migliaia 20 5 2 2 3" xfId="44115" xr:uid="{4F984951-0E3D-42CC-A0B5-8365E1FE52B6}"/>
    <cellStyle name="Migliaia 20 5 2 3" xfId="20082" xr:uid="{68E3A6FE-D174-44C0-AC89-63DBDA4ACBB0}"/>
    <cellStyle name="Migliaia 20 5 2 3 2" xfId="36302" xr:uid="{0B6003E0-4E95-4274-86FD-AC8E20E18EAD}"/>
    <cellStyle name="Migliaia 20 5 2 4" xfId="41464" xr:uid="{729EC048-C6D0-47F1-923B-05C66397FAD0}"/>
    <cellStyle name="Migliaia 20 5 2 5" xfId="16198" xr:uid="{DE2DF801-1332-4592-B0C3-05AC485893A7}"/>
    <cellStyle name="Migliaia 20 5 2 6" xfId="8557" xr:uid="{0E5E7799-AD29-4420-936F-1ECA78196D64}"/>
    <cellStyle name="Migliaia 20 5 3" xfId="6245" xr:uid="{7A073B44-02F7-4CA3-867C-8E07F664BF8C}"/>
    <cellStyle name="Migliaia 20 5 3 2" xfId="33392" xr:uid="{A7A55122-3C2D-4C18-BD24-CE7E98B29FA7}"/>
    <cellStyle name="Migliaia 20 5 3 2 2" xfId="38814" xr:uid="{B4A48336-4700-4B02-AB63-C61722DCE77B}"/>
    <cellStyle name="Migliaia 20 5 3 2 3" xfId="44116" xr:uid="{2064FA2A-62CF-4EA9-A62A-C959F4399B8D}"/>
    <cellStyle name="Migliaia 20 5 3 3" xfId="36303" xr:uid="{55FB2C5F-887F-4DF6-BBA3-50308D525A61}"/>
    <cellStyle name="Migliaia 20 5 3 4" xfId="41465" xr:uid="{04B569C3-396B-421A-BE44-CF319C5BE521}"/>
    <cellStyle name="Migliaia 20 5 3 5" xfId="11287" xr:uid="{8CC2F80D-812D-4749-A2E5-F3CCEAE9E12E}"/>
    <cellStyle name="Migliaia 20 5 4" xfId="3308" xr:uid="{D269DE0E-1204-4BA1-9773-495E1939A0E6}"/>
    <cellStyle name="Migliaia 20 5 4 2" xfId="21432" xr:uid="{20485113-7C35-44DD-A681-293E1DE2FD85}"/>
    <cellStyle name="Migliaia 20 5 4 2 2" xfId="38815" xr:uid="{1B1595A1-934A-40EE-91CA-810828ACED6D}"/>
    <cellStyle name="Migliaia 20 5 4 2 3" xfId="44117" xr:uid="{DCAFA341-2D8E-44C2-9DAA-7A4F87A577AF}"/>
    <cellStyle name="Migliaia 20 5 4 2 4" xfId="33393" xr:uid="{C3F907CA-D951-4012-BBD4-5E75E9E1972A}"/>
    <cellStyle name="Migliaia 20 5 4 3" xfId="36304" xr:uid="{DFB26D98-C88B-4D64-AD16-1708E68F70F6}"/>
    <cellStyle name="Migliaia 20 5 4 4" xfId="41466" xr:uid="{71D26F7F-B56E-4D8D-A012-53D0E2DC5D1E}"/>
    <cellStyle name="Migliaia 20 5 4 5" xfId="24474" xr:uid="{3D5722A8-5C5E-4163-AAFA-7E5EAA0EA4AF}"/>
    <cellStyle name="Migliaia 20 5 4 6" xfId="46221" xr:uid="{294D649D-4CDC-4957-962D-F5F87BF14188}"/>
    <cellStyle name="Migliaia 20 5 4 7" xfId="50447" xr:uid="{05019B25-E7C7-4A6A-A5F3-C1270E96F857}"/>
    <cellStyle name="Migliaia 20 5 4 8" xfId="53463" xr:uid="{09F82BBE-2A07-434A-9617-F45E1D10E828}"/>
    <cellStyle name="Migliaia 20 5 4 9" xfId="10797" xr:uid="{C9AC7AA4-E09F-4C92-BE19-06CDDD3A4E4C}"/>
    <cellStyle name="Migliaia 20 5 5" xfId="20081" xr:uid="{ACF91A89-492E-4486-9360-40A591C25E4D}"/>
    <cellStyle name="Migliaia 20 5 5 2" xfId="33394" xr:uid="{3C430579-FD5F-47F3-9958-AC1FAEC9E8B0}"/>
    <cellStyle name="Migliaia 20 5 5 2 2" xfId="38816" xr:uid="{8E0FE531-4894-4458-9854-783E96606E51}"/>
    <cellStyle name="Migliaia 20 5 5 2 3" xfId="44118" xr:uid="{AC5AA3FA-E8D8-4E82-AF06-A2BA01C37D2C}"/>
    <cellStyle name="Migliaia 20 5 5 3" xfId="36305" xr:uid="{857ACCFF-DBA7-4853-928E-95C9C5911E0A}"/>
    <cellStyle name="Migliaia 20 5 5 4" xfId="41467" xr:uid="{58555082-1E32-40B0-9F08-9BAAA2AA5670}"/>
    <cellStyle name="Migliaia 20 5 5 5" xfId="24475" xr:uid="{2569E531-745A-4CFE-9ED0-1A2FCA76EA74}"/>
    <cellStyle name="Migliaia 20 5 6" xfId="24476" xr:uid="{A4F46834-6DCE-47F4-BFF2-BFF667357559}"/>
    <cellStyle name="Migliaia 20 5 6 2" xfId="33395" xr:uid="{01136076-DF55-4DD4-AEB3-D2223F3BD586}"/>
    <cellStyle name="Migliaia 20 5 6 2 2" xfId="38817" xr:uid="{5FA94E0F-3DB5-481C-AE35-83E121246E90}"/>
    <cellStyle name="Migliaia 20 5 6 2 3" xfId="44119" xr:uid="{91B0C37D-73BD-429E-A26E-E255AE01790F}"/>
    <cellStyle name="Migliaia 20 5 6 3" xfId="36306" xr:uid="{BE484817-280A-4E68-BA9B-6B5679CCF866}"/>
    <cellStyle name="Migliaia 20 5 6 4" xfId="41468" xr:uid="{28BF6858-D849-4FE7-9016-3064D1E0EB2C}"/>
    <cellStyle name="Migliaia 20 5 7" xfId="24473" xr:uid="{06E5FC23-CB2E-4152-A506-3A717C437A4B}"/>
    <cellStyle name="Migliaia 20 5 8" xfId="7367" xr:uid="{10C6F656-9563-497D-931E-5C64F2757F39}"/>
    <cellStyle name="Migliaia 20 6" xfId="3309" xr:uid="{296237C1-5732-4F74-B462-E3CB81252811}"/>
    <cellStyle name="Migliaia 20 6 2" xfId="5035" xr:uid="{4F82EDEE-56ED-4DE6-993E-81BF894A71EB}"/>
    <cellStyle name="Migliaia 20 6 2 2" xfId="9905" xr:uid="{A7358FE8-8062-41C3-A622-2F13FE9F500A}"/>
    <cellStyle name="Migliaia 20 6 2 3" xfId="18668" xr:uid="{4CABEB96-3804-4D99-BA1E-AB38CC7EC21E}"/>
    <cellStyle name="Migliaia 20 6 2 4" xfId="20084" xr:uid="{1C18D841-3D28-4327-BC04-211BAF42367C}"/>
    <cellStyle name="Migliaia 20 6 2 5" xfId="32332" xr:uid="{445F7882-A0F5-4B3D-8721-D685895643E8}"/>
    <cellStyle name="Migliaia 20 6 2 6" xfId="16200" xr:uid="{1736580D-FC0F-4857-B3EF-18572F929C70}"/>
    <cellStyle name="Migliaia 20 6 2 7" xfId="8552" xr:uid="{5D97FBF7-3915-45BB-B0C6-FE75CEC9149C}"/>
    <cellStyle name="Migliaia 20 6 3" xfId="6246" xr:uid="{A1D21CD8-AD83-4063-9F10-B884C5B34114}"/>
    <cellStyle name="Migliaia 20 6 3 2" xfId="35211" xr:uid="{9B05BDB0-583D-4F1F-A5A5-EA0CC171FD58}"/>
    <cellStyle name="Migliaia 20 6 3 2 2" xfId="40371" xr:uid="{0796B2BC-3819-41B1-BF32-38116254769E}"/>
    <cellStyle name="Migliaia 20 6 3 2 3" xfId="45673" xr:uid="{EF37FE9C-3EC5-4797-99AD-238270E1BAC2}"/>
    <cellStyle name="Migliaia 20 6 3 3" xfId="37720" xr:uid="{74083A16-3637-41B9-AAAE-6BDB0D85E0DC}"/>
    <cellStyle name="Migliaia 20 6 3 4" xfId="43022" xr:uid="{E87383CE-7DB7-427A-8CE5-EF4ED9066F14}"/>
    <cellStyle name="Migliaia 20 6 3 5" xfId="9668" xr:uid="{8EC3A63F-F755-4F84-A652-4F07EC54684E}"/>
    <cellStyle name="Migliaia 20 6 4" xfId="20083" xr:uid="{DAAE0188-65E4-452F-B50C-92FD3EA29778}"/>
    <cellStyle name="Migliaia 20 6 4 2" xfId="38818" xr:uid="{1DFD2B8D-3CC6-405B-9B8B-DC5AF4F20196}"/>
    <cellStyle name="Migliaia 20 6 4 3" xfId="44120" xr:uid="{DAF0F077-AE8F-4FA4-86F8-CB5D9217010D}"/>
    <cellStyle name="Migliaia 20 6 4 4" xfId="33396" xr:uid="{8E1E3B97-F630-42D5-8DAB-E4328FCF5913}"/>
    <cellStyle name="Migliaia 20 6 5" xfId="36307" xr:uid="{36512790-EF34-4815-81A7-46D28C73C66C}"/>
    <cellStyle name="Migliaia 20 6 6" xfId="41469" xr:uid="{F68090DB-88D5-44A9-8045-B4C0D1D9F8BD}"/>
    <cellStyle name="Migliaia 20 6 7" xfId="16199" xr:uid="{138E4DFE-E95B-4F6D-9F13-0595DBCF0671}"/>
    <cellStyle name="Migliaia 20 6 8" xfId="7362" xr:uid="{923AD168-15CE-47CF-A8D7-13062B3ED87E}"/>
    <cellStyle name="Migliaia 20 7" xfId="3310" xr:uid="{3CEEC087-4381-4CE3-812A-34883EFBB942}"/>
    <cellStyle name="Migliaia 20 7 2" xfId="5036" xr:uid="{954216DC-3C37-4552-B5BE-0F1106148363}"/>
    <cellStyle name="Migliaia 20 7 2 2" xfId="35212" xr:uid="{6A9AFA5B-0428-4EB5-B8F2-1EE6DA6D9E3B}"/>
    <cellStyle name="Migliaia 20 7 2 2 2" xfId="40372" xr:uid="{A4D9A003-2D2A-4CC4-B5F4-EF42BD677590}"/>
    <cellStyle name="Migliaia 20 7 2 2 3" xfId="45674" xr:uid="{E875F2AC-91C1-4364-ABB9-9B2FF3F3497B}"/>
    <cellStyle name="Migliaia 20 7 2 3" xfId="37721" xr:uid="{A07C798C-0FBE-49AF-A6A7-DECFEA19547E}"/>
    <cellStyle name="Migliaia 20 7 2 4" xfId="43023" xr:uid="{EADE4A53-ED63-41E7-8B5E-9311DFE6CE94}"/>
    <cellStyle name="Migliaia 20 7 2 5" xfId="14215" xr:uid="{FA9F3EB5-A386-4CB2-8622-99D53EC6B2BD}"/>
    <cellStyle name="Migliaia 20 7 3" xfId="6247" xr:uid="{1B32164D-5C4B-4935-83BD-2FB943213B5C}"/>
    <cellStyle name="Migliaia 20 7 3 2" xfId="38819" xr:uid="{4D9B48A6-B9D4-42D4-AECC-1D8BB309C769}"/>
    <cellStyle name="Migliaia 20 7 3 3" xfId="44121" xr:uid="{83188FE0-0C6E-4452-8B73-2A1C60FDE716}"/>
    <cellStyle name="Migliaia 20 7 3 4" xfId="33397" xr:uid="{B3F86D25-E504-40D5-9868-8863E72B5EF7}"/>
    <cellStyle name="Migliaia 20 7 3 5" xfId="20085" xr:uid="{FA5EAFC3-8679-4E5A-B05E-33399EAD69E8}"/>
    <cellStyle name="Migliaia 20 7 4" xfId="36308" xr:uid="{610AD601-CDB4-4EEC-B0C1-3D3A519257E8}"/>
    <cellStyle name="Migliaia 20 7 5" xfId="41470" xr:uid="{E6DA250E-F490-43AA-81E8-643D46D171DB}"/>
    <cellStyle name="Migliaia 20 7 6" xfId="16201" xr:uid="{E95E430D-B3B5-4FF1-92D9-C4E63ACB0E27}"/>
    <cellStyle name="Migliaia 20 7 7" xfId="8277" xr:uid="{AC6A60F5-935F-4672-AA9B-3DCFA062D6F4}"/>
    <cellStyle name="Migliaia 20 8" xfId="3311" xr:uid="{46DE2A6C-7107-487B-8C2B-1F3B39DEEEDC}"/>
    <cellStyle name="Migliaia 20 8 2" xfId="5037" xr:uid="{24F5D9C6-7EBB-42C4-8D25-26C19035FB39}"/>
    <cellStyle name="Migliaia 20 8 2 2" xfId="35213" xr:uid="{1C55A5BC-2A25-4AA7-97BE-F574FFF4ED01}"/>
    <cellStyle name="Migliaia 20 8 2 2 2" xfId="40373" xr:uid="{53BAE9BA-E8FE-48BC-A214-019CA91DB5E4}"/>
    <cellStyle name="Migliaia 20 8 2 2 3" xfId="45675" xr:uid="{5C6C22D6-4224-4570-8471-B5127B247858}"/>
    <cellStyle name="Migliaia 20 8 2 3" xfId="37722" xr:uid="{A9654578-DEDD-4535-BBB0-EDE671CD37AC}"/>
    <cellStyle name="Migliaia 20 8 2 4" xfId="43024" xr:uid="{52362CDA-75B1-4679-AF4E-10D08F692592}"/>
    <cellStyle name="Migliaia 20 8 2 5" xfId="13920" xr:uid="{0C3873DE-24B9-4660-AF02-BB0D7A7358A8}"/>
    <cellStyle name="Migliaia 20 8 3" xfId="6248" xr:uid="{77B3E8F7-493D-4B01-9C45-7309AF54A430}"/>
    <cellStyle name="Migliaia 20 8 3 2" xfId="38820" xr:uid="{52DBA2B1-B7BF-4B54-B2C5-8F96E348103E}"/>
    <cellStyle name="Migliaia 20 8 3 3" xfId="44122" xr:uid="{1E1EB5EA-25F5-48DA-AD7C-61C88131A4AC}"/>
    <cellStyle name="Migliaia 20 8 3 4" xfId="33398" xr:uid="{DA421708-31E3-4F82-B73B-13330E8CD70A}"/>
    <cellStyle name="Migliaia 20 8 3 5" xfId="20086" xr:uid="{D4993376-7E3F-4463-9BF3-B1CCA7055DB5}"/>
    <cellStyle name="Migliaia 20 8 4" xfId="36309" xr:uid="{C1D76805-13CE-4253-A4F2-D73D9AC66EA0}"/>
    <cellStyle name="Migliaia 20 8 5" xfId="41471" xr:uid="{87DF9B89-8F0C-4F71-ACC5-34A9DBF6454F}"/>
    <cellStyle name="Migliaia 20 8 6" xfId="16202" xr:uid="{ACB00563-22A0-420E-8FFC-ED3318695144}"/>
    <cellStyle name="Migliaia 20 8 7" xfId="7870" xr:uid="{DD0129C0-BD16-4364-8237-62CE8F9EDBA7}"/>
    <cellStyle name="Migliaia 20 9" xfId="5022" xr:uid="{349F239B-35CE-4E19-B6A6-8CDD139D0B48}"/>
    <cellStyle name="Migliaia 20 9 2" xfId="33399" xr:uid="{1EC1B860-A92A-4CAB-93DB-1266CD85A246}"/>
    <cellStyle name="Migliaia 20 9 2 2" xfId="38821" xr:uid="{A7CAF994-132F-457E-925D-FE99AD2232A4}"/>
    <cellStyle name="Migliaia 20 9 2 3" xfId="44123" xr:uid="{2E80D3A3-D211-4C99-B9B3-2CB62F2136EA}"/>
    <cellStyle name="Migliaia 20 9 3" xfId="36310" xr:uid="{B6DB3E30-7D61-493F-9645-3E9AFB7ED219}"/>
    <cellStyle name="Migliaia 20 9 4" xfId="41472" xr:uid="{94576BF3-3F3A-444B-81D3-2D66B3DCB7AF}"/>
    <cellStyle name="Migliaia 20 9 5" xfId="17159" xr:uid="{8E146335-06DA-46C8-83E9-607518BFA0C3}"/>
    <cellStyle name="Migliaia 21" xfId="353" xr:uid="{00000000-0005-0000-0000-000034030000}"/>
    <cellStyle name="Migliaia 21 10" xfId="6249" xr:uid="{0FB7782E-BEFA-4EEB-8806-3C83422CBF48}"/>
    <cellStyle name="Migliaia 21 10 2" xfId="38822" xr:uid="{03729584-FD9F-4541-915C-1A200232ABDA}"/>
    <cellStyle name="Migliaia 21 10 3" xfId="44124" xr:uid="{44E7D53E-7077-4136-84EF-82E05F06531E}"/>
    <cellStyle name="Migliaia 21 10 4" xfId="33400" xr:uid="{93F2A882-642A-479B-820B-D9CCC4AC2949}"/>
    <cellStyle name="Migliaia 21 10 5" xfId="20087" xr:uid="{2F9D50C8-575C-4B38-910D-1B8F4A32B2F4}"/>
    <cellStyle name="Migliaia 21 11" xfId="3312" xr:uid="{C9CF1305-8FC0-4A7E-BFBE-B3C41D4BE0AA}"/>
    <cellStyle name="Migliaia 21 11 2" xfId="36311" xr:uid="{E9B94A55-157B-4D10-BE27-16894AF7B434}"/>
    <cellStyle name="Migliaia 21 12" xfId="41473" xr:uid="{E240CBDC-DC2D-422E-AECD-577DC7F0C745}"/>
    <cellStyle name="Migliaia 21 13" xfId="7081" xr:uid="{57E94CED-529A-42C6-8B5E-B6D426ADC09B}"/>
    <cellStyle name="Migliaia 21 2" xfId="354" xr:uid="{00000000-0005-0000-0000-000035030000}"/>
    <cellStyle name="Migliaia 21 2 2" xfId="1721" xr:uid="{00000000-0005-0000-0000-000036030000}"/>
    <cellStyle name="Migliaia 21 2 2 2" xfId="5040" xr:uid="{52E24966-FF95-4AF5-9A7A-BC860DD6F00E}"/>
    <cellStyle name="Migliaia 21 2 2 2 2" xfId="14376" xr:uid="{0CDAEB7A-7DD8-43CC-AFB2-7F89539621F7}"/>
    <cellStyle name="Migliaia 21 2 2 2 2 2" xfId="38823" xr:uid="{48D74EF8-70CB-45E1-A501-7A4A67BC3E88}"/>
    <cellStyle name="Migliaia 21 2 2 2 2 3" xfId="44125" xr:uid="{05FC83B7-C170-48C2-B614-2AF0020F8926}"/>
    <cellStyle name="Migliaia 21 2 2 2 3" xfId="18401" xr:uid="{55466CAF-820C-404D-8821-53FCBE73BB41}"/>
    <cellStyle name="Migliaia 21 2 2 2 4" xfId="20090" xr:uid="{7C166B8C-41E4-4DF9-B8DD-B45915780016}"/>
    <cellStyle name="Migliaia 21 2 2 2 4 2" xfId="41474" xr:uid="{53CBEC1A-609A-436E-89E4-C277E41B04C6}"/>
    <cellStyle name="Migliaia 21 2 2 2 5" xfId="16203" xr:uid="{2897E3E1-F77A-400A-A001-FF923C84A061}"/>
    <cellStyle name="Migliaia 21 2 2 2 6" xfId="8559" xr:uid="{028B4E96-8151-43A7-BCCB-A5A096C19DEB}"/>
    <cellStyle name="Migliaia 21 2 2 3" xfId="6251" xr:uid="{537733BF-50BC-4CEE-93DA-238EBCC3A8D1}"/>
    <cellStyle name="Migliaia 21 2 2 3 2" xfId="35214" xr:uid="{279CFA5F-13A9-4AE7-97E1-3480BAA1B23E}"/>
    <cellStyle name="Migliaia 21 2 2 3 2 2" xfId="40374" xr:uid="{82FF20FA-16AA-424D-8B36-6AF4934072D0}"/>
    <cellStyle name="Migliaia 21 2 2 3 2 3" xfId="45676" xr:uid="{124DA464-E603-4FEE-88A2-F62A94AC8EB2}"/>
    <cellStyle name="Migliaia 21 2 2 3 3" xfId="37723" xr:uid="{53C8B06A-C0C6-4A7E-AA1C-D117C1DE9FF1}"/>
    <cellStyle name="Migliaia 21 2 2 3 4" xfId="43025" xr:uid="{4A027FE7-390B-4D25-8326-882ECE98B674}"/>
    <cellStyle name="Migliaia 21 2 2 3 5" xfId="11603" xr:uid="{61C91B6E-6663-4452-AA61-1E11E016020F}"/>
    <cellStyle name="Migliaia 21 2 2 4" xfId="3314" xr:uid="{3B645AC5-F6C8-49F6-A329-D7E7C3F4067B}"/>
    <cellStyle name="Migliaia 21 2 2 4 2" xfId="21433" xr:uid="{F7F182BC-A6E7-467D-A4FE-4FD7C7906D51}"/>
    <cellStyle name="Migliaia 21 2 2 4 3" xfId="46222" xr:uid="{6FC049D7-0980-4E23-B204-8B82822DCB66}"/>
    <cellStyle name="Migliaia 21 2 2 4 4" xfId="50448" xr:uid="{5616FB77-2D5F-4CC8-B131-59429942865E}"/>
    <cellStyle name="Migliaia 21 2 2 4 5" xfId="53464" xr:uid="{DD3E7CD3-ECC9-4899-AC94-D8B5C60F36DB}"/>
    <cellStyle name="Migliaia 21 2 2 4 6" xfId="10798" xr:uid="{3082B86B-C8C7-46D2-B017-C974A2B15F73}"/>
    <cellStyle name="Migliaia 21 2 2 5" xfId="20089" xr:uid="{5095EB6F-7873-4877-B426-CE22F310E6FD}"/>
    <cellStyle name="Migliaia 21 2 2 6" xfId="24482" xr:uid="{FCA5B8C5-1ADC-41B5-B38C-460B5A3E2E69}"/>
    <cellStyle name="Migliaia 21 2 2 7" xfId="7369" xr:uid="{BD16C7E2-ABEC-4D4F-AEDA-71324582D627}"/>
    <cellStyle name="Migliaia 21 2 3" xfId="3315" xr:uid="{EA46F009-DAE7-4EAC-82F2-7F3928F9EBB9}"/>
    <cellStyle name="Migliaia 21 2 3 2" xfId="5041" xr:uid="{EBCF2A52-58C7-4121-865F-F91BADF4AB34}"/>
    <cellStyle name="Migliaia 21 2 3 2 2" xfId="35215" xr:uid="{84CAB279-11A7-4AE7-83A0-9A9FB6681DCE}"/>
    <cellStyle name="Migliaia 21 2 3 2 2 2" xfId="40375" xr:uid="{9CEF1E25-FFAD-437C-A9ED-46DB0CC72B64}"/>
    <cellStyle name="Migliaia 21 2 3 2 2 3" xfId="45677" xr:uid="{91983DB7-460F-40D2-9147-D0B6FEF5DB88}"/>
    <cellStyle name="Migliaia 21 2 3 2 3" xfId="37724" xr:uid="{1D5E9EE3-A2D7-4BBA-A49E-0B211C2C3975}"/>
    <cellStyle name="Migliaia 21 2 3 2 4" xfId="43026" xr:uid="{13D7D934-151C-4DD0-8E57-C08C01278E74}"/>
    <cellStyle name="Migliaia 21 2 3 2 5" xfId="14219" xr:uid="{C04E9EB6-22CD-457E-964B-3A6C8F161393}"/>
    <cellStyle name="Migliaia 21 2 3 3" xfId="6252" xr:uid="{F6457064-DBC1-4AA8-9739-B748772F472D}"/>
    <cellStyle name="Migliaia 21 2 3 3 2" xfId="38824" xr:uid="{D7C4CB2D-2B1C-434B-AEAB-D814E6D4A7B6}"/>
    <cellStyle name="Migliaia 21 2 3 3 3" xfId="44126" xr:uid="{7C814B93-A665-48FE-8AD4-FC847B83D93D}"/>
    <cellStyle name="Migliaia 21 2 3 3 4" xfId="33402" xr:uid="{2831D57D-EED4-4435-BAAC-887E3A8A32A6}"/>
    <cellStyle name="Migliaia 21 2 3 3 5" xfId="20091" xr:uid="{E5491610-0E1A-471C-9EF9-CBAB0BAF210D}"/>
    <cellStyle name="Migliaia 21 2 3 4" xfId="36313" xr:uid="{B6814982-9C65-4C90-A7C1-30D7B1BB78FA}"/>
    <cellStyle name="Migliaia 21 2 3 5" xfId="41475" xr:uid="{0808E38B-DFD6-4EE1-8878-E00B11301A87}"/>
    <cellStyle name="Migliaia 21 2 3 6" xfId="16204" xr:uid="{C69C9B5B-7071-43B1-B8C4-E5C8661666F4}"/>
    <cellStyle name="Migliaia 21 2 3 7" xfId="8281" xr:uid="{B4F801D2-BFB8-4B8C-81F9-820FD2BED321}"/>
    <cellStyle name="Migliaia 21 2 4" xfId="5039" xr:uid="{5522608E-6653-45AF-AE79-3BC1EDDDF7A3}"/>
    <cellStyle name="Migliaia 21 2 4 2" xfId="13924" xr:uid="{2B6652DC-923A-412A-AFD1-66616B76F85D}"/>
    <cellStyle name="Migliaia 21 2 4 2 2" xfId="38825" xr:uid="{C7E57959-57FB-4609-960B-876CB16A0F68}"/>
    <cellStyle name="Migliaia 21 2 4 2 3" xfId="44127" xr:uid="{9DCB2226-A911-4DCF-9D83-8999EDE4687C}"/>
    <cellStyle name="Migliaia 21 2 4 3" xfId="18152" xr:uid="{0CE51A34-45BC-4759-AEC5-0F3D709773A8}"/>
    <cellStyle name="Migliaia 21 2 4 4" xfId="20092" xr:uid="{614D115A-BB66-46B5-9CAC-0D8FA4636A3F}"/>
    <cellStyle name="Migliaia 21 2 4 4 2" xfId="41476" xr:uid="{2E3BC82A-4939-4F3D-9DAB-1801E4A09AC6}"/>
    <cellStyle name="Migliaia 21 2 4 5" xfId="16205" xr:uid="{A0381871-D2F3-4720-8E19-75C22B4D1C20}"/>
    <cellStyle name="Migliaia 21 2 4 6" xfId="7875" xr:uid="{9BEBB932-F00A-4DC4-97A9-4C84DDF05F1C}"/>
    <cellStyle name="Migliaia 21 2 5" xfId="6250" xr:uid="{9EEFC486-20C1-48A4-957D-E417437B9293}"/>
    <cellStyle name="Migliaia 21 2 5 2" xfId="33403" xr:uid="{5F588A73-CBAC-443E-B056-F56DD8D54284}"/>
    <cellStyle name="Migliaia 21 2 5 2 2" xfId="38826" xr:uid="{2CA4E447-8477-4804-8DE6-1DB6C387FA65}"/>
    <cellStyle name="Migliaia 21 2 5 2 3" xfId="44128" xr:uid="{7C906517-CE4E-4B83-9A55-CFF657DBB8A0}"/>
    <cellStyle name="Migliaia 21 2 5 3" xfId="36314" xr:uid="{F7C27C51-AAD1-48CC-9440-1630A0799313}"/>
    <cellStyle name="Migliaia 21 2 5 4" xfId="41477" xr:uid="{44F8B014-FA6B-4B16-A024-FAE6F80085A2}"/>
    <cellStyle name="Migliaia 21 2 5 5" xfId="13116" xr:uid="{0C7ABF63-CE28-4295-855E-D2A3C66DAC0B}"/>
    <cellStyle name="Migliaia 21 2 6" xfId="3313" xr:uid="{F061E7E2-9A88-4D4F-86E4-DCD9CA9BE905}"/>
    <cellStyle name="Migliaia 21 2 6 2" xfId="33404" xr:uid="{4252C723-72BE-4BA5-9B53-9384E87800D6}"/>
    <cellStyle name="Migliaia 21 2 6 2 2" xfId="38827" xr:uid="{008C24D8-59AB-48B2-850C-9E91BFDC6B22}"/>
    <cellStyle name="Migliaia 21 2 6 2 3" xfId="44129" xr:uid="{128AF1A4-403C-495B-B1AF-0FE2A61ECC92}"/>
    <cellStyle name="Migliaia 21 2 6 3" xfId="36315" xr:uid="{608359B5-E712-498B-9EF8-2016FCA35BF4}"/>
    <cellStyle name="Migliaia 21 2 6 4" xfId="41478" xr:uid="{68362DBE-F172-4DBB-BEF0-CEEC435CD770}"/>
    <cellStyle name="Migliaia 21 2 6 5" xfId="24484" xr:uid="{22EB576C-A921-4FDD-91CD-818AFBF59C49}"/>
    <cellStyle name="Migliaia 21 2 6 6" xfId="20088" xr:uid="{F9DAE92D-DB39-4653-8A44-98E34737DF02}"/>
    <cellStyle name="Migliaia 21 2 7" xfId="24481" xr:uid="{867DC829-47BF-4667-A8D1-A553D62C4765}"/>
    <cellStyle name="Migliaia 21 2 8" xfId="7082" xr:uid="{62E330CC-12AA-4CDF-9A60-FBE74D06BE76}"/>
    <cellStyle name="Migliaia 21 3" xfId="355" xr:uid="{00000000-0005-0000-0000-000037030000}"/>
    <cellStyle name="Migliaia 21 3 10" xfId="24485" xr:uid="{B88D3D80-EC19-4BF9-8E04-EA91712D0FD1}"/>
    <cellStyle name="Migliaia 21 3 11" xfId="16206" xr:uid="{01AAC6A0-8056-4368-9668-9D424FB8665A}"/>
    <cellStyle name="Migliaia 21 3 12" xfId="7083" xr:uid="{19EB89E2-2940-4773-B6AA-E085EF13DB53}"/>
    <cellStyle name="Migliaia 21 3 2" xfId="356" xr:uid="{00000000-0005-0000-0000-000038030000}"/>
    <cellStyle name="Migliaia 21 3 2 2" xfId="1722" xr:uid="{00000000-0005-0000-0000-000039030000}"/>
    <cellStyle name="Migliaia 21 3 2 2 2" xfId="5044" xr:uid="{C7AE619D-EDF4-4A56-AB0D-6709B5B1EA21}"/>
    <cellStyle name="Migliaia 21 3 2 2 2 2" xfId="18402" xr:uid="{7DF6A245-1766-4C70-A52E-6905EEEDA761}"/>
    <cellStyle name="Migliaia 21 3 2 2 2 2 2" xfId="21854" xr:uid="{34CBF59A-DF75-4EE4-908E-00EC371D518D}"/>
    <cellStyle name="Migliaia 21 3 2 2 2 2 2 2" xfId="38828" xr:uid="{BAA0FA09-84DD-4504-96B8-943433E7117F}"/>
    <cellStyle name="Migliaia 21 3 2 2 2 2 3" xfId="44130" xr:uid="{82B9B805-5A6F-4CF1-8DFF-B23817EF4D95}"/>
    <cellStyle name="Migliaia 21 3 2 2 2 2 4" xfId="33405" xr:uid="{685062B9-8E32-4FA9-856E-CF7CED0CDD2B}"/>
    <cellStyle name="Migliaia 21 3 2 2 2 3" xfId="36316" xr:uid="{4A8EF1F1-5363-4024-8642-38F04D731D6E}"/>
    <cellStyle name="Migliaia 21 3 2 2 2 4" xfId="41479" xr:uid="{2A3037F1-7F24-4ADE-A8FC-F9FE957F239B}"/>
    <cellStyle name="Migliaia 21 3 2 2 2 5" xfId="46300" xr:uid="{A14B34F3-FB77-4BDA-977D-AC64BFB0DF6E}"/>
    <cellStyle name="Migliaia 21 3 2 2 2 6" xfId="50882" xr:uid="{DD07C4A8-AD24-4E1D-8281-F06CF32EC20A}"/>
    <cellStyle name="Migliaia 21 3 2 2 2 7" xfId="53898" xr:uid="{EA2A9B8C-ED9C-461B-9CE5-22FA67E23EEE}"/>
    <cellStyle name="Migliaia 21 3 2 2 2 8" xfId="17651" xr:uid="{D1FE466F-611A-4DB0-BEBB-D4CBC2FEAD04}"/>
    <cellStyle name="Migliaia 21 3 2 2 2 9" xfId="11939" xr:uid="{A3218C6C-AE44-4F48-922E-4C5A97D15BEB}"/>
    <cellStyle name="Migliaia 21 3 2 2 3" xfId="6255" xr:uid="{F6D77B14-A0CF-4FE1-95E0-D9682E68B853}"/>
    <cellStyle name="Migliaia 21 3 2 2 3 2" xfId="11136" xr:uid="{EBD2EA78-5B79-41D2-B1A2-6CDBFE20738B}"/>
    <cellStyle name="Migliaia 21 3 2 2 4" xfId="3318" xr:uid="{5E688E01-D45B-4FCE-AF8A-B8968DFEF586}"/>
    <cellStyle name="Migliaia 21 3 2 2 4 2" xfId="21434" xr:uid="{E447EC3B-F105-4EAC-A13B-9319CD10C23A}"/>
    <cellStyle name="Migliaia 21 3 2 2 4 3" xfId="46223" xr:uid="{91DC077A-40D5-4756-AC74-9BC72E42B37E}"/>
    <cellStyle name="Migliaia 21 3 2 2 4 4" xfId="50449" xr:uid="{0D80B489-E131-4D2F-9DF2-EFDBFF43AB19}"/>
    <cellStyle name="Migliaia 21 3 2 2 4 5" xfId="53465" xr:uid="{E4B8D477-E837-4DA3-8A1F-5B2C11FAC422}"/>
    <cellStyle name="Migliaia 21 3 2 2 4 6" xfId="10799" xr:uid="{00821078-9461-44E6-9E31-A3F8CAFD8DD3}"/>
    <cellStyle name="Migliaia 21 3 2 2 5" xfId="20095" xr:uid="{FAB86412-E3A6-4849-8D96-43D1559CC9AB}"/>
    <cellStyle name="Migliaia 21 3 2 2 6" xfId="24487" xr:uid="{80C9B030-587A-412D-9D28-2BD25464CC6F}"/>
    <cellStyle name="Migliaia 21 3 2 2 7" xfId="8561" xr:uid="{CC610509-FB5E-49FE-A259-50AD13676FFA}"/>
    <cellStyle name="Migliaia 21 3 2 3" xfId="5043" xr:uid="{28CAA0CE-F9FF-42F0-9F0A-EA165F8466DB}"/>
    <cellStyle name="Migliaia 21 3 2 3 2" xfId="12419" xr:uid="{1C4B723D-1DA5-4225-922D-23C05E29C26B}"/>
    <cellStyle name="Migliaia 21 3 2 3 2 2" xfId="38829" xr:uid="{2E4435EA-CB87-41F8-ACEE-7AC1E421E9F2}"/>
    <cellStyle name="Migliaia 21 3 2 3 2 3" xfId="44131" xr:uid="{07748584-140C-48C5-B10E-76268B25BADC}"/>
    <cellStyle name="Migliaia 21 3 2 3 2 4" xfId="33406" xr:uid="{1C92D3D1-6BAE-4FCC-B216-06292A811973}"/>
    <cellStyle name="Migliaia 21 3 2 3 3" xfId="11940" xr:uid="{BBD25828-3124-4B84-A0B7-85BF7EDFA64F}"/>
    <cellStyle name="Migliaia 21 3 2 3 4" xfId="20096" xr:uid="{C6924488-8E44-404A-8727-07CB4CD1AE66}"/>
    <cellStyle name="Migliaia 21 3 2 3 4 2" xfId="41480" xr:uid="{85B1D867-99B4-478E-998C-5F6D8082A31A}"/>
    <cellStyle name="Migliaia 21 3 2 3 5" xfId="16207" xr:uid="{FC4D7611-0102-4695-BDB4-53CB36C9F7AE}"/>
    <cellStyle name="Migliaia 21 3 2 3 6" xfId="7877" xr:uid="{9D58B7A8-31F8-4FF5-B06E-AB45D9B3EADC}"/>
    <cellStyle name="Migliaia 21 3 2 4" xfId="6254" xr:uid="{DFAE36FF-88BA-4D2F-87D0-97E1F851794C}"/>
    <cellStyle name="Migliaia 21 3 2 4 2" xfId="18070" xr:uid="{319D9EF1-5392-4FB0-A635-D7407384C210}"/>
    <cellStyle name="Migliaia 21 3 2 4 2 2" xfId="38830" xr:uid="{D8FCFCF8-6C2B-489C-BE30-5CE16231DCA3}"/>
    <cellStyle name="Migliaia 21 3 2 4 2 3" xfId="44132" xr:uid="{92433760-1D35-4DA6-AA0E-27907B5A608E}"/>
    <cellStyle name="Migliaia 21 3 2 4 3" xfId="36317" xr:uid="{D7FA78F5-6425-4840-A41D-EAE8BA764099}"/>
    <cellStyle name="Migliaia 21 3 2 4 4" xfId="41481" xr:uid="{5BF16C2A-594C-40F4-B491-89D23DA846D9}"/>
    <cellStyle name="Migliaia 21 3 2 4 5" xfId="17162" xr:uid="{DC2E193F-3200-4EA8-972B-E8C187069E65}"/>
    <cellStyle name="Migliaia 21 3 2 4 6" xfId="11288" xr:uid="{D54B1FC6-27FE-499D-81C7-D86818AAD136}"/>
    <cellStyle name="Migliaia 21 3 2 5" xfId="3317" xr:uid="{C0686725-049F-4CDD-A05D-496633EF123B}"/>
    <cellStyle name="Migliaia 21 3 2 5 2" xfId="33407" xr:uid="{44FF3760-3DAB-4C7E-9188-D36AC2D22502}"/>
    <cellStyle name="Migliaia 21 3 2 5 2 2" xfId="38831" xr:uid="{6C31BAE1-217E-4046-BC10-41B6B2571204}"/>
    <cellStyle name="Migliaia 21 3 2 5 2 3" xfId="44133" xr:uid="{0184050B-0773-46B3-940B-79B353703497}"/>
    <cellStyle name="Migliaia 21 3 2 5 3" xfId="36318" xr:uid="{FF8869A5-65D5-423E-809B-6FE91CA4124F}"/>
    <cellStyle name="Migliaia 21 3 2 5 4" xfId="41482" xr:uid="{0006E639-A4EB-4697-8C19-1F568D981473}"/>
    <cellStyle name="Migliaia 21 3 2 5 5" xfId="17387" xr:uid="{6769E13D-A8EA-4A68-8D3C-2BAB3CA761F1}"/>
    <cellStyle name="Migliaia 21 3 2 6" xfId="20094" xr:uid="{4160EA15-ABDE-420C-A3B4-EA93AE73F25F}"/>
    <cellStyle name="Migliaia 21 3 2 6 2" xfId="33408" xr:uid="{D48D61FB-7A92-4A5B-9454-8955D25B2491}"/>
    <cellStyle name="Migliaia 21 3 2 6 2 2" xfId="38832" xr:uid="{8E19EB4A-0BCF-4831-8ABA-D63457072141}"/>
    <cellStyle name="Migliaia 21 3 2 6 2 3" xfId="44134" xr:uid="{54772AB2-D858-44D4-875A-48D305D31320}"/>
    <cellStyle name="Migliaia 21 3 2 6 3" xfId="36319" xr:uid="{3C282E60-3818-4EDB-A3B3-0F82E342C114}"/>
    <cellStyle name="Migliaia 21 3 2 6 4" xfId="41483" xr:uid="{145741E6-448B-4488-85E8-A1C9065CA3CC}"/>
    <cellStyle name="Migliaia 21 3 2 6 5" xfId="24490" xr:uid="{7A414CE9-1FD3-4532-AAB9-EBC3B6250CB4}"/>
    <cellStyle name="Migliaia 21 3 2 7" xfId="24486" xr:uid="{D44283A5-11A0-4BB2-ADBE-D2F62E3D171A}"/>
    <cellStyle name="Migliaia 21 3 2 8" xfId="7371" xr:uid="{DCF6191A-D3C7-4738-A97E-3F9BF5680392}"/>
    <cellStyle name="Migliaia 21 3 3" xfId="3319" xr:uid="{540E0EA5-B5B1-4EA4-99B4-26289FBAEFAA}"/>
    <cellStyle name="Migliaia 21 3 3 10" xfId="7370" xr:uid="{F9860AE5-2D95-4FF3-A121-FDF25DDABBDC}"/>
    <cellStyle name="Migliaia 21 3 3 2" xfId="5045" xr:uid="{DA74A868-F718-496D-852A-6AFF7FC73CC6}"/>
    <cellStyle name="Migliaia 21 3 3 2 2" xfId="9908" xr:uid="{F2ADA903-A436-4C78-8594-F7ABF07334D4}"/>
    <cellStyle name="Migliaia 21 3 3 2 2 2" xfId="38834" xr:uid="{F07D8E5F-B85B-4D61-9783-28CACD68E39E}"/>
    <cellStyle name="Migliaia 21 3 3 2 2 3" xfId="44136" xr:uid="{EB7C7212-8BB8-4976-978B-EFED5330E664}"/>
    <cellStyle name="Migliaia 21 3 3 2 3" xfId="18188" xr:uid="{8C5DF503-63BD-491B-878A-F54408022D40}"/>
    <cellStyle name="Migliaia 21 3 3 2 4" xfId="20098" xr:uid="{F54C0471-E0A6-4D72-951D-FE0F417488F7}"/>
    <cellStyle name="Migliaia 21 3 3 2 4 2" xfId="41485" xr:uid="{A776FED5-32D0-4720-9380-48D9FBF01F3E}"/>
    <cellStyle name="Migliaia 21 3 3 2 5" xfId="16209" xr:uid="{05761D8F-B30E-4C28-9DD4-C5B2F2D1C486}"/>
    <cellStyle name="Migliaia 21 3 3 2 6" xfId="8560" xr:uid="{1D61CBF0-04B2-4B6D-BF1D-8D75866773AD}"/>
    <cellStyle name="Migliaia 21 3 3 3" xfId="6256" xr:uid="{44CB5395-55E4-4F46-A385-89AE86C4DDE9}"/>
    <cellStyle name="Migliaia 21 3 3 3 2" xfId="33411" xr:uid="{467A388D-A1B5-44AA-B701-6CB54C3F45AB}"/>
    <cellStyle name="Migliaia 21 3 3 3 2 2" xfId="38835" xr:uid="{FC134B53-483A-43DD-924B-433C52B4C05F}"/>
    <cellStyle name="Migliaia 21 3 3 3 2 3" xfId="44137" xr:uid="{C8357D9F-96C0-4066-8224-9EE01AD04E99}"/>
    <cellStyle name="Migliaia 21 3 3 3 3" xfId="36322" xr:uid="{35AA1A12-E7EF-4C66-AF57-3FCDFF02AD37}"/>
    <cellStyle name="Migliaia 21 3 3 3 4" xfId="41486" xr:uid="{ED168BB4-BC04-4CFE-BACA-813E11935162}"/>
    <cellStyle name="Migliaia 21 3 3 3 5" xfId="9671" xr:uid="{92295F55-4659-4A76-B334-C13D4615288E}"/>
    <cellStyle name="Migliaia 21 3 3 4" xfId="20097" xr:uid="{2BB3EF51-B458-4C03-900F-A1AFA0E7528E}"/>
    <cellStyle name="Migliaia 21 3 3 4 2" xfId="33412" xr:uid="{59B1B61C-CBD9-44B1-8261-6ED56A708521}"/>
    <cellStyle name="Migliaia 21 3 3 4 2 2" xfId="38836" xr:uid="{E9B0947C-0A25-445B-97D0-649B8B3A2456}"/>
    <cellStyle name="Migliaia 21 3 3 4 2 3" xfId="44138" xr:uid="{1ACBB861-F703-44FE-BB8D-8ADE10396FEE}"/>
    <cellStyle name="Migliaia 21 3 3 4 3" xfId="36323" xr:uid="{31366A24-3BAE-4E32-A3A3-9B8B0475D49D}"/>
    <cellStyle name="Migliaia 21 3 3 4 4" xfId="41487" xr:uid="{3532E4E7-C33E-461F-8628-33008F907F95}"/>
    <cellStyle name="Migliaia 21 3 3 4 5" xfId="24492" xr:uid="{2BFEEBEF-6435-4911-9484-A44207B45DE9}"/>
    <cellStyle name="Migliaia 21 3 3 5" xfId="24493" xr:uid="{03F009AA-59A3-4D5C-BE01-AE00E7BA42B3}"/>
    <cellStyle name="Migliaia 21 3 3 5 2" xfId="33413" xr:uid="{DDB55F9D-AE83-4409-B8EE-4A2BDAECAC07}"/>
    <cellStyle name="Migliaia 21 3 3 5 2 2" xfId="38837" xr:uid="{9DEE23A8-C2BD-4783-8668-DC9534B605A9}"/>
    <cellStyle name="Migliaia 21 3 3 5 2 3" xfId="44139" xr:uid="{0FE84D19-5BE4-42A4-B191-7B0E04741531}"/>
    <cellStyle name="Migliaia 21 3 3 5 3" xfId="36324" xr:uid="{C9BE2407-6676-4036-A81D-A41435A73573}"/>
    <cellStyle name="Migliaia 21 3 3 5 4" xfId="41488" xr:uid="{1FD7903D-E52C-4A97-8A3B-99F990D97B9C}"/>
    <cellStyle name="Migliaia 21 3 3 6" xfId="33409" xr:uid="{9E0D5A98-F811-453C-A93C-C198379A4AF8}"/>
    <cellStyle name="Migliaia 21 3 3 6 2" xfId="38833" xr:uid="{0D2D1F44-8DE9-4E79-953D-273F753D502C}"/>
    <cellStyle name="Migliaia 21 3 3 6 3" xfId="44135" xr:uid="{9CBA8A8A-1338-4AE9-8680-12D54BEE172B}"/>
    <cellStyle name="Migliaia 21 3 3 7" xfId="36320" xr:uid="{B8C957FE-8F62-44C6-922D-28E21A2FBE69}"/>
    <cellStyle name="Migliaia 21 3 3 8" xfId="41484" xr:uid="{158DDC90-E48B-407B-B3C3-7B4B92380D03}"/>
    <cellStyle name="Migliaia 21 3 3 9" xfId="16208" xr:uid="{97D8DF6E-6CB3-43B5-A013-C41EBC5E1BAA}"/>
    <cellStyle name="Migliaia 21 3 4" xfId="3320" xr:uid="{A53CB779-96D0-4D5D-8251-676464F4E035}"/>
    <cellStyle name="Migliaia 21 3 4 2" xfId="5046" xr:uid="{3A468C53-9E22-470E-AA29-98D6A863039D}"/>
    <cellStyle name="Migliaia 21 3 4 2 2" xfId="14436" xr:uid="{1805437C-6EBA-4791-A5A8-911E247752E7}"/>
    <cellStyle name="Migliaia 21 3 4 2 3" xfId="18040" xr:uid="{016869C5-F2A0-4223-B94D-52A29A97D6BF}"/>
    <cellStyle name="Migliaia 21 3 4 2 4" xfId="20100" xr:uid="{DE42A4E8-30F2-45A9-A5BC-716487C3C61E}"/>
    <cellStyle name="Migliaia 21 3 4 2 5" xfId="32337" xr:uid="{C49AE72C-0652-4261-ADD7-28CF8433BD9E}"/>
    <cellStyle name="Migliaia 21 3 4 2 6" xfId="16211" xr:uid="{21E4D23F-A496-4D42-9A6E-8EE3072561AE}"/>
    <cellStyle name="Migliaia 21 3 4 2 7" xfId="8859" xr:uid="{EEC2C314-9D32-4A44-B6A6-76511272C4C6}"/>
    <cellStyle name="Migliaia 21 3 4 3" xfId="6257" xr:uid="{5E1B00F5-73BA-4AEC-9CC8-91C5206DFCF3}"/>
    <cellStyle name="Migliaia 21 3 4 3 2" xfId="35216" xr:uid="{17408D08-A070-48A3-9807-72A41A94620C}"/>
    <cellStyle name="Migliaia 21 3 4 3 2 2" xfId="40376" xr:uid="{FBE20220-D78C-4BBD-A5DD-255E07E3FA82}"/>
    <cellStyle name="Migliaia 21 3 4 3 2 3" xfId="45678" xr:uid="{F29E4F50-6867-4F22-A213-BB6DEB351EF1}"/>
    <cellStyle name="Migliaia 21 3 4 3 3" xfId="37725" xr:uid="{9E1B2DDA-3EF4-4E01-9163-9D9B20DC70DA}"/>
    <cellStyle name="Migliaia 21 3 4 3 4" xfId="43027" xr:uid="{8E36A26B-B577-4893-8975-53AAF419C1C0}"/>
    <cellStyle name="Migliaia 21 3 4 3 5" xfId="13684" xr:uid="{036251C0-3CCC-427A-8F45-6DF1B0C665C3}"/>
    <cellStyle name="Migliaia 21 3 4 4" xfId="20099" xr:uid="{AD6666C8-088E-475C-ADBC-DC3AA0F4181F}"/>
    <cellStyle name="Migliaia 21 3 4 4 2" xfId="38838" xr:uid="{48A18B92-5E29-477A-8D88-4E87AAACBED3}"/>
    <cellStyle name="Migliaia 21 3 4 4 3" xfId="44140" xr:uid="{2C04439F-0FB4-4CD8-B1C0-187ABD50CA93}"/>
    <cellStyle name="Migliaia 21 3 4 4 4" xfId="33414" xr:uid="{BC3DD563-1F8E-4633-8E88-757F911C6146}"/>
    <cellStyle name="Migliaia 21 3 4 5" xfId="36325" xr:uid="{63E85AC1-D46E-4EC9-8BCD-D50E5FE6D37A}"/>
    <cellStyle name="Migliaia 21 3 4 6" xfId="41489" xr:uid="{9C7A4D75-5A1B-4496-AA73-117B799DF28B}"/>
    <cellStyle name="Migliaia 21 3 4 7" xfId="16210" xr:uid="{7377036C-024C-49AC-8234-015E160334A2}"/>
    <cellStyle name="Migliaia 21 3 4 8" xfId="7669" xr:uid="{16B967F6-B867-455E-90C2-6DC255A85B95}"/>
    <cellStyle name="Migliaia 21 3 5" xfId="3321" xr:uid="{69098685-12AE-4E29-819B-965AC767F5DB}"/>
    <cellStyle name="Migliaia 21 3 5 2" xfId="5047" xr:uid="{B6A682CA-D6CD-4DE9-AFDF-63733D5BC0F1}"/>
    <cellStyle name="Migliaia 21 3 5 2 2" xfId="35217" xr:uid="{4BDB1259-0887-4B53-A469-8A27037E0088}"/>
    <cellStyle name="Migliaia 21 3 5 2 2 2" xfId="40377" xr:uid="{41991C20-7EA7-412F-8A24-32A55CFC2FD9}"/>
    <cellStyle name="Migliaia 21 3 5 2 2 3" xfId="45679" xr:uid="{608241C3-EB9A-4854-8541-33BCDDD7ECD3}"/>
    <cellStyle name="Migliaia 21 3 5 2 3" xfId="37726" xr:uid="{C44FA92A-C62A-43CB-A2B1-BED590A62BC8}"/>
    <cellStyle name="Migliaia 21 3 5 2 4" xfId="43028" xr:uid="{A17E6681-1C7B-47EF-A436-6619C1030237}"/>
    <cellStyle name="Migliaia 21 3 5 2 5" xfId="14220" xr:uid="{D5B7AB7C-3D6C-48EC-8101-CFAC6BD17C41}"/>
    <cellStyle name="Migliaia 21 3 5 3" xfId="6258" xr:uid="{5DE37C34-A8EC-4495-B716-366B8DC387A6}"/>
    <cellStyle name="Migliaia 21 3 5 3 2" xfId="38839" xr:uid="{03CFD7FE-9DEC-411A-BAC5-6306169C9A36}"/>
    <cellStyle name="Migliaia 21 3 5 3 3" xfId="44141" xr:uid="{EB181652-B56B-455B-87F3-9762CF94EF67}"/>
    <cellStyle name="Migliaia 21 3 5 3 4" xfId="33415" xr:uid="{17D5F704-129C-4796-BF16-C8787546765E}"/>
    <cellStyle name="Migliaia 21 3 5 3 5" xfId="20101" xr:uid="{64E36036-7A20-472A-9BE9-578D95FF3A79}"/>
    <cellStyle name="Migliaia 21 3 5 4" xfId="36326" xr:uid="{1378025C-F3CB-46E1-99A7-55AF4F715607}"/>
    <cellStyle name="Migliaia 21 3 5 5" xfId="41490" xr:uid="{F1947456-4B06-4959-A9F1-2479249D5B32}"/>
    <cellStyle name="Migliaia 21 3 5 6" xfId="16212" xr:uid="{3D91B889-DAD8-471C-B01E-9BA3332D71E0}"/>
    <cellStyle name="Migliaia 21 3 5 7" xfId="8282" xr:uid="{353B0700-2AF3-4970-8DB8-FA0B9700FDFA}"/>
    <cellStyle name="Migliaia 21 3 6" xfId="5042" xr:uid="{F62EE68A-B2F6-41CC-A7B1-C465CB75ADCC}"/>
    <cellStyle name="Migliaia 21 3 6 2" xfId="13925" xr:uid="{8A52DE15-A614-47CC-BA30-B40315715308}"/>
    <cellStyle name="Migliaia 21 3 6 2 2" xfId="38840" xr:uid="{49A9FB59-3217-4FEC-BF6E-BC006A0AE93A}"/>
    <cellStyle name="Migliaia 21 3 6 2 3" xfId="44142" xr:uid="{1D6E76C7-CE6A-4E37-BDAD-5140DFBEAE2C}"/>
    <cellStyle name="Migliaia 21 3 6 3" xfId="18717" xr:uid="{9D7A3898-5D37-48B1-B2CE-D4C3ABC4460C}"/>
    <cellStyle name="Migliaia 21 3 6 4" xfId="20102" xr:uid="{6DF42C29-DC0D-4748-9663-5005DAF89DA2}"/>
    <cellStyle name="Migliaia 21 3 6 4 2" xfId="41491" xr:uid="{06994EFD-9B12-487D-87E8-BF5EE901BAAB}"/>
    <cellStyle name="Migliaia 21 3 6 5" xfId="16213" xr:uid="{97A5B8E9-D542-4FBC-A50F-EA797A0A0D82}"/>
    <cellStyle name="Migliaia 21 3 6 6" xfId="7876" xr:uid="{42587BF5-C75E-41BC-AB83-29E7C4FD434E}"/>
    <cellStyle name="Migliaia 21 3 7" xfId="6253" xr:uid="{DAA17F0C-5E87-4F63-87D0-313F214C6A1E}"/>
    <cellStyle name="Migliaia 21 3 7 2" xfId="33416" xr:uid="{30E5405E-8A0F-4B27-BA5E-D03816AE1963}"/>
    <cellStyle name="Migliaia 21 3 7 2 2" xfId="38841" xr:uid="{DDBE1406-31E6-4DE3-A5BD-30D519A78D67}"/>
    <cellStyle name="Migliaia 21 3 7 2 3" xfId="44143" xr:uid="{3FA9FDF1-2D23-4962-80D7-CE9E3D1684F0}"/>
    <cellStyle name="Migliaia 21 3 7 3" xfId="36327" xr:uid="{F70D4011-DC60-4936-9E28-1BDEECF21D2A}"/>
    <cellStyle name="Migliaia 21 3 7 4" xfId="41492" xr:uid="{B8BB01F9-F3B6-441A-A5DC-D566F3C27900}"/>
    <cellStyle name="Migliaia 21 3 7 5" xfId="11129" xr:uid="{567E5AD6-D6DC-4577-9C68-25CCAFCC12C3}"/>
    <cellStyle name="Migliaia 21 3 8" xfId="3316" xr:uid="{6BE365EF-29D9-4F54-8BAE-32AEE66A0629}"/>
    <cellStyle name="Migliaia 21 3 8 2" xfId="33417" xr:uid="{57E92BD9-BD69-445F-8EBF-2A2A954CC7E8}"/>
    <cellStyle name="Migliaia 21 3 8 2 2" xfId="38842" xr:uid="{51D98E83-BF85-45ED-9511-6752A69E4643}"/>
    <cellStyle name="Migliaia 21 3 8 2 3" xfId="44144" xr:uid="{2258A6DA-7EE1-4F54-8EC4-D5EF6E880C34}"/>
    <cellStyle name="Migliaia 21 3 8 3" xfId="36328" xr:uid="{B713FBDD-21C2-487A-B7DF-0E647788204E}"/>
    <cellStyle name="Migliaia 21 3 8 4" xfId="41493" xr:uid="{B820268D-736C-4533-9DC8-15852E08CA0F}"/>
    <cellStyle name="Migliaia 21 3 8 5" xfId="24495" xr:uid="{731758AF-DF85-459E-8ACD-6D89158160F9}"/>
    <cellStyle name="Migliaia 21 3 8 6" xfId="17388" xr:uid="{EBF7EDCE-E2E6-497A-A5AC-79BDDA9CFC86}"/>
    <cellStyle name="Migliaia 21 3 9" xfId="20093" xr:uid="{B50AF417-D0FF-4266-9718-1E619D12D468}"/>
    <cellStyle name="Migliaia 21 4" xfId="1723" xr:uid="{00000000-0005-0000-0000-00003A030000}"/>
    <cellStyle name="Migliaia 21 4 2" xfId="1724" xr:uid="{00000000-0005-0000-0000-00003B030000}"/>
    <cellStyle name="Migliaia 21 4 2 2" xfId="5049" xr:uid="{156C1FFD-48B6-4EE0-AE6D-86F0150C1256}"/>
    <cellStyle name="Migliaia 21 4 2 2 2" xfId="33418" xr:uid="{41FC44EF-DFA6-4B09-8C3C-1FAC46B45FEF}"/>
    <cellStyle name="Migliaia 21 4 2 2 2 2" xfId="38843" xr:uid="{E66FAA17-E0E1-4C7B-AB33-6BD94BE0B0AF}"/>
    <cellStyle name="Migliaia 21 4 2 2 2 3" xfId="44145" xr:uid="{B3DE8B8E-1CA5-4873-8168-140A9F99EAC8}"/>
    <cellStyle name="Migliaia 21 4 2 2 3" xfId="36329" xr:uid="{2C3F0D0B-0623-46CD-A983-31C3AC6D1827}"/>
    <cellStyle name="Migliaia 21 4 2 2 4" xfId="41494" xr:uid="{07BA937E-ED6E-4A7F-B6D0-0800193526CD}"/>
    <cellStyle name="Migliaia 21 4 2 2 5" xfId="9134" xr:uid="{A72D48E5-6B58-4844-A698-C457A2212B4F}"/>
    <cellStyle name="Migliaia 21 4 2 3" xfId="3323" xr:uid="{ED8E8514-5B17-4D9B-8C8C-0661865EFAF2}"/>
    <cellStyle name="Migliaia 21 4 2 3 2" xfId="33419" xr:uid="{C040354D-7D30-47B3-A80D-CA5181438BBC}"/>
    <cellStyle name="Migliaia 21 4 2 3 2 2" xfId="38844" xr:uid="{994652EC-59A1-4FF9-A367-0A90843ABA5C}"/>
    <cellStyle name="Migliaia 21 4 2 3 2 3" xfId="44146" xr:uid="{5228D0C5-8CA0-451D-8626-F01F56D5158C}"/>
    <cellStyle name="Migliaia 21 4 2 3 3" xfId="36330" xr:uid="{99D7FA59-462F-435A-9216-CA63206DD633}"/>
    <cellStyle name="Migliaia 21 4 2 3 4" xfId="41495" xr:uid="{403BD0E2-9215-44CC-B033-9F4B67FE4A44}"/>
    <cellStyle name="Migliaia 21 4 2 3 5" xfId="11941" xr:uid="{75A44A5C-D30C-4B76-A4C7-39C6329AAB63}"/>
    <cellStyle name="Migliaia 21 4 2 4" xfId="11290" xr:uid="{881D0B48-080C-4957-B3F9-BA9E2E6079A5}"/>
    <cellStyle name="Migliaia 21 4 2 5" xfId="10801" xr:uid="{8DEE4F0C-D4D2-430B-B4D7-538795454FCB}"/>
    <cellStyle name="Migliaia 21 4 2 5 2" xfId="21436" xr:uid="{626B366E-166E-416E-97B8-7CA4A3FDD593}"/>
    <cellStyle name="Migliaia 21 4 2 5 3" xfId="46224" xr:uid="{207596AC-9406-40F4-991F-874D49A51557}"/>
    <cellStyle name="Migliaia 21 4 2 5 4" xfId="50451" xr:uid="{55C5B2D8-49C4-4642-9CBA-8090D31959F8}"/>
    <cellStyle name="Migliaia 21 4 2 5 5" xfId="53467" xr:uid="{5FEAB276-3102-4D90-BA5A-5B9A1C87CAFD}"/>
    <cellStyle name="Migliaia 21 4 2 6" xfId="20104" xr:uid="{59CA6CCF-6796-4199-9B73-DD58A4D4CA47}"/>
    <cellStyle name="Migliaia 21 4 2 7" xfId="24497" xr:uid="{35379FFA-0EBC-42EE-BE78-0E0007270B8C}"/>
    <cellStyle name="Migliaia 21 4 2 8" xfId="8562" xr:uid="{6923BDF4-2998-4256-B106-EA3A71606163}"/>
    <cellStyle name="Migliaia 21 4 3" xfId="5048" xr:uid="{7FC48A8E-33A1-4064-896E-CEB51C3DD8A4}"/>
    <cellStyle name="Migliaia 21 4 3 2" xfId="18189" xr:uid="{88D43F65-9839-435B-96D0-69A52764AE22}"/>
    <cellStyle name="Migliaia 21 4 3 2 2" xfId="38845" xr:uid="{A5B85D80-60FE-4DB4-BED9-0960ADDDE9D7}"/>
    <cellStyle name="Migliaia 21 4 3 2 3" xfId="44147" xr:uid="{6CA145E0-7C10-4138-B88C-8D0DBC23F797}"/>
    <cellStyle name="Migliaia 21 4 3 3" xfId="36331" xr:uid="{2C73D9FD-AFAD-409C-A20E-8AEF17815AB1}"/>
    <cellStyle name="Migliaia 21 4 3 4" xfId="41496" xr:uid="{B454A31D-58EC-47BE-9371-B361947F6333}"/>
    <cellStyle name="Migliaia 21 4 3 5" xfId="17386" xr:uid="{2D4D6F70-F5DD-4443-9987-D8A69878DBC6}"/>
    <cellStyle name="Migliaia 21 4 3 6" xfId="9135" xr:uid="{0BF1DEFD-C1C0-429A-8E55-8BB2A9413C4D}"/>
    <cellStyle name="Migliaia 21 4 4" xfId="6259" xr:uid="{CDA02F9B-6EEC-41B8-B512-E73BEAC7FD63}"/>
    <cellStyle name="Migliaia 21 4 4 2" xfId="33420" xr:uid="{E14EE7EA-1018-4BA1-AAEE-986326C5B83B}"/>
    <cellStyle name="Migliaia 21 4 4 2 2" xfId="38846" xr:uid="{793F80CD-2D81-4237-A1AC-4F802714B8BC}"/>
    <cellStyle name="Migliaia 21 4 4 2 3" xfId="44148" xr:uid="{84EEF8C7-3692-4B4E-BF61-187D446044B6}"/>
    <cellStyle name="Migliaia 21 4 4 3" xfId="36332" xr:uid="{C049DAA7-328D-41D9-9348-9ED2B97C315C}"/>
    <cellStyle name="Migliaia 21 4 4 4" xfId="41497" xr:uid="{E2BD9C19-FDC3-4CE8-B2E7-EABDE6920F83}"/>
    <cellStyle name="Migliaia 21 4 4 5" xfId="11942" xr:uid="{56CAF995-C826-4CAA-8443-0FFB6619F71E}"/>
    <cellStyle name="Migliaia 21 4 5" xfId="3322" xr:uid="{C71FE6CC-60EC-4E18-9E5F-70BC5B3A7018}"/>
    <cellStyle name="Migliaia 21 4 5 2" xfId="33421" xr:uid="{1663C80E-8808-4EED-9351-C3F1B51048F8}"/>
    <cellStyle name="Migliaia 21 4 5 2 2" xfId="38847" xr:uid="{D861CD20-4CC2-49D4-B43A-D8E5A0661F1B}"/>
    <cellStyle name="Migliaia 21 4 5 2 3" xfId="44149" xr:uid="{506D0E7A-3A4C-403C-A8CB-FF57F059DFC6}"/>
    <cellStyle name="Migliaia 21 4 5 3" xfId="36333" xr:uid="{E74CF137-731E-4A00-A258-7DD57F9BA3A2}"/>
    <cellStyle name="Migliaia 21 4 5 4" xfId="41498" xr:uid="{1B6CAF3A-DB94-40DC-8870-CF24AE14579B}"/>
    <cellStyle name="Migliaia 21 4 5 5" xfId="11289" xr:uid="{1BC09DE9-E857-4F92-A646-5DB3F6B725FA}"/>
    <cellStyle name="Migliaia 21 4 6" xfId="10800" xr:uid="{C3364BAC-7BB5-4C59-B9C0-1BDE11DB5ADB}"/>
    <cellStyle name="Migliaia 21 4 6 2" xfId="21435" xr:uid="{D6920716-937C-4B47-A10C-76D07AAB328E}"/>
    <cellStyle name="Migliaia 21 4 6 2 2" xfId="38848" xr:uid="{51231424-4C9D-432D-AAC5-D536941595DF}"/>
    <cellStyle name="Migliaia 21 4 6 2 3" xfId="44150" xr:uid="{6BB4E530-57B4-4A35-BA17-6CDC693010D7}"/>
    <cellStyle name="Migliaia 21 4 6 2 4" xfId="33422" xr:uid="{4C262F55-0546-4482-8D78-F0727FD96BF0}"/>
    <cellStyle name="Migliaia 21 4 6 3" xfId="36334" xr:uid="{312C219F-AA17-40BB-9621-8249F06909CC}"/>
    <cellStyle name="Migliaia 21 4 6 4" xfId="41499" xr:uid="{8412AD67-5981-41FB-BFFC-AB685284366A}"/>
    <cellStyle name="Migliaia 21 4 6 5" xfId="24500" xr:uid="{750145DE-201E-4FBC-A4DF-F41069F79262}"/>
    <cellStyle name="Migliaia 21 4 6 6" xfId="47303" xr:uid="{9617500A-EDDC-471B-B3C1-9695CE663988}"/>
    <cellStyle name="Migliaia 21 4 6 7" xfId="50450" xr:uid="{5C6C7604-E1B8-4E55-B38C-2A641C7C88A8}"/>
    <cellStyle name="Migliaia 21 4 6 8" xfId="53466" xr:uid="{44C9843B-FDD8-45F1-9451-9E71B29006B7}"/>
    <cellStyle name="Migliaia 21 4 7" xfId="20103" xr:uid="{D8756ED3-6DDE-4425-BF70-807961BB3E9C}"/>
    <cellStyle name="Migliaia 21 4 7 2" xfId="33423" xr:uid="{A97AF22D-024C-48D7-BDA1-0C948CD6DA44}"/>
    <cellStyle name="Migliaia 21 4 7 2 2" xfId="38849" xr:uid="{965191C4-B267-4C17-A1B4-464900ED8F07}"/>
    <cellStyle name="Migliaia 21 4 7 2 3" xfId="44151" xr:uid="{D552A3C5-AFC2-4523-A084-53645951EF0E}"/>
    <cellStyle name="Migliaia 21 4 7 3" xfId="36335" xr:uid="{FFFA17DF-5CB7-497B-BB65-C520E82E8688}"/>
    <cellStyle name="Migliaia 21 4 7 4" xfId="41500" xr:uid="{1162E543-173F-47E1-9C57-AFB3A83CA458}"/>
    <cellStyle name="Migliaia 21 4 7 5" xfId="24501" xr:uid="{B40AFE3C-2559-4F31-B975-4826B3F38A38}"/>
    <cellStyle name="Migliaia 21 4 8" xfId="24496" xr:uid="{D75ABF5C-223B-4BA9-A2FE-40A6D8B0CD1F}"/>
    <cellStyle name="Migliaia 21 4 9" xfId="7372" xr:uid="{4C421B5D-BF20-46F2-A726-78D065C3F8B5}"/>
    <cellStyle name="Migliaia 21 5" xfId="1725" xr:uid="{00000000-0005-0000-0000-00003C030000}"/>
    <cellStyle name="Migliaia 21 5 2" xfId="5050" xr:uid="{472F496E-1632-4BC1-89AD-7FFEDA9F92E1}"/>
    <cellStyle name="Migliaia 21 5 2 2" xfId="18403" xr:uid="{646E33C4-0E70-4FC9-B17A-166CD50B50A7}"/>
    <cellStyle name="Migliaia 21 5 2 2 2" xfId="38850" xr:uid="{958803B2-D672-45F5-B79F-8BE6115A33F9}"/>
    <cellStyle name="Migliaia 21 5 2 2 3" xfId="44152" xr:uid="{4F2B17A2-556F-49B4-BED0-BFCCA655E83F}"/>
    <cellStyle name="Migliaia 21 5 2 3" xfId="20106" xr:uid="{DF7DF7B3-D586-4465-85DB-0B1968A85B7F}"/>
    <cellStyle name="Migliaia 21 5 2 3 2" xfId="36336" xr:uid="{87C2DA4A-B1C8-42A9-ACD7-E418B0C49C47}"/>
    <cellStyle name="Migliaia 21 5 2 4" xfId="41501" xr:uid="{FA7FD107-60D9-4602-95B9-2B8C6696F500}"/>
    <cellStyle name="Migliaia 21 5 2 5" xfId="16214" xr:uid="{B46C9479-AA75-4C0C-BE3C-E7E48974B97C}"/>
    <cellStyle name="Migliaia 21 5 2 6" xfId="8563" xr:uid="{5924AF7C-54F8-4301-9F45-D327569C6931}"/>
    <cellStyle name="Migliaia 21 5 3" xfId="6260" xr:uid="{960969E8-E141-4242-9662-558EF56CF93A}"/>
    <cellStyle name="Migliaia 21 5 3 2" xfId="33424" xr:uid="{60D1ACC5-5F1F-4E25-A029-1CF23B1A48E7}"/>
    <cellStyle name="Migliaia 21 5 3 2 2" xfId="38851" xr:uid="{C176CC85-4D70-42B8-9AE6-97E27A05265F}"/>
    <cellStyle name="Migliaia 21 5 3 2 3" xfId="44153" xr:uid="{4F94B08A-0BE1-4AA6-A6A1-DDBDFD19433F}"/>
    <cellStyle name="Migliaia 21 5 3 3" xfId="36337" xr:uid="{805BEC3E-5AA4-48CD-80DB-9804BC5EC430}"/>
    <cellStyle name="Migliaia 21 5 3 4" xfId="41502" xr:uid="{5C949840-A0E2-4518-9802-86FFF2E01512}"/>
    <cellStyle name="Migliaia 21 5 3 5" xfId="11291" xr:uid="{E46FF083-05DB-4E0E-9A0B-4E94769262CD}"/>
    <cellStyle name="Migliaia 21 5 4" xfId="3324" xr:uid="{5829B7B6-C347-4511-8281-A4D919BA7089}"/>
    <cellStyle name="Migliaia 21 5 4 2" xfId="21437" xr:uid="{D9C932E7-2835-4423-B936-A8DC0BFE42C9}"/>
    <cellStyle name="Migliaia 21 5 4 2 2" xfId="38852" xr:uid="{D7ADE83A-DACE-4554-90A2-10A4204E743A}"/>
    <cellStyle name="Migliaia 21 5 4 2 3" xfId="44154" xr:uid="{2F3030B7-1C77-48EB-AEAF-0D5792B36E61}"/>
    <cellStyle name="Migliaia 21 5 4 2 4" xfId="33425" xr:uid="{91150013-86D8-4A8F-97CF-6561034085F1}"/>
    <cellStyle name="Migliaia 21 5 4 3" xfId="36338" xr:uid="{4EBEF6AC-75AC-4557-A278-AD5E3CC07B99}"/>
    <cellStyle name="Migliaia 21 5 4 4" xfId="41503" xr:uid="{DDBD0B2D-2956-4CC2-B8D0-4735218E40DF}"/>
    <cellStyle name="Migliaia 21 5 4 5" xfId="24503" xr:uid="{77CC07A4-3168-42E3-AF45-294963878F9A}"/>
    <cellStyle name="Migliaia 21 5 4 6" xfId="47896" xr:uid="{E872AFAC-2FCD-4B5B-803A-7A5E5C2EE60B}"/>
    <cellStyle name="Migliaia 21 5 4 7" xfId="50452" xr:uid="{219F8D47-0F69-4033-8996-E32A6372D65B}"/>
    <cellStyle name="Migliaia 21 5 4 8" xfId="53468" xr:uid="{864516B3-C03B-48F4-8FEB-51339E2A5056}"/>
    <cellStyle name="Migliaia 21 5 4 9" xfId="10802" xr:uid="{FE21283A-66D3-4C1C-A641-6BC0FDC1F757}"/>
    <cellStyle name="Migliaia 21 5 5" xfId="20105" xr:uid="{A2126022-129D-46A0-A9D0-B2E8F3D0149C}"/>
    <cellStyle name="Migliaia 21 5 5 2" xfId="33426" xr:uid="{0237DB3C-EED4-4233-A4DE-970F5E747B6B}"/>
    <cellStyle name="Migliaia 21 5 5 2 2" xfId="38853" xr:uid="{7D2179E0-F934-449D-B369-BC08097F9520}"/>
    <cellStyle name="Migliaia 21 5 5 2 3" xfId="44155" xr:uid="{82CF2F97-915A-4342-B0A7-F3820BB78E4B}"/>
    <cellStyle name="Migliaia 21 5 5 3" xfId="36339" xr:uid="{18B4701B-2D2A-42E7-BBE9-CDD9D05484F7}"/>
    <cellStyle name="Migliaia 21 5 5 4" xfId="41504" xr:uid="{F5B6A4A0-8E39-49E2-82EB-599422F2C1A4}"/>
    <cellStyle name="Migliaia 21 5 5 5" xfId="24504" xr:uid="{4FEC3A43-E765-4361-BEC5-478D90E46244}"/>
    <cellStyle name="Migliaia 21 5 6" xfId="24505" xr:uid="{623CA48A-46BB-4318-8019-4A2474F38F21}"/>
    <cellStyle name="Migliaia 21 5 6 2" xfId="33427" xr:uid="{B425B007-D712-4DAE-A122-767B3625889D}"/>
    <cellStyle name="Migliaia 21 5 6 2 2" xfId="38854" xr:uid="{E074DEA9-1418-42C5-8209-E8E35534D044}"/>
    <cellStyle name="Migliaia 21 5 6 2 3" xfId="44156" xr:uid="{349B23EF-0976-4717-8F69-245F0EADBDB8}"/>
    <cellStyle name="Migliaia 21 5 6 3" xfId="36340" xr:uid="{E36CE19E-51D6-43D9-AC68-34B3F10D68D3}"/>
    <cellStyle name="Migliaia 21 5 6 4" xfId="41505" xr:uid="{28AD6B0B-477E-45C1-B9B1-94C920E97FB1}"/>
    <cellStyle name="Migliaia 21 5 7" xfId="24502" xr:uid="{D93558B5-3103-4F43-BB93-2F2BFF6242E5}"/>
    <cellStyle name="Migliaia 21 5 8" xfId="7373" xr:uid="{54F0A62D-5E4C-4326-9865-7183DDB54D34}"/>
    <cellStyle name="Migliaia 21 6" xfId="3325" xr:uid="{ECAF671F-B70A-43D0-AA99-3FDE8AD644DB}"/>
    <cellStyle name="Migliaia 21 6 2" xfId="5051" xr:uid="{352D5B97-72FC-4D45-BE96-C5523226265F}"/>
    <cellStyle name="Migliaia 21 6 2 2" xfId="9907" xr:uid="{A4DF607F-8885-4A10-8473-C6A12C81EFE6}"/>
    <cellStyle name="Migliaia 21 6 2 3" xfId="18667" xr:uid="{8DC1839E-761E-4BF0-BEEE-E09D54E6FB99}"/>
    <cellStyle name="Migliaia 21 6 2 4" xfId="20108" xr:uid="{DE1B47B2-A629-48F1-8971-F1CC282FF9CE}"/>
    <cellStyle name="Migliaia 21 6 2 5" xfId="32339" xr:uid="{988FD4BF-B3B4-4ACE-9D16-AC9DABCB81F9}"/>
    <cellStyle name="Migliaia 21 6 2 6" xfId="16216" xr:uid="{5261FD09-044C-4709-A542-15ED81100ADE}"/>
    <cellStyle name="Migliaia 21 6 2 7" xfId="8558" xr:uid="{43C0FCE9-4CB5-4ACE-9ABF-4EEF4181D078}"/>
    <cellStyle name="Migliaia 21 6 3" xfId="6261" xr:uid="{25A99DB3-ADAA-4A53-A0BD-063FA563032E}"/>
    <cellStyle name="Migliaia 21 6 3 2" xfId="35218" xr:uid="{B4726C31-B63F-48B8-BFA3-017794BCD347}"/>
    <cellStyle name="Migliaia 21 6 3 2 2" xfId="40378" xr:uid="{39B6FE10-47A2-4910-9966-A9CA5F622DA4}"/>
    <cellStyle name="Migliaia 21 6 3 2 3" xfId="45680" xr:uid="{359A2921-7AF0-4415-87EA-E0EEF9B10CEF}"/>
    <cellStyle name="Migliaia 21 6 3 3" xfId="37727" xr:uid="{8782121E-85E2-4358-8D3B-07232E4C3A16}"/>
    <cellStyle name="Migliaia 21 6 3 4" xfId="43029" xr:uid="{18C7E8A0-EFF7-4441-8D88-8B98F44EE68D}"/>
    <cellStyle name="Migliaia 21 6 3 5" xfId="9670" xr:uid="{18A70A2E-F064-4B83-9361-678818CFDA3B}"/>
    <cellStyle name="Migliaia 21 6 4" xfId="20107" xr:uid="{75F7D2EB-571F-4EF5-8777-D81A6A61F6C7}"/>
    <cellStyle name="Migliaia 21 6 4 2" xfId="38855" xr:uid="{EAA8ABF3-0AC4-4A8B-B150-02B4A5B3D358}"/>
    <cellStyle name="Migliaia 21 6 4 3" xfId="44157" xr:uid="{009BB201-1E90-48C5-8054-F838421A50DC}"/>
    <cellStyle name="Migliaia 21 6 4 4" xfId="33428" xr:uid="{4B64B9D1-645F-4ECC-9BEA-12A83230005A}"/>
    <cellStyle name="Migliaia 21 6 5" xfId="36341" xr:uid="{AD005266-7507-46CB-AF7C-A4268474AF65}"/>
    <cellStyle name="Migliaia 21 6 6" xfId="41506" xr:uid="{A2BAD3C5-9D02-4A00-91CE-B41CF5673517}"/>
    <cellStyle name="Migliaia 21 6 7" xfId="16215" xr:uid="{3D7E7559-9603-424D-B9E5-9AC20F9BE8DE}"/>
    <cellStyle name="Migliaia 21 6 8" xfId="7368" xr:uid="{CCF2DA76-E566-4E95-AF0A-4E3D271278D7}"/>
    <cellStyle name="Migliaia 21 7" xfId="3326" xr:uid="{6508234A-4998-4265-B2DB-EB1652F0212C}"/>
    <cellStyle name="Migliaia 21 7 2" xfId="5052" xr:uid="{B3887E29-9014-4C60-A0B4-BD5D8CC835ED}"/>
    <cellStyle name="Migliaia 21 7 2 2" xfId="35219" xr:uid="{99FFE49A-1621-44D9-8A6D-5C43FDB339F1}"/>
    <cellStyle name="Migliaia 21 7 2 2 2" xfId="40379" xr:uid="{A8E7BA47-6683-4A86-82EF-103757E27CB9}"/>
    <cellStyle name="Migliaia 21 7 2 2 3" xfId="45681" xr:uid="{B209013B-6403-4760-91FC-7E01B3ED01D0}"/>
    <cellStyle name="Migliaia 21 7 2 3" xfId="37728" xr:uid="{5D36A6D8-866E-4C8A-A2E7-2A8F6EA4BE61}"/>
    <cellStyle name="Migliaia 21 7 2 4" xfId="43030" xr:uid="{DEA5065C-5457-43E4-8E5B-ACF5D3393B13}"/>
    <cellStyle name="Migliaia 21 7 2 5" xfId="14218" xr:uid="{AF7B6379-4307-4734-B318-A172CDD7CECE}"/>
    <cellStyle name="Migliaia 21 7 3" xfId="6262" xr:uid="{05AE909A-FBFD-47FF-ADEA-A8DA081E25A1}"/>
    <cellStyle name="Migliaia 21 7 3 2" xfId="38856" xr:uid="{8760777D-29DD-4FCB-AD27-BB9692403C36}"/>
    <cellStyle name="Migliaia 21 7 3 3" xfId="44158" xr:uid="{2EB81A30-D25A-4ECC-82A3-A857B5369CAB}"/>
    <cellStyle name="Migliaia 21 7 3 4" xfId="33429" xr:uid="{410CE5E3-593A-4035-8D4C-12AC9E162A96}"/>
    <cellStyle name="Migliaia 21 7 3 5" xfId="20109" xr:uid="{4B05448C-3F70-4971-87E1-744445FF13E2}"/>
    <cellStyle name="Migliaia 21 7 4" xfId="36342" xr:uid="{5DC765B3-F4A6-4EC1-A397-718C5E41FFE6}"/>
    <cellStyle name="Migliaia 21 7 5" xfId="41507" xr:uid="{3360BA72-5F25-4B55-8833-7AB061A80589}"/>
    <cellStyle name="Migliaia 21 7 6" xfId="16217" xr:uid="{C048D265-F4F0-491B-8094-384BB4530FCF}"/>
    <cellStyle name="Migliaia 21 7 7" xfId="8280" xr:uid="{9616B8E8-8B13-4620-9C71-2DAE7D1600AB}"/>
    <cellStyle name="Migliaia 21 8" xfId="3327" xr:uid="{A482A192-6B8D-475D-BD86-35FDAADD76A8}"/>
    <cellStyle name="Migliaia 21 8 2" xfId="5053" xr:uid="{BA5F1B89-64B0-487E-B827-68507A7739BF}"/>
    <cellStyle name="Migliaia 21 8 2 2" xfId="35220" xr:uid="{95A20EF2-A4FF-47AC-9771-A20B7CD41F6D}"/>
    <cellStyle name="Migliaia 21 8 2 2 2" xfId="40380" xr:uid="{5659660A-B76C-4919-8436-B2FB6AA1C080}"/>
    <cellStyle name="Migliaia 21 8 2 2 3" xfId="45682" xr:uid="{5DCF0FE9-F171-4D86-86CF-D2B3DDF371BA}"/>
    <cellStyle name="Migliaia 21 8 2 3" xfId="37729" xr:uid="{06E9BBF5-9288-491E-8405-1C9E0E02AA00}"/>
    <cellStyle name="Migliaia 21 8 2 4" xfId="43031" xr:uid="{9AC04DC5-164F-4243-9EF1-D5994A3714D7}"/>
    <cellStyle name="Migliaia 21 8 2 5" xfId="13923" xr:uid="{A3B44CB2-47E7-441A-89FE-2FA741E254A7}"/>
    <cellStyle name="Migliaia 21 8 3" xfId="6263" xr:uid="{808F3C51-DDA0-46FA-9AE4-C4CA8124FA71}"/>
    <cellStyle name="Migliaia 21 8 3 2" xfId="38857" xr:uid="{1F738B59-485A-4F6D-B8EB-DC69C522FD7B}"/>
    <cellStyle name="Migliaia 21 8 3 3" xfId="44159" xr:uid="{F9BA02E1-870F-4A39-8638-1706EE1F54DF}"/>
    <cellStyle name="Migliaia 21 8 3 4" xfId="33430" xr:uid="{67D3E516-DB37-4A9A-8CEF-E208AC524CC4}"/>
    <cellStyle name="Migliaia 21 8 3 5" xfId="20110" xr:uid="{C5BDF980-B433-4261-90AD-3E4276AE96DD}"/>
    <cellStyle name="Migliaia 21 8 4" xfId="36343" xr:uid="{D7F290F9-11E2-42CE-8385-22934ADCA4DC}"/>
    <cellStyle name="Migliaia 21 8 5" xfId="41508" xr:uid="{74BE4920-A177-42C1-BE43-E76B8E773DF2}"/>
    <cellStyle name="Migliaia 21 8 6" xfId="16218" xr:uid="{3A17FBB0-D69A-4334-BF2A-5811E050FDC8}"/>
    <cellStyle name="Migliaia 21 8 7" xfId="7874" xr:uid="{18BECA86-6F87-4838-B678-6F9F06B117DC}"/>
    <cellStyle name="Migliaia 21 9" xfId="5038" xr:uid="{1B43D3F2-8DA0-4CC7-86D1-0003A2251DAA}"/>
    <cellStyle name="Migliaia 21 9 2" xfId="33431" xr:uid="{80D27CE6-8C91-40D4-857A-49CE062E8B62}"/>
    <cellStyle name="Migliaia 21 9 2 2" xfId="38858" xr:uid="{E2E01CEB-68EF-4728-91F3-ABCA310979C0}"/>
    <cellStyle name="Migliaia 21 9 2 3" xfId="44160" xr:uid="{4CDCEE66-76CA-44B8-ACA4-6FC10F8D1824}"/>
    <cellStyle name="Migliaia 21 9 3" xfId="36344" xr:uid="{DF4479BC-A863-4A41-8816-F361AD95FF28}"/>
    <cellStyle name="Migliaia 21 9 4" xfId="41509" xr:uid="{EF7058C2-10F4-40D3-B7BE-5F0B5799341E}"/>
    <cellStyle name="Migliaia 21 9 5" xfId="17161" xr:uid="{40345381-E90A-4727-84E4-0A473D92C104}"/>
    <cellStyle name="Migliaia 22" xfId="357" xr:uid="{00000000-0005-0000-0000-00003D030000}"/>
    <cellStyle name="Migliaia 22 10" xfId="6264" xr:uid="{7B8F8C49-B2A0-4D53-931C-CB3BDB9495A3}"/>
    <cellStyle name="Migliaia 22 10 2" xfId="38859" xr:uid="{1C09DC23-420F-4A90-8742-58092E91B462}"/>
    <cellStyle name="Migliaia 22 10 3" xfId="44161" xr:uid="{D607C849-BF07-4EEF-B524-6E6A3AD6F17A}"/>
    <cellStyle name="Migliaia 22 10 4" xfId="33432" xr:uid="{13619049-FC2E-47D2-BDDB-8CB0506A160B}"/>
    <cellStyle name="Migliaia 22 10 5" xfId="20111" xr:uid="{DE4AE0C1-2D2E-43C2-8F19-65450DB3927D}"/>
    <cellStyle name="Migliaia 22 11" xfId="3328" xr:uid="{C3F83E1B-58EC-4573-A3F2-0B289F37D2EF}"/>
    <cellStyle name="Migliaia 22 11 2" xfId="36345" xr:uid="{81001CA0-1BFC-4BF0-B590-C0892EDB528C}"/>
    <cellStyle name="Migliaia 22 12" xfId="41510" xr:uid="{C57928F5-2820-43DC-B9C1-5D4C5405678E}"/>
    <cellStyle name="Migliaia 22 13" xfId="7084" xr:uid="{9DE53D3E-3C67-4CEB-A5F5-8DFEA57DF84A}"/>
    <cellStyle name="Migliaia 22 2" xfId="358" xr:uid="{00000000-0005-0000-0000-00003E030000}"/>
    <cellStyle name="Migliaia 22 2 2" xfId="1726" xr:uid="{00000000-0005-0000-0000-00003F030000}"/>
    <cellStyle name="Migliaia 22 2 2 2" xfId="5056" xr:uid="{A5350673-A475-4179-A190-D7D6E9BA905B}"/>
    <cellStyle name="Migliaia 22 2 2 2 2" xfId="14377" xr:uid="{C7570FA3-19FF-4BD2-B5D8-9242A168A363}"/>
    <cellStyle name="Migliaia 22 2 2 2 2 2" xfId="38860" xr:uid="{4DC27DD3-D9B8-456C-900F-D9B7CE5E179E}"/>
    <cellStyle name="Migliaia 22 2 2 2 2 3" xfId="44162" xr:uid="{C2AE0844-1514-42EC-BE2F-94C68F170C06}"/>
    <cellStyle name="Migliaia 22 2 2 2 3" xfId="18404" xr:uid="{01C15A31-CDBF-4C4A-A2F6-5BCD8312165A}"/>
    <cellStyle name="Migliaia 22 2 2 2 4" xfId="20114" xr:uid="{93CF236C-262D-499B-ADE3-78D69DBDCAD5}"/>
    <cellStyle name="Migliaia 22 2 2 2 4 2" xfId="41511" xr:uid="{E6FFB71B-3353-4E5F-8BC6-4EAFC4DD3FCC}"/>
    <cellStyle name="Migliaia 22 2 2 2 5" xfId="16219" xr:uid="{060E16DA-0D7A-43E4-9426-7773D9A302AB}"/>
    <cellStyle name="Migliaia 22 2 2 2 6" xfId="8565" xr:uid="{9E512D6D-1967-4C2B-935E-B166D8D245A8}"/>
    <cellStyle name="Migliaia 22 2 2 3" xfId="6266" xr:uid="{0592CE43-4B5F-49E7-8E2D-4384228913BC}"/>
    <cellStyle name="Migliaia 22 2 2 3 2" xfId="35221" xr:uid="{3457653B-DF81-44E2-AFF9-948004D39450}"/>
    <cellStyle name="Migliaia 22 2 2 3 2 2" xfId="40381" xr:uid="{ABF9EE8A-90E4-4C78-9347-53C62714DBDB}"/>
    <cellStyle name="Migliaia 22 2 2 3 2 3" xfId="45683" xr:uid="{0D09CEC3-B347-436F-B0EE-BF3D9FF130F5}"/>
    <cellStyle name="Migliaia 22 2 2 3 3" xfId="37730" xr:uid="{7DAA3445-A282-4CF0-8FA9-69EE01E90244}"/>
    <cellStyle name="Migliaia 22 2 2 3 4" xfId="43032" xr:uid="{F1EA8FC4-C60D-44F5-AE3A-DA1E50A27CF8}"/>
    <cellStyle name="Migliaia 22 2 2 3 5" xfId="11604" xr:uid="{3B3FEF2A-B0BE-4E35-B753-9390BFB8C566}"/>
    <cellStyle name="Migliaia 22 2 2 4" xfId="3330" xr:uid="{9D92E237-8B22-4F84-ADF6-FFC9335626D7}"/>
    <cellStyle name="Migliaia 22 2 2 4 2" xfId="21438" xr:uid="{98645C90-4F84-4D69-B5BF-44CA559C93B7}"/>
    <cellStyle name="Migliaia 22 2 2 4 3" xfId="46225" xr:uid="{06533ED8-B601-4173-A287-ABCE851BA2CE}"/>
    <cellStyle name="Migliaia 22 2 2 4 4" xfId="50453" xr:uid="{5E83698B-189E-47F8-8AAF-72157906E57F}"/>
    <cellStyle name="Migliaia 22 2 2 4 5" xfId="53469" xr:uid="{48E77426-BB41-49AA-8C05-7C3DB3553891}"/>
    <cellStyle name="Migliaia 22 2 2 4 6" xfId="10803" xr:uid="{D24C1FF9-9FCF-4D2C-BC46-EA0F49F6DFF0}"/>
    <cellStyle name="Migliaia 22 2 2 5" xfId="20113" xr:uid="{93037B72-1D26-48F3-90EE-F97C50D5CF0A}"/>
    <cellStyle name="Migliaia 22 2 2 6" xfId="24510" xr:uid="{7EF0069D-4E5A-4D8A-B231-B9CDECAD2422}"/>
    <cellStyle name="Migliaia 22 2 2 7" xfId="7375" xr:uid="{23DCF0D1-13EE-4817-8DA1-19F96E746D4F}"/>
    <cellStyle name="Migliaia 22 2 3" xfId="3331" xr:uid="{7CBC0202-8B37-4AB4-950C-71DEADF0871E}"/>
    <cellStyle name="Migliaia 22 2 3 2" xfId="5057" xr:uid="{C72A19A1-FDB3-4903-9E8D-6F798694F380}"/>
    <cellStyle name="Migliaia 22 2 3 2 2" xfId="35222" xr:uid="{DCAF3680-B71C-4EBD-AD03-5E5B83F80536}"/>
    <cellStyle name="Migliaia 22 2 3 2 2 2" xfId="40382" xr:uid="{1D7D0226-6B5B-43F1-88FD-16C9A5D05D7C}"/>
    <cellStyle name="Migliaia 22 2 3 2 2 3" xfId="45684" xr:uid="{9E102FD9-8CF0-4B9E-AC2A-41552E52D33D}"/>
    <cellStyle name="Migliaia 22 2 3 2 3" xfId="37731" xr:uid="{992EB706-AAD9-4058-BECA-96583DF44C07}"/>
    <cellStyle name="Migliaia 22 2 3 2 4" xfId="43033" xr:uid="{816E57E5-E6F6-47FC-A598-1B46BC705551}"/>
    <cellStyle name="Migliaia 22 2 3 2 5" xfId="14222" xr:uid="{843BA993-87A3-4051-A7E0-CA40F0657B16}"/>
    <cellStyle name="Migliaia 22 2 3 3" xfId="6267" xr:uid="{04AD14A0-B348-45B9-B4F7-5857C09CFABB}"/>
    <cellStyle name="Migliaia 22 2 3 3 2" xfId="38861" xr:uid="{D9B8FCCF-6816-4886-8958-944D4517084A}"/>
    <cellStyle name="Migliaia 22 2 3 3 3" xfId="44163" xr:uid="{21D4EE3C-7C8E-42E4-8963-CB0FFF288BAB}"/>
    <cellStyle name="Migliaia 22 2 3 3 4" xfId="33433" xr:uid="{7BA15618-A162-4198-BCC8-71DC867E3248}"/>
    <cellStyle name="Migliaia 22 2 3 3 5" xfId="20115" xr:uid="{1D68C72A-DDEC-42F8-8106-B412902C1A5D}"/>
    <cellStyle name="Migliaia 22 2 3 4" xfId="36346" xr:uid="{E23BD688-9705-4837-B99B-558FEA906D05}"/>
    <cellStyle name="Migliaia 22 2 3 5" xfId="41512" xr:uid="{CD9E53FB-6DA0-4C45-BA5A-5FC566E8BAC6}"/>
    <cellStyle name="Migliaia 22 2 3 6" xfId="16220" xr:uid="{DC050AB5-3B61-486D-93B9-F66A3EF6CC76}"/>
    <cellStyle name="Migliaia 22 2 3 7" xfId="8284" xr:uid="{A9B5C4DE-627D-4049-A60D-8F9449C6E46F}"/>
    <cellStyle name="Migliaia 22 2 4" xfId="5055" xr:uid="{B05D9D27-E4DE-4CA8-AA30-DFBCF9EFCE37}"/>
    <cellStyle name="Migliaia 22 2 4 2" xfId="13927" xr:uid="{96752953-96B7-4A3C-A89F-B9D35717D99E}"/>
    <cellStyle name="Migliaia 22 2 4 2 2" xfId="38862" xr:uid="{B329BE6C-B08F-4892-A756-BF3CF37E07AF}"/>
    <cellStyle name="Migliaia 22 2 4 2 3" xfId="44164" xr:uid="{C980BB2F-DE77-4A21-BD35-58DB9EC34CDF}"/>
    <cellStyle name="Migliaia 22 2 4 3" xfId="18716" xr:uid="{D87EF7B4-81A4-4F0D-8081-4152270950A6}"/>
    <cellStyle name="Migliaia 22 2 4 4" xfId="20116" xr:uid="{AF8A39C1-96B9-4440-B5ED-B2353807058A}"/>
    <cellStyle name="Migliaia 22 2 4 4 2" xfId="41513" xr:uid="{71F044BF-4907-47E5-AA84-60CEE78A18AF}"/>
    <cellStyle name="Migliaia 22 2 4 5" xfId="16221" xr:uid="{1DB29326-A1C9-47C2-9937-B37797FF1398}"/>
    <cellStyle name="Migliaia 22 2 4 6" xfId="7879" xr:uid="{A04BF348-32CD-42AB-ABD8-40D82197FCC9}"/>
    <cellStyle name="Migliaia 22 2 5" xfId="6265" xr:uid="{BC6F054C-20BC-46B5-82C2-04F7A13BF32C}"/>
    <cellStyle name="Migliaia 22 2 5 2" xfId="33434" xr:uid="{A0648717-EF8B-4E07-9724-2CF6E2E7614D}"/>
    <cellStyle name="Migliaia 22 2 5 2 2" xfId="38863" xr:uid="{78EEC6CC-72A8-45F4-BDA1-C9B8A9BAF4EE}"/>
    <cellStyle name="Migliaia 22 2 5 2 3" xfId="44165" xr:uid="{866C5090-D7AD-4526-9DE6-36FAD5427640}"/>
    <cellStyle name="Migliaia 22 2 5 3" xfId="36347" xr:uid="{F0DE9380-A175-4C69-824F-C5D2D0FCCF24}"/>
    <cellStyle name="Migliaia 22 2 5 4" xfId="41514" xr:uid="{90DC709F-75F1-4BC2-AB58-B2F8F0ACB2EB}"/>
    <cellStyle name="Migliaia 22 2 5 5" xfId="13117" xr:uid="{F17BAE6B-9B83-4F0D-B4B3-62D7DB727122}"/>
    <cellStyle name="Migliaia 22 2 6" xfId="3329" xr:uid="{F583C249-00C9-42FC-99EE-7D69D4F1D2E9}"/>
    <cellStyle name="Migliaia 22 2 6 2" xfId="33435" xr:uid="{79D8C499-C285-4BBA-B92A-139F1683D096}"/>
    <cellStyle name="Migliaia 22 2 6 2 2" xfId="38864" xr:uid="{35CCD824-35C4-4556-8588-28853842297B}"/>
    <cellStyle name="Migliaia 22 2 6 2 3" xfId="44166" xr:uid="{7AAD3E47-5EBF-4B93-9241-CB5ACF325C9A}"/>
    <cellStyle name="Migliaia 22 2 6 3" xfId="36348" xr:uid="{448FDD81-E983-45CC-A01B-3CA20C6D8A92}"/>
    <cellStyle name="Migliaia 22 2 6 4" xfId="41515" xr:uid="{2903DA1E-E973-4022-9C56-1847F59CEFE7}"/>
    <cellStyle name="Migliaia 22 2 6 5" xfId="24511" xr:uid="{DB736570-0E16-4EEE-B605-4C742993C1DB}"/>
    <cellStyle name="Migliaia 22 2 6 6" xfId="20112" xr:uid="{13B5C7D2-E92D-4E1C-873A-56886605997B}"/>
    <cellStyle name="Migliaia 22 2 7" xfId="24509" xr:uid="{7B9A7A6E-1A77-4D68-9A73-66328C8CC17E}"/>
    <cellStyle name="Migliaia 22 2 8" xfId="7085" xr:uid="{DC0015A8-C09F-4397-80F9-69ABAB68D779}"/>
    <cellStyle name="Migliaia 22 3" xfId="359" xr:uid="{00000000-0005-0000-0000-000040030000}"/>
    <cellStyle name="Migliaia 22 3 10" xfId="24512" xr:uid="{0F2D30D8-ED30-4BAD-87F3-7739586E6950}"/>
    <cellStyle name="Migliaia 22 3 11" xfId="16222" xr:uid="{138EC9BF-853A-46BD-882B-1143709EF2A5}"/>
    <cellStyle name="Migliaia 22 3 12" xfId="7086" xr:uid="{3A627672-1D85-4696-8A22-886D6F53A617}"/>
    <cellStyle name="Migliaia 22 3 2" xfId="360" xr:uid="{00000000-0005-0000-0000-000041030000}"/>
    <cellStyle name="Migliaia 22 3 2 2" xfId="1727" xr:uid="{00000000-0005-0000-0000-000042030000}"/>
    <cellStyle name="Migliaia 22 3 2 2 2" xfId="5060" xr:uid="{3CDF23C8-745C-48B2-9C1D-A143CC09FF71}"/>
    <cellStyle name="Migliaia 22 3 2 2 2 2" xfId="18405" xr:uid="{CF6A3C66-85D8-4CFC-8EB6-E959D7F581E2}"/>
    <cellStyle name="Migliaia 22 3 2 2 2 2 2" xfId="21855" xr:uid="{11F86825-F83A-4682-A3E1-88A436C29668}"/>
    <cellStyle name="Migliaia 22 3 2 2 2 2 2 2" xfId="38865" xr:uid="{D54907F1-D3B8-45F6-911E-656F63A242F9}"/>
    <cellStyle name="Migliaia 22 3 2 2 2 2 3" xfId="44167" xr:uid="{E93C96F6-D6EB-4C43-BEB3-3891F61C9ACE}"/>
    <cellStyle name="Migliaia 22 3 2 2 2 2 4" xfId="33436" xr:uid="{C93DE0B3-4CD0-428E-8C1A-46FDAC3752A2}"/>
    <cellStyle name="Migliaia 22 3 2 2 2 3" xfId="36349" xr:uid="{A2F9E9BE-C4F2-4692-868C-BABB0784718F}"/>
    <cellStyle name="Migliaia 22 3 2 2 2 4" xfId="41516" xr:uid="{3B36ED33-A353-4FEF-8BD2-0FF43F9AC8E5}"/>
    <cellStyle name="Migliaia 22 3 2 2 2 5" xfId="47755" xr:uid="{5A9C807B-514D-4B22-9C16-C3E4FC471F4A}"/>
    <cellStyle name="Migliaia 22 3 2 2 2 6" xfId="50883" xr:uid="{1D3EAD9B-A4D4-43A3-B166-C0953156959F}"/>
    <cellStyle name="Migliaia 22 3 2 2 2 7" xfId="53899" xr:uid="{C965ABE3-97A9-4EB7-8F65-0D3E49EA02CE}"/>
    <cellStyle name="Migliaia 22 3 2 2 2 8" xfId="17652" xr:uid="{7A5B5DB4-8707-4657-9AEF-852D7A8F3AE1}"/>
    <cellStyle name="Migliaia 22 3 2 2 2 9" xfId="11943" xr:uid="{DA8CD76B-9660-4740-95A6-40F059D1B18E}"/>
    <cellStyle name="Migliaia 22 3 2 2 3" xfId="6270" xr:uid="{2B956C0A-961A-4B81-B265-3203E6E5AC1C}"/>
    <cellStyle name="Migliaia 22 3 2 2 3 2" xfId="11672" xr:uid="{C22BE33A-8ABF-4B8A-AB2A-6C91ADCC6229}"/>
    <cellStyle name="Migliaia 22 3 2 2 4" xfId="3334" xr:uid="{CAD69BC7-11C3-48A3-9240-BA0AC0CBCC46}"/>
    <cellStyle name="Migliaia 22 3 2 2 4 2" xfId="21439" xr:uid="{78234D5D-1620-40BB-BB61-9EAE1DA48A17}"/>
    <cellStyle name="Migliaia 22 3 2 2 4 3" xfId="48471" xr:uid="{084475FA-3CBB-4E18-AF97-82B6AA9302C6}"/>
    <cellStyle name="Migliaia 22 3 2 2 4 4" xfId="50454" xr:uid="{6780A236-FAD6-43AE-8C53-3128A2E4784A}"/>
    <cellStyle name="Migliaia 22 3 2 2 4 5" xfId="53470" xr:uid="{77B2C056-B955-4F13-9E7A-CF38A1BB5ABD}"/>
    <cellStyle name="Migliaia 22 3 2 2 4 6" xfId="10804" xr:uid="{71E532AD-2212-466B-9C21-873F7C197F67}"/>
    <cellStyle name="Migliaia 22 3 2 2 5" xfId="20119" xr:uid="{322DBD62-0E88-4C05-80CA-2FD1545CEB31}"/>
    <cellStyle name="Migliaia 22 3 2 2 6" xfId="24514" xr:uid="{BA0EEEC1-3BE9-4EA9-B653-D1AAA55C6F6A}"/>
    <cellStyle name="Migliaia 22 3 2 2 7" xfId="8567" xr:uid="{5A250004-9C9C-477F-B67C-0318098EE6D9}"/>
    <cellStyle name="Migliaia 22 3 2 3" xfId="5059" xr:uid="{2343FBCA-C814-4CC3-96D8-E98EF4DA87A2}"/>
    <cellStyle name="Migliaia 22 3 2 3 2" xfId="12418" xr:uid="{80AD4835-73CD-47DA-B591-844A6789A162}"/>
    <cellStyle name="Migliaia 22 3 2 3 2 2" xfId="38866" xr:uid="{8683EF51-0F6F-4A69-B4B4-6D34F62D9251}"/>
    <cellStyle name="Migliaia 22 3 2 3 2 3" xfId="44168" xr:uid="{8453E78E-17F3-4D76-8E85-4E0D6F22F3CD}"/>
    <cellStyle name="Migliaia 22 3 2 3 2 4" xfId="33437" xr:uid="{F3732350-3BD3-4EB9-8E95-24C9491BA7FA}"/>
    <cellStyle name="Migliaia 22 3 2 3 3" xfId="11944" xr:uid="{5EE880B6-94FE-4768-A63C-316468A6F63E}"/>
    <cellStyle name="Migliaia 22 3 2 3 4" xfId="20120" xr:uid="{584D4771-C0C0-410D-97E6-F12C0C012C94}"/>
    <cellStyle name="Migliaia 22 3 2 3 4 2" xfId="41517" xr:uid="{DD83A14D-5909-407A-BE20-B96B724D8D6B}"/>
    <cellStyle name="Migliaia 22 3 2 3 5" xfId="16223" xr:uid="{0A915689-CF1B-4915-A7D3-96C02A90DBC5}"/>
    <cellStyle name="Migliaia 22 3 2 3 6" xfId="7881" xr:uid="{41C991F0-BB23-4A88-8EAB-C0220B6ED06D}"/>
    <cellStyle name="Migliaia 22 3 2 4" xfId="6269" xr:uid="{B5DE0208-71FD-4431-A27C-88DEA0E145DD}"/>
    <cellStyle name="Migliaia 22 3 2 4 2" xfId="18071" xr:uid="{8018F8F4-DEEB-42A2-9857-610ACF6BC205}"/>
    <cellStyle name="Migliaia 22 3 2 4 2 2" xfId="38867" xr:uid="{8813C31A-DB6B-4E54-B942-C39AC0738486}"/>
    <cellStyle name="Migliaia 22 3 2 4 2 3" xfId="44169" xr:uid="{D7634EF6-ED6B-4C21-89F9-FE863E3F1166}"/>
    <cellStyle name="Migliaia 22 3 2 4 3" xfId="36350" xr:uid="{681AABA1-AEEE-46B8-9EB3-0CEBF6F9CC1D}"/>
    <cellStyle name="Migliaia 22 3 2 4 4" xfId="41518" xr:uid="{5A1C6464-797E-44B0-A385-08D36B9FB50E}"/>
    <cellStyle name="Migliaia 22 3 2 4 5" xfId="17164" xr:uid="{0D69B53A-B2FC-47B6-BC59-8FF8544AB383}"/>
    <cellStyle name="Migliaia 22 3 2 4 6" xfId="11292" xr:uid="{ECB5D7F8-EC44-4833-BA93-CF5FF470A2B3}"/>
    <cellStyle name="Migliaia 22 3 2 5" xfId="3333" xr:uid="{A40DC061-E273-43AC-B3D5-6392FECAD914}"/>
    <cellStyle name="Migliaia 22 3 2 5 2" xfId="33438" xr:uid="{ED96EF5E-233C-4BC7-963B-01AA4A718E55}"/>
    <cellStyle name="Migliaia 22 3 2 5 2 2" xfId="38868" xr:uid="{23374D13-52A8-4139-94CA-C91A608B6D2A}"/>
    <cellStyle name="Migliaia 22 3 2 5 2 3" xfId="44170" xr:uid="{42AABC75-0E62-4A6A-AD5D-2FA9878224D6}"/>
    <cellStyle name="Migliaia 22 3 2 5 3" xfId="36351" xr:uid="{3F460710-AE15-4E77-A674-9CC2B42F6013}"/>
    <cellStyle name="Migliaia 22 3 2 5 4" xfId="41519" xr:uid="{5C4AAF51-6678-41C6-9ADC-71072E4055B9}"/>
    <cellStyle name="Migliaia 22 3 2 5 5" xfId="17384" xr:uid="{958E6E3C-9AC4-49F2-BF0F-5A5BA5F66CA6}"/>
    <cellStyle name="Migliaia 22 3 2 6" xfId="20118" xr:uid="{3B7DBC3D-576E-4943-8813-3974DAD8E05E}"/>
    <cellStyle name="Migliaia 22 3 2 6 2" xfId="33439" xr:uid="{C3129B1F-AD61-402F-96CC-DC50AA98219F}"/>
    <cellStyle name="Migliaia 22 3 2 6 2 2" xfId="38869" xr:uid="{921F5823-6BB3-49AE-A8FC-6A6032ACAB2C}"/>
    <cellStyle name="Migliaia 22 3 2 6 2 3" xfId="44171" xr:uid="{0B64C2F8-62F6-438A-B538-EA4F2AF1715A}"/>
    <cellStyle name="Migliaia 22 3 2 6 3" xfId="36352" xr:uid="{5EA1C897-77F9-42FD-B8AF-91EED3B4FF2A}"/>
    <cellStyle name="Migliaia 22 3 2 6 4" xfId="41520" xr:uid="{9ACB41CD-73A8-44FC-A48B-59B76AB5B1B8}"/>
    <cellStyle name="Migliaia 22 3 2 6 5" xfId="24515" xr:uid="{80D3D2BF-CCEF-47F4-8BA0-A0BF05F0777C}"/>
    <cellStyle name="Migliaia 22 3 2 7" xfId="24513" xr:uid="{7A211DCC-9F12-4F9B-BB77-D3FA1D0F5516}"/>
    <cellStyle name="Migliaia 22 3 2 8" xfId="7377" xr:uid="{4092EA11-8EDD-46C9-8925-058C69554575}"/>
    <cellStyle name="Migliaia 22 3 3" xfId="3335" xr:uid="{A1E2654E-49DF-411A-BF75-223DF39C98AC}"/>
    <cellStyle name="Migliaia 22 3 3 10" xfId="7376" xr:uid="{8DC0C6A6-10DA-4EE5-8A78-54AB973AC034}"/>
    <cellStyle name="Migliaia 22 3 3 2" xfId="5061" xr:uid="{5BB3EB7E-9EC9-4538-B6ED-293563E9578E}"/>
    <cellStyle name="Migliaia 22 3 3 2 2" xfId="9910" xr:uid="{A60E4E05-7D45-4C76-B8EA-4E7460B20C33}"/>
    <cellStyle name="Migliaia 22 3 3 2 2 2" xfId="38871" xr:uid="{CE20F668-48B6-40EC-8747-1CDD0D87F491}"/>
    <cellStyle name="Migliaia 22 3 3 2 2 3" xfId="44173" xr:uid="{6DBAFCBD-ABA1-4DB2-82EF-27CECF6996FC}"/>
    <cellStyle name="Migliaia 22 3 3 2 3" xfId="18190" xr:uid="{980FB3EB-C3C8-426B-99B5-9B9D266DF963}"/>
    <cellStyle name="Migliaia 22 3 3 2 4" xfId="20122" xr:uid="{F569F5A4-24E4-4E08-9372-57C2401ACDAF}"/>
    <cellStyle name="Migliaia 22 3 3 2 4 2" xfId="41522" xr:uid="{1E6B7838-E26E-479C-AA81-F67FDABE6445}"/>
    <cellStyle name="Migliaia 22 3 3 2 5" xfId="16225" xr:uid="{74C9AA97-9724-48C7-A52B-8D7BD08A65A3}"/>
    <cellStyle name="Migliaia 22 3 3 2 6" xfId="8566" xr:uid="{8259A1B9-F353-4FAC-BA5E-FEAAA8EEB2BE}"/>
    <cellStyle name="Migliaia 22 3 3 3" xfId="6271" xr:uid="{B101B36E-7B3A-4B81-B7C0-96B4ACD910B2}"/>
    <cellStyle name="Migliaia 22 3 3 3 2" xfId="33441" xr:uid="{4CA01D0C-25D2-4F80-B4B7-7F01737C3829}"/>
    <cellStyle name="Migliaia 22 3 3 3 2 2" xfId="38872" xr:uid="{D05D3322-77DE-40F1-9AD7-1E809251E4B2}"/>
    <cellStyle name="Migliaia 22 3 3 3 2 3" xfId="44174" xr:uid="{E4765582-A18E-4932-B8B0-BC5AB82A8AC4}"/>
    <cellStyle name="Migliaia 22 3 3 3 3" xfId="36354" xr:uid="{2B01EC35-8BA0-48CB-83EC-19EA2C11E3B6}"/>
    <cellStyle name="Migliaia 22 3 3 3 4" xfId="41523" xr:uid="{1DBBC420-C02C-44E0-8407-62305EAA811E}"/>
    <cellStyle name="Migliaia 22 3 3 3 5" xfId="9673" xr:uid="{4A27565F-34C3-4EAD-9B30-181936F20B45}"/>
    <cellStyle name="Migliaia 22 3 3 4" xfId="20121" xr:uid="{E1A29C73-6EF4-4312-A99C-BEBE9B5105C6}"/>
    <cellStyle name="Migliaia 22 3 3 4 2" xfId="33442" xr:uid="{3E6DECC1-47EB-4DA6-8B17-6769FA665555}"/>
    <cellStyle name="Migliaia 22 3 3 4 2 2" xfId="38873" xr:uid="{4E4329B3-62EE-457E-A75E-47CB90B574A3}"/>
    <cellStyle name="Migliaia 22 3 3 4 2 3" xfId="44175" xr:uid="{83D48805-D8E1-4D62-9B70-2072101ABDA8}"/>
    <cellStyle name="Migliaia 22 3 3 4 3" xfId="36355" xr:uid="{3265FF17-2C79-4AC3-8C5B-E74FC4CCF340}"/>
    <cellStyle name="Migliaia 22 3 3 4 4" xfId="41524" xr:uid="{7B0110C3-D157-4EB9-B09B-989395AFAF04}"/>
    <cellStyle name="Migliaia 22 3 3 4 5" xfId="24516" xr:uid="{9317AA49-B2DF-445F-A275-60445CE00FB2}"/>
    <cellStyle name="Migliaia 22 3 3 5" xfId="24517" xr:uid="{40977049-0588-4C17-BC09-0581CA93D55B}"/>
    <cellStyle name="Migliaia 22 3 3 5 2" xfId="33443" xr:uid="{94B38179-964C-4A54-B10D-65C729C7B86C}"/>
    <cellStyle name="Migliaia 22 3 3 5 2 2" xfId="38874" xr:uid="{C284BCFC-EC86-4426-80D5-7851DD2000BE}"/>
    <cellStyle name="Migliaia 22 3 3 5 2 3" xfId="44176" xr:uid="{773A2522-DA3C-4B29-BA8E-50B780799D3E}"/>
    <cellStyle name="Migliaia 22 3 3 5 3" xfId="36356" xr:uid="{7771FBE3-2296-401B-9DEA-17D11A37C593}"/>
    <cellStyle name="Migliaia 22 3 3 5 4" xfId="41525" xr:uid="{2D112EF0-B885-4683-B9B0-6E533FB6686C}"/>
    <cellStyle name="Migliaia 22 3 3 6" xfId="33440" xr:uid="{91A6644F-DBD8-4827-A8F9-7688FFE472AF}"/>
    <cellStyle name="Migliaia 22 3 3 6 2" xfId="38870" xr:uid="{8C0AB618-FA58-4DC0-9301-BF5E9A463986}"/>
    <cellStyle name="Migliaia 22 3 3 6 3" xfId="44172" xr:uid="{4FBFC008-847E-4AD5-8B84-3D4E0D58EC68}"/>
    <cellStyle name="Migliaia 22 3 3 7" xfId="36353" xr:uid="{69E77FDF-74C6-4AF8-9784-C24FD8E707A4}"/>
    <cellStyle name="Migliaia 22 3 3 8" xfId="41521" xr:uid="{6A29C8C3-1C9A-4A84-A4AB-45FF0C5DB5F2}"/>
    <cellStyle name="Migliaia 22 3 3 9" xfId="16224" xr:uid="{A4D4E8DB-19B5-464F-B058-43174DDB525F}"/>
    <cellStyle name="Migliaia 22 3 4" xfId="3336" xr:uid="{8C00FB03-F44B-4EEB-A3F7-8CCAAF9730FD}"/>
    <cellStyle name="Migliaia 22 3 4 2" xfId="5062" xr:uid="{C1D654F7-427E-46B2-B606-2C4DBB8760A8}"/>
    <cellStyle name="Migliaia 22 3 4 2 2" xfId="14437" xr:uid="{49C792AF-C2B6-4305-A68B-8312E1D40FA9}"/>
    <cellStyle name="Migliaia 22 3 4 2 3" xfId="18126" xr:uid="{83F7DAEE-76AD-48DB-A0E2-43753618B3AB}"/>
    <cellStyle name="Migliaia 22 3 4 2 4" xfId="20124" xr:uid="{F1DB4556-9CE9-438A-BF3F-F5C5C1370507}"/>
    <cellStyle name="Migliaia 22 3 4 2 5" xfId="32342" xr:uid="{5C42DBE2-8680-4722-848D-541EF5CC1959}"/>
    <cellStyle name="Migliaia 22 3 4 2 6" xfId="16227" xr:uid="{6E62A2B7-F8D8-427C-8B56-99C9B70B1B65}"/>
    <cellStyle name="Migliaia 22 3 4 2 7" xfId="8860" xr:uid="{22422297-BAF8-4393-96AE-238190A15F2B}"/>
    <cellStyle name="Migliaia 22 3 4 3" xfId="6272" xr:uid="{E1D668FD-7F81-4078-A2EA-DDC811785E2D}"/>
    <cellStyle name="Migliaia 22 3 4 3 2" xfId="35223" xr:uid="{E174E7FB-4F22-4E81-9793-8F824ACA8142}"/>
    <cellStyle name="Migliaia 22 3 4 3 2 2" xfId="40383" xr:uid="{2CDD49D1-E82A-447A-BEC7-337DD58486E7}"/>
    <cellStyle name="Migliaia 22 3 4 3 2 3" xfId="45685" xr:uid="{A5679A01-AA2E-40DD-8AB1-6ED28ABDAF4F}"/>
    <cellStyle name="Migliaia 22 3 4 3 3" xfId="37732" xr:uid="{FF9C8F63-05FF-4EAE-9552-471363D02A79}"/>
    <cellStyle name="Migliaia 22 3 4 3 4" xfId="43034" xr:uid="{31C736EB-E70C-437C-8390-397C8ACAB06B}"/>
    <cellStyle name="Migliaia 22 3 4 3 5" xfId="13685" xr:uid="{13A2A528-FA27-46A0-8FAB-A7DD54C4CDE1}"/>
    <cellStyle name="Migliaia 22 3 4 4" xfId="20123" xr:uid="{8ADBBB5C-E21C-40F6-8779-A560635DE85F}"/>
    <cellStyle name="Migliaia 22 3 4 4 2" xfId="38875" xr:uid="{4CDE1323-3FF8-4797-AE69-6865C5BBFF2D}"/>
    <cellStyle name="Migliaia 22 3 4 4 3" xfId="44177" xr:uid="{8E8E4E1E-45CF-40EA-B94C-207A5F60AF63}"/>
    <cellStyle name="Migliaia 22 3 4 4 4" xfId="33444" xr:uid="{65C7ADE1-3945-4397-9D68-D5573879F966}"/>
    <cellStyle name="Migliaia 22 3 4 5" xfId="36357" xr:uid="{733EF417-ABB1-449F-BD82-E6C32F88F0D0}"/>
    <cellStyle name="Migliaia 22 3 4 6" xfId="41526" xr:uid="{72E3F1F6-23DD-4417-8D66-B5F4EC627BE4}"/>
    <cellStyle name="Migliaia 22 3 4 7" xfId="16226" xr:uid="{CAB91AB3-4C53-4045-9D39-0530ED0675BD}"/>
    <cellStyle name="Migliaia 22 3 4 8" xfId="7670" xr:uid="{E1AF7C6D-C9DB-4C70-A98D-5977BFDFE961}"/>
    <cellStyle name="Migliaia 22 3 5" xfId="3337" xr:uid="{06EC39BB-C8F0-40A3-8F4A-06366556E5BE}"/>
    <cellStyle name="Migliaia 22 3 5 2" xfId="5063" xr:uid="{B39B86A5-1E46-4C22-A9DE-BF217C31AE73}"/>
    <cellStyle name="Migliaia 22 3 5 2 2" xfId="35224" xr:uid="{548B9FC7-023A-4878-ADB0-84ED995E7E7A}"/>
    <cellStyle name="Migliaia 22 3 5 2 2 2" xfId="40384" xr:uid="{91F80915-A122-4B94-BF2F-04CD92988467}"/>
    <cellStyle name="Migliaia 22 3 5 2 2 3" xfId="45686" xr:uid="{1303821C-BE0D-4B10-B26B-7F57A15B17E4}"/>
    <cellStyle name="Migliaia 22 3 5 2 3" xfId="37733" xr:uid="{552F6BF5-4FD4-4751-95AE-5C2B228F5965}"/>
    <cellStyle name="Migliaia 22 3 5 2 4" xfId="43035" xr:uid="{F7EE72CA-A1AC-4051-9292-195D6050D2F8}"/>
    <cellStyle name="Migliaia 22 3 5 2 5" xfId="14223" xr:uid="{1AE4836F-4C92-41E5-9D20-E5605B2C59A0}"/>
    <cellStyle name="Migliaia 22 3 5 3" xfId="6273" xr:uid="{2C02C813-F0AF-4619-A258-1CACBCD3426B}"/>
    <cellStyle name="Migliaia 22 3 5 3 2" xfId="38876" xr:uid="{F79F5ACB-816F-4E4B-8FDA-A8C924B4489F}"/>
    <cellStyle name="Migliaia 22 3 5 3 3" xfId="44178" xr:uid="{9C870DCA-572B-4420-A9AB-018156CE1C51}"/>
    <cellStyle name="Migliaia 22 3 5 3 4" xfId="33445" xr:uid="{6CE57C9D-3A0C-4220-889C-E7299208F02D}"/>
    <cellStyle name="Migliaia 22 3 5 3 5" xfId="20125" xr:uid="{2283EA3B-13A8-48D7-A3FE-8B800D35660D}"/>
    <cellStyle name="Migliaia 22 3 5 4" xfId="36358" xr:uid="{212AD912-9638-458D-8495-4E31FAFF3D76}"/>
    <cellStyle name="Migliaia 22 3 5 5" xfId="41527" xr:uid="{DE5D3AD7-2E8E-44B1-8590-A627EB33996E}"/>
    <cellStyle name="Migliaia 22 3 5 6" xfId="16228" xr:uid="{EBE58F67-059B-453E-BB16-E506564ED778}"/>
    <cellStyle name="Migliaia 22 3 5 7" xfId="8285" xr:uid="{C19F6CCD-DDBD-4BD1-B641-DA9C9D509389}"/>
    <cellStyle name="Migliaia 22 3 6" xfId="5058" xr:uid="{4C6EBCF4-0E2F-4C06-B40C-9831EB5C602F}"/>
    <cellStyle name="Migliaia 22 3 6 2" xfId="13928" xr:uid="{3DD42705-B886-434F-B9CC-B39639D75350}"/>
    <cellStyle name="Migliaia 22 3 6 2 2" xfId="38877" xr:uid="{530E665F-90D0-403A-AA06-4E9BC5EB6C7C}"/>
    <cellStyle name="Migliaia 22 3 6 2 3" xfId="44179" xr:uid="{F47D084E-9CFB-465E-A7EC-E93DD1FF52C8}"/>
    <cellStyle name="Migliaia 22 3 6 3" xfId="18619" xr:uid="{F199E4E1-C2ED-4B9E-8E79-67CBC0C66918}"/>
    <cellStyle name="Migliaia 22 3 6 4" xfId="20126" xr:uid="{ECEC84E2-ED55-44BA-A2D9-D35390287A58}"/>
    <cellStyle name="Migliaia 22 3 6 4 2" xfId="41528" xr:uid="{EDDA11B7-302E-4A69-B4B5-49C0D0218A86}"/>
    <cellStyle name="Migliaia 22 3 6 5" xfId="16229" xr:uid="{41831A9A-4CE1-4AC0-A96C-C715C3B409C5}"/>
    <cellStyle name="Migliaia 22 3 6 6" xfId="7880" xr:uid="{99400DCF-22AB-4E1E-A710-5BC9A2C5E35D}"/>
    <cellStyle name="Migliaia 22 3 7" xfId="6268" xr:uid="{3FBC9893-F415-4083-9F56-74AC877B35FF}"/>
    <cellStyle name="Migliaia 22 3 7 2" xfId="33446" xr:uid="{2EEE142D-12E5-47F1-9C7B-52966AB545BD}"/>
    <cellStyle name="Migliaia 22 3 7 2 2" xfId="38878" xr:uid="{E0AC091A-D324-48CC-8B7D-6A0A39D2A4F0}"/>
    <cellStyle name="Migliaia 22 3 7 2 3" xfId="44180" xr:uid="{3CFB611A-39F2-49B7-B63F-F1C2DE574C34}"/>
    <cellStyle name="Migliaia 22 3 7 3" xfId="36359" xr:uid="{081DEC0A-5AC7-428A-B530-84602F882795}"/>
    <cellStyle name="Migliaia 22 3 7 4" xfId="41529" xr:uid="{7900DA73-CB51-4547-8480-1FC3CA9362DE}"/>
    <cellStyle name="Migliaia 22 3 7 5" xfId="11507" xr:uid="{A5CA1049-EF3E-4A9D-AF3A-EE83418A0461}"/>
    <cellStyle name="Migliaia 22 3 8" xfId="3332" xr:uid="{40091126-1D4E-4707-8200-8467A5223480}"/>
    <cellStyle name="Migliaia 22 3 8 2" xfId="33447" xr:uid="{48870746-7C2D-4B3A-9A0B-2297C7FB5F2B}"/>
    <cellStyle name="Migliaia 22 3 8 2 2" xfId="38879" xr:uid="{16916B0A-A135-4642-B6A0-EBD9E8E1BA7E}"/>
    <cellStyle name="Migliaia 22 3 8 2 3" xfId="44181" xr:uid="{8DC193B5-2DD8-484D-9429-2C4AC3E78F9B}"/>
    <cellStyle name="Migliaia 22 3 8 3" xfId="36360" xr:uid="{90C2D4AB-C8BA-460D-BF49-F952685E511B}"/>
    <cellStyle name="Migliaia 22 3 8 4" xfId="41530" xr:uid="{92910563-04AE-4070-898B-2E3B0C8F0FAD}"/>
    <cellStyle name="Migliaia 22 3 8 5" xfId="24518" xr:uid="{19723297-74D2-4746-987A-AB3C0268C129}"/>
    <cellStyle name="Migliaia 22 3 8 6" xfId="17385" xr:uid="{7A544F46-FB2C-47D3-9D90-7CFAB919F71A}"/>
    <cellStyle name="Migliaia 22 3 9" xfId="20117" xr:uid="{5221CDEC-761F-4F86-B54A-0A1CE1B68799}"/>
    <cellStyle name="Migliaia 22 4" xfId="1728" xr:uid="{00000000-0005-0000-0000-000043030000}"/>
    <cellStyle name="Migliaia 22 4 2" xfId="1729" xr:uid="{00000000-0005-0000-0000-000044030000}"/>
    <cellStyle name="Migliaia 22 4 2 2" xfId="5065" xr:uid="{724E4D2E-2A92-4729-AAF4-C54ADBE04CC2}"/>
    <cellStyle name="Migliaia 22 4 2 2 2" xfId="33448" xr:uid="{93886E63-DF57-40E6-AA01-14B2FE4FE259}"/>
    <cellStyle name="Migliaia 22 4 2 2 2 2" xfId="38880" xr:uid="{ED3AB8A6-E575-4ABA-BCCB-18E5D2723C28}"/>
    <cellStyle name="Migliaia 22 4 2 2 2 3" xfId="44182" xr:uid="{0A3F224C-704C-4D91-AC1C-68979A9BDA60}"/>
    <cellStyle name="Migliaia 22 4 2 2 3" xfId="36361" xr:uid="{D71F99ED-4810-4BFC-8AAC-49E611FC8E4B}"/>
    <cellStyle name="Migliaia 22 4 2 2 4" xfId="41531" xr:uid="{BF3B7C0C-491F-480A-8590-190C42D0FFE5}"/>
    <cellStyle name="Migliaia 22 4 2 2 5" xfId="9136" xr:uid="{C09302E4-7DF6-446A-A446-A517C1A7F86F}"/>
    <cellStyle name="Migliaia 22 4 2 3" xfId="3339" xr:uid="{7CB945AA-A52B-4728-89A8-9683D771AC64}"/>
    <cellStyle name="Migliaia 22 4 2 3 2" xfId="33449" xr:uid="{C39B2B36-2AD9-41EC-B51A-6B80F9294939}"/>
    <cellStyle name="Migliaia 22 4 2 3 2 2" xfId="38881" xr:uid="{41ECBD6B-E8B2-476D-82F6-C4957BD564C7}"/>
    <cellStyle name="Migliaia 22 4 2 3 2 3" xfId="44183" xr:uid="{81E4C84F-B51B-4358-94A7-91D647869528}"/>
    <cellStyle name="Migliaia 22 4 2 3 3" xfId="36362" xr:uid="{850EA073-5887-4591-97BB-9DB8D2BEA413}"/>
    <cellStyle name="Migliaia 22 4 2 3 4" xfId="41532" xr:uid="{C79D2E56-FF0C-4DB7-970C-B75C0060DEC9}"/>
    <cellStyle name="Migliaia 22 4 2 3 5" xfId="11945" xr:uid="{2A9ED632-BAC1-459E-B203-8129DEF7969B}"/>
    <cellStyle name="Migliaia 22 4 2 4" xfId="11294" xr:uid="{E981CCEA-20AF-42C6-A30B-6938B7A1103B}"/>
    <cellStyle name="Migliaia 22 4 2 5" xfId="10806" xr:uid="{C526781A-E7BE-40D5-9E63-CBA02BCC88F0}"/>
    <cellStyle name="Migliaia 22 4 2 5 2" xfId="21441" xr:uid="{97188C30-416B-4D20-BCE5-7DCD91D4C180}"/>
    <cellStyle name="Migliaia 22 4 2 5 3" xfId="36388" xr:uid="{0E566F47-F65B-47B5-9316-0495B981147E}"/>
    <cellStyle name="Migliaia 22 4 2 5 4" xfId="50456" xr:uid="{DE80C0C8-BD89-4644-A6E0-8D0C1C8E28B3}"/>
    <cellStyle name="Migliaia 22 4 2 5 5" xfId="53472" xr:uid="{25F92D9A-7264-40D6-9AC2-BFB905D22E1A}"/>
    <cellStyle name="Migliaia 22 4 2 6" xfId="20128" xr:uid="{EB8EA70D-56BD-40B2-86AC-F9C287F01BC4}"/>
    <cellStyle name="Migliaia 22 4 2 7" xfId="24520" xr:uid="{BA6B6BB1-D306-4A14-B37B-A8721BFCFDCC}"/>
    <cellStyle name="Migliaia 22 4 2 8" xfId="8568" xr:uid="{1CC407BC-EAF2-433A-BE92-C3C04EE9CED6}"/>
    <cellStyle name="Migliaia 22 4 3" xfId="5064" xr:uid="{2D3C9CD6-294F-4BD6-B461-843814F508C9}"/>
    <cellStyle name="Migliaia 22 4 3 2" xfId="18191" xr:uid="{AA4D1297-A40D-45D5-9E7D-B947EDB6B12D}"/>
    <cellStyle name="Migliaia 22 4 3 2 2" xfId="38882" xr:uid="{3B43313E-C7D9-4C87-A6E2-2B88E81B3626}"/>
    <cellStyle name="Migliaia 22 4 3 2 3" xfId="44184" xr:uid="{FEAAEF19-85C4-42EF-A2FA-C12FBDC0C40B}"/>
    <cellStyle name="Migliaia 22 4 3 3" xfId="36363" xr:uid="{D20B8A9E-4892-4383-AF42-6F39434866E6}"/>
    <cellStyle name="Migliaia 22 4 3 4" xfId="41533" xr:uid="{FC6F9B96-F900-4697-B31F-077F759C0A4D}"/>
    <cellStyle name="Migliaia 22 4 3 5" xfId="17383" xr:uid="{36312DEC-1F7D-4BA4-920F-1C87EA8A8D3F}"/>
    <cellStyle name="Migliaia 22 4 3 6" xfId="9137" xr:uid="{D1985DDD-3877-4245-B6DF-DA585C8BB5F4}"/>
    <cellStyle name="Migliaia 22 4 4" xfId="6274" xr:uid="{47F9FF08-FA1D-44A5-BACC-A4EAEF5B48CE}"/>
    <cellStyle name="Migliaia 22 4 4 2" xfId="33450" xr:uid="{319ADDC9-B0C3-4FA2-A89E-604E25DBC76C}"/>
    <cellStyle name="Migliaia 22 4 4 2 2" xfId="38883" xr:uid="{E97D1980-D310-4949-838E-D8222650E5A6}"/>
    <cellStyle name="Migliaia 22 4 4 2 3" xfId="44185" xr:uid="{023DE7EF-F2F6-4BBC-BB55-67AF8F3B1E74}"/>
    <cellStyle name="Migliaia 22 4 4 3" xfId="36364" xr:uid="{8EAB9E37-90C8-40E6-899C-881C6F4C0738}"/>
    <cellStyle name="Migliaia 22 4 4 4" xfId="41534" xr:uid="{7149EA2F-5370-485B-8E0B-FD146871EC06}"/>
    <cellStyle name="Migliaia 22 4 4 5" xfId="11946" xr:uid="{7D837BF6-7462-42FE-AA0E-3D3114DAB15D}"/>
    <cellStyle name="Migliaia 22 4 5" xfId="3338" xr:uid="{8B77EB63-3288-46C7-BEF2-5F1B15DA980A}"/>
    <cellStyle name="Migliaia 22 4 5 2" xfId="33451" xr:uid="{FCB1D6E7-9D11-4B7A-86DA-B52382BF877C}"/>
    <cellStyle name="Migliaia 22 4 5 2 2" xfId="38884" xr:uid="{4757A238-5CB6-43CF-A76B-45083C856911}"/>
    <cellStyle name="Migliaia 22 4 5 2 3" xfId="44186" xr:uid="{58B0B72B-3137-4BD1-B932-5604798A4A4D}"/>
    <cellStyle name="Migliaia 22 4 5 3" xfId="36365" xr:uid="{7DAB2387-95A2-4BBD-BB36-00048E40651C}"/>
    <cellStyle name="Migliaia 22 4 5 4" xfId="41535" xr:uid="{887E136B-562C-457B-93D7-6F76ADCF7A96}"/>
    <cellStyle name="Migliaia 22 4 5 5" xfId="11293" xr:uid="{3700DEBE-2CA7-4C92-BF74-D57E728A9FDC}"/>
    <cellStyle name="Migliaia 22 4 6" xfId="10805" xr:uid="{AAB454A6-6E73-4BDD-8168-8E99086CF846}"/>
    <cellStyle name="Migliaia 22 4 6 2" xfId="21440" xr:uid="{74D7F588-E31B-4E3D-A6DA-B9782CCEF13A}"/>
    <cellStyle name="Migliaia 22 4 6 2 2" xfId="38885" xr:uid="{1271C81F-9C66-49C2-A714-73B76DBA6858}"/>
    <cellStyle name="Migliaia 22 4 6 2 3" xfId="44187" xr:uid="{49AE1153-EF44-44EF-BE8A-55F622FE6914}"/>
    <cellStyle name="Migliaia 22 4 6 2 4" xfId="33452" xr:uid="{DCC9F154-1569-4906-8A7F-548077571D0A}"/>
    <cellStyle name="Migliaia 22 4 6 3" xfId="36366" xr:uid="{0B2FAA8A-D785-4C93-9E02-129F6A83D1EF}"/>
    <cellStyle name="Migliaia 22 4 6 4" xfId="41536" xr:uid="{CE57BC74-75E6-43DA-B38B-8F8424BB411B}"/>
    <cellStyle name="Migliaia 22 4 6 5" xfId="24521" xr:uid="{8881A4F9-BC68-4CE5-B3DE-DF96647BCA7E}"/>
    <cellStyle name="Migliaia 22 4 6 6" xfId="25352" xr:uid="{9C720066-D259-48CD-8D14-86CC2BD1CCA1}"/>
    <cellStyle name="Migliaia 22 4 6 7" xfId="50455" xr:uid="{3C016E9F-A540-4C62-97BF-E9B208D4C3F4}"/>
    <cellStyle name="Migliaia 22 4 6 8" xfId="53471" xr:uid="{C98761AF-29B7-48D2-8CAA-E262BDF753C2}"/>
    <cellStyle name="Migliaia 22 4 7" xfId="20127" xr:uid="{786ECA0D-1E56-4D6A-ABED-F5CB7665EB9E}"/>
    <cellStyle name="Migliaia 22 4 7 2" xfId="33453" xr:uid="{DBE12F9C-D5E2-47E0-B748-32DC8B389BEF}"/>
    <cellStyle name="Migliaia 22 4 7 2 2" xfId="38886" xr:uid="{3D0A08EF-51AA-436D-8B60-0543F149635C}"/>
    <cellStyle name="Migliaia 22 4 7 2 3" xfId="44188" xr:uid="{F394379F-0906-4D7E-AD35-5BD406F9D0F9}"/>
    <cellStyle name="Migliaia 22 4 7 3" xfId="36367" xr:uid="{4837199D-1B26-4E5E-B225-85993CD3E154}"/>
    <cellStyle name="Migliaia 22 4 7 4" xfId="41537" xr:uid="{0290F5C9-23EE-4089-9BE5-2054201F4AC0}"/>
    <cellStyle name="Migliaia 22 4 7 5" xfId="24522" xr:uid="{26ACB4E3-74A8-4E66-A473-FDC900E468B5}"/>
    <cellStyle name="Migliaia 22 4 8" xfId="24519" xr:uid="{19621A05-9327-49F4-9A04-CB0F9DD91D7F}"/>
    <cellStyle name="Migliaia 22 4 9" xfId="7378" xr:uid="{77B48FCF-6DC8-45A1-9B23-91F7DE0B11CD}"/>
    <cellStyle name="Migliaia 22 5" xfId="1730" xr:uid="{00000000-0005-0000-0000-000045030000}"/>
    <cellStyle name="Migliaia 22 5 2" xfId="5066" xr:uid="{36E440E5-3E1B-42CC-88E0-CDD0F1F9D73B}"/>
    <cellStyle name="Migliaia 22 5 2 2" xfId="18406" xr:uid="{DB741C70-4AC3-4C0F-BD5F-7392CD021AD8}"/>
    <cellStyle name="Migliaia 22 5 2 2 2" xfId="38887" xr:uid="{DFA0BE25-91DF-4042-A2D7-8A8C9DB58256}"/>
    <cellStyle name="Migliaia 22 5 2 2 3" xfId="44189" xr:uid="{300DE76B-5844-44A8-866C-64E8D6156B46}"/>
    <cellStyle name="Migliaia 22 5 2 3" xfId="20130" xr:uid="{A9C916E0-7791-4917-A844-ACC5ECFE6BBD}"/>
    <cellStyle name="Migliaia 22 5 2 3 2" xfId="36368" xr:uid="{C49A26B1-11D9-4B5D-AB62-3F1ECF85F260}"/>
    <cellStyle name="Migliaia 22 5 2 4" xfId="41538" xr:uid="{4BABF91E-3634-41AE-BE63-5631E5AA21C9}"/>
    <cellStyle name="Migliaia 22 5 2 5" xfId="16230" xr:uid="{C8CD340A-A379-42AE-B6A0-320ADA532BE9}"/>
    <cellStyle name="Migliaia 22 5 2 6" xfId="8569" xr:uid="{5206B4D9-2A25-45F4-9C83-67404C15F540}"/>
    <cellStyle name="Migliaia 22 5 3" xfId="6275" xr:uid="{C084079A-C597-4A0A-B8E7-4F3318863CD7}"/>
    <cellStyle name="Migliaia 22 5 3 2" xfId="33454" xr:uid="{B63DD59A-BA88-4EF7-BDCA-DB1CB5C1E9B9}"/>
    <cellStyle name="Migliaia 22 5 3 2 2" xfId="38888" xr:uid="{720A8297-A1EE-403F-B98F-91E525FAC0EF}"/>
    <cellStyle name="Migliaia 22 5 3 2 3" xfId="44190" xr:uid="{3778907B-4DD2-4AE6-8B6A-17E75AA370C1}"/>
    <cellStyle name="Migliaia 22 5 3 3" xfId="36369" xr:uid="{F33D7F45-7D8B-41B1-A865-EAB7B7904049}"/>
    <cellStyle name="Migliaia 22 5 3 4" xfId="41539" xr:uid="{F6F0774E-2670-4577-823E-2EC3F67C3A16}"/>
    <cellStyle name="Migliaia 22 5 3 5" xfId="11295" xr:uid="{72D93E77-82FB-4605-B59B-21F8D345331D}"/>
    <cellStyle name="Migliaia 22 5 4" xfId="3340" xr:uid="{84F467B0-780A-4649-8980-E1A6A4B33600}"/>
    <cellStyle name="Migliaia 22 5 4 2" xfId="21442" xr:uid="{4ECEB516-16A0-48C5-82C5-5D78906AAFA6}"/>
    <cellStyle name="Migliaia 22 5 4 2 2" xfId="38889" xr:uid="{8AC5508D-C214-4617-932E-7B9EF11B2FE5}"/>
    <cellStyle name="Migliaia 22 5 4 2 3" xfId="44191" xr:uid="{76AB80DC-7180-49E4-9C3C-0179CFFB18D2}"/>
    <cellStyle name="Migliaia 22 5 4 2 4" xfId="33455" xr:uid="{EB94A5B4-8AF0-430E-9C1B-B6E79F218CB9}"/>
    <cellStyle name="Migliaia 22 5 4 3" xfId="36370" xr:uid="{0390854C-E4FC-4D0B-A49E-3D26A4D3BC78}"/>
    <cellStyle name="Migliaia 22 5 4 4" xfId="41540" xr:uid="{4CA0E2B9-E6B2-455A-8DD6-EAF969DB1444}"/>
    <cellStyle name="Migliaia 22 5 4 5" xfId="24524" xr:uid="{D2295129-52C4-4338-85D7-104046C30898}"/>
    <cellStyle name="Migliaia 22 5 4 6" xfId="46643" xr:uid="{358FB16A-0ECF-4FAE-AFC3-291B67384DD8}"/>
    <cellStyle name="Migliaia 22 5 4 7" xfId="50457" xr:uid="{C3CD74DC-94A4-49E4-8C68-47073542FB77}"/>
    <cellStyle name="Migliaia 22 5 4 8" xfId="53473" xr:uid="{D852783C-1C6C-4D3A-85B6-1CE7091A395F}"/>
    <cellStyle name="Migliaia 22 5 4 9" xfId="10807" xr:uid="{3590AC93-6732-4593-A04F-F7614A7AF748}"/>
    <cellStyle name="Migliaia 22 5 5" xfId="20129" xr:uid="{94DB0E1F-F171-436D-9142-53EADFB67554}"/>
    <cellStyle name="Migliaia 22 5 5 2" xfId="33456" xr:uid="{D380A10C-CA60-41B1-9DD8-CC5C9FDBDCB5}"/>
    <cellStyle name="Migliaia 22 5 5 2 2" xfId="38890" xr:uid="{AEF5DDDF-84BB-4E25-B6FF-7168DFDE6EC6}"/>
    <cellStyle name="Migliaia 22 5 5 2 3" xfId="44192" xr:uid="{FAB69388-A9B7-4382-890D-817676F9275C}"/>
    <cellStyle name="Migliaia 22 5 5 3" xfId="36371" xr:uid="{9D5B19E8-C660-4E9F-8FD4-5C9D8F2F6F8C}"/>
    <cellStyle name="Migliaia 22 5 5 4" xfId="41541" xr:uid="{F25741FD-55CC-4539-93E0-6308F2E13B0D}"/>
    <cellStyle name="Migliaia 22 5 5 5" xfId="24525" xr:uid="{9B3419BC-235D-4D8C-BFEC-A7EF1809C72C}"/>
    <cellStyle name="Migliaia 22 5 6" xfId="24526" xr:uid="{E690318B-6F17-41EA-98E5-85C872F9125D}"/>
    <cellStyle name="Migliaia 22 5 6 2" xfId="33457" xr:uid="{66A2D68F-93D9-4C65-A57C-5A9A0DA890B7}"/>
    <cellStyle name="Migliaia 22 5 6 2 2" xfId="38891" xr:uid="{300A6F69-3167-4F5F-BB4E-F0DA2724E240}"/>
    <cellStyle name="Migliaia 22 5 6 2 3" xfId="44193" xr:uid="{FBDC7D54-71D7-4F7A-8F62-81E89E58044A}"/>
    <cellStyle name="Migliaia 22 5 6 3" xfId="36372" xr:uid="{B34ED716-AE6F-4D42-8D4C-562C97BF126D}"/>
    <cellStyle name="Migliaia 22 5 6 4" xfId="41542" xr:uid="{AA4DA30B-8209-4C13-A4DC-93D5E2FA8A8D}"/>
    <cellStyle name="Migliaia 22 5 7" xfId="24523" xr:uid="{20BBCAB8-A0BE-4493-B6B4-37F6C91E9CF3}"/>
    <cellStyle name="Migliaia 22 5 8" xfId="7379" xr:uid="{3E3497A4-B11D-438E-85F7-C8BB245263B8}"/>
    <cellStyle name="Migliaia 22 6" xfId="3341" xr:uid="{91A0C010-520E-4D84-A5AF-3DCDFAE8AC41}"/>
    <cellStyle name="Migliaia 22 6 2" xfId="5067" xr:uid="{1D065E4B-B94D-4C7A-8983-E2FCEECD527B}"/>
    <cellStyle name="Migliaia 22 6 2 2" xfId="9909" xr:uid="{DD5551DC-891B-4A1E-9C5F-98906F2957BA}"/>
    <cellStyle name="Migliaia 22 6 2 3" xfId="18666" xr:uid="{8F3CEDB1-C6AE-4C69-BEC1-6A30F96B3C8C}"/>
    <cellStyle name="Migliaia 22 6 2 4" xfId="20132" xr:uid="{14A348C2-D798-4038-BCA6-6B6C64722B4B}"/>
    <cellStyle name="Migliaia 22 6 2 5" xfId="32343" xr:uid="{6A7F6FDC-30F5-4863-B1AB-8A4463A243BF}"/>
    <cellStyle name="Migliaia 22 6 2 6" xfId="16232" xr:uid="{1693ADDA-B3B8-4AA2-A9B5-561EECA9A83D}"/>
    <cellStyle name="Migliaia 22 6 2 7" xfId="8564" xr:uid="{816025E1-A341-4F7C-A099-310FDAE5FF68}"/>
    <cellStyle name="Migliaia 22 6 3" xfId="6276" xr:uid="{C1758B73-E2CD-4062-A508-CE35916F50CF}"/>
    <cellStyle name="Migliaia 22 6 3 2" xfId="35225" xr:uid="{E639A2EA-FB3E-4C92-99F1-190F5844B43C}"/>
    <cellStyle name="Migliaia 22 6 3 2 2" xfId="40385" xr:uid="{316D4F2B-D2C2-4910-BB29-405021F9C6A3}"/>
    <cellStyle name="Migliaia 22 6 3 2 3" xfId="45687" xr:uid="{2502692A-7E8B-47D7-9F81-FC9F0709E3CA}"/>
    <cellStyle name="Migliaia 22 6 3 3" xfId="37734" xr:uid="{39D4A44D-931F-4DAD-8EEF-304DE91CAD52}"/>
    <cellStyle name="Migliaia 22 6 3 4" xfId="43036" xr:uid="{28023B60-9685-4DA7-9E7F-1590C9FD4535}"/>
    <cellStyle name="Migliaia 22 6 3 5" xfId="9672" xr:uid="{A100D153-9698-456B-A635-E15154739358}"/>
    <cellStyle name="Migliaia 22 6 4" xfId="20131" xr:uid="{0E2D0C9F-2906-4247-9E53-3E14F8E332B1}"/>
    <cellStyle name="Migliaia 22 6 4 2" xfId="38892" xr:uid="{EC138E83-11F2-4AD4-91AC-15A371BAAE0B}"/>
    <cellStyle name="Migliaia 22 6 4 3" xfId="44194" xr:uid="{49DF875F-8F08-4D6D-8732-863CFFBAB50C}"/>
    <cellStyle name="Migliaia 22 6 4 4" xfId="33458" xr:uid="{3A178F5B-D750-4729-B34F-52200424D71A}"/>
    <cellStyle name="Migliaia 22 6 5" xfId="36373" xr:uid="{6FAF89DF-A0F3-44A7-9BAB-B6D9FA97F8A0}"/>
    <cellStyle name="Migliaia 22 6 6" xfId="41543" xr:uid="{B39E0D2D-99A1-4596-8280-0E5BFF354E54}"/>
    <cellStyle name="Migliaia 22 6 7" xfId="16231" xr:uid="{F6A5D34B-E89A-4781-8686-4FD31737B8E6}"/>
    <cellStyle name="Migliaia 22 6 8" xfId="7374" xr:uid="{11035187-3D3A-4AD9-9B0F-AF720B034894}"/>
    <cellStyle name="Migliaia 22 7" xfId="3342" xr:uid="{2C30C323-2657-44DD-A4C3-38AF9C3F3DFA}"/>
    <cellStyle name="Migliaia 22 7 2" xfId="5068" xr:uid="{841389E4-48BE-406D-BAF0-91D7F513CA3D}"/>
    <cellStyle name="Migliaia 22 7 2 2" xfId="35226" xr:uid="{AE403DBF-32C3-4C33-93EC-DC9894764107}"/>
    <cellStyle name="Migliaia 22 7 2 2 2" xfId="40386" xr:uid="{F698E40B-3AD4-4773-8DB9-60E179BA36DE}"/>
    <cellStyle name="Migliaia 22 7 2 2 3" xfId="45688" xr:uid="{4542764F-B67E-414D-8D2E-1BAB95FDD873}"/>
    <cellStyle name="Migliaia 22 7 2 3" xfId="37735" xr:uid="{BD92ED35-B89C-4C78-95B3-3B3C80FE877D}"/>
    <cellStyle name="Migliaia 22 7 2 4" xfId="43037" xr:uid="{FA86010E-3394-48AB-9BD0-0D9AB386547F}"/>
    <cellStyle name="Migliaia 22 7 2 5" xfId="14221" xr:uid="{91C5DF92-06E0-47CD-956A-D0696F085EA3}"/>
    <cellStyle name="Migliaia 22 7 3" xfId="6277" xr:uid="{EB1DF051-CB3A-47F3-AAEE-4A5B1CE81A3B}"/>
    <cellStyle name="Migliaia 22 7 3 2" xfId="38893" xr:uid="{4BE363B2-E578-4FFC-9151-1C4263C6C473}"/>
    <cellStyle name="Migliaia 22 7 3 3" xfId="44195" xr:uid="{444E6AD8-D82B-42AB-BB38-C551D165464F}"/>
    <cellStyle name="Migliaia 22 7 3 4" xfId="33459" xr:uid="{F22A523F-601C-44E1-9BD4-59AF4E017994}"/>
    <cellStyle name="Migliaia 22 7 3 5" xfId="20133" xr:uid="{8D11A1D2-847E-4188-B212-DADC225F46A9}"/>
    <cellStyle name="Migliaia 22 7 4" xfId="36374" xr:uid="{0FE94E2B-27B0-4E33-9BCA-6E114E8AD7E9}"/>
    <cellStyle name="Migliaia 22 7 5" xfId="41544" xr:uid="{E5616E48-EA51-43E7-A5BC-24EFB8735B90}"/>
    <cellStyle name="Migliaia 22 7 6" xfId="16233" xr:uid="{D4AD568F-C51F-4EB9-8170-0843006C0EA4}"/>
    <cellStyle name="Migliaia 22 7 7" xfId="8283" xr:uid="{7D1AB9FD-5522-4B41-BC46-333DF940A1F9}"/>
    <cellStyle name="Migliaia 22 8" xfId="3343" xr:uid="{31520409-7D59-4108-B5BF-8C44E5F65887}"/>
    <cellStyle name="Migliaia 22 8 2" xfId="5069" xr:uid="{574A1607-C19D-4AB2-BE0D-7686258B5523}"/>
    <cellStyle name="Migliaia 22 8 2 2" xfId="35227" xr:uid="{DB11C3B3-EE37-45F1-989B-DEAC16A53F5C}"/>
    <cellStyle name="Migliaia 22 8 2 2 2" xfId="40387" xr:uid="{CE4C4299-3E17-465A-A276-9023B5A68158}"/>
    <cellStyle name="Migliaia 22 8 2 2 3" xfId="45689" xr:uid="{3B71CC08-7017-4611-BEB4-EC61B33B715D}"/>
    <cellStyle name="Migliaia 22 8 2 3" xfId="37736" xr:uid="{9F40857F-72A9-4CB8-A7EB-2235F8D59F2B}"/>
    <cellStyle name="Migliaia 22 8 2 4" xfId="43038" xr:uid="{75203089-43B6-407C-83A6-7DCE3767FEDC}"/>
    <cellStyle name="Migliaia 22 8 2 5" xfId="13926" xr:uid="{C0F378BA-845A-49A2-8FDA-24C01138F524}"/>
    <cellStyle name="Migliaia 22 8 3" xfId="6278" xr:uid="{A1700A42-F812-47AD-887C-5662246578E9}"/>
    <cellStyle name="Migliaia 22 8 3 2" xfId="38894" xr:uid="{8904F46E-93C0-42D3-B19F-6207928B43A4}"/>
    <cellStyle name="Migliaia 22 8 3 3" xfId="44196" xr:uid="{3D8008BF-5C60-4173-887D-3F203DF4FF18}"/>
    <cellStyle name="Migliaia 22 8 3 4" xfId="33460" xr:uid="{8A1E5C81-CDF3-463D-B15E-AF9460E82C8E}"/>
    <cellStyle name="Migliaia 22 8 3 5" xfId="20134" xr:uid="{C9B38DF6-DEFF-4703-9CC6-E123767F920C}"/>
    <cellStyle name="Migliaia 22 8 4" xfId="36375" xr:uid="{05568236-E346-4BF7-9D9C-D4292596C76A}"/>
    <cellStyle name="Migliaia 22 8 5" xfId="41545" xr:uid="{BB49B3CC-4FCF-4A4A-8314-58288C85E26E}"/>
    <cellStyle name="Migliaia 22 8 6" xfId="16234" xr:uid="{79DFEEFD-9C70-431B-B319-4D1D731F33D1}"/>
    <cellStyle name="Migliaia 22 8 7" xfId="7878" xr:uid="{D8A31864-DA8C-4C63-8B7C-C9EFDDE5F558}"/>
    <cellStyle name="Migliaia 22 9" xfId="5054" xr:uid="{68044B97-E450-4CC2-B538-EC4DF42B5C0A}"/>
    <cellStyle name="Migliaia 22 9 2" xfId="33461" xr:uid="{AC3E8D71-7EA6-445D-A76F-B1BD506671B7}"/>
    <cellStyle name="Migliaia 22 9 2 2" xfId="38895" xr:uid="{47B2A74E-61E0-4FAA-9AF7-8AC51EF5AEA1}"/>
    <cellStyle name="Migliaia 22 9 2 3" xfId="44197" xr:uid="{822DF026-F07C-4180-8C86-1AC0A4D48CFB}"/>
    <cellStyle name="Migliaia 22 9 3" xfId="36376" xr:uid="{56359045-0574-4104-91E7-A2DEC4B08DC5}"/>
    <cellStyle name="Migliaia 22 9 4" xfId="41546" xr:uid="{73A28618-AB4D-445F-86F6-44E71AB6DCE4}"/>
    <cellStyle name="Migliaia 22 9 5" xfId="17163" xr:uid="{18EFFFC2-332E-4787-B694-6A424822D4DC}"/>
    <cellStyle name="Migliaia 23" xfId="361" xr:uid="{00000000-0005-0000-0000-000046030000}"/>
    <cellStyle name="Migliaia 23 10" xfId="6279" xr:uid="{74AD1F8B-9AE5-420F-B737-B84FF838142C}"/>
    <cellStyle name="Migliaia 23 10 2" xfId="38896" xr:uid="{B96354D4-BBB6-48F2-A559-291BF5AA1678}"/>
    <cellStyle name="Migliaia 23 10 3" xfId="44198" xr:uid="{16F9C210-A15E-4032-B657-EC1336510898}"/>
    <cellStyle name="Migliaia 23 10 4" xfId="33462" xr:uid="{FBFE8DDD-4972-4B12-8131-24B9E9A96AB3}"/>
    <cellStyle name="Migliaia 23 10 5" xfId="20135" xr:uid="{DBE18D5C-310E-4ECE-A11A-D54B52E09C73}"/>
    <cellStyle name="Migliaia 23 11" xfId="3344" xr:uid="{8395800A-CAA4-4D67-9F53-6F2E880EFCE3}"/>
    <cellStyle name="Migliaia 23 11 2" xfId="36377" xr:uid="{2C359F89-89F6-4A4E-B14C-BB2E9C0936FA}"/>
    <cellStyle name="Migliaia 23 12" xfId="41547" xr:uid="{2E07641A-634D-4920-BA0C-D23C722BDA46}"/>
    <cellStyle name="Migliaia 23 13" xfId="7087" xr:uid="{6C942A74-DA8B-4BA6-BB59-D6587F7B2D8E}"/>
    <cellStyle name="Migliaia 23 2" xfId="362" xr:uid="{00000000-0005-0000-0000-000047030000}"/>
    <cellStyle name="Migliaia 23 2 2" xfId="1731" xr:uid="{00000000-0005-0000-0000-000048030000}"/>
    <cellStyle name="Migliaia 23 2 2 2" xfId="5072" xr:uid="{140672B1-8B70-45A1-A328-9AE47E3F1EBD}"/>
    <cellStyle name="Migliaia 23 2 2 2 2" xfId="14378" xr:uid="{E3DA639B-0F8F-406C-8359-E83339419BA9}"/>
    <cellStyle name="Migliaia 23 2 2 2 2 2" xfId="38897" xr:uid="{363AE95C-E04E-4351-A2A3-7CC1A010F9AA}"/>
    <cellStyle name="Migliaia 23 2 2 2 2 3" xfId="44199" xr:uid="{3690AE0B-1E48-444E-B25D-318796D5BF44}"/>
    <cellStyle name="Migliaia 23 2 2 2 3" xfId="18407" xr:uid="{ADB8C956-C31D-49E3-95E9-753AB1689241}"/>
    <cellStyle name="Migliaia 23 2 2 2 4" xfId="20138" xr:uid="{403E3E91-832D-4855-8952-819902D00B44}"/>
    <cellStyle name="Migliaia 23 2 2 2 4 2" xfId="41548" xr:uid="{B9AF788A-4F65-41B4-AB4C-05476E73CBB7}"/>
    <cellStyle name="Migliaia 23 2 2 2 5" xfId="16235" xr:uid="{4D322C45-C846-451D-8C3E-64A0064992EA}"/>
    <cellStyle name="Migliaia 23 2 2 2 6" xfId="8571" xr:uid="{638A2722-8FC9-4F5C-BE63-7553A03E6742}"/>
    <cellStyle name="Migliaia 23 2 2 3" xfId="6281" xr:uid="{66F6422B-0090-4D72-A1CC-1A103822939F}"/>
    <cellStyle name="Migliaia 23 2 2 3 2" xfId="35228" xr:uid="{D8A50027-769D-44BA-96DA-46D18391AC89}"/>
    <cellStyle name="Migliaia 23 2 2 3 2 2" xfId="40388" xr:uid="{D382F804-732B-40E8-8639-2B5BCC0448A8}"/>
    <cellStyle name="Migliaia 23 2 2 3 2 3" xfId="45690" xr:uid="{6A9454B4-B4B9-4CA9-B3E7-DC7D1D625693}"/>
    <cellStyle name="Migliaia 23 2 2 3 3" xfId="37737" xr:uid="{8179540C-AA57-4C95-B332-88B97B494D8B}"/>
    <cellStyle name="Migliaia 23 2 2 3 4" xfId="43039" xr:uid="{8445AD90-61C8-4F28-9ED0-39CDA9D85127}"/>
    <cellStyle name="Migliaia 23 2 2 3 5" xfId="11605" xr:uid="{E3553D5C-302B-48A2-BA83-230410807D79}"/>
    <cellStyle name="Migliaia 23 2 2 4" xfId="3346" xr:uid="{14E636B9-7E4D-48A5-BA77-254685C43443}"/>
    <cellStyle name="Migliaia 23 2 2 4 2" xfId="21443" xr:uid="{2D88168E-4D07-4055-A438-1F41A5E153A9}"/>
    <cellStyle name="Migliaia 23 2 2 4 3" xfId="47032" xr:uid="{6603A2BF-CF41-41B1-9174-3CB03FE4577D}"/>
    <cellStyle name="Migliaia 23 2 2 4 4" xfId="50458" xr:uid="{5E0B38DF-92D9-4C00-B0ED-48399CB3D67E}"/>
    <cellStyle name="Migliaia 23 2 2 4 5" xfId="53474" xr:uid="{474869C3-85F3-460B-909E-92442F46287A}"/>
    <cellStyle name="Migliaia 23 2 2 4 6" xfId="10808" xr:uid="{6FA9863F-65F9-4EF1-907C-0222AA9930A7}"/>
    <cellStyle name="Migliaia 23 2 2 5" xfId="20137" xr:uid="{24765071-607B-475A-96A0-745DB86DF4A7}"/>
    <cellStyle name="Migliaia 23 2 2 6" xfId="24530" xr:uid="{1F995F48-BE99-4CAA-81FC-B4FE299F443E}"/>
    <cellStyle name="Migliaia 23 2 2 7" xfId="7381" xr:uid="{C0D4633C-CD88-49AA-BA4B-35C4FDF1CEE3}"/>
    <cellStyle name="Migliaia 23 2 3" xfId="3347" xr:uid="{D019C600-8175-48BC-AA3F-2EFC42B43625}"/>
    <cellStyle name="Migliaia 23 2 3 2" xfId="5073" xr:uid="{71A45631-E4EF-4DE4-89F0-5746738C5082}"/>
    <cellStyle name="Migliaia 23 2 3 2 2" xfId="35229" xr:uid="{AE5F5445-230D-4B78-A597-3FAE8286B2B0}"/>
    <cellStyle name="Migliaia 23 2 3 2 2 2" xfId="40389" xr:uid="{62EAFF4E-A50A-4D63-9AB9-AED4497D6711}"/>
    <cellStyle name="Migliaia 23 2 3 2 2 3" xfId="45691" xr:uid="{3A2EC01B-30B0-4589-A4F8-917F86C65109}"/>
    <cellStyle name="Migliaia 23 2 3 2 3" xfId="37738" xr:uid="{DEEA6F77-7F67-4667-BEA9-4DAD4B2FA53D}"/>
    <cellStyle name="Migliaia 23 2 3 2 4" xfId="43040" xr:uid="{222510A4-6756-4D9E-9FAE-15EC2644A0CE}"/>
    <cellStyle name="Migliaia 23 2 3 2 5" xfId="14225" xr:uid="{9E3463E6-9641-45BB-872A-B4195CF3006A}"/>
    <cellStyle name="Migliaia 23 2 3 3" xfId="6282" xr:uid="{28B20B3B-2E7A-437B-A7C7-4E8EDE4FCC8A}"/>
    <cellStyle name="Migliaia 23 2 3 3 2" xfId="38898" xr:uid="{98DDBACC-5A44-49DF-860A-2E56D61FD68D}"/>
    <cellStyle name="Migliaia 23 2 3 3 3" xfId="44200" xr:uid="{9A7F0E27-98AF-4E5E-A975-04BB7CB83B7D}"/>
    <cellStyle name="Migliaia 23 2 3 3 4" xfId="33463" xr:uid="{0BF1A402-4194-468F-95F2-2EEE8915C805}"/>
    <cellStyle name="Migliaia 23 2 3 3 5" xfId="20139" xr:uid="{D1021190-6FB5-4887-B65D-F6EC8CD3597D}"/>
    <cellStyle name="Migliaia 23 2 3 4" xfId="36378" xr:uid="{D9E24BDE-BAF0-4570-9F5D-0652D85523C6}"/>
    <cellStyle name="Migliaia 23 2 3 5" xfId="41549" xr:uid="{2907E6EE-DAC5-46D9-84D8-E41660DD2044}"/>
    <cellStyle name="Migliaia 23 2 3 6" xfId="16236" xr:uid="{739358C1-6EE4-47EF-8F7B-C4A76A7D7961}"/>
    <cellStyle name="Migliaia 23 2 3 7" xfId="8287" xr:uid="{51A5B017-A37A-4285-81A2-C669C9B0190D}"/>
    <cellStyle name="Migliaia 23 2 4" xfId="5071" xr:uid="{637316DE-4845-4471-B463-CA2AA79D796E}"/>
    <cellStyle name="Migliaia 23 2 4 2" xfId="13930" xr:uid="{9C5849FE-4E55-465B-BB7C-14216D641F72}"/>
    <cellStyle name="Migliaia 23 2 4 2 2" xfId="38899" xr:uid="{3C88705C-AFAF-458A-92D5-B075EF3AC236}"/>
    <cellStyle name="Migliaia 23 2 4 2 3" xfId="44201" xr:uid="{09477B20-34EA-4E30-9F47-F9D7AC3B8375}"/>
    <cellStyle name="Migliaia 23 2 4 3" xfId="18016" xr:uid="{562261D3-B096-451D-8E33-FD5D8127E074}"/>
    <cellStyle name="Migliaia 23 2 4 4" xfId="20140" xr:uid="{97720E5B-F840-45C4-88F0-C6A0B9436327}"/>
    <cellStyle name="Migliaia 23 2 4 4 2" xfId="41550" xr:uid="{083ABBD9-6BF7-4A3E-86FB-A4C7027CA2B9}"/>
    <cellStyle name="Migliaia 23 2 4 5" xfId="16237" xr:uid="{74224204-0DCD-4034-AF86-9C751A55DBB9}"/>
    <cellStyle name="Migliaia 23 2 4 6" xfId="7883" xr:uid="{249655BA-A4A1-48E9-B16C-000285AE1A33}"/>
    <cellStyle name="Migliaia 23 2 5" xfId="6280" xr:uid="{861E1B12-B0E5-48FA-9ED9-161061B5D140}"/>
    <cellStyle name="Migliaia 23 2 5 2" xfId="33464" xr:uid="{394DBDC8-A2E9-4087-9297-D7164505FD84}"/>
    <cellStyle name="Migliaia 23 2 5 2 2" xfId="38900" xr:uid="{1FF7D6BE-0CB3-4F0A-9704-F9A3C711CECA}"/>
    <cellStyle name="Migliaia 23 2 5 2 3" xfId="44202" xr:uid="{B4E51B37-2606-4198-8393-AA96A355E600}"/>
    <cellStyle name="Migliaia 23 2 5 3" xfId="36380" xr:uid="{5626A190-E9B2-4093-ADB7-0968EA834E05}"/>
    <cellStyle name="Migliaia 23 2 5 4" xfId="41551" xr:uid="{0D191B08-DDC7-429C-BEAA-5B0A41E0FDD9}"/>
    <cellStyle name="Migliaia 23 2 5 5" xfId="13118" xr:uid="{9A64AE1A-74AC-4253-B9D3-72AB3787EFDC}"/>
    <cellStyle name="Migliaia 23 2 6" xfId="3345" xr:uid="{4E13C629-3A39-43B7-90A6-0C62E08C7C03}"/>
    <cellStyle name="Migliaia 23 2 6 2" xfId="33465" xr:uid="{7227D7C8-1978-4F48-BE95-CED18847FFED}"/>
    <cellStyle name="Migliaia 23 2 6 2 2" xfId="38901" xr:uid="{B9A22D47-DE3A-4FC9-96D1-DC171C710041}"/>
    <cellStyle name="Migliaia 23 2 6 2 3" xfId="44203" xr:uid="{0F498336-534D-4C92-AA0F-4A3C23EEA39A}"/>
    <cellStyle name="Migliaia 23 2 6 3" xfId="36381" xr:uid="{1BAE0690-76BF-4825-A8C3-352A6611DA73}"/>
    <cellStyle name="Migliaia 23 2 6 4" xfId="41552" xr:uid="{FCB52B48-2D5E-4596-B443-54335BF330E3}"/>
    <cellStyle name="Migliaia 23 2 6 5" xfId="24533" xr:uid="{A9F4603E-C9F1-49A4-A814-74B1D1ADE93B}"/>
    <cellStyle name="Migliaia 23 2 6 6" xfId="20136" xr:uid="{C787F21D-F2B8-4B80-A30F-B4C052E87E53}"/>
    <cellStyle name="Migliaia 23 2 7" xfId="24529" xr:uid="{351F6120-60F5-47DA-88B5-B923D2EA2E14}"/>
    <cellStyle name="Migliaia 23 2 8" xfId="7088" xr:uid="{7BD897AE-37F6-4CD1-A597-520E08FE6E48}"/>
    <cellStyle name="Migliaia 23 3" xfId="363" xr:uid="{00000000-0005-0000-0000-000049030000}"/>
    <cellStyle name="Migliaia 23 3 10" xfId="24534" xr:uid="{353F1259-BA1C-44B2-BD0D-9FC37981FA23}"/>
    <cellStyle name="Migliaia 23 3 11" xfId="16238" xr:uid="{9ABBB6DB-0B02-434D-B217-6740A52DB358}"/>
    <cellStyle name="Migliaia 23 3 12" xfId="7089" xr:uid="{98B68C64-4E2A-477B-837B-CC640C193DBE}"/>
    <cellStyle name="Migliaia 23 3 2" xfId="364" xr:uid="{00000000-0005-0000-0000-00004A030000}"/>
    <cellStyle name="Migliaia 23 3 2 2" xfId="1732" xr:uid="{00000000-0005-0000-0000-00004B030000}"/>
    <cellStyle name="Migliaia 23 3 2 2 2" xfId="5076" xr:uid="{BA084B25-51EC-4885-AB0B-019E2E4CEFB5}"/>
    <cellStyle name="Migliaia 23 3 2 2 2 2" xfId="18408" xr:uid="{6E48BC4C-A6F4-4397-AF7A-FCF0920F5E97}"/>
    <cellStyle name="Migliaia 23 3 2 2 2 2 2" xfId="21856" xr:uid="{F95CF0EF-D0F2-4153-894D-18C9DE328CAD}"/>
    <cellStyle name="Migliaia 23 3 2 2 2 2 2 2" xfId="38902" xr:uid="{BB94E0F2-00BA-4C16-8FCC-BD804B5E59FE}"/>
    <cellStyle name="Migliaia 23 3 2 2 2 2 3" xfId="44204" xr:uid="{03E0C8D0-3C40-4F5E-BFDA-96BF42D0A8CF}"/>
    <cellStyle name="Migliaia 23 3 2 2 2 2 4" xfId="33466" xr:uid="{21878DB8-0D65-48CD-AEF7-8C372E837683}"/>
    <cellStyle name="Migliaia 23 3 2 2 2 3" xfId="36382" xr:uid="{792CD56B-DDD0-426B-8D65-58208126C695}"/>
    <cellStyle name="Migliaia 23 3 2 2 2 4" xfId="41553" xr:uid="{6110767A-9D69-452D-B22C-CC5B961D8352}"/>
    <cellStyle name="Migliaia 23 3 2 2 2 5" xfId="47815" xr:uid="{F9D84151-FEAF-44D3-AA20-6B648377C693}"/>
    <cellStyle name="Migliaia 23 3 2 2 2 6" xfId="50884" xr:uid="{28769605-FFDD-42F0-BD40-5F7FFA9F967F}"/>
    <cellStyle name="Migliaia 23 3 2 2 2 7" xfId="53900" xr:uid="{1A40EC16-63E7-4298-A9A3-2220D01BF20D}"/>
    <cellStyle name="Migliaia 23 3 2 2 2 8" xfId="17653" xr:uid="{EA224084-770D-4EA2-90F9-90555D92ECB4}"/>
    <cellStyle name="Migliaia 23 3 2 2 2 9" xfId="11947" xr:uid="{AF092060-F860-4815-8329-A60B88DDF500}"/>
    <cellStyle name="Migliaia 23 3 2 2 3" xfId="6285" xr:uid="{39D1E4DD-EAEA-468A-959A-C71B912FBA67}"/>
    <cellStyle name="Migliaia 23 3 2 2 3 2" xfId="11137" xr:uid="{DC2075AC-2FC2-4C53-91EC-0918EEF7D9DE}"/>
    <cellStyle name="Migliaia 23 3 2 2 4" xfId="3350" xr:uid="{5DA15E8D-B939-403D-91B6-DB452A56D7F6}"/>
    <cellStyle name="Migliaia 23 3 2 2 4 2" xfId="21444" xr:uid="{D78A13F8-DC24-4035-9A54-59A4875BA38B}"/>
    <cellStyle name="Migliaia 23 3 2 2 4 3" xfId="47407" xr:uid="{3F5AEF21-BC61-4F7C-8A5B-DC06F3B7C247}"/>
    <cellStyle name="Migliaia 23 3 2 2 4 4" xfId="50459" xr:uid="{36921008-FEE2-400B-88E2-FF2ED7D85C20}"/>
    <cellStyle name="Migliaia 23 3 2 2 4 5" xfId="53475" xr:uid="{911E92FA-4982-4D77-A05D-C019CC883F41}"/>
    <cellStyle name="Migliaia 23 3 2 2 4 6" xfId="10809" xr:uid="{B9A377B8-6019-407A-BCA0-3814EF351992}"/>
    <cellStyle name="Migliaia 23 3 2 2 5" xfId="20143" xr:uid="{27B0ABB1-3144-4A0A-B040-8D87B84E65F8}"/>
    <cellStyle name="Migliaia 23 3 2 2 6" xfId="24536" xr:uid="{A18EA77A-6164-4E6A-820E-4E74AC56F759}"/>
    <cellStyle name="Migliaia 23 3 2 2 7" xfId="8573" xr:uid="{28A23733-2B8A-4D2B-BDB1-0768E1E8925C}"/>
    <cellStyle name="Migliaia 23 3 2 3" xfId="5075" xr:uid="{0C257D61-29E7-420D-94D6-2540219B3090}"/>
    <cellStyle name="Migliaia 23 3 2 3 2" xfId="12417" xr:uid="{4290F138-3EB2-417B-9854-495AFF892BB4}"/>
    <cellStyle name="Migliaia 23 3 2 3 2 2" xfId="38903" xr:uid="{E08F7E3A-776C-4AC8-AE0E-171B6665435B}"/>
    <cellStyle name="Migliaia 23 3 2 3 2 3" xfId="44205" xr:uid="{BB3E98D7-7F8F-4FE2-A401-278312E1D515}"/>
    <cellStyle name="Migliaia 23 3 2 3 2 4" xfId="33467" xr:uid="{65523C03-940B-4FCC-B8C2-EBB069912FBF}"/>
    <cellStyle name="Migliaia 23 3 2 3 3" xfId="11948" xr:uid="{6233FB40-8DC0-49F2-B31C-7B336FA77A4F}"/>
    <cellStyle name="Migliaia 23 3 2 3 4" xfId="20144" xr:uid="{9DD8E0ED-0497-4790-9E12-C1871A4EEC22}"/>
    <cellStyle name="Migliaia 23 3 2 3 4 2" xfId="41554" xr:uid="{47682248-AA7F-44AD-838D-77BD85DFCD17}"/>
    <cellStyle name="Migliaia 23 3 2 3 5" xfId="16239" xr:uid="{F5733F74-08CD-4B68-ADE1-B32BD4B7B9C4}"/>
    <cellStyle name="Migliaia 23 3 2 3 6" xfId="7885" xr:uid="{9B78FF29-D193-4FB6-8E4C-6AA1D3B897F3}"/>
    <cellStyle name="Migliaia 23 3 2 4" xfId="6284" xr:uid="{7F3BE6ED-4F6D-4FB9-9D01-188E6708AA8F}"/>
    <cellStyle name="Migliaia 23 3 2 4 2" xfId="18072" xr:uid="{FE93D435-08D8-42DA-A2FF-3EA43040E239}"/>
    <cellStyle name="Migliaia 23 3 2 4 2 2" xfId="38904" xr:uid="{2D2B16B3-E4B5-42B3-ABD8-100CE41EA0EF}"/>
    <cellStyle name="Migliaia 23 3 2 4 2 3" xfId="44206" xr:uid="{AC6E54A8-4693-4515-8FC5-838A63E623F8}"/>
    <cellStyle name="Migliaia 23 3 2 4 3" xfId="36384" xr:uid="{0AC57D98-8095-4EBB-84B2-02956239B4B5}"/>
    <cellStyle name="Migliaia 23 3 2 4 4" xfId="41555" xr:uid="{1A85B5A5-43FC-4B33-BC69-799C47224451}"/>
    <cellStyle name="Migliaia 23 3 2 4 5" xfId="17166" xr:uid="{137325D2-CB18-48C9-9A78-CDB84CC0DA5D}"/>
    <cellStyle name="Migliaia 23 3 2 4 6" xfId="11296" xr:uid="{6731B431-FA1A-4EF8-BD44-55B48C71876B}"/>
    <cellStyle name="Migliaia 23 3 2 5" xfId="3349" xr:uid="{4B87460B-46FB-4422-BC67-B5A570986A90}"/>
    <cellStyle name="Migliaia 23 3 2 5 2" xfId="33468" xr:uid="{817F1E1E-F846-4E2F-8266-10BA9A092928}"/>
    <cellStyle name="Migliaia 23 3 2 5 2 2" xfId="38905" xr:uid="{9568912B-B210-4581-9297-75589F5CE330}"/>
    <cellStyle name="Migliaia 23 3 2 5 2 3" xfId="44207" xr:uid="{18B765ED-94F2-4B41-9ADF-E113C4E07954}"/>
    <cellStyle name="Migliaia 23 3 2 5 3" xfId="36385" xr:uid="{8601D11F-BA9F-4B19-BFBA-BA35F61B9D5D}"/>
    <cellStyle name="Migliaia 23 3 2 5 4" xfId="41556" xr:uid="{3B0DD195-54B0-4526-B001-73C38F5272A7}"/>
    <cellStyle name="Migliaia 23 3 2 5 5" xfId="17381" xr:uid="{CCA0FBC3-A9FF-4382-BF09-5A0D2555C825}"/>
    <cellStyle name="Migliaia 23 3 2 6" xfId="20142" xr:uid="{17775373-5953-4B30-828C-A32FD072B04A}"/>
    <cellStyle name="Migliaia 23 3 2 6 2" xfId="33469" xr:uid="{E8D0C258-5CFB-48BE-B5C5-65A36806A837}"/>
    <cellStyle name="Migliaia 23 3 2 6 2 2" xfId="38906" xr:uid="{A42EB449-0FE5-4092-843E-6C90C69124B0}"/>
    <cellStyle name="Migliaia 23 3 2 6 2 3" xfId="44208" xr:uid="{67966FCC-09A7-44BC-8914-F28FA27A2C8F}"/>
    <cellStyle name="Migliaia 23 3 2 6 3" xfId="36386" xr:uid="{63FA442E-D998-4071-A3E4-897F91337CB5}"/>
    <cellStyle name="Migliaia 23 3 2 6 4" xfId="41557" xr:uid="{1924F74A-FECF-40C5-94D6-CA18CABAE92F}"/>
    <cellStyle name="Migliaia 23 3 2 6 5" xfId="24539" xr:uid="{E2096406-8379-4A3C-B050-9C5DDDD2CB7D}"/>
    <cellStyle name="Migliaia 23 3 2 7" xfId="24535" xr:uid="{E382E1F3-CCC9-4744-A09E-C677BB988870}"/>
    <cellStyle name="Migliaia 23 3 2 8" xfId="7383" xr:uid="{95A4D5C8-4E9F-4FB2-B93B-EEB5998FF21C}"/>
    <cellStyle name="Migliaia 23 3 3" xfId="3351" xr:uid="{F5CAA26E-513C-46AC-9506-32C3EDC4656F}"/>
    <cellStyle name="Migliaia 23 3 3 10" xfId="7382" xr:uid="{AFA01EF4-3F54-4A34-AD31-DB24CC24005F}"/>
    <cellStyle name="Migliaia 23 3 3 2" xfId="5077" xr:uid="{2FDBDC06-4C52-4D0C-A281-ECE47AABE79B}"/>
    <cellStyle name="Migliaia 23 3 3 2 2" xfId="9912" xr:uid="{3B48C6EF-35E5-45DE-8BCB-DD2B642353C1}"/>
    <cellStyle name="Migliaia 23 3 3 2 2 2" xfId="38908" xr:uid="{C9D29934-E67A-4D1F-A9BE-447A1404B7B3}"/>
    <cellStyle name="Migliaia 23 3 3 2 2 3" xfId="44210" xr:uid="{167774B3-FC60-471E-B735-209C29E88BE1}"/>
    <cellStyle name="Migliaia 23 3 3 2 3" xfId="18192" xr:uid="{96C50D04-509C-40F4-B848-DA524FB61898}"/>
    <cellStyle name="Migliaia 23 3 3 2 4" xfId="20146" xr:uid="{8E8231C9-ABAD-4110-ACCF-023426FD9FDB}"/>
    <cellStyle name="Migliaia 23 3 3 2 4 2" xfId="41559" xr:uid="{DE82CFDE-FCBA-4E07-8399-921EB7634AAF}"/>
    <cellStyle name="Migliaia 23 3 3 2 5" xfId="16241" xr:uid="{09D7A558-BF0F-481E-99AA-D2E728456F98}"/>
    <cellStyle name="Migliaia 23 3 3 2 6" xfId="8572" xr:uid="{D809A72A-759F-427C-8902-C7C39C60F995}"/>
    <cellStyle name="Migliaia 23 3 3 3" xfId="6286" xr:uid="{C0F1AC9C-9D7A-4B27-9440-3925D078DB94}"/>
    <cellStyle name="Migliaia 23 3 3 3 2" xfId="33472" xr:uid="{D950F18A-4622-4935-8A45-B2016531BC50}"/>
    <cellStyle name="Migliaia 23 3 3 3 2 2" xfId="38909" xr:uid="{93E27D2C-9372-4FB9-88C3-058EA34B78C9}"/>
    <cellStyle name="Migliaia 23 3 3 3 2 3" xfId="44211" xr:uid="{53AAAC5E-8C5A-4E44-9C0B-D074B6DDE000}"/>
    <cellStyle name="Migliaia 23 3 3 3 3" xfId="36389" xr:uid="{11026C33-7E9B-434C-A3B3-CEFB826A4D7F}"/>
    <cellStyle name="Migliaia 23 3 3 3 4" xfId="41560" xr:uid="{3F615DA7-D73E-4794-9A14-4230C4061ECF}"/>
    <cellStyle name="Migliaia 23 3 3 3 5" xfId="9675" xr:uid="{DE0C4128-8DAF-4DCC-9998-DD855E2F3249}"/>
    <cellStyle name="Migliaia 23 3 3 4" xfId="20145" xr:uid="{BDF4C30C-DFBA-497F-A66D-88AB4ED21531}"/>
    <cellStyle name="Migliaia 23 3 3 4 2" xfId="33473" xr:uid="{2C65D7BB-20FF-4279-AFCE-AC0DE6370E48}"/>
    <cellStyle name="Migliaia 23 3 3 4 2 2" xfId="38910" xr:uid="{AC270FA3-2233-4F8A-8AC9-5C1DCA0A72A8}"/>
    <cellStyle name="Migliaia 23 3 3 4 2 3" xfId="44212" xr:uid="{81335987-1862-4D02-B015-F969969B0A1D}"/>
    <cellStyle name="Migliaia 23 3 3 4 3" xfId="36390" xr:uid="{1799B195-93A5-4FBA-9D17-A312E0F4B233}"/>
    <cellStyle name="Migliaia 23 3 3 4 4" xfId="41561" xr:uid="{46928932-C483-4129-B943-E81AC75DF585}"/>
    <cellStyle name="Migliaia 23 3 3 4 5" xfId="24541" xr:uid="{7405B533-B2C8-4F75-9AF2-4BE435C9FC2F}"/>
    <cellStyle name="Migliaia 23 3 3 5" xfId="24542" xr:uid="{F5F5800E-F31C-4F7D-9F3E-6448A8693E5C}"/>
    <cellStyle name="Migliaia 23 3 3 5 2" xfId="33474" xr:uid="{0E4A1907-FA0D-4BCC-8753-4C9A06D3A5DB}"/>
    <cellStyle name="Migliaia 23 3 3 5 2 2" xfId="38911" xr:uid="{CB3E665E-3A98-476E-B575-6C13BEB8FF0C}"/>
    <cellStyle name="Migliaia 23 3 3 5 2 3" xfId="44213" xr:uid="{2CAC6CD3-AF6D-46BE-947C-41EE666089EC}"/>
    <cellStyle name="Migliaia 23 3 3 5 3" xfId="36391" xr:uid="{DBFBC08E-6099-4ABE-A6C9-6D9FF4DF8513}"/>
    <cellStyle name="Migliaia 23 3 3 5 4" xfId="41562" xr:uid="{E4B501D8-79E8-4367-B96C-CA6F848AA1F3}"/>
    <cellStyle name="Migliaia 23 3 3 6" xfId="33470" xr:uid="{B2A44ACC-06FE-4F5E-B770-1208DF055305}"/>
    <cellStyle name="Migliaia 23 3 3 6 2" xfId="38907" xr:uid="{33300161-E8A6-4CFF-B2A7-9AE2D447A17D}"/>
    <cellStyle name="Migliaia 23 3 3 6 3" xfId="44209" xr:uid="{13B79606-A4F5-4F70-8030-50671EE7E834}"/>
    <cellStyle name="Migliaia 23 3 3 7" xfId="36387" xr:uid="{A75CE6A1-AFA1-4E59-A1B5-72968315F850}"/>
    <cellStyle name="Migliaia 23 3 3 8" xfId="41558" xr:uid="{DCA0906B-3F9F-49AA-956D-079D62FFEAD3}"/>
    <cellStyle name="Migliaia 23 3 3 9" xfId="16240" xr:uid="{6B3DA995-DE38-4E4A-8861-8EEE169F13A4}"/>
    <cellStyle name="Migliaia 23 3 4" xfId="3352" xr:uid="{7EFE7FDE-044A-4497-81FE-7CE58FB92F83}"/>
    <cellStyle name="Migliaia 23 3 4 2" xfId="5078" xr:uid="{53183939-FEC7-4152-8ABA-B12E88B45479}"/>
    <cellStyle name="Migliaia 23 3 4 2 2" xfId="14438" xr:uid="{D327EB5B-F4B4-43A4-B6E7-E753AB19097C}"/>
    <cellStyle name="Migliaia 23 3 4 2 3" xfId="18587" xr:uid="{21B7B6FD-923A-49B4-B609-BC84745D8E3C}"/>
    <cellStyle name="Migliaia 23 3 4 2 4" xfId="20148" xr:uid="{2D5B9D6E-3FB2-4E6C-8FC9-7383B40C89F3}"/>
    <cellStyle name="Migliaia 23 3 4 2 5" xfId="32344" xr:uid="{59562E55-F225-44CF-B163-56790C9CBAF5}"/>
    <cellStyle name="Migliaia 23 3 4 2 6" xfId="16243" xr:uid="{B59B39E3-865B-42A8-85AC-14AE47FC556C}"/>
    <cellStyle name="Migliaia 23 3 4 2 7" xfId="8861" xr:uid="{B7B86898-3E53-4983-80A1-EF2BD6C34650}"/>
    <cellStyle name="Migliaia 23 3 4 3" xfId="6287" xr:uid="{6CC3ADB9-AFF7-44C4-AD64-5921593B8D27}"/>
    <cellStyle name="Migliaia 23 3 4 3 2" xfId="35230" xr:uid="{90C8A932-D018-41C1-9389-BE2BD5F8F1D6}"/>
    <cellStyle name="Migliaia 23 3 4 3 2 2" xfId="40390" xr:uid="{F410ED8E-950B-40B6-B901-50B6D6E53131}"/>
    <cellStyle name="Migliaia 23 3 4 3 2 3" xfId="45692" xr:uid="{2883DC40-5908-4E88-9502-0ACBEE918D47}"/>
    <cellStyle name="Migliaia 23 3 4 3 3" xfId="37739" xr:uid="{D3F4D6C7-8B5E-4071-A6B6-B8B56ABC50EE}"/>
    <cellStyle name="Migliaia 23 3 4 3 4" xfId="43041" xr:uid="{8B0B8B24-A66B-4E6D-8033-7925E38D04A1}"/>
    <cellStyle name="Migliaia 23 3 4 3 5" xfId="13686" xr:uid="{557EBDD2-AFCC-4E68-B892-BB7F30579A08}"/>
    <cellStyle name="Migliaia 23 3 4 4" xfId="20147" xr:uid="{0DFF6F87-9D10-4A34-B0D9-5DC4FBFD8063}"/>
    <cellStyle name="Migliaia 23 3 4 4 2" xfId="38912" xr:uid="{5CC688BC-5584-4560-83F8-9D5BAEAC8A65}"/>
    <cellStyle name="Migliaia 23 3 4 4 3" xfId="44214" xr:uid="{632EAA40-4E42-43AB-9586-212C55D73E59}"/>
    <cellStyle name="Migliaia 23 3 4 4 4" xfId="33475" xr:uid="{F74CC27D-11D5-42EB-93BB-67ED30339CD2}"/>
    <cellStyle name="Migliaia 23 3 4 5" xfId="36392" xr:uid="{CB296534-E1EB-44A3-BB99-9B69CC45C336}"/>
    <cellStyle name="Migliaia 23 3 4 6" xfId="41563" xr:uid="{A70D8182-0CF4-4191-BDC5-6549075729C9}"/>
    <cellStyle name="Migliaia 23 3 4 7" xfId="16242" xr:uid="{1ABC2C69-D576-43D7-8D32-E98A3E68739B}"/>
    <cellStyle name="Migliaia 23 3 4 8" xfId="7671" xr:uid="{42B63AB2-FB3F-40F3-AE44-5D1013CB7482}"/>
    <cellStyle name="Migliaia 23 3 5" xfId="3353" xr:uid="{A958D2A4-9B9E-48E3-9D2E-2CAF9C0A84B7}"/>
    <cellStyle name="Migliaia 23 3 5 2" xfId="5079" xr:uid="{0C149721-58FA-4169-9216-E3924EA86FC0}"/>
    <cellStyle name="Migliaia 23 3 5 2 2" xfId="35231" xr:uid="{CF02DE68-4C6E-4DE5-81CE-D63D7EC9C6B5}"/>
    <cellStyle name="Migliaia 23 3 5 2 2 2" xfId="40391" xr:uid="{5B12DED5-A04B-4373-937C-8B98ECBBBB66}"/>
    <cellStyle name="Migliaia 23 3 5 2 2 3" xfId="45693" xr:uid="{1125E7E9-B557-4D47-B3A1-A9844428A599}"/>
    <cellStyle name="Migliaia 23 3 5 2 3" xfId="37740" xr:uid="{EC3B22FE-092B-4E55-B2FA-C93F6ECCED33}"/>
    <cellStyle name="Migliaia 23 3 5 2 4" xfId="43042" xr:uid="{F5F2DD17-0399-4783-BFD4-9716514FCF5B}"/>
    <cellStyle name="Migliaia 23 3 5 2 5" xfId="14226" xr:uid="{2420A7D0-D287-4827-A033-6053AEC2C0FE}"/>
    <cellStyle name="Migliaia 23 3 5 3" xfId="6288" xr:uid="{4B79E509-419C-4EA7-BF9D-0B39B7822643}"/>
    <cellStyle name="Migliaia 23 3 5 3 2" xfId="38913" xr:uid="{DF173671-5A1A-4269-8140-96DB21408FF6}"/>
    <cellStyle name="Migliaia 23 3 5 3 3" xfId="44215" xr:uid="{AD8F5599-BD28-48FB-BCF9-91F94C7E4941}"/>
    <cellStyle name="Migliaia 23 3 5 3 4" xfId="33476" xr:uid="{76313403-7234-4800-9351-DBD000892ED8}"/>
    <cellStyle name="Migliaia 23 3 5 3 5" xfId="20149" xr:uid="{11377698-5C86-4D00-87A1-CB8B31A194DD}"/>
    <cellStyle name="Migliaia 23 3 5 4" xfId="36393" xr:uid="{2ACE2753-FAC0-4971-BF5F-9AF907C05179}"/>
    <cellStyle name="Migliaia 23 3 5 5" xfId="41564" xr:uid="{3A781636-510D-4A20-9C33-4F3D1C99D4A5}"/>
    <cellStyle name="Migliaia 23 3 5 6" xfId="16244" xr:uid="{7F97FC0E-33D4-4368-97C5-A33131463400}"/>
    <cellStyle name="Migliaia 23 3 5 7" xfId="8288" xr:uid="{28567E51-0A9A-4308-A482-353AD9351D11}"/>
    <cellStyle name="Migliaia 23 3 6" xfId="5074" xr:uid="{F057EA29-38A4-4EF1-B15E-64203704C2A3}"/>
    <cellStyle name="Migliaia 23 3 6 2" xfId="13931" xr:uid="{43F9A1E4-D28F-43B1-88FF-FE02BBBB44F2}"/>
    <cellStyle name="Migliaia 23 3 6 2 2" xfId="38914" xr:uid="{0A88D8AD-9F9C-456D-A291-0B3B11A75BD9}"/>
    <cellStyle name="Migliaia 23 3 6 2 3" xfId="44216" xr:uid="{01D11832-22A3-44F7-AC36-CB262E549E22}"/>
    <cellStyle name="Migliaia 23 3 6 3" xfId="18554" xr:uid="{7A3AF8B1-9D8D-40F8-86EE-818C359CCB82}"/>
    <cellStyle name="Migliaia 23 3 6 4" xfId="20150" xr:uid="{54F08AE7-85B8-424E-92DE-23AF6C3CEDAE}"/>
    <cellStyle name="Migliaia 23 3 6 4 2" xfId="41565" xr:uid="{F2324294-AAB2-49CD-AF8A-6FDF0E5CA511}"/>
    <cellStyle name="Migliaia 23 3 6 5" xfId="16245" xr:uid="{9114D398-67BF-4BD9-8D74-F2AB892EBAC7}"/>
    <cellStyle name="Migliaia 23 3 6 6" xfId="7884" xr:uid="{4C8249FF-3736-469F-A2AB-9F1083413ADD}"/>
    <cellStyle name="Migliaia 23 3 7" xfId="6283" xr:uid="{BA8DEE73-5745-4004-99FF-D64A6B96E56C}"/>
    <cellStyle name="Migliaia 23 3 7 2" xfId="33477" xr:uid="{F1329551-429F-44CF-BCA1-FF2E966D5E4C}"/>
    <cellStyle name="Migliaia 23 3 7 2 2" xfId="38915" xr:uid="{31E21344-940E-4EA9-8C1B-BA5EBBA1D6EB}"/>
    <cellStyle name="Migliaia 23 3 7 2 3" xfId="44217" xr:uid="{EA8688AD-9B1D-470B-8872-10089D1BDCD5}"/>
    <cellStyle name="Migliaia 23 3 7 3" xfId="36394" xr:uid="{0060E35A-5F1B-43EB-8312-AFC2C6D1B221}"/>
    <cellStyle name="Migliaia 23 3 7 4" xfId="41566" xr:uid="{90A30AD1-00F0-4E1D-824B-7C0AEF10FFDF}"/>
    <cellStyle name="Migliaia 23 3 7 5" xfId="12243" xr:uid="{0321D2D0-3EC5-400A-AEEC-73BE37C63478}"/>
    <cellStyle name="Migliaia 23 3 8" xfId="3348" xr:uid="{6FEDFFAB-E591-4B1F-8C25-64781607E26A}"/>
    <cellStyle name="Migliaia 23 3 8 2" xfId="33478" xr:uid="{64463837-E479-41DD-A22B-AB5E46844795}"/>
    <cellStyle name="Migliaia 23 3 8 2 2" xfId="38916" xr:uid="{AC9CE0B3-B55A-4935-8537-3CE78C484495}"/>
    <cellStyle name="Migliaia 23 3 8 2 3" xfId="44218" xr:uid="{5351411B-F547-46B2-9A1C-55AB0FA8A829}"/>
    <cellStyle name="Migliaia 23 3 8 3" xfId="36395" xr:uid="{9435CA4C-ADD6-4025-8912-1FFF4D00436E}"/>
    <cellStyle name="Migliaia 23 3 8 4" xfId="41567" xr:uid="{D6AC2AA1-72D6-482B-883A-905865D429D0}"/>
    <cellStyle name="Migliaia 23 3 8 5" xfId="24545" xr:uid="{0C6E7D36-C60A-4436-BFAA-C863FCFF86D6}"/>
    <cellStyle name="Migliaia 23 3 8 6" xfId="17382" xr:uid="{5DB6A586-21CF-4882-B3FB-D0AB3C8E886C}"/>
    <cellStyle name="Migliaia 23 3 9" xfId="20141" xr:uid="{0DA44B55-2BED-490B-B0F5-26CA9510E945}"/>
    <cellStyle name="Migliaia 23 4" xfId="1733" xr:uid="{00000000-0005-0000-0000-00004C030000}"/>
    <cellStyle name="Migliaia 23 4 2" xfId="1734" xr:uid="{00000000-0005-0000-0000-00004D030000}"/>
    <cellStyle name="Migliaia 23 4 2 2" xfId="5081" xr:uid="{8CB3B490-6F3B-4BF9-B628-644C1442076A}"/>
    <cellStyle name="Migliaia 23 4 2 2 2" xfId="33479" xr:uid="{7824A845-EA6C-433D-8464-E3A73B8E27B3}"/>
    <cellStyle name="Migliaia 23 4 2 2 2 2" xfId="38917" xr:uid="{FBCFD59A-CD32-43F2-9961-1071B1541240}"/>
    <cellStyle name="Migliaia 23 4 2 2 2 3" xfId="44219" xr:uid="{7E9AEC66-0AE1-40F8-A217-F529102C986C}"/>
    <cellStyle name="Migliaia 23 4 2 2 3" xfId="36396" xr:uid="{B49F898C-3F5B-42B2-804F-895EE9F9C5D7}"/>
    <cellStyle name="Migliaia 23 4 2 2 4" xfId="41568" xr:uid="{84C55E95-70B3-4620-A8D1-7AF4311D3CC4}"/>
    <cellStyle name="Migliaia 23 4 2 2 5" xfId="9138" xr:uid="{A08AB985-EC14-4636-BC61-74ABF6249060}"/>
    <cellStyle name="Migliaia 23 4 2 3" xfId="3355" xr:uid="{7547138C-DC09-46A4-8B79-D4DEA4501A5A}"/>
    <cellStyle name="Migliaia 23 4 2 3 2" xfId="33480" xr:uid="{9493CCB1-8905-4997-9C3F-0942DA1423C0}"/>
    <cellStyle name="Migliaia 23 4 2 3 2 2" xfId="38918" xr:uid="{E0E7B296-AF47-4FC2-8A4D-7318CAED5251}"/>
    <cellStyle name="Migliaia 23 4 2 3 2 3" xfId="44220" xr:uid="{4D77B252-391A-49ED-8187-9862AD2F365E}"/>
    <cellStyle name="Migliaia 23 4 2 3 3" xfId="36397" xr:uid="{DED3234E-5506-440F-A6AE-A9720C991F58}"/>
    <cellStyle name="Migliaia 23 4 2 3 4" xfId="41569" xr:uid="{0018CAB5-F390-422C-9AAD-AE0821F73B3D}"/>
    <cellStyle name="Migliaia 23 4 2 3 5" xfId="11949" xr:uid="{9A24062F-1156-420B-AD57-14EAAD1424F6}"/>
    <cellStyle name="Migliaia 23 4 2 4" xfId="11298" xr:uid="{8D526E2A-F7B5-4BA7-89DF-7C5772B71791}"/>
    <cellStyle name="Migliaia 23 4 2 5" xfId="10811" xr:uid="{71F5BB28-8A74-4ABA-A91D-650DC1F5596A}"/>
    <cellStyle name="Migliaia 23 4 2 5 2" xfId="21446" xr:uid="{10619E8C-CB0E-4A9E-BBF8-32C461CDEB95}"/>
    <cellStyle name="Migliaia 23 4 2 5 3" xfId="46226" xr:uid="{8BF45317-18E7-43D9-B309-D66456AB1F44}"/>
    <cellStyle name="Migliaia 23 4 2 5 4" xfId="50461" xr:uid="{27D0BB71-F592-4C47-A419-A3B8F1CB7886}"/>
    <cellStyle name="Migliaia 23 4 2 5 5" xfId="53477" xr:uid="{ED146245-65E7-48F9-B009-2A62FE90B1F2}"/>
    <cellStyle name="Migliaia 23 4 2 6" xfId="20152" xr:uid="{EFA65435-7D00-432D-BE94-8E7876EEF72D}"/>
    <cellStyle name="Migliaia 23 4 2 7" xfId="24547" xr:uid="{E46A6AD4-B670-4C94-9469-E8AC0EC209BC}"/>
    <cellStyle name="Migliaia 23 4 2 8" xfId="8574" xr:uid="{F1DB3DE5-9AB3-473A-BC79-67716A4C83C8}"/>
    <cellStyle name="Migliaia 23 4 3" xfId="5080" xr:uid="{5DEE2DB6-5EFB-4DEF-ACFC-C54AEB5F3DE0}"/>
    <cellStyle name="Migliaia 23 4 3 2" xfId="18193" xr:uid="{C2E7C96F-F708-4DED-A602-134F242D97BA}"/>
    <cellStyle name="Migliaia 23 4 3 2 2" xfId="38919" xr:uid="{9BFE94A9-8269-4B93-9743-A8FB007EDE52}"/>
    <cellStyle name="Migliaia 23 4 3 2 3" xfId="44221" xr:uid="{0ABED518-B978-41C7-9AB5-4C8FCD737D60}"/>
    <cellStyle name="Migliaia 23 4 3 3" xfId="36398" xr:uid="{370B8629-344C-46EE-A1CE-4E65759B1A80}"/>
    <cellStyle name="Migliaia 23 4 3 4" xfId="41570" xr:uid="{1F13C979-2137-4C35-BDCD-96E927166EA9}"/>
    <cellStyle name="Migliaia 23 4 3 5" xfId="17380" xr:uid="{E52EDAC9-4A79-4168-A5F0-CB599DE90170}"/>
    <cellStyle name="Migliaia 23 4 3 6" xfId="9139" xr:uid="{28B81953-C3EF-4A07-A2F0-325331B22279}"/>
    <cellStyle name="Migliaia 23 4 4" xfId="6289" xr:uid="{5B2ED913-0572-49C3-92C9-DDE9C0B9F517}"/>
    <cellStyle name="Migliaia 23 4 4 2" xfId="33481" xr:uid="{ED54AFC4-F836-4764-A6C8-1636FE2BE2A3}"/>
    <cellStyle name="Migliaia 23 4 4 2 2" xfId="38920" xr:uid="{F2F2158F-37CE-453D-9866-C44DDD90B143}"/>
    <cellStyle name="Migliaia 23 4 4 2 3" xfId="44222" xr:uid="{DA8A6419-EC51-4AF4-AFFD-84FD258DD396}"/>
    <cellStyle name="Migliaia 23 4 4 3" xfId="36399" xr:uid="{38916D04-656B-4433-B705-E310FD2B92AB}"/>
    <cellStyle name="Migliaia 23 4 4 4" xfId="41571" xr:uid="{B0E4DDD1-FABA-4A68-A99B-61B79C43DFF5}"/>
    <cellStyle name="Migliaia 23 4 4 5" xfId="11950" xr:uid="{B783C93C-D565-4618-8427-F5DFC723667B}"/>
    <cellStyle name="Migliaia 23 4 5" xfId="3354" xr:uid="{FBDE4AD2-8FB0-44FC-8C16-072BA24B6412}"/>
    <cellStyle name="Migliaia 23 4 5 2" xfId="33482" xr:uid="{02A40ADB-F865-4A8B-A9C2-9137384D2D55}"/>
    <cellStyle name="Migliaia 23 4 5 2 2" xfId="38921" xr:uid="{DBBD7018-574C-4437-8E87-ACD0A2272494}"/>
    <cellStyle name="Migliaia 23 4 5 2 3" xfId="44223" xr:uid="{0F71DF9C-8636-4357-ABA5-902392727A2A}"/>
    <cellStyle name="Migliaia 23 4 5 3" xfId="36400" xr:uid="{CBA00FC0-2A5C-4022-B697-52CBB7226FFD}"/>
    <cellStyle name="Migliaia 23 4 5 4" xfId="41572" xr:uid="{A30778DF-E1F2-4E57-B9E9-AD15CC2B07F8}"/>
    <cellStyle name="Migliaia 23 4 5 5" xfId="11297" xr:uid="{C36B1359-E846-4C7B-BCCE-F86336CD0AEB}"/>
    <cellStyle name="Migliaia 23 4 6" xfId="10810" xr:uid="{9999056D-F1B8-4691-9978-9EE0B2A24767}"/>
    <cellStyle name="Migliaia 23 4 6 2" xfId="21445" xr:uid="{B763B32F-48DF-4206-8AB6-300F1E52A610}"/>
    <cellStyle name="Migliaia 23 4 6 2 2" xfId="38922" xr:uid="{6C45B6BD-6C72-420E-AB0D-A874F02F60A3}"/>
    <cellStyle name="Migliaia 23 4 6 2 3" xfId="44224" xr:uid="{6A42E6CA-69A6-4CB8-9099-F53A9A8FB203}"/>
    <cellStyle name="Migliaia 23 4 6 2 4" xfId="33483" xr:uid="{EA116003-03B9-440C-A6BA-90F9CCD3A5AE}"/>
    <cellStyle name="Migliaia 23 4 6 3" xfId="36401" xr:uid="{AE3A670E-919B-4591-AA4A-3BE7D182EB50}"/>
    <cellStyle name="Migliaia 23 4 6 4" xfId="41573" xr:uid="{DE73BC2A-62FC-4252-BA4D-C138DFA2A581}"/>
    <cellStyle name="Migliaia 23 4 6 5" xfId="24548" xr:uid="{DD0F9614-122E-4EFA-87F8-95FAB5E4B6EE}"/>
    <cellStyle name="Migliaia 23 4 6 6" xfId="47363" xr:uid="{71A0DC92-6A80-4E00-8B38-819C07ADAE6E}"/>
    <cellStyle name="Migliaia 23 4 6 7" xfId="50460" xr:uid="{F3118A8C-87E0-4F80-9ABE-A941A3761FD8}"/>
    <cellStyle name="Migliaia 23 4 6 8" xfId="53476" xr:uid="{ED11C3C0-136D-4A45-9FD9-9C89DA6B2290}"/>
    <cellStyle name="Migliaia 23 4 7" xfId="20151" xr:uid="{A8D6F0E4-B8C3-4ECA-A79B-72F9FE7CE326}"/>
    <cellStyle name="Migliaia 23 4 7 2" xfId="33484" xr:uid="{2E9BDBE2-1A25-4E75-B843-BE14ECEF8E61}"/>
    <cellStyle name="Migliaia 23 4 7 2 2" xfId="38923" xr:uid="{381B6EC5-2D3E-4F3D-BCCB-D44AC132F86A}"/>
    <cellStyle name="Migliaia 23 4 7 2 3" xfId="44225" xr:uid="{6433F660-FFAC-43BD-9E66-96865EA3C29C}"/>
    <cellStyle name="Migliaia 23 4 7 3" xfId="36402" xr:uid="{74D1D671-891C-4B48-9AC2-F08DEC8D161C}"/>
    <cellStyle name="Migliaia 23 4 7 4" xfId="41574" xr:uid="{893C99C2-A639-461E-9C61-677679003CA3}"/>
    <cellStyle name="Migliaia 23 4 7 5" xfId="24549" xr:uid="{FAB2FD67-7718-4F7D-9362-256544F68029}"/>
    <cellStyle name="Migliaia 23 4 8" xfId="24546" xr:uid="{92E183F6-BF84-4E35-8C1F-B01536C48A05}"/>
    <cellStyle name="Migliaia 23 4 9" xfId="7384" xr:uid="{285A2D89-A5B1-4B05-858B-B19A209835AA}"/>
    <cellStyle name="Migliaia 23 5" xfId="1735" xr:uid="{00000000-0005-0000-0000-00004E030000}"/>
    <cellStyle name="Migliaia 23 5 2" xfId="5082" xr:uid="{0A3BB8AB-7325-4192-BCC5-AE1B23C55E6C}"/>
    <cellStyle name="Migliaia 23 5 2 2" xfId="18409" xr:uid="{4C9C2107-8E93-4FA6-9653-F81B9230DAB5}"/>
    <cellStyle name="Migliaia 23 5 2 2 2" xfId="38924" xr:uid="{62112776-66AC-45CD-B90D-7FD9561E09E8}"/>
    <cellStyle name="Migliaia 23 5 2 2 3" xfId="44226" xr:uid="{06CA36BC-91C8-4871-A429-379C8DAA749B}"/>
    <cellStyle name="Migliaia 23 5 2 3" xfId="20154" xr:uid="{7821DD73-95FB-40FA-B40A-7A9617C6D2A2}"/>
    <cellStyle name="Migliaia 23 5 2 3 2" xfId="36403" xr:uid="{CFC6C02F-6C5B-46EB-B459-6CC902B96E1F}"/>
    <cellStyle name="Migliaia 23 5 2 4" xfId="41575" xr:uid="{D8C678A1-296D-430A-9A15-FD570CB0103D}"/>
    <cellStyle name="Migliaia 23 5 2 5" xfId="16246" xr:uid="{5E483A37-B2C0-41C2-B50C-030B83AAA653}"/>
    <cellStyle name="Migliaia 23 5 2 6" xfId="8575" xr:uid="{77154DFE-0B11-4001-B29B-57681F0B6173}"/>
    <cellStyle name="Migliaia 23 5 3" xfId="6290" xr:uid="{705C4927-AD8B-40C9-8C77-74E8D865358A}"/>
    <cellStyle name="Migliaia 23 5 3 2" xfId="33485" xr:uid="{9D54D6E3-B374-4EC9-BD7A-13C3B81C7ABD}"/>
    <cellStyle name="Migliaia 23 5 3 2 2" xfId="38925" xr:uid="{0AF481F0-395E-4A20-BA79-D2D5E9B7BF54}"/>
    <cellStyle name="Migliaia 23 5 3 2 3" xfId="44227" xr:uid="{02038A62-A52C-4102-B411-D0B29A377782}"/>
    <cellStyle name="Migliaia 23 5 3 3" xfId="36404" xr:uid="{BD704F37-E1DC-411A-A458-DC75417A3291}"/>
    <cellStyle name="Migliaia 23 5 3 4" xfId="41576" xr:uid="{64A32B71-5305-4A98-BF2C-CA34FC5864A4}"/>
    <cellStyle name="Migliaia 23 5 3 5" xfId="11299" xr:uid="{36E47130-B30D-455A-A93C-4CDD120D54EA}"/>
    <cellStyle name="Migliaia 23 5 4" xfId="3356" xr:uid="{640102C3-14A9-4C81-98B9-B4D1FE681522}"/>
    <cellStyle name="Migliaia 23 5 4 2" xfId="21447" xr:uid="{A989C699-1A03-4B42-A3AA-63F472E93412}"/>
    <cellStyle name="Migliaia 23 5 4 2 2" xfId="38926" xr:uid="{10CCBD1F-E66D-4064-87D7-34FD4247400D}"/>
    <cellStyle name="Migliaia 23 5 4 2 3" xfId="44228" xr:uid="{6773B43B-5AB0-4AD7-BBED-B56BF8AA8ECC}"/>
    <cellStyle name="Migliaia 23 5 4 2 4" xfId="33486" xr:uid="{5F1ACAD6-BEE5-4B8D-88C3-B2B8820F6C4B}"/>
    <cellStyle name="Migliaia 23 5 4 3" xfId="36405" xr:uid="{DF9B74D6-E3C1-4249-85F5-34DB6DE3154F}"/>
    <cellStyle name="Migliaia 23 5 4 4" xfId="41577" xr:uid="{9FD7B838-1D84-4D38-89C2-61B904198D9E}"/>
    <cellStyle name="Migliaia 23 5 4 5" xfId="24551" xr:uid="{62A2FD4F-6764-4CE8-8381-40079B501D80}"/>
    <cellStyle name="Migliaia 23 5 4 6" xfId="47598" xr:uid="{1BFBBC09-5383-4D3E-B1BC-3118BB4AF65B}"/>
    <cellStyle name="Migliaia 23 5 4 7" xfId="50462" xr:uid="{36B6EFF0-5CA7-4887-804C-37A23A85A558}"/>
    <cellStyle name="Migliaia 23 5 4 8" xfId="53478" xr:uid="{55A82178-5DC2-4E73-9402-521FDE5AC409}"/>
    <cellStyle name="Migliaia 23 5 4 9" xfId="10812" xr:uid="{2B773A7A-5F68-4E76-A940-80EF1B9A7E4E}"/>
    <cellStyle name="Migliaia 23 5 5" xfId="20153" xr:uid="{85FC8BE2-0DC1-4C8B-9BD1-158CF3E99C79}"/>
    <cellStyle name="Migliaia 23 5 5 2" xfId="33487" xr:uid="{261A1BCA-DDFE-48C2-8F1D-E142098AB3DF}"/>
    <cellStyle name="Migliaia 23 5 5 2 2" xfId="38927" xr:uid="{0FA05289-C5C9-41C5-BD3A-31F001B068EE}"/>
    <cellStyle name="Migliaia 23 5 5 2 3" xfId="44229" xr:uid="{8B36F2A4-9812-47D5-AF4B-E716667359D6}"/>
    <cellStyle name="Migliaia 23 5 5 3" xfId="36406" xr:uid="{D92B1C7F-CD2F-465C-9D82-BA54DBFFFBB8}"/>
    <cellStyle name="Migliaia 23 5 5 4" xfId="41578" xr:uid="{05A0579C-8D16-4F9D-91EE-4F63423822C4}"/>
    <cellStyle name="Migliaia 23 5 5 5" xfId="24552" xr:uid="{64D65E0E-7355-4A14-8796-91D0FBCB148B}"/>
    <cellStyle name="Migliaia 23 5 6" xfId="24553" xr:uid="{D9206944-8EE7-49F3-AC29-16FD3043BDC2}"/>
    <cellStyle name="Migliaia 23 5 6 2" xfId="33488" xr:uid="{F80421CF-4DB4-49F9-A5BC-7B245604EA13}"/>
    <cellStyle name="Migliaia 23 5 6 2 2" xfId="38928" xr:uid="{B31E1958-4FAD-4F07-8EDF-CFA9CE92333C}"/>
    <cellStyle name="Migliaia 23 5 6 2 3" xfId="44230" xr:uid="{A79F8F63-0E66-4C1F-8259-456F0748CCD8}"/>
    <cellStyle name="Migliaia 23 5 6 3" xfId="36407" xr:uid="{514C3CA2-3C9B-41F6-B855-8CF49A52CB4B}"/>
    <cellStyle name="Migliaia 23 5 6 4" xfId="41579" xr:uid="{1EAB6AC3-90A2-4B05-B249-392D6D4A7CE1}"/>
    <cellStyle name="Migliaia 23 5 7" xfId="24550" xr:uid="{F22D669F-BF6F-40C9-A6DC-6E94E8A02DCF}"/>
    <cellStyle name="Migliaia 23 5 8" xfId="7385" xr:uid="{67042327-40EF-4B29-8DC6-59C015736B9A}"/>
    <cellStyle name="Migliaia 23 6" xfId="3357" xr:uid="{CAE7D4C2-8DA7-47F9-B246-E2CA468A6103}"/>
    <cellStyle name="Migliaia 23 6 2" xfId="5083" xr:uid="{70B0E786-CB26-4B50-BF70-7AEF933BFEA9}"/>
    <cellStyle name="Migliaia 23 6 2 2" xfId="9911" xr:uid="{6CC0F13B-CD53-40C0-8B9A-35E88D2C0600}"/>
    <cellStyle name="Migliaia 23 6 2 3" xfId="18665" xr:uid="{40027B05-EC3E-415A-9BA6-3CFE1501CEAD}"/>
    <cellStyle name="Migliaia 23 6 2 4" xfId="20156" xr:uid="{F5529511-2356-4C36-B37E-4F142A2BF840}"/>
    <cellStyle name="Migliaia 23 6 2 5" xfId="32346" xr:uid="{6ED1C7DF-D88A-42AE-8700-F5A2B24A69EF}"/>
    <cellStyle name="Migliaia 23 6 2 6" xfId="16248" xr:uid="{53A46E8B-CCE6-4C3E-AF83-FAD6BF116A22}"/>
    <cellStyle name="Migliaia 23 6 2 7" xfId="8570" xr:uid="{AC815414-1E6F-4BA4-9134-1593F7B6FD83}"/>
    <cellStyle name="Migliaia 23 6 3" xfId="6291" xr:uid="{B141A771-D338-4AEE-8707-E2B61D535572}"/>
    <cellStyle name="Migliaia 23 6 3 2" xfId="35232" xr:uid="{EBCBF037-BFC9-400C-94E1-25B6F789E20D}"/>
    <cellStyle name="Migliaia 23 6 3 2 2" xfId="40392" xr:uid="{C6DD8B42-A0EC-45F3-B7F7-0DBFCBD081F9}"/>
    <cellStyle name="Migliaia 23 6 3 2 3" xfId="45694" xr:uid="{AB6C8E4F-88C2-4EFB-BDED-096E637CF16F}"/>
    <cellStyle name="Migliaia 23 6 3 3" xfId="37741" xr:uid="{B3BC8C4C-89D7-4D1D-B969-BD4BCDCEAB61}"/>
    <cellStyle name="Migliaia 23 6 3 4" xfId="43043" xr:uid="{3B20445B-2B8B-49AC-AD8C-8F5C99F2C395}"/>
    <cellStyle name="Migliaia 23 6 3 5" xfId="9674" xr:uid="{62E95FEF-EFC2-45CB-BD92-06DA0DAB2AA8}"/>
    <cellStyle name="Migliaia 23 6 4" xfId="20155" xr:uid="{C41B4A6B-ADF3-4CED-BE59-E6F69E48D760}"/>
    <cellStyle name="Migliaia 23 6 4 2" xfId="38929" xr:uid="{B839E9F2-8C05-4F8F-9B01-0F038025CB75}"/>
    <cellStyle name="Migliaia 23 6 4 3" xfId="44231" xr:uid="{0953429D-23F2-435E-8E2E-B9605F2B2DAA}"/>
    <cellStyle name="Migliaia 23 6 4 4" xfId="33489" xr:uid="{F4A900F3-20FB-4ED6-8892-DF189C6052C8}"/>
    <cellStyle name="Migliaia 23 6 5" xfId="36408" xr:uid="{755FE988-B689-47E6-A70F-60A46ED76F79}"/>
    <cellStyle name="Migliaia 23 6 6" xfId="41580" xr:uid="{782E7A3D-668D-4430-8C0F-1B65C19DDFD8}"/>
    <cellStyle name="Migliaia 23 6 7" xfId="16247" xr:uid="{6CB350E5-26EF-4DDE-911A-5330F15CCD8C}"/>
    <cellStyle name="Migliaia 23 6 8" xfId="7380" xr:uid="{2708C824-DF99-4D22-A983-1A82DCE8C393}"/>
    <cellStyle name="Migliaia 23 7" xfId="3358" xr:uid="{F8C53622-E09F-4C33-A5EC-0BCC1861F78F}"/>
    <cellStyle name="Migliaia 23 7 2" xfId="5084" xr:uid="{0D08A2AB-E076-4937-8C4E-AB6A6BC7F666}"/>
    <cellStyle name="Migliaia 23 7 2 2" xfId="35233" xr:uid="{F73ACDBC-8427-475A-AD4E-985905ED2E08}"/>
    <cellStyle name="Migliaia 23 7 2 2 2" xfId="40393" xr:uid="{22A90F8E-0999-4225-9CB4-85BE417EA0FC}"/>
    <cellStyle name="Migliaia 23 7 2 2 3" xfId="45695" xr:uid="{F0E19E3A-1C6F-4A2C-94F5-BC36AD8B2982}"/>
    <cellStyle name="Migliaia 23 7 2 3" xfId="37742" xr:uid="{E2117C41-A3FC-4C6A-9044-C23555B12C15}"/>
    <cellStyle name="Migliaia 23 7 2 4" xfId="43044" xr:uid="{C6B17B93-0FC6-47A5-BEAB-9D43AB9BE719}"/>
    <cellStyle name="Migliaia 23 7 2 5" xfId="14224" xr:uid="{665961DB-9757-426B-A9A5-7334887BA250}"/>
    <cellStyle name="Migliaia 23 7 3" xfId="6292" xr:uid="{FA55DAB8-B3C4-430A-BA7D-85747A204216}"/>
    <cellStyle name="Migliaia 23 7 3 2" xfId="38930" xr:uid="{0153AD19-B29A-4050-AE40-898350C18F62}"/>
    <cellStyle name="Migliaia 23 7 3 3" xfId="44232" xr:uid="{225F4A90-0590-4AF3-B016-151F4AD57F88}"/>
    <cellStyle name="Migliaia 23 7 3 4" xfId="33490" xr:uid="{245CC0F4-953D-48D3-B174-F63E7EB1C00D}"/>
    <cellStyle name="Migliaia 23 7 3 5" xfId="20157" xr:uid="{D998BF1A-CDDB-4D0B-8EF3-4806D278CB95}"/>
    <cellStyle name="Migliaia 23 7 4" xfId="36409" xr:uid="{A8969DAC-0AC9-45F7-BF2C-3F02431A8EE4}"/>
    <cellStyle name="Migliaia 23 7 5" xfId="41581" xr:uid="{88D84FF6-0653-4AA9-897E-2F8A3E68C58F}"/>
    <cellStyle name="Migliaia 23 7 6" xfId="16249" xr:uid="{D396DECE-B03D-4FDF-A367-92AF29172BF3}"/>
    <cellStyle name="Migliaia 23 7 7" xfId="8286" xr:uid="{B77695A5-C96D-48D1-B594-D7F0D96C4241}"/>
    <cellStyle name="Migliaia 23 8" xfId="3359" xr:uid="{DE1DED74-167C-4376-AF42-E09C5DD16271}"/>
    <cellStyle name="Migliaia 23 8 2" xfId="5085" xr:uid="{A78563D9-45B1-4773-8F92-1C21CB322B20}"/>
    <cellStyle name="Migliaia 23 8 2 2" xfId="35234" xr:uid="{08D624A0-3437-4AD1-9E60-058252EC3D80}"/>
    <cellStyle name="Migliaia 23 8 2 2 2" xfId="40394" xr:uid="{F74364A9-E538-407C-908C-16759BDB4EFB}"/>
    <cellStyle name="Migliaia 23 8 2 2 3" xfId="45696" xr:uid="{15828F6C-E2B9-4A7D-8672-7A691E233D12}"/>
    <cellStyle name="Migliaia 23 8 2 3" xfId="37743" xr:uid="{7D150E8A-D59A-4946-A31E-317A96958866}"/>
    <cellStyle name="Migliaia 23 8 2 4" xfId="43045" xr:uid="{A1923263-329D-4342-9554-0BDD875615A9}"/>
    <cellStyle name="Migliaia 23 8 2 5" xfId="13929" xr:uid="{E2AB1D06-171D-423C-813D-0D697538E524}"/>
    <cellStyle name="Migliaia 23 8 3" xfId="6293" xr:uid="{8B487B41-6B61-4E93-9245-109C672348E3}"/>
    <cellStyle name="Migliaia 23 8 3 2" xfId="38931" xr:uid="{0B59FA1F-4B48-434B-8E64-26DD9137EE5A}"/>
    <cellStyle name="Migliaia 23 8 3 3" xfId="44233" xr:uid="{EBC21A7D-8306-4BEF-9DF6-69253A007F2F}"/>
    <cellStyle name="Migliaia 23 8 3 4" xfId="33491" xr:uid="{FECB6C98-E8E1-428D-A50A-D101F5B85890}"/>
    <cellStyle name="Migliaia 23 8 3 5" xfId="20158" xr:uid="{03C128AB-A2F6-4A25-B9B8-90A4F0DEC285}"/>
    <cellStyle name="Migliaia 23 8 4" xfId="36410" xr:uid="{2F2A2A7B-D821-410D-A306-33AFD99D5554}"/>
    <cellStyle name="Migliaia 23 8 5" xfId="41582" xr:uid="{3820949C-992F-4002-8C96-A1FF4D5C50E5}"/>
    <cellStyle name="Migliaia 23 8 6" xfId="16250" xr:uid="{E134AE8C-3CB3-43FD-9402-D3CA9EDC0D86}"/>
    <cellStyle name="Migliaia 23 8 7" xfId="7882" xr:uid="{D31ECE9B-5228-416A-B49F-AA15B3AFCCDE}"/>
    <cellStyle name="Migliaia 23 9" xfId="5070" xr:uid="{D83F71BE-7ED3-4194-AACA-6328BEEB6A9C}"/>
    <cellStyle name="Migliaia 23 9 2" xfId="33492" xr:uid="{31059A72-C6EC-4948-969E-6EC49AA9E83D}"/>
    <cellStyle name="Migliaia 23 9 2 2" xfId="38932" xr:uid="{71E51032-150B-4C32-B949-189DA2B0EB49}"/>
    <cellStyle name="Migliaia 23 9 2 3" xfId="44234" xr:uid="{89D3ED25-1D35-4C34-A58D-27101711F92B}"/>
    <cellStyle name="Migliaia 23 9 3" xfId="36411" xr:uid="{93686BE3-14FD-4A8B-9EE2-A1E8C89C800F}"/>
    <cellStyle name="Migliaia 23 9 4" xfId="41583" xr:uid="{35883EAD-B2DE-4E04-A68B-18C8E07B178F}"/>
    <cellStyle name="Migliaia 23 9 5" xfId="17165" xr:uid="{751092B1-4818-435C-B51D-2E5AD95CA486}"/>
    <cellStyle name="Migliaia 24" xfId="365" xr:uid="{00000000-0005-0000-0000-00004F030000}"/>
    <cellStyle name="Migliaia 24 10" xfId="6294" xr:uid="{804172B7-7DA0-4511-8B35-64DE385C4D32}"/>
    <cellStyle name="Migliaia 24 10 2" xfId="38933" xr:uid="{C07EBB81-439F-43F8-833C-33591591B42B}"/>
    <cellStyle name="Migliaia 24 10 3" xfId="44235" xr:uid="{1E1A1CBC-226E-407F-BE2C-41A244051598}"/>
    <cellStyle name="Migliaia 24 10 4" xfId="33493" xr:uid="{BAA50BB9-63E8-46E7-BC95-C2AA69ED9F7E}"/>
    <cellStyle name="Migliaia 24 10 5" xfId="20159" xr:uid="{C1C97AA9-CA0A-4548-8255-3E714DE23E44}"/>
    <cellStyle name="Migliaia 24 11" xfId="3360" xr:uid="{6300AF5C-E8B2-41E5-AE04-F58A29367E02}"/>
    <cellStyle name="Migliaia 24 11 2" xfId="36412" xr:uid="{132BEC8D-B454-4800-9AC8-102F0ECB6040}"/>
    <cellStyle name="Migliaia 24 12" xfId="41584" xr:uid="{0A921E70-F539-4F36-AD5E-9FB232266BB2}"/>
    <cellStyle name="Migliaia 24 13" xfId="7090" xr:uid="{48D3051A-B32E-4414-A54C-266046FEBD4A}"/>
    <cellStyle name="Migliaia 24 2" xfId="366" xr:uid="{00000000-0005-0000-0000-000050030000}"/>
    <cellStyle name="Migliaia 24 2 2" xfId="1736" xr:uid="{00000000-0005-0000-0000-000051030000}"/>
    <cellStyle name="Migliaia 24 2 2 2" xfId="5088" xr:uid="{8CA8A00D-DCD1-4392-BCF9-E999551FEA80}"/>
    <cellStyle name="Migliaia 24 2 2 2 2" xfId="14379" xr:uid="{89DC1057-5541-40AA-A35B-E893E68430C2}"/>
    <cellStyle name="Migliaia 24 2 2 2 2 2" xfId="38934" xr:uid="{62AF1562-5951-400B-B860-9E5631C91FFB}"/>
    <cellStyle name="Migliaia 24 2 2 2 2 3" xfId="44236" xr:uid="{13A54176-4FC1-4B33-AF0C-B7F1FBFA87BD}"/>
    <cellStyle name="Migliaia 24 2 2 2 3" xfId="18410" xr:uid="{591F406B-5B41-436B-AEC4-1DA18FB1CCDA}"/>
    <cellStyle name="Migliaia 24 2 2 2 4" xfId="20162" xr:uid="{AA21A63A-B7EA-4AAC-98A2-5D5494EC6969}"/>
    <cellStyle name="Migliaia 24 2 2 2 4 2" xfId="41585" xr:uid="{4687BF42-6BF3-4147-BCA9-B266E89D2885}"/>
    <cellStyle name="Migliaia 24 2 2 2 5" xfId="16251" xr:uid="{98489AA4-DB16-404F-88A6-90C5003E1A63}"/>
    <cellStyle name="Migliaia 24 2 2 2 6" xfId="8577" xr:uid="{BAA01424-45D8-4AEC-80D5-EBF004862034}"/>
    <cellStyle name="Migliaia 24 2 2 3" xfId="6296" xr:uid="{16D2A3D6-30A6-48E1-A62A-05166B03D3D5}"/>
    <cellStyle name="Migliaia 24 2 2 3 2" xfId="35235" xr:uid="{1B3383F1-478D-47F3-80FC-5534418C3A69}"/>
    <cellStyle name="Migliaia 24 2 2 3 2 2" xfId="40395" xr:uid="{BE245422-2393-4ED4-AF28-03D55060DA5C}"/>
    <cellStyle name="Migliaia 24 2 2 3 2 3" xfId="45697" xr:uid="{ADC584CE-62C6-45AD-8F2B-913709BD9484}"/>
    <cellStyle name="Migliaia 24 2 2 3 3" xfId="37744" xr:uid="{8A772720-35B4-4527-A611-B50BE5B41F87}"/>
    <cellStyle name="Migliaia 24 2 2 3 4" xfId="43046" xr:uid="{437266A1-0B92-47FE-8DDA-2A733D345AFB}"/>
    <cellStyle name="Migliaia 24 2 2 3 5" xfId="11606" xr:uid="{CB6BEC60-1A47-4400-93E6-C476CE26FDF6}"/>
    <cellStyle name="Migliaia 24 2 2 4" xfId="3362" xr:uid="{DA8B609C-D394-4CEC-A1A6-CA9EFD0E6BB4}"/>
    <cellStyle name="Migliaia 24 2 2 4 2" xfId="21448" xr:uid="{B613A379-A1F5-445B-90AB-2E8212E6B205}"/>
    <cellStyle name="Migliaia 24 2 2 4 3" xfId="37524" xr:uid="{DA816861-5B91-4856-97F6-70586D0326C7}"/>
    <cellStyle name="Migliaia 24 2 2 4 4" xfId="50463" xr:uid="{D7BBC778-985C-4EA5-A9BC-FEF7F0A7012B}"/>
    <cellStyle name="Migliaia 24 2 2 4 5" xfId="53479" xr:uid="{5B8AC1F4-272F-4BB6-8147-E46647DA63FF}"/>
    <cellStyle name="Migliaia 24 2 2 4 6" xfId="10813" xr:uid="{AEF29D5B-917E-4BEE-9AC1-157A077CC581}"/>
    <cellStyle name="Migliaia 24 2 2 5" xfId="20161" xr:uid="{786B930B-5F33-498A-B90A-24D8BC0581A4}"/>
    <cellStyle name="Migliaia 24 2 2 6" xfId="24555" xr:uid="{B77D0BC2-0594-4B8C-8BD9-B94E57DA985D}"/>
    <cellStyle name="Migliaia 24 2 2 7" xfId="7387" xr:uid="{653F9000-0486-483E-8558-5F29895B6C74}"/>
    <cellStyle name="Migliaia 24 2 3" xfId="3363" xr:uid="{00DDCB34-F2D0-4679-94BD-AD5A17FE11AB}"/>
    <cellStyle name="Migliaia 24 2 3 2" xfId="5089" xr:uid="{D7E05CD6-1A5E-4135-9BC3-F5D310774F39}"/>
    <cellStyle name="Migliaia 24 2 3 2 2" xfId="35236" xr:uid="{E8DDA9F0-E291-47C1-BBF9-AF8C471A138D}"/>
    <cellStyle name="Migliaia 24 2 3 2 2 2" xfId="40396" xr:uid="{878E958D-3D87-4723-8B26-55FC5D940B31}"/>
    <cellStyle name="Migliaia 24 2 3 2 2 3" xfId="45698" xr:uid="{D59CC6B1-F167-4DC6-8505-6AA0162BA2BB}"/>
    <cellStyle name="Migliaia 24 2 3 2 3" xfId="37745" xr:uid="{3DEBA8F8-8791-41BA-AFAA-F5C1D246BE9C}"/>
    <cellStyle name="Migliaia 24 2 3 2 4" xfId="43047" xr:uid="{34987C71-E7D7-44C6-A713-BB6E39D8B356}"/>
    <cellStyle name="Migliaia 24 2 3 2 5" xfId="14228" xr:uid="{4BB698CC-22AB-4384-B72A-C17E19611336}"/>
    <cellStyle name="Migliaia 24 2 3 3" xfId="6297" xr:uid="{BD56904A-EFA2-411B-B801-EA9B4310EC20}"/>
    <cellStyle name="Migliaia 24 2 3 3 2" xfId="38935" xr:uid="{959D3AE4-41A5-4DD4-BA56-3A31056B597F}"/>
    <cellStyle name="Migliaia 24 2 3 3 3" xfId="44237" xr:uid="{CC8BB397-D0DF-4A63-8E43-D83547E74EA3}"/>
    <cellStyle name="Migliaia 24 2 3 3 4" xfId="33494" xr:uid="{ABD43C33-8802-48E2-AD93-B5E627967180}"/>
    <cellStyle name="Migliaia 24 2 3 3 5" xfId="20163" xr:uid="{B417CA49-1E60-4B24-85A2-23BE2B1ED4C5}"/>
    <cellStyle name="Migliaia 24 2 3 4" xfId="36413" xr:uid="{4D013083-E12C-4851-A6B6-046D247DB698}"/>
    <cellStyle name="Migliaia 24 2 3 5" xfId="41586" xr:uid="{A488F537-3C7E-4CD7-B874-13E5A9136F81}"/>
    <cellStyle name="Migliaia 24 2 3 6" xfId="16252" xr:uid="{2D1C70FD-46B9-48AB-AB92-01E34FC4AA0A}"/>
    <cellStyle name="Migliaia 24 2 3 7" xfId="8290" xr:uid="{C47D5470-DD08-4398-A2AA-616FA6711BC3}"/>
    <cellStyle name="Migliaia 24 2 4" xfId="5087" xr:uid="{9E46BDC2-95E8-4E85-B623-F157160B3E50}"/>
    <cellStyle name="Migliaia 24 2 4 2" xfId="13933" xr:uid="{CE0C881B-6EBE-48D3-A85F-3FF0FA1817E3}"/>
    <cellStyle name="Migliaia 24 2 4 2 2" xfId="38936" xr:uid="{3593BE71-F381-4283-B43B-A0A700D28F82}"/>
    <cellStyle name="Migliaia 24 2 4 2 3" xfId="44238" xr:uid="{5913DEFE-FEB9-4AC3-A727-F983B9FB9FBA}"/>
    <cellStyle name="Migliaia 24 2 4 3" xfId="18618" xr:uid="{6BDAE04C-C3E3-4D23-9A7B-1E4255B0195D}"/>
    <cellStyle name="Migliaia 24 2 4 4" xfId="20164" xr:uid="{8F1D5F5E-5C06-4F10-9983-FEAAB445443D}"/>
    <cellStyle name="Migliaia 24 2 4 4 2" xfId="41587" xr:uid="{69828757-5910-4CD0-BB1B-83AB7482B38C}"/>
    <cellStyle name="Migliaia 24 2 4 5" xfId="16253" xr:uid="{7505667D-CFBF-45AC-8D39-758E77FD4545}"/>
    <cellStyle name="Migliaia 24 2 4 6" xfId="7887" xr:uid="{90437CF6-F9B5-4DC1-889B-9EE2E8F7175E}"/>
    <cellStyle name="Migliaia 24 2 5" xfId="6295" xr:uid="{5FEC5F60-CAF7-4022-AEC9-B1618A45CFFC}"/>
    <cellStyle name="Migliaia 24 2 5 2" xfId="33495" xr:uid="{2258244B-1298-4168-962F-6740DB4D4FA8}"/>
    <cellStyle name="Migliaia 24 2 5 2 2" xfId="38937" xr:uid="{E44BC480-A027-4BC4-B53D-B03D9EC3EC4A}"/>
    <cellStyle name="Migliaia 24 2 5 2 3" xfId="44239" xr:uid="{7FC051B1-971B-4DB2-8D2A-B94FD240041F}"/>
    <cellStyle name="Migliaia 24 2 5 3" xfId="36414" xr:uid="{C20EAAC3-A6CE-4F18-B599-21072C63D051}"/>
    <cellStyle name="Migliaia 24 2 5 4" xfId="41588" xr:uid="{62BBA7AE-A57F-4AF7-A2F9-7F218966D2C5}"/>
    <cellStyle name="Migliaia 24 2 5 5" xfId="13119" xr:uid="{C0857B33-3ED4-4DBB-8BE2-E3D6C268F462}"/>
    <cellStyle name="Migliaia 24 2 6" xfId="3361" xr:uid="{F813B574-F5C8-4103-9EF0-94D495765F4E}"/>
    <cellStyle name="Migliaia 24 2 6 2" xfId="33496" xr:uid="{C1F96C3B-C4D2-4119-8323-E10BB3D3F45C}"/>
    <cellStyle name="Migliaia 24 2 6 2 2" xfId="38938" xr:uid="{2D5104B6-A517-4CD0-A037-66939FE43E68}"/>
    <cellStyle name="Migliaia 24 2 6 2 3" xfId="44240" xr:uid="{F1ED8593-BBD9-433F-A262-B8C8152C9F7F}"/>
    <cellStyle name="Migliaia 24 2 6 3" xfId="36415" xr:uid="{571ADCFB-C11A-4C5F-8489-590FA6F3CDAE}"/>
    <cellStyle name="Migliaia 24 2 6 4" xfId="41589" xr:uid="{11C363F9-842B-4C46-8D95-C6CE495199FD}"/>
    <cellStyle name="Migliaia 24 2 6 5" xfId="24556" xr:uid="{E6C69DAB-4485-470E-87E0-68F16D9E222C}"/>
    <cellStyle name="Migliaia 24 2 6 6" xfId="20160" xr:uid="{D4720FF1-BD13-4ADD-BF6F-5F39256E2C07}"/>
    <cellStyle name="Migliaia 24 2 7" xfId="24554" xr:uid="{EF0958FE-E4F0-428C-90C0-2FBDEDAF0027}"/>
    <cellStyle name="Migliaia 24 2 8" xfId="7091" xr:uid="{E44B6167-F479-4832-B682-3C9541849F0B}"/>
    <cellStyle name="Migliaia 24 3" xfId="367" xr:uid="{00000000-0005-0000-0000-000052030000}"/>
    <cellStyle name="Migliaia 24 3 10" xfId="24557" xr:uid="{CA982F79-C575-4A13-94CC-7F526C149897}"/>
    <cellStyle name="Migliaia 24 3 11" xfId="16254" xr:uid="{9F67CA68-0AD7-4AF3-ABAE-62FCEC3C3664}"/>
    <cellStyle name="Migliaia 24 3 12" xfId="7092" xr:uid="{109E2E25-E6EF-4EFF-A4D3-D5728CD93592}"/>
    <cellStyle name="Migliaia 24 3 2" xfId="368" xr:uid="{00000000-0005-0000-0000-000053030000}"/>
    <cellStyle name="Migliaia 24 3 2 2" xfId="1737" xr:uid="{00000000-0005-0000-0000-000054030000}"/>
    <cellStyle name="Migliaia 24 3 2 2 2" xfId="5092" xr:uid="{5C547C73-7BAA-4DA2-A19E-A4C5582F48B2}"/>
    <cellStyle name="Migliaia 24 3 2 2 2 2" xfId="18411" xr:uid="{1543B144-DA31-4359-9132-4090FFDBA356}"/>
    <cellStyle name="Migliaia 24 3 2 2 2 2 2" xfId="21857" xr:uid="{61CDDB78-881F-4AE4-B75E-EEC260647FC5}"/>
    <cellStyle name="Migliaia 24 3 2 2 2 2 2 2" xfId="38939" xr:uid="{740553F8-E272-4884-B386-7C71C6798F78}"/>
    <cellStyle name="Migliaia 24 3 2 2 2 2 3" xfId="44241" xr:uid="{E080BAF5-9C30-4718-A5D6-98CDAE3BDF61}"/>
    <cellStyle name="Migliaia 24 3 2 2 2 2 4" xfId="33497" xr:uid="{E833FFCC-8CF7-47C2-9A25-216929BE862B}"/>
    <cellStyle name="Migliaia 24 3 2 2 2 3" xfId="36416" xr:uid="{ECD7AA6F-67D4-42E6-80A4-A95CC56E0A08}"/>
    <cellStyle name="Migliaia 24 3 2 2 2 4" xfId="41590" xr:uid="{29E94EE5-1F67-4FFB-9F4C-FC46B75EAB1E}"/>
    <cellStyle name="Migliaia 24 3 2 2 2 5" xfId="46301" xr:uid="{41DC48C5-9277-47D7-B109-54D26D623299}"/>
    <cellStyle name="Migliaia 24 3 2 2 2 6" xfId="50885" xr:uid="{DE7AB520-CD9C-4B07-98B5-502781E3DA08}"/>
    <cellStyle name="Migliaia 24 3 2 2 2 7" xfId="53901" xr:uid="{19FF5B37-B00D-4352-8EA2-E9DC5104CF1A}"/>
    <cellStyle name="Migliaia 24 3 2 2 2 8" xfId="17654" xr:uid="{584F528F-2E1F-40C0-9B95-DFE5E74550A4}"/>
    <cellStyle name="Migliaia 24 3 2 2 2 9" xfId="11951" xr:uid="{AC1849A7-3470-4EF0-990F-B7822B73D062}"/>
    <cellStyle name="Migliaia 24 3 2 2 3" xfId="6300" xr:uid="{39E957C0-725D-4A54-AB31-25C406BF948C}"/>
    <cellStyle name="Migliaia 24 3 2 2 3 2" xfId="11673" xr:uid="{2A3BEDDC-7A06-4EFB-9FE2-7B56FF62D362}"/>
    <cellStyle name="Migliaia 24 3 2 2 4" xfId="3366" xr:uid="{E1CB6B32-815A-43FE-8ED7-751AFC81F853}"/>
    <cellStyle name="Migliaia 24 3 2 2 4 2" xfId="21449" xr:uid="{1B90CC0D-34F0-4C0E-9192-5F13F02FD661}"/>
    <cellStyle name="Migliaia 24 3 2 2 4 3" xfId="47042" xr:uid="{E03AC752-5BB2-4898-98BF-3F12D513C98D}"/>
    <cellStyle name="Migliaia 24 3 2 2 4 4" xfId="50464" xr:uid="{E48B0457-90C2-45D5-9E30-37ED20812FBF}"/>
    <cellStyle name="Migliaia 24 3 2 2 4 5" xfId="53480" xr:uid="{0930FE1F-9C92-4964-AFEC-C68BC939777F}"/>
    <cellStyle name="Migliaia 24 3 2 2 4 6" xfId="10814" xr:uid="{1FA60B98-3C66-46C2-86F4-97EBFFDC5CBF}"/>
    <cellStyle name="Migliaia 24 3 2 2 5" xfId="20167" xr:uid="{18354F6C-B69A-4C47-A01E-2F7EB8EFF04B}"/>
    <cellStyle name="Migliaia 24 3 2 2 6" xfId="24559" xr:uid="{E6717D38-4BA5-49CE-88B6-A859247194B0}"/>
    <cellStyle name="Migliaia 24 3 2 2 7" xfId="8579" xr:uid="{34D7AAB7-55EE-4F6C-8230-21A484691895}"/>
    <cellStyle name="Migliaia 24 3 2 3" xfId="5091" xr:uid="{DC4CBF6D-6A15-4FA2-9061-022DC1269AFA}"/>
    <cellStyle name="Migliaia 24 3 2 3 2" xfId="12416" xr:uid="{2E49C118-F8F5-4F12-9C10-691C101A9AA0}"/>
    <cellStyle name="Migliaia 24 3 2 3 2 2" xfId="38940" xr:uid="{6B9942F7-65F9-4C62-B70A-9C087304A82B}"/>
    <cellStyle name="Migliaia 24 3 2 3 2 3" xfId="44242" xr:uid="{2EDFD88F-031D-4A16-9361-CDB34C9318C0}"/>
    <cellStyle name="Migliaia 24 3 2 3 2 4" xfId="33498" xr:uid="{D3DD24EE-AD70-4FB7-8D6C-45F78E8D57C0}"/>
    <cellStyle name="Migliaia 24 3 2 3 3" xfId="11952" xr:uid="{D638A02C-38E7-42E0-889F-FA613AE3A092}"/>
    <cellStyle name="Migliaia 24 3 2 3 4" xfId="20168" xr:uid="{2EF1AC21-0E67-4DC1-B62D-5A1EAFBA9E1B}"/>
    <cellStyle name="Migliaia 24 3 2 3 4 2" xfId="41591" xr:uid="{2F1FFA8D-26DB-4972-90F9-D92000A6DED8}"/>
    <cellStyle name="Migliaia 24 3 2 3 5" xfId="16255" xr:uid="{107C5E4F-4175-4AFA-9E56-93F906977FA5}"/>
    <cellStyle name="Migliaia 24 3 2 3 6" xfId="7889" xr:uid="{F901D794-2A44-4E1B-A092-A023C417E2E5}"/>
    <cellStyle name="Migliaia 24 3 2 4" xfId="6299" xr:uid="{91BF71F5-CBAF-432F-98C9-08118ABE273D}"/>
    <cellStyle name="Migliaia 24 3 2 4 2" xfId="18073" xr:uid="{70D56CA2-BDF4-488E-823E-09A19C002502}"/>
    <cellStyle name="Migliaia 24 3 2 4 2 2" xfId="38941" xr:uid="{1C7CBD9E-A775-488E-B602-8C879200B8A1}"/>
    <cellStyle name="Migliaia 24 3 2 4 2 3" xfId="44243" xr:uid="{FE55F5E2-27B4-4C86-B4C7-91BB3E73B67D}"/>
    <cellStyle name="Migliaia 24 3 2 4 3" xfId="36417" xr:uid="{964D1323-DBE5-43C2-B765-FBA4C8A71FFB}"/>
    <cellStyle name="Migliaia 24 3 2 4 4" xfId="41592" xr:uid="{7BE12F8D-CC87-47AE-9CF5-F37A0D3C5DD3}"/>
    <cellStyle name="Migliaia 24 3 2 4 5" xfId="17168" xr:uid="{DFEA36B4-09FA-4965-BE02-6564E11760CB}"/>
    <cellStyle name="Migliaia 24 3 2 4 6" xfId="11300" xr:uid="{A5DBC939-339D-4CE4-BA13-A2820C927918}"/>
    <cellStyle name="Migliaia 24 3 2 5" xfId="3365" xr:uid="{EB69BF82-0E63-44EA-9762-FE189CE16B02}"/>
    <cellStyle name="Migliaia 24 3 2 5 2" xfId="33499" xr:uid="{CCB168BF-A0F8-43D1-B5DD-A46CAD232E07}"/>
    <cellStyle name="Migliaia 24 3 2 5 2 2" xfId="38942" xr:uid="{4771A827-D886-4637-91A8-5691468B9BEC}"/>
    <cellStyle name="Migliaia 24 3 2 5 2 3" xfId="44244" xr:uid="{60FAF889-6E4D-47DB-B5DF-E787F20D92B0}"/>
    <cellStyle name="Migliaia 24 3 2 5 3" xfId="36418" xr:uid="{C8C86FAC-945A-4DFB-BFCE-E66300DFFEE7}"/>
    <cellStyle name="Migliaia 24 3 2 5 4" xfId="41593" xr:uid="{02A38238-803D-4DED-A580-D9CC0B33B8B5}"/>
    <cellStyle name="Migliaia 24 3 2 5 5" xfId="17378" xr:uid="{7FBF97E0-3D9C-4FE9-91B8-5E992A7CF5AA}"/>
    <cellStyle name="Migliaia 24 3 2 6" xfId="20166" xr:uid="{06FD4F81-5FA0-4347-A62D-4E4DCF56A6BD}"/>
    <cellStyle name="Migliaia 24 3 2 6 2" xfId="33500" xr:uid="{3809AD6C-8158-46CB-A3EE-B9A8499E55CE}"/>
    <cellStyle name="Migliaia 24 3 2 6 2 2" xfId="38943" xr:uid="{DE8E8CF6-4831-49BD-909E-519550ADF5F0}"/>
    <cellStyle name="Migliaia 24 3 2 6 2 3" xfId="44245" xr:uid="{CCAE0301-7417-41A1-AF67-8487C61E20F6}"/>
    <cellStyle name="Migliaia 24 3 2 6 3" xfId="36419" xr:uid="{8999FF5E-7224-4777-812C-B18987E6EEC1}"/>
    <cellStyle name="Migliaia 24 3 2 6 4" xfId="41594" xr:uid="{E62E0C56-E968-4C0F-8143-2B70B47A850E}"/>
    <cellStyle name="Migliaia 24 3 2 6 5" xfId="24560" xr:uid="{C69F17F4-DF0E-4949-8162-2E49E5C57A1C}"/>
    <cellStyle name="Migliaia 24 3 2 7" xfId="24558" xr:uid="{6578B36B-EA03-405E-A5F8-857ECC842E58}"/>
    <cellStyle name="Migliaia 24 3 2 8" xfId="7389" xr:uid="{7A919875-4DC7-464E-9683-57E18C522109}"/>
    <cellStyle name="Migliaia 24 3 3" xfId="3367" xr:uid="{5080D7CB-DC55-42CD-891C-084F41F6BAB7}"/>
    <cellStyle name="Migliaia 24 3 3 10" xfId="7388" xr:uid="{39FC4D7F-571A-4700-BC85-4D2266FAAFBD}"/>
    <cellStyle name="Migliaia 24 3 3 2" xfId="5093" xr:uid="{DBBDB7FF-D1EC-4EF9-A1A2-F754098ABDB3}"/>
    <cellStyle name="Migliaia 24 3 3 2 2" xfId="9914" xr:uid="{BF582176-05D3-4EE9-ACCB-D12978124382}"/>
    <cellStyle name="Migliaia 24 3 3 2 2 2" xfId="38945" xr:uid="{7485B303-3124-4E3F-930F-8D50D1ACB0D1}"/>
    <cellStyle name="Migliaia 24 3 3 2 2 3" xfId="44247" xr:uid="{C478E30B-6836-42C9-9854-2145C34DEA06}"/>
    <cellStyle name="Migliaia 24 3 3 2 3" xfId="18194" xr:uid="{3B70E422-CF9C-474F-838A-E96786189CDF}"/>
    <cellStyle name="Migliaia 24 3 3 2 4" xfId="20170" xr:uid="{5936ECF2-CFE4-4D40-A146-A6395DF8995D}"/>
    <cellStyle name="Migliaia 24 3 3 2 4 2" xfId="41596" xr:uid="{F7CD7989-7F73-4963-863D-4CB3757B1268}"/>
    <cellStyle name="Migliaia 24 3 3 2 5" xfId="16257" xr:uid="{D72181E3-23DC-460C-962C-2A4C5308816D}"/>
    <cellStyle name="Migliaia 24 3 3 2 6" xfId="8578" xr:uid="{8E8C4ADC-8076-4B9E-9957-1A9A1E957685}"/>
    <cellStyle name="Migliaia 24 3 3 3" xfId="6301" xr:uid="{00E34DDA-B235-4423-9A24-4649321A08B5}"/>
    <cellStyle name="Migliaia 24 3 3 3 2" xfId="33502" xr:uid="{53CE48B7-1F95-4006-9416-7C8C10785450}"/>
    <cellStyle name="Migliaia 24 3 3 3 2 2" xfId="38946" xr:uid="{F1797AC4-4706-4570-A449-0CED8488F1DE}"/>
    <cellStyle name="Migliaia 24 3 3 3 2 3" xfId="44248" xr:uid="{13DB31C7-EE6A-4A6C-9B3C-0D6ACDC3EDE1}"/>
    <cellStyle name="Migliaia 24 3 3 3 3" xfId="36421" xr:uid="{CF928FBE-132F-4822-AEC1-562AFCC6BD70}"/>
    <cellStyle name="Migliaia 24 3 3 3 4" xfId="41597" xr:uid="{5E2B2230-AB83-40B3-A9CC-E429BF2A98D4}"/>
    <cellStyle name="Migliaia 24 3 3 3 5" xfId="9677" xr:uid="{DF244F4A-EBC1-4BBA-A57E-F6AED0E5B997}"/>
    <cellStyle name="Migliaia 24 3 3 4" xfId="20169" xr:uid="{150FF41C-3908-4A5B-95A7-B92860FDBD0B}"/>
    <cellStyle name="Migliaia 24 3 3 4 2" xfId="33503" xr:uid="{42E0E349-B045-4998-87BB-BE61E88508CA}"/>
    <cellStyle name="Migliaia 24 3 3 4 2 2" xfId="38947" xr:uid="{D29104BB-4CA0-48FA-85E8-C523C4DB2E2A}"/>
    <cellStyle name="Migliaia 24 3 3 4 2 3" xfId="44249" xr:uid="{FDE12FF4-B2F4-44F6-BD96-07ECB1CB0C08}"/>
    <cellStyle name="Migliaia 24 3 3 4 3" xfId="36422" xr:uid="{831A5647-C72A-47F1-BE1E-3739E4C956A3}"/>
    <cellStyle name="Migliaia 24 3 3 4 4" xfId="41598" xr:uid="{EAADE0D6-AB62-46B2-A00F-9F59D0DABFA4}"/>
    <cellStyle name="Migliaia 24 3 3 4 5" xfId="24561" xr:uid="{B64D0C84-03F5-433B-9B3F-EA02088E3EEB}"/>
    <cellStyle name="Migliaia 24 3 3 5" xfId="24562" xr:uid="{6EF9A295-7976-470D-A754-005CAB44D023}"/>
    <cellStyle name="Migliaia 24 3 3 5 2" xfId="33504" xr:uid="{54F3E16B-0AEB-49E4-B091-9C09EDB3206F}"/>
    <cellStyle name="Migliaia 24 3 3 5 2 2" xfId="38948" xr:uid="{7C72640D-AB65-47E8-9EA8-BAAFEDE438BD}"/>
    <cellStyle name="Migliaia 24 3 3 5 2 3" xfId="44250" xr:uid="{9798D2B8-4B29-419A-BC57-BB4F1A4C928D}"/>
    <cellStyle name="Migliaia 24 3 3 5 3" xfId="36423" xr:uid="{DFE4C316-F58D-49E8-A6EE-96FA1E62006E}"/>
    <cellStyle name="Migliaia 24 3 3 5 4" xfId="41599" xr:uid="{AED7C61C-9801-45DB-8F2D-42CDBEB10120}"/>
    <cellStyle name="Migliaia 24 3 3 6" xfId="33501" xr:uid="{EC267B39-F1AB-4E86-8341-E187D8013908}"/>
    <cellStyle name="Migliaia 24 3 3 6 2" xfId="38944" xr:uid="{E771CB15-6EDB-4950-8F52-B64F6CA289C0}"/>
    <cellStyle name="Migliaia 24 3 3 6 3" xfId="44246" xr:uid="{6F0F5E30-AFB7-4F56-A608-EC7C56EFE0D2}"/>
    <cellStyle name="Migliaia 24 3 3 7" xfId="36420" xr:uid="{3FAF5335-0ED1-439F-832C-132DC19CD105}"/>
    <cellStyle name="Migliaia 24 3 3 8" xfId="41595" xr:uid="{60E16F33-8CC5-488D-B0EF-CAA1F6751438}"/>
    <cellStyle name="Migliaia 24 3 3 9" xfId="16256" xr:uid="{460B7D96-D34C-46A7-9442-1438E3B6F96C}"/>
    <cellStyle name="Migliaia 24 3 4" xfId="3368" xr:uid="{69FA4E9E-9F66-40BB-8029-2AD9978FA728}"/>
    <cellStyle name="Migliaia 24 3 4 2" xfId="5094" xr:uid="{CAFC1F73-75AF-43D3-9E2A-B9D87C9C499F}"/>
    <cellStyle name="Migliaia 24 3 4 2 2" xfId="14439" xr:uid="{19ADDE76-9141-4F5E-AA30-0541A7EF977F}"/>
    <cellStyle name="Migliaia 24 3 4 2 3" xfId="18588" xr:uid="{B3445049-3F1F-450B-A52F-C85D0EDC2F5D}"/>
    <cellStyle name="Migliaia 24 3 4 2 4" xfId="20172" xr:uid="{68368BEE-4A13-4F46-9584-4449115F099B}"/>
    <cellStyle name="Migliaia 24 3 4 2 5" xfId="32347" xr:uid="{21BA9152-1DAD-4D2B-9002-CB58A5F09AEE}"/>
    <cellStyle name="Migliaia 24 3 4 2 6" xfId="16259" xr:uid="{1C3C4FFF-0001-4DEA-96F9-31C0FF7D62ED}"/>
    <cellStyle name="Migliaia 24 3 4 2 7" xfId="8862" xr:uid="{FAAC6ABB-92D4-441D-8EF5-DC1C2AFF34DE}"/>
    <cellStyle name="Migliaia 24 3 4 3" xfId="6302" xr:uid="{E809EBA2-44D0-4602-8451-F732832BCCF7}"/>
    <cellStyle name="Migliaia 24 3 4 3 2" xfId="35237" xr:uid="{D9994005-BD5D-4B5D-98FB-89985C7C2801}"/>
    <cellStyle name="Migliaia 24 3 4 3 2 2" xfId="40397" xr:uid="{FB0162B9-2EF5-45AD-B9FE-EE94293067CF}"/>
    <cellStyle name="Migliaia 24 3 4 3 2 3" xfId="45699" xr:uid="{091D3CF0-7154-42ED-AD43-50212BEFF526}"/>
    <cellStyle name="Migliaia 24 3 4 3 3" xfId="37746" xr:uid="{7776A0F3-589C-4C8B-9F94-EFC1941640C3}"/>
    <cellStyle name="Migliaia 24 3 4 3 4" xfId="43048" xr:uid="{289257AC-9B29-4ED8-AB64-4FB6B350B7A9}"/>
    <cellStyle name="Migliaia 24 3 4 3 5" xfId="13687" xr:uid="{23FBE108-AE64-4892-85F1-6402E2562495}"/>
    <cellStyle name="Migliaia 24 3 4 4" xfId="20171" xr:uid="{F49952E5-8222-4E15-AD04-740AB50B9A97}"/>
    <cellStyle name="Migliaia 24 3 4 4 2" xfId="38949" xr:uid="{8A865408-A53A-4979-8432-ADEB018DC3A7}"/>
    <cellStyle name="Migliaia 24 3 4 4 3" xfId="44251" xr:uid="{2BB4A405-8A1B-4ECE-8ABE-37557280F0A7}"/>
    <cellStyle name="Migliaia 24 3 4 4 4" xfId="33505" xr:uid="{994E23A8-3127-4A35-899E-BC53312F0F6F}"/>
    <cellStyle name="Migliaia 24 3 4 5" xfId="36424" xr:uid="{FD0BC3FE-6FFA-400D-9321-CCFDC3AA3D9C}"/>
    <cellStyle name="Migliaia 24 3 4 6" xfId="41600" xr:uid="{B576F88C-F960-445C-B608-1F0BB9DF82B5}"/>
    <cellStyle name="Migliaia 24 3 4 7" xfId="16258" xr:uid="{D4D9F791-AC12-4116-BC7F-16641ECF8A78}"/>
    <cellStyle name="Migliaia 24 3 4 8" xfId="7672" xr:uid="{C1EB15C3-2806-45E8-AA2E-172186BF7D10}"/>
    <cellStyle name="Migliaia 24 3 5" xfId="3369" xr:uid="{F362443F-12C6-4175-BB5F-46439D7850E8}"/>
    <cellStyle name="Migliaia 24 3 5 2" xfId="5095" xr:uid="{02CE5BEC-58E4-4B6B-BD08-2DBB87C18838}"/>
    <cellStyle name="Migliaia 24 3 5 2 2" xfId="35238" xr:uid="{483C1295-FACE-44CE-A942-42DF4901C18B}"/>
    <cellStyle name="Migliaia 24 3 5 2 2 2" xfId="40398" xr:uid="{BF3C3723-2C29-4BD1-AB68-5FC697BD1D81}"/>
    <cellStyle name="Migliaia 24 3 5 2 2 3" xfId="45700" xr:uid="{14D70866-7A7C-4A18-8A64-720A8D6CD261}"/>
    <cellStyle name="Migliaia 24 3 5 2 3" xfId="37747" xr:uid="{6C4A28A8-F820-4FCE-A4D6-68FB6CD7916F}"/>
    <cellStyle name="Migliaia 24 3 5 2 4" xfId="43049" xr:uid="{E64C7CFB-F76F-4BEF-A917-FA71B9634AAC}"/>
    <cellStyle name="Migliaia 24 3 5 2 5" xfId="14229" xr:uid="{8D27ED0C-F8B7-4220-BD08-063837623240}"/>
    <cellStyle name="Migliaia 24 3 5 3" xfId="6303" xr:uid="{5397E758-4CEE-4BD1-95D4-A750A6A0BB99}"/>
    <cellStyle name="Migliaia 24 3 5 3 2" xfId="38950" xr:uid="{0DF4FCAE-469E-4BF8-B553-F8D1A94FB804}"/>
    <cellStyle name="Migliaia 24 3 5 3 3" xfId="44252" xr:uid="{2DDF9C8A-4AB9-4D76-8032-EE6768C18BFB}"/>
    <cellStyle name="Migliaia 24 3 5 3 4" xfId="33506" xr:uid="{3E052C36-3FDC-4090-8243-417299AF4B07}"/>
    <cellStyle name="Migliaia 24 3 5 3 5" xfId="20173" xr:uid="{52CFD061-502C-42F2-859C-563285CEDB54}"/>
    <cellStyle name="Migliaia 24 3 5 4" xfId="36425" xr:uid="{683144DA-9034-4D54-9FE7-0D029312531F}"/>
    <cellStyle name="Migliaia 24 3 5 5" xfId="41601" xr:uid="{0C6E5B66-6827-4C95-88F6-16E61F67C573}"/>
    <cellStyle name="Migliaia 24 3 5 6" xfId="16260" xr:uid="{5FDB352B-299E-4123-ABC4-FFB51EFFCB6E}"/>
    <cellStyle name="Migliaia 24 3 5 7" xfId="8291" xr:uid="{7E0739F3-651F-40A4-8B32-E161A85A96F9}"/>
    <cellStyle name="Migliaia 24 3 6" xfId="5090" xr:uid="{A45AD157-4B1F-469F-84CE-1FFF66ABE1DF}"/>
    <cellStyle name="Migliaia 24 3 6 2" xfId="13934" xr:uid="{E16FD8F7-CF47-412A-AA6F-0D81E51F87FD}"/>
    <cellStyle name="Migliaia 24 3 6 2 2" xfId="38951" xr:uid="{25761ECB-95B2-4FD2-B2AE-475CA7A41FE9}"/>
    <cellStyle name="Migliaia 24 3 6 2 3" xfId="44253" xr:uid="{281B7FCF-6FCE-4DED-BAA5-FBAE1273E642}"/>
    <cellStyle name="Migliaia 24 3 6 3" xfId="18017" xr:uid="{D694BF3C-5C75-4973-8629-D95777527E63}"/>
    <cellStyle name="Migliaia 24 3 6 4" xfId="20174" xr:uid="{5315E724-E4DD-4F09-89BB-CB9C5203FE68}"/>
    <cellStyle name="Migliaia 24 3 6 4 2" xfId="41602" xr:uid="{C493499A-8810-424C-85AB-615A7499D601}"/>
    <cellStyle name="Migliaia 24 3 6 5" xfId="16261" xr:uid="{61D98CB6-117A-42CE-BC19-40EAF80B00E4}"/>
    <cellStyle name="Migliaia 24 3 6 6" xfId="7888" xr:uid="{FF9C2630-1580-4A9B-A106-1F8CAF119E4D}"/>
    <cellStyle name="Migliaia 24 3 7" xfId="6298" xr:uid="{75187E9A-83D9-4BAD-A87F-87DA361FED76}"/>
    <cellStyle name="Migliaia 24 3 7 2" xfId="33507" xr:uid="{EA9BA37A-9980-49F7-A9BA-7DDE8C9A84F7}"/>
    <cellStyle name="Migliaia 24 3 7 2 2" xfId="38952" xr:uid="{AA9EBAE5-BFF7-4C41-B7FA-BDBF3F22B10D}"/>
    <cellStyle name="Migliaia 24 3 7 2 3" xfId="44254" xr:uid="{6FFA0E89-67A3-4189-8720-3F80B3050D3D}"/>
    <cellStyle name="Migliaia 24 3 7 3" xfId="36426" xr:uid="{B70A4FA2-BCC3-4B89-BCBA-843F24211A79}"/>
    <cellStyle name="Migliaia 24 3 7 4" xfId="41603" xr:uid="{82C6A6E9-1B0B-466E-92AC-810995C9317F}"/>
    <cellStyle name="Migliaia 24 3 7 5" xfId="12280" xr:uid="{291BF857-8E07-4ABA-9581-06E60ABD72C7}"/>
    <cellStyle name="Migliaia 24 3 8" xfId="3364" xr:uid="{32525DFB-9303-4830-839D-36B1027D9C80}"/>
    <cellStyle name="Migliaia 24 3 8 2" xfId="33508" xr:uid="{3D534D0C-3861-4FBD-8D87-CF11405EAABF}"/>
    <cellStyle name="Migliaia 24 3 8 2 2" xfId="38953" xr:uid="{BB59BEED-9FBB-4ECF-8AEC-0EBAA0439D88}"/>
    <cellStyle name="Migliaia 24 3 8 2 3" xfId="44255" xr:uid="{381281EA-05A1-49D3-A90F-712C4F10E8E4}"/>
    <cellStyle name="Migliaia 24 3 8 3" xfId="36427" xr:uid="{C59492A6-B59D-4269-97D8-EFE0D66BE668}"/>
    <cellStyle name="Migliaia 24 3 8 4" xfId="41604" xr:uid="{9D5620B2-E2BD-475E-AB3C-0AD228FF09C1}"/>
    <cellStyle name="Migliaia 24 3 8 5" xfId="24563" xr:uid="{5AFFFFCF-5095-49A3-871C-F658AD9871BD}"/>
    <cellStyle name="Migliaia 24 3 8 6" xfId="17379" xr:uid="{C3AA07BB-9C6D-47F7-AA25-B971CE847856}"/>
    <cellStyle name="Migliaia 24 3 9" xfId="20165" xr:uid="{59C4C65C-C58C-4610-98C5-47B27AB24FB2}"/>
    <cellStyle name="Migliaia 24 4" xfId="1738" xr:uid="{00000000-0005-0000-0000-000055030000}"/>
    <cellStyle name="Migliaia 24 4 2" xfId="1739" xr:uid="{00000000-0005-0000-0000-000056030000}"/>
    <cellStyle name="Migliaia 24 4 2 2" xfId="5097" xr:uid="{CFF64CEE-E5D3-459B-8783-CC5187D3EA82}"/>
    <cellStyle name="Migliaia 24 4 2 2 2" xfId="33509" xr:uid="{A54D9DE1-9435-42D0-9966-FF7C00179AF9}"/>
    <cellStyle name="Migliaia 24 4 2 2 2 2" xfId="38954" xr:uid="{B7BBC24A-DF3D-47F7-975D-D0E3F891A696}"/>
    <cellStyle name="Migliaia 24 4 2 2 2 3" xfId="44256" xr:uid="{FEEAD5E5-98FE-4BA6-B5AB-B888095CC72B}"/>
    <cellStyle name="Migliaia 24 4 2 2 3" xfId="36428" xr:uid="{E5AD0167-4106-4E1F-AC43-1F512C69B81D}"/>
    <cellStyle name="Migliaia 24 4 2 2 4" xfId="41605" xr:uid="{265A28C9-F3A6-4403-924B-4A72B4F67593}"/>
    <cellStyle name="Migliaia 24 4 2 2 5" xfId="9140" xr:uid="{703D285F-83A8-4F8E-AD6A-4B4381470508}"/>
    <cellStyle name="Migliaia 24 4 2 3" xfId="3371" xr:uid="{EDB00360-2F12-4585-AD67-48B5AC187662}"/>
    <cellStyle name="Migliaia 24 4 2 3 2" xfId="33510" xr:uid="{F557822C-D09D-40CD-8881-AA55CEE65FA0}"/>
    <cellStyle name="Migliaia 24 4 2 3 2 2" xfId="38955" xr:uid="{643CF57D-78F7-4205-BBF6-6364BDD126AD}"/>
    <cellStyle name="Migliaia 24 4 2 3 2 3" xfId="44257" xr:uid="{7DEF0F7B-BF48-4014-9F04-1EDB10B7310E}"/>
    <cellStyle name="Migliaia 24 4 2 3 3" xfId="36429" xr:uid="{C418DEB1-1A51-4344-8FEA-FDFD2353F23B}"/>
    <cellStyle name="Migliaia 24 4 2 3 4" xfId="41606" xr:uid="{C5F54FCD-8860-4248-AA78-17C9DE20B804}"/>
    <cellStyle name="Migliaia 24 4 2 3 5" xfId="11953" xr:uid="{DC613FBB-B95A-47F4-8070-F00D4819F472}"/>
    <cellStyle name="Migliaia 24 4 2 4" xfId="11302" xr:uid="{AA94757A-7CAC-4648-A797-9247123E6CA5}"/>
    <cellStyle name="Migliaia 24 4 2 5" xfId="10816" xr:uid="{FE13542D-D497-4D24-B5D5-D4609DB5ABE7}"/>
    <cellStyle name="Migliaia 24 4 2 5 2" xfId="21451" xr:uid="{7CEAA743-3BD2-4F08-93F4-593555186456}"/>
    <cellStyle name="Migliaia 24 4 2 5 3" xfId="47386" xr:uid="{EC6A30E0-14D7-4690-AA1D-2540AC98B585}"/>
    <cellStyle name="Migliaia 24 4 2 5 4" xfId="50466" xr:uid="{A06846AD-9489-4803-B672-366E90F07DF8}"/>
    <cellStyle name="Migliaia 24 4 2 5 5" xfId="53482" xr:uid="{AB0BD9FA-1DF5-4025-BB3F-FF0AEFAD07C3}"/>
    <cellStyle name="Migliaia 24 4 2 6" xfId="20176" xr:uid="{FCFF112A-AD90-49CB-B3B4-075971612FD3}"/>
    <cellStyle name="Migliaia 24 4 2 7" xfId="24565" xr:uid="{F0AA644F-8085-4806-8E3A-50F2B95A41EE}"/>
    <cellStyle name="Migliaia 24 4 2 8" xfId="8580" xr:uid="{B45105B3-0AA9-42C1-9C67-A7820903144D}"/>
    <cellStyle name="Migliaia 24 4 3" xfId="5096" xr:uid="{00DEA2FE-CC5F-42CD-849F-5D5A174EE1E6}"/>
    <cellStyle name="Migliaia 24 4 3 2" xfId="18195" xr:uid="{F0153962-E808-4643-B061-87CD8E8608A3}"/>
    <cellStyle name="Migliaia 24 4 3 2 2" xfId="38956" xr:uid="{0D37F394-ACA6-4D59-B796-6318D8C4ABD9}"/>
    <cellStyle name="Migliaia 24 4 3 2 3" xfId="44258" xr:uid="{F0CBF0FB-D6A9-485B-8D35-1CDDB9A5D126}"/>
    <cellStyle name="Migliaia 24 4 3 3" xfId="36430" xr:uid="{FA0A2E54-D1A2-4239-A897-969B7DA1D14B}"/>
    <cellStyle name="Migliaia 24 4 3 4" xfId="41607" xr:uid="{3BDBDF1B-5D79-45CE-9B4F-B4CEA1CECF62}"/>
    <cellStyle name="Migliaia 24 4 3 5" xfId="17377" xr:uid="{00425247-40D8-45BF-AAA6-8365814581B6}"/>
    <cellStyle name="Migliaia 24 4 3 6" xfId="9141" xr:uid="{E058D7D3-D8E0-4368-A3E7-AC37E978C24D}"/>
    <cellStyle name="Migliaia 24 4 4" xfId="6304" xr:uid="{94ED669E-EDE8-4613-806B-B8A4AFED2D1B}"/>
    <cellStyle name="Migliaia 24 4 4 2" xfId="33511" xr:uid="{365FFE34-53E6-4CF6-BED8-22419396CA2A}"/>
    <cellStyle name="Migliaia 24 4 4 2 2" xfId="38957" xr:uid="{68E796DD-7E75-45D9-BB09-B6FC04383294}"/>
    <cellStyle name="Migliaia 24 4 4 2 3" xfId="44259" xr:uid="{AC9C98B7-E8DB-4096-BFFA-82D92C07CECC}"/>
    <cellStyle name="Migliaia 24 4 4 3" xfId="36431" xr:uid="{7140E8C3-1C4E-4F5A-BDCF-9E1D88ED1B37}"/>
    <cellStyle name="Migliaia 24 4 4 4" xfId="41608" xr:uid="{F5B3D0A4-9F71-4DD4-94FD-1DCE15C49450}"/>
    <cellStyle name="Migliaia 24 4 4 5" xfId="11954" xr:uid="{3C4226D9-EACC-4BE8-BFD1-9C617120592A}"/>
    <cellStyle name="Migliaia 24 4 5" xfId="3370" xr:uid="{6019BAB4-8615-428F-864B-C5B30728FBE8}"/>
    <cellStyle name="Migliaia 24 4 5 2" xfId="33512" xr:uid="{F148E4DE-0BAC-48CD-8D8C-E9B797FFB845}"/>
    <cellStyle name="Migliaia 24 4 5 2 2" xfId="38958" xr:uid="{E157D036-40ED-4E6C-ACE3-6381434CA72C}"/>
    <cellStyle name="Migliaia 24 4 5 2 3" xfId="44260" xr:uid="{34B72D4B-7067-4F7F-A6C3-C5324D5296C9}"/>
    <cellStyle name="Migliaia 24 4 5 3" xfId="36432" xr:uid="{95F672BE-A916-4E2B-A3CE-EEDDB99DF276}"/>
    <cellStyle name="Migliaia 24 4 5 4" xfId="41609" xr:uid="{D3892DBC-29BB-4FDA-A1F6-BA8E98BC543C}"/>
    <cellStyle name="Migliaia 24 4 5 5" xfId="11301" xr:uid="{84D116CE-A851-4799-80A5-8ECE3C10C3E0}"/>
    <cellStyle name="Migliaia 24 4 6" xfId="10815" xr:uid="{CCDBED45-99A5-47A2-88E9-F7DB601B827A}"/>
    <cellStyle name="Migliaia 24 4 6 2" xfId="21450" xr:uid="{96115C3C-46B6-424E-A3C9-60C00A5244A7}"/>
    <cellStyle name="Migliaia 24 4 6 2 2" xfId="38959" xr:uid="{A3AF51F1-5537-4760-94F0-0FE0445CF6CB}"/>
    <cellStyle name="Migliaia 24 4 6 2 3" xfId="44261" xr:uid="{CD2CF63F-74D7-403A-AE89-C6D5E42DC72D}"/>
    <cellStyle name="Migliaia 24 4 6 2 4" xfId="33513" xr:uid="{C98FAA10-EC57-4219-BAC8-A6055E6862C1}"/>
    <cellStyle name="Migliaia 24 4 6 3" xfId="36433" xr:uid="{5E5A494E-D94C-4DCD-9604-C27B29CCCF71}"/>
    <cellStyle name="Migliaia 24 4 6 4" xfId="41610" xr:uid="{1E97300B-4DB7-4347-877D-44A4FE5E9498}"/>
    <cellStyle name="Migliaia 24 4 6 5" xfId="24566" xr:uid="{C958716E-9744-4CCF-B6ED-6EFE13388621}"/>
    <cellStyle name="Migliaia 24 4 6 6" xfId="46644" xr:uid="{F73DD1C7-9925-4C29-998B-780C12E19350}"/>
    <cellStyle name="Migliaia 24 4 6 7" xfId="50465" xr:uid="{8DACBA5C-E5A3-474A-B834-6540621D42F9}"/>
    <cellStyle name="Migliaia 24 4 6 8" xfId="53481" xr:uid="{86770EEE-D242-424F-BBB1-611B79512F50}"/>
    <cellStyle name="Migliaia 24 4 7" xfId="20175" xr:uid="{2A6AF626-A9D0-4B4E-AB33-B0741D910CB9}"/>
    <cellStyle name="Migliaia 24 4 7 2" xfId="33514" xr:uid="{42411B4D-87A8-4567-A290-046815FE4336}"/>
    <cellStyle name="Migliaia 24 4 7 2 2" xfId="38960" xr:uid="{97873933-1EF7-4800-826E-D5FB3C87DA36}"/>
    <cellStyle name="Migliaia 24 4 7 2 3" xfId="44262" xr:uid="{2769745D-A33E-4F43-A595-3CD9AA22CB25}"/>
    <cellStyle name="Migliaia 24 4 7 3" xfId="36434" xr:uid="{3411A9F8-2F40-4756-8BA7-F9ADE28B1444}"/>
    <cellStyle name="Migliaia 24 4 7 4" xfId="41611" xr:uid="{CCA916A9-1A1F-4FD7-A0AC-4A8A7A3B0B98}"/>
    <cellStyle name="Migliaia 24 4 7 5" xfId="24567" xr:uid="{7BBD0D46-9323-484F-80C0-556A5F67FC0A}"/>
    <cellStyle name="Migliaia 24 4 8" xfId="24564" xr:uid="{2403CDE5-52F2-4E72-A59A-E2FA20BCF92C}"/>
    <cellStyle name="Migliaia 24 4 9" xfId="7390" xr:uid="{C38DF961-2202-4301-A5FB-EB0F55618D0F}"/>
    <cellStyle name="Migliaia 24 5" xfId="1740" xr:uid="{00000000-0005-0000-0000-000057030000}"/>
    <cellStyle name="Migliaia 24 5 2" xfId="5098" xr:uid="{E6A8A29D-1CBD-4A83-AE16-C1A06670B2C6}"/>
    <cellStyle name="Migliaia 24 5 2 2" xfId="18412" xr:uid="{FE302BDA-A5E6-4EAC-AF2F-219685157812}"/>
    <cellStyle name="Migliaia 24 5 2 2 2" xfId="38961" xr:uid="{AB9DF0FC-FD5C-4300-A54C-AD1217D8D6CF}"/>
    <cellStyle name="Migliaia 24 5 2 2 3" xfId="44263" xr:uid="{152233A3-459E-48B9-B9D2-16AB2117CA2D}"/>
    <cellStyle name="Migliaia 24 5 2 3" xfId="20178" xr:uid="{35038B44-36F9-4AFE-B798-4331F5BF609C}"/>
    <cellStyle name="Migliaia 24 5 2 3 2" xfId="36435" xr:uid="{1CA7DFCB-B246-498B-A85A-EFBCDCA3ECC7}"/>
    <cellStyle name="Migliaia 24 5 2 4" xfId="41612" xr:uid="{FD9CEA0B-7B0D-4DEA-88AF-987558CA74E2}"/>
    <cellStyle name="Migliaia 24 5 2 5" xfId="16262" xr:uid="{2124EB96-A52E-4AAF-B407-7BFC45EBCBEC}"/>
    <cellStyle name="Migliaia 24 5 2 6" xfId="8581" xr:uid="{619A50F3-0C03-48AE-B1E6-4176A5150FBE}"/>
    <cellStyle name="Migliaia 24 5 3" xfId="6305" xr:uid="{7DAAB8D0-929C-4FDA-A040-4F48D540E717}"/>
    <cellStyle name="Migliaia 24 5 3 2" xfId="33515" xr:uid="{011239E5-A746-4618-958C-98CC18D891DC}"/>
    <cellStyle name="Migliaia 24 5 3 2 2" xfId="38962" xr:uid="{2CDF3884-2214-4450-8330-0901FB9BC3F9}"/>
    <cellStyle name="Migliaia 24 5 3 2 3" xfId="44264" xr:uid="{2E1EC8DF-77E8-460E-8783-C99107D4186B}"/>
    <cellStyle name="Migliaia 24 5 3 3" xfId="36436" xr:uid="{66DEDD6C-885E-4A03-B674-EE543CE7F149}"/>
    <cellStyle name="Migliaia 24 5 3 4" xfId="41613" xr:uid="{5D7CCCA8-3052-4C89-9BE2-DA0FD61564CE}"/>
    <cellStyle name="Migliaia 24 5 3 5" xfId="11303" xr:uid="{7F26D11D-534F-40B2-8DC9-57F46333C7EA}"/>
    <cellStyle name="Migliaia 24 5 4" xfId="3372" xr:uid="{37B651D2-DBB1-451D-AB77-7AFDC42D0DA6}"/>
    <cellStyle name="Migliaia 24 5 4 2" xfId="21452" xr:uid="{2F4125AB-15D0-4AEB-901C-8245A5AE0EF4}"/>
    <cellStyle name="Migliaia 24 5 4 2 2" xfId="38963" xr:uid="{6861C0FE-12BF-4BA0-A7D5-2658005D3A63}"/>
    <cellStyle name="Migliaia 24 5 4 2 3" xfId="44265" xr:uid="{8FB6C174-B1DF-4AA3-A33F-B0314DF414C4}"/>
    <cellStyle name="Migliaia 24 5 4 2 4" xfId="33516" xr:uid="{4BEB3EE5-4F9B-4678-838F-DD137C647E0B}"/>
    <cellStyle name="Migliaia 24 5 4 3" xfId="36437" xr:uid="{A42725E4-E07E-49D6-8CD7-AD434CF0E9B8}"/>
    <cellStyle name="Migliaia 24 5 4 4" xfId="41614" xr:uid="{DD521FC7-B020-4F99-8483-3071C6212AD9}"/>
    <cellStyle name="Migliaia 24 5 4 5" xfId="24569" xr:uid="{C936BF96-B450-42AC-8DF8-0783E044462B}"/>
    <cellStyle name="Migliaia 24 5 4 6" xfId="47998" xr:uid="{D76605F1-99F4-4F8E-9842-A8E56AA5075B}"/>
    <cellStyle name="Migliaia 24 5 4 7" xfId="50467" xr:uid="{0E68C300-9BC4-4156-8F69-B582B60C2EC9}"/>
    <cellStyle name="Migliaia 24 5 4 8" xfId="53483" xr:uid="{76F6C396-06E2-4D5F-80F6-8C29C27D37FA}"/>
    <cellStyle name="Migliaia 24 5 4 9" xfId="10817" xr:uid="{FE9917F8-C965-4074-B2C1-A6AC605919AD}"/>
    <cellStyle name="Migliaia 24 5 5" xfId="20177" xr:uid="{7407C888-B262-4B8A-ABD8-889785A2610B}"/>
    <cellStyle name="Migliaia 24 5 5 2" xfId="33517" xr:uid="{8A26DA96-018C-4B10-93D1-6C9F7D39DDB6}"/>
    <cellStyle name="Migliaia 24 5 5 2 2" xfId="38964" xr:uid="{381A3B03-A174-4DE0-B35E-FD726E8BC195}"/>
    <cellStyle name="Migliaia 24 5 5 2 3" xfId="44266" xr:uid="{A07A63FD-065C-44EC-8B2B-164200339750}"/>
    <cellStyle name="Migliaia 24 5 5 3" xfId="36438" xr:uid="{5CD4A038-CBF1-4549-9914-C5E4D1F06D03}"/>
    <cellStyle name="Migliaia 24 5 5 4" xfId="41615" xr:uid="{C0FBF3F0-E2A4-4C1D-AE3D-DD7CC57BE7A3}"/>
    <cellStyle name="Migliaia 24 5 5 5" xfId="24570" xr:uid="{02677B25-B5DE-4585-8050-87035A1B876D}"/>
    <cellStyle name="Migliaia 24 5 6" xfId="24571" xr:uid="{E7561426-9A28-4A53-A910-77458DE52E5B}"/>
    <cellStyle name="Migliaia 24 5 6 2" xfId="33518" xr:uid="{74663E8E-659D-4718-8838-A147799878FB}"/>
    <cellStyle name="Migliaia 24 5 6 2 2" xfId="38965" xr:uid="{FC3B431A-CAB9-4EBC-B7B2-369E91982551}"/>
    <cellStyle name="Migliaia 24 5 6 2 3" xfId="44267" xr:uid="{C3A1CA09-63C9-4426-B19C-4E779F6B7108}"/>
    <cellStyle name="Migliaia 24 5 6 3" xfId="36439" xr:uid="{6B4DAE19-B1F1-4AA6-A48C-35241044D8D5}"/>
    <cellStyle name="Migliaia 24 5 6 4" xfId="41616" xr:uid="{7BA7A6CC-FBBB-4EC8-9EB1-E0ACC1C2A56B}"/>
    <cellStyle name="Migliaia 24 5 7" xfId="24568" xr:uid="{DAC5B0B0-9108-4B80-82B9-D124C15F3EF4}"/>
    <cellStyle name="Migliaia 24 5 8" xfId="7391" xr:uid="{C1EA155D-62B5-48EB-A23B-79572632535F}"/>
    <cellStyle name="Migliaia 24 6" xfId="3373" xr:uid="{12987F15-688D-43E6-AC9B-83A17E1FEA94}"/>
    <cellStyle name="Migliaia 24 6 2" xfId="5099" xr:uid="{DAD51866-B3DD-457A-A332-4650219BABF0}"/>
    <cellStyle name="Migliaia 24 6 2 2" xfId="9913" xr:uid="{A63A30D9-DA79-46BD-8D4A-0FF187498EAD}"/>
    <cellStyle name="Migliaia 24 6 2 3" xfId="18664" xr:uid="{A79F986C-D408-4748-A81A-58AC00E61384}"/>
    <cellStyle name="Migliaia 24 6 2 4" xfId="20180" xr:uid="{C323BC30-7D71-4B7C-AC26-3D9569301921}"/>
    <cellStyle name="Migliaia 24 6 2 5" xfId="32348" xr:uid="{1FB863F4-F2CC-456A-896B-B15A6C7E1F87}"/>
    <cellStyle name="Migliaia 24 6 2 6" xfId="16264" xr:uid="{C860E5D7-ED8A-4114-AB43-D700C1C8FE2E}"/>
    <cellStyle name="Migliaia 24 6 2 7" xfId="8576" xr:uid="{7831EEF9-42DB-48E0-B52A-3E886F1100EE}"/>
    <cellStyle name="Migliaia 24 6 3" xfId="6306" xr:uid="{B4A6E9C9-2039-4CC7-A5B5-7B085A8FB3A2}"/>
    <cellStyle name="Migliaia 24 6 3 2" xfId="35239" xr:uid="{D6CB368D-EB83-45B2-931D-02C7786AF19A}"/>
    <cellStyle name="Migliaia 24 6 3 2 2" xfId="40399" xr:uid="{B215E2D8-544F-4505-92F3-97C69EB6F26E}"/>
    <cellStyle name="Migliaia 24 6 3 2 3" xfId="45701" xr:uid="{B2B47C0F-92C6-4B60-B3E0-FE1070313A39}"/>
    <cellStyle name="Migliaia 24 6 3 3" xfId="37748" xr:uid="{8B43CE4E-FC49-4E07-978D-8773DF3B1E9B}"/>
    <cellStyle name="Migliaia 24 6 3 4" xfId="43050" xr:uid="{E9FA4065-9394-4DE6-A200-0D1688E507E2}"/>
    <cellStyle name="Migliaia 24 6 3 5" xfId="9676" xr:uid="{EDA32886-4EC2-4317-9572-16AE2B72BABE}"/>
    <cellStyle name="Migliaia 24 6 4" xfId="20179" xr:uid="{BA3D323B-071F-437D-8A63-74A0647388E4}"/>
    <cellStyle name="Migliaia 24 6 4 2" xfId="38966" xr:uid="{1559A435-A033-4198-BCA5-6D236A1BC6E6}"/>
    <cellStyle name="Migliaia 24 6 4 3" xfId="44268" xr:uid="{ABA9895E-935C-4B11-A702-F102FCC64E44}"/>
    <cellStyle name="Migliaia 24 6 4 4" xfId="33519" xr:uid="{0404C90E-9EDC-4516-997C-A51ACF2A7046}"/>
    <cellStyle name="Migliaia 24 6 5" xfId="36440" xr:uid="{862FB6F7-43BF-47FE-A45D-AF5AE5F1CD31}"/>
    <cellStyle name="Migliaia 24 6 6" xfId="41617" xr:uid="{A0A7D0B7-0377-424F-858E-C293723F6B6D}"/>
    <cellStyle name="Migliaia 24 6 7" xfId="16263" xr:uid="{08E11B2E-E7AB-4AF6-B817-07328A137B8B}"/>
    <cellStyle name="Migliaia 24 6 8" xfId="7386" xr:uid="{4CE46EF6-7752-4781-AE3B-11556B98CFF6}"/>
    <cellStyle name="Migliaia 24 7" xfId="3374" xr:uid="{885BE739-6891-4E49-B26F-385C87E3C7C4}"/>
    <cellStyle name="Migliaia 24 7 2" xfId="5100" xr:uid="{8CEFDD5E-37EF-41DD-8199-D84B7861BA02}"/>
    <cellStyle name="Migliaia 24 7 2 2" xfId="35240" xr:uid="{D629048B-8A49-457E-9AEC-F968B6686356}"/>
    <cellStyle name="Migliaia 24 7 2 2 2" xfId="40400" xr:uid="{93B21BC8-36C4-4C62-8170-686F420A521A}"/>
    <cellStyle name="Migliaia 24 7 2 2 3" xfId="45702" xr:uid="{FB2D6D46-01B6-42F2-8ED0-32CB28D00B50}"/>
    <cellStyle name="Migliaia 24 7 2 3" xfId="37749" xr:uid="{9C90DD7E-C33E-46E9-81F1-C7185FF6BDD5}"/>
    <cellStyle name="Migliaia 24 7 2 4" xfId="43051" xr:uid="{A26E65E6-2270-455B-B1CC-B8A208747988}"/>
    <cellStyle name="Migliaia 24 7 2 5" xfId="14227" xr:uid="{85EE35BA-9348-40B3-965C-41CC66B1EF0D}"/>
    <cellStyle name="Migliaia 24 7 3" xfId="6307" xr:uid="{CA142AE6-96A8-4A9C-9D36-C5890FFE1947}"/>
    <cellStyle name="Migliaia 24 7 3 2" xfId="38967" xr:uid="{26A13EEA-5397-44D1-919A-84429413E482}"/>
    <cellStyle name="Migliaia 24 7 3 3" xfId="44269" xr:uid="{2421E7B7-875C-4DD1-B26B-CD56CDA8E0EB}"/>
    <cellStyle name="Migliaia 24 7 3 4" xfId="33520" xr:uid="{DE220643-21E3-415C-B787-55AE86603238}"/>
    <cellStyle name="Migliaia 24 7 3 5" xfId="20181" xr:uid="{71237E60-5E78-4B23-92C5-919EAAC63CD7}"/>
    <cellStyle name="Migliaia 24 7 4" xfId="36441" xr:uid="{41A0E665-5BCC-4FD9-8575-1BB2F760F82A}"/>
    <cellStyle name="Migliaia 24 7 5" xfId="41618" xr:uid="{68E2B2CE-F678-4458-8A32-79B4C4440791}"/>
    <cellStyle name="Migliaia 24 7 6" xfId="16265" xr:uid="{8F5878D4-D2DC-4375-9691-B11DBFA16AAC}"/>
    <cellStyle name="Migliaia 24 7 7" xfId="8289" xr:uid="{F64E9A75-B803-4CCB-BE72-93BB0EA771ED}"/>
    <cellStyle name="Migliaia 24 8" xfId="3375" xr:uid="{52BA4F70-4251-4BD1-80F0-89160808AA6B}"/>
    <cellStyle name="Migliaia 24 8 2" xfId="5101" xr:uid="{29A881C4-FF5C-4068-8658-967A32DFF1FC}"/>
    <cellStyle name="Migliaia 24 8 2 2" xfId="35241" xr:uid="{569528A5-2A0C-479A-BA0D-6D3EC9E56D6C}"/>
    <cellStyle name="Migliaia 24 8 2 2 2" xfId="40401" xr:uid="{91C03A51-4939-4227-980D-5509269DA626}"/>
    <cellStyle name="Migliaia 24 8 2 2 3" xfId="45703" xr:uid="{447B1516-F001-4832-9B23-6A319C717541}"/>
    <cellStyle name="Migliaia 24 8 2 3" xfId="37750" xr:uid="{47D3497C-6E84-437D-AC1A-B31EE0D134FB}"/>
    <cellStyle name="Migliaia 24 8 2 4" xfId="43052" xr:uid="{8755EA17-2DBA-4644-82BC-F1422B855850}"/>
    <cellStyle name="Migliaia 24 8 2 5" xfId="13932" xr:uid="{2FED6196-4041-4389-9214-63E9EF896FDC}"/>
    <cellStyle name="Migliaia 24 8 3" xfId="6308" xr:uid="{E3550C8D-2512-4DDC-B2C1-38FFA9010B43}"/>
    <cellStyle name="Migliaia 24 8 3 2" xfId="38968" xr:uid="{74EED139-49D7-4B88-86F4-2346C153840E}"/>
    <cellStyle name="Migliaia 24 8 3 3" xfId="44270" xr:uid="{617CD764-3504-4413-A393-AF1A07ED5D3A}"/>
    <cellStyle name="Migliaia 24 8 3 4" xfId="33521" xr:uid="{BC63B5C0-0F44-4A36-B42A-80298FF2DF81}"/>
    <cellStyle name="Migliaia 24 8 3 5" xfId="20182" xr:uid="{20AFADD6-734A-40AA-9926-FF3171C6C615}"/>
    <cellStyle name="Migliaia 24 8 4" xfId="36442" xr:uid="{FECD5A50-9372-487B-961C-71757BD12D15}"/>
    <cellStyle name="Migliaia 24 8 5" xfId="41619" xr:uid="{42BC7F34-3D03-4655-913C-BAEC93A3A126}"/>
    <cellStyle name="Migliaia 24 8 6" xfId="16266" xr:uid="{5F29A9D8-D5EE-482B-B244-BC2E6D71D3FD}"/>
    <cellStyle name="Migliaia 24 8 7" xfId="7886" xr:uid="{FFCE4EE9-FE79-400B-9DE0-BAE96738CA4D}"/>
    <cellStyle name="Migliaia 24 9" xfId="5086" xr:uid="{8FD6BE4B-B51C-4CE9-9FAE-9659FFEFE32E}"/>
    <cellStyle name="Migliaia 24 9 2" xfId="33522" xr:uid="{0DD57DD7-A3D6-4FE5-8828-6088E1C97D5D}"/>
    <cellStyle name="Migliaia 24 9 2 2" xfId="38969" xr:uid="{5B1AE4FE-2C4F-4561-88FA-BF7200328262}"/>
    <cellStyle name="Migliaia 24 9 2 3" xfId="44271" xr:uid="{B449294A-B515-4A04-9631-E634309AA9E2}"/>
    <cellStyle name="Migliaia 24 9 3" xfId="36443" xr:uid="{B18EEB02-1E4A-4F3E-BAA5-CF5C9860AF8E}"/>
    <cellStyle name="Migliaia 24 9 4" xfId="41620" xr:uid="{077878B0-3A05-4C77-944C-63846C97C91C}"/>
    <cellStyle name="Migliaia 24 9 5" xfId="17167" xr:uid="{2BE1D7F7-86B0-445C-81C8-4DBA3D70D330}"/>
    <cellStyle name="Migliaia 25" xfId="369" xr:uid="{00000000-0005-0000-0000-000058030000}"/>
    <cellStyle name="Migliaia 25 10" xfId="6309" xr:uid="{22C255AC-2DD4-4B62-BD8D-BC16A361F43C}"/>
    <cellStyle name="Migliaia 25 10 2" xfId="38970" xr:uid="{FB5B2AA4-87B7-41FE-B371-17350EACA779}"/>
    <cellStyle name="Migliaia 25 10 3" xfId="44272" xr:uid="{FBDCFA4E-FDA6-4534-9DD3-8619DB2A0F47}"/>
    <cellStyle name="Migliaia 25 10 4" xfId="33523" xr:uid="{7D67491F-E4CA-4FA5-9C7C-9CECD5B23989}"/>
    <cellStyle name="Migliaia 25 10 5" xfId="20183" xr:uid="{5FC65A6B-27D6-49DF-829E-44677B1B5181}"/>
    <cellStyle name="Migliaia 25 11" xfId="3376" xr:uid="{EB767F5E-B74B-4014-A570-4E58A81A5A5F}"/>
    <cellStyle name="Migliaia 25 11 2" xfId="36444" xr:uid="{E45D0E7F-1927-47B4-A8A5-707008B41B8C}"/>
    <cellStyle name="Migliaia 25 12" xfId="41621" xr:uid="{5473ED80-E22F-44F6-9376-8D09DD0C69E8}"/>
    <cellStyle name="Migliaia 25 13" xfId="7093" xr:uid="{7ED68612-D43E-4BFC-9E62-09D4CCF9ADB3}"/>
    <cellStyle name="Migliaia 25 2" xfId="370" xr:uid="{00000000-0005-0000-0000-000059030000}"/>
    <cellStyle name="Migliaia 25 2 2" xfId="1741" xr:uid="{00000000-0005-0000-0000-00005A030000}"/>
    <cellStyle name="Migliaia 25 2 2 2" xfId="5104" xr:uid="{EA6A8529-8704-4CE0-A6CE-EA273360199D}"/>
    <cellStyle name="Migliaia 25 2 2 2 2" xfId="14380" xr:uid="{CB88B3B3-51B6-42C4-B8D2-824ED3803DAE}"/>
    <cellStyle name="Migliaia 25 2 2 2 2 2" xfId="38971" xr:uid="{EF4B8C60-BF73-4DFD-885C-16EE184B6DF1}"/>
    <cellStyle name="Migliaia 25 2 2 2 2 3" xfId="44273" xr:uid="{0DCA1249-0D56-464D-B482-DFAF802F943A}"/>
    <cellStyle name="Migliaia 25 2 2 2 3" xfId="18413" xr:uid="{BBD65F43-8ECB-4B53-8371-DD7E10AA5A7E}"/>
    <cellStyle name="Migliaia 25 2 2 2 4" xfId="20186" xr:uid="{2E3F731C-17A3-4374-BD99-704A85DE2BC4}"/>
    <cellStyle name="Migliaia 25 2 2 2 4 2" xfId="41622" xr:uid="{9B9D5C53-E9BD-4971-83DC-B22941D49C20}"/>
    <cellStyle name="Migliaia 25 2 2 2 5" xfId="16267" xr:uid="{A9C4B761-FD68-471D-8072-70D3563406CF}"/>
    <cellStyle name="Migliaia 25 2 2 2 6" xfId="8583" xr:uid="{17131682-C8ED-404D-ACD7-7511C20DC3D1}"/>
    <cellStyle name="Migliaia 25 2 2 3" xfId="6311" xr:uid="{1916F5D5-38E4-4E7D-8BB1-B19AB9795ECD}"/>
    <cellStyle name="Migliaia 25 2 2 3 2" xfId="35242" xr:uid="{DA5C64BB-4DA5-44D5-836C-B5765D92EB5D}"/>
    <cellStyle name="Migliaia 25 2 2 3 2 2" xfId="40402" xr:uid="{CDA9742F-18AE-48F3-BC5E-113C4179CF74}"/>
    <cellStyle name="Migliaia 25 2 2 3 2 3" xfId="45704" xr:uid="{788BD8D2-A3AC-452F-9538-1AA6FD3BEE68}"/>
    <cellStyle name="Migliaia 25 2 2 3 3" xfId="37751" xr:uid="{D7531CAC-B5AB-459F-AF48-A7AF6A8E4E20}"/>
    <cellStyle name="Migliaia 25 2 2 3 4" xfId="43053" xr:uid="{D36FE684-F30B-4F93-8890-E6039B9DA24A}"/>
    <cellStyle name="Migliaia 25 2 2 3 5" xfId="11607" xr:uid="{DA378B2A-065A-40FE-B51B-464314B3D9E6}"/>
    <cellStyle name="Migliaia 25 2 2 4" xfId="3378" xr:uid="{189CD87C-0B8E-494B-8199-876878822E5E}"/>
    <cellStyle name="Migliaia 25 2 2 4 2" xfId="21453" xr:uid="{FF1ADAF8-68B2-4F61-8A66-776DD0B3D396}"/>
    <cellStyle name="Migliaia 25 2 2 4 3" xfId="47958" xr:uid="{3988A973-64D3-4CC6-8F1D-D12E5B09F1AD}"/>
    <cellStyle name="Migliaia 25 2 2 4 4" xfId="50468" xr:uid="{835A0D21-DD8F-4DB0-AE45-CFDC0EDA0DC8}"/>
    <cellStyle name="Migliaia 25 2 2 4 5" xfId="53484" xr:uid="{F3542E83-8543-4214-B8E9-C7025707FE10}"/>
    <cellStyle name="Migliaia 25 2 2 4 6" xfId="10818" xr:uid="{FBC57E46-EDF0-4646-B74B-150C760F6237}"/>
    <cellStyle name="Migliaia 25 2 2 5" xfId="20185" xr:uid="{F6F05EA2-E672-4E93-BC22-79D7806AC470}"/>
    <cellStyle name="Migliaia 25 2 2 6" xfId="24573" xr:uid="{4A5288D4-B05A-4C32-949E-25CFE4FFE7BA}"/>
    <cellStyle name="Migliaia 25 2 2 7" xfId="7393" xr:uid="{61E92F38-569D-4344-86B5-426A9B028FA3}"/>
    <cellStyle name="Migliaia 25 2 3" xfId="3379" xr:uid="{6E3C30E8-D2E4-46BB-96FE-B2F88DA9A688}"/>
    <cellStyle name="Migliaia 25 2 3 2" xfId="5105" xr:uid="{F20A949A-81AC-4F92-B20F-7A5EA04C9A46}"/>
    <cellStyle name="Migliaia 25 2 3 2 2" xfId="35243" xr:uid="{6A48FFAE-3550-4009-9B74-D7764E92E1D2}"/>
    <cellStyle name="Migliaia 25 2 3 2 2 2" xfId="40403" xr:uid="{DDDE3802-F255-45A7-A269-BFBFFBD93552}"/>
    <cellStyle name="Migliaia 25 2 3 2 2 3" xfId="45705" xr:uid="{C2EDC495-9EBF-4B29-86BE-B08813466958}"/>
    <cellStyle name="Migliaia 25 2 3 2 3" xfId="37752" xr:uid="{D92D9BCA-B082-4168-A24B-675B15FFF39E}"/>
    <cellStyle name="Migliaia 25 2 3 2 4" xfId="43054" xr:uid="{FA89ABE8-E967-487E-915E-87D41822A158}"/>
    <cellStyle name="Migliaia 25 2 3 2 5" xfId="14231" xr:uid="{4FEE99AD-9063-4523-8D94-C6BE9B9FA44A}"/>
    <cellStyle name="Migliaia 25 2 3 3" xfId="6312" xr:uid="{DEFA9595-71A9-414D-83D8-F336F24606A9}"/>
    <cellStyle name="Migliaia 25 2 3 3 2" xfId="38972" xr:uid="{3A282EAC-B800-4D10-8A18-C707169AE253}"/>
    <cellStyle name="Migliaia 25 2 3 3 3" xfId="44274" xr:uid="{85A176CF-75C0-45FF-935D-FE43CF8C5A5F}"/>
    <cellStyle name="Migliaia 25 2 3 3 4" xfId="33524" xr:uid="{769633C7-A273-4ACC-986B-D0A6E6AD96A3}"/>
    <cellStyle name="Migliaia 25 2 3 3 5" xfId="20187" xr:uid="{CB391F14-61A1-4514-ABB0-FFBFFC0C0B09}"/>
    <cellStyle name="Migliaia 25 2 3 4" xfId="36445" xr:uid="{0E282EDB-E515-4C32-B02C-3848533D4CF1}"/>
    <cellStyle name="Migliaia 25 2 3 5" xfId="41623" xr:uid="{E4B81DE6-CE26-4BA5-894C-0A594E4FA54F}"/>
    <cellStyle name="Migliaia 25 2 3 6" xfId="16268" xr:uid="{AD648B0C-C53A-4425-B98F-B8D25C514A2A}"/>
    <cellStyle name="Migliaia 25 2 3 7" xfId="8293" xr:uid="{20E5A16C-3943-448E-9CA9-A5624B6D64F9}"/>
    <cellStyle name="Migliaia 25 2 4" xfId="5103" xr:uid="{8CF5010A-1DA0-4FCE-B95E-7A3BFC6B2DF9}"/>
    <cellStyle name="Migliaia 25 2 4 2" xfId="13936" xr:uid="{D4091FAC-9477-4FB5-A098-365F4ACFF963}"/>
    <cellStyle name="Migliaia 25 2 4 2 2" xfId="38973" xr:uid="{661A8CFA-BC87-4314-BE61-D4DACED9AE0F}"/>
    <cellStyle name="Migliaia 25 2 4 2 3" xfId="44275" xr:uid="{E6B6E37E-2065-4B39-B28D-9BA9D75ED4CC}"/>
    <cellStyle name="Migliaia 25 2 4 3" xfId="18555" xr:uid="{5B744368-CD62-4CB0-94F9-8A722F9D77FF}"/>
    <cellStyle name="Migliaia 25 2 4 4" xfId="20188" xr:uid="{C8F7D2D9-4B69-4C35-855F-EC7EFF4C2627}"/>
    <cellStyle name="Migliaia 25 2 4 4 2" xfId="41624" xr:uid="{262C1D14-4758-43B6-9566-BB99FE14B212}"/>
    <cellStyle name="Migliaia 25 2 4 5" xfId="16269" xr:uid="{7F3EE544-E55F-4478-8F03-BD345CE07A93}"/>
    <cellStyle name="Migliaia 25 2 4 6" xfId="7891" xr:uid="{845E12C4-9605-400D-8F26-0F32E7C31F9C}"/>
    <cellStyle name="Migliaia 25 2 5" xfId="6310" xr:uid="{04D3C1C0-0322-4B12-8708-81A6855CEB3B}"/>
    <cellStyle name="Migliaia 25 2 5 2" xfId="33525" xr:uid="{044D3BB5-29A9-4BC0-B580-0EA43D03065F}"/>
    <cellStyle name="Migliaia 25 2 5 2 2" xfId="38974" xr:uid="{2FAF0D54-90F9-43D8-85FB-E71F71868800}"/>
    <cellStyle name="Migliaia 25 2 5 2 3" xfId="44276" xr:uid="{08A678ED-8C5E-4270-8DBC-239C9EE3E0A7}"/>
    <cellStyle name="Migliaia 25 2 5 3" xfId="36446" xr:uid="{A521E427-9095-417C-A28D-B582EAD83131}"/>
    <cellStyle name="Migliaia 25 2 5 4" xfId="41625" xr:uid="{20DCE9DE-A5DA-4E35-8314-59C604C03E5A}"/>
    <cellStyle name="Migliaia 25 2 5 5" xfId="13120" xr:uid="{F4C53D1A-2D93-445E-880A-0B5374D97F59}"/>
    <cellStyle name="Migliaia 25 2 6" xfId="3377" xr:uid="{CA8902D7-E55D-42D7-87BA-BCC8320D2F01}"/>
    <cellStyle name="Migliaia 25 2 6 2" xfId="33526" xr:uid="{61E68697-C3D3-4270-A52B-78CFDF0F1D0C}"/>
    <cellStyle name="Migliaia 25 2 6 2 2" xfId="38975" xr:uid="{42091769-3050-4019-AFE8-B6276DDCE191}"/>
    <cellStyle name="Migliaia 25 2 6 2 3" xfId="44277" xr:uid="{5DADA741-6661-4D30-BF7A-40A9087DB5B0}"/>
    <cellStyle name="Migliaia 25 2 6 3" xfId="36447" xr:uid="{404D1841-3390-4F49-8EB5-F57441632232}"/>
    <cellStyle name="Migliaia 25 2 6 4" xfId="41626" xr:uid="{170A0928-0E35-440F-AFB8-0D1B18E4D36E}"/>
    <cellStyle name="Migliaia 25 2 6 5" xfId="24574" xr:uid="{6F6B0CD6-B5ED-483D-9E47-8231F3D2A39C}"/>
    <cellStyle name="Migliaia 25 2 6 6" xfId="20184" xr:uid="{C75C4187-6320-4E98-A631-9073BC80A510}"/>
    <cellStyle name="Migliaia 25 2 7" xfId="24572" xr:uid="{264FF009-BF06-480A-B6BE-FDB2205567E6}"/>
    <cellStyle name="Migliaia 25 2 8" xfId="7094" xr:uid="{F20A4BD6-5B3C-4CFF-B969-4E94A9CA1EA6}"/>
    <cellStyle name="Migliaia 25 3" xfId="371" xr:uid="{00000000-0005-0000-0000-00005B030000}"/>
    <cellStyle name="Migliaia 25 3 10" xfId="24575" xr:uid="{1958B8EA-4F8E-4B0A-BC7D-82327F393BBE}"/>
    <cellStyle name="Migliaia 25 3 11" xfId="16270" xr:uid="{97C05413-1B01-4627-9897-CAE835172623}"/>
    <cellStyle name="Migliaia 25 3 12" xfId="7095" xr:uid="{8191C03F-64D0-427B-9D5A-A2637F713CA1}"/>
    <cellStyle name="Migliaia 25 3 2" xfId="372" xr:uid="{00000000-0005-0000-0000-00005C030000}"/>
    <cellStyle name="Migliaia 25 3 2 2" xfId="1742" xr:uid="{00000000-0005-0000-0000-00005D030000}"/>
    <cellStyle name="Migliaia 25 3 2 2 2" xfId="5108" xr:uid="{0B9F4DC5-B4FA-4A19-9C6D-EAD6C7A9416B}"/>
    <cellStyle name="Migliaia 25 3 2 2 2 2" xfId="18414" xr:uid="{22322E5F-1DE4-4867-BC08-DDBA24C41088}"/>
    <cellStyle name="Migliaia 25 3 2 2 2 2 2" xfId="21858" xr:uid="{7EE8E371-B726-44F9-8F6D-814C87E12E2B}"/>
    <cellStyle name="Migliaia 25 3 2 2 2 2 2 2" xfId="38976" xr:uid="{8F7827D0-DDFC-40E1-ADC9-833EC6928F5D}"/>
    <cellStyle name="Migliaia 25 3 2 2 2 2 3" xfId="44278" xr:uid="{75372C18-433D-43F5-BC65-26AB3B87CA7A}"/>
    <cellStyle name="Migliaia 25 3 2 2 2 2 4" xfId="33527" xr:uid="{8556D9CB-03A3-4B3B-9E3D-FB7C9628CA37}"/>
    <cellStyle name="Migliaia 25 3 2 2 2 3" xfId="36448" xr:uid="{EAB790A0-1753-426F-B09E-99ED51ED94CD}"/>
    <cellStyle name="Migliaia 25 3 2 2 2 4" xfId="41627" xr:uid="{9F9B1DEF-3942-4901-AAFC-85ECE91AC226}"/>
    <cellStyle name="Migliaia 25 3 2 2 2 5" xfId="47464" xr:uid="{5585904D-F357-438A-A7CD-0E7218CD9BFC}"/>
    <cellStyle name="Migliaia 25 3 2 2 2 6" xfId="50886" xr:uid="{8B312320-D4FF-4127-B451-E6843DF76BF1}"/>
    <cellStyle name="Migliaia 25 3 2 2 2 7" xfId="53902" xr:uid="{18891ABE-E761-49A5-881C-1C38DCD1927F}"/>
    <cellStyle name="Migliaia 25 3 2 2 2 8" xfId="17655" xr:uid="{3E1D8F26-64D2-45A5-AEFF-B8AF5A17FC0D}"/>
    <cellStyle name="Migliaia 25 3 2 2 2 9" xfId="11955" xr:uid="{1333D0BD-78DD-4CCE-AE86-F975672DC17A}"/>
    <cellStyle name="Migliaia 25 3 2 2 3" xfId="6315" xr:uid="{F706CE86-183F-454E-ACB4-858B22BC0D4E}"/>
    <cellStyle name="Migliaia 25 3 2 2 3 2" xfId="11138" xr:uid="{B91028D7-DF28-46E2-9F4A-BB9BDEF04874}"/>
    <cellStyle name="Migliaia 25 3 2 2 4" xfId="3382" xr:uid="{1255F521-267B-43AD-B345-CA567310A151}"/>
    <cellStyle name="Migliaia 25 3 2 2 4 2" xfId="21454" xr:uid="{CD46A682-E2FB-4B96-9B9C-3AB124D37E3F}"/>
    <cellStyle name="Migliaia 25 3 2 2 4 3" xfId="46227" xr:uid="{C1FD3CE6-5AFA-4497-9A54-C95A426016F9}"/>
    <cellStyle name="Migliaia 25 3 2 2 4 4" xfId="50469" xr:uid="{F2B3320C-1C65-451B-9C82-4CC3E2E9422C}"/>
    <cellStyle name="Migliaia 25 3 2 2 4 5" xfId="53485" xr:uid="{AD0F1777-F3A0-44B7-ADCC-061B2D8B609B}"/>
    <cellStyle name="Migliaia 25 3 2 2 4 6" xfId="10819" xr:uid="{496D1293-DDE8-46AB-8C8F-3351158872FB}"/>
    <cellStyle name="Migliaia 25 3 2 2 5" xfId="20191" xr:uid="{30EF536F-9A7E-43E3-8885-2EEF63876669}"/>
    <cellStyle name="Migliaia 25 3 2 2 6" xfId="24577" xr:uid="{DA71C6AD-875D-4E3B-AE6F-13390433994C}"/>
    <cellStyle name="Migliaia 25 3 2 2 7" xfId="8585" xr:uid="{720245D0-6C57-40C0-B213-A311A294B0B7}"/>
    <cellStyle name="Migliaia 25 3 2 3" xfId="5107" xr:uid="{1A3F6737-167F-44BB-B698-19D19C61D28F}"/>
    <cellStyle name="Migliaia 25 3 2 3 2" xfId="12415" xr:uid="{6F1F5AD4-43D3-4923-B2F4-494A2C8F27AB}"/>
    <cellStyle name="Migliaia 25 3 2 3 2 2" xfId="38977" xr:uid="{23573FAA-4C4F-4AA5-9547-2CEB20B60AA7}"/>
    <cellStyle name="Migliaia 25 3 2 3 2 3" xfId="44279" xr:uid="{A9350565-A85A-4BC7-9533-F154B226CBFC}"/>
    <cellStyle name="Migliaia 25 3 2 3 2 4" xfId="33528" xr:uid="{308445AE-4152-4EB0-83B5-9E34887007F2}"/>
    <cellStyle name="Migliaia 25 3 2 3 3" xfId="11956" xr:uid="{BB86A900-15D6-4C4A-9B16-DAB20463FB1D}"/>
    <cellStyle name="Migliaia 25 3 2 3 4" xfId="20192" xr:uid="{026E5067-CB84-424F-90F0-83BEAD30AB9F}"/>
    <cellStyle name="Migliaia 25 3 2 3 4 2" xfId="41628" xr:uid="{B0D0797D-9D3D-428F-B85A-842F09D262C8}"/>
    <cellStyle name="Migliaia 25 3 2 3 5" xfId="16271" xr:uid="{66F24794-E3F5-478F-B9CF-937E8A18C580}"/>
    <cellStyle name="Migliaia 25 3 2 3 6" xfId="7893" xr:uid="{7B0E0443-CC2D-40D5-8F66-5BD92F71FBE8}"/>
    <cellStyle name="Migliaia 25 3 2 4" xfId="6314" xr:uid="{02758C8E-6FC9-4B61-AEAD-C471808F4EC8}"/>
    <cellStyle name="Migliaia 25 3 2 4 2" xfId="18074" xr:uid="{7122BDC3-1712-4608-BB92-EF5D0BAABEE3}"/>
    <cellStyle name="Migliaia 25 3 2 4 2 2" xfId="38978" xr:uid="{F9074B60-490F-4BCB-8D35-783AB2FEA520}"/>
    <cellStyle name="Migliaia 25 3 2 4 2 3" xfId="44280" xr:uid="{A09E94D2-9292-41FB-9FA8-39C948A732F5}"/>
    <cellStyle name="Migliaia 25 3 2 4 3" xfId="36449" xr:uid="{C5E06762-A6EF-4CAF-8A57-5BD21213A8D6}"/>
    <cellStyle name="Migliaia 25 3 2 4 4" xfId="41629" xr:uid="{6FA16952-6A26-4C07-BCCE-11CCEDD54E84}"/>
    <cellStyle name="Migliaia 25 3 2 4 5" xfId="17170" xr:uid="{DEE72B2B-5E23-4DD3-8FC8-9ED417AB07F7}"/>
    <cellStyle name="Migliaia 25 3 2 4 6" xfId="11304" xr:uid="{FA6B5B9D-CAEA-4619-9077-2A27D4CA6F06}"/>
    <cellStyle name="Migliaia 25 3 2 5" xfId="3381" xr:uid="{5F114FBB-46BD-4027-82E5-6A54E65E39D2}"/>
    <cellStyle name="Migliaia 25 3 2 5 2" xfId="33529" xr:uid="{675EFABD-8CFA-4FE3-AF96-4831FE29F1DC}"/>
    <cellStyle name="Migliaia 25 3 2 5 2 2" xfId="38979" xr:uid="{07C179D8-EF69-44FD-8A24-AEC31AB95626}"/>
    <cellStyle name="Migliaia 25 3 2 5 2 3" xfId="44281" xr:uid="{646AB3B7-BFD5-4A01-BB5C-519D8E27563E}"/>
    <cellStyle name="Migliaia 25 3 2 5 3" xfId="36450" xr:uid="{F6B4FC78-691C-4270-B099-1B681718BF48}"/>
    <cellStyle name="Migliaia 25 3 2 5 4" xfId="41630" xr:uid="{C3937E07-8956-4D16-951A-98C5331A1BA6}"/>
    <cellStyle name="Migliaia 25 3 2 5 5" xfId="17375" xr:uid="{EE9D8EE1-4792-45EB-A4B8-431765D2B587}"/>
    <cellStyle name="Migliaia 25 3 2 6" xfId="20190" xr:uid="{43BE347C-112B-46AD-B258-39D65715B3B1}"/>
    <cellStyle name="Migliaia 25 3 2 6 2" xfId="33530" xr:uid="{A1739CB7-C089-4D75-903F-BB1CC11E6974}"/>
    <cellStyle name="Migliaia 25 3 2 6 2 2" xfId="38980" xr:uid="{48E39070-EF81-41EF-A2B7-70DBACAA2D51}"/>
    <cellStyle name="Migliaia 25 3 2 6 2 3" xfId="44282" xr:uid="{ACFB773C-6BD6-4B11-B59E-A55B8DA178B0}"/>
    <cellStyle name="Migliaia 25 3 2 6 3" xfId="36451" xr:uid="{A06D0CAE-8C57-48E6-959A-C68269CA34B6}"/>
    <cellStyle name="Migliaia 25 3 2 6 4" xfId="41631" xr:uid="{C8966ABF-C0B6-4A67-A69D-4FC70F109917}"/>
    <cellStyle name="Migliaia 25 3 2 6 5" xfId="24578" xr:uid="{44C30FA0-FEF9-49A2-B0A1-D585F15BC7C1}"/>
    <cellStyle name="Migliaia 25 3 2 7" xfId="24576" xr:uid="{9DE884BE-7D65-42ED-8C7F-E97B5880C5AD}"/>
    <cellStyle name="Migliaia 25 3 2 8" xfId="7395" xr:uid="{948DB874-8F17-45F3-BA88-2FD251CFCCB4}"/>
    <cellStyle name="Migliaia 25 3 3" xfId="3383" xr:uid="{38552830-0ABA-4C01-B0AE-AEDAF6AB1987}"/>
    <cellStyle name="Migliaia 25 3 3 10" xfId="7394" xr:uid="{7FAAEF1B-D2FD-4F07-8626-010A84180BF7}"/>
    <cellStyle name="Migliaia 25 3 3 2" xfId="5109" xr:uid="{17C64CC5-A00C-43A9-92A2-B93E092BA702}"/>
    <cellStyle name="Migliaia 25 3 3 2 2" xfId="9916" xr:uid="{13692FC3-9758-41A6-9985-26034049084F}"/>
    <cellStyle name="Migliaia 25 3 3 2 2 2" xfId="38982" xr:uid="{596672E8-B807-4E66-B276-3F4DF9BC7555}"/>
    <cellStyle name="Migliaia 25 3 3 2 2 3" xfId="44284" xr:uid="{7EEB248B-CCFB-4B4B-8233-AB02247A1C9F}"/>
    <cellStyle name="Migliaia 25 3 3 2 3" xfId="18196" xr:uid="{83259077-0C31-4593-B32B-22DA7105D2D8}"/>
    <cellStyle name="Migliaia 25 3 3 2 4" xfId="20194" xr:uid="{F7A62B9E-10C7-484E-907B-82918CDE52A2}"/>
    <cellStyle name="Migliaia 25 3 3 2 4 2" xfId="41633" xr:uid="{32D4DF4E-4C66-41CB-AF1C-9C7AFE1A2DF8}"/>
    <cellStyle name="Migliaia 25 3 3 2 5" xfId="16273" xr:uid="{C8432ADB-E76A-474F-9B8D-5CB24E9C9712}"/>
    <cellStyle name="Migliaia 25 3 3 2 6" xfId="8584" xr:uid="{08379136-9363-473D-B6B8-5244FDB30C0B}"/>
    <cellStyle name="Migliaia 25 3 3 3" xfId="6316" xr:uid="{08FDF3F1-8DD6-445B-B200-E0855638C818}"/>
    <cellStyle name="Migliaia 25 3 3 3 2" xfId="33532" xr:uid="{776454FE-22F8-40C7-85B1-EA40FE1567EF}"/>
    <cellStyle name="Migliaia 25 3 3 3 2 2" xfId="38983" xr:uid="{949AC8D5-5111-405E-B8FD-1C8462170C9C}"/>
    <cellStyle name="Migliaia 25 3 3 3 2 3" xfId="44285" xr:uid="{B3A99F0B-68DB-4143-91C5-A42A9E8EF139}"/>
    <cellStyle name="Migliaia 25 3 3 3 3" xfId="36453" xr:uid="{2B890F9F-C918-43C6-8C4E-BB5017BB16DB}"/>
    <cellStyle name="Migliaia 25 3 3 3 4" xfId="41634" xr:uid="{B5605D90-F9C4-4A69-AF25-5D7554B2480E}"/>
    <cellStyle name="Migliaia 25 3 3 3 5" xfId="9679" xr:uid="{6FCA0C8C-E3A8-4658-8CDC-4B314777E86C}"/>
    <cellStyle name="Migliaia 25 3 3 4" xfId="20193" xr:uid="{6C698ACC-A374-4B83-87F7-2EED11EBFA15}"/>
    <cellStyle name="Migliaia 25 3 3 4 2" xfId="33533" xr:uid="{014EAE77-386C-4801-8A3D-3E7FC73D6E2B}"/>
    <cellStyle name="Migliaia 25 3 3 4 2 2" xfId="38984" xr:uid="{2B53CD9E-5797-4D75-B290-7CC712CF0535}"/>
    <cellStyle name="Migliaia 25 3 3 4 2 3" xfId="44286" xr:uid="{DF70EFA8-6FE3-4482-9789-ABBEA2507049}"/>
    <cellStyle name="Migliaia 25 3 3 4 3" xfId="36454" xr:uid="{D6940269-F145-46CD-8813-58A256F23A73}"/>
    <cellStyle name="Migliaia 25 3 3 4 4" xfId="41635" xr:uid="{D7690F52-8021-4DB5-B9A1-014F7CA9E6EF}"/>
    <cellStyle name="Migliaia 25 3 3 4 5" xfId="24579" xr:uid="{4D7E8D7F-3037-4821-B1A1-97CC3C48D841}"/>
    <cellStyle name="Migliaia 25 3 3 5" xfId="24580" xr:uid="{5B9FB7BC-6C84-450E-BA9B-46923A783BBD}"/>
    <cellStyle name="Migliaia 25 3 3 5 2" xfId="33534" xr:uid="{FCAC9B53-B325-4DC5-98D9-2FE73B5055F8}"/>
    <cellStyle name="Migliaia 25 3 3 5 2 2" xfId="38985" xr:uid="{66218DF8-CC41-4C8D-AF56-15632891707A}"/>
    <cellStyle name="Migliaia 25 3 3 5 2 3" xfId="44287" xr:uid="{ADE58C7D-28B8-46B6-99D4-9CF0B1E5D793}"/>
    <cellStyle name="Migliaia 25 3 3 5 3" xfId="36455" xr:uid="{3A921EE0-C91F-4DE9-8BE0-FA88098DE738}"/>
    <cellStyle name="Migliaia 25 3 3 5 4" xfId="41636" xr:uid="{BB2E74E3-8D7D-427A-A66F-E42D7667E408}"/>
    <cellStyle name="Migliaia 25 3 3 6" xfId="33531" xr:uid="{1A49C565-3A87-40E9-8479-2334ABC37744}"/>
    <cellStyle name="Migliaia 25 3 3 6 2" xfId="38981" xr:uid="{DEF67D03-1072-45B6-82EE-159166C2F5E7}"/>
    <cellStyle name="Migliaia 25 3 3 6 3" xfId="44283" xr:uid="{DF9C67D2-BFDE-4F66-BD14-9228E95A853C}"/>
    <cellStyle name="Migliaia 25 3 3 7" xfId="36452" xr:uid="{E3087F98-2273-49A3-9777-D9CEB6AC3959}"/>
    <cellStyle name="Migliaia 25 3 3 8" xfId="41632" xr:uid="{4E4067CF-82E2-45DC-AC2A-064DCE2CF8A6}"/>
    <cellStyle name="Migliaia 25 3 3 9" xfId="16272" xr:uid="{C02E4602-CD57-4A46-AEF6-4A22560CD794}"/>
    <cellStyle name="Migliaia 25 3 4" xfId="3384" xr:uid="{2179D370-5BFC-4BEA-B418-9477C7656D49}"/>
    <cellStyle name="Migliaia 25 3 4 2" xfId="5110" xr:uid="{DA613D7C-E4DF-4DED-A2FB-D007332354FD}"/>
    <cellStyle name="Migliaia 25 3 4 2 2" xfId="14440" xr:uid="{9317B6B2-8D73-439E-A31F-23BF1F8E357B}"/>
    <cellStyle name="Migliaia 25 3 4 2 3" xfId="18558" xr:uid="{F3981253-5620-4BE4-9680-83F23668554C}"/>
    <cellStyle name="Migliaia 25 3 4 2 4" xfId="20196" xr:uid="{E26519A6-85DC-4A90-9518-4F5503627A19}"/>
    <cellStyle name="Migliaia 25 3 4 2 5" xfId="32349" xr:uid="{BA3A74B3-AA2A-4119-8E96-EBF30D205D58}"/>
    <cellStyle name="Migliaia 25 3 4 2 6" xfId="16275" xr:uid="{61589B27-136C-4BA3-957B-3CE6E982B920}"/>
    <cellStyle name="Migliaia 25 3 4 2 7" xfId="8863" xr:uid="{B829C178-CD57-4696-9A5E-8A1917EE0054}"/>
    <cellStyle name="Migliaia 25 3 4 3" xfId="6317" xr:uid="{CBDDF5FB-47F9-436C-B8DE-C8C4D08C48FF}"/>
    <cellStyle name="Migliaia 25 3 4 3 2" xfId="35244" xr:uid="{863389DE-2088-4934-9158-077F4FB3FE6C}"/>
    <cellStyle name="Migliaia 25 3 4 3 2 2" xfId="40404" xr:uid="{CED0775F-C7A3-4548-9288-FA1F8FA88690}"/>
    <cellStyle name="Migliaia 25 3 4 3 2 3" xfId="45706" xr:uid="{4E4FEBC5-E8C9-4389-9438-536E86185A99}"/>
    <cellStyle name="Migliaia 25 3 4 3 3" xfId="37753" xr:uid="{E910947D-B44F-45F8-BC28-6F14B9BBF901}"/>
    <cellStyle name="Migliaia 25 3 4 3 4" xfId="43055" xr:uid="{5FA97904-09D9-42BC-9BD3-3C13150314CC}"/>
    <cellStyle name="Migliaia 25 3 4 3 5" xfId="13688" xr:uid="{90F8A7CE-4A48-46EA-B677-4002B6103DC8}"/>
    <cellStyle name="Migliaia 25 3 4 4" xfId="20195" xr:uid="{C0779A43-9F1C-4EB5-BD5A-FFBC328C05AE}"/>
    <cellStyle name="Migliaia 25 3 4 4 2" xfId="38986" xr:uid="{62558E8D-56E1-4BEE-A994-574357AA5101}"/>
    <cellStyle name="Migliaia 25 3 4 4 3" xfId="44288" xr:uid="{CA9A9386-E16F-4F5C-AD36-B04C6FFC3EA6}"/>
    <cellStyle name="Migliaia 25 3 4 4 4" xfId="33535" xr:uid="{5CA22E74-CCF0-42A5-9B2B-47D7BC6D4BB3}"/>
    <cellStyle name="Migliaia 25 3 4 5" xfId="36456" xr:uid="{DCA7ACD7-15A3-4117-991B-AE9EBBFF579B}"/>
    <cellStyle name="Migliaia 25 3 4 6" xfId="41637" xr:uid="{2F55610D-7AF1-4073-9E33-0EF8C4BF1434}"/>
    <cellStyle name="Migliaia 25 3 4 7" xfId="16274" xr:uid="{8F774F52-B5F4-4F89-A530-92C6CE19C225}"/>
    <cellStyle name="Migliaia 25 3 4 8" xfId="7673" xr:uid="{F3ACBDD3-BE31-4CEF-BD87-B1F0136D9396}"/>
    <cellStyle name="Migliaia 25 3 5" xfId="3385" xr:uid="{56732586-3F6C-45FF-881A-D07ECFF4A7AC}"/>
    <cellStyle name="Migliaia 25 3 5 2" xfId="5111" xr:uid="{F29011E9-BE7C-4C98-871B-424FB8A534AA}"/>
    <cellStyle name="Migliaia 25 3 5 2 2" xfId="35245" xr:uid="{170BCCB6-EC89-45AA-8AFB-54DF0D946C3E}"/>
    <cellStyle name="Migliaia 25 3 5 2 2 2" xfId="40405" xr:uid="{6CF61764-54AB-4736-9CC8-5AF925567A99}"/>
    <cellStyle name="Migliaia 25 3 5 2 2 3" xfId="45707" xr:uid="{847AB4E5-50F2-4FDA-ADAD-CC9745338EE1}"/>
    <cellStyle name="Migliaia 25 3 5 2 3" xfId="37754" xr:uid="{0E809514-3DB4-4356-BFCF-A9D161971CB3}"/>
    <cellStyle name="Migliaia 25 3 5 2 4" xfId="43056" xr:uid="{C1ACED36-9DD1-4010-ABCE-55B83308AEA9}"/>
    <cellStyle name="Migliaia 25 3 5 2 5" xfId="14232" xr:uid="{513B836E-9EA3-4762-87D0-850B28F11DE5}"/>
    <cellStyle name="Migliaia 25 3 5 3" xfId="6318" xr:uid="{C15C2ECC-4E73-413F-A6EE-9C73B985135B}"/>
    <cellStyle name="Migliaia 25 3 5 3 2" xfId="38987" xr:uid="{7D4DD59E-3F2C-498B-AF0F-CBB2BF59CF41}"/>
    <cellStyle name="Migliaia 25 3 5 3 3" xfId="44289" xr:uid="{7DD09088-D59B-4547-9945-3C6A1D164207}"/>
    <cellStyle name="Migliaia 25 3 5 3 4" xfId="33536" xr:uid="{F4F99B6C-DFCA-480E-B92F-2E837330983D}"/>
    <cellStyle name="Migliaia 25 3 5 3 5" xfId="20197" xr:uid="{1AF6BA8C-B954-403B-B7D1-1D02F591A405}"/>
    <cellStyle name="Migliaia 25 3 5 4" xfId="36457" xr:uid="{50E07E36-BCDA-4390-B8B7-56F28317288A}"/>
    <cellStyle name="Migliaia 25 3 5 5" xfId="41638" xr:uid="{659215E0-461D-476D-A1BA-AB17B1509F9C}"/>
    <cellStyle name="Migliaia 25 3 5 6" xfId="16276" xr:uid="{A49904C6-E58F-4BD9-8827-4D553712F76D}"/>
    <cellStyle name="Migliaia 25 3 5 7" xfId="8294" xr:uid="{9CB00F2D-B7F0-4456-9727-D63E51B404F7}"/>
    <cellStyle name="Migliaia 25 3 6" xfId="5106" xr:uid="{0737920A-D815-4BA4-AB04-FA5FFCBCF28D}"/>
    <cellStyle name="Migliaia 25 3 6 2" xfId="13937" xr:uid="{1B5FCC12-4FDC-467F-A9C3-BFAC09CCF259}"/>
    <cellStyle name="Migliaia 25 3 6 2 2" xfId="38988" xr:uid="{5BFDBD6C-1DB5-45D8-8FC5-15FC6FBDFBC1}"/>
    <cellStyle name="Migliaia 25 3 6 2 3" xfId="44290" xr:uid="{CE0BC781-BEB6-4F60-A1AF-C0C2E21E0F30}"/>
    <cellStyle name="Migliaia 25 3 6 3" xfId="18018" xr:uid="{022D364C-ED4D-40B4-8475-0AD68642A723}"/>
    <cellStyle name="Migliaia 25 3 6 4" xfId="20198" xr:uid="{2810BB0D-4F9E-445C-A3DF-486C74339B98}"/>
    <cellStyle name="Migliaia 25 3 6 4 2" xfId="41639" xr:uid="{F8B64989-CE00-4E45-AFE0-449C038D7210}"/>
    <cellStyle name="Migliaia 25 3 6 5" xfId="16277" xr:uid="{F59F7098-432F-4B23-8D8C-CDEE99D26A63}"/>
    <cellStyle name="Migliaia 25 3 6 6" xfId="7892" xr:uid="{D818D623-0E97-4148-903A-A2039243C3E2}"/>
    <cellStyle name="Migliaia 25 3 7" xfId="6313" xr:uid="{DEA93F8C-33F5-46D7-9F4F-D4918F728C95}"/>
    <cellStyle name="Migliaia 25 3 7 2" xfId="33537" xr:uid="{DF61B5EC-1968-46A1-91DB-6902564BF46B}"/>
    <cellStyle name="Migliaia 25 3 7 2 2" xfId="38989" xr:uid="{59CDCEA2-69BE-482E-9972-CCE3B21E79C6}"/>
    <cellStyle name="Migliaia 25 3 7 2 3" xfId="44291" xr:uid="{B8A61CB8-9F65-400B-8CAB-B00771639B20}"/>
    <cellStyle name="Migliaia 25 3 7 3" xfId="36458" xr:uid="{85F64227-E586-4E5E-B4DB-E94371341F8A}"/>
    <cellStyle name="Migliaia 25 3 7 4" xfId="41640" xr:uid="{6D1D820D-6C3E-400D-BF11-F42777E4E9BB}"/>
    <cellStyle name="Migliaia 25 3 7 5" xfId="12241" xr:uid="{3FBC6C3C-3D56-45E8-BCE3-3082F40B0720}"/>
    <cellStyle name="Migliaia 25 3 8" xfId="3380" xr:uid="{EE025904-31A6-4BCF-B004-0B4D13483796}"/>
    <cellStyle name="Migliaia 25 3 8 2" xfId="33538" xr:uid="{5F194DCA-5854-4283-A668-321E11A36C16}"/>
    <cellStyle name="Migliaia 25 3 8 2 2" xfId="38990" xr:uid="{A45078E0-BEA9-452F-B5F2-A3647147128F}"/>
    <cellStyle name="Migliaia 25 3 8 2 3" xfId="44292" xr:uid="{9C663C70-693F-49F2-86A2-73DB1B1CEC68}"/>
    <cellStyle name="Migliaia 25 3 8 3" xfId="36459" xr:uid="{D9BA8D54-C414-4824-8EB3-DBE50D6F293C}"/>
    <cellStyle name="Migliaia 25 3 8 4" xfId="41641" xr:uid="{4EC67972-BFBA-4D1C-B947-7E0013BD97FD}"/>
    <cellStyle name="Migliaia 25 3 8 5" xfId="24581" xr:uid="{55153C4E-10DA-4515-BAF1-EF1C4CA9C853}"/>
    <cellStyle name="Migliaia 25 3 8 6" xfId="17376" xr:uid="{EAF9F3D0-2F24-41E7-8D00-12C7E08BD2E5}"/>
    <cellStyle name="Migliaia 25 3 9" xfId="20189" xr:uid="{25635347-9665-45C9-8526-D4ADF31FAF52}"/>
    <cellStyle name="Migliaia 25 4" xfId="1743" xr:uid="{00000000-0005-0000-0000-00005E030000}"/>
    <cellStyle name="Migliaia 25 4 2" xfId="1744" xr:uid="{00000000-0005-0000-0000-00005F030000}"/>
    <cellStyle name="Migliaia 25 4 2 2" xfId="5113" xr:uid="{C8967D44-7B2E-4623-ABD8-C349880A29F5}"/>
    <cellStyle name="Migliaia 25 4 2 2 2" xfId="33539" xr:uid="{0CF92DFA-5C67-4E75-91D5-881E46188836}"/>
    <cellStyle name="Migliaia 25 4 2 2 2 2" xfId="38991" xr:uid="{BCB84286-F34A-43DE-9FE8-4C0F14B633B7}"/>
    <cellStyle name="Migliaia 25 4 2 2 2 3" xfId="44293" xr:uid="{FA696F8A-6F83-4298-9B3E-097001931627}"/>
    <cellStyle name="Migliaia 25 4 2 2 3" xfId="36460" xr:uid="{E5B9C69F-08B1-4B3C-B420-6FFCE77FDE7E}"/>
    <cellStyle name="Migliaia 25 4 2 2 4" xfId="41642" xr:uid="{366D83B9-A424-488C-8F05-63DC12E0941A}"/>
    <cellStyle name="Migliaia 25 4 2 2 5" xfId="9142" xr:uid="{6475613E-2664-4833-885C-2722C63E2D59}"/>
    <cellStyle name="Migliaia 25 4 2 3" xfId="3387" xr:uid="{1F1B7C10-BC84-4C9F-A75B-4C275BD8590B}"/>
    <cellStyle name="Migliaia 25 4 2 3 2" xfId="33540" xr:uid="{2660F1F0-4C89-430A-8E28-DD5C34435F70}"/>
    <cellStyle name="Migliaia 25 4 2 3 2 2" xfId="38992" xr:uid="{D0432658-C2DF-4B21-B4A5-0AA4FDCD585C}"/>
    <cellStyle name="Migliaia 25 4 2 3 2 3" xfId="44294" xr:uid="{18FCFD82-1225-4AA8-9354-AFF37A479C2F}"/>
    <cellStyle name="Migliaia 25 4 2 3 3" xfId="36461" xr:uid="{D117CAEF-6443-4713-A0BE-533D066B7E83}"/>
    <cellStyle name="Migliaia 25 4 2 3 4" xfId="41643" xr:uid="{DE6D5F1C-2C30-4835-9FC2-917B9D747556}"/>
    <cellStyle name="Migliaia 25 4 2 3 5" xfId="11957" xr:uid="{5A8E75AE-E482-4D5A-BE1E-30242A0AB671}"/>
    <cellStyle name="Migliaia 25 4 2 4" xfId="11306" xr:uid="{5918C730-783C-4311-B39F-7E9ED0BE2134}"/>
    <cellStyle name="Migliaia 25 4 2 5" xfId="10821" xr:uid="{6C581FD9-F0FE-4928-9FC2-57CEC33F89EE}"/>
    <cellStyle name="Migliaia 25 4 2 5 2" xfId="21456" xr:uid="{C212BFB7-2156-4D05-8DC4-CF8EB31DC22D}"/>
    <cellStyle name="Migliaia 25 4 2 5 3" xfId="34548" xr:uid="{37B3290A-8169-46F2-8081-F24E63AE6372}"/>
    <cellStyle name="Migliaia 25 4 2 5 4" xfId="50471" xr:uid="{E7B9A1CD-AC52-4566-8799-9C152976B9DF}"/>
    <cellStyle name="Migliaia 25 4 2 5 5" xfId="53487" xr:uid="{B368DA8F-3B68-4DEB-8DBD-C3EB11B913BE}"/>
    <cellStyle name="Migliaia 25 4 2 6" xfId="20200" xr:uid="{1E0C19EB-1A0D-4FB8-80B6-4F30060ECA06}"/>
    <cellStyle name="Migliaia 25 4 2 7" xfId="24583" xr:uid="{6841F793-6488-42C7-8425-7844D5A7FEA0}"/>
    <cellStyle name="Migliaia 25 4 2 8" xfId="8586" xr:uid="{1E0E5CFA-1FC6-4CBF-8469-F1B3A51FB7B5}"/>
    <cellStyle name="Migliaia 25 4 3" xfId="5112" xr:uid="{2CB245E1-F9A9-423A-95EF-E30DB1830F0F}"/>
    <cellStyle name="Migliaia 25 4 3 2" xfId="18197" xr:uid="{2E7AC88F-AA29-4421-8A9D-A6CA6E36AF9C}"/>
    <cellStyle name="Migliaia 25 4 3 2 2" xfId="38993" xr:uid="{71057637-A039-4059-A2B7-0642578D82B9}"/>
    <cellStyle name="Migliaia 25 4 3 2 3" xfId="44295" xr:uid="{12C1F427-D6EB-43D2-AF26-D56303D1BC58}"/>
    <cellStyle name="Migliaia 25 4 3 3" xfId="36462" xr:uid="{FB37418D-69D5-4D06-97DF-95BD53720142}"/>
    <cellStyle name="Migliaia 25 4 3 4" xfId="41644" xr:uid="{D6675FC4-C27C-4746-A9AF-31E8A6EE6D2E}"/>
    <cellStyle name="Migliaia 25 4 3 5" xfId="17374" xr:uid="{82F2BCE4-377A-4302-BA4D-AFE92D5D903F}"/>
    <cellStyle name="Migliaia 25 4 3 6" xfId="9143" xr:uid="{E58EA838-4C5F-46C5-8E69-808816D673C4}"/>
    <cellStyle name="Migliaia 25 4 4" xfId="6319" xr:uid="{24F0AD00-8805-457E-B063-B61950A03C91}"/>
    <cellStyle name="Migliaia 25 4 4 2" xfId="33541" xr:uid="{1DABD470-D248-4305-B9C2-B1A856507B33}"/>
    <cellStyle name="Migliaia 25 4 4 2 2" xfId="38994" xr:uid="{66489B92-A5F1-4437-AC4F-87BD054FC702}"/>
    <cellStyle name="Migliaia 25 4 4 2 3" xfId="44296" xr:uid="{2F4CEDCC-D3C3-4326-96E1-645428F2E396}"/>
    <cellStyle name="Migliaia 25 4 4 3" xfId="36463" xr:uid="{987FF55E-9FEA-46DD-B898-45C278C51569}"/>
    <cellStyle name="Migliaia 25 4 4 4" xfId="41645" xr:uid="{DE5BC7F7-DF62-48D0-94D4-FED9174048C1}"/>
    <cellStyle name="Migliaia 25 4 4 5" xfId="11958" xr:uid="{F19801BE-9080-4841-A36A-D289531C82DE}"/>
    <cellStyle name="Migliaia 25 4 5" xfId="3386" xr:uid="{8BA3486A-48A8-46D1-96A8-844397F9B1EE}"/>
    <cellStyle name="Migliaia 25 4 5 2" xfId="33542" xr:uid="{86A91863-DFB2-4D83-9095-03302E2B0D48}"/>
    <cellStyle name="Migliaia 25 4 5 2 2" xfId="38995" xr:uid="{78CE95A8-4682-4034-868A-88B76B5F4C39}"/>
    <cellStyle name="Migliaia 25 4 5 2 3" xfId="44297" xr:uid="{07FA83FB-153B-43D3-A3FB-4B87C49D6851}"/>
    <cellStyle name="Migliaia 25 4 5 3" xfId="36464" xr:uid="{74401987-DFB4-427C-A131-99DE9A6846E7}"/>
    <cellStyle name="Migliaia 25 4 5 4" xfId="41646" xr:uid="{8D2E905F-16DC-40B0-8172-C2CF537B514F}"/>
    <cellStyle name="Migliaia 25 4 5 5" xfId="11305" xr:uid="{4A3A96DB-2CCF-47B5-B624-9ECBC1087CF5}"/>
    <cellStyle name="Migliaia 25 4 6" xfId="10820" xr:uid="{0A80270D-1507-4C5E-9338-D94556EC7437}"/>
    <cellStyle name="Migliaia 25 4 6 2" xfId="21455" xr:uid="{A3550E7E-A427-412F-AA92-43F4FD90EB0F}"/>
    <cellStyle name="Migliaia 25 4 6 2 2" xfId="38996" xr:uid="{D1A9DE57-F16F-4FB8-9C17-559D65407AFD}"/>
    <cellStyle name="Migliaia 25 4 6 2 3" xfId="44298" xr:uid="{5513DEC5-154B-476D-8741-157AE9E71DD6}"/>
    <cellStyle name="Migliaia 25 4 6 2 4" xfId="33543" xr:uid="{DA0118C5-99CE-4378-9A99-60CE0096EFB4}"/>
    <cellStyle name="Migliaia 25 4 6 3" xfId="36465" xr:uid="{37D986C5-210B-4D18-B7E0-84EE5609F89E}"/>
    <cellStyle name="Migliaia 25 4 6 4" xfId="41647" xr:uid="{C0A1DBED-9978-4DE3-9DDB-565745490A08}"/>
    <cellStyle name="Migliaia 25 4 6 5" xfId="24584" xr:uid="{B51E1AC2-8160-4C1D-B5C2-579D5EC66B0C}"/>
    <cellStyle name="Migliaia 25 4 6 6" xfId="48174" xr:uid="{E2B17CE3-7779-47BC-96D5-7664C4A73EEF}"/>
    <cellStyle name="Migliaia 25 4 6 7" xfId="50470" xr:uid="{9BA14BFC-162D-4447-A9B2-1D3E33909F1C}"/>
    <cellStyle name="Migliaia 25 4 6 8" xfId="53486" xr:uid="{A1745A46-1A03-427D-9939-29881EEB330F}"/>
    <cellStyle name="Migliaia 25 4 7" xfId="20199" xr:uid="{C01C3F6E-9539-4EA8-B6E1-56623DF59C93}"/>
    <cellStyle name="Migliaia 25 4 7 2" xfId="33544" xr:uid="{5639BB23-9572-4458-A09F-9C1EE5A8E2E2}"/>
    <cellStyle name="Migliaia 25 4 7 2 2" xfId="38997" xr:uid="{46634640-CE6F-4975-8CA0-839055AF88D5}"/>
    <cellStyle name="Migliaia 25 4 7 2 3" xfId="44299" xr:uid="{5B87A785-8B00-427D-8488-0C5088D24510}"/>
    <cellStyle name="Migliaia 25 4 7 3" xfId="36466" xr:uid="{2E1B044B-9A3E-451C-955D-964A2CDA7B58}"/>
    <cellStyle name="Migliaia 25 4 7 4" xfId="41648" xr:uid="{035ABFC4-7FC4-4E7E-9D22-5B4385491A07}"/>
    <cellStyle name="Migliaia 25 4 7 5" xfId="24585" xr:uid="{5C2D5C22-DA78-445D-8CCA-FC796BE03EAF}"/>
    <cellStyle name="Migliaia 25 4 8" xfId="24582" xr:uid="{11C783B7-DA96-462B-A154-FE73B5416021}"/>
    <cellStyle name="Migliaia 25 4 9" xfId="7396" xr:uid="{5202003E-A921-4750-BF9D-1CE263527F6F}"/>
    <cellStyle name="Migliaia 25 5" xfId="1745" xr:uid="{00000000-0005-0000-0000-000060030000}"/>
    <cellStyle name="Migliaia 25 5 2" xfId="5114" xr:uid="{4E44C6E5-28FB-4D83-AA61-F336D98F7E36}"/>
    <cellStyle name="Migliaia 25 5 2 2" xfId="18415" xr:uid="{5D753F52-62AC-403D-A86E-2D94BB163129}"/>
    <cellStyle name="Migliaia 25 5 2 2 2" xfId="38998" xr:uid="{29A360AA-6E01-42B3-B89A-957270D05E88}"/>
    <cellStyle name="Migliaia 25 5 2 2 3" xfId="44300" xr:uid="{CD8B2466-DA83-43B8-BF43-B66A31A05F26}"/>
    <cellStyle name="Migliaia 25 5 2 3" xfId="20202" xr:uid="{E0FEB416-3DA5-4D41-AD37-6FC1C502C9F8}"/>
    <cellStyle name="Migliaia 25 5 2 3 2" xfId="36467" xr:uid="{AC8EBFB9-D31B-439D-B7D9-C679513C0C87}"/>
    <cellStyle name="Migliaia 25 5 2 4" xfId="41649" xr:uid="{497E2D39-3E51-4118-B45F-376D620E24AA}"/>
    <cellStyle name="Migliaia 25 5 2 5" xfId="16278" xr:uid="{6D01FCA7-F84E-4370-A668-3EACF43AA1F4}"/>
    <cellStyle name="Migliaia 25 5 2 6" xfId="8587" xr:uid="{455105A0-7811-4EFC-99BE-6BFD90D9749D}"/>
    <cellStyle name="Migliaia 25 5 3" xfId="6320" xr:uid="{3A354204-69BF-44BA-8EF3-25AAB17A801D}"/>
    <cellStyle name="Migliaia 25 5 3 2" xfId="33545" xr:uid="{39AE7229-6732-4A84-9628-44C3B0463FD0}"/>
    <cellStyle name="Migliaia 25 5 3 2 2" xfId="38999" xr:uid="{083ECC18-F4D2-4363-BE15-4CF32CFDA670}"/>
    <cellStyle name="Migliaia 25 5 3 2 3" xfId="44301" xr:uid="{7224CC0A-19E2-4D14-9AF1-77D5A92C6D08}"/>
    <cellStyle name="Migliaia 25 5 3 3" xfId="36468" xr:uid="{3DCBCB34-217C-4F77-828F-4B9DE7BA88D3}"/>
    <cellStyle name="Migliaia 25 5 3 4" xfId="41650" xr:uid="{CF1FA9A1-4AFD-4D5A-B3C8-CCC26D4F88DC}"/>
    <cellStyle name="Migliaia 25 5 3 5" xfId="11307" xr:uid="{807A946A-A326-47F7-B081-A4841130708D}"/>
    <cellStyle name="Migliaia 25 5 4" xfId="3388" xr:uid="{3770EF6E-6EDC-498E-919D-F229028F4B42}"/>
    <cellStyle name="Migliaia 25 5 4 2" xfId="21457" xr:uid="{413F62C5-418D-43E5-8A7D-DA39EE4E18FC}"/>
    <cellStyle name="Migliaia 25 5 4 2 2" xfId="39000" xr:uid="{790AD67C-AB27-4AB0-BCA2-5F1739B07C7F}"/>
    <cellStyle name="Migliaia 25 5 4 2 3" xfId="44302" xr:uid="{1C2F9074-086D-433D-95C7-7DE6F8E586F7}"/>
    <cellStyle name="Migliaia 25 5 4 2 4" xfId="33546" xr:uid="{96679DAD-7052-47E6-B593-36BBD4E15AD6}"/>
    <cellStyle name="Migliaia 25 5 4 3" xfId="36469" xr:uid="{2B8627F5-A3F8-422C-A066-3F88B882D0A3}"/>
    <cellStyle name="Migliaia 25 5 4 4" xfId="41651" xr:uid="{CDF5D065-CD4B-4CD3-9501-F3EB9C48A2D6}"/>
    <cellStyle name="Migliaia 25 5 4 5" xfId="24587" xr:uid="{453318C6-2FDC-48AC-83C1-7C55784DBB9D}"/>
    <cellStyle name="Migliaia 25 5 4 6" xfId="47392" xr:uid="{75ADC991-5634-4B27-970B-4118AF28F17F}"/>
    <cellStyle name="Migliaia 25 5 4 7" xfId="50472" xr:uid="{07107387-150A-439F-A4D4-CA5ED4BC311D}"/>
    <cellStyle name="Migliaia 25 5 4 8" xfId="53488" xr:uid="{0F7FDF16-AE18-44A0-992C-958CF09CA4AB}"/>
    <cellStyle name="Migliaia 25 5 4 9" xfId="10822" xr:uid="{11A795A7-4D0E-42DE-9141-6CE95595FAFA}"/>
    <cellStyle name="Migliaia 25 5 5" xfId="20201" xr:uid="{110A2205-657E-46DF-847C-7EFF694FBAFA}"/>
    <cellStyle name="Migliaia 25 5 5 2" xfId="33547" xr:uid="{FD5E62AF-CF3D-4BA6-91F6-1479ECDFE0B4}"/>
    <cellStyle name="Migliaia 25 5 5 2 2" xfId="39001" xr:uid="{D53C0AD5-8AB6-405C-9848-CD9B3DCDC979}"/>
    <cellStyle name="Migliaia 25 5 5 2 3" xfId="44303" xr:uid="{A3F05B4B-0EB7-4003-BE00-11634AECB30D}"/>
    <cellStyle name="Migliaia 25 5 5 3" xfId="36470" xr:uid="{8B6334A5-7F34-4BC1-811F-549766F6A136}"/>
    <cellStyle name="Migliaia 25 5 5 4" xfId="41652" xr:uid="{58FD2286-6E43-4156-BFD3-1B0F4509F849}"/>
    <cellStyle name="Migliaia 25 5 5 5" xfId="24588" xr:uid="{E959279A-51F2-48F1-BDB6-8A53A00A2D94}"/>
    <cellStyle name="Migliaia 25 5 6" xfId="24589" xr:uid="{039CD4B4-A345-4855-AE37-088B04C649E4}"/>
    <cellStyle name="Migliaia 25 5 6 2" xfId="33548" xr:uid="{55B4AC7E-9314-4348-BB28-BB0BDA026DD7}"/>
    <cellStyle name="Migliaia 25 5 6 2 2" xfId="39002" xr:uid="{C0B0D485-1B1C-45F6-AED8-CC64BD9678D2}"/>
    <cellStyle name="Migliaia 25 5 6 2 3" xfId="44304" xr:uid="{E092FE4A-ACA1-4C77-9598-831F231DDE64}"/>
    <cellStyle name="Migliaia 25 5 6 3" xfId="36471" xr:uid="{7EA828E6-07DC-4170-962A-9D0DEE3A7C7B}"/>
    <cellStyle name="Migliaia 25 5 6 4" xfId="41653" xr:uid="{C5CB3531-8BF3-450E-A6F5-F753F76B23C5}"/>
    <cellStyle name="Migliaia 25 5 7" xfId="24586" xr:uid="{3B7D819A-D302-4FEE-A9ED-8E1D116F5B9D}"/>
    <cellStyle name="Migliaia 25 5 8" xfId="7397" xr:uid="{41A1C411-25A1-4914-9DF5-B4231EEB3855}"/>
    <cellStyle name="Migliaia 25 6" xfId="3389" xr:uid="{C9507F08-C135-425A-B205-EC89A86A952F}"/>
    <cellStyle name="Migliaia 25 6 2" xfId="5115" xr:uid="{E6018C63-CC0D-4948-A419-BA07D349F2E6}"/>
    <cellStyle name="Migliaia 25 6 2 2" xfId="9915" xr:uid="{EC25025B-E52C-4285-A095-C8A1408B2ACD}"/>
    <cellStyle name="Migliaia 25 6 2 3" xfId="18663" xr:uid="{7C4B2CB9-647C-4F15-B55B-E86C51E80245}"/>
    <cellStyle name="Migliaia 25 6 2 4" xfId="20204" xr:uid="{5014F6A8-F2A9-43F3-A568-484F9E352E3C}"/>
    <cellStyle name="Migliaia 25 6 2 5" xfId="32350" xr:uid="{4522732D-C25A-4014-830D-E2861C5761D2}"/>
    <cellStyle name="Migliaia 25 6 2 6" xfId="16280" xr:uid="{F62366EA-A57D-4D26-A4D6-018002A5E732}"/>
    <cellStyle name="Migliaia 25 6 2 7" xfId="8582" xr:uid="{38627AA2-DBB6-415A-AB27-1C16EF2EFF9D}"/>
    <cellStyle name="Migliaia 25 6 3" xfId="6321" xr:uid="{9212697E-7D73-454A-A6A0-E92A65E0A799}"/>
    <cellStyle name="Migliaia 25 6 3 2" xfId="35246" xr:uid="{B932E24C-B3AA-4D98-BEB7-0E68A5AC46FA}"/>
    <cellStyle name="Migliaia 25 6 3 2 2" xfId="40406" xr:uid="{E63511F7-61DE-45FC-9A0B-798F21F47593}"/>
    <cellStyle name="Migliaia 25 6 3 2 3" xfId="45708" xr:uid="{CF3D4A9A-68CB-4CF9-AC63-2B68D68F05C2}"/>
    <cellStyle name="Migliaia 25 6 3 3" xfId="37755" xr:uid="{7E863D65-A8B4-4128-8BEF-FD5012E530F4}"/>
    <cellStyle name="Migliaia 25 6 3 4" xfId="43057" xr:uid="{6C9202A1-9A88-478D-A929-425BAD2D4FF7}"/>
    <cellStyle name="Migliaia 25 6 3 5" xfId="9678" xr:uid="{22347767-0F46-4F4A-94E6-B5120DAC0891}"/>
    <cellStyle name="Migliaia 25 6 4" xfId="20203" xr:uid="{7E9F3AF9-0BCE-4E80-8C4B-3690F2EF866B}"/>
    <cellStyle name="Migliaia 25 6 4 2" xfId="39003" xr:uid="{2A5E3CF5-9A7B-4FD6-895F-985C4EFDBBC3}"/>
    <cellStyle name="Migliaia 25 6 4 3" xfId="44305" xr:uid="{9329BB3B-B17B-42B1-85E6-C33E0E3A61E2}"/>
    <cellStyle name="Migliaia 25 6 4 4" xfId="33549" xr:uid="{98409F07-DBE0-45B0-9338-C5EC2E03BD88}"/>
    <cellStyle name="Migliaia 25 6 5" xfId="36472" xr:uid="{310F4F5C-C542-4028-99FA-20EE9C431891}"/>
    <cellStyle name="Migliaia 25 6 6" xfId="41654" xr:uid="{361DE549-82F7-493B-B3A6-8F4D8C014529}"/>
    <cellStyle name="Migliaia 25 6 7" xfId="16279" xr:uid="{BE134A42-386D-4253-914A-F964611AD437}"/>
    <cellStyle name="Migliaia 25 6 8" xfId="7392" xr:uid="{66666B04-CA4C-434A-A4A8-A4D8E7F8D37D}"/>
    <cellStyle name="Migliaia 25 7" xfId="3390" xr:uid="{E738E352-FC1E-45E9-942A-19AF280442E0}"/>
    <cellStyle name="Migliaia 25 7 2" xfId="5116" xr:uid="{9A028157-BAC1-4BD2-8309-DBB5D48B9980}"/>
    <cellStyle name="Migliaia 25 7 2 2" xfId="35247" xr:uid="{7A55DE9C-A726-4206-9F5B-00E241701E44}"/>
    <cellStyle name="Migliaia 25 7 2 2 2" xfId="40407" xr:uid="{D1242F95-1C7B-49DA-BFBF-2AA965F99B6F}"/>
    <cellStyle name="Migliaia 25 7 2 2 3" xfId="45709" xr:uid="{5FE3BB9B-3028-473C-907A-8A00D9652571}"/>
    <cellStyle name="Migliaia 25 7 2 3" xfId="37756" xr:uid="{03541401-D935-452C-A263-02957A04C3B5}"/>
    <cellStyle name="Migliaia 25 7 2 4" xfId="43058" xr:uid="{84B2522C-E922-4F2E-9A06-F6D31CBFC6CB}"/>
    <cellStyle name="Migliaia 25 7 2 5" xfId="14230" xr:uid="{060FA4D6-3F49-48AE-8209-EA61540727D8}"/>
    <cellStyle name="Migliaia 25 7 3" xfId="6322" xr:uid="{C623761F-2348-4F35-A140-AC458B24566C}"/>
    <cellStyle name="Migliaia 25 7 3 2" xfId="39004" xr:uid="{724E762C-8F1A-4AA7-9927-40403A229777}"/>
    <cellStyle name="Migliaia 25 7 3 3" xfId="44306" xr:uid="{2A053F17-B2CF-41DD-8793-A19D5266A1DA}"/>
    <cellStyle name="Migliaia 25 7 3 4" xfId="33550" xr:uid="{E65B861D-6758-4FDE-A834-F04A2497BFD0}"/>
    <cellStyle name="Migliaia 25 7 3 5" xfId="20205" xr:uid="{06638A71-68DC-427C-9615-263E8C98683D}"/>
    <cellStyle name="Migliaia 25 7 4" xfId="36473" xr:uid="{5A537F1E-F007-41BA-BE58-A0C8E369D6A9}"/>
    <cellStyle name="Migliaia 25 7 5" xfId="41655" xr:uid="{A7F7E61A-5D33-4CDA-8176-532ED255F7B0}"/>
    <cellStyle name="Migliaia 25 7 6" xfId="16281" xr:uid="{06227772-651C-4966-AF44-93BF7F35C8E3}"/>
    <cellStyle name="Migliaia 25 7 7" xfId="8292" xr:uid="{0027C7F8-84A6-4921-884D-12FE9CE61241}"/>
    <cellStyle name="Migliaia 25 8" xfId="3391" xr:uid="{9F55D917-FEE2-4804-9B25-3877895AB57A}"/>
    <cellStyle name="Migliaia 25 8 2" xfId="5117" xr:uid="{70455402-5E33-47C6-80D0-6153538BAD5F}"/>
    <cellStyle name="Migliaia 25 8 2 2" xfId="35248" xr:uid="{1137C781-5C66-4B08-AA91-391250C3E4E8}"/>
    <cellStyle name="Migliaia 25 8 2 2 2" xfId="40408" xr:uid="{19493C3A-4FF7-44B7-9824-D8554A8D30F5}"/>
    <cellStyle name="Migliaia 25 8 2 2 3" xfId="45710" xr:uid="{00886C04-EE98-4E3C-8C91-000C82AB8293}"/>
    <cellStyle name="Migliaia 25 8 2 3" xfId="37757" xr:uid="{8CCA2C6D-FDE8-4C4B-9AEE-72CFB5B296D5}"/>
    <cellStyle name="Migliaia 25 8 2 4" xfId="43059" xr:uid="{D667350A-8AA0-4D1A-902D-31F280412930}"/>
    <cellStyle name="Migliaia 25 8 2 5" xfId="13935" xr:uid="{E181FA8C-CBA4-487E-9BD4-0AE61F327B21}"/>
    <cellStyle name="Migliaia 25 8 3" xfId="6323" xr:uid="{E8243C1C-E378-4576-AD2A-9B811D9B47EA}"/>
    <cellStyle name="Migliaia 25 8 3 2" xfId="39005" xr:uid="{31FADC71-D425-49F5-89E7-6CDAFABD4EF0}"/>
    <cellStyle name="Migliaia 25 8 3 3" xfId="44307" xr:uid="{6917C928-5B6D-4BBE-9026-44C435A25C31}"/>
    <cellStyle name="Migliaia 25 8 3 4" xfId="33551" xr:uid="{EF83DE95-A8B7-4662-BDAA-260B61893DD9}"/>
    <cellStyle name="Migliaia 25 8 3 5" xfId="20206" xr:uid="{7FF2A742-C67E-463E-8AFF-BDC4AAD20BEE}"/>
    <cellStyle name="Migliaia 25 8 4" xfId="36474" xr:uid="{D7ABD42D-1799-40AF-9DDC-108ABCB6F2B3}"/>
    <cellStyle name="Migliaia 25 8 5" xfId="41656" xr:uid="{A3A9A0AC-756E-4B8A-92D8-72D1621E6A96}"/>
    <cellStyle name="Migliaia 25 8 6" xfId="16282" xr:uid="{A1CCDDBD-7858-4FF8-8246-D7AB162A0B73}"/>
    <cellStyle name="Migliaia 25 8 7" xfId="7890" xr:uid="{A45E6F53-1297-4880-89B8-1530778EACB4}"/>
    <cellStyle name="Migliaia 25 9" xfId="5102" xr:uid="{6746DBF4-E6A0-4B39-8760-2202718C7857}"/>
    <cellStyle name="Migliaia 25 9 2" xfId="33552" xr:uid="{9249E368-13CA-4BC3-BDF5-03A1D1A61580}"/>
    <cellStyle name="Migliaia 25 9 2 2" xfId="39006" xr:uid="{B8E1CD10-AC83-439A-851D-C4D01F2C13CC}"/>
    <cellStyle name="Migliaia 25 9 2 3" xfId="44308" xr:uid="{10BF912C-2ABA-4761-948F-454B4B2999AE}"/>
    <cellStyle name="Migliaia 25 9 3" xfId="36475" xr:uid="{24BDC766-985B-4414-83F1-81D195460E58}"/>
    <cellStyle name="Migliaia 25 9 4" xfId="41657" xr:uid="{45BF5D6C-3175-4033-8435-C8AA3A59E40C}"/>
    <cellStyle name="Migliaia 25 9 5" xfId="17169" xr:uid="{782487CB-A1D4-44FD-B88D-B8FC3F98E308}"/>
    <cellStyle name="Migliaia 26" xfId="373" xr:uid="{00000000-0005-0000-0000-000061030000}"/>
    <cellStyle name="Migliaia 26 10" xfId="6324" xr:uid="{B94B6870-70A4-4A3F-8DB9-6021DDE7FCF8}"/>
    <cellStyle name="Migliaia 26 10 2" xfId="39007" xr:uid="{0366C846-430B-47F4-AD86-D311FAE7190F}"/>
    <cellStyle name="Migliaia 26 10 3" xfId="44309" xr:uid="{2AA19895-B25C-4F1C-A2A1-2AD7D157D62C}"/>
    <cellStyle name="Migliaia 26 10 4" xfId="33553" xr:uid="{F201DD83-1747-4AA3-B703-6F31DFAFAEC5}"/>
    <cellStyle name="Migliaia 26 10 5" xfId="20207" xr:uid="{84041A25-3585-43A1-8000-45CB97F79902}"/>
    <cellStyle name="Migliaia 26 11" xfId="3392" xr:uid="{1A543CDA-2819-4F71-A605-AA2F81D6459E}"/>
    <cellStyle name="Migliaia 26 11 2" xfId="36476" xr:uid="{949EE54A-B501-43B6-B47B-AE48AB6AF66E}"/>
    <cellStyle name="Migliaia 26 12" xfId="41658" xr:uid="{4A4734CD-6C8E-41AC-867B-F01C10DA3807}"/>
    <cellStyle name="Migliaia 26 13" xfId="7096" xr:uid="{D3F4CA99-358E-490D-A36F-16ABB45B1B60}"/>
    <cellStyle name="Migliaia 26 2" xfId="374" xr:uid="{00000000-0005-0000-0000-000062030000}"/>
    <cellStyle name="Migliaia 26 2 2" xfId="1746" xr:uid="{00000000-0005-0000-0000-000063030000}"/>
    <cellStyle name="Migliaia 26 2 2 2" xfId="5120" xr:uid="{F8C76102-37B0-4D25-82BC-769B73AFB431}"/>
    <cellStyle name="Migliaia 26 2 2 2 2" xfId="14381" xr:uid="{CCBDE1B2-61DD-4ACA-BF0A-D171622D1C30}"/>
    <cellStyle name="Migliaia 26 2 2 2 2 2" xfId="39008" xr:uid="{17791F86-08BD-4776-BAFC-71B1B873B056}"/>
    <cellStyle name="Migliaia 26 2 2 2 2 3" xfId="44310" xr:uid="{68DCC6DD-BAE9-4046-8CDB-2661BB39AAE5}"/>
    <cellStyle name="Migliaia 26 2 2 2 3" xfId="18416" xr:uid="{57F58F02-B82A-4693-857A-F5AF798949CF}"/>
    <cellStyle name="Migliaia 26 2 2 2 4" xfId="20210" xr:uid="{7432BD63-035D-49ED-8B68-552C51EFFDA3}"/>
    <cellStyle name="Migliaia 26 2 2 2 4 2" xfId="41659" xr:uid="{AC3DE28C-CE95-405F-8AB2-115B9874F0FD}"/>
    <cellStyle name="Migliaia 26 2 2 2 5" xfId="16283" xr:uid="{B115E67D-27BA-42C0-9429-F676F239B518}"/>
    <cellStyle name="Migliaia 26 2 2 2 6" xfId="8589" xr:uid="{A22A967F-BDA9-4A4F-8AEC-D19ED65C3816}"/>
    <cellStyle name="Migliaia 26 2 2 3" xfId="6326" xr:uid="{298F1D78-E86E-413A-868B-45CDF6DE2AE9}"/>
    <cellStyle name="Migliaia 26 2 2 3 2" xfId="35249" xr:uid="{EE458032-6C5A-4748-880B-59816A186A58}"/>
    <cellStyle name="Migliaia 26 2 2 3 2 2" xfId="40409" xr:uid="{ABA53483-DFB7-4F90-9926-43547A60ADD0}"/>
    <cellStyle name="Migliaia 26 2 2 3 2 3" xfId="45711" xr:uid="{83535EE8-B132-4223-ADCC-64BAA208C621}"/>
    <cellStyle name="Migliaia 26 2 2 3 3" xfId="37758" xr:uid="{A92B519B-3FF3-434F-B5C4-E18CA3DD3523}"/>
    <cellStyle name="Migliaia 26 2 2 3 4" xfId="43060" xr:uid="{046F8411-BAC7-400F-9340-14E69B6AE4B2}"/>
    <cellStyle name="Migliaia 26 2 2 3 5" xfId="11608" xr:uid="{B5E7ECDB-EA90-41A2-BF7B-67CF18554B4D}"/>
    <cellStyle name="Migliaia 26 2 2 4" xfId="3394" xr:uid="{6E4150BB-85AD-452C-9CFF-E4B795C6F274}"/>
    <cellStyle name="Migliaia 26 2 2 4 2" xfId="21458" xr:uid="{9F7F43B6-B9BF-4F49-92F8-B49835EA8A9F}"/>
    <cellStyle name="Migliaia 26 2 2 4 3" xfId="46645" xr:uid="{2808639D-9906-4C39-B29F-AF066C0539C4}"/>
    <cellStyle name="Migliaia 26 2 2 4 4" xfId="50473" xr:uid="{A2129885-6329-40CC-9679-7C4A0622ACEF}"/>
    <cellStyle name="Migliaia 26 2 2 4 5" xfId="53489" xr:uid="{773572A3-3423-4E5F-9728-49E0D11CBB38}"/>
    <cellStyle name="Migliaia 26 2 2 4 6" xfId="10823" xr:uid="{BA1DE0FE-56D5-4B91-A13C-D3209A565195}"/>
    <cellStyle name="Migliaia 26 2 2 5" xfId="20209" xr:uid="{AB3C6CBA-FB5F-4870-ACF4-D62646A1D740}"/>
    <cellStyle name="Migliaia 26 2 2 6" xfId="24591" xr:uid="{7508492D-A46A-4C96-94B6-658E62A15389}"/>
    <cellStyle name="Migliaia 26 2 2 7" xfId="7399" xr:uid="{BBF254D1-658F-47DE-BA74-4C6CAB40CB50}"/>
    <cellStyle name="Migliaia 26 2 3" xfId="3395" xr:uid="{9F2AD5E7-5438-4FFB-AF1E-A4022D4DF7C0}"/>
    <cellStyle name="Migliaia 26 2 3 2" xfId="5121" xr:uid="{131DAAF7-DB48-4837-AC0B-3F90500675A9}"/>
    <cellStyle name="Migliaia 26 2 3 2 2" xfId="35250" xr:uid="{72038FAB-5641-4D08-B6E7-B41D82F555BF}"/>
    <cellStyle name="Migliaia 26 2 3 2 2 2" xfId="40410" xr:uid="{56565779-007C-45CD-A571-F9B6027A4862}"/>
    <cellStyle name="Migliaia 26 2 3 2 2 3" xfId="45712" xr:uid="{86152C4B-40CA-4074-9FDA-518FBD8BAFE5}"/>
    <cellStyle name="Migliaia 26 2 3 2 3" xfId="37759" xr:uid="{E23D0C26-C80C-43B1-AF9B-4F1991A94913}"/>
    <cellStyle name="Migliaia 26 2 3 2 4" xfId="43061" xr:uid="{57BC4410-2229-44D0-9574-5070F1096CA3}"/>
    <cellStyle name="Migliaia 26 2 3 2 5" xfId="14234" xr:uid="{EC3D5A1C-4B18-46C4-B959-3BE57606209D}"/>
    <cellStyle name="Migliaia 26 2 3 3" xfId="6327" xr:uid="{05188EE4-B4B8-4ECD-8FF4-A58022CF9B43}"/>
    <cellStyle name="Migliaia 26 2 3 3 2" xfId="39009" xr:uid="{6B32F38A-D8DA-46BA-99EE-05ABE3FF398A}"/>
    <cellStyle name="Migliaia 26 2 3 3 3" xfId="44311" xr:uid="{3A8981B6-2198-4D72-85A9-42141269F7BE}"/>
    <cellStyle name="Migliaia 26 2 3 3 4" xfId="33554" xr:uid="{7993EB22-596D-4B5A-953E-EBD7318744B6}"/>
    <cellStyle name="Migliaia 26 2 3 3 5" xfId="20211" xr:uid="{D68D1E76-69B5-4C4F-9FC6-68566D03753C}"/>
    <cellStyle name="Migliaia 26 2 3 4" xfId="36477" xr:uid="{604B16BF-128B-496C-8242-E422EDCF0C41}"/>
    <cellStyle name="Migliaia 26 2 3 5" xfId="41660" xr:uid="{197BCF0B-78EA-4B40-8C5E-B4848FFF0B16}"/>
    <cellStyle name="Migliaia 26 2 3 6" xfId="16284" xr:uid="{50ECDEB4-8AF5-4756-BA40-46F7C01B23D4}"/>
    <cellStyle name="Migliaia 26 2 3 7" xfId="8296" xr:uid="{F1F55B6E-C519-498A-9072-B5BBF260500C}"/>
    <cellStyle name="Migliaia 26 2 4" xfId="5119" xr:uid="{3FAC7F25-4D3F-48EF-BF20-6BA93455327A}"/>
    <cellStyle name="Migliaia 26 2 4 2" xfId="13939" xr:uid="{2EA712E5-6815-43AC-9F10-4CF96DD736D4}"/>
    <cellStyle name="Migliaia 26 2 4 2 2" xfId="39010" xr:uid="{34DBBF92-3B16-4784-90F5-AD8ACB3A9AFF}"/>
    <cellStyle name="Migliaia 26 2 4 2 3" xfId="44312" xr:uid="{C08970A5-29E4-4540-8883-85573058F867}"/>
    <cellStyle name="Migliaia 26 2 4 3" xfId="18617" xr:uid="{725E8C49-1A38-4529-8524-16D115ACF7A3}"/>
    <cellStyle name="Migliaia 26 2 4 4" xfId="20212" xr:uid="{DEDB93E2-262A-4F0A-A816-83B1AD3F79B4}"/>
    <cellStyle name="Migliaia 26 2 4 4 2" xfId="41661" xr:uid="{8790C12D-B023-415A-960F-3D0D805C80E0}"/>
    <cellStyle name="Migliaia 26 2 4 5" xfId="16285" xr:uid="{B40A7243-C8A3-47CB-A86B-6FEE8256CD35}"/>
    <cellStyle name="Migliaia 26 2 4 6" xfId="7895" xr:uid="{CE4B2521-45B6-4924-8D1F-3CEB5C89BB96}"/>
    <cellStyle name="Migliaia 26 2 5" xfId="6325" xr:uid="{1B2EF1A3-B04B-490E-A0E7-CE02316CE44E}"/>
    <cellStyle name="Migliaia 26 2 5 2" xfId="33555" xr:uid="{52893B3A-8F81-45B8-AC63-9441ADE64E19}"/>
    <cellStyle name="Migliaia 26 2 5 2 2" xfId="39011" xr:uid="{B591EAD8-7F25-412A-B687-5742184B28A0}"/>
    <cellStyle name="Migliaia 26 2 5 2 3" xfId="44313" xr:uid="{C0E5380B-BD2D-48A2-864D-29E34FE30DBD}"/>
    <cellStyle name="Migliaia 26 2 5 3" xfId="36478" xr:uid="{E2976B4F-3718-4832-85A1-428FD9DA5CCF}"/>
    <cellStyle name="Migliaia 26 2 5 4" xfId="41662" xr:uid="{F380F003-B177-4952-BC8A-3E3837FAE9A6}"/>
    <cellStyle name="Migliaia 26 2 5 5" xfId="13121" xr:uid="{19E38FE0-04CB-4F5B-AD4F-808AC58F9EE8}"/>
    <cellStyle name="Migliaia 26 2 6" xfId="3393" xr:uid="{65EE3FA7-E8F5-496A-8B15-037EDC4BE0ED}"/>
    <cellStyle name="Migliaia 26 2 6 2" xfId="33556" xr:uid="{DC598FB8-1A0A-46BC-8A9B-C50B8BCF5563}"/>
    <cellStyle name="Migliaia 26 2 6 2 2" xfId="39012" xr:uid="{8465C8C8-B0F1-4976-A761-95B6C8371BD1}"/>
    <cellStyle name="Migliaia 26 2 6 2 3" xfId="44314" xr:uid="{50873B16-05AC-4D40-8E8D-F4855F62E82A}"/>
    <cellStyle name="Migliaia 26 2 6 3" xfId="36479" xr:uid="{40B7F29B-E712-45ED-B98D-0154F7419275}"/>
    <cellStyle name="Migliaia 26 2 6 4" xfId="41663" xr:uid="{D31802F4-782C-4D2B-ABA0-952D66A668AC}"/>
    <cellStyle name="Migliaia 26 2 6 5" xfId="24592" xr:uid="{D061613A-8045-46DA-ACBB-09FBE0409793}"/>
    <cellStyle name="Migliaia 26 2 6 6" xfId="20208" xr:uid="{C8CD0996-70E8-4BBE-A77C-26629AAF64C9}"/>
    <cellStyle name="Migliaia 26 2 7" xfId="24590" xr:uid="{3EB2B1E6-F9C9-4937-A043-F09B07667947}"/>
    <cellStyle name="Migliaia 26 2 8" xfId="7097" xr:uid="{105B3E9F-F0E4-48CE-9F5C-5B7B242FA5B0}"/>
    <cellStyle name="Migliaia 26 3" xfId="375" xr:uid="{00000000-0005-0000-0000-000064030000}"/>
    <cellStyle name="Migliaia 26 3 10" xfId="24593" xr:uid="{1C307975-52ED-4BAE-84C1-9FD500C73AB3}"/>
    <cellStyle name="Migliaia 26 3 11" xfId="16286" xr:uid="{4713613A-85C9-464C-A468-9F4257D55B89}"/>
    <cellStyle name="Migliaia 26 3 12" xfId="7098" xr:uid="{ABD72637-394E-4532-8DC2-1963A4B9DAE6}"/>
    <cellStyle name="Migliaia 26 3 2" xfId="376" xr:uid="{00000000-0005-0000-0000-000065030000}"/>
    <cellStyle name="Migliaia 26 3 2 2" xfId="1747" xr:uid="{00000000-0005-0000-0000-000066030000}"/>
    <cellStyle name="Migliaia 26 3 2 2 2" xfId="5124" xr:uid="{13D5046F-97AD-4F7F-8E98-8A3993A8AD5D}"/>
    <cellStyle name="Migliaia 26 3 2 2 2 2" xfId="18417" xr:uid="{87CECE39-5371-4368-BACA-3B7EE92456C4}"/>
    <cellStyle name="Migliaia 26 3 2 2 2 2 2" xfId="21859" xr:uid="{8BCECB1B-5189-4579-94C5-7052996360C7}"/>
    <cellStyle name="Migliaia 26 3 2 2 2 2 2 2" xfId="39013" xr:uid="{EC4B4FCF-E49F-4EC6-B1A6-2C40FC22FBC8}"/>
    <cellStyle name="Migliaia 26 3 2 2 2 2 3" xfId="44315" xr:uid="{269A8FCA-3A3C-4695-93AB-FF87DD815F61}"/>
    <cellStyle name="Migliaia 26 3 2 2 2 2 4" xfId="33557" xr:uid="{81109337-1AC0-408A-BB5F-686EAE05DFF0}"/>
    <cellStyle name="Migliaia 26 3 2 2 2 3" xfId="36480" xr:uid="{53811D36-67FE-47FC-A54B-165A5FBFC606}"/>
    <cellStyle name="Migliaia 26 3 2 2 2 4" xfId="41664" xr:uid="{C2EC65E1-2A0D-4268-B7CE-0A47145051A5}"/>
    <cellStyle name="Migliaia 26 3 2 2 2 5" xfId="25119" xr:uid="{0A292035-E77A-4E4D-8240-65BE22228330}"/>
    <cellStyle name="Migliaia 26 3 2 2 2 6" xfId="50887" xr:uid="{0CC076F9-247D-4D36-B8F8-C65DBD8321A3}"/>
    <cellStyle name="Migliaia 26 3 2 2 2 7" xfId="53903" xr:uid="{D467FACA-17B0-4C11-8949-4EFB63741C94}"/>
    <cellStyle name="Migliaia 26 3 2 2 2 8" xfId="17656" xr:uid="{B10CC46C-F469-42FD-AE4F-6630A78A6DE2}"/>
    <cellStyle name="Migliaia 26 3 2 2 2 9" xfId="11959" xr:uid="{CDFA6DB8-798F-4938-891B-C9942DB58CAB}"/>
    <cellStyle name="Migliaia 26 3 2 2 3" xfId="6330" xr:uid="{60740FC5-CEB2-4BA6-9132-0CEB3529A42B}"/>
    <cellStyle name="Migliaia 26 3 2 2 3 2" xfId="11175" xr:uid="{86D61F4B-2FA5-4B4D-90CE-4F1A2D00DC82}"/>
    <cellStyle name="Migliaia 26 3 2 2 4" xfId="3398" xr:uid="{7EA16805-BB76-463D-A8E2-F2720873D8E1}"/>
    <cellStyle name="Migliaia 26 3 2 2 4 2" xfId="21459" xr:uid="{0BA828D4-64FA-4AC6-8C3B-9068DB72D8FE}"/>
    <cellStyle name="Migliaia 26 3 2 2 4 3" xfId="47976" xr:uid="{F61A6BC4-7FD3-4090-BFC7-2FBA22B7ABA3}"/>
    <cellStyle name="Migliaia 26 3 2 2 4 4" xfId="50474" xr:uid="{8DCF0D97-AEF6-4F28-A97A-5302486A9D4C}"/>
    <cellStyle name="Migliaia 26 3 2 2 4 5" xfId="53490" xr:uid="{43C69B05-2CF5-4543-8C51-A0FB7031D61E}"/>
    <cellStyle name="Migliaia 26 3 2 2 4 6" xfId="10824" xr:uid="{AFD333E6-EA15-4559-ACDD-446E63F0298E}"/>
    <cellStyle name="Migliaia 26 3 2 2 5" xfId="20215" xr:uid="{69699D09-168A-41A9-8EFF-2F069777830A}"/>
    <cellStyle name="Migliaia 26 3 2 2 6" xfId="24595" xr:uid="{C2A323F1-A5B6-4435-A8E8-57E199D9BB1B}"/>
    <cellStyle name="Migliaia 26 3 2 2 7" xfId="8591" xr:uid="{A6AD66B8-D96D-48F1-B10D-DB3131106AF7}"/>
    <cellStyle name="Migliaia 26 3 2 3" xfId="5123" xr:uid="{F1769E0F-445F-4A13-B7D4-147C55D63F97}"/>
    <cellStyle name="Migliaia 26 3 2 3 2" xfId="11131" xr:uid="{0917947C-C2E2-40B9-A2C5-6322E93613E3}"/>
    <cellStyle name="Migliaia 26 3 2 3 2 2" xfId="39014" xr:uid="{8797AF50-BF95-46ED-9D48-B5D1F8C3F0F8}"/>
    <cellStyle name="Migliaia 26 3 2 3 2 3" xfId="44316" xr:uid="{F76C4E5B-0339-4821-9B89-A47A0B3B1585}"/>
    <cellStyle name="Migliaia 26 3 2 3 2 4" xfId="33558" xr:uid="{D86F403E-221D-432A-9AB3-326E0E9B2E9B}"/>
    <cellStyle name="Migliaia 26 3 2 3 3" xfId="11960" xr:uid="{93BE73E2-0DD2-4391-9BDC-A90BBEF0DEBF}"/>
    <cellStyle name="Migliaia 26 3 2 3 4" xfId="20216" xr:uid="{D4AAFD02-E9BD-4D2F-9D68-EA88F234C736}"/>
    <cellStyle name="Migliaia 26 3 2 3 4 2" xfId="41665" xr:uid="{1696217E-DA15-4F6A-9F23-EC03133F1B02}"/>
    <cellStyle name="Migliaia 26 3 2 3 5" xfId="16287" xr:uid="{DEF6CC64-25B4-4AFC-A506-2F681A82E4B2}"/>
    <cellStyle name="Migliaia 26 3 2 3 6" xfId="7897" xr:uid="{4DD30E65-4978-48AD-AE9A-F7942F37411C}"/>
    <cellStyle name="Migliaia 26 3 2 4" xfId="6329" xr:uid="{1F1016F6-E474-4E57-A44E-C7209879D40A}"/>
    <cellStyle name="Migliaia 26 3 2 4 2" xfId="18075" xr:uid="{9960182F-D0D7-467F-BDCC-44211352E83F}"/>
    <cellStyle name="Migliaia 26 3 2 4 2 2" xfId="39015" xr:uid="{F8AA0F1C-8D82-47A7-B571-909BE47B286D}"/>
    <cellStyle name="Migliaia 26 3 2 4 2 3" xfId="44317" xr:uid="{18EA2151-E9D7-4D2C-8075-58CD43960C3F}"/>
    <cellStyle name="Migliaia 26 3 2 4 3" xfId="36481" xr:uid="{1F7CC10B-C19C-4C96-B5DC-D0A137BF8639}"/>
    <cellStyle name="Migliaia 26 3 2 4 4" xfId="41666" xr:uid="{75DCEA66-D049-450D-867E-B72548B4016A}"/>
    <cellStyle name="Migliaia 26 3 2 4 5" xfId="17172" xr:uid="{BEF8359F-D1FD-49A7-81E1-C024DAE90BC8}"/>
    <cellStyle name="Migliaia 26 3 2 4 6" xfId="11308" xr:uid="{F5E78B2A-11CD-4216-94DD-B0E16E2AD48F}"/>
    <cellStyle name="Migliaia 26 3 2 5" xfId="3397" xr:uid="{6193CECE-3A32-4E8D-A08D-DC2FA2244673}"/>
    <cellStyle name="Migliaia 26 3 2 5 2" xfId="33559" xr:uid="{BEC7D9D4-1953-475E-B325-A649785F85E4}"/>
    <cellStyle name="Migliaia 26 3 2 5 2 2" xfId="39016" xr:uid="{ED195E23-DC98-4C22-AE6D-6CB3118B0759}"/>
    <cellStyle name="Migliaia 26 3 2 5 2 3" xfId="44318" xr:uid="{0078913D-4825-4F12-A3D4-F86F15C6130F}"/>
    <cellStyle name="Migliaia 26 3 2 5 3" xfId="36482" xr:uid="{77A7AC51-C2C9-4446-8431-1E1B899355F9}"/>
    <cellStyle name="Migliaia 26 3 2 5 4" xfId="41667" xr:uid="{4FC5CB6A-17A7-4304-A684-17921F430CBA}"/>
    <cellStyle name="Migliaia 26 3 2 5 5" xfId="17372" xr:uid="{FF8EB058-DF10-4F18-A273-53C85F7F13F4}"/>
    <cellStyle name="Migliaia 26 3 2 6" xfId="20214" xr:uid="{2B1E3CF2-BBA5-4679-9597-6472D3C11126}"/>
    <cellStyle name="Migliaia 26 3 2 6 2" xfId="33560" xr:uid="{05B1018A-6650-4D17-BEFD-99B1DFE10029}"/>
    <cellStyle name="Migliaia 26 3 2 6 2 2" xfId="39017" xr:uid="{BE9C9582-4552-4F25-B5A8-4C8231793040}"/>
    <cellStyle name="Migliaia 26 3 2 6 2 3" xfId="44319" xr:uid="{2EC6A0B9-034D-4EF8-9216-0966879F2A74}"/>
    <cellStyle name="Migliaia 26 3 2 6 3" xfId="36483" xr:uid="{CB1CF250-54DD-48E9-B782-556AA69946F5}"/>
    <cellStyle name="Migliaia 26 3 2 6 4" xfId="41668" xr:uid="{0F6F6A40-4484-49AC-8831-B729A758B084}"/>
    <cellStyle name="Migliaia 26 3 2 6 5" xfId="24596" xr:uid="{F4BB8368-1E8E-4727-A30E-B089D4920823}"/>
    <cellStyle name="Migliaia 26 3 2 7" xfId="24594" xr:uid="{DD477A72-17D1-4380-A546-1CE9E1F448C7}"/>
    <cellStyle name="Migliaia 26 3 2 8" xfId="7401" xr:uid="{1EF571EF-5495-4491-892F-555F13DF5C43}"/>
    <cellStyle name="Migliaia 26 3 3" xfId="3399" xr:uid="{1D3E647C-B707-462B-8BA3-2239165F296A}"/>
    <cellStyle name="Migliaia 26 3 3 10" xfId="7400" xr:uid="{7C507F64-EB26-4E8B-B8D0-1B6F5FFEF215}"/>
    <cellStyle name="Migliaia 26 3 3 2" xfId="5125" xr:uid="{39A47D12-3D8B-4010-B0C2-0064CB90CCB5}"/>
    <cellStyle name="Migliaia 26 3 3 2 2" xfId="9918" xr:uid="{A4BF08FC-B36F-4C56-863D-FB037A150F5F}"/>
    <cellStyle name="Migliaia 26 3 3 2 2 2" xfId="39019" xr:uid="{D38D94B1-5108-4873-B7F1-0F22656D7382}"/>
    <cellStyle name="Migliaia 26 3 3 2 2 3" xfId="44321" xr:uid="{16800C68-C6E1-4ED4-B190-9AFABF562394}"/>
    <cellStyle name="Migliaia 26 3 3 2 3" xfId="18198" xr:uid="{260AEE07-0CCC-43B2-A5F0-6606D77CDF7D}"/>
    <cellStyle name="Migliaia 26 3 3 2 4" xfId="20218" xr:uid="{0698C3FA-08E1-4BD6-85BA-BC68687AE8A9}"/>
    <cellStyle name="Migliaia 26 3 3 2 4 2" xfId="41670" xr:uid="{76152198-39BD-46EB-B5AA-427CD4343A6F}"/>
    <cellStyle name="Migliaia 26 3 3 2 5" xfId="16289" xr:uid="{3DFE5853-0C2A-4176-8ED4-060345897BC6}"/>
    <cellStyle name="Migliaia 26 3 3 2 6" xfId="8590" xr:uid="{87D6BEE8-B38A-4320-A440-BC2ED10EABE9}"/>
    <cellStyle name="Migliaia 26 3 3 3" xfId="6331" xr:uid="{5E699C2C-ACA4-4BEC-A146-3E1ED5585A5D}"/>
    <cellStyle name="Migliaia 26 3 3 3 2" xfId="33562" xr:uid="{F9EB3123-A8E0-4287-A692-E8262F71E413}"/>
    <cellStyle name="Migliaia 26 3 3 3 2 2" xfId="39020" xr:uid="{CA500E4C-34CA-4604-9158-87FA663DC804}"/>
    <cellStyle name="Migliaia 26 3 3 3 2 3" xfId="44322" xr:uid="{612CD4E5-6321-40A4-B8A8-A470628CFF53}"/>
    <cellStyle name="Migliaia 26 3 3 3 3" xfId="36485" xr:uid="{8E563894-3F9F-4A64-BF16-456473C91428}"/>
    <cellStyle name="Migliaia 26 3 3 3 4" xfId="41671" xr:uid="{01FE414F-B0D7-4005-9DF3-4461D34B0558}"/>
    <cellStyle name="Migliaia 26 3 3 3 5" xfId="9681" xr:uid="{5348CBFB-423E-4582-8C96-E8447601F4BB}"/>
    <cellStyle name="Migliaia 26 3 3 4" xfId="20217" xr:uid="{57ADA8F1-A3C6-44B8-BA75-B240C3293BAC}"/>
    <cellStyle name="Migliaia 26 3 3 4 2" xfId="33563" xr:uid="{664AB380-6003-400F-B320-40F670227D23}"/>
    <cellStyle name="Migliaia 26 3 3 4 2 2" xfId="39021" xr:uid="{5D0D4FCB-652C-43EF-A371-F78672C54EB6}"/>
    <cellStyle name="Migliaia 26 3 3 4 2 3" xfId="44323" xr:uid="{F1FD97AD-362D-496C-B55B-FB97AE6C9DBD}"/>
    <cellStyle name="Migliaia 26 3 3 4 3" xfId="36486" xr:uid="{54419821-82F8-4931-9088-690C6A696104}"/>
    <cellStyle name="Migliaia 26 3 3 4 4" xfId="41672" xr:uid="{4A4014D0-8291-44EE-8B92-0B0F267B850A}"/>
    <cellStyle name="Migliaia 26 3 3 4 5" xfId="24597" xr:uid="{CE69D2E9-48FF-49A9-A0FA-727BB5E1ECC9}"/>
    <cellStyle name="Migliaia 26 3 3 5" xfId="24598" xr:uid="{236C8601-F10C-4851-BAB3-0BFEE3538EA7}"/>
    <cellStyle name="Migliaia 26 3 3 5 2" xfId="33564" xr:uid="{81D7F8EE-D574-41C1-9780-C110A9376009}"/>
    <cellStyle name="Migliaia 26 3 3 5 2 2" xfId="39022" xr:uid="{A468119F-E320-4B1A-91F3-B3C57C587C44}"/>
    <cellStyle name="Migliaia 26 3 3 5 2 3" xfId="44324" xr:uid="{04EFCD2E-5941-457F-9A26-E82042D5020C}"/>
    <cellStyle name="Migliaia 26 3 3 5 3" xfId="36487" xr:uid="{8D6DCD4F-7706-45C1-93E3-A0CAAF36D137}"/>
    <cellStyle name="Migliaia 26 3 3 5 4" xfId="41673" xr:uid="{E79FFAC9-97F5-4FCF-BBB3-D0D805078507}"/>
    <cellStyle name="Migliaia 26 3 3 6" xfId="33561" xr:uid="{A4A00E12-727A-4660-B9F2-42A2F9152374}"/>
    <cellStyle name="Migliaia 26 3 3 6 2" xfId="39018" xr:uid="{05341B77-471B-4982-91F9-0DF649CEFDF6}"/>
    <cellStyle name="Migliaia 26 3 3 6 3" xfId="44320" xr:uid="{A5965B14-3437-4694-94F8-96EEE23FC12A}"/>
    <cellStyle name="Migliaia 26 3 3 7" xfId="36484" xr:uid="{DAC49628-F34B-4A5C-805F-1BA3AB8C21AD}"/>
    <cellStyle name="Migliaia 26 3 3 8" xfId="41669" xr:uid="{965478C6-41F2-49ED-BFFF-78730E7D9B60}"/>
    <cellStyle name="Migliaia 26 3 3 9" xfId="16288" xr:uid="{A038488B-72BC-4F0D-9945-BE5FE8AA08AB}"/>
    <cellStyle name="Migliaia 26 3 4" xfId="3400" xr:uid="{097BDC5C-8670-41C2-9D14-26EA3F9205D8}"/>
    <cellStyle name="Migliaia 26 3 4 2" xfId="5126" xr:uid="{B62A0A9D-1330-4386-9725-330D61A921A5}"/>
    <cellStyle name="Migliaia 26 3 4 2 2" xfId="14441" xr:uid="{05E2B0BB-D950-453F-84EE-B5DAE819F6C4}"/>
    <cellStyle name="Migliaia 26 3 4 2 3" xfId="18127" xr:uid="{55E08BF2-931A-41A5-B2A5-052E9078C4EF}"/>
    <cellStyle name="Migliaia 26 3 4 2 4" xfId="20220" xr:uid="{D4E99B99-9B14-4002-8C66-7BBCBCB9BE12}"/>
    <cellStyle name="Migliaia 26 3 4 2 5" xfId="32351" xr:uid="{8DA1B745-E0A6-49FD-9023-9FDAE39FF031}"/>
    <cellStyle name="Migliaia 26 3 4 2 6" xfId="16291" xr:uid="{F99852A4-C4E7-4D59-BA2E-ED199294DB22}"/>
    <cellStyle name="Migliaia 26 3 4 2 7" xfId="8864" xr:uid="{122BD43B-2259-4AEA-96F9-C11C75063ABB}"/>
    <cellStyle name="Migliaia 26 3 4 3" xfId="6332" xr:uid="{944F724A-60E2-4AEE-A3A6-283E8690E602}"/>
    <cellStyle name="Migliaia 26 3 4 3 2" xfId="35251" xr:uid="{9B95960E-167D-44CA-A975-72C60A1CF27D}"/>
    <cellStyle name="Migliaia 26 3 4 3 2 2" xfId="40411" xr:uid="{B2A9C7B1-C0DD-476D-B0BF-74C10D9444BB}"/>
    <cellStyle name="Migliaia 26 3 4 3 2 3" xfId="45713" xr:uid="{AA610D29-7123-44D1-8591-DC6545EDADD5}"/>
    <cellStyle name="Migliaia 26 3 4 3 3" xfId="37760" xr:uid="{85CEF502-6097-4B03-96C0-7E11D3227D9B}"/>
    <cellStyle name="Migliaia 26 3 4 3 4" xfId="43062" xr:uid="{6C345330-F192-48F9-BBD6-02BE9BF8D114}"/>
    <cellStyle name="Migliaia 26 3 4 3 5" xfId="13689" xr:uid="{D4DAB367-E420-495B-B682-1570DF75AFDE}"/>
    <cellStyle name="Migliaia 26 3 4 4" xfId="20219" xr:uid="{BBD2D392-0A76-4B31-B51C-79DBD1DBD315}"/>
    <cellStyle name="Migliaia 26 3 4 4 2" xfId="39023" xr:uid="{C174464F-0BC8-464C-BE3B-F0FC2224FE51}"/>
    <cellStyle name="Migliaia 26 3 4 4 3" xfId="44325" xr:uid="{E3951D61-562A-4D77-A189-995A4513DA7A}"/>
    <cellStyle name="Migliaia 26 3 4 4 4" xfId="33565" xr:uid="{64C6C51B-E5B9-46AD-B3DA-D3B3B1539C16}"/>
    <cellStyle name="Migliaia 26 3 4 5" xfId="36488" xr:uid="{1360D0E0-EEBF-4B91-A9CE-62D60A1A50D6}"/>
    <cellStyle name="Migliaia 26 3 4 6" xfId="41674" xr:uid="{A0086A1A-3636-4A95-91B0-779C83AC1BCD}"/>
    <cellStyle name="Migliaia 26 3 4 7" xfId="16290" xr:uid="{7A9307FB-122E-4D5B-A1F8-BF322AF54054}"/>
    <cellStyle name="Migliaia 26 3 4 8" xfId="7674" xr:uid="{2085E3FE-446E-41FD-8D65-E7337253DE7F}"/>
    <cellStyle name="Migliaia 26 3 5" xfId="3401" xr:uid="{FA409B07-883E-48A4-8E58-2BD3CA30C472}"/>
    <cellStyle name="Migliaia 26 3 5 2" xfId="5127" xr:uid="{79F0C381-7114-4E45-848F-ED8623C9FA9F}"/>
    <cellStyle name="Migliaia 26 3 5 2 2" xfId="35252" xr:uid="{63D9412A-D97C-46D1-9BAE-EF40A4DA8CA6}"/>
    <cellStyle name="Migliaia 26 3 5 2 2 2" xfId="40412" xr:uid="{A042B7F7-88F3-48E0-900C-C1BF9BDF54B9}"/>
    <cellStyle name="Migliaia 26 3 5 2 2 3" xfId="45714" xr:uid="{C19E7C58-B18B-46FA-8CE7-EE7749844E9F}"/>
    <cellStyle name="Migliaia 26 3 5 2 3" xfId="37761" xr:uid="{D9A5B6DC-9C3C-498C-B508-49DA538C6E4B}"/>
    <cellStyle name="Migliaia 26 3 5 2 4" xfId="43063" xr:uid="{04283FA3-EEC0-45C1-8399-DDF6206F35C3}"/>
    <cellStyle name="Migliaia 26 3 5 2 5" xfId="14235" xr:uid="{FCDBED06-B62D-40D9-B787-798D225FB142}"/>
    <cellStyle name="Migliaia 26 3 5 3" xfId="6333" xr:uid="{9987323D-A970-42F4-AF7E-710C58F7BAE9}"/>
    <cellStyle name="Migliaia 26 3 5 3 2" xfId="39024" xr:uid="{9E4E141F-6B1D-4F37-A3A7-71F4793F35A7}"/>
    <cellStyle name="Migliaia 26 3 5 3 3" xfId="44326" xr:uid="{9762E890-9430-475D-ADE0-9AB3B89DEA67}"/>
    <cellStyle name="Migliaia 26 3 5 3 4" xfId="33566" xr:uid="{AD302DD7-F2A2-4AB0-BA97-007FB1A7A592}"/>
    <cellStyle name="Migliaia 26 3 5 3 5" xfId="20221" xr:uid="{549BF139-AB79-495C-A5C2-4987D3B1962F}"/>
    <cellStyle name="Migliaia 26 3 5 4" xfId="36489" xr:uid="{B5693A79-E632-4584-B174-F268EBAD944B}"/>
    <cellStyle name="Migliaia 26 3 5 5" xfId="41675" xr:uid="{733BEA89-3A51-4CAC-A28F-67A22BB5807D}"/>
    <cellStyle name="Migliaia 26 3 5 6" xfId="16292" xr:uid="{E93265C8-306F-432A-80D5-4400F1993679}"/>
    <cellStyle name="Migliaia 26 3 5 7" xfId="8297" xr:uid="{BB6276D3-32B8-4997-92E5-F69EDCB07ED0}"/>
    <cellStyle name="Migliaia 26 3 6" xfId="5122" xr:uid="{1E677ED1-A687-47E2-868E-81AA5E92BAA5}"/>
    <cellStyle name="Migliaia 26 3 6 2" xfId="13940" xr:uid="{63367D30-92C6-46CF-B532-9599E73D2753}"/>
    <cellStyle name="Migliaia 26 3 6 2 2" xfId="39025" xr:uid="{2A940BB7-E765-41B3-8466-91DE96657118}"/>
    <cellStyle name="Migliaia 26 3 6 2 3" xfId="44327" xr:uid="{EA9B8B5D-975A-4A92-A659-3A6C06E322EB}"/>
    <cellStyle name="Migliaia 26 3 6 3" xfId="18142" xr:uid="{69142853-E176-4451-941F-63B96F51F1D2}"/>
    <cellStyle name="Migliaia 26 3 6 4" xfId="20222" xr:uid="{76E5BC3B-2606-433C-B90B-FA8CD466CC09}"/>
    <cellStyle name="Migliaia 26 3 6 4 2" xfId="41676" xr:uid="{A923B121-42EC-4CF5-A7E2-4F0FFAFE0646}"/>
    <cellStyle name="Migliaia 26 3 6 5" xfId="16293" xr:uid="{81C88E6A-2DF6-40BD-A995-030063922131}"/>
    <cellStyle name="Migliaia 26 3 6 6" xfId="7896" xr:uid="{F312CEC2-8041-4F1A-A7AD-BCC17723B59E}"/>
    <cellStyle name="Migliaia 26 3 7" xfId="6328" xr:uid="{7052F70A-E1A1-4DF5-A05C-8402E23F4C8E}"/>
    <cellStyle name="Migliaia 26 3 7 2" xfId="33567" xr:uid="{9700E867-B6F2-41E1-B5C0-D00CB460E8D2}"/>
    <cellStyle name="Migliaia 26 3 7 2 2" xfId="39026" xr:uid="{47BED1DA-D95F-49D6-9ABC-718E95BC122E}"/>
    <cellStyle name="Migliaia 26 3 7 2 3" xfId="44328" xr:uid="{379CC7DB-C626-40BC-8435-9A899817BBB9}"/>
    <cellStyle name="Migliaia 26 3 7 3" xfId="36490" xr:uid="{1CA9CD01-8632-4BC3-8799-B9BED7DA6C70}"/>
    <cellStyle name="Migliaia 26 3 7 4" xfId="41677" xr:uid="{27F0BDD4-5FFB-4C55-9550-DFE4BB117173}"/>
    <cellStyle name="Migliaia 26 3 7 5" xfId="11095" xr:uid="{18BAB77E-DFF3-4BB5-86DF-A4A2EACE0133}"/>
    <cellStyle name="Migliaia 26 3 8" xfId="3396" xr:uid="{4FA0C2E3-CCF9-4EAC-912E-3E24456DCDC1}"/>
    <cellStyle name="Migliaia 26 3 8 2" xfId="33568" xr:uid="{F81E81B5-5057-4A1A-AF11-7FC40E906286}"/>
    <cellStyle name="Migliaia 26 3 8 2 2" xfId="39027" xr:uid="{F279116B-9B29-4F14-953C-3FC3426921FE}"/>
    <cellStyle name="Migliaia 26 3 8 2 3" xfId="44329" xr:uid="{D5228EF3-807C-4521-9939-A2A4ACC170E8}"/>
    <cellStyle name="Migliaia 26 3 8 3" xfId="36491" xr:uid="{79C0CFA2-CA58-4E39-98BE-0829585DAEC0}"/>
    <cellStyle name="Migliaia 26 3 8 4" xfId="41678" xr:uid="{BFAF6855-A67C-41B0-8155-45169CBD9B6E}"/>
    <cellStyle name="Migliaia 26 3 8 5" xfId="24599" xr:uid="{A7B6EC79-5FFE-4BA8-996C-15A956157CE7}"/>
    <cellStyle name="Migliaia 26 3 8 6" xfId="17373" xr:uid="{97982996-CD86-4476-AD07-DC67D99E0501}"/>
    <cellStyle name="Migliaia 26 3 9" xfId="20213" xr:uid="{430362B4-EFF0-47FF-B97F-4FAB8F133A42}"/>
    <cellStyle name="Migliaia 26 4" xfId="1748" xr:uid="{00000000-0005-0000-0000-000067030000}"/>
    <cellStyle name="Migliaia 26 4 2" xfId="1749" xr:uid="{00000000-0005-0000-0000-000068030000}"/>
    <cellStyle name="Migliaia 26 4 2 2" xfId="5129" xr:uid="{598DDDE4-044A-4BF5-83F3-B30A48D5F307}"/>
    <cellStyle name="Migliaia 26 4 2 2 2" xfId="33569" xr:uid="{1B46F887-05A3-4A43-BE84-D8C85F98550C}"/>
    <cellStyle name="Migliaia 26 4 2 2 2 2" xfId="39028" xr:uid="{E66E4C0D-FB00-497A-A998-FC2CFA564C2D}"/>
    <cellStyle name="Migliaia 26 4 2 2 2 3" xfId="44330" xr:uid="{2D569025-BB27-48B3-8948-DDF1AB6C032C}"/>
    <cellStyle name="Migliaia 26 4 2 2 3" xfId="36492" xr:uid="{28746FC2-5D52-4A07-AA09-03EC37BD9D8F}"/>
    <cellStyle name="Migliaia 26 4 2 2 4" xfId="41679" xr:uid="{7CD0008D-C3A0-47E3-AF39-1C8BF7F9274B}"/>
    <cellStyle name="Migliaia 26 4 2 2 5" xfId="9144" xr:uid="{16BE6798-DD70-4D49-9314-6FE23E156AC0}"/>
    <cellStyle name="Migliaia 26 4 2 3" xfId="3403" xr:uid="{ADEA42E4-FBE3-491C-AF47-2EC817FD2ACD}"/>
    <cellStyle name="Migliaia 26 4 2 3 2" xfId="33570" xr:uid="{88AEE942-FDD2-4CC6-9D3F-81E566E7B968}"/>
    <cellStyle name="Migliaia 26 4 2 3 2 2" xfId="39029" xr:uid="{98898A95-52C1-4C39-8C12-30FE25647A39}"/>
    <cellStyle name="Migliaia 26 4 2 3 2 3" xfId="44331" xr:uid="{850094DD-DF19-404D-871C-F2B4279D3726}"/>
    <cellStyle name="Migliaia 26 4 2 3 3" xfId="36493" xr:uid="{7B8CDFFA-6FB3-4899-8E57-C5B6639EA3E9}"/>
    <cellStyle name="Migliaia 26 4 2 3 4" xfId="41680" xr:uid="{5523381C-C0C5-4E8D-96D0-EBFB8E3EF981}"/>
    <cellStyle name="Migliaia 26 4 2 3 5" xfId="11961" xr:uid="{6EF3C4A9-0B5F-46E8-B5A3-AAFDD7A133FE}"/>
    <cellStyle name="Migliaia 26 4 2 4" xfId="11310" xr:uid="{9F2A3030-7050-48A9-824E-1755E214B56E}"/>
    <cellStyle name="Migliaia 26 4 2 5" xfId="10826" xr:uid="{CD812AB1-C12C-4F8B-89EC-03E9DDB9DEC3}"/>
    <cellStyle name="Migliaia 26 4 2 5 2" xfId="21461" xr:uid="{95D2598D-12EB-4315-B07D-18275788FA07}"/>
    <cellStyle name="Migliaia 26 4 2 5 3" xfId="48529" xr:uid="{3FB6BAEF-1306-40E2-8543-1C696DFE7E79}"/>
    <cellStyle name="Migliaia 26 4 2 5 4" xfId="50476" xr:uid="{4AA49F0A-05FB-49FE-9CE7-E06DAC8CE388}"/>
    <cellStyle name="Migliaia 26 4 2 5 5" xfId="53492" xr:uid="{48F17E45-D387-4FED-A174-CB6C1DD1E2A3}"/>
    <cellStyle name="Migliaia 26 4 2 6" xfId="20224" xr:uid="{3F245521-34B1-4BF4-8F1B-3B6B76C94645}"/>
    <cellStyle name="Migliaia 26 4 2 7" xfId="24601" xr:uid="{3E795E1C-A063-4560-876D-7688F525F5F2}"/>
    <cellStyle name="Migliaia 26 4 2 8" xfId="8592" xr:uid="{9BF0DF7E-0EE7-4A5F-9198-8034B7370BAE}"/>
    <cellStyle name="Migliaia 26 4 3" xfId="5128" xr:uid="{025BA078-51E5-443C-8A96-3649F8F13B75}"/>
    <cellStyle name="Migliaia 26 4 3 2" xfId="18199" xr:uid="{62A99AC8-D04E-4E68-9D90-C97A94EC23D4}"/>
    <cellStyle name="Migliaia 26 4 3 2 2" xfId="39030" xr:uid="{F953A32F-AA5F-4888-8691-0626BDDDA3E1}"/>
    <cellStyle name="Migliaia 26 4 3 2 3" xfId="44332" xr:uid="{7F792844-555C-4AD7-9C3F-4EC77305F9E5}"/>
    <cellStyle name="Migliaia 26 4 3 3" xfId="36494" xr:uid="{7C5DFF14-EFF6-4228-8D08-4CA32543178A}"/>
    <cellStyle name="Migliaia 26 4 3 4" xfId="41681" xr:uid="{08927896-912D-4BBF-A2BC-351FA02DABC3}"/>
    <cellStyle name="Migliaia 26 4 3 5" xfId="17371" xr:uid="{B1097735-D52F-49EF-BD7A-2CC6C1DE9AA1}"/>
    <cellStyle name="Migliaia 26 4 3 6" xfId="9145" xr:uid="{918F36EC-6ABE-4858-85AD-8833053DDEF0}"/>
    <cellStyle name="Migliaia 26 4 4" xfId="6334" xr:uid="{B7C1425D-64E2-4C96-9FE9-B1781CD656D8}"/>
    <cellStyle name="Migliaia 26 4 4 2" xfId="33571" xr:uid="{9384F09E-B88D-4A11-BE4E-A958A9BFFD7A}"/>
    <cellStyle name="Migliaia 26 4 4 2 2" xfId="39031" xr:uid="{1BAB739A-C7F8-4649-93FC-94C9552276D0}"/>
    <cellStyle name="Migliaia 26 4 4 2 3" xfId="44333" xr:uid="{442B4A65-1C6A-4867-986A-E8F05B94679C}"/>
    <cellStyle name="Migliaia 26 4 4 3" xfId="36495" xr:uid="{DCEF2FD8-1717-4B94-A4C3-51A00748AC31}"/>
    <cellStyle name="Migliaia 26 4 4 4" xfId="41682" xr:uid="{CB7D007C-893A-481C-97BE-4CABADC560EA}"/>
    <cellStyle name="Migliaia 26 4 4 5" xfId="11962" xr:uid="{88A3391F-4681-4049-9405-D9AB00FC99CE}"/>
    <cellStyle name="Migliaia 26 4 5" xfId="3402" xr:uid="{D54454B4-790E-4457-8C7F-FAD8F4A65922}"/>
    <cellStyle name="Migliaia 26 4 5 2" xfId="33572" xr:uid="{1B6F3F31-E34C-4CFC-9CA5-E23F1A874ACA}"/>
    <cellStyle name="Migliaia 26 4 5 2 2" xfId="39032" xr:uid="{45B45D51-D6C8-49A4-B3F2-235F471A93D3}"/>
    <cellStyle name="Migliaia 26 4 5 2 3" xfId="44334" xr:uid="{58DC31BF-60C1-4007-B1C3-7CACC1B663CA}"/>
    <cellStyle name="Migliaia 26 4 5 3" xfId="36496" xr:uid="{75821C0C-14B7-41C0-AD25-79DD2513C250}"/>
    <cellStyle name="Migliaia 26 4 5 4" xfId="41683" xr:uid="{9F974168-9CE8-4EB5-A569-AAF37B1746AD}"/>
    <cellStyle name="Migliaia 26 4 5 5" xfId="11309" xr:uid="{8700EBD2-BB02-4138-ABB7-589811EFFF8A}"/>
    <cellStyle name="Migliaia 26 4 6" xfId="10825" xr:uid="{23779F1C-989F-4965-B2FC-B15E0D6A39A9}"/>
    <cellStyle name="Migliaia 26 4 6 2" xfId="21460" xr:uid="{DC0238DE-1AD1-4682-8D71-8F89422DFB7C}"/>
    <cellStyle name="Migliaia 26 4 6 2 2" xfId="39033" xr:uid="{554AE454-073F-4C4D-8A52-8535F8451B51}"/>
    <cellStyle name="Migliaia 26 4 6 2 3" xfId="44335" xr:uid="{A7E5955A-567C-4EE2-A060-7F8469E11DCF}"/>
    <cellStyle name="Migliaia 26 4 6 2 4" xfId="33573" xr:uid="{2B08B44E-F6B8-463E-9A21-290AF1FB827A}"/>
    <cellStyle name="Migliaia 26 4 6 3" xfId="36497" xr:uid="{6E8340B2-A6EB-4C9B-A1B2-B9139EFAE7DD}"/>
    <cellStyle name="Migliaia 26 4 6 4" xfId="41684" xr:uid="{69AF6970-604E-4BAA-B98E-90BE88A11B43}"/>
    <cellStyle name="Migliaia 26 4 6 5" xfId="24602" xr:uid="{B7E7333D-A5AD-47FC-9CD9-2365C3789FDC}"/>
    <cellStyle name="Migliaia 26 4 6 6" xfId="48569" xr:uid="{A9169CA6-D04C-4E60-9EE0-1B94B45D2351}"/>
    <cellStyle name="Migliaia 26 4 6 7" xfId="50475" xr:uid="{12FDC68C-9D0A-46B6-B45D-DDC564B4E3D3}"/>
    <cellStyle name="Migliaia 26 4 6 8" xfId="53491" xr:uid="{47E1068D-EBC4-47ED-A4C3-6ACA66C38A15}"/>
    <cellStyle name="Migliaia 26 4 7" xfId="20223" xr:uid="{E8800BFE-16E9-481E-A325-E38AD01F3D9C}"/>
    <cellStyle name="Migliaia 26 4 7 2" xfId="33574" xr:uid="{AAA62AD7-FDDB-4208-9005-B8E40D1801A2}"/>
    <cellStyle name="Migliaia 26 4 7 2 2" xfId="39034" xr:uid="{BBA8BEC8-8693-4276-A623-A63215D7B8C9}"/>
    <cellStyle name="Migliaia 26 4 7 2 3" xfId="44336" xr:uid="{E5B57CA5-3AC0-48B5-B2F3-381FE4B4D8EF}"/>
    <cellStyle name="Migliaia 26 4 7 3" xfId="36498" xr:uid="{9ABBF649-0D80-4ADA-AB88-B822269D391F}"/>
    <cellStyle name="Migliaia 26 4 7 4" xfId="41685" xr:uid="{E758DE22-5840-4FF6-A848-70D7A316688F}"/>
    <cellStyle name="Migliaia 26 4 7 5" xfId="24603" xr:uid="{E8617562-23D5-4383-99BA-20C6AA996BD7}"/>
    <cellStyle name="Migliaia 26 4 8" xfId="24600" xr:uid="{DFA3C458-5438-42A5-8098-6CA9E16BD032}"/>
    <cellStyle name="Migliaia 26 4 9" xfId="7402" xr:uid="{A4413210-06CE-4374-BA9F-68D69071DE5A}"/>
    <cellStyle name="Migliaia 26 5" xfId="1750" xr:uid="{00000000-0005-0000-0000-000069030000}"/>
    <cellStyle name="Migliaia 26 5 2" xfId="5130" xr:uid="{3C1C4CE0-D8C7-4F46-AF5C-191DB082DB7D}"/>
    <cellStyle name="Migliaia 26 5 2 2" xfId="18418" xr:uid="{A63AFF8D-4C84-4608-B55A-3B6757F5B9E8}"/>
    <cellStyle name="Migliaia 26 5 2 2 2" xfId="39035" xr:uid="{06C3B8DC-ED44-4236-B7C7-C8A1B84877E1}"/>
    <cellStyle name="Migliaia 26 5 2 2 3" xfId="44337" xr:uid="{D8FCC45E-C6CE-4A58-ABEB-5C210662A17E}"/>
    <cellStyle name="Migliaia 26 5 2 3" xfId="20226" xr:uid="{69685B01-27DE-4FB1-9DAE-476733244145}"/>
    <cellStyle name="Migliaia 26 5 2 3 2" xfId="36499" xr:uid="{6B6BA4F1-A57D-482E-8E8C-E8DC25CA9FF5}"/>
    <cellStyle name="Migliaia 26 5 2 4" xfId="41686" xr:uid="{ED5895B1-763A-4AD4-BC1D-D47E3B88EA79}"/>
    <cellStyle name="Migliaia 26 5 2 5" xfId="16294" xr:uid="{E21736D4-0177-4B42-B0AD-145F54996E92}"/>
    <cellStyle name="Migliaia 26 5 2 6" xfId="8593" xr:uid="{FE5C9721-2C1C-405B-94EB-215F69B4A48B}"/>
    <cellStyle name="Migliaia 26 5 3" xfId="6335" xr:uid="{033EB722-AC80-4B0C-9D85-AD411EF1CA43}"/>
    <cellStyle name="Migliaia 26 5 3 2" xfId="33575" xr:uid="{E05779AA-2DF3-40B2-88AA-C1A86F834613}"/>
    <cellStyle name="Migliaia 26 5 3 2 2" xfId="39036" xr:uid="{B535615E-8684-4D62-AE23-8FB4CB6CCCAD}"/>
    <cellStyle name="Migliaia 26 5 3 2 3" xfId="44338" xr:uid="{5FA2C01F-8918-4D3F-8FDA-27370980630D}"/>
    <cellStyle name="Migliaia 26 5 3 3" xfId="36500" xr:uid="{032174C2-F046-4DDC-B9BE-080FF6CC589D}"/>
    <cellStyle name="Migliaia 26 5 3 4" xfId="41687" xr:uid="{101D9905-8F6D-48C5-8137-AD53864C84F1}"/>
    <cellStyle name="Migliaia 26 5 3 5" xfId="11311" xr:uid="{7F7A7471-4045-4508-BC5F-2D724B02A9E8}"/>
    <cellStyle name="Migliaia 26 5 4" xfId="3404" xr:uid="{14D31804-79D0-46F0-87F8-259D244259A3}"/>
    <cellStyle name="Migliaia 26 5 4 2" xfId="21462" xr:uid="{284C1F53-4F4B-4B1A-AEFE-1393365D3D57}"/>
    <cellStyle name="Migliaia 26 5 4 2 2" xfId="39037" xr:uid="{61B7E84D-8193-4887-944A-FCC43EDFA274}"/>
    <cellStyle name="Migliaia 26 5 4 2 3" xfId="44339" xr:uid="{C6245F56-F71E-4BF5-A645-D4E4FF82D341}"/>
    <cellStyle name="Migliaia 26 5 4 2 4" xfId="33576" xr:uid="{EE8D1CC3-DB90-4F84-8E1C-538D40A6EBFB}"/>
    <cellStyle name="Migliaia 26 5 4 3" xfId="36501" xr:uid="{42A05D2F-1E11-4C40-ACDE-36845CCEDA4C}"/>
    <cellStyle name="Migliaia 26 5 4 4" xfId="41688" xr:uid="{F3BD2495-02D5-499B-981F-80B7889DA2BE}"/>
    <cellStyle name="Migliaia 26 5 4 5" xfId="24605" xr:uid="{33273BE0-1ABF-4271-BDEA-990790BD8DB8}"/>
    <cellStyle name="Migliaia 26 5 4 6" xfId="47658" xr:uid="{69B11EF3-92C8-44CB-9C46-201A3BA9E8C4}"/>
    <cellStyle name="Migliaia 26 5 4 7" xfId="50477" xr:uid="{7E51A753-5478-4767-BD19-4FDC5E5400E9}"/>
    <cellStyle name="Migliaia 26 5 4 8" xfId="53493" xr:uid="{CBE2B57F-B4DA-4383-923D-609CA943AFDF}"/>
    <cellStyle name="Migliaia 26 5 4 9" xfId="10827" xr:uid="{0C9154AD-2A08-429D-8E21-2282FE908BF6}"/>
    <cellStyle name="Migliaia 26 5 5" xfId="20225" xr:uid="{B29F8FF6-1DB5-4CE6-9629-7BCAB0471734}"/>
    <cellStyle name="Migliaia 26 5 5 2" xfId="33577" xr:uid="{D6112979-EDF4-4C6F-9F2C-3BBF93EB490A}"/>
    <cellStyle name="Migliaia 26 5 5 2 2" xfId="39038" xr:uid="{2CD9BD39-B4FD-42FD-96E2-8989D366CCD9}"/>
    <cellStyle name="Migliaia 26 5 5 2 3" xfId="44340" xr:uid="{21819CCF-227E-4897-808E-926293AA3BEF}"/>
    <cellStyle name="Migliaia 26 5 5 3" xfId="36502" xr:uid="{96E1BE5D-A80D-4967-BCDB-24DEC9387771}"/>
    <cellStyle name="Migliaia 26 5 5 4" xfId="41689" xr:uid="{B5DE8C12-5662-4BAA-A446-08A84C2108EA}"/>
    <cellStyle name="Migliaia 26 5 5 5" xfId="24606" xr:uid="{EAD9B678-0F16-4E3B-81C1-13F02AA2AE19}"/>
    <cellStyle name="Migliaia 26 5 6" xfId="24607" xr:uid="{6269E291-5528-413A-9828-C7FFB11E2899}"/>
    <cellStyle name="Migliaia 26 5 6 2" xfId="33578" xr:uid="{83CD2E81-31EF-419E-8E7C-78FD654F4187}"/>
    <cellStyle name="Migliaia 26 5 6 2 2" xfId="39039" xr:uid="{FE00CE6C-DEFE-4CB9-8790-442A1B9C52B3}"/>
    <cellStyle name="Migliaia 26 5 6 2 3" xfId="44341" xr:uid="{90A79BC5-3D74-4C4D-AFEE-975533464D50}"/>
    <cellStyle name="Migliaia 26 5 6 3" xfId="36503" xr:uid="{4DB06427-D7AC-4211-9E42-5E3DC37BCC44}"/>
    <cellStyle name="Migliaia 26 5 6 4" xfId="41690" xr:uid="{77E113C9-BA6C-4B30-871E-D1BD26E2FB1D}"/>
    <cellStyle name="Migliaia 26 5 7" xfId="24604" xr:uid="{CD41423A-CF7A-473F-AAE8-BCF50E65D63E}"/>
    <cellStyle name="Migliaia 26 5 8" xfId="7403" xr:uid="{13C864F1-1B0B-44C9-97A7-C0EF51E67091}"/>
    <cellStyle name="Migliaia 26 6" xfId="3405" xr:uid="{4C7EEB1F-CB47-4FE7-B3B1-646E4BBC959D}"/>
    <cellStyle name="Migliaia 26 6 2" xfId="5131" xr:uid="{5338679A-068F-41BD-990C-26F57B4187E0}"/>
    <cellStyle name="Migliaia 26 6 2 2" xfId="9917" xr:uid="{4BBDFB13-5CBE-4E37-B86A-61FBF93CB5E8}"/>
    <cellStyle name="Migliaia 26 6 2 3" xfId="18662" xr:uid="{42C4338B-4D4F-428C-B3B0-71D30C219BFF}"/>
    <cellStyle name="Migliaia 26 6 2 4" xfId="20228" xr:uid="{35FA57CE-2687-4953-8838-14BBADDE303A}"/>
    <cellStyle name="Migliaia 26 6 2 5" xfId="32352" xr:uid="{D7265019-F95C-456B-B71F-65FC92886500}"/>
    <cellStyle name="Migliaia 26 6 2 6" xfId="16296" xr:uid="{E598255B-83E7-4475-B1B7-AD9DD60E0148}"/>
    <cellStyle name="Migliaia 26 6 2 7" xfId="8588" xr:uid="{73A30DF4-343B-45F9-A257-FE17C71BF5E7}"/>
    <cellStyle name="Migliaia 26 6 3" xfId="6336" xr:uid="{4F77473C-FF93-4B30-820C-ED54DC02A4CD}"/>
    <cellStyle name="Migliaia 26 6 3 2" xfId="35253" xr:uid="{9F7DD868-90B6-46F0-9DA0-4A487238174D}"/>
    <cellStyle name="Migliaia 26 6 3 2 2" xfId="40413" xr:uid="{51F081FE-8903-4820-921B-009105C0DC5F}"/>
    <cellStyle name="Migliaia 26 6 3 2 3" xfId="45715" xr:uid="{229EFDFF-5F75-4E5B-B132-88F8FDD37367}"/>
    <cellStyle name="Migliaia 26 6 3 3" xfId="37762" xr:uid="{9C11434F-4B95-42B7-B3C3-A35F34271D55}"/>
    <cellStyle name="Migliaia 26 6 3 4" xfId="43064" xr:uid="{342A0E7B-7B95-441B-BB6B-35C72B892268}"/>
    <cellStyle name="Migliaia 26 6 3 5" xfId="9680" xr:uid="{45A8BCC5-DFD9-4FB5-BDCA-F10D7F9241E1}"/>
    <cellStyle name="Migliaia 26 6 4" xfId="20227" xr:uid="{350A4027-F738-4ADA-8A3F-6E2D4253E352}"/>
    <cellStyle name="Migliaia 26 6 4 2" xfId="39040" xr:uid="{13FF9DEC-4FE2-459C-8905-BB358835EA32}"/>
    <cellStyle name="Migliaia 26 6 4 3" xfId="44342" xr:uid="{F131005F-FE0C-4FDE-B8E4-A26C0E6D5195}"/>
    <cellStyle name="Migliaia 26 6 4 4" xfId="33579" xr:uid="{8EB39146-36BA-4F13-87A9-9F74FD1C731F}"/>
    <cellStyle name="Migliaia 26 6 5" xfId="36504" xr:uid="{6EB4254A-1577-4EA5-8075-6F15B7A50035}"/>
    <cellStyle name="Migliaia 26 6 6" xfId="41691" xr:uid="{2F1E2070-AAF5-45E8-8DB3-3510A9CBD486}"/>
    <cellStyle name="Migliaia 26 6 7" xfId="16295" xr:uid="{C3A94BE0-4D78-43BA-9F0B-D72892EA37C6}"/>
    <cellStyle name="Migliaia 26 6 8" xfId="7398" xr:uid="{14E51EF8-688C-46FA-A37B-E154B07393F1}"/>
    <cellStyle name="Migliaia 26 7" xfId="3406" xr:uid="{1F6A8F1A-8AFB-4D03-A034-8CA812EA5C6E}"/>
    <cellStyle name="Migliaia 26 7 2" xfId="5132" xr:uid="{3AA6850D-B99E-4AF7-BA50-539943D99A0A}"/>
    <cellStyle name="Migliaia 26 7 2 2" xfId="35254" xr:uid="{FE096D82-54E9-4F51-A9B8-319FB45EBF91}"/>
    <cellStyle name="Migliaia 26 7 2 2 2" xfId="40414" xr:uid="{E4F0EF09-2BA8-4396-858E-56E07DE24D5F}"/>
    <cellStyle name="Migliaia 26 7 2 2 3" xfId="45716" xr:uid="{A3AE19BE-DD1E-43BA-91E8-37A5D2688258}"/>
    <cellStyle name="Migliaia 26 7 2 3" xfId="37763" xr:uid="{4133A518-9975-430F-8E2F-DE92F043A796}"/>
    <cellStyle name="Migliaia 26 7 2 4" xfId="43065" xr:uid="{744D5D2E-1C0C-456E-BB3C-E5EF5050EF05}"/>
    <cellStyle name="Migliaia 26 7 2 5" xfId="14233" xr:uid="{1E9B0793-976B-49FE-BF9E-FE9801719230}"/>
    <cellStyle name="Migliaia 26 7 3" xfId="6337" xr:uid="{5DA01BA6-492C-41E2-ADE3-222D97F67715}"/>
    <cellStyle name="Migliaia 26 7 3 2" xfId="39041" xr:uid="{8B5580BB-53BA-4ABE-AD33-F35865331A74}"/>
    <cellStyle name="Migliaia 26 7 3 3" xfId="44343" xr:uid="{52C0D44F-15A4-4DC6-B115-3C8EA5A24147}"/>
    <cellStyle name="Migliaia 26 7 3 4" xfId="33580" xr:uid="{8B4BCD9D-4E46-4FFB-B82A-8554EF31F0E9}"/>
    <cellStyle name="Migliaia 26 7 3 5" xfId="20229" xr:uid="{D3877A08-172B-4C48-BF62-750B82E16032}"/>
    <cellStyle name="Migliaia 26 7 4" xfId="36505" xr:uid="{7003C3C1-E845-4EE2-ADC9-68A45A40D7CC}"/>
    <cellStyle name="Migliaia 26 7 5" xfId="41692" xr:uid="{217B37E5-B789-463A-8D6F-44056D506751}"/>
    <cellStyle name="Migliaia 26 7 6" xfId="16297" xr:uid="{D4A78560-BF69-451A-8843-2CB5AC607190}"/>
    <cellStyle name="Migliaia 26 7 7" xfId="8295" xr:uid="{02AF195F-534B-48C8-B342-42E119E7D84C}"/>
    <cellStyle name="Migliaia 26 8" xfId="3407" xr:uid="{12742659-F27D-4070-83D9-F488C30B1412}"/>
    <cellStyle name="Migliaia 26 8 2" xfId="5133" xr:uid="{B49D4B32-9A99-45FF-ADE4-96F5F4AFCCB5}"/>
    <cellStyle name="Migliaia 26 8 2 2" xfId="35255" xr:uid="{560465DE-B087-4FB8-9A3E-E69C35C2631F}"/>
    <cellStyle name="Migliaia 26 8 2 2 2" xfId="40415" xr:uid="{A0B9CD63-83C1-4C95-8BD7-5267441F2C58}"/>
    <cellStyle name="Migliaia 26 8 2 2 3" xfId="45717" xr:uid="{29B48758-DF6F-428B-9678-FA3143A518B2}"/>
    <cellStyle name="Migliaia 26 8 2 3" xfId="37764" xr:uid="{16B0F453-9CAF-4AA7-A0A2-69B7AC85A4F0}"/>
    <cellStyle name="Migliaia 26 8 2 4" xfId="43066" xr:uid="{E64E97D5-D441-4AEE-97C6-65AACC73AD65}"/>
    <cellStyle name="Migliaia 26 8 2 5" xfId="13938" xr:uid="{0ECDBB4D-5036-4E94-BC37-01D12597763E}"/>
    <cellStyle name="Migliaia 26 8 3" xfId="6338" xr:uid="{5A665E42-8C55-48E6-9164-1158730DEB30}"/>
    <cellStyle name="Migliaia 26 8 3 2" xfId="39042" xr:uid="{E8C63983-3C5B-4180-80C1-ADDB7E953824}"/>
    <cellStyle name="Migliaia 26 8 3 3" xfId="44344" xr:uid="{B9934A14-ECCC-428C-979F-8904BF3946DF}"/>
    <cellStyle name="Migliaia 26 8 3 4" xfId="33581" xr:uid="{8BD6F5B8-D841-47F1-B70E-E119C2B03476}"/>
    <cellStyle name="Migliaia 26 8 3 5" xfId="20230" xr:uid="{CDC10F74-B9CB-4FF1-9AFE-29F857EF7CF1}"/>
    <cellStyle name="Migliaia 26 8 4" xfId="36506" xr:uid="{4E4E94B5-B150-420A-A6F3-97D4F959D51E}"/>
    <cellStyle name="Migliaia 26 8 5" xfId="41693" xr:uid="{B26CC3B0-56D2-4408-B5C9-51CC4F2F6374}"/>
    <cellStyle name="Migliaia 26 8 6" xfId="16298" xr:uid="{BF46B164-0D18-41B9-BCF2-2879C614DF2B}"/>
    <cellStyle name="Migliaia 26 8 7" xfId="7894" xr:uid="{97E17FA6-5D80-4FFE-BEBF-45377EC2EE50}"/>
    <cellStyle name="Migliaia 26 9" xfId="5118" xr:uid="{13C50982-3A1D-4000-AEE7-6FC8EF50C7F2}"/>
    <cellStyle name="Migliaia 26 9 2" xfId="33582" xr:uid="{5F2047DD-96F9-4076-8152-1A901D21BB67}"/>
    <cellStyle name="Migliaia 26 9 2 2" xfId="39043" xr:uid="{58CF8108-151A-4172-9D65-3C65E1B0A34A}"/>
    <cellStyle name="Migliaia 26 9 2 3" xfId="44345" xr:uid="{AFFDB185-41CD-4DFB-B464-E8C052487C95}"/>
    <cellStyle name="Migliaia 26 9 3" xfId="36507" xr:uid="{9F2CDCD9-548E-4A4C-8644-D88953A5F00E}"/>
    <cellStyle name="Migliaia 26 9 4" xfId="41694" xr:uid="{3176EC7D-31CE-412A-9F45-52F4FA6CE651}"/>
    <cellStyle name="Migliaia 26 9 5" xfId="17171" xr:uid="{EB06ACD3-1174-428B-8559-84139E5CC2DD}"/>
    <cellStyle name="Migliaia 27" xfId="377" xr:uid="{00000000-0005-0000-0000-00006A030000}"/>
    <cellStyle name="Migliaia 27 10" xfId="6339" xr:uid="{0A0E45D2-F158-4916-86EE-45AC31BB7EAD}"/>
    <cellStyle name="Migliaia 27 10 2" xfId="39044" xr:uid="{6BDD170F-2926-4AA9-80A9-3776DD029BF7}"/>
    <cellStyle name="Migliaia 27 10 3" xfId="44346" xr:uid="{B45093B2-CFEE-4390-A511-FCF7A474299E}"/>
    <cellStyle name="Migliaia 27 10 4" xfId="33583" xr:uid="{EA5F1FE7-9CF8-4F82-AC11-0CE3714551F7}"/>
    <cellStyle name="Migliaia 27 10 5" xfId="20231" xr:uid="{9C432F57-999F-4DE5-A810-68E7BCDA2574}"/>
    <cellStyle name="Migliaia 27 11" xfId="3408" xr:uid="{A068FD15-F69F-4E83-8C89-DCFE7E9457AF}"/>
    <cellStyle name="Migliaia 27 11 2" xfId="36508" xr:uid="{BA4D7FCA-84F8-4921-91A9-F7B4FE609A71}"/>
    <cellStyle name="Migliaia 27 12" xfId="41695" xr:uid="{05CBEC0E-259A-424E-B1B6-3C596ACB136D}"/>
    <cellStyle name="Migliaia 27 13" xfId="7099" xr:uid="{63965040-70D7-4B07-A941-AE4DEC560675}"/>
    <cellStyle name="Migliaia 27 2" xfId="378" xr:uid="{00000000-0005-0000-0000-00006B030000}"/>
    <cellStyle name="Migliaia 27 2 2" xfId="1751" xr:uid="{00000000-0005-0000-0000-00006C030000}"/>
    <cellStyle name="Migliaia 27 2 2 2" xfId="5136" xr:uid="{3D65AC94-495C-46AE-BB06-196846A00589}"/>
    <cellStyle name="Migliaia 27 2 2 2 2" xfId="14382" xr:uid="{BFE898E4-E8E4-4312-B521-AD217FDDF118}"/>
    <cellStyle name="Migliaia 27 2 2 2 2 2" xfId="39045" xr:uid="{7BCCABA5-76C4-479F-8BC3-D02397ACA6D9}"/>
    <cellStyle name="Migliaia 27 2 2 2 2 3" xfId="44347" xr:uid="{85771D38-D47C-4950-98E7-5D2719A3D9BA}"/>
    <cellStyle name="Migliaia 27 2 2 2 3" xfId="18419" xr:uid="{53DBB1B1-8CEB-4DC7-822C-624B43AA55CC}"/>
    <cellStyle name="Migliaia 27 2 2 2 4" xfId="20234" xr:uid="{F260428A-78C1-4481-8B86-6026506CE56E}"/>
    <cellStyle name="Migliaia 27 2 2 2 4 2" xfId="41696" xr:uid="{E1F5BC69-A40F-4FB3-BEA1-C1A084DFE3FB}"/>
    <cellStyle name="Migliaia 27 2 2 2 5" xfId="16299" xr:uid="{2DCAA6A7-1A7D-41FC-8FA0-3E753D74610D}"/>
    <cellStyle name="Migliaia 27 2 2 2 6" xfId="8595" xr:uid="{1B37DFA7-4C8C-4C79-8098-79F9A526B2E2}"/>
    <cellStyle name="Migliaia 27 2 2 3" xfId="6341" xr:uid="{F2FA924F-8B5C-4D30-840F-8523A54367B1}"/>
    <cellStyle name="Migliaia 27 2 2 3 2" xfId="35256" xr:uid="{14B31CD8-A81D-4A47-A9AF-2C595D3A040A}"/>
    <cellStyle name="Migliaia 27 2 2 3 2 2" xfId="40416" xr:uid="{9C31F2A2-9069-4DC6-8E01-CB1677823073}"/>
    <cellStyle name="Migliaia 27 2 2 3 2 3" xfId="45718" xr:uid="{7899092F-C50F-4AC5-893A-2396B5896DEA}"/>
    <cellStyle name="Migliaia 27 2 2 3 3" xfId="37765" xr:uid="{EC5CC403-168E-45AD-98BD-4B0820E271CD}"/>
    <cellStyle name="Migliaia 27 2 2 3 4" xfId="43067" xr:uid="{76DFB680-C65D-4533-BD68-048C1AE1E83E}"/>
    <cellStyle name="Migliaia 27 2 2 3 5" xfId="11609" xr:uid="{3ADBDFC9-0950-4C8A-8D69-8F6D2D0485F3}"/>
    <cellStyle name="Migliaia 27 2 2 4" xfId="3410" xr:uid="{3826D6E5-E972-4D17-A1A3-0741D6764A0B}"/>
    <cellStyle name="Migliaia 27 2 2 4 2" xfId="21463" xr:uid="{032547DF-F7E1-4C1F-B49D-A0ED8F4B6114}"/>
    <cellStyle name="Migliaia 27 2 2 4 3" xfId="46228" xr:uid="{564C6A30-ED73-486C-9A7F-503C30C804D7}"/>
    <cellStyle name="Migliaia 27 2 2 4 4" xfId="50478" xr:uid="{BCCE3667-BB62-45B9-8217-8181DECD9BDF}"/>
    <cellStyle name="Migliaia 27 2 2 4 5" xfId="53494" xr:uid="{8ADCAA0C-9DBE-4187-8E2A-AB1E5FD898D4}"/>
    <cellStyle name="Migliaia 27 2 2 4 6" xfId="10828" xr:uid="{2367B3FF-22CA-44E9-B822-FCE9A273E4CF}"/>
    <cellStyle name="Migliaia 27 2 2 5" xfId="20233" xr:uid="{1746C07A-F148-4C0B-AB1F-EA162E59427B}"/>
    <cellStyle name="Migliaia 27 2 2 6" xfId="24609" xr:uid="{9836E544-466B-409A-A97D-8A5A7015AAD1}"/>
    <cellStyle name="Migliaia 27 2 2 7" xfId="7405" xr:uid="{B236EF1D-594F-41D6-B010-AF92380A3011}"/>
    <cellStyle name="Migliaia 27 2 3" xfId="3411" xr:uid="{ADE8947B-58AF-4E76-BECE-9591BAD07F6A}"/>
    <cellStyle name="Migliaia 27 2 3 2" xfId="5137" xr:uid="{C89AB78D-3BF0-43E1-9C05-3EE05BAC23D6}"/>
    <cellStyle name="Migliaia 27 2 3 2 2" xfId="35257" xr:uid="{F5A2E104-5347-4F97-B2C4-550B44C152EC}"/>
    <cellStyle name="Migliaia 27 2 3 2 2 2" xfId="40417" xr:uid="{D14192E6-2CFC-4AB4-B57F-B9974807A980}"/>
    <cellStyle name="Migliaia 27 2 3 2 2 3" xfId="45719" xr:uid="{5F0BDAE6-FFF8-4427-BDDE-0852A33713AB}"/>
    <cellStyle name="Migliaia 27 2 3 2 3" xfId="37766" xr:uid="{8F0C72C3-BA86-4892-B5A1-D7C5CF53FCC8}"/>
    <cellStyle name="Migliaia 27 2 3 2 4" xfId="43068" xr:uid="{A68549E4-D08C-4F96-87B3-F2038B630005}"/>
    <cellStyle name="Migliaia 27 2 3 2 5" xfId="14237" xr:uid="{1EABBEFA-1A4A-4C0F-91EC-6866B2329D99}"/>
    <cellStyle name="Migliaia 27 2 3 3" xfId="6342" xr:uid="{693EF05D-9F5D-4F73-B6E1-B9B640D8B2AB}"/>
    <cellStyle name="Migliaia 27 2 3 3 2" xfId="39046" xr:uid="{A40E042B-E451-4B63-A9CE-3B165F7146E6}"/>
    <cellStyle name="Migliaia 27 2 3 3 3" xfId="44348" xr:uid="{B9ABEC88-142A-4C47-B334-39CA1748D3F5}"/>
    <cellStyle name="Migliaia 27 2 3 3 4" xfId="33584" xr:uid="{BF96C758-081B-487A-9DBF-8C91DDE32D14}"/>
    <cellStyle name="Migliaia 27 2 3 3 5" xfId="20235" xr:uid="{DE3E57BB-7CA5-4E86-AB47-B0E6A1D7D6C5}"/>
    <cellStyle name="Migliaia 27 2 3 4" xfId="36509" xr:uid="{DD3730B5-DF05-4239-890D-D091CF2003D1}"/>
    <cellStyle name="Migliaia 27 2 3 5" xfId="41697" xr:uid="{978BC5A0-5C33-406C-80AA-BCA934B336A7}"/>
    <cellStyle name="Migliaia 27 2 3 6" xfId="16300" xr:uid="{EDAF0D42-A9EB-4E9B-8596-D1E1E81ACC3A}"/>
    <cellStyle name="Migliaia 27 2 3 7" xfId="8299" xr:uid="{61C2C0B3-FE47-44A3-9055-CDBCFCA9EFF6}"/>
    <cellStyle name="Migliaia 27 2 4" xfId="5135" xr:uid="{255BF61E-90C1-4B4C-9CBD-2142CFB77D71}"/>
    <cellStyle name="Migliaia 27 2 4 2" xfId="13942" xr:uid="{9D70C706-5062-4AC3-B8D6-535C4B1C602F}"/>
    <cellStyle name="Migliaia 27 2 4 2 2" xfId="39047" xr:uid="{016650EF-8130-426B-B97B-FA2995B6C87B}"/>
    <cellStyle name="Migliaia 27 2 4 2 3" xfId="44349" xr:uid="{AF0EFD31-0138-4772-BC48-2C106D33BA57}"/>
    <cellStyle name="Migliaia 27 2 4 3" xfId="18715" xr:uid="{E53088B8-4907-46D3-A364-7275B5F7A8DD}"/>
    <cellStyle name="Migliaia 27 2 4 4" xfId="20236" xr:uid="{75AA5FA7-6ADF-4B98-80D6-F8DC046BE08E}"/>
    <cellStyle name="Migliaia 27 2 4 4 2" xfId="41698" xr:uid="{3853924F-AD35-4AF2-9046-7F6B8C5E3E69}"/>
    <cellStyle name="Migliaia 27 2 4 5" xfId="16301" xr:uid="{2427C8AE-0147-4F81-9508-5C7FF1ED3048}"/>
    <cellStyle name="Migliaia 27 2 4 6" xfId="7899" xr:uid="{7426B5E1-8638-4B55-ACB7-E76F5E4FE43C}"/>
    <cellStyle name="Migliaia 27 2 5" xfId="6340" xr:uid="{47FAA327-DB2E-4A70-B8B3-B291AA4A039F}"/>
    <cellStyle name="Migliaia 27 2 5 2" xfId="33585" xr:uid="{4058EFC2-7B22-4F59-A803-0810B224A09D}"/>
    <cellStyle name="Migliaia 27 2 5 2 2" xfId="39048" xr:uid="{5E348F93-6072-4C0C-BA43-3CFC2299CCD1}"/>
    <cellStyle name="Migliaia 27 2 5 2 3" xfId="44350" xr:uid="{E993F300-44BF-48AC-97B9-9CA97299DB56}"/>
    <cellStyle name="Migliaia 27 2 5 3" xfId="36510" xr:uid="{48F3A00C-49FD-4EA2-8709-3053747A7CCF}"/>
    <cellStyle name="Migliaia 27 2 5 4" xfId="41699" xr:uid="{67AC3DCB-817E-42A7-BF86-8211BC94DA44}"/>
    <cellStyle name="Migliaia 27 2 5 5" xfId="13122" xr:uid="{19F0A667-F56C-410B-A68F-548B939B41F6}"/>
    <cellStyle name="Migliaia 27 2 6" xfId="3409" xr:uid="{86469C21-7872-4217-BEB1-7F40489E6D53}"/>
    <cellStyle name="Migliaia 27 2 6 2" xfId="33586" xr:uid="{9134CB24-4B0A-4A98-A2B5-79A490FF908C}"/>
    <cellStyle name="Migliaia 27 2 6 2 2" xfId="39049" xr:uid="{F7A424E4-8537-4CF7-9745-DED1394DD49C}"/>
    <cellStyle name="Migliaia 27 2 6 2 3" xfId="44351" xr:uid="{093DA97B-7154-4B5F-A258-6F84BA3258D5}"/>
    <cellStyle name="Migliaia 27 2 6 3" xfId="36511" xr:uid="{DE045FE7-1C06-4657-894C-C90F813FE1E0}"/>
    <cellStyle name="Migliaia 27 2 6 4" xfId="41700" xr:uid="{F294B290-8503-4EC6-821E-5A0D05B6647F}"/>
    <cellStyle name="Migliaia 27 2 6 5" xfId="24610" xr:uid="{9A96C6A3-725C-47A2-9F5F-35CECEB8632E}"/>
    <cellStyle name="Migliaia 27 2 6 6" xfId="20232" xr:uid="{642AE5FD-EFCF-4DFC-85EC-B19115B48F4E}"/>
    <cellStyle name="Migliaia 27 2 7" xfId="24608" xr:uid="{6BA654CF-187B-4A16-A0EB-881D4E552CEB}"/>
    <cellStyle name="Migliaia 27 2 8" xfId="7100" xr:uid="{F98F9CE2-46A2-45C2-99BC-51D951E80B73}"/>
    <cellStyle name="Migliaia 27 3" xfId="379" xr:uid="{00000000-0005-0000-0000-00006D030000}"/>
    <cellStyle name="Migliaia 27 3 10" xfId="24611" xr:uid="{218C614B-9156-4A18-B41D-573B80E0842A}"/>
    <cellStyle name="Migliaia 27 3 11" xfId="16302" xr:uid="{41BE323E-A5C2-4161-94A3-06961F948BD0}"/>
    <cellStyle name="Migliaia 27 3 12" xfId="7101" xr:uid="{7CE7C83B-27F5-49E4-B3E9-B8FDEE1188F1}"/>
    <cellStyle name="Migliaia 27 3 2" xfId="380" xr:uid="{00000000-0005-0000-0000-00006E030000}"/>
    <cellStyle name="Migliaia 27 3 2 2" xfId="1752" xr:uid="{00000000-0005-0000-0000-00006F030000}"/>
    <cellStyle name="Migliaia 27 3 2 2 2" xfId="5140" xr:uid="{FDAE2B9F-EE25-4F1F-AF34-E2AD7BC50489}"/>
    <cellStyle name="Migliaia 27 3 2 2 2 2" xfId="18420" xr:uid="{02E00B56-EB34-4A6F-BFC0-688D6ED48BB0}"/>
    <cellStyle name="Migliaia 27 3 2 2 2 2 2" xfId="21860" xr:uid="{937F8CB4-E30B-4042-9CE7-D1B85374ECFA}"/>
    <cellStyle name="Migliaia 27 3 2 2 2 2 2 2" xfId="39050" xr:uid="{679F8C46-C251-4816-88EF-7CF1C6CA877B}"/>
    <cellStyle name="Migliaia 27 3 2 2 2 2 3" xfId="44352" xr:uid="{D7118CC7-6646-4D87-B608-02B9530BF785}"/>
    <cellStyle name="Migliaia 27 3 2 2 2 2 4" xfId="33587" xr:uid="{EE66CC2E-3A2D-4426-974B-0B13E9247831}"/>
    <cellStyle name="Migliaia 27 3 2 2 2 3" xfId="36512" xr:uid="{AC6A5362-637D-4D60-BC4D-8221F7758307}"/>
    <cellStyle name="Migliaia 27 3 2 2 2 4" xfId="41701" xr:uid="{19BE596E-453C-49BF-95C9-9EF7B87A706F}"/>
    <cellStyle name="Migliaia 27 3 2 2 2 5" xfId="48577" xr:uid="{0A40D53D-3F8E-402E-9B56-E2F66A5214A0}"/>
    <cellStyle name="Migliaia 27 3 2 2 2 6" xfId="50888" xr:uid="{27E9FAB2-FA80-4A51-9BCA-F95E1048734C}"/>
    <cellStyle name="Migliaia 27 3 2 2 2 7" xfId="53904" xr:uid="{38188A26-8EEA-481C-ABCF-4143E2D12D72}"/>
    <cellStyle name="Migliaia 27 3 2 2 2 8" xfId="17657" xr:uid="{6BB21AA2-E3CE-4D5F-AEB5-493F8E7FF6B0}"/>
    <cellStyle name="Migliaia 27 3 2 2 2 9" xfId="11963" xr:uid="{C1153800-A5E4-4121-A832-0B6CED7DB630}"/>
    <cellStyle name="Migliaia 27 3 2 2 3" xfId="6345" xr:uid="{4EA37C60-08C6-460B-B2AE-10EC49EAC6F7}"/>
    <cellStyle name="Migliaia 27 3 2 2 3 2" xfId="11557" xr:uid="{74A06530-A298-44F8-B679-4A7B3F230FD5}"/>
    <cellStyle name="Migliaia 27 3 2 2 4" xfId="3414" xr:uid="{8D4B7C4F-61A1-449C-BCB9-2D15A9831157}"/>
    <cellStyle name="Migliaia 27 3 2 2 4 2" xfId="21464" xr:uid="{EFC5EE35-F910-4C53-939A-B12C818F05AC}"/>
    <cellStyle name="Migliaia 27 3 2 2 4 3" xfId="47897" xr:uid="{C02347A6-AA2C-4B5B-A4DF-855330EB03F8}"/>
    <cellStyle name="Migliaia 27 3 2 2 4 4" xfId="50479" xr:uid="{E791F044-9581-4A64-AF25-B433CD4F1E42}"/>
    <cellStyle name="Migliaia 27 3 2 2 4 5" xfId="53495" xr:uid="{2620FAB4-59F9-4F41-B105-D967EB070646}"/>
    <cellStyle name="Migliaia 27 3 2 2 4 6" xfId="10829" xr:uid="{A989A94E-3A16-4BEC-A5B1-01753798B8F8}"/>
    <cellStyle name="Migliaia 27 3 2 2 5" xfId="20239" xr:uid="{011A73FC-9145-4E13-981C-0262A9698197}"/>
    <cellStyle name="Migliaia 27 3 2 2 6" xfId="24613" xr:uid="{FEA72394-AA15-4B69-ACC3-FFD50A592B06}"/>
    <cellStyle name="Migliaia 27 3 2 2 7" xfId="8597" xr:uid="{4B8197A6-9DB7-48DD-9AC2-AA55B91E77E3}"/>
    <cellStyle name="Migliaia 27 3 2 3" xfId="5139" xr:uid="{3B7D100A-9531-468F-98E1-4334D5B012C5}"/>
    <cellStyle name="Migliaia 27 3 2 3 2" xfId="12414" xr:uid="{EF5E6B0D-7A41-4187-94A1-FD754E6B9FDE}"/>
    <cellStyle name="Migliaia 27 3 2 3 2 2" xfId="39051" xr:uid="{00EA8717-B191-4D50-997A-DCB3432032C1}"/>
    <cellStyle name="Migliaia 27 3 2 3 2 3" xfId="44353" xr:uid="{2ABA4CED-4AA8-45E9-89BB-262EAC4E3231}"/>
    <cellStyle name="Migliaia 27 3 2 3 2 4" xfId="33588" xr:uid="{CA3E8C17-D5C7-49F3-9732-4F9078AE6D4F}"/>
    <cellStyle name="Migliaia 27 3 2 3 3" xfId="11964" xr:uid="{D99114AE-F21B-4760-80E2-21E4F8D4DEBB}"/>
    <cellStyle name="Migliaia 27 3 2 3 4" xfId="20240" xr:uid="{9D7EF295-08E8-40C0-A6C0-7128F179102A}"/>
    <cellStyle name="Migliaia 27 3 2 3 4 2" xfId="41702" xr:uid="{CEAB627C-20EB-4446-BC0D-9A8DFFE8C20C}"/>
    <cellStyle name="Migliaia 27 3 2 3 5" xfId="16303" xr:uid="{A75A4D57-CD17-4559-A9B9-5EBC75085EEE}"/>
    <cellStyle name="Migliaia 27 3 2 3 6" xfId="7901" xr:uid="{E3C221EC-A6C3-48B7-91F8-D0E0EE55F316}"/>
    <cellStyle name="Migliaia 27 3 2 4" xfId="6344" xr:uid="{C3655A28-30FC-48FB-A689-3166F7CCDA75}"/>
    <cellStyle name="Migliaia 27 3 2 4 2" xfId="18076" xr:uid="{1141FBC4-F6E3-42D2-868B-B371887251C2}"/>
    <cellStyle name="Migliaia 27 3 2 4 2 2" xfId="39052" xr:uid="{6C464225-1932-4D4D-A2C5-24A309CA1169}"/>
    <cellStyle name="Migliaia 27 3 2 4 2 3" xfId="44354" xr:uid="{983BC1CB-D2AC-4692-9346-6FCD160A3E40}"/>
    <cellStyle name="Migliaia 27 3 2 4 3" xfId="36513" xr:uid="{A08AD588-55AE-48CB-8F5D-17A6B0D4BA06}"/>
    <cellStyle name="Migliaia 27 3 2 4 4" xfId="41703" xr:uid="{906AF9B6-E2EF-4D73-AE38-991245A1E2B8}"/>
    <cellStyle name="Migliaia 27 3 2 4 5" xfId="17174" xr:uid="{7E135853-9A12-4DF6-8176-47B39F485280}"/>
    <cellStyle name="Migliaia 27 3 2 4 6" xfId="11312" xr:uid="{B6C09D8B-1A86-4400-A516-0BBC7CB45205}"/>
    <cellStyle name="Migliaia 27 3 2 5" xfId="3413" xr:uid="{6DD2A695-63C3-46AE-A2E4-6894A88BE4B9}"/>
    <cellStyle name="Migliaia 27 3 2 5 2" xfId="33589" xr:uid="{FFF87450-3C59-4B67-9309-D7D7E60BCF40}"/>
    <cellStyle name="Migliaia 27 3 2 5 2 2" xfId="39053" xr:uid="{F5A46390-B736-45BC-A146-A6844A148033}"/>
    <cellStyle name="Migliaia 27 3 2 5 2 3" xfId="44355" xr:uid="{7D6FAAC4-6F02-4BC6-A383-C24CC4C447C8}"/>
    <cellStyle name="Migliaia 27 3 2 5 3" xfId="36514" xr:uid="{B5858545-A276-4C27-A7B9-16AA8395430E}"/>
    <cellStyle name="Migliaia 27 3 2 5 4" xfId="41704" xr:uid="{AF8219BA-06E1-44A8-A944-E5A1813FD543}"/>
    <cellStyle name="Migliaia 27 3 2 5 5" xfId="17369" xr:uid="{3B8D97BF-43A8-4303-9700-F06993386C37}"/>
    <cellStyle name="Migliaia 27 3 2 6" xfId="20238" xr:uid="{E002DE07-8B96-468F-A700-9DA007214477}"/>
    <cellStyle name="Migliaia 27 3 2 6 2" xfId="33590" xr:uid="{675E54DC-184B-4F5C-A5A6-214741AD8CD1}"/>
    <cellStyle name="Migliaia 27 3 2 6 2 2" xfId="39054" xr:uid="{36FB4667-CC51-47E2-9139-6123E205B53C}"/>
    <cellStyle name="Migliaia 27 3 2 6 2 3" xfId="44356" xr:uid="{7232FF74-59D7-4EE5-BDAF-0A870C0ED0AF}"/>
    <cellStyle name="Migliaia 27 3 2 6 3" xfId="36515" xr:uid="{E7A4F352-0824-494B-98EE-5DA4DCEE279A}"/>
    <cellStyle name="Migliaia 27 3 2 6 4" xfId="41705" xr:uid="{5730D78F-8A9D-4E28-8AF8-B9E2252C81E6}"/>
    <cellStyle name="Migliaia 27 3 2 6 5" xfId="24614" xr:uid="{37EC28B4-AD0B-4FBB-BB49-6F044EB8A68C}"/>
    <cellStyle name="Migliaia 27 3 2 7" xfId="24612" xr:uid="{94E9F180-E36F-4DBA-860C-B0CBEEF5DD94}"/>
    <cellStyle name="Migliaia 27 3 2 8" xfId="7407" xr:uid="{38A1079B-28BA-4224-82FA-DFD8E5714AA7}"/>
    <cellStyle name="Migliaia 27 3 3" xfId="3415" xr:uid="{9CEB31AB-FB68-4DD9-9EDF-AAFCDEF17384}"/>
    <cellStyle name="Migliaia 27 3 3 10" xfId="7406" xr:uid="{F681376D-7A76-4DEE-AE4C-4D76F471B1B2}"/>
    <cellStyle name="Migliaia 27 3 3 2" xfId="5141" xr:uid="{3B665994-7265-4413-8AF8-51F871EF02A9}"/>
    <cellStyle name="Migliaia 27 3 3 2 2" xfId="9920" xr:uid="{0DBCC9D9-85DD-4D66-ADC2-4766986F2668}"/>
    <cellStyle name="Migliaia 27 3 3 2 2 2" xfId="39056" xr:uid="{9E0F08E0-C305-43AA-97CB-D820E158609D}"/>
    <cellStyle name="Migliaia 27 3 3 2 2 3" xfId="44358" xr:uid="{02BB5717-8DCB-4F87-B563-495E9C7FFC9B}"/>
    <cellStyle name="Migliaia 27 3 3 2 3" xfId="18200" xr:uid="{F4244777-4EAE-456D-919D-4BCBE8144A78}"/>
    <cellStyle name="Migliaia 27 3 3 2 4" xfId="20242" xr:uid="{B9BA8E35-F56B-420F-8A86-C817017AD661}"/>
    <cellStyle name="Migliaia 27 3 3 2 4 2" xfId="41707" xr:uid="{4963507E-75B4-4B0F-9C50-F2586F63333E}"/>
    <cellStyle name="Migliaia 27 3 3 2 5" xfId="16305" xr:uid="{5EA62429-1D2E-435E-A30C-309DDF906D26}"/>
    <cellStyle name="Migliaia 27 3 3 2 6" xfId="8596" xr:uid="{824710B1-CE1A-452C-A2CE-EB378E99EF71}"/>
    <cellStyle name="Migliaia 27 3 3 3" xfId="6346" xr:uid="{78FF95FC-DA01-4A45-890A-CE04C55602C2}"/>
    <cellStyle name="Migliaia 27 3 3 3 2" xfId="33592" xr:uid="{68905C8F-DBA7-41A3-89E4-82303B97D104}"/>
    <cellStyle name="Migliaia 27 3 3 3 2 2" xfId="39057" xr:uid="{9CEC4B62-F72E-4CC9-8E96-D94AF74327BA}"/>
    <cellStyle name="Migliaia 27 3 3 3 2 3" xfId="44359" xr:uid="{AC3FD3BB-3C14-4CFD-BDC0-EF53630A77D2}"/>
    <cellStyle name="Migliaia 27 3 3 3 3" xfId="36517" xr:uid="{6803AA40-572E-4F93-B26F-7386FFCDBFAB}"/>
    <cellStyle name="Migliaia 27 3 3 3 4" xfId="41708" xr:uid="{20FA621D-BC0C-4234-9D35-15EFD3A2B460}"/>
    <cellStyle name="Migliaia 27 3 3 3 5" xfId="9683" xr:uid="{99A5ABE6-EF8D-4AC4-976E-4D19F925004A}"/>
    <cellStyle name="Migliaia 27 3 3 4" xfId="20241" xr:uid="{80B427AB-8A71-4B92-96DB-B7CBD1A87C22}"/>
    <cellStyle name="Migliaia 27 3 3 4 2" xfId="33593" xr:uid="{F9E0C14C-5A82-43F5-A514-70364F3CBA6B}"/>
    <cellStyle name="Migliaia 27 3 3 4 2 2" xfId="39058" xr:uid="{B3F6C0B4-4DE2-434B-B4FF-C5532220C23C}"/>
    <cellStyle name="Migliaia 27 3 3 4 2 3" xfId="44360" xr:uid="{18393EBC-E499-4FDE-A9C0-995CC26A73D5}"/>
    <cellStyle name="Migliaia 27 3 3 4 3" xfId="36518" xr:uid="{30EEE425-8848-47D8-B224-EA7F4A6A58DC}"/>
    <cellStyle name="Migliaia 27 3 3 4 4" xfId="41709" xr:uid="{5567E344-6E07-4DD2-BFF3-58860AC64B07}"/>
    <cellStyle name="Migliaia 27 3 3 4 5" xfId="24615" xr:uid="{6BB6FC31-8E0C-427D-AAD0-8D0F02012078}"/>
    <cellStyle name="Migliaia 27 3 3 5" xfId="24616" xr:uid="{11257BF0-2441-49ED-9474-87EF9E87C3EB}"/>
    <cellStyle name="Migliaia 27 3 3 5 2" xfId="33594" xr:uid="{AAB0149E-404B-498A-9875-C183AC4E22AC}"/>
    <cellStyle name="Migliaia 27 3 3 5 2 2" xfId="39059" xr:uid="{DB0A2B3C-EFAB-4EDB-A77E-8D9C6DD08E38}"/>
    <cellStyle name="Migliaia 27 3 3 5 2 3" xfId="44361" xr:uid="{0F09AFCC-F11B-4AB3-9EEE-93B637C350F3}"/>
    <cellStyle name="Migliaia 27 3 3 5 3" xfId="36519" xr:uid="{C9E12386-E4FD-4BAC-911F-61BB1418D43C}"/>
    <cellStyle name="Migliaia 27 3 3 5 4" xfId="41710" xr:uid="{2106F42A-631E-4DA5-948D-5A35B13550E4}"/>
    <cellStyle name="Migliaia 27 3 3 6" xfId="33591" xr:uid="{A4680E0F-42BA-4213-AFB4-98C879D47363}"/>
    <cellStyle name="Migliaia 27 3 3 6 2" xfId="39055" xr:uid="{FCA5F383-909E-4BC6-872D-55DA1B2CC460}"/>
    <cellStyle name="Migliaia 27 3 3 6 3" xfId="44357" xr:uid="{55BA582C-242C-4FB8-A010-4F1816C08A90}"/>
    <cellStyle name="Migliaia 27 3 3 7" xfId="36516" xr:uid="{CB72E448-7038-4E25-A4E5-CD1585B8A54E}"/>
    <cellStyle name="Migliaia 27 3 3 8" xfId="41706" xr:uid="{95D0DC78-9E55-4C62-9C3B-BA3CC1A1E490}"/>
    <cellStyle name="Migliaia 27 3 3 9" xfId="16304" xr:uid="{FCFBCDB5-9BB7-4CDD-A57A-7740F16B3F5B}"/>
    <cellStyle name="Migliaia 27 3 4" xfId="3416" xr:uid="{E3D50714-EDF7-4CF5-A692-BFE7B7F9991A}"/>
    <cellStyle name="Migliaia 27 3 4 2" xfId="5142" xr:uid="{86434094-111D-41CC-8738-B345A8986BB3}"/>
    <cellStyle name="Migliaia 27 3 4 2 2" xfId="14442" xr:uid="{7645F115-BBD6-4686-8E8E-AAEB0327550A}"/>
    <cellStyle name="Migliaia 27 3 4 2 3" xfId="18585" xr:uid="{2E040535-C05A-4000-B875-22D3AAA0BE60}"/>
    <cellStyle name="Migliaia 27 3 4 2 4" xfId="20244" xr:uid="{6E1E1B41-531D-4129-8557-FA63803BD614}"/>
    <cellStyle name="Migliaia 27 3 4 2 5" xfId="32353" xr:uid="{FD2D71DE-67EC-4AE3-95B5-D667FF52DE3D}"/>
    <cellStyle name="Migliaia 27 3 4 2 6" xfId="16307" xr:uid="{A4B84112-761E-4233-AED2-E99A82A77EFB}"/>
    <cellStyle name="Migliaia 27 3 4 2 7" xfId="8865" xr:uid="{E19E232C-CA6C-4819-908A-965D365D7E36}"/>
    <cellStyle name="Migliaia 27 3 4 3" xfId="6347" xr:uid="{DA514BA8-BEF2-4EC0-A12F-3BEECE4901B1}"/>
    <cellStyle name="Migliaia 27 3 4 3 2" xfId="35258" xr:uid="{CB055EBD-158A-4CB4-9B90-0804B498855D}"/>
    <cellStyle name="Migliaia 27 3 4 3 2 2" xfId="40418" xr:uid="{2D19B463-FE7D-4E70-8187-942E4F450CDC}"/>
    <cellStyle name="Migliaia 27 3 4 3 2 3" xfId="45720" xr:uid="{399F3877-1A2D-4A6D-BC68-E771A3AD1101}"/>
    <cellStyle name="Migliaia 27 3 4 3 3" xfId="37767" xr:uid="{5278FD29-159A-4505-9B40-E6184DCC2C1A}"/>
    <cellStyle name="Migliaia 27 3 4 3 4" xfId="43069" xr:uid="{849B0531-7897-4217-985D-131FB1DF5D28}"/>
    <cellStyle name="Migliaia 27 3 4 3 5" xfId="13690" xr:uid="{BDF695B4-F37F-4AD7-8B0F-F9648BB4FCB7}"/>
    <cellStyle name="Migliaia 27 3 4 4" xfId="20243" xr:uid="{D7535421-867B-4512-85D6-ABC48841AC82}"/>
    <cellStyle name="Migliaia 27 3 4 4 2" xfId="39060" xr:uid="{A8115249-B0E9-4551-9E90-D22FA41A7913}"/>
    <cellStyle name="Migliaia 27 3 4 4 3" xfId="44362" xr:uid="{70F35E35-2861-4B14-845F-1414B6F0B7D8}"/>
    <cellStyle name="Migliaia 27 3 4 4 4" xfId="33595" xr:uid="{538AF54C-1FAE-46FB-B318-7D9E3AEA382B}"/>
    <cellStyle name="Migliaia 27 3 4 5" xfId="36520" xr:uid="{9438A1B5-BD6F-41CC-9E66-A9C283A6217C}"/>
    <cellStyle name="Migliaia 27 3 4 6" xfId="41711" xr:uid="{8B1A7343-E860-4C76-B117-330930CB9955}"/>
    <cellStyle name="Migliaia 27 3 4 7" xfId="16306" xr:uid="{793CB736-C46E-4FB0-B993-5ECBDEDC45A8}"/>
    <cellStyle name="Migliaia 27 3 4 8" xfId="7675" xr:uid="{D9D271D5-8236-49CC-84B6-CBF172284A91}"/>
    <cellStyle name="Migliaia 27 3 5" xfId="3417" xr:uid="{D71B8A19-4683-4ACB-9D59-449C8F9C3CD9}"/>
    <cellStyle name="Migliaia 27 3 5 2" xfId="5143" xr:uid="{6F34845D-3979-4205-8995-7B075AA92D52}"/>
    <cellStyle name="Migliaia 27 3 5 2 2" xfId="35259" xr:uid="{CA323E4E-86DA-427C-8372-83962794CB21}"/>
    <cellStyle name="Migliaia 27 3 5 2 2 2" xfId="40419" xr:uid="{DF9A94FC-2D39-4407-A47A-E57CCC83730E}"/>
    <cellStyle name="Migliaia 27 3 5 2 2 3" xfId="45721" xr:uid="{26E28A7E-1EFD-4B7E-A720-055DF63BF0A7}"/>
    <cellStyle name="Migliaia 27 3 5 2 3" xfId="37768" xr:uid="{397C8932-B822-46FC-A040-AB83916B8657}"/>
    <cellStyle name="Migliaia 27 3 5 2 4" xfId="43070" xr:uid="{50C73C86-F50F-4265-A971-2DAEC2935C65}"/>
    <cellStyle name="Migliaia 27 3 5 2 5" xfId="14238" xr:uid="{3F394410-655C-4A93-8BC3-097426E2D322}"/>
    <cellStyle name="Migliaia 27 3 5 3" xfId="6348" xr:uid="{50FFCAB0-D276-49D0-A46E-286E1F1FC56B}"/>
    <cellStyle name="Migliaia 27 3 5 3 2" xfId="39061" xr:uid="{3B139E34-D9F3-4666-BEE7-F2E7B50F5C4E}"/>
    <cellStyle name="Migliaia 27 3 5 3 3" xfId="44363" xr:uid="{3D129A67-38E5-4ED4-961C-E189036E72B5}"/>
    <cellStyle name="Migliaia 27 3 5 3 4" xfId="33596" xr:uid="{FC54A566-EBD0-4091-8661-BB8F6B57B246}"/>
    <cellStyle name="Migliaia 27 3 5 3 5" xfId="20245" xr:uid="{D62119FD-2720-4F1C-A805-6FDB1046DD37}"/>
    <cellStyle name="Migliaia 27 3 5 4" xfId="36521" xr:uid="{7FD70C55-23AC-4064-B1D7-D3AE5AF55EFE}"/>
    <cellStyle name="Migliaia 27 3 5 5" xfId="41712" xr:uid="{E4465C2A-4AEE-444E-AC3C-A79403FDC7E2}"/>
    <cellStyle name="Migliaia 27 3 5 6" xfId="16308" xr:uid="{C35FF159-EF0D-413C-A9AB-312149CEEBC4}"/>
    <cellStyle name="Migliaia 27 3 5 7" xfId="8300" xr:uid="{D7D929E5-B5DC-4D5D-8F6B-A92C46777113}"/>
    <cellStyle name="Migliaia 27 3 6" xfId="5138" xr:uid="{89971A9F-7BEA-4078-B5D5-7B7805B25F2D}"/>
    <cellStyle name="Migliaia 27 3 6 2" xfId="13943" xr:uid="{0B000F1A-FAB1-4805-90A5-29087DE6419E}"/>
    <cellStyle name="Migliaia 27 3 6 2 2" xfId="39062" xr:uid="{4C177E8A-FC0E-48F6-81C0-4FCFBE42697F}"/>
    <cellStyle name="Migliaia 27 3 6 2 3" xfId="44364" xr:uid="{A2D14D11-5C03-40E5-A61A-A9191793FF23}"/>
    <cellStyle name="Migliaia 27 3 6 3" xfId="18019" xr:uid="{41E4E5C6-0DF5-4F85-9162-CE03812734FD}"/>
    <cellStyle name="Migliaia 27 3 6 4" xfId="20246" xr:uid="{07D307DB-75D3-44C6-A30F-D594E5B6FB3E}"/>
    <cellStyle name="Migliaia 27 3 6 4 2" xfId="41713" xr:uid="{AA5D018F-C3B2-4934-A827-1692C9370EC3}"/>
    <cellStyle name="Migliaia 27 3 6 5" xfId="16309" xr:uid="{4F322146-FCC0-4BAD-9D36-DE8B0637E7F5}"/>
    <cellStyle name="Migliaia 27 3 6 6" xfId="7900" xr:uid="{BEEAADE2-0347-413C-AB2A-626ED4671AE8}"/>
    <cellStyle name="Migliaia 27 3 7" xfId="6343" xr:uid="{A2D516C5-D0ED-4F35-B8FB-1EC211F3919F}"/>
    <cellStyle name="Migliaia 27 3 7 2" xfId="33597" xr:uid="{943F0051-9A18-4CAE-90B9-4A0D9596298E}"/>
    <cellStyle name="Migliaia 27 3 7 2 2" xfId="39063" xr:uid="{6D7BB701-D63D-4D8C-AA34-00639A281250}"/>
    <cellStyle name="Migliaia 27 3 7 2 3" xfId="44365" xr:uid="{8B79A84A-24B3-4815-A071-1005A060549F}"/>
    <cellStyle name="Migliaia 27 3 7 3" xfId="36522" xr:uid="{85A198BA-445C-4467-BFDA-F16BCC587A9C}"/>
    <cellStyle name="Migliaia 27 3 7 4" xfId="41714" xr:uid="{6D03AC97-2CAF-4AEC-8B9B-D95455623673}"/>
    <cellStyle name="Migliaia 27 3 7 5" xfId="11535" xr:uid="{CE4F6B4F-E369-4A37-AAF4-366839B8968E}"/>
    <cellStyle name="Migliaia 27 3 8" xfId="3412" xr:uid="{AEAFA1A5-EA1B-4C25-92C4-67BB228819E7}"/>
    <cellStyle name="Migliaia 27 3 8 2" xfId="33598" xr:uid="{9FD7F93E-9C9F-46FE-BDB9-CCBD0E181050}"/>
    <cellStyle name="Migliaia 27 3 8 2 2" xfId="39064" xr:uid="{991FF758-B1E6-461C-B4E5-3B3BE99DE11D}"/>
    <cellStyle name="Migliaia 27 3 8 2 3" xfId="44366" xr:uid="{0F1A2982-B7A8-4AFE-BA4F-0B6EDCC30EC9}"/>
    <cellStyle name="Migliaia 27 3 8 3" xfId="36523" xr:uid="{249C148F-5BEA-4A0F-A6C7-17EB9C05DD30}"/>
    <cellStyle name="Migliaia 27 3 8 4" xfId="41715" xr:uid="{4427BF14-EF18-445C-9C59-5EFF37532E1D}"/>
    <cellStyle name="Migliaia 27 3 8 5" xfId="24617" xr:uid="{D056FE80-615E-4E56-A27A-206090EFDFFD}"/>
    <cellStyle name="Migliaia 27 3 8 6" xfId="17370" xr:uid="{1D1C392C-EA09-4BBD-8D63-8BBF5AEA62D5}"/>
    <cellStyle name="Migliaia 27 3 9" xfId="20237" xr:uid="{A85F83A8-80A3-4526-8B70-D2BC81B6B9F0}"/>
    <cellStyle name="Migliaia 27 4" xfId="1753" xr:uid="{00000000-0005-0000-0000-000070030000}"/>
    <cellStyle name="Migliaia 27 4 2" xfId="1754" xr:uid="{00000000-0005-0000-0000-000071030000}"/>
    <cellStyle name="Migliaia 27 4 2 2" xfId="5145" xr:uid="{BD061AB2-F5F6-4C8D-A9E4-8CA52EEC92E8}"/>
    <cellStyle name="Migliaia 27 4 2 2 2" xfId="33599" xr:uid="{95CC8468-178D-4BB5-A8B4-1ACD04E6476A}"/>
    <cellStyle name="Migliaia 27 4 2 2 2 2" xfId="39065" xr:uid="{3492D520-D001-4F15-AB0D-1BDB49A9C3E7}"/>
    <cellStyle name="Migliaia 27 4 2 2 2 3" xfId="44367" xr:uid="{798AB1A8-9346-4F17-8AB7-59B2D894ADBD}"/>
    <cellStyle name="Migliaia 27 4 2 2 3" xfId="36524" xr:uid="{F60EBC5F-FC10-41F7-AA53-BBE13A48ECDF}"/>
    <cellStyle name="Migliaia 27 4 2 2 4" xfId="41716" xr:uid="{26BAFB05-367D-47CE-B710-CD524B776533}"/>
    <cellStyle name="Migliaia 27 4 2 2 5" xfId="9146" xr:uid="{10433FB3-FC9D-4A26-A48C-43A4A037C3C0}"/>
    <cellStyle name="Migliaia 27 4 2 3" xfId="3419" xr:uid="{805D2F6F-CB87-4BF2-87BF-A077091C42C9}"/>
    <cellStyle name="Migliaia 27 4 2 3 2" xfId="33600" xr:uid="{865103B0-3CB5-48CC-A9FC-CB59F14026C0}"/>
    <cellStyle name="Migliaia 27 4 2 3 2 2" xfId="39066" xr:uid="{CCD9126E-1AAF-4689-988A-68907E2BDDDC}"/>
    <cellStyle name="Migliaia 27 4 2 3 2 3" xfId="44368" xr:uid="{BDED02FA-1592-473C-A555-8D9230D508CC}"/>
    <cellStyle name="Migliaia 27 4 2 3 3" xfId="36525" xr:uid="{AA000BBA-8E9D-4147-91C1-726696655EF1}"/>
    <cellStyle name="Migliaia 27 4 2 3 4" xfId="41717" xr:uid="{407D0EEA-42DF-4324-B8E2-5683873CDFA5}"/>
    <cellStyle name="Migliaia 27 4 2 3 5" xfId="11965" xr:uid="{E70ACDC1-F416-4CEB-993A-6CFC5D9ADE10}"/>
    <cellStyle name="Migliaia 27 4 2 4" xfId="11314" xr:uid="{26DD6D9E-E1B5-4638-AC9E-3C2F969A5FE8}"/>
    <cellStyle name="Migliaia 27 4 2 5" xfId="10831" xr:uid="{8692C390-2F19-4378-922D-F2D3F903B293}"/>
    <cellStyle name="Migliaia 27 4 2 5 2" xfId="21466" xr:uid="{4366899E-4A84-4A50-8225-8EE4EC02B013}"/>
    <cellStyle name="Migliaia 27 4 2 5 3" xfId="46229" xr:uid="{12FD2F71-277E-4A6B-9246-B5B2DDEBBBB2}"/>
    <cellStyle name="Migliaia 27 4 2 5 4" xfId="50481" xr:uid="{9B894ED7-5369-458D-AB90-3CB4EBF74BAD}"/>
    <cellStyle name="Migliaia 27 4 2 5 5" xfId="53497" xr:uid="{7901C0A4-B5DA-42B9-B52D-A7D9DEFE8510}"/>
    <cellStyle name="Migliaia 27 4 2 6" xfId="20248" xr:uid="{7176126A-04CF-4382-B426-9DB77B7ACEDB}"/>
    <cellStyle name="Migliaia 27 4 2 7" xfId="24619" xr:uid="{81F74929-125C-4CF6-9BC2-D66B8DBC0F5C}"/>
    <cellStyle name="Migliaia 27 4 2 8" xfId="8598" xr:uid="{4341B06B-4EF5-4A95-BF20-28774229AE1C}"/>
    <cellStyle name="Migliaia 27 4 3" xfId="5144" xr:uid="{DBDF9334-F889-4BEB-AE70-65E72A58AA3C}"/>
    <cellStyle name="Migliaia 27 4 3 2" xfId="18201" xr:uid="{F01A4567-66DB-438F-A1DA-19009C6E4E4E}"/>
    <cellStyle name="Migliaia 27 4 3 2 2" xfId="39067" xr:uid="{C4E91AA5-D9EC-4C08-8481-3FB60636ACD6}"/>
    <cellStyle name="Migliaia 27 4 3 2 3" xfId="44369" xr:uid="{7827471F-E07A-4E4A-B1D8-D9161C921671}"/>
    <cellStyle name="Migliaia 27 4 3 3" xfId="36526" xr:uid="{35CFD2F3-E83C-45B5-9D3C-8375F9A5BD56}"/>
    <cellStyle name="Migliaia 27 4 3 4" xfId="41718" xr:uid="{34B94359-2331-4D04-9719-BB7BAA48C116}"/>
    <cellStyle name="Migliaia 27 4 3 5" xfId="17368" xr:uid="{50C2529F-952F-452F-82B6-7AB5636497F4}"/>
    <cellStyle name="Migliaia 27 4 3 6" xfId="9147" xr:uid="{ADA032E4-416C-450C-9A7B-F62AD3C22796}"/>
    <cellStyle name="Migliaia 27 4 4" xfId="6349" xr:uid="{6DF098AD-DF84-48A8-8B4C-86C9C86F70E4}"/>
    <cellStyle name="Migliaia 27 4 4 2" xfId="33601" xr:uid="{5A0228B7-E565-4028-AA99-58CD8239BD11}"/>
    <cellStyle name="Migliaia 27 4 4 2 2" xfId="39068" xr:uid="{96DFB165-6539-4E08-960E-67293C02D2BD}"/>
    <cellStyle name="Migliaia 27 4 4 2 3" xfId="44370" xr:uid="{695D62DC-C2DD-422D-B645-302F6502BE52}"/>
    <cellStyle name="Migliaia 27 4 4 3" xfId="36527" xr:uid="{833297E3-232B-4419-9AF0-EC668BDF7C45}"/>
    <cellStyle name="Migliaia 27 4 4 4" xfId="41719" xr:uid="{A652A0D9-5DE9-40ED-8F25-B42FFEA49A04}"/>
    <cellStyle name="Migliaia 27 4 4 5" xfId="11966" xr:uid="{85133FDB-0791-4551-A13D-9ABD7CB059E2}"/>
    <cellStyle name="Migliaia 27 4 5" xfId="3418" xr:uid="{FC40750E-9FC2-4563-8AC1-E8DA40B34247}"/>
    <cellStyle name="Migliaia 27 4 5 2" xfId="33602" xr:uid="{5261640E-1C2B-4366-9EC3-5111270FF166}"/>
    <cellStyle name="Migliaia 27 4 5 2 2" xfId="39069" xr:uid="{C4D674B0-4819-4CC6-A9A9-EF0A9CB2A913}"/>
    <cellStyle name="Migliaia 27 4 5 2 3" xfId="44371" xr:uid="{08D81E56-E14B-47B4-A44D-75D84FE253B3}"/>
    <cellStyle name="Migliaia 27 4 5 3" xfId="36528" xr:uid="{67E2EB22-EF1D-4D46-A4B1-644D5225AFB6}"/>
    <cellStyle name="Migliaia 27 4 5 4" xfId="41720" xr:uid="{9393D617-B962-47E1-88FE-7E617F4DC469}"/>
    <cellStyle name="Migliaia 27 4 5 5" xfId="11313" xr:uid="{9DBBDF3B-F3AF-4369-BD1A-8AD38902F0DA}"/>
    <cellStyle name="Migliaia 27 4 6" xfId="10830" xr:uid="{6F13A827-B377-42B2-9EDA-F2202BC46C17}"/>
    <cellStyle name="Migliaia 27 4 6 2" xfId="21465" xr:uid="{53371261-1F28-48A3-A786-06F615CABCE4}"/>
    <cellStyle name="Migliaia 27 4 6 2 2" xfId="39070" xr:uid="{8B5A33F3-CD07-45FB-B2E2-AAF5EF008918}"/>
    <cellStyle name="Migliaia 27 4 6 2 3" xfId="44372" xr:uid="{C3042201-8FB1-4664-B754-315CEE0AA109}"/>
    <cellStyle name="Migliaia 27 4 6 2 4" xfId="33603" xr:uid="{71ED1E17-3427-4B2A-9562-9A3DBBAF1494}"/>
    <cellStyle name="Migliaia 27 4 6 3" xfId="36529" xr:uid="{F6D8D224-353D-4A0B-89B4-0053E81C21A1}"/>
    <cellStyle name="Migliaia 27 4 6 4" xfId="41721" xr:uid="{A286CAB4-8960-40A6-A73B-A4F12255C2FD}"/>
    <cellStyle name="Migliaia 27 4 6 5" xfId="24620" xr:uid="{C3D179DD-0042-4E9B-8E54-200C2CAA8983}"/>
    <cellStyle name="Migliaia 27 4 6 6" xfId="24247" xr:uid="{3230242E-11FE-48D9-AE6D-6FBEF6D3EF45}"/>
    <cellStyle name="Migliaia 27 4 6 7" xfId="50480" xr:uid="{0AE378CF-50E6-410E-B7F9-866273355B91}"/>
    <cellStyle name="Migliaia 27 4 6 8" xfId="53496" xr:uid="{5BD31ACC-CD8B-4CA8-BD0D-15C5E04DAF4A}"/>
    <cellStyle name="Migliaia 27 4 7" xfId="20247" xr:uid="{0E1484FC-BDC0-4B5C-94F4-236C25DA9CE7}"/>
    <cellStyle name="Migliaia 27 4 7 2" xfId="33604" xr:uid="{E4F0BEA7-B9AF-40AB-ABC7-9D684AFDF052}"/>
    <cellStyle name="Migliaia 27 4 7 2 2" xfId="39071" xr:uid="{C3DD5C47-9BEB-4739-9D28-443C69EE4DD4}"/>
    <cellStyle name="Migliaia 27 4 7 2 3" xfId="44373" xr:uid="{F0165FF4-52F4-410F-820C-65EE97084AA0}"/>
    <cellStyle name="Migliaia 27 4 7 3" xfId="36530" xr:uid="{D8E0E970-7ABD-49D8-9C56-22600898BD03}"/>
    <cellStyle name="Migliaia 27 4 7 4" xfId="41722" xr:uid="{4ACDE05D-C1F2-4FA2-AD80-ACA1910900FF}"/>
    <cellStyle name="Migliaia 27 4 7 5" xfId="24621" xr:uid="{3AF5314A-1392-489A-A952-0AE7DA2B8DC3}"/>
    <cellStyle name="Migliaia 27 4 8" xfId="24618" xr:uid="{D2ED26F3-FDB0-4ECE-A7FD-054F2ECCB906}"/>
    <cellStyle name="Migliaia 27 4 9" xfId="7408" xr:uid="{59B50741-00E0-41F8-AB37-D2FDCF84F20A}"/>
    <cellStyle name="Migliaia 27 5" xfId="1755" xr:uid="{00000000-0005-0000-0000-000072030000}"/>
    <cellStyle name="Migliaia 27 5 2" xfId="5146" xr:uid="{6ED9AB7D-8894-44A7-8633-C7B088C429A5}"/>
    <cellStyle name="Migliaia 27 5 2 2" xfId="18421" xr:uid="{35B1A6A8-73C8-4FBE-81CD-72346F984C58}"/>
    <cellStyle name="Migliaia 27 5 2 2 2" xfId="39072" xr:uid="{56319397-8D5B-4FC9-9C00-C0C4B459C3C6}"/>
    <cellStyle name="Migliaia 27 5 2 2 3" xfId="44374" xr:uid="{C7625079-A69A-4125-ABE1-C70E1F7FFD2A}"/>
    <cellStyle name="Migliaia 27 5 2 3" xfId="20250" xr:uid="{5534EA73-D82A-4472-A414-EAF481FEC6E9}"/>
    <cellStyle name="Migliaia 27 5 2 3 2" xfId="36531" xr:uid="{91D08A5C-60EC-49C3-8C5C-C93BE7CF9FB5}"/>
    <cellStyle name="Migliaia 27 5 2 4" xfId="41723" xr:uid="{2B338290-4D7C-4C40-8724-D7C2B21145EA}"/>
    <cellStyle name="Migliaia 27 5 2 5" xfId="16310" xr:uid="{01A79A7C-8344-45D2-9090-583AD9EAEDEF}"/>
    <cellStyle name="Migliaia 27 5 2 6" xfId="8599" xr:uid="{A246255F-C511-4B2A-B348-9FF2591CB657}"/>
    <cellStyle name="Migliaia 27 5 3" xfId="6350" xr:uid="{67BC9DEE-5D87-487B-9AF3-34A35E38CF52}"/>
    <cellStyle name="Migliaia 27 5 3 2" xfId="33605" xr:uid="{7B7A6EE1-0452-43F7-904E-8C24EAC4A5BB}"/>
    <cellStyle name="Migliaia 27 5 3 2 2" xfId="39073" xr:uid="{FF777828-F0CF-47B3-A518-8B1FBB235BA6}"/>
    <cellStyle name="Migliaia 27 5 3 2 3" xfId="44375" xr:uid="{B30E5A49-D709-48D6-B967-5513617B54AC}"/>
    <cellStyle name="Migliaia 27 5 3 3" xfId="36532" xr:uid="{8B403872-8996-4A92-BB88-5DAB40B2AEF2}"/>
    <cellStyle name="Migliaia 27 5 3 4" xfId="41724" xr:uid="{04E82E4C-9940-4295-8893-2EE84F58E8EE}"/>
    <cellStyle name="Migliaia 27 5 3 5" xfId="11315" xr:uid="{84E8ED0D-E030-42F2-8BA3-6EC592AA1363}"/>
    <cellStyle name="Migliaia 27 5 4" xfId="3420" xr:uid="{AE1995DF-BDFD-4515-BF13-B9CAF347D7BA}"/>
    <cellStyle name="Migliaia 27 5 4 2" xfId="21467" xr:uid="{453C6629-B4BA-4775-9C30-C86D012800B5}"/>
    <cellStyle name="Migliaia 27 5 4 2 2" xfId="39074" xr:uid="{0C3E6954-434E-45AD-A84E-DEABC26E018F}"/>
    <cellStyle name="Migliaia 27 5 4 2 3" xfId="44376" xr:uid="{9BCA05DD-41A7-491D-A3B4-986FA4F20A02}"/>
    <cellStyle name="Migliaia 27 5 4 2 4" xfId="33606" xr:uid="{E298AA00-64F9-4B6A-97E3-1D5C4661B4E5}"/>
    <cellStyle name="Migliaia 27 5 4 3" xfId="36533" xr:uid="{417EA9CF-36E6-4889-B03E-AF1176E9DDBE}"/>
    <cellStyle name="Migliaia 27 5 4 4" xfId="41725" xr:uid="{6BBF5252-1F6D-42CF-8ED9-E0DF43A743E5}"/>
    <cellStyle name="Migliaia 27 5 4 5" xfId="24623" xr:uid="{4CAE27B5-1B85-4B53-B98D-891D3F671B5F}"/>
    <cellStyle name="Migliaia 27 5 4 6" xfId="32298" xr:uid="{E7F8B74B-4829-42FA-A16B-552DC6327775}"/>
    <cellStyle name="Migliaia 27 5 4 7" xfId="50482" xr:uid="{E0A1B902-C0C4-4E4A-9C17-995E0489EA49}"/>
    <cellStyle name="Migliaia 27 5 4 8" xfId="53498" xr:uid="{6C6F29D6-ECD2-4358-B94A-990101402FBD}"/>
    <cellStyle name="Migliaia 27 5 4 9" xfId="10832" xr:uid="{AE562E60-4174-4E0C-9F8E-CED43190F091}"/>
    <cellStyle name="Migliaia 27 5 5" xfId="20249" xr:uid="{2758E5AF-3B9A-46A6-BCDF-E3387AF7AA74}"/>
    <cellStyle name="Migliaia 27 5 5 2" xfId="33607" xr:uid="{704F7709-5D17-42D6-8F75-8896326BF18B}"/>
    <cellStyle name="Migliaia 27 5 5 2 2" xfId="39075" xr:uid="{ABB931EB-33EA-417B-A822-7CAFF35F93F7}"/>
    <cellStyle name="Migliaia 27 5 5 2 3" xfId="44377" xr:uid="{924231A3-AA8E-43A7-ABAC-8EC097CF60C0}"/>
    <cellStyle name="Migliaia 27 5 5 3" xfId="36534" xr:uid="{65C82743-DB07-420D-845E-0A49B9C21FD8}"/>
    <cellStyle name="Migliaia 27 5 5 4" xfId="41726" xr:uid="{E4DDD82B-958B-4AA5-89F1-DD5BA31834A6}"/>
    <cellStyle name="Migliaia 27 5 5 5" xfId="24624" xr:uid="{37818AA6-2130-4756-A834-84F9706C79D8}"/>
    <cellStyle name="Migliaia 27 5 6" xfId="24625" xr:uid="{588218C7-A644-4422-B5B0-52F0F9A1CE15}"/>
    <cellStyle name="Migliaia 27 5 6 2" xfId="33608" xr:uid="{FE1339F6-F1A6-45BE-9B1B-CFE534504A7C}"/>
    <cellStyle name="Migliaia 27 5 6 2 2" xfId="39076" xr:uid="{5BB088AB-7BF8-4744-89D3-04AE791775FF}"/>
    <cellStyle name="Migliaia 27 5 6 2 3" xfId="44378" xr:uid="{CA2C6234-D96E-444B-8DB2-EF215A73F318}"/>
    <cellStyle name="Migliaia 27 5 6 3" xfId="36535" xr:uid="{A885C366-649B-491A-BBC7-058A256E23EB}"/>
    <cellStyle name="Migliaia 27 5 6 4" xfId="41727" xr:uid="{90A846B7-6F8C-4BCA-A3B2-4BA007BF8E0C}"/>
    <cellStyle name="Migliaia 27 5 7" xfId="24622" xr:uid="{786579C4-CFF3-4AC6-B659-2937E65E5F4A}"/>
    <cellStyle name="Migliaia 27 5 8" xfId="7409" xr:uid="{E6DEA1F6-3BF3-4396-8647-698EB48498A1}"/>
    <cellStyle name="Migliaia 27 6" xfId="3421" xr:uid="{EFC38BE9-69C4-4B42-B644-7014BE2CAF29}"/>
    <cellStyle name="Migliaia 27 6 2" xfId="5147" xr:uid="{0AE2D40C-6975-40E2-9E1A-231AF4F5FC9E}"/>
    <cellStyle name="Migliaia 27 6 2 2" xfId="9919" xr:uid="{01AB1C05-2455-463E-9848-4C9277838A24}"/>
    <cellStyle name="Migliaia 27 6 2 3" xfId="18661" xr:uid="{01926A20-8A19-44DD-B7F0-3955D820F427}"/>
    <cellStyle name="Migliaia 27 6 2 4" xfId="20252" xr:uid="{30B5AD6A-373F-42F5-A6EF-CDDBDB1A30C3}"/>
    <cellStyle name="Migliaia 27 6 2 5" xfId="32354" xr:uid="{F8FB9C99-80F1-430B-A44A-292A6B99AF50}"/>
    <cellStyle name="Migliaia 27 6 2 6" xfId="16312" xr:uid="{0BBB711E-F074-4BDF-864A-05FB5CA21C97}"/>
    <cellStyle name="Migliaia 27 6 2 7" xfId="8594" xr:uid="{3920238E-F68C-4C5B-9B1C-7F05136AF7DB}"/>
    <cellStyle name="Migliaia 27 6 3" xfId="6351" xr:uid="{B628E134-3DBB-44C9-8081-B370F238F45A}"/>
    <cellStyle name="Migliaia 27 6 3 2" xfId="35260" xr:uid="{91C504A1-92B0-414F-9DB5-EBAD7B203122}"/>
    <cellStyle name="Migliaia 27 6 3 2 2" xfId="40420" xr:uid="{7E79FC4F-2E1B-43F8-91EC-19B5F9AD1233}"/>
    <cellStyle name="Migliaia 27 6 3 2 3" xfId="45722" xr:uid="{C302671E-3B95-4095-A6F8-0974F0C12899}"/>
    <cellStyle name="Migliaia 27 6 3 3" xfId="37769" xr:uid="{9BFDE518-4F37-4B19-A83B-570A5AE2E6C8}"/>
    <cellStyle name="Migliaia 27 6 3 4" xfId="43071" xr:uid="{F3BFB288-C20C-4F66-9654-2490F96CD5D3}"/>
    <cellStyle name="Migliaia 27 6 3 5" xfId="9682" xr:uid="{0BDC9239-E308-4B2D-B26D-6F91C7E5DB9E}"/>
    <cellStyle name="Migliaia 27 6 4" xfId="20251" xr:uid="{6FC914BF-7009-4247-9F92-E2D37DC775B2}"/>
    <cellStyle name="Migliaia 27 6 4 2" xfId="39077" xr:uid="{506538E1-E7AA-480D-9594-12388AD80D28}"/>
    <cellStyle name="Migliaia 27 6 4 3" xfId="44379" xr:uid="{DFB1BAF8-66E5-4112-8815-9503415B3D14}"/>
    <cellStyle name="Migliaia 27 6 4 4" xfId="33609" xr:uid="{767B536F-94A4-4FFC-9B09-80769FCCDE92}"/>
    <cellStyle name="Migliaia 27 6 5" xfId="36536" xr:uid="{7B11CC7B-AC39-4128-B3D5-BEF2011DA54E}"/>
    <cellStyle name="Migliaia 27 6 6" xfId="41728" xr:uid="{EC1037B3-C8B5-4876-8331-3760D158EAE4}"/>
    <cellStyle name="Migliaia 27 6 7" xfId="16311" xr:uid="{9148B4AD-35DD-4D0A-8381-29A1DFBFB6BD}"/>
    <cellStyle name="Migliaia 27 6 8" xfId="7404" xr:uid="{8A7B5FBE-AB86-445E-8C0A-C9ADF6528A79}"/>
    <cellStyle name="Migliaia 27 7" xfId="3422" xr:uid="{75E8333B-7CAC-42D2-8E72-91024C3FE86F}"/>
    <cellStyle name="Migliaia 27 7 2" xfId="5148" xr:uid="{D4384996-D5E2-4391-9903-0AA0235DD599}"/>
    <cellStyle name="Migliaia 27 7 2 2" xfId="35261" xr:uid="{6EF25950-6459-46E4-97B5-E05CFF86D357}"/>
    <cellStyle name="Migliaia 27 7 2 2 2" xfId="40421" xr:uid="{20453C2B-901C-4B7A-B760-B76302076A2E}"/>
    <cellStyle name="Migliaia 27 7 2 2 3" xfId="45723" xr:uid="{70C529D9-F6BC-49DC-8F44-04708997A586}"/>
    <cellStyle name="Migliaia 27 7 2 3" xfId="37770" xr:uid="{FA94D26A-0466-49A3-8C39-C2D02B23D6C7}"/>
    <cellStyle name="Migliaia 27 7 2 4" xfId="43072" xr:uid="{3717CD3B-0DE5-46C3-A398-D7D9F2DDF46B}"/>
    <cellStyle name="Migliaia 27 7 2 5" xfId="14236" xr:uid="{8325B0E1-F482-4B8A-9520-8F1A728C5BB7}"/>
    <cellStyle name="Migliaia 27 7 3" xfId="6352" xr:uid="{8058D7EC-C701-4920-8253-5C893D0C1478}"/>
    <cellStyle name="Migliaia 27 7 3 2" xfId="39078" xr:uid="{30CD84E2-A7AE-44B9-8CB0-BB1F0610C172}"/>
    <cellStyle name="Migliaia 27 7 3 3" xfId="44380" xr:uid="{4F25C9A1-BB76-40E1-98AA-3A1CFAB74276}"/>
    <cellStyle name="Migliaia 27 7 3 4" xfId="33610" xr:uid="{077F85E9-BC5C-4389-A6F5-94FD662C506F}"/>
    <cellStyle name="Migliaia 27 7 3 5" xfId="20253" xr:uid="{163C20ED-5765-49F0-921F-E4FE5BDBB996}"/>
    <cellStyle name="Migliaia 27 7 4" xfId="36537" xr:uid="{A3349646-4D9C-4DD7-919E-1C4D83C8896B}"/>
    <cellStyle name="Migliaia 27 7 5" xfId="41729" xr:uid="{C1AFECFB-A458-4D34-8212-0DA43F320F25}"/>
    <cellStyle name="Migliaia 27 7 6" xfId="16313" xr:uid="{8A050308-EFAD-4CF2-90E1-D803E1E57596}"/>
    <cellStyle name="Migliaia 27 7 7" xfId="8298" xr:uid="{BC7C5F5F-FF82-4250-B992-7D29CCBC2325}"/>
    <cellStyle name="Migliaia 27 8" xfId="3423" xr:uid="{1354F601-8D7F-42F0-8701-444C9F2FFEA7}"/>
    <cellStyle name="Migliaia 27 8 2" xfId="5149" xr:uid="{9A97F5A3-22C9-4D0E-A91B-67C333F2A147}"/>
    <cellStyle name="Migliaia 27 8 2 2" xfId="35262" xr:uid="{3E976AE2-98E7-4D3F-959F-69A12B5786C5}"/>
    <cellStyle name="Migliaia 27 8 2 2 2" xfId="40422" xr:uid="{486FEF59-B4AA-4CEA-9966-DE5F06E79614}"/>
    <cellStyle name="Migliaia 27 8 2 2 3" xfId="45724" xr:uid="{FCB18519-9601-4146-8A5D-47387813C7E5}"/>
    <cellStyle name="Migliaia 27 8 2 3" xfId="37771" xr:uid="{C64CC40C-C590-4B94-9FBB-6FD82EE44582}"/>
    <cellStyle name="Migliaia 27 8 2 4" xfId="43073" xr:uid="{D12E8C5D-9328-4DC2-A2F9-2512CC4CC715}"/>
    <cellStyle name="Migliaia 27 8 2 5" xfId="13941" xr:uid="{6B080A5F-E21C-421C-8927-0469E7570C60}"/>
    <cellStyle name="Migliaia 27 8 3" xfId="6353" xr:uid="{3FAC8792-24E8-46F3-B385-A9BCA6EF61DC}"/>
    <cellStyle name="Migliaia 27 8 3 2" xfId="39079" xr:uid="{3A519A78-1D77-4353-BB17-BCD016097B9F}"/>
    <cellStyle name="Migliaia 27 8 3 3" xfId="44381" xr:uid="{D6B371D3-9FBE-4396-BA8E-520D8C56DDA8}"/>
    <cellStyle name="Migliaia 27 8 3 4" xfId="33611" xr:uid="{FB73DFAA-DF00-4A27-A2F7-2F31833051FA}"/>
    <cellStyle name="Migliaia 27 8 3 5" xfId="20254" xr:uid="{9EAD9788-12CC-44B5-88A5-6DDEC994FE33}"/>
    <cellStyle name="Migliaia 27 8 4" xfId="36538" xr:uid="{8F02B48A-CDE3-451D-9C62-6BA8EE5529A0}"/>
    <cellStyle name="Migliaia 27 8 5" xfId="41730" xr:uid="{DFCA8FE7-8898-4B6E-B9C3-B44A734FBC5C}"/>
    <cellStyle name="Migliaia 27 8 6" xfId="16314" xr:uid="{FCC0C9CF-3C4A-41B2-953E-AB8DFB6B5D69}"/>
    <cellStyle name="Migliaia 27 8 7" xfId="7898" xr:uid="{C1FEAD44-E289-48AD-8247-F7696B1F481F}"/>
    <cellStyle name="Migliaia 27 9" xfId="5134" xr:uid="{F4FCD574-C203-48A1-B0C9-A41577CA0969}"/>
    <cellStyle name="Migliaia 27 9 2" xfId="33612" xr:uid="{F67460F7-FE22-4110-8C05-E743DD29639D}"/>
    <cellStyle name="Migliaia 27 9 2 2" xfId="39080" xr:uid="{E9224B1D-5F16-4BF4-B3FB-D32BB8A6800B}"/>
    <cellStyle name="Migliaia 27 9 2 3" xfId="44382" xr:uid="{02FEB11B-3CCC-43CE-9BC6-89860D36D3E1}"/>
    <cellStyle name="Migliaia 27 9 3" xfId="36539" xr:uid="{18EF4986-3BCB-439B-9D50-F3387B84139C}"/>
    <cellStyle name="Migliaia 27 9 4" xfId="41731" xr:uid="{06D27026-0BA3-4431-BDA9-B4097C94F652}"/>
    <cellStyle name="Migliaia 27 9 5" xfId="17173" xr:uid="{38DCA983-9087-4419-9ED6-DFC040240EE0}"/>
    <cellStyle name="Migliaia 28" xfId="381" xr:uid="{00000000-0005-0000-0000-000073030000}"/>
    <cellStyle name="Migliaia 28 10" xfId="6354" xr:uid="{30886A68-4748-40CB-AEA2-C856DB4A2F6D}"/>
    <cellStyle name="Migliaia 28 10 2" xfId="39081" xr:uid="{90F51060-54DD-4392-9443-FF9E0DDC9B95}"/>
    <cellStyle name="Migliaia 28 10 3" xfId="44383" xr:uid="{920CA748-CD56-4220-886E-9B349D9E442F}"/>
    <cellStyle name="Migliaia 28 10 4" xfId="33613" xr:uid="{4C04FE7E-91F3-4656-B4A6-FE11EE50736B}"/>
    <cellStyle name="Migliaia 28 10 5" xfId="20255" xr:uid="{7F07C06F-89FA-438D-A719-E06CBB720995}"/>
    <cellStyle name="Migliaia 28 11" xfId="3424" xr:uid="{FDA11666-7D1E-452C-A379-E581362BF549}"/>
    <cellStyle name="Migliaia 28 11 2" xfId="36540" xr:uid="{AB66358A-E1D8-49AA-9CE5-8ED1940D9E73}"/>
    <cellStyle name="Migliaia 28 12" xfId="41732" xr:uid="{9DC4F2BA-5D52-4408-A039-8E3901A479A8}"/>
    <cellStyle name="Migliaia 28 13" xfId="7102" xr:uid="{A6E595B4-36C4-4ED0-9DF7-B19F987763C0}"/>
    <cellStyle name="Migliaia 28 2" xfId="382" xr:uid="{00000000-0005-0000-0000-000074030000}"/>
    <cellStyle name="Migliaia 28 2 2" xfId="1756" xr:uid="{00000000-0005-0000-0000-000075030000}"/>
    <cellStyle name="Migliaia 28 2 2 2" xfId="5152" xr:uid="{B1E8BFEC-7C0C-41FD-A1E9-102A13D3B56A}"/>
    <cellStyle name="Migliaia 28 2 2 2 2" xfId="14383" xr:uid="{84BEB8AC-8F4D-4E0B-803C-81ED9DAC890C}"/>
    <cellStyle name="Migliaia 28 2 2 2 2 2" xfId="39082" xr:uid="{12151739-0A7E-43E7-BF35-200E75B1F75A}"/>
    <cellStyle name="Migliaia 28 2 2 2 2 3" xfId="44384" xr:uid="{370F1825-EB63-461F-95C9-7AA98796D7FE}"/>
    <cellStyle name="Migliaia 28 2 2 2 3" xfId="18422" xr:uid="{AABA5F98-6C2B-4602-A275-ADE50C38B39F}"/>
    <cellStyle name="Migliaia 28 2 2 2 4" xfId="20258" xr:uid="{F421F183-633D-4B04-903B-D5A3F764AB43}"/>
    <cellStyle name="Migliaia 28 2 2 2 4 2" xfId="41733" xr:uid="{753C4E7A-5D48-402F-AF3C-6FB5D0C8A6CB}"/>
    <cellStyle name="Migliaia 28 2 2 2 5" xfId="16315" xr:uid="{6666718A-202A-4C51-A5BE-65A379F948DA}"/>
    <cellStyle name="Migliaia 28 2 2 2 6" xfId="8601" xr:uid="{1F61475C-E97E-4D0E-959F-34DA2B1E7589}"/>
    <cellStyle name="Migliaia 28 2 2 3" xfId="6356" xr:uid="{C1C86756-EA82-4988-9150-69F7BB310927}"/>
    <cellStyle name="Migliaia 28 2 2 3 2" xfId="35263" xr:uid="{2CF63A80-0637-48FA-BBF7-0DE4C3B9913B}"/>
    <cellStyle name="Migliaia 28 2 2 3 2 2" xfId="40423" xr:uid="{F135F4D5-2541-4896-8703-3FF24DB57FAC}"/>
    <cellStyle name="Migliaia 28 2 2 3 2 3" xfId="45725" xr:uid="{7CE049AD-F69D-48C5-B79D-2E400B568D97}"/>
    <cellStyle name="Migliaia 28 2 2 3 3" xfId="37772" xr:uid="{D162F18E-FDA8-4441-A7D2-6B037FFC53E6}"/>
    <cellStyle name="Migliaia 28 2 2 3 4" xfId="43074" xr:uid="{9A5C3C69-706C-404E-974B-C8E59364F801}"/>
    <cellStyle name="Migliaia 28 2 2 3 5" xfId="11610" xr:uid="{91F79FA8-53D5-49B6-888A-2CBBA2831778}"/>
    <cellStyle name="Migliaia 28 2 2 4" xfId="3426" xr:uid="{8333C773-3D16-4898-8600-A145A217391F}"/>
    <cellStyle name="Migliaia 28 2 2 4 2" xfId="21468" xr:uid="{1D34C408-EAE7-4689-9158-A1101058A6F3}"/>
    <cellStyle name="Migliaia 28 2 2 4 3" xfId="46230" xr:uid="{B945CC0A-287B-4DC3-BAAE-116862BE2BF0}"/>
    <cellStyle name="Migliaia 28 2 2 4 4" xfId="50483" xr:uid="{4CC0E7CD-1544-4103-AAF5-907406ACE5EA}"/>
    <cellStyle name="Migliaia 28 2 2 4 5" xfId="53499" xr:uid="{3B6F234F-7325-48D3-90E3-719BA207712A}"/>
    <cellStyle name="Migliaia 28 2 2 4 6" xfId="10833" xr:uid="{5AD9E34C-E964-4B5D-BF17-B86DA36B92B6}"/>
    <cellStyle name="Migliaia 28 2 2 5" xfId="20257" xr:uid="{CB80C23F-72FE-4BDC-BBC0-A67A94A1A952}"/>
    <cellStyle name="Migliaia 28 2 2 6" xfId="24627" xr:uid="{B26C3F12-6A19-45B1-BACB-B9BE7CE75982}"/>
    <cellStyle name="Migliaia 28 2 2 7" xfId="7411" xr:uid="{953CC936-753A-425C-864A-B89CA272AE43}"/>
    <cellStyle name="Migliaia 28 2 3" xfId="3427" xr:uid="{5F065BD6-40F2-44DF-B0C0-D3D0BD404A53}"/>
    <cellStyle name="Migliaia 28 2 3 2" xfId="5153" xr:uid="{4D1D501C-820B-487F-808C-0A49376856B5}"/>
    <cellStyle name="Migliaia 28 2 3 2 2" xfId="35264" xr:uid="{E0E46C70-70DB-4375-94DE-B7C7AB6334C4}"/>
    <cellStyle name="Migliaia 28 2 3 2 2 2" xfId="40424" xr:uid="{F6205A98-CF3D-407E-AF5E-82B09D812F83}"/>
    <cellStyle name="Migliaia 28 2 3 2 2 3" xfId="45726" xr:uid="{9B50B4D3-FF52-4346-869C-ECEEE215CA59}"/>
    <cellStyle name="Migliaia 28 2 3 2 3" xfId="37773" xr:uid="{28FC12A1-8853-4F12-8C15-CB9A59309ACE}"/>
    <cellStyle name="Migliaia 28 2 3 2 4" xfId="43075" xr:uid="{A62D93CF-DEAA-46C3-A434-5EF012FB0C80}"/>
    <cellStyle name="Migliaia 28 2 3 2 5" xfId="14240" xr:uid="{418D7BE6-B1CF-4538-9D02-BA5D99AF7F3E}"/>
    <cellStyle name="Migliaia 28 2 3 3" xfId="6357" xr:uid="{01FB4C40-ADC0-4D41-95E3-679999F0437E}"/>
    <cellStyle name="Migliaia 28 2 3 3 2" xfId="39083" xr:uid="{E3FEEC1A-762C-40BD-AE5C-F9E9F5B1148D}"/>
    <cellStyle name="Migliaia 28 2 3 3 3" xfId="44385" xr:uid="{5647B339-01B9-45D0-B5D1-117DFC7886E4}"/>
    <cellStyle name="Migliaia 28 2 3 3 4" xfId="33614" xr:uid="{DA54AACF-78DD-41CC-B6AF-07B921F014A8}"/>
    <cellStyle name="Migliaia 28 2 3 3 5" xfId="20259" xr:uid="{6E8E86D2-F003-4854-B3FC-1E2BCEBFBB12}"/>
    <cellStyle name="Migliaia 28 2 3 4" xfId="36541" xr:uid="{B7256C51-E3EE-4BD8-A83F-F4B74A37FE3B}"/>
    <cellStyle name="Migliaia 28 2 3 5" xfId="41734" xr:uid="{261F5FD0-987F-4E27-8B80-6E9ED4648C79}"/>
    <cellStyle name="Migliaia 28 2 3 6" xfId="16316" xr:uid="{644DC281-D992-431F-B857-CFE41D3C2818}"/>
    <cellStyle name="Migliaia 28 2 3 7" xfId="8302" xr:uid="{6C3E1ECB-2312-4187-AE56-062D78A484CD}"/>
    <cellStyle name="Migliaia 28 2 4" xfId="5151" xr:uid="{00C59237-9CF2-4D37-A531-2294BED82808}"/>
    <cellStyle name="Migliaia 28 2 4 2" xfId="13945" xr:uid="{8EA4D35D-5D02-4720-939F-1F4B4E78FF98}"/>
    <cellStyle name="Migliaia 28 2 4 2 2" xfId="39084" xr:uid="{0AF99C08-F66E-44F3-B5C2-3918465FFA72}"/>
    <cellStyle name="Migliaia 28 2 4 2 3" xfId="44386" xr:uid="{A64DC09F-7EBB-4668-81D0-3B429EE2BC2C}"/>
    <cellStyle name="Migliaia 28 2 4 3" xfId="18714" xr:uid="{45B47D88-EAA9-4D38-B6D4-7E834B000EB2}"/>
    <cellStyle name="Migliaia 28 2 4 4" xfId="20260" xr:uid="{BEE12E05-EF71-4A5D-B3A9-F6D845E73C0F}"/>
    <cellStyle name="Migliaia 28 2 4 4 2" xfId="41735" xr:uid="{69BDBB3D-0713-42CC-8753-A91769C9CEF4}"/>
    <cellStyle name="Migliaia 28 2 4 5" xfId="16317" xr:uid="{E4589623-3259-4C20-9D03-47BCFEE92E86}"/>
    <cellStyle name="Migliaia 28 2 4 6" xfId="7903" xr:uid="{0586F086-EC10-4FBE-B41B-EE117D3CFF67}"/>
    <cellStyle name="Migliaia 28 2 5" xfId="6355" xr:uid="{2695FFAD-63C5-4AA3-8D7E-5B9BF81C5308}"/>
    <cellStyle name="Migliaia 28 2 5 2" xfId="33615" xr:uid="{308F1315-D65E-4478-BC66-DF59C508FE3F}"/>
    <cellStyle name="Migliaia 28 2 5 2 2" xfId="39085" xr:uid="{6E7B0640-B4ED-4493-9E52-1F711C5FE972}"/>
    <cellStyle name="Migliaia 28 2 5 2 3" xfId="44387" xr:uid="{695AE108-BFC1-4DBC-9642-0CAEAC901C83}"/>
    <cellStyle name="Migliaia 28 2 5 3" xfId="36542" xr:uid="{9BC52055-15EB-47E3-8B72-F0336847EC27}"/>
    <cellStyle name="Migliaia 28 2 5 4" xfId="41736" xr:uid="{AD2E6FA6-9E04-4527-BF8D-4A3F132F51E3}"/>
    <cellStyle name="Migliaia 28 2 5 5" xfId="13123" xr:uid="{7207E6F9-6952-4B23-A8D4-8E461A1F76A9}"/>
    <cellStyle name="Migliaia 28 2 6" xfId="3425" xr:uid="{9A9AEA3C-9F8C-4289-B567-A7DBEDB7A422}"/>
    <cellStyle name="Migliaia 28 2 6 2" xfId="33616" xr:uid="{7629B8CD-D3E9-49EE-B895-F091878D1920}"/>
    <cellStyle name="Migliaia 28 2 6 2 2" xfId="39086" xr:uid="{8D248A0B-5E43-4538-AF52-98AD9A7D74FD}"/>
    <cellStyle name="Migliaia 28 2 6 2 3" xfId="44388" xr:uid="{6B74D43B-82F5-4FDE-9795-BB77E02B7429}"/>
    <cellStyle name="Migliaia 28 2 6 3" xfId="36543" xr:uid="{13F50692-4FC3-4D47-BFB9-A9C99B7F0D7D}"/>
    <cellStyle name="Migliaia 28 2 6 4" xfId="41737" xr:uid="{4AA3C7EB-EA5D-4FC3-87A0-CC54D51F7517}"/>
    <cellStyle name="Migliaia 28 2 6 5" xfId="24628" xr:uid="{293D901C-55B0-486B-B44F-A79DDD38F80F}"/>
    <cellStyle name="Migliaia 28 2 6 6" xfId="20256" xr:uid="{A79FEC2C-42B0-4E0C-99F0-7B32198D0C05}"/>
    <cellStyle name="Migliaia 28 2 7" xfId="24626" xr:uid="{1463623F-ADC4-431B-ACB2-78FB32CF603F}"/>
    <cellStyle name="Migliaia 28 2 8" xfId="7103" xr:uid="{CB941D9D-7F4C-4CBF-9F71-10BDA0712B5B}"/>
    <cellStyle name="Migliaia 28 3" xfId="383" xr:uid="{00000000-0005-0000-0000-000076030000}"/>
    <cellStyle name="Migliaia 28 3 10" xfId="24629" xr:uid="{83F1A477-70F6-4372-8DC0-DC88FB5D83F8}"/>
    <cellStyle name="Migliaia 28 3 11" xfId="16318" xr:uid="{4CB0D9FF-798B-4BD6-BEFF-61DD597F0A0C}"/>
    <cellStyle name="Migliaia 28 3 12" xfId="7104" xr:uid="{09D79047-F5B7-4B10-A428-0CFBC6F11B80}"/>
    <cellStyle name="Migliaia 28 3 2" xfId="384" xr:uid="{00000000-0005-0000-0000-000077030000}"/>
    <cellStyle name="Migliaia 28 3 2 2" xfId="1757" xr:uid="{00000000-0005-0000-0000-000078030000}"/>
    <cellStyle name="Migliaia 28 3 2 2 2" xfId="5156" xr:uid="{BC11F700-ED3F-455B-B8D5-D82D0D054072}"/>
    <cellStyle name="Migliaia 28 3 2 2 2 2" xfId="18423" xr:uid="{BCCC0371-450F-43D2-9BBE-3C7D0704858E}"/>
    <cellStyle name="Migliaia 28 3 2 2 2 2 2" xfId="21861" xr:uid="{D8277337-5AAF-4E9B-9624-D3874C04EF8E}"/>
    <cellStyle name="Migliaia 28 3 2 2 2 2 2 2" xfId="39087" xr:uid="{D8940B87-33A9-4486-96BC-E9366C714551}"/>
    <cellStyle name="Migliaia 28 3 2 2 2 2 3" xfId="44389" xr:uid="{5C146A23-41D8-45D0-8095-502888F13726}"/>
    <cellStyle name="Migliaia 28 3 2 2 2 2 4" xfId="33617" xr:uid="{E03C0811-B157-49DC-BC9B-7A129E5ED7EE}"/>
    <cellStyle name="Migliaia 28 3 2 2 2 3" xfId="36544" xr:uid="{8E36217B-2FA8-4BD0-8E63-60B04A8283CA}"/>
    <cellStyle name="Migliaia 28 3 2 2 2 4" xfId="41738" xr:uid="{E2724BC5-8A09-4172-BEF3-91C0D4844DF9}"/>
    <cellStyle name="Migliaia 28 3 2 2 2 5" xfId="32642" xr:uid="{3B7E445D-29B2-4CD9-A4A6-A6BC00D81C5D}"/>
    <cellStyle name="Migliaia 28 3 2 2 2 6" xfId="50889" xr:uid="{91C20A24-E55C-4CBF-A017-5919F329183C}"/>
    <cellStyle name="Migliaia 28 3 2 2 2 7" xfId="53905" xr:uid="{FD2F606F-B4EF-479D-B54A-287D0C62D9CA}"/>
    <cellStyle name="Migliaia 28 3 2 2 2 8" xfId="17658" xr:uid="{B0E52E6E-CAA4-41F7-8395-0CDD5F95F460}"/>
    <cellStyle name="Migliaia 28 3 2 2 2 9" xfId="11967" xr:uid="{3797F9E9-115C-4931-B281-F297E0D015A6}"/>
    <cellStyle name="Migliaia 28 3 2 2 3" xfId="6360" xr:uid="{B3E8BEC6-8792-4DF0-92F6-FA94F555B046}"/>
    <cellStyle name="Migliaia 28 3 2 2 3 2" xfId="11558" xr:uid="{F4BC9908-EBFA-4023-B8A1-A1B005407CD2}"/>
    <cellStyle name="Migliaia 28 3 2 2 4" xfId="3430" xr:uid="{D6006F2E-ACAC-4244-B98D-659942AD7F3A}"/>
    <cellStyle name="Migliaia 28 3 2 2 4 2" xfId="21469" xr:uid="{E1291B46-1F78-4D0D-8B28-46A5C3E45AA4}"/>
    <cellStyle name="Migliaia 28 3 2 2 4 3" xfId="35976" xr:uid="{CE606953-2520-4512-B075-93D293523173}"/>
    <cellStyle name="Migliaia 28 3 2 2 4 4" xfId="50484" xr:uid="{462DBA97-B566-4309-AFB0-E38205EF4BA2}"/>
    <cellStyle name="Migliaia 28 3 2 2 4 5" xfId="53500" xr:uid="{E54551EB-E5B2-4A77-8A89-66E67879F30B}"/>
    <cellStyle name="Migliaia 28 3 2 2 4 6" xfId="10834" xr:uid="{4D011E74-0D86-445E-B0E8-B148B50C3253}"/>
    <cellStyle name="Migliaia 28 3 2 2 5" xfId="20263" xr:uid="{58654294-C6FA-4E2A-ADFD-C6155EC76E98}"/>
    <cellStyle name="Migliaia 28 3 2 2 6" xfId="24631" xr:uid="{1E536732-A3CF-4505-8BFE-B63489AFA5FD}"/>
    <cellStyle name="Migliaia 28 3 2 2 7" xfId="8603" xr:uid="{1ED6E742-AA52-46BC-9F9A-95F2ECB1F464}"/>
    <cellStyle name="Migliaia 28 3 2 3" xfId="5155" xr:uid="{D9E1A1C9-316A-417D-916A-3BD44AEE5B76}"/>
    <cellStyle name="Migliaia 28 3 2 3 2" xfId="11657" xr:uid="{96F01374-A1ED-47FC-BD68-C1225C357455}"/>
    <cellStyle name="Migliaia 28 3 2 3 2 2" xfId="39088" xr:uid="{C5C28F29-BB6A-4118-ACD1-B13FC6A0819A}"/>
    <cellStyle name="Migliaia 28 3 2 3 2 3" xfId="44390" xr:uid="{AF010CA6-323B-49B9-A172-A722F8434717}"/>
    <cellStyle name="Migliaia 28 3 2 3 2 4" xfId="33618" xr:uid="{BF1CC1F7-51D1-4F49-9D31-A066692ABBF4}"/>
    <cellStyle name="Migliaia 28 3 2 3 3" xfId="11968" xr:uid="{55746EA3-879F-4B65-8BAF-61527AC2F519}"/>
    <cellStyle name="Migliaia 28 3 2 3 4" xfId="20264" xr:uid="{FCC32910-F367-4B2A-B1FF-61566AF4F404}"/>
    <cellStyle name="Migliaia 28 3 2 3 4 2" xfId="41739" xr:uid="{8C92D8C6-FBB2-4925-9ECB-FC853A367C20}"/>
    <cellStyle name="Migliaia 28 3 2 3 5" xfId="16319" xr:uid="{F8CB5C52-C94B-49ED-9CBA-C1DA9D29BC9B}"/>
    <cellStyle name="Migliaia 28 3 2 3 6" xfId="7905" xr:uid="{5E80814C-49F4-4B44-8237-02DA3B0FADE1}"/>
    <cellStyle name="Migliaia 28 3 2 4" xfId="6359" xr:uid="{92E806E1-0D3A-444A-880E-F08ED0FAB2B2}"/>
    <cellStyle name="Migliaia 28 3 2 4 2" xfId="18077" xr:uid="{9F36F838-6D78-4DFC-899D-082215446F45}"/>
    <cellStyle name="Migliaia 28 3 2 4 2 2" xfId="39089" xr:uid="{493323EB-D285-4A2D-8FB2-BE0A0D84BE6B}"/>
    <cellStyle name="Migliaia 28 3 2 4 2 3" xfId="44391" xr:uid="{CFF5265D-F806-4FFB-9D16-74CD1DF11AAA}"/>
    <cellStyle name="Migliaia 28 3 2 4 3" xfId="36545" xr:uid="{14EFC3B0-E0CD-4115-967E-CF7C170A3FC4}"/>
    <cellStyle name="Migliaia 28 3 2 4 4" xfId="41740" xr:uid="{3E002FFE-4E06-4300-895C-FDE6CCDC439A}"/>
    <cellStyle name="Migliaia 28 3 2 4 5" xfId="17176" xr:uid="{514DB97B-7337-4B42-A08A-1A7448067060}"/>
    <cellStyle name="Migliaia 28 3 2 4 6" xfId="11316" xr:uid="{DD416B4A-F68E-4185-81B2-A7A25661B2DF}"/>
    <cellStyle name="Migliaia 28 3 2 5" xfId="3429" xr:uid="{32C24B3C-A8ED-40D1-B680-107C059A826F}"/>
    <cellStyle name="Migliaia 28 3 2 5 2" xfId="33619" xr:uid="{1ACE27BA-7C93-458E-A820-D3A772E3FEA1}"/>
    <cellStyle name="Migliaia 28 3 2 5 2 2" xfId="39090" xr:uid="{0152B672-34E2-48C2-AE88-6524979F089C}"/>
    <cellStyle name="Migliaia 28 3 2 5 2 3" xfId="44392" xr:uid="{5FB9BB6C-CC24-4B7D-85F3-83E6BCB008BF}"/>
    <cellStyle name="Migliaia 28 3 2 5 3" xfId="36546" xr:uid="{71DD4B9A-42C4-47DF-8498-A1641A965286}"/>
    <cellStyle name="Migliaia 28 3 2 5 4" xfId="41741" xr:uid="{50BA8797-364E-4DE2-A583-B289159CD6A9}"/>
    <cellStyle name="Migliaia 28 3 2 5 5" xfId="17366" xr:uid="{4039ADA9-C9EC-4656-8C68-A6F52763821E}"/>
    <cellStyle name="Migliaia 28 3 2 6" xfId="20262" xr:uid="{71CF2AE4-9384-4E6E-8A7C-6678D0797861}"/>
    <cellStyle name="Migliaia 28 3 2 6 2" xfId="33620" xr:uid="{D2F876A8-BAD9-4D25-B178-675D7E21547A}"/>
    <cellStyle name="Migliaia 28 3 2 6 2 2" xfId="39091" xr:uid="{CD6B1C48-AF19-490E-95E8-B6AA0602953D}"/>
    <cellStyle name="Migliaia 28 3 2 6 2 3" xfId="44393" xr:uid="{7315D3D0-547F-4FBA-9F48-6F8931DD4AD4}"/>
    <cellStyle name="Migliaia 28 3 2 6 3" xfId="36547" xr:uid="{D38146EA-4796-4EB5-8044-13A7C7628F46}"/>
    <cellStyle name="Migliaia 28 3 2 6 4" xfId="41742" xr:uid="{B9984778-9E53-4413-B56B-4C31A4986076}"/>
    <cellStyle name="Migliaia 28 3 2 6 5" xfId="24632" xr:uid="{B8F9E412-7C7E-4240-BAA1-52FA3072C9D6}"/>
    <cellStyle name="Migliaia 28 3 2 7" xfId="24630" xr:uid="{57DBD675-1976-4D38-80D5-75022E1DB245}"/>
    <cellStyle name="Migliaia 28 3 2 8" xfId="7413" xr:uid="{A71533F1-AB79-42F9-A5FA-7187752AF074}"/>
    <cellStyle name="Migliaia 28 3 3" xfId="3431" xr:uid="{96166F1A-7685-4164-95D1-0B39301237EA}"/>
    <cellStyle name="Migliaia 28 3 3 10" xfId="7412" xr:uid="{A1630235-5331-43D8-B9C1-6F47FF1A5DBE}"/>
    <cellStyle name="Migliaia 28 3 3 2" xfId="5157" xr:uid="{52565296-EDD6-4FAB-9B77-3388C58B70CB}"/>
    <cellStyle name="Migliaia 28 3 3 2 2" xfId="9922" xr:uid="{CAC77894-C530-4974-9BC0-4CABDFC2FF90}"/>
    <cellStyle name="Migliaia 28 3 3 2 2 2" xfId="39093" xr:uid="{ED04A39A-0288-4E01-B2ED-73125DFE006C}"/>
    <cellStyle name="Migliaia 28 3 3 2 2 3" xfId="44395" xr:uid="{E35C3FB0-3478-4A3F-89E8-6E6625DFD6E2}"/>
    <cellStyle name="Migliaia 28 3 3 2 3" xfId="18202" xr:uid="{74127B3B-93C5-4519-AFEF-6CD5E1885C27}"/>
    <cellStyle name="Migliaia 28 3 3 2 4" xfId="20266" xr:uid="{331A5421-82F8-4D2D-8013-C1047915397E}"/>
    <cellStyle name="Migliaia 28 3 3 2 4 2" xfId="41744" xr:uid="{197F5ED6-0BF9-43AD-9886-A76058A5F1C6}"/>
    <cellStyle name="Migliaia 28 3 3 2 5" xfId="16321" xr:uid="{435EBA5F-99F8-4BAE-A6AB-FE768FBD4709}"/>
    <cellStyle name="Migliaia 28 3 3 2 6" xfId="8602" xr:uid="{00CB5523-6057-42D3-9C77-634795B61682}"/>
    <cellStyle name="Migliaia 28 3 3 3" xfId="6361" xr:uid="{9C8AC06D-41C3-4161-9C98-0018A05CA8BB}"/>
    <cellStyle name="Migliaia 28 3 3 3 2" xfId="33622" xr:uid="{EED447A9-D082-4AF9-AC67-378E7D7BED94}"/>
    <cellStyle name="Migliaia 28 3 3 3 2 2" xfId="39094" xr:uid="{B5B82BC8-F646-4C02-B60F-72EB7BEAC15C}"/>
    <cellStyle name="Migliaia 28 3 3 3 2 3" xfId="44396" xr:uid="{BD8148BC-E2D0-46A0-81EB-08A47A5F74C1}"/>
    <cellStyle name="Migliaia 28 3 3 3 3" xfId="36549" xr:uid="{E35601C5-6D2C-4487-BA9E-C8DDC89EDE3D}"/>
    <cellStyle name="Migliaia 28 3 3 3 4" xfId="41745" xr:uid="{84A1E2E7-E84A-4DCD-9378-7E723B4ECE5B}"/>
    <cellStyle name="Migliaia 28 3 3 3 5" xfId="9685" xr:uid="{6B06A717-29E3-464C-904B-B746416753B2}"/>
    <cellStyle name="Migliaia 28 3 3 4" xfId="20265" xr:uid="{FD772A99-7509-4244-8B83-FA9C541B06CC}"/>
    <cellStyle name="Migliaia 28 3 3 4 2" xfId="33623" xr:uid="{D3EDE8BF-8ACA-4BE6-B51D-CF7E590B91E0}"/>
    <cellStyle name="Migliaia 28 3 3 4 2 2" xfId="39095" xr:uid="{C20ABE4A-767E-4182-B749-C116A431ECFB}"/>
    <cellStyle name="Migliaia 28 3 3 4 2 3" xfId="44397" xr:uid="{D79D99A2-285C-434D-8D03-B2AD36A627BD}"/>
    <cellStyle name="Migliaia 28 3 3 4 3" xfId="36550" xr:uid="{56DE4FB9-8AEE-4E16-B470-51C713211F9E}"/>
    <cellStyle name="Migliaia 28 3 3 4 4" xfId="41746" xr:uid="{36F4244D-3CD7-4C83-B333-CC18E5EF94D8}"/>
    <cellStyle name="Migliaia 28 3 3 4 5" xfId="24633" xr:uid="{28BBAB53-791A-40A4-8D83-EA3D0AA34F5A}"/>
    <cellStyle name="Migliaia 28 3 3 5" xfId="24634" xr:uid="{B6AFF956-058A-47C7-81DF-716EF7C441AC}"/>
    <cellStyle name="Migliaia 28 3 3 5 2" xfId="33624" xr:uid="{668B4F84-0120-4281-8050-A417E0E23E74}"/>
    <cellStyle name="Migliaia 28 3 3 5 2 2" xfId="39096" xr:uid="{ECF1B781-A2A9-4597-BD14-A088A8C254AC}"/>
    <cellStyle name="Migliaia 28 3 3 5 2 3" xfId="44398" xr:uid="{F36A0398-CEA6-4490-8AFD-4D7CD5634122}"/>
    <cellStyle name="Migliaia 28 3 3 5 3" xfId="36551" xr:uid="{661C784E-A7C9-42DF-81C3-22B364EE0493}"/>
    <cellStyle name="Migliaia 28 3 3 5 4" xfId="41747" xr:uid="{9C3BAB22-6171-44FB-8161-CC2D5C6AFD24}"/>
    <cellStyle name="Migliaia 28 3 3 6" xfId="33621" xr:uid="{811DF9B5-5EC9-4E7F-839B-DD419480A281}"/>
    <cellStyle name="Migliaia 28 3 3 6 2" xfId="39092" xr:uid="{1902A9AE-65A4-4210-B5DE-4627825F8FD2}"/>
    <cellStyle name="Migliaia 28 3 3 6 3" xfId="44394" xr:uid="{ADFBD8C4-8BEE-4544-A3A6-0431777160E0}"/>
    <cellStyle name="Migliaia 28 3 3 7" xfId="36548" xr:uid="{DAE8D82D-3359-4874-AA2C-BBB0FF56FFD8}"/>
    <cellStyle name="Migliaia 28 3 3 8" xfId="41743" xr:uid="{94250C6C-106A-4959-996E-DDCFFBDCADB0}"/>
    <cellStyle name="Migliaia 28 3 3 9" xfId="16320" xr:uid="{4C4437E4-4750-490E-9BA9-D75D8ECFF07E}"/>
    <cellStyle name="Migliaia 28 3 4" xfId="3432" xr:uid="{BD505E31-2C02-4BA8-89AF-3B679CD6B51F}"/>
    <cellStyle name="Migliaia 28 3 4 2" xfId="5158" xr:uid="{D2E4E562-6D16-4306-A645-3E7395A8F621}"/>
    <cellStyle name="Migliaia 28 3 4 2 2" xfId="14443" xr:uid="{226780A2-E122-4681-9480-D47E34616FAE}"/>
    <cellStyle name="Migliaia 28 3 4 2 3" xfId="18586" xr:uid="{E556D3BD-9363-46A9-B8C7-F0D7F529045C}"/>
    <cellStyle name="Migliaia 28 3 4 2 4" xfId="20268" xr:uid="{25037376-E4AD-43EF-8159-FCB6B18F3379}"/>
    <cellStyle name="Migliaia 28 3 4 2 5" xfId="32355" xr:uid="{123DDAB7-A709-4B75-AB7F-076FC6291D77}"/>
    <cellStyle name="Migliaia 28 3 4 2 6" xfId="16323" xr:uid="{77518F77-3BC4-4628-B40B-5E47F9F6E99C}"/>
    <cellStyle name="Migliaia 28 3 4 2 7" xfId="8866" xr:uid="{1F1EA8BF-E4BE-492D-B639-4FAC1233AD1B}"/>
    <cellStyle name="Migliaia 28 3 4 3" xfId="6362" xr:uid="{28822C15-C593-4201-A5C7-6AFF082DE043}"/>
    <cellStyle name="Migliaia 28 3 4 3 2" xfId="35265" xr:uid="{A8E9223E-8B46-4120-BAD9-93A0E45D035E}"/>
    <cellStyle name="Migliaia 28 3 4 3 2 2" xfId="40425" xr:uid="{F7FF8D31-127F-4D21-BD2E-156343373F3D}"/>
    <cellStyle name="Migliaia 28 3 4 3 2 3" xfId="45727" xr:uid="{4F79F7FA-EA4D-4D48-826E-E3E48A9F1BD9}"/>
    <cellStyle name="Migliaia 28 3 4 3 3" xfId="37774" xr:uid="{766B6B62-7151-4641-B369-7914AE8053DC}"/>
    <cellStyle name="Migliaia 28 3 4 3 4" xfId="43076" xr:uid="{A4F83941-6D6D-4B36-BCDD-F6A729F021E3}"/>
    <cellStyle name="Migliaia 28 3 4 3 5" xfId="13691" xr:uid="{177E13D0-A168-460D-B409-DC6C886DA5CB}"/>
    <cellStyle name="Migliaia 28 3 4 4" xfId="20267" xr:uid="{408147CF-E905-4D2B-8C2F-A439A1F9B357}"/>
    <cellStyle name="Migliaia 28 3 4 4 2" xfId="39097" xr:uid="{24507B34-162E-44CC-89EB-F188470BB85E}"/>
    <cellStyle name="Migliaia 28 3 4 4 3" xfId="44399" xr:uid="{DCBF997F-96C0-425E-8AF1-1FC5ECBF371F}"/>
    <cellStyle name="Migliaia 28 3 4 4 4" xfId="33625" xr:uid="{C59AB990-F752-4AA1-AE58-672ACFFC9505}"/>
    <cellStyle name="Migliaia 28 3 4 5" xfId="36552" xr:uid="{0A0A79C6-4551-4F4D-A5FF-DE1EB2737FD7}"/>
    <cellStyle name="Migliaia 28 3 4 6" xfId="41748" xr:uid="{431A0505-BEC7-4954-853E-006E9A7CDD76}"/>
    <cellStyle name="Migliaia 28 3 4 7" xfId="16322" xr:uid="{85CFD989-87C0-4BEA-B60E-596947E10336}"/>
    <cellStyle name="Migliaia 28 3 4 8" xfId="7676" xr:uid="{68E4BA91-AEF1-4149-94FB-C98D6EBE0CDA}"/>
    <cellStyle name="Migliaia 28 3 5" xfId="3433" xr:uid="{B90F7CD5-D4A7-4D18-920A-CF61C6D1F231}"/>
    <cellStyle name="Migliaia 28 3 5 2" xfId="5159" xr:uid="{F7AE05E4-181B-49AF-B7EB-0D3ADB753796}"/>
    <cellStyle name="Migliaia 28 3 5 2 2" xfId="35266" xr:uid="{AA022E3D-86A3-40D7-9774-68FDB9BA6F97}"/>
    <cellStyle name="Migliaia 28 3 5 2 2 2" xfId="40426" xr:uid="{5ECEEBA0-A307-4318-BD80-AF5C46416E2E}"/>
    <cellStyle name="Migliaia 28 3 5 2 2 3" xfId="45728" xr:uid="{10715DEE-375C-49B7-BF38-93CE2BEF795E}"/>
    <cellStyle name="Migliaia 28 3 5 2 3" xfId="37775" xr:uid="{BA8807F5-5DCA-4288-887F-299E4AEB4E81}"/>
    <cellStyle name="Migliaia 28 3 5 2 4" xfId="43077" xr:uid="{1CEC3472-0024-4EDD-9A22-DA15C4DEF3EB}"/>
    <cellStyle name="Migliaia 28 3 5 2 5" xfId="14241" xr:uid="{0ADF2CBA-BB93-4A1F-AA66-A03F36F62BD1}"/>
    <cellStyle name="Migliaia 28 3 5 3" xfId="6363" xr:uid="{22EF6CBC-BE52-4195-AF67-E91BEFBB9289}"/>
    <cellStyle name="Migliaia 28 3 5 3 2" xfId="39098" xr:uid="{900895EF-0670-4C33-877F-359CFB4F2ECE}"/>
    <cellStyle name="Migliaia 28 3 5 3 3" xfId="44400" xr:uid="{44D67BBB-0BD8-4CAF-BBAF-69C7CBE51944}"/>
    <cellStyle name="Migliaia 28 3 5 3 4" xfId="33626" xr:uid="{565E1EC2-9332-4D16-865C-A3000934E16D}"/>
    <cellStyle name="Migliaia 28 3 5 3 5" xfId="20269" xr:uid="{DB78DA90-51F9-4457-BD0D-4E1F67B98667}"/>
    <cellStyle name="Migliaia 28 3 5 4" xfId="36553" xr:uid="{148EC5F9-B917-4493-A8B8-B5851F2EC27D}"/>
    <cellStyle name="Migliaia 28 3 5 5" xfId="41749" xr:uid="{50F554D4-D53D-4F0C-BA52-0A0541DF461C}"/>
    <cellStyle name="Migliaia 28 3 5 6" xfId="16324" xr:uid="{536828DA-2F08-49CE-9883-B1BAA850CDF8}"/>
    <cellStyle name="Migliaia 28 3 5 7" xfId="8303" xr:uid="{928BD169-78C5-4616-A9F9-067FCCE1C28D}"/>
    <cellStyle name="Migliaia 28 3 6" xfId="5154" xr:uid="{DFA09408-C1F9-4BBF-8D71-3F899CEAA97A}"/>
    <cellStyle name="Migliaia 28 3 6 2" xfId="13946" xr:uid="{29A37834-84F8-4B30-A236-48365BB41C05}"/>
    <cellStyle name="Migliaia 28 3 6 2 2" xfId="39099" xr:uid="{0A207539-4F8E-4957-BF78-7BFC4EC0D1FA}"/>
    <cellStyle name="Migliaia 28 3 6 2 3" xfId="44401" xr:uid="{537E1B2F-7434-4252-B942-C80DBA2DA9B2}"/>
    <cellStyle name="Migliaia 28 3 6 3" xfId="18616" xr:uid="{F90F7915-3D7D-47C0-BA4F-A1F7EC99B421}"/>
    <cellStyle name="Migliaia 28 3 6 4" xfId="20270" xr:uid="{9A75854E-5A30-4E51-B7B8-4B176EF97B44}"/>
    <cellStyle name="Migliaia 28 3 6 4 2" xfId="41750" xr:uid="{60D04780-8FEC-48E1-8A6E-574617161D91}"/>
    <cellStyle name="Migliaia 28 3 6 5" xfId="16325" xr:uid="{2C7809AB-ECC6-4442-9C0F-C9B5C4141E32}"/>
    <cellStyle name="Migliaia 28 3 6 6" xfId="7904" xr:uid="{16C15E32-90EC-4F8A-B2A6-98110621ABCE}"/>
    <cellStyle name="Migliaia 28 3 7" xfId="6358" xr:uid="{BEBFC4C4-14FC-4C17-B221-E07098DEFB3C}"/>
    <cellStyle name="Migliaia 28 3 7 2" xfId="33627" xr:uid="{8E1A2DA2-CEBB-47B0-8C4D-685487B59BC2}"/>
    <cellStyle name="Migliaia 28 3 7 2 2" xfId="39100" xr:uid="{CBF19DDA-6FE9-4714-9AC3-AAAC6A4A799A}"/>
    <cellStyle name="Migliaia 28 3 7 2 3" xfId="44402" xr:uid="{219E282F-9563-4B0A-AE6D-36ACDD6F5B98}"/>
    <cellStyle name="Migliaia 28 3 7 3" xfId="36554" xr:uid="{8B1DAF3E-6AD5-4B8D-A882-0FD798EC8B4F}"/>
    <cellStyle name="Migliaia 28 3 7 4" xfId="41751" xr:uid="{1BA17689-C45F-446E-BC05-17FD6806EC9C}"/>
    <cellStyle name="Migliaia 28 3 7 5" xfId="11221" xr:uid="{4ED738A4-C8F8-4D3D-8528-57AB78280798}"/>
    <cellStyle name="Migliaia 28 3 8" xfId="3428" xr:uid="{F1D597EF-A26F-4B19-A46C-A36DD8AE1B05}"/>
    <cellStyle name="Migliaia 28 3 8 2" xfId="33628" xr:uid="{F428BB3C-5755-424C-8A18-35F4513387AF}"/>
    <cellStyle name="Migliaia 28 3 8 2 2" xfId="39101" xr:uid="{F65C246D-CA2F-4F15-8DC8-16D40230B64B}"/>
    <cellStyle name="Migliaia 28 3 8 2 3" xfId="44403" xr:uid="{4813771E-D246-4D81-BE0E-2801EB6E8CA2}"/>
    <cellStyle name="Migliaia 28 3 8 3" xfId="36555" xr:uid="{C588EB61-010A-45F0-89E0-1453C4A4AA69}"/>
    <cellStyle name="Migliaia 28 3 8 4" xfId="41752" xr:uid="{7D476B74-4B82-4349-9978-74A519CCF932}"/>
    <cellStyle name="Migliaia 28 3 8 5" xfId="24635" xr:uid="{98B55CB4-1ACC-413A-9423-88AB98F982A3}"/>
    <cellStyle name="Migliaia 28 3 8 6" xfId="17367" xr:uid="{945FD555-7356-47F4-A6C1-0B43FD4CFC94}"/>
    <cellStyle name="Migliaia 28 3 9" xfId="20261" xr:uid="{0BA77DF4-6DB4-4596-A839-B904617145C5}"/>
    <cellStyle name="Migliaia 28 4" xfId="1758" xr:uid="{00000000-0005-0000-0000-000079030000}"/>
    <cellStyle name="Migliaia 28 4 2" xfId="1759" xr:uid="{00000000-0005-0000-0000-00007A030000}"/>
    <cellStyle name="Migliaia 28 4 2 2" xfId="5161" xr:uid="{75417B20-6F45-4075-9306-3D3E0584AA3F}"/>
    <cellStyle name="Migliaia 28 4 2 2 2" xfId="33629" xr:uid="{215C63C4-FC99-4383-9A0A-08DFDB86C45F}"/>
    <cellStyle name="Migliaia 28 4 2 2 2 2" xfId="39102" xr:uid="{5482161C-A696-46BB-BA0D-02B9624B8FE8}"/>
    <cellStyle name="Migliaia 28 4 2 2 2 3" xfId="44404" xr:uid="{7DB64A98-BBBC-4016-805F-DE78094E7786}"/>
    <cellStyle name="Migliaia 28 4 2 2 3" xfId="36556" xr:uid="{B8AB32C7-0793-4A06-B5CE-9E88DC66BB96}"/>
    <cellStyle name="Migliaia 28 4 2 2 4" xfId="41753" xr:uid="{A9BA9206-701F-44FE-80BF-CF73375670D8}"/>
    <cellStyle name="Migliaia 28 4 2 2 5" xfId="9148" xr:uid="{3F3F12C7-F5C6-4F54-A9DD-48F47B3E4117}"/>
    <cellStyle name="Migliaia 28 4 2 3" xfId="3435" xr:uid="{7DE7C071-6025-452C-9004-6C62A5C8384B}"/>
    <cellStyle name="Migliaia 28 4 2 3 2" xfId="33630" xr:uid="{6CFCAB35-DFAB-4C1C-8764-4780647850A2}"/>
    <cellStyle name="Migliaia 28 4 2 3 2 2" xfId="39103" xr:uid="{AD5AC386-4B92-488D-A2FD-4DEB0C129243}"/>
    <cellStyle name="Migliaia 28 4 2 3 2 3" xfId="44405" xr:uid="{71ADD20A-7C23-4379-97C5-18D5B2A5E3F3}"/>
    <cellStyle name="Migliaia 28 4 2 3 3" xfId="36557" xr:uid="{B7126EC0-3770-4891-BA26-8B0480484255}"/>
    <cellStyle name="Migliaia 28 4 2 3 4" xfId="41754" xr:uid="{6B8DFA5B-9869-403E-A931-4A0ED4F37D28}"/>
    <cellStyle name="Migliaia 28 4 2 3 5" xfId="11969" xr:uid="{89AE449C-0534-4446-A0BC-60B6D4D6B2B4}"/>
    <cellStyle name="Migliaia 28 4 2 4" xfId="11318" xr:uid="{FADEACE1-BFC5-4237-88DC-A2DAC0AE2FC7}"/>
    <cellStyle name="Migliaia 28 4 2 5" xfId="10836" xr:uid="{3A554F3E-3E7F-45C2-958B-6BC897B9670A}"/>
    <cellStyle name="Migliaia 28 4 2 5 2" xfId="21471" xr:uid="{7C1310D5-E996-49DE-AE9D-7D82119F8381}"/>
    <cellStyle name="Migliaia 28 4 2 5 3" xfId="33087" xr:uid="{72DD4D0B-3AAC-48A0-A438-5B4B12EDDC1F}"/>
    <cellStyle name="Migliaia 28 4 2 5 4" xfId="50486" xr:uid="{5232EC8B-12C4-47B6-9411-050E38FD6F00}"/>
    <cellStyle name="Migliaia 28 4 2 5 5" xfId="53502" xr:uid="{ECEDEC06-616D-4957-A6B0-966568B07061}"/>
    <cellStyle name="Migliaia 28 4 2 6" xfId="20272" xr:uid="{6218ADA5-B3D4-4ACC-B447-94BE8908E5D9}"/>
    <cellStyle name="Migliaia 28 4 2 7" xfId="24637" xr:uid="{73F2023C-22B7-4ED9-A15C-6F45F9C1AC0C}"/>
    <cellStyle name="Migliaia 28 4 2 8" xfId="8604" xr:uid="{99F1C8C0-3EDA-43DD-9B80-8E2CE4A437DD}"/>
    <cellStyle name="Migliaia 28 4 3" xfId="5160" xr:uid="{E7DFEBAC-40D2-41FE-BF31-6119C4210EB4}"/>
    <cellStyle name="Migliaia 28 4 3 2" xfId="18203" xr:uid="{C74BD3E6-937D-4F7B-BF7F-A4DEBB57E0C9}"/>
    <cellStyle name="Migliaia 28 4 3 2 2" xfId="39104" xr:uid="{D4FB547A-776C-48E5-BC4B-4DA3D1B51145}"/>
    <cellStyle name="Migliaia 28 4 3 2 3" xfId="44406" xr:uid="{7B5747A5-34DB-456B-857C-46E548B143A4}"/>
    <cellStyle name="Migliaia 28 4 3 3" xfId="36558" xr:uid="{29CF446C-2AD8-4C0C-8B55-E3A00F81090F}"/>
    <cellStyle name="Migliaia 28 4 3 4" xfId="41755" xr:uid="{186F5C97-CC1B-4682-8F23-06968AB49C4A}"/>
    <cellStyle name="Migliaia 28 4 3 5" xfId="17365" xr:uid="{29DD17DE-1A99-4C04-955A-77798140D044}"/>
    <cellStyle name="Migliaia 28 4 3 6" xfId="9149" xr:uid="{6C0254E8-F416-4114-937A-AD62FEBF1A69}"/>
    <cellStyle name="Migliaia 28 4 4" xfId="6364" xr:uid="{471E6FA1-231E-4DF2-B4A6-44CCC9D652CB}"/>
    <cellStyle name="Migliaia 28 4 4 2" xfId="33631" xr:uid="{C8A52578-FF0E-439E-BADF-F4C75FBE609B}"/>
    <cellStyle name="Migliaia 28 4 4 2 2" xfId="39105" xr:uid="{39A82B29-865A-44C1-B258-5D73DF5D9D29}"/>
    <cellStyle name="Migliaia 28 4 4 2 3" xfId="44407" xr:uid="{7E97C8FF-2EE6-4AED-96C8-A5632BA41B81}"/>
    <cellStyle name="Migliaia 28 4 4 3" xfId="36559" xr:uid="{C8F04E0B-9FFC-4278-9B00-C7850694524E}"/>
    <cellStyle name="Migliaia 28 4 4 4" xfId="41756" xr:uid="{DA8358A7-1891-4AB9-8155-E29187FBFB65}"/>
    <cellStyle name="Migliaia 28 4 4 5" xfId="11970" xr:uid="{1B7CE700-E64E-46F4-8FDA-C8CC95C955A9}"/>
    <cellStyle name="Migliaia 28 4 5" xfId="3434" xr:uid="{E707790E-9AF9-49CD-9964-09B98DBF8619}"/>
    <cellStyle name="Migliaia 28 4 5 2" xfId="33632" xr:uid="{07FA137A-E272-4632-9BC5-40BFD649D092}"/>
    <cellStyle name="Migliaia 28 4 5 2 2" xfId="39106" xr:uid="{51931EE5-E397-4063-87D3-D08C75DAA7AA}"/>
    <cellStyle name="Migliaia 28 4 5 2 3" xfId="44408" xr:uid="{7385FBD8-4645-4DB5-8C44-23FC99EDAA8D}"/>
    <cellStyle name="Migliaia 28 4 5 3" xfId="36560" xr:uid="{370A7395-C2F5-4625-AE0F-1C558B5A1260}"/>
    <cellStyle name="Migliaia 28 4 5 4" xfId="41757" xr:uid="{CF7AB81D-FB60-4273-A908-EBD3FB547360}"/>
    <cellStyle name="Migliaia 28 4 5 5" xfId="11317" xr:uid="{CE36D9C2-F46B-4C32-8324-C3DFAEA62476}"/>
    <cellStyle name="Migliaia 28 4 6" xfId="10835" xr:uid="{CEBBC53D-C78A-47F6-829A-1DF80C8806A8}"/>
    <cellStyle name="Migliaia 28 4 6 2" xfId="21470" xr:uid="{F403EA29-EBBC-4CA3-A1B9-1601C46451A6}"/>
    <cellStyle name="Migliaia 28 4 6 2 2" xfId="39107" xr:uid="{E78E427C-56A3-4482-8265-BFF831C2964D}"/>
    <cellStyle name="Migliaia 28 4 6 2 3" xfId="44409" xr:uid="{4AE1FC0E-52B0-4D77-A89A-1890DDAE5112}"/>
    <cellStyle name="Migliaia 28 4 6 2 4" xfId="33633" xr:uid="{50770B51-E8FF-47AA-A8F8-5487C515E427}"/>
    <cellStyle name="Migliaia 28 4 6 3" xfId="36561" xr:uid="{C9DEFE79-32E4-4F54-B3B2-53FEE9875684}"/>
    <cellStyle name="Migliaia 28 4 6 4" xfId="41758" xr:uid="{3F40B2DD-9173-4330-A29C-381D7D021A24}"/>
    <cellStyle name="Migliaia 28 4 6 5" xfId="24638" xr:uid="{AC63F5EB-ED05-4FFD-A3C6-6974195413EF}"/>
    <cellStyle name="Migliaia 28 4 6 6" xfId="46231" xr:uid="{49F28E48-5AD8-4A40-AE8C-0E49A22BFE28}"/>
    <cellStyle name="Migliaia 28 4 6 7" xfId="50485" xr:uid="{43D3D063-B93C-4F01-BCCB-0DE176CB479E}"/>
    <cellStyle name="Migliaia 28 4 6 8" xfId="53501" xr:uid="{F57C987A-79C4-415D-97AE-C9D1404595E2}"/>
    <cellStyle name="Migliaia 28 4 7" xfId="20271" xr:uid="{8D110CE6-023C-4B41-87C2-A0A03347DF49}"/>
    <cellStyle name="Migliaia 28 4 7 2" xfId="33634" xr:uid="{1658B860-2090-4291-ABD5-70648ECBB0A4}"/>
    <cellStyle name="Migliaia 28 4 7 2 2" xfId="39108" xr:uid="{0701C5BA-0046-45D5-9CD4-ECD250744FC1}"/>
    <cellStyle name="Migliaia 28 4 7 2 3" xfId="44410" xr:uid="{ED88E67D-7FA2-427E-9019-F3D37139BB6A}"/>
    <cellStyle name="Migliaia 28 4 7 3" xfId="36562" xr:uid="{1CFCBB04-0023-4AB1-AEFA-647760B65717}"/>
    <cellStyle name="Migliaia 28 4 7 4" xfId="41759" xr:uid="{E6BC5733-CFEF-46B4-8588-AC7285D28E6B}"/>
    <cellStyle name="Migliaia 28 4 7 5" xfId="24639" xr:uid="{7957FBB3-4041-4AA8-A0E5-2C8C612E653F}"/>
    <cellStyle name="Migliaia 28 4 8" xfId="24636" xr:uid="{0F870787-FAEC-4481-919A-ABDDE458EB73}"/>
    <cellStyle name="Migliaia 28 4 9" xfId="7414" xr:uid="{4FCD7967-763B-4C79-BB9C-4AFB9B73E1FC}"/>
    <cellStyle name="Migliaia 28 5" xfId="1760" xr:uid="{00000000-0005-0000-0000-00007B030000}"/>
    <cellStyle name="Migliaia 28 5 2" xfId="5162" xr:uid="{159B6233-F3A4-4AC2-B2B9-82E43BC6EBD3}"/>
    <cellStyle name="Migliaia 28 5 2 2" xfId="18424" xr:uid="{6DD5C5EB-A752-412F-A738-B15C146FBAEA}"/>
    <cellStyle name="Migliaia 28 5 2 2 2" xfId="39109" xr:uid="{45270A57-6187-41AD-97D8-6AC3D15CF1A0}"/>
    <cellStyle name="Migliaia 28 5 2 2 3" xfId="44411" xr:uid="{F054DA8F-F611-430E-9FE2-E78D9D26239D}"/>
    <cellStyle name="Migliaia 28 5 2 3" xfId="20274" xr:uid="{46E4A2FA-3585-42FA-9BD0-349C34436273}"/>
    <cellStyle name="Migliaia 28 5 2 3 2" xfId="36563" xr:uid="{A7FC400F-6D84-4286-BB07-B4AAE49B82CE}"/>
    <cellStyle name="Migliaia 28 5 2 4" xfId="41760" xr:uid="{DD4E1B6E-79C0-4D97-A8F0-421CB30D3A9F}"/>
    <cellStyle name="Migliaia 28 5 2 5" xfId="16326" xr:uid="{44E9D5DE-5045-4CC0-98F9-18A1C43BEA3E}"/>
    <cellStyle name="Migliaia 28 5 2 6" xfId="8605" xr:uid="{63078F41-4E1A-4A70-8E76-A9A2EB6194E3}"/>
    <cellStyle name="Migliaia 28 5 3" xfId="6365" xr:uid="{66D2C73A-3598-4705-B011-2ECFB47ED849}"/>
    <cellStyle name="Migliaia 28 5 3 2" xfId="33635" xr:uid="{F59804CE-51EC-4BAB-AB74-EF775A417513}"/>
    <cellStyle name="Migliaia 28 5 3 2 2" xfId="39110" xr:uid="{33753813-AC27-418C-86C5-11FBB516AFDD}"/>
    <cellStyle name="Migliaia 28 5 3 2 3" xfId="44412" xr:uid="{59BF4D32-ED53-4B31-8BBE-6E28DE694DC5}"/>
    <cellStyle name="Migliaia 28 5 3 3" xfId="36564" xr:uid="{47674640-D27F-412B-A051-730392CBDE2F}"/>
    <cellStyle name="Migliaia 28 5 3 4" xfId="41761" xr:uid="{516DA9FB-9D22-44A0-92BE-6358096EB504}"/>
    <cellStyle name="Migliaia 28 5 3 5" xfId="11319" xr:uid="{FDDBFDA2-86BB-446C-B873-1A28194B5F1F}"/>
    <cellStyle name="Migliaia 28 5 4" xfId="3436" xr:uid="{9862C6D9-26FC-4A16-A5E1-9E9E771AA485}"/>
    <cellStyle name="Migliaia 28 5 4 2" xfId="21472" xr:uid="{3374E63D-EFC9-40AC-9D6D-80B89E89B102}"/>
    <cellStyle name="Migliaia 28 5 4 2 2" xfId="39111" xr:uid="{30E7845E-3A40-45AE-9350-D706E02CA0F0}"/>
    <cellStyle name="Migliaia 28 5 4 2 3" xfId="44413" xr:uid="{CF210591-F16F-4FE7-BAEF-D83EDCD93170}"/>
    <cellStyle name="Migliaia 28 5 4 2 4" xfId="33636" xr:uid="{047F3D71-A434-49C3-958F-F7ABD468065F}"/>
    <cellStyle name="Migliaia 28 5 4 3" xfId="36565" xr:uid="{73BC6137-68DB-417D-872C-ED9B72B4CAEB}"/>
    <cellStyle name="Migliaia 28 5 4 4" xfId="41762" xr:uid="{2A987050-1A0C-4D09-ABF7-3B5644C7C8CE}"/>
    <cellStyle name="Migliaia 28 5 4 5" xfId="24641" xr:uid="{9BEF5764-B049-4D15-9C2A-284D377A1A0C}"/>
    <cellStyle name="Migliaia 28 5 4 6" xfId="46232" xr:uid="{55EEF0BE-CF4D-4E05-8CFA-81198934FAC4}"/>
    <cellStyle name="Migliaia 28 5 4 7" xfId="50487" xr:uid="{AA9DC4A0-2078-4D8B-B01D-E95918CFFFA7}"/>
    <cellStyle name="Migliaia 28 5 4 8" xfId="53503" xr:uid="{F09BB8E4-6710-49BF-A3F8-F43F0CBAF0C5}"/>
    <cellStyle name="Migliaia 28 5 4 9" xfId="10837" xr:uid="{8492404C-2FDA-462F-A0E3-481FC1D50B89}"/>
    <cellStyle name="Migliaia 28 5 5" xfId="20273" xr:uid="{CB5EB40C-780F-4180-A933-C639A7C1203B}"/>
    <cellStyle name="Migliaia 28 5 5 2" xfId="33637" xr:uid="{2DC821C7-B9D3-4868-829A-F12B69A3E423}"/>
    <cellStyle name="Migliaia 28 5 5 2 2" xfId="39112" xr:uid="{D442CA0C-DFCF-4561-A786-31506FD27A51}"/>
    <cellStyle name="Migliaia 28 5 5 2 3" xfId="44414" xr:uid="{B3FB58ED-83D6-4FDF-99F5-78123880A6DA}"/>
    <cellStyle name="Migliaia 28 5 5 3" xfId="36566" xr:uid="{86818538-BDC9-45A7-842D-E5A17085D1BA}"/>
    <cellStyle name="Migliaia 28 5 5 4" xfId="41763" xr:uid="{0367692E-B459-4D1D-B0AF-94AB441C036A}"/>
    <cellStyle name="Migliaia 28 5 5 5" xfId="24642" xr:uid="{4D778640-BEFC-4E67-B16B-7809EA17A7DD}"/>
    <cellStyle name="Migliaia 28 5 6" xfId="24643" xr:uid="{3A374284-9FF1-4FE7-B83E-A65F667E28A9}"/>
    <cellStyle name="Migliaia 28 5 6 2" xfId="33638" xr:uid="{807EAAB8-4B6C-4795-888F-8E8A272EBCF0}"/>
    <cellStyle name="Migliaia 28 5 6 2 2" xfId="39113" xr:uid="{C0937BDA-1EE9-4BBD-8341-925CD38B7770}"/>
    <cellStyle name="Migliaia 28 5 6 2 3" xfId="44415" xr:uid="{A89F6FAF-547F-45FB-B2D6-8FD02D890E7A}"/>
    <cellStyle name="Migliaia 28 5 6 3" xfId="36567" xr:uid="{4EA6BA91-EABB-4F1F-AB04-6DBDC4407246}"/>
    <cellStyle name="Migliaia 28 5 6 4" xfId="41764" xr:uid="{42562AE3-F4E1-48D9-BC4B-1552B130A68C}"/>
    <cellStyle name="Migliaia 28 5 7" xfId="24640" xr:uid="{F3F0809B-A029-4CF4-BCFB-1D67A26B9E2D}"/>
    <cellStyle name="Migliaia 28 5 8" xfId="7415" xr:uid="{DC640159-CD2D-4A70-A81C-9BEF57F6D7AD}"/>
    <cellStyle name="Migliaia 28 6" xfId="3437" xr:uid="{0B252726-4FFE-4BD2-B9F7-C38FF6956C6F}"/>
    <cellStyle name="Migliaia 28 6 2" xfId="5163" xr:uid="{260DCE48-607C-4AF1-8AB2-31EC4F330DE3}"/>
    <cellStyle name="Migliaia 28 6 2 2" xfId="9921" xr:uid="{AF8308AC-4E11-4B6D-9F8D-F36B438D75DA}"/>
    <cellStyle name="Migliaia 28 6 2 3" xfId="18660" xr:uid="{4F0A6E55-18BC-401A-9857-B0F7564EF78C}"/>
    <cellStyle name="Migliaia 28 6 2 4" xfId="20276" xr:uid="{258E18EA-0CDD-4CC2-92E6-61910191E75D}"/>
    <cellStyle name="Migliaia 28 6 2 5" xfId="32356" xr:uid="{843A6899-52C5-4386-A405-229EB45C8C0F}"/>
    <cellStyle name="Migliaia 28 6 2 6" xfId="16328" xr:uid="{B27FEC98-14FD-4A29-BDF2-1BBF1DD4C2C3}"/>
    <cellStyle name="Migliaia 28 6 2 7" xfId="8600" xr:uid="{6EC84BAB-588F-4847-B7F2-ECCDF40D9483}"/>
    <cellStyle name="Migliaia 28 6 3" xfId="6366" xr:uid="{A7C5DBCA-945C-45B7-8C1C-30797BDA0B80}"/>
    <cellStyle name="Migliaia 28 6 3 2" xfId="35267" xr:uid="{AFB05CF2-F82D-4FDD-A648-9E645125D905}"/>
    <cellStyle name="Migliaia 28 6 3 2 2" xfId="40427" xr:uid="{21FD38D6-2C5F-46E2-B776-27501AEF4E50}"/>
    <cellStyle name="Migliaia 28 6 3 2 3" xfId="45729" xr:uid="{3C7452CD-319F-4E7C-812E-77F6D4B0B34C}"/>
    <cellStyle name="Migliaia 28 6 3 3" xfId="37776" xr:uid="{85C2DA3C-3F29-498B-B189-54CCB49EFB43}"/>
    <cellStyle name="Migliaia 28 6 3 4" xfId="43078" xr:uid="{97F88C23-8EBB-4DE1-9D37-D63AFB926C0A}"/>
    <cellStyle name="Migliaia 28 6 3 5" xfId="9684" xr:uid="{84ADE56D-E7E6-4478-B14E-D95AE69CBDD8}"/>
    <cellStyle name="Migliaia 28 6 4" xfId="20275" xr:uid="{6EE7A360-F5C8-40FE-90DA-1423447B2ED3}"/>
    <cellStyle name="Migliaia 28 6 4 2" xfId="39114" xr:uid="{8832A743-852A-4EB7-9D65-9405B9EF1715}"/>
    <cellStyle name="Migliaia 28 6 4 3" xfId="44416" xr:uid="{BEB3A18F-BA54-45E0-91B1-A448402CCA70}"/>
    <cellStyle name="Migliaia 28 6 4 4" xfId="33639" xr:uid="{F2C44561-C0F7-4684-AD3B-E3F27CFABC8D}"/>
    <cellStyle name="Migliaia 28 6 5" xfId="36568" xr:uid="{AAB77A4A-F964-4A1E-8293-ED9E81D51A21}"/>
    <cellStyle name="Migliaia 28 6 6" xfId="41765" xr:uid="{6B478CF6-8C0A-4572-A32B-07A42E36A880}"/>
    <cellStyle name="Migliaia 28 6 7" xfId="16327" xr:uid="{F8B6DF00-2FBE-4E2C-88C0-BE20E2FF4B1B}"/>
    <cellStyle name="Migliaia 28 6 8" xfId="7410" xr:uid="{913B1337-0E36-4C8F-8A9D-D56470F1A932}"/>
    <cellStyle name="Migliaia 28 7" xfId="3438" xr:uid="{E586C898-F704-4512-8ADF-2754E7957DCA}"/>
    <cellStyle name="Migliaia 28 7 2" xfId="5164" xr:uid="{F7BB5906-BE64-425B-B9A9-538DDF2A2CC4}"/>
    <cellStyle name="Migliaia 28 7 2 2" xfId="35268" xr:uid="{FC262777-9134-484E-B65E-61B908A4D522}"/>
    <cellStyle name="Migliaia 28 7 2 2 2" xfId="40428" xr:uid="{76206A6C-D848-4D6F-801B-A0C1C6F7C68B}"/>
    <cellStyle name="Migliaia 28 7 2 2 3" xfId="45730" xr:uid="{EA483AFB-F782-447D-A496-E0B3404289D4}"/>
    <cellStyle name="Migliaia 28 7 2 3" xfId="37777" xr:uid="{446C8916-86FF-4822-A344-84BBFBAC7CAE}"/>
    <cellStyle name="Migliaia 28 7 2 4" xfId="43079" xr:uid="{EFA56256-C65F-4DB8-AAEB-AE605D238EF5}"/>
    <cellStyle name="Migliaia 28 7 2 5" xfId="14239" xr:uid="{92D7CBFA-74D0-49D4-ABA0-CF41229210AC}"/>
    <cellStyle name="Migliaia 28 7 3" xfId="6367" xr:uid="{FC5658A9-E5FB-4C63-8E3B-81AA64AB1901}"/>
    <cellStyle name="Migliaia 28 7 3 2" xfId="39115" xr:uid="{AA8DBD82-9A12-465F-84A2-1BB54E207375}"/>
    <cellStyle name="Migliaia 28 7 3 3" xfId="44417" xr:uid="{F207C572-D239-46CA-AE51-E9460FFD551D}"/>
    <cellStyle name="Migliaia 28 7 3 4" xfId="33640" xr:uid="{4CA487D7-39BF-4084-AFDD-001967947AEB}"/>
    <cellStyle name="Migliaia 28 7 3 5" xfId="20277" xr:uid="{0CEF377F-B63C-4554-8033-595060C6E462}"/>
    <cellStyle name="Migliaia 28 7 4" xfId="36569" xr:uid="{75561376-AA6C-490F-8405-A18305A03A79}"/>
    <cellStyle name="Migliaia 28 7 5" xfId="41766" xr:uid="{A5D2CF0D-059D-45B4-B761-AC7898AB1E6F}"/>
    <cellStyle name="Migliaia 28 7 6" xfId="16329" xr:uid="{16948469-C8EF-497B-8801-E4370A8192D4}"/>
    <cellStyle name="Migliaia 28 7 7" xfId="8301" xr:uid="{071EF5A6-D5E1-40A8-85BF-DD22C52480E4}"/>
    <cellStyle name="Migliaia 28 8" xfId="3439" xr:uid="{EA94CA0F-F80D-4FE6-BA4C-5382D0870314}"/>
    <cellStyle name="Migliaia 28 8 2" xfId="5165" xr:uid="{18818B8F-AFCC-4B84-84D8-D636A8854EF6}"/>
    <cellStyle name="Migliaia 28 8 2 2" xfId="35269" xr:uid="{87EFF0FA-923F-4DA1-96FA-C9756F30DD61}"/>
    <cellStyle name="Migliaia 28 8 2 2 2" xfId="40429" xr:uid="{D4904BC6-FDBE-4828-882F-86531EC1F69A}"/>
    <cellStyle name="Migliaia 28 8 2 2 3" xfId="45731" xr:uid="{95E71241-4AD1-406E-BAB7-BD60BC0A8DE7}"/>
    <cellStyle name="Migliaia 28 8 2 3" xfId="37778" xr:uid="{63F9E1CC-688E-4CC6-B4D3-C360194EAFF4}"/>
    <cellStyle name="Migliaia 28 8 2 4" xfId="43080" xr:uid="{A8DDD76F-1170-49E0-AFB2-9ADF7C5F904C}"/>
    <cellStyle name="Migliaia 28 8 2 5" xfId="13944" xr:uid="{3A9706CB-6A99-41B8-A281-A3447769D4E1}"/>
    <cellStyle name="Migliaia 28 8 3" xfId="6368" xr:uid="{AC245DBD-9946-47A6-A9FC-E449DCBE4FA6}"/>
    <cellStyle name="Migliaia 28 8 3 2" xfId="39116" xr:uid="{C17C02EA-F3C6-4BE3-B1B9-500F8A48448A}"/>
    <cellStyle name="Migliaia 28 8 3 3" xfId="44418" xr:uid="{81714F90-6631-4CC0-8A9B-1D1576FA8379}"/>
    <cellStyle name="Migliaia 28 8 3 4" xfId="33641" xr:uid="{1E916B1F-A8F5-44CE-A2AD-2440CBCDEC35}"/>
    <cellStyle name="Migliaia 28 8 3 5" xfId="20278" xr:uid="{886A39BB-AAB8-44A0-9D54-28CA0A1F868E}"/>
    <cellStyle name="Migliaia 28 8 4" xfId="36570" xr:uid="{C3D845BD-BB9E-4EB1-969E-539AD1032B59}"/>
    <cellStyle name="Migliaia 28 8 5" xfId="41767" xr:uid="{227737E2-8735-479E-8B88-CA8A7AB639DB}"/>
    <cellStyle name="Migliaia 28 8 6" xfId="16330" xr:uid="{D8293199-1AB2-4E4E-982C-BF68A5DE37E1}"/>
    <cellStyle name="Migliaia 28 8 7" xfId="7902" xr:uid="{21F5C28E-E3E2-4752-AF51-BC3EF0BC2DF8}"/>
    <cellStyle name="Migliaia 28 9" xfId="5150" xr:uid="{60F55851-CEE8-4CEA-995B-9ED9E9D9DF37}"/>
    <cellStyle name="Migliaia 28 9 2" xfId="33642" xr:uid="{FF430C82-033A-4E58-A0E4-29988CB83564}"/>
    <cellStyle name="Migliaia 28 9 2 2" xfId="39117" xr:uid="{0DD07799-EDBE-44A2-B98F-71E34ACFD3AE}"/>
    <cellStyle name="Migliaia 28 9 2 3" xfId="44419" xr:uid="{55030E06-B36F-4841-984E-E89E5A36A2DA}"/>
    <cellStyle name="Migliaia 28 9 3" xfId="36571" xr:uid="{CB6D3669-0178-45DE-88EC-3CB6B47F13A2}"/>
    <cellStyle name="Migliaia 28 9 4" xfId="41768" xr:uid="{054BAE4F-2782-46F4-AF2A-5922F19FF93E}"/>
    <cellStyle name="Migliaia 28 9 5" xfId="17175" xr:uid="{45CE4B4F-70EE-40AF-8D29-60275A43590E}"/>
    <cellStyle name="Migliaia 29" xfId="385" xr:uid="{00000000-0005-0000-0000-00007C030000}"/>
    <cellStyle name="Migliaia 29 10" xfId="6369" xr:uid="{5DA572B4-37A2-419F-909A-9740D3FFDFF1}"/>
    <cellStyle name="Migliaia 29 10 2" xfId="39118" xr:uid="{ED1439F3-EF77-4BEF-BF82-7316E217B195}"/>
    <cellStyle name="Migliaia 29 10 3" xfId="44420" xr:uid="{6B82EFE2-36F5-4DC3-A463-DD94724A420C}"/>
    <cellStyle name="Migliaia 29 10 4" xfId="33643" xr:uid="{91399971-ACD9-483E-8F3A-31CB7D6467E5}"/>
    <cellStyle name="Migliaia 29 10 5" xfId="20279" xr:uid="{EF4FEC3E-3B34-4A46-BE2F-0D7EC83F3626}"/>
    <cellStyle name="Migliaia 29 11" xfId="3440" xr:uid="{2B5290CE-086D-48E5-96B3-E03E106FCE0F}"/>
    <cellStyle name="Migliaia 29 11 2" xfId="36572" xr:uid="{E7D83DC3-9B1E-4E46-A939-52D9EE91AE4F}"/>
    <cellStyle name="Migliaia 29 12" xfId="41769" xr:uid="{A36C63C0-CCB2-4017-8F5C-5142E17723C3}"/>
    <cellStyle name="Migliaia 29 13" xfId="7105" xr:uid="{48C0B92C-0D99-45BB-A67E-A94F4CE4C968}"/>
    <cellStyle name="Migliaia 29 2" xfId="386" xr:uid="{00000000-0005-0000-0000-00007D030000}"/>
    <cellStyle name="Migliaia 29 2 2" xfId="1761" xr:uid="{00000000-0005-0000-0000-00007E030000}"/>
    <cellStyle name="Migliaia 29 2 2 2" xfId="5168" xr:uid="{890A2F55-40A0-4084-84BC-AE815A7870AC}"/>
    <cellStyle name="Migliaia 29 2 2 2 2" xfId="14384" xr:uid="{A51D738D-ED44-4F2B-90BA-72CF5FA87C8A}"/>
    <cellStyle name="Migliaia 29 2 2 2 2 2" xfId="39119" xr:uid="{E8B10F79-06A7-4E34-9BF2-3151DE8279AC}"/>
    <cellStyle name="Migliaia 29 2 2 2 2 3" xfId="44421" xr:uid="{61688823-C05D-4AF4-A174-61236C38DE9F}"/>
    <cellStyle name="Migliaia 29 2 2 2 3" xfId="18425" xr:uid="{4744A27A-061A-4CBC-9E23-7C5D8532911D}"/>
    <cellStyle name="Migliaia 29 2 2 2 4" xfId="20282" xr:uid="{17CDBBD1-E441-41D1-B69D-397469D9CAED}"/>
    <cellStyle name="Migliaia 29 2 2 2 4 2" xfId="41770" xr:uid="{A014141C-0F02-456A-B47D-6ABF5C37CFD3}"/>
    <cellStyle name="Migliaia 29 2 2 2 5" xfId="16331" xr:uid="{3942A991-F20E-4AEE-8896-D8A7B1F2C7A7}"/>
    <cellStyle name="Migliaia 29 2 2 2 6" xfId="8607" xr:uid="{53AD4EB4-E2E0-4A4C-82BD-4CD02E347CD1}"/>
    <cellStyle name="Migliaia 29 2 2 3" xfId="6371" xr:uid="{61F5FD64-74DE-4232-9662-FD77E7687E51}"/>
    <cellStyle name="Migliaia 29 2 2 3 2" xfId="35270" xr:uid="{A090C052-F46E-4E30-8EDC-A479D59E1D1A}"/>
    <cellStyle name="Migliaia 29 2 2 3 2 2" xfId="40430" xr:uid="{F6549988-EE22-4FE0-9B9E-C3FB0BC4543B}"/>
    <cellStyle name="Migliaia 29 2 2 3 2 3" xfId="45732" xr:uid="{F05E7F43-4505-4413-8F4A-89A57AA6F472}"/>
    <cellStyle name="Migliaia 29 2 2 3 3" xfId="37779" xr:uid="{6DAD7FF1-588E-4BC8-80F0-D4F718B73B40}"/>
    <cellStyle name="Migliaia 29 2 2 3 4" xfId="43081" xr:uid="{D8A14051-D25B-41A3-87E6-4A2596AB9176}"/>
    <cellStyle name="Migliaia 29 2 2 3 5" xfId="11611" xr:uid="{1738730E-B0EF-4E91-A985-C5643E5ACA7F}"/>
    <cellStyle name="Migliaia 29 2 2 4" xfId="3442" xr:uid="{A06B0D5B-17B8-41D6-8EC2-31549F026093}"/>
    <cellStyle name="Migliaia 29 2 2 4 2" xfId="21473" xr:uid="{13C1C232-CD75-43B2-AA20-BB1A5CC1835A}"/>
    <cellStyle name="Migliaia 29 2 2 4 3" xfId="47304" xr:uid="{641CBABD-5986-4BA5-BD53-205776D85863}"/>
    <cellStyle name="Migliaia 29 2 2 4 4" xfId="50488" xr:uid="{AB04A36A-FF9A-44FE-AA30-5F7D35EA2199}"/>
    <cellStyle name="Migliaia 29 2 2 4 5" xfId="53504" xr:uid="{A2CCEF75-6BAA-4CFE-B501-38DBBAC0075E}"/>
    <cellStyle name="Migliaia 29 2 2 4 6" xfId="10838" xr:uid="{AACA91C2-80CA-4F14-BF82-AD7C8A87BBCD}"/>
    <cellStyle name="Migliaia 29 2 2 5" xfId="20281" xr:uid="{C5BAAE18-EA8F-410E-B4DC-F8CA2B10E768}"/>
    <cellStyle name="Migliaia 29 2 2 6" xfId="24649" xr:uid="{4F6EDFE2-7FC8-4FAB-8B37-3E56E9BA30A4}"/>
    <cellStyle name="Migliaia 29 2 2 7" xfId="7417" xr:uid="{61113212-4377-4F31-80C7-DBC15998D41F}"/>
    <cellStyle name="Migliaia 29 2 3" xfId="3443" xr:uid="{51EFBF20-25F8-4D37-B3EA-744C7A1EE731}"/>
    <cellStyle name="Migliaia 29 2 3 2" xfId="5169" xr:uid="{FE5826B0-34AB-4310-83CE-80A19397918C}"/>
    <cellStyle name="Migliaia 29 2 3 2 2" xfId="35271" xr:uid="{D70D9AE4-9357-46A5-A6C7-B12FD4B55CCB}"/>
    <cellStyle name="Migliaia 29 2 3 2 2 2" xfId="40431" xr:uid="{4C99124B-30DF-4115-B101-60C38816E41B}"/>
    <cellStyle name="Migliaia 29 2 3 2 2 3" xfId="45733" xr:uid="{1BEF036D-87F7-442A-8D8F-76C67EF1C27C}"/>
    <cellStyle name="Migliaia 29 2 3 2 3" xfId="37780" xr:uid="{4A6B50AD-3AB3-48BB-ADCE-10E3B8535786}"/>
    <cellStyle name="Migliaia 29 2 3 2 4" xfId="43082" xr:uid="{1D4FC9E2-ED67-49C4-8697-AA920E806765}"/>
    <cellStyle name="Migliaia 29 2 3 2 5" xfId="14243" xr:uid="{E4EB266F-6653-4E88-B4A7-CEF8CBC550DE}"/>
    <cellStyle name="Migliaia 29 2 3 3" xfId="6372" xr:uid="{2E3B0C0C-7F19-4A81-8B92-0A0B984FC20E}"/>
    <cellStyle name="Migliaia 29 2 3 3 2" xfId="39120" xr:uid="{76406725-38DE-4E2C-932C-BED88D4E0A48}"/>
    <cellStyle name="Migliaia 29 2 3 3 3" xfId="44422" xr:uid="{E96F551A-BEFA-4334-AF83-41329F079C68}"/>
    <cellStyle name="Migliaia 29 2 3 3 4" xfId="33645" xr:uid="{1959B196-2FBB-44EF-BC7D-B1A1A9B60346}"/>
    <cellStyle name="Migliaia 29 2 3 3 5" xfId="20283" xr:uid="{41F4AD3C-ECD3-4086-8BCE-F832D4AA4165}"/>
    <cellStyle name="Migliaia 29 2 3 4" xfId="36574" xr:uid="{A8702349-E472-42ED-BA88-0BA292CB9C73}"/>
    <cellStyle name="Migliaia 29 2 3 5" xfId="41771" xr:uid="{88CBB353-473F-4F43-B730-1D6FDC82B493}"/>
    <cellStyle name="Migliaia 29 2 3 6" xfId="16332" xr:uid="{008C6A8A-4626-479A-A8C2-B207FA2B0FB6}"/>
    <cellStyle name="Migliaia 29 2 3 7" xfId="8305" xr:uid="{AFECF113-315D-4C2C-8234-07F97807C76D}"/>
    <cellStyle name="Migliaia 29 2 4" xfId="5167" xr:uid="{734F62F9-20AA-47C7-ADD6-3768B2027D09}"/>
    <cellStyle name="Migliaia 29 2 4 2" xfId="13948" xr:uid="{88063174-73D9-45AD-877D-27B68A935E82}"/>
    <cellStyle name="Migliaia 29 2 4 2 2" xfId="39121" xr:uid="{F6923A83-7E6B-433F-8C95-758C93DEC335}"/>
    <cellStyle name="Migliaia 29 2 4 2 3" xfId="44423" xr:uid="{94902E1E-56DE-42BD-982F-E832A303A090}"/>
    <cellStyle name="Migliaia 29 2 4 3" xfId="18713" xr:uid="{FABD78FF-EB97-4106-BE70-E05669BF16AE}"/>
    <cellStyle name="Migliaia 29 2 4 4" xfId="20284" xr:uid="{3EC99A73-983E-4709-870A-F2DA6E8C769B}"/>
    <cellStyle name="Migliaia 29 2 4 4 2" xfId="41772" xr:uid="{FD0D5878-391D-46F6-8851-9E1187EBFBDF}"/>
    <cellStyle name="Migliaia 29 2 4 5" xfId="16333" xr:uid="{3921215E-7B62-4888-8023-509E345E0268}"/>
    <cellStyle name="Migliaia 29 2 4 6" xfId="7907" xr:uid="{7EA2DD91-5100-4BD2-8FFC-D767639E05F2}"/>
    <cellStyle name="Migliaia 29 2 5" xfId="6370" xr:uid="{D95A097B-4DF8-47E9-B31E-9E180421288F}"/>
    <cellStyle name="Migliaia 29 2 5 2" xfId="33647" xr:uid="{872A797D-2496-4F52-B7AF-11C37765AFB1}"/>
    <cellStyle name="Migliaia 29 2 5 2 2" xfId="39122" xr:uid="{18B8B0D4-A1BE-4AD0-8E0B-ACD904CC5C0F}"/>
    <cellStyle name="Migliaia 29 2 5 2 3" xfId="44424" xr:uid="{4B9E969B-D70F-4255-ADEB-E8788B97C1E6}"/>
    <cellStyle name="Migliaia 29 2 5 3" xfId="36576" xr:uid="{9898E74D-3CD6-428E-A890-7800E3CEDD16}"/>
    <cellStyle name="Migliaia 29 2 5 4" xfId="41773" xr:uid="{9768E69E-E436-4976-8126-D1934E57B02D}"/>
    <cellStyle name="Migliaia 29 2 5 5" xfId="13124" xr:uid="{09A4C1F6-07AF-43BF-A88F-8E73E28C0547}"/>
    <cellStyle name="Migliaia 29 2 6" xfId="3441" xr:uid="{DB0BAA3D-BF31-4143-8ED5-D9930494DAEC}"/>
    <cellStyle name="Migliaia 29 2 6 2" xfId="33648" xr:uid="{CC420300-E58B-4978-8DFA-AFC6EDCE8E2E}"/>
    <cellStyle name="Migliaia 29 2 6 2 2" xfId="39123" xr:uid="{4480853C-D4E9-4BC4-B8DE-078D0E221897}"/>
    <cellStyle name="Migliaia 29 2 6 2 3" xfId="44425" xr:uid="{3471F18F-AD41-4B04-BCDE-4A3D27D46E1C}"/>
    <cellStyle name="Migliaia 29 2 6 3" xfId="36577" xr:uid="{49A34BB4-CF7C-4536-821D-E212ED9EF3FA}"/>
    <cellStyle name="Migliaia 29 2 6 4" xfId="41774" xr:uid="{6A9A396F-4AE7-47F1-A8E5-175115EC9401}"/>
    <cellStyle name="Migliaia 29 2 6 5" xfId="24654" xr:uid="{8E1CDE09-A601-415A-8127-B621D493977E}"/>
    <cellStyle name="Migliaia 29 2 6 6" xfId="20280" xr:uid="{A840B898-F43B-4CDA-863D-74350FBD4F05}"/>
    <cellStyle name="Migliaia 29 2 7" xfId="24648" xr:uid="{6DD29526-4BF2-4D0D-85D3-DB1FC46DE762}"/>
    <cellStyle name="Migliaia 29 2 8" xfId="7106" xr:uid="{4FE5ADB3-14E5-4A23-956E-F07482A38076}"/>
    <cellStyle name="Migliaia 29 3" xfId="387" xr:uid="{00000000-0005-0000-0000-00007F030000}"/>
    <cellStyle name="Migliaia 29 3 10" xfId="24655" xr:uid="{42073B73-6203-4A1B-BEA9-70C21A1E756A}"/>
    <cellStyle name="Migliaia 29 3 11" xfId="16334" xr:uid="{1A0186E6-D2AD-4F05-9534-D004BBA68C5C}"/>
    <cellStyle name="Migliaia 29 3 12" xfId="7107" xr:uid="{C1D19B5C-7BAC-475D-A6D8-948CDC4AB809}"/>
    <cellStyle name="Migliaia 29 3 2" xfId="388" xr:uid="{00000000-0005-0000-0000-000080030000}"/>
    <cellStyle name="Migliaia 29 3 2 2" xfId="1762" xr:uid="{00000000-0005-0000-0000-000081030000}"/>
    <cellStyle name="Migliaia 29 3 2 2 2" xfId="5172" xr:uid="{260B070E-7B95-4358-894E-6A38E4D19B62}"/>
    <cellStyle name="Migliaia 29 3 2 2 2 2" xfId="18426" xr:uid="{49330F34-1957-419C-91FC-97535D613591}"/>
    <cellStyle name="Migliaia 29 3 2 2 2 2 2" xfId="21862" xr:uid="{5EFCDEDE-B610-4FD6-8305-9D45F383C3EA}"/>
    <cellStyle name="Migliaia 29 3 2 2 2 2 2 2" xfId="39124" xr:uid="{5185C7B1-BA38-47EA-82F6-FA869D9EB8CF}"/>
    <cellStyle name="Migliaia 29 3 2 2 2 2 3" xfId="44426" xr:uid="{CECFCDE3-2F65-4910-A20B-83A5682A8AF7}"/>
    <cellStyle name="Migliaia 29 3 2 2 2 2 4" xfId="33649" xr:uid="{722DED4B-067F-4B9B-B198-A9978794368F}"/>
    <cellStyle name="Migliaia 29 3 2 2 2 3" xfId="36578" xr:uid="{AE82A918-9888-4338-9CE3-7841BCD8E7CC}"/>
    <cellStyle name="Migliaia 29 3 2 2 2 4" xfId="41775" xr:uid="{3B0CBA89-5616-4644-856F-4AE9402E80D3}"/>
    <cellStyle name="Migliaia 29 3 2 2 2 5" xfId="37182" xr:uid="{51BAA089-0E46-4996-AF94-BB8E6A91EF6E}"/>
    <cellStyle name="Migliaia 29 3 2 2 2 6" xfId="50890" xr:uid="{FE1D3D66-6536-4BF4-8AC3-04C02F640E16}"/>
    <cellStyle name="Migliaia 29 3 2 2 2 7" xfId="53906" xr:uid="{C70433D1-85EC-4C86-91B9-F13B386DE9BD}"/>
    <cellStyle name="Migliaia 29 3 2 2 2 8" xfId="17659" xr:uid="{4FD350B7-80B2-4B69-A003-E4DEDFB7A05E}"/>
    <cellStyle name="Migliaia 29 3 2 2 2 9" xfId="11971" xr:uid="{2B335AB9-88B5-4531-8795-0CA1B6F855DC}"/>
    <cellStyle name="Migliaia 29 3 2 2 3" xfId="6375" xr:uid="{D6412154-2C0F-40E8-BA0B-8B8D919C433E}"/>
    <cellStyle name="Migliaia 29 3 2 2 3 2" xfId="12172" xr:uid="{314FCF80-2DCA-4258-A12B-1E2982CCC293}"/>
    <cellStyle name="Migliaia 29 3 2 2 4" xfId="3446" xr:uid="{46A5978C-EAEA-4962-9D81-60BBAE0EEF12}"/>
    <cellStyle name="Migliaia 29 3 2 2 4 2" xfId="21474" xr:uid="{CB5655B9-005C-45AE-BE08-50BFAF0F3FDE}"/>
    <cellStyle name="Migliaia 29 3 2 2 4 3" xfId="46233" xr:uid="{DFCC46BA-ECC1-45DA-9BE7-514FE00E8032}"/>
    <cellStyle name="Migliaia 29 3 2 2 4 4" xfId="50489" xr:uid="{8B7DD466-6E1D-46B9-BA9E-1A15E9C41B6C}"/>
    <cellStyle name="Migliaia 29 3 2 2 4 5" xfId="53505" xr:uid="{80043744-BF8B-41CB-81CC-95F6DC9796B6}"/>
    <cellStyle name="Migliaia 29 3 2 2 4 6" xfId="10839" xr:uid="{D7B72B15-9FD8-47B0-B283-FD5404C4A688}"/>
    <cellStyle name="Migliaia 29 3 2 2 5" xfId="20287" xr:uid="{26FB8279-FA09-4E90-8050-44A9515110BE}"/>
    <cellStyle name="Migliaia 29 3 2 2 6" xfId="24657" xr:uid="{10D33E84-757D-4E61-94DA-934719068726}"/>
    <cellStyle name="Migliaia 29 3 2 2 7" xfId="8609" xr:uid="{071A15EE-7BF7-4C70-88ED-2895E9326118}"/>
    <cellStyle name="Migliaia 29 3 2 3" xfId="5171" xr:uid="{83B9E806-760D-44E1-9BA8-653253EFE34D}"/>
    <cellStyle name="Migliaia 29 3 2 3 2" xfId="12226" xr:uid="{7656D13D-1E42-4C27-93D6-7DE2ADA29D0A}"/>
    <cellStyle name="Migliaia 29 3 2 3 2 2" xfId="39125" xr:uid="{439A6BB1-2B87-425E-ADAB-D0978A7A8BAB}"/>
    <cellStyle name="Migliaia 29 3 2 3 2 3" xfId="44427" xr:uid="{937699BA-DBF5-4A6A-8C5B-9049D7A20750}"/>
    <cellStyle name="Migliaia 29 3 2 3 2 4" xfId="33650" xr:uid="{A47092FD-7481-4758-B49F-2C13B4827EA8}"/>
    <cellStyle name="Migliaia 29 3 2 3 3" xfId="11972" xr:uid="{6C0ACBC1-398E-4816-BDFA-DB0D95B6F605}"/>
    <cellStyle name="Migliaia 29 3 2 3 4" xfId="20288" xr:uid="{95B10522-2493-49F7-B80D-18B548581728}"/>
    <cellStyle name="Migliaia 29 3 2 3 4 2" xfId="41776" xr:uid="{D23F8B73-F300-41CE-919C-C3E4EEE76A0A}"/>
    <cellStyle name="Migliaia 29 3 2 3 5" xfId="16335" xr:uid="{A32D9A30-2B0A-40C3-8C3A-51056397D4D3}"/>
    <cellStyle name="Migliaia 29 3 2 3 6" xfId="7909" xr:uid="{6D6FE1AE-0832-44CC-839D-27F341E1BD2E}"/>
    <cellStyle name="Migliaia 29 3 2 4" xfId="6374" xr:uid="{8ABFEA3E-AF18-401D-A675-30F35CED3387}"/>
    <cellStyle name="Migliaia 29 3 2 4 2" xfId="18078" xr:uid="{FE31D278-CBF8-48A4-B6DE-8388E132D32C}"/>
    <cellStyle name="Migliaia 29 3 2 4 2 2" xfId="39126" xr:uid="{C6372932-DAF1-4475-B09B-52024C717B99}"/>
    <cellStyle name="Migliaia 29 3 2 4 2 3" xfId="44428" xr:uid="{1B9E5006-299B-4474-AFDE-7FF16C332C97}"/>
    <cellStyle name="Migliaia 29 3 2 4 3" xfId="36580" xr:uid="{E3FE853C-4BD6-4A66-80CC-CF14014A9607}"/>
    <cellStyle name="Migliaia 29 3 2 4 4" xfId="41777" xr:uid="{CC9AEF32-66C7-452F-B2E9-A78E75A1494B}"/>
    <cellStyle name="Migliaia 29 3 2 4 5" xfId="17178" xr:uid="{268C14F5-DB51-4E3B-869B-F6FC7EAF364A}"/>
    <cellStyle name="Migliaia 29 3 2 4 6" xfId="11320" xr:uid="{CBD603D5-271C-4E22-9DF7-FC381E182248}"/>
    <cellStyle name="Migliaia 29 3 2 5" xfId="3445" xr:uid="{E2654E4C-0781-4B97-9ACE-B31392E0C1B7}"/>
    <cellStyle name="Migliaia 29 3 2 5 2" xfId="33652" xr:uid="{4A0187D3-8191-4FFE-95ED-A6C702286840}"/>
    <cellStyle name="Migliaia 29 3 2 5 2 2" xfId="39127" xr:uid="{0EAB0A68-78D2-44CA-BD06-BA8A5702BA26}"/>
    <cellStyle name="Migliaia 29 3 2 5 2 3" xfId="44429" xr:uid="{9AF9C024-2BD6-4A4B-BF57-69C113DE5411}"/>
    <cellStyle name="Migliaia 29 3 2 5 3" xfId="36581" xr:uid="{A43C867F-1663-4671-9F70-AC97A7F6D40D}"/>
    <cellStyle name="Migliaia 29 3 2 5 4" xfId="41778" xr:uid="{877B4D9D-256D-4206-BE68-2BE0FD17A9AF}"/>
    <cellStyle name="Migliaia 29 3 2 5 5" xfId="17363" xr:uid="{FE506EBC-6F3F-4EB6-A90D-460362B87A3C}"/>
    <cellStyle name="Migliaia 29 3 2 6" xfId="20286" xr:uid="{68375D5E-B985-48A3-AFC8-8694A6E6BAF2}"/>
    <cellStyle name="Migliaia 29 3 2 6 2" xfId="33653" xr:uid="{0D5D98E6-C5B4-4022-9BA7-BB25B4781D3B}"/>
    <cellStyle name="Migliaia 29 3 2 6 2 2" xfId="39128" xr:uid="{3287811B-1BEE-4CB0-80B8-71356036657D}"/>
    <cellStyle name="Migliaia 29 3 2 6 2 3" xfId="44430" xr:uid="{2C99A426-F474-464E-BE33-B93F98AA26B3}"/>
    <cellStyle name="Migliaia 29 3 2 6 3" xfId="36582" xr:uid="{40C8471A-2230-4E1C-A3A4-A4C79A67F281}"/>
    <cellStyle name="Migliaia 29 3 2 6 4" xfId="41779" xr:uid="{C77682C9-D3C4-41D0-A563-9385B74C1805}"/>
    <cellStyle name="Migliaia 29 3 2 6 5" xfId="24661" xr:uid="{C33E61CE-FFD4-4E95-BC67-0A0BEBB1BA0F}"/>
    <cellStyle name="Migliaia 29 3 2 7" xfId="24656" xr:uid="{3A42DE76-FA55-474B-9163-A890D8B5B9FA}"/>
    <cellStyle name="Migliaia 29 3 2 8" xfId="7419" xr:uid="{1CB38FDD-4804-4DFE-AEC8-8496CDC8BD09}"/>
    <cellStyle name="Migliaia 29 3 3" xfId="3447" xr:uid="{ABA789F2-60FC-4525-9CF5-6609113353A5}"/>
    <cellStyle name="Migliaia 29 3 3 10" xfId="7418" xr:uid="{0D46523B-9913-4C00-9B07-BBCE4DCBAF6C}"/>
    <cellStyle name="Migliaia 29 3 3 2" xfId="5173" xr:uid="{D432C9A2-49D3-4148-A97B-42531334A7A1}"/>
    <cellStyle name="Migliaia 29 3 3 2 2" xfId="9924" xr:uid="{F5DC9049-7F62-46D9-91A4-151B3A45C2DC}"/>
    <cellStyle name="Migliaia 29 3 3 2 2 2" xfId="39130" xr:uid="{42609D27-9BCB-4716-B402-430521C30CDB}"/>
    <cellStyle name="Migliaia 29 3 3 2 2 3" xfId="44432" xr:uid="{0AA06AA1-4309-42F2-BE3F-5B80D207E7C9}"/>
    <cellStyle name="Migliaia 29 3 3 2 3" xfId="18204" xr:uid="{DDDF8A43-501E-4FA2-BB25-F5354D55F458}"/>
    <cellStyle name="Migliaia 29 3 3 2 4" xfId="20290" xr:uid="{01DD19A4-7D66-4877-BD88-3C2638494EEC}"/>
    <cellStyle name="Migliaia 29 3 3 2 4 2" xfId="41781" xr:uid="{21B9027A-6C77-46E2-9DF3-AF0F5A51B958}"/>
    <cellStyle name="Migliaia 29 3 3 2 5" xfId="16337" xr:uid="{6D9479B4-3A8D-4E3B-88E2-0A7F854DC269}"/>
    <cellStyle name="Migliaia 29 3 3 2 6" xfId="8608" xr:uid="{8C186B9C-93DF-40EC-9E47-A937235D5D1C}"/>
    <cellStyle name="Migliaia 29 3 3 3" xfId="6376" xr:uid="{777A27CC-2127-4966-938D-A80A4DA87C9B}"/>
    <cellStyle name="Migliaia 29 3 3 3 2" xfId="33656" xr:uid="{257FD7CE-AD66-467A-8CAF-2420B71BA1B3}"/>
    <cellStyle name="Migliaia 29 3 3 3 2 2" xfId="39131" xr:uid="{963E6880-06ED-4012-A295-FC1C13E9C732}"/>
    <cellStyle name="Migliaia 29 3 3 3 2 3" xfId="44433" xr:uid="{BF63CD30-113F-4CE1-A3C5-B86E30E4B45E}"/>
    <cellStyle name="Migliaia 29 3 3 3 3" xfId="36585" xr:uid="{1697C82E-BB84-49A8-9ADE-A10D47F55D8E}"/>
    <cellStyle name="Migliaia 29 3 3 3 4" xfId="41782" xr:uid="{A334D6BB-51A5-4827-BD16-26CABCB90E78}"/>
    <cellStyle name="Migliaia 29 3 3 3 5" xfId="9687" xr:uid="{6154FB6F-FE22-4534-8C15-02E309AF153B}"/>
    <cellStyle name="Migliaia 29 3 3 4" xfId="20289" xr:uid="{A2A2BBF0-5C65-4093-A8FC-367A2B109E19}"/>
    <cellStyle name="Migliaia 29 3 3 4 2" xfId="33657" xr:uid="{6B07E2C5-1DAD-488E-BFA1-812847DCEC74}"/>
    <cellStyle name="Migliaia 29 3 3 4 2 2" xfId="39132" xr:uid="{AE3579C4-70CE-47FD-A1C0-DAA2F0F0D2FC}"/>
    <cellStyle name="Migliaia 29 3 3 4 2 3" xfId="44434" xr:uid="{33615C41-25BA-457D-A1C7-3E34695A3D35}"/>
    <cellStyle name="Migliaia 29 3 3 4 3" xfId="36586" xr:uid="{301D5FFF-0B81-4231-B0B1-6420247EED4E}"/>
    <cellStyle name="Migliaia 29 3 3 4 4" xfId="41783" xr:uid="{25AC8D33-9BA4-4605-9CEE-DB11EF5314DE}"/>
    <cellStyle name="Migliaia 29 3 3 4 5" xfId="24665" xr:uid="{01F8985E-0E2F-45EA-8CD5-8CAD7DA8853C}"/>
    <cellStyle name="Migliaia 29 3 3 5" xfId="24666" xr:uid="{A0D078F5-703A-46C0-AA54-8C29973405F8}"/>
    <cellStyle name="Migliaia 29 3 3 5 2" xfId="33658" xr:uid="{8CD406BC-2ABA-4E32-9BBB-F98682AFC3C7}"/>
    <cellStyle name="Migliaia 29 3 3 5 2 2" xfId="39133" xr:uid="{A0753C65-83C3-450D-BF50-3311FCFF641F}"/>
    <cellStyle name="Migliaia 29 3 3 5 2 3" xfId="44435" xr:uid="{94839D9F-1A7F-4F5C-A175-AC363B80C295}"/>
    <cellStyle name="Migliaia 29 3 3 5 3" xfId="36587" xr:uid="{E408B51B-6968-4676-A7E3-08FF9F5CB48A}"/>
    <cellStyle name="Migliaia 29 3 3 5 4" xfId="41784" xr:uid="{75F1DDB5-7BAD-440C-9C97-7364FCE18B38}"/>
    <cellStyle name="Migliaia 29 3 3 6" xfId="33654" xr:uid="{09A16B8D-B484-4615-B8FC-869D120257D4}"/>
    <cellStyle name="Migliaia 29 3 3 6 2" xfId="39129" xr:uid="{D5129C6C-294A-4E29-93AB-5DE8E65BD701}"/>
    <cellStyle name="Migliaia 29 3 3 6 3" xfId="44431" xr:uid="{AB2F358C-93B4-4DE3-8DD2-0EBA0C6B829A}"/>
    <cellStyle name="Migliaia 29 3 3 7" xfId="36583" xr:uid="{313A07C9-7D4A-4FC1-8558-201034E1CA47}"/>
    <cellStyle name="Migliaia 29 3 3 8" xfId="41780" xr:uid="{3E41E2CA-F683-4C2B-A156-5FB54C56D7DC}"/>
    <cellStyle name="Migliaia 29 3 3 9" xfId="16336" xr:uid="{5191F1D0-AC52-4103-8523-1BBE9A7898E2}"/>
    <cellStyle name="Migliaia 29 3 4" xfId="3448" xr:uid="{8162A16E-25B5-4DC2-AA5F-CA02DD6348D4}"/>
    <cellStyle name="Migliaia 29 3 4 2" xfId="5174" xr:uid="{6A98F8EE-2AF5-4809-8A0F-7BA345D3886C}"/>
    <cellStyle name="Migliaia 29 3 4 2 2" xfId="14444" xr:uid="{685F4061-9BF2-4B14-8076-7CED014090BB}"/>
    <cellStyle name="Migliaia 29 3 4 2 3" xfId="18128" xr:uid="{7BA07D46-66AA-4E32-957A-5E9F95C2CC2E}"/>
    <cellStyle name="Migliaia 29 3 4 2 4" xfId="20292" xr:uid="{7140C89E-A664-4992-9165-FEF253680E90}"/>
    <cellStyle name="Migliaia 29 3 4 2 5" xfId="32361" xr:uid="{8046D521-FFEE-4690-97BB-A1E647BDA337}"/>
    <cellStyle name="Migliaia 29 3 4 2 6" xfId="16339" xr:uid="{21A0E546-20DA-4EC0-A0D2-C62F92F8F528}"/>
    <cellStyle name="Migliaia 29 3 4 2 7" xfId="8867" xr:uid="{0A4BA835-7897-48F7-9281-510BEBC420E0}"/>
    <cellStyle name="Migliaia 29 3 4 3" xfId="6377" xr:uid="{93943A8C-46BE-4D71-B537-5B3EF2A4CA13}"/>
    <cellStyle name="Migliaia 29 3 4 3 2" xfId="35272" xr:uid="{8964D405-A68E-47B9-B2A3-649EB278871A}"/>
    <cellStyle name="Migliaia 29 3 4 3 2 2" xfId="40432" xr:uid="{0DE3DCB9-AA68-4C9C-8EA1-54BA4C7762A6}"/>
    <cellStyle name="Migliaia 29 3 4 3 2 3" xfId="45734" xr:uid="{293A2586-CF33-4AC8-A1BD-9BDD2270B5C9}"/>
    <cellStyle name="Migliaia 29 3 4 3 3" xfId="37781" xr:uid="{B846B3F9-4276-4968-8146-2F6792639F07}"/>
    <cellStyle name="Migliaia 29 3 4 3 4" xfId="43083" xr:uid="{B8C18B62-6458-431E-B010-31DADDA4218B}"/>
    <cellStyle name="Migliaia 29 3 4 3 5" xfId="13692" xr:uid="{1A197C7C-7553-40AD-BA72-FE5E26289C19}"/>
    <cellStyle name="Migliaia 29 3 4 4" xfId="20291" xr:uid="{32E8616A-6A81-425C-BB56-35B65B38EAD3}"/>
    <cellStyle name="Migliaia 29 3 4 4 2" xfId="39134" xr:uid="{1333D8B4-3A99-48E6-A085-75632F84EE1D}"/>
    <cellStyle name="Migliaia 29 3 4 4 3" xfId="44436" xr:uid="{69DBD17F-0695-4297-ABB6-E3FC2F3A9C20}"/>
    <cellStyle name="Migliaia 29 3 4 4 4" xfId="33659" xr:uid="{31C77C86-DF26-49B5-B5A9-57E4BF7E1C3A}"/>
    <cellStyle name="Migliaia 29 3 4 5" xfId="36588" xr:uid="{D5DE1ED8-0F48-4779-A11D-77DC7161CA16}"/>
    <cellStyle name="Migliaia 29 3 4 6" xfId="41785" xr:uid="{C1779736-3E57-449E-8520-B448F37A6DC4}"/>
    <cellStyle name="Migliaia 29 3 4 7" xfId="16338" xr:uid="{E92D3A95-7637-4F38-9310-C5434161D5A4}"/>
    <cellStyle name="Migliaia 29 3 4 8" xfId="7677" xr:uid="{4C4EC414-6BA1-48B2-BD4E-81E1569F8032}"/>
    <cellStyle name="Migliaia 29 3 5" xfId="3449" xr:uid="{219E1B18-81FD-4F1E-B52F-65779816BAD5}"/>
    <cellStyle name="Migliaia 29 3 5 2" xfId="5175" xr:uid="{2765D042-7764-4CB6-B18B-76A338DC9BB4}"/>
    <cellStyle name="Migliaia 29 3 5 2 2" xfId="35273" xr:uid="{83C979E1-0157-4F66-A401-3BA35D20B828}"/>
    <cellStyle name="Migliaia 29 3 5 2 2 2" xfId="40433" xr:uid="{1709C51B-8CF7-4E7C-BE9B-E9BF18F56009}"/>
    <cellStyle name="Migliaia 29 3 5 2 2 3" xfId="45735" xr:uid="{7552D444-7292-49F6-8591-50E79B9A291F}"/>
    <cellStyle name="Migliaia 29 3 5 2 3" xfId="37782" xr:uid="{348ED54C-A194-4188-8938-99B16119C085}"/>
    <cellStyle name="Migliaia 29 3 5 2 4" xfId="43084" xr:uid="{8266A16A-B465-4F15-B162-19928C333297}"/>
    <cellStyle name="Migliaia 29 3 5 2 5" xfId="14244" xr:uid="{B4A8FDCF-A130-4321-A6DE-45EF3E9FD12A}"/>
    <cellStyle name="Migliaia 29 3 5 3" xfId="6378" xr:uid="{796CDDB2-2A41-4AE0-B571-B5E8B2C64FC7}"/>
    <cellStyle name="Migliaia 29 3 5 3 2" xfId="39135" xr:uid="{7DA36C51-68EF-4878-B74F-DBA8E1CD9166}"/>
    <cellStyle name="Migliaia 29 3 5 3 3" xfId="44437" xr:uid="{8CE4DAF2-9F3D-4768-8EA0-6D5F17F1A97E}"/>
    <cellStyle name="Migliaia 29 3 5 3 4" xfId="33660" xr:uid="{ACEF66A2-F9FD-46D3-87A8-69F556796169}"/>
    <cellStyle name="Migliaia 29 3 5 3 5" xfId="20293" xr:uid="{2D90E764-1585-4874-A12A-55D55F9F9883}"/>
    <cellStyle name="Migliaia 29 3 5 4" xfId="36589" xr:uid="{B37C0E76-B15B-4A60-BC64-0BD18E916F8D}"/>
    <cellStyle name="Migliaia 29 3 5 5" xfId="41786" xr:uid="{F00A2F87-3982-4ACA-93BC-392AAE841DEE}"/>
    <cellStyle name="Migliaia 29 3 5 6" xfId="16340" xr:uid="{9681FB92-6980-433B-9C78-6B1753F5B662}"/>
    <cellStyle name="Migliaia 29 3 5 7" xfId="8306" xr:uid="{791720D3-07B2-42CB-B9B3-AEF8F29E04F2}"/>
    <cellStyle name="Migliaia 29 3 6" xfId="5170" xr:uid="{B8E04CA0-997B-4107-AE14-FDC4F7A1AA99}"/>
    <cellStyle name="Migliaia 29 3 6 2" xfId="13949" xr:uid="{4706C9DB-ECE2-4487-9EC0-24C4D0D931B6}"/>
    <cellStyle name="Migliaia 29 3 6 2 2" xfId="39136" xr:uid="{27F2474A-E354-4355-BA26-6B67BF2DF92A}"/>
    <cellStyle name="Migliaia 29 3 6 2 3" xfId="44438" xr:uid="{8FFAE310-47CA-4613-B4BB-AA421966ACF3}"/>
    <cellStyle name="Migliaia 29 3 6 3" xfId="18615" xr:uid="{A7C3FCB3-FC80-4CC3-BEE2-4BDB1BAA027F}"/>
    <cellStyle name="Migliaia 29 3 6 4" xfId="20294" xr:uid="{5B676BE1-9B3D-457D-8291-F8E8C974DDB0}"/>
    <cellStyle name="Migliaia 29 3 6 4 2" xfId="41787" xr:uid="{92189192-E4F6-411A-8BA1-772D3C12E15C}"/>
    <cellStyle name="Migliaia 29 3 6 5" xfId="16341" xr:uid="{224B2E6C-ED16-4A3A-A57B-02CB5B0CF27C}"/>
    <cellStyle name="Migliaia 29 3 6 6" xfId="7908" xr:uid="{94C8E2C8-1AD2-40A0-A541-F1D73E5330D0}"/>
    <cellStyle name="Migliaia 29 3 7" xfId="6373" xr:uid="{24910854-5CD3-44ED-BD5D-894D3E9AB8EC}"/>
    <cellStyle name="Migliaia 29 3 7 2" xfId="33662" xr:uid="{EDED50B2-63F9-405E-A388-D86832A952F3}"/>
    <cellStyle name="Migliaia 29 3 7 2 2" xfId="39137" xr:uid="{DE5AAE5E-5D71-4862-AEEC-598028716F0F}"/>
    <cellStyle name="Migliaia 29 3 7 2 3" xfId="44439" xr:uid="{06106029-5D8B-41A9-889B-BB9DC832D5A9}"/>
    <cellStyle name="Migliaia 29 3 7 3" xfId="36591" xr:uid="{A5661C2E-818E-4BC0-B9CA-AAB97044B42F}"/>
    <cellStyle name="Migliaia 29 3 7 4" xfId="41788" xr:uid="{20D39BA0-6A4C-4CF0-B656-7EFBC8528556}"/>
    <cellStyle name="Migliaia 29 3 7 5" xfId="12439" xr:uid="{AB1983F1-CA95-45FE-85BB-F245B57F0A7C}"/>
    <cellStyle name="Migliaia 29 3 8" xfId="3444" xr:uid="{84E432AE-61F4-4D84-B055-B96A2E694DE8}"/>
    <cellStyle name="Migliaia 29 3 8 2" xfId="33663" xr:uid="{65110D03-6ACA-4A50-B5B2-7F6DF4B2F858}"/>
    <cellStyle name="Migliaia 29 3 8 2 2" xfId="39138" xr:uid="{A409336E-8E4E-4804-92AF-1A2E5D63E327}"/>
    <cellStyle name="Migliaia 29 3 8 2 3" xfId="44440" xr:uid="{8F13A761-9E23-4EAA-8E8C-620525F24E98}"/>
    <cellStyle name="Migliaia 29 3 8 3" xfId="36592" xr:uid="{A3116037-CC4B-4C3A-BAB8-8CB6A6F2574D}"/>
    <cellStyle name="Migliaia 29 3 8 4" xfId="41789" xr:uid="{F7F56DC1-2273-4466-B47F-15226CB61A1E}"/>
    <cellStyle name="Migliaia 29 3 8 5" xfId="24671" xr:uid="{91A161C9-A92D-435C-ADBA-732506648BFE}"/>
    <cellStyle name="Migliaia 29 3 8 6" xfId="17364" xr:uid="{BA601865-D7AA-4B58-895C-7F733E3D1BE0}"/>
    <cellStyle name="Migliaia 29 3 9" xfId="20285" xr:uid="{15976879-E0D6-4059-857A-D054A892AAB8}"/>
    <cellStyle name="Migliaia 29 4" xfId="1763" xr:uid="{00000000-0005-0000-0000-000082030000}"/>
    <cellStyle name="Migliaia 29 4 2" xfId="1764" xr:uid="{00000000-0005-0000-0000-000083030000}"/>
    <cellStyle name="Migliaia 29 4 2 2" xfId="5177" xr:uid="{489AB39B-575C-465D-BE99-673C520DAB0A}"/>
    <cellStyle name="Migliaia 29 4 2 2 2" xfId="33664" xr:uid="{B7199E80-A572-4A9D-9085-E500D52D6C6E}"/>
    <cellStyle name="Migliaia 29 4 2 2 2 2" xfId="39139" xr:uid="{403C258F-DA0E-4829-96D6-0A4D99941ADE}"/>
    <cellStyle name="Migliaia 29 4 2 2 2 3" xfId="44441" xr:uid="{59F30819-7C26-401F-96A0-FDEAE2F29DE4}"/>
    <cellStyle name="Migliaia 29 4 2 2 3" xfId="36593" xr:uid="{D1C85ADC-7818-4CB0-A2A1-B5F21B68B0EA}"/>
    <cellStyle name="Migliaia 29 4 2 2 4" xfId="41790" xr:uid="{EDD8E457-1227-4ED4-9C92-3580CF03C2D1}"/>
    <cellStyle name="Migliaia 29 4 2 2 5" xfId="9150" xr:uid="{B29D1F06-674D-4883-8071-1F0278FEBF41}"/>
    <cellStyle name="Migliaia 29 4 2 3" xfId="3451" xr:uid="{90B720E3-36E3-42DA-90A1-5A77EE020990}"/>
    <cellStyle name="Migliaia 29 4 2 3 2" xfId="33665" xr:uid="{EBCEB99D-B440-4215-98B8-0CED9DB6F088}"/>
    <cellStyle name="Migliaia 29 4 2 3 2 2" xfId="39140" xr:uid="{B81E6F8A-925E-4A18-894B-A6931C0C88A9}"/>
    <cellStyle name="Migliaia 29 4 2 3 2 3" xfId="44442" xr:uid="{1493983B-9C99-4DF2-903B-5B3A4A8B1A11}"/>
    <cellStyle name="Migliaia 29 4 2 3 3" xfId="36594" xr:uid="{A3CF3847-D3CC-4F18-AA6B-0D3131D5A794}"/>
    <cellStyle name="Migliaia 29 4 2 3 4" xfId="41791" xr:uid="{5E4CC0CC-D81C-42A7-9B44-1B32651A7221}"/>
    <cellStyle name="Migliaia 29 4 2 3 5" xfId="11973" xr:uid="{37812942-B9DC-4F6E-8FB6-16CB0CA7B995}"/>
    <cellStyle name="Migliaia 29 4 2 4" xfId="11322" xr:uid="{037F01A7-B65F-4C8D-8511-A9478F41FB2E}"/>
    <cellStyle name="Migliaia 29 4 2 5" xfId="10841" xr:uid="{915543E0-EF17-405F-99C4-C92463DDE023}"/>
    <cellStyle name="Migliaia 29 4 2 5 2" xfId="21476" xr:uid="{B0CF6DFF-B07C-4B8B-A077-47D6C6DF8657}"/>
    <cellStyle name="Migliaia 29 4 2 5 3" xfId="48176" xr:uid="{F1325C76-4AA7-4141-91CD-A822A56F22AB}"/>
    <cellStyle name="Migliaia 29 4 2 5 4" xfId="50491" xr:uid="{89F1F8AF-9EE7-4807-A26F-D65235D98032}"/>
    <cellStyle name="Migliaia 29 4 2 5 5" xfId="53507" xr:uid="{1747EA3A-A444-4A0B-90E7-D2876525DE66}"/>
    <cellStyle name="Migliaia 29 4 2 6" xfId="20296" xr:uid="{B3D39034-2E0C-4129-B1B7-EDE919948C42}"/>
    <cellStyle name="Migliaia 29 4 2 7" xfId="24673" xr:uid="{777939FA-D8C5-4DDE-8745-8CF2840B8E1D}"/>
    <cellStyle name="Migliaia 29 4 2 8" xfId="8610" xr:uid="{76FB8C16-CFA4-4662-AD3C-C5FB2B3FC5AD}"/>
    <cellStyle name="Migliaia 29 4 3" xfId="5176" xr:uid="{33B1B44F-86EF-4F15-A667-5914CADC13C2}"/>
    <cellStyle name="Migliaia 29 4 3 2" xfId="18205" xr:uid="{8FBC36EE-CAC2-4371-AC4A-8613EF3EC278}"/>
    <cellStyle name="Migliaia 29 4 3 2 2" xfId="39141" xr:uid="{75298055-F6FE-4750-9A3F-C985D882E0AF}"/>
    <cellStyle name="Migliaia 29 4 3 2 3" xfId="44443" xr:uid="{0B52080D-5F52-4F78-88A4-00468373BCDF}"/>
    <cellStyle name="Migliaia 29 4 3 3" xfId="36595" xr:uid="{49B92880-84DE-4C66-AA5C-309A04010F65}"/>
    <cellStyle name="Migliaia 29 4 3 4" xfId="41792" xr:uid="{3DB93DD4-437B-4F4F-B494-600BEB0008BA}"/>
    <cellStyle name="Migliaia 29 4 3 5" xfId="17362" xr:uid="{704576A9-51BC-4894-8DE0-86B61872F5CD}"/>
    <cellStyle name="Migliaia 29 4 3 6" xfId="9151" xr:uid="{09750FA8-8D7E-42A8-85F7-9C718E2B0EBB}"/>
    <cellStyle name="Migliaia 29 4 4" xfId="6379" xr:uid="{148B2728-95A8-4D91-963C-371F14AF3B40}"/>
    <cellStyle name="Migliaia 29 4 4 2" xfId="33666" xr:uid="{5A6A65C0-7D0B-4C63-8002-90F6097CFD01}"/>
    <cellStyle name="Migliaia 29 4 4 2 2" xfId="39142" xr:uid="{DAA0AA16-0021-45F8-9A99-408B73117646}"/>
    <cellStyle name="Migliaia 29 4 4 2 3" xfId="44444" xr:uid="{2E0D6259-0114-4A9C-875C-09C804781467}"/>
    <cellStyle name="Migliaia 29 4 4 3" xfId="36596" xr:uid="{8A833D0D-3349-4E59-ABBC-BF6A4CA481A5}"/>
    <cellStyle name="Migliaia 29 4 4 4" xfId="41793" xr:uid="{826C4106-2A3C-4BEB-8188-C43A42F95A45}"/>
    <cellStyle name="Migliaia 29 4 4 5" xfId="11974" xr:uid="{B87522AA-0F30-4FC8-93D5-935407C79000}"/>
    <cellStyle name="Migliaia 29 4 5" xfId="3450" xr:uid="{11C77F87-365D-4F8D-A5CE-F6CBB9AA50CE}"/>
    <cellStyle name="Migliaia 29 4 5 2" xfId="33667" xr:uid="{9541CE79-D2F9-4A38-9194-D91D20BCD718}"/>
    <cellStyle name="Migliaia 29 4 5 2 2" xfId="39143" xr:uid="{10BA2601-ED5B-46C9-AEEB-96C2B7312762}"/>
    <cellStyle name="Migliaia 29 4 5 2 3" xfId="44445" xr:uid="{9F2CF4B6-A1EB-4DDA-982D-1E727282820B}"/>
    <cellStyle name="Migliaia 29 4 5 3" xfId="36597" xr:uid="{2558F2FC-3B7E-4239-BD1E-FE044F818345}"/>
    <cellStyle name="Migliaia 29 4 5 4" xfId="41794" xr:uid="{FC3F7E41-8D7B-4BDB-94A0-52647FDEAD95}"/>
    <cellStyle name="Migliaia 29 4 5 5" xfId="11321" xr:uid="{D60D67EB-2971-4103-87C1-C60725D3B9DE}"/>
    <cellStyle name="Migliaia 29 4 6" xfId="10840" xr:uid="{3F55463A-0359-4DC3-B3C6-913322CFCFF9}"/>
    <cellStyle name="Migliaia 29 4 6 2" xfId="21475" xr:uid="{4825A04E-A2C2-4055-9972-E5EACC326EE7}"/>
    <cellStyle name="Migliaia 29 4 6 2 2" xfId="39144" xr:uid="{287A637B-6929-4478-803C-2C42F3E07ED4}"/>
    <cellStyle name="Migliaia 29 4 6 2 3" xfId="44446" xr:uid="{80F3F584-5969-465C-9F1A-CE637C4B77A2}"/>
    <cellStyle name="Migliaia 29 4 6 2 4" xfId="33668" xr:uid="{C42362FD-D828-4276-9A46-7AC5D1C65692}"/>
    <cellStyle name="Migliaia 29 4 6 3" xfId="36598" xr:uid="{09B3482A-17E0-4E1E-8BE6-C983857CA50F}"/>
    <cellStyle name="Migliaia 29 4 6 4" xfId="41795" xr:uid="{6503639E-0123-447A-BD6B-5532DEDF38CA}"/>
    <cellStyle name="Migliaia 29 4 6 5" xfId="24675" xr:uid="{6B9638D3-2197-4B3C-8D3A-28221C3C7DD5}"/>
    <cellStyle name="Migliaia 29 4 6 6" xfId="46234" xr:uid="{BD795293-4261-407F-A9DE-3E6630A68593}"/>
    <cellStyle name="Migliaia 29 4 6 7" xfId="50490" xr:uid="{142CA20E-3D35-4BAB-AD8F-F7570B0F8B6E}"/>
    <cellStyle name="Migliaia 29 4 6 8" xfId="53506" xr:uid="{6FE5626B-0357-4318-B67F-8E78CD2690E2}"/>
    <cellStyle name="Migliaia 29 4 7" xfId="20295" xr:uid="{EDCD21C8-BC5A-41B2-84C5-A8F91346A64F}"/>
    <cellStyle name="Migliaia 29 4 7 2" xfId="33669" xr:uid="{9926E038-F4BC-4BCF-B37E-4960F46548F5}"/>
    <cellStyle name="Migliaia 29 4 7 2 2" xfId="39145" xr:uid="{B5C7B8B8-C793-4ABE-A7CF-4A5DF2E89285}"/>
    <cellStyle name="Migliaia 29 4 7 2 3" xfId="44447" xr:uid="{72E39CFB-A430-4A2F-841E-9740159E6BE5}"/>
    <cellStyle name="Migliaia 29 4 7 3" xfId="36599" xr:uid="{E53A8E49-FFA3-48AF-9AE1-D3330D7A258C}"/>
    <cellStyle name="Migliaia 29 4 7 4" xfId="41796" xr:uid="{E9C0280F-697B-411A-89E0-252E0731A78C}"/>
    <cellStyle name="Migliaia 29 4 7 5" xfId="24676" xr:uid="{75FFDDD9-C558-4B9B-8AC9-94398B78AD7D}"/>
    <cellStyle name="Migliaia 29 4 8" xfId="24672" xr:uid="{6C2638DD-E2CE-4AE5-AEC0-92A4C73B96C6}"/>
    <cellStyle name="Migliaia 29 4 9" xfId="7420" xr:uid="{0923C317-3829-4F4A-8E28-FA8863C6B731}"/>
    <cellStyle name="Migliaia 29 5" xfId="1765" xr:uid="{00000000-0005-0000-0000-000084030000}"/>
    <cellStyle name="Migliaia 29 5 2" xfId="5178" xr:uid="{D07D7AAB-0A7A-4093-9E1B-382EF3C3F5ED}"/>
    <cellStyle name="Migliaia 29 5 2 2" xfId="18427" xr:uid="{4098AAC9-9DF0-4347-A8E1-A17FFDA97375}"/>
    <cellStyle name="Migliaia 29 5 2 2 2" xfId="39146" xr:uid="{67F96401-4C24-4A47-B7BF-911B27577412}"/>
    <cellStyle name="Migliaia 29 5 2 2 3" xfId="44448" xr:uid="{79628122-1A1B-4638-A812-F190D3E98545}"/>
    <cellStyle name="Migliaia 29 5 2 3" xfId="20298" xr:uid="{06CF43DF-9613-4171-9B1E-78E60C7ECABA}"/>
    <cellStyle name="Migliaia 29 5 2 3 2" xfId="36600" xr:uid="{D4FA2693-6A54-4CB9-8F82-416AD9F7DB89}"/>
    <cellStyle name="Migliaia 29 5 2 4" xfId="41797" xr:uid="{42AE6E2F-8504-40A1-B4CE-809F9C50A9E3}"/>
    <cellStyle name="Migliaia 29 5 2 5" xfId="16342" xr:uid="{90047B98-EED1-4750-B26B-EEF9C1B5A2FF}"/>
    <cellStyle name="Migliaia 29 5 2 6" xfId="8611" xr:uid="{37860D81-29D0-4D93-97D3-1C2547B7E909}"/>
    <cellStyle name="Migliaia 29 5 3" xfId="6380" xr:uid="{FAD1B0D8-3578-418D-AD9F-6F214FA5BBD2}"/>
    <cellStyle name="Migliaia 29 5 3 2" xfId="33670" xr:uid="{72583E71-7A67-4998-BA70-F4C6C48844B4}"/>
    <cellStyle name="Migliaia 29 5 3 2 2" xfId="39147" xr:uid="{D171BE9A-A373-4C66-A917-7EACCD33CB94}"/>
    <cellStyle name="Migliaia 29 5 3 2 3" xfId="44449" xr:uid="{E8B638F6-FCB0-427B-809A-7182EC8B5002}"/>
    <cellStyle name="Migliaia 29 5 3 3" xfId="36601" xr:uid="{A7378991-31D0-4CD1-9B13-E2DB630C7A01}"/>
    <cellStyle name="Migliaia 29 5 3 4" xfId="41798" xr:uid="{2F7F50C0-5058-4D17-9EBE-7331484BF894}"/>
    <cellStyle name="Migliaia 29 5 3 5" xfId="11323" xr:uid="{19071276-9F42-41A6-8534-2A844E8F2BA3}"/>
    <cellStyle name="Migliaia 29 5 4" xfId="3452" xr:uid="{994890B5-71A9-45FF-B2FE-4B89929905D3}"/>
    <cellStyle name="Migliaia 29 5 4 2" xfId="21477" xr:uid="{C543CCA4-254F-46CC-8568-02CA91EA03F3}"/>
    <cellStyle name="Migliaia 29 5 4 2 2" xfId="39148" xr:uid="{6A6BAAF6-95B9-4570-9966-4E45EB6D27CD}"/>
    <cellStyle name="Migliaia 29 5 4 2 3" xfId="44450" xr:uid="{C7284892-1182-49C6-83FE-E2B30997407D}"/>
    <cellStyle name="Migliaia 29 5 4 2 4" xfId="33671" xr:uid="{99B76904-23AB-49F5-AFCC-B7984832F04B}"/>
    <cellStyle name="Migliaia 29 5 4 3" xfId="36602" xr:uid="{888C4B73-EB77-4E49-B2A9-95DE0050369B}"/>
    <cellStyle name="Migliaia 29 5 4 4" xfId="41799" xr:uid="{AD9AA23E-6567-47A7-B7EC-E148802F5168}"/>
    <cellStyle name="Migliaia 29 5 4 5" xfId="24678" xr:uid="{72ADE0C0-2AB5-4A74-93B0-F51AABDA5681}"/>
    <cellStyle name="Migliaia 29 5 4 6" xfId="48472" xr:uid="{5A71595E-9E62-47CB-9BE2-BA0613505591}"/>
    <cellStyle name="Migliaia 29 5 4 7" xfId="50492" xr:uid="{DF145F7D-821C-4304-9B49-1C2DDD34DCF1}"/>
    <cellStyle name="Migliaia 29 5 4 8" xfId="53508" xr:uid="{65B0DF59-5C40-45E6-BC74-D5C071BCAB40}"/>
    <cellStyle name="Migliaia 29 5 4 9" xfId="10842" xr:uid="{3163544B-A0CF-4222-8C03-70DE86357D8F}"/>
    <cellStyle name="Migliaia 29 5 5" xfId="20297" xr:uid="{579096DC-5A00-4A0F-A8F4-D02F577BF3D4}"/>
    <cellStyle name="Migliaia 29 5 5 2" xfId="33672" xr:uid="{46C1B75D-082D-4DF3-8FF4-9EC07D604A16}"/>
    <cellStyle name="Migliaia 29 5 5 2 2" xfId="39149" xr:uid="{BBA24701-23B6-4FB5-8B2A-739062AB1107}"/>
    <cellStyle name="Migliaia 29 5 5 2 3" xfId="44451" xr:uid="{DAB1DF31-269F-4219-88B2-9397C7033188}"/>
    <cellStyle name="Migliaia 29 5 5 3" xfId="36603" xr:uid="{AD02F36D-ED8A-4A1E-838E-C17F5018CCC9}"/>
    <cellStyle name="Migliaia 29 5 5 4" xfId="41800" xr:uid="{C3CB7424-23BB-4831-BC4D-CE86FA4AA7F9}"/>
    <cellStyle name="Migliaia 29 5 5 5" xfId="24679" xr:uid="{72BC0242-D5FD-499B-8988-636A3B8539B4}"/>
    <cellStyle name="Migliaia 29 5 6" xfId="24680" xr:uid="{160816D1-8F27-4C25-9E8B-F5B0B7183C7A}"/>
    <cellStyle name="Migliaia 29 5 6 2" xfId="33673" xr:uid="{7E4DF78E-7FD9-4ECD-8438-BD0A86DB064F}"/>
    <cellStyle name="Migliaia 29 5 6 2 2" xfId="39150" xr:uid="{240E325F-9E86-488A-952F-BDB218F52111}"/>
    <cellStyle name="Migliaia 29 5 6 2 3" xfId="44452" xr:uid="{ACAC6B6E-E7A6-4242-9B20-EA0607CF0350}"/>
    <cellStyle name="Migliaia 29 5 6 3" xfId="36604" xr:uid="{2AE20A6E-DA99-4754-8931-DD485DA55E8F}"/>
    <cellStyle name="Migliaia 29 5 6 4" xfId="41801" xr:uid="{5C0E28C0-30C5-4E1F-B96A-F4691825643B}"/>
    <cellStyle name="Migliaia 29 5 7" xfId="24677" xr:uid="{98491B99-B8B3-4AB1-8384-40887B76BFB2}"/>
    <cellStyle name="Migliaia 29 5 8" xfId="7421" xr:uid="{4A975BB3-E9E2-4553-8843-9B41EDF1834B}"/>
    <cellStyle name="Migliaia 29 6" xfId="3453" xr:uid="{42E2504B-779B-4617-85B4-282925262739}"/>
    <cellStyle name="Migliaia 29 6 2" xfId="5179" xr:uid="{33E586B7-CBA1-4E46-A4A2-159CEB82E88B}"/>
    <cellStyle name="Migliaia 29 6 2 2" xfId="9923" xr:uid="{6C52C279-56B4-4133-81DE-09C018A5AAC5}"/>
    <cellStyle name="Migliaia 29 6 2 3" xfId="18659" xr:uid="{BE877BDE-731D-4DB6-A50E-4876A5C150E4}"/>
    <cellStyle name="Migliaia 29 6 2 4" xfId="20300" xr:uid="{BB9949C9-267D-43F8-8032-C34028016B52}"/>
    <cellStyle name="Migliaia 29 6 2 5" xfId="32364" xr:uid="{7D0ACEA9-344B-44C0-BDAF-65323DA1909C}"/>
    <cellStyle name="Migliaia 29 6 2 6" xfId="16344" xr:uid="{41BA8D72-0017-4BD3-BFC1-A0C9D2D2D0C3}"/>
    <cellStyle name="Migliaia 29 6 2 7" xfId="8606" xr:uid="{5A9ACBFB-BA6D-403C-AB72-D3F2BCEF6379}"/>
    <cellStyle name="Migliaia 29 6 3" xfId="6381" xr:uid="{E61381CA-E10D-4A9C-BB99-12C328F39E18}"/>
    <cellStyle name="Migliaia 29 6 3 2" xfId="35274" xr:uid="{E11F2515-3D61-4392-9A0A-79C6667E095E}"/>
    <cellStyle name="Migliaia 29 6 3 2 2" xfId="40434" xr:uid="{B8E4A909-5F4B-4620-B86A-24CC52CBC9EB}"/>
    <cellStyle name="Migliaia 29 6 3 2 3" xfId="45736" xr:uid="{2732C5DF-EC2A-4822-BDF6-AC848B1FCDF3}"/>
    <cellStyle name="Migliaia 29 6 3 3" xfId="37783" xr:uid="{3E583034-A9D3-4B83-A5FB-15FA5C24F29F}"/>
    <cellStyle name="Migliaia 29 6 3 4" xfId="43085" xr:uid="{0B08499A-35C3-433D-B1C4-FBC3E7C85996}"/>
    <cellStyle name="Migliaia 29 6 3 5" xfId="9686" xr:uid="{385322EC-FEEE-4068-A24F-89234561774B}"/>
    <cellStyle name="Migliaia 29 6 4" xfId="20299" xr:uid="{8A3D44E2-518A-4D8D-AEB8-1DEA4A9990C3}"/>
    <cellStyle name="Migliaia 29 6 4 2" xfId="39151" xr:uid="{96E63835-8EE7-4A61-A92C-066329A5ECDC}"/>
    <cellStyle name="Migliaia 29 6 4 3" xfId="44453" xr:uid="{C6186D51-B5E9-4AED-8B86-9AA66192046F}"/>
    <cellStyle name="Migliaia 29 6 4 4" xfId="33674" xr:uid="{D6FE80CA-3FEB-4694-8B18-AD2BD6F86C0F}"/>
    <cellStyle name="Migliaia 29 6 5" xfId="36605" xr:uid="{2BAE10C3-DC79-49A9-9C7B-87FC714FC57E}"/>
    <cellStyle name="Migliaia 29 6 6" xfId="41802" xr:uid="{CCF8826D-C686-44D0-B230-587D620C8CF0}"/>
    <cellStyle name="Migliaia 29 6 7" xfId="16343" xr:uid="{35F273A1-076E-4234-9AE4-6EF271E0EB5E}"/>
    <cellStyle name="Migliaia 29 6 8" xfId="7416" xr:uid="{4145016F-0C0F-449E-9D6C-3973F5F27F51}"/>
    <cellStyle name="Migliaia 29 7" xfId="3454" xr:uid="{DFAC4F73-3D12-40DF-88A3-714ECFB2BEAE}"/>
    <cellStyle name="Migliaia 29 7 2" xfId="5180" xr:uid="{B6A56B2C-EFD1-45E4-ACB8-5F9EE987A60A}"/>
    <cellStyle name="Migliaia 29 7 2 2" xfId="35275" xr:uid="{8CC75454-51CE-4CB7-AEE7-DBAF2866CA18}"/>
    <cellStyle name="Migliaia 29 7 2 2 2" xfId="40435" xr:uid="{C85611D8-2255-4132-BF17-E5A0362083A5}"/>
    <cellStyle name="Migliaia 29 7 2 2 3" xfId="45737" xr:uid="{8E468975-ECC3-4B8B-AC88-832C5D585369}"/>
    <cellStyle name="Migliaia 29 7 2 3" xfId="37784" xr:uid="{D840EC3B-8153-4307-8FF0-5EEEE5C7A08F}"/>
    <cellStyle name="Migliaia 29 7 2 4" xfId="43086" xr:uid="{0E9D6D08-F949-4390-97F5-C265F34E8102}"/>
    <cellStyle name="Migliaia 29 7 2 5" xfId="14242" xr:uid="{BDA20B87-0027-424E-A435-31842275FEEF}"/>
    <cellStyle name="Migliaia 29 7 3" xfId="6382" xr:uid="{15C29B07-B919-46E9-90FE-412E981884FA}"/>
    <cellStyle name="Migliaia 29 7 3 2" xfId="39152" xr:uid="{B2944A00-C4CC-44AD-AAA9-D90868135E0B}"/>
    <cellStyle name="Migliaia 29 7 3 3" xfId="44454" xr:uid="{7F1622D9-A97F-4772-B2B0-DD0DE5BB4683}"/>
    <cellStyle name="Migliaia 29 7 3 4" xfId="33675" xr:uid="{C6B83406-395A-4F6C-9FF7-D8557B1C20E9}"/>
    <cellStyle name="Migliaia 29 7 3 5" xfId="20301" xr:uid="{01E212CF-5D8D-471E-B70A-18887AF5AE37}"/>
    <cellStyle name="Migliaia 29 7 4" xfId="36606" xr:uid="{A90B1102-83EE-4780-9C81-4D581FA319E9}"/>
    <cellStyle name="Migliaia 29 7 5" xfId="41803" xr:uid="{200149B7-69BA-4A35-82E9-7002F011D336}"/>
    <cellStyle name="Migliaia 29 7 6" xfId="16345" xr:uid="{A754B70E-3366-491A-BC19-E7DF5FB34D0F}"/>
    <cellStyle name="Migliaia 29 7 7" xfId="8304" xr:uid="{0D6E2347-396C-4243-A95E-171E6D65CBF7}"/>
    <cellStyle name="Migliaia 29 8" xfId="3455" xr:uid="{4B7EBD5E-50E8-44EA-B936-C50D1BA09A4C}"/>
    <cellStyle name="Migliaia 29 8 2" xfId="5181" xr:uid="{60B5E92A-A574-40C2-8DE9-C8BC77A3069E}"/>
    <cellStyle name="Migliaia 29 8 2 2" xfId="35276" xr:uid="{2647F6E9-E665-4BCE-870B-BFB3A053818E}"/>
    <cellStyle name="Migliaia 29 8 2 2 2" xfId="40436" xr:uid="{A838046E-CA93-4342-9D9B-DBD23B79D5E0}"/>
    <cellStyle name="Migliaia 29 8 2 2 3" xfId="45738" xr:uid="{7576940C-A3A0-4DB3-A72A-F618CA67648A}"/>
    <cellStyle name="Migliaia 29 8 2 3" xfId="37785" xr:uid="{C015E131-B8D1-4992-9C2F-F0DBAAEFB43D}"/>
    <cellStyle name="Migliaia 29 8 2 4" xfId="43087" xr:uid="{C33B09BF-02EA-47CD-843E-D3BC23BA308E}"/>
    <cellStyle name="Migliaia 29 8 2 5" xfId="13947" xr:uid="{92C83B38-A7F9-4AB4-90A4-1583A59B3F60}"/>
    <cellStyle name="Migliaia 29 8 3" xfId="6383" xr:uid="{332C0D1D-DBAA-4DB4-9232-A247E3379BA0}"/>
    <cellStyle name="Migliaia 29 8 3 2" xfId="39153" xr:uid="{A9962331-DDE9-415B-954A-45DB1D147376}"/>
    <cellStyle name="Migliaia 29 8 3 3" xfId="44455" xr:uid="{F7E8510D-AF41-4371-A62C-3B0C372BBA5F}"/>
    <cellStyle name="Migliaia 29 8 3 4" xfId="33676" xr:uid="{CB45F5C1-59C0-47AE-BD92-CC2F3B149B9D}"/>
    <cellStyle name="Migliaia 29 8 3 5" xfId="20302" xr:uid="{0CFCA7C9-899A-471C-8050-D91BE214C1A1}"/>
    <cellStyle name="Migliaia 29 8 4" xfId="36607" xr:uid="{ABD78003-1C77-4EEB-AD13-EEE42659CE81}"/>
    <cellStyle name="Migliaia 29 8 5" xfId="41804" xr:uid="{34D5741D-C602-4754-8DB4-281FE10816E3}"/>
    <cellStyle name="Migliaia 29 8 6" xfId="16346" xr:uid="{37A7F142-76CB-42B0-8CA0-9BD11C3E8A74}"/>
    <cellStyle name="Migliaia 29 8 7" xfId="7906" xr:uid="{896F1D96-23F7-42E5-AD36-F0EDA219CAA5}"/>
    <cellStyle name="Migliaia 29 9" xfId="5166" xr:uid="{2AD20CC2-BAB7-41AC-B216-0FCAE84A6DB2}"/>
    <cellStyle name="Migliaia 29 9 2" xfId="33677" xr:uid="{E4C8A288-483E-4C04-B073-B76C45F24C0F}"/>
    <cellStyle name="Migliaia 29 9 2 2" xfId="39154" xr:uid="{464A0635-1B75-467E-826A-6FADE8809FCE}"/>
    <cellStyle name="Migliaia 29 9 2 3" xfId="44456" xr:uid="{774A87B9-DC44-42AC-A89C-45B25DCF7CB9}"/>
    <cellStyle name="Migliaia 29 9 3" xfId="36608" xr:uid="{5BD9C547-A554-483D-A03B-C9A3418E8DFD}"/>
    <cellStyle name="Migliaia 29 9 4" xfId="41805" xr:uid="{8AB5B30D-EDF2-415A-9027-52D4023ACEC7}"/>
    <cellStyle name="Migliaia 29 9 5" xfId="17177" xr:uid="{35525B64-7EEE-4634-A658-F578B694832A}"/>
    <cellStyle name="Migliaia 3" xfId="389" xr:uid="{00000000-0005-0000-0000-000085030000}"/>
    <cellStyle name="Migliaia 3 10" xfId="6384" xr:uid="{89D327F7-1919-40C0-A3FC-7F5E0EB42EB8}"/>
    <cellStyle name="Migliaia 3 10 2" xfId="39155" xr:uid="{05F6AEB6-9371-4E79-9497-01599ABD3DD4}"/>
    <cellStyle name="Migliaia 3 10 3" xfId="44457" xr:uid="{A35AA9C8-CFFD-4867-9717-1F31F206DDE5}"/>
    <cellStyle name="Migliaia 3 10 4" xfId="33678" xr:uid="{F9ED7013-B33F-4B8B-9F0D-4337875EFB82}"/>
    <cellStyle name="Migliaia 3 10 5" xfId="20303" xr:uid="{CB8C19D7-F102-429C-BD92-606D43455603}"/>
    <cellStyle name="Migliaia 3 11" xfId="3456" xr:uid="{EB4D786F-9DC0-4EB6-A15C-01229EC6CE4F}"/>
    <cellStyle name="Migliaia 3 11 2" xfId="36609" xr:uid="{66F78828-0DAE-4F34-997A-4088A42B1232}"/>
    <cellStyle name="Migliaia 3 12" xfId="41806" xr:uid="{D49883B4-07BD-4A48-B87D-EF9D5C0534F0}"/>
    <cellStyle name="Migliaia 3 13" xfId="7108" xr:uid="{01BC0E5B-3A66-4187-9C69-09E27E564494}"/>
    <cellStyle name="Migliaia 3 2" xfId="390" xr:uid="{00000000-0005-0000-0000-000086030000}"/>
    <cellStyle name="Migliaia 3 2 2" xfId="1766" xr:uid="{00000000-0005-0000-0000-000087030000}"/>
    <cellStyle name="Migliaia 3 2 2 2" xfId="5184" xr:uid="{BFA3D63D-F95E-4145-9846-168AEEEC4EE1}"/>
    <cellStyle name="Migliaia 3 2 2 2 2" xfId="14385" xr:uid="{5A65A8BC-AF1E-4384-B59B-EC67D52F41A8}"/>
    <cellStyle name="Migliaia 3 2 2 2 2 2" xfId="39156" xr:uid="{8CB55B04-885A-4173-9631-D9E73D853B4E}"/>
    <cellStyle name="Migliaia 3 2 2 2 2 3" xfId="44458" xr:uid="{7DB00298-FC6E-488B-8733-2AC3A042DFA4}"/>
    <cellStyle name="Migliaia 3 2 2 2 3" xfId="18428" xr:uid="{26EAE462-9D50-4B93-8DF2-5D87EC2C8FF4}"/>
    <cellStyle name="Migliaia 3 2 2 2 4" xfId="20306" xr:uid="{616A80F0-2F5B-4662-B7BA-7C2D9C00BF2A}"/>
    <cellStyle name="Migliaia 3 2 2 2 4 2" xfId="41807" xr:uid="{5BC32C10-21FD-4913-9FB0-1B0D37F2AD2F}"/>
    <cellStyle name="Migliaia 3 2 2 2 5" xfId="16347" xr:uid="{58610F90-08EF-488F-AA8C-405E410EE1D4}"/>
    <cellStyle name="Migliaia 3 2 2 2 6" xfId="8613" xr:uid="{B8FD9565-8170-4C56-AA1F-FA50465EA40B}"/>
    <cellStyle name="Migliaia 3 2 2 3" xfId="6386" xr:uid="{FD48A861-3C73-4BD1-B6BC-B0949954D8A3}"/>
    <cellStyle name="Migliaia 3 2 2 3 2" xfId="35277" xr:uid="{125F9630-71C6-4B52-9775-C686FFD3D4D0}"/>
    <cellStyle name="Migliaia 3 2 2 3 2 2" xfId="40437" xr:uid="{440B3D86-0285-4FF5-A3A0-4D724CFE8302}"/>
    <cellStyle name="Migliaia 3 2 2 3 2 3" xfId="45739" xr:uid="{22559036-7B9C-457D-BDD0-7006F8BCBD48}"/>
    <cellStyle name="Migliaia 3 2 2 3 3" xfId="37786" xr:uid="{112A5CCD-2DEF-4AAB-A477-F81A520F52A6}"/>
    <cellStyle name="Migliaia 3 2 2 3 4" xfId="43088" xr:uid="{8E07877E-82A2-40C0-8911-2209A3745ADB}"/>
    <cellStyle name="Migliaia 3 2 2 3 5" xfId="11612" xr:uid="{6327546E-EB8D-4E22-890B-0AB22B113733}"/>
    <cellStyle name="Migliaia 3 2 2 4" xfId="3458" xr:uid="{F84E3CFF-90A9-4D61-AC68-639795242F09}"/>
    <cellStyle name="Migliaia 3 2 2 4 2" xfId="21478" xr:uid="{B25EEADA-6928-4727-85E3-0BC9DEDEABF1}"/>
    <cellStyle name="Migliaia 3 2 2 4 3" xfId="46235" xr:uid="{6CC15139-21D8-4E4E-B9BB-916FB9BC8B94}"/>
    <cellStyle name="Migliaia 3 2 2 4 4" xfId="50493" xr:uid="{81F5D36F-2543-4B79-AC66-98BA23D81491}"/>
    <cellStyle name="Migliaia 3 2 2 4 5" xfId="53509" xr:uid="{D87E2C92-D300-4E13-BD08-B493877ED5A2}"/>
    <cellStyle name="Migliaia 3 2 2 4 6" xfId="10843" xr:uid="{60721535-3258-4438-A031-60CE9A59274D}"/>
    <cellStyle name="Migliaia 3 2 2 5" xfId="20305" xr:uid="{FF264CD1-8F5C-4AC7-9178-08A34853D58B}"/>
    <cellStyle name="Migliaia 3 2 2 6" xfId="24682" xr:uid="{0B2BDD24-4D1D-46C0-983D-668C2432BD1B}"/>
    <cellStyle name="Migliaia 3 2 2 7" xfId="7423" xr:uid="{7243A5C4-C354-478E-92C5-7E506856DA26}"/>
    <cellStyle name="Migliaia 3 2 3" xfId="3459" xr:uid="{C018A69F-792A-4B8E-A299-7EC22F7A05D7}"/>
    <cellStyle name="Migliaia 3 2 3 2" xfId="5185" xr:uid="{F3AA9AA9-2D80-42B2-919D-4D272D7A446F}"/>
    <cellStyle name="Migliaia 3 2 3 2 2" xfId="35278" xr:uid="{30FB4765-965A-4768-B2A6-D081CF39C9E5}"/>
    <cellStyle name="Migliaia 3 2 3 2 2 2" xfId="40438" xr:uid="{5E19DC20-C427-44A8-AA91-9F37AC7338C9}"/>
    <cellStyle name="Migliaia 3 2 3 2 2 3" xfId="45740" xr:uid="{81A23D87-735C-4715-AFF5-2827AACD0405}"/>
    <cellStyle name="Migliaia 3 2 3 2 3" xfId="37787" xr:uid="{B07C85C9-DD34-433C-B8B8-8D272326D9BC}"/>
    <cellStyle name="Migliaia 3 2 3 2 4" xfId="43089" xr:uid="{DE3B8DE6-823D-4011-9CE5-668D4B9C94E5}"/>
    <cellStyle name="Migliaia 3 2 3 2 5" xfId="14246" xr:uid="{190134A6-7725-41C3-99C2-A437EEDCC1EE}"/>
    <cellStyle name="Migliaia 3 2 3 3" xfId="6387" xr:uid="{00529DA1-290B-4663-AF9D-7417CEF123FD}"/>
    <cellStyle name="Migliaia 3 2 3 3 2" xfId="39157" xr:uid="{21BD32F5-E94D-4D2F-A352-7E21A7ED5DFA}"/>
    <cellStyle name="Migliaia 3 2 3 3 3" xfId="44459" xr:uid="{36B64DEC-9F29-41E5-8AC6-E6E86ECAAE7F}"/>
    <cellStyle name="Migliaia 3 2 3 3 4" xfId="33679" xr:uid="{20796009-0EE2-42A3-8E41-22C474BA487F}"/>
    <cellStyle name="Migliaia 3 2 3 3 5" xfId="20307" xr:uid="{8D6B101A-DF9E-43C8-8B9C-9D66CEEF6BBF}"/>
    <cellStyle name="Migliaia 3 2 3 4" xfId="36610" xr:uid="{9518D8ED-C118-49FF-9B7E-396904F3071E}"/>
    <cellStyle name="Migliaia 3 2 3 5" xfId="41808" xr:uid="{7BC2AF0E-9AEB-49AD-A9FA-6B8097B5C798}"/>
    <cellStyle name="Migliaia 3 2 3 6" xfId="16348" xr:uid="{A4F83731-5EE3-471D-9D07-A68E284B8E00}"/>
    <cellStyle name="Migliaia 3 2 3 7" xfId="8308" xr:uid="{6206261D-9DB0-4C99-A0CC-0873946962C7}"/>
    <cellStyle name="Migliaia 3 2 4" xfId="5183" xr:uid="{289C8CA9-CFBF-414F-A152-D120106C220F}"/>
    <cellStyle name="Migliaia 3 2 4 2" xfId="13951" xr:uid="{44E79A26-0E11-4DA9-B029-B359BF3A1FEC}"/>
    <cellStyle name="Migliaia 3 2 4 2 2" xfId="39158" xr:uid="{23BCE401-9F82-4ACF-9682-2A3E2B2C9D54}"/>
    <cellStyle name="Migliaia 3 2 4 2 3" xfId="44460" xr:uid="{9C4E9C83-3CCF-4D03-A6EB-EA24C6D1F535}"/>
    <cellStyle name="Migliaia 3 2 4 3" xfId="18712" xr:uid="{D18AE73B-5D2C-4A4E-BAD7-F1EC329F582F}"/>
    <cellStyle name="Migliaia 3 2 4 4" xfId="20308" xr:uid="{ED794639-2AF2-4072-95D8-7B5DDCED73FA}"/>
    <cellStyle name="Migliaia 3 2 4 4 2" xfId="41809" xr:uid="{9CA931D5-76EE-498F-982D-B4E85DD59910}"/>
    <cellStyle name="Migliaia 3 2 4 5" xfId="16349" xr:uid="{86E27AAC-9ADA-4788-934A-644E87983651}"/>
    <cellStyle name="Migliaia 3 2 4 6" xfId="7911" xr:uid="{49C4810A-3C23-4CB1-A6DF-AF5B867903EC}"/>
    <cellStyle name="Migliaia 3 2 5" xfId="6385" xr:uid="{A1FAF10F-DB6D-4C05-8FBB-3CBDDA121C9D}"/>
    <cellStyle name="Migliaia 3 2 5 2" xfId="33680" xr:uid="{EAFCF3E6-A3A0-4A26-A5E7-02CCF2E73ADC}"/>
    <cellStyle name="Migliaia 3 2 5 2 2" xfId="39159" xr:uid="{5FD84750-43AE-4A4C-8C6D-665ABE56EBA4}"/>
    <cellStyle name="Migliaia 3 2 5 2 3" xfId="44461" xr:uid="{502BC87A-AA3E-4CD0-93F8-C5D9F0CF59C0}"/>
    <cellStyle name="Migliaia 3 2 5 3" xfId="36611" xr:uid="{D6487B84-86F9-4D1A-BC63-BF5F900CCB25}"/>
    <cellStyle name="Migliaia 3 2 5 4" xfId="41810" xr:uid="{F2C6C36D-6BE3-4950-9AD7-A8C8AE1A715F}"/>
    <cellStyle name="Migliaia 3 2 5 5" xfId="13125" xr:uid="{136C6B9F-0BEC-47BC-B80A-E34D1C05985F}"/>
    <cellStyle name="Migliaia 3 2 6" xfId="3457" xr:uid="{C85AB1F1-3130-45D7-BBD7-77EF0074563F}"/>
    <cellStyle name="Migliaia 3 2 6 2" xfId="33681" xr:uid="{A16BE93B-8ABE-48F2-80E1-A900F7B55F92}"/>
    <cellStyle name="Migliaia 3 2 6 2 2" xfId="39160" xr:uid="{168DFC8F-D1BD-4BB3-965E-81924005AE3D}"/>
    <cellStyle name="Migliaia 3 2 6 2 3" xfId="44462" xr:uid="{33D401A1-6ED2-4830-9EBA-C478B2AA1D67}"/>
    <cellStyle name="Migliaia 3 2 6 3" xfId="36612" xr:uid="{9502A73D-801B-4F0A-BFED-E0E3BCC8C654}"/>
    <cellStyle name="Migliaia 3 2 6 4" xfId="41811" xr:uid="{3D63D47D-FF67-4156-89E7-9B9B55B84BB1}"/>
    <cellStyle name="Migliaia 3 2 6 5" xfId="24683" xr:uid="{F0789EA6-AA96-4DF5-8D98-46D604D4A658}"/>
    <cellStyle name="Migliaia 3 2 6 6" xfId="20304" xr:uid="{C751AD7F-BE9A-486C-AB8E-1139C54F699A}"/>
    <cellStyle name="Migliaia 3 2 7" xfId="24681" xr:uid="{56D3BFB9-6F01-4768-85C8-94095F6F4F2F}"/>
    <cellStyle name="Migliaia 3 2 8" xfId="7109" xr:uid="{F4690A68-980E-4847-A20C-C6E730375C70}"/>
    <cellStyle name="Migliaia 3 3" xfId="391" xr:uid="{00000000-0005-0000-0000-000088030000}"/>
    <cellStyle name="Migliaia 3 3 10" xfId="24684" xr:uid="{ABC3A077-7226-406A-BAD9-FDE602743EB2}"/>
    <cellStyle name="Migliaia 3 3 11" xfId="16350" xr:uid="{4D47ABD4-01DA-4CBD-BC31-9D3E5AD7C3FD}"/>
    <cellStyle name="Migliaia 3 3 12" xfId="7110" xr:uid="{919DFD90-5723-4947-B187-538976BB265C}"/>
    <cellStyle name="Migliaia 3 3 2" xfId="392" xr:uid="{00000000-0005-0000-0000-000089030000}"/>
    <cellStyle name="Migliaia 3 3 2 2" xfId="1767" xr:uid="{00000000-0005-0000-0000-00008A030000}"/>
    <cellStyle name="Migliaia 3 3 2 2 2" xfId="5188" xr:uid="{07A7F9AC-4BCA-412B-9B32-E1675E088257}"/>
    <cellStyle name="Migliaia 3 3 2 2 2 2" xfId="18429" xr:uid="{EE521890-174D-4D57-96E9-8E2C3B8A43FC}"/>
    <cellStyle name="Migliaia 3 3 2 2 2 2 2" xfId="21863" xr:uid="{C2A7CEEB-9E15-4D4F-B35F-576609C306DB}"/>
    <cellStyle name="Migliaia 3 3 2 2 2 2 2 2" xfId="39161" xr:uid="{E2F53290-2613-470C-B148-F5D23FF3E2D2}"/>
    <cellStyle name="Migliaia 3 3 2 2 2 2 3" xfId="44463" xr:uid="{4678EC40-2804-4F43-8DF7-35A533F6A229}"/>
    <cellStyle name="Migliaia 3 3 2 2 2 2 4" xfId="33682" xr:uid="{C247460C-EC1A-42F4-9862-EF1949EC11F4}"/>
    <cellStyle name="Migliaia 3 3 2 2 2 3" xfId="36613" xr:uid="{4A3BA5B2-016D-440C-AB4C-EE1B45C4247C}"/>
    <cellStyle name="Migliaia 3 3 2 2 2 4" xfId="41812" xr:uid="{AA241895-A6CC-4727-BE2E-DFC740318A8A}"/>
    <cellStyle name="Migliaia 3 3 2 2 2 5" xfId="48290" xr:uid="{7610EBAC-B2CB-4A95-BB51-CC106ED4FBB1}"/>
    <cellStyle name="Migliaia 3 3 2 2 2 6" xfId="50891" xr:uid="{25457187-7D57-4A29-8DB7-91677C660E7A}"/>
    <cellStyle name="Migliaia 3 3 2 2 2 7" xfId="53907" xr:uid="{B94E8688-B304-4D93-9C4A-454C6AC4C465}"/>
    <cellStyle name="Migliaia 3 3 2 2 2 8" xfId="17660" xr:uid="{2C4F1A50-9B8B-4DDC-9A9F-40AB9E85E1E9}"/>
    <cellStyle name="Migliaia 3 3 2 2 2 9" xfId="11975" xr:uid="{841603C4-B761-43CF-93AD-3995DF2319D5}"/>
    <cellStyle name="Migliaia 3 3 2 2 3" xfId="6390" xr:uid="{541EAB05-DAA6-4589-AD8F-477F4C71DBE3}"/>
    <cellStyle name="Migliaia 3 3 2 2 3 2" xfId="11559" xr:uid="{F9D6E6CC-C430-4D3E-BAE7-2EF45DDECF17}"/>
    <cellStyle name="Migliaia 3 3 2 2 4" xfId="3462" xr:uid="{ECC9D54C-9823-4F40-B3EC-E9D39E46E89A}"/>
    <cellStyle name="Migliaia 3 3 2 2 4 2" xfId="21479" xr:uid="{CCAC06F4-0478-4B02-9D11-67017EAA414A}"/>
    <cellStyle name="Migliaia 3 3 2 2 4 3" xfId="47599" xr:uid="{54B39B13-0BB7-41D7-81E7-B626A686AC3F}"/>
    <cellStyle name="Migliaia 3 3 2 2 4 4" xfId="50494" xr:uid="{237F05D4-C74B-4926-B5EB-566B7438CA5D}"/>
    <cellStyle name="Migliaia 3 3 2 2 4 5" xfId="53510" xr:uid="{8EED9AB4-2BD3-4FFD-B980-C6624EED9073}"/>
    <cellStyle name="Migliaia 3 3 2 2 4 6" xfId="10844" xr:uid="{6BAE51B3-B431-4AEF-9BCC-C84B41EADE72}"/>
    <cellStyle name="Migliaia 3 3 2 2 5" xfId="20311" xr:uid="{7BD4EFFC-0D52-460B-B89B-B122FCB51CE4}"/>
    <cellStyle name="Migliaia 3 3 2 2 6" xfId="24686" xr:uid="{5299645E-2BB2-41CF-9FA7-34F0833A7DF3}"/>
    <cellStyle name="Migliaia 3 3 2 2 7" xfId="8615" xr:uid="{FD87D6F6-25E8-4667-B7CA-63708247A5AF}"/>
    <cellStyle name="Migliaia 3 3 2 3" xfId="5187" xr:uid="{4CFF9EEB-BA8A-4FBA-B250-B91B786D4EA6}"/>
    <cellStyle name="Migliaia 3 3 2 3 2" xfId="11105" xr:uid="{B9B0202E-BC59-4569-88E7-6F85D0C53204}"/>
    <cellStyle name="Migliaia 3 3 2 3 2 2" xfId="39162" xr:uid="{F10BAF7F-FEEE-40CF-ACA2-1131B04076DB}"/>
    <cellStyle name="Migliaia 3 3 2 3 2 3" xfId="44464" xr:uid="{4352AC12-CE12-4D29-831C-956A5D8C7892}"/>
    <cellStyle name="Migliaia 3 3 2 3 2 4" xfId="33683" xr:uid="{89BCD172-8755-4AAA-9D59-CF6D09ECB3DB}"/>
    <cellStyle name="Migliaia 3 3 2 3 3" xfId="11976" xr:uid="{36E61EE0-0C78-47A7-9188-656C7BF925BA}"/>
    <cellStyle name="Migliaia 3 3 2 3 4" xfId="20312" xr:uid="{B714ED71-4402-45A2-A7A7-2CBC878067ED}"/>
    <cellStyle name="Migliaia 3 3 2 3 4 2" xfId="41813" xr:uid="{18D2F5EA-2D33-4326-BAF0-8190798589D2}"/>
    <cellStyle name="Migliaia 3 3 2 3 5" xfId="16351" xr:uid="{E67C7ADD-6F5B-49C5-BB5A-8E360458E0BE}"/>
    <cellStyle name="Migliaia 3 3 2 3 6" xfId="7913" xr:uid="{19620A8C-D363-4258-AE9D-92724E1DF806}"/>
    <cellStyle name="Migliaia 3 3 2 4" xfId="6389" xr:uid="{8AB80A8D-C51D-4BAF-AEB6-A65026DE06C3}"/>
    <cellStyle name="Migliaia 3 3 2 4 2" xfId="18079" xr:uid="{FA5512D6-90D2-456B-A606-EE3EEAAF6626}"/>
    <cellStyle name="Migliaia 3 3 2 4 2 2" xfId="39163" xr:uid="{792656C3-5D8C-4902-8AE7-8EBA48A0FD3C}"/>
    <cellStyle name="Migliaia 3 3 2 4 2 3" xfId="44465" xr:uid="{91CDC9B8-44F9-413E-BB04-DC3E74282C23}"/>
    <cellStyle name="Migliaia 3 3 2 4 3" xfId="36614" xr:uid="{6D6CEA91-6450-49C1-8AAC-60CA2D6709CF}"/>
    <cellStyle name="Migliaia 3 3 2 4 4" xfId="41814" xr:uid="{F8239DFC-B5FF-4549-AE4E-A728A856E68D}"/>
    <cellStyle name="Migliaia 3 3 2 4 5" xfId="17180" xr:uid="{BCF0133A-743A-475B-98AE-8D5C6CA436FA}"/>
    <cellStyle name="Migliaia 3 3 2 4 6" xfId="11324" xr:uid="{4798ACCB-D1F7-4296-B114-E1536D9ECFD3}"/>
    <cellStyle name="Migliaia 3 3 2 5" xfId="3461" xr:uid="{CE3C1F3F-4FEB-4923-800B-439DEEE7542D}"/>
    <cellStyle name="Migliaia 3 3 2 5 2" xfId="33685" xr:uid="{5D962021-AAA4-41C0-A42D-974377762201}"/>
    <cellStyle name="Migliaia 3 3 2 5 2 2" xfId="39164" xr:uid="{6B666F63-7F31-4122-A2A9-D43E59892AAC}"/>
    <cellStyle name="Migliaia 3 3 2 5 2 3" xfId="44466" xr:uid="{E4E3BF1C-8EFC-4602-9341-29A3B8C0C913}"/>
    <cellStyle name="Migliaia 3 3 2 5 3" xfId="36615" xr:uid="{C52BB82E-CBD8-4FCF-8E46-709FF2419207}"/>
    <cellStyle name="Migliaia 3 3 2 5 4" xfId="41815" xr:uid="{977CD729-3DE3-4F23-90E2-FC32D45997BC}"/>
    <cellStyle name="Migliaia 3 3 2 5 5" xfId="17360" xr:uid="{DE513EEF-A08C-4260-AB76-E20AD411F092}"/>
    <cellStyle name="Migliaia 3 3 2 6" xfId="20310" xr:uid="{6FD39534-BCB7-48F5-BF95-AF1DDD6DF7C8}"/>
    <cellStyle name="Migliaia 3 3 2 6 2" xfId="33686" xr:uid="{C2B36A19-8E84-4BD2-9D1D-AFADE17C258E}"/>
    <cellStyle name="Migliaia 3 3 2 6 2 2" xfId="39165" xr:uid="{47099141-86D3-4488-A06A-DC9DB0CD7640}"/>
    <cellStyle name="Migliaia 3 3 2 6 2 3" xfId="44467" xr:uid="{59A02565-1FE5-4E1F-9394-81AD75D34929}"/>
    <cellStyle name="Migliaia 3 3 2 6 3" xfId="36616" xr:uid="{7CC17B55-BD0C-4F1A-A154-6DC489DA7EB6}"/>
    <cellStyle name="Migliaia 3 3 2 6 4" xfId="41816" xr:uid="{23737623-2FE3-4461-B232-299E99DF9EAC}"/>
    <cellStyle name="Migliaia 3 3 2 6 5" xfId="24689" xr:uid="{88668529-4F45-45E8-974C-720012244E8D}"/>
    <cellStyle name="Migliaia 3 3 2 7" xfId="24685" xr:uid="{D03A4640-7F99-4C5C-878E-A7DBD55AD123}"/>
    <cellStyle name="Migliaia 3 3 2 8" xfId="7425" xr:uid="{75792CD0-F49A-4935-B9CA-CEE3E657FBB6}"/>
    <cellStyle name="Migliaia 3 3 3" xfId="3463" xr:uid="{6AC7BC88-B6F7-4B11-830A-7F284CE01184}"/>
    <cellStyle name="Migliaia 3 3 3 10" xfId="7424" xr:uid="{82F313F1-3522-46DA-96E6-E46F29C3DA7E}"/>
    <cellStyle name="Migliaia 3 3 3 2" xfId="5189" xr:uid="{7C0467B1-7467-4E6A-9DD0-E2A778FEDA19}"/>
    <cellStyle name="Migliaia 3 3 3 2 2" xfId="9926" xr:uid="{9DA81D57-F623-4053-AD1F-EBFDF1C2E3BF}"/>
    <cellStyle name="Migliaia 3 3 3 2 2 2" xfId="39167" xr:uid="{32AF37DF-5E26-4E3E-940E-3B2343478090}"/>
    <cellStyle name="Migliaia 3 3 3 2 2 3" xfId="44469" xr:uid="{103B7BDB-6C55-4599-918F-35AF42DCF0D3}"/>
    <cellStyle name="Migliaia 3 3 3 2 3" xfId="18206" xr:uid="{A5E23355-1638-4267-8B4A-65DCC1914666}"/>
    <cellStyle name="Migliaia 3 3 3 2 4" xfId="20314" xr:uid="{B621551F-9FEB-4FDC-80DB-4FFD31B581A9}"/>
    <cellStyle name="Migliaia 3 3 3 2 4 2" xfId="41818" xr:uid="{6F0A6D97-BEDA-4BFE-ABC1-B723315EDC23}"/>
    <cellStyle name="Migliaia 3 3 3 2 5" xfId="16353" xr:uid="{F907DA20-4662-4774-B442-1C3B8E6F15A0}"/>
    <cellStyle name="Migliaia 3 3 3 2 6" xfId="8614" xr:uid="{9CB92A60-C3B1-4B45-8EF8-52A4AC9F677D}"/>
    <cellStyle name="Migliaia 3 3 3 3" xfId="6391" xr:uid="{9DB06772-762B-4D7C-BFAB-755BF5E8C3FD}"/>
    <cellStyle name="Migliaia 3 3 3 3 2" xfId="33689" xr:uid="{B80C515A-EFD1-4BC9-A0F1-3CAB12FE0FE0}"/>
    <cellStyle name="Migliaia 3 3 3 3 2 2" xfId="39168" xr:uid="{E4808792-9614-497C-AD3A-9B3B973F7ADD}"/>
    <cellStyle name="Migliaia 3 3 3 3 2 3" xfId="44470" xr:uid="{A0A836F0-892C-4928-9621-D68B4D611F0B}"/>
    <cellStyle name="Migliaia 3 3 3 3 3" xfId="36618" xr:uid="{8F674533-9AE3-4EBC-95D4-AEDDB588BD73}"/>
    <cellStyle name="Migliaia 3 3 3 3 4" xfId="41819" xr:uid="{1854D77D-15DA-43B2-A2F1-317B3815C48D}"/>
    <cellStyle name="Migliaia 3 3 3 3 5" xfId="9689" xr:uid="{4A750913-23D4-46DE-ACFD-78ED23B49B62}"/>
    <cellStyle name="Migliaia 3 3 3 4" xfId="20313" xr:uid="{DA9B1A86-F23F-41F5-A5B3-78A25089832A}"/>
    <cellStyle name="Migliaia 3 3 3 4 2" xfId="33690" xr:uid="{97B5E9B7-C34F-4A84-A218-79AB895F1624}"/>
    <cellStyle name="Migliaia 3 3 3 4 2 2" xfId="39169" xr:uid="{4CEDE86C-1A02-4FD7-8A75-175150873114}"/>
    <cellStyle name="Migliaia 3 3 3 4 2 3" xfId="44471" xr:uid="{29A88513-0FA0-43E4-BFFA-EBB8EA68E437}"/>
    <cellStyle name="Migliaia 3 3 3 4 3" xfId="36619" xr:uid="{EB6FBF8A-67F7-4FFD-A2E1-164C0D554A80}"/>
    <cellStyle name="Migliaia 3 3 3 4 4" xfId="41820" xr:uid="{CE1ABE24-9FF9-4E6E-B269-E2F9B99249E9}"/>
    <cellStyle name="Migliaia 3 3 3 4 5" xfId="24693" xr:uid="{E10EBA54-A6C9-42B6-8BE9-18C8CD1904F5}"/>
    <cellStyle name="Migliaia 3 3 3 5" xfId="24694" xr:uid="{2F38823D-EC59-4709-8236-1D61AB74006A}"/>
    <cellStyle name="Migliaia 3 3 3 5 2" xfId="33691" xr:uid="{1B2F5A7D-6BEB-4D81-A90D-F9D50ED8626A}"/>
    <cellStyle name="Migliaia 3 3 3 5 2 2" xfId="39170" xr:uid="{90404E96-A3F1-4A4A-B76C-37AE0E80BDB8}"/>
    <cellStyle name="Migliaia 3 3 3 5 2 3" xfId="44472" xr:uid="{E2BCC2E0-D09C-43A5-BCDA-A45BB733C645}"/>
    <cellStyle name="Migliaia 3 3 3 5 3" xfId="36620" xr:uid="{5D5A61E7-857E-4D07-9EA2-7600FB185F7B}"/>
    <cellStyle name="Migliaia 3 3 3 5 4" xfId="41821" xr:uid="{0767C00B-C372-41E8-AFD7-1A075413F364}"/>
    <cellStyle name="Migliaia 3 3 3 6" xfId="33687" xr:uid="{D935B067-835B-4B02-9508-182444BEB9CC}"/>
    <cellStyle name="Migliaia 3 3 3 6 2" xfId="39166" xr:uid="{EDD0AF12-81A8-47E1-800C-980D05B4861D}"/>
    <cellStyle name="Migliaia 3 3 3 6 3" xfId="44468" xr:uid="{9EE1C662-A755-452C-8E8C-2EB7366D014B}"/>
    <cellStyle name="Migliaia 3 3 3 7" xfId="36617" xr:uid="{6B003B78-840E-4B83-9B8F-1D3E353A3EF2}"/>
    <cellStyle name="Migliaia 3 3 3 8" xfId="41817" xr:uid="{99CE0D42-D29B-4134-9DD6-313E35EE2D63}"/>
    <cellStyle name="Migliaia 3 3 3 9" xfId="16352" xr:uid="{81E3DC39-C40D-4DFD-A76A-07B61E578627}"/>
    <cellStyle name="Migliaia 3 3 4" xfId="3464" xr:uid="{BAA301AE-E3CA-4AFD-A0EF-3D676E66D36A}"/>
    <cellStyle name="Migliaia 3 3 4 2" xfId="5190" xr:uid="{069B1F6C-6CB9-43AA-9A36-EBEED952C0FD}"/>
    <cellStyle name="Migliaia 3 3 4 2 2" xfId="14445" xr:uid="{F1AAC87B-9643-448F-A2C1-B6C4715836F9}"/>
    <cellStyle name="Migliaia 3 3 4 2 3" xfId="18629" xr:uid="{E5B25BB5-4EB8-4E8E-8F68-0D62E36781F6}"/>
    <cellStyle name="Migliaia 3 3 4 2 4" xfId="20316" xr:uid="{CB8B0FE5-64F4-42CD-8633-611289D250BB}"/>
    <cellStyle name="Migliaia 3 3 4 2 5" xfId="32365" xr:uid="{3E73F2CE-68DA-45B2-AEDD-EAD508B577FB}"/>
    <cellStyle name="Migliaia 3 3 4 2 6" xfId="16355" xr:uid="{C221C57F-8ED0-4FDD-B29B-40EDEE2536B5}"/>
    <cellStyle name="Migliaia 3 3 4 2 7" xfId="8868" xr:uid="{E80D8704-2E9E-49BB-989B-340E4CC6A685}"/>
    <cellStyle name="Migliaia 3 3 4 3" xfId="6392" xr:uid="{8DA30CE9-87B0-4E1C-AC32-2131246D7D4B}"/>
    <cellStyle name="Migliaia 3 3 4 3 2" xfId="35279" xr:uid="{992C9B7B-EC64-40B6-BBF2-8A92086E5896}"/>
    <cellStyle name="Migliaia 3 3 4 3 2 2" xfId="40439" xr:uid="{F48EF38B-37AA-4B73-B4FC-7EE1FBE77799}"/>
    <cellStyle name="Migliaia 3 3 4 3 2 3" xfId="45741" xr:uid="{10DE1362-4A19-403C-859F-83026122EE12}"/>
    <cellStyle name="Migliaia 3 3 4 3 3" xfId="37788" xr:uid="{E24BEB68-6D6E-4D9C-B1BB-69111C304977}"/>
    <cellStyle name="Migliaia 3 3 4 3 4" xfId="43090" xr:uid="{81627C49-E0FF-4D48-9D56-855841A749E2}"/>
    <cellStyle name="Migliaia 3 3 4 3 5" xfId="13693" xr:uid="{7370B8C6-EC38-4FA9-AEEA-12C80CD34105}"/>
    <cellStyle name="Migliaia 3 3 4 4" xfId="20315" xr:uid="{68677376-CA3D-45EB-AAD3-D14B46309A55}"/>
    <cellStyle name="Migliaia 3 3 4 4 2" xfId="39171" xr:uid="{63858BDD-64E1-4C83-B466-D1AF4ADF35C4}"/>
    <cellStyle name="Migliaia 3 3 4 4 3" xfId="44473" xr:uid="{9D95A827-A764-4A99-9897-36C89BFE5099}"/>
    <cellStyle name="Migliaia 3 3 4 4 4" xfId="33692" xr:uid="{2F8C457B-637E-4A5A-A51D-EF63AEF00BAE}"/>
    <cellStyle name="Migliaia 3 3 4 5" xfId="36621" xr:uid="{17D546FC-00AD-46E0-9C2B-35C19AEEDB18}"/>
    <cellStyle name="Migliaia 3 3 4 6" xfId="41822" xr:uid="{0291337B-D1E1-49E5-BA29-DCC4C8BC6D04}"/>
    <cellStyle name="Migliaia 3 3 4 7" xfId="16354" xr:uid="{FA6D766F-29A5-4678-8138-BBD3C49D1A60}"/>
    <cellStyle name="Migliaia 3 3 4 8" xfId="7678" xr:uid="{7ABEC152-F533-4A76-983B-9AB127BB5DC9}"/>
    <cellStyle name="Migliaia 3 3 5" xfId="3465" xr:uid="{019CD801-8798-4873-A440-DC02A2139D32}"/>
    <cellStyle name="Migliaia 3 3 5 2" xfId="5191" xr:uid="{4F37E8FC-0B0B-4259-AF50-5936F8910B42}"/>
    <cellStyle name="Migliaia 3 3 5 2 2" xfId="35280" xr:uid="{7A390054-80E3-454D-B5B2-833DBA00DC8B}"/>
    <cellStyle name="Migliaia 3 3 5 2 2 2" xfId="40440" xr:uid="{32D6AB56-76AA-432D-BDC6-BE84DA1365C2}"/>
    <cellStyle name="Migliaia 3 3 5 2 2 3" xfId="45742" xr:uid="{DF3588F8-24B5-417B-AF27-FD43945600C3}"/>
    <cellStyle name="Migliaia 3 3 5 2 3" xfId="37789" xr:uid="{65CC9088-1AC2-4AB2-B356-9A4155BE310C}"/>
    <cellStyle name="Migliaia 3 3 5 2 4" xfId="43091" xr:uid="{A301C6AF-2F65-4C4F-B883-B329B6E4899D}"/>
    <cellStyle name="Migliaia 3 3 5 2 5" xfId="14247" xr:uid="{23D8990C-BA96-4058-9E66-70A1BCA92D51}"/>
    <cellStyle name="Migliaia 3 3 5 3" xfId="6393" xr:uid="{9DCC49B3-FF78-4749-8E6A-E9096820A8EF}"/>
    <cellStyle name="Migliaia 3 3 5 3 2" xfId="39172" xr:uid="{D3FC221E-804E-4544-8868-AA5D0B52A434}"/>
    <cellStyle name="Migliaia 3 3 5 3 3" xfId="44474" xr:uid="{4FD9E524-E45C-41DC-B225-5E4BE9096E07}"/>
    <cellStyle name="Migliaia 3 3 5 3 4" xfId="33693" xr:uid="{E2E7533B-B5D1-481D-A0C3-4E77E4374792}"/>
    <cellStyle name="Migliaia 3 3 5 3 5" xfId="20317" xr:uid="{D4FF9AB3-596B-4E96-8A7A-A47E37C522DE}"/>
    <cellStyle name="Migliaia 3 3 5 4" xfId="36622" xr:uid="{13FFFC86-FF1B-4DDD-8BEE-3FE706A18B02}"/>
    <cellStyle name="Migliaia 3 3 5 5" xfId="41823" xr:uid="{9C33ACDD-DC83-460F-A7C7-00C4F1FA5A29}"/>
    <cellStyle name="Migliaia 3 3 5 6" xfId="16356" xr:uid="{81EFC9E0-421F-4BF2-8A2C-0E963759CC76}"/>
    <cellStyle name="Migliaia 3 3 5 7" xfId="8309" xr:uid="{5EBA2F4A-8A9A-4F44-B54C-624476435349}"/>
    <cellStyle name="Migliaia 3 3 6" xfId="5186" xr:uid="{1F9378BD-F0CE-4AFE-981F-85303D4B1B12}"/>
    <cellStyle name="Migliaia 3 3 6 2" xfId="13952" xr:uid="{A11DABE8-EF14-4552-BC8D-4B49962CDC5E}"/>
    <cellStyle name="Migliaia 3 3 6 2 2" xfId="39173" xr:uid="{C3D42771-7B10-482B-A5DA-DBE032CF7954}"/>
    <cellStyle name="Migliaia 3 3 6 2 3" xfId="44475" xr:uid="{31084D39-5FEA-4686-BD77-EE33F9C73381}"/>
    <cellStyle name="Migliaia 3 3 6 3" xfId="18711" xr:uid="{38F29D08-6777-46A1-A3C8-E229AF67FBF6}"/>
    <cellStyle name="Migliaia 3 3 6 4" xfId="20318" xr:uid="{6CB77CEE-9A0A-450A-8E04-EA60D8BE1065}"/>
    <cellStyle name="Migliaia 3 3 6 4 2" xfId="41824" xr:uid="{8A3B452F-E045-4047-98CE-E07BC171EA51}"/>
    <cellStyle name="Migliaia 3 3 6 5" xfId="16357" xr:uid="{EDD67C8F-3E1F-4F73-B3F6-13FF470A9B5E}"/>
    <cellStyle name="Migliaia 3 3 6 6" xfId="7912" xr:uid="{39D90862-22C6-41B0-A347-09C63FF12D41}"/>
    <cellStyle name="Migliaia 3 3 7" xfId="6388" xr:uid="{0A8CB196-FFAE-4AF3-B7A6-6846AA5783DE}"/>
    <cellStyle name="Migliaia 3 3 7 2" xfId="33695" xr:uid="{F678B701-DBF3-44BF-87B8-5A27A1D01E75}"/>
    <cellStyle name="Migliaia 3 3 7 2 2" xfId="39174" xr:uid="{6DD6CA7B-F1D9-436E-BFFD-AE543355F7CD}"/>
    <cellStyle name="Migliaia 3 3 7 2 3" xfId="44476" xr:uid="{886187D9-52D8-4430-85BB-07D10A04A309}"/>
    <cellStyle name="Migliaia 3 3 7 3" xfId="36624" xr:uid="{B3414B74-338D-42A6-A42F-D592777D4A3C}"/>
    <cellStyle name="Migliaia 3 3 7 4" xfId="41825" xr:uid="{9F19B4FF-BF4C-4181-9FC4-8DB919B4074D}"/>
    <cellStyle name="Migliaia 3 3 7 5" xfId="11533" xr:uid="{6C22B07D-3178-4E73-A18C-20F3CEDAE337}"/>
    <cellStyle name="Migliaia 3 3 8" xfId="3460" xr:uid="{C67196E2-779F-4FB2-8A30-62728AB3F337}"/>
    <cellStyle name="Migliaia 3 3 8 2" xfId="33696" xr:uid="{0E5C9AC2-4E09-466D-9B31-0E8388105D72}"/>
    <cellStyle name="Migliaia 3 3 8 2 2" xfId="39175" xr:uid="{750EDEEB-A444-4F47-AB9F-68D47076593F}"/>
    <cellStyle name="Migliaia 3 3 8 2 3" xfId="44477" xr:uid="{40BBE034-935F-429E-938F-26E3DEA06BFD}"/>
    <cellStyle name="Migliaia 3 3 8 3" xfId="36625" xr:uid="{363267C5-1ECB-47FD-ABB4-B3F42CDC63B2}"/>
    <cellStyle name="Migliaia 3 3 8 4" xfId="41826" xr:uid="{53DDDFF2-07BE-4F5A-880C-772F3937B667}"/>
    <cellStyle name="Migliaia 3 3 8 5" xfId="24699" xr:uid="{086ECB13-FE67-40B5-A902-17DA66794A40}"/>
    <cellStyle name="Migliaia 3 3 8 6" xfId="17361" xr:uid="{B2DC390D-8AAA-4AC7-90CC-76D5D6552E6C}"/>
    <cellStyle name="Migliaia 3 3 9" xfId="20309" xr:uid="{6359BB81-A13F-4429-8218-373E30F13594}"/>
    <cellStyle name="Migliaia 3 4" xfId="1768" xr:uid="{00000000-0005-0000-0000-00008B030000}"/>
    <cellStyle name="Migliaia 3 4 2" xfId="1769" xr:uid="{00000000-0005-0000-0000-00008C030000}"/>
    <cellStyle name="Migliaia 3 4 2 2" xfId="5193" xr:uid="{A564E769-FD81-45C0-BEBB-17C7E2C1D8C2}"/>
    <cellStyle name="Migliaia 3 4 2 2 2" xfId="33697" xr:uid="{FD962DAF-DE5D-4038-8B3C-557DE38BB2D0}"/>
    <cellStyle name="Migliaia 3 4 2 2 2 2" xfId="39176" xr:uid="{A628B557-010E-4C97-B854-DB5E7B70F3A8}"/>
    <cellStyle name="Migliaia 3 4 2 2 2 3" xfId="44478" xr:uid="{99A60E4A-6FA3-44CF-9013-AB96A7547F48}"/>
    <cellStyle name="Migliaia 3 4 2 2 3" xfId="36626" xr:uid="{3335F2FE-1F9C-4CEE-8BE2-8D702BBDCB0F}"/>
    <cellStyle name="Migliaia 3 4 2 2 4" xfId="41827" xr:uid="{B6F93E0F-B64E-48CA-9FEF-08CAFF3EDF21}"/>
    <cellStyle name="Migliaia 3 4 2 2 5" xfId="9152" xr:uid="{9368C483-28FF-4BC4-99B0-5057210789C3}"/>
    <cellStyle name="Migliaia 3 4 2 3" xfId="3467" xr:uid="{36AF4895-E38A-4A0B-A123-7AE1C8AEB9A0}"/>
    <cellStyle name="Migliaia 3 4 2 3 2" xfId="33698" xr:uid="{429B6CA6-D007-4C3E-BBB4-A24FAB52CC83}"/>
    <cellStyle name="Migliaia 3 4 2 3 2 2" xfId="39177" xr:uid="{3F25E891-9F50-4912-926A-E8E8DA74C194}"/>
    <cellStyle name="Migliaia 3 4 2 3 2 3" xfId="44479" xr:uid="{1797CDD7-B282-40E9-BDA4-E60163AAB287}"/>
    <cellStyle name="Migliaia 3 4 2 3 3" xfId="36627" xr:uid="{B5B3974A-7538-42ED-AE51-A35FAD364844}"/>
    <cellStyle name="Migliaia 3 4 2 3 4" xfId="41828" xr:uid="{5C40F312-8B59-4272-88D1-400582DE589F}"/>
    <cellStyle name="Migliaia 3 4 2 3 5" xfId="11977" xr:uid="{DD7D929F-FA7F-42AA-8FF6-71E88D725FF1}"/>
    <cellStyle name="Migliaia 3 4 2 4" xfId="11326" xr:uid="{C640A895-2CBB-4F5E-958E-77302F129920}"/>
    <cellStyle name="Migliaia 3 4 2 5" xfId="10846" xr:uid="{396D8BB3-DA56-42D3-A4EC-B5C02F5D7803}"/>
    <cellStyle name="Migliaia 3 4 2 5 2" xfId="21481" xr:uid="{3F83ED35-FD7B-45FA-9ECA-616851921836}"/>
    <cellStyle name="Migliaia 3 4 2 5 3" xfId="48175" xr:uid="{6D334D53-F800-4A59-8A73-29D976FF0697}"/>
    <cellStyle name="Migliaia 3 4 2 5 4" xfId="50496" xr:uid="{77CE1EAE-D84B-47D3-B363-80034987BF34}"/>
    <cellStyle name="Migliaia 3 4 2 5 5" xfId="53512" xr:uid="{F9EE0991-7E45-4FC8-843B-E335DE83293D}"/>
    <cellStyle name="Migliaia 3 4 2 6" xfId="20320" xr:uid="{F6405070-5490-4899-93F0-83D48614CF4D}"/>
    <cellStyle name="Migliaia 3 4 2 7" xfId="24701" xr:uid="{19668173-D101-4609-9DF9-B336AED9BB08}"/>
    <cellStyle name="Migliaia 3 4 2 8" xfId="8616" xr:uid="{2E867466-53AE-4632-B220-03DC7BBD460C}"/>
    <cellStyle name="Migliaia 3 4 3" xfId="5192" xr:uid="{30D7D6A2-970B-4653-B28C-35B032A06BF2}"/>
    <cellStyle name="Migliaia 3 4 3 2" xfId="18207" xr:uid="{90E318B1-B302-4372-864C-F892B14975BF}"/>
    <cellStyle name="Migliaia 3 4 3 2 2" xfId="39178" xr:uid="{7C4CFFC1-0CF0-49CF-A843-FE8DF11E8768}"/>
    <cellStyle name="Migliaia 3 4 3 2 3" xfId="44480" xr:uid="{E248DD50-C038-41F2-8AA2-114378BD86F1}"/>
    <cellStyle name="Migliaia 3 4 3 3" xfId="36628" xr:uid="{164A3B73-02A6-4DAF-85B0-9A0E374CBD64}"/>
    <cellStyle name="Migliaia 3 4 3 4" xfId="41829" xr:uid="{99F8A7EC-B325-4BF7-909E-C5D67AF66117}"/>
    <cellStyle name="Migliaia 3 4 3 5" xfId="17359" xr:uid="{51FAC5A7-3DB7-4559-A578-E2273591CB5D}"/>
    <cellStyle name="Migliaia 3 4 3 6" xfId="9153" xr:uid="{C4DB589D-BE25-45C4-B790-DBE0BC2C769C}"/>
    <cellStyle name="Migliaia 3 4 4" xfId="6394" xr:uid="{2EBE0C0D-9838-400B-8F84-C8BB1DA31543}"/>
    <cellStyle name="Migliaia 3 4 4 2" xfId="33699" xr:uid="{938F3AE5-51D7-4B89-AFF3-AF79CB714313}"/>
    <cellStyle name="Migliaia 3 4 4 2 2" xfId="39179" xr:uid="{91727B8A-160D-4CEF-A5B2-AE63D37A14A9}"/>
    <cellStyle name="Migliaia 3 4 4 2 3" xfId="44481" xr:uid="{328556B1-F689-48EA-B718-0A06F73C37F2}"/>
    <cellStyle name="Migliaia 3 4 4 3" xfId="36629" xr:uid="{CB31F075-64CC-4799-BE7D-C08F1972013E}"/>
    <cellStyle name="Migliaia 3 4 4 4" xfId="41830" xr:uid="{A48C804E-D2EC-4D69-A779-044D6533C19E}"/>
    <cellStyle name="Migliaia 3 4 4 5" xfId="11978" xr:uid="{6E9E02F0-4093-4071-B333-4B9445ED63F5}"/>
    <cellStyle name="Migliaia 3 4 5" xfId="3466" xr:uid="{680B88CC-4A18-45B7-AA01-8DAA1C18E905}"/>
    <cellStyle name="Migliaia 3 4 5 2" xfId="33700" xr:uid="{35CFF1C1-A380-4BD6-B6DC-CA0A1F0CBBDC}"/>
    <cellStyle name="Migliaia 3 4 5 2 2" xfId="39180" xr:uid="{44A79C15-BD5B-4092-9C4C-9ACC7A1008F0}"/>
    <cellStyle name="Migliaia 3 4 5 2 3" xfId="44482" xr:uid="{C6878E35-AB63-47E8-83CF-49679A15562E}"/>
    <cellStyle name="Migliaia 3 4 5 3" xfId="36630" xr:uid="{FCABF2F0-E3C3-412B-AF1C-997ABD41CA60}"/>
    <cellStyle name="Migliaia 3 4 5 4" xfId="41831" xr:uid="{83F71F4A-6626-478B-9734-87E55D1EDF40}"/>
    <cellStyle name="Migliaia 3 4 5 5" xfId="11325" xr:uid="{4BA10DB9-6B61-45BF-B2F3-B33E69884ED1}"/>
    <cellStyle name="Migliaia 3 4 6" xfId="10845" xr:uid="{EBC0200F-930A-4120-ABAC-C79F97EFC918}"/>
    <cellStyle name="Migliaia 3 4 6 2" xfId="21480" xr:uid="{67377AA1-A8EE-4EAE-8B6A-00BF11FC759F}"/>
    <cellStyle name="Migliaia 3 4 6 2 2" xfId="39181" xr:uid="{789BEA12-02CD-4D5D-A90B-391FA831AB4D}"/>
    <cellStyle name="Migliaia 3 4 6 2 3" xfId="44483" xr:uid="{2AC460B3-F6E7-49DF-B380-AEB763C364D7}"/>
    <cellStyle name="Migliaia 3 4 6 2 4" xfId="33701" xr:uid="{970D1DDA-9238-45E0-8518-16290D789953}"/>
    <cellStyle name="Migliaia 3 4 6 3" xfId="36631" xr:uid="{512A4744-55B6-4304-982A-1002FCA3E9A2}"/>
    <cellStyle name="Migliaia 3 4 6 4" xfId="41832" xr:uid="{7F3E4E87-B72A-4B4C-AE7B-FA5DF4D5973A}"/>
    <cellStyle name="Migliaia 3 4 6 5" xfId="24703" xr:uid="{BD184D32-722A-4B27-BEFB-449EEC0E26F8}"/>
    <cellStyle name="Migliaia 3 4 6 6" xfId="46236" xr:uid="{CEB4A5E5-9C95-4F4E-8471-3D92F0A5431F}"/>
    <cellStyle name="Migliaia 3 4 6 7" xfId="50495" xr:uid="{F0249087-0F0E-4AFB-8B88-D316867D6BC1}"/>
    <cellStyle name="Migliaia 3 4 6 8" xfId="53511" xr:uid="{6245667E-F4DC-469B-B048-C2EBFC3FFCBA}"/>
    <cellStyle name="Migliaia 3 4 7" xfId="20319" xr:uid="{D3C24A24-E720-4E2B-BA7F-215797B1E793}"/>
    <cellStyle name="Migliaia 3 4 7 2" xfId="33702" xr:uid="{441940E3-5C75-4024-918E-A41BB7E2950A}"/>
    <cellStyle name="Migliaia 3 4 7 2 2" xfId="39182" xr:uid="{3419C61B-E4A2-4303-B3F7-44058A0F3713}"/>
    <cellStyle name="Migliaia 3 4 7 2 3" xfId="44484" xr:uid="{1ECCD9E3-081B-463C-BA5A-C90349E128EF}"/>
    <cellStyle name="Migliaia 3 4 7 3" xfId="36632" xr:uid="{3E0060F0-868A-4A56-9A0F-2D174CE8D05C}"/>
    <cellStyle name="Migliaia 3 4 7 4" xfId="41833" xr:uid="{923303D7-91C6-4AFB-92C6-827F8E86A111}"/>
    <cellStyle name="Migliaia 3 4 7 5" xfId="24704" xr:uid="{560377CB-379D-47FD-B246-A7E9A91474CF}"/>
    <cellStyle name="Migliaia 3 4 8" xfId="24700" xr:uid="{38759BD4-B122-4C14-A520-511CE6FD73E8}"/>
    <cellStyle name="Migliaia 3 4 9" xfId="7426" xr:uid="{58A9AB9C-72C0-4B6F-A760-A67F8A73A8C1}"/>
    <cellStyle name="Migliaia 3 5" xfId="1770" xr:uid="{00000000-0005-0000-0000-00008D030000}"/>
    <cellStyle name="Migliaia 3 5 2" xfId="5194" xr:uid="{361FAFC9-C77C-4E34-AFEB-AC924678CAEC}"/>
    <cellStyle name="Migliaia 3 5 2 2" xfId="18430" xr:uid="{A4B92E2A-F1BC-4C8C-BF18-DF20650D6378}"/>
    <cellStyle name="Migliaia 3 5 2 2 2" xfId="39183" xr:uid="{67F91702-4D85-403C-B5EC-1AEC898E2F96}"/>
    <cellStyle name="Migliaia 3 5 2 2 3" xfId="44485" xr:uid="{E34A25D9-8C48-419D-A485-BDA720D49F6B}"/>
    <cellStyle name="Migliaia 3 5 2 3" xfId="20322" xr:uid="{C0BD6DA7-57F0-4ED3-B6C5-F3C02BEF5A48}"/>
    <cellStyle name="Migliaia 3 5 2 3 2" xfId="36633" xr:uid="{9E1D9A7A-30A0-4F23-8F0A-E8BCFDBD53D4}"/>
    <cellStyle name="Migliaia 3 5 2 4" xfId="41834" xr:uid="{F7BACEA2-38AB-45D4-AE67-FEDF3BB9F627}"/>
    <cellStyle name="Migliaia 3 5 2 5" xfId="16358" xr:uid="{24E6615C-96E5-4DBB-9721-B6A15B28EC84}"/>
    <cellStyle name="Migliaia 3 5 2 6" xfId="8617" xr:uid="{DEE80F0E-A2FA-4EE5-B760-930FA4081756}"/>
    <cellStyle name="Migliaia 3 5 3" xfId="6395" xr:uid="{6E907510-C89F-4C2B-90F2-964E57875C83}"/>
    <cellStyle name="Migliaia 3 5 3 2" xfId="33703" xr:uid="{7A612C04-CCAA-4D82-82D3-A1131C92CA1F}"/>
    <cellStyle name="Migliaia 3 5 3 2 2" xfId="39184" xr:uid="{34916EBE-8EA4-4F80-8388-04F500306E12}"/>
    <cellStyle name="Migliaia 3 5 3 2 3" xfId="44486" xr:uid="{BC2AB61D-D0EA-4882-AC4C-55DB00091259}"/>
    <cellStyle name="Migliaia 3 5 3 3" xfId="36634" xr:uid="{A625CD62-0657-4E99-AE10-0558F5494690}"/>
    <cellStyle name="Migliaia 3 5 3 4" xfId="41835" xr:uid="{65C114FD-2C34-43E6-B1C5-BCEA87D6D96A}"/>
    <cellStyle name="Migliaia 3 5 3 5" xfId="11327" xr:uid="{EC9F47D1-3E58-4DA7-8BF0-694080739E71}"/>
    <cellStyle name="Migliaia 3 5 4" xfId="3468" xr:uid="{A2117492-3F90-45F0-9A32-748A119FF68F}"/>
    <cellStyle name="Migliaia 3 5 4 2" xfId="21482" xr:uid="{DD9885F8-04D2-4D66-848E-8EEE03BFD8B3}"/>
    <cellStyle name="Migliaia 3 5 4 2 2" xfId="39185" xr:uid="{A0889CC1-BC3F-434E-9C44-B2249AFD1807}"/>
    <cellStyle name="Migliaia 3 5 4 2 3" xfId="44487" xr:uid="{3A0C6509-43AD-4DA2-9B47-86DBD146A303}"/>
    <cellStyle name="Migliaia 3 5 4 2 4" xfId="33704" xr:uid="{EA1A558C-B1AC-4942-B5E7-B4A3A1A5B740}"/>
    <cellStyle name="Migliaia 3 5 4 3" xfId="36635" xr:uid="{EBFA679A-F91C-4528-B2AE-AAB3ABB5BB59}"/>
    <cellStyle name="Migliaia 3 5 4 4" xfId="41836" xr:uid="{E26AC524-5278-44A2-B177-0C4B4F786E9E}"/>
    <cellStyle name="Migliaia 3 5 4 5" xfId="24706" xr:uid="{FD29EF66-3822-4F18-8E58-6C000D6E0B17}"/>
    <cellStyle name="Migliaia 3 5 4 6" xfId="46237" xr:uid="{95109588-4A4A-439A-BDCC-B47FF242A3A4}"/>
    <cellStyle name="Migliaia 3 5 4 7" xfId="50497" xr:uid="{0AC77D88-1A54-49DE-84D1-16636192EB17}"/>
    <cellStyle name="Migliaia 3 5 4 8" xfId="53513" xr:uid="{BCBBF797-79C9-421B-A2DE-9EC53AC34DB3}"/>
    <cellStyle name="Migliaia 3 5 4 9" xfId="10847" xr:uid="{11653E26-91E2-4A34-AB1B-1659474BDC3B}"/>
    <cellStyle name="Migliaia 3 5 5" xfId="20321" xr:uid="{F2A8A26E-9798-43DC-94B2-4F49335E31F8}"/>
    <cellStyle name="Migliaia 3 5 5 2" xfId="33705" xr:uid="{01AF6384-4DFF-4AD1-9453-8FCA8470C685}"/>
    <cellStyle name="Migliaia 3 5 5 2 2" xfId="39186" xr:uid="{556C78ED-F934-4460-AB45-8BEAB8F12434}"/>
    <cellStyle name="Migliaia 3 5 5 2 3" xfId="44488" xr:uid="{CC589C5F-B4E0-4EC5-87E2-32F608238DFB}"/>
    <cellStyle name="Migliaia 3 5 5 3" xfId="36636" xr:uid="{77AD42D2-9972-4E65-8379-DB3955F94728}"/>
    <cellStyle name="Migliaia 3 5 5 4" xfId="41837" xr:uid="{C4498518-8557-4462-85A2-67930BB9CC91}"/>
    <cellStyle name="Migliaia 3 5 5 5" xfId="24707" xr:uid="{A7C7BF41-05CC-4761-83DE-6DE6DAC93222}"/>
    <cellStyle name="Migliaia 3 5 6" xfId="24708" xr:uid="{992F9363-4145-4FEC-A9C0-50FEDF1B7EEE}"/>
    <cellStyle name="Migliaia 3 5 6 2" xfId="33706" xr:uid="{B19CD3ED-DA68-4DB8-853E-54E4EBF77859}"/>
    <cellStyle name="Migliaia 3 5 6 2 2" xfId="39187" xr:uid="{8E1B46AF-608B-456C-B2F8-B97CE522CD68}"/>
    <cellStyle name="Migliaia 3 5 6 2 3" xfId="44489" xr:uid="{AE23BB23-04F1-4880-A116-78E084AD7DA0}"/>
    <cellStyle name="Migliaia 3 5 6 3" xfId="36637" xr:uid="{D2B796EE-AF4E-4228-82A3-FADF0DEF4281}"/>
    <cellStyle name="Migliaia 3 5 6 4" xfId="41838" xr:uid="{2A408C04-28C7-4172-B251-74866372C83A}"/>
    <cellStyle name="Migliaia 3 5 7" xfId="24705" xr:uid="{74C0FB94-9A81-430A-9DAB-0E0AB49B40E1}"/>
    <cellStyle name="Migliaia 3 5 8" xfId="7427" xr:uid="{B8EC1D70-0D80-4F30-B13B-D59EF2653609}"/>
    <cellStyle name="Migliaia 3 6" xfId="3469" xr:uid="{D33CD68D-7738-49E8-A484-1006AD8197D5}"/>
    <cellStyle name="Migliaia 3 6 2" xfId="5195" xr:uid="{CBCF6116-F22E-427B-96B1-C1DA7F5AFE6C}"/>
    <cellStyle name="Migliaia 3 6 2 2" xfId="9925" xr:uid="{C6424E07-FEF5-484B-AE65-5E18AB76B502}"/>
    <cellStyle name="Migliaia 3 6 2 3" xfId="18658" xr:uid="{88228A82-24AD-411A-90D0-CF7A3933A02A}"/>
    <cellStyle name="Migliaia 3 6 2 4" xfId="20324" xr:uid="{EEE0E6C4-784E-4D29-A706-34A986DBAA97}"/>
    <cellStyle name="Migliaia 3 6 2 5" xfId="32368" xr:uid="{B3B59532-3210-4695-85B1-1AA01BC5F9B0}"/>
    <cellStyle name="Migliaia 3 6 2 6" xfId="16360" xr:uid="{309B1872-C1AF-48A0-BA93-4912BDA190D1}"/>
    <cellStyle name="Migliaia 3 6 2 7" xfId="8612" xr:uid="{9E7E9B14-A5C3-4495-9F82-D5AC5A9710C0}"/>
    <cellStyle name="Migliaia 3 6 3" xfId="6396" xr:uid="{369E27C9-A187-4C28-BC0C-D1D12E1E5BBD}"/>
    <cellStyle name="Migliaia 3 6 3 2" xfId="35281" xr:uid="{CD2B49EC-5778-4BA8-8BCD-AD62C9F1DE09}"/>
    <cellStyle name="Migliaia 3 6 3 2 2" xfId="40441" xr:uid="{4AEC29A7-FF7B-4880-AD1B-B3DB26B182D5}"/>
    <cellStyle name="Migliaia 3 6 3 2 3" xfId="45743" xr:uid="{6368EBD1-9229-4DFF-8FCD-15EDF40C472F}"/>
    <cellStyle name="Migliaia 3 6 3 3" xfId="37790" xr:uid="{71E26BEF-0626-4F17-9CE7-8D62E32EC048}"/>
    <cellStyle name="Migliaia 3 6 3 4" xfId="43092" xr:uid="{81F120F6-CD39-4376-A26B-C0A42778C4FB}"/>
    <cellStyle name="Migliaia 3 6 3 5" xfId="9688" xr:uid="{69A87F3A-4DAF-4D72-A6BD-4CCF1C096298}"/>
    <cellStyle name="Migliaia 3 6 4" xfId="20323" xr:uid="{3279C1AE-4954-4B0E-9271-4BB156D5B695}"/>
    <cellStyle name="Migliaia 3 6 4 2" xfId="39188" xr:uid="{3E10176E-7EBE-4291-8A36-F3DC9A5B2823}"/>
    <cellStyle name="Migliaia 3 6 4 3" xfId="44490" xr:uid="{42E4F3BE-A6F2-450E-AD61-014B91635077}"/>
    <cellStyle name="Migliaia 3 6 4 4" xfId="33707" xr:uid="{330C66FD-6300-4D45-93AD-79C09A11F946}"/>
    <cellStyle name="Migliaia 3 6 5" xfId="36638" xr:uid="{2C9D3A2F-9290-47E0-A24D-AD9B03BC7269}"/>
    <cellStyle name="Migliaia 3 6 6" xfId="41839" xr:uid="{68B23F4E-0ACC-4C9A-A26F-F048BC0FB8AE}"/>
    <cellStyle name="Migliaia 3 6 7" xfId="16359" xr:uid="{1428987C-C8FE-4FAA-95EC-D38D4991BB86}"/>
    <cellStyle name="Migliaia 3 6 8" xfId="7422" xr:uid="{8D1632F9-027F-4FA4-BB6E-199597B2DB53}"/>
    <cellStyle name="Migliaia 3 7" xfId="3470" xr:uid="{48053378-162A-4E35-9A47-223903F93243}"/>
    <cellStyle name="Migliaia 3 7 2" xfId="5196" xr:uid="{6FF6ADF3-AF9F-4E09-8283-13A4239A16D0}"/>
    <cellStyle name="Migliaia 3 7 2 2" xfId="35282" xr:uid="{EA2DF3DC-A2C7-45D1-A659-2944F01D0FB1}"/>
    <cellStyle name="Migliaia 3 7 2 2 2" xfId="40442" xr:uid="{8290CF28-4E48-47C2-8323-6B73274BD2F6}"/>
    <cellStyle name="Migliaia 3 7 2 2 3" xfId="45744" xr:uid="{E65E8F78-8A6E-4139-95B3-7FC3E11B3FCE}"/>
    <cellStyle name="Migliaia 3 7 2 3" xfId="37791" xr:uid="{2289BDF4-D6AA-4103-94BB-CF1FADD16662}"/>
    <cellStyle name="Migliaia 3 7 2 4" xfId="43093" xr:uid="{5293B9CA-6CCA-4623-90D1-8730270D4735}"/>
    <cellStyle name="Migliaia 3 7 2 5" xfId="14245" xr:uid="{9C07392D-1B76-459D-9516-32C46B14119E}"/>
    <cellStyle name="Migliaia 3 7 3" xfId="6397" xr:uid="{D907F8DC-D21C-4096-A03A-A32A0225056A}"/>
    <cellStyle name="Migliaia 3 7 3 2" xfId="39189" xr:uid="{A0AE4DCB-2AFB-4E98-9B95-527CEF7EAE40}"/>
    <cellStyle name="Migliaia 3 7 3 3" xfId="44491" xr:uid="{F0D3C82D-0FD2-47CA-9A83-FA4B1C201557}"/>
    <cellStyle name="Migliaia 3 7 3 4" xfId="33708" xr:uid="{8DB5A8E2-5FC7-4D45-85F7-149E408AD9BD}"/>
    <cellStyle name="Migliaia 3 7 3 5" xfId="20325" xr:uid="{8AE1EC84-757B-40A7-8680-E0C11EA8AAAB}"/>
    <cellStyle name="Migliaia 3 7 4" xfId="36639" xr:uid="{C453F510-4732-4309-AFE7-4F6BEFCA9260}"/>
    <cellStyle name="Migliaia 3 7 5" xfId="41840" xr:uid="{D55DD9DC-28BE-4D82-ABA9-775EDF57BF44}"/>
    <cellStyle name="Migliaia 3 7 6" xfId="16361" xr:uid="{5FC293CF-1E58-4110-A4AC-8B8BCC52D2B1}"/>
    <cellStyle name="Migliaia 3 7 7" xfId="8307" xr:uid="{E3B612E2-CA31-49BE-9229-FA85BEDAD998}"/>
    <cellStyle name="Migliaia 3 8" xfId="3471" xr:uid="{15D42DEB-56E7-4F21-9728-7E47F2EC2760}"/>
    <cellStyle name="Migliaia 3 8 2" xfId="5197" xr:uid="{88BDFB1F-65C7-473E-9041-2777851976FE}"/>
    <cellStyle name="Migliaia 3 8 2 2" xfId="35283" xr:uid="{BE584D30-E2B0-4B15-89C7-0D2FFBF4E45D}"/>
    <cellStyle name="Migliaia 3 8 2 2 2" xfId="40443" xr:uid="{7B174B7F-EF09-4316-9E09-8DD81ED36751}"/>
    <cellStyle name="Migliaia 3 8 2 2 3" xfId="45745" xr:uid="{0677EA17-3BA2-495F-B89C-6F34273D7BE2}"/>
    <cellStyle name="Migliaia 3 8 2 3" xfId="37792" xr:uid="{911DD4B3-197A-4786-A1F4-425FACB37860}"/>
    <cellStyle name="Migliaia 3 8 2 4" xfId="43094" xr:uid="{316E220E-9FD8-4F7E-8178-52E6C999A421}"/>
    <cellStyle name="Migliaia 3 8 2 5" xfId="13950" xr:uid="{A95846F9-4D5F-453C-8A3D-6057822A3A3D}"/>
    <cellStyle name="Migliaia 3 8 3" xfId="6398" xr:uid="{919FBE93-8F43-42BB-AAB5-F9238F8D905E}"/>
    <cellStyle name="Migliaia 3 8 3 2" xfId="39190" xr:uid="{9201E0D4-0EDB-4AF3-ADA9-B90C3EE038BB}"/>
    <cellStyle name="Migliaia 3 8 3 3" xfId="44492" xr:uid="{AC8A3201-2140-4342-8C6D-4AFDB0FCA236}"/>
    <cellStyle name="Migliaia 3 8 3 4" xfId="33709" xr:uid="{450AE51E-456C-4027-9BEE-60C6B9E1B4CE}"/>
    <cellStyle name="Migliaia 3 8 3 5" xfId="20326" xr:uid="{7152285D-9CB8-4309-921A-56412A2F7619}"/>
    <cellStyle name="Migliaia 3 8 4" xfId="36640" xr:uid="{5D50F8D5-1EBB-4A37-9487-F8647716D360}"/>
    <cellStyle name="Migliaia 3 8 5" xfId="41841" xr:uid="{6F40C837-231E-4827-BCE2-A78833D19D7A}"/>
    <cellStyle name="Migliaia 3 8 6" xfId="16362" xr:uid="{8DAF0B35-08BE-4EF2-B9BD-CBF24819474F}"/>
    <cellStyle name="Migliaia 3 8 7" xfId="7910" xr:uid="{883CB913-6C16-4D0D-8E53-814B405DAC83}"/>
    <cellStyle name="Migliaia 3 9" xfId="5182" xr:uid="{85D40718-79DB-400A-8FC9-21A832BE5A0B}"/>
    <cellStyle name="Migliaia 3 9 2" xfId="33710" xr:uid="{3F62DB1D-C0BB-45A2-AC29-06596BD52680}"/>
    <cellStyle name="Migliaia 3 9 2 2" xfId="39191" xr:uid="{DDD02A27-A743-4278-AFD6-84248B6950ED}"/>
    <cellStyle name="Migliaia 3 9 2 3" xfId="44493" xr:uid="{7B8A0BA7-FBCF-4884-974F-00BBFA451C9B}"/>
    <cellStyle name="Migliaia 3 9 3" xfId="36641" xr:uid="{0C8FB881-5AC3-41CE-BC51-AF575E548189}"/>
    <cellStyle name="Migliaia 3 9 4" xfId="41842" xr:uid="{F99F05D8-F102-4A72-AB50-67A7FCE5BCA0}"/>
    <cellStyle name="Migliaia 3 9 5" xfId="17179" xr:uid="{4E479DE3-D616-4774-8907-5D8DEE44EBEF}"/>
    <cellStyle name="Migliaia 30" xfId="393" xr:uid="{00000000-0005-0000-0000-00008E030000}"/>
    <cellStyle name="Migliaia 30 10" xfId="6399" xr:uid="{A5648ECD-860E-4122-89C8-325B7500BDC5}"/>
    <cellStyle name="Migliaia 30 10 2" xfId="39192" xr:uid="{8F747DBB-0A0C-4696-B389-205DAED82328}"/>
    <cellStyle name="Migliaia 30 10 3" xfId="44494" xr:uid="{004D6E4E-0655-45CC-BDB3-3B9B33D6E3ED}"/>
    <cellStyle name="Migliaia 30 10 4" xfId="33711" xr:uid="{E80FB02C-7AD8-47A4-8F7F-7DC34ACF5C81}"/>
    <cellStyle name="Migliaia 30 10 5" xfId="20327" xr:uid="{4955DF4F-532D-42F7-8A7F-BDDF9F187F81}"/>
    <cellStyle name="Migliaia 30 11" xfId="3472" xr:uid="{454AC107-67C6-4B2C-A5EC-54855A0A005D}"/>
    <cellStyle name="Migliaia 30 11 2" xfId="36642" xr:uid="{BA014391-494C-4949-83B4-D6ACC2F5D65C}"/>
    <cellStyle name="Migliaia 30 12" xfId="41843" xr:uid="{9C9333D2-2823-4ED8-AC20-2AD61AA0D111}"/>
    <cellStyle name="Migliaia 30 13" xfId="7111" xr:uid="{B23ACD30-AFE8-4E0D-9B2A-9DB508A89F80}"/>
    <cellStyle name="Migliaia 30 2" xfId="394" xr:uid="{00000000-0005-0000-0000-00008F030000}"/>
    <cellStyle name="Migliaia 30 2 2" xfId="1771" xr:uid="{00000000-0005-0000-0000-000090030000}"/>
    <cellStyle name="Migliaia 30 2 2 2" xfId="5200" xr:uid="{E0AEA813-7543-48B8-8626-F0535C00C9C9}"/>
    <cellStyle name="Migliaia 30 2 2 2 2" xfId="14386" xr:uid="{7249433E-82D8-4D38-8C41-70A352DC80BD}"/>
    <cellStyle name="Migliaia 30 2 2 2 2 2" xfId="39193" xr:uid="{73526497-DE94-4878-BBD8-2D42DED5496B}"/>
    <cellStyle name="Migliaia 30 2 2 2 2 3" xfId="44495" xr:uid="{FC3B37DE-DB26-45E2-8BD0-A42CC9971059}"/>
    <cellStyle name="Migliaia 30 2 2 2 3" xfId="18431" xr:uid="{F6CCEFF3-A21D-4792-B85F-E405C3559808}"/>
    <cellStyle name="Migliaia 30 2 2 2 4" xfId="20330" xr:uid="{100E6205-9FEC-4D90-8C39-013A4579F07C}"/>
    <cellStyle name="Migliaia 30 2 2 2 4 2" xfId="41844" xr:uid="{C75FEED6-16E1-46CB-AE45-0823AB745D46}"/>
    <cellStyle name="Migliaia 30 2 2 2 5" xfId="16363" xr:uid="{B1A1B54C-6D5C-4B1A-BC66-7C73AB9B8B5B}"/>
    <cellStyle name="Migliaia 30 2 2 2 6" xfId="8619" xr:uid="{D5A6E31F-55F1-429C-A88A-6AB06513A248}"/>
    <cellStyle name="Migliaia 30 2 2 3" xfId="6401" xr:uid="{DA046622-A29E-4DCB-98C4-2FD211D71D1E}"/>
    <cellStyle name="Migliaia 30 2 2 3 2" xfId="35284" xr:uid="{056DA51B-5EBC-4120-8B42-46CEB025AD8B}"/>
    <cellStyle name="Migliaia 30 2 2 3 2 2" xfId="40444" xr:uid="{2F3241A8-52C2-4578-838F-B0875A221A19}"/>
    <cellStyle name="Migliaia 30 2 2 3 2 3" xfId="45746" xr:uid="{ABA0D763-ED03-4864-ABDC-2ACE46165357}"/>
    <cellStyle name="Migliaia 30 2 2 3 3" xfId="37793" xr:uid="{55EFB5E8-5427-4F97-BECE-3DA4185E15D7}"/>
    <cellStyle name="Migliaia 30 2 2 3 4" xfId="43095" xr:uid="{16EB5A2A-3BD2-4B29-83A4-B7122E7EF775}"/>
    <cellStyle name="Migliaia 30 2 2 3 5" xfId="11613" xr:uid="{BEE57005-A71A-4B9F-A41D-B603D40BB359}"/>
    <cellStyle name="Migliaia 30 2 2 4" xfId="3474" xr:uid="{26F018B4-1908-45AB-A65D-CBC9DA6608C9}"/>
    <cellStyle name="Migliaia 30 2 2 4 2" xfId="21483" xr:uid="{D0BBDD07-95BC-4ADE-AA1A-E7A25BB1EB69}"/>
    <cellStyle name="Migliaia 30 2 2 4 3" xfId="24246" xr:uid="{F4A75CCA-AB0E-4852-8A40-A12357B3BA3B}"/>
    <cellStyle name="Migliaia 30 2 2 4 4" xfId="50498" xr:uid="{9FF04DF8-6082-4AE2-874D-63F52098B88B}"/>
    <cellStyle name="Migliaia 30 2 2 4 5" xfId="53514" xr:uid="{554BC12F-1F89-4441-A91F-0222F294B431}"/>
    <cellStyle name="Migliaia 30 2 2 4 6" xfId="10848" xr:uid="{7BA23690-754E-4A64-9B46-82FA47E3F3F4}"/>
    <cellStyle name="Migliaia 30 2 2 5" xfId="20329" xr:uid="{F11EF128-A71E-441A-9A9C-7941B3AD0406}"/>
    <cellStyle name="Migliaia 30 2 2 6" xfId="24711" xr:uid="{E18B8AF1-2C40-4A48-BA54-8975BB5B49EE}"/>
    <cellStyle name="Migliaia 30 2 2 7" xfId="7429" xr:uid="{2A17F788-7F56-4EA0-A58B-EE39E495ED7A}"/>
    <cellStyle name="Migliaia 30 2 3" xfId="3475" xr:uid="{23DEB432-F546-4226-9A47-015B79582893}"/>
    <cellStyle name="Migliaia 30 2 3 2" xfId="5201" xr:uid="{8CF7DF5B-1D03-43BC-AE4F-AF0DFCDED04E}"/>
    <cellStyle name="Migliaia 30 2 3 2 2" xfId="35285" xr:uid="{76C74D0E-831C-4BFB-8FA0-E31006D98853}"/>
    <cellStyle name="Migliaia 30 2 3 2 2 2" xfId="40445" xr:uid="{2AFECBCC-03B2-4843-85F6-97964A87D6F6}"/>
    <cellStyle name="Migliaia 30 2 3 2 2 3" xfId="45747" xr:uid="{1975CD0B-8ECD-4221-8E0C-19F4B5E56A59}"/>
    <cellStyle name="Migliaia 30 2 3 2 3" xfId="37794" xr:uid="{78380FB5-1825-45DA-847A-D8596711A21D}"/>
    <cellStyle name="Migliaia 30 2 3 2 4" xfId="43096" xr:uid="{46C7669F-38CA-4363-AE62-B03E8D4765BD}"/>
    <cellStyle name="Migliaia 30 2 3 2 5" xfId="14249" xr:uid="{9E6E39FB-6A25-40EA-9A15-0AAA53128DE4}"/>
    <cellStyle name="Migliaia 30 2 3 3" xfId="6402" xr:uid="{B5027A94-0D22-4EDF-8B39-D76E154F08CE}"/>
    <cellStyle name="Migliaia 30 2 3 3 2" xfId="39194" xr:uid="{D260EDEC-B10B-4CBC-94F3-17B6C317B9B5}"/>
    <cellStyle name="Migliaia 30 2 3 3 3" xfId="44496" xr:uid="{A4E8B028-4772-472A-9752-833CD68BBD89}"/>
    <cellStyle name="Migliaia 30 2 3 3 4" xfId="33712" xr:uid="{66CAC975-7322-435D-A820-2AE591A83BC9}"/>
    <cellStyle name="Migliaia 30 2 3 3 5" xfId="20331" xr:uid="{ADFA2F69-A015-4D65-8834-D5374C2E5E51}"/>
    <cellStyle name="Migliaia 30 2 3 4" xfId="36643" xr:uid="{39247A37-4CBD-4DD3-BEE8-3CF5C1A043D5}"/>
    <cellStyle name="Migliaia 30 2 3 5" xfId="41845" xr:uid="{7B419655-0CCC-489C-BB3E-C039652ED4DF}"/>
    <cellStyle name="Migliaia 30 2 3 6" xfId="16364" xr:uid="{63924203-70D8-4FA8-8414-81A7FA341005}"/>
    <cellStyle name="Migliaia 30 2 3 7" xfId="8311" xr:uid="{F3EEE0F3-6604-4294-B92F-477E330CABCA}"/>
    <cellStyle name="Migliaia 30 2 4" xfId="5199" xr:uid="{150FD2A8-D660-4FF1-89AE-7C59A8427C69}"/>
    <cellStyle name="Migliaia 30 2 4 2" xfId="13954" xr:uid="{C6C8BF2F-B00A-4A7B-B813-628A66B7CCD7}"/>
    <cellStyle name="Migliaia 30 2 4 2 2" xfId="39195" xr:uid="{3ACDDEE5-7B12-4C9F-9218-888066CD1F5D}"/>
    <cellStyle name="Migliaia 30 2 4 2 3" xfId="44497" xr:uid="{C42F20D0-851C-43C1-A1B0-9DF082BCC607}"/>
    <cellStyle name="Migliaia 30 2 4 3" xfId="18710" xr:uid="{485A5D4B-CB74-4BAB-9101-179D2D1D3F3E}"/>
    <cellStyle name="Migliaia 30 2 4 4" xfId="20332" xr:uid="{82E14BE6-683F-4840-808C-D37FED1AA136}"/>
    <cellStyle name="Migliaia 30 2 4 4 2" xfId="41846" xr:uid="{25EAEAE7-F8E0-40AE-AC69-4710B0FB1620}"/>
    <cellStyle name="Migliaia 30 2 4 5" xfId="16365" xr:uid="{53F87EDF-8A43-438B-98C7-B24AEF5447D1}"/>
    <cellStyle name="Migliaia 30 2 4 6" xfId="7915" xr:uid="{83743459-BC46-477C-BB85-634A32D8D44E}"/>
    <cellStyle name="Migliaia 30 2 5" xfId="6400" xr:uid="{D5660956-E602-4205-87D5-0C3D81427E79}"/>
    <cellStyle name="Migliaia 30 2 5 2" xfId="33713" xr:uid="{5C5E4AC4-E4FE-499F-87E9-D7911141773E}"/>
    <cellStyle name="Migliaia 30 2 5 2 2" xfId="39196" xr:uid="{9AF3A426-0344-4277-80F2-4F2CF9D7D646}"/>
    <cellStyle name="Migliaia 30 2 5 2 3" xfId="44498" xr:uid="{BAB41C4C-E4C9-48B2-9A13-A77A9568A823}"/>
    <cellStyle name="Migliaia 30 2 5 3" xfId="36644" xr:uid="{4FD60243-636F-4674-8C38-77F30ACE5708}"/>
    <cellStyle name="Migliaia 30 2 5 4" xfId="41847" xr:uid="{E2BCEBD6-9375-4AD2-B52A-617E6D5B600D}"/>
    <cellStyle name="Migliaia 30 2 5 5" xfId="13126" xr:uid="{477E10E1-523A-465D-A5F9-8AA817B024A5}"/>
    <cellStyle name="Migliaia 30 2 6" xfId="3473" xr:uid="{82706221-2683-4664-96EA-B4FB27BBB7E2}"/>
    <cellStyle name="Migliaia 30 2 6 2" xfId="33714" xr:uid="{2DF0CE6E-4D9B-45B8-B423-B6F398EC934C}"/>
    <cellStyle name="Migliaia 30 2 6 2 2" xfId="39197" xr:uid="{57B718D8-1186-4C06-AA82-0A636250EC1D}"/>
    <cellStyle name="Migliaia 30 2 6 2 3" xfId="44499" xr:uid="{AB704346-B3BF-42D7-AF25-7D2C84C922CD}"/>
    <cellStyle name="Migliaia 30 2 6 3" xfId="36645" xr:uid="{FBDA71A9-F22F-4523-90C4-255FF58AFECF}"/>
    <cellStyle name="Migliaia 30 2 6 4" xfId="41848" xr:uid="{317AFB63-6FF1-4752-8CB7-7CA6F44D24B4}"/>
    <cellStyle name="Migliaia 30 2 6 5" xfId="24712" xr:uid="{6AE27751-4701-4CD6-B331-9987EE62D99A}"/>
    <cellStyle name="Migliaia 30 2 6 6" xfId="20328" xr:uid="{21408A80-4A40-4D25-BDE4-18707469DCFA}"/>
    <cellStyle name="Migliaia 30 2 7" xfId="24710" xr:uid="{551E7B3B-65A7-4DCF-A2B7-4B0F802D7629}"/>
    <cellStyle name="Migliaia 30 2 8" xfId="7112" xr:uid="{42A92627-6D26-4ECD-9891-CA69BC72EB51}"/>
    <cellStyle name="Migliaia 30 3" xfId="395" xr:uid="{00000000-0005-0000-0000-000091030000}"/>
    <cellStyle name="Migliaia 30 3 10" xfId="24713" xr:uid="{FED73AAC-B04C-42F1-ADF5-0EB5B4EBDB3B}"/>
    <cellStyle name="Migliaia 30 3 11" xfId="16366" xr:uid="{59B4B393-DF20-49A2-AE60-C21532A3C109}"/>
    <cellStyle name="Migliaia 30 3 12" xfId="7113" xr:uid="{5FD84C13-E3DA-496D-85AE-CB880367A4A1}"/>
    <cellStyle name="Migliaia 30 3 2" xfId="396" xr:uid="{00000000-0005-0000-0000-000092030000}"/>
    <cellStyle name="Migliaia 30 3 2 2" xfId="1772" xr:uid="{00000000-0005-0000-0000-000093030000}"/>
    <cellStyle name="Migliaia 30 3 2 2 2" xfId="5204" xr:uid="{7D6B1815-EA21-468F-B290-F2087F9DCDCA}"/>
    <cellStyle name="Migliaia 30 3 2 2 2 2" xfId="18432" xr:uid="{A5E2DA12-22EE-4E57-B535-8A51D84C6C8E}"/>
    <cellStyle name="Migliaia 30 3 2 2 2 2 2" xfId="21864" xr:uid="{1B7B7826-7CAE-48B8-8262-99D41D49B05D}"/>
    <cellStyle name="Migliaia 30 3 2 2 2 2 2 2" xfId="39198" xr:uid="{E130DDB2-E654-445F-B791-4338E06607EE}"/>
    <cellStyle name="Migliaia 30 3 2 2 2 2 3" xfId="44500" xr:uid="{7519C82E-7635-4C16-953E-B9C47C7722A5}"/>
    <cellStyle name="Migliaia 30 3 2 2 2 2 4" xfId="33715" xr:uid="{C472D08C-D465-45F3-82F3-51C543F4FC15}"/>
    <cellStyle name="Migliaia 30 3 2 2 2 3" xfId="36646" xr:uid="{3FDE9353-96B3-41E2-ABA8-9923AB02D8E1}"/>
    <cellStyle name="Migliaia 30 3 2 2 2 4" xfId="41849" xr:uid="{16E2314A-4CC4-40F1-B0D5-D8DDD9C9C0EA}"/>
    <cellStyle name="Migliaia 30 3 2 2 2 5" xfId="46746" xr:uid="{446E29C4-50F2-49E2-9483-A8BFE3849F76}"/>
    <cellStyle name="Migliaia 30 3 2 2 2 6" xfId="50892" xr:uid="{D0F9E053-73C8-4D25-8122-0B9DF721FF40}"/>
    <cellStyle name="Migliaia 30 3 2 2 2 7" xfId="53908" xr:uid="{50198887-2141-481A-9664-B11C6367F73E}"/>
    <cellStyle name="Migliaia 30 3 2 2 2 8" xfId="17661" xr:uid="{D98E0DAF-BA31-4D9E-838E-6C2A1C85CFDF}"/>
    <cellStyle name="Migliaia 30 3 2 2 2 9" xfId="11979" xr:uid="{87F1F3E8-D03B-4C5A-95EF-6C9F6BEF7067}"/>
    <cellStyle name="Migliaia 30 3 2 2 3" xfId="6405" xr:uid="{BD21E60F-67DE-4E42-9B82-27723192E713}"/>
    <cellStyle name="Migliaia 30 3 2 2 3 2" xfId="11560" xr:uid="{D7BFF263-50ED-48AC-942F-ADAE8A4E0C8B}"/>
    <cellStyle name="Migliaia 30 3 2 2 4" xfId="3478" xr:uid="{B9AE7AE0-3EE4-4628-B7A0-53212959F676}"/>
    <cellStyle name="Migliaia 30 3 2 2 4 2" xfId="21484" xr:uid="{FC5A4806-0DD4-4CC9-9FDA-82D59F5C8131}"/>
    <cellStyle name="Migliaia 30 3 2 2 4 3" xfId="46238" xr:uid="{1A9939A2-55B1-49B1-BC46-39941D6CDDBD}"/>
    <cellStyle name="Migliaia 30 3 2 2 4 4" xfId="50499" xr:uid="{A41A48FC-FB80-4B2D-9F78-A57B29D18497}"/>
    <cellStyle name="Migliaia 30 3 2 2 4 5" xfId="53515" xr:uid="{5A7BE3AC-3C56-4CD4-B948-631F180ECFB0}"/>
    <cellStyle name="Migliaia 30 3 2 2 4 6" xfId="10849" xr:uid="{841AE8E6-929D-483E-8420-A377FC2AEBBE}"/>
    <cellStyle name="Migliaia 30 3 2 2 5" xfId="20335" xr:uid="{E9CFA853-ECE0-46FB-B8E9-DA63EE433DAF}"/>
    <cellStyle name="Migliaia 30 3 2 2 6" xfId="24715" xr:uid="{EDC6098E-79CD-4EC6-8158-C1FA91F80704}"/>
    <cellStyle name="Migliaia 30 3 2 2 7" xfId="8621" xr:uid="{45C1A354-4317-4FDB-9FC8-9A6C9EF6A0D7}"/>
    <cellStyle name="Migliaia 30 3 2 3" xfId="5203" xr:uid="{B2AC3962-A88D-4736-8A1C-2D4E19B6A51A}"/>
    <cellStyle name="Migliaia 30 3 2 3 2" xfId="12225" xr:uid="{5788B2E8-3602-418D-88AA-9E3B8214F6BA}"/>
    <cellStyle name="Migliaia 30 3 2 3 2 2" xfId="39199" xr:uid="{5E5C738A-7234-45B9-955E-D30F8BDA98BB}"/>
    <cellStyle name="Migliaia 30 3 2 3 2 3" xfId="44501" xr:uid="{0F47F385-D462-45B6-9471-33DF6928FB01}"/>
    <cellStyle name="Migliaia 30 3 2 3 2 4" xfId="33716" xr:uid="{A72C8A04-86B5-4A50-9D2C-B82A142292EA}"/>
    <cellStyle name="Migliaia 30 3 2 3 3" xfId="11980" xr:uid="{F8C67FD5-BFEF-4189-98EF-8245B134EEA0}"/>
    <cellStyle name="Migliaia 30 3 2 3 4" xfId="20336" xr:uid="{506EBAED-4E09-4B32-97B6-33C6CDFC5148}"/>
    <cellStyle name="Migliaia 30 3 2 3 4 2" xfId="41850" xr:uid="{2B971D80-4D63-4143-8F4F-CEE3B0BF7E10}"/>
    <cellStyle name="Migliaia 30 3 2 3 5" xfId="16367" xr:uid="{AC68D614-D796-4159-A447-D89987B45C57}"/>
    <cellStyle name="Migliaia 30 3 2 3 6" xfId="7917" xr:uid="{E587FD83-5F80-4B5B-B28B-D988A341FFEC}"/>
    <cellStyle name="Migliaia 30 3 2 4" xfId="6404" xr:uid="{CC683E42-6C44-4900-BB4A-D126D13071EC}"/>
    <cellStyle name="Migliaia 30 3 2 4 2" xfId="18080" xr:uid="{095B8162-C274-4B36-91B1-ED2AFB1D0A43}"/>
    <cellStyle name="Migliaia 30 3 2 4 2 2" xfId="39200" xr:uid="{E0ECF26D-7A87-4735-8185-07505555996C}"/>
    <cellStyle name="Migliaia 30 3 2 4 2 3" xfId="44502" xr:uid="{A064EC62-7D19-47D1-B3FD-1E966CCFA139}"/>
    <cellStyle name="Migliaia 30 3 2 4 3" xfId="36647" xr:uid="{5EB02D38-D055-4C93-B3D8-61B1659890B6}"/>
    <cellStyle name="Migliaia 30 3 2 4 4" xfId="41851" xr:uid="{D6FA08C3-16A7-4775-BA63-7D7A565C83E1}"/>
    <cellStyle name="Migliaia 30 3 2 4 5" xfId="17182" xr:uid="{87C2D892-C48D-4E79-92BE-D7734568EC30}"/>
    <cellStyle name="Migliaia 30 3 2 4 6" xfId="11328" xr:uid="{79E7287A-8CFC-4110-A472-750AA7BFE01A}"/>
    <cellStyle name="Migliaia 30 3 2 5" xfId="3477" xr:uid="{83184CD9-49A3-40AB-9EDC-A6F0BB731B7A}"/>
    <cellStyle name="Migliaia 30 3 2 5 2" xfId="33717" xr:uid="{37BB4AB5-7F18-4DCC-84E6-AD80D913A990}"/>
    <cellStyle name="Migliaia 30 3 2 5 2 2" xfId="39201" xr:uid="{27E4BF51-E007-4347-9B14-AE5BC6709DC5}"/>
    <cellStyle name="Migliaia 30 3 2 5 2 3" xfId="44503" xr:uid="{D460EC77-3EC5-41C5-A40D-1E5BDF688A80}"/>
    <cellStyle name="Migliaia 30 3 2 5 3" xfId="36648" xr:uid="{D7908918-2099-4AC3-ADCE-500CBFF08F16}"/>
    <cellStyle name="Migliaia 30 3 2 5 4" xfId="41852" xr:uid="{D0576A3D-8ECF-491C-B854-EFD84FB42D18}"/>
    <cellStyle name="Migliaia 30 3 2 5 5" xfId="17357" xr:uid="{B9CA2D42-E724-41FC-8AC6-55F471923E45}"/>
    <cellStyle name="Migliaia 30 3 2 6" xfId="20334" xr:uid="{BABE5A99-4C84-4ED2-8A55-F249BF219D1B}"/>
    <cellStyle name="Migliaia 30 3 2 6 2" xfId="33718" xr:uid="{962E4A8A-472F-4819-8529-C2A1D0F130C8}"/>
    <cellStyle name="Migliaia 30 3 2 6 2 2" xfId="39202" xr:uid="{B1F8E219-EA77-48C9-AEB2-B431EF6A5D67}"/>
    <cellStyle name="Migliaia 30 3 2 6 2 3" xfId="44504" xr:uid="{F34FD711-0784-4773-85F9-8107DB9556EF}"/>
    <cellStyle name="Migliaia 30 3 2 6 3" xfId="36649" xr:uid="{416B5542-9E82-410F-B1D2-BA4135C445C4}"/>
    <cellStyle name="Migliaia 30 3 2 6 4" xfId="41853" xr:uid="{18BD2CE7-6369-43BF-AB95-4218A082F54A}"/>
    <cellStyle name="Migliaia 30 3 2 6 5" xfId="24716" xr:uid="{6CE64E50-19B3-4497-AFEF-233441D53AF1}"/>
    <cellStyle name="Migliaia 30 3 2 7" xfId="24714" xr:uid="{5F44299B-89A6-4344-89AD-DC7DF2F8C548}"/>
    <cellStyle name="Migliaia 30 3 2 8" xfId="7431" xr:uid="{F09E7E4E-EE0A-4555-BFC4-D73CA9974BFF}"/>
    <cellStyle name="Migliaia 30 3 3" xfId="3479" xr:uid="{BCEC0B74-6A62-4048-8905-84CB0B285D7F}"/>
    <cellStyle name="Migliaia 30 3 3 10" xfId="7430" xr:uid="{0B9C5F61-E1B9-492E-AE28-AFD0CC037AE4}"/>
    <cellStyle name="Migliaia 30 3 3 2" xfId="5205" xr:uid="{23E53A7D-D34B-4CC9-92BC-BA560E98EA7D}"/>
    <cellStyle name="Migliaia 30 3 3 2 2" xfId="9928" xr:uid="{9936BBD0-6677-47A1-A5D9-A5A0C3FD59EB}"/>
    <cellStyle name="Migliaia 30 3 3 2 2 2" xfId="39204" xr:uid="{3794DDE3-ACF2-4E05-B984-377A4E79E685}"/>
    <cellStyle name="Migliaia 30 3 3 2 2 3" xfId="44506" xr:uid="{5872A4D7-764D-4272-8CE9-77EE32BE05BB}"/>
    <cellStyle name="Migliaia 30 3 3 2 3" xfId="18208" xr:uid="{767D271F-C678-49E6-891D-45AF99D934DE}"/>
    <cellStyle name="Migliaia 30 3 3 2 4" xfId="20338" xr:uid="{1B98DF35-94D8-48CA-9926-F827106704A6}"/>
    <cellStyle name="Migliaia 30 3 3 2 4 2" xfId="41855" xr:uid="{4F864097-3547-45DF-BBC6-5512A96C2C51}"/>
    <cellStyle name="Migliaia 30 3 3 2 5" xfId="16369" xr:uid="{08D02F96-2374-4201-925C-560709BACC4D}"/>
    <cellStyle name="Migliaia 30 3 3 2 6" xfId="8620" xr:uid="{0AF293D7-4895-4DB9-B86B-A985B0C40959}"/>
    <cellStyle name="Migliaia 30 3 3 3" xfId="6406" xr:uid="{B9E33C39-A9FD-4A66-B62A-275DAC177203}"/>
    <cellStyle name="Migliaia 30 3 3 3 2" xfId="33721" xr:uid="{F8CEFF93-2A97-48D2-9D5B-A70DB544F695}"/>
    <cellStyle name="Migliaia 30 3 3 3 2 2" xfId="39205" xr:uid="{5A8F374C-71F7-4869-A913-0B0002061B87}"/>
    <cellStyle name="Migliaia 30 3 3 3 2 3" xfId="44507" xr:uid="{2F9851BB-238C-4EE3-85B2-0ECED38F5CFB}"/>
    <cellStyle name="Migliaia 30 3 3 3 3" xfId="36651" xr:uid="{F521A79B-171D-4244-825F-6F5D8A4A3B41}"/>
    <cellStyle name="Migliaia 30 3 3 3 4" xfId="41856" xr:uid="{056CF958-C60D-4CB1-B54D-2A8E435BDE29}"/>
    <cellStyle name="Migliaia 30 3 3 3 5" xfId="9691" xr:uid="{9B613017-EC2D-47A1-A33B-EB22DB579D96}"/>
    <cellStyle name="Migliaia 30 3 3 4" xfId="20337" xr:uid="{B708D6E9-3454-43CB-861E-24E879379742}"/>
    <cellStyle name="Migliaia 30 3 3 4 2" xfId="33722" xr:uid="{13E335BA-F315-4A07-B722-815EBEDE3AAC}"/>
    <cellStyle name="Migliaia 30 3 3 4 2 2" xfId="39206" xr:uid="{D01EE959-8441-426D-8DC1-925BA3175A1C}"/>
    <cellStyle name="Migliaia 30 3 3 4 2 3" xfId="44508" xr:uid="{A213CBFD-D102-481D-8108-225551557CDF}"/>
    <cellStyle name="Migliaia 30 3 3 4 3" xfId="36652" xr:uid="{BD3B4AD5-B743-4C5F-8C24-EB6C06B6B628}"/>
    <cellStyle name="Migliaia 30 3 3 4 4" xfId="41857" xr:uid="{C470CF9D-B650-41E7-B38E-25DC3964C035}"/>
    <cellStyle name="Migliaia 30 3 3 4 5" xfId="24718" xr:uid="{6018FACA-64AF-470C-9C50-68A87A144FAE}"/>
    <cellStyle name="Migliaia 30 3 3 5" xfId="24719" xr:uid="{1D583DC6-8024-48C9-BDCC-85190C37E051}"/>
    <cellStyle name="Migliaia 30 3 3 5 2" xfId="33723" xr:uid="{5463703D-5BC6-483D-B320-58091FA45217}"/>
    <cellStyle name="Migliaia 30 3 3 5 2 2" xfId="39207" xr:uid="{E3F4D737-1B47-441A-BF81-F351EDB01926}"/>
    <cellStyle name="Migliaia 30 3 3 5 2 3" xfId="44509" xr:uid="{034CADF0-0E3E-408D-B50E-910553E30CBC}"/>
    <cellStyle name="Migliaia 30 3 3 5 3" xfId="36653" xr:uid="{07351CE9-258A-4D38-8DBC-76CF38C29450}"/>
    <cellStyle name="Migliaia 30 3 3 5 4" xfId="41858" xr:uid="{F2020D1F-E89B-456A-A0BE-F517CE27829D}"/>
    <cellStyle name="Migliaia 30 3 3 6" xfId="33719" xr:uid="{39F0A87A-0DDB-4A9B-98FD-A32AFA962D6C}"/>
    <cellStyle name="Migliaia 30 3 3 6 2" xfId="39203" xr:uid="{3072954F-4D20-4894-B870-F0B9B92676E5}"/>
    <cellStyle name="Migliaia 30 3 3 6 3" xfId="44505" xr:uid="{F9778812-1954-41BF-B326-7F67AB1A4B4D}"/>
    <cellStyle name="Migliaia 30 3 3 7" xfId="36650" xr:uid="{C3182692-0BB4-47D2-8B98-DE57D3770521}"/>
    <cellStyle name="Migliaia 30 3 3 8" xfId="41854" xr:uid="{19814CCA-2A0F-4E01-B286-5995BDF23474}"/>
    <cellStyle name="Migliaia 30 3 3 9" xfId="16368" xr:uid="{5327539B-C7C6-4B26-8DC0-14AD8FB0AADD}"/>
    <cellStyle name="Migliaia 30 3 4" xfId="3480" xr:uid="{3E766005-9029-4CD6-B4D3-718E1FCB0B33}"/>
    <cellStyle name="Migliaia 30 3 4 2" xfId="5206" xr:uid="{EA0AF834-7804-46D7-A624-3679C5F4BAEC}"/>
    <cellStyle name="Migliaia 30 3 4 2 2" xfId="14446" xr:uid="{99ACBA5C-7269-4708-A22F-5F33FA28D96B}"/>
    <cellStyle name="Migliaia 30 3 4 2 3" xfId="18129" xr:uid="{FAFBD324-0591-40EB-BEBA-4B78EA75FCB2}"/>
    <cellStyle name="Migliaia 30 3 4 2 4" xfId="20340" xr:uid="{00F684EA-3FBE-4055-BD28-49ED9E6003E3}"/>
    <cellStyle name="Migliaia 30 3 4 2 5" xfId="32371" xr:uid="{AA0778FF-54DE-4814-81C4-92F32A6B9B9A}"/>
    <cellStyle name="Migliaia 30 3 4 2 6" xfId="16371" xr:uid="{0C8805EE-0E68-4327-A457-692DAED903FA}"/>
    <cellStyle name="Migliaia 30 3 4 2 7" xfId="8869" xr:uid="{DCC5BC8C-A066-4DBA-83FA-768F01A4DB9A}"/>
    <cellStyle name="Migliaia 30 3 4 3" xfId="6407" xr:uid="{E78013D5-4B1F-479E-B94B-DFF72D47D5A7}"/>
    <cellStyle name="Migliaia 30 3 4 3 2" xfId="35286" xr:uid="{829EFB9E-53B2-4296-AE6C-177E07FAB93A}"/>
    <cellStyle name="Migliaia 30 3 4 3 2 2" xfId="40446" xr:uid="{F0096736-126A-4C1E-8C77-BC0B804D4062}"/>
    <cellStyle name="Migliaia 30 3 4 3 2 3" xfId="45748" xr:uid="{E640C6D2-E18A-4633-B674-553CE0C9C73F}"/>
    <cellStyle name="Migliaia 30 3 4 3 3" xfId="37795" xr:uid="{CB1FC906-08AF-494E-B62E-51E4F11D4553}"/>
    <cellStyle name="Migliaia 30 3 4 3 4" xfId="43097" xr:uid="{0CFD4D96-9787-43EF-8803-BA2E38852D4E}"/>
    <cellStyle name="Migliaia 30 3 4 3 5" xfId="13694" xr:uid="{6568524B-6E96-4882-871D-D0C6AF1BC60C}"/>
    <cellStyle name="Migliaia 30 3 4 4" xfId="20339" xr:uid="{BA59736B-E073-4B97-8E5B-1853244F2A76}"/>
    <cellStyle name="Migliaia 30 3 4 4 2" xfId="39208" xr:uid="{C354E4BE-CEFC-4214-84E9-7094B0B691C7}"/>
    <cellStyle name="Migliaia 30 3 4 4 3" xfId="44510" xr:uid="{BC2127DA-4653-45CA-8F7A-0E06645505ED}"/>
    <cellStyle name="Migliaia 30 3 4 4 4" xfId="33724" xr:uid="{F89E95A4-553E-4883-8A68-848446B003DF}"/>
    <cellStyle name="Migliaia 30 3 4 5" xfId="36654" xr:uid="{79164FB8-3E19-4157-9417-EE4885BDFAB3}"/>
    <cellStyle name="Migliaia 30 3 4 6" xfId="41859" xr:uid="{97CC6DB2-6F24-463C-AE92-D086BC931B3F}"/>
    <cellStyle name="Migliaia 30 3 4 7" xfId="16370" xr:uid="{682D526D-B1D6-4A19-94FE-CDA7D1CD441B}"/>
    <cellStyle name="Migliaia 30 3 4 8" xfId="7679" xr:uid="{DED5059F-8FD7-4EE2-A132-D0D01108902A}"/>
    <cellStyle name="Migliaia 30 3 5" xfId="3481" xr:uid="{F628CF4A-8F2B-4E3E-ADE0-A5649EBBDA4A}"/>
    <cellStyle name="Migliaia 30 3 5 2" xfId="5207" xr:uid="{0E3D462A-AA33-4210-A2D0-FCAF1C77C04E}"/>
    <cellStyle name="Migliaia 30 3 5 2 2" xfId="35287" xr:uid="{EE528E7E-C091-4B56-BD35-E0FD20BED966}"/>
    <cellStyle name="Migliaia 30 3 5 2 2 2" xfId="40447" xr:uid="{747E29A1-0655-4B7E-AA7E-03C1677FE314}"/>
    <cellStyle name="Migliaia 30 3 5 2 2 3" xfId="45749" xr:uid="{BBAC4123-08E0-4A3C-ABB1-0A9EE39E691E}"/>
    <cellStyle name="Migliaia 30 3 5 2 3" xfId="37796" xr:uid="{8929FF6A-0E0F-4E78-9878-163FF0F5B022}"/>
    <cellStyle name="Migliaia 30 3 5 2 4" xfId="43098" xr:uid="{90A6AAC6-921E-41EB-9E18-FC07DDCE9BE5}"/>
    <cellStyle name="Migliaia 30 3 5 2 5" xfId="14250" xr:uid="{26B20B6C-850F-4731-8938-C8817CC8984A}"/>
    <cellStyle name="Migliaia 30 3 5 3" xfId="6408" xr:uid="{FEDE7A83-9A50-421D-A541-687FD89DF7E9}"/>
    <cellStyle name="Migliaia 30 3 5 3 2" xfId="39209" xr:uid="{EA744897-6432-46E3-A39D-159D655B69B2}"/>
    <cellStyle name="Migliaia 30 3 5 3 3" xfId="44511" xr:uid="{946A54CC-AE69-4453-BFEB-C35B8B5CB72E}"/>
    <cellStyle name="Migliaia 30 3 5 3 4" xfId="33725" xr:uid="{B145559E-A3FB-4301-B4A6-6A980E4651E9}"/>
    <cellStyle name="Migliaia 30 3 5 3 5" xfId="20341" xr:uid="{12CC33F4-DA52-4D26-ADC4-B874265330A7}"/>
    <cellStyle name="Migliaia 30 3 5 4" xfId="36655" xr:uid="{86D6A25F-8A26-4042-9FB7-1CC11EB3F3ED}"/>
    <cellStyle name="Migliaia 30 3 5 5" xfId="41860" xr:uid="{10928502-AF56-4C90-ADC6-B681015E48FF}"/>
    <cellStyle name="Migliaia 30 3 5 6" xfId="16372" xr:uid="{33C213A3-3F7B-4594-8008-32207257D527}"/>
    <cellStyle name="Migliaia 30 3 5 7" xfId="8312" xr:uid="{75A2A6EF-C678-4227-94C0-807DD32A37C9}"/>
    <cellStyle name="Migliaia 30 3 6" xfId="5202" xr:uid="{675D2E84-37F4-4173-97A0-3CFCE7D8B7A4}"/>
    <cellStyle name="Migliaia 30 3 6 2" xfId="13955" xr:uid="{6BA9A912-866E-4520-B5A8-E0EED40A1B6D}"/>
    <cellStyle name="Migliaia 30 3 6 2 2" xfId="39210" xr:uid="{D01B6576-1633-4F79-BA08-04D60943B3A3}"/>
    <cellStyle name="Migliaia 30 3 6 2 3" xfId="44512" xr:uid="{F5B9E89D-9270-4632-85CE-C7B47A410083}"/>
    <cellStyle name="Migliaia 30 3 6 3" xfId="18709" xr:uid="{09F27509-98B5-4BB6-B040-DB47B5E043D1}"/>
    <cellStyle name="Migliaia 30 3 6 4" xfId="20342" xr:uid="{EE21246B-3E5C-4D67-9F40-9EB05AE8A241}"/>
    <cellStyle name="Migliaia 30 3 6 4 2" xfId="41861" xr:uid="{2B153656-1737-4233-89B9-4AA60E1ABDE3}"/>
    <cellStyle name="Migliaia 30 3 6 5" xfId="16373" xr:uid="{BFA68F79-504F-4393-8AC2-B00C754A29C9}"/>
    <cellStyle name="Migliaia 30 3 6 6" xfId="7916" xr:uid="{3E33CA05-D8E4-490E-BC0D-3AE42E89BAA5}"/>
    <cellStyle name="Migliaia 30 3 7" xfId="6403" xr:uid="{3FE46D04-ED5C-4F0C-B98E-4DA394CA946F}"/>
    <cellStyle name="Migliaia 30 3 7 2" xfId="33726" xr:uid="{7C9BAE3B-B3B3-4873-A983-F8AF12F0D032}"/>
    <cellStyle name="Migliaia 30 3 7 2 2" xfId="39211" xr:uid="{CBC70E0A-7152-4001-9CB0-04DEDD575C56}"/>
    <cellStyle name="Migliaia 30 3 7 2 3" xfId="44513" xr:uid="{58E00C9E-D977-4310-BCE9-C1AF2346977C}"/>
    <cellStyle name="Migliaia 30 3 7 3" xfId="36656" xr:uid="{8258BAFD-1A67-49D2-B6A0-99A3F820C077}"/>
    <cellStyle name="Migliaia 30 3 7 4" xfId="41862" xr:uid="{2EA7BF84-01B0-4228-BE13-2E1C77AAFCDE}"/>
    <cellStyle name="Migliaia 30 3 7 5" xfId="11534" xr:uid="{15F6BA07-5633-4DB7-A604-927742C5B832}"/>
    <cellStyle name="Migliaia 30 3 8" xfId="3476" xr:uid="{5D31595A-A5CE-42D3-9CCA-19BBF18F5B24}"/>
    <cellStyle name="Migliaia 30 3 8 2" xfId="33727" xr:uid="{45D1701E-026C-4369-87C7-61B8D171C988}"/>
    <cellStyle name="Migliaia 30 3 8 2 2" xfId="39212" xr:uid="{C454EB8D-EEFD-461D-8758-337F646C024F}"/>
    <cellStyle name="Migliaia 30 3 8 2 3" xfId="44514" xr:uid="{C355B583-86C5-4CAE-8753-7028D86B3B3F}"/>
    <cellStyle name="Migliaia 30 3 8 3" xfId="36657" xr:uid="{868E49BA-72FE-4B51-BF91-1C3AFACF48DE}"/>
    <cellStyle name="Migliaia 30 3 8 4" xfId="41863" xr:uid="{D3CF6072-F5FB-45AE-8062-455D88574CEC}"/>
    <cellStyle name="Migliaia 30 3 8 5" xfId="24721" xr:uid="{73F5B3C9-F6CE-4D83-82BD-106D6FC97CB5}"/>
    <cellStyle name="Migliaia 30 3 8 6" xfId="17358" xr:uid="{CB98ED42-08F5-4655-B757-EA5FD3D8842E}"/>
    <cellStyle name="Migliaia 30 3 9" xfId="20333" xr:uid="{982DCCCA-6A0D-4E00-85CE-38B8D795DC70}"/>
    <cellStyle name="Migliaia 30 4" xfId="1773" xr:uid="{00000000-0005-0000-0000-000094030000}"/>
    <cellStyle name="Migliaia 30 4 2" xfId="1774" xr:uid="{00000000-0005-0000-0000-000095030000}"/>
    <cellStyle name="Migliaia 30 4 2 2" xfId="5209" xr:uid="{56E206C2-4597-42B2-8E8F-A347869D41BE}"/>
    <cellStyle name="Migliaia 30 4 2 2 2" xfId="33728" xr:uid="{3798D770-46C2-4E35-A5C6-F603CC9F7F2F}"/>
    <cellStyle name="Migliaia 30 4 2 2 2 2" xfId="39213" xr:uid="{1EB05D8E-0718-4611-83C1-A7E8379CA929}"/>
    <cellStyle name="Migliaia 30 4 2 2 2 3" xfId="44515" xr:uid="{49DF7062-238D-42EF-8EF1-EB8E7B8561C3}"/>
    <cellStyle name="Migliaia 30 4 2 2 3" xfId="36658" xr:uid="{19D4385E-BF02-48DE-A752-0D141EAC0ED3}"/>
    <cellStyle name="Migliaia 30 4 2 2 4" xfId="41864" xr:uid="{B0B6FE5F-A544-4095-97B2-5C702D3F8282}"/>
    <cellStyle name="Migliaia 30 4 2 2 5" xfId="9154" xr:uid="{491F0491-4CF0-47F3-9FFF-9AB7F36A631A}"/>
    <cellStyle name="Migliaia 30 4 2 3" xfId="3483" xr:uid="{9B9BBE27-1524-4F5A-BDAC-DAAD20337001}"/>
    <cellStyle name="Migliaia 30 4 2 3 2" xfId="33729" xr:uid="{9C892FAD-14D6-4B85-81E4-27679007AB0A}"/>
    <cellStyle name="Migliaia 30 4 2 3 2 2" xfId="39214" xr:uid="{70C42035-B171-4CEC-B7D0-3DC8F79EFA3F}"/>
    <cellStyle name="Migliaia 30 4 2 3 2 3" xfId="44516" xr:uid="{5C4A5F40-6A47-490F-B1A2-9CCCEE9983B1}"/>
    <cellStyle name="Migliaia 30 4 2 3 3" xfId="36659" xr:uid="{2D4DBCEE-05A5-4129-B63C-67869E88DB56}"/>
    <cellStyle name="Migliaia 30 4 2 3 4" xfId="41865" xr:uid="{624DDCA2-EE8E-4333-80F0-82F9A32DA215}"/>
    <cellStyle name="Migliaia 30 4 2 3 5" xfId="11981" xr:uid="{4F6CAD31-75ED-4EA4-A1F8-4116015C070E}"/>
    <cellStyle name="Migliaia 30 4 2 4" xfId="11330" xr:uid="{09F9EEC7-3009-4129-8D6E-D01DECD54FAD}"/>
    <cellStyle name="Migliaia 30 4 2 5" xfId="10851" xr:uid="{49FE2D0E-DD72-4872-8993-8CAC9C9D0E0F}"/>
    <cellStyle name="Migliaia 30 4 2 5 2" xfId="21486" xr:uid="{A77E5DC1-7FE1-4EA3-A1CC-CA7E5E0BDEAB}"/>
    <cellStyle name="Migliaia 30 4 2 5 3" xfId="46239" xr:uid="{57B40958-6FE5-4EAA-84A7-0E439D5FCE36}"/>
    <cellStyle name="Migliaia 30 4 2 5 4" xfId="50501" xr:uid="{4EC104F4-62F9-4210-89EC-CC2AF5FE8F96}"/>
    <cellStyle name="Migliaia 30 4 2 5 5" xfId="53517" xr:uid="{7B9CEBB0-344D-459F-B715-0CDAF83EA07A}"/>
    <cellStyle name="Migliaia 30 4 2 6" xfId="20344" xr:uid="{A45DAD50-1134-411E-8DD9-F9190A4651F9}"/>
    <cellStyle name="Migliaia 30 4 2 7" xfId="24723" xr:uid="{3D3403CF-A27E-4C6A-ABB4-CA9246C26D81}"/>
    <cellStyle name="Migliaia 30 4 2 8" xfId="8622" xr:uid="{9B9750C3-9905-4A60-9683-67A8980383A3}"/>
    <cellStyle name="Migliaia 30 4 3" xfId="5208" xr:uid="{FF260D4B-B5CD-49FA-80A2-89582506AB6B}"/>
    <cellStyle name="Migliaia 30 4 3 2" xfId="18209" xr:uid="{940D59C9-0718-4D75-A902-12D0AD6BE144}"/>
    <cellStyle name="Migliaia 30 4 3 2 2" xfId="39215" xr:uid="{15CAA479-ADEB-4186-919B-690C688F194E}"/>
    <cellStyle name="Migliaia 30 4 3 2 3" xfId="44517" xr:uid="{A66E3564-3A47-4551-8C05-BBC79DB1CB49}"/>
    <cellStyle name="Migliaia 30 4 3 3" xfId="36660" xr:uid="{886E546F-15A5-497D-9C7F-7A9EA048BA96}"/>
    <cellStyle name="Migliaia 30 4 3 4" xfId="41866" xr:uid="{E71E53AB-A84A-479F-9857-FBC2D8712277}"/>
    <cellStyle name="Migliaia 30 4 3 5" xfId="17356" xr:uid="{202CAA79-7231-4B0E-B68E-8B894D9EC638}"/>
    <cellStyle name="Migliaia 30 4 3 6" xfId="9155" xr:uid="{3881BCB5-44F9-4F25-9B11-C64964B1A25C}"/>
    <cellStyle name="Migliaia 30 4 4" xfId="6409" xr:uid="{B3CF7C90-5951-4675-BEB6-458A1E74A8D5}"/>
    <cellStyle name="Migliaia 30 4 4 2" xfId="33730" xr:uid="{4E3CEF7D-2E1F-45B4-BD4E-7071B499649C}"/>
    <cellStyle name="Migliaia 30 4 4 2 2" xfId="39216" xr:uid="{9A11F958-3A33-4E71-B081-CC407879F13E}"/>
    <cellStyle name="Migliaia 30 4 4 2 3" xfId="44518" xr:uid="{DACCB2B9-3361-4AE5-A429-639A43716959}"/>
    <cellStyle name="Migliaia 30 4 4 3" xfId="36661" xr:uid="{7DE67D05-0827-49E4-BADC-122DB202C426}"/>
    <cellStyle name="Migliaia 30 4 4 4" xfId="41867" xr:uid="{E2BCD92D-B462-4B9F-9C26-44D9702849BD}"/>
    <cellStyle name="Migliaia 30 4 4 5" xfId="11982" xr:uid="{A30AF958-C102-4EAB-B712-F75692327328}"/>
    <cellStyle name="Migliaia 30 4 5" xfId="3482" xr:uid="{77864A2F-A339-4DE0-9F14-5F9BB469DEF1}"/>
    <cellStyle name="Migliaia 30 4 5 2" xfId="33731" xr:uid="{1B539876-3623-4A42-8C65-7AAAFB02FBC7}"/>
    <cellStyle name="Migliaia 30 4 5 2 2" xfId="39217" xr:uid="{0B381F9F-21B1-49C6-9AB9-1C50B3A5B82C}"/>
    <cellStyle name="Migliaia 30 4 5 2 3" xfId="44519" xr:uid="{4E2844FB-EA26-4DBE-B79B-C1FE3C078688}"/>
    <cellStyle name="Migliaia 30 4 5 3" xfId="36662" xr:uid="{2820F29C-FBC0-420B-A072-858B5BB650C0}"/>
    <cellStyle name="Migliaia 30 4 5 4" xfId="41868" xr:uid="{1DE2F049-D0EB-4F25-A7C5-F2A964CC9507}"/>
    <cellStyle name="Migliaia 30 4 5 5" xfId="11329" xr:uid="{C65DE90C-00E6-46D2-8D67-D37281A87791}"/>
    <cellStyle name="Migliaia 30 4 6" xfId="10850" xr:uid="{1E792508-E7B3-414F-974B-CA22010F8822}"/>
    <cellStyle name="Migliaia 30 4 6 2" xfId="21485" xr:uid="{0B8AF2BE-A5C4-4868-96FD-58BE3E53DDB5}"/>
    <cellStyle name="Migliaia 30 4 6 2 2" xfId="39218" xr:uid="{C196BA1F-4A51-4BA6-A7E0-17DE08C16179}"/>
    <cellStyle name="Migliaia 30 4 6 2 3" xfId="44520" xr:uid="{B9609996-418C-49C0-8BE6-A3F7E4C8582D}"/>
    <cellStyle name="Migliaia 30 4 6 2 4" xfId="33732" xr:uid="{757147AE-62FC-4548-90B7-E1395742F49A}"/>
    <cellStyle name="Migliaia 30 4 6 3" xfId="36663" xr:uid="{0122BDB2-86CC-4299-B855-1D2D81A93F35}"/>
    <cellStyle name="Migliaia 30 4 6 4" xfId="41869" xr:uid="{59540AA9-DCDC-4385-9874-D1DAF2DD0AA1}"/>
    <cellStyle name="Migliaia 30 4 6 5" xfId="24724" xr:uid="{10081E2C-BAAC-485D-A364-40A64B0685E8}"/>
    <cellStyle name="Migliaia 30 4 6 6" xfId="47305" xr:uid="{803301A7-8C00-40ED-B6E6-7FCE8F85F4F1}"/>
    <cellStyle name="Migliaia 30 4 6 7" xfId="50500" xr:uid="{C2F6F30D-DBD0-4E1A-90E4-0F000D4832C4}"/>
    <cellStyle name="Migliaia 30 4 6 8" xfId="53516" xr:uid="{C44547B7-2C4E-42F8-86B8-CC9EA0E5D6D6}"/>
    <cellStyle name="Migliaia 30 4 7" xfId="20343" xr:uid="{CB5B2D98-0037-40C9-BAE9-74B72CA50A4B}"/>
    <cellStyle name="Migliaia 30 4 7 2" xfId="33733" xr:uid="{DEC9E1D5-3E0A-4DF6-BEE4-C8F01D2BF3E9}"/>
    <cellStyle name="Migliaia 30 4 7 2 2" xfId="39219" xr:uid="{D34FBFC4-52DC-45EA-9EB0-BCDF8DC785EC}"/>
    <cellStyle name="Migliaia 30 4 7 2 3" xfId="44521" xr:uid="{6C1F7FA2-2CB3-4F7F-8C76-CA0D2103A108}"/>
    <cellStyle name="Migliaia 30 4 7 3" xfId="36664" xr:uid="{90A8818A-647A-4C0F-B645-C8B8423189F9}"/>
    <cellStyle name="Migliaia 30 4 7 4" xfId="41870" xr:uid="{BE3DC2D8-0543-44CE-BFAB-B96B5C0DE86A}"/>
    <cellStyle name="Migliaia 30 4 7 5" xfId="24725" xr:uid="{A2FBF7DB-D6CD-4D1C-ACCB-321D2D6FA5B8}"/>
    <cellStyle name="Migliaia 30 4 8" xfId="24722" xr:uid="{ADA9AB4A-E520-4793-8384-F4FB2B6606C5}"/>
    <cellStyle name="Migliaia 30 4 9" xfId="7432" xr:uid="{57161DDF-97AE-4147-AE1F-11121CA61C5A}"/>
    <cellStyle name="Migliaia 30 5" xfId="1775" xr:uid="{00000000-0005-0000-0000-000096030000}"/>
    <cellStyle name="Migliaia 30 5 2" xfId="5210" xr:uid="{5DD7545F-9245-496D-AD1A-F821581FA0F3}"/>
    <cellStyle name="Migliaia 30 5 2 2" xfId="18433" xr:uid="{A59F11BF-1237-4E5B-B8ED-05AAB77535A3}"/>
    <cellStyle name="Migliaia 30 5 2 2 2" xfId="39220" xr:uid="{0D7196B7-B067-4B1F-A58A-9CCBEAAE4155}"/>
    <cellStyle name="Migliaia 30 5 2 2 3" xfId="44522" xr:uid="{EF726E92-6D80-4354-82F5-D143C813CA53}"/>
    <cellStyle name="Migliaia 30 5 2 3" xfId="20346" xr:uid="{835AED53-69C0-440C-9765-486BCDF1E45E}"/>
    <cellStyle name="Migliaia 30 5 2 3 2" xfId="36665" xr:uid="{AF4853BD-8349-4C17-B51E-82A0603DF217}"/>
    <cellStyle name="Migliaia 30 5 2 4" xfId="41871" xr:uid="{4739B976-D9CB-4829-A2ED-36D3E6770DD3}"/>
    <cellStyle name="Migliaia 30 5 2 5" xfId="16374" xr:uid="{61F8F214-5F95-4289-A15E-AF454D67C772}"/>
    <cellStyle name="Migliaia 30 5 2 6" xfId="8623" xr:uid="{714A35C9-8B47-4C2B-A373-D3F7226FB4CB}"/>
    <cellStyle name="Migliaia 30 5 3" xfId="6410" xr:uid="{60FEBD71-A04F-4D75-B4F7-0974A31FE6F8}"/>
    <cellStyle name="Migliaia 30 5 3 2" xfId="33734" xr:uid="{035A8D5E-72E4-4944-BE19-4EE60BF06942}"/>
    <cellStyle name="Migliaia 30 5 3 2 2" xfId="39221" xr:uid="{09BCA070-2170-4E26-92F7-E6891A1EAC6E}"/>
    <cellStyle name="Migliaia 30 5 3 2 3" xfId="44523" xr:uid="{2F159F04-1444-431A-8268-35B7D8F97A2A}"/>
    <cellStyle name="Migliaia 30 5 3 3" xfId="36666" xr:uid="{73270342-1C83-40B6-81B3-BA4B435D6DEC}"/>
    <cellStyle name="Migliaia 30 5 3 4" xfId="41872" xr:uid="{36FCCA10-9B64-42D3-8FF7-6DDFEF90ED7C}"/>
    <cellStyle name="Migliaia 30 5 3 5" xfId="11331" xr:uid="{083DAB9F-DD85-4E89-A701-786C9D6D3E47}"/>
    <cellStyle name="Migliaia 30 5 4" xfId="3484" xr:uid="{C390490C-3D70-440F-9E0C-8D2DC65BCD30}"/>
    <cellStyle name="Migliaia 30 5 4 2" xfId="21487" xr:uid="{D24F0FEC-B192-4C4B-9D0E-7CCCAA667B7B}"/>
    <cellStyle name="Migliaia 30 5 4 2 2" xfId="39222" xr:uid="{94FE74E1-8609-4E1B-88B4-C48782E3DFDB}"/>
    <cellStyle name="Migliaia 30 5 4 2 3" xfId="44524" xr:uid="{CD00BF20-6C57-456A-93DF-D8D4F4C59E35}"/>
    <cellStyle name="Migliaia 30 5 4 2 4" xfId="33735" xr:uid="{FFC2A701-64EE-4BC5-8D62-7E5AE914E958}"/>
    <cellStyle name="Migliaia 30 5 4 3" xfId="36667" xr:uid="{3A9C7B14-DF9C-423D-B177-7440FC54230C}"/>
    <cellStyle name="Migliaia 30 5 4 4" xfId="41873" xr:uid="{57BA9F80-49C8-4FEA-BAA7-AE99524EA582}"/>
    <cellStyle name="Migliaia 30 5 4 5" xfId="24727" xr:uid="{B5BD27A3-9F65-47D4-9890-9D9692F9E64E}"/>
    <cellStyle name="Migliaia 30 5 4 6" xfId="47600" xr:uid="{134DB47D-DB8B-4952-82AB-9B9BA695F426}"/>
    <cellStyle name="Migliaia 30 5 4 7" xfId="50502" xr:uid="{A0EED69E-3223-4412-816E-9A2A48710C01}"/>
    <cellStyle name="Migliaia 30 5 4 8" xfId="53518" xr:uid="{9DC2E029-2C53-4B3E-B642-792834D9019A}"/>
    <cellStyle name="Migliaia 30 5 4 9" xfId="10852" xr:uid="{97767F36-73DE-478E-BB9E-004FE2A87E33}"/>
    <cellStyle name="Migliaia 30 5 5" xfId="20345" xr:uid="{2D965CE5-4C00-4F90-9AF9-A0A89B9612F1}"/>
    <cellStyle name="Migliaia 30 5 5 2" xfId="33736" xr:uid="{44F656DE-3502-4265-B494-B3192F5D4D49}"/>
    <cellStyle name="Migliaia 30 5 5 2 2" xfId="39223" xr:uid="{E00557C0-0353-4E49-9336-D95186126121}"/>
    <cellStyle name="Migliaia 30 5 5 2 3" xfId="44525" xr:uid="{AEC86D1F-5C03-4192-B612-057F591B1672}"/>
    <cellStyle name="Migliaia 30 5 5 3" xfId="36668" xr:uid="{A8525AF3-57BF-4D69-BF56-D4E7EC51AA87}"/>
    <cellStyle name="Migliaia 30 5 5 4" xfId="41874" xr:uid="{5D838DC3-68F6-4024-9EFA-48C98C4FC3C6}"/>
    <cellStyle name="Migliaia 30 5 5 5" xfId="24728" xr:uid="{84746FB4-E122-4B08-B382-9F685DAAABA4}"/>
    <cellStyle name="Migliaia 30 5 6" xfId="24729" xr:uid="{2CCEDCC3-7764-4E97-BC90-99BC50B7D634}"/>
    <cellStyle name="Migliaia 30 5 6 2" xfId="33737" xr:uid="{3DFB76C1-C2A5-4599-AD4A-8B1A693E3AD1}"/>
    <cellStyle name="Migliaia 30 5 6 2 2" xfId="39224" xr:uid="{3679D158-102D-47A5-B364-CC49D3187D12}"/>
    <cellStyle name="Migliaia 30 5 6 2 3" xfId="44526" xr:uid="{4A2CB18E-4B25-4663-8690-8DD0190228F3}"/>
    <cellStyle name="Migliaia 30 5 6 3" xfId="36669" xr:uid="{F3CD9F84-3A07-4672-B6FE-E5915EC3EBFF}"/>
    <cellStyle name="Migliaia 30 5 6 4" xfId="41875" xr:uid="{15120291-F7BA-44AA-AD6A-C68CBF722A51}"/>
    <cellStyle name="Migliaia 30 5 7" xfId="24726" xr:uid="{3EC2C529-3E0A-4C18-AB30-E1CF60C635CA}"/>
    <cellStyle name="Migliaia 30 5 8" xfId="7433" xr:uid="{0BEFD50A-81A2-44BC-B86E-D698391E303A}"/>
    <cellStyle name="Migliaia 30 6" xfId="3485" xr:uid="{04A6B56F-385F-4053-8775-8211FE6B0826}"/>
    <cellStyle name="Migliaia 30 6 2" xfId="5211" xr:uid="{539A43FE-6D62-4D21-9E42-C9814BA40831}"/>
    <cellStyle name="Migliaia 30 6 2 2" xfId="9927" xr:uid="{4D0619DF-BD0C-4768-8D7A-755BDBB7330B}"/>
    <cellStyle name="Migliaia 30 6 2 3" xfId="18657" xr:uid="{B06C7F67-B3F7-4817-9012-CC2A57472832}"/>
    <cellStyle name="Migliaia 30 6 2 4" xfId="20348" xr:uid="{9BA2D1D0-BA3F-4F1A-909C-E93A9A18311E}"/>
    <cellStyle name="Migliaia 30 6 2 5" xfId="32373" xr:uid="{F6786DBA-66BE-4427-AD8A-F0B2DCA11A41}"/>
    <cellStyle name="Migliaia 30 6 2 6" xfId="16376" xr:uid="{CB436440-A2BC-4987-B801-382E8BE367F9}"/>
    <cellStyle name="Migliaia 30 6 2 7" xfId="8618" xr:uid="{ED904C45-A71E-4569-930C-AA9612CD271E}"/>
    <cellStyle name="Migliaia 30 6 3" xfId="6411" xr:uid="{9BE7E05B-2DC8-4CF4-B95B-74110A737C03}"/>
    <cellStyle name="Migliaia 30 6 3 2" xfId="35288" xr:uid="{5768439F-E4E7-4024-AFE0-857E14577AF8}"/>
    <cellStyle name="Migliaia 30 6 3 2 2" xfId="40448" xr:uid="{FE9A050A-0A74-46DA-82FA-C7A84D3D98BB}"/>
    <cellStyle name="Migliaia 30 6 3 2 3" xfId="45750" xr:uid="{4E79F2B8-E31C-49F6-AD0C-839672A7EE04}"/>
    <cellStyle name="Migliaia 30 6 3 3" xfId="37797" xr:uid="{472BCB87-4857-4562-99E2-736D48AB5196}"/>
    <cellStyle name="Migliaia 30 6 3 4" xfId="43099" xr:uid="{33AE56B2-8E0E-4F0B-9DF1-448CDD9151D9}"/>
    <cellStyle name="Migliaia 30 6 3 5" xfId="9690" xr:uid="{0F74BA15-A336-483A-B172-F04BF6652713}"/>
    <cellStyle name="Migliaia 30 6 4" xfId="20347" xr:uid="{AFD3F839-CA42-4774-8D3C-057D9D0ABBE1}"/>
    <cellStyle name="Migliaia 30 6 4 2" xfId="39225" xr:uid="{EB523764-DFF8-4960-B1F4-E571D0EF6736}"/>
    <cellStyle name="Migliaia 30 6 4 3" xfId="44527" xr:uid="{482139D3-FE88-4BCB-A600-5010B170F312}"/>
    <cellStyle name="Migliaia 30 6 4 4" xfId="33738" xr:uid="{55ED4F8C-BAE7-4C00-98D5-CDACF480AEF9}"/>
    <cellStyle name="Migliaia 30 6 5" xfId="36670" xr:uid="{663766F9-7484-4C0F-84E0-E821F5E060D8}"/>
    <cellStyle name="Migliaia 30 6 6" xfId="41876" xr:uid="{48E69C19-8E7C-481D-A189-A62D139D3431}"/>
    <cellStyle name="Migliaia 30 6 7" xfId="16375" xr:uid="{48FA5DC5-FCB0-413A-AF4A-6AFCE2DE095B}"/>
    <cellStyle name="Migliaia 30 6 8" xfId="7428" xr:uid="{F8FFD903-6862-477D-BF09-49F681F806AC}"/>
    <cellStyle name="Migliaia 30 7" xfId="3486" xr:uid="{B7AB22EB-0CC3-4C71-B7DD-E5091E042FB4}"/>
    <cellStyle name="Migliaia 30 7 2" xfId="5212" xr:uid="{13E8B76F-32EA-42C4-9234-104D3FE5914E}"/>
    <cellStyle name="Migliaia 30 7 2 2" xfId="35289" xr:uid="{D2768F9F-7B16-476A-BD59-15680DFB3655}"/>
    <cellStyle name="Migliaia 30 7 2 2 2" xfId="40449" xr:uid="{7DD517F7-B467-4D0D-893F-291D683639D4}"/>
    <cellStyle name="Migliaia 30 7 2 2 3" xfId="45751" xr:uid="{5BE7563B-F8D0-4842-90F0-C4F680950675}"/>
    <cellStyle name="Migliaia 30 7 2 3" xfId="37798" xr:uid="{211E2AC8-D1C4-4A17-91D5-47E9C9791D59}"/>
    <cellStyle name="Migliaia 30 7 2 4" xfId="43100" xr:uid="{8B87B94D-95D5-44A3-9A34-0D0C227943C8}"/>
    <cellStyle name="Migliaia 30 7 2 5" xfId="14248" xr:uid="{69F69036-C527-4459-9157-33A95C068489}"/>
    <cellStyle name="Migliaia 30 7 3" xfId="6412" xr:uid="{3B8814EB-AC9E-425B-B123-C491F468FABA}"/>
    <cellStyle name="Migliaia 30 7 3 2" xfId="39226" xr:uid="{4409BD60-64CC-430E-B1C7-1638D5442804}"/>
    <cellStyle name="Migliaia 30 7 3 3" xfId="44528" xr:uid="{4F43EEEA-217A-48D3-8CE9-1BE959066456}"/>
    <cellStyle name="Migliaia 30 7 3 4" xfId="33739" xr:uid="{86C10C7A-66CF-4D2E-86E8-C5A74DC959D9}"/>
    <cellStyle name="Migliaia 30 7 3 5" xfId="20349" xr:uid="{C993B998-43E7-4FD5-9215-D709411078ED}"/>
    <cellStyle name="Migliaia 30 7 4" xfId="36671" xr:uid="{3EF684F2-C4D6-4F59-AFA4-0B3EEE24EB88}"/>
    <cellStyle name="Migliaia 30 7 5" xfId="41877" xr:uid="{7D8A47A0-78DA-4C58-8EF7-95A5A06AD153}"/>
    <cellStyle name="Migliaia 30 7 6" xfId="16377" xr:uid="{9A52623B-3DA1-479C-AAED-D60F3A5C4145}"/>
    <cellStyle name="Migliaia 30 7 7" xfId="8310" xr:uid="{1424AA44-B51C-45A4-8E5A-BCC2E6C47E2D}"/>
    <cellStyle name="Migliaia 30 8" xfId="3487" xr:uid="{68A5C82E-A2C6-482B-90B7-B8BF552AF108}"/>
    <cellStyle name="Migliaia 30 8 2" xfId="5213" xr:uid="{0F735C06-1672-40CF-BBA7-3FA38DF98E2E}"/>
    <cellStyle name="Migliaia 30 8 2 2" xfId="35290" xr:uid="{5EEBBEC6-F334-49B3-BAE2-19D9A4D2CA2F}"/>
    <cellStyle name="Migliaia 30 8 2 2 2" xfId="40450" xr:uid="{9B57D220-158C-4F08-9853-85E438E0673E}"/>
    <cellStyle name="Migliaia 30 8 2 2 3" xfId="45752" xr:uid="{416DF28D-CD70-48AE-B4F9-331B4231A72B}"/>
    <cellStyle name="Migliaia 30 8 2 3" xfId="37799" xr:uid="{CFF9994F-E040-4C5C-8F58-CC5B781B61F9}"/>
    <cellStyle name="Migliaia 30 8 2 4" xfId="43101" xr:uid="{76ED9E2F-7088-4775-8A98-658810E94E01}"/>
    <cellStyle name="Migliaia 30 8 2 5" xfId="13953" xr:uid="{900DFF0D-18A0-4BAB-9770-BC76545742BC}"/>
    <cellStyle name="Migliaia 30 8 3" xfId="6413" xr:uid="{9AD7F6A9-B684-434F-B343-9F1B4C6A9677}"/>
    <cellStyle name="Migliaia 30 8 3 2" xfId="39227" xr:uid="{74A7AB43-F6F7-4CA4-82F6-DD28143C8594}"/>
    <cellStyle name="Migliaia 30 8 3 3" xfId="44529" xr:uid="{0D21D3F5-D6D6-4AB1-B812-361D177FEE6E}"/>
    <cellStyle name="Migliaia 30 8 3 4" xfId="33740" xr:uid="{9662D04C-D5E8-411F-B361-216CAC53BF3F}"/>
    <cellStyle name="Migliaia 30 8 3 5" xfId="20350" xr:uid="{AEB7E21D-0E60-480A-8A55-2C4E0E30273E}"/>
    <cellStyle name="Migliaia 30 8 4" xfId="36672" xr:uid="{54FE888D-8D88-41E4-BE65-DEC208107118}"/>
    <cellStyle name="Migliaia 30 8 5" xfId="41878" xr:uid="{9B27372F-79E1-4318-9E2A-5C60217A8802}"/>
    <cellStyle name="Migliaia 30 8 6" xfId="16378" xr:uid="{9E4E273E-A8E5-4826-ADFE-466CD22CB447}"/>
    <cellStyle name="Migliaia 30 8 7" xfId="7914" xr:uid="{9ACBDEB0-40DE-41FD-9D65-8AC211450CE5}"/>
    <cellStyle name="Migliaia 30 9" xfId="5198" xr:uid="{5B8C657A-0E79-4B4F-8A93-7B984551F806}"/>
    <cellStyle name="Migliaia 30 9 2" xfId="33741" xr:uid="{BB94C76B-F937-42B9-8B22-F9996F693667}"/>
    <cellStyle name="Migliaia 30 9 2 2" xfId="39228" xr:uid="{BAC8D157-9C39-49F3-ADCD-BD70B3566379}"/>
    <cellStyle name="Migliaia 30 9 2 3" xfId="44530" xr:uid="{5E101982-0795-4EA5-859B-3A23858AD94F}"/>
    <cellStyle name="Migliaia 30 9 3" xfId="36673" xr:uid="{FB42C99F-D682-4BD3-84AD-96CAAA7207E6}"/>
    <cellStyle name="Migliaia 30 9 4" xfId="41879" xr:uid="{05DFC7DB-1600-4DCA-A555-25CD0316C17F}"/>
    <cellStyle name="Migliaia 30 9 5" xfId="17181" xr:uid="{7AC10A9B-ED72-48DC-A71E-A71819A233F6}"/>
    <cellStyle name="Migliaia 31" xfId="397" xr:uid="{00000000-0005-0000-0000-000097030000}"/>
    <cellStyle name="Migliaia 31 10" xfId="6414" xr:uid="{4201DA1F-C22F-4559-A7EC-5EB649D09421}"/>
    <cellStyle name="Migliaia 31 10 2" xfId="39229" xr:uid="{F7DCFF54-877A-465E-9847-5E73871A316B}"/>
    <cellStyle name="Migliaia 31 10 3" xfId="44531" xr:uid="{BAEA21FD-A439-4847-8645-720910AFBC2F}"/>
    <cellStyle name="Migliaia 31 10 4" xfId="33742" xr:uid="{A20EEBFA-6F88-480A-92D8-890A05192B3C}"/>
    <cellStyle name="Migliaia 31 10 5" xfId="20351" xr:uid="{ECC9EC6E-2DA9-4CA1-AEE5-A2415A9723D2}"/>
    <cellStyle name="Migliaia 31 11" xfId="3488" xr:uid="{98F5A35A-B1AA-4086-A4DC-2A3A154DF5A0}"/>
    <cellStyle name="Migliaia 31 11 2" xfId="36674" xr:uid="{A790EEB1-0F20-42DB-AD2B-1085DA5B88E8}"/>
    <cellStyle name="Migliaia 31 12" xfId="41880" xr:uid="{EC1EC125-BBCB-43E0-8B36-6FDDAD3A23D5}"/>
    <cellStyle name="Migliaia 31 13" xfId="7114" xr:uid="{6D3AF153-AC37-4322-9349-559458CA0B65}"/>
    <cellStyle name="Migliaia 31 2" xfId="398" xr:uid="{00000000-0005-0000-0000-000098030000}"/>
    <cellStyle name="Migliaia 31 2 2" xfId="1776" xr:uid="{00000000-0005-0000-0000-000099030000}"/>
    <cellStyle name="Migliaia 31 2 2 2" xfId="5216" xr:uid="{D4C8525C-5AC9-45E7-B611-3ECFE076F722}"/>
    <cellStyle name="Migliaia 31 2 2 2 2" xfId="14387" xr:uid="{1811335D-CEBE-4A8F-830E-B20C0236361D}"/>
    <cellStyle name="Migliaia 31 2 2 2 2 2" xfId="39230" xr:uid="{3EB6EBF3-04B9-4027-B59E-90FEDE849991}"/>
    <cellStyle name="Migliaia 31 2 2 2 2 3" xfId="44532" xr:uid="{8031BAE3-8A6A-46FF-9785-C91AF9102AD9}"/>
    <cellStyle name="Migliaia 31 2 2 2 3" xfId="18434" xr:uid="{65DC6CB4-7F4D-4E23-A813-855ABD3E6EB7}"/>
    <cellStyle name="Migliaia 31 2 2 2 4" xfId="20354" xr:uid="{F44A3523-7E2F-4F05-9928-9846EFD97F1E}"/>
    <cellStyle name="Migliaia 31 2 2 2 4 2" xfId="41881" xr:uid="{638D8CE7-4201-4A42-861C-A9DCD9C37AC9}"/>
    <cellStyle name="Migliaia 31 2 2 2 5" xfId="16379" xr:uid="{CA70EB2B-497F-4764-83F5-D4D72DEF5887}"/>
    <cellStyle name="Migliaia 31 2 2 2 6" xfId="8625" xr:uid="{1F4F5C33-7198-4C0D-80E6-EE879EB73F3D}"/>
    <cellStyle name="Migliaia 31 2 2 3" xfId="6416" xr:uid="{5B9AB063-49DD-47AC-815D-896102B318FF}"/>
    <cellStyle name="Migliaia 31 2 2 3 2" xfId="35291" xr:uid="{8E473046-A599-45E8-AAF0-8D06E1718CC6}"/>
    <cellStyle name="Migliaia 31 2 2 3 2 2" xfId="40451" xr:uid="{58638110-0960-4AB5-993B-D5DBCCFE8958}"/>
    <cellStyle name="Migliaia 31 2 2 3 2 3" xfId="45753" xr:uid="{819E95F7-749F-47C0-AA98-C38423E85D92}"/>
    <cellStyle name="Migliaia 31 2 2 3 3" xfId="37800" xr:uid="{B7953672-EBC0-446A-B2C2-DFDD0883510E}"/>
    <cellStyle name="Migliaia 31 2 2 3 4" xfId="43102" xr:uid="{B9935F55-88E2-496C-A292-65CF49A0736C}"/>
    <cellStyle name="Migliaia 31 2 2 3 5" xfId="11614" xr:uid="{2256E601-698E-487E-BF83-2EB03A66FD6F}"/>
    <cellStyle name="Migliaia 31 2 2 4" xfId="3490" xr:uid="{47369C82-A708-4A32-B3AF-F25E16759785}"/>
    <cellStyle name="Migliaia 31 2 2 4 2" xfId="21488" xr:uid="{148D4EB4-7180-49A3-AE2C-D2078BC97A01}"/>
    <cellStyle name="Migliaia 31 2 2 4 3" xfId="47898" xr:uid="{1A956806-2124-42BA-92AA-1C7E5779F5A7}"/>
    <cellStyle name="Migliaia 31 2 2 4 4" xfId="50503" xr:uid="{7E37D2CB-DAC0-47E8-8A7F-112058047E57}"/>
    <cellStyle name="Migliaia 31 2 2 4 5" xfId="53519" xr:uid="{29BDEB80-296E-444A-970A-201771B68E43}"/>
    <cellStyle name="Migliaia 31 2 2 4 6" xfId="10853" xr:uid="{E06435B3-F922-40B4-9053-BE40928DBD1D}"/>
    <cellStyle name="Migliaia 31 2 2 5" xfId="20353" xr:uid="{E9D41C6E-C536-4F6A-AA46-53709F97F599}"/>
    <cellStyle name="Migliaia 31 2 2 6" xfId="24731" xr:uid="{FD0AC249-99BD-4D0B-BFAF-FA6D4619FCD6}"/>
    <cellStyle name="Migliaia 31 2 2 7" xfId="7435" xr:uid="{D4492925-C907-4976-8E68-1F22295CC182}"/>
    <cellStyle name="Migliaia 31 2 3" xfId="3491" xr:uid="{30762D4D-8378-4AC8-AC4E-6097F410DDE2}"/>
    <cellStyle name="Migliaia 31 2 3 2" xfId="5217" xr:uid="{E0159559-0C30-4058-B130-10BFA4CBC2DA}"/>
    <cellStyle name="Migliaia 31 2 3 2 2" xfId="35292" xr:uid="{CFBBFA89-7672-430A-8CFC-16BEAA23820B}"/>
    <cellStyle name="Migliaia 31 2 3 2 2 2" xfId="40452" xr:uid="{397DDC9F-8654-4AD0-A607-6367E37BD157}"/>
    <cellStyle name="Migliaia 31 2 3 2 2 3" xfId="45754" xr:uid="{FA7AE08A-FFA8-4686-BF95-BB6C2D11892E}"/>
    <cellStyle name="Migliaia 31 2 3 2 3" xfId="37801" xr:uid="{DAD6D61D-CE0D-4492-88B5-B04490865C7D}"/>
    <cellStyle name="Migliaia 31 2 3 2 4" xfId="43103" xr:uid="{DED4F2DB-AF9A-4AC7-9B01-79204052EBB2}"/>
    <cellStyle name="Migliaia 31 2 3 2 5" xfId="14252" xr:uid="{7C801C64-F82A-4768-B365-7EFD497A401C}"/>
    <cellStyle name="Migliaia 31 2 3 3" xfId="6417" xr:uid="{7D9254F1-66E6-4EA3-8964-B672336AA2CA}"/>
    <cellStyle name="Migliaia 31 2 3 3 2" xfId="39231" xr:uid="{3462B760-C7BC-4BB9-924F-396E1CA0EE4F}"/>
    <cellStyle name="Migliaia 31 2 3 3 3" xfId="44533" xr:uid="{A8C696C3-F064-4AF3-9912-0E3CA55DF0BA}"/>
    <cellStyle name="Migliaia 31 2 3 3 4" xfId="33743" xr:uid="{7CF4095D-C6EC-4178-ADC2-931811545405}"/>
    <cellStyle name="Migliaia 31 2 3 3 5" xfId="20355" xr:uid="{1B8921D7-3EC7-4D16-A3D6-A10D2B188A9E}"/>
    <cellStyle name="Migliaia 31 2 3 4" xfId="36675" xr:uid="{CA489EC8-1908-46FF-A431-F01E575B04C2}"/>
    <cellStyle name="Migliaia 31 2 3 5" xfId="41882" xr:uid="{8D373055-761E-4A8C-AC6C-7DE5BC708B26}"/>
    <cellStyle name="Migliaia 31 2 3 6" xfId="16380" xr:uid="{D395A64A-6220-4602-84F0-0DA473146DF2}"/>
    <cellStyle name="Migliaia 31 2 3 7" xfId="8314" xr:uid="{653596A6-B145-411B-87B4-2828930EB571}"/>
    <cellStyle name="Migliaia 31 2 4" xfId="5215" xr:uid="{1D1A6913-A23C-4F81-AB98-A42438FA8BD9}"/>
    <cellStyle name="Migliaia 31 2 4 2" xfId="13957" xr:uid="{2DA9365E-FD83-40AF-8631-BAEF7573303E}"/>
    <cellStyle name="Migliaia 31 2 4 2 2" xfId="39232" xr:uid="{603B3ADB-6E77-4955-B690-43AC95624CFC}"/>
    <cellStyle name="Migliaia 31 2 4 2 3" xfId="44534" xr:uid="{3EBC6D45-8BD5-43B3-80C8-40D1290951B7}"/>
    <cellStyle name="Migliaia 31 2 4 3" xfId="18048" xr:uid="{C2407FBC-EFFE-4D44-9D23-57D5F9B36E25}"/>
    <cellStyle name="Migliaia 31 2 4 4" xfId="20356" xr:uid="{E284B8C0-030E-435D-8B55-1F499CFBD7EF}"/>
    <cellStyle name="Migliaia 31 2 4 4 2" xfId="41883" xr:uid="{664DC3B9-473D-4EC3-B1E8-890AF1105C20}"/>
    <cellStyle name="Migliaia 31 2 4 5" xfId="16381" xr:uid="{B3056830-0BC2-424F-9C80-E81617C72A49}"/>
    <cellStyle name="Migliaia 31 2 4 6" xfId="7919" xr:uid="{E9EA08F9-A9FC-40AE-921F-1C686979B409}"/>
    <cellStyle name="Migliaia 31 2 5" xfId="6415" xr:uid="{7F28D860-C435-42DD-9574-83D99CF78566}"/>
    <cellStyle name="Migliaia 31 2 5 2" xfId="33744" xr:uid="{B5115CA7-41C3-43BA-BC83-9D7BCCA7F80F}"/>
    <cellStyle name="Migliaia 31 2 5 2 2" xfId="39233" xr:uid="{D284C7D8-54AF-4234-B980-38B94DA479C5}"/>
    <cellStyle name="Migliaia 31 2 5 2 3" xfId="44535" xr:uid="{F10E9DC8-9965-49C0-AC9A-4FF5CDCACC46}"/>
    <cellStyle name="Migliaia 31 2 5 3" xfId="36676" xr:uid="{9BB3B77E-5C01-4087-BED5-CF51263A5495}"/>
    <cellStyle name="Migliaia 31 2 5 4" xfId="41884" xr:uid="{4ED46D05-C153-441B-8AAF-D72321A8B442}"/>
    <cellStyle name="Migliaia 31 2 5 5" xfId="13127" xr:uid="{EFA2A021-3431-4BFA-A7F7-063205D1A715}"/>
    <cellStyle name="Migliaia 31 2 6" xfId="3489" xr:uid="{04C8A515-55ED-4DD1-A7DC-149F66F6F98B}"/>
    <cellStyle name="Migliaia 31 2 6 2" xfId="33745" xr:uid="{0F338E47-5809-4F1D-A03D-197690138987}"/>
    <cellStyle name="Migliaia 31 2 6 2 2" xfId="39234" xr:uid="{84E09B6B-BCE3-4908-9D77-5DA0147AAC7E}"/>
    <cellStyle name="Migliaia 31 2 6 2 3" xfId="44536" xr:uid="{5B18C787-2989-478F-93FC-4CA2E9603CD8}"/>
    <cellStyle name="Migliaia 31 2 6 3" xfId="36677" xr:uid="{D4BD1EA9-9D10-4AE7-82B7-1150C7E600B3}"/>
    <cellStyle name="Migliaia 31 2 6 4" xfId="41885" xr:uid="{2DE41D8C-6009-413D-AA66-39B4FD61D710}"/>
    <cellStyle name="Migliaia 31 2 6 5" xfId="24732" xr:uid="{7F2EF045-4F21-4BCE-80B9-00002A917CEA}"/>
    <cellStyle name="Migliaia 31 2 6 6" xfId="20352" xr:uid="{50FAD4B5-9726-4DF3-A264-1F84CA96A2EF}"/>
    <cellStyle name="Migliaia 31 2 7" xfId="24730" xr:uid="{4AE82017-836C-4C0C-8E63-2D08A260AE71}"/>
    <cellStyle name="Migliaia 31 2 8" xfId="7115" xr:uid="{CFAA4451-FE3F-4941-97E7-553EB9E7016E}"/>
    <cellStyle name="Migliaia 31 3" xfId="399" xr:uid="{00000000-0005-0000-0000-00009A030000}"/>
    <cellStyle name="Migliaia 31 3 10" xfId="24733" xr:uid="{F59303C0-4FA2-4C1C-9CDE-3A07121CF459}"/>
    <cellStyle name="Migliaia 31 3 11" xfId="16382" xr:uid="{02F9824C-06F5-42B9-A471-8DE1AC3CDC7E}"/>
    <cellStyle name="Migliaia 31 3 12" xfId="7116" xr:uid="{50621E49-C3D8-4BA1-8BD5-60C3FCEC4CD4}"/>
    <cellStyle name="Migliaia 31 3 2" xfId="400" xr:uid="{00000000-0005-0000-0000-00009B030000}"/>
    <cellStyle name="Migliaia 31 3 2 2" xfId="1777" xr:uid="{00000000-0005-0000-0000-00009C030000}"/>
    <cellStyle name="Migliaia 31 3 2 2 2" xfId="5220" xr:uid="{DF71539A-74F4-437F-8BD1-A4521F5A17BD}"/>
    <cellStyle name="Migliaia 31 3 2 2 2 2" xfId="18435" xr:uid="{C1E541C8-B31C-48B6-A2C4-EDD6A1133138}"/>
    <cellStyle name="Migliaia 31 3 2 2 2 2 2" xfId="21865" xr:uid="{44AB6FA0-46EC-4DB0-BDFB-890AE820B5E9}"/>
    <cellStyle name="Migliaia 31 3 2 2 2 2 2 2" xfId="39235" xr:uid="{4ABA8E73-D015-479A-9694-5B6ABA323054}"/>
    <cellStyle name="Migliaia 31 3 2 2 2 2 3" xfId="44537" xr:uid="{C2452BE2-5D60-4ABC-B4F2-CB9BF91AF338}"/>
    <cellStyle name="Migliaia 31 3 2 2 2 2 4" xfId="33746" xr:uid="{F64EA6CE-5177-410C-8ED5-C3C6E660214D}"/>
    <cellStyle name="Migliaia 31 3 2 2 2 3" xfId="36678" xr:uid="{20094BCF-1F0C-4D33-AF72-63074F4EAB4E}"/>
    <cellStyle name="Migliaia 31 3 2 2 2 4" xfId="41886" xr:uid="{A0EB0186-E91F-4C42-B9F9-E5C33212EE75}"/>
    <cellStyle name="Migliaia 31 3 2 2 2 5" xfId="25118" xr:uid="{D1313508-170E-4426-A0B1-379C666512DD}"/>
    <cellStyle name="Migliaia 31 3 2 2 2 6" xfId="50893" xr:uid="{EE095993-DC90-4266-A438-3CD28ACE6050}"/>
    <cellStyle name="Migliaia 31 3 2 2 2 7" xfId="53909" xr:uid="{AE00583B-F2AC-4FF4-A77C-F1B1EF1214C5}"/>
    <cellStyle name="Migliaia 31 3 2 2 2 8" xfId="17662" xr:uid="{05C555D6-6C05-4618-9B49-834B9DB1C25E}"/>
    <cellStyle name="Migliaia 31 3 2 2 2 9" xfId="11983" xr:uid="{A59EA2FF-D2EC-43F1-A33D-642895083741}"/>
    <cellStyle name="Migliaia 31 3 2 2 3" xfId="6420" xr:uid="{77D51350-50C7-490F-B3DF-F5AA14B70FE5}"/>
    <cellStyle name="Migliaia 31 3 2 2 3 2" xfId="11561" xr:uid="{12F9AE96-0549-4F52-B3A8-5CBC988EFDDE}"/>
    <cellStyle name="Migliaia 31 3 2 2 4" xfId="3494" xr:uid="{6902512F-08C6-4B01-87E8-60DCE8CD288D}"/>
    <cellStyle name="Migliaia 31 3 2 2 4 2" xfId="21489" xr:uid="{00954306-E73A-4734-9261-B5574B1CAA22}"/>
    <cellStyle name="Migliaia 31 3 2 2 4 3" xfId="46240" xr:uid="{EC673F0E-9BC4-42F4-8FC4-BE3143506309}"/>
    <cellStyle name="Migliaia 31 3 2 2 4 4" xfId="50504" xr:uid="{147B01FC-9C43-496F-B036-02606133F1D8}"/>
    <cellStyle name="Migliaia 31 3 2 2 4 5" xfId="53520" xr:uid="{1BE276C7-34D6-4A86-85E0-19D5FE5D5527}"/>
    <cellStyle name="Migliaia 31 3 2 2 4 6" xfId="10854" xr:uid="{7453F83B-8D35-4815-8ABC-602A6A4637BE}"/>
    <cellStyle name="Migliaia 31 3 2 2 5" xfId="20359" xr:uid="{71FCA41B-102B-4FA9-A9AA-AA386FF397F6}"/>
    <cellStyle name="Migliaia 31 3 2 2 6" xfId="24735" xr:uid="{4B4116FF-4F54-4B9C-BE5C-0649BC71212C}"/>
    <cellStyle name="Migliaia 31 3 2 2 7" xfId="8627" xr:uid="{3520C8AF-E5E0-41B9-A1A3-494A941594E2}"/>
    <cellStyle name="Migliaia 31 3 2 3" xfId="5219" xr:uid="{09E0C114-33C2-468D-A27D-C25888CD82A8}"/>
    <cellStyle name="Migliaia 31 3 2 3 2" xfId="12413" xr:uid="{01ED5FFD-18F6-4745-A98B-5F517F4AA934}"/>
    <cellStyle name="Migliaia 31 3 2 3 2 2" xfId="39236" xr:uid="{10E6201F-476E-417C-8FD2-7FF636BC5DE6}"/>
    <cellStyle name="Migliaia 31 3 2 3 2 3" xfId="44538" xr:uid="{552DBB11-592B-4CF5-9701-CDE654D213D0}"/>
    <cellStyle name="Migliaia 31 3 2 3 2 4" xfId="33747" xr:uid="{E4FDB6FD-2C13-404B-B045-E9B43CF2A038}"/>
    <cellStyle name="Migliaia 31 3 2 3 3" xfId="11984" xr:uid="{E3687BA6-4C73-4A14-9A62-491A9AE9C346}"/>
    <cellStyle name="Migliaia 31 3 2 3 4" xfId="20360" xr:uid="{17781622-987D-4371-BF10-048CE0120C8E}"/>
    <cellStyle name="Migliaia 31 3 2 3 4 2" xfId="41887" xr:uid="{A80E8E6C-2A11-4DE2-A7E2-08C28907912D}"/>
    <cellStyle name="Migliaia 31 3 2 3 5" xfId="16383" xr:uid="{009B6D10-593B-4DCB-9961-8582EED0E21B}"/>
    <cellStyle name="Migliaia 31 3 2 3 6" xfId="7921" xr:uid="{3CA03E4F-6045-4724-9EF1-598AE04BEEDA}"/>
    <cellStyle name="Migliaia 31 3 2 4" xfId="6419" xr:uid="{76050A85-0A90-46F9-9A30-42A5C0029655}"/>
    <cellStyle name="Migliaia 31 3 2 4 2" xfId="18081" xr:uid="{3134B4E1-959B-4DA0-9F14-724409D74994}"/>
    <cellStyle name="Migliaia 31 3 2 4 2 2" xfId="39237" xr:uid="{929829D3-C26C-4469-8C37-7D7F9D9B2296}"/>
    <cellStyle name="Migliaia 31 3 2 4 2 3" xfId="44539" xr:uid="{278DD10D-20B8-4557-A95A-00540678D18F}"/>
    <cellStyle name="Migliaia 31 3 2 4 3" xfId="36679" xr:uid="{BA36D7A5-4740-4F91-A91B-DDE860E7D16E}"/>
    <cellStyle name="Migliaia 31 3 2 4 4" xfId="41888" xr:uid="{624CDC04-6E80-427B-9AD5-EB478B60CE93}"/>
    <cellStyle name="Migliaia 31 3 2 4 5" xfId="17184" xr:uid="{2155263D-F15D-46E9-A6A3-D75C6994E7FC}"/>
    <cellStyle name="Migliaia 31 3 2 4 6" xfId="11332" xr:uid="{6DA2C26A-E05E-4FB2-BABC-4BDE8D6FDCCA}"/>
    <cellStyle name="Migliaia 31 3 2 5" xfId="3493" xr:uid="{BAC76DF3-711D-43D4-B822-D8482F1BF89D}"/>
    <cellStyle name="Migliaia 31 3 2 5 2" xfId="33748" xr:uid="{0CBAE39A-50FE-4D93-A8AE-5FC4FB5A6810}"/>
    <cellStyle name="Migliaia 31 3 2 5 2 2" xfId="39238" xr:uid="{7376D6EA-78D3-4304-981C-59748BB962C4}"/>
    <cellStyle name="Migliaia 31 3 2 5 2 3" xfId="44540" xr:uid="{83FDD109-56E6-4738-A01B-1DD3CFDCCD60}"/>
    <cellStyle name="Migliaia 31 3 2 5 3" xfId="36680" xr:uid="{567248DA-BF5C-469D-A22A-68CCB49E7276}"/>
    <cellStyle name="Migliaia 31 3 2 5 4" xfId="41889" xr:uid="{CF8C6806-DB78-4249-A29D-7E203047F26E}"/>
    <cellStyle name="Migliaia 31 3 2 5 5" xfId="17354" xr:uid="{1FB87460-B61C-4125-AF75-D8648A7670FE}"/>
    <cellStyle name="Migliaia 31 3 2 6" xfId="20358" xr:uid="{D44E5098-0D57-458B-840D-D21E2F1B288C}"/>
    <cellStyle name="Migliaia 31 3 2 6 2" xfId="33749" xr:uid="{345592E1-829B-4A3B-87D3-B37ABCD3F9E6}"/>
    <cellStyle name="Migliaia 31 3 2 6 2 2" xfId="39239" xr:uid="{4FB4B4DE-FD88-470C-925E-2F1413ECEA18}"/>
    <cellStyle name="Migliaia 31 3 2 6 2 3" xfId="44541" xr:uid="{429EA2BD-E70A-4657-9B31-A389FAB74B50}"/>
    <cellStyle name="Migliaia 31 3 2 6 3" xfId="36681" xr:uid="{7B016810-30A8-4752-B429-3B9C1B7D33CF}"/>
    <cellStyle name="Migliaia 31 3 2 6 4" xfId="41890" xr:uid="{6B71A572-D1C8-4F21-8B53-0FD41B772525}"/>
    <cellStyle name="Migliaia 31 3 2 6 5" xfId="24736" xr:uid="{F452539B-7AFD-47E3-8314-5B07506E9D31}"/>
    <cellStyle name="Migliaia 31 3 2 7" xfId="24734" xr:uid="{8501F202-9CCF-427D-BB78-F984A99C5927}"/>
    <cellStyle name="Migliaia 31 3 2 8" xfId="7437" xr:uid="{225C635F-FCA7-49A9-8644-00125B5CF8D9}"/>
    <cellStyle name="Migliaia 31 3 3" xfId="3495" xr:uid="{D3BDCB50-6E7F-4B9A-9244-6B124F81DFF6}"/>
    <cellStyle name="Migliaia 31 3 3 10" xfId="7436" xr:uid="{6E3CEDD8-0CDD-48CF-9773-60A12BA33C81}"/>
    <cellStyle name="Migliaia 31 3 3 2" xfId="5221" xr:uid="{8E78C43B-41FB-4D0F-9CDC-5EA3F67D585D}"/>
    <cellStyle name="Migliaia 31 3 3 2 2" xfId="9930" xr:uid="{5CCF491B-9096-4803-90B8-54438CAE1BD4}"/>
    <cellStyle name="Migliaia 31 3 3 2 2 2" xfId="39241" xr:uid="{B2CFE6A5-1816-4B2F-8EA3-E5D15F28C890}"/>
    <cellStyle name="Migliaia 31 3 3 2 2 3" xfId="44543" xr:uid="{70436AE1-B6D7-4DEE-9932-1F59318DBA58}"/>
    <cellStyle name="Migliaia 31 3 3 2 3" xfId="18210" xr:uid="{CDE44738-839B-4BE5-8313-768A79E75B98}"/>
    <cellStyle name="Migliaia 31 3 3 2 4" xfId="20362" xr:uid="{55BEF220-47A5-4AA4-9726-E5DC65B9BD76}"/>
    <cellStyle name="Migliaia 31 3 3 2 4 2" xfId="41892" xr:uid="{767ED706-A510-41BE-8A8B-5E6520107E3B}"/>
    <cellStyle name="Migliaia 31 3 3 2 5" xfId="16385" xr:uid="{D5FCE0DD-2E81-43DD-971E-D925EAB62FEE}"/>
    <cellStyle name="Migliaia 31 3 3 2 6" xfId="8626" xr:uid="{6A53DAE4-8F85-41C0-A6F5-0E4F84881DD8}"/>
    <cellStyle name="Migliaia 31 3 3 3" xfId="6421" xr:uid="{893AD938-730D-4D6C-B254-03A4384AE400}"/>
    <cellStyle name="Migliaia 31 3 3 3 2" xfId="33751" xr:uid="{1C54D824-83F3-4E69-BEF4-633B46B63CEF}"/>
    <cellStyle name="Migliaia 31 3 3 3 2 2" xfId="39242" xr:uid="{7D06A263-F990-4F84-8BD1-4696B8D3753B}"/>
    <cellStyle name="Migliaia 31 3 3 3 2 3" xfId="44544" xr:uid="{D5760284-31A8-4FFC-A47B-10044966A57B}"/>
    <cellStyle name="Migliaia 31 3 3 3 3" xfId="36683" xr:uid="{2CDB14AB-76E3-4B76-94AE-C2F4874506E5}"/>
    <cellStyle name="Migliaia 31 3 3 3 4" xfId="41893" xr:uid="{EA997AAA-8A0E-4292-84BA-D77DDCE22775}"/>
    <cellStyle name="Migliaia 31 3 3 3 5" xfId="9693" xr:uid="{6BE3AC87-8E19-4BA1-88C2-70F7B19177A5}"/>
    <cellStyle name="Migliaia 31 3 3 4" xfId="20361" xr:uid="{98A408FE-4BA2-4D2E-854D-3AFCABE0B243}"/>
    <cellStyle name="Migliaia 31 3 3 4 2" xfId="33752" xr:uid="{CD0E34D2-5643-4341-929B-973FB6961A90}"/>
    <cellStyle name="Migliaia 31 3 3 4 2 2" xfId="39243" xr:uid="{3AFE4A14-A951-4496-8ABE-EE50663B6CA9}"/>
    <cellStyle name="Migliaia 31 3 3 4 2 3" xfId="44545" xr:uid="{3278A17B-5B74-4EED-A1BC-62029A4CE1F2}"/>
    <cellStyle name="Migliaia 31 3 3 4 3" xfId="36684" xr:uid="{37B59550-3385-4C28-9F9E-9E923C899562}"/>
    <cellStyle name="Migliaia 31 3 3 4 4" xfId="41894" xr:uid="{77AEB111-3235-4C30-B1B1-0D4BEE299962}"/>
    <cellStyle name="Migliaia 31 3 3 4 5" xfId="24737" xr:uid="{83018D26-81F7-4361-A81E-3C7E3B888BDF}"/>
    <cellStyle name="Migliaia 31 3 3 5" xfId="24738" xr:uid="{888CA912-9604-4F4B-BB52-3CCC8A8932B2}"/>
    <cellStyle name="Migliaia 31 3 3 5 2" xfId="33753" xr:uid="{872B2D3A-8B11-47E5-9E81-5527D113661B}"/>
    <cellStyle name="Migliaia 31 3 3 5 2 2" xfId="39244" xr:uid="{70C812EE-1115-49E1-A0F5-5034FAD9AA72}"/>
    <cellStyle name="Migliaia 31 3 3 5 2 3" xfId="44546" xr:uid="{9211998D-058A-49E0-ADB5-EC2E49BD1C79}"/>
    <cellStyle name="Migliaia 31 3 3 5 3" xfId="36685" xr:uid="{45469E5F-8F22-446C-9F76-B62A82F6296A}"/>
    <cellStyle name="Migliaia 31 3 3 5 4" xfId="41895" xr:uid="{AFAF7C5F-1487-49C0-B2E8-B3A5CEFD372F}"/>
    <cellStyle name="Migliaia 31 3 3 6" xfId="33750" xr:uid="{8E584D8E-8F07-4173-A3CA-4BC9DA490C87}"/>
    <cellStyle name="Migliaia 31 3 3 6 2" xfId="39240" xr:uid="{43DC9B23-C0DE-41C4-AFB9-A23E6EC72358}"/>
    <cellStyle name="Migliaia 31 3 3 6 3" xfId="44542" xr:uid="{5C1758B2-105D-4255-94BE-3C1FE06125FB}"/>
    <cellStyle name="Migliaia 31 3 3 7" xfId="36682" xr:uid="{408FE824-73A4-4A11-9F04-1A83B2AF9527}"/>
    <cellStyle name="Migliaia 31 3 3 8" xfId="41891" xr:uid="{C184D14B-0973-486B-8685-B66B27983E4A}"/>
    <cellStyle name="Migliaia 31 3 3 9" xfId="16384" xr:uid="{D84A0F76-3442-4547-829B-3543C6532142}"/>
    <cellStyle name="Migliaia 31 3 4" xfId="3496" xr:uid="{84CA125A-BA26-45F8-9DED-C565E220C5BF}"/>
    <cellStyle name="Migliaia 31 3 4 2" xfId="5222" xr:uid="{8EB56F92-E8F9-4EDE-B599-227C0043B235}"/>
    <cellStyle name="Migliaia 31 3 4 2 2" xfId="14447" xr:uid="{7E3CF24B-DE85-49E6-83EC-5F0D7CFA8C24}"/>
    <cellStyle name="Migliaia 31 3 4 2 3" xfId="18034" xr:uid="{BF75D73D-82D3-49D8-BC00-86844C760CF4}"/>
    <cellStyle name="Migliaia 31 3 4 2 4" xfId="20364" xr:uid="{D5FCC455-8237-48A2-AFA5-EC54B81CC8CF}"/>
    <cellStyle name="Migliaia 31 3 4 2 5" xfId="32374" xr:uid="{4FE5EC5F-B3D4-4F94-8909-FA689EF34586}"/>
    <cellStyle name="Migliaia 31 3 4 2 6" xfId="16387" xr:uid="{E4C28CF8-29E6-4789-B00C-151763120197}"/>
    <cellStyle name="Migliaia 31 3 4 2 7" xfId="8870" xr:uid="{85BF0225-73FE-4986-8C2C-42379B1547BF}"/>
    <cellStyle name="Migliaia 31 3 4 3" xfId="6422" xr:uid="{99B068B8-AF70-4599-8CA0-675CDFB635B4}"/>
    <cellStyle name="Migliaia 31 3 4 3 2" xfId="35293" xr:uid="{0BEF78AB-BB09-4115-8028-84C170A3E13D}"/>
    <cellStyle name="Migliaia 31 3 4 3 2 2" xfId="40453" xr:uid="{244E9E6D-844E-40C6-B37E-D242106E3CA3}"/>
    <cellStyle name="Migliaia 31 3 4 3 2 3" xfId="45755" xr:uid="{C26B83F7-AB34-4EDC-A606-43CB6A0A9BCB}"/>
    <cellStyle name="Migliaia 31 3 4 3 3" xfId="37802" xr:uid="{8EA34DE4-CE68-44D9-922D-BF23ED718AB5}"/>
    <cellStyle name="Migliaia 31 3 4 3 4" xfId="43104" xr:uid="{6EBD7D4D-BBA2-4F72-AABC-13BC0EEBA33A}"/>
    <cellStyle name="Migliaia 31 3 4 3 5" xfId="13695" xr:uid="{BAD54529-2722-44CF-A8FA-BA2EFDB82E72}"/>
    <cellStyle name="Migliaia 31 3 4 4" xfId="20363" xr:uid="{60F186BD-E3A3-43AA-904A-450253B57011}"/>
    <cellStyle name="Migliaia 31 3 4 4 2" xfId="39245" xr:uid="{7635EE65-8FD7-461F-9686-CCC43E227B07}"/>
    <cellStyle name="Migliaia 31 3 4 4 3" xfId="44547" xr:uid="{0EDC2BB7-E8FC-437F-AA61-2CF7911B6625}"/>
    <cellStyle name="Migliaia 31 3 4 4 4" xfId="33754" xr:uid="{EC2B8E66-B4B7-4AF2-8DC8-6BC6BFD44D14}"/>
    <cellStyle name="Migliaia 31 3 4 5" xfId="36686" xr:uid="{CC81F35A-7EFE-4AF2-94C3-12945AB77E4E}"/>
    <cellStyle name="Migliaia 31 3 4 6" xfId="41896" xr:uid="{351F6534-0C29-443E-8243-8CAD05E0B406}"/>
    <cellStyle name="Migliaia 31 3 4 7" xfId="16386" xr:uid="{6BF02431-61D9-414D-A385-DDE49801E331}"/>
    <cellStyle name="Migliaia 31 3 4 8" xfId="7680" xr:uid="{E786EFA2-CE60-41C7-B15F-A9AE249C201B}"/>
    <cellStyle name="Migliaia 31 3 5" xfId="3497" xr:uid="{A5992FC6-E45C-4A62-B8DA-AC62F6AB789B}"/>
    <cellStyle name="Migliaia 31 3 5 2" xfId="5223" xr:uid="{20A7DA60-DD5A-4F80-9DAB-3DED3D0D1967}"/>
    <cellStyle name="Migliaia 31 3 5 2 2" xfId="35294" xr:uid="{80FF3102-1F31-460C-98C0-B10934085A70}"/>
    <cellStyle name="Migliaia 31 3 5 2 2 2" xfId="40454" xr:uid="{F2BE22FE-EC91-4C4C-95A7-ABC8A883291F}"/>
    <cellStyle name="Migliaia 31 3 5 2 2 3" xfId="45756" xr:uid="{AE4982EE-CA72-48FA-B9C8-6089871636CD}"/>
    <cellStyle name="Migliaia 31 3 5 2 3" xfId="37803" xr:uid="{73D4CF58-BEEF-472B-8B5B-621971897E17}"/>
    <cellStyle name="Migliaia 31 3 5 2 4" xfId="43105" xr:uid="{80ED1C44-4491-4C9B-8385-89D92D26C62A}"/>
    <cellStyle name="Migliaia 31 3 5 2 5" xfId="14253" xr:uid="{162D3F3F-31FB-46E8-AD2F-5378BFE4E2F6}"/>
    <cellStyle name="Migliaia 31 3 5 3" xfId="6423" xr:uid="{AC44422E-D10F-4E3C-978F-FD439BC657AA}"/>
    <cellStyle name="Migliaia 31 3 5 3 2" xfId="39246" xr:uid="{17B7D9E2-94F5-4A65-8F33-745387BEDF1F}"/>
    <cellStyle name="Migliaia 31 3 5 3 3" xfId="44548" xr:uid="{F1F1ADA4-B232-4716-A145-271B25411983}"/>
    <cellStyle name="Migliaia 31 3 5 3 4" xfId="33755" xr:uid="{E7F1E160-274F-45F5-A97E-E0F61D77CCF3}"/>
    <cellStyle name="Migliaia 31 3 5 3 5" xfId="20365" xr:uid="{8BB0AD91-8A89-4126-A3C8-2D3896E04A2B}"/>
    <cellStyle name="Migliaia 31 3 5 4" xfId="36687" xr:uid="{7CEFC9AC-822A-44F9-AA95-B2874991F155}"/>
    <cellStyle name="Migliaia 31 3 5 5" xfId="41897" xr:uid="{C516737F-47A7-4710-88FB-0D1C8461D72D}"/>
    <cellStyle name="Migliaia 31 3 5 6" xfId="16388" xr:uid="{C0A97C5F-C0B2-4E9E-B27A-CE768F71335F}"/>
    <cellStyle name="Migliaia 31 3 5 7" xfId="8315" xr:uid="{0B2C801B-4B33-4910-A5AD-850345E18E03}"/>
    <cellStyle name="Migliaia 31 3 6" xfId="5218" xr:uid="{A30F4ECE-8C48-420B-A18D-44568CEBDAA0}"/>
    <cellStyle name="Migliaia 31 3 6 2" xfId="13958" xr:uid="{5A3DCAC6-1471-4556-B581-99B7A3409C03}"/>
    <cellStyle name="Migliaia 31 3 6 2 2" xfId="39247" xr:uid="{2132871D-8A55-4416-96FC-970CC191FF14}"/>
    <cellStyle name="Migliaia 31 3 6 2 3" xfId="44549" xr:uid="{A27AA4A1-23CA-4DB3-990A-FFA106342A54}"/>
    <cellStyle name="Migliaia 31 3 6 3" xfId="18708" xr:uid="{8BDE2256-F2E4-4F32-B473-4BBD1C2A3BDD}"/>
    <cellStyle name="Migliaia 31 3 6 4" xfId="20366" xr:uid="{639D641F-5571-48FF-988F-73F6F3986988}"/>
    <cellStyle name="Migliaia 31 3 6 4 2" xfId="41898" xr:uid="{C06F6988-C52B-4FAF-ADB5-3644775C660A}"/>
    <cellStyle name="Migliaia 31 3 6 5" xfId="16389" xr:uid="{5E7713F9-9D2D-41D0-ABF0-74118D955B53}"/>
    <cellStyle name="Migliaia 31 3 6 6" xfId="7920" xr:uid="{B72738CD-F0A7-4ADA-92DE-53E5C17EB695}"/>
    <cellStyle name="Migliaia 31 3 7" xfId="6418" xr:uid="{6C5F6CFF-311E-4E3C-ABAA-C50FA2B916B8}"/>
    <cellStyle name="Migliaia 31 3 7 2" xfId="33756" xr:uid="{CBBCF93E-E0D3-4622-B74C-D3CF9FDD0016}"/>
    <cellStyle name="Migliaia 31 3 7 2 2" xfId="39248" xr:uid="{767C0218-E9EF-4485-8533-D857E5B3A40F}"/>
    <cellStyle name="Migliaia 31 3 7 2 3" xfId="44550" xr:uid="{E96D34D1-3CC0-48CF-9C2F-CA43B4EBE590}"/>
    <cellStyle name="Migliaia 31 3 7 3" xfId="36688" xr:uid="{DAEEC8FD-96C5-4D75-A03E-AE1AB7379715}"/>
    <cellStyle name="Migliaia 31 3 7 4" xfId="41899" xr:uid="{0C639276-A3F3-4322-A68B-34973F8B43CF}"/>
    <cellStyle name="Migliaia 31 3 7 5" xfId="11220" xr:uid="{68758E9F-B9E6-446B-B787-B52419319955}"/>
    <cellStyle name="Migliaia 31 3 8" xfId="3492" xr:uid="{FCD0D78F-85CE-4180-B381-020C64E93EEF}"/>
    <cellStyle name="Migliaia 31 3 8 2" xfId="33757" xr:uid="{5215B0FC-133A-4B17-AE67-1F31060D136E}"/>
    <cellStyle name="Migliaia 31 3 8 2 2" xfId="39249" xr:uid="{59D4A502-DC6F-4EBC-8AFF-4EE32D161D26}"/>
    <cellStyle name="Migliaia 31 3 8 2 3" xfId="44551" xr:uid="{90930F00-3097-4636-9BB1-5171E0FB885B}"/>
    <cellStyle name="Migliaia 31 3 8 3" xfId="36689" xr:uid="{AB8E8FF9-E1A3-41BF-AA3F-0C3845A50445}"/>
    <cellStyle name="Migliaia 31 3 8 4" xfId="41900" xr:uid="{48A01FF2-C657-4247-BA67-85EE00DFE49C}"/>
    <cellStyle name="Migliaia 31 3 8 5" xfId="24739" xr:uid="{F55EB6E7-F0BD-4D1D-8522-39F9A347D946}"/>
    <cellStyle name="Migliaia 31 3 8 6" xfId="17355" xr:uid="{5119D3EE-F81F-4181-AFB3-FB9676250445}"/>
    <cellStyle name="Migliaia 31 3 9" xfId="20357" xr:uid="{15B94DB4-C0B6-4240-B8B3-A0F390C53C2B}"/>
    <cellStyle name="Migliaia 31 4" xfId="1778" xr:uid="{00000000-0005-0000-0000-00009D030000}"/>
    <cellStyle name="Migliaia 31 4 2" xfId="1779" xr:uid="{00000000-0005-0000-0000-00009E030000}"/>
    <cellStyle name="Migliaia 31 4 2 2" xfId="5225" xr:uid="{D43F4634-FB95-4689-A780-2270C5BE933E}"/>
    <cellStyle name="Migliaia 31 4 2 2 2" xfId="33758" xr:uid="{6F2560E5-584D-40FB-8142-3B2F1D540F2F}"/>
    <cellStyle name="Migliaia 31 4 2 2 2 2" xfId="39250" xr:uid="{E9E10B04-4153-421C-8DBD-E5E7A3CCB0F9}"/>
    <cellStyle name="Migliaia 31 4 2 2 2 3" xfId="44552" xr:uid="{3322DF91-65C3-44D5-B734-6CBBAC45D1D9}"/>
    <cellStyle name="Migliaia 31 4 2 2 3" xfId="36690" xr:uid="{A19A509D-9747-4ACC-9F81-105FC970FA13}"/>
    <cellStyle name="Migliaia 31 4 2 2 4" xfId="41901" xr:uid="{89AB7A47-2F42-43AD-9658-A36B03E406B0}"/>
    <cellStyle name="Migliaia 31 4 2 2 5" xfId="9156" xr:uid="{9DCCAEA6-72D2-4B2D-93A2-BF0573DA379B}"/>
    <cellStyle name="Migliaia 31 4 2 3" xfId="3499" xr:uid="{AAA9DC24-50C3-4EEF-81C6-FCD01AF396BE}"/>
    <cellStyle name="Migliaia 31 4 2 3 2" xfId="33759" xr:uid="{1BAD5C2B-5F7B-46C6-BC1A-02C99458B626}"/>
    <cellStyle name="Migliaia 31 4 2 3 2 2" xfId="39251" xr:uid="{89D41ED9-24AE-46B6-9829-47A3A778D7D1}"/>
    <cellStyle name="Migliaia 31 4 2 3 2 3" xfId="44553" xr:uid="{E77A00ED-42ED-475C-BEA6-FD0355A51063}"/>
    <cellStyle name="Migliaia 31 4 2 3 3" xfId="36691" xr:uid="{820D6BA1-6AE3-4041-A252-8A6F00FC3ADA}"/>
    <cellStyle name="Migliaia 31 4 2 3 4" xfId="41902" xr:uid="{3A25C276-020C-400E-8EEC-CD5AAD770AC5}"/>
    <cellStyle name="Migliaia 31 4 2 3 5" xfId="11985" xr:uid="{77552B9A-129F-4B7F-9BB0-933D20A18DF5}"/>
    <cellStyle name="Migliaia 31 4 2 4" xfId="11334" xr:uid="{24B96DAF-FE52-476B-A930-6E97DE76A628}"/>
    <cellStyle name="Migliaia 31 4 2 5" xfId="10856" xr:uid="{B57C215D-D881-4271-B2FC-B496854E71D8}"/>
    <cellStyle name="Migliaia 31 4 2 5 2" xfId="21491" xr:uid="{788EFE8B-08EC-4F74-9A87-F47B785C09EE}"/>
    <cellStyle name="Migliaia 31 4 2 5 3" xfId="46241" xr:uid="{46015C3C-486C-4CD1-965D-E02CA687CF84}"/>
    <cellStyle name="Migliaia 31 4 2 5 4" xfId="50506" xr:uid="{1E0D0EAF-CEBE-41DC-89A6-3F28510175CA}"/>
    <cellStyle name="Migliaia 31 4 2 5 5" xfId="53522" xr:uid="{7ED737E3-0D78-42CB-8F0B-9840DBA8B42C}"/>
    <cellStyle name="Migliaia 31 4 2 6" xfId="20368" xr:uid="{C899CE39-B051-4155-92D4-8C0B0DF18934}"/>
    <cellStyle name="Migliaia 31 4 2 7" xfId="24741" xr:uid="{DA88BB79-85CF-4CFC-AB04-C47C97F80F66}"/>
    <cellStyle name="Migliaia 31 4 2 8" xfId="8628" xr:uid="{932C9A7D-5B10-4C34-A2B4-88A56263D9C2}"/>
    <cellStyle name="Migliaia 31 4 3" xfId="5224" xr:uid="{1E6CD08F-671B-4EC0-A586-CC9B184FDB9F}"/>
    <cellStyle name="Migliaia 31 4 3 2" xfId="18211" xr:uid="{184187FF-02A4-45E1-9356-39BC058CBB4D}"/>
    <cellStyle name="Migliaia 31 4 3 2 2" xfId="39252" xr:uid="{EAD53DB3-FAAC-4ACD-B972-F0B9CCB163DE}"/>
    <cellStyle name="Migliaia 31 4 3 2 3" xfId="44554" xr:uid="{C1D3C2FD-6342-4C15-B408-6152DBF6D1FF}"/>
    <cellStyle name="Migliaia 31 4 3 3" xfId="36692" xr:uid="{CD20F1BA-3AFF-4902-9171-B40207514B38}"/>
    <cellStyle name="Migliaia 31 4 3 4" xfId="41903" xr:uid="{36F817CB-3A4E-427F-8FFB-BAB16EDDBED7}"/>
    <cellStyle name="Migliaia 31 4 3 5" xfId="17353" xr:uid="{2335DA2F-79A4-4396-B73A-6FC380645011}"/>
    <cellStyle name="Migliaia 31 4 3 6" xfId="9157" xr:uid="{5F4E82F0-AFD9-4314-A602-CE778DE781EC}"/>
    <cellStyle name="Migliaia 31 4 4" xfId="6424" xr:uid="{2727B6A3-96D1-4581-90D4-2CD63EDDE7D5}"/>
    <cellStyle name="Migliaia 31 4 4 2" xfId="33760" xr:uid="{9D29BAD4-6F5D-4300-BAE1-F59363167739}"/>
    <cellStyle name="Migliaia 31 4 4 2 2" xfId="39253" xr:uid="{AB1BCB52-438D-4BAF-801D-38113EF50D5F}"/>
    <cellStyle name="Migliaia 31 4 4 2 3" xfId="44555" xr:uid="{D9A35B94-35CD-4000-A296-A9FE1583044D}"/>
    <cellStyle name="Migliaia 31 4 4 3" xfId="36693" xr:uid="{C92B0A3D-1A5D-4535-852D-E5FBE4539C94}"/>
    <cellStyle name="Migliaia 31 4 4 4" xfId="41904" xr:uid="{BE4504FD-A8E9-4445-BC05-25FCAEEB489E}"/>
    <cellStyle name="Migliaia 31 4 4 5" xfId="11986" xr:uid="{00B4D750-EC94-4B3C-9EC6-59CAA39CABAB}"/>
    <cellStyle name="Migliaia 31 4 5" xfId="3498" xr:uid="{13C882A0-88F5-486D-A75F-FB66E96D1846}"/>
    <cellStyle name="Migliaia 31 4 5 2" xfId="33761" xr:uid="{85242245-B857-4C16-9FB6-5A280B950613}"/>
    <cellStyle name="Migliaia 31 4 5 2 2" xfId="39254" xr:uid="{7C0103FB-4869-4E01-A319-F652015300F0}"/>
    <cellStyle name="Migliaia 31 4 5 2 3" xfId="44556" xr:uid="{F3D94A43-85B7-4C62-B6E0-337D6019DD0A}"/>
    <cellStyle name="Migliaia 31 4 5 3" xfId="36694" xr:uid="{F6439B10-8B12-4BBB-BFE9-D4DE764ACF72}"/>
    <cellStyle name="Migliaia 31 4 5 4" xfId="41905" xr:uid="{FFB5F57E-BABD-438D-BC68-96AB07F26840}"/>
    <cellStyle name="Migliaia 31 4 5 5" xfId="11333" xr:uid="{0CEDF928-09AA-4934-BAFB-B96FF7FEE5DB}"/>
    <cellStyle name="Migliaia 31 4 6" xfId="10855" xr:uid="{CA6AC927-734E-4907-AECE-41B39FDBFBAE}"/>
    <cellStyle name="Migliaia 31 4 6 2" xfId="21490" xr:uid="{34E5D40F-E4E6-4FF4-BCFC-C6B24E789E23}"/>
    <cellStyle name="Migliaia 31 4 6 2 2" xfId="39255" xr:uid="{2F2F619A-619F-4EA4-A544-6EB13BC1AD14}"/>
    <cellStyle name="Migliaia 31 4 6 2 3" xfId="44557" xr:uid="{59963D00-0FEA-461F-94DD-C1D4AD3FC62C}"/>
    <cellStyle name="Migliaia 31 4 6 2 4" xfId="33762" xr:uid="{AB932A5F-084F-4582-8CE6-F8C416EAAA81}"/>
    <cellStyle name="Migliaia 31 4 6 3" xfId="36695" xr:uid="{866E5C4E-621B-4B30-9B98-C36F500B4527}"/>
    <cellStyle name="Migliaia 31 4 6 4" xfId="41906" xr:uid="{C54344DE-6776-41F7-8992-545182D9FCFD}"/>
    <cellStyle name="Migliaia 31 4 6 5" xfId="24742" xr:uid="{C4AF5960-CB14-4F46-9FA0-8B368CEF9D14}"/>
    <cellStyle name="Migliaia 31 4 6 6" xfId="48473" xr:uid="{AAC1E15D-D2BB-4270-A09E-209D288A4A93}"/>
    <cellStyle name="Migliaia 31 4 6 7" xfId="50505" xr:uid="{6393171C-B3B7-4A8E-9AFB-2CB3658A264A}"/>
    <cellStyle name="Migliaia 31 4 6 8" xfId="53521" xr:uid="{AA8A4D72-590D-41DC-BC85-418B08D6ABF9}"/>
    <cellStyle name="Migliaia 31 4 7" xfId="20367" xr:uid="{D79FC15D-F081-4838-A39C-EE9FA6118D4A}"/>
    <cellStyle name="Migliaia 31 4 7 2" xfId="33763" xr:uid="{1EE34EDE-A9A7-4B9E-9316-CE4B8D501812}"/>
    <cellStyle name="Migliaia 31 4 7 2 2" xfId="39256" xr:uid="{68D6714C-014D-4F7E-B395-058317D09F88}"/>
    <cellStyle name="Migliaia 31 4 7 2 3" xfId="44558" xr:uid="{B5B90963-E1F9-48A3-9178-0EA606813C11}"/>
    <cellStyle name="Migliaia 31 4 7 3" xfId="36696" xr:uid="{1F90C79E-AA54-4081-8F03-603E27AE28F5}"/>
    <cellStyle name="Migliaia 31 4 7 4" xfId="41907" xr:uid="{1451556D-09F8-4846-A4D2-E792051F8950}"/>
    <cellStyle name="Migliaia 31 4 7 5" xfId="24743" xr:uid="{343F827F-9571-4952-BEB6-E3689B21AF75}"/>
    <cellStyle name="Migliaia 31 4 8" xfId="24740" xr:uid="{FF9C6693-AFA3-459F-B240-F0AC88C9EF76}"/>
    <cellStyle name="Migliaia 31 4 9" xfId="7438" xr:uid="{F446D293-25E9-4B54-A573-EA00A7DB2987}"/>
    <cellStyle name="Migliaia 31 5" xfId="1780" xr:uid="{00000000-0005-0000-0000-00009F030000}"/>
    <cellStyle name="Migliaia 31 5 2" xfId="5226" xr:uid="{3CE5B503-A0CD-4E25-8CDF-059FAEEEC940}"/>
    <cellStyle name="Migliaia 31 5 2 2" xfId="18436" xr:uid="{AA964181-3FD1-4618-977B-906D776F1DA8}"/>
    <cellStyle name="Migliaia 31 5 2 2 2" xfId="39257" xr:uid="{0F45EE16-C75F-4A9D-A30D-CFEB98468081}"/>
    <cellStyle name="Migliaia 31 5 2 2 3" xfId="44559" xr:uid="{99DD4F21-1CF9-4F0F-873B-EB2CCA5D9A7E}"/>
    <cellStyle name="Migliaia 31 5 2 3" xfId="20370" xr:uid="{6C04DB5D-1AC9-4087-8993-39295AC0EF69}"/>
    <cellStyle name="Migliaia 31 5 2 3 2" xfId="36697" xr:uid="{C0F27120-A004-454D-9311-727BD2BC4D1E}"/>
    <cellStyle name="Migliaia 31 5 2 4" xfId="41908" xr:uid="{D7639BBC-F62B-47D7-AECC-8C54776D69C1}"/>
    <cellStyle name="Migliaia 31 5 2 5" xfId="16390" xr:uid="{56ECB500-3906-427E-AD21-6297FA3966C1}"/>
    <cellStyle name="Migliaia 31 5 2 6" xfId="8629" xr:uid="{E1EF79D3-2F8D-42D1-A150-58E9F5C2F32F}"/>
    <cellStyle name="Migliaia 31 5 3" xfId="6425" xr:uid="{CD37CAD2-10CB-4C78-AFB1-C80FC84BFF7B}"/>
    <cellStyle name="Migliaia 31 5 3 2" xfId="33764" xr:uid="{DA992CBE-82EC-4EE4-874E-756AA5134183}"/>
    <cellStyle name="Migliaia 31 5 3 2 2" xfId="39258" xr:uid="{88461F62-2045-496D-AAF4-11AC34A8B2EB}"/>
    <cellStyle name="Migliaia 31 5 3 2 3" xfId="44560" xr:uid="{FAE01F02-0407-4367-87AF-DAC3788ABDF9}"/>
    <cellStyle name="Migliaia 31 5 3 3" xfId="36698" xr:uid="{6D07CCAA-30C2-42FB-AEEB-F45718BE6F5F}"/>
    <cellStyle name="Migliaia 31 5 3 4" xfId="41909" xr:uid="{0AE22065-DD78-4217-8C33-F38A87F7E688}"/>
    <cellStyle name="Migliaia 31 5 3 5" xfId="11335" xr:uid="{8B140A00-B9E2-4F2C-937C-D04FA6E8EA0F}"/>
    <cellStyle name="Migliaia 31 5 4" xfId="3500" xr:uid="{CDAEF0DA-7B45-4FE4-9C08-9FA0920CDFB4}"/>
    <cellStyle name="Migliaia 31 5 4 2" xfId="21492" xr:uid="{EE1FBAE6-A566-409A-8D65-3A58A09AA786}"/>
    <cellStyle name="Migliaia 31 5 4 2 2" xfId="39259" xr:uid="{5ED3A58E-DF11-4192-8041-1CBC828722F7}"/>
    <cellStyle name="Migliaia 31 5 4 2 3" xfId="44561" xr:uid="{5F6B2894-39B7-43E0-81B3-A9B23B60670D}"/>
    <cellStyle name="Migliaia 31 5 4 2 4" xfId="33765" xr:uid="{48CD053D-022E-44AC-8EED-79C81C0F286F}"/>
    <cellStyle name="Migliaia 31 5 4 3" xfId="36699" xr:uid="{7D4FFF9C-46E4-4CDE-968B-1E5B08FD556F}"/>
    <cellStyle name="Migliaia 31 5 4 4" xfId="41910" xr:uid="{51C29EF0-E79D-446A-BD72-2CFEC9CE4493}"/>
    <cellStyle name="Migliaia 31 5 4 5" xfId="24745" xr:uid="{80F849DC-B132-4D2F-8A4D-9D616110A234}"/>
    <cellStyle name="Migliaia 31 5 4 6" xfId="46242" xr:uid="{FDD95A82-C122-4EF3-8A86-BEED1775FD35}"/>
    <cellStyle name="Migliaia 31 5 4 7" xfId="50507" xr:uid="{4F48134D-E2A5-48CF-A2A7-B8DC6CE9F769}"/>
    <cellStyle name="Migliaia 31 5 4 8" xfId="53523" xr:uid="{2E53992D-C00A-4C64-83C5-B0BE791FAC2A}"/>
    <cellStyle name="Migliaia 31 5 4 9" xfId="10857" xr:uid="{2EB1789E-3EE8-43DD-882E-5DAC05D64F10}"/>
    <cellStyle name="Migliaia 31 5 5" xfId="20369" xr:uid="{880C3794-EFBB-416F-871D-759D19498049}"/>
    <cellStyle name="Migliaia 31 5 5 2" xfId="33766" xr:uid="{AF0CB25A-2FA2-4B29-97E7-BD008FFC0B66}"/>
    <cellStyle name="Migliaia 31 5 5 2 2" xfId="39260" xr:uid="{A201BD54-95D2-4808-B2A5-6759D3C9DDFB}"/>
    <cellStyle name="Migliaia 31 5 5 2 3" xfId="44562" xr:uid="{D76795C7-51ED-4D18-94AB-3EFEA5D55445}"/>
    <cellStyle name="Migliaia 31 5 5 3" xfId="36700" xr:uid="{FC3FF63F-1CB1-4498-AB03-D10227CE5880}"/>
    <cellStyle name="Migliaia 31 5 5 4" xfId="41911" xr:uid="{2F385B90-2BCA-4AE9-BF7D-6B784D399F4D}"/>
    <cellStyle name="Migliaia 31 5 5 5" xfId="24746" xr:uid="{5362B85E-D3D1-4052-B8EF-E418A24594E5}"/>
    <cellStyle name="Migliaia 31 5 6" xfId="24747" xr:uid="{3B5E4C31-A49A-4553-AA8F-E2BF237B3B0D}"/>
    <cellStyle name="Migliaia 31 5 6 2" xfId="33767" xr:uid="{1A6D2A43-442F-4F4E-8503-7EA51EA93DED}"/>
    <cellStyle name="Migliaia 31 5 6 2 2" xfId="39261" xr:uid="{F4222720-B6FA-42DD-8BF4-06534181E25B}"/>
    <cellStyle name="Migliaia 31 5 6 2 3" xfId="44563" xr:uid="{AB458F8A-DBF6-4D8F-B265-7CD19015BCD0}"/>
    <cellStyle name="Migliaia 31 5 6 3" xfId="36701" xr:uid="{8DF811B9-C473-4140-A434-9506B48B74F1}"/>
    <cellStyle name="Migliaia 31 5 6 4" xfId="41912" xr:uid="{82F784A1-2DD3-4534-BA73-11FB674E0D84}"/>
    <cellStyle name="Migliaia 31 5 7" xfId="24744" xr:uid="{9BB7C04A-E959-4171-B253-EBC74B1C823A}"/>
    <cellStyle name="Migliaia 31 5 8" xfId="7439" xr:uid="{24F5B32E-3BDE-4208-9A6E-111D2B5F14E6}"/>
    <cellStyle name="Migliaia 31 6" xfId="3501" xr:uid="{EE388D5A-97E3-48CE-80E0-7A8B7841F1B8}"/>
    <cellStyle name="Migliaia 31 6 2" xfId="5227" xr:uid="{AA010957-93BF-4EDE-8B28-2CA09EFD2ABB}"/>
    <cellStyle name="Migliaia 31 6 2 2" xfId="9929" xr:uid="{534286AE-D5AB-49C0-9D17-C7D20B1DE929}"/>
    <cellStyle name="Migliaia 31 6 2 3" xfId="18656" xr:uid="{9385D957-0749-43EE-832B-0346CD69B1E5}"/>
    <cellStyle name="Migliaia 31 6 2 4" xfId="20372" xr:uid="{40E8441C-5E03-47D5-912D-0B7A52D8710F}"/>
    <cellStyle name="Migliaia 31 6 2 5" xfId="32375" xr:uid="{EDB6B5A5-1B1C-4C04-A42D-9BC2CFBC3E9D}"/>
    <cellStyle name="Migliaia 31 6 2 6" xfId="16392" xr:uid="{15F9EFAD-5F37-474C-90F0-53E12A78BE70}"/>
    <cellStyle name="Migliaia 31 6 2 7" xfId="8624" xr:uid="{EA0C38EA-43EA-4F70-854D-620A5B1E1538}"/>
    <cellStyle name="Migliaia 31 6 3" xfId="6426" xr:uid="{E5EDE3E5-1F62-48EC-A246-3887CB994625}"/>
    <cellStyle name="Migliaia 31 6 3 2" xfId="35295" xr:uid="{5B9A359F-0E35-49D9-BC5A-271949EC4E11}"/>
    <cellStyle name="Migliaia 31 6 3 2 2" xfId="40455" xr:uid="{BA898E74-76AB-4639-8809-A8A67AB89958}"/>
    <cellStyle name="Migliaia 31 6 3 2 3" xfId="45757" xr:uid="{2746074D-DC78-4959-80D9-F43433C2595A}"/>
    <cellStyle name="Migliaia 31 6 3 3" xfId="37804" xr:uid="{F78131E9-2918-47A5-8B55-0D4F1BF39856}"/>
    <cellStyle name="Migliaia 31 6 3 4" xfId="43106" xr:uid="{F2D3885C-A8C6-4C5B-AFD5-A8C08496A262}"/>
    <cellStyle name="Migliaia 31 6 3 5" xfId="9692" xr:uid="{8C6FEE26-8F68-40BA-885D-07BA8CC2FBCD}"/>
    <cellStyle name="Migliaia 31 6 4" xfId="20371" xr:uid="{9683A57A-C0E5-453E-AA41-E5B6A42AF27C}"/>
    <cellStyle name="Migliaia 31 6 4 2" xfId="39262" xr:uid="{E9B39CE4-42F3-4075-9747-073FA7B694B7}"/>
    <cellStyle name="Migliaia 31 6 4 3" xfId="44564" xr:uid="{33BCBBC4-0AD4-4531-8FD1-8E1AC4175A4E}"/>
    <cellStyle name="Migliaia 31 6 4 4" xfId="33768" xr:uid="{AF8B39CA-DB39-4A30-B6E6-75359E2FD9AD}"/>
    <cellStyle name="Migliaia 31 6 5" xfId="36702" xr:uid="{8DD1E5BB-7F33-4141-87BA-2ABF93CB9E21}"/>
    <cellStyle name="Migliaia 31 6 6" xfId="41913" xr:uid="{2CCB2508-48E4-4824-A6C3-3DF568CCAFF7}"/>
    <cellStyle name="Migliaia 31 6 7" xfId="16391" xr:uid="{D2FDB237-51B5-4EEF-A786-F01D7025101D}"/>
    <cellStyle name="Migliaia 31 6 8" xfId="7434" xr:uid="{A0274453-3227-4AAF-8648-EAFC2E61538F}"/>
    <cellStyle name="Migliaia 31 7" xfId="3502" xr:uid="{38BE7AB6-2030-4AFE-B49C-891348CB4762}"/>
    <cellStyle name="Migliaia 31 7 2" xfId="5228" xr:uid="{F2033C9F-0D1D-469D-ADAD-2085C567DC2E}"/>
    <cellStyle name="Migliaia 31 7 2 2" xfId="35296" xr:uid="{55A92C54-24EE-4B7E-8E57-F5E66E9DE08B}"/>
    <cellStyle name="Migliaia 31 7 2 2 2" xfId="40456" xr:uid="{FEDA9F32-4A12-4723-AB71-17E15D3B38B8}"/>
    <cellStyle name="Migliaia 31 7 2 2 3" xfId="45758" xr:uid="{B03A5482-B329-4AC8-9220-A022310BF0C5}"/>
    <cellStyle name="Migliaia 31 7 2 3" xfId="37805" xr:uid="{D6DB4413-C324-4557-8DA0-BCC48899A0A8}"/>
    <cellStyle name="Migliaia 31 7 2 4" xfId="43107" xr:uid="{C1F56C4E-653E-4922-81F0-C15BCBBBE1AB}"/>
    <cellStyle name="Migliaia 31 7 2 5" xfId="14251" xr:uid="{80F93919-BFE0-4FF8-BAAB-B454A95E1954}"/>
    <cellStyle name="Migliaia 31 7 3" xfId="6427" xr:uid="{BFF9F7C7-3FEE-4DBB-B62B-40BC6EF868E3}"/>
    <cellStyle name="Migliaia 31 7 3 2" xfId="39263" xr:uid="{EF972691-1468-4648-916E-5D0DF4846902}"/>
    <cellStyle name="Migliaia 31 7 3 3" xfId="44565" xr:uid="{CA351A6D-3C3D-4092-9F14-B20D4EDA86CE}"/>
    <cellStyle name="Migliaia 31 7 3 4" xfId="33769" xr:uid="{CDE886BE-8CF1-4D56-B320-0675C121E532}"/>
    <cellStyle name="Migliaia 31 7 3 5" xfId="20373" xr:uid="{71528409-BF61-4768-B6F6-53B3FFCE1695}"/>
    <cellStyle name="Migliaia 31 7 4" xfId="36703" xr:uid="{D69A3801-307F-40E4-8D68-E6A371125FE8}"/>
    <cellStyle name="Migliaia 31 7 5" xfId="41914" xr:uid="{0461189B-63ED-49EB-9D6F-A280418F5B1A}"/>
    <cellStyle name="Migliaia 31 7 6" xfId="16393" xr:uid="{C2767E41-9D39-461F-B3D2-273661D19CCF}"/>
    <cellStyle name="Migliaia 31 7 7" xfId="8313" xr:uid="{FEA41269-9C19-4599-B7EC-EEB71287C143}"/>
    <cellStyle name="Migliaia 31 8" xfId="3503" xr:uid="{6B6207E0-B01D-44B5-8343-6BB30870DB82}"/>
    <cellStyle name="Migliaia 31 8 2" xfId="5229" xr:uid="{A986B480-44F8-4916-AA98-EF109571D939}"/>
    <cellStyle name="Migliaia 31 8 2 2" xfId="35297" xr:uid="{D04B9250-7DF3-4B7A-9401-7A3E0BAE330E}"/>
    <cellStyle name="Migliaia 31 8 2 2 2" xfId="40457" xr:uid="{798DE6C7-3A60-4927-BA09-0C1C1C766561}"/>
    <cellStyle name="Migliaia 31 8 2 2 3" xfId="45759" xr:uid="{ED53BDE0-BE79-4DF9-9910-56F1D9903B16}"/>
    <cellStyle name="Migliaia 31 8 2 3" xfId="37806" xr:uid="{312D0422-885C-40F4-9B59-78876753DCE6}"/>
    <cellStyle name="Migliaia 31 8 2 4" xfId="43108" xr:uid="{FF8CB8B1-1D1A-478E-AD63-0163F102D5F3}"/>
    <cellStyle name="Migliaia 31 8 2 5" xfId="13956" xr:uid="{930E44A2-C0FE-4B15-82B9-0DB1FE7A2109}"/>
    <cellStyle name="Migliaia 31 8 3" xfId="6428" xr:uid="{3A1C1AD4-C32A-4085-83A2-D9D70A1A9FF3}"/>
    <cellStyle name="Migliaia 31 8 3 2" xfId="39264" xr:uid="{92F5DB2E-678F-4D2C-BA02-82D0C9DAA7B1}"/>
    <cellStyle name="Migliaia 31 8 3 3" xfId="44566" xr:uid="{560ADDF3-B081-4FA6-8B5C-525356E54E0A}"/>
    <cellStyle name="Migliaia 31 8 3 4" xfId="33770" xr:uid="{E3FFCA48-CE98-40D0-8B83-26614163D411}"/>
    <cellStyle name="Migliaia 31 8 3 5" xfId="20374" xr:uid="{11EF0AC6-2FB7-4F15-90FB-81EDDE7CBC65}"/>
    <cellStyle name="Migliaia 31 8 4" xfId="36704" xr:uid="{0078A6E4-38A8-4549-9480-03CAEB973DB5}"/>
    <cellStyle name="Migliaia 31 8 5" xfId="41915" xr:uid="{B122949E-3A53-4DCA-A3FD-5A219C26ACB3}"/>
    <cellStyle name="Migliaia 31 8 6" xfId="16394" xr:uid="{E4A16A4B-4A9A-4B61-A4B3-5F3115945140}"/>
    <cellStyle name="Migliaia 31 8 7" xfId="7918" xr:uid="{D3D6E4CD-EC67-42F1-A0FC-B334E544231D}"/>
    <cellStyle name="Migliaia 31 9" xfId="5214" xr:uid="{BA9ED042-F19A-4BCE-B4BA-E3FD4223562D}"/>
    <cellStyle name="Migliaia 31 9 2" xfId="33771" xr:uid="{E657F8E9-8443-4B2D-8E75-613A2C05EDFE}"/>
    <cellStyle name="Migliaia 31 9 2 2" xfId="39265" xr:uid="{0D0B50AE-4DB9-41C9-89C2-11DA99315CC3}"/>
    <cellStyle name="Migliaia 31 9 2 3" xfId="44567" xr:uid="{00A41070-943A-418C-9256-AB8BDB6FCBCB}"/>
    <cellStyle name="Migliaia 31 9 3" xfId="36705" xr:uid="{F1E82BA3-BBE8-4D4B-BD64-46F8E68A6E44}"/>
    <cellStyle name="Migliaia 31 9 4" xfId="41916" xr:uid="{1C53F8DC-AF11-4271-8053-533A674AB600}"/>
    <cellStyle name="Migliaia 31 9 5" xfId="17183" xr:uid="{59B2C0E5-B519-4BF0-A687-52629F6EE074}"/>
    <cellStyle name="Migliaia 32" xfId="401" xr:uid="{00000000-0005-0000-0000-0000A0030000}"/>
    <cellStyle name="Migliaia 32 10" xfId="6429" xr:uid="{9ED7B565-ECB8-41A7-9A8F-B29219AC8240}"/>
    <cellStyle name="Migliaia 32 10 2" xfId="39266" xr:uid="{638C477F-C2D5-4FBF-BA65-A4BC8D50E4BE}"/>
    <cellStyle name="Migliaia 32 10 3" xfId="44568" xr:uid="{04FE9BC5-D912-4C81-8D72-0E498D11223C}"/>
    <cellStyle name="Migliaia 32 10 4" xfId="33772" xr:uid="{C2C5E5D7-6D93-46EF-B1C9-630C6C62A511}"/>
    <cellStyle name="Migliaia 32 10 5" xfId="20375" xr:uid="{186EDA19-4A0E-4019-B668-CD30B7B292FB}"/>
    <cellStyle name="Migliaia 32 11" xfId="3504" xr:uid="{9C72130C-517D-4189-AF9B-72E602B40970}"/>
    <cellStyle name="Migliaia 32 11 2" xfId="36706" xr:uid="{6A2BA59E-4FE6-4C49-9DA9-7751186FD3AF}"/>
    <cellStyle name="Migliaia 32 12" xfId="41917" xr:uid="{0C3A8BDA-C66C-4EA1-B663-36A5A171D247}"/>
    <cellStyle name="Migliaia 32 13" xfId="7117" xr:uid="{F55C083A-84FB-445E-9F1B-D93B9D090E2A}"/>
    <cellStyle name="Migliaia 32 2" xfId="402" xr:uid="{00000000-0005-0000-0000-0000A1030000}"/>
    <cellStyle name="Migliaia 32 2 2" xfId="1781" xr:uid="{00000000-0005-0000-0000-0000A2030000}"/>
    <cellStyle name="Migliaia 32 2 2 2" xfId="5232" xr:uid="{1E4633C3-093F-4567-B9D6-6886485EC7C2}"/>
    <cellStyle name="Migliaia 32 2 2 2 2" xfId="14388" xr:uid="{CC88F677-5101-4BB6-8349-9C80F8094337}"/>
    <cellStyle name="Migliaia 32 2 2 2 2 2" xfId="39267" xr:uid="{7941CDDC-00A4-46A3-B22F-FF46AC2DC5D8}"/>
    <cellStyle name="Migliaia 32 2 2 2 2 3" xfId="44569" xr:uid="{9F2B9289-D97A-47A7-B514-E7242733549F}"/>
    <cellStyle name="Migliaia 32 2 2 2 3" xfId="18437" xr:uid="{4526A382-F03E-4A76-83DB-52C3604A814D}"/>
    <cellStyle name="Migliaia 32 2 2 2 4" xfId="20378" xr:uid="{F19C53F2-CEF7-4418-8D28-71B735F1F184}"/>
    <cellStyle name="Migliaia 32 2 2 2 4 2" xfId="41918" xr:uid="{8E914ACF-5F6F-43B1-AE84-20DE28FA4D3E}"/>
    <cellStyle name="Migliaia 32 2 2 2 5" xfId="16395" xr:uid="{735507E6-A15A-4119-8C44-85215217D026}"/>
    <cellStyle name="Migliaia 32 2 2 2 6" xfId="8631" xr:uid="{F27AB2BC-7C4E-48B8-B98B-74631D7765C6}"/>
    <cellStyle name="Migliaia 32 2 2 3" xfId="6431" xr:uid="{2B89C303-7FF5-440F-BA0A-3980F4BB300E}"/>
    <cellStyle name="Migliaia 32 2 2 3 2" xfId="35298" xr:uid="{E5864D45-A55F-449F-BDD2-C7981ADD6417}"/>
    <cellStyle name="Migliaia 32 2 2 3 2 2" xfId="40458" xr:uid="{08EA1BBB-561A-4E42-A420-B3224710D36A}"/>
    <cellStyle name="Migliaia 32 2 2 3 2 3" xfId="45760" xr:uid="{BCB80B29-F8BE-42E6-B939-229D06BCCE3E}"/>
    <cellStyle name="Migliaia 32 2 2 3 3" xfId="37807" xr:uid="{2AD33031-C229-4CC6-89E7-D6445514BF98}"/>
    <cellStyle name="Migliaia 32 2 2 3 4" xfId="43109" xr:uid="{E469CC4D-5EE6-47DE-B11B-5693F4E1CB73}"/>
    <cellStyle name="Migliaia 32 2 2 3 5" xfId="11615" xr:uid="{ADDCFA8C-01F1-410A-B538-0EC4D3564FF5}"/>
    <cellStyle name="Migliaia 32 2 2 4" xfId="3506" xr:uid="{A87317A6-BB04-4C86-BD61-74C10C8FA4A8}"/>
    <cellStyle name="Migliaia 32 2 2 4 2" xfId="21493" xr:uid="{E92D301D-206F-48F8-9DB4-C73A7ABB0CD2}"/>
    <cellStyle name="Migliaia 32 2 2 4 3" xfId="46243" xr:uid="{74682351-F5D4-4FC8-84CF-511C8AFA4907}"/>
    <cellStyle name="Migliaia 32 2 2 4 4" xfId="50508" xr:uid="{996C033B-F8F8-4E9C-8C8D-D7FD615C948B}"/>
    <cellStyle name="Migliaia 32 2 2 4 5" xfId="53524" xr:uid="{F99CED52-31BD-4C9F-86AD-EC2527434F2D}"/>
    <cellStyle name="Migliaia 32 2 2 4 6" xfId="10858" xr:uid="{7FE21A61-62E7-4441-90C4-7F7843E9F777}"/>
    <cellStyle name="Migliaia 32 2 2 5" xfId="20377" xr:uid="{3662039C-51FD-4F5A-B506-F9D3A96E6368}"/>
    <cellStyle name="Migliaia 32 2 2 6" xfId="24753" xr:uid="{036B0CAC-E866-4A64-AF23-2FBF6EFDCD55}"/>
    <cellStyle name="Migliaia 32 2 2 7" xfId="7441" xr:uid="{3CB18AF0-5693-471C-A585-ED4FF0BB59F2}"/>
    <cellStyle name="Migliaia 32 2 3" xfId="3507" xr:uid="{A5C4E8EF-369A-4380-A506-0CA45EBB990E}"/>
    <cellStyle name="Migliaia 32 2 3 2" xfId="5233" xr:uid="{9CDF39E0-AD53-4F92-9023-91439D937486}"/>
    <cellStyle name="Migliaia 32 2 3 2 2" xfId="35299" xr:uid="{F1C5A029-CE8D-4FFF-B1A2-AA75A58AD729}"/>
    <cellStyle name="Migliaia 32 2 3 2 2 2" xfId="40459" xr:uid="{0DD57006-922C-46BF-9D79-C1F60D59F139}"/>
    <cellStyle name="Migliaia 32 2 3 2 2 3" xfId="45761" xr:uid="{006C8582-9C5F-4C2B-A725-35A587612E3D}"/>
    <cellStyle name="Migliaia 32 2 3 2 3" xfId="37808" xr:uid="{C72E3590-9F26-448F-95E8-E1A7AED61C2D}"/>
    <cellStyle name="Migliaia 32 2 3 2 4" xfId="43110" xr:uid="{230CF92E-06C8-42C4-BCF5-86C31A6F552C}"/>
    <cellStyle name="Migliaia 32 2 3 2 5" xfId="14255" xr:uid="{F60526F0-C64C-4383-9C2C-03B7942AE51A}"/>
    <cellStyle name="Migliaia 32 2 3 3" xfId="6432" xr:uid="{9B02D7C7-1E0A-4DA2-9126-71CF125B541D}"/>
    <cellStyle name="Migliaia 32 2 3 3 2" xfId="39268" xr:uid="{9D3ECFB8-6C77-483E-89D2-DECEECBDE7CB}"/>
    <cellStyle name="Migliaia 32 2 3 3 3" xfId="44570" xr:uid="{E86B7738-FBE8-44BE-B6B3-C269C12B3189}"/>
    <cellStyle name="Migliaia 32 2 3 3 4" xfId="33773" xr:uid="{040198DC-1BC3-4E35-9A49-C0B3E726F483}"/>
    <cellStyle name="Migliaia 32 2 3 3 5" xfId="20379" xr:uid="{815B87A2-48D3-415B-A180-EAFC188F7008}"/>
    <cellStyle name="Migliaia 32 2 3 4" xfId="36707" xr:uid="{5468B23A-D131-4FB0-B255-B8E4084BC6BF}"/>
    <cellStyle name="Migliaia 32 2 3 5" xfId="41919" xr:uid="{A2297F06-EB8D-4809-94BA-3E9B8402A323}"/>
    <cellStyle name="Migliaia 32 2 3 6" xfId="16396" xr:uid="{39A3F061-241D-40FC-B6F3-5453C296FB11}"/>
    <cellStyle name="Migliaia 32 2 3 7" xfId="8317" xr:uid="{7B94CB93-FF86-49C5-A9D4-07B3CB73D559}"/>
    <cellStyle name="Migliaia 32 2 4" xfId="5231" xr:uid="{BB7B1551-B626-4DAD-9399-358B008DA417}"/>
    <cellStyle name="Migliaia 32 2 4 2" xfId="13960" xr:uid="{2B0878DB-EAED-445C-A90E-AD2EC6F310DD}"/>
    <cellStyle name="Migliaia 32 2 4 2 2" xfId="39269" xr:uid="{FD188D43-A894-4E8E-8B2A-AB6FD32CA621}"/>
    <cellStyle name="Migliaia 32 2 4 2 3" xfId="44571" xr:uid="{932C802C-6092-48E8-8242-ECDEBDF5177B}"/>
    <cellStyle name="Migliaia 32 2 4 3" xfId="18707" xr:uid="{BD797927-0516-4674-BB75-85FF019127D6}"/>
    <cellStyle name="Migliaia 32 2 4 4" xfId="20380" xr:uid="{6B1E6035-0855-473D-A083-39BC3EB86964}"/>
    <cellStyle name="Migliaia 32 2 4 4 2" xfId="41920" xr:uid="{1BF572D4-80CA-4B2A-9186-DE7EF2115CBF}"/>
    <cellStyle name="Migliaia 32 2 4 5" xfId="16397" xr:uid="{B499160B-E11E-429E-B7FD-5E0B4F98AB66}"/>
    <cellStyle name="Migliaia 32 2 4 6" xfId="7923" xr:uid="{B7F5D42D-2643-47B2-BC88-A1936CF25599}"/>
    <cellStyle name="Migliaia 32 2 5" xfId="6430" xr:uid="{B5375F68-9824-4BFA-A160-00A8EACC8CB7}"/>
    <cellStyle name="Migliaia 32 2 5 2" xfId="33775" xr:uid="{CE53E77C-360F-44F0-B67C-6AAFDF291144}"/>
    <cellStyle name="Migliaia 32 2 5 2 2" xfId="39270" xr:uid="{E481FC4F-CEC7-4668-BE0F-48BB3F2445A6}"/>
    <cellStyle name="Migliaia 32 2 5 2 3" xfId="44572" xr:uid="{E72C7536-D4E5-428F-B0E9-1DDA00517C31}"/>
    <cellStyle name="Migliaia 32 2 5 3" xfId="36709" xr:uid="{A72264D1-2125-41DE-AEB0-2D39945D4BAA}"/>
    <cellStyle name="Migliaia 32 2 5 4" xfId="41921" xr:uid="{4FF0E2A1-CA32-4A21-A979-2104890718B1}"/>
    <cellStyle name="Migliaia 32 2 5 5" xfId="13128" xr:uid="{0E37F001-DB38-41C3-9C82-4E4EAC436F47}"/>
    <cellStyle name="Migliaia 32 2 6" xfId="3505" xr:uid="{B04E58CB-EADC-46C2-915B-BB530977C3EE}"/>
    <cellStyle name="Migliaia 32 2 6 2" xfId="33776" xr:uid="{4771CB95-D7DA-4A32-84B8-8238DD201BAB}"/>
    <cellStyle name="Migliaia 32 2 6 2 2" xfId="39271" xr:uid="{32A95436-CF8E-4A75-A26E-CBDFEED6F447}"/>
    <cellStyle name="Migliaia 32 2 6 2 3" xfId="44573" xr:uid="{5746B520-0278-4F55-97F9-E13AF98CAA2A}"/>
    <cellStyle name="Migliaia 32 2 6 3" xfId="36710" xr:uid="{5E2672F8-8EEE-48DA-A460-82E38341D768}"/>
    <cellStyle name="Migliaia 32 2 6 4" xfId="41922" xr:uid="{E896ABDD-29E0-4685-A4B7-3C87FE83D158}"/>
    <cellStyle name="Migliaia 32 2 6 5" xfId="24755" xr:uid="{DA643292-FF71-470D-B2E7-2D20CE3E8237}"/>
    <cellStyle name="Migliaia 32 2 6 6" xfId="20376" xr:uid="{7C384D25-E85D-4C96-AB3B-8CF84631222C}"/>
    <cellStyle name="Migliaia 32 2 7" xfId="24752" xr:uid="{21999DC5-2946-480F-BBDB-968CD247EA17}"/>
    <cellStyle name="Migliaia 32 2 8" xfId="7118" xr:uid="{087D05EF-22FD-4B2D-A83C-3F04864B1741}"/>
    <cellStyle name="Migliaia 32 3" xfId="403" xr:uid="{00000000-0005-0000-0000-0000A3030000}"/>
    <cellStyle name="Migliaia 32 3 10" xfId="24756" xr:uid="{11527457-8EA4-42D9-A1E8-E18469AEE46C}"/>
    <cellStyle name="Migliaia 32 3 11" xfId="16398" xr:uid="{6319A420-42EC-4ED9-BD97-3C89F79EAC0E}"/>
    <cellStyle name="Migliaia 32 3 12" xfId="7119" xr:uid="{8CC6DF7B-556A-4705-97CE-4AE828C5FFFF}"/>
    <cellStyle name="Migliaia 32 3 2" xfId="404" xr:uid="{00000000-0005-0000-0000-0000A4030000}"/>
    <cellStyle name="Migliaia 32 3 2 2" xfId="1782" xr:uid="{00000000-0005-0000-0000-0000A5030000}"/>
    <cellStyle name="Migliaia 32 3 2 2 2" xfId="5236" xr:uid="{19BB44E1-58F7-4BD5-849E-4C1C91D62D25}"/>
    <cellStyle name="Migliaia 32 3 2 2 2 2" xfId="18438" xr:uid="{5A413887-516E-49E4-A44A-EA51F80731E6}"/>
    <cellStyle name="Migliaia 32 3 2 2 2 2 2" xfId="21866" xr:uid="{C6EEB3B7-4571-46A5-8DB3-A50F85D43D58}"/>
    <cellStyle name="Migliaia 32 3 2 2 2 2 2 2" xfId="39272" xr:uid="{1C5529D8-6A76-43BB-ACBE-045B8D28D17E}"/>
    <cellStyle name="Migliaia 32 3 2 2 2 2 3" xfId="44574" xr:uid="{8A9C724F-6EF5-45BF-B0C9-FE216C00956C}"/>
    <cellStyle name="Migliaia 32 3 2 2 2 2 4" xfId="33777" xr:uid="{C07FCF98-7AA0-43D9-9D5D-C0CFB1547463}"/>
    <cellStyle name="Migliaia 32 3 2 2 2 3" xfId="36711" xr:uid="{47EE7715-7995-4B5D-84C5-5900A1B0BC16}"/>
    <cellStyle name="Migliaia 32 3 2 2 2 4" xfId="41923" xr:uid="{28325EA2-13AD-4897-963D-D6A02A5D39CA}"/>
    <cellStyle name="Migliaia 32 3 2 2 2 5" xfId="47912" xr:uid="{E73AC132-9136-4FB2-ADF6-246A57E56F61}"/>
    <cellStyle name="Migliaia 32 3 2 2 2 6" xfId="50894" xr:uid="{F3D537BB-9206-4842-87DC-463D4E7662C4}"/>
    <cellStyle name="Migliaia 32 3 2 2 2 7" xfId="53910" xr:uid="{944175EE-3856-4C49-A66D-EE5342380A10}"/>
    <cellStyle name="Migliaia 32 3 2 2 2 8" xfId="17663" xr:uid="{73D39FC0-4623-4D8B-A341-12E221DF5BCD}"/>
    <cellStyle name="Migliaia 32 3 2 2 2 9" xfId="11987" xr:uid="{95EF7553-CAAB-4C06-96B8-47614BE3215E}"/>
    <cellStyle name="Migliaia 32 3 2 2 3" xfId="6435" xr:uid="{C82D1CF1-FCB1-4844-82BC-41E98B0E9CA3}"/>
    <cellStyle name="Migliaia 32 3 2 2 3 2" xfId="11139" xr:uid="{517F29B5-02BF-47EE-AC3F-4D35BBBD4C26}"/>
    <cellStyle name="Migliaia 32 3 2 2 4" xfId="3510" xr:uid="{797E19F7-D10D-456A-880C-AFE323A1B66E}"/>
    <cellStyle name="Migliaia 32 3 2 2 4 2" xfId="21494" xr:uid="{2BC6AE54-DB6E-4C43-B3A6-A8E3413D2ED5}"/>
    <cellStyle name="Migliaia 32 3 2 2 4 3" xfId="48179" xr:uid="{5FB222AD-CCA4-4A78-8243-3D6A6F984B7E}"/>
    <cellStyle name="Migliaia 32 3 2 2 4 4" xfId="50509" xr:uid="{944C7748-B5AE-4CE2-955C-18B5FCC8EE59}"/>
    <cellStyle name="Migliaia 32 3 2 2 4 5" xfId="53525" xr:uid="{BE3101C4-7624-46AA-B5BE-522A769667D0}"/>
    <cellStyle name="Migliaia 32 3 2 2 4 6" xfId="10859" xr:uid="{CE21FCC5-FBA8-4CD4-B2ED-A27B401CFD36}"/>
    <cellStyle name="Migliaia 32 3 2 2 5" xfId="20383" xr:uid="{23337B00-8FAE-4126-9BD4-22DFC746CD54}"/>
    <cellStyle name="Migliaia 32 3 2 2 6" xfId="24758" xr:uid="{C29033BF-3055-4DF9-A2B1-A0A4BFA9BAA6}"/>
    <cellStyle name="Migliaia 32 3 2 2 7" xfId="8633" xr:uid="{A9FA4980-759C-4CF4-ACE2-6FACF4B1D2CE}"/>
    <cellStyle name="Migliaia 32 3 2 3" xfId="5235" xr:uid="{73CD4E40-958A-4C35-AFB7-FC2BA117901E}"/>
    <cellStyle name="Migliaia 32 3 2 3 2" xfId="12412" xr:uid="{9C0824EB-815F-49D3-BC67-CE892F5D4DAB}"/>
    <cellStyle name="Migliaia 32 3 2 3 2 2" xfId="39273" xr:uid="{4E4571DE-872F-452C-9AF0-7D9BC51FE9FC}"/>
    <cellStyle name="Migliaia 32 3 2 3 2 3" xfId="44575" xr:uid="{D75613BB-1087-44AC-8FD6-6F9FCA8F85E7}"/>
    <cellStyle name="Migliaia 32 3 2 3 2 4" xfId="33778" xr:uid="{3212A96D-77FD-4DFD-BC17-4497D36F5FA9}"/>
    <cellStyle name="Migliaia 32 3 2 3 3" xfId="11988" xr:uid="{8A893CB8-1A66-49E4-87AC-81EFF126FCF2}"/>
    <cellStyle name="Migliaia 32 3 2 3 4" xfId="20384" xr:uid="{C47863CF-6A6D-4C69-A693-F6FC7126DA7A}"/>
    <cellStyle name="Migliaia 32 3 2 3 4 2" xfId="41924" xr:uid="{E64D4C30-FA60-4BAB-9CA1-07B0BEBA928E}"/>
    <cellStyle name="Migliaia 32 3 2 3 5" xfId="16399" xr:uid="{4CA81026-EA8F-4ED2-94A6-E74297E082C8}"/>
    <cellStyle name="Migliaia 32 3 2 3 6" xfId="7925" xr:uid="{2732888A-BBE0-4560-BDDB-20B9E8202B26}"/>
    <cellStyle name="Migliaia 32 3 2 4" xfId="6434" xr:uid="{10C6C0C9-7B49-4C56-B6C6-0919D60A39D3}"/>
    <cellStyle name="Migliaia 32 3 2 4 2" xfId="18082" xr:uid="{28B1D63C-59DB-4DF8-8396-9A07D31E99B0}"/>
    <cellStyle name="Migliaia 32 3 2 4 2 2" xfId="39274" xr:uid="{091B53F9-4B67-4088-897A-ED8CCD3CA98F}"/>
    <cellStyle name="Migliaia 32 3 2 4 2 3" xfId="44576" xr:uid="{EFA1337A-561C-4C76-8639-094AC878DDAF}"/>
    <cellStyle name="Migliaia 32 3 2 4 3" xfId="36713" xr:uid="{CD627BEC-4E08-4FFA-9BAD-0B1D215F338A}"/>
    <cellStyle name="Migliaia 32 3 2 4 4" xfId="41925" xr:uid="{2D4A2F92-A2AE-482B-BB1B-4173D4F05A23}"/>
    <cellStyle name="Migliaia 32 3 2 4 5" xfId="17186" xr:uid="{C8464A29-7FE5-48CF-9503-4B7A1FFB0DA7}"/>
    <cellStyle name="Migliaia 32 3 2 4 6" xfId="11336" xr:uid="{5ED1C892-98DD-47D8-9754-0087669CBA42}"/>
    <cellStyle name="Migliaia 32 3 2 5" xfId="3509" xr:uid="{41BCB18A-50B0-4217-AA2A-D96D500BB30B}"/>
    <cellStyle name="Migliaia 32 3 2 5 2" xfId="33779" xr:uid="{2D3D9B55-0F4F-42DA-B8A8-8D893E19BF88}"/>
    <cellStyle name="Migliaia 32 3 2 5 2 2" xfId="39275" xr:uid="{E1157660-936E-4165-BCA2-41C2FC44130C}"/>
    <cellStyle name="Migliaia 32 3 2 5 2 3" xfId="44577" xr:uid="{60CA7028-A7B6-4E77-9D37-12F36FA0AB6D}"/>
    <cellStyle name="Migliaia 32 3 2 5 3" xfId="36714" xr:uid="{E5A0B2B8-7400-4CE2-9C21-1924C89F4405}"/>
    <cellStyle name="Migliaia 32 3 2 5 4" xfId="41926" xr:uid="{CC8F7F42-4C80-458C-A958-20EF2794ADB9}"/>
    <cellStyle name="Migliaia 32 3 2 5 5" xfId="17351" xr:uid="{6E285BDC-229F-42F8-BD7F-53E46CBA0E53}"/>
    <cellStyle name="Migliaia 32 3 2 6" xfId="20382" xr:uid="{26466020-BE42-49EA-8F8D-CBEDAB0A0F30}"/>
    <cellStyle name="Migliaia 32 3 2 6 2" xfId="33780" xr:uid="{8B2E0AB5-DB63-48DB-8C5A-EFB4FAF817C9}"/>
    <cellStyle name="Migliaia 32 3 2 6 2 2" xfId="39276" xr:uid="{57A9DC0C-33AF-4293-A9EA-DA85A1E1B4B2}"/>
    <cellStyle name="Migliaia 32 3 2 6 2 3" xfId="44578" xr:uid="{00EB88B3-6FE8-4BBF-A35E-8A17F3E586BC}"/>
    <cellStyle name="Migliaia 32 3 2 6 3" xfId="36715" xr:uid="{F96B51C2-6B52-4104-9411-27D380B1CB70}"/>
    <cellStyle name="Migliaia 32 3 2 6 4" xfId="41927" xr:uid="{FCE18F40-AA0E-4C6B-BA91-2335ADA84617}"/>
    <cellStyle name="Migliaia 32 3 2 6 5" xfId="24761" xr:uid="{E96B1D0C-4D11-49CC-ACB8-531F85450ECC}"/>
    <cellStyle name="Migliaia 32 3 2 7" xfId="24757" xr:uid="{F53D8B33-244E-4AAF-AE00-3255AE99E80E}"/>
    <cellStyle name="Migliaia 32 3 2 8" xfId="7443" xr:uid="{3D27C3F4-5606-42F5-BB5B-025BD59239E7}"/>
    <cellStyle name="Migliaia 32 3 3" xfId="3511" xr:uid="{762B7129-7A57-43B2-9DA6-7496D75889FD}"/>
    <cellStyle name="Migliaia 32 3 3 10" xfId="7442" xr:uid="{583007EE-AD60-4B4B-A782-1FF1523E2B91}"/>
    <cellStyle name="Migliaia 32 3 3 2" xfId="5237" xr:uid="{DFA00A8A-B81E-463A-A568-632A0F0DF353}"/>
    <cellStyle name="Migliaia 32 3 3 2 2" xfId="9932" xr:uid="{75B862FE-3533-4860-891B-3862A4FD8A8F}"/>
    <cellStyle name="Migliaia 32 3 3 2 2 2" xfId="39278" xr:uid="{68C0B9C0-7135-4D04-BC2D-917AC1F12AC4}"/>
    <cellStyle name="Migliaia 32 3 3 2 2 3" xfId="44580" xr:uid="{E58B2862-EEE7-4C1D-8D9C-6850E4AD5A0A}"/>
    <cellStyle name="Migliaia 32 3 3 2 3" xfId="18212" xr:uid="{82604254-CDB6-45AB-BC17-DEDE8513F72A}"/>
    <cellStyle name="Migliaia 32 3 3 2 4" xfId="20386" xr:uid="{D4B159DD-20D0-43DD-8FB0-A7EA5BC650DB}"/>
    <cellStyle name="Migliaia 32 3 3 2 4 2" xfId="41929" xr:uid="{EBA3A189-84B0-4653-9991-82F41A7B9E21}"/>
    <cellStyle name="Migliaia 32 3 3 2 5" xfId="16401" xr:uid="{3969CFAC-0784-4464-B2E1-45600027D6E1}"/>
    <cellStyle name="Migliaia 32 3 3 2 6" xfId="8632" xr:uid="{7A133912-DC8F-4503-907D-0841A0A2D37F}"/>
    <cellStyle name="Migliaia 32 3 3 3" xfId="6436" xr:uid="{A03A6FE5-883D-41C2-BC24-9CDD98AD747C}"/>
    <cellStyle name="Migliaia 32 3 3 3 2" xfId="33783" xr:uid="{71601750-CB18-4879-AEB4-1195C5A3C4B8}"/>
    <cellStyle name="Migliaia 32 3 3 3 2 2" xfId="39279" xr:uid="{F87086C7-F9FE-44B2-8E35-93FD0FCE23C5}"/>
    <cellStyle name="Migliaia 32 3 3 3 2 3" xfId="44581" xr:uid="{219AA0CD-7EBC-49F4-BE14-E508853848CC}"/>
    <cellStyle name="Migliaia 32 3 3 3 3" xfId="36718" xr:uid="{495BF574-4A80-43E2-A03C-62BE2891BD87}"/>
    <cellStyle name="Migliaia 32 3 3 3 4" xfId="41930" xr:uid="{57DAB578-503F-41D9-B15E-3F262D835D58}"/>
    <cellStyle name="Migliaia 32 3 3 3 5" xfId="9695" xr:uid="{8DDE3DA0-E2C3-480F-BB60-3FCF3C35AB68}"/>
    <cellStyle name="Migliaia 32 3 3 4" xfId="20385" xr:uid="{F717BDF5-FEF5-49CE-A2D1-43DD705AAE8A}"/>
    <cellStyle name="Migliaia 32 3 3 4 2" xfId="33784" xr:uid="{E3FEA08A-D0F9-4FCF-B5CA-07FCC8C05FBE}"/>
    <cellStyle name="Migliaia 32 3 3 4 2 2" xfId="39280" xr:uid="{5FD6AEBA-07D4-47D5-A7BC-A034D64C52A3}"/>
    <cellStyle name="Migliaia 32 3 3 4 2 3" xfId="44582" xr:uid="{FD098CFA-A44A-4D2E-8B78-545A56747EE1}"/>
    <cellStyle name="Migliaia 32 3 3 4 3" xfId="36719" xr:uid="{73F7732B-B937-4EF5-8654-B50AB5A3395B}"/>
    <cellStyle name="Migliaia 32 3 3 4 4" xfId="41931" xr:uid="{6EEBE579-4DA6-478F-941D-01E368D34E1C}"/>
    <cellStyle name="Migliaia 32 3 3 4 5" xfId="24763" xr:uid="{F77406F7-608C-4C8B-AF8D-B7AD54C53108}"/>
    <cellStyle name="Migliaia 32 3 3 5" xfId="24764" xr:uid="{91B97FF7-A3F1-4499-9340-6D9BE53F2126}"/>
    <cellStyle name="Migliaia 32 3 3 5 2" xfId="33785" xr:uid="{ECC35531-F118-4B71-93E1-CF9A2328B9EC}"/>
    <cellStyle name="Migliaia 32 3 3 5 2 2" xfId="39281" xr:uid="{12E21F0C-BBEB-468E-9B58-6A72F16F20FD}"/>
    <cellStyle name="Migliaia 32 3 3 5 2 3" xfId="44583" xr:uid="{72B8DABB-A83A-42F7-A5B2-83C97A65F970}"/>
    <cellStyle name="Migliaia 32 3 3 5 3" xfId="36720" xr:uid="{D5210168-752B-4304-BCEE-1379A19C5FD9}"/>
    <cellStyle name="Migliaia 32 3 3 5 4" xfId="41932" xr:uid="{A771AE4D-84FE-4369-98A1-B14466DB68A1}"/>
    <cellStyle name="Migliaia 32 3 3 6" xfId="33781" xr:uid="{7059C4CD-D9BC-4DB5-8C2F-41EB9C131108}"/>
    <cellStyle name="Migliaia 32 3 3 6 2" xfId="39277" xr:uid="{EB1D63A7-27FC-4F44-A5C2-190BCFF74BD1}"/>
    <cellStyle name="Migliaia 32 3 3 6 3" xfId="44579" xr:uid="{37421332-ACFD-4DF2-AC51-D41969B4DB82}"/>
    <cellStyle name="Migliaia 32 3 3 7" xfId="36716" xr:uid="{ED7C46EB-FEA5-48FC-9D53-632497F3A410}"/>
    <cellStyle name="Migliaia 32 3 3 8" xfId="41928" xr:uid="{37AB18EE-2C70-4242-9525-D7A0F803AC5F}"/>
    <cellStyle name="Migliaia 32 3 3 9" xfId="16400" xr:uid="{AE7640D7-2530-4CA8-B595-B36D9FC88B8C}"/>
    <cellStyle name="Migliaia 32 3 4" xfId="3512" xr:uid="{62304707-5987-4782-98DE-4DA0F6D655B2}"/>
    <cellStyle name="Migliaia 32 3 4 2" xfId="5238" xr:uid="{32C99067-454D-4962-9210-A644E7861CC2}"/>
    <cellStyle name="Migliaia 32 3 4 2 2" xfId="14448" xr:uid="{A6D684DB-F6DE-4DD5-90B4-792278959FBC}"/>
    <cellStyle name="Migliaia 32 3 4 2 3" xfId="18584" xr:uid="{2EFD642E-A13D-49EF-BCEB-A36066884EB0}"/>
    <cellStyle name="Migliaia 32 3 4 2 4" xfId="20388" xr:uid="{A6ACF4E3-FB98-4F77-8049-F2B0AB15BBE2}"/>
    <cellStyle name="Migliaia 32 3 4 2 5" xfId="32380" xr:uid="{CAF02877-2AC3-4687-A88A-4454475AB170}"/>
    <cellStyle name="Migliaia 32 3 4 2 6" xfId="16403" xr:uid="{6A83FBA9-93E3-4E3C-86AB-D3F851B264F1}"/>
    <cellStyle name="Migliaia 32 3 4 2 7" xfId="8871" xr:uid="{2932B087-2D39-438B-9268-D24824DAC030}"/>
    <cellStyle name="Migliaia 32 3 4 3" xfId="6437" xr:uid="{C1B46896-D5AF-408A-8D97-A8746572D3E7}"/>
    <cellStyle name="Migliaia 32 3 4 3 2" xfId="35300" xr:uid="{D1FE0037-7C10-4A7D-B547-43D92FC7A46C}"/>
    <cellStyle name="Migliaia 32 3 4 3 2 2" xfId="40460" xr:uid="{575C98B0-89E8-49A1-AB7A-E76C3BEF45E1}"/>
    <cellStyle name="Migliaia 32 3 4 3 2 3" xfId="45762" xr:uid="{73622E6C-FCF2-413A-A240-78234E3D8048}"/>
    <cellStyle name="Migliaia 32 3 4 3 3" xfId="37809" xr:uid="{2F7870D7-152D-4F7E-BD71-90103DF3096A}"/>
    <cellStyle name="Migliaia 32 3 4 3 4" xfId="43111" xr:uid="{26AEC8EA-5965-49F2-A3DC-85C93554E083}"/>
    <cellStyle name="Migliaia 32 3 4 3 5" xfId="13696" xr:uid="{715D1556-6C38-42F7-B0FE-7E33FAAEB4FC}"/>
    <cellStyle name="Migliaia 32 3 4 4" xfId="20387" xr:uid="{DA7853A7-2C42-4F9F-98D0-0476E18974D0}"/>
    <cellStyle name="Migliaia 32 3 4 4 2" xfId="39282" xr:uid="{858AAFF4-2F74-4DE1-B3ED-AD661202AC57}"/>
    <cellStyle name="Migliaia 32 3 4 4 3" xfId="44584" xr:uid="{947AF9CD-D447-4A3F-89E9-17B463248EFC}"/>
    <cellStyle name="Migliaia 32 3 4 4 4" xfId="33786" xr:uid="{FB5E23B1-84EA-40A4-91B8-7741FD1FCBAF}"/>
    <cellStyle name="Migliaia 32 3 4 5" xfId="36721" xr:uid="{AEEC3B71-3C0C-4B4D-8DB7-B1E6214AC34C}"/>
    <cellStyle name="Migliaia 32 3 4 6" xfId="41933" xr:uid="{E5E419AD-7321-4C4E-9379-CD410FEDB093}"/>
    <cellStyle name="Migliaia 32 3 4 7" xfId="16402" xr:uid="{991C84B8-317E-40BA-B778-AF6F5B077395}"/>
    <cellStyle name="Migliaia 32 3 4 8" xfId="7681" xr:uid="{4904E841-3A41-4C94-9F8C-4BDC9A5880B4}"/>
    <cellStyle name="Migliaia 32 3 5" xfId="3513" xr:uid="{CB096336-041D-4556-A1DF-54B489F00F47}"/>
    <cellStyle name="Migliaia 32 3 5 2" xfId="5239" xr:uid="{F97C6EFB-56E4-48FA-B693-6194ADB4FC42}"/>
    <cellStyle name="Migliaia 32 3 5 2 2" xfId="35301" xr:uid="{5D43112C-3683-4AEC-934A-EEFC99F21177}"/>
    <cellStyle name="Migliaia 32 3 5 2 2 2" xfId="40461" xr:uid="{CAB13AB9-2489-47E5-AB5C-54287E7405CB}"/>
    <cellStyle name="Migliaia 32 3 5 2 2 3" xfId="45763" xr:uid="{966A87FE-80BD-4372-9462-7F2C22810DA0}"/>
    <cellStyle name="Migliaia 32 3 5 2 3" xfId="37810" xr:uid="{02F864EC-4AE7-4E1B-A272-CA9069263FC4}"/>
    <cellStyle name="Migliaia 32 3 5 2 4" xfId="43112" xr:uid="{25FE6546-4842-41B8-B8FE-87D42CE3637D}"/>
    <cellStyle name="Migliaia 32 3 5 2 5" xfId="14256" xr:uid="{9EFDD41E-884D-4C42-B494-D7B57B5EF3AE}"/>
    <cellStyle name="Migliaia 32 3 5 3" xfId="6438" xr:uid="{6CFB68BC-DA43-467F-A744-173D2D54F3E6}"/>
    <cellStyle name="Migliaia 32 3 5 3 2" xfId="39283" xr:uid="{B68415A5-71FE-4525-82C0-77EAAFBE7677}"/>
    <cellStyle name="Migliaia 32 3 5 3 3" xfId="44585" xr:uid="{E53B86B9-D965-4B7E-AA1F-9A630FD34D34}"/>
    <cellStyle name="Migliaia 32 3 5 3 4" xfId="33787" xr:uid="{CB9EDD51-4466-44C7-9896-7E4F2F1D1740}"/>
    <cellStyle name="Migliaia 32 3 5 3 5" xfId="20389" xr:uid="{93879FC9-723B-4EBF-A986-97723E768634}"/>
    <cellStyle name="Migliaia 32 3 5 4" xfId="36722" xr:uid="{DB983AFD-B66F-435B-906E-7E6A425B4977}"/>
    <cellStyle name="Migliaia 32 3 5 5" xfId="41934" xr:uid="{869BD425-4992-4C56-A7DF-11C256F31684}"/>
    <cellStyle name="Migliaia 32 3 5 6" xfId="16404" xr:uid="{BE5A0BC8-CD76-44B2-AE9B-7EFA3930C0F5}"/>
    <cellStyle name="Migliaia 32 3 5 7" xfId="8318" xr:uid="{11032C66-E4EE-424C-89E6-73B922A716A7}"/>
    <cellStyle name="Migliaia 32 3 6" xfId="5234" xr:uid="{1B527711-DAE8-4B2E-AF9D-3134DEDDB473}"/>
    <cellStyle name="Migliaia 32 3 6 2" xfId="13961" xr:uid="{CFB8235F-7D0C-47AF-9E12-2DCF338CD98A}"/>
    <cellStyle name="Migliaia 32 3 6 2 2" xfId="39284" xr:uid="{7CFB0A0F-8BDB-49DC-9486-5DE4C0226C9F}"/>
    <cellStyle name="Migliaia 32 3 6 2 3" xfId="44586" xr:uid="{DCD3F086-C49E-4D8B-93B5-6E0C9B9DFF4B}"/>
    <cellStyle name="Migliaia 32 3 6 3" xfId="18614" xr:uid="{08AD073A-7E95-4620-A75F-5D382FC7CD40}"/>
    <cellStyle name="Migliaia 32 3 6 4" xfId="20390" xr:uid="{FAFC3692-CB6A-43F5-8EC7-E398D4D59808}"/>
    <cellStyle name="Migliaia 32 3 6 4 2" xfId="41935" xr:uid="{310514F5-BF61-4756-A0BE-84B660792A88}"/>
    <cellStyle name="Migliaia 32 3 6 5" xfId="16405" xr:uid="{B0BBA026-4FD4-4887-A31B-E27E99D5D8A5}"/>
    <cellStyle name="Migliaia 32 3 6 6" xfId="7924" xr:uid="{92DA15A0-C93C-4A92-A33C-6B471BF960F9}"/>
    <cellStyle name="Migliaia 32 3 7" xfId="6433" xr:uid="{5823BAAF-61D2-4281-AB44-67BFE3822AEA}"/>
    <cellStyle name="Migliaia 32 3 7 2" xfId="33788" xr:uid="{1049A9A8-6DE6-46EE-9C3F-1F6C0525CD14}"/>
    <cellStyle name="Migliaia 32 3 7 2 2" xfId="39285" xr:uid="{A6E4031C-8B38-422C-957B-F45672C254FD}"/>
    <cellStyle name="Migliaia 32 3 7 2 3" xfId="44587" xr:uid="{9F33CC95-96CD-45FE-AAB7-E1F978E53B77}"/>
    <cellStyle name="Migliaia 32 3 7 3" xfId="36723" xr:uid="{CF575470-D392-4F9E-B60F-DA6C734E64E3}"/>
    <cellStyle name="Migliaia 32 3 7 4" xfId="41936" xr:uid="{AC981413-F277-4B3A-90D5-D87BC21EFE1E}"/>
    <cellStyle name="Migliaia 32 3 7 5" xfId="12244" xr:uid="{1E0201AD-82C9-44F6-950E-9247E53C4E79}"/>
    <cellStyle name="Migliaia 32 3 8" xfId="3508" xr:uid="{2085F6A7-0789-469A-B969-4BE64300FCAA}"/>
    <cellStyle name="Migliaia 32 3 8 2" xfId="33789" xr:uid="{5873EF68-98CE-4B51-92C7-3941CA2063FC}"/>
    <cellStyle name="Migliaia 32 3 8 2 2" xfId="39286" xr:uid="{A12DE1F5-6CCD-4764-A0DA-F94F5B25517A}"/>
    <cellStyle name="Migliaia 32 3 8 2 3" xfId="44588" xr:uid="{C5395F6A-5745-493D-8024-BFEA84408C06}"/>
    <cellStyle name="Migliaia 32 3 8 3" xfId="36724" xr:uid="{B093328A-DCF6-4219-8FC5-9DFD8F1E0BEF}"/>
    <cellStyle name="Migliaia 32 3 8 4" xfId="41937" xr:uid="{E7DB0335-3539-4A6B-8F34-AC9F3AE3356C}"/>
    <cellStyle name="Migliaia 32 3 8 5" xfId="24768" xr:uid="{F787DF8E-D06C-43DE-B276-2871F7E2EECB}"/>
    <cellStyle name="Migliaia 32 3 8 6" xfId="17352" xr:uid="{0B459E9E-8DF0-4100-BEF4-D58957885B44}"/>
    <cellStyle name="Migliaia 32 3 9" xfId="20381" xr:uid="{922E9900-501C-48DE-9B92-ACC91E42B687}"/>
    <cellStyle name="Migliaia 32 4" xfId="1783" xr:uid="{00000000-0005-0000-0000-0000A6030000}"/>
    <cellStyle name="Migliaia 32 4 2" xfId="1784" xr:uid="{00000000-0005-0000-0000-0000A7030000}"/>
    <cellStyle name="Migliaia 32 4 2 2" xfId="5241" xr:uid="{924DAC67-60AF-40AE-B9D4-B129F12D1A13}"/>
    <cellStyle name="Migliaia 32 4 2 2 2" xfId="33790" xr:uid="{3FAC5EEB-5E85-4ECE-B352-3E9751C90200}"/>
    <cellStyle name="Migliaia 32 4 2 2 2 2" xfId="39287" xr:uid="{EDB0A399-5FAE-4184-A4F9-46B883C15158}"/>
    <cellStyle name="Migliaia 32 4 2 2 2 3" xfId="44589" xr:uid="{A6B3C9F2-874F-4187-8C2B-9B937552F310}"/>
    <cellStyle name="Migliaia 32 4 2 2 3" xfId="36725" xr:uid="{572AC398-E290-4494-A356-61DF2C07BA07}"/>
    <cellStyle name="Migliaia 32 4 2 2 4" xfId="41938" xr:uid="{1007A034-C2C2-4E78-BFA1-1AABEC48AF43}"/>
    <cellStyle name="Migliaia 32 4 2 2 5" xfId="9158" xr:uid="{B1ACF012-D0F6-4D95-8033-A474D5A9AAC7}"/>
    <cellStyle name="Migliaia 32 4 2 3" xfId="3515" xr:uid="{F21A02D4-91F8-4775-8141-127D42F27451}"/>
    <cellStyle name="Migliaia 32 4 2 3 2" xfId="33791" xr:uid="{21884536-2C59-46B7-9579-D65C499E8612}"/>
    <cellStyle name="Migliaia 32 4 2 3 2 2" xfId="39288" xr:uid="{D0EB52A3-B6A8-41D5-8E39-4433D6A08D7A}"/>
    <cellStyle name="Migliaia 32 4 2 3 2 3" xfId="44590" xr:uid="{17D6F292-154E-4EEE-B38F-B1A332468B68}"/>
    <cellStyle name="Migliaia 32 4 2 3 3" xfId="36726" xr:uid="{9946F70D-BD46-4549-8D60-BE4B329D5F88}"/>
    <cellStyle name="Migliaia 32 4 2 3 4" xfId="41939" xr:uid="{2E5A9AD1-8CF1-4D2A-AEDF-114166A294E5}"/>
    <cellStyle name="Migliaia 32 4 2 3 5" xfId="11989" xr:uid="{ABCE21FD-DA7D-4B8C-AB80-946859AAE871}"/>
    <cellStyle name="Migliaia 32 4 2 4" xfId="11338" xr:uid="{44C5CD34-B7F0-4662-B07D-4D7CE088E886}"/>
    <cellStyle name="Migliaia 32 4 2 5" xfId="10861" xr:uid="{6CBA1785-DB5B-4DDB-A0CF-CDA013F77C9E}"/>
    <cellStyle name="Migliaia 32 4 2 5 2" xfId="21496" xr:uid="{C2484BC5-1E38-4885-9E04-0C7B2C51EBE1}"/>
    <cellStyle name="Migliaia 32 4 2 5 3" xfId="46244" xr:uid="{3339D4FA-7017-4755-84BF-A32FA0DB570B}"/>
    <cellStyle name="Migliaia 32 4 2 5 4" xfId="50511" xr:uid="{96DF5D9F-FB42-40B5-892D-C6C2209C7953}"/>
    <cellStyle name="Migliaia 32 4 2 5 5" xfId="53527" xr:uid="{766258EF-78DC-4D85-96CE-F234E592B18F}"/>
    <cellStyle name="Migliaia 32 4 2 6" xfId="20392" xr:uid="{CBD00B81-B4F9-4F8A-822D-9CB9F3512A8F}"/>
    <cellStyle name="Migliaia 32 4 2 7" xfId="24770" xr:uid="{E6DDB186-680D-4247-9011-B4C7292F78ED}"/>
    <cellStyle name="Migliaia 32 4 2 8" xfId="8634" xr:uid="{9B66DD61-8FCA-4F2E-B31F-6E061D9674B8}"/>
    <cellStyle name="Migliaia 32 4 3" xfId="5240" xr:uid="{FDFE663D-554D-4F35-A2F4-EADA5482FA20}"/>
    <cellStyle name="Migliaia 32 4 3 2" xfId="18213" xr:uid="{BD51959E-25ED-4466-B2B3-038252FE0ED7}"/>
    <cellStyle name="Migliaia 32 4 3 2 2" xfId="39289" xr:uid="{4A1DB9AC-6FB9-438C-AF16-6F734CF4CB60}"/>
    <cellStyle name="Migliaia 32 4 3 2 3" xfId="44591" xr:uid="{22E7F6B9-500B-48F7-842C-A19EBCDA0DA0}"/>
    <cellStyle name="Migliaia 32 4 3 3" xfId="36727" xr:uid="{FDC93AEB-2A5A-4E7F-BD96-703BDDE6A9E3}"/>
    <cellStyle name="Migliaia 32 4 3 4" xfId="41940" xr:uid="{8670B5D4-9840-4056-BCA4-0DE3110292CB}"/>
    <cellStyle name="Migliaia 32 4 3 5" xfId="17350" xr:uid="{C30D82F8-94C5-46EE-A19E-1FF4B0AA191C}"/>
    <cellStyle name="Migliaia 32 4 3 6" xfId="9159" xr:uid="{AFF05CCE-34D5-469E-9109-6D44C06A02CD}"/>
    <cellStyle name="Migliaia 32 4 4" xfId="6439" xr:uid="{C9F7EC3B-CCDC-4457-A54B-384E689E7FA7}"/>
    <cellStyle name="Migliaia 32 4 4 2" xfId="33792" xr:uid="{4ADB547B-ADF1-4478-8F07-DC62D2C64AE6}"/>
    <cellStyle name="Migliaia 32 4 4 2 2" xfId="39290" xr:uid="{E2186575-DF30-4743-8601-91E1FCBC3172}"/>
    <cellStyle name="Migliaia 32 4 4 2 3" xfId="44592" xr:uid="{F7BC44FD-795B-4057-AEBD-43324A28F406}"/>
    <cellStyle name="Migliaia 32 4 4 3" xfId="36728" xr:uid="{69648B24-6867-452B-9A96-5EC60812BC4F}"/>
    <cellStyle name="Migliaia 32 4 4 4" xfId="41941" xr:uid="{7291B272-D440-4363-B454-348F601D7EE4}"/>
    <cellStyle name="Migliaia 32 4 4 5" xfId="11990" xr:uid="{1A63802B-4003-446A-8716-154B3BABC81E}"/>
    <cellStyle name="Migliaia 32 4 5" xfId="3514" xr:uid="{C4A06186-7525-4C11-9D18-72573FE871B0}"/>
    <cellStyle name="Migliaia 32 4 5 2" xfId="33793" xr:uid="{DD3625C4-642D-4AD1-BCCC-272B6D988311}"/>
    <cellStyle name="Migliaia 32 4 5 2 2" xfId="39291" xr:uid="{CB1868E0-DC8E-4D10-9E82-03E478000A06}"/>
    <cellStyle name="Migliaia 32 4 5 2 3" xfId="44593" xr:uid="{27ECC89F-FB30-412F-AF86-F649797910F0}"/>
    <cellStyle name="Migliaia 32 4 5 3" xfId="36729" xr:uid="{DA1094CC-C57C-44EF-96EA-A9D5C91C05A8}"/>
    <cellStyle name="Migliaia 32 4 5 4" xfId="41942" xr:uid="{697F5EA4-FBE2-4FDE-B9EE-287FAFADF421}"/>
    <cellStyle name="Migliaia 32 4 5 5" xfId="11337" xr:uid="{76B47DAD-CB40-43A2-AFBE-B9850F9062F8}"/>
    <cellStyle name="Migliaia 32 4 6" xfId="10860" xr:uid="{86E7D125-28A7-44C9-8CEA-0AA5D4C65876}"/>
    <cellStyle name="Migliaia 32 4 6 2" xfId="21495" xr:uid="{4F58E123-AE8A-48F5-BE64-51107DE2481A}"/>
    <cellStyle name="Migliaia 32 4 6 2 2" xfId="39292" xr:uid="{7234CDB0-2C06-4C64-B04D-1F3CF2E18706}"/>
    <cellStyle name="Migliaia 32 4 6 2 3" xfId="44594" xr:uid="{8180B857-93C8-45A4-B990-C9A97CA936BA}"/>
    <cellStyle name="Migliaia 32 4 6 2 4" xfId="33794" xr:uid="{54F74F49-2264-438D-BE84-AA676CD84D51}"/>
    <cellStyle name="Migliaia 32 4 6 3" xfId="36730" xr:uid="{B6FAE01B-EB7D-4FED-9B91-3F0DB74D6964}"/>
    <cellStyle name="Migliaia 32 4 6 4" xfId="41943" xr:uid="{CA8B2CEA-F0B3-4465-9B78-F1A16EA0CB08}"/>
    <cellStyle name="Migliaia 32 4 6 5" xfId="24771" xr:uid="{EC66C4E6-031B-4E07-84BC-9319F5ECC2D6}"/>
    <cellStyle name="Migliaia 32 4 6 6" xfId="24243" xr:uid="{17EA41F2-A498-4187-B713-17FA40E5EDDE}"/>
    <cellStyle name="Migliaia 32 4 6 7" xfId="50510" xr:uid="{CFE27C3D-89AB-488D-97A9-29DE6D2C578F}"/>
    <cellStyle name="Migliaia 32 4 6 8" xfId="53526" xr:uid="{B349D4BF-7AB2-4A9C-AE26-209C3A45C6B2}"/>
    <cellStyle name="Migliaia 32 4 7" xfId="20391" xr:uid="{BDB98528-0EB8-46D0-BF46-01EB44B24D01}"/>
    <cellStyle name="Migliaia 32 4 7 2" xfId="33795" xr:uid="{AAB9691C-1710-434F-BF12-A7873C43DCEA}"/>
    <cellStyle name="Migliaia 32 4 7 2 2" xfId="39293" xr:uid="{436D2E82-A8B5-48A9-9646-19E2B23A708C}"/>
    <cellStyle name="Migliaia 32 4 7 2 3" xfId="44595" xr:uid="{C30BF921-6E09-4A43-84A7-4D71EC7617C2}"/>
    <cellStyle name="Migliaia 32 4 7 3" xfId="36731" xr:uid="{9BC2C607-9D6C-4D12-AC08-4CD9DC53B10B}"/>
    <cellStyle name="Migliaia 32 4 7 4" xfId="41944" xr:uid="{3979ABEA-680B-4A9E-8DD2-A9BE7FD3813D}"/>
    <cellStyle name="Migliaia 32 4 7 5" xfId="24772" xr:uid="{95F42D76-BC33-481D-9047-B5AD3FA85D1A}"/>
    <cellStyle name="Migliaia 32 4 8" xfId="24769" xr:uid="{4070D83A-8BC8-42D6-A0C4-50DD0B80B3A3}"/>
    <cellStyle name="Migliaia 32 4 9" xfId="7444" xr:uid="{92B8D8B8-7FFA-452E-91CA-E1A3FF57332F}"/>
    <cellStyle name="Migliaia 32 5" xfId="1785" xr:uid="{00000000-0005-0000-0000-0000A8030000}"/>
    <cellStyle name="Migliaia 32 5 2" xfId="5242" xr:uid="{DFD51720-D573-4248-9FD6-E0340BCBADFE}"/>
    <cellStyle name="Migliaia 32 5 2 2" xfId="18439" xr:uid="{E787C402-ADD9-4D1B-8D98-A3D31E5130D3}"/>
    <cellStyle name="Migliaia 32 5 2 2 2" xfId="39294" xr:uid="{53D34412-1FFD-441E-93FB-B6F5C8A663E9}"/>
    <cellStyle name="Migliaia 32 5 2 2 3" xfId="44596" xr:uid="{7C6B6FBB-F91C-4B5D-8854-081B85836742}"/>
    <cellStyle name="Migliaia 32 5 2 3" xfId="20394" xr:uid="{B866360A-F00F-42F6-AC1C-1105CD6914DB}"/>
    <cellStyle name="Migliaia 32 5 2 3 2" xfId="36732" xr:uid="{01EE5ED1-53A7-401C-9416-5C8EA1A4C6C5}"/>
    <cellStyle name="Migliaia 32 5 2 4" xfId="41945" xr:uid="{FCAEF8E4-0630-4DF5-913B-7105966A62C6}"/>
    <cellStyle name="Migliaia 32 5 2 5" xfId="16406" xr:uid="{D7A45B08-41D4-4E11-BAD3-D2D46E9E8C1B}"/>
    <cellStyle name="Migliaia 32 5 2 6" xfId="8635" xr:uid="{14D81420-63B9-4E0C-928C-8649754A550B}"/>
    <cellStyle name="Migliaia 32 5 3" xfId="6440" xr:uid="{CAD3D39B-47AB-4F3C-88FA-2CD1B94FDB68}"/>
    <cellStyle name="Migliaia 32 5 3 2" xfId="33796" xr:uid="{1F1FB193-7297-496B-B639-2E461523328C}"/>
    <cellStyle name="Migliaia 32 5 3 2 2" xfId="39295" xr:uid="{812BD8A9-139F-43E8-9E3E-12048C1F79E2}"/>
    <cellStyle name="Migliaia 32 5 3 2 3" xfId="44597" xr:uid="{CDB768D4-4D74-4B72-AFD3-9F09DABB71AC}"/>
    <cellStyle name="Migliaia 32 5 3 3" xfId="36733" xr:uid="{3B9BAC82-F426-468D-AC20-59FDD339B112}"/>
    <cellStyle name="Migliaia 32 5 3 4" xfId="41946" xr:uid="{610AD3B2-51D2-4D32-9426-185469778E02}"/>
    <cellStyle name="Migliaia 32 5 3 5" xfId="11339" xr:uid="{F43C9747-882F-46D5-BAF8-F670DA22B48A}"/>
    <cellStyle name="Migliaia 32 5 4" xfId="3516" xr:uid="{5E249684-B9FD-44B1-99AC-1284190174C1}"/>
    <cellStyle name="Migliaia 32 5 4 2" xfId="21497" xr:uid="{84176843-19EE-43E0-B08A-D7BA818F07D2}"/>
    <cellStyle name="Migliaia 32 5 4 2 2" xfId="39296" xr:uid="{809BA1E5-2818-4DF6-8D84-000F5D4BBB95}"/>
    <cellStyle name="Migliaia 32 5 4 2 3" xfId="44598" xr:uid="{18821E93-B639-4EE1-A6ED-8B8A606EE23C}"/>
    <cellStyle name="Migliaia 32 5 4 2 4" xfId="33797" xr:uid="{65000424-83D0-4C19-8F00-C0B3882CE870}"/>
    <cellStyle name="Migliaia 32 5 4 3" xfId="36734" xr:uid="{E4DC2789-CF98-45C8-B071-2347EAADF4CA}"/>
    <cellStyle name="Migliaia 32 5 4 4" xfId="41947" xr:uid="{47A419E2-051B-4DFE-B8B7-FCC3184ED07F}"/>
    <cellStyle name="Migliaia 32 5 4 5" xfId="24774" xr:uid="{84068E10-D3A6-4D72-958E-FA1C57EC6BC7}"/>
    <cellStyle name="Migliaia 32 5 4 6" xfId="47306" xr:uid="{5100DF7D-F22A-48DF-855C-6376179C5418}"/>
    <cellStyle name="Migliaia 32 5 4 7" xfId="50512" xr:uid="{F940D57E-04E3-44E6-9845-D551D039A069}"/>
    <cellStyle name="Migliaia 32 5 4 8" xfId="53528" xr:uid="{DFF0CF6E-9A19-4236-B6EE-F7FDFF83CB7A}"/>
    <cellStyle name="Migliaia 32 5 4 9" xfId="10862" xr:uid="{5B5B63B0-96A0-45AA-8B79-869C6D76D2EF}"/>
    <cellStyle name="Migliaia 32 5 5" xfId="20393" xr:uid="{59BBCF21-E767-42AC-ABC0-5BA787321D01}"/>
    <cellStyle name="Migliaia 32 5 5 2" xfId="33798" xr:uid="{CC6853EC-5A49-44FC-BFD9-11E264672A1C}"/>
    <cellStyle name="Migliaia 32 5 5 2 2" xfId="39297" xr:uid="{C68E3372-536A-4C60-A956-E7D3010F6F18}"/>
    <cellStyle name="Migliaia 32 5 5 2 3" xfId="44599" xr:uid="{86EAF8D8-FA2E-4E98-8289-EF3A63688D21}"/>
    <cellStyle name="Migliaia 32 5 5 3" xfId="36735" xr:uid="{0109922E-4AE5-4FEA-AE60-573D4E65F377}"/>
    <cellStyle name="Migliaia 32 5 5 4" xfId="41948" xr:uid="{E3EB6C57-BF7C-45F0-9088-EA6118B92574}"/>
    <cellStyle name="Migliaia 32 5 5 5" xfId="24775" xr:uid="{07F851CF-5D5F-4ECD-86C7-CB60E62406F3}"/>
    <cellStyle name="Migliaia 32 5 6" xfId="24776" xr:uid="{0015F774-9541-458C-939A-85CB36AEFD34}"/>
    <cellStyle name="Migliaia 32 5 6 2" xfId="33799" xr:uid="{BF371DCC-A84B-479F-9130-F39BB7BA1752}"/>
    <cellStyle name="Migliaia 32 5 6 2 2" xfId="39298" xr:uid="{C30D5739-928E-4E2D-9F09-419AF2158E22}"/>
    <cellStyle name="Migliaia 32 5 6 2 3" xfId="44600" xr:uid="{19D77D7A-8229-415B-BBEB-EB79F1545040}"/>
    <cellStyle name="Migliaia 32 5 6 3" xfId="36736" xr:uid="{12D23CEB-7644-4CF4-98BD-E053653CFC8A}"/>
    <cellStyle name="Migliaia 32 5 6 4" xfId="41949" xr:uid="{EAF36789-C379-4D71-84F0-26CB2E640509}"/>
    <cellStyle name="Migliaia 32 5 7" xfId="24773" xr:uid="{29F69353-7277-479D-99E4-3AA83FC0C92C}"/>
    <cellStyle name="Migliaia 32 5 8" xfId="7445" xr:uid="{44EDAF0E-1D6F-45CD-8DA8-F091833803B7}"/>
    <cellStyle name="Migliaia 32 6" xfId="3517" xr:uid="{19207D03-52D6-4671-94F4-D680956CE76F}"/>
    <cellStyle name="Migliaia 32 6 2" xfId="5243" xr:uid="{D7F948F9-1A70-4C14-941D-F81B76E185B6}"/>
    <cellStyle name="Migliaia 32 6 2 2" xfId="9931" xr:uid="{81D02C72-CD29-4E49-A5FA-81AFAB6E537F}"/>
    <cellStyle name="Migliaia 32 6 2 3" xfId="18655" xr:uid="{BFEF1A2C-BF6B-4036-8DD0-474F29CB9E73}"/>
    <cellStyle name="Migliaia 32 6 2 4" xfId="20396" xr:uid="{59C7A844-E4AE-475B-A741-D64D05EB8B8F}"/>
    <cellStyle name="Migliaia 32 6 2 5" xfId="32382" xr:uid="{92BD9752-B62A-452F-BAE0-C3BBC8340C76}"/>
    <cellStyle name="Migliaia 32 6 2 6" xfId="16408" xr:uid="{ED3CA512-51CE-49A8-AA1E-41447FAF9C50}"/>
    <cellStyle name="Migliaia 32 6 2 7" xfId="8630" xr:uid="{5BA5CE85-E674-4A2A-8ED7-29E308DC8C49}"/>
    <cellStyle name="Migliaia 32 6 3" xfId="6441" xr:uid="{06C6FBF0-0D43-460C-8399-97043C1CDA88}"/>
    <cellStyle name="Migliaia 32 6 3 2" xfId="35302" xr:uid="{F4A8CEC6-2D02-4B31-815D-E244B07CD39D}"/>
    <cellStyle name="Migliaia 32 6 3 2 2" xfId="40462" xr:uid="{4A6EE47D-EB5A-49BF-B945-079EB3FD3AF5}"/>
    <cellStyle name="Migliaia 32 6 3 2 3" xfId="45764" xr:uid="{6EFC5354-D326-4D65-8BE6-CA0C12FEB163}"/>
    <cellStyle name="Migliaia 32 6 3 3" xfId="37811" xr:uid="{CE8CA2AA-8C04-4404-8F48-43713BFEE708}"/>
    <cellStyle name="Migliaia 32 6 3 4" xfId="43113" xr:uid="{92DDA6D4-C6D6-48F7-A87C-2460F1FF095F}"/>
    <cellStyle name="Migliaia 32 6 3 5" xfId="9694" xr:uid="{A9B0ED13-71AB-467E-9E50-C90FD9BB53CA}"/>
    <cellStyle name="Migliaia 32 6 4" xfId="20395" xr:uid="{215E81BB-54E9-46BD-94DD-12692F849B57}"/>
    <cellStyle name="Migliaia 32 6 4 2" xfId="39299" xr:uid="{FF31A5FB-511B-4E20-804A-29692AA5502E}"/>
    <cellStyle name="Migliaia 32 6 4 3" xfId="44601" xr:uid="{1BC3D7D3-2F08-4401-83A5-20FB1A7309ED}"/>
    <cellStyle name="Migliaia 32 6 4 4" xfId="33800" xr:uid="{60884C01-C644-4D9E-9345-A12E09FCE80C}"/>
    <cellStyle name="Migliaia 32 6 5" xfId="36737" xr:uid="{553B29DA-4F5B-48EF-A240-F66880674DF5}"/>
    <cellStyle name="Migliaia 32 6 6" xfId="41950" xr:uid="{0479E5E0-6865-4A4D-9500-80006C8A8BC8}"/>
    <cellStyle name="Migliaia 32 6 7" xfId="16407" xr:uid="{D655DC29-53D5-4D09-9547-E03CE47B2224}"/>
    <cellStyle name="Migliaia 32 6 8" xfId="7440" xr:uid="{FE384F66-A2A8-413E-A4EC-EFC77835A4F7}"/>
    <cellStyle name="Migliaia 32 7" xfId="3518" xr:uid="{282D0C42-E8B2-448B-A2FB-154D2F922972}"/>
    <cellStyle name="Migliaia 32 7 2" xfId="5244" xr:uid="{BAF67321-032F-4E11-ABD8-45759C9E2BA9}"/>
    <cellStyle name="Migliaia 32 7 2 2" xfId="35303" xr:uid="{21D8232A-8ED6-42BC-BA87-687ACD240824}"/>
    <cellStyle name="Migliaia 32 7 2 2 2" xfId="40463" xr:uid="{20A5C980-4CF7-4B58-8D2E-9F420621FBE6}"/>
    <cellStyle name="Migliaia 32 7 2 2 3" xfId="45765" xr:uid="{911A5696-5CEF-4E5B-8232-68A85BDEABEB}"/>
    <cellStyle name="Migliaia 32 7 2 3" xfId="37812" xr:uid="{20AD953B-84E8-4C26-8B8A-68C97B70E9F5}"/>
    <cellStyle name="Migliaia 32 7 2 4" xfId="43114" xr:uid="{D9C4AEC7-C73A-425E-8741-8E9887D855BA}"/>
    <cellStyle name="Migliaia 32 7 2 5" xfId="14254" xr:uid="{F7AFF114-2474-4B41-85EC-D0ADDEBBF1F5}"/>
    <cellStyle name="Migliaia 32 7 3" xfId="6442" xr:uid="{A2CBCD6E-AF83-4420-AABD-8B74EFE2AAC1}"/>
    <cellStyle name="Migliaia 32 7 3 2" xfId="39300" xr:uid="{3F2B1F85-CCDA-4255-A72A-F1514B49C9D4}"/>
    <cellStyle name="Migliaia 32 7 3 3" xfId="44602" xr:uid="{2C5753D6-B2DB-4E84-9D20-9E344A0154B3}"/>
    <cellStyle name="Migliaia 32 7 3 4" xfId="33801" xr:uid="{C08585AF-8304-4B7C-81A2-78DCC68DF1F6}"/>
    <cellStyle name="Migliaia 32 7 3 5" xfId="20397" xr:uid="{E2D75003-69ED-469C-BC66-6E591DB235BD}"/>
    <cellStyle name="Migliaia 32 7 4" xfId="36738" xr:uid="{0CA21CB5-7753-4E0C-B7F1-BC90ACD76F50}"/>
    <cellStyle name="Migliaia 32 7 5" xfId="41951" xr:uid="{8366D61E-DDE2-46F0-B4A8-7444AAE0E861}"/>
    <cellStyle name="Migliaia 32 7 6" xfId="16409" xr:uid="{78DE83ED-501A-4D60-A828-5109EEDCEAA8}"/>
    <cellStyle name="Migliaia 32 7 7" xfId="8316" xr:uid="{A63E9AF0-C874-4A28-9367-0C48395C1C33}"/>
    <cellStyle name="Migliaia 32 8" xfId="3519" xr:uid="{B9EA8D56-496A-4BFC-9E25-5B8F8FF6563B}"/>
    <cellStyle name="Migliaia 32 8 2" xfId="5245" xr:uid="{AE7F18CF-C9D6-442F-BF29-4E0C13849FE9}"/>
    <cellStyle name="Migliaia 32 8 2 2" xfId="35304" xr:uid="{87CD96EE-C762-4B4C-8D4C-15972CA0D497}"/>
    <cellStyle name="Migliaia 32 8 2 2 2" xfId="40464" xr:uid="{2DA94507-FA2C-4EEC-B39D-EEAA326A73DE}"/>
    <cellStyle name="Migliaia 32 8 2 2 3" xfId="45766" xr:uid="{31BEB7D4-B781-4967-B378-A0EC1C0A9F24}"/>
    <cellStyle name="Migliaia 32 8 2 3" xfId="37813" xr:uid="{34E9FB55-1DA6-413B-8463-83A389642D71}"/>
    <cellStyle name="Migliaia 32 8 2 4" xfId="43115" xr:uid="{6B89630E-A2DE-4A9A-A88D-E48C4840063F}"/>
    <cellStyle name="Migliaia 32 8 2 5" xfId="13959" xr:uid="{131708B5-1171-4782-8B26-044F94A20EDF}"/>
    <cellStyle name="Migliaia 32 8 3" xfId="6443" xr:uid="{4C21A6A6-381A-4F37-8001-405EEAF1E16E}"/>
    <cellStyle name="Migliaia 32 8 3 2" xfId="39301" xr:uid="{D392DCB9-2D25-4F23-BC09-92CF4031B2D0}"/>
    <cellStyle name="Migliaia 32 8 3 3" xfId="44603" xr:uid="{416A7D03-1825-4512-A15E-4C07121C06C2}"/>
    <cellStyle name="Migliaia 32 8 3 4" xfId="33802" xr:uid="{0754052B-6F5E-451B-B202-2DB0772FC1F4}"/>
    <cellStyle name="Migliaia 32 8 3 5" xfId="20398" xr:uid="{FE23E4F7-DC54-4B1F-9666-9BDA5A7A85E1}"/>
    <cellStyle name="Migliaia 32 8 4" xfId="36739" xr:uid="{DDFC22CC-E4E6-44F1-9AD4-184D7A758ED2}"/>
    <cellStyle name="Migliaia 32 8 5" xfId="41952" xr:uid="{49FD42B4-ED68-498E-A3A4-CA2DB7ADFA24}"/>
    <cellStyle name="Migliaia 32 8 6" xfId="16410" xr:uid="{BF821772-202B-4686-8416-9A7A92DDDFA3}"/>
    <cellStyle name="Migliaia 32 8 7" xfId="7922" xr:uid="{15D4AD9B-8997-4784-B7D1-D7395431CC90}"/>
    <cellStyle name="Migliaia 32 9" xfId="5230" xr:uid="{595DA145-F0CC-4C77-A36E-E0B3F37DBD77}"/>
    <cellStyle name="Migliaia 32 9 2" xfId="33803" xr:uid="{2E783AE5-377F-48FC-9D7D-BE0DE24214DC}"/>
    <cellStyle name="Migliaia 32 9 2 2" xfId="39302" xr:uid="{86392F21-5EEB-4F97-B194-6D544D49DEB2}"/>
    <cellStyle name="Migliaia 32 9 2 3" xfId="44604" xr:uid="{BC25C094-C6EC-4110-9C49-54D2A4A2DCD8}"/>
    <cellStyle name="Migliaia 32 9 3" xfId="36740" xr:uid="{47EBACC3-ED9B-4AB1-978B-847CA27C3069}"/>
    <cellStyle name="Migliaia 32 9 4" xfId="41953" xr:uid="{7108C331-2D88-4C96-943C-20A34DF4170E}"/>
    <cellStyle name="Migliaia 32 9 5" xfId="17185" xr:uid="{7F2473FA-888C-4BF8-A580-CFA4539155A9}"/>
    <cellStyle name="Migliaia 33" xfId="405" xr:uid="{00000000-0005-0000-0000-0000A9030000}"/>
    <cellStyle name="Migliaia 33 10" xfId="6444" xr:uid="{A877428A-269A-4EB9-9D56-2E337C0EEEE2}"/>
    <cellStyle name="Migliaia 33 10 2" xfId="39303" xr:uid="{51686E89-4C24-47CD-8976-D1C68FE3F202}"/>
    <cellStyle name="Migliaia 33 10 3" xfId="44605" xr:uid="{B2A25FD3-BA94-49E8-BAF8-06FFD0576E4A}"/>
    <cellStyle name="Migliaia 33 10 4" xfId="33804" xr:uid="{4D258CBD-96B4-4DDE-8496-33E20A92FB44}"/>
    <cellStyle name="Migliaia 33 10 5" xfId="20399" xr:uid="{EA88FDA7-5EAB-48D8-A6EC-D1B2720DAF94}"/>
    <cellStyle name="Migliaia 33 11" xfId="3520" xr:uid="{60ECEFB9-5D76-4603-85D4-AF11CE2B0151}"/>
    <cellStyle name="Migliaia 33 11 2" xfId="36741" xr:uid="{3D8285BB-E7DC-4766-9267-53FBEDC8C454}"/>
    <cellStyle name="Migliaia 33 12" xfId="41954" xr:uid="{B92F1127-06E4-4894-B2E7-7AED1986905E}"/>
    <cellStyle name="Migliaia 33 13" xfId="7120" xr:uid="{EFF18E94-CD64-4526-8CBD-D2D12531AC70}"/>
    <cellStyle name="Migliaia 33 2" xfId="406" xr:uid="{00000000-0005-0000-0000-0000AA030000}"/>
    <cellStyle name="Migliaia 33 2 2" xfId="1786" xr:uid="{00000000-0005-0000-0000-0000AB030000}"/>
    <cellStyle name="Migliaia 33 2 2 2" xfId="5248" xr:uid="{798C7812-8EFE-4813-AA39-CEB8F5DCC7CB}"/>
    <cellStyle name="Migliaia 33 2 2 2 2" xfId="14389" xr:uid="{5BDBE7AF-3550-4E5D-91FA-3E2D819131A7}"/>
    <cellStyle name="Migliaia 33 2 2 2 2 2" xfId="39304" xr:uid="{BB0EE4E1-045C-438C-86B3-C8FFD66F1686}"/>
    <cellStyle name="Migliaia 33 2 2 2 2 3" xfId="44606" xr:uid="{22244368-4054-470D-A84A-FFD86380CAC2}"/>
    <cellStyle name="Migliaia 33 2 2 2 3" xfId="18440" xr:uid="{65338B57-1875-4E11-BCBB-9DD1B43931BC}"/>
    <cellStyle name="Migliaia 33 2 2 2 4" xfId="20402" xr:uid="{66789160-D667-47D1-9EC8-B1601CACE1BC}"/>
    <cellStyle name="Migliaia 33 2 2 2 4 2" xfId="41955" xr:uid="{3D40B209-D161-4649-8E59-FACF446046EF}"/>
    <cellStyle name="Migliaia 33 2 2 2 5" xfId="16411" xr:uid="{51CE6995-0199-4BDF-9C08-C3CE229086FD}"/>
    <cellStyle name="Migliaia 33 2 2 2 6" xfId="8637" xr:uid="{77F371B4-8AC2-401A-B26A-22836CDCAEFD}"/>
    <cellStyle name="Migliaia 33 2 2 3" xfId="6446" xr:uid="{9904DD2A-6FB4-4BFE-A65F-1C626C6FF29A}"/>
    <cellStyle name="Migliaia 33 2 2 3 2" xfId="35305" xr:uid="{5528D152-2874-4A84-9025-726349C08277}"/>
    <cellStyle name="Migliaia 33 2 2 3 2 2" xfId="40465" xr:uid="{34500A96-2208-4D97-A782-1A7A6E82B1C4}"/>
    <cellStyle name="Migliaia 33 2 2 3 2 3" xfId="45767" xr:uid="{117EAFB0-29CB-4D8E-847E-EBF92CEA717B}"/>
    <cellStyle name="Migliaia 33 2 2 3 3" xfId="37814" xr:uid="{2F9EE4AF-CD18-4DD6-8164-74DEE10628AD}"/>
    <cellStyle name="Migliaia 33 2 2 3 4" xfId="43116" xr:uid="{BCB7AF32-236E-445F-9407-6A985EDEA660}"/>
    <cellStyle name="Migliaia 33 2 2 3 5" xfId="11616" xr:uid="{DE694929-E3E7-41B1-AE64-E444DAD14A56}"/>
    <cellStyle name="Migliaia 33 2 2 4" xfId="3522" xr:uid="{B74A5F4D-B6A5-48EE-A1D4-86DA00656AFE}"/>
    <cellStyle name="Migliaia 33 2 2 4 2" xfId="21498" xr:uid="{A2A8F3F7-BB98-4B2B-953D-EF912D0BB8CF}"/>
    <cellStyle name="Migliaia 33 2 2 4 3" xfId="46245" xr:uid="{760029F8-688F-4A39-A520-10215FF978BA}"/>
    <cellStyle name="Migliaia 33 2 2 4 4" xfId="50513" xr:uid="{314B8371-8830-4C7E-9701-AF6F35F69C88}"/>
    <cellStyle name="Migliaia 33 2 2 4 5" xfId="53529" xr:uid="{A7FE2E3E-6657-4431-8B08-452D788DCA3D}"/>
    <cellStyle name="Migliaia 33 2 2 4 6" xfId="10863" xr:uid="{275724F2-C8FC-44E3-AB35-1B9AA733BF64}"/>
    <cellStyle name="Migliaia 33 2 2 5" xfId="20401" xr:uid="{7504D2CC-84F2-4CB9-B9DA-4E008B251274}"/>
    <cellStyle name="Migliaia 33 2 2 6" xfId="24778" xr:uid="{59404D5D-2E0D-445A-8A93-FF687C1C7C30}"/>
    <cellStyle name="Migliaia 33 2 2 7" xfId="7447" xr:uid="{CBFEA237-3EEB-4884-8339-124406B5DE49}"/>
    <cellStyle name="Migliaia 33 2 3" xfId="3523" xr:uid="{C4C1E6B0-2FC7-47FC-985D-1A925F0ADE84}"/>
    <cellStyle name="Migliaia 33 2 3 2" xfId="5249" xr:uid="{47E47011-B4B8-4287-90DA-DF4196A9E9DE}"/>
    <cellStyle name="Migliaia 33 2 3 2 2" xfId="35306" xr:uid="{AC421E02-4367-41DB-AF89-618643E2F010}"/>
    <cellStyle name="Migliaia 33 2 3 2 2 2" xfId="40466" xr:uid="{2B20B7F4-BC57-443B-A787-6DC05091845B}"/>
    <cellStyle name="Migliaia 33 2 3 2 2 3" xfId="45768" xr:uid="{B31B5F21-17E7-40FA-A6C9-041572337F0A}"/>
    <cellStyle name="Migliaia 33 2 3 2 3" xfId="37815" xr:uid="{62AB58FA-0248-4386-A6B6-302CCF033170}"/>
    <cellStyle name="Migliaia 33 2 3 2 4" xfId="43117" xr:uid="{FB913E30-A25F-4D21-A011-12A77D567658}"/>
    <cellStyle name="Migliaia 33 2 3 2 5" xfId="14258" xr:uid="{A02C6234-6B1D-4099-A99F-24013788DE32}"/>
    <cellStyle name="Migliaia 33 2 3 3" xfId="6447" xr:uid="{C1C3746A-975D-44D7-83D0-434419E3F8F1}"/>
    <cellStyle name="Migliaia 33 2 3 3 2" xfId="39305" xr:uid="{E58DE0EE-7438-4E34-9024-096504EAB298}"/>
    <cellStyle name="Migliaia 33 2 3 3 3" xfId="44607" xr:uid="{E0D2B063-F102-4D23-8ACE-D6B01E0C8447}"/>
    <cellStyle name="Migliaia 33 2 3 3 4" xfId="33805" xr:uid="{0609DA9A-06FB-41C7-A00B-2DA68ADDC614}"/>
    <cellStyle name="Migliaia 33 2 3 3 5" xfId="20403" xr:uid="{4968018E-4F93-46CB-B0BE-1D02A5E5C741}"/>
    <cellStyle name="Migliaia 33 2 3 4" xfId="36742" xr:uid="{98D4E6F2-E265-4549-845F-6474FDCAB3AE}"/>
    <cellStyle name="Migliaia 33 2 3 5" xfId="41956" xr:uid="{04835304-6BD8-4AAC-B954-8A6FCF964611}"/>
    <cellStyle name="Migliaia 33 2 3 6" xfId="16412" xr:uid="{131F52E6-60C2-4301-854B-695BC91385E2}"/>
    <cellStyle name="Migliaia 33 2 3 7" xfId="8320" xr:uid="{429C0FDC-B182-4A17-9725-4278228C36B0}"/>
    <cellStyle name="Migliaia 33 2 4" xfId="5247" xr:uid="{E3F57113-C425-405C-814C-D6CCECFEA6B2}"/>
    <cellStyle name="Migliaia 33 2 4 2" xfId="13963" xr:uid="{C5E85F4E-78F0-466B-A27E-5FFB513C86A4}"/>
    <cellStyle name="Migliaia 33 2 4 2 2" xfId="39306" xr:uid="{E1B36D76-9954-437A-958E-C53ED36A17EF}"/>
    <cellStyle name="Migliaia 33 2 4 2 3" xfId="44608" xr:uid="{DF68D1FB-1349-4901-B665-70AB39AD3603}"/>
    <cellStyle name="Migliaia 33 2 4 3" xfId="18286" xr:uid="{C1D456A4-EDCF-4DA9-8CCB-DE27E0E47A1C}"/>
    <cellStyle name="Migliaia 33 2 4 4" xfId="20404" xr:uid="{7489E9A8-8973-4AC4-9004-6BDE4F5B4369}"/>
    <cellStyle name="Migliaia 33 2 4 4 2" xfId="41957" xr:uid="{A294DA07-2392-497E-B891-55F8A793E43E}"/>
    <cellStyle name="Migliaia 33 2 4 5" xfId="16413" xr:uid="{F9EF58DD-7D46-4CC8-BA2D-83A154BB40E3}"/>
    <cellStyle name="Migliaia 33 2 4 6" xfId="7927" xr:uid="{ECC35D28-5F7E-4109-9061-3249BAD05B6D}"/>
    <cellStyle name="Migliaia 33 2 5" xfId="6445" xr:uid="{D9EFC169-75C6-4174-87E9-BB94EC399A4E}"/>
    <cellStyle name="Migliaia 33 2 5 2" xfId="33806" xr:uid="{E1E86F80-409F-4539-9F54-EF5C7C518BE8}"/>
    <cellStyle name="Migliaia 33 2 5 2 2" xfId="39307" xr:uid="{BBA449F5-5D5E-4659-B16D-49659B3014F7}"/>
    <cellStyle name="Migliaia 33 2 5 2 3" xfId="44609" xr:uid="{242E8BC3-3901-4A39-A47E-79BD74ABA603}"/>
    <cellStyle name="Migliaia 33 2 5 3" xfId="36743" xr:uid="{ABA3DBDF-111A-408D-BCA8-A38248CFBAA5}"/>
    <cellStyle name="Migliaia 33 2 5 4" xfId="41958" xr:uid="{C2D4E0C3-7C95-4E32-8789-CCDB6DC0182E}"/>
    <cellStyle name="Migliaia 33 2 5 5" xfId="13129" xr:uid="{9C383AA0-3EDB-4A3A-B5F5-9A6175BF56FE}"/>
    <cellStyle name="Migliaia 33 2 6" xfId="3521" xr:uid="{155BD3FE-4C08-4D9E-BBDB-6395C9902D17}"/>
    <cellStyle name="Migliaia 33 2 6 2" xfId="33807" xr:uid="{8055F09E-28D7-44AE-93B3-60F870D8293A}"/>
    <cellStyle name="Migliaia 33 2 6 2 2" xfId="39308" xr:uid="{44B0A7CB-1652-4C41-89BB-D219D0392017}"/>
    <cellStyle name="Migliaia 33 2 6 2 3" xfId="44610" xr:uid="{022B3EC4-F0D5-4CFF-A06E-2D1DC2C1B37A}"/>
    <cellStyle name="Migliaia 33 2 6 3" xfId="36744" xr:uid="{D3020297-08FF-4994-B185-1C494AB46B99}"/>
    <cellStyle name="Migliaia 33 2 6 4" xfId="41959" xr:uid="{DCA9DCA3-FB7F-4DD3-830B-CFA8D46407D6}"/>
    <cellStyle name="Migliaia 33 2 6 5" xfId="24779" xr:uid="{D93DE25E-FF5E-4AFB-AEF0-938C4F8ED2DE}"/>
    <cellStyle name="Migliaia 33 2 6 6" xfId="20400" xr:uid="{2E65F936-BB67-4B89-9EF8-41B4B88E18DC}"/>
    <cellStyle name="Migliaia 33 2 7" xfId="24777" xr:uid="{A17279E2-4649-4170-9D75-4E88A5D4DEE0}"/>
    <cellStyle name="Migliaia 33 2 8" xfId="7121" xr:uid="{B89AC13D-BDCB-433B-B2D5-F98CA63D61D7}"/>
    <cellStyle name="Migliaia 33 3" xfId="407" xr:uid="{00000000-0005-0000-0000-0000AC030000}"/>
    <cellStyle name="Migliaia 33 3 10" xfId="24780" xr:uid="{61A50DB0-78CB-41C0-BCFC-BE2619109540}"/>
    <cellStyle name="Migliaia 33 3 11" xfId="16414" xr:uid="{12304FC1-405D-4EF4-8589-83992B710D88}"/>
    <cellStyle name="Migliaia 33 3 12" xfId="7122" xr:uid="{E3255CDD-AEE5-4D69-9894-6D83F97C0D51}"/>
    <cellStyle name="Migliaia 33 3 2" xfId="408" xr:uid="{00000000-0005-0000-0000-0000AD030000}"/>
    <cellStyle name="Migliaia 33 3 2 2" xfId="1787" xr:uid="{00000000-0005-0000-0000-0000AE030000}"/>
    <cellStyle name="Migliaia 33 3 2 2 2" xfId="5252" xr:uid="{D419E3A0-E72A-47B3-A313-67FCEB64DBFF}"/>
    <cellStyle name="Migliaia 33 3 2 2 2 2" xfId="18441" xr:uid="{10F8976F-BA01-44CD-8983-6F89578BB699}"/>
    <cellStyle name="Migliaia 33 3 2 2 2 2 2" xfId="21867" xr:uid="{40E02619-C1DF-4DB2-9284-13015B125F65}"/>
    <cellStyle name="Migliaia 33 3 2 2 2 2 2 2" xfId="39309" xr:uid="{5B1D77E1-B744-413F-BAD7-CC8C8BEBA7D1}"/>
    <cellStyle name="Migliaia 33 3 2 2 2 2 3" xfId="44611" xr:uid="{78224EA9-B487-47F4-A3F8-43DCC2C40A8A}"/>
    <cellStyle name="Migliaia 33 3 2 2 2 2 4" xfId="33808" xr:uid="{D244E7E0-AC73-4A8C-9C8C-0E768555836F}"/>
    <cellStyle name="Migliaia 33 3 2 2 2 3" xfId="36745" xr:uid="{1594F752-7CDB-4F1D-8AC5-64B079F23FBE}"/>
    <cellStyle name="Migliaia 33 3 2 2 2 4" xfId="41960" xr:uid="{A3040B3C-D779-46C0-A93B-6FAE31AE1DF2}"/>
    <cellStyle name="Migliaia 33 3 2 2 2 5" xfId="46747" xr:uid="{C625B7D3-F4A7-4B25-8DAB-7870F4776E2E}"/>
    <cellStyle name="Migliaia 33 3 2 2 2 6" xfId="50895" xr:uid="{F92DA1A2-04C2-49A5-B03F-0556009E7682}"/>
    <cellStyle name="Migliaia 33 3 2 2 2 7" xfId="53911" xr:uid="{59505792-1904-4F14-9872-57BBC821BC4D}"/>
    <cellStyle name="Migliaia 33 3 2 2 2 8" xfId="17664" xr:uid="{00E2F878-C67F-4867-A05A-4E9BBF1C2ADA}"/>
    <cellStyle name="Migliaia 33 3 2 2 2 9" xfId="11991" xr:uid="{4E1F1226-9692-46A0-B168-B42F2B81E149}"/>
    <cellStyle name="Migliaia 33 3 2 2 3" xfId="6450" xr:uid="{CB3526BE-CD67-4DFA-86A4-C915DFFB4014}"/>
    <cellStyle name="Migliaia 33 3 2 2 3 2" xfId="11176" xr:uid="{61FD42FD-D5F5-462B-BF49-12CBDE93297E}"/>
    <cellStyle name="Migliaia 33 3 2 2 4" xfId="3526" xr:uid="{714FF336-5BA3-4F0F-A47A-B941A4918F79}"/>
    <cellStyle name="Migliaia 33 3 2 2 4 2" xfId="21499" xr:uid="{F048C1DA-3888-4AA5-8B81-35997A7E5B7C}"/>
    <cellStyle name="Migliaia 33 3 2 2 4 3" xfId="47899" xr:uid="{37695B88-DCBB-45D5-AF20-6B86B4BCF592}"/>
    <cellStyle name="Migliaia 33 3 2 2 4 4" xfId="50514" xr:uid="{44FC0D83-214E-423A-8919-9333C12C3D8A}"/>
    <cellStyle name="Migliaia 33 3 2 2 4 5" xfId="53530" xr:uid="{E3FE3039-EEFD-4281-998E-3C3D20D8A89F}"/>
    <cellStyle name="Migliaia 33 3 2 2 4 6" xfId="10864" xr:uid="{FB780955-6735-4974-8076-1FEE536FD8E9}"/>
    <cellStyle name="Migliaia 33 3 2 2 5" xfId="20407" xr:uid="{99E8A293-B2FE-4947-9398-C82F6B1FE0CA}"/>
    <cellStyle name="Migliaia 33 3 2 2 6" xfId="24782" xr:uid="{57AC3995-F97D-4ED2-85AF-6F9D365645FE}"/>
    <cellStyle name="Migliaia 33 3 2 2 7" xfId="8639" xr:uid="{32F9E74F-9D50-4AC3-B9DA-39C325022FAA}"/>
    <cellStyle name="Migliaia 33 3 2 3" xfId="5251" xr:uid="{78955755-7AE5-456A-B84A-421A86199DEC}"/>
    <cellStyle name="Migliaia 33 3 2 3 2" xfId="12411" xr:uid="{019193AC-B088-4D39-BD82-B3436ED5C1C1}"/>
    <cellStyle name="Migliaia 33 3 2 3 2 2" xfId="39310" xr:uid="{C7114CD9-4BE5-425B-90F9-BC28B827B675}"/>
    <cellStyle name="Migliaia 33 3 2 3 2 3" xfId="44612" xr:uid="{11BE0E98-CEDD-446F-A0BC-98E16B80E7D0}"/>
    <cellStyle name="Migliaia 33 3 2 3 2 4" xfId="33809" xr:uid="{435E0C94-D8A7-4BCC-AD98-9F23ABD2B416}"/>
    <cellStyle name="Migliaia 33 3 2 3 3" xfId="11992" xr:uid="{9C91D47D-A502-455C-B63B-2A5BD0A214C6}"/>
    <cellStyle name="Migliaia 33 3 2 3 4" xfId="20408" xr:uid="{E6DE9A71-FAC3-46E9-B61E-7EF022D46B14}"/>
    <cellStyle name="Migliaia 33 3 2 3 4 2" xfId="41961" xr:uid="{DEFDF590-8A5B-4E84-B4F9-8681B932E105}"/>
    <cellStyle name="Migliaia 33 3 2 3 5" xfId="16415" xr:uid="{E810665A-575B-41C7-AC12-681CDE8BF835}"/>
    <cellStyle name="Migliaia 33 3 2 3 6" xfId="7929" xr:uid="{3CA67C0C-B2BB-48E3-9F09-9C15995D31EE}"/>
    <cellStyle name="Migliaia 33 3 2 4" xfId="6449" xr:uid="{9D2149F5-EEBB-4E17-8144-C62A327FD89F}"/>
    <cellStyle name="Migliaia 33 3 2 4 2" xfId="18083" xr:uid="{C53F2789-8C0C-45F6-B7C1-D8405A9D56CC}"/>
    <cellStyle name="Migliaia 33 3 2 4 2 2" xfId="39311" xr:uid="{6E70A42C-4C3F-40D6-9387-B3F1DB006B12}"/>
    <cellStyle name="Migliaia 33 3 2 4 2 3" xfId="44613" xr:uid="{32776520-699C-4B96-8F75-FA72927586B6}"/>
    <cellStyle name="Migliaia 33 3 2 4 3" xfId="36746" xr:uid="{A7B912B8-1877-455B-A146-F0F90F7F961B}"/>
    <cellStyle name="Migliaia 33 3 2 4 4" xfId="41962" xr:uid="{D3954373-D62F-4C95-98C9-FF3BFD5080EA}"/>
    <cellStyle name="Migliaia 33 3 2 4 5" xfId="17188" xr:uid="{EE0151E7-C485-4838-AD13-8679C7309BB2}"/>
    <cellStyle name="Migliaia 33 3 2 4 6" xfId="11340" xr:uid="{2CA2CFC4-FB57-422D-9562-E852FCE1C1E4}"/>
    <cellStyle name="Migliaia 33 3 2 5" xfId="3525" xr:uid="{C36A2EB4-BB4B-46CB-B7BA-0AA5DF7E301B}"/>
    <cellStyle name="Migliaia 33 3 2 5 2" xfId="33810" xr:uid="{AA575EB4-B1E2-448E-BBF8-3C85D3EA8862}"/>
    <cellStyle name="Migliaia 33 3 2 5 2 2" xfId="39312" xr:uid="{6B696827-A862-49C4-8B5B-507822E983FD}"/>
    <cellStyle name="Migliaia 33 3 2 5 2 3" xfId="44614" xr:uid="{F1305D04-7903-4C73-A852-38958B8E2BE3}"/>
    <cellStyle name="Migliaia 33 3 2 5 3" xfId="36747" xr:uid="{F000EA4A-C750-4BFB-82CE-4A877F3132EF}"/>
    <cellStyle name="Migliaia 33 3 2 5 4" xfId="41963" xr:uid="{DF86EA1B-BDDB-4116-B187-C5372C5F6F99}"/>
    <cellStyle name="Migliaia 33 3 2 5 5" xfId="17348" xr:uid="{3E4281BB-D32F-4C44-8AA2-561108DE3CC1}"/>
    <cellStyle name="Migliaia 33 3 2 6" xfId="20406" xr:uid="{DF72F37C-6F56-4343-AEC8-46C59B3CF537}"/>
    <cellStyle name="Migliaia 33 3 2 6 2" xfId="33811" xr:uid="{7BD8FA57-A15F-4B73-9378-15282E8EE0CD}"/>
    <cellStyle name="Migliaia 33 3 2 6 2 2" xfId="39313" xr:uid="{5F1E4BB3-00AF-4B06-8C46-3B4DF16FE529}"/>
    <cellStyle name="Migliaia 33 3 2 6 2 3" xfId="44615" xr:uid="{24832F5B-C565-42E8-95FF-E7D31D6A32CA}"/>
    <cellStyle name="Migliaia 33 3 2 6 3" xfId="36748" xr:uid="{42D15E54-5A36-40B5-AE34-07514F3FECA0}"/>
    <cellStyle name="Migliaia 33 3 2 6 4" xfId="41964" xr:uid="{729AF5DE-3933-4123-8965-BB7880DB9C06}"/>
    <cellStyle name="Migliaia 33 3 2 6 5" xfId="24783" xr:uid="{9C73838C-E106-4660-82E9-A7CEDF049A48}"/>
    <cellStyle name="Migliaia 33 3 2 7" xfId="24781" xr:uid="{0CCE5FE0-4431-4BB1-AB2A-B639E06930EB}"/>
    <cellStyle name="Migliaia 33 3 2 8" xfId="7449" xr:uid="{B0CFCB26-BDE9-4979-944E-F2714C2AE83B}"/>
    <cellStyle name="Migliaia 33 3 3" xfId="3527" xr:uid="{C7CE9934-B242-40C6-86FE-41FF0D4E93A6}"/>
    <cellStyle name="Migliaia 33 3 3 10" xfId="7448" xr:uid="{0A8C0B4B-44B9-415E-A029-0C177CBFACEF}"/>
    <cellStyle name="Migliaia 33 3 3 2" xfId="5253" xr:uid="{682ED788-F4AE-4C1E-9DD8-738BE283ED85}"/>
    <cellStyle name="Migliaia 33 3 3 2 2" xfId="9934" xr:uid="{FAC281DA-BFCD-4A6A-A69B-8FDE27934A2E}"/>
    <cellStyle name="Migliaia 33 3 3 2 2 2" xfId="39315" xr:uid="{A57A7145-905F-4A12-8C87-3FD0EBCAA8FE}"/>
    <cellStyle name="Migliaia 33 3 3 2 2 3" xfId="44617" xr:uid="{9C6A095E-A435-4DCD-BE41-33BE07577E37}"/>
    <cellStyle name="Migliaia 33 3 3 2 3" xfId="18214" xr:uid="{1550A156-5153-4FC7-BFEB-A1C05E7259CB}"/>
    <cellStyle name="Migliaia 33 3 3 2 4" xfId="20410" xr:uid="{244E2242-50AC-4CAF-8878-7D65130A27E7}"/>
    <cellStyle name="Migliaia 33 3 3 2 4 2" xfId="41966" xr:uid="{8D7BA57E-3048-4A92-8D03-4C4DC45632E1}"/>
    <cellStyle name="Migliaia 33 3 3 2 5" xfId="16417" xr:uid="{04FAEEC3-BB34-4E1B-B8FA-788D7AB27F2D}"/>
    <cellStyle name="Migliaia 33 3 3 2 6" xfId="8638" xr:uid="{6CD83F93-C041-459D-AB8A-F0DE84F7BD12}"/>
    <cellStyle name="Migliaia 33 3 3 3" xfId="6451" xr:uid="{B918A6FC-1E50-4DD0-A890-F71A0EE4101D}"/>
    <cellStyle name="Migliaia 33 3 3 3 2" xfId="33813" xr:uid="{24658EE9-0A7D-4E7F-B71D-8C33FF52A982}"/>
    <cellStyle name="Migliaia 33 3 3 3 2 2" xfId="39316" xr:uid="{5685CEB0-770A-4C64-A412-C9DDD2677B75}"/>
    <cellStyle name="Migliaia 33 3 3 3 2 3" xfId="44618" xr:uid="{54F8671D-B533-4D9A-9472-95A1F1D77391}"/>
    <cellStyle name="Migliaia 33 3 3 3 3" xfId="36750" xr:uid="{EB2AF87D-2F64-485A-A991-2E28024E3E7B}"/>
    <cellStyle name="Migliaia 33 3 3 3 4" xfId="41967" xr:uid="{B10DAD71-AE13-4713-A0AB-80BF1C11A29F}"/>
    <cellStyle name="Migliaia 33 3 3 3 5" xfId="9697" xr:uid="{3327B0D2-0696-48A7-B7F4-5E2E3E6C9770}"/>
    <cellStyle name="Migliaia 33 3 3 4" xfId="20409" xr:uid="{A30A88F1-3028-4B56-857F-6DB57306CD26}"/>
    <cellStyle name="Migliaia 33 3 3 4 2" xfId="33814" xr:uid="{91A9C429-84EC-4986-B846-C939D6606E48}"/>
    <cellStyle name="Migliaia 33 3 3 4 2 2" xfId="39317" xr:uid="{36E17BFF-5D83-44CB-84C3-3B56C28B8D91}"/>
    <cellStyle name="Migliaia 33 3 3 4 2 3" xfId="44619" xr:uid="{7B29EA5C-63A0-49B9-A259-93316E2FE08C}"/>
    <cellStyle name="Migliaia 33 3 3 4 3" xfId="36751" xr:uid="{96C84558-B805-41EE-9CB2-D86B5E56F4E5}"/>
    <cellStyle name="Migliaia 33 3 3 4 4" xfId="41968" xr:uid="{789A5088-B37C-4997-88E9-7DAAB4E07069}"/>
    <cellStyle name="Migliaia 33 3 3 4 5" xfId="24784" xr:uid="{0258AA51-C676-456F-9D40-F09ECDB0E851}"/>
    <cellStyle name="Migliaia 33 3 3 5" xfId="24785" xr:uid="{84A25F20-9112-4D82-AEF0-87EE5B26F5B1}"/>
    <cellStyle name="Migliaia 33 3 3 5 2" xfId="33815" xr:uid="{4297DF74-1BBD-44F0-B15A-A2C31975D510}"/>
    <cellStyle name="Migliaia 33 3 3 5 2 2" xfId="39318" xr:uid="{C5EC0C4E-EEFE-4E8A-80F1-0BCB73D08AA8}"/>
    <cellStyle name="Migliaia 33 3 3 5 2 3" xfId="44620" xr:uid="{3745AF30-C962-459E-B542-72CEB940CFC5}"/>
    <cellStyle name="Migliaia 33 3 3 5 3" xfId="36752" xr:uid="{2C615EBD-5C45-4F11-9BCC-21CDF7C292D0}"/>
    <cellStyle name="Migliaia 33 3 3 5 4" xfId="41969" xr:uid="{30B3938E-2966-4801-8088-CBB9C2D43395}"/>
    <cellStyle name="Migliaia 33 3 3 6" xfId="33812" xr:uid="{5F5F3429-C9EA-45DF-B725-384981E81670}"/>
    <cellStyle name="Migliaia 33 3 3 6 2" xfId="39314" xr:uid="{CA35198B-F480-4961-B99D-9D06EFDCA86A}"/>
    <cellStyle name="Migliaia 33 3 3 6 3" xfId="44616" xr:uid="{FD6440D6-D123-4AC9-B8F3-0388C69ED59A}"/>
    <cellStyle name="Migliaia 33 3 3 7" xfId="36749" xr:uid="{C92A1B0F-F5D7-4FBB-9E2B-FBF8D5068A77}"/>
    <cellStyle name="Migliaia 33 3 3 8" xfId="41965" xr:uid="{C67D61F2-04F4-42DA-969E-F046A31C287B}"/>
    <cellStyle name="Migliaia 33 3 3 9" xfId="16416" xr:uid="{EC89B799-DC23-4202-A8AC-F3238BBBF5CD}"/>
    <cellStyle name="Migliaia 33 3 4" xfId="3528" xr:uid="{3A53F686-BEB6-43E1-8395-D8EAE6D2D29E}"/>
    <cellStyle name="Migliaia 33 3 4 2" xfId="5254" xr:uid="{050AC714-180D-43EA-A900-841A3D8F5357}"/>
    <cellStyle name="Migliaia 33 3 4 2 2" xfId="14449" xr:uid="{B8CC6309-0CB0-48B8-B2CF-7B40CB526A3C}"/>
    <cellStyle name="Migliaia 33 3 4 2 3" xfId="18039" xr:uid="{D29C0401-3B5B-4907-B915-43009E8B6A7D}"/>
    <cellStyle name="Migliaia 33 3 4 2 4" xfId="20412" xr:uid="{E3ABC96C-9508-4806-80F4-60937BAD1485}"/>
    <cellStyle name="Migliaia 33 3 4 2 5" xfId="32383" xr:uid="{872BAD4E-BB51-49CE-A343-3AAF6FD653E7}"/>
    <cellStyle name="Migliaia 33 3 4 2 6" xfId="16419" xr:uid="{3DAA04FE-9831-40A3-A512-CC94B5207444}"/>
    <cellStyle name="Migliaia 33 3 4 2 7" xfId="8872" xr:uid="{43B8672F-DBB4-4410-8210-4E74D28C4B44}"/>
    <cellStyle name="Migliaia 33 3 4 3" xfId="6452" xr:uid="{88F3E0D4-1071-49C0-A46A-59F1BC1C1E19}"/>
    <cellStyle name="Migliaia 33 3 4 3 2" xfId="35307" xr:uid="{C208FEFE-FA69-4362-9BEC-F429CD234393}"/>
    <cellStyle name="Migliaia 33 3 4 3 2 2" xfId="40467" xr:uid="{E3F2F2C5-523D-486D-B2E2-5D301BAA425C}"/>
    <cellStyle name="Migliaia 33 3 4 3 2 3" xfId="45769" xr:uid="{6CD5DDB4-3290-4B15-80D7-FE45DFB83855}"/>
    <cellStyle name="Migliaia 33 3 4 3 3" xfId="37816" xr:uid="{A668E711-1676-4C32-B43F-8ABADF736103}"/>
    <cellStyle name="Migliaia 33 3 4 3 4" xfId="43118" xr:uid="{41547A7A-B262-4ED8-B414-81F20FAC6913}"/>
    <cellStyle name="Migliaia 33 3 4 3 5" xfId="13697" xr:uid="{813791AE-B356-470A-88BF-E6EEC7E90E05}"/>
    <cellStyle name="Migliaia 33 3 4 4" xfId="20411" xr:uid="{BD4F8F93-60BF-40CE-98ED-CD04FC5787C0}"/>
    <cellStyle name="Migliaia 33 3 4 4 2" xfId="39319" xr:uid="{03FD3483-5AE0-4BBE-B3B1-BE53379A02F1}"/>
    <cellStyle name="Migliaia 33 3 4 4 3" xfId="44621" xr:uid="{FD86F2B6-DF33-452C-8D18-A3BDDEE7E888}"/>
    <cellStyle name="Migliaia 33 3 4 4 4" xfId="33816" xr:uid="{D0002E12-6FE9-44FC-A01D-9DF4760B15D8}"/>
    <cellStyle name="Migliaia 33 3 4 5" xfId="36753" xr:uid="{F85CB9BF-37B3-4A68-A838-A9C12EC1D813}"/>
    <cellStyle name="Migliaia 33 3 4 6" xfId="41970" xr:uid="{CEAC447F-9E24-4449-A007-211BC3902FF2}"/>
    <cellStyle name="Migliaia 33 3 4 7" xfId="16418" xr:uid="{2A69B157-57BA-4A8B-BDA8-6741823A715F}"/>
    <cellStyle name="Migliaia 33 3 4 8" xfId="7682" xr:uid="{A3A2F2A6-E625-48DE-9AFA-21BC2F2B13BB}"/>
    <cellStyle name="Migliaia 33 3 5" xfId="3529" xr:uid="{468E0BCC-C7A9-4B34-AC48-F779F325A142}"/>
    <cellStyle name="Migliaia 33 3 5 2" xfId="5255" xr:uid="{74C209CE-7E2C-45B6-9F93-5416890413A8}"/>
    <cellStyle name="Migliaia 33 3 5 2 2" xfId="35308" xr:uid="{37CE44DE-4665-4EAD-AD9F-BF6FEB9FD076}"/>
    <cellStyle name="Migliaia 33 3 5 2 2 2" xfId="40468" xr:uid="{E11F8282-A59F-477C-BCB5-ED5E469A1F16}"/>
    <cellStyle name="Migliaia 33 3 5 2 2 3" xfId="45770" xr:uid="{61CEB69C-C882-4BA2-956A-657CF80B5617}"/>
    <cellStyle name="Migliaia 33 3 5 2 3" xfId="37817" xr:uid="{7FFBB36A-C6F1-4F48-BCEC-61359BF9F914}"/>
    <cellStyle name="Migliaia 33 3 5 2 4" xfId="43119" xr:uid="{89327596-51EF-4F24-9B9E-6D583A335D88}"/>
    <cellStyle name="Migliaia 33 3 5 2 5" xfId="14259" xr:uid="{0A442F79-F12B-4DE4-A850-463F30AD0D6B}"/>
    <cellStyle name="Migliaia 33 3 5 3" xfId="6453" xr:uid="{C5832017-F400-46FB-BB53-1BD23FA8FAD0}"/>
    <cellStyle name="Migliaia 33 3 5 3 2" xfId="39320" xr:uid="{637CC46B-386D-4286-818C-A16C42C2F41E}"/>
    <cellStyle name="Migliaia 33 3 5 3 3" xfId="44622" xr:uid="{FA09074A-F573-4386-A3AF-152CE7F5905D}"/>
    <cellStyle name="Migliaia 33 3 5 3 4" xfId="33817" xr:uid="{B72A21A5-213D-4DBE-B0D5-46DB35ECD961}"/>
    <cellStyle name="Migliaia 33 3 5 3 5" xfId="20413" xr:uid="{110ED6DE-02C6-4F6A-A333-42B40F67F2F8}"/>
    <cellStyle name="Migliaia 33 3 5 4" xfId="36754" xr:uid="{51631BE1-095F-462A-9907-009033C83327}"/>
    <cellStyle name="Migliaia 33 3 5 5" xfId="41971" xr:uid="{DD658768-5B47-4744-A7DB-6A73560066D0}"/>
    <cellStyle name="Migliaia 33 3 5 6" xfId="16420" xr:uid="{DB42078C-487B-4494-8334-132C8463B33B}"/>
    <cellStyle name="Migliaia 33 3 5 7" xfId="8321" xr:uid="{278CF2F6-10F1-4053-B285-2A638F84329B}"/>
    <cellStyle name="Migliaia 33 3 6" xfId="5250" xr:uid="{A9940DAA-71EC-4473-8855-754AD11D5A69}"/>
    <cellStyle name="Migliaia 33 3 6 2" xfId="13964" xr:uid="{81FEC995-3369-455A-A1C1-6EEA20970958}"/>
    <cellStyle name="Migliaia 33 3 6 2 2" xfId="39321" xr:uid="{BED9B5DC-1013-4929-ACB6-476913A86513}"/>
    <cellStyle name="Migliaia 33 3 6 2 3" xfId="44623" xr:uid="{2DD196AC-8FAA-43F1-9EB6-048688F7227F}"/>
    <cellStyle name="Migliaia 33 3 6 3" xfId="18020" xr:uid="{52BF737B-C106-42C0-870A-72FCFB7B6F7B}"/>
    <cellStyle name="Migliaia 33 3 6 4" xfId="20414" xr:uid="{B0D0B950-2138-4125-B650-F11A003DC324}"/>
    <cellStyle name="Migliaia 33 3 6 4 2" xfId="41972" xr:uid="{A02AF1A7-41E5-4B0F-BF13-A16DB66C38B2}"/>
    <cellStyle name="Migliaia 33 3 6 5" xfId="16421" xr:uid="{A38A71AC-35D2-48EB-969A-FA225C09312F}"/>
    <cellStyle name="Migliaia 33 3 6 6" xfId="7928" xr:uid="{956EE5F7-AFB7-4F46-BE62-590A90570C80}"/>
    <cellStyle name="Migliaia 33 3 7" xfId="6448" xr:uid="{5A16EAB8-FC1A-4E47-A918-506AFBF7C062}"/>
    <cellStyle name="Migliaia 33 3 7 2" xfId="33818" xr:uid="{74602066-EB6C-4FE4-B79F-6F90EC1F8E31}"/>
    <cellStyle name="Migliaia 33 3 7 2 2" xfId="39322" xr:uid="{033842A0-DAC0-40CF-9774-148C2B81B86F}"/>
    <cellStyle name="Migliaia 33 3 7 2 3" xfId="44624" xr:uid="{C31DE00A-70CC-496B-85A5-00EF2258A921}"/>
    <cellStyle name="Migliaia 33 3 7 3" xfId="36755" xr:uid="{DD21A42D-CF63-4DF5-94E2-DD47C6865605}"/>
    <cellStyle name="Migliaia 33 3 7 4" xfId="41973" xr:uid="{2753D381-1D90-41B9-A2B5-94C71BB79904}"/>
    <cellStyle name="Migliaia 33 3 7 5" xfId="12282" xr:uid="{66200771-DE87-4FC1-8369-00BFE04C240F}"/>
    <cellStyle name="Migliaia 33 3 8" xfId="3524" xr:uid="{F0C07908-7C4F-4D05-8BD4-3CDAE158D86D}"/>
    <cellStyle name="Migliaia 33 3 8 2" xfId="33819" xr:uid="{41B1615A-9E41-4289-BBDB-16312727386A}"/>
    <cellStyle name="Migliaia 33 3 8 2 2" xfId="39323" xr:uid="{9F4ECBAD-1A0D-4C0E-9142-68076A54D8A4}"/>
    <cellStyle name="Migliaia 33 3 8 2 3" xfId="44625" xr:uid="{4976E22D-7F36-43E4-99D0-A2D54107AD57}"/>
    <cellStyle name="Migliaia 33 3 8 3" xfId="36756" xr:uid="{D9F549E4-7FA7-4BA9-AB3C-97EF5F772DB4}"/>
    <cellStyle name="Migliaia 33 3 8 4" xfId="41974" xr:uid="{DEC278DD-DB83-47ED-99EE-B162C46557F2}"/>
    <cellStyle name="Migliaia 33 3 8 5" xfId="24786" xr:uid="{F363D75E-6D72-4624-9936-F6B608F928F3}"/>
    <cellStyle name="Migliaia 33 3 8 6" xfId="17349" xr:uid="{F6F8518C-4B76-4238-825C-35C412B0FA6D}"/>
    <cellStyle name="Migliaia 33 3 9" xfId="20405" xr:uid="{B08A1A3D-9399-45CC-A242-037981684531}"/>
    <cellStyle name="Migliaia 33 4" xfId="1788" xr:uid="{00000000-0005-0000-0000-0000AF030000}"/>
    <cellStyle name="Migliaia 33 4 2" xfId="1789" xr:uid="{00000000-0005-0000-0000-0000B0030000}"/>
    <cellStyle name="Migliaia 33 4 2 2" xfId="5257" xr:uid="{4B8F04B7-CD5A-470C-BB28-91598AF20453}"/>
    <cellStyle name="Migliaia 33 4 2 2 2" xfId="33820" xr:uid="{8991E159-044B-4015-9780-D618E59F2A7A}"/>
    <cellStyle name="Migliaia 33 4 2 2 2 2" xfId="39324" xr:uid="{DA1BFCAA-23A8-4B82-989F-397D3C675D15}"/>
    <cellStyle name="Migliaia 33 4 2 2 2 3" xfId="44626" xr:uid="{C8601A82-AF9D-49F1-ADD4-90BD958D9C54}"/>
    <cellStyle name="Migliaia 33 4 2 2 3" xfId="36757" xr:uid="{66106342-D260-497F-AADD-E137CD74546B}"/>
    <cellStyle name="Migliaia 33 4 2 2 4" xfId="41975" xr:uid="{36E29D24-BA83-415C-BBB4-BCF9FCA10F2F}"/>
    <cellStyle name="Migliaia 33 4 2 2 5" xfId="9160" xr:uid="{B7EEB833-4EE2-4DC2-A8A1-AFB00F9FCFB3}"/>
    <cellStyle name="Migliaia 33 4 2 3" xfId="3531" xr:uid="{6929FC0E-2D70-403B-A767-D5ADC9D15F93}"/>
    <cellStyle name="Migliaia 33 4 2 3 2" xfId="33821" xr:uid="{6DE9AA82-229E-400E-B18F-4B76B77B1500}"/>
    <cellStyle name="Migliaia 33 4 2 3 2 2" xfId="39325" xr:uid="{7D94FE3B-9881-4674-ABED-9779D25FA22C}"/>
    <cellStyle name="Migliaia 33 4 2 3 2 3" xfId="44627" xr:uid="{29D77524-325E-4ABB-8771-DF0427BD0877}"/>
    <cellStyle name="Migliaia 33 4 2 3 3" xfId="36758" xr:uid="{63D9E0E6-2E99-44D0-BFB0-C992AA8442A9}"/>
    <cellStyle name="Migliaia 33 4 2 3 4" xfId="41976" xr:uid="{B922C886-4A1E-485D-A2BD-9214149E7BCF}"/>
    <cellStyle name="Migliaia 33 4 2 3 5" xfId="11993" xr:uid="{353B10E0-1C89-4313-8389-2AEE17B6F260}"/>
    <cellStyle name="Migliaia 33 4 2 4" xfId="11342" xr:uid="{02E02037-1E99-4777-878F-3C54F805DF69}"/>
    <cellStyle name="Migliaia 33 4 2 5" xfId="10866" xr:uid="{51711CA6-BA00-457A-9993-D5AF79DE4E19}"/>
    <cellStyle name="Migliaia 33 4 2 5 2" xfId="21501" xr:uid="{1768E103-9BF1-405C-A134-3B904B508F81}"/>
    <cellStyle name="Migliaia 33 4 2 5 3" xfId="48474" xr:uid="{AA71B367-7A69-44C2-9EDA-DB76D215AB7C}"/>
    <cellStyle name="Migliaia 33 4 2 5 4" xfId="50516" xr:uid="{C77CF1D4-4897-4754-98A1-2EE8E00241CC}"/>
    <cellStyle name="Migliaia 33 4 2 5 5" xfId="53532" xr:uid="{2D1C2AA4-CD41-47DE-902B-A4756030E08E}"/>
    <cellStyle name="Migliaia 33 4 2 6" xfId="20416" xr:uid="{9709D2C8-DDE0-4472-AB1D-9A601A963A38}"/>
    <cellStyle name="Migliaia 33 4 2 7" xfId="24788" xr:uid="{D86FC445-DB6E-4629-A1FC-77B5FA4ED464}"/>
    <cellStyle name="Migliaia 33 4 2 8" xfId="8640" xr:uid="{BEA6E1B5-9757-4D2A-ACA8-3DEC5C8A8FCC}"/>
    <cellStyle name="Migliaia 33 4 3" xfId="5256" xr:uid="{689123CB-6460-4E44-9DFE-5995ACD57CD0}"/>
    <cellStyle name="Migliaia 33 4 3 2" xfId="18215" xr:uid="{9E0BAE57-D3B2-4FDB-AFFD-FCCF0EDCB7A8}"/>
    <cellStyle name="Migliaia 33 4 3 2 2" xfId="39326" xr:uid="{C4522686-730B-4DD1-ABBE-BFE67D73C8B0}"/>
    <cellStyle name="Migliaia 33 4 3 2 3" xfId="44628" xr:uid="{5FA201E2-40C3-4F89-BBAA-08ED198CB20C}"/>
    <cellStyle name="Migliaia 33 4 3 3" xfId="36759" xr:uid="{34ABBD33-42AD-4F5E-B0E9-FEB917F1F4F8}"/>
    <cellStyle name="Migliaia 33 4 3 4" xfId="41977" xr:uid="{E2819C2D-9DDE-459E-9384-5244C084D60A}"/>
    <cellStyle name="Migliaia 33 4 3 5" xfId="17347" xr:uid="{9D0B2D98-5740-4065-A36C-A8F6D04D2C88}"/>
    <cellStyle name="Migliaia 33 4 3 6" xfId="9161" xr:uid="{4FD368DA-DB88-46A5-BF46-0F7EA140E1F4}"/>
    <cellStyle name="Migliaia 33 4 4" xfId="6454" xr:uid="{7A1F386F-62AB-43E9-A3D9-12393CFCCE50}"/>
    <cellStyle name="Migliaia 33 4 4 2" xfId="33822" xr:uid="{98186EFE-F804-4222-81D9-B19B5BAB53A9}"/>
    <cellStyle name="Migliaia 33 4 4 2 2" xfId="39327" xr:uid="{6FB243A2-119C-4799-804D-77C3F6999841}"/>
    <cellStyle name="Migliaia 33 4 4 2 3" xfId="44629" xr:uid="{48EBB6B7-E651-467A-AEF6-D69C7033261C}"/>
    <cellStyle name="Migliaia 33 4 4 3" xfId="36760" xr:uid="{D770832C-F7E0-44A6-A65D-899C58A13EAA}"/>
    <cellStyle name="Migliaia 33 4 4 4" xfId="41978" xr:uid="{813DD573-C81D-49B1-A91D-7FFF2B82817C}"/>
    <cellStyle name="Migliaia 33 4 4 5" xfId="11994" xr:uid="{D2A63FCC-402F-40DB-9F68-BEFDE190B7E7}"/>
    <cellStyle name="Migliaia 33 4 5" xfId="3530" xr:uid="{56BADB8E-4C1C-4980-BF27-C0FEA23F07DD}"/>
    <cellStyle name="Migliaia 33 4 5 2" xfId="33823" xr:uid="{4DD37BDE-717C-4B64-A0D9-D241A4D0BBD1}"/>
    <cellStyle name="Migliaia 33 4 5 2 2" xfId="39328" xr:uid="{750AE984-A6D3-49EE-8EF1-927A3C5261C2}"/>
    <cellStyle name="Migliaia 33 4 5 2 3" xfId="44630" xr:uid="{F4181DA8-0AD4-424C-B1FE-471B5097F241}"/>
    <cellStyle name="Migliaia 33 4 5 3" xfId="36761" xr:uid="{9E54F3B3-73FC-4A84-BE5E-F40F8AA16ED5}"/>
    <cellStyle name="Migliaia 33 4 5 4" xfId="41979" xr:uid="{8A513A62-CD19-4187-A454-608574406DC7}"/>
    <cellStyle name="Migliaia 33 4 5 5" xfId="11341" xr:uid="{4B5D80B1-B661-400E-920E-D81C903BB857}"/>
    <cellStyle name="Migliaia 33 4 6" xfId="10865" xr:uid="{F9DAA4DD-159D-4127-916E-C5E6A30FB603}"/>
    <cellStyle name="Migliaia 33 4 6 2" xfId="21500" xr:uid="{04FB0B5F-0915-4ECC-A945-8022545A96D8}"/>
    <cellStyle name="Migliaia 33 4 6 2 2" xfId="39329" xr:uid="{5A20C48C-E8CA-4190-BE07-44649F18C578}"/>
    <cellStyle name="Migliaia 33 4 6 2 3" xfId="44631" xr:uid="{092BF0C2-DAE3-4B65-8F72-B43ABCBDC1B9}"/>
    <cellStyle name="Migliaia 33 4 6 2 4" xfId="33824" xr:uid="{9B1ED578-A9CC-408C-80EE-85C52E723839}"/>
    <cellStyle name="Migliaia 33 4 6 3" xfId="36762" xr:uid="{A8B90BCC-AD00-48DB-B8D1-98EE59BED5D8}"/>
    <cellStyle name="Migliaia 33 4 6 4" xfId="41980" xr:uid="{7DADFEFC-3E2B-4B80-B949-1EECCD892175}"/>
    <cellStyle name="Migliaia 33 4 6 5" xfId="24789" xr:uid="{EF82B005-7EA7-406E-9AB8-641932EE66E2}"/>
    <cellStyle name="Migliaia 33 4 6 6" xfId="46246" xr:uid="{E7058617-62BC-45EF-8F84-734F605CFF94}"/>
    <cellStyle name="Migliaia 33 4 6 7" xfId="50515" xr:uid="{C9A7C71C-EECD-4A91-82E0-4A3B28113E4A}"/>
    <cellStyle name="Migliaia 33 4 6 8" xfId="53531" xr:uid="{822BD59E-7E4A-4CC6-A6E5-31023FF58CB1}"/>
    <cellStyle name="Migliaia 33 4 7" xfId="20415" xr:uid="{68DABFF9-CC4F-4B94-B0A5-40B29B95B829}"/>
    <cellStyle name="Migliaia 33 4 7 2" xfId="33825" xr:uid="{F69A7F94-C1AF-4112-A022-581CCCC2E6BD}"/>
    <cellStyle name="Migliaia 33 4 7 2 2" xfId="39330" xr:uid="{955C6DE0-49ED-41E9-BE6F-B0DD92ADE739}"/>
    <cellStyle name="Migliaia 33 4 7 2 3" xfId="44632" xr:uid="{AA29F58A-A7AF-4486-959E-A4A6ACB14FB8}"/>
    <cellStyle name="Migliaia 33 4 7 3" xfId="36763" xr:uid="{7069870D-16CD-4026-873F-5973FDD0150B}"/>
    <cellStyle name="Migliaia 33 4 7 4" xfId="41981" xr:uid="{048DB167-ADB8-4236-85E6-AFBBBCA4AB12}"/>
    <cellStyle name="Migliaia 33 4 7 5" xfId="24790" xr:uid="{F69FED95-E963-488D-9FCE-6C8356A80B69}"/>
    <cellStyle name="Migliaia 33 4 8" xfId="24787" xr:uid="{A1AACFA6-A83E-4CAA-95F4-6ED2AF67452E}"/>
    <cellStyle name="Migliaia 33 4 9" xfId="7450" xr:uid="{FA5BD013-6182-4C91-9ADE-8074E1AFE8F4}"/>
    <cellStyle name="Migliaia 33 5" xfId="1790" xr:uid="{00000000-0005-0000-0000-0000B1030000}"/>
    <cellStyle name="Migliaia 33 5 2" xfId="5258" xr:uid="{D83AAF43-CB66-4429-9D07-FCA197C6D3FF}"/>
    <cellStyle name="Migliaia 33 5 2 2" xfId="18442" xr:uid="{BCA07A2C-0714-415B-9CCC-4AD8F3C03639}"/>
    <cellStyle name="Migliaia 33 5 2 2 2" xfId="39331" xr:uid="{4E649628-1A83-473D-9A91-CDD3055F5896}"/>
    <cellStyle name="Migliaia 33 5 2 2 3" xfId="44633" xr:uid="{612A197A-2D1B-4634-87B4-15AE89A9DA2C}"/>
    <cellStyle name="Migliaia 33 5 2 3" xfId="20418" xr:uid="{270EB21B-EF41-44AF-8654-A8C0E89232AD}"/>
    <cellStyle name="Migliaia 33 5 2 3 2" xfId="36764" xr:uid="{97FEF2D6-E60B-48A0-92F5-D11DAA6A6FCC}"/>
    <cellStyle name="Migliaia 33 5 2 4" xfId="41982" xr:uid="{FCEBE5DB-389B-4A58-BABF-3DF430B56312}"/>
    <cellStyle name="Migliaia 33 5 2 5" xfId="16422" xr:uid="{FEEB9F16-BBD9-4A80-BD45-ECA537EC3571}"/>
    <cellStyle name="Migliaia 33 5 2 6" xfId="8641" xr:uid="{9FDEEBC9-B68C-4AB3-A6F7-C41906042FA4}"/>
    <cellStyle name="Migliaia 33 5 3" xfId="6455" xr:uid="{0409229C-EC13-45C9-946F-F3419BCAF51E}"/>
    <cellStyle name="Migliaia 33 5 3 2" xfId="33826" xr:uid="{8F4A8FE6-CAB5-447F-80C7-FD37CC0B5FF1}"/>
    <cellStyle name="Migliaia 33 5 3 2 2" xfId="39332" xr:uid="{D3F59B37-012F-4B52-9DD1-1D6C6867435C}"/>
    <cellStyle name="Migliaia 33 5 3 2 3" xfId="44634" xr:uid="{38A076A7-812E-426F-ABCA-C71D02ED531C}"/>
    <cellStyle name="Migliaia 33 5 3 3" xfId="36765" xr:uid="{F00DEC50-0D1C-4446-AEEF-D3FBEFCED476}"/>
    <cellStyle name="Migliaia 33 5 3 4" xfId="41983" xr:uid="{64363044-0C85-40E6-995F-BFBB703FCEE0}"/>
    <cellStyle name="Migliaia 33 5 3 5" xfId="11343" xr:uid="{057D1F62-22A6-45E6-8020-65427779B862}"/>
    <cellStyle name="Migliaia 33 5 4" xfId="3532" xr:uid="{3262721F-E17B-4E13-8E52-D203D30A0C48}"/>
    <cellStyle name="Migliaia 33 5 4 2" xfId="21502" xr:uid="{6FBB7033-F1AF-4249-8699-5C69C596B477}"/>
    <cellStyle name="Migliaia 33 5 4 2 2" xfId="39333" xr:uid="{02E26C58-4831-4F69-94A7-5B928F767A2D}"/>
    <cellStyle name="Migliaia 33 5 4 2 3" xfId="44635" xr:uid="{9D0B1F01-C622-4D27-8186-0418A373245E}"/>
    <cellStyle name="Migliaia 33 5 4 2 4" xfId="33827" xr:uid="{82B80BD4-8237-4279-AEE5-8C9E50B65EA6}"/>
    <cellStyle name="Migliaia 33 5 4 3" xfId="36766" xr:uid="{E3B8A539-1078-4B2D-92C0-4FA6FDF15013}"/>
    <cellStyle name="Migliaia 33 5 4 4" xfId="41984" xr:uid="{0CF5054F-8EE9-40BC-9339-4535E1EB8332}"/>
    <cellStyle name="Migliaia 33 5 4 5" xfId="24792" xr:uid="{EE66BACE-F2F4-4B8D-9524-AE253236061B}"/>
    <cellStyle name="Migliaia 33 5 4 6" xfId="25351" xr:uid="{326C8438-9DFD-4ABA-B7E0-45F4A78104E8}"/>
    <cellStyle name="Migliaia 33 5 4 7" xfId="50517" xr:uid="{D7654059-2F33-483C-A30F-09A496B40336}"/>
    <cellStyle name="Migliaia 33 5 4 8" xfId="53533" xr:uid="{69CC3015-A31B-4E3F-B45A-08A980293631}"/>
    <cellStyle name="Migliaia 33 5 4 9" xfId="10867" xr:uid="{7E52C985-5F83-4C29-8F1F-D405954DBF29}"/>
    <cellStyle name="Migliaia 33 5 5" xfId="20417" xr:uid="{B46D20AD-2D19-41A3-995A-D1669B284594}"/>
    <cellStyle name="Migliaia 33 5 5 2" xfId="33828" xr:uid="{8B89B360-9ED9-4844-B467-7DC819255EC4}"/>
    <cellStyle name="Migliaia 33 5 5 2 2" xfId="39334" xr:uid="{599233A8-4AAD-4F93-9600-F2D3DCCD1EB0}"/>
    <cellStyle name="Migliaia 33 5 5 2 3" xfId="44636" xr:uid="{DA893A77-17A5-4285-B18D-96A77A8A6E43}"/>
    <cellStyle name="Migliaia 33 5 5 3" xfId="36767" xr:uid="{84EB56AE-6F4E-4EB4-8EC5-D0CA5D2A96C1}"/>
    <cellStyle name="Migliaia 33 5 5 4" xfId="41985" xr:uid="{30F08878-1AA0-4640-A9D8-2D37551B60E7}"/>
    <cellStyle name="Migliaia 33 5 5 5" xfId="24793" xr:uid="{EEB16ED6-C29D-4DD1-8FFE-DD2695D39EE6}"/>
    <cellStyle name="Migliaia 33 5 6" xfId="24794" xr:uid="{BE93A48F-5715-4FAB-9115-1C09053EB44E}"/>
    <cellStyle name="Migliaia 33 5 6 2" xfId="33829" xr:uid="{595851F9-F91B-46F1-A0AB-2F53DAE73AE1}"/>
    <cellStyle name="Migliaia 33 5 6 2 2" xfId="39335" xr:uid="{E0900E73-410F-4774-8E08-3130AB4DD6DA}"/>
    <cellStyle name="Migliaia 33 5 6 2 3" xfId="44637" xr:uid="{25754D7D-D655-400A-A610-157AE381C343}"/>
    <cellStyle name="Migliaia 33 5 6 3" xfId="36768" xr:uid="{CC0EA63F-5604-4A02-B850-430F25052E14}"/>
    <cellStyle name="Migliaia 33 5 6 4" xfId="41986" xr:uid="{458B1FEB-908B-49B5-9C01-69F83AFFEBAA}"/>
    <cellStyle name="Migliaia 33 5 7" xfId="24791" xr:uid="{346CAB7F-2D0C-4803-A1ED-3A37FCE4F082}"/>
    <cellStyle name="Migliaia 33 5 8" xfId="7451" xr:uid="{B97EE952-7C6F-48B7-9F2F-E0DD7CDC9E3E}"/>
    <cellStyle name="Migliaia 33 6" xfId="3533" xr:uid="{1CC9023C-BAC6-4506-ABC0-903F1B25E2AB}"/>
    <cellStyle name="Migliaia 33 6 2" xfId="5259" xr:uid="{3F4450AC-32BD-475B-BC45-D2FF49A3C0BD}"/>
    <cellStyle name="Migliaia 33 6 2 2" xfId="9933" xr:uid="{DB058EE6-AB63-46BC-8C89-1E32D888ACB1}"/>
    <cellStyle name="Migliaia 33 6 2 3" xfId="18654" xr:uid="{41345E27-96EA-4D0D-B376-DE4D746AAAA7}"/>
    <cellStyle name="Migliaia 33 6 2 4" xfId="20420" xr:uid="{610E359D-AB77-476F-BF86-695AB6A95093}"/>
    <cellStyle name="Migliaia 33 6 2 5" xfId="32384" xr:uid="{B46098C3-953B-4C5E-898F-B155489194F4}"/>
    <cellStyle name="Migliaia 33 6 2 6" xfId="16424" xr:uid="{90366C5C-D453-4F5E-9C43-9B9879513A8C}"/>
    <cellStyle name="Migliaia 33 6 2 7" xfId="8636" xr:uid="{F54727A4-A979-4C06-B7C8-2FDC05B2A15D}"/>
    <cellStyle name="Migliaia 33 6 3" xfId="6456" xr:uid="{3F28F315-576C-46A4-B5CD-D2FF64E2F43D}"/>
    <cellStyle name="Migliaia 33 6 3 2" xfId="35309" xr:uid="{A6A8A02A-A29F-4A96-A30C-C4F121DAAF19}"/>
    <cellStyle name="Migliaia 33 6 3 2 2" xfId="40469" xr:uid="{DC6A3A4B-BA42-431C-9D94-EBCF102EC3C8}"/>
    <cellStyle name="Migliaia 33 6 3 2 3" xfId="45771" xr:uid="{1D48D5F2-1EE5-494E-8D20-66E271A870BF}"/>
    <cellStyle name="Migliaia 33 6 3 3" xfId="37818" xr:uid="{5C72A4D9-88DE-4AAC-8523-3B4ED12BD7F2}"/>
    <cellStyle name="Migliaia 33 6 3 4" xfId="43120" xr:uid="{3BE6CDCD-457D-4F0B-A3D3-B17E4271A1F2}"/>
    <cellStyle name="Migliaia 33 6 3 5" xfId="9696" xr:uid="{393D5C90-3986-4275-B55D-9611621BF1F9}"/>
    <cellStyle name="Migliaia 33 6 4" xfId="20419" xr:uid="{ED10A10E-8A2A-4F32-9BF3-EA194A735D33}"/>
    <cellStyle name="Migliaia 33 6 4 2" xfId="39336" xr:uid="{8726D025-F4DC-4F7D-90E9-F37910E11EF9}"/>
    <cellStyle name="Migliaia 33 6 4 3" xfId="44638" xr:uid="{837C355D-81A4-49A8-9998-E904FCBF7903}"/>
    <cellStyle name="Migliaia 33 6 4 4" xfId="33830" xr:uid="{0BB8ECC9-87C7-4968-BCEA-C6E59C16097A}"/>
    <cellStyle name="Migliaia 33 6 5" xfId="36769" xr:uid="{FC69B825-7F6F-4EF1-9673-0003EEFF4B91}"/>
    <cellStyle name="Migliaia 33 6 6" xfId="41987" xr:uid="{C646A7BC-B1C6-454F-A456-21E1F108A9C9}"/>
    <cellStyle name="Migliaia 33 6 7" xfId="16423" xr:uid="{946A53F9-1820-40CC-9E2C-BA222A6412BA}"/>
    <cellStyle name="Migliaia 33 6 8" xfId="7446" xr:uid="{85B9B1A8-6C81-4E6E-B7EC-EE8D3FA94377}"/>
    <cellStyle name="Migliaia 33 7" xfId="3534" xr:uid="{1CD7AB60-250D-4729-BE57-C52C410F45EA}"/>
    <cellStyle name="Migliaia 33 7 2" xfId="5260" xr:uid="{03BD8DD2-0C20-4331-903D-40562ACE8394}"/>
    <cellStyle name="Migliaia 33 7 2 2" xfId="35310" xr:uid="{767F6B2B-F2FE-4E61-9580-55BAC1D340AB}"/>
    <cellStyle name="Migliaia 33 7 2 2 2" xfId="40470" xr:uid="{2AA92785-CECB-446A-93E5-E202351E275B}"/>
    <cellStyle name="Migliaia 33 7 2 2 3" xfId="45772" xr:uid="{1D1EBA22-5357-4467-9399-E9F9F4317A22}"/>
    <cellStyle name="Migliaia 33 7 2 3" xfId="37819" xr:uid="{D0AA232A-3ABC-41FC-B012-AB0C506FDF6B}"/>
    <cellStyle name="Migliaia 33 7 2 4" xfId="43121" xr:uid="{FB21585F-EBEF-444E-9B1B-FF4582A5656E}"/>
    <cellStyle name="Migliaia 33 7 2 5" xfId="14257" xr:uid="{F3EA3820-5E77-43DC-98E1-8628E1AAD878}"/>
    <cellStyle name="Migliaia 33 7 3" xfId="6457" xr:uid="{C59D2FEA-6884-4C0F-9069-CABE2193C7AF}"/>
    <cellStyle name="Migliaia 33 7 3 2" xfId="39337" xr:uid="{73EC0920-261B-43B4-8BA7-99E77F56547D}"/>
    <cellStyle name="Migliaia 33 7 3 3" xfId="44639" xr:uid="{6669EEA6-717C-4D25-A1F0-22D1FFF8081F}"/>
    <cellStyle name="Migliaia 33 7 3 4" xfId="33831" xr:uid="{23E159F3-9536-496A-B727-9077E2ECC43F}"/>
    <cellStyle name="Migliaia 33 7 3 5" xfId="20421" xr:uid="{DD46C4CE-47CF-4F63-867E-F45A8FD3FC0A}"/>
    <cellStyle name="Migliaia 33 7 4" xfId="36770" xr:uid="{359E8E80-9B10-43EE-9E47-3259E03D4BD9}"/>
    <cellStyle name="Migliaia 33 7 5" xfId="41988" xr:uid="{146A7166-829A-4F26-95A8-8602722BC9A1}"/>
    <cellStyle name="Migliaia 33 7 6" xfId="16425" xr:uid="{E6B40BDD-DBE1-4662-A1B6-D570935D0309}"/>
    <cellStyle name="Migliaia 33 7 7" xfId="8319" xr:uid="{E3B94DFD-C13F-4F93-B661-2F6F6B483E62}"/>
    <cellStyle name="Migliaia 33 8" xfId="3535" xr:uid="{8683F9A0-3935-4A7D-B4C0-3B31A530A4AF}"/>
    <cellStyle name="Migliaia 33 8 2" xfId="5261" xr:uid="{E857E318-9E17-43E6-96C6-CF8351DB5998}"/>
    <cellStyle name="Migliaia 33 8 2 2" xfId="35311" xr:uid="{FA397A78-5C63-4247-9E3D-058CA31F5F8A}"/>
    <cellStyle name="Migliaia 33 8 2 2 2" xfId="40471" xr:uid="{CC20FE23-BD76-43AC-B928-D8F9B6E1CD75}"/>
    <cellStyle name="Migliaia 33 8 2 2 3" xfId="45773" xr:uid="{A15896D1-D276-4177-A547-295DD3A91801}"/>
    <cellStyle name="Migliaia 33 8 2 3" xfId="37820" xr:uid="{4256A1CC-071D-423A-A0C6-79C6225871DD}"/>
    <cellStyle name="Migliaia 33 8 2 4" xfId="43122" xr:uid="{08B8978E-71BE-4D0A-8583-A8C9BED4B01A}"/>
    <cellStyle name="Migliaia 33 8 2 5" xfId="13962" xr:uid="{A67FD19E-5788-4590-A761-5DAE5BB2F026}"/>
    <cellStyle name="Migliaia 33 8 3" xfId="6458" xr:uid="{8B77C66F-B847-489F-B2E4-473BA81CEFDD}"/>
    <cellStyle name="Migliaia 33 8 3 2" xfId="39338" xr:uid="{1E74C79B-B009-4E46-87EB-D68A884AFAE2}"/>
    <cellStyle name="Migliaia 33 8 3 3" xfId="44640" xr:uid="{E66B2985-C7A0-470F-97EE-63CA96917B44}"/>
    <cellStyle name="Migliaia 33 8 3 4" xfId="33832" xr:uid="{07D69D23-6379-42C5-B11E-8E945E8CE3F4}"/>
    <cellStyle name="Migliaia 33 8 3 5" xfId="20422" xr:uid="{48B5F327-AD24-4BB1-AD32-7927A15AD84A}"/>
    <cellStyle name="Migliaia 33 8 4" xfId="36771" xr:uid="{72B7093B-6839-426C-A6A4-958F118ADC57}"/>
    <cellStyle name="Migliaia 33 8 5" xfId="41989" xr:uid="{4954C0D7-AE8A-4019-9774-0869E3FF3F6C}"/>
    <cellStyle name="Migliaia 33 8 6" xfId="16426" xr:uid="{11ED1EBC-1FBC-4533-8001-6FDA78E09C08}"/>
    <cellStyle name="Migliaia 33 8 7" xfId="7926" xr:uid="{FD886BA6-508B-4C0A-910D-9136108D357D}"/>
    <cellStyle name="Migliaia 33 9" xfId="5246" xr:uid="{FE0589EC-D138-4EFB-8D0D-C7722EF7421D}"/>
    <cellStyle name="Migliaia 33 9 2" xfId="33833" xr:uid="{664675B6-2FBF-40CB-A867-04CEB792AB49}"/>
    <cellStyle name="Migliaia 33 9 2 2" xfId="39339" xr:uid="{4C589C1E-C191-43A9-9887-FFB187208372}"/>
    <cellStyle name="Migliaia 33 9 2 3" xfId="44641" xr:uid="{566DD9B9-7767-4A06-81BF-66BD711410A6}"/>
    <cellStyle name="Migliaia 33 9 3" xfId="36772" xr:uid="{FE2DDA13-4C4A-44AD-9E13-A4AEA8E5C3C0}"/>
    <cellStyle name="Migliaia 33 9 4" xfId="41990" xr:uid="{D58F67C9-A784-44D8-82B5-D6BBD663A774}"/>
    <cellStyle name="Migliaia 33 9 5" xfId="17187" xr:uid="{99F2699C-F2F5-40B9-A327-F694D609DA97}"/>
    <cellStyle name="Migliaia 34" xfId="409" xr:uid="{00000000-0005-0000-0000-0000B2030000}"/>
    <cellStyle name="Migliaia 34 10" xfId="6459" xr:uid="{446CDD86-9B5A-445F-8339-A92113949E99}"/>
    <cellStyle name="Migliaia 34 10 2" xfId="39340" xr:uid="{2ED83D3A-7EAA-4E92-96A4-3ABD91E1E6DE}"/>
    <cellStyle name="Migliaia 34 10 3" xfId="44642" xr:uid="{7CCDBEEF-862B-4D5A-BD81-BD466DD39A04}"/>
    <cellStyle name="Migliaia 34 10 4" xfId="33834" xr:uid="{20169C4F-6711-4EEF-8E3A-D8EC690376EB}"/>
    <cellStyle name="Migliaia 34 10 5" xfId="20423" xr:uid="{5117B321-3E6F-41E9-AAB4-6B24C736DAFC}"/>
    <cellStyle name="Migliaia 34 11" xfId="3536" xr:uid="{3EBA89E3-A486-4244-B127-66A360759CDC}"/>
    <cellStyle name="Migliaia 34 11 2" xfId="36773" xr:uid="{3F13076C-C325-4B58-AC19-EF8025CA838F}"/>
    <cellStyle name="Migliaia 34 12" xfId="41991" xr:uid="{7D51784F-B802-41C7-8E60-8C398D8DE32A}"/>
    <cellStyle name="Migliaia 34 13" xfId="7123" xr:uid="{A8508EA9-0699-4DB6-8B04-2CE0CEE94C0F}"/>
    <cellStyle name="Migliaia 34 2" xfId="410" xr:uid="{00000000-0005-0000-0000-0000B3030000}"/>
    <cellStyle name="Migliaia 34 2 2" xfId="1791" xr:uid="{00000000-0005-0000-0000-0000B4030000}"/>
    <cellStyle name="Migliaia 34 2 2 2" xfId="5264" xr:uid="{F9BBACB8-DC09-409E-A7F6-2799BB2311F7}"/>
    <cellStyle name="Migliaia 34 2 2 2 2" xfId="14390" xr:uid="{0FC45A7A-384E-443F-842E-0085D395E054}"/>
    <cellStyle name="Migliaia 34 2 2 2 2 2" xfId="39341" xr:uid="{5E495FDA-3C14-44E3-8423-7117B683925B}"/>
    <cellStyle name="Migliaia 34 2 2 2 2 3" xfId="44643" xr:uid="{7D2D2A14-0457-4596-A5AB-5C1D4B5DD8B3}"/>
    <cellStyle name="Migliaia 34 2 2 2 3" xfId="18443" xr:uid="{880820C9-EE7E-43C6-B9DC-BC0E34AA91C1}"/>
    <cellStyle name="Migliaia 34 2 2 2 4" xfId="20426" xr:uid="{75BC8B53-2B81-4E8E-95AE-58413F8292E0}"/>
    <cellStyle name="Migliaia 34 2 2 2 4 2" xfId="41992" xr:uid="{8E666FAD-B19C-45EF-A365-E2361C947C81}"/>
    <cellStyle name="Migliaia 34 2 2 2 5" xfId="16427" xr:uid="{2177E90B-8F02-4A42-85D3-E0A9040C9284}"/>
    <cellStyle name="Migliaia 34 2 2 2 6" xfId="8643" xr:uid="{2693995B-F17B-4A07-8E0B-8341682CAD63}"/>
    <cellStyle name="Migliaia 34 2 2 3" xfId="6461" xr:uid="{303F2612-38F3-4B14-9D02-A4DDB138081D}"/>
    <cellStyle name="Migliaia 34 2 2 3 2" xfId="35312" xr:uid="{8A25C89F-BD9A-458D-9511-0130F934DC0F}"/>
    <cellStyle name="Migliaia 34 2 2 3 2 2" xfId="40472" xr:uid="{56AAAB67-1401-47A2-9A57-877583E1D8B4}"/>
    <cellStyle name="Migliaia 34 2 2 3 2 3" xfId="45774" xr:uid="{DEE59719-4C22-4812-9BFB-A506BD19FD5F}"/>
    <cellStyle name="Migliaia 34 2 2 3 3" xfId="37821" xr:uid="{22990CE0-F1F9-4C85-BD42-362CDB7CEEF9}"/>
    <cellStyle name="Migliaia 34 2 2 3 4" xfId="43123" xr:uid="{A410E715-7642-4161-8DE1-6901E7750D13}"/>
    <cellStyle name="Migliaia 34 2 2 3 5" xfId="11617" xr:uid="{CE3E15F5-ED32-4C9C-8098-382F6745B30F}"/>
    <cellStyle name="Migliaia 34 2 2 4" xfId="3538" xr:uid="{E182DBCF-275D-4F73-94D8-AA9BF9AD72AC}"/>
    <cellStyle name="Migliaia 34 2 2 4 2" xfId="21503" xr:uid="{518622C6-17E6-4D30-B5B1-6F33333AC8F7}"/>
    <cellStyle name="Migliaia 34 2 2 4 3" xfId="47982" xr:uid="{CF5B57FD-F197-4DD3-89F0-88C603992108}"/>
    <cellStyle name="Migliaia 34 2 2 4 4" xfId="50518" xr:uid="{B4FAF854-896E-47F2-8CC6-B40C298D1199}"/>
    <cellStyle name="Migliaia 34 2 2 4 5" xfId="53534" xr:uid="{8FF5326F-B509-4B4D-8C60-1E884A209EB6}"/>
    <cellStyle name="Migliaia 34 2 2 4 6" xfId="10868" xr:uid="{A3FFC7CF-B55D-4C19-8847-38832AD006CB}"/>
    <cellStyle name="Migliaia 34 2 2 5" xfId="20425" xr:uid="{5EFBE037-1FBA-401F-8F6B-745EDDB87140}"/>
    <cellStyle name="Migliaia 34 2 2 6" xfId="24796" xr:uid="{9408C17C-9123-4E68-B680-C0CB3804C188}"/>
    <cellStyle name="Migliaia 34 2 2 7" xfId="7453" xr:uid="{D6CB66AB-8BD2-489B-858E-9F8943B11743}"/>
    <cellStyle name="Migliaia 34 2 3" xfId="3539" xr:uid="{80D1486B-304D-4D77-BACE-247822D090F3}"/>
    <cellStyle name="Migliaia 34 2 3 2" xfId="5265" xr:uid="{8B3C4948-A275-41CF-8174-470755DB9056}"/>
    <cellStyle name="Migliaia 34 2 3 2 2" xfId="35313" xr:uid="{ED417F74-0311-4EE1-B48C-69188633C538}"/>
    <cellStyle name="Migliaia 34 2 3 2 2 2" xfId="40473" xr:uid="{5435DBE0-9D0F-4138-A61D-AC2A7CC9E0DA}"/>
    <cellStyle name="Migliaia 34 2 3 2 2 3" xfId="45775" xr:uid="{60FFA7AB-648B-468E-8D33-2ADD05DAF53B}"/>
    <cellStyle name="Migliaia 34 2 3 2 3" xfId="37822" xr:uid="{D36BB970-A604-4959-8288-AD2C1A005B40}"/>
    <cellStyle name="Migliaia 34 2 3 2 4" xfId="43124" xr:uid="{C007C6EB-A2CD-42C6-B2D2-5E4308DCE328}"/>
    <cellStyle name="Migliaia 34 2 3 2 5" xfId="14261" xr:uid="{0D1169A1-4F7B-44FC-8B15-5A3ACD3763EE}"/>
    <cellStyle name="Migliaia 34 2 3 3" xfId="6462" xr:uid="{85DA57FF-AF8D-4585-9DD3-004730949076}"/>
    <cellStyle name="Migliaia 34 2 3 3 2" xfId="39342" xr:uid="{46BA9E03-3743-4582-BA74-2CFB212BCF7B}"/>
    <cellStyle name="Migliaia 34 2 3 3 3" xfId="44644" xr:uid="{8A40FCEC-67C0-4CA3-9B71-064DC381AD34}"/>
    <cellStyle name="Migliaia 34 2 3 3 4" xfId="33835" xr:uid="{282169CE-DEC1-40E1-96FB-7360C26E0E44}"/>
    <cellStyle name="Migliaia 34 2 3 3 5" xfId="20427" xr:uid="{E3489FA7-7669-47D9-B593-37DDDAEC6D1A}"/>
    <cellStyle name="Migliaia 34 2 3 4" xfId="36774" xr:uid="{67A47EFC-6804-47E6-A2B1-5BFD8A1DF79A}"/>
    <cellStyle name="Migliaia 34 2 3 5" xfId="41993" xr:uid="{1E9A4B3D-C170-4EF1-BE5F-2DE93900E3CF}"/>
    <cellStyle name="Migliaia 34 2 3 6" xfId="16428" xr:uid="{77CED738-A778-499E-ACF8-4CD71189AD8E}"/>
    <cellStyle name="Migliaia 34 2 3 7" xfId="8323" xr:uid="{74005F41-B46A-448D-9E3D-B6E0D7772C07}"/>
    <cellStyle name="Migliaia 34 2 4" xfId="5263" xr:uid="{9EB3DDC4-26C7-40AC-866F-1EF68A6B6278}"/>
    <cellStyle name="Migliaia 34 2 4 2" xfId="13966" xr:uid="{4731D848-2BD5-4254-9202-E6635F017DDC}"/>
    <cellStyle name="Migliaia 34 2 4 2 2" xfId="39343" xr:uid="{DFD2B85A-1375-4934-99E8-BA19F9785028}"/>
    <cellStyle name="Migliaia 34 2 4 2 3" xfId="44645" xr:uid="{920C84C1-8435-4CB5-B155-995F2DE549DE}"/>
    <cellStyle name="Migliaia 34 2 4 3" xfId="18613" xr:uid="{1923A48D-7584-4428-8BF0-D9CCBD7FECAF}"/>
    <cellStyle name="Migliaia 34 2 4 4" xfId="20428" xr:uid="{1D0DCD62-7DAC-460D-8619-24CABBD007EB}"/>
    <cellStyle name="Migliaia 34 2 4 4 2" xfId="41994" xr:uid="{B99602CC-8AD7-4303-85A4-2828183079BC}"/>
    <cellStyle name="Migliaia 34 2 4 5" xfId="16429" xr:uid="{82C5FCC6-9BE3-424F-9C8A-BDFA41FD2598}"/>
    <cellStyle name="Migliaia 34 2 4 6" xfId="7931" xr:uid="{2C7A27C8-892D-4BAE-BBF0-AC47021A346D}"/>
    <cellStyle name="Migliaia 34 2 5" xfId="6460" xr:uid="{A1797C92-0795-47C5-973F-E0A15B7A587A}"/>
    <cellStyle name="Migliaia 34 2 5 2" xfId="33836" xr:uid="{40C84349-D9CF-4691-8899-D84DF9F2BD6A}"/>
    <cellStyle name="Migliaia 34 2 5 2 2" xfId="39344" xr:uid="{685A3C37-DA0C-4D40-AAF1-51BB84AB1C94}"/>
    <cellStyle name="Migliaia 34 2 5 2 3" xfId="44646" xr:uid="{052E3A7D-545D-4975-8F10-787FD11C1F9E}"/>
    <cellStyle name="Migliaia 34 2 5 3" xfId="36775" xr:uid="{B77EFD97-797A-4191-A9B6-5B5D85F0FE33}"/>
    <cellStyle name="Migliaia 34 2 5 4" xfId="41995" xr:uid="{C25E3D2B-2E3D-4833-BF70-F69B8D65B234}"/>
    <cellStyle name="Migliaia 34 2 5 5" xfId="13130" xr:uid="{6F0B185C-3025-41CC-ACE5-AD7C959E1E97}"/>
    <cellStyle name="Migliaia 34 2 6" xfId="3537" xr:uid="{F762F256-F5A0-48E0-AD7C-2690A70B9247}"/>
    <cellStyle name="Migliaia 34 2 6 2" xfId="33837" xr:uid="{8F9A4ECE-E7CF-4042-9541-FE12EAE7FBB4}"/>
    <cellStyle name="Migliaia 34 2 6 2 2" xfId="39345" xr:uid="{C3545B69-56BE-4AA2-BFF9-AA9FA5398969}"/>
    <cellStyle name="Migliaia 34 2 6 2 3" xfId="44647" xr:uid="{2E1CD879-0BA5-45BC-B736-BA9DB97290EB}"/>
    <cellStyle name="Migliaia 34 2 6 3" xfId="36776" xr:uid="{38B64630-9976-47B3-886B-FF570E079A3C}"/>
    <cellStyle name="Migliaia 34 2 6 4" xfId="41996" xr:uid="{C30F8C55-C24B-44C5-96EC-825582AE2F16}"/>
    <cellStyle name="Migliaia 34 2 6 5" xfId="24797" xr:uid="{70DB9DA0-258D-48D6-99EF-4DD570077927}"/>
    <cellStyle name="Migliaia 34 2 6 6" xfId="20424" xr:uid="{C2BFF595-C970-4671-8ABA-E4037DE8EFCC}"/>
    <cellStyle name="Migliaia 34 2 7" xfId="24795" xr:uid="{D8ADFD02-3D9E-4B3F-B571-7B5D3470DC6F}"/>
    <cellStyle name="Migliaia 34 2 8" xfId="7124" xr:uid="{2A1E30C2-F23D-4096-9D07-7028CEC1D4A6}"/>
    <cellStyle name="Migliaia 34 3" xfId="411" xr:uid="{00000000-0005-0000-0000-0000B5030000}"/>
    <cellStyle name="Migliaia 34 3 10" xfId="24798" xr:uid="{5CE2254B-D5F8-4D10-95AE-710CCC840920}"/>
    <cellStyle name="Migliaia 34 3 11" xfId="16430" xr:uid="{AAE851A5-3690-4DD1-A32C-516AEF60EF91}"/>
    <cellStyle name="Migliaia 34 3 12" xfId="7125" xr:uid="{85833C4E-1595-435C-B75F-5FFBAA710B22}"/>
    <cellStyle name="Migliaia 34 3 2" xfId="412" xr:uid="{00000000-0005-0000-0000-0000B6030000}"/>
    <cellStyle name="Migliaia 34 3 2 2" xfId="1792" xr:uid="{00000000-0005-0000-0000-0000B7030000}"/>
    <cellStyle name="Migliaia 34 3 2 2 2" xfId="5268" xr:uid="{CE6271D5-C95D-4269-93DB-A7750F3DB6E3}"/>
    <cellStyle name="Migliaia 34 3 2 2 2 2" xfId="18444" xr:uid="{32814393-59DC-4110-905B-CB63072E4EB9}"/>
    <cellStyle name="Migliaia 34 3 2 2 2 2 2" xfId="21868" xr:uid="{FCA3C8C3-5690-4139-9E70-8EBB9E691C2E}"/>
    <cellStyle name="Migliaia 34 3 2 2 2 2 2 2" xfId="39346" xr:uid="{10FF51C3-6AA7-4212-A39D-93F7E46E4DB9}"/>
    <cellStyle name="Migliaia 34 3 2 2 2 2 3" xfId="44648" xr:uid="{6D137B42-4E4D-469E-91D3-7B8BA515E9C0}"/>
    <cellStyle name="Migliaia 34 3 2 2 2 2 4" xfId="33838" xr:uid="{3EDA2A78-57CF-4C6A-B1ED-AD888F1FD578}"/>
    <cellStyle name="Migliaia 34 3 2 2 2 3" xfId="36777" xr:uid="{D95D33BD-20F8-47F3-8FB9-3EB61A02E791}"/>
    <cellStyle name="Migliaia 34 3 2 2 2 4" xfId="41997" xr:uid="{256650A3-1D94-4999-8F80-2CCCF43C2167}"/>
    <cellStyle name="Migliaia 34 3 2 2 2 5" xfId="37178" xr:uid="{EFAEB2E9-0799-4DEB-8A50-7BBC16499581}"/>
    <cellStyle name="Migliaia 34 3 2 2 2 6" xfId="50896" xr:uid="{97DB9A6B-75AE-490A-8CEB-BBBC4E8FAD6E}"/>
    <cellStyle name="Migliaia 34 3 2 2 2 7" xfId="53912" xr:uid="{B0C26102-CF28-4415-B166-41F81684500E}"/>
    <cellStyle name="Migliaia 34 3 2 2 2 8" xfId="17665" xr:uid="{B810872C-E512-4A49-9BEE-1E7F1FAE2528}"/>
    <cellStyle name="Migliaia 34 3 2 2 2 9" xfId="11995" xr:uid="{1B7CE54C-98CA-44C4-9D3B-87BC5348FA0A}"/>
    <cellStyle name="Migliaia 34 3 2 2 3" xfId="6465" xr:uid="{82ADC557-C383-4EC5-9740-2BF4D3C6DD75}"/>
    <cellStyle name="Migliaia 34 3 2 2 3 2" xfId="11562" xr:uid="{9C71523F-341B-42BB-A809-DBD8E9F219A1}"/>
    <cellStyle name="Migliaia 34 3 2 2 4" xfId="3542" xr:uid="{E07B4949-0749-4A66-A056-E83098480DDB}"/>
    <cellStyle name="Migliaia 34 3 2 2 4 2" xfId="21504" xr:uid="{918380D4-8E25-4DA3-AE74-971DA1624C62}"/>
    <cellStyle name="Migliaia 34 3 2 2 4 3" xfId="46646" xr:uid="{F2304B9A-55F2-41C9-956E-98A328CF5E43}"/>
    <cellStyle name="Migliaia 34 3 2 2 4 4" xfId="50519" xr:uid="{C3388350-1440-4C06-B96E-7A92AC6AAD18}"/>
    <cellStyle name="Migliaia 34 3 2 2 4 5" xfId="53535" xr:uid="{596167F0-C313-490F-8C17-B59DC044BC2F}"/>
    <cellStyle name="Migliaia 34 3 2 2 4 6" xfId="10869" xr:uid="{CD9ABD3E-A6A3-41A6-AC91-46C40AAD8A19}"/>
    <cellStyle name="Migliaia 34 3 2 2 5" xfId="20431" xr:uid="{4FB7C1FD-4339-4DBE-ACA3-3550613417C1}"/>
    <cellStyle name="Migliaia 34 3 2 2 6" xfId="24800" xr:uid="{485220B5-59FE-4A6C-B0D7-F9C1310C848E}"/>
    <cellStyle name="Migliaia 34 3 2 2 7" xfId="8645" xr:uid="{BCBB8A76-5593-4BBB-B799-E28DDE105867}"/>
    <cellStyle name="Migliaia 34 3 2 3" xfId="5267" xr:uid="{260A6332-73C4-4A96-96DF-E797F51F175D}"/>
    <cellStyle name="Migliaia 34 3 2 3 2" xfId="12410" xr:uid="{33C810DF-B83F-41ED-B33E-00AB6C0C6873}"/>
    <cellStyle name="Migliaia 34 3 2 3 2 2" xfId="39347" xr:uid="{D641BA38-D7E7-4FB0-B331-5799D0263AA6}"/>
    <cellStyle name="Migliaia 34 3 2 3 2 3" xfId="44649" xr:uid="{775802CC-0506-46C7-BDD2-C0694FB1BF0F}"/>
    <cellStyle name="Migliaia 34 3 2 3 2 4" xfId="33839" xr:uid="{ACBB39FA-E23A-44F4-93D5-372CB5FBE9E6}"/>
    <cellStyle name="Migliaia 34 3 2 3 3" xfId="11996" xr:uid="{ECCC2CEB-F129-499D-8799-F5CEB714B9D7}"/>
    <cellStyle name="Migliaia 34 3 2 3 4" xfId="20432" xr:uid="{3A18B690-7696-42BB-A4CB-21D198E7EBA5}"/>
    <cellStyle name="Migliaia 34 3 2 3 4 2" xfId="41998" xr:uid="{FA4D13A6-10AE-4416-AC04-17B0DD3AC859}"/>
    <cellStyle name="Migliaia 34 3 2 3 5" xfId="16431" xr:uid="{71AAEBDD-CF3F-4F6B-9375-AFA32D4FA596}"/>
    <cellStyle name="Migliaia 34 3 2 3 6" xfId="7933" xr:uid="{BD6826BC-DE79-40B6-B5C5-DC01ABB848B2}"/>
    <cellStyle name="Migliaia 34 3 2 4" xfId="6464" xr:uid="{736A85FD-1579-429B-976F-5F5A6C3B3C3C}"/>
    <cellStyle name="Migliaia 34 3 2 4 2" xfId="18084" xr:uid="{711236A0-DB6B-45E6-BCCD-5DADF433C876}"/>
    <cellStyle name="Migliaia 34 3 2 4 2 2" xfId="39348" xr:uid="{8D0D78E1-3E42-4D48-91C1-00F2EC9D686F}"/>
    <cellStyle name="Migliaia 34 3 2 4 2 3" xfId="44650" xr:uid="{C0390279-502E-4176-A4A1-03F9A982C464}"/>
    <cellStyle name="Migliaia 34 3 2 4 3" xfId="36778" xr:uid="{405DB2E7-BC30-40B8-8DFA-CA57EE7E805C}"/>
    <cellStyle name="Migliaia 34 3 2 4 4" xfId="41999" xr:uid="{D8E0A404-A0CE-420E-9910-BA792ECE875D}"/>
    <cellStyle name="Migliaia 34 3 2 4 5" xfId="17190" xr:uid="{803BC5D2-04F0-40CF-AF95-B4618CAE0D69}"/>
    <cellStyle name="Migliaia 34 3 2 4 6" xfId="11344" xr:uid="{6EF1D95D-91F3-47C8-84CF-C9CFDD80FD66}"/>
    <cellStyle name="Migliaia 34 3 2 5" xfId="3541" xr:uid="{F017704D-067C-4E47-9C86-7BF408B35889}"/>
    <cellStyle name="Migliaia 34 3 2 5 2" xfId="33840" xr:uid="{77AEB179-F5E8-4D7F-8265-B51EFF5E73E8}"/>
    <cellStyle name="Migliaia 34 3 2 5 2 2" xfId="39349" xr:uid="{17C76A74-D970-4FD9-B6F7-31C8ECFEDAE3}"/>
    <cellStyle name="Migliaia 34 3 2 5 2 3" xfId="44651" xr:uid="{33924806-5B27-4FD7-8604-D09BD343AC7C}"/>
    <cellStyle name="Migliaia 34 3 2 5 3" xfId="36779" xr:uid="{A8824072-0B5C-48E4-9FD1-28BD98DF9830}"/>
    <cellStyle name="Migliaia 34 3 2 5 4" xfId="42000" xr:uid="{B2E45CEB-D6FE-4E4F-B2BA-190DDCFFD1C6}"/>
    <cellStyle name="Migliaia 34 3 2 5 5" xfId="17345" xr:uid="{39D189D8-1439-4D81-9804-6BAADCC030DA}"/>
    <cellStyle name="Migliaia 34 3 2 6" xfId="20430" xr:uid="{C04BAFB1-E402-4F61-A307-CC50FE104801}"/>
    <cellStyle name="Migliaia 34 3 2 6 2" xfId="33841" xr:uid="{4D6271A2-5643-4153-8388-1C64289F1B31}"/>
    <cellStyle name="Migliaia 34 3 2 6 2 2" xfId="39350" xr:uid="{A7F3E525-3459-445B-BCFA-A2CD146567D1}"/>
    <cellStyle name="Migliaia 34 3 2 6 2 3" xfId="44652" xr:uid="{D760F0A0-AC2B-4138-B354-824E22A6C9D6}"/>
    <cellStyle name="Migliaia 34 3 2 6 3" xfId="36780" xr:uid="{25BFBA46-9FC0-4A9B-87E0-5FB7C379EA1D}"/>
    <cellStyle name="Migliaia 34 3 2 6 4" xfId="42001" xr:uid="{45F6D8F6-B2E4-4CDB-BD24-8FDAFF1F369B}"/>
    <cellStyle name="Migliaia 34 3 2 6 5" xfId="24801" xr:uid="{13CF3B75-E483-4FA7-9DF4-B5326BDFB574}"/>
    <cellStyle name="Migliaia 34 3 2 7" xfId="24799" xr:uid="{23E0A5F5-6F26-4B4E-BCB3-817B51F6EE68}"/>
    <cellStyle name="Migliaia 34 3 2 8" xfId="7455" xr:uid="{307EC4A0-060E-420F-AD7B-67A8DF2F3494}"/>
    <cellStyle name="Migliaia 34 3 3" xfId="3543" xr:uid="{F2FE8A7C-D7E1-453E-A8C1-271A57750029}"/>
    <cellStyle name="Migliaia 34 3 3 10" xfId="7454" xr:uid="{D7F09E32-DDC2-4B4C-ADA4-769C17D37B17}"/>
    <cellStyle name="Migliaia 34 3 3 2" xfId="5269" xr:uid="{B61D78DF-9D47-44B3-A363-CB2947097F80}"/>
    <cellStyle name="Migliaia 34 3 3 2 2" xfId="9936" xr:uid="{1A44F8DB-D978-4B41-A6BD-8C2915878553}"/>
    <cellStyle name="Migliaia 34 3 3 2 2 2" xfId="39352" xr:uid="{026AF8B9-A57A-457C-90EF-F19AA9A2F2F2}"/>
    <cellStyle name="Migliaia 34 3 3 2 2 3" xfId="44654" xr:uid="{8E2E72A3-F8D4-46FD-AD53-EFCB2A5DE413}"/>
    <cellStyle name="Migliaia 34 3 3 2 3" xfId="18216" xr:uid="{C75454DD-4A6B-4033-BA73-43D50229001F}"/>
    <cellStyle name="Migliaia 34 3 3 2 4" xfId="20434" xr:uid="{B8B9AE7D-89D2-4D23-A3B4-BD6BD4FBD99B}"/>
    <cellStyle name="Migliaia 34 3 3 2 4 2" xfId="42003" xr:uid="{2F5161EB-D24F-44FC-B778-330C70752088}"/>
    <cellStyle name="Migliaia 34 3 3 2 5" xfId="16433" xr:uid="{DB7D71E7-BCDA-4CBB-9893-2C078338ABEB}"/>
    <cellStyle name="Migliaia 34 3 3 2 6" xfId="8644" xr:uid="{F3DFAADB-EC30-4842-A08D-E706189B06B1}"/>
    <cellStyle name="Migliaia 34 3 3 3" xfId="6466" xr:uid="{30B46127-11E3-4D23-A115-8875A05EDFA5}"/>
    <cellStyle name="Migliaia 34 3 3 3 2" xfId="33843" xr:uid="{8E7831A7-5E9D-423E-83A6-CFE8C7D97D81}"/>
    <cellStyle name="Migliaia 34 3 3 3 2 2" xfId="39353" xr:uid="{41B3C328-D3A7-4D9A-AC03-58DD04850161}"/>
    <cellStyle name="Migliaia 34 3 3 3 2 3" xfId="44655" xr:uid="{8C1F9CAC-C05E-485B-86A4-691AA09E9C51}"/>
    <cellStyle name="Migliaia 34 3 3 3 3" xfId="36782" xr:uid="{DE24CB78-19D7-4A6C-90D7-ADE448A67B4A}"/>
    <cellStyle name="Migliaia 34 3 3 3 4" xfId="42004" xr:uid="{89F59071-1420-43B9-8B59-39D6A6FDB4CA}"/>
    <cellStyle name="Migliaia 34 3 3 3 5" xfId="9699" xr:uid="{BF4C4282-B52E-4A2E-BA40-3E00EA0FA5E0}"/>
    <cellStyle name="Migliaia 34 3 3 4" xfId="20433" xr:uid="{55029C37-88C7-466E-8CAD-CE5617ED1BB3}"/>
    <cellStyle name="Migliaia 34 3 3 4 2" xfId="33844" xr:uid="{E3D175E5-65AC-4D87-89A4-75ED0B54FDC8}"/>
    <cellStyle name="Migliaia 34 3 3 4 2 2" xfId="39354" xr:uid="{BF2BAF69-CBA1-4A61-892D-FB7CEC301D3A}"/>
    <cellStyle name="Migliaia 34 3 3 4 2 3" xfId="44656" xr:uid="{6D9533A5-E037-4BBE-9A92-C5681C505C9D}"/>
    <cellStyle name="Migliaia 34 3 3 4 3" xfId="36783" xr:uid="{B307DE65-8F7B-4D2E-86D5-89411F5D22F4}"/>
    <cellStyle name="Migliaia 34 3 3 4 4" xfId="42005" xr:uid="{79117383-0E03-4801-92E8-C36CF34EFAC2}"/>
    <cellStyle name="Migliaia 34 3 3 4 5" xfId="24802" xr:uid="{EFA5EADE-B267-415B-988A-22252C332D68}"/>
    <cellStyle name="Migliaia 34 3 3 5" xfId="24803" xr:uid="{46D3B9F5-61A9-4F38-A331-6FF58D92BD34}"/>
    <cellStyle name="Migliaia 34 3 3 5 2" xfId="33845" xr:uid="{6D881D17-9E0D-4740-832F-6DE70D454887}"/>
    <cellStyle name="Migliaia 34 3 3 5 2 2" xfId="39355" xr:uid="{80AF3B30-1BD5-492C-9BDA-4F0D66CDA963}"/>
    <cellStyle name="Migliaia 34 3 3 5 2 3" xfId="44657" xr:uid="{81115C7D-23B9-4CD9-9C58-DE0A8C77549E}"/>
    <cellStyle name="Migliaia 34 3 3 5 3" xfId="36784" xr:uid="{307C97A3-21AE-475B-BA4D-F7408DFDEE1B}"/>
    <cellStyle name="Migliaia 34 3 3 5 4" xfId="42006" xr:uid="{7CDEC75E-30F1-46B8-8718-56A974685B01}"/>
    <cellStyle name="Migliaia 34 3 3 6" xfId="33842" xr:uid="{205F084D-FFAB-47C6-96D2-7C096E34C568}"/>
    <cellStyle name="Migliaia 34 3 3 6 2" xfId="39351" xr:uid="{B48C715A-CD08-4A8E-AFF8-4220F9484A9D}"/>
    <cellStyle name="Migliaia 34 3 3 6 3" xfId="44653" xr:uid="{377A555A-94D4-4676-BEBA-909837F71F6E}"/>
    <cellStyle name="Migliaia 34 3 3 7" xfId="36781" xr:uid="{ED12F98C-EEFB-45BF-996B-47E3DD6995DB}"/>
    <cellStyle name="Migliaia 34 3 3 8" xfId="42002" xr:uid="{F9CB8381-F5F3-4D8C-9028-E09497AE7371}"/>
    <cellStyle name="Migliaia 34 3 3 9" xfId="16432" xr:uid="{ECFC188B-7198-4720-920D-FCBBB245ECE9}"/>
    <cellStyle name="Migliaia 34 3 4" xfId="3544" xr:uid="{ADABA363-FAB2-4C0E-957F-A52E5AC4DB0A}"/>
    <cellStyle name="Migliaia 34 3 4 2" xfId="5270" xr:uid="{D1793F4F-335D-402A-89BE-7DFA7923982A}"/>
    <cellStyle name="Migliaia 34 3 4 2 2" xfId="14450" xr:uid="{2D5A4E06-9CB9-435E-91A1-998CED552E0B}"/>
    <cellStyle name="Migliaia 34 3 4 2 3" xfId="18563" xr:uid="{23373CAA-A12B-4DD8-AE18-2E286167A53F}"/>
    <cellStyle name="Migliaia 34 3 4 2 4" xfId="20436" xr:uid="{282EE62E-FE0C-420A-B886-116E92DFB71F}"/>
    <cellStyle name="Migliaia 34 3 4 2 5" xfId="32385" xr:uid="{4054D2F7-BE77-4DF2-A059-A5254A5DD995}"/>
    <cellStyle name="Migliaia 34 3 4 2 6" xfId="16435" xr:uid="{4595E0EA-1B48-4208-B725-0BCA1FB3C322}"/>
    <cellStyle name="Migliaia 34 3 4 2 7" xfId="8873" xr:uid="{A63F0EF4-0EEF-4709-9216-12AAC3007BCD}"/>
    <cellStyle name="Migliaia 34 3 4 3" xfId="6467" xr:uid="{C055AA84-91EF-4144-9DBE-A57B5618E207}"/>
    <cellStyle name="Migliaia 34 3 4 3 2" xfId="35314" xr:uid="{78281863-4175-4805-B8F3-A7A625D43F9D}"/>
    <cellStyle name="Migliaia 34 3 4 3 2 2" xfId="40474" xr:uid="{16B1C900-C410-4B6D-90F8-03CEEB665FFF}"/>
    <cellStyle name="Migliaia 34 3 4 3 2 3" xfId="45776" xr:uid="{92B773C0-CCB6-451F-B496-1A71413A106D}"/>
    <cellStyle name="Migliaia 34 3 4 3 3" xfId="37823" xr:uid="{09DBF291-D70C-416F-9F2F-1897AD7B7D88}"/>
    <cellStyle name="Migliaia 34 3 4 3 4" xfId="43125" xr:uid="{40B9C766-3198-4E7A-98C5-5CBE84C3BE4E}"/>
    <cellStyle name="Migliaia 34 3 4 3 5" xfId="13698" xr:uid="{3FA596FF-E713-4A33-A244-8ECC84CFA47B}"/>
    <cellStyle name="Migliaia 34 3 4 4" xfId="20435" xr:uid="{69C94934-B89D-4203-9AC5-C3CBAD183AF0}"/>
    <cellStyle name="Migliaia 34 3 4 4 2" xfId="39356" xr:uid="{576638C7-AE12-41B7-AF33-F8C820322DE5}"/>
    <cellStyle name="Migliaia 34 3 4 4 3" xfId="44658" xr:uid="{CCD619EB-53FF-42B5-8E4D-76749A5457DF}"/>
    <cellStyle name="Migliaia 34 3 4 4 4" xfId="33846" xr:uid="{C31D6FD7-E827-4E71-86F5-B815B74C9586}"/>
    <cellStyle name="Migliaia 34 3 4 5" xfId="36785" xr:uid="{FB00F9BA-1062-493C-A84B-7CB00779727A}"/>
    <cellStyle name="Migliaia 34 3 4 6" xfId="42007" xr:uid="{132B2B18-43A1-4FC8-B211-E421B7935F44}"/>
    <cellStyle name="Migliaia 34 3 4 7" xfId="16434" xr:uid="{1D8415D4-9E74-41D6-A001-05A56B8C9A7D}"/>
    <cellStyle name="Migliaia 34 3 4 8" xfId="7683" xr:uid="{45E60EBC-AC59-4053-9FCB-E925273E0D11}"/>
    <cellStyle name="Migliaia 34 3 5" xfId="3545" xr:uid="{1D8E9405-A699-4036-9CDB-360D68331B24}"/>
    <cellStyle name="Migliaia 34 3 5 2" xfId="5271" xr:uid="{84FDB9C1-29A7-4962-A13C-701B8297EEE1}"/>
    <cellStyle name="Migliaia 34 3 5 2 2" xfId="35315" xr:uid="{6AB334DB-11F5-457F-88ED-FA01A772B2AE}"/>
    <cellStyle name="Migliaia 34 3 5 2 2 2" xfId="40475" xr:uid="{D260095C-50CE-4234-8D33-AFF0EC9FB642}"/>
    <cellStyle name="Migliaia 34 3 5 2 2 3" xfId="45777" xr:uid="{19BC8E68-9F68-43B8-B484-2EE5022AD58C}"/>
    <cellStyle name="Migliaia 34 3 5 2 3" xfId="37824" xr:uid="{9691BC07-BE32-43D6-98BD-D2A8A8265B1F}"/>
    <cellStyle name="Migliaia 34 3 5 2 4" xfId="43126" xr:uid="{46FE9C2E-58F6-458F-B87C-8F794AAE713E}"/>
    <cellStyle name="Migliaia 34 3 5 2 5" xfId="14262" xr:uid="{6CC7B196-D647-40FC-BADB-CCDCFF035677}"/>
    <cellStyle name="Migliaia 34 3 5 3" xfId="6468" xr:uid="{6BE54B96-0C5D-40E6-B975-DBCF9C65414E}"/>
    <cellStyle name="Migliaia 34 3 5 3 2" xfId="39357" xr:uid="{2AB99CF2-40F4-422D-BA0F-E81906730134}"/>
    <cellStyle name="Migliaia 34 3 5 3 3" xfId="44659" xr:uid="{DE95A251-33D4-4CF1-9D7A-A6A517008729}"/>
    <cellStyle name="Migliaia 34 3 5 3 4" xfId="33847" xr:uid="{13145DF8-84CF-417B-8121-756292DC3A68}"/>
    <cellStyle name="Migliaia 34 3 5 3 5" xfId="20437" xr:uid="{2C2735B0-E709-4D68-929E-935802AB8E19}"/>
    <cellStyle name="Migliaia 34 3 5 4" xfId="36786" xr:uid="{9871999C-FC68-411F-968E-68BF2B3A8C24}"/>
    <cellStyle name="Migliaia 34 3 5 5" xfId="42008" xr:uid="{BA1ECF34-625C-45DC-B3C9-0F14E117600A}"/>
    <cellStyle name="Migliaia 34 3 5 6" xfId="16436" xr:uid="{5D1D6F95-A0D4-45C9-849E-56A08A84F5C4}"/>
    <cellStyle name="Migliaia 34 3 5 7" xfId="8324" xr:uid="{EF3EA36C-48E3-419E-94E8-005CB0BF320E}"/>
    <cellStyle name="Migliaia 34 3 6" xfId="5266" xr:uid="{18763EDC-4C27-43E4-BB74-325938A534EB}"/>
    <cellStyle name="Migliaia 34 3 6 2" xfId="13967" xr:uid="{A961BB2C-3A18-4A65-BC3D-CD4A46500D59}"/>
    <cellStyle name="Migliaia 34 3 6 2 2" xfId="39358" xr:uid="{A81DC99B-BD61-44C4-9C7D-192D34E83D3B}"/>
    <cellStyle name="Migliaia 34 3 6 2 3" xfId="44660" xr:uid="{3990F1AC-8F92-4EDE-8528-51595ED657D9}"/>
    <cellStyle name="Migliaia 34 3 6 3" xfId="18287" xr:uid="{9A824B65-2EE6-49DA-89A0-3C1984F26551}"/>
    <cellStyle name="Migliaia 34 3 6 4" xfId="20438" xr:uid="{8D71C902-B392-4FB8-A6B1-812678CDA7EA}"/>
    <cellStyle name="Migliaia 34 3 6 4 2" xfId="42009" xr:uid="{DEB9DAF7-3532-4826-814B-81B60E214948}"/>
    <cellStyle name="Migliaia 34 3 6 5" xfId="16437" xr:uid="{7C263C05-61E4-45F8-BC13-DF22CBEB7DFF}"/>
    <cellStyle name="Migliaia 34 3 6 6" xfId="7932" xr:uid="{41B9EBC9-9151-4DF2-AA8B-C361D89C1E2E}"/>
    <cellStyle name="Migliaia 34 3 7" xfId="6463" xr:uid="{E244BB2C-58A0-45A9-947F-FE9D080E68B2}"/>
    <cellStyle name="Migliaia 34 3 7 2" xfId="33848" xr:uid="{3C679071-6A77-4AC7-B001-6D65673E63B1}"/>
    <cellStyle name="Migliaia 34 3 7 2 2" xfId="39359" xr:uid="{26D3A9E6-3B38-4D6F-B9C7-D4D927596D0A}"/>
    <cellStyle name="Migliaia 34 3 7 2 3" xfId="44661" xr:uid="{55E16693-9966-4BD4-8B54-E6C1D6BA4718}"/>
    <cellStyle name="Migliaia 34 3 7 3" xfId="36787" xr:uid="{4CFCC0F1-C42B-4E2F-BDA5-73BBFA4B01E9}"/>
    <cellStyle name="Migliaia 34 3 7 4" xfId="42010" xr:uid="{21EBDBE0-E258-442D-82D6-91814A7A93F2}"/>
    <cellStyle name="Migliaia 34 3 7 5" xfId="12281" xr:uid="{42BB648D-FF76-4749-AE22-0B6CB05B45EA}"/>
    <cellStyle name="Migliaia 34 3 8" xfId="3540" xr:uid="{57F49CDF-D5EC-498E-AEB3-A088D33E8E1B}"/>
    <cellStyle name="Migliaia 34 3 8 2" xfId="33849" xr:uid="{D634CE6A-F83E-41EE-991D-8E64C5E08D50}"/>
    <cellStyle name="Migliaia 34 3 8 2 2" xfId="39360" xr:uid="{C56CBC05-E4FF-4E4C-B50D-9A2F4DB9F6AD}"/>
    <cellStyle name="Migliaia 34 3 8 2 3" xfId="44662" xr:uid="{84C64998-0A9F-4B1E-A577-BA470E47C5B2}"/>
    <cellStyle name="Migliaia 34 3 8 3" xfId="36788" xr:uid="{A35A7927-B8FD-45C5-9DE5-531BBA882A95}"/>
    <cellStyle name="Migliaia 34 3 8 4" xfId="42011" xr:uid="{E4B6669C-5B89-4846-B41A-0303F740DE0E}"/>
    <cellStyle name="Migliaia 34 3 8 5" xfId="24804" xr:uid="{B22E6DE4-B80D-418B-8B85-C866402007EB}"/>
    <cellStyle name="Migliaia 34 3 8 6" xfId="17346" xr:uid="{BC0553A9-D722-4D23-A53F-7F31B523727A}"/>
    <cellStyle name="Migliaia 34 3 9" xfId="20429" xr:uid="{F9B49BA6-AB9A-41D0-AF52-460C6B28F6D7}"/>
    <cellStyle name="Migliaia 34 4" xfId="1793" xr:uid="{00000000-0005-0000-0000-0000B8030000}"/>
    <cellStyle name="Migliaia 34 4 2" xfId="1794" xr:uid="{00000000-0005-0000-0000-0000B9030000}"/>
    <cellStyle name="Migliaia 34 4 2 2" xfId="5273" xr:uid="{5391FA8B-CCCE-4A27-B416-630FF6B5EAD3}"/>
    <cellStyle name="Migliaia 34 4 2 2 2" xfId="33850" xr:uid="{84C26CB8-E899-4EDB-A5BC-CAA37790EF5E}"/>
    <cellStyle name="Migliaia 34 4 2 2 2 2" xfId="39361" xr:uid="{4E7EEAAF-289B-4714-B349-04605BF5D887}"/>
    <cellStyle name="Migliaia 34 4 2 2 2 3" xfId="44663" xr:uid="{B31A905B-71AD-451E-8B8F-46E0E52ED655}"/>
    <cellStyle name="Migliaia 34 4 2 2 3" xfId="36789" xr:uid="{33E6111D-748B-4EC3-AAEF-FAEA5B979CBE}"/>
    <cellStyle name="Migliaia 34 4 2 2 4" xfId="42012" xr:uid="{9F1D7BAC-8A4C-4537-80C9-D798519CB697}"/>
    <cellStyle name="Migliaia 34 4 2 2 5" xfId="9162" xr:uid="{E3CE6559-1214-4F94-890C-EF728F969A4A}"/>
    <cellStyle name="Migliaia 34 4 2 3" xfId="3547" xr:uid="{33F31E3C-F248-4D8E-A31F-6F0760878D8B}"/>
    <cellStyle name="Migliaia 34 4 2 3 2" xfId="33851" xr:uid="{5EBBF73D-3C7A-4AA0-BAA6-86D74BD75981}"/>
    <cellStyle name="Migliaia 34 4 2 3 2 2" xfId="39362" xr:uid="{8C036DB8-F0E7-4BA4-98CE-9B30F45DDE57}"/>
    <cellStyle name="Migliaia 34 4 2 3 2 3" xfId="44664" xr:uid="{C7F8BD96-9ED5-4A21-B69D-F3836BC58B17}"/>
    <cellStyle name="Migliaia 34 4 2 3 3" xfId="36790" xr:uid="{C85BF1E0-A5CF-4AD9-A3F3-0630821947E2}"/>
    <cellStyle name="Migliaia 34 4 2 3 4" xfId="42013" xr:uid="{75C0BE7B-6624-4A4F-84B9-AF65475E609A}"/>
    <cellStyle name="Migliaia 34 4 2 3 5" xfId="11997" xr:uid="{E6846BA7-1937-423E-B06C-8A3B578FA1F2}"/>
    <cellStyle name="Migliaia 34 4 2 4" xfId="11346" xr:uid="{E85F6D33-1B87-4320-966E-52A3B7BF545A}"/>
    <cellStyle name="Migliaia 34 4 2 5" xfId="10871" xr:uid="{627096E7-DA7F-4AEE-A1A0-A888A86A8291}"/>
    <cellStyle name="Migliaia 34 4 2 5 2" xfId="21506" xr:uid="{1D4FC610-7416-4C28-ACED-7BCE74C01236}"/>
    <cellStyle name="Migliaia 34 4 2 5 3" xfId="47702" xr:uid="{F8DAA392-5F7D-427B-A8BC-384B57BA99A3}"/>
    <cellStyle name="Migliaia 34 4 2 5 4" xfId="50521" xr:uid="{C4A81215-A68B-4A93-A2C2-D5F2DD0D2A3A}"/>
    <cellStyle name="Migliaia 34 4 2 5 5" xfId="53537" xr:uid="{B5A27F39-2F77-4E96-85E1-2A6BE4A9FBC2}"/>
    <cellStyle name="Migliaia 34 4 2 6" xfId="20440" xr:uid="{40769D0C-50F0-4040-A324-1A0E75742250}"/>
    <cellStyle name="Migliaia 34 4 2 7" xfId="24806" xr:uid="{A0654325-793C-4567-B919-5D52DB24909D}"/>
    <cellStyle name="Migliaia 34 4 2 8" xfId="8646" xr:uid="{F1217321-02C0-4EFF-BD9C-99EE931985DD}"/>
    <cellStyle name="Migliaia 34 4 3" xfId="5272" xr:uid="{F58C1C99-F4DD-4E60-8F93-4974E52AE550}"/>
    <cellStyle name="Migliaia 34 4 3 2" xfId="18217" xr:uid="{B601B266-9DB2-4CA3-B932-326C4225128C}"/>
    <cellStyle name="Migliaia 34 4 3 2 2" xfId="39363" xr:uid="{EF68D26A-973F-4FA2-988C-D657800B6F3D}"/>
    <cellStyle name="Migliaia 34 4 3 2 3" xfId="44665" xr:uid="{F5846DD8-602A-4C75-9CBE-4AC2897E0B69}"/>
    <cellStyle name="Migliaia 34 4 3 3" xfId="36791" xr:uid="{D6DCD062-A080-4126-9F68-B22FB94A0859}"/>
    <cellStyle name="Migliaia 34 4 3 4" xfId="42014" xr:uid="{AB73069F-921A-4ACD-A6E1-4A31726C1F54}"/>
    <cellStyle name="Migliaia 34 4 3 5" xfId="17344" xr:uid="{F8D7C94E-519C-49D5-9F2D-10484D287BD1}"/>
    <cellStyle name="Migliaia 34 4 3 6" xfId="9163" xr:uid="{ACB0D9A2-40D3-4AAA-87FB-D1CEB8179BA2}"/>
    <cellStyle name="Migliaia 34 4 4" xfId="6469" xr:uid="{29789B69-C4F4-47EF-BD01-49ABC9CB3BE2}"/>
    <cellStyle name="Migliaia 34 4 4 2" xfId="33852" xr:uid="{2F214897-9605-4373-B882-C77388CC1CBA}"/>
    <cellStyle name="Migliaia 34 4 4 2 2" xfId="39364" xr:uid="{8C60D851-BAB9-4C1C-9094-0B716CEE5B28}"/>
    <cellStyle name="Migliaia 34 4 4 2 3" xfId="44666" xr:uid="{35BA1DBC-641C-4210-8EED-0F316B8F3FC3}"/>
    <cellStyle name="Migliaia 34 4 4 3" xfId="36792" xr:uid="{F93212A6-F4AD-407F-AAD4-BE02321C75D4}"/>
    <cellStyle name="Migliaia 34 4 4 4" xfId="42015" xr:uid="{4CB15664-3A9C-43CC-9F86-CA54C03E12C0}"/>
    <cellStyle name="Migliaia 34 4 4 5" xfId="11998" xr:uid="{F4DC939B-61D1-460A-AFCC-4840A74DA373}"/>
    <cellStyle name="Migliaia 34 4 5" xfId="3546" xr:uid="{81D3CF87-D62C-4876-ACCA-C9D26F849ED0}"/>
    <cellStyle name="Migliaia 34 4 5 2" xfId="33853" xr:uid="{9EA19D63-A199-4E7E-B0FC-1F132C2B779E}"/>
    <cellStyle name="Migliaia 34 4 5 2 2" xfId="39365" xr:uid="{8927EE17-0BFE-48CC-A1F3-865A77B13F88}"/>
    <cellStyle name="Migliaia 34 4 5 2 3" xfId="44667" xr:uid="{49D2E71A-F853-43FA-BD5B-D795DC392F96}"/>
    <cellStyle name="Migliaia 34 4 5 3" xfId="36793" xr:uid="{30E6F94C-990A-46E0-9109-2B0DB7D51BC2}"/>
    <cellStyle name="Migliaia 34 4 5 4" xfId="42016" xr:uid="{F078B4DC-01DC-4BFB-B5A4-289E10702745}"/>
    <cellStyle name="Migliaia 34 4 5 5" xfId="11345" xr:uid="{ECCA064D-EA1E-41B8-A0D0-B2E584416671}"/>
    <cellStyle name="Migliaia 34 4 6" xfId="10870" xr:uid="{1EB1A9D5-4196-4A20-B54F-D506EC75491F}"/>
    <cellStyle name="Migliaia 34 4 6 2" xfId="21505" xr:uid="{896EB573-E6D5-4815-B88A-CF8197FDC8B1}"/>
    <cellStyle name="Migliaia 34 4 6 2 2" xfId="39366" xr:uid="{E4670957-597A-465A-8130-6CE316515FC6}"/>
    <cellStyle name="Migliaia 34 4 6 2 3" xfId="44668" xr:uid="{026EDA96-940A-4F38-87B6-00D159EDEDB6}"/>
    <cellStyle name="Migliaia 34 4 6 2 4" xfId="33854" xr:uid="{C6705C1E-07F1-4181-8021-7A2ACFF07569}"/>
    <cellStyle name="Migliaia 34 4 6 3" xfId="36794" xr:uid="{402D2CDA-98BF-4FC3-9410-32F7FEFBE52C}"/>
    <cellStyle name="Migliaia 34 4 6 4" xfId="42017" xr:uid="{3F570073-3D61-4AFB-B3E0-590058B82241}"/>
    <cellStyle name="Migliaia 34 4 6 5" xfId="24807" xr:uid="{60E49C58-AE5E-4F6B-98DC-B64EF5C0BE8C}"/>
    <cellStyle name="Migliaia 34 4 6 6" xfId="48546" xr:uid="{58C9EA80-CE6C-423F-A2BD-C288A699A3C1}"/>
    <cellStyle name="Migliaia 34 4 6 7" xfId="50520" xr:uid="{872BF59A-1469-4EB4-8B5B-C700E08D9352}"/>
    <cellStyle name="Migliaia 34 4 6 8" xfId="53536" xr:uid="{024ED4E2-FE0D-4E0F-BE4D-644A114B8839}"/>
    <cellStyle name="Migliaia 34 4 7" xfId="20439" xr:uid="{0A57AFF0-A2C7-40E9-9CA3-3CDD7C98FD7A}"/>
    <cellStyle name="Migliaia 34 4 7 2" xfId="33855" xr:uid="{2505402E-5558-4DAB-BE51-58C306CE756B}"/>
    <cellStyle name="Migliaia 34 4 7 2 2" xfId="39367" xr:uid="{960107BF-C979-4464-BA1F-EF837CE2299F}"/>
    <cellStyle name="Migliaia 34 4 7 2 3" xfId="44669" xr:uid="{A7E2FC78-F031-4A0E-8128-60070394E19B}"/>
    <cellStyle name="Migliaia 34 4 7 3" xfId="36795" xr:uid="{9327EE45-6761-4575-B742-B9E23DCB93F3}"/>
    <cellStyle name="Migliaia 34 4 7 4" xfId="42018" xr:uid="{79AAEF4A-3F74-4D46-8934-F0D6BED353A2}"/>
    <cellStyle name="Migliaia 34 4 7 5" xfId="24808" xr:uid="{FC79501C-E198-48D0-AE63-5458490B8F19}"/>
    <cellStyle name="Migliaia 34 4 8" xfId="24805" xr:uid="{C83230BF-4999-4048-B3ED-96940BF0296A}"/>
    <cellStyle name="Migliaia 34 4 9" xfId="7456" xr:uid="{5E5E2F25-05D7-4F73-A3C9-50B3C056EE65}"/>
    <cellStyle name="Migliaia 34 5" xfId="1795" xr:uid="{00000000-0005-0000-0000-0000BA030000}"/>
    <cellStyle name="Migliaia 34 5 2" xfId="5274" xr:uid="{FBE8A5E5-C5E3-442B-A100-B86B1FA38481}"/>
    <cellStyle name="Migliaia 34 5 2 2" xfId="18445" xr:uid="{73FCA4F5-68D7-4EB1-9D24-C163B086290A}"/>
    <cellStyle name="Migliaia 34 5 2 2 2" xfId="39368" xr:uid="{837DF480-0B5C-4CBA-8CCB-C8CE7417C69E}"/>
    <cellStyle name="Migliaia 34 5 2 2 3" xfId="44670" xr:uid="{CCA8F51A-86EB-488E-978D-3A8E0ED916F9}"/>
    <cellStyle name="Migliaia 34 5 2 3" xfId="20442" xr:uid="{1A0C170F-9366-48B7-A8E1-E00D6990F980}"/>
    <cellStyle name="Migliaia 34 5 2 3 2" xfId="36796" xr:uid="{22F7BF89-A54F-4831-AE48-E60000958DD8}"/>
    <cellStyle name="Migliaia 34 5 2 4" xfId="42019" xr:uid="{AFA51853-41D0-4057-9324-10F8AFAFA7B4}"/>
    <cellStyle name="Migliaia 34 5 2 5" xfId="16438" xr:uid="{67CF872E-BBFB-4CFC-B250-5CCC5997D79D}"/>
    <cellStyle name="Migliaia 34 5 2 6" xfId="8647" xr:uid="{582F8BF8-9EDA-4161-8A15-5F4973BA855C}"/>
    <cellStyle name="Migliaia 34 5 3" xfId="6470" xr:uid="{D2875655-9A19-49BD-B7D3-E1CC7EC27C6D}"/>
    <cellStyle name="Migliaia 34 5 3 2" xfId="33856" xr:uid="{EF018503-C136-4280-BB74-CA79967786B5}"/>
    <cellStyle name="Migliaia 34 5 3 2 2" xfId="39369" xr:uid="{C479B8E4-BE4E-4CB5-BE21-BD30C62FBFE6}"/>
    <cellStyle name="Migliaia 34 5 3 2 3" xfId="44671" xr:uid="{FB2256B8-115A-45F2-9AB9-DA80CB154DAD}"/>
    <cellStyle name="Migliaia 34 5 3 3" xfId="36797" xr:uid="{D4EE71CD-1841-453B-A080-AE7E36DC8983}"/>
    <cellStyle name="Migliaia 34 5 3 4" xfId="42020" xr:uid="{50AF2744-1AB0-4BD4-9C85-72CC813A75D7}"/>
    <cellStyle name="Migliaia 34 5 3 5" xfId="11347" xr:uid="{24C449A1-69B2-42C3-8CE9-24F441C3219D}"/>
    <cellStyle name="Migliaia 34 5 4" xfId="3548" xr:uid="{D194646A-0E18-4E1A-8E48-D1437967D5B9}"/>
    <cellStyle name="Migliaia 34 5 4 2" xfId="21507" xr:uid="{30AF8E55-AC3F-4E48-AD6F-9E1082B5DF88}"/>
    <cellStyle name="Migliaia 34 5 4 2 2" xfId="39370" xr:uid="{08599CC6-4156-42BF-8D81-541ECCF74432}"/>
    <cellStyle name="Migliaia 34 5 4 2 3" xfId="44672" xr:uid="{1BF43E0C-233D-4FE8-B289-0F839FCC50EE}"/>
    <cellStyle name="Migliaia 34 5 4 2 4" xfId="33857" xr:uid="{D89413F6-EE2E-4A7D-9344-206EAF605C25}"/>
    <cellStyle name="Migliaia 34 5 4 3" xfId="36798" xr:uid="{51CF0855-8537-42C6-B18F-E6290EF31F0C}"/>
    <cellStyle name="Migliaia 34 5 4 4" xfId="42021" xr:uid="{4471DEA9-9AB9-4286-840E-64E776061940}"/>
    <cellStyle name="Migliaia 34 5 4 5" xfId="24810" xr:uid="{D9E0AA1B-170F-4F29-862B-1B18434861BC}"/>
    <cellStyle name="Migliaia 34 5 4 6" xfId="48238" xr:uid="{3AED3827-8653-4447-A121-555051684A36}"/>
    <cellStyle name="Migliaia 34 5 4 7" xfId="50522" xr:uid="{7D9C6CA9-0BA8-421F-A9BB-2867F92C3225}"/>
    <cellStyle name="Migliaia 34 5 4 8" xfId="53538" xr:uid="{5B5CA80A-471A-49C9-8B0A-D87253997A30}"/>
    <cellStyle name="Migliaia 34 5 4 9" xfId="10872" xr:uid="{A60D6AB7-87E6-4BC8-82F4-9E3CE7CC67D7}"/>
    <cellStyle name="Migliaia 34 5 5" xfId="20441" xr:uid="{ADF42C51-FFCE-4A80-A81E-B468A120EFF5}"/>
    <cellStyle name="Migliaia 34 5 5 2" xfId="33858" xr:uid="{2F2532C1-F7D0-4530-8AB9-072D421373E2}"/>
    <cellStyle name="Migliaia 34 5 5 2 2" xfId="39371" xr:uid="{E6618587-1B54-4BE0-B232-B8D51D6BADD0}"/>
    <cellStyle name="Migliaia 34 5 5 2 3" xfId="44673" xr:uid="{204AA2F5-FE1D-4221-8457-AEC08DF5031D}"/>
    <cellStyle name="Migliaia 34 5 5 3" xfId="36799" xr:uid="{54F37523-E72A-45FA-A64A-39800B351710}"/>
    <cellStyle name="Migliaia 34 5 5 4" xfId="42022" xr:uid="{75820485-45AD-44C7-8599-752AECD29073}"/>
    <cellStyle name="Migliaia 34 5 5 5" xfId="24811" xr:uid="{F515760E-185C-4A9A-8968-008DCCA26C71}"/>
    <cellStyle name="Migliaia 34 5 6" xfId="24812" xr:uid="{5055A003-72C5-4BB0-A97D-28F5D61B5742}"/>
    <cellStyle name="Migliaia 34 5 6 2" xfId="33859" xr:uid="{D3E9C3D3-13BC-4A24-A8A7-47A190F3A64B}"/>
    <cellStyle name="Migliaia 34 5 6 2 2" xfId="39372" xr:uid="{0592D6C3-18C5-4A01-B1CD-04F5230C0304}"/>
    <cellStyle name="Migliaia 34 5 6 2 3" xfId="44674" xr:uid="{63628A63-B1A6-4716-8108-969475FD23DF}"/>
    <cellStyle name="Migliaia 34 5 6 3" xfId="36800" xr:uid="{083B3618-2270-4178-80A1-584A46BA2839}"/>
    <cellStyle name="Migliaia 34 5 6 4" xfId="42023" xr:uid="{187DF888-623F-43FD-99C9-22F84A14FF34}"/>
    <cellStyle name="Migliaia 34 5 7" xfId="24809" xr:uid="{957807A6-2521-49E2-9739-0880E568826C}"/>
    <cellStyle name="Migliaia 34 5 8" xfId="7457" xr:uid="{4DF1E9CC-A6CD-423B-953B-719E488E7034}"/>
    <cellStyle name="Migliaia 34 6" xfId="3549" xr:uid="{A4050135-B0DE-4841-AB5C-AC54FF248931}"/>
    <cellStyle name="Migliaia 34 6 2" xfId="5275" xr:uid="{2B418228-5F27-43B2-B33C-0C35450C61D9}"/>
    <cellStyle name="Migliaia 34 6 2 2" xfId="9935" xr:uid="{812A7DF7-9F4D-49A3-9CD7-7860D53FDB07}"/>
    <cellStyle name="Migliaia 34 6 2 3" xfId="18653" xr:uid="{AE4187EB-D8EE-4F1F-9957-C97D02512D16}"/>
    <cellStyle name="Migliaia 34 6 2 4" xfId="20444" xr:uid="{EA91DEE0-77F3-4087-87E6-40394CA30DF0}"/>
    <cellStyle name="Migliaia 34 6 2 5" xfId="32386" xr:uid="{0C924C2C-0A87-40A3-85F4-C1DF474B4F95}"/>
    <cellStyle name="Migliaia 34 6 2 6" xfId="16440" xr:uid="{34EEBBCA-AD96-45A9-B0BB-089BCDEE895F}"/>
    <cellStyle name="Migliaia 34 6 2 7" xfId="8642" xr:uid="{2E7B403C-8E52-49D3-A871-A9FA3FFF883F}"/>
    <cellStyle name="Migliaia 34 6 3" xfId="6471" xr:uid="{C9CA7FC3-6BC4-49BE-9E41-E066AEB410A7}"/>
    <cellStyle name="Migliaia 34 6 3 2" xfId="35316" xr:uid="{0F0EC4F0-EB03-4296-9ABA-3FE4CFC8F351}"/>
    <cellStyle name="Migliaia 34 6 3 2 2" xfId="40476" xr:uid="{DB9A956E-C1FC-4634-95CF-69289B229B07}"/>
    <cellStyle name="Migliaia 34 6 3 2 3" xfId="45778" xr:uid="{C701858A-C87C-4BC6-BBF9-E56118BA7EE7}"/>
    <cellStyle name="Migliaia 34 6 3 3" xfId="37825" xr:uid="{9741F9B9-6DFB-4192-80A9-648318E32CF9}"/>
    <cellStyle name="Migliaia 34 6 3 4" xfId="43127" xr:uid="{02D55158-EC9A-423B-8D94-72FB9F46CA50}"/>
    <cellStyle name="Migliaia 34 6 3 5" xfId="9698" xr:uid="{B0E61DAD-A9BA-4FEA-ABC1-38A2B0AB66A1}"/>
    <cellStyle name="Migliaia 34 6 4" xfId="20443" xr:uid="{C6A76169-8CD5-47D1-858C-0E4E3EF96186}"/>
    <cellStyle name="Migliaia 34 6 4 2" xfId="39373" xr:uid="{27DD12C1-57E9-4C0A-843E-276A9D2898B9}"/>
    <cellStyle name="Migliaia 34 6 4 3" xfId="44675" xr:uid="{440719D0-BF0F-4B7D-85EB-FF19F75F9424}"/>
    <cellStyle name="Migliaia 34 6 4 4" xfId="33860" xr:uid="{5A37D7A2-5C53-408C-BE04-85535DEFB90B}"/>
    <cellStyle name="Migliaia 34 6 5" xfId="36801" xr:uid="{3EFFC2C1-C485-4F35-8C40-1E570BBA1340}"/>
    <cellStyle name="Migliaia 34 6 6" xfId="42024" xr:uid="{B5AFAA31-1074-4E46-B6DF-9A8D29FA53ED}"/>
    <cellStyle name="Migliaia 34 6 7" xfId="16439" xr:uid="{6ABD409D-9B29-4164-B77F-B207EB2A2A7F}"/>
    <cellStyle name="Migliaia 34 6 8" xfId="7452" xr:uid="{6E7A8FF3-4B21-42BC-B706-A3B34A64CC37}"/>
    <cellStyle name="Migliaia 34 7" xfId="3550" xr:uid="{A05EB219-69C9-4C79-B9AE-C21992F1CF7C}"/>
    <cellStyle name="Migliaia 34 7 2" xfId="5276" xr:uid="{A4414389-45DD-4A9C-A288-350F9D91AA13}"/>
    <cellStyle name="Migliaia 34 7 2 2" xfId="35317" xr:uid="{6486D916-657C-4F91-A8D1-4534C0091EA5}"/>
    <cellStyle name="Migliaia 34 7 2 2 2" xfId="40477" xr:uid="{8C3BEE34-EBA2-480A-AD59-F16E9328F56C}"/>
    <cellStyle name="Migliaia 34 7 2 2 3" xfId="45779" xr:uid="{80C296EA-E357-4176-ABDA-E840D2D7B9FD}"/>
    <cellStyle name="Migliaia 34 7 2 3" xfId="37826" xr:uid="{E28F8DC9-5FAA-4453-B2B8-882F4E06519E}"/>
    <cellStyle name="Migliaia 34 7 2 4" xfId="43128" xr:uid="{D6DD0DB1-1FA7-46CE-B406-C2B7E5840C8A}"/>
    <cellStyle name="Migliaia 34 7 2 5" xfId="14260" xr:uid="{F9A61114-7A1A-4AF1-B856-5A5870CEB3E1}"/>
    <cellStyle name="Migliaia 34 7 3" xfId="6472" xr:uid="{98CCE90A-9C92-410C-84D8-08EC10B6E0C5}"/>
    <cellStyle name="Migliaia 34 7 3 2" xfId="39374" xr:uid="{006476AB-E71F-479C-96D6-D988AD6BC7FA}"/>
    <cellStyle name="Migliaia 34 7 3 3" xfId="44676" xr:uid="{0E5D9334-C3D7-4562-856E-1FD702647FCB}"/>
    <cellStyle name="Migliaia 34 7 3 4" xfId="33861" xr:uid="{DA1B4B09-566C-4033-BD7E-CE3944129414}"/>
    <cellStyle name="Migliaia 34 7 3 5" xfId="20445" xr:uid="{527DAD53-96DB-4931-9960-9DDAE78F9364}"/>
    <cellStyle name="Migliaia 34 7 4" xfId="36802" xr:uid="{E006328D-AF35-4666-84CB-A76795D64814}"/>
    <cellStyle name="Migliaia 34 7 5" xfId="42025" xr:uid="{2FB1333E-5EF3-4741-B3DE-B422AC22DCD6}"/>
    <cellStyle name="Migliaia 34 7 6" xfId="16441" xr:uid="{3B639952-A3AA-43C0-9478-36DF6B2031B8}"/>
    <cellStyle name="Migliaia 34 7 7" xfId="8322" xr:uid="{14277FB3-B855-469E-8ABA-FCF71B7CDF50}"/>
    <cellStyle name="Migliaia 34 8" xfId="3551" xr:uid="{2516E43D-BD86-4BF0-AF11-AE0FECD83967}"/>
    <cellStyle name="Migliaia 34 8 2" xfId="5277" xr:uid="{BA21AC21-14EC-4A6C-A371-5BE7F2FB1F33}"/>
    <cellStyle name="Migliaia 34 8 2 2" xfId="35318" xr:uid="{8FFD30DB-DD10-435D-9292-EA5BD49BA11A}"/>
    <cellStyle name="Migliaia 34 8 2 2 2" xfId="40478" xr:uid="{6A94FB3C-D2C6-4F40-9EB7-9494203B2C2B}"/>
    <cellStyle name="Migliaia 34 8 2 2 3" xfId="45780" xr:uid="{B10BB6C6-9B11-44D3-9D51-BA63D5C56807}"/>
    <cellStyle name="Migliaia 34 8 2 3" xfId="37827" xr:uid="{5BA62EEF-2E7C-492D-8950-3C98A3A6C9F9}"/>
    <cellStyle name="Migliaia 34 8 2 4" xfId="43129" xr:uid="{E96616A9-2C47-44D0-ADDD-A87F6B3840AD}"/>
    <cellStyle name="Migliaia 34 8 2 5" xfId="13965" xr:uid="{B2A47B36-ECA9-4E26-A8EB-FFA3BBAEDCAD}"/>
    <cellStyle name="Migliaia 34 8 3" xfId="6473" xr:uid="{9E733782-29FA-4D3A-9EEE-21832632F75D}"/>
    <cellStyle name="Migliaia 34 8 3 2" xfId="39375" xr:uid="{05F259BC-6FDB-480A-BB01-CFFE3098DC45}"/>
    <cellStyle name="Migliaia 34 8 3 3" xfId="44677" xr:uid="{CC5B50BE-73BE-4DA8-A51A-C5A437A5056E}"/>
    <cellStyle name="Migliaia 34 8 3 4" xfId="33862" xr:uid="{77397314-765B-4986-9AA6-15256AE124FB}"/>
    <cellStyle name="Migliaia 34 8 3 5" xfId="20446" xr:uid="{E7154CE7-4EFC-485F-A879-048DE4206689}"/>
    <cellStyle name="Migliaia 34 8 4" xfId="36803" xr:uid="{D1609BC7-5BBE-4D0B-B2F1-CFBA0F7DF2F7}"/>
    <cellStyle name="Migliaia 34 8 5" xfId="42026" xr:uid="{F85460A4-3526-4CB7-899D-CEB57BEA37BF}"/>
    <cellStyle name="Migliaia 34 8 6" xfId="16442" xr:uid="{58F8F101-F3CF-44D8-8B2E-0C6E05B8C199}"/>
    <cellStyle name="Migliaia 34 8 7" xfId="7930" xr:uid="{863A9140-ED79-47AA-B544-ADF83C677FBD}"/>
    <cellStyle name="Migliaia 34 9" xfId="5262" xr:uid="{07A759CF-0333-432A-A54E-E9C8E9254EEE}"/>
    <cellStyle name="Migliaia 34 9 2" xfId="33863" xr:uid="{1FF04FB2-5B2E-4722-BCA2-D15A906173E9}"/>
    <cellStyle name="Migliaia 34 9 2 2" xfId="39376" xr:uid="{E4B7D7A2-5C68-42CB-90E1-7108D454F686}"/>
    <cellStyle name="Migliaia 34 9 2 3" xfId="44678" xr:uid="{F64D7F0E-239F-48F6-B276-31F100E0B81B}"/>
    <cellStyle name="Migliaia 34 9 3" xfId="36804" xr:uid="{6F72162D-D305-4909-9C24-C2E804D43691}"/>
    <cellStyle name="Migliaia 34 9 4" xfId="42027" xr:uid="{0E3A3ACB-BB53-455D-B052-1572AAF3E1E4}"/>
    <cellStyle name="Migliaia 34 9 5" xfId="17189" xr:uid="{90494DE3-0DE7-4561-952B-8C74B3B3C7AB}"/>
    <cellStyle name="Migliaia 35" xfId="413" xr:uid="{00000000-0005-0000-0000-0000BB030000}"/>
    <cellStyle name="Migliaia 35 10" xfId="6474" xr:uid="{5E8EE2AD-923A-4CF6-A96C-388B3E81A18C}"/>
    <cellStyle name="Migliaia 35 10 2" xfId="39377" xr:uid="{77F5B681-A036-401C-94DC-00A325914524}"/>
    <cellStyle name="Migliaia 35 10 3" xfId="44679" xr:uid="{762C4F49-7876-4D7C-AA32-3DDB0F2921D7}"/>
    <cellStyle name="Migliaia 35 10 4" xfId="33864" xr:uid="{7791F643-8398-43B4-A86D-B064C7575E03}"/>
    <cellStyle name="Migliaia 35 10 5" xfId="20447" xr:uid="{BC855C4C-046F-493C-9C82-0F6BE05AF98F}"/>
    <cellStyle name="Migliaia 35 11" xfId="3552" xr:uid="{A2C4153E-04F0-4796-8878-0E68B1BA565A}"/>
    <cellStyle name="Migliaia 35 11 2" xfId="36805" xr:uid="{55034F17-FF7E-41A2-9E81-DFD8AE51DF86}"/>
    <cellStyle name="Migliaia 35 12" xfId="42028" xr:uid="{1B6D8A76-7966-4E71-8AA5-971DD5888893}"/>
    <cellStyle name="Migliaia 35 13" xfId="7126" xr:uid="{EC694870-57D8-4C1B-922E-8F51E88F455B}"/>
    <cellStyle name="Migliaia 35 2" xfId="414" xr:uid="{00000000-0005-0000-0000-0000BC030000}"/>
    <cellStyle name="Migliaia 35 2 2" xfId="1796" xr:uid="{00000000-0005-0000-0000-0000BD030000}"/>
    <cellStyle name="Migliaia 35 2 2 2" xfId="5280" xr:uid="{D91C8997-071C-402F-AF4F-87F3AD810429}"/>
    <cellStyle name="Migliaia 35 2 2 2 2" xfId="14391" xr:uid="{DE1DD194-BCFC-4AEB-98DA-613C35801332}"/>
    <cellStyle name="Migliaia 35 2 2 2 2 2" xfId="39378" xr:uid="{963EC4AB-CED9-4395-BDE0-329DB5991940}"/>
    <cellStyle name="Migliaia 35 2 2 2 2 3" xfId="44680" xr:uid="{D48753D4-D467-4EE3-A285-BC5A2E354C2E}"/>
    <cellStyle name="Migliaia 35 2 2 2 3" xfId="18446" xr:uid="{3B843E64-D2DE-437B-B670-31F51D071EE5}"/>
    <cellStyle name="Migliaia 35 2 2 2 4" xfId="20450" xr:uid="{50AF5A35-589B-4B25-AEC0-0AED425C3373}"/>
    <cellStyle name="Migliaia 35 2 2 2 4 2" xfId="42029" xr:uid="{008B3FD9-9F2C-440C-895E-049EBB362721}"/>
    <cellStyle name="Migliaia 35 2 2 2 5" xfId="16443" xr:uid="{44FEEC91-A898-49B9-AE64-7CC32F9001B2}"/>
    <cellStyle name="Migliaia 35 2 2 2 6" xfId="8649" xr:uid="{9B86FB4E-E1BA-4BA2-B374-773F5769F823}"/>
    <cellStyle name="Migliaia 35 2 2 3" xfId="6476" xr:uid="{796E9B4A-A2C7-4A9C-8086-73D6DA79EDC3}"/>
    <cellStyle name="Migliaia 35 2 2 3 2" xfId="35319" xr:uid="{2D908C5E-75B5-469F-BE92-3ABEF472707F}"/>
    <cellStyle name="Migliaia 35 2 2 3 2 2" xfId="40479" xr:uid="{3674F48D-65B5-457C-B375-6EEBE409431B}"/>
    <cellStyle name="Migliaia 35 2 2 3 2 3" xfId="45781" xr:uid="{F4B78F88-D503-4356-B3B9-A10634FDB62A}"/>
    <cellStyle name="Migliaia 35 2 2 3 3" xfId="37828" xr:uid="{83B6F494-728B-403E-B8F3-F45AC06C591F}"/>
    <cellStyle name="Migliaia 35 2 2 3 4" xfId="43130" xr:uid="{FF77F690-B945-4920-9F2E-041D64238794}"/>
    <cellStyle name="Migliaia 35 2 2 3 5" xfId="11618" xr:uid="{8FCB09D0-A3B7-4A57-8D5B-5349CC487A6C}"/>
    <cellStyle name="Migliaia 35 2 2 4" xfId="3554" xr:uid="{7611F970-05F1-425C-8D02-A0B4B1BC6A6F}"/>
    <cellStyle name="Migliaia 35 2 2 4 2" xfId="21508" xr:uid="{E5A19F52-45F3-4AA8-B4F8-22F16C6EE589}"/>
    <cellStyle name="Migliaia 35 2 2 4 3" xfId="46247" xr:uid="{7B4FE4D4-C946-473B-B0DE-D4393F0554C7}"/>
    <cellStyle name="Migliaia 35 2 2 4 4" xfId="50523" xr:uid="{C9F7D22D-2B9C-48F8-AC64-E405D1993D83}"/>
    <cellStyle name="Migliaia 35 2 2 4 5" xfId="53539" xr:uid="{216627CB-4D3A-4335-A773-972D323D4426}"/>
    <cellStyle name="Migliaia 35 2 2 4 6" xfId="10873" xr:uid="{387FB7EC-BF04-41E4-B248-9D4C894D7615}"/>
    <cellStyle name="Migliaia 35 2 2 5" xfId="20449" xr:uid="{644D77EF-BDDB-48AE-876E-C9E1E1BBEFA1}"/>
    <cellStyle name="Migliaia 35 2 2 6" xfId="24814" xr:uid="{8C315959-E40A-4BE9-A1FA-6CC62F6F1466}"/>
    <cellStyle name="Migliaia 35 2 2 7" xfId="7459" xr:uid="{3705F4ED-DB67-4D88-9819-A4A6E9F00150}"/>
    <cellStyle name="Migliaia 35 2 3" xfId="3555" xr:uid="{735A83D0-CBDF-4667-901D-3E1301A0BA73}"/>
    <cellStyle name="Migliaia 35 2 3 2" xfId="5281" xr:uid="{9583A51E-53EF-48B4-A43F-397081413C15}"/>
    <cellStyle name="Migliaia 35 2 3 2 2" xfId="35320" xr:uid="{41E6C18E-D620-44CC-B461-1D8C1269134F}"/>
    <cellStyle name="Migliaia 35 2 3 2 2 2" xfId="40480" xr:uid="{57495D87-6532-4F30-AFF1-EF7838DB0F23}"/>
    <cellStyle name="Migliaia 35 2 3 2 2 3" xfId="45782" xr:uid="{84C60893-A05F-43BE-AC31-6F6393A51863}"/>
    <cellStyle name="Migliaia 35 2 3 2 3" xfId="37829" xr:uid="{7E067611-536E-4F64-B501-2283FAA325A0}"/>
    <cellStyle name="Migliaia 35 2 3 2 4" xfId="43131" xr:uid="{D79B66AD-8031-474D-A569-9B4B2A1332FF}"/>
    <cellStyle name="Migliaia 35 2 3 2 5" xfId="14264" xr:uid="{B3141938-EEBD-418B-BD63-2F9EF3984C86}"/>
    <cellStyle name="Migliaia 35 2 3 3" xfId="6477" xr:uid="{E4706E82-4662-47FE-8449-97DC14D5B5E1}"/>
    <cellStyle name="Migliaia 35 2 3 3 2" xfId="39379" xr:uid="{41607027-28E7-4CB2-A5DE-ACFDD50DDC4C}"/>
    <cellStyle name="Migliaia 35 2 3 3 3" xfId="44681" xr:uid="{4F88E875-8827-455B-8740-B274207D50D7}"/>
    <cellStyle name="Migliaia 35 2 3 3 4" xfId="33865" xr:uid="{887B5746-5A62-4337-A8F2-44D994EBE61F}"/>
    <cellStyle name="Migliaia 35 2 3 3 5" xfId="20451" xr:uid="{8213F54D-8251-479C-980C-C1F1D196407A}"/>
    <cellStyle name="Migliaia 35 2 3 4" xfId="36806" xr:uid="{48EC64E7-729B-4C4C-B31C-6E7DE9695DDD}"/>
    <cellStyle name="Migliaia 35 2 3 5" xfId="42030" xr:uid="{DE062D24-17F3-4DCC-A76A-0528F8743EC3}"/>
    <cellStyle name="Migliaia 35 2 3 6" xfId="16444" xr:uid="{B18A3EDE-5802-4429-95DC-26BBEA4B4970}"/>
    <cellStyle name="Migliaia 35 2 3 7" xfId="8326" xr:uid="{829E2E8B-2A1C-45F1-85E4-AD280DC73435}"/>
    <cellStyle name="Migliaia 35 2 4" xfId="5279" xr:uid="{0A098892-74DA-46E1-A4A8-3FB79835AA39}"/>
    <cellStyle name="Migliaia 35 2 4 2" xfId="13969" xr:uid="{12BC6788-71A0-4E1D-A88F-9194B200245B}"/>
    <cellStyle name="Migliaia 35 2 4 2 2" xfId="39380" xr:uid="{6F1C4E3E-46A2-4129-8B90-63A9ED13882E}"/>
    <cellStyle name="Migliaia 35 2 4 2 3" xfId="44682" xr:uid="{78308EAE-CE56-4DD0-93F7-345F0BA69FBA}"/>
    <cellStyle name="Migliaia 35 2 4 3" xfId="18021" xr:uid="{2A2986B1-3265-4AFE-9CBB-B2ABC5BFF31E}"/>
    <cellStyle name="Migliaia 35 2 4 4" xfId="20452" xr:uid="{66FADBFA-0CB1-4E5D-9900-649B71215C72}"/>
    <cellStyle name="Migliaia 35 2 4 4 2" xfId="42031" xr:uid="{75E77C1E-C2E3-45B5-9957-A0D073973763}"/>
    <cellStyle name="Migliaia 35 2 4 5" xfId="16445" xr:uid="{1FD36A6C-F491-4796-A312-8BD8D4DD436F}"/>
    <cellStyle name="Migliaia 35 2 4 6" xfId="7935" xr:uid="{D7F516DA-FC9F-4EAC-B41D-6AC00F6A7973}"/>
    <cellStyle name="Migliaia 35 2 5" xfId="6475" xr:uid="{0D91610C-F8B9-4AC7-9F51-362E6C89B5A8}"/>
    <cellStyle name="Migliaia 35 2 5 2" xfId="33866" xr:uid="{B1919B6D-0210-4CE4-8764-EB18643BF6B4}"/>
    <cellStyle name="Migliaia 35 2 5 2 2" xfId="39381" xr:uid="{DA510980-66D0-4422-AD18-621962041104}"/>
    <cellStyle name="Migliaia 35 2 5 2 3" xfId="44683" xr:uid="{50F4BEC7-E25A-47E9-B001-E3AF6FB6A69A}"/>
    <cellStyle name="Migliaia 35 2 5 3" xfId="36807" xr:uid="{5D446B2F-653F-45EB-8399-F9B796E8BD95}"/>
    <cellStyle name="Migliaia 35 2 5 4" xfId="42032" xr:uid="{0BADF6A2-8CDE-454B-8C98-4DB307584EA2}"/>
    <cellStyle name="Migliaia 35 2 5 5" xfId="13131" xr:uid="{D23204D7-52DE-4242-9A10-244B754E6223}"/>
    <cellStyle name="Migliaia 35 2 6" xfId="3553" xr:uid="{BC481983-8460-4ED6-9994-A4677B75F917}"/>
    <cellStyle name="Migliaia 35 2 6 2" xfId="33867" xr:uid="{4B2051DB-3C37-4C6A-AD10-EDC71D55ACB7}"/>
    <cellStyle name="Migliaia 35 2 6 2 2" xfId="39382" xr:uid="{DD1667E6-7F94-44A5-B32E-3A3F565BCE93}"/>
    <cellStyle name="Migliaia 35 2 6 2 3" xfId="44684" xr:uid="{EA7470FC-D11A-43EA-BCBF-12A32BDE48EA}"/>
    <cellStyle name="Migliaia 35 2 6 3" xfId="36808" xr:uid="{1DBCC62E-E72F-48A8-BBAB-3ED756C7E052}"/>
    <cellStyle name="Migliaia 35 2 6 4" xfId="42033" xr:uid="{1475F5C6-435E-4951-9F2A-544C768E0A24}"/>
    <cellStyle name="Migliaia 35 2 6 5" xfId="24815" xr:uid="{4A87D500-1831-4923-BA30-E21EE51B06A4}"/>
    <cellStyle name="Migliaia 35 2 6 6" xfId="20448" xr:uid="{858602A7-6C4F-480B-B56E-32CBEB085109}"/>
    <cellStyle name="Migliaia 35 2 7" xfId="24813" xr:uid="{18892CC6-8D06-4BFD-805B-9DA30D65FB05}"/>
    <cellStyle name="Migliaia 35 2 8" xfId="7127" xr:uid="{916B2BD9-0200-4E11-8EF0-4022501C1DF8}"/>
    <cellStyle name="Migliaia 35 3" xfId="415" xr:uid="{00000000-0005-0000-0000-0000BE030000}"/>
    <cellStyle name="Migliaia 35 3 10" xfId="24816" xr:uid="{21452590-8446-4837-B102-F66C02AB105A}"/>
    <cellStyle name="Migliaia 35 3 11" xfId="16446" xr:uid="{D7BB18A7-F0AC-4048-AD1F-7B5DF6C6E44D}"/>
    <cellStyle name="Migliaia 35 3 12" xfId="7128" xr:uid="{83C77325-15F5-4BFE-AB0C-253095F91D8F}"/>
    <cellStyle name="Migliaia 35 3 2" xfId="416" xr:uid="{00000000-0005-0000-0000-0000BF030000}"/>
    <cellStyle name="Migliaia 35 3 2 2" xfId="1797" xr:uid="{00000000-0005-0000-0000-0000C0030000}"/>
    <cellStyle name="Migliaia 35 3 2 2 2" xfId="5284" xr:uid="{570125C3-CC86-4BCF-B664-273222561AEE}"/>
    <cellStyle name="Migliaia 35 3 2 2 2 2" xfId="18447" xr:uid="{D5D8A4D7-A19B-46CC-A876-40F2FF022B04}"/>
    <cellStyle name="Migliaia 35 3 2 2 2 2 2" xfId="21869" xr:uid="{C8017B47-8DCD-45F4-8DAA-A91B012C3DB1}"/>
    <cellStyle name="Migliaia 35 3 2 2 2 2 2 2" xfId="39383" xr:uid="{907AFF2E-14D8-444F-B81D-FC5944D6F427}"/>
    <cellStyle name="Migliaia 35 3 2 2 2 2 3" xfId="44685" xr:uid="{33161880-438C-418F-8821-99F5F0EE2D61}"/>
    <cellStyle name="Migliaia 35 3 2 2 2 2 4" xfId="33868" xr:uid="{0CEE0A2B-13BA-49D5-9AEA-242DACF98F1C}"/>
    <cellStyle name="Migliaia 35 3 2 2 2 3" xfId="36809" xr:uid="{80C1C054-E355-4664-A83C-462289203A52}"/>
    <cellStyle name="Migliaia 35 3 2 2 2 4" xfId="42034" xr:uid="{F14574FA-E5DE-4496-938F-A99F9B80FBF1}"/>
    <cellStyle name="Migliaia 35 3 2 2 2 5" xfId="47611" xr:uid="{A105E5D5-2331-4AC3-94A3-1EF986F26266}"/>
    <cellStyle name="Migliaia 35 3 2 2 2 6" xfId="50897" xr:uid="{7DB0F916-3032-4919-A1A5-C0214FD0B3A1}"/>
    <cellStyle name="Migliaia 35 3 2 2 2 7" xfId="53913" xr:uid="{27C3BE17-A091-4851-A91A-759EC9593483}"/>
    <cellStyle name="Migliaia 35 3 2 2 2 8" xfId="17666" xr:uid="{418A6C7D-78BC-4DE9-9E2F-C1DD436BA3F3}"/>
    <cellStyle name="Migliaia 35 3 2 2 2 9" xfId="11999" xr:uid="{F940BB75-37D5-40AE-AD2F-B05C4A2496EA}"/>
    <cellStyle name="Migliaia 35 3 2 2 3" xfId="6480" xr:uid="{9B33733F-A593-4818-8B26-09BC9DC3A15A}"/>
    <cellStyle name="Migliaia 35 3 2 2 3 2" xfId="11563" xr:uid="{3B339CFA-A29D-42C9-BD5C-5BD0E82F55CC}"/>
    <cellStyle name="Migliaia 35 3 2 2 4" xfId="3558" xr:uid="{7192D9CE-6817-4368-B7FC-DF236BCB5CC6}"/>
    <cellStyle name="Migliaia 35 3 2 2 4 2" xfId="21509" xr:uid="{3D911A51-C490-4EAB-A8DF-C717EE0F3416}"/>
    <cellStyle name="Migliaia 35 3 2 2 4 3" xfId="47601" xr:uid="{8565670B-4EF7-4612-9B7A-E3E922C90B8B}"/>
    <cellStyle name="Migliaia 35 3 2 2 4 4" xfId="50524" xr:uid="{04A2A048-FDB2-425B-A5A5-62555F8C26F8}"/>
    <cellStyle name="Migliaia 35 3 2 2 4 5" xfId="53540" xr:uid="{3FB2AB20-15E5-4B1A-BFDD-CA7AA16E7774}"/>
    <cellStyle name="Migliaia 35 3 2 2 4 6" xfId="10874" xr:uid="{71B71F1D-33E9-4D72-8B7E-99E74EEC545B}"/>
    <cellStyle name="Migliaia 35 3 2 2 5" xfId="20455" xr:uid="{A45B5FF3-5B86-4DCE-BB89-024793FBB042}"/>
    <cellStyle name="Migliaia 35 3 2 2 6" xfId="24818" xr:uid="{60210EB7-6D1A-4E9E-B84C-7AE66BF0B260}"/>
    <cellStyle name="Migliaia 35 3 2 2 7" xfId="8651" xr:uid="{B10DFE34-F218-47B8-ACA5-B36F09EA0C9C}"/>
    <cellStyle name="Migliaia 35 3 2 3" xfId="5283" xr:uid="{C3B91AD6-33D9-4309-A84F-799EAC910A24}"/>
    <cellStyle name="Migliaia 35 3 2 3 2" xfId="12409" xr:uid="{1CD74651-C857-495D-8F85-7A369AAF05CC}"/>
    <cellStyle name="Migliaia 35 3 2 3 2 2" xfId="39384" xr:uid="{F80BA1E3-30B1-4EED-902F-FD6DDD194EEA}"/>
    <cellStyle name="Migliaia 35 3 2 3 2 3" xfId="44686" xr:uid="{A2032B12-5A91-42E6-8AFE-658BE07DA04B}"/>
    <cellStyle name="Migliaia 35 3 2 3 2 4" xfId="33869" xr:uid="{E3D9FC44-827A-4156-91A0-5B3F9C4CADA4}"/>
    <cellStyle name="Migliaia 35 3 2 3 3" xfId="12000" xr:uid="{B66ECE21-0164-4001-B395-C598ECA47C22}"/>
    <cellStyle name="Migliaia 35 3 2 3 4" xfId="20456" xr:uid="{42D8B7A0-EDD9-45EF-927E-633E83ADEDD6}"/>
    <cellStyle name="Migliaia 35 3 2 3 4 2" xfId="42035" xr:uid="{5CC4829F-FCCD-47B4-ACD2-5639EAEC5673}"/>
    <cellStyle name="Migliaia 35 3 2 3 5" xfId="16447" xr:uid="{AF1DC0C5-B120-4C1F-883A-E533B503575A}"/>
    <cellStyle name="Migliaia 35 3 2 3 6" xfId="7937" xr:uid="{D33CB87E-0F77-4C8C-9356-AD038D5AA7A6}"/>
    <cellStyle name="Migliaia 35 3 2 4" xfId="6479" xr:uid="{20EC5247-241C-4755-B152-807B10BB5ABC}"/>
    <cellStyle name="Migliaia 35 3 2 4 2" xfId="18085" xr:uid="{92541FCF-4ADD-49AC-9150-99037525FB3A}"/>
    <cellStyle name="Migliaia 35 3 2 4 2 2" xfId="39385" xr:uid="{6B91AB0E-7E28-413C-9419-1B9CD721468E}"/>
    <cellStyle name="Migliaia 35 3 2 4 2 3" xfId="44687" xr:uid="{4EAAE896-CAEC-4E34-AE35-66CA9F60FCF9}"/>
    <cellStyle name="Migliaia 35 3 2 4 3" xfId="36810" xr:uid="{08C8D667-165B-4030-8DFA-226360DFA210}"/>
    <cellStyle name="Migliaia 35 3 2 4 4" xfId="42036" xr:uid="{E2C97AF7-3275-423F-B478-5F2B4F7B48A8}"/>
    <cellStyle name="Migliaia 35 3 2 4 5" xfId="17192" xr:uid="{68D2DDC6-4414-43D4-9A6F-95D34EDA8FC5}"/>
    <cellStyle name="Migliaia 35 3 2 4 6" xfId="11348" xr:uid="{741674B3-C08C-412A-9FC4-D89C16EF11BA}"/>
    <cellStyle name="Migliaia 35 3 2 5" xfId="3557" xr:uid="{907C28ED-FB7C-4729-9A5F-F91596411BAE}"/>
    <cellStyle name="Migliaia 35 3 2 5 2" xfId="33870" xr:uid="{C6C9845D-F28F-4F85-8947-66DF1BCEB606}"/>
    <cellStyle name="Migliaia 35 3 2 5 2 2" xfId="39386" xr:uid="{C2A2F740-1992-4784-A610-13ADCA67D4BA}"/>
    <cellStyle name="Migliaia 35 3 2 5 2 3" xfId="44688" xr:uid="{B918D923-A610-4C33-8315-0860DF44A3A4}"/>
    <cellStyle name="Migliaia 35 3 2 5 3" xfId="36811" xr:uid="{530365D4-66DF-45DC-BC76-86C518BAA962}"/>
    <cellStyle name="Migliaia 35 3 2 5 4" xfId="42037" xr:uid="{6630D03C-D83B-4DBC-BEE1-2AF5A8CDC61D}"/>
    <cellStyle name="Migliaia 35 3 2 5 5" xfId="17342" xr:uid="{EA74956D-F0ED-489E-BC31-87AFE480B273}"/>
    <cellStyle name="Migliaia 35 3 2 6" xfId="20454" xr:uid="{BA80BE56-98F1-4399-80B8-108532806A34}"/>
    <cellStyle name="Migliaia 35 3 2 6 2" xfId="33871" xr:uid="{0E12209C-F46B-4CA4-BEEA-195A5EC542AA}"/>
    <cellStyle name="Migliaia 35 3 2 6 2 2" xfId="39387" xr:uid="{68C15D44-B0A6-4D46-B588-95ABC7133F9D}"/>
    <cellStyle name="Migliaia 35 3 2 6 2 3" xfId="44689" xr:uid="{ECF643D0-B9A7-4B8C-B8D1-86DDD13B5EBF}"/>
    <cellStyle name="Migliaia 35 3 2 6 3" xfId="36812" xr:uid="{146FD8DD-D6FD-4399-9D8E-1069E687292C}"/>
    <cellStyle name="Migliaia 35 3 2 6 4" xfId="42038" xr:uid="{2A29053D-1268-4416-AD09-45FC335BD9F6}"/>
    <cellStyle name="Migliaia 35 3 2 6 5" xfId="24819" xr:uid="{5212072C-7737-4A53-A923-9EC2C20BE9EE}"/>
    <cellStyle name="Migliaia 35 3 2 7" xfId="24817" xr:uid="{87486008-11D2-4D7B-B6A1-83000F87A8F8}"/>
    <cellStyle name="Migliaia 35 3 2 8" xfId="7461" xr:uid="{EFD802F4-0F12-42ED-827E-CBBF430196D2}"/>
    <cellStyle name="Migliaia 35 3 3" xfId="3559" xr:uid="{15C9D1D6-1E45-48B7-B6D0-871E1A37F4C2}"/>
    <cellStyle name="Migliaia 35 3 3 10" xfId="7460" xr:uid="{D8CEF066-182F-4C33-B2AD-FCBBD0520170}"/>
    <cellStyle name="Migliaia 35 3 3 2" xfId="5285" xr:uid="{41350FFC-E556-4B1B-B643-048B7F3C072E}"/>
    <cellStyle name="Migliaia 35 3 3 2 2" xfId="9938" xr:uid="{B4B4F172-EB70-49A4-BEA0-3B11FCBBE1FC}"/>
    <cellStyle name="Migliaia 35 3 3 2 2 2" xfId="39389" xr:uid="{FCB31F71-44BE-4393-A4F6-2CC6350C8828}"/>
    <cellStyle name="Migliaia 35 3 3 2 2 3" xfId="44691" xr:uid="{D9C27254-EC8B-4AAC-A915-9CD5AB9DB4DA}"/>
    <cellStyle name="Migliaia 35 3 3 2 3" xfId="18218" xr:uid="{97CD9C5B-6783-4031-A599-02A573C61926}"/>
    <cellStyle name="Migliaia 35 3 3 2 4" xfId="20458" xr:uid="{003EB30D-FC0B-4FE1-AB7D-B5A23B943254}"/>
    <cellStyle name="Migliaia 35 3 3 2 4 2" xfId="42040" xr:uid="{A06E1AC6-3386-4AAC-9C88-572DD76C3763}"/>
    <cellStyle name="Migliaia 35 3 3 2 5" xfId="16449" xr:uid="{912AEE9E-48F7-4D34-8222-A8734777978A}"/>
    <cellStyle name="Migliaia 35 3 3 2 6" xfId="8650" xr:uid="{ECE97480-6BA4-4173-8D08-38144AE7F93E}"/>
    <cellStyle name="Migliaia 35 3 3 3" xfId="6481" xr:uid="{7D094722-9405-4B87-82ED-10BEBB473D78}"/>
    <cellStyle name="Migliaia 35 3 3 3 2" xfId="33873" xr:uid="{C7B280C7-E9DA-48F6-B271-EC52ADC64F85}"/>
    <cellStyle name="Migliaia 35 3 3 3 2 2" xfId="39390" xr:uid="{3887B791-5DB0-4CA3-B14F-5CEB226D1318}"/>
    <cellStyle name="Migliaia 35 3 3 3 2 3" xfId="44692" xr:uid="{06C13CA2-B77B-4D64-9314-5D17D6F8984C}"/>
    <cellStyle name="Migliaia 35 3 3 3 3" xfId="36814" xr:uid="{BCBA76DB-5FB7-4187-8F10-9541AFA042C7}"/>
    <cellStyle name="Migliaia 35 3 3 3 4" xfId="42041" xr:uid="{0DB39CAF-54F4-4D7E-9CDF-90E91BE3BF99}"/>
    <cellStyle name="Migliaia 35 3 3 3 5" xfId="9701" xr:uid="{7DC83C13-3022-4B31-BA90-E19D94296EBF}"/>
    <cellStyle name="Migliaia 35 3 3 4" xfId="20457" xr:uid="{A3DEB2CE-AA24-4C69-B2F6-0B0B483BD73B}"/>
    <cellStyle name="Migliaia 35 3 3 4 2" xfId="33874" xr:uid="{45C4ED89-D9A7-40E2-B6E2-A5199942D47E}"/>
    <cellStyle name="Migliaia 35 3 3 4 2 2" xfId="39391" xr:uid="{84B9D091-54A3-4388-BC8B-AF51B0494695}"/>
    <cellStyle name="Migliaia 35 3 3 4 2 3" xfId="44693" xr:uid="{83B207E5-AC1E-4A86-9E22-D52C06EC5213}"/>
    <cellStyle name="Migliaia 35 3 3 4 3" xfId="36815" xr:uid="{FA669280-7707-4730-A07B-BC52DE66FC40}"/>
    <cellStyle name="Migliaia 35 3 3 4 4" xfId="42042" xr:uid="{EA6E429E-3796-4033-9311-4D5AFA788044}"/>
    <cellStyle name="Migliaia 35 3 3 4 5" xfId="24820" xr:uid="{5764D476-B2F1-4AD0-BEC2-EE7320034998}"/>
    <cellStyle name="Migliaia 35 3 3 5" xfId="24821" xr:uid="{EAF99F3B-498A-4667-A40D-AE05FE65283A}"/>
    <cellStyle name="Migliaia 35 3 3 5 2" xfId="33875" xr:uid="{EC569134-4585-499A-98C1-D08E829C588D}"/>
    <cellStyle name="Migliaia 35 3 3 5 2 2" xfId="39392" xr:uid="{583856A4-458A-4F16-8BC2-B9B5B4DAEFE5}"/>
    <cellStyle name="Migliaia 35 3 3 5 2 3" xfId="44694" xr:uid="{35628DFC-17BC-47E6-94EF-55419A7C34B4}"/>
    <cellStyle name="Migliaia 35 3 3 5 3" xfId="36816" xr:uid="{087F57BC-E81E-439E-ABE1-CC4615CF4C0A}"/>
    <cellStyle name="Migliaia 35 3 3 5 4" xfId="42043" xr:uid="{21142670-DF64-4510-AC94-51EEA6C7BC19}"/>
    <cellStyle name="Migliaia 35 3 3 6" xfId="33872" xr:uid="{912DA3AD-8BF0-4B30-A80A-68AE420CC01B}"/>
    <cellStyle name="Migliaia 35 3 3 6 2" xfId="39388" xr:uid="{8E254C1D-C3A3-41A6-A1CA-2E253DC0B726}"/>
    <cellStyle name="Migliaia 35 3 3 6 3" xfId="44690" xr:uid="{BF438520-315A-441D-9559-9C32FADB5471}"/>
    <cellStyle name="Migliaia 35 3 3 7" xfId="36813" xr:uid="{1747AEF8-87B2-4FB7-B2D5-74B8296BA7BB}"/>
    <cellStyle name="Migliaia 35 3 3 8" xfId="42039" xr:uid="{0A065C0A-6861-4C71-BCDF-9BF2FC027EB3}"/>
    <cellStyle name="Migliaia 35 3 3 9" xfId="16448" xr:uid="{84855EB8-F4D9-4237-B79E-B6E22A01E015}"/>
    <cellStyle name="Migliaia 35 3 4" xfId="3560" xr:uid="{026C782B-B3F2-48E6-B83F-B81CB8D89739}"/>
    <cellStyle name="Migliaia 35 3 4 2" xfId="5286" xr:uid="{B1E29D61-DE77-4BD6-9C5E-F7EE617B107B}"/>
    <cellStyle name="Migliaia 35 3 4 2 2" xfId="14451" xr:uid="{A5B1B314-B6C1-43D6-BE11-DC1B34D55313}"/>
    <cellStyle name="Migliaia 35 3 4 2 3" xfId="18045" xr:uid="{3AECD971-4D84-4B82-98DB-02B3C9B52E7C}"/>
    <cellStyle name="Migliaia 35 3 4 2 4" xfId="20460" xr:uid="{E1C137A7-5B95-42A7-A310-BA42CE832A4B}"/>
    <cellStyle name="Migliaia 35 3 4 2 5" xfId="32387" xr:uid="{B5AB0F53-3D8A-4FE2-88A8-ED47939F1F18}"/>
    <cellStyle name="Migliaia 35 3 4 2 6" xfId="16451" xr:uid="{6A15A6EF-DA30-447D-8C69-4B77EF54C251}"/>
    <cellStyle name="Migliaia 35 3 4 2 7" xfId="8874" xr:uid="{41C391B0-CE71-46FB-90DC-BED43ADD780C}"/>
    <cellStyle name="Migliaia 35 3 4 3" xfId="6482" xr:uid="{3446D2A1-9AC9-46EC-997B-9A9C322BFCD3}"/>
    <cellStyle name="Migliaia 35 3 4 3 2" xfId="35321" xr:uid="{2DA051AC-A78E-4B37-B25D-E4C0B5E7EA99}"/>
    <cellStyle name="Migliaia 35 3 4 3 2 2" xfId="40481" xr:uid="{487CC8C9-8191-44AC-9932-BACF6969BBC7}"/>
    <cellStyle name="Migliaia 35 3 4 3 2 3" xfId="45783" xr:uid="{E8B20824-BADE-410A-9107-B0653D357DFA}"/>
    <cellStyle name="Migliaia 35 3 4 3 3" xfId="37830" xr:uid="{87D718BA-9E3C-424D-8C9D-3CDADBE64E28}"/>
    <cellStyle name="Migliaia 35 3 4 3 4" xfId="43132" xr:uid="{8DAD3752-C9FE-4221-9F56-E8D4B93EECF0}"/>
    <cellStyle name="Migliaia 35 3 4 3 5" xfId="13699" xr:uid="{4CDF45F2-F61B-4B18-96DE-F9E9597CD582}"/>
    <cellStyle name="Migliaia 35 3 4 4" xfId="20459" xr:uid="{89974C4E-B5EF-4D3A-9509-5B61991CB630}"/>
    <cellStyle name="Migliaia 35 3 4 4 2" xfId="39393" xr:uid="{9F218734-04C7-4D72-A6A5-1FB3D78411B2}"/>
    <cellStyle name="Migliaia 35 3 4 4 3" xfId="44695" xr:uid="{A5108A3E-151D-4132-AE25-37012BE0AA41}"/>
    <cellStyle name="Migliaia 35 3 4 4 4" xfId="33876" xr:uid="{A2D76D2B-1415-45CA-AF22-3F3BC657D10A}"/>
    <cellStyle name="Migliaia 35 3 4 5" xfId="36817" xr:uid="{A5BFB52F-D7EF-45BA-A1A1-BC758AB5CEB9}"/>
    <cellStyle name="Migliaia 35 3 4 6" xfId="42044" xr:uid="{0FF95759-BE20-486F-8A6E-6D8E773E7757}"/>
    <cellStyle name="Migliaia 35 3 4 7" xfId="16450" xr:uid="{5A9573F0-BEBA-400C-96E5-56DBA83F17D0}"/>
    <cellStyle name="Migliaia 35 3 4 8" xfId="7684" xr:uid="{7A7B5002-3701-43EF-8D4F-53BBCB98A683}"/>
    <cellStyle name="Migliaia 35 3 5" xfId="3561" xr:uid="{B4F849FC-050E-4514-B6E4-74168CA38B70}"/>
    <cellStyle name="Migliaia 35 3 5 2" xfId="5287" xr:uid="{0BAFE2FF-10D4-4B16-88B3-962F82116B89}"/>
    <cellStyle name="Migliaia 35 3 5 2 2" xfId="35322" xr:uid="{0BCE77DF-19F6-4CFA-A666-E35248809B56}"/>
    <cellStyle name="Migliaia 35 3 5 2 2 2" xfId="40482" xr:uid="{0F72FD70-FB36-4D3F-9CBA-44A511B2D8FE}"/>
    <cellStyle name="Migliaia 35 3 5 2 2 3" xfId="45784" xr:uid="{E511D254-2CF7-4D33-A174-FC8C1355C958}"/>
    <cellStyle name="Migliaia 35 3 5 2 3" xfId="37831" xr:uid="{0BCF7100-DBC5-4FD1-A7A9-BD259704AA52}"/>
    <cellStyle name="Migliaia 35 3 5 2 4" xfId="43133" xr:uid="{364CD9CF-FC75-4736-8A5B-CAAF5DF4C924}"/>
    <cellStyle name="Migliaia 35 3 5 2 5" xfId="14265" xr:uid="{7BC6757F-C389-42BD-86D8-D69960947C89}"/>
    <cellStyle name="Migliaia 35 3 5 3" xfId="6483" xr:uid="{DCC83E0A-9A97-4FCF-BA66-CC94918B4637}"/>
    <cellStyle name="Migliaia 35 3 5 3 2" xfId="39394" xr:uid="{39333641-E279-402E-AFFE-EDDA6CAC562F}"/>
    <cellStyle name="Migliaia 35 3 5 3 3" xfId="44696" xr:uid="{D63BF807-5EC2-4A01-A8F5-53C3EEE5B3AD}"/>
    <cellStyle name="Migliaia 35 3 5 3 4" xfId="33877" xr:uid="{DB237F20-F878-4549-8D89-3DC8EACAFF97}"/>
    <cellStyle name="Migliaia 35 3 5 3 5" xfId="20461" xr:uid="{A6AFED10-E721-49AA-898F-A6DF25A45659}"/>
    <cellStyle name="Migliaia 35 3 5 4" xfId="36818" xr:uid="{B7F94DC5-8FC1-4D9C-BC49-09BDE3DA2FDD}"/>
    <cellStyle name="Migliaia 35 3 5 5" xfId="42045" xr:uid="{E5290A05-CF75-4A80-975A-2B12A1B1CE26}"/>
    <cellStyle name="Migliaia 35 3 5 6" xfId="16452" xr:uid="{C4B3AF3C-90D5-4977-A87B-83AD1DB12610}"/>
    <cellStyle name="Migliaia 35 3 5 7" xfId="8327" xr:uid="{D26C6DD2-CD78-4410-A102-774C2C22EB72}"/>
    <cellStyle name="Migliaia 35 3 6" xfId="5282" xr:uid="{BE78F124-8B25-41F5-A3EF-D4EF92B265A1}"/>
    <cellStyle name="Migliaia 35 3 6 2" xfId="13970" xr:uid="{6FD7C42E-0A2F-46F3-A5A3-BA84F33C88C9}"/>
    <cellStyle name="Migliaia 35 3 6 2 2" xfId="39395" xr:uid="{F3A15F7D-0F41-4AC7-A121-5FEC941DF562}"/>
    <cellStyle name="Migliaia 35 3 6 2 3" xfId="44697" xr:uid="{5AECAA81-AE74-4ED9-91EB-410BB29683D7}"/>
    <cellStyle name="Migliaia 35 3 6 3" xfId="18288" xr:uid="{E386F3B8-6990-4198-A424-6865A06A0BDD}"/>
    <cellStyle name="Migliaia 35 3 6 4" xfId="20462" xr:uid="{60757411-45C0-4E5C-9C8F-FF2AA98F3C6A}"/>
    <cellStyle name="Migliaia 35 3 6 4 2" xfId="42046" xr:uid="{C07E0E09-8734-4990-80E1-E080D785253D}"/>
    <cellStyle name="Migliaia 35 3 6 5" xfId="16453" xr:uid="{41D2F0D5-6050-419A-81EE-22C7C600B02A}"/>
    <cellStyle name="Migliaia 35 3 6 6" xfId="7936" xr:uid="{D570FD2A-31A1-4506-B000-452DB38A1273}"/>
    <cellStyle name="Migliaia 35 3 7" xfId="6478" xr:uid="{237DE95D-F5CE-4177-A7D8-B927A2BC9E1D}"/>
    <cellStyle name="Migliaia 35 3 7 2" xfId="33878" xr:uid="{0BAEB352-1DC2-4642-8E50-D365621A59A2}"/>
    <cellStyle name="Migliaia 35 3 7 2 2" xfId="39396" xr:uid="{FBA0E854-5A40-44F4-B08A-4D7A8FA2E9EB}"/>
    <cellStyle name="Migliaia 35 3 7 2 3" xfId="44698" xr:uid="{8E71BA6B-A7A7-4F5F-9CB2-D1382B067425}"/>
    <cellStyle name="Migliaia 35 3 7 3" xfId="36819" xr:uid="{D19F9A0F-B67F-4D23-98ED-9135E864BB1F}"/>
    <cellStyle name="Migliaia 35 3 7 4" xfId="42047" xr:uid="{1270AC99-C3F8-459F-B8D7-3ADB16F255E5}"/>
    <cellStyle name="Migliaia 35 3 7 5" xfId="12245" xr:uid="{2CE05577-C351-4FE1-A58B-1E9880A2D270}"/>
    <cellStyle name="Migliaia 35 3 8" xfId="3556" xr:uid="{4AECCE64-16B2-46E3-88B0-0BD6CBD9F63E}"/>
    <cellStyle name="Migliaia 35 3 8 2" xfId="33879" xr:uid="{9C2C93B3-2881-44B6-BE0B-B1CD26D551BE}"/>
    <cellStyle name="Migliaia 35 3 8 2 2" xfId="39397" xr:uid="{724EAC3B-FFBC-4FE8-9869-DDBEF312BC0F}"/>
    <cellStyle name="Migliaia 35 3 8 2 3" xfId="44699" xr:uid="{74164157-E991-4F84-81BD-ACC89E1B1E3E}"/>
    <cellStyle name="Migliaia 35 3 8 3" xfId="36820" xr:uid="{E9E6A8A0-FD86-4530-BAE8-F7EC699E58B4}"/>
    <cellStyle name="Migliaia 35 3 8 4" xfId="42048" xr:uid="{64EA7656-4ABE-4D2B-A84E-4A4D679678AD}"/>
    <cellStyle name="Migliaia 35 3 8 5" xfId="24822" xr:uid="{B973D751-EE88-48AE-BE16-36001A1FBB78}"/>
    <cellStyle name="Migliaia 35 3 8 6" xfId="17343" xr:uid="{BA5EB54D-D9CE-4D36-A2B0-B7CB857A61E1}"/>
    <cellStyle name="Migliaia 35 3 9" xfId="20453" xr:uid="{E5B0F987-8059-4413-8FD1-C30ACE8E7B20}"/>
    <cellStyle name="Migliaia 35 4" xfId="1798" xr:uid="{00000000-0005-0000-0000-0000C1030000}"/>
    <cellStyle name="Migliaia 35 4 2" xfId="1799" xr:uid="{00000000-0005-0000-0000-0000C2030000}"/>
    <cellStyle name="Migliaia 35 4 2 2" xfId="5289" xr:uid="{7848695C-ECCE-4133-8BC8-AE2D67432229}"/>
    <cellStyle name="Migliaia 35 4 2 2 2" xfId="33880" xr:uid="{3211BFBD-7608-40D9-9FA4-01F4DD5353D2}"/>
    <cellStyle name="Migliaia 35 4 2 2 2 2" xfId="39398" xr:uid="{2C05AB39-75B3-48E7-AC28-C965B8E9C3EA}"/>
    <cellStyle name="Migliaia 35 4 2 2 2 3" xfId="44700" xr:uid="{7F717C3C-B7B2-4AFC-B0CA-9D306E72D64B}"/>
    <cellStyle name="Migliaia 35 4 2 2 3" xfId="36821" xr:uid="{6932922D-D5C9-4908-87B9-9403EAB9EBFD}"/>
    <cellStyle name="Migliaia 35 4 2 2 4" xfId="42049" xr:uid="{48783423-1079-413A-81A7-F01EBA093D66}"/>
    <cellStyle name="Migliaia 35 4 2 2 5" xfId="9164" xr:uid="{83B820C6-50FF-4CD0-B725-532013D75F97}"/>
    <cellStyle name="Migliaia 35 4 2 3" xfId="3563" xr:uid="{E3885CA7-82BD-4991-A92A-BEE827196074}"/>
    <cellStyle name="Migliaia 35 4 2 3 2" xfId="33881" xr:uid="{67D25329-F43D-47C2-88AF-3C39C1C01920}"/>
    <cellStyle name="Migliaia 35 4 2 3 2 2" xfId="39399" xr:uid="{C21F2730-7F10-4955-8225-1BDDE3704584}"/>
    <cellStyle name="Migliaia 35 4 2 3 2 3" xfId="44701" xr:uid="{55E85D38-CAC7-463F-8001-0F5321EA2FEA}"/>
    <cellStyle name="Migliaia 35 4 2 3 3" xfId="36822" xr:uid="{1C7B3A53-C0A1-4A4A-956E-989910C51A80}"/>
    <cellStyle name="Migliaia 35 4 2 3 4" xfId="42050" xr:uid="{2BC87770-8A8A-4281-ABBA-5039901A6664}"/>
    <cellStyle name="Migliaia 35 4 2 3 5" xfId="12001" xr:uid="{653AAB31-2BC6-4664-A412-FEDB137E3111}"/>
    <cellStyle name="Migliaia 35 4 2 4" xfId="11350" xr:uid="{8B4995C0-D066-4ED9-AA8E-002CDA672309}"/>
    <cellStyle name="Migliaia 35 4 2 5" xfId="10876" xr:uid="{0EFED51F-1BF0-49BF-89E7-A7299BAD0AC6}"/>
    <cellStyle name="Migliaia 35 4 2 5 2" xfId="21511" xr:uid="{E5CD7B3A-EFFE-4116-B559-8EB64ACBE82D}"/>
    <cellStyle name="Migliaia 35 4 2 5 3" xfId="48552" xr:uid="{C6E1A384-41B7-4A98-A79D-3BD09E63C880}"/>
    <cellStyle name="Migliaia 35 4 2 5 4" xfId="50526" xr:uid="{F66C24E3-3F2C-4520-BE79-63B064BF1D81}"/>
    <cellStyle name="Migliaia 35 4 2 5 5" xfId="53542" xr:uid="{01358D04-7B2F-4930-843B-32778A5ED2DC}"/>
    <cellStyle name="Migliaia 35 4 2 6" xfId="20464" xr:uid="{4C617A85-1857-4312-AB7A-3C04857302BF}"/>
    <cellStyle name="Migliaia 35 4 2 7" xfId="24824" xr:uid="{02529878-BDB7-4593-A1F0-FEAD732F6AAF}"/>
    <cellStyle name="Migliaia 35 4 2 8" xfId="8652" xr:uid="{F79E789D-F98F-4BD2-AE93-C3E59A59F542}"/>
    <cellStyle name="Migliaia 35 4 3" xfId="5288" xr:uid="{97B5094E-FB7B-4427-9611-1CD9843CEDFD}"/>
    <cellStyle name="Migliaia 35 4 3 2" xfId="18219" xr:uid="{01764EC6-CC56-4BA1-B949-A61D9028540D}"/>
    <cellStyle name="Migliaia 35 4 3 2 2" xfId="39400" xr:uid="{359398BD-E724-4ADB-AD23-0459E2A3C4D8}"/>
    <cellStyle name="Migliaia 35 4 3 2 3" xfId="44702" xr:uid="{035B8199-C94D-4106-B440-E84F837C5BB7}"/>
    <cellStyle name="Migliaia 35 4 3 3" xfId="36823" xr:uid="{A2AF5E03-763F-4496-A5AA-2F01DF8C1C28}"/>
    <cellStyle name="Migliaia 35 4 3 4" xfId="42051" xr:uid="{C3688B51-73F0-44B8-94E7-1562E5372BEF}"/>
    <cellStyle name="Migliaia 35 4 3 5" xfId="17341" xr:uid="{4A861D79-936E-4698-9C92-824400AC64F1}"/>
    <cellStyle name="Migliaia 35 4 3 6" xfId="9165" xr:uid="{2CD80231-6439-4AF4-963C-4F9FFAE88FE7}"/>
    <cellStyle name="Migliaia 35 4 4" xfId="6484" xr:uid="{03028360-F389-4780-A21B-2C58F25508E1}"/>
    <cellStyle name="Migliaia 35 4 4 2" xfId="33882" xr:uid="{84AF624C-3F57-470A-AE61-E57DCCF7278A}"/>
    <cellStyle name="Migliaia 35 4 4 2 2" xfId="39401" xr:uid="{EBBD5551-41D7-4AC8-ADFA-96BEE56E3192}"/>
    <cellStyle name="Migliaia 35 4 4 2 3" xfId="44703" xr:uid="{77AB6486-02F2-41AF-B57C-3F96F9E06711}"/>
    <cellStyle name="Migliaia 35 4 4 3" xfId="36824" xr:uid="{176C6E28-6EEB-4348-9565-A5D606A61DE0}"/>
    <cellStyle name="Migliaia 35 4 4 4" xfId="42052" xr:uid="{0DF76935-C54D-4064-98FF-38E73FA16ABB}"/>
    <cellStyle name="Migliaia 35 4 4 5" xfId="12002" xr:uid="{C37695F0-8AC8-42C3-9993-29CDC54AE619}"/>
    <cellStyle name="Migliaia 35 4 5" xfId="3562" xr:uid="{5331AEFE-0062-4961-899E-699C25E80013}"/>
    <cellStyle name="Migliaia 35 4 5 2" xfId="33883" xr:uid="{916046E3-970B-4796-BD42-582FC4FFAC42}"/>
    <cellStyle name="Migliaia 35 4 5 2 2" xfId="39402" xr:uid="{8AC0BBC7-8952-4766-8B2D-E052AE9AEECE}"/>
    <cellStyle name="Migliaia 35 4 5 2 3" xfId="44704" xr:uid="{12847A77-32AD-46B8-B5EF-EB52C3AD8725}"/>
    <cellStyle name="Migliaia 35 4 5 3" xfId="36825" xr:uid="{DBEA33A1-A33C-4071-93A3-BFBD56895A45}"/>
    <cellStyle name="Migliaia 35 4 5 4" xfId="42053" xr:uid="{58F5FB30-93CB-453F-AF70-D833BEFCAF7E}"/>
    <cellStyle name="Migliaia 35 4 5 5" xfId="11349" xr:uid="{F85C538F-8F68-41CD-8DBF-1D6856CC5FE0}"/>
    <cellStyle name="Migliaia 35 4 6" xfId="10875" xr:uid="{7B41E372-FCB1-43F4-A2EB-58C1E9352D0D}"/>
    <cellStyle name="Migliaia 35 4 6 2" xfId="21510" xr:uid="{8FAFA7CA-A12C-4D38-8F9B-FDDF99D51909}"/>
    <cellStyle name="Migliaia 35 4 6 2 2" xfId="39403" xr:uid="{2EEAB224-B715-43BB-904B-3C9995604753}"/>
    <cellStyle name="Migliaia 35 4 6 2 3" xfId="44705" xr:uid="{F3EA5D16-24E7-4909-A26F-B9AA7C62082D}"/>
    <cellStyle name="Migliaia 35 4 6 2 4" xfId="33884" xr:uid="{8C698027-6948-4D89-AB0D-C044DDD76DE8}"/>
    <cellStyle name="Migliaia 35 4 6 3" xfId="36826" xr:uid="{CCFD0807-70EF-42EB-95FD-3B9BB7285FDC}"/>
    <cellStyle name="Migliaia 35 4 6 4" xfId="42054" xr:uid="{1C860E75-A8B5-460F-8F50-86B6651F2F4F}"/>
    <cellStyle name="Migliaia 35 4 6 5" xfId="24825" xr:uid="{BF9180F5-38C6-4304-96A6-8351FAAABDA1}"/>
    <cellStyle name="Migliaia 35 4 6 6" xfId="32470" xr:uid="{076BF332-007A-44CF-8A55-57306C51ED28}"/>
    <cellStyle name="Migliaia 35 4 6 7" xfId="50525" xr:uid="{CD15137E-9BB8-42D9-A6FF-23371B01FF9A}"/>
    <cellStyle name="Migliaia 35 4 6 8" xfId="53541" xr:uid="{8F0C88FF-31D4-41D9-B0E4-5DDF43E685D8}"/>
    <cellStyle name="Migliaia 35 4 7" xfId="20463" xr:uid="{95D8D1D5-E084-4C1B-B002-06BEA9A38E5E}"/>
    <cellStyle name="Migliaia 35 4 7 2" xfId="33885" xr:uid="{E21C1923-432A-4E6B-B0B3-9F573D9E3A4C}"/>
    <cellStyle name="Migliaia 35 4 7 2 2" xfId="39404" xr:uid="{D046455E-7668-4FF5-9730-7DCA812335C6}"/>
    <cellStyle name="Migliaia 35 4 7 2 3" xfId="44706" xr:uid="{72AE597C-9A65-46FF-9912-7D2216D54D2D}"/>
    <cellStyle name="Migliaia 35 4 7 3" xfId="36827" xr:uid="{3CE8F6B3-2AF4-49C5-BCBB-E172F25D3C3C}"/>
    <cellStyle name="Migliaia 35 4 7 4" xfId="42055" xr:uid="{869C3958-BB0B-4E05-856C-7587ABB91579}"/>
    <cellStyle name="Migliaia 35 4 7 5" xfId="24826" xr:uid="{5AF088CB-149F-4C19-8AE7-C2AA6C9F5D9B}"/>
    <cellStyle name="Migliaia 35 4 8" xfId="24823" xr:uid="{AE3DC46A-219F-4A22-A7ED-5F896BF394E6}"/>
    <cellStyle name="Migliaia 35 4 9" xfId="7462" xr:uid="{08A08743-2E65-4F65-A10D-582CBA4EC306}"/>
    <cellStyle name="Migliaia 35 5" xfId="1800" xr:uid="{00000000-0005-0000-0000-0000C3030000}"/>
    <cellStyle name="Migliaia 35 5 2" xfId="5290" xr:uid="{BD88701B-2CC5-4E4A-8336-E885E75F2187}"/>
    <cellStyle name="Migliaia 35 5 2 2" xfId="18448" xr:uid="{959FB021-26E4-480E-90CB-29E446C33DCD}"/>
    <cellStyle name="Migliaia 35 5 2 2 2" xfId="39405" xr:uid="{2854A744-B5E0-4A15-BC60-03110D148A8C}"/>
    <cellStyle name="Migliaia 35 5 2 2 3" xfId="44707" xr:uid="{4BBAB548-D879-4DBD-94D2-760DBB695615}"/>
    <cellStyle name="Migliaia 35 5 2 3" xfId="20466" xr:uid="{EB454504-AFD7-48EC-91C3-0EE2E47DEA22}"/>
    <cellStyle name="Migliaia 35 5 2 3 2" xfId="36828" xr:uid="{F1189B2B-22E8-41A2-8377-8FA75FBFF2C0}"/>
    <cellStyle name="Migliaia 35 5 2 4" xfId="42056" xr:uid="{0015A956-A717-4FE6-96EE-53B6BF264C5C}"/>
    <cellStyle name="Migliaia 35 5 2 5" xfId="16454" xr:uid="{E08B7D78-E85F-4964-8403-28C07DFB60A8}"/>
    <cellStyle name="Migliaia 35 5 2 6" xfId="8653" xr:uid="{97272BE5-B54F-4633-BC73-22B5C34F629C}"/>
    <cellStyle name="Migliaia 35 5 3" xfId="6485" xr:uid="{EE76A570-0496-40AC-AA55-E50AC5AA6363}"/>
    <cellStyle name="Migliaia 35 5 3 2" xfId="33886" xr:uid="{3EF6AB6E-BFA9-4D2E-87E6-5E1E0F96DD85}"/>
    <cellStyle name="Migliaia 35 5 3 2 2" xfId="39406" xr:uid="{03119E66-DCEF-4D5C-9447-4FC6802DEBB9}"/>
    <cellStyle name="Migliaia 35 5 3 2 3" xfId="44708" xr:uid="{22D2B11D-360F-4E1B-BF8C-E373EEEDE172}"/>
    <cellStyle name="Migliaia 35 5 3 3" xfId="36829" xr:uid="{49A24943-7602-4F5B-964A-5FAED1DBA636}"/>
    <cellStyle name="Migliaia 35 5 3 4" xfId="42057" xr:uid="{99FE968F-9810-4785-9C42-3E579AE3DA7F}"/>
    <cellStyle name="Migliaia 35 5 3 5" xfId="11351" xr:uid="{5BF24C92-1416-4411-A355-872D5440F1F4}"/>
    <cellStyle name="Migliaia 35 5 4" xfId="3564" xr:uid="{94374BC8-007D-4B93-9748-A5CAC2297803}"/>
    <cellStyle name="Migliaia 35 5 4 2" xfId="21512" xr:uid="{0B21B8A7-88AD-4422-97F3-18100E69AE82}"/>
    <cellStyle name="Migliaia 35 5 4 2 2" xfId="39407" xr:uid="{DAA12D58-63C9-48D2-A4D5-AFE37612D11D}"/>
    <cellStyle name="Migliaia 35 5 4 2 3" xfId="44709" xr:uid="{9D29C497-512A-4DFF-9B94-AC2EC2303E6A}"/>
    <cellStyle name="Migliaia 35 5 4 2 4" xfId="33887" xr:uid="{AF972F48-1C0C-447C-B509-9275C06FBF12}"/>
    <cellStyle name="Migliaia 35 5 4 3" xfId="36830" xr:uid="{CD55B112-6B46-4CFE-A98C-B91AE0DBE8B9}"/>
    <cellStyle name="Migliaia 35 5 4 4" xfId="42058" xr:uid="{FBFDFCD1-3C08-4015-88BE-F992FB098739}"/>
    <cellStyle name="Migliaia 35 5 4 5" xfId="24828" xr:uid="{68D71050-2F7D-429B-A94C-C97C7BDD5975}"/>
    <cellStyle name="Migliaia 35 5 4 6" xfId="46647" xr:uid="{84496E69-BE70-4C4E-BAAE-567222DB8F05}"/>
    <cellStyle name="Migliaia 35 5 4 7" xfId="50527" xr:uid="{E358B751-9EE7-461C-A026-E0DA384CE532}"/>
    <cellStyle name="Migliaia 35 5 4 8" xfId="53543" xr:uid="{3B948F3B-2483-4538-89C7-9B535570DF0E}"/>
    <cellStyle name="Migliaia 35 5 4 9" xfId="10877" xr:uid="{2DBDC068-5104-4F66-9FB7-B00EA95499CA}"/>
    <cellStyle name="Migliaia 35 5 5" xfId="20465" xr:uid="{47D7689B-1B88-4ADB-A513-7CD80108D759}"/>
    <cellStyle name="Migliaia 35 5 5 2" xfId="33888" xr:uid="{A90EC565-3479-4AD3-A39E-CFDFBF6788E3}"/>
    <cellStyle name="Migliaia 35 5 5 2 2" xfId="39408" xr:uid="{129733FF-A0D2-4211-864C-C884F9ACDEFD}"/>
    <cellStyle name="Migliaia 35 5 5 2 3" xfId="44710" xr:uid="{F8D5C75C-874B-4813-9F75-ECDB5EC15A53}"/>
    <cellStyle name="Migliaia 35 5 5 3" xfId="36831" xr:uid="{27C11B8F-714E-47AA-93A3-30941DA172C8}"/>
    <cellStyle name="Migliaia 35 5 5 4" xfId="42059" xr:uid="{D15BE125-0FF6-47DC-ADA9-2E5B8ADDFE3E}"/>
    <cellStyle name="Migliaia 35 5 5 5" xfId="24829" xr:uid="{DC30E029-432D-4D6D-83FC-94286D671591}"/>
    <cellStyle name="Migliaia 35 5 6" xfId="24830" xr:uid="{5AB9CAC0-9F7A-451D-B91F-FE0462954D66}"/>
    <cellStyle name="Migliaia 35 5 6 2" xfId="33889" xr:uid="{D7C7CC31-E444-418B-A2EE-DD429A37E337}"/>
    <cellStyle name="Migliaia 35 5 6 2 2" xfId="39409" xr:uid="{FA604420-661E-438B-A81F-2C3E99C3EBA8}"/>
    <cellStyle name="Migliaia 35 5 6 2 3" xfId="44711" xr:uid="{62CBDB63-9911-41E6-BE69-E036DBB886A3}"/>
    <cellStyle name="Migliaia 35 5 6 3" xfId="36832" xr:uid="{72C73C07-B6EF-4180-8BEC-1085C52215BF}"/>
    <cellStyle name="Migliaia 35 5 6 4" xfId="42060" xr:uid="{E112AFF7-F942-4515-B4A0-F0634F70E94C}"/>
    <cellStyle name="Migliaia 35 5 7" xfId="24827" xr:uid="{43FF2E90-CC85-44DE-B573-9DFFCB4C74E5}"/>
    <cellStyle name="Migliaia 35 5 8" xfId="7463" xr:uid="{5B073F7B-F209-4EAA-BD47-57F51C84B7B7}"/>
    <cellStyle name="Migliaia 35 6" xfId="3565" xr:uid="{0C2A6FD4-6854-4ED7-8030-75CD32492CDE}"/>
    <cellStyle name="Migliaia 35 6 2" xfId="5291" xr:uid="{48607B30-DF11-4331-9593-06FDFE3EE885}"/>
    <cellStyle name="Migliaia 35 6 2 2" xfId="9937" xr:uid="{74B25587-2B06-4140-964A-C288C8B6B02E}"/>
    <cellStyle name="Migliaia 35 6 2 3" xfId="18652" xr:uid="{5C0D19D4-5C3A-430A-A8D8-6DDB02C2E84A}"/>
    <cellStyle name="Migliaia 35 6 2 4" xfId="20468" xr:uid="{2FDCFBB9-AACE-46D7-9BB9-F4D8BBB05B67}"/>
    <cellStyle name="Migliaia 35 6 2 5" xfId="32388" xr:uid="{AB822C86-1277-46D8-A8D9-5CB412FAD036}"/>
    <cellStyle name="Migliaia 35 6 2 6" xfId="16456" xr:uid="{867C6B69-4428-48D6-916C-4DD8B01858D6}"/>
    <cellStyle name="Migliaia 35 6 2 7" xfId="8648" xr:uid="{2443E355-A005-434B-8D41-5C30BB7AEAE0}"/>
    <cellStyle name="Migliaia 35 6 3" xfId="6486" xr:uid="{DC451F01-9A36-4B6E-85B0-9E9047F31AC1}"/>
    <cellStyle name="Migliaia 35 6 3 2" xfId="35323" xr:uid="{A0FFE97A-EC62-453F-9BED-BB421F01B531}"/>
    <cellStyle name="Migliaia 35 6 3 2 2" xfId="40483" xr:uid="{77D05696-183F-4F9A-BA83-43BA02DBDD5B}"/>
    <cellStyle name="Migliaia 35 6 3 2 3" xfId="45785" xr:uid="{3A96A62E-ADC1-4023-9747-0998539EA018}"/>
    <cellStyle name="Migliaia 35 6 3 3" xfId="37832" xr:uid="{8DF8B9B7-5B4B-41AA-AF41-B4A94FD70C51}"/>
    <cellStyle name="Migliaia 35 6 3 4" xfId="43134" xr:uid="{A0550689-E6D7-47BF-808C-4FD82175BEA4}"/>
    <cellStyle name="Migliaia 35 6 3 5" xfId="9700" xr:uid="{3C54D171-E305-4E64-955E-781967F5358E}"/>
    <cellStyle name="Migliaia 35 6 4" xfId="20467" xr:uid="{6140B958-1E2C-45B5-947C-CB204AE5F34E}"/>
    <cellStyle name="Migliaia 35 6 4 2" xfId="39410" xr:uid="{0880D4CB-22D8-4E5D-A2CD-67FF1C5199FB}"/>
    <cellStyle name="Migliaia 35 6 4 3" xfId="44712" xr:uid="{A5020943-3E6E-4D1F-9BE3-D60948902D23}"/>
    <cellStyle name="Migliaia 35 6 4 4" xfId="33890" xr:uid="{AE3A75B0-A20A-4B92-B966-2D6B4386450C}"/>
    <cellStyle name="Migliaia 35 6 5" xfId="36833" xr:uid="{157CB875-1DE6-4220-80CA-E850EDF2118E}"/>
    <cellStyle name="Migliaia 35 6 6" xfId="42061" xr:uid="{9926A732-F570-4E0C-98E8-C9665BBD686A}"/>
    <cellStyle name="Migliaia 35 6 7" xfId="16455" xr:uid="{0D1DADC9-062A-4F9C-8E20-33EF1BB91B42}"/>
    <cellStyle name="Migliaia 35 6 8" xfId="7458" xr:uid="{8F486B74-2F91-4682-951D-7A8A936085CC}"/>
    <cellStyle name="Migliaia 35 7" xfId="3566" xr:uid="{09736CBB-06E8-43BD-945A-6FDFEDEDB61E}"/>
    <cellStyle name="Migliaia 35 7 2" xfId="5292" xr:uid="{F175D549-3DF5-4C55-BECA-344628AB40D4}"/>
    <cellStyle name="Migliaia 35 7 2 2" xfId="35324" xr:uid="{6FB71A25-3574-4A45-B016-2BE1012C91CD}"/>
    <cellStyle name="Migliaia 35 7 2 2 2" xfId="40484" xr:uid="{12F01579-C37D-4387-84DB-61ACD9B8D8F2}"/>
    <cellStyle name="Migliaia 35 7 2 2 3" xfId="45786" xr:uid="{B763B012-EFD1-4BA9-B428-9A6F6DD65C02}"/>
    <cellStyle name="Migliaia 35 7 2 3" xfId="37833" xr:uid="{F4BEE7C8-72EB-452C-9107-94892980EC06}"/>
    <cellStyle name="Migliaia 35 7 2 4" xfId="43135" xr:uid="{BDE69DAF-66F7-4E6E-808B-BAEF017C5C8C}"/>
    <cellStyle name="Migliaia 35 7 2 5" xfId="14263" xr:uid="{D1099C47-6B11-4565-9BFA-E3A34426DD67}"/>
    <cellStyle name="Migliaia 35 7 3" xfId="6487" xr:uid="{31551E26-229C-4694-A2D1-5E7FBB850269}"/>
    <cellStyle name="Migliaia 35 7 3 2" xfId="39411" xr:uid="{2C63AAB3-F48D-4042-85E3-810B34D825CD}"/>
    <cellStyle name="Migliaia 35 7 3 3" xfId="44713" xr:uid="{49A09A57-39F7-41C2-A707-0B32F8C86B6A}"/>
    <cellStyle name="Migliaia 35 7 3 4" xfId="33891" xr:uid="{BCEE3138-1D86-4737-8C8C-ACE4E6942E22}"/>
    <cellStyle name="Migliaia 35 7 3 5" xfId="20469" xr:uid="{FCCA1C70-3660-4218-95C3-F93DA30E1A63}"/>
    <cellStyle name="Migliaia 35 7 4" xfId="36834" xr:uid="{0996F85A-FFBC-4C92-BD04-1618766DC3AE}"/>
    <cellStyle name="Migliaia 35 7 5" xfId="42062" xr:uid="{DCA5E211-5DBA-4E13-9911-B15FF2ED0160}"/>
    <cellStyle name="Migliaia 35 7 6" xfId="16457" xr:uid="{20779983-284F-426D-BB15-30F9E475E1AD}"/>
    <cellStyle name="Migliaia 35 7 7" xfId="8325" xr:uid="{125B703B-F1AF-4672-871F-B6B20EE755A3}"/>
    <cellStyle name="Migliaia 35 8" xfId="3567" xr:uid="{AE5B4270-ADF2-4249-B464-25000DD77339}"/>
    <cellStyle name="Migliaia 35 8 2" xfId="5293" xr:uid="{C91E9C74-18BE-4FA0-B260-D93822CA9336}"/>
    <cellStyle name="Migliaia 35 8 2 2" xfId="35325" xr:uid="{02BE8B85-15BC-4970-9A4A-7326AF702FDF}"/>
    <cellStyle name="Migliaia 35 8 2 2 2" xfId="40485" xr:uid="{78FF6C24-0DF2-4533-B71D-D9BAA8C2DC52}"/>
    <cellStyle name="Migliaia 35 8 2 2 3" xfId="45787" xr:uid="{AA605970-11D5-48C4-AF2E-8FBE760ABFBE}"/>
    <cellStyle name="Migliaia 35 8 2 3" xfId="37834" xr:uid="{712D8017-76C5-49BA-BF34-E2C2B2B28E5F}"/>
    <cellStyle name="Migliaia 35 8 2 4" xfId="43136" xr:uid="{B2F1EFB2-CDC3-47B1-A420-04445CB8CC5F}"/>
    <cellStyle name="Migliaia 35 8 2 5" xfId="13968" xr:uid="{3D982A42-CA1F-4402-B87A-E6053BA672A4}"/>
    <cellStyle name="Migliaia 35 8 3" xfId="6488" xr:uid="{056436A4-BC54-48D1-BF1D-920FF474E682}"/>
    <cellStyle name="Migliaia 35 8 3 2" xfId="39412" xr:uid="{4B2CA245-AD7B-47F8-A713-AE7A0C1A23CD}"/>
    <cellStyle name="Migliaia 35 8 3 3" xfId="44714" xr:uid="{3B8E5BA2-D8C2-40E7-9027-6E35C56E6413}"/>
    <cellStyle name="Migliaia 35 8 3 4" xfId="33892" xr:uid="{A63E6039-DE2E-4B51-8303-27B31C7F187C}"/>
    <cellStyle name="Migliaia 35 8 3 5" xfId="20470" xr:uid="{A7BFAD9F-23C9-4BB2-81B9-AC3B9CFBD025}"/>
    <cellStyle name="Migliaia 35 8 4" xfId="36835" xr:uid="{09877D2C-54DB-42DE-84C1-7B9A4BEC4492}"/>
    <cellStyle name="Migliaia 35 8 5" xfId="42063" xr:uid="{38BE1EB5-6AB4-446C-B6E7-0ECDC3E42804}"/>
    <cellStyle name="Migliaia 35 8 6" xfId="16458" xr:uid="{6E4BA90A-6B91-444F-B609-F2DFBD277BF7}"/>
    <cellStyle name="Migliaia 35 8 7" xfId="7934" xr:uid="{3B9E637D-531F-4EC7-A021-3F1A09B8AF5F}"/>
    <cellStyle name="Migliaia 35 9" xfId="5278" xr:uid="{E787675B-E37C-4085-B9D5-680642A3BCB9}"/>
    <cellStyle name="Migliaia 35 9 2" xfId="33893" xr:uid="{2547D8A3-AA70-427C-93AC-177088C4C32A}"/>
    <cellStyle name="Migliaia 35 9 2 2" xfId="39413" xr:uid="{91EDC5A3-CE25-463A-AD51-4A9F4D2E3312}"/>
    <cellStyle name="Migliaia 35 9 2 3" xfId="44715" xr:uid="{376FA4DE-1C0C-40A6-8EF0-9D354A331F37}"/>
    <cellStyle name="Migliaia 35 9 3" xfId="36836" xr:uid="{39B0B3ED-949B-4E89-ABEC-883184C080EA}"/>
    <cellStyle name="Migliaia 35 9 4" xfId="42064" xr:uid="{0BDF31E5-3D37-4526-AB01-55C7A060DD9F}"/>
    <cellStyle name="Migliaia 35 9 5" xfId="17191" xr:uid="{9F07CAE0-E765-4173-9E96-422063B51408}"/>
    <cellStyle name="Migliaia 36" xfId="417" xr:uid="{00000000-0005-0000-0000-0000C4030000}"/>
    <cellStyle name="Migliaia 36 10" xfId="6489" xr:uid="{4EBF4E20-80F2-4EFB-B5A1-5DB72C738E78}"/>
    <cellStyle name="Migliaia 36 10 2" xfId="39414" xr:uid="{1B77723C-02D2-4253-A113-3407F725F674}"/>
    <cellStyle name="Migliaia 36 10 3" xfId="44716" xr:uid="{224B1FA7-794C-46D9-8799-89FF763F1527}"/>
    <cellStyle name="Migliaia 36 10 4" xfId="33894" xr:uid="{CD423B10-289B-4E57-B56B-371E0BA56BF3}"/>
    <cellStyle name="Migliaia 36 10 5" xfId="20471" xr:uid="{A4FC67D3-E1B6-47F6-8BE1-C06EE131325D}"/>
    <cellStyle name="Migliaia 36 11" xfId="3568" xr:uid="{58C08506-521C-4522-812C-5607456F48EC}"/>
    <cellStyle name="Migliaia 36 11 2" xfId="36837" xr:uid="{AA0BA897-14D6-4DF6-AEE1-9985FB89A781}"/>
    <cellStyle name="Migliaia 36 12" xfId="42065" xr:uid="{BD443297-653A-4A39-8FE3-ABC3BA9E84CF}"/>
    <cellStyle name="Migliaia 36 13" xfId="7129" xr:uid="{78745416-15C0-4FDC-8ECC-0D74A4A18205}"/>
    <cellStyle name="Migliaia 36 2" xfId="418" xr:uid="{00000000-0005-0000-0000-0000C5030000}"/>
    <cellStyle name="Migliaia 36 2 2" xfId="1801" xr:uid="{00000000-0005-0000-0000-0000C6030000}"/>
    <cellStyle name="Migliaia 36 2 2 2" xfId="5296" xr:uid="{87AB162F-C46D-4D3E-9D83-23DF47E7BF86}"/>
    <cellStyle name="Migliaia 36 2 2 2 2" xfId="14392" xr:uid="{97D12C7B-0BCA-4A37-9A0A-88AA9F7377D9}"/>
    <cellStyle name="Migliaia 36 2 2 2 2 2" xfId="39415" xr:uid="{7D0EDCE4-4346-4897-AF86-0471B06D0CB8}"/>
    <cellStyle name="Migliaia 36 2 2 2 2 3" xfId="44717" xr:uid="{FD8392DE-1DA6-4090-A0B1-D2BB82F98A0C}"/>
    <cellStyle name="Migliaia 36 2 2 2 3" xfId="18449" xr:uid="{8623052E-E55D-468F-98E8-5A999E1BCBF7}"/>
    <cellStyle name="Migliaia 36 2 2 2 4" xfId="20474" xr:uid="{141BF681-F26C-4A8B-80E7-BE724A19330F}"/>
    <cellStyle name="Migliaia 36 2 2 2 4 2" xfId="42066" xr:uid="{C8F3E92B-3763-487C-87D7-8E53A0901DD8}"/>
    <cellStyle name="Migliaia 36 2 2 2 5" xfId="16459" xr:uid="{81D1D569-C2C4-4B82-A382-5F13DDFC5383}"/>
    <cellStyle name="Migliaia 36 2 2 2 6" xfId="8655" xr:uid="{0DE3CDD1-EB14-47CE-AFBA-D9D69D1034C9}"/>
    <cellStyle name="Migliaia 36 2 2 3" xfId="6491" xr:uid="{79B82C90-20C7-43F5-A25A-6BB448AFF5C5}"/>
    <cellStyle name="Migliaia 36 2 2 3 2" xfId="35326" xr:uid="{6882CD6B-5C2F-472D-BEBB-D42706D862AF}"/>
    <cellStyle name="Migliaia 36 2 2 3 2 2" xfId="40486" xr:uid="{FC2300A7-B81E-4038-AA2A-39E3AD4B4141}"/>
    <cellStyle name="Migliaia 36 2 2 3 2 3" xfId="45788" xr:uid="{B4A85D73-A2C6-4F6C-AD85-BF0EB592B23E}"/>
    <cellStyle name="Migliaia 36 2 2 3 3" xfId="37835" xr:uid="{635350B5-777A-4E18-85BA-D676CBCE2BA9}"/>
    <cellStyle name="Migliaia 36 2 2 3 4" xfId="43137" xr:uid="{556C4E30-2615-483E-A2DF-CC9A3BE671D1}"/>
    <cellStyle name="Migliaia 36 2 2 3 5" xfId="11619" xr:uid="{C8675D5F-EAAD-488A-9445-A4CD5E3E97A2}"/>
    <cellStyle name="Migliaia 36 2 2 4" xfId="3570" xr:uid="{B6888A4E-D4EF-4401-B7E7-4950A8660E79}"/>
    <cellStyle name="Migliaia 36 2 2 4 2" xfId="21513" xr:uid="{8AE00B50-A1F6-490C-B2D7-E47ECD1693B9}"/>
    <cellStyle name="Migliaia 36 2 2 4 3" xfId="47677" xr:uid="{CD910940-C325-43A5-83F2-2F835A9DC051}"/>
    <cellStyle name="Migliaia 36 2 2 4 4" xfId="50528" xr:uid="{0D78005E-0E2D-4987-B8EB-4A8995B4A86E}"/>
    <cellStyle name="Migliaia 36 2 2 4 5" xfId="53544" xr:uid="{8E7BE9D5-743D-4839-9748-D6028AF7E5AE}"/>
    <cellStyle name="Migliaia 36 2 2 4 6" xfId="10878" xr:uid="{A6741AE2-8C7D-4A56-8F8A-ECD1D8B20579}"/>
    <cellStyle name="Migliaia 36 2 2 5" xfId="20473" xr:uid="{F343B374-A2F7-4EE7-A150-AA62DE8A4D8C}"/>
    <cellStyle name="Migliaia 36 2 2 6" xfId="24832" xr:uid="{52F02520-E755-4942-B6B7-E44B6CBAE4E6}"/>
    <cellStyle name="Migliaia 36 2 2 7" xfId="7465" xr:uid="{B7B4C0CC-0A66-4593-A5D4-F1FD786033C6}"/>
    <cellStyle name="Migliaia 36 2 3" xfId="3571" xr:uid="{8094135A-E435-4DA3-AA1A-041A3D620BE6}"/>
    <cellStyle name="Migliaia 36 2 3 2" xfId="5297" xr:uid="{9113FBDD-7221-4DC3-A464-F40898443AB4}"/>
    <cellStyle name="Migliaia 36 2 3 2 2" xfId="35327" xr:uid="{48FA998B-E839-45E7-83CE-F949C4080F0B}"/>
    <cellStyle name="Migliaia 36 2 3 2 2 2" xfId="40487" xr:uid="{284E1EDF-43D4-4FAB-B640-FEFDF9FFD535}"/>
    <cellStyle name="Migliaia 36 2 3 2 2 3" xfId="45789" xr:uid="{4BAE88DF-4E50-477D-99E1-9CA1EA40F9A2}"/>
    <cellStyle name="Migliaia 36 2 3 2 3" xfId="37836" xr:uid="{7BE50D8D-B8F5-4094-9570-E4148A657E9F}"/>
    <cellStyle name="Migliaia 36 2 3 2 4" xfId="43138" xr:uid="{D7070C03-0F43-4D39-A94B-6E8183EDB41A}"/>
    <cellStyle name="Migliaia 36 2 3 2 5" xfId="14267" xr:uid="{68088151-924D-4CAE-8CE3-71ACE08025FC}"/>
    <cellStyle name="Migliaia 36 2 3 3" xfId="6492" xr:uid="{5876BC9E-63CF-427D-BDF3-1400CC098E78}"/>
    <cellStyle name="Migliaia 36 2 3 3 2" xfId="39416" xr:uid="{C7F225D3-1124-422A-A22B-B6EDE41001EA}"/>
    <cellStyle name="Migliaia 36 2 3 3 3" xfId="44718" xr:uid="{71ED1ACD-3FAE-4AF0-8B58-EABD109E927D}"/>
    <cellStyle name="Migliaia 36 2 3 3 4" xfId="33895" xr:uid="{405B30BB-A270-4AA0-826C-A7CF357671A6}"/>
    <cellStyle name="Migliaia 36 2 3 3 5" xfId="20475" xr:uid="{8FFD3A4A-105F-4EB3-84A2-C552E2B03D7D}"/>
    <cellStyle name="Migliaia 36 2 3 4" xfId="36838" xr:uid="{3701ABCE-18F7-487C-B26A-43AFD0680A05}"/>
    <cellStyle name="Migliaia 36 2 3 5" xfId="42067" xr:uid="{5F3055B3-5D99-4E0B-B9D1-47D2F052E433}"/>
    <cellStyle name="Migliaia 36 2 3 6" xfId="16460" xr:uid="{62748B07-05F0-4EE2-A06A-03EC7EFD6D1D}"/>
    <cellStyle name="Migliaia 36 2 3 7" xfId="8329" xr:uid="{AAEFA122-BD25-4112-86DE-9B08CD50D5CE}"/>
    <cellStyle name="Migliaia 36 2 4" xfId="5295" xr:uid="{0384A640-D228-4056-99ED-66E3F6E79D3E}"/>
    <cellStyle name="Migliaia 36 2 4 2" xfId="13972" xr:uid="{47E2B3DC-375E-4DDD-8D72-EC3580CFF202}"/>
    <cellStyle name="Migliaia 36 2 4 2 2" xfId="39417" xr:uid="{ADB7633C-C35B-404F-AC05-FDAEF3634CCE}"/>
    <cellStyle name="Migliaia 36 2 4 2 3" xfId="44719" xr:uid="{E9E5FA52-D1E5-40E7-8E17-D66EB319193C}"/>
    <cellStyle name="Migliaia 36 2 4 3" xfId="18612" xr:uid="{B78D1614-897C-4FA0-9EA7-2AB879C9DF28}"/>
    <cellStyle name="Migliaia 36 2 4 4" xfId="20476" xr:uid="{DE71B8A1-8072-4123-B369-3CDE6E9CD971}"/>
    <cellStyle name="Migliaia 36 2 4 4 2" xfId="42068" xr:uid="{E611F0A1-9F82-4ABD-B8F1-C2F8473CDC46}"/>
    <cellStyle name="Migliaia 36 2 4 5" xfId="16461" xr:uid="{D4D7031C-B9DF-4013-8699-94B25270819C}"/>
    <cellStyle name="Migliaia 36 2 4 6" xfId="7939" xr:uid="{5DBC49E1-8100-4088-9734-1339BA9CFF28}"/>
    <cellStyle name="Migliaia 36 2 5" xfId="6490" xr:uid="{EC78BB23-7BE4-4354-A845-48A8F1BB148E}"/>
    <cellStyle name="Migliaia 36 2 5 2" xfId="33896" xr:uid="{79499D13-3108-44C0-914E-F3892B16ECD7}"/>
    <cellStyle name="Migliaia 36 2 5 2 2" xfId="39418" xr:uid="{182B7427-7DBA-4947-9528-6EEB055D82E3}"/>
    <cellStyle name="Migliaia 36 2 5 2 3" xfId="44720" xr:uid="{DEE5C170-2F07-4C2F-870F-0ADDE6976057}"/>
    <cellStyle name="Migliaia 36 2 5 3" xfId="36839" xr:uid="{46124F6F-891C-486F-B163-A18644F2802B}"/>
    <cellStyle name="Migliaia 36 2 5 4" xfId="42069" xr:uid="{D9DC65B5-A46E-4637-9411-A679225AE683}"/>
    <cellStyle name="Migliaia 36 2 5 5" xfId="13132" xr:uid="{904B0CB1-A8B0-47A0-A121-5DD75295368A}"/>
    <cellStyle name="Migliaia 36 2 6" xfId="3569" xr:uid="{6CD0B3D0-A4CE-4EDF-B1C6-2FA6BBC8FAE6}"/>
    <cellStyle name="Migliaia 36 2 6 2" xfId="33897" xr:uid="{AC9EB05A-F31B-4D48-8BBF-A48744B194B2}"/>
    <cellStyle name="Migliaia 36 2 6 2 2" xfId="39419" xr:uid="{4D192AF3-A505-4228-A62E-BAE1C644D6A5}"/>
    <cellStyle name="Migliaia 36 2 6 2 3" xfId="44721" xr:uid="{FC0F1878-F7C7-4246-A96C-91475F48FAF4}"/>
    <cellStyle name="Migliaia 36 2 6 3" xfId="36840" xr:uid="{D2A66AB2-44A5-40F6-A003-28DDCEFAB18C}"/>
    <cellStyle name="Migliaia 36 2 6 4" xfId="42070" xr:uid="{9386AA56-5CE8-4479-BF5C-C0443A311A5A}"/>
    <cellStyle name="Migliaia 36 2 6 5" xfId="24833" xr:uid="{04DA511E-C193-4F1F-A2D9-1C77B5D40DCF}"/>
    <cellStyle name="Migliaia 36 2 6 6" xfId="20472" xr:uid="{4FE9DDF1-899F-474D-BFC9-E49F90B81F95}"/>
    <cellStyle name="Migliaia 36 2 7" xfId="24831" xr:uid="{8080D3BE-4741-4CCB-BFDE-3083AB10172C}"/>
    <cellStyle name="Migliaia 36 2 8" xfId="7130" xr:uid="{7ACEB17C-22D0-4F82-A6CE-9FCB3AC3C7CA}"/>
    <cellStyle name="Migliaia 36 3" xfId="419" xr:uid="{00000000-0005-0000-0000-0000C7030000}"/>
    <cellStyle name="Migliaia 36 3 10" xfId="24834" xr:uid="{05C2ED4A-C77C-4DE8-BDF3-9318CF8AF51C}"/>
    <cellStyle name="Migliaia 36 3 11" xfId="16462" xr:uid="{93EEF814-95F1-433E-ACB6-A6288DF9E7C6}"/>
    <cellStyle name="Migliaia 36 3 12" xfId="7131" xr:uid="{BDA04A7A-A35C-4D8F-A3BC-074B9F13A69B}"/>
    <cellStyle name="Migliaia 36 3 2" xfId="420" xr:uid="{00000000-0005-0000-0000-0000C8030000}"/>
    <cellStyle name="Migliaia 36 3 2 2" xfId="1802" xr:uid="{00000000-0005-0000-0000-0000C9030000}"/>
    <cellStyle name="Migliaia 36 3 2 2 2" xfId="5300" xr:uid="{A68C6E22-AFB7-4031-B00E-51E5168B3A9A}"/>
    <cellStyle name="Migliaia 36 3 2 2 2 2" xfId="18450" xr:uid="{0AE75AE1-C918-49FE-B773-7453C6F66CAC}"/>
    <cellStyle name="Migliaia 36 3 2 2 2 2 2" xfId="21870" xr:uid="{CBA4D7FF-7D4E-444D-A397-C074200AB5FB}"/>
    <cellStyle name="Migliaia 36 3 2 2 2 2 2 2" xfId="39420" xr:uid="{D30E7227-BCC3-4BB1-8D77-DFEEF75F037A}"/>
    <cellStyle name="Migliaia 36 3 2 2 2 2 3" xfId="44722" xr:uid="{9047D978-95A7-49BF-A0DF-614AABD38FD0}"/>
    <cellStyle name="Migliaia 36 3 2 2 2 2 4" xfId="33898" xr:uid="{3A1F09CD-B7EB-4ABD-B787-F96F3B573FB2}"/>
    <cellStyle name="Migliaia 36 3 2 2 2 3" xfId="36841" xr:uid="{CECBA0DC-1C8A-47FA-AA63-5872CF081AA0}"/>
    <cellStyle name="Migliaia 36 3 2 2 2 4" xfId="42071" xr:uid="{3B6EB353-F640-47B3-A743-F97E75D1BABB}"/>
    <cellStyle name="Migliaia 36 3 2 2 2 5" xfId="34221" xr:uid="{864F0341-1164-4D0D-B3F1-81C68DE0FB7D}"/>
    <cellStyle name="Migliaia 36 3 2 2 2 6" xfId="50898" xr:uid="{A58A1FD4-4DBF-4941-A2A0-0952F9695287}"/>
    <cellStyle name="Migliaia 36 3 2 2 2 7" xfId="53914" xr:uid="{CC32B9F3-9D61-4546-AB29-DF7D86DBDA99}"/>
    <cellStyle name="Migliaia 36 3 2 2 2 8" xfId="17667" xr:uid="{134703B5-8509-42BE-AA88-E871B3DC78B6}"/>
    <cellStyle name="Migliaia 36 3 2 2 2 9" xfId="12003" xr:uid="{ED95BD90-8DAE-4314-86FA-DEA4114A027B}"/>
    <cellStyle name="Migliaia 36 3 2 2 3" xfId="6495" xr:uid="{992A68F2-B6EC-4E0D-8040-E303B710EE84}"/>
    <cellStyle name="Migliaia 36 3 2 2 3 2" xfId="12173" xr:uid="{55C2DC19-72E6-4D9D-A6FD-958E8F0E0F22}"/>
    <cellStyle name="Migliaia 36 3 2 2 4" xfId="3574" xr:uid="{337A7159-65BB-44AF-B25E-1C075E098118}"/>
    <cellStyle name="Migliaia 36 3 2 2 4 2" xfId="21514" xr:uid="{4A479141-B22A-48B3-B810-8362F3F668A4}"/>
    <cellStyle name="Migliaia 36 3 2 2 4 3" xfId="48282" xr:uid="{4BDE52A2-7AD3-432A-A9FF-34341121F1FC}"/>
    <cellStyle name="Migliaia 36 3 2 2 4 4" xfId="50529" xr:uid="{AAE8042A-D213-4B56-A5EF-BFF828BBC076}"/>
    <cellStyle name="Migliaia 36 3 2 2 4 5" xfId="53545" xr:uid="{58BAC94D-2C82-4CF2-ADD7-B9AFE8DD4657}"/>
    <cellStyle name="Migliaia 36 3 2 2 4 6" xfId="10879" xr:uid="{93DDFA7C-F657-4C3D-BF3F-4BF7FB6E34E2}"/>
    <cellStyle name="Migliaia 36 3 2 2 5" xfId="20479" xr:uid="{CB935A20-7E65-42E6-AD15-ADDD65223421}"/>
    <cellStyle name="Migliaia 36 3 2 2 6" xfId="24836" xr:uid="{FA882C5B-F746-4FEC-89ED-0F15DD54C48C}"/>
    <cellStyle name="Migliaia 36 3 2 2 7" xfId="8657" xr:uid="{8E912580-E3FF-4ECB-9BEA-E94AD99073AB}"/>
    <cellStyle name="Migliaia 36 3 2 3" xfId="5299" xr:uid="{4154503D-E0A1-442E-B8FA-37ACEAAF403B}"/>
    <cellStyle name="Migliaia 36 3 2 3 2" xfId="11545" xr:uid="{E0862835-E32A-45B1-82A4-C44905CF8463}"/>
    <cellStyle name="Migliaia 36 3 2 3 2 2" xfId="39421" xr:uid="{1882E14A-40F0-4839-AD03-2038782E9505}"/>
    <cellStyle name="Migliaia 36 3 2 3 2 3" xfId="44723" xr:uid="{BD8B55ED-CE25-4BC6-AF2D-8D7DBF37012F}"/>
    <cellStyle name="Migliaia 36 3 2 3 2 4" xfId="33899" xr:uid="{A12C6DBD-2C4B-41C3-8CB5-699C20695650}"/>
    <cellStyle name="Migliaia 36 3 2 3 3" xfId="12004" xr:uid="{87F9A3CA-C4A1-4DEB-A221-292BE76D45F5}"/>
    <cellStyle name="Migliaia 36 3 2 3 4" xfId="20480" xr:uid="{47279AB4-5F92-466D-88B9-E5341DC45542}"/>
    <cellStyle name="Migliaia 36 3 2 3 4 2" xfId="42072" xr:uid="{1C9683CF-A354-4243-B482-43D6EB002F69}"/>
    <cellStyle name="Migliaia 36 3 2 3 5" xfId="16463" xr:uid="{7F5B7541-03A9-48A5-A3B5-1D9DB21DA7B8}"/>
    <cellStyle name="Migliaia 36 3 2 3 6" xfId="7941" xr:uid="{E0DDB3A5-4BD1-4C87-8427-9CF237AA4B44}"/>
    <cellStyle name="Migliaia 36 3 2 4" xfId="6494" xr:uid="{579800BC-9E19-4ECE-B2ED-51F95B17AFCE}"/>
    <cellStyle name="Migliaia 36 3 2 4 2" xfId="18086" xr:uid="{9420A33A-3AF6-4CDF-B3A5-CD6A2545A258}"/>
    <cellStyle name="Migliaia 36 3 2 4 2 2" xfId="39422" xr:uid="{48FAA461-814A-4ABE-A930-17BBFB470268}"/>
    <cellStyle name="Migliaia 36 3 2 4 2 3" xfId="44724" xr:uid="{C60E253C-F9AE-4A41-9734-0A01B16B7134}"/>
    <cellStyle name="Migliaia 36 3 2 4 3" xfId="36842" xr:uid="{FC5AAA75-6372-468C-854A-452880F7B303}"/>
    <cellStyle name="Migliaia 36 3 2 4 4" xfId="42073" xr:uid="{0A589F53-445A-4FC7-81AD-C805EC45020E}"/>
    <cellStyle name="Migliaia 36 3 2 4 5" xfId="17194" xr:uid="{92C12346-4C87-49FD-ACF7-893389A2F5EE}"/>
    <cellStyle name="Migliaia 36 3 2 4 6" xfId="11352" xr:uid="{380D8714-9D64-4F16-995E-478CD1C79B53}"/>
    <cellStyle name="Migliaia 36 3 2 5" xfId="3573" xr:uid="{D32DA5F0-6200-40A4-A83D-F8DC007C46F0}"/>
    <cellStyle name="Migliaia 36 3 2 5 2" xfId="33900" xr:uid="{B5AA1899-310D-4457-96F4-A19D15177A85}"/>
    <cellStyle name="Migliaia 36 3 2 5 2 2" xfId="39423" xr:uid="{1F166513-3FB5-42DA-83BF-6BAE2BA23DC8}"/>
    <cellStyle name="Migliaia 36 3 2 5 2 3" xfId="44725" xr:uid="{117D172F-1121-4149-8278-A226CA6169F4}"/>
    <cellStyle name="Migliaia 36 3 2 5 3" xfId="36843" xr:uid="{75072238-E470-418E-B44D-3D1E316EAC9D}"/>
    <cellStyle name="Migliaia 36 3 2 5 4" xfId="42074" xr:uid="{82D8CDD8-82EB-40EA-822B-3511CE8A6713}"/>
    <cellStyle name="Migliaia 36 3 2 5 5" xfId="17339" xr:uid="{C4362ED0-CCE6-4D60-AD98-A7EAF93CB217}"/>
    <cellStyle name="Migliaia 36 3 2 6" xfId="20478" xr:uid="{7B628A51-F324-47CA-856B-4A33EBD4C146}"/>
    <cellStyle name="Migliaia 36 3 2 6 2" xfId="33901" xr:uid="{506C3313-B2B2-477C-8243-FB7131671C2E}"/>
    <cellStyle name="Migliaia 36 3 2 6 2 2" xfId="39424" xr:uid="{FAE582FA-1934-4136-9183-8E42E2C9ED2A}"/>
    <cellStyle name="Migliaia 36 3 2 6 2 3" xfId="44726" xr:uid="{C68E5F90-25AE-4075-A343-9D7B7DE60DD0}"/>
    <cellStyle name="Migliaia 36 3 2 6 3" xfId="36844" xr:uid="{7B41E84E-1FB0-4183-9806-67196AFC9401}"/>
    <cellStyle name="Migliaia 36 3 2 6 4" xfId="42075" xr:uid="{FE2CBC31-0DFB-45B2-B2BA-3CFAEF4E0FBC}"/>
    <cellStyle name="Migliaia 36 3 2 6 5" xfId="24837" xr:uid="{A70E5667-BF9B-4EB0-B703-EF400AF6100F}"/>
    <cellStyle name="Migliaia 36 3 2 7" xfId="24835" xr:uid="{C06817C7-AFD6-4F4E-A435-25B116BB4658}"/>
    <cellStyle name="Migliaia 36 3 2 8" xfId="7467" xr:uid="{03A560B9-4161-49C7-8AA6-0F0B07432838}"/>
    <cellStyle name="Migliaia 36 3 3" xfId="3575" xr:uid="{1DBB7E85-626C-42CC-8543-D54BD0C386D4}"/>
    <cellStyle name="Migliaia 36 3 3 10" xfId="7466" xr:uid="{AE4E723B-C728-4774-A0E5-13B840D4DABD}"/>
    <cellStyle name="Migliaia 36 3 3 2" xfId="5301" xr:uid="{3A0810FC-82D8-485D-B108-E6ABE8150B57}"/>
    <cellStyle name="Migliaia 36 3 3 2 2" xfId="9940" xr:uid="{0E045777-23DA-405D-8422-D1A78FB4E193}"/>
    <cellStyle name="Migliaia 36 3 3 2 2 2" xfId="39426" xr:uid="{5A94322E-24B1-42B6-A3CE-C4FA798C3852}"/>
    <cellStyle name="Migliaia 36 3 3 2 2 3" xfId="44728" xr:uid="{362060BC-8FF0-4494-A546-F09F3FF4CF19}"/>
    <cellStyle name="Migliaia 36 3 3 2 3" xfId="18220" xr:uid="{B223D836-8D43-4A0E-8F46-144F9184F6C9}"/>
    <cellStyle name="Migliaia 36 3 3 2 4" xfId="20482" xr:uid="{BBA352EF-4EB5-49B2-94D9-6B01DB85D091}"/>
    <cellStyle name="Migliaia 36 3 3 2 4 2" xfId="42077" xr:uid="{69748A5B-9D5D-47F7-BC23-1C6AFE637931}"/>
    <cellStyle name="Migliaia 36 3 3 2 5" xfId="16465" xr:uid="{459BB27F-5947-434F-99F9-BDC8E38C103B}"/>
    <cellStyle name="Migliaia 36 3 3 2 6" xfId="8656" xr:uid="{046E0377-7A17-4434-9D44-9A8192E5BEBE}"/>
    <cellStyle name="Migliaia 36 3 3 3" xfId="6496" xr:uid="{03093440-5518-4180-BE9E-119CCD99DE4E}"/>
    <cellStyle name="Migliaia 36 3 3 3 2" xfId="33903" xr:uid="{C3E8F64E-216D-4A98-8955-3F649B8C1CC3}"/>
    <cellStyle name="Migliaia 36 3 3 3 2 2" xfId="39427" xr:uid="{2E5D69F1-D2AF-4AB7-B4D4-4E7B5BC05D9D}"/>
    <cellStyle name="Migliaia 36 3 3 3 2 3" xfId="44729" xr:uid="{47B782FE-680D-4023-AF18-2E3D71878C16}"/>
    <cellStyle name="Migliaia 36 3 3 3 3" xfId="36846" xr:uid="{057D4F3A-C5F0-441A-806E-6F80D754F3A9}"/>
    <cellStyle name="Migliaia 36 3 3 3 4" xfId="42078" xr:uid="{44A17FD5-1BCD-4EF2-B9C4-2ECF294912D3}"/>
    <cellStyle name="Migliaia 36 3 3 3 5" xfId="9703" xr:uid="{DB5C8FDD-64DE-49CC-8C0A-A31D2CB08C04}"/>
    <cellStyle name="Migliaia 36 3 3 4" xfId="20481" xr:uid="{742A8561-DC10-4B10-89D8-1F7AF7293BD6}"/>
    <cellStyle name="Migliaia 36 3 3 4 2" xfId="33904" xr:uid="{CBF9C1AA-F0EA-4F8E-800A-B3E266B1477A}"/>
    <cellStyle name="Migliaia 36 3 3 4 2 2" xfId="39428" xr:uid="{9B1B3926-5D30-4B49-8FFB-2B420180750D}"/>
    <cellStyle name="Migliaia 36 3 3 4 2 3" xfId="44730" xr:uid="{E08C8015-073A-44DD-8C6A-B800E2F9E4EF}"/>
    <cellStyle name="Migliaia 36 3 3 4 3" xfId="36847" xr:uid="{E5BBC612-F97E-4A79-A096-C95C62A0532D}"/>
    <cellStyle name="Migliaia 36 3 3 4 4" xfId="42079" xr:uid="{CAF426EF-C40D-4F87-8F2D-B9528B60D6B2}"/>
    <cellStyle name="Migliaia 36 3 3 4 5" xfId="24838" xr:uid="{3FC16F62-CA16-440B-A5EC-1636C8D18A66}"/>
    <cellStyle name="Migliaia 36 3 3 5" xfId="24839" xr:uid="{D377D0BF-3DC5-4582-9299-6FDFE6578186}"/>
    <cellStyle name="Migliaia 36 3 3 5 2" xfId="33905" xr:uid="{BF3C30DD-A56D-4D7E-A18E-F0FD3C23DE08}"/>
    <cellStyle name="Migliaia 36 3 3 5 2 2" xfId="39429" xr:uid="{C9CD9B14-C363-4FC7-AD7A-DF95BC807425}"/>
    <cellStyle name="Migliaia 36 3 3 5 2 3" xfId="44731" xr:uid="{C3F188C2-8C14-4317-8343-29D6B303B124}"/>
    <cellStyle name="Migliaia 36 3 3 5 3" xfId="36848" xr:uid="{DDB03E3E-9102-4593-99E1-CC7B2F57D0BE}"/>
    <cellStyle name="Migliaia 36 3 3 5 4" xfId="42080" xr:uid="{8E177F9C-89E9-4A97-9801-1D2ABD3B053B}"/>
    <cellStyle name="Migliaia 36 3 3 6" xfId="33902" xr:uid="{5E404858-E3D1-4C7F-8F22-2E408BC8BF10}"/>
    <cellStyle name="Migliaia 36 3 3 6 2" xfId="39425" xr:uid="{4A36A7CB-634A-41F9-8A01-B0A9025D97E1}"/>
    <cellStyle name="Migliaia 36 3 3 6 3" xfId="44727" xr:uid="{17EC7732-F656-42B2-907F-9D9917EEE6C3}"/>
    <cellStyle name="Migliaia 36 3 3 7" xfId="36845" xr:uid="{66F2E748-4459-45F1-AC11-CB3A756223EF}"/>
    <cellStyle name="Migliaia 36 3 3 8" xfId="42076" xr:uid="{692E1DF2-BCA5-44F4-AF3D-11D61C5B4455}"/>
    <cellStyle name="Migliaia 36 3 3 9" xfId="16464" xr:uid="{028A8858-589A-43CC-BB7B-CDAC0661F681}"/>
    <cellStyle name="Migliaia 36 3 4" xfId="3576" xr:uid="{3C366B86-3260-4393-BB3C-3852064D4B57}"/>
    <cellStyle name="Migliaia 36 3 4 2" xfId="5302" xr:uid="{DF2916DD-A922-4D44-A80D-B4559848DC9B}"/>
    <cellStyle name="Migliaia 36 3 4 2 2" xfId="14452" xr:uid="{EE63CB77-F4F1-45F1-B3C4-DA91BFA537B3}"/>
    <cellStyle name="Migliaia 36 3 4 2 3" xfId="18582" xr:uid="{98DE43FF-5D29-425F-B7A9-38E5C04A4F96}"/>
    <cellStyle name="Migliaia 36 3 4 2 4" xfId="20484" xr:uid="{BEE14D52-9E50-4050-89B0-DFE822E3D1E1}"/>
    <cellStyle name="Migliaia 36 3 4 2 5" xfId="32389" xr:uid="{D2ABE191-6DF7-4334-B52E-432819D67918}"/>
    <cellStyle name="Migliaia 36 3 4 2 6" xfId="16467" xr:uid="{A7034F77-CCD9-4C3F-B638-757ED856AC19}"/>
    <cellStyle name="Migliaia 36 3 4 2 7" xfId="8875" xr:uid="{30F53B32-5572-4470-99C9-746B8A918D2C}"/>
    <cellStyle name="Migliaia 36 3 4 3" xfId="6497" xr:uid="{85C9C61A-2BBB-452B-8B33-44913060BCB7}"/>
    <cellStyle name="Migliaia 36 3 4 3 2" xfId="35328" xr:uid="{6190AC00-BAED-4B85-90F9-CCE0B4F43B17}"/>
    <cellStyle name="Migliaia 36 3 4 3 2 2" xfId="40488" xr:uid="{A82EE6B0-542F-4457-ADA3-EF0EA7AFFAC7}"/>
    <cellStyle name="Migliaia 36 3 4 3 2 3" xfId="45790" xr:uid="{A38D578D-B3B7-462A-BA40-5DE22FF6D380}"/>
    <cellStyle name="Migliaia 36 3 4 3 3" xfId="37837" xr:uid="{B503AF36-ACFC-4F6A-ADDA-285922795E33}"/>
    <cellStyle name="Migliaia 36 3 4 3 4" xfId="43139" xr:uid="{592E4CA8-F9D8-4E11-8157-912BB7BDD6A2}"/>
    <cellStyle name="Migliaia 36 3 4 3 5" xfId="13700" xr:uid="{8C323E83-DD3C-4C62-A753-AA8D9C389B76}"/>
    <cellStyle name="Migliaia 36 3 4 4" xfId="20483" xr:uid="{CE3E503F-46E9-4208-8AEE-BDE2E6289D2C}"/>
    <cellStyle name="Migliaia 36 3 4 4 2" xfId="39430" xr:uid="{9E26519A-7AB5-4D84-9F7A-E298A4A6797E}"/>
    <cellStyle name="Migliaia 36 3 4 4 3" xfId="44732" xr:uid="{FDB52958-1563-4CB1-A322-56245D1117E9}"/>
    <cellStyle name="Migliaia 36 3 4 4 4" xfId="33906" xr:uid="{308926A8-307A-4D4E-9906-F663FD0680EE}"/>
    <cellStyle name="Migliaia 36 3 4 5" xfId="36849" xr:uid="{090AB221-139F-414B-95EE-B39DD888148E}"/>
    <cellStyle name="Migliaia 36 3 4 6" xfId="42081" xr:uid="{E4847883-5E17-432F-AE3C-6B236B18B24C}"/>
    <cellStyle name="Migliaia 36 3 4 7" xfId="16466" xr:uid="{21D8ADD5-9733-4419-BA1F-CDE6C05B11C5}"/>
    <cellStyle name="Migliaia 36 3 4 8" xfId="7685" xr:uid="{9295684D-59DA-45A8-84D3-2B8D4030A9C8}"/>
    <cellStyle name="Migliaia 36 3 5" xfId="3577" xr:uid="{E32069A4-8CE1-46AE-9FBF-9A8E9DA3F600}"/>
    <cellStyle name="Migliaia 36 3 5 2" xfId="5303" xr:uid="{07FD3BAC-84CC-4A28-A924-DB3C71700492}"/>
    <cellStyle name="Migliaia 36 3 5 2 2" xfId="35329" xr:uid="{A4E1ACE6-F7CA-4B1C-9B80-23509FC61572}"/>
    <cellStyle name="Migliaia 36 3 5 2 2 2" xfId="40489" xr:uid="{FD25F39A-87BE-4DC8-BD05-C8031F41350C}"/>
    <cellStyle name="Migliaia 36 3 5 2 2 3" xfId="45791" xr:uid="{83361D3C-3677-4626-95C5-DC01E22756EA}"/>
    <cellStyle name="Migliaia 36 3 5 2 3" xfId="37838" xr:uid="{7F6ECD10-0D17-49EF-95A2-4E1DD032BBC3}"/>
    <cellStyle name="Migliaia 36 3 5 2 4" xfId="43140" xr:uid="{1B680D8D-FC69-4472-9AFD-349A32812F4E}"/>
    <cellStyle name="Migliaia 36 3 5 2 5" xfId="14268" xr:uid="{DD1814F6-4B6A-48D1-B43C-DB12D378A566}"/>
    <cellStyle name="Migliaia 36 3 5 3" xfId="6498" xr:uid="{90C877CF-C853-43BF-B00E-2D9D705D00BC}"/>
    <cellStyle name="Migliaia 36 3 5 3 2" xfId="39431" xr:uid="{E807924A-5844-4F4D-B013-FDA2AD3871C7}"/>
    <cellStyle name="Migliaia 36 3 5 3 3" xfId="44733" xr:uid="{F52D4798-6AD9-48DD-911E-BD15D02C45D6}"/>
    <cellStyle name="Migliaia 36 3 5 3 4" xfId="33907" xr:uid="{2CA2B84D-C7B9-4EEB-A32B-87FE037F8257}"/>
    <cellStyle name="Migliaia 36 3 5 3 5" xfId="20485" xr:uid="{FE79506D-2AF5-4551-8114-4570C335B777}"/>
    <cellStyle name="Migliaia 36 3 5 4" xfId="36850" xr:uid="{0BD02983-F368-4408-B3F9-1BECE077ABC6}"/>
    <cellStyle name="Migliaia 36 3 5 5" xfId="42082" xr:uid="{E87345A0-3375-4874-810D-BD162C18C00C}"/>
    <cellStyle name="Migliaia 36 3 5 6" xfId="16468" xr:uid="{E3DE6576-090D-41A2-B289-6F7EAE4B744F}"/>
    <cellStyle name="Migliaia 36 3 5 7" xfId="8330" xr:uid="{BBEF1296-4363-4718-AB3F-7C15CACBCDDF}"/>
    <cellStyle name="Migliaia 36 3 6" xfId="5298" xr:uid="{5ACC02D6-41A4-4405-8785-70D55A2359E1}"/>
    <cellStyle name="Migliaia 36 3 6 2" xfId="13973" xr:uid="{624D3C30-9198-4E0A-BDCE-459E6C027E67}"/>
    <cellStyle name="Migliaia 36 3 6 2 2" xfId="39432" xr:uid="{63F31C34-EC4E-4C4E-A086-6EBCC68E1E92}"/>
    <cellStyle name="Migliaia 36 3 6 2 3" xfId="44734" xr:uid="{B333190C-1983-4265-A476-F6AAD081DF40}"/>
    <cellStyle name="Migliaia 36 3 6 3" xfId="18561" xr:uid="{6AC15317-E575-49CC-A4AC-E6DB535EAC0D}"/>
    <cellStyle name="Migliaia 36 3 6 4" xfId="20486" xr:uid="{98A866AE-E99B-4A74-A7B6-1DD6C08A6CF6}"/>
    <cellStyle name="Migliaia 36 3 6 4 2" xfId="42083" xr:uid="{D7E12C49-1D26-44AD-8803-E576EC29FB7E}"/>
    <cellStyle name="Migliaia 36 3 6 5" xfId="16469" xr:uid="{407E93A1-F592-4B92-8449-395B3CCE5BDC}"/>
    <cellStyle name="Migliaia 36 3 6 6" xfId="7940" xr:uid="{252BD699-3F28-4BB4-AEC5-1583546D6F1A}"/>
    <cellStyle name="Migliaia 36 3 7" xfId="6493" xr:uid="{F1B11BC4-F524-4F0C-A10F-DDA2BEBFAC9B}"/>
    <cellStyle name="Migliaia 36 3 7 2" xfId="33908" xr:uid="{29006B68-29BC-4A85-94BB-6D37CA4E0029}"/>
    <cellStyle name="Migliaia 36 3 7 2 2" xfId="39433" xr:uid="{57392AF9-E315-4749-8816-B3B8DF036693}"/>
    <cellStyle name="Migliaia 36 3 7 2 3" xfId="44735" xr:uid="{A7415F97-C59F-4F42-AC2B-CE82D35A9640}"/>
    <cellStyle name="Migliaia 36 3 7 3" xfId="36851" xr:uid="{0368496F-7FCD-4C7C-9AAA-5E8447C1929B}"/>
    <cellStyle name="Migliaia 36 3 7 4" xfId="42084" xr:uid="{87DEE3D2-F370-4EB7-A53E-22C9266C968E}"/>
    <cellStyle name="Migliaia 36 3 7 5" xfId="11219" xr:uid="{5D910BE9-0BB8-45FF-9236-7E369E2EA820}"/>
    <cellStyle name="Migliaia 36 3 8" xfId="3572" xr:uid="{C7D91E42-3FF5-4A73-83A9-C67D74F13EC0}"/>
    <cellStyle name="Migliaia 36 3 8 2" xfId="33909" xr:uid="{54A140D0-9CC9-48FA-9F24-813696377B06}"/>
    <cellStyle name="Migliaia 36 3 8 2 2" xfId="39434" xr:uid="{3EFF636F-1CC6-4D32-A0C9-5B65C0DD649B}"/>
    <cellStyle name="Migliaia 36 3 8 2 3" xfId="44736" xr:uid="{C59F0859-960E-4D14-AF33-1C6CAE153735}"/>
    <cellStyle name="Migliaia 36 3 8 3" xfId="36852" xr:uid="{DF8C79A7-B41C-4FEC-B976-E4E5015DF8B9}"/>
    <cellStyle name="Migliaia 36 3 8 4" xfId="42085" xr:uid="{B691E97A-F76C-4C4D-AA13-5E3D573E35F4}"/>
    <cellStyle name="Migliaia 36 3 8 5" xfId="24840" xr:uid="{C701881A-06E7-4E04-81B0-7E63260CF4C7}"/>
    <cellStyle name="Migliaia 36 3 8 6" xfId="17340" xr:uid="{6CFB5F46-100D-4E6C-B6D1-7C86F11A2669}"/>
    <cellStyle name="Migliaia 36 3 9" xfId="20477" xr:uid="{F6C684EB-9BF3-4822-835C-96C9D665B1C1}"/>
    <cellStyle name="Migliaia 36 4" xfId="1803" xr:uid="{00000000-0005-0000-0000-0000CA030000}"/>
    <cellStyle name="Migliaia 36 4 2" xfId="1804" xr:uid="{00000000-0005-0000-0000-0000CB030000}"/>
    <cellStyle name="Migliaia 36 4 2 2" xfId="5305" xr:uid="{4C27EBBB-E07F-4F03-A5E2-C47F22F7B4F7}"/>
    <cellStyle name="Migliaia 36 4 2 2 2" xfId="33910" xr:uid="{9C3832D7-665A-41C2-BED7-5DF08FBC3DD0}"/>
    <cellStyle name="Migliaia 36 4 2 2 2 2" xfId="39435" xr:uid="{E445EBB3-D3BE-4C15-89E4-C656A758F579}"/>
    <cellStyle name="Migliaia 36 4 2 2 2 3" xfId="44737" xr:uid="{47176AEA-A2C8-463C-8D5E-B034DBE88F03}"/>
    <cellStyle name="Migliaia 36 4 2 2 3" xfId="36853" xr:uid="{2B7C91D8-2FE6-4007-8C7A-AD1C80F3D021}"/>
    <cellStyle name="Migliaia 36 4 2 2 4" xfId="42086" xr:uid="{DC7B8D2F-DE08-443C-8B88-4FDA17D1B416}"/>
    <cellStyle name="Migliaia 36 4 2 2 5" xfId="9166" xr:uid="{83408B39-B3C5-4003-A8AD-696AB17B8B38}"/>
    <cellStyle name="Migliaia 36 4 2 3" xfId="3579" xr:uid="{FFA56A31-073A-42D4-94F7-8AFDEAF08229}"/>
    <cellStyle name="Migliaia 36 4 2 3 2" xfId="33911" xr:uid="{CD620643-9DE6-490D-BFD8-F05614ADAAE9}"/>
    <cellStyle name="Migliaia 36 4 2 3 2 2" xfId="39436" xr:uid="{DF39283A-C868-41FF-BE35-F58E7E39DB01}"/>
    <cellStyle name="Migliaia 36 4 2 3 2 3" xfId="44738" xr:uid="{96981CD3-6F2C-44CC-9A22-2358694E7F6F}"/>
    <cellStyle name="Migliaia 36 4 2 3 3" xfId="36854" xr:uid="{C34E303E-540C-481C-A63F-DC5FA3A049EE}"/>
    <cellStyle name="Migliaia 36 4 2 3 4" xfId="42087" xr:uid="{7F50327D-6F92-4863-BE64-1B35CD05CC3A}"/>
    <cellStyle name="Migliaia 36 4 2 3 5" xfId="12005" xr:uid="{0F8F446B-962B-46E8-8555-26AEC8B74491}"/>
    <cellStyle name="Migliaia 36 4 2 4" xfId="11354" xr:uid="{16FDEE46-0A33-4ACD-98F0-E4BAC4868DA5}"/>
    <cellStyle name="Migliaia 36 4 2 5" xfId="10881" xr:uid="{2201E4F8-CBB1-40C6-9622-B313B8646819}"/>
    <cellStyle name="Migliaia 36 4 2 5 2" xfId="21516" xr:uid="{675DBB6D-B31B-4680-BB69-98AE6632F0CD}"/>
    <cellStyle name="Migliaia 36 4 2 5 3" xfId="23993" xr:uid="{AEEF6ED9-4CDF-40F0-9FD6-C86F27FE3CB1}"/>
    <cellStyle name="Migliaia 36 4 2 5 4" xfId="50531" xr:uid="{714CA27D-2464-44BC-A3C8-F7BE90025D45}"/>
    <cellStyle name="Migliaia 36 4 2 5 5" xfId="53547" xr:uid="{FF3CB944-FF29-4AB7-9DE1-48211BFDD2CC}"/>
    <cellStyle name="Migliaia 36 4 2 6" xfId="20488" xr:uid="{F44E2622-C85E-419A-A9F1-85699115D0F0}"/>
    <cellStyle name="Migliaia 36 4 2 7" xfId="24842" xr:uid="{E81E4286-9DD8-49B7-8543-2831F0238ABD}"/>
    <cellStyle name="Migliaia 36 4 2 8" xfId="8658" xr:uid="{B152C6D7-D46B-4056-A350-A882DEC95EE6}"/>
    <cellStyle name="Migliaia 36 4 3" xfId="5304" xr:uid="{04A047A6-60DC-4221-913F-711DDFC82C1D}"/>
    <cellStyle name="Migliaia 36 4 3 2" xfId="18221" xr:uid="{D5CB2AF9-6E34-4590-8011-BD85B8A949A8}"/>
    <cellStyle name="Migliaia 36 4 3 2 2" xfId="39437" xr:uid="{1EA7BF1D-54E4-4360-8058-8C541F77F218}"/>
    <cellStyle name="Migliaia 36 4 3 2 3" xfId="44739" xr:uid="{A6D5FB23-9CA7-4B15-860D-09083229EAAC}"/>
    <cellStyle name="Migliaia 36 4 3 3" xfId="36855" xr:uid="{4FAC4CA9-8D99-4380-802D-8A814DE25492}"/>
    <cellStyle name="Migliaia 36 4 3 4" xfId="42088" xr:uid="{776AF7CE-91DF-4B4F-9EDC-A74E185265A4}"/>
    <cellStyle name="Migliaia 36 4 3 5" xfId="17338" xr:uid="{ADF40597-17F9-447B-9FFA-3950B7BDF2EC}"/>
    <cellStyle name="Migliaia 36 4 3 6" xfId="9167" xr:uid="{2214FF59-B4FD-4BF7-A68A-EE506B49B406}"/>
    <cellStyle name="Migliaia 36 4 4" xfId="6499" xr:uid="{2371A2A9-4FF4-45B4-9770-B967FD6D8E6A}"/>
    <cellStyle name="Migliaia 36 4 4 2" xfId="33912" xr:uid="{961C3FAB-B7B7-48A4-844B-E2D2E6459D85}"/>
    <cellStyle name="Migliaia 36 4 4 2 2" xfId="39438" xr:uid="{D5DF14F8-3E7C-47C3-8038-B8FD81BCB46D}"/>
    <cellStyle name="Migliaia 36 4 4 2 3" xfId="44740" xr:uid="{2117FCC7-D61A-4A02-A2C9-FFD9DD875E13}"/>
    <cellStyle name="Migliaia 36 4 4 3" xfId="36856" xr:uid="{5DC0DC9B-20B9-411B-9AF4-E6E50AE3A42D}"/>
    <cellStyle name="Migliaia 36 4 4 4" xfId="42089" xr:uid="{F05E285B-9B32-44FD-9784-6788CC6C7E04}"/>
    <cellStyle name="Migliaia 36 4 4 5" xfId="12006" xr:uid="{0CF6FFE3-AA4F-464D-9DB8-79292FD44B59}"/>
    <cellStyle name="Migliaia 36 4 5" xfId="3578" xr:uid="{F9AA01AE-88FD-4C30-BEF5-6D24043AF8BC}"/>
    <cellStyle name="Migliaia 36 4 5 2" xfId="33913" xr:uid="{04866215-6E07-416A-BF94-97BD1EF51F26}"/>
    <cellStyle name="Migliaia 36 4 5 2 2" xfId="39439" xr:uid="{C8D755EC-1785-45EC-BAB6-338A1D774878}"/>
    <cellStyle name="Migliaia 36 4 5 2 3" xfId="44741" xr:uid="{11585BA5-E3E8-4B0C-9365-57EE80900377}"/>
    <cellStyle name="Migliaia 36 4 5 3" xfId="36857" xr:uid="{891D9462-FBA1-4661-A102-A5B9C9D86666}"/>
    <cellStyle name="Migliaia 36 4 5 4" xfId="42090" xr:uid="{EBE3FCCA-4FFF-483E-8175-9F5B7E79DDB7}"/>
    <cellStyle name="Migliaia 36 4 5 5" xfId="11353" xr:uid="{E5705140-B36E-45ED-A401-06C5BB2E8681}"/>
    <cellStyle name="Migliaia 36 4 6" xfId="10880" xr:uid="{EC9E11F1-3C8B-45C6-B24E-BB8FE48FFEFA}"/>
    <cellStyle name="Migliaia 36 4 6 2" xfId="21515" xr:uid="{F84AA933-BADE-49D8-B6F3-EE67C1F113D0}"/>
    <cellStyle name="Migliaia 36 4 6 2 2" xfId="39440" xr:uid="{0B126A4F-7733-47AF-B56A-7FF8B8F49407}"/>
    <cellStyle name="Migliaia 36 4 6 2 3" xfId="44742" xr:uid="{4754A2D6-188D-481A-A7C5-086013AF546C}"/>
    <cellStyle name="Migliaia 36 4 6 2 4" xfId="33914" xr:uid="{B4138D10-767E-47B6-BC40-65DEE8CD06B3}"/>
    <cellStyle name="Migliaia 36 4 6 3" xfId="36858" xr:uid="{3DA9C114-A893-4E77-A880-886FD8B1B48D}"/>
    <cellStyle name="Migliaia 36 4 6 4" xfId="42091" xr:uid="{4CA054ED-CD7C-408F-97F1-8A5040EBD42E}"/>
    <cellStyle name="Migliaia 36 4 6 5" xfId="24843" xr:uid="{11928724-DA7A-4008-B2F3-AA3DDA0AA985}"/>
    <cellStyle name="Migliaia 36 4 6 6" xfId="23996" xr:uid="{2663C111-6D09-4589-B687-F4DF6C389CAF}"/>
    <cellStyle name="Migliaia 36 4 6 7" xfId="50530" xr:uid="{F2E95D22-0E9F-42CC-AA5A-742FCDD4A00D}"/>
    <cellStyle name="Migliaia 36 4 6 8" xfId="53546" xr:uid="{D7893F70-0EAB-46DC-A258-83E8775A8148}"/>
    <cellStyle name="Migliaia 36 4 7" xfId="20487" xr:uid="{06AB5C37-DDC8-470B-A19B-721A63515245}"/>
    <cellStyle name="Migliaia 36 4 7 2" xfId="33915" xr:uid="{AE901890-0B5C-4FDC-8206-B92D7902CAF4}"/>
    <cellStyle name="Migliaia 36 4 7 2 2" xfId="39441" xr:uid="{31CAF410-B0F1-4004-9958-A459304AC23E}"/>
    <cellStyle name="Migliaia 36 4 7 2 3" xfId="44743" xr:uid="{81CAF638-1E43-4C94-9ED0-9DE3474B203E}"/>
    <cellStyle name="Migliaia 36 4 7 3" xfId="36859" xr:uid="{754AE685-8D6B-425A-A5A0-4237B551DD56}"/>
    <cellStyle name="Migliaia 36 4 7 4" xfId="42092" xr:uid="{2C6B0CAE-CFA2-4380-9AAA-2C22AD9757B5}"/>
    <cellStyle name="Migliaia 36 4 7 5" xfId="24844" xr:uid="{2B868728-2BBD-4735-B574-840B4F80B69A}"/>
    <cellStyle name="Migliaia 36 4 8" xfId="24841" xr:uid="{77EC59A5-F5C7-4D15-ABA4-128CDF6A77F0}"/>
    <cellStyle name="Migliaia 36 4 9" xfId="7468" xr:uid="{B68CC6E4-740D-4484-822B-2CF9B17545D5}"/>
    <cellStyle name="Migliaia 36 5" xfId="1805" xr:uid="{00000000-0005-0000-0000-0000CC030000}"/>
    <cellStyle name="Migliaia 36 5 2" xfId="5306" xr:uid="{4BC4A867-7D47-4266-9728-4BDF865F37A1}"/>
    <cellStyle name="Migliaia 36 5 2 2" xfId="18451" xr:uid="{0AE0E80B-B062-4DF1-B44E-D84747FE3B3D}"/>
    <cellStyle name="Migliaia 36 5 2 2 2" xfId="39442" xr:uid="{8C2E8D5E-70E7-40E9-AAF8-CDB64C632124}"/>
    <cellStyle name="Migliaia 36 5 2 2 3" xfId="44744" xr:uid="{281FBFEB-81CE-42BF-A801-57FB8A4A9C15}"/>
    <cellStyle name="Migliaia 36 5 2 3" xfId="20490" xr:uid="{FC50CF8F-D9BE-4AEC-9463-EC7BDF1E4A4B}"/>
    <cellStyle name="Migliaia 36 5 2 3 2" xfId="36860" xr:uid="{AF17AF08-C2D3-41E6-97F4-80B5D7ECA3C3}"/>
    <cellStyle name="Migliaia 36 5 2 4" xfId="42093" xr:uid="{768B8F3A-CF38-4B0E-B464-05E2FB4ACB49}"/>
    <cellStyle name="Migliaia 36 5 2 5" xfId="16470" xr:uid="{2BD63FB8-3827-40FE-8EE5-8E0C532A73EE}"/>
    <cellStyle name="Migliaia 36 5 2 6" xfId="8659" xr:uid="{154D9EBE-F349-4C5F-B655-C2E8B1DA7349}"/>
    <cellStyle name="Migliaia 36 5 3" xfId="6500" xr:uid="{747066F0-0D64-4EC6-8F0A-183D25CF3671}"/>
    <cellStyle name="Migliaia 36 5 3 2" xfId="33916" xr:uid="{C388F273-59B8-4B3E-B660-437B485B7945}"/>
    <cellStyle name="Migliaia 36 5 3 2 2" xfId="39443" xr:uid="{7ECB2E50-E4C2-4880-AAFA-1696B4C0CB6A}"/>
    <cellStyle name="Migliaia 36 5 3 2 3" xfId="44745" xr:uid="{99B6EC49-0B6B-4420-882C-2F60D25C980F}"/>
    <cellStyle name="Migliaia 36 5 3 3" xfId="36861" xr:uid="{D4145894-D004-447F-A004-BD626D104850}"/>
    <cellStyle name="Migliaia 36 5 3 4" xfId="42094" xr:uid="{4CD7F6EC-0768-4E6A-A128-04AACAC1E6DE}"/>
    <cellStyle name="Migliaia 36 5 3 5" xfId="11355" xr:uid="{CFE0C414-6B13-4F80-8DA1-57D083B7A9AC}"/>
    <cellStyle name="Migliaia 36 5 4" xfId="3580" xr:uid="{3D9BAEAD-E674-40AC-9B34-CE5272E330D9}"/>
    <cellStyle name="Migliaia 36 5 4 2" xfId="21517" xr:uid="{135D5B27-4C00-42F3-8E5B-792CA6E7C6B1}"/>
    <cellStyle name="Migliaia 36 5 4 2 2" xfId="39444" xr:uid="{5B21A89A-EA1B-4AB3-825F-CB82DFBABEC5}"/>
    <cellStyle name="Migliaia 36 5 4 2 3" xfId="44746" xr:uid="{51F6B106-860D-4E9D-8513-289BFADBBF8E}"/>
    <cellStyle name="Migliaia 36 5 4 2 4" xfId="33917" xr:uid="{A8C20130-7C01-49CA-BC09-E0DE40E1B553}"/>
    <cellStyle name="Migliaia 36 5 4 3" xfId="36862" xr:uid="{3AB19117-3A5C-42A4-9860-D22A22D71FD2}"/>
    <cellStyle name="Migliaia 36 5 4 4" xfId="42095" xr:uid="{5F5397B3-42A3-4AF4-9872-C979EB628E98}"/>
    <cellStyle name="Migliaia 36 5 4 5" xfId="24846" xr:uid="{7018A211-FA5F-4A76-B024-EE92740C1D53}"/>
    <cellStyle name="Migliaia 36 5 4 6" xfId="46248" xr:uid="{C236B62B-388D-45AB-B4C1-A57FE06522CA}"/>
    <cellStyle name="Migliaia 36 5 4 7" xfId="50532" xr:uid="{66374911-4FC6-4913-A019-1DF58B26AFCE}"/>
    <cellStyle name="Migliaia 36 5 4 8" xfId="53548" xr:uid="{D18E035C-CAD2-4D4D-96D1-E9EC178CA20B}"/>
    <cellStyle name="Migliaia 36 5 4 9" xfId="10882" xr:uid="{5C273C79-FBBD-43F7-9A2A-186E3BC4F5D2}"/>
    <cellStyle name="Migliaia 36 5 5" xfId="20489" xr:uid="{EB5825A9-135D-4001-B72E-D78C00D099C3}"/>
    <cellStyle name="Migliaia 36 5 5 2" xfId="33918" xr:uid="{F83AFBE1-BB1B-4110-A830-AD2B8AC1F348}"/>
    <cellStyle name="Migliaia 36 5 5 2 2" xfId="39445" xr:uid="{E0E03AA4-CE5C-49D6-95F0-7F4FE1E4464A}"/>
    <cellStyle name="Migliaia 36 5 5 2 3" xfId="44747" xr:uid="{98371C24-BF24-4650-A509-D71D4183AEC4}"/>
    <cellStyle name="Migliaia 36 5 5 3" xfId="36863" xr:uid="{D2CB99B3-6F52-48B9-8BA1-A2B00BB15F7B}"/>
    <cellStyle name="Migliaia 36 5 5 4" xfId="42096" xr:uid="{C4850321-D799-4C90-91B0-F91BFA0ECB79}"/>
    <cellStyle name="Migliaia 36 5 5 5" xfId="24847" xr:uid="{5124E242-EEF3-4A03-904D-E5769A882EDB}"/>
    <cellStyle name="Migliaia 36 5 6" xfId="24848" xr:uid="{1ABE15E5-9CF5-4130-AB27-2450CB5E84D3}"/>
    <cellStyle name="Migliaia 36 5 6 2" xfId="33919" xr:uid="{AF46785F-5141-456D-BE65-A7E2DCAE5764}"/>
    <cellStyle name="Migliaia 36 5 6 2 2" xfId="39446" xr:uid="{0942D412-E9A7-4E51-BE78-FC86A612DCF6}"/>
    <cellStyle name="Migliaia 36 5 6 2 3" xfId="44748" xr:uid="{67C7D0F4-301A-4CF2-9D74-C6F57EF64192}"/>
    <cellStyle name="Migliaia 36 5 6 3" xfId="36864" xr:uid="{59681593-C884-4668-AC1D-A50EB9246FFB}"/>
    <cellStyle name="Migliaia 36 5 6 4" xfId="42097" xr:uid="{5D0ADF24-87EB-4BE9-A4B7-B6693D429E00}"/>
    <cellStyle name="Migliaia 36 5 7" xfId="24845" xr:uid="{88CB6DB7-36F4-470B-BEFE-E34B1EDEC206}"/>
    <cellStyle name="Migliaia 36 5 8" xfId="7469" xr:uid="{5AAF90B6-DD98-4860-93F3-A35F9E0D1147}"/>
    <cellStyle name="Migliaia 36 6" xfId="3581" xr:uid="{BB9235FF-92E6-4168-97DE-F41796DD3032}"/>
    <cellStyle name="Migliaia 36 6 2" xfId="5307" xr:uid="{67C26097-025A-4754-A399-4B074F221E18}"/>
    <cellStyle name="Migliaia 36 6 2 2" xfId="9939" xr:uid="{AE89D354-8657-4961-8524-4880387E6818}"/>
    <cellStyle name="Migliaia 36 6 2 3" xfId="18651" xr:uid="{3D741238-1723-4461-B228-FBFBBB54C925}"/>
    <cellStyle name="Migliaia 36 6 2 4" xfId="20492" xr:uid="{64EE5BB5-0EF7-45A4-982F-67CA2F7DE495}"/>
    <cellStyle name="Migliaia 36 6 2 5" xfId="32390" xr:uid="{3658BF1D-570B-4CB8-8567-9FDB231B0468}"/>
    <cellStyle name="Migliaia 36 6 2 6" xfId="16472" xr:uid="{7983BD1E-5837-4FD2-899D-1405469EF46A}"/>
    <cellStyle name="Migliaia 36 6 2 7" xfId="8654" xr:uid="{0E6942EF-89B9-4236-9515-EB083719EA49}"/>
    <cellStyle name="Migliaia 36 6 3" xfId="6501" xr:uid="{A8A0AA72-F6F5-49FD-94A3-6D9B0CBF231B}"/>
    <cellStyle name="Migliaia 36 6 3 2" xfId="35330" xr:uid="{D3297640-A245-4540-9E1D-6D36FDEEC350}"/>
    <cellStyle name="Migliaia 36 6 3 2 2" xfId="40490" xr:uid="{21248B36-A139-4A8D-8ACB-624D6DD99F45}"/>
    <cellStyle name="Migliaia 36 6 3 2 3" xfId="45792" xr:uid="{F0AE09E0-F695-44A0-932C-28FF0D27AD50}"/>
    <cellStyle name="Migliaia 36 6 3 3" xfId="37839" xr:uid="{58C34081-9215-4246-8000-91826D074211}"/>
    <cellStyle name="Migliaia 36 6 3 4" xfId="43141" xr:uid="{F924F469-C254-46FB-AE18-46F9E52EC42F}"/>
    <cellStyle name="Migliaia 36 6 3 5" xfId="9702" xr:uid="{1D345AAC-C20B-45BC-AC6D-CD0218EB28DA}"/>
    <cellStyle name="Migliaia 36 6 4" xfId="20491" xr:uid="{36EED705-359C-4520-881E-90B1B90ADB91}"/>
    <cellStyle name="Migliaia 36 6 4 2" xfId="39447" xr:uid="{70250433-5232-462F-87F2-4CA8A7BC13B0}"/>
    <cellStyle name="Migliaia 36 6 4 3" xfId="44749" xr:uid="{A32CAA71-D14F-4AA6-871B-696D1B9E1AF4}"/>
    <cellStyle name="Migliaia 36 6 4 4" xfId="33920" xr:uid="{752D7A93-3B92-4C4E-A859-A4F0D8B164BF}"/>
    <cellStyle name="Migliaia 36 6 5" xfId="36865" xr:uid="{604A9950-CB37-4E8D-B1DC-1EC8B7E621D6}"/>
    <cellStyle name="Migliaia 36 6 6" xfId="42098" xr:uid="{1820C003-11E7-4FC1-9D1A-38438340B0C4}"/>
    <cellStyle name="Migliaia 36 6 7" xfId="16471" xr:uid="{338BAE2B-5563-441A-8384-81E6D16172CB}"/>
    <cellStyle name="Migliaia 36 6 8" xfId="7464" xr:uid="{02F8A0B1-4C15-459A-8889-A3D4A0756C9B}"/>
    <cellStyle name="Migliaia 36 7" xfId="3582" xr:uid="{61739952-4064-4808-9757-65E5E90FBEC2}"/>
    <cellStyle name="Migliaia 36 7 2" xfId="5308" xr:uid="{ED0397CF-208D-4E91-B0F8-B8E82CF5DF7D}"/>
    <cellStyle name="Migliaia 36 7 2 2" xfId="35331" xr:uid="{D5C907F4-BDC3-4CF2-AE48-CBBD6BB17189}"/>
    <cellStyle name="Migliaia 36 7 2 2 2" xfId="40491" xr:uid="{759CF592-B617-4499-9319-4E61753CD66C}"/>
    <cellStyle name="Migliaia 36 7 2 2 3" xfId="45793" xr:uid="{960D5568-B5B7-4601-9433-80119FC56EA1}"/>
    <cellStyle name="Migliaia 36 7 2 3" xfId="37840" xr:uid="{FECC8FE7-6486-4A17-9D76-5D0B076C83AE}"/>
    <cellStyle name="Migliaia 36 7 2 4" xfId="43142" xr:uid="{95A30D1E-E155-464D-A9A0-0A6BD3CCD91D}"/>
    <cellStyle name="Migliaia 36 7 2 5" xfId="14266" xr:uid="{6ECC281B-E66C-4763-8FFE-37F5861ACAF2}"/>
    <cellStyle name="Migliaia 36 7 3" xfId="6502" xr:uid="{B1BB469F-19E8-4904-9EE7-BB6B956165D6}"/>
    <cellStyle name="Migliaia 36 7 3 2" xfId="39448" xr:uid="{C61D8A7F-3E7B-4C91-9D42-155F8A663804}"/>
    <cellStyle name="Migliaia 36 7 3 3" xfId="44750" xr:uid="{06017448-B6DF-49A0-BC7B-DA6AEA6868CE}"/>
    <cellStyle name="Migliaia 36 7 3 4" xfId="33921" xr:uid="{CD0B1AE5-F8DA-4887-86B8-E269D6F7BE73}"/>
    <cellStyle name="Migliaia 36 7 3 5" xfId="20493" xr:uid="{5864307D-3429-485E-9624-EB781AB464A6}"/>
    <cellStyle name="Migliaia 36 7 4" xfId="36866" xr:uid="{30A4DB18-3AB5-4F9F-9B21-87EBD43468E2}"/>
    <cellStyle name="Migliaia 36 7 5" xfId="42099" xr:uid="{93A1F2A6-739E-427D-A2CB-FA1A0D1BDFD7}"/>
    <cellStyle name="Migliaia 36 7 6" xfId="16473" xr:uid="{5DB65D78-9F2C-4A9D-B5F4-D18877B4568D}"/>
    <cellStyle name="Migliaia 36 7 7" xfId="8328" xr:uid="{CFF3BAD5-3F53-44AB-B629-94583019214B}"/>
    <cellStyle name="Migliaia 36 8" xfId="3583" xr:uid="{AB7180A6-D0F5-4936-B9C1-AB924464F74F}"/>
    <cellStyle name="Migliaia 36 8 2" xfId="5309" xr:uid="{AEEE28A9-90E7-4025-9768-788E8A652403}"/>
    <cellStyle name="Migliaia 36 8 2 2" xfId="35332" xr:uid="{FCC8877C-8D8D-4040-9402-0194F80DDC65}"/>
    <cellStyle name="Migliaia 36 8 2 2 2" xfId="40492" xr:uid="{B37E5BA6-22B0-41FE-BF63-F7A36AF3343E}"/>
    <cellStyle name="Migliaia 36 8 2 2 3" xfId="45794" xr:uid="{982022EF-18A9-4991-B66A-59FC4BC67F2A}"/>
    <cellStyle name="Migliaia 36 8 2 3" xfId="37841" xr:uid="{FCF1DCAC-0B36-443F-AAD3-7B89A6B090D3}"/>
    <cellStyle name="Migliaia 36 8 2 4" xfId="43143" xr:uid="{B7854717-ACF3-4E64-BD2F-521E8C981562}"/>
    <cellStyle name="Migliaia 36 8 2 5" xfId="13971" xr:uid="{EF877E78-2F9B-4403-97F3-83A382DD954E}"/>
    <cellStyle name="Migliaia 36 8 3" xfId="6503" xr:uid="{CE04CBE6-711D-4ECD-B1E7-27330BE3B977}"/>
    <cellStyle name="Migliaia 36 8 3 2" xfId="39449" xr:uid="{FAC44B89-A799-4977-8FB0-31BFB4093D2B}"/>
    <cellStyle name="Migliaia 36 8 3 3" xfId="44751" xr:uid="{0F0180CD-6D7F-4B13-8AD7-CE0B2AAB2E2E}"/>
    <cellStyle name="Migliaia 36 8 3 4" xfId="33922" xr:uid="{D2312538-78B4-4FA9-8B58-81B4A98F64DC}"/>
    <cellStyle name="Migliaia 36 8 3 5" xfId="20494" xr:uid="{829F0C22-0705-43D4-87F7-935B0D447D75}"/>
    <cellStyle name="Migliaia 36 8 4" xfId="36867" xr:uid="{90BEFA60-35F5-4598-83F2-596AE82A5EAF}"/>
    <cellStyle name="Migliaia 36 8 5" xfId="42100" xr:uid="{B2A88A14-850B-4A9B-8685-AB06A1F41C24}"/>
    <cellStyle name="Migliaia 36 8 6" xfId="16474" xr:uid="{664CB55B-BA59-42DC-8B58-4A9017CFE1CD}"/>
    <cellStyle name="Migliaia 36 8 7" xfId="7938" xr:uid="{B153E314-C5CC-4E6D-9C1D-0B65D4C53052}"/>
    <cellStyle name="Migliaia 36 9" xfId="5294" xr:uid="{908F6743-7398-441C-BCCF-7466FFF2F25A}"/>
    <cellStyle name="Migliaia 36 9 2" xfId="33923" xr:uid="{3D731EA3-3322-459F-8804-950BDF0C9F7A}"/>
    <cellStyle name="Migliaia 36 9 2 2" xfId="39450" xr:uid="{EE7FD666-ABCF-4730-AC8B-54FFC4BBD469}"/>
    <cellStyle name="Migliaia 36 9 2 3" xfId="44752" xr:uid="{39A58C1D-16F4-4D3F-823F-AB23BD01DDFA}"/>
    <cellStyle name="Migliaia 36 9 3" xfId="36868" xr:uid="{07A509F7-99C5-4A48-84C6-68B8CD3D3845}"/>
    <cellStyle name="Migliaia 36 9 4" xfId="42101" xr:uid="{55FFAC0C-BE1C-43F8-A35A-A2C2254D1A6A}"/>
    <cellStyle name="Migliaia 36 9 5" xfId="17193" xr:uid="{6EB9B138-9E84-4E26-9721-CABC45E1E14E}"/>
    <cellStyle name="Migliaia 37" xfId="421" xr:uid="{00000000-0005-0000-0000-0000CD030000}"/>
    <cellStyle name="Migliaia 37 10" xfId="6504" xr:uid="{DAB6754C-D5FB-4380-84F2-122510FAE791}"/>
    <cellStyle name="Migliaia 37 10 2" xfId="39451" xr:uid="{88270880-46C5-4C40-866B-46B720C2CF3F}"/>
    <cellStyle name="Migliaia 37 10 3" xfId="44753" xr:uid="{BB412472-EB7E-4D84-90D2-20090FC99A2A}"/>
    <cellStyle name="Migliaia 37 10 4" xfId="33924" xr:uid="{934A0073-FA52-4DBC-AE78-A05185A7508F}"/>
    <cellStyle name="Migliaia 37 10 5" xfId="20495" xr:uid="{1918F526-5471-4A3C-B73D-573C8FAFD6FA}"/>
    <cellStyle name="Migliaia 37 11" xfId="3584" xr:uid="{164A2796-BF50-4436-B974-8F980D629A6B}"/>
    <cellStyle name="Migliaia 37 11 2" xfId="36869" xr:uid="{D3D53284-0CD2-4885-9524-BF307E45E059}"/>
    <cellStyle name="Migliaia 37 12" xfId="42102" xr:uid="{EE00DB0A-870E-41A7-85E2-2F83D83BCB0F}"/>
    <cellStyle name="Migliaia 37 13" xfId="7132" xr:uid="{AC12D6BB-211B-4DA1-967A-B1724C94E037}"/>
    <cellStyle name="Migliaia 37 2" xfId="422" xr:uid="{00000000-0005-0000-0000-0000CE030000}"/>
    <cellStyle name="Migliaia 37 2 2" xfId="1806" xr:uid="{00000000-0005-0000-0000-0000CF030000}"/>
    <cellStyle name="Migliaia 37 2 2 2" xfId="5312" xr:uid="{2EA2F902-8A93-45B4-A343-418E2501A6AD}"/>
    <cellStyle name="Migliaia 37 2 2 2 2" xfId="14393" xr:uid="{322BAB3D-89AE-4814-80A7-D6909D77AA0E}"/>
    <cellStyle name="Migliaia 37 2 2 2 2 2" xfId="39452" xr:uid="{43CD5C60-7C1A-4266-869A-094AE562B860}"/>
    <cellStyle name="Migliaia 37 2 2 2 2 3" xfId="44754" xr:uid="{BF094665-E678-4825-A6A0-F21C8D836014}"/>
    <cellStyle name="Migliaia 37 2 2 2 3" xfId="18452" xr:uid="{1C5754FB-5399-431B-817E-C4C5175C2746}"/>
    <cellStyle name="Migliaia 37 2 2 2 4" xfId="20498" xr:uid="{3660FD97-5EDA-4406-A162-BD903DD8666E}"/>
    <cellStyle name="Migliaia 37 2 2 2 4 2" xfId="42103" xr:uid="{494CE072-C2D0-49A2-98C2-18368DD0476B}"/>
    <cellStyle name="Migliaia 37 2 2 2 5" xfId="16475" xr:uid="{7ABEFD55-D35E-4FF1-98E9-81C54D5CCF62}"/>
    <cellStyle name="Migliaia 37 2 2 2 6" xfId="8661" xr:uid="{6FF1AF41-C188-4A7E-9FB3-9F47101D3D5A}"/>
    <cellStyle name="Migliaia 37 2 2 3" xfId="6506" xr:uid="{FE1740C6-2915-4AE6-A3C6-7EBC8AB2E9AF}"/>
    <cellStyle name="Migliaia 37 2 2 3 2" xfId="35333" xr:uid="{63FBB585-D48A-4C9C-A006-56011C2EBA4E}"/>
    <cellStyle name="Migliaia 37 2 2 3 2 2" xfId="40493" xr:uid="{89236BDC-C9D3-4863-A46B-8C4388F73B62}"/>
    <cellStyle name="Migliaia 37 2 2 3 2 3" xfId="45795" xr:uid="{63A9C7EB-99BE-4B18-AA88-29BA5667D736}"/>
    <cellStyle name="Migliaia 37 2 2 3 3" xfId="37842" xr:uid="{E7A48455-B776-4C3E-9D49-402CE994DD34}"/>
    <cellStyle name="Migliaia 37 2 2 3 4" xfId="43144" xr:uid="{9EC3EBA7-0140-4DDA-BCEB-F3915CD22BFB}"/>
    <cellStyle name="Migliaia 37 2 2 3 5" xfId="11620" xr:uid="{9A1F36D2-0554-4BED-8BB1-130AB1C369A1}"/>
    <cellStyle name="Migliaia 37 2 2 4" xfId="3586" xr:uid="{A5DB753B-5EB7-4ABB-952A-66E680BD7D2E}"/>
    <cellStyle name="Migliaia 37 2 2 4 2" xfId="21518" xr:uid="{53A842BE-3EF5-4994-A1A0-4EEE73A822D6}"/>
    <cellStyle name="Migliaia 37 2 2 4 3" xfId="48475" xr:uid="{694965F5-3AB6-4F40-8F2A-4BF5DA5082F5}"/>
    <cellStyle name="Migliaia 37 2 2 4 4" xfId="50533" xr:uid="{D148ED6D-A61C-4D08-A8DD-FA8FF3A644BB}"/>
    <cellStyle name="Migliaia 37 2 2 4 5" xfId="53549" xr:uid="{D62A4619-03BD-4137-97C5-10B3304C4162}"/>
    <cellStyle name="Migliaia 37 2 2 4 6" xfId="10883" xr:uid="{97FD69E9-7548-482C-A2E5-B6B2883B1C89}"/>
    <cellStyle name="Migliaia 37 2 2 5" xfId="20497" xr:uid="{AB640648-4FB5-4A8E-AD81-EE7BB54AD97A}"/>
    <cellStyle name="Migliaia 37 2 2 6" xfId="24850" xr:uid="{F2EC3FBE-D755-42A9-9DDE-E464837F41DF}"/>
    <cellStyle name="Migliaia 37 2 2 7" xfId="7471" xr:uid="{CF41507F-F831-4D2C-BB4E-379DD0C4A999}"/>
    <cellStyle name="Migliaia 37 2 3" xfId="3587" xr:uid="{9873D394-9284-4FD6-AF88-63D85ABAAD83}"/>
    <cellStyle name="Migliaia 37 2 3 2" xfId="5313" xr:uid="{3ED5EE35-2228-4F70-9032-FEDBF41C6335}"/>
    <cellStyle name="Migliaia 37 2 3 2 2" xfId="35334" xr:uid="{4EF8BBDC-6E10-455B-871B-A2E0170D8D70}"/>
    <cellStyle name="Migliaia 37 2 3 2 2 2" xfId="40494" xr:uid="{ADD5BDEB-46CD-4F85-A17C-B9B1531C7994}"/>
    <cellStyle name="Migliaia 37 2 3 2 2 3" xfId="45796" xr:uid="{2B013CD7-7656-4D8A-9B6F-EE05EC7A1C73}"/>
    <cellStyle name="Migliaia 37 2 3 2 3" xfId="37843" xr:uid="{C1614EAA-9C92-4A2D-81EA-EEB3CA249E80}"/>
    <cellStyle name="Migliaia 37 2 3 2 4" xfId="43145" xr:uid="{AED18240-6365-4587-9985-AE8F02FD555A}"/>
    <cellStyle name="Migliaia 37 2 3 2 5" xfId="14270" xr:uid="{04405559-29D9-4F1B-8DAD-CE7D6BBD7B95}"/>
    <cellStyle name="Migliaia 37 2 3 3" xfId="6507" xr:uid="{7F725647-5273-45EE-8507-5F914C884808}"/>
    <cellStyle name="Migliaia 37 2 3 3 2" xfId="39453" xr:uid="{3AB80723-1E58-4744-970B-F2D00D09E9B0}"/>
    <cellStyle name="Migliaia 37 2 3 3 3" xfId="44755" xr:uid="{EB32F170-2348-4E02-B47E-B7C14DC28C08}"/>
    <cellStyle name="Migliaia 37 2 3 3 4" xfId="33925" xr:uid="{CE832850-71EF-489C-9A3C-10513C7466DF}"/>
    <cellStyle name="Migliaia 37 2 3 3 5" xfId="20499" xr:uid="{D578BC13-5271-4C9C-A04D-4EA9180A5EAD}"/>
    <cellStyle name="Migliaia 37 2 3 4" xfId="36870" xr:uid="{0DD2FC95-D0E7-426C-AE2B-B437EA2A93BA}"/>
    <cellStyle name="Migliaia 37 2 3 5" xfId="42104" xr:uid="{1B7A65FC-5B25-4611-BC91-5CA60871EFFA}"/>
    <cellStyle name="Migliaia 37 2 3 6" xfId="16476" xr:uid="{A4D86E9D-003B-473D-B5A9-16E6EDFC4627}"/>
    <cellStyle name="Migliaia 37 2 3 7" xfId="8332" xr:uid="{A6535112-D784-42EC-A4B5-A2CE8BB13325}"/>
    <cellStyle name="Migliaia 37 2 4" xfId="5311" xr:uid="{12A1CD4E-3F47-4433-9518-92899C88E883}"/>
    <cellStyle name="Migliaia 37 2 4 2" xfId="13975" xr:uid="{9F8D01B2-FAA8-4939-94D7-7257B876E192}"/>
    <cellStyle name="Migliaia 37 2 4 2 2" xfId="39454" xr:uid="{19655F60-6765-4687-B6A4-1301FC19FB5A}"/>
    <cellStyle name="Migliaia 37 2 4 2 3" xfId="44756" xr:uid="{1A04506F-B129-4ADD-A4C2-5A1EA7EBB886}"/>
    <cellStyle name="Migliaia 37 2 4 3" xfId="18706" xr:uid="{F50175BD-8D0E-4612-96A6-BD7ACB1AD3C9}"/>
    <cellStyle name="Migliaia 37 2 4 4" xfId="20500" xr:uid="{CD16189D-F63E-43C7-9356-9508548EABD2}"/>
    <cellStyle name="Migliaia 37 2 4 4 2" xfId="42105" xr:uid="{688C612E-3F04-4702-A8FD-04C84718BB41}"/>
    <cellStyle name="Migliaia 37 2 4 5" xfId="16477" xr:uid="{889B1B98-0318-4D03-8F8C-93936798734E}"/>
    <cellStyle name="Migliaia 37 2 4 6" xfId="7943" xr:uid="{72634942-A2AE-41A4-B483-C1DB56FBD892}"/>
    <cellStyle name="Migliaia 37 2 5" xfId="6505" xr:uid="{A4CD483B-6536-46EB-8935-57D93CB865A4}"/>
    <cellStyle name="Migliaia 37 2 5 2" xfId="33926" xr:uid="{CA2E5BE4-F55B-4D1A-A256-2F6FBCFDF55F}"/>
    <cellStyle name="Migliaia 37 2 5 2 2" xfId="39455" xr:uid="{C2A9E129-C794-4BD9-9EEE-BDC4F6DD6CC1}"/>
    <cellStyle name="Migliaia 37 2 5 2 3" xfId="44757" xr:uid="{5C467427-30D3-448B-9DEC-2AAB7245E025}"/>
    <cellStyle name="Migliaia 37 2 5 3" xfId="36871" xr:uid="{BAC82649-1EB7-4E9B-956C-6ECB5A409E59}"/>
    <cellStyle name="Migliaia 37 2 5 4" xfId="42106" xr:uid="{0FF8A031-1A40-4F80-940F-20CB2D999BEE}"/>
    <cellStyle name="Migliaia 37 2 5 5" xfId="13133" xr:uid="{0343B286-D718-4100-A919-101372E7C81D}"/>
    <cellStyle name="Migliaia 37 2 6" xfId="3585" xr:uid="{7C5F6C24-B937-48DF-B453-4692D87A0487}"/>
    <cellStyle name="Migliaia 37 2 6 2" xfId="33927" xr:uid="{A383B33C-E307-4546-AC39-A1D3061B1A4A}"/>
    <cellStyle name="Migliaia 37 2 6 2 2" xfId="39456" xr:uid="{05AF7CF5-39DE-40CD-B589-DECA547D38EA}"/>
    <cellStyle name="Migliaia 37 2 6 2 3" xfId="44758" xr:uid="{DF6353E3-927F-45FA-AF64-72D8A509E36E}"/>
    <cellStyle name="Migliaia 37 2 6 3" xfId="36872" xr:uid="{F39B8E3B-8F61-453B-A853-A2F240F1BEFE}"/>
    <cellStyle name="Migliaia 37 2 6 4" xfId="42107" xr:uid="{F0E5E955-9D60-43B5-8354-CB8580BC2749}"/>
    <cellStyle name="Migliaia 37 2 6 5" xfId="24851" xr:uid="{FB1D86BE-7245-41E0-8EC1-3A8717D6CCDF}"/>
    <cellStyle name="Migliaia 37 2 6 6" xfId="20496" xr:uid="{0CABD0D8-F979-4B9D-811C-7241C1D91F23}"/>
    <cellStyle name="Migliaia 37 2 7" xfId="24849" xr:uid="{E30013C8-3453-491B-84E9-178FC2D1EE63}"/>
    <cellStyle name="Migliaia 37 2 8" xfId="7133" xr:uid="{89D55324-0FCB-4299-ACB8-C523073B1EAA}"/>
    <cellStyle name="Migliaia 37 3" xfId="423" xr:uid="{00000000-0005-0000-0000-0000D0030000}"/>
    <cellStyle name="Migliaia 37 3 10" xfId="24852" xr:uid="{43A8BDC0-0392-4A5A-A9E8-5344D04D4035}"/>
    <cellStyle name="Migliaia 37 3 11" xfId="16478" xr:uid="{C8612995-21E1-4EAD-8545-F955CF9D7729}"/>
    <cellStyle name="Migliaia 37 3 12" xfId="7134" xr:uid="{28AD44F4-6F52-4E12-BA58-B6E5E5FED390}"/>
    <cellStyle name="Migliaia 37 3 2" xfId="424" xr:uid="{00000000-0005-0000-0000-0000D1030000}"/>
    <cellStyle name="Migliaia 37 3 2 2" xfId="1807" xr:uid="{00000000-0005-0000-0000-0000D2030000}"/>
    <cellStyle name="Migliaia 37 3 2 2 2" xfId="5316" xr:uid="{87EE64E5-91FF-43B8-BAEE-BE8CE1934248}"/>
    <cellStyle name="Migliaia 37 3 2 2 2 2" xfId="18453" xr:uid="{029E122B-B16C-4766-884B-A6BD29F298A2}"/>
    <cellStyle name="Migliaia 37 3 2 2 2 2 2" xfId="21871" xr:uid="{78127E3F-97C0-4E26-AB93-3D81080BC222}"/>
    <cellStyle name="Migliaia 37 3 2 2 2 2 2 2" xfId="39457" xr:uid="{02EAD3B2-75DE-4365-8FAF-2593C4303BB9}"/>
    <cellStyle name="Migliaia 37 3 2 2 2 2 3" xfId="44759" xr:uid="{35DE8622-74F3-4956-93C9-1A1A7991BB74}"/>
    <cellStyle name="Migliaia 37 3 2 2 2 2 4" xfId="33928" xr:uid="{3C3FCB05-1DFC-488F-BAA3-2B1AB0D595E6}"/>
    <cellStyle name="Migliaia 37 3 2 2 2 3" xfId="36873" xr:uid="{E935F79C-8EFE-4376-976C-CCAF6ED58DBF}"/>
    <cellStyle name="Migliaia 37 3 2 2 2 4" xfId="42108" xr:uid="{48C99134-F7F5-46E1-8DB6-8CD8AB272A6C}"/>
    <cellStyle name="Migliaia 37 3 2 2 2 5" xfId="48192" xr:uid="{2F3EF3BB-0DF6-4EA1-B4D2-224A6F22440A}"/>
    <cellStyle name="Migliaia 37 3 2 2 2 6" xfId="50899" xr:uid="{F24BB711-AA4B-4336-B398-0D1366306A32}"/>
    <cellStyle name="Migliaia 37 3 2 2 2 7" xfId="53915" xr:uid="{88A3C3F3-E974-4B6B-856B-7CE88C1E7D20}"/>
    <cellStyle name="Migliaia 37 3 2 2 2 8" xfId="17668" xr:uid="{B8137BD3-9D04-4F22-A4B8-FA54A161358A}"/>
    <cellStyle name="Migliaia 37 3 2 2 2 9" xfId="12007" xr:uid="{BBFF1D56-4C6A-4D5E-9ADA-CA3EC382C1F4}"/>
    <cellStyle name="Migliaia 37 3 2 2 3" xfId="6510" xr:uid="{FAA0FEEC-19B3-4023-936F-D1204396B11B}"/>
    <cellStyle name="Migliaia 37 3 2 2 3 2" xfId="11564" xr:uid="{563A6FB9-FEF9-475A-BE1D-6F29AE7600C6}"/>
    <cellStyle name="Migliaia 37 3 2 2 4" xfId="3590" xr:uid="{E0FC737A-4D35-4506-8760-4ED833FEB3EC}"/>
    <cellStyle name="Migliaia 37 3 2 2 4 2" xfId="21519" xr:uid="{26D23008-BDDD-48EA-9B2C-92EAED28EF2D}"/>
    <cellStyle name="Migliaia 37 3 2 2 4 3" xfId="48177" xr:uid="{5449863A-23A2-4121-B970-5D3E3048B675}"/>
    <cellStyle name="Migliaia 37 3 2 2 4 4" xfId="50534" xr:uid="{0AFFD0EF-C60B-47EE-9E83-130AA8782F9B}"/>
    <cellStyle name="Migliaia 37 3 2 2 4 5" xfId="53550" xr:uid="{CAABCE47-3C74-4774-83DE-A2EB637A1446}"/>
    <cellStyle name="Migliaia 37 3 2 2 4 6" xfId="10884" xr:uid="{50D2C96A-CB25-4882-9562-A37717B843AA}"/>
    <cellStyle name="Migliaia 37 3 2 2 5" xfId="20503" xr:uid="{ADC274A3-3993-47B3-A8D7-7874FA42DA51}"/>
    <cellStyle name="Migliaia 37 3 2 2 6" xfId="24854" xr:uid="{8B5E1D27-3291-486A-8BD1-1A7C1E604E2B}"/>
    <cellStyle name="Migliaia 37 3 2 2 7" xfId="8663" xr:uid="{E6EBA922-9D9E-4C6A-BDE7-383D2D521034}"/>
    <cellStyle name="Migliaia 37 3 2 3" xfId="5315" xr:uid="{1C742278-59F5-4B53-A16B-55FB25128645}"/>
    <cellStyle name="Migliaia 37 3 2 3 2" xfId="12408" xr:uid="{15A4928B-0761-40B7-BD21-3C414BE16787}"/>
    <cellStyle name="Migliaia 37 3 2 3 2 2" xfId="39458" xr:uid="{A376D0D3-D06F-4228-A0E4-D0E1A6A95936}"/>
    <cellStyle name="Migliaia 37 3 2 3 2 3" xfId="44760" xr:uid="{39EAEE24-1589-469D-A7B9-6458A7F90025}"/>
    <cellStyle name="Migliaia 37 3 2 3 2 4" xfId="33929" xr:uid="{C116E5FF-CB52-4097-81DA-8BA170AAD03B}"/>
    <cellStyle name="Migliaia 37 3 2 3 3" xfId="12008" xr:uid="{F08454DA-0B48-4B23-86A1-BB08EF345B14}"/>
    <cellStyle name="Migliaia 37 3 2 3 4" xfId="20504" xr:uid="{FDA1253C-F1F3-4FAA-8EBB-3458FF090BA4}"/>
    <cellStyle name="Migliaia 37 3 2 3 4 2" xfId="42109" xr:uid="{C90F6C16-52D7-4972-A1DD-D83EF5869D6C}"/>
    <cellStyle name="Migliaia 37 3 2 3 5" xfId="16479" xr:uid="{92D52EAC-9CBD-4272-A34C-F29F97433505}"/>
    <cellStyle name="Migliaia 37 3 2 3 6" xfId="7945" xr:uid="{F9CF9A8A-FB21-4ABE-8CAF-9BA7B6937A5F}"/>
    <cellStyle name="Migliaia 37 3 2 4" xfId="6509" xr:uid="{39BF6808-4C02-478E-BDE4-E06578C67C33}"/>
    <cellStyle name="Migliaia 37 3 2 4 2" xfId="18087" xr:uid="{F0DBAC45-0BC2-4EC5-96C6-4ADC88AE101A}"/>
    <cellStyle name="Migliaia 37 3 2 4 2 2" xfId="39459" xr:uid="{CDF18C5D-2A08-4100-AC36-283AF88D5AF7}"/>
    <cellStyle name="Migliaia 37 3 2 4 2 3" xfId="44761" xr:uid="{156CDDF2-3C72-4993-AFD8-C74C64DB9C90}"/>
    <cellStyle name="Migliaia 37 3 2 4 3" xfId="36874" xr:uid="{FE4D69BD-E6CD-4798-8A08-601DE66FDE5B}"/>
    <cellStyle name="Migliaia 37 3 2 4 4" xfId="42110" xr:uid="{AEEFFF42-8629-4936-A7B5-E3393E897A83}"/>
    <cellStyle name="Migliaia 37 3 2 4 5" xfId="17196" xr:uid="{835AB47D-0C74-47E4-9BB3-9F3E477A30E7}"/>
    <cellStyle name="Migliaia 37 3 2 4 6" xfId="11356" xr:uid="{BC2A3955-F491-4AC3-96DF-FD8810C87F00}"/>
    <cellStyle name="Migliaia 37 3 2 5" xfId="3589" xr:uid="{BFDC1F5E-7631-4531-B37C-F262F86C2C60}"/>
    <cellStyle name="Migliaia 37 3 2 5 2" xfId="33930" xr:uid="{123BC46A-D17C-4C28-9B4F-0272BDBCC200}"/>
    <cellStyle name="Migliaia 37 3 2 5 2 2" xfId="39460" xr:uid="{28121DFF-ED28-4973-96C8-EF3B6B20462D}"/>
    <cellStyle name="Migliaia 37 3 2 5 2 3" xfId="44762" xr:uid="{4F9B317A-5420-4C9E-A2B9-862DBB835F3A}"/>
    <cellStyle name="Migliaia 37 3 2 5 3" xfId="36875" xr:uid="{67DD7EC7-D203-4D66-B891-6AFBC058623F}"/>
    <cellStyle name="Migliaia 37 3 2 5 4" xfId="42111" xr:uid="{2ED59665-E29B-45F7-809C-02524DD49A07}"/>
    <cellStyle name="Migliaia 37 3 2 5 5" xfId="17336" xr:uid="{9AAAA724-C488-44B9-876C-9A70383F0549}"/>
    <cellStyle name="Migliaia 37 3 2 6" xfId="20502" xr:uid="{C5689137-DD34-4F84-886E-3B0562B7496E}"/>
    <cellStyle name="Migliaia 37 3 2 6 2" xfId="33931" xr:uid="{37EA3F95-1E8E-4A50-910C-FFBB15C049CF}"/>
    <cellStyle name="Migliaia 37 3 2 6 2 2" xfId="39461" xr:uid="{5B11A721-39EF-434A-BB87-7187D4B7C7E6}"/>
    <cellStyle name="Migliaia 37 3 2 6 2 3" xfId="44763" xr:uid="{4BFEA0B5-A045-498C-918C-0999D991017A}"/>
    <cellStyle name="Migliaia 37 3 2 6 3" xfId="36876" xr:uid="{419F319C-FC0B-47E6-8A48-585646C5632E}"/>
    <cellStyle name="Migliaia 37 3 2 6 4" xfId="42112" xr:uid="{C80610FD-C6E0-4580-A008-C78EEE6EFC3E}"/>
    <cellStyle name="Migliaia 37 3 2 6 5" xfId="24855" xr:uid="{492EB5C0-DDAF-4C61-A519-D10071C3EA19}"/>
    <cellStyle name="Migliaia 37 3 2 7" xfId="24853" xr:uid="{3542F2C1-2AA6-4453-B516-4BE3BA5E30EB}"/>
    <cellStyle name="Migliaia 37 3 2 8" xfId="7473" xr:uid="{60760162-A591-4B37-9AB0-F997D3D3E896}"/>
    <cellStyle name="Migliaia 37 3 3" xfId="3591" xr:uid="{9B6E9A63-3182-4AB0-99E9-04937A8A4DB2}"/>
    <cellStyle name="Migliaia 37 3 3 10" xfId="7472" xr:uid="{68136A69-6094-465A-A05D-F8E2B4F4E3FE}"/>
    <cellStyle name="Migliaia 37 3 3 2" xfId="5317" xr:uid="{6DC48385-B9A6-45BB-B07A-198A39B3766A}"/>
    <cellStyle name="Migliaia 37 3 3 2 2" xfId="9942" xr:uid="{28D56B09-1A4B-4DE7-9AED-C7447DC58D8B}"/>
    <cellStyle name="Migliaia 37 3 3 2 2 2" xfId="39463" xr:uid="{E64C4E68-DCDA-455D-B2B6-B804A3E62DFF}"/>
    <cellStyle name="Migliaia 37 3 3 2 2 3" xfId="44765" xr:uid="{3232B0F3-E9B2-4F6C-949A-D16B90FB56D5}"/>
    <cellStyle name="Migliaia 37 3 3 2 3" xfId="18222" xr:uid="{5E8194AA-9809-4E67-976A-86E0247902AB}"/>
    <cellStyle name="Migliaia 37 3 3 2 4" xfId="20506" xr:uid="{5F8750B8-2385-4297-BCA5-4E0F670C128E}"/>
    <cellStyle name="Migliaia 37 3 3 2 4 2" xfId="42114" xr:uid="{ABE2B90C-D58A-4250-8571-09F2FCA8D7E3}"/>
    <cellStyle name="Migliaia 37 3 3 2 5" xfId="16481" xr:uid="{C5AF5C81-1FE7-4CD0-B2FE-6B86E7FE0337}"/>
    <cellStyle name="Migliaia 37 3 3 2 6" xfId="8662" xr:uid="{AF753188-8009-425C-8766-1C23E34E8C1A}"/>
    <cellStyle name="Migliaia 37 3 3 3" xfId="6511" xr:uid="{83A67CBE-B313-4F2A-94B1-631C38B1B45E}"/>
    <cellStyle name="Migliaia 37 3 3 3 2" xfId="33933" xr:uid="{051239B2-DC68-4EBC-9D5A-B63EB2A4F8D5}"/>
    <cellStyle name="Migliaia 37 3 3 3 2 2" xfId="39464" xr:uid="{786534BD-6173-4183-9658-A1BDB32DE078}"/>
    <cellStyle name="Migliaia 37 3 3 3 2 3" xfId="44766" xr:uid="{7E317523-A949-4AC5-8892-38AFD69956F6}"/>
    <cellStyle name="Migliaia 37 3 3 3 3" xfId="36878" xr:uid="{AC0D4078-5663-49D0-8EAC-590AE10FD445}"/>
    <cellStyle name="Migliaia 37 3 3 3 4" xfId="42115" xr:uid="{B056FB7B-CE13-485A-8B50-580430CEF004}"/>
    <cellStyle name="Migliaia 37 3 3 3 5" xfId="9705" xr:uid="{C381F117-7831-404A-A97A-FDD8E21A4277}"/>
    <cellStyle name="Migliaia 37 3 3 4" xfId="20505" xr:uid="{564E2B7F-6AA0-4DAE-B524-8F47179F3F98}"/>
    <cellStyle name="Migliaia 37 3 3 4 2" xfId="33934" xr:uid="{31AC12CF-B4CD-401F-AAF0-D47604364156}"/>
    <cellStyle name="Migliaia 37 3 3 4 2 2" xfId="39465" xr:uid="{FA4745F1-1C54-413C-953A-7C906CE018B2}"/>
    <cellStyle name="Migliaia 37 3 3 4 2 3" xfId="44767" xr:uid="{896398E7-CEE8-4884-ACDB-FBD56C273A81}"/>
    <cellStyle name="Migliaia 37 3 3 4 3" xfId="36879" xr:uid="{1BA42A86-6157-4337-B579-0E05FF40F74B}"/>
    <cellStyle name="Migliaia 37 3 3 4 4" xfId="42116" xr:uid="{5C71D161-23DA-406C-AC99-9A2FEEF415D3}"/>
    <cellStyle name="Migliaia 37 3 3 4 5" xfId="24856" xr:uid="{DF51AE2B-4941-4356-87AC-3BB1193693C4}"/>
    <cellStyle name="Migliaia 37 3 3 5" xfId="24857" xr:uid="{EB0BCFCE-5A07-4C51-8EA5-D0C51ECEC054}"/>
    <cellStyle name="Migliaia 37 3 3 5 2" xfId="33935" xr:uid="{DB4DFEED-310D-4E19-AC4B-309918DDA928}"/>
    <cellStyle name="Migliaia 37 3 3 5 2 2" xfId="39466" xr:uid="{E234E520-AB41-4D42-9862-158C6FB98DE7}"/>
    <cellStyle name="Migliaia 37 3 3 5 2 3" xfId="44768" xr:uid="{3EB63A04-61FD-40AD-A0A8-19173847B5E8}"/>
    <cellStyle name="Migliaia 37 3 3 5 3" xfId="36880" xr:uid="{1729BE56-4779-4950-846B-F12E5F639823}"/>
    <cellStyle name="Migliaia 37 3 3 5 4" xfId="42117" xr:uid="{EF6C6836-E531-417D-9768-8464DABE3B4B}"/>
    <cellStyle name="Migliaia 37 3 3 6" xfId="33932" xr:uid="{1C1C439F-C7BB-4749-9C2A-D0BC6B82F511}"/>
    <cellStyle name="Migliaia 37 3 3 6 2" xfId="39462" xr:uid="{FE070F38-1F2F-400A-BD7B-7C2DF85C3EB4}"/>
    <cellStyle name="Migliaia 37 3 3 6 3" xfId="44764" xr:uid="{04AF7F01-CA5D-4174-9495-983D6204F261}"/>
    <cellStyle name="Migliaia 37 3 3 7" xfId="36877" xr:uid="{F14CBF18-B9E7-4535-8AD5-98C5A1197E0D}"/>
    <cellStyle name="Migliaia 37 3 3 8" xfId="42113" xr:uid="{517FEEF4-52D7-43DF-BAE3-3CA02C910590}"/>
    <cellStyle name="Migliaia 37 3 3 9" xfId="16480" xr:uid="{1F048D70-2AC1-4033-9612-14397382F24C}"/>
    <cellStyle name="Migliaia 37 3 4" xfId="3592" xr:uid="{B559AC98-DD11-47FA-8A39-E1C627F183A0}"/>
    <cellStyle name="Migliaia 37 3 4 2" xfId="5318" xr:uid="{004889BF-014B-45DB-BEE1-3AADB29A83BF}"/>
    <cellStyle name="Migliaia 37 3 4 2 2" xfId="14453" xr:uid="{403F59BC-42C9-4FAF-8596-EAF7FC1E59A2}"/>
    <cellStyle name="Migliaia 37 3 4 2 3" xfId="18583" xr:uid="{DE7DB53B-162A-4B61-B9A2-22CCED31C106}"/>
    <cellStyle name="Migliaia 37 3 4 2 4" xfId="20508" xr:uid="{C001BA93-0B97-4016-9200-B6FED91515D4}"/>
    <cellStyle name="Migliaia 37 3 4 2 5" xfId="32391" xr:uid="{657275B5-E1D6-432D-AA88-9C256B4BA32F}"/>
    <cellStyle name="Migliaia 37 3 4 2 6" xfId="16483" xr:uid="{A814DC02-9406-4E2B-BCB1-681BDEEEA825}"/>
    <cellStyle name="Migliaia 37 3 4 2 7" xfId="8876" xr:uid="{2FB919FD-38F3-48C8-9AF9-DFE719898A66}"/>
    <cellStyle name="Migliaia 37 3 4 3" xfId="6512" xr:uid="{7BC5C860-3C99-4435-8A0B-F77CE98200F6}"/>
    <cellStyle name="Migliaia 37 3 4 3 2" xfId="35335" xr:uid="{92206169-29D1-47D4-846D-B04FFF8F83A0}"/>
    <cellStyle name="Migliaia 37 3 4 3 2 2" xfId="40495" xr:uid="{E1E08578-19A2-4574-8606-DE77278E7703}"/>
    <cellStyle name="Migliaia 37 3 4 3 2 3" xfId="45797" xr:uid="{57A54194-BD5B-4172-9FF2-97AA3A1BD471}"/>
    <cellStyle name="Migliaia 37 3 4 3 3" xfId="37844" xr:uid="{84E23034-402F-4512-992A-830B17EF6DE7}"/>
    <cellStyle name="Migliaia 37 3 4 3 4" xfId="43146" xr:uid="{6EE298C5-54DC-4C2F-AA41-A3A11E294290}"/>
    <cellStyle name="Migliaia 37 3 4 3 5" xfId="13701" xr:uid="{E97D1DCD-CF2A-4D0A-B253-29487713DB8F}"/>
    <cellStyle name="Migliaia 37 3 4 4" xfId="20507" xr:uid="{1AD89658-1D6B-461B-8DA7-4AC5961EA731}"/>
    <cellStyle name="Migliaia 37 3 4 4 2" xfId="39467" xr:uid="{12DC02A1-9F54-4088-93DF-1B2B5AAE4495}"/>
    <cellStyle name="Migliaia 37 3 4 4 3" xfId="44769" xr:uid="{DD7B2C39-AB9C-4272-88BF-499685EE5345}"/>
    <cellStyle name="Migliaia 37 3 4 4 4" xfId="33936" xr:uid="{01C8C208-4BF4-4774-8E41-DF77F4567AE0}"/>
    <cellStyle name="Migliaia 37 3 4 5" xfId="36881" xr:uid="{50378D47-BC2B-43E5-9159-4432B5AA49C1}"/>
    <cellStyle name="Migliaia 37 3 4 6" xfId="42118" xr:uid="{D1631D2F-BA46-4264-9AE0-A678FCBB6390}"/>
    <cellStyle name="Migliaia 37 3 4 7" xfId="16482" xr:uid="{EA909DB2-2B03-4D57-AD62-7B0F6B6A8E79}"/>
    <cellStyle name="Migliaia 37 3 4 8" xfId="7686" xr:uid="{1B3476E3-54E0-488A-A3A8-8F441F552EA9}"/>
    <cellStyle name="Migliaia 37 3 5" xfId="3593" xr:uid="{0651C7D5-50C4-4BF6-9423-2C40D079AB05}"/>
    <cellStyle name="Migliaia 37 3 5 2" xfId="5319" xr:uid="{9502462D-35B8-4D29-84B7-A0400B90E7F4}"/>
    <cellStyle name="Migliaia 37 3 5 2 2" xfId="35336" xr:uid="{67D39222-91DB-46E8-A34F-16411880199C}"/>
    <cellStyle name="Migliaia 37 3 5 2 2 2" xfId="40496" xr:uid="{339EFAA2-8E01-40B6-9E66-50C1B06A1439}"/>
    <cellStyle name="Migliaia 37 3 5 2 2 3" xfId="45798" xr:uid="{9600CF79-3B8C-47B7-AC7D-D8515BD6BB7E}"/>
    <cellStyle name="Migliaia 37 3 5 2 3" xfId="37845" xr:uid="{2B3C82F5-FE6B-45B3-9E64-5EB920F5F846}"/>
    <cellStyle name="Migliaia 37 3 5 2 4" xfId="43147" xr:uid="{1A4E7364-0EC6-4FDC-8DEB-E44ED23B7819}"/>
    <cellStyle name="Migliaia 37 3 5 2 5" xfId="14271" xr:uid="{2CB78B99-E50D-4C4A-AD5E-74637BF1749E}"/>
    <cellStyle name="Migliaia 37 3 5 3" xfId="6513" xr:uid="{34C96F0E-1D13-4B21-810A-74F7ED7010C9}"/>
    <cellStyle name="Migliaia 37 3 5 3 2" xfId="39468" xr:uid="{E3F6839D-45A5-4AFE-BD12-454B8AC5A5DE}"/>
    <cellStyle name="Migliaia 37 3 5 3 3" xfId="44770" xr:uid="{4A70C17A-CAC7-4D02-8650-BD526FD43FF6}"/>
    <cellStyle name="Migliaia 37 3 5 3 4" xfId="33937" xr:uid="{840D34D2-CF66-4B11-B98C-A766AA0EEF25}"/>
    <cellStyle name="Migliaia 37 3 5 3 5" xfId="20509" xr:uid="{71D8E9BF-47DC-40E2-BB80-0028BD7BE8B8}"/>
    <cellStyle name="Migliaia 37 3 5 4" xfId="36882" xr:uid="{8161BA9D-0E5E-47ED-9996-22842271061C}"/>
    <cellStyle name="Migliaia 37 3 5 5" xfId="42119" xr:uid="{C7855AD8-D955-4A59-8CCA-B2CF00990B76}"/>
    <cellStyle name="Migliaia 37 3 5 6" xfId="16484" xr:uid="{92B13209-6546-46C5-9425-C92253518C3C}"/>
    <cellStyle name="Migliaia 37 3 5 7" xfId="8333" xr:uid="{3922CDDA-DC06-410E-AE6B-779D8E1D81F6}"/>
    <cellStyle name="Migliaia 37 3 6" xfId="5314" xr:uid="{D9989055-3376-4BB0-B008-BFBE40D1B367}"/>
    <cellStyle name="Migliaia 37 3 6 2" xfId="13976" xr:uid="{D6679B07-7C8A-4B7E-BC80-6C6EC20C7BAF}"/>
    <cellStyle name="Migliaia 37 3 6 2 2" xfId="39469" xr:uid="{1D3DA80F-7F35-44C9-A3E1-39A3FCF67CB1}"/>
    <cellStyle name="Migliaia 37 3 6 2 3" xfId="44771" xr:uid="{EEB64226-7CC8-41F0-89C5-FFD119DE9C5B}"/>
    <cellStyle name="Migliaia 37 3 6 3" xfId="18022" xr:uid="{AF8E84D7-2B82-4532-B6A5-6D155165D333}"/>
    <cellStyle name="Migliaia 37 3 6 4" xfId="20510" xr:uid="{4F23ABAF-91D4-49DE-ACB2-AAA6C4C43B0E}"/>
    <cellStyle name="Migliaia 37 3 6 4 2" xfId="42120" xr:uid="{2F110E27-7EBA-4C64-8A8D-67EFD2DD181A}"/>
    <cellStyle name="Migliaia 37 3 6 5" xfId="16485" xr:uid="{989F6877-7D78-4666-8445-B6BB83FEAA93}"/>
    <cellStyle name="Migliaia 37 3 6 6" xfId="7944" xr:uid="{3647F7E8-E92E-4CEE-A706-2A69BDDB323A}"/>
    <cellStyle name="Migliaia 37 3 7" xfId="6508" xr:uid="{9F642E4B-BEB3-4922-BE23-2E830ADD1472}"/>
    <cellStyle name="Migliaia 37 3 7 2" xfId="33938" xr:uid="{92ED0048-E9E0-492C-B8C9-7D0E0B836434}"/>
    <cellStyle name="Migliaia 37 3 7 2 2" xfId="39470" xr:uid="{C0B39D4E-9FC0-46E0-9830-AE7947A18C5D}"/>
    <cellStyle name="Migliaia 37 3 7 2 3" xfId="44772" xr:uid="{004077B0-B4B2-4978-A390-1AAE2DB03E2C}"/>
    <cellStyle name="Migliaia 37 3 7 3" xfId="36883" xr:uid="{38C712C9-54B5-4602-B2CD-73139FA3A56A}"/>
    <cellStyle name="Migliaia 37 3 7 4" xfId="42121" xr:uid="{685E2A71-38DB-4CCA-8FEF-EFCF3A863A5C}"/>
    <cellStyle name="Migliaia 37 3 7 5" xfId="12167" xr:uid="{047E3868-D044-440E-A55B-854CD3562022}"/>
    <cellStyle name="Migliaia 37 3 8" xfId="3588" xr:uid="{D9A509CE-B803-4352-9697-99228A313C01}"/>
    <cellStyle name="Migliaia 37 3 8 2" xfId="33939" xr:uid="{B6ACB5A1-D56B-44DB-A49F-EB728F36E6BD}"/>
    <cellStyle name="Migliaia 37 3 8 2 2" xfId="39471" xr:uid="{585333FB-0615-43A5-86F3-3B2B8F2829FF}"/>
    <cellStyle name="Migliaia 37 3 8 2 3" xfId="44773" xr:uid="{4967ECAF-B707-40AC-A9C0-2D00E16CBE5C}"/>
    <cellStyle name="Migliaia 37 3 8 3" xfId="36884" xr:uid="{A88233D4-2798-4F6D-BF55-A06CC148C5B6}"/>
    <cellStyle name="Migliaia 37 3 8 4" xfId="42122" xr:uid="{B7E84758-6219-4B9B-B5D4-F6DF9434DB49}"/>
    <cellStyle name="Migliaia 37 3 8 5" xfId="24858" xr:uid="{8A232720-8FEA-4B83-BF20-33C09276FBF7}"/>
    <cellStyle name="Migliaia 37 3 8 6" xfId="17337" xr:uid="{E90C940A-B8D8-495C-A8E7-751AC38CA4FA}"/>
    <cellStyle name="Migliaia 37 3 9" xfId="20501" xr:uid="{3A73851A-405A-42DC-A35C-56559CFEC0C8}"/>
    <cellStyle name="Migliaia 37 4" xfId="1808" xr:uid="{00000000-0005-0000-0000-0000D3030000}"/>
    <cellStyle name="Migliaia 37 4 2" xfId="1809" xr:uid="{00000000-0005-0000-0000-0000D4030000}"/>
    <cellStyle name="Migliaia 37 4 2 2" xfId="5321" xr:uid="{46A48FF8-4845-4102-BBE7-7B8BF93B2077}"/>
    <cellStyle name="Migliaia 37 4 2 2 2" xfId="33940" xr:uid="{BEA85D0B-F424-47C4-BC34-D8510945CCF1}"/>
    <cellStyle name="Migliaia 37 4 2 2 2 2" xfId="39472" xr:uid="{28B586B7-09AA-4D13-8029-D4756BC5A253}"/>
    <cellStyle name="Migliaia 37 4 2 2 2 3" xfId="44774" xr:uid="{ACC9B2D0-2856-4BFA-94A6-48855A2F7471}"/>
    <cellStyle name="Migliaia 37 4 2 2 3" xfId="36885" xr:uid="{3B44E594-80A0-4B4F-8420-48E357402E6A}"/>
    <cellStyle name="Migliaia 37 4 2 2 4" xfId="42123" xr:uid="{64B833E5-5892-48EC-BC9D-13352C44C9B6}"/>
    <cellStyle name="Migliaia 37 4 2 2 5" xfId="9168" xr:uid="{B4E09724-67BE-4331-B306-940E5B173460}"/>
    <cellStyle name="Migliaia 37 4 2 3" xfId="3595" xr:uid="{36F591D5-2E96-458D-9412-0D3B3FDD323D}"/>
    <cellStyle name="Migliaia 37 4 2 3 2" xfId="33941" xr:uid="{55CCCDF1-A0C3-4E97-861B-D0A2518DF1E0}"/>
    <cellStyle name="Migliaia 37 4 2 3 2 2" xfId="39473" xr:uid="{5B536316-8869-45C8-BB43-99DA6E0DC1EC}"/>
    <cellStyle name="Migliaia 37 4 2 3 2 3" xfId="44775" xr:uid="{285B264E-FB2F-4C7F-B334-5343C230E1BC}"/>
    <cellStyle name="Migliaia 37 4 2 3 3" xfId="36886" xr:uid="{5638E44B-10DE-40FF-962C-29244C548F29}"/>
    <cellStyle name="Migliaia 37 4 2 3 4" xfId="42124" xr:uid="{92F156D2-3597-45B6-AD3E-C9CF01BBA846}"/>
    <cellStyle name="Migliaia 37 4 2 3 5" xfId="12009" xr:uid="{7A266946-107F-464D-AD8A-44B457B60C8C}"/>
    <cellStyle name="Migliaia 37 4 2 4" xfId="11358" xr:uid="{00A9FFD1-5A78-4D41-88F6-4F515A04B7F6}"/>
    <cellStyle name="Migliaia 37 4 2 5" xfId="10886" xr:uid="{F8642811-4A00-447F-8065-844719C446F9}"/>
    <cellStyle name="Migliaia 37 4 2 5 2" xfId="21521" xr:uid="{C36EC19E-8365-466B-BCE8-5A02DBEE218C}"/>
    <cellStyle name="Migliaia 37 4 2 5 3" xfId="24242" xr:uid="{D5365060-AFE7-4D69-9291-0EFCC8B4D5D4}"/>
    <cellStyle name="Migliaia 37 4 2 5 4" xfId="50536" xr:uid="{392121F4-257A-4E72-B3AF-8BF2845A5DDA}"/>
    <cellStyle name="Migliaia 37 4 2 5 5" xfId="53552" xr:uid="{052236C5-A4C6-4BA8-AAC7-0A7CA3987DAE}"/>
    <cellStyle name="Migliaia 37 4 2 6" xfId="20512" xr:uid="{27A45288-EBE3-4CD7-8A6B-3C16BE77573C}"/>
    <cellStyle name="Migliaia 37 4 2 7" xfId="24860" xr:uid="{7F19FF27-4B68-4929-B828-0F7AB06ECCC6}"/>
    <cellStyle name="Migliaia 37 4 2 8" xfId="8664" xr:uid="{CFBADEBC-E71B-48CF-9F99-9FE1A8158A8E}"/>
    <cellStyle name="Migliaia 37 4 3" xfId="5320" xr:uid="{3BA4C93B-2C92-43E1-9659-2D78C6001A17}"/>
    <cellStyle name="Migliaia 37 4 3 2" xfId="18223" xr:uid="{82E729C5-7BBF-4AD1-A43A-49F4920FD8C6}"/>
    <cellStyle name="Migliaia 37 4 3 2 2" xfId="39474" xr:uid="{5B386915-BCC8-47F3-BF42-02913EA23B3D}"/>
    <cellStyle name="Migliaia 37 4 3 2 3" xfId="44776" xr:uid="{A4E94988-D792-4714-9F53-9EF58458F721}"/>
    <cellStyle name="Migliaia 37 4 3 3" xfId="36887" xr:uid="{702DD8D5-203D-42C3-881F-6C1705CD5C91}"/>
    <cellStyle name="Migliaia 37 4 3 4" xfId="42125" xr:uid="{47A3240C-DD8B-44CB-BE61-EE90FD51524C}"/>
    <cellStyle name="Migliaia 37 4 3 5" xfId="17335" xr:uid="{D9F37E47-62E5-4E42-8AB5-0DFE9AE932B2}"/>
    <cellStyle name="Migliaia 37 4 3 6" xfId="9169" xr:uid="{4BD6C1B6-0830-4999-A78B-73BA5ACAEE2D}"/>
    <cellStyle name="Migliaia 37 4 4" xfId="6514" xr:uid="{AF797D48-E244-42F5-B7C7-6A7335A4073A}"/>
    <cellStyle name="Migliaia 37 4 4 2" xfId="33942" xr:uid="{BED3B34F-70F1-48F9-9C40-E4427A5E20A2}"/>
    <cellStyle name="Migliaia 37 4 4 2 2" xfId="39475" xr:uid="{DF57AC00-93E0-45D7-BEBB-C54488A10FA3}"/>
    <cellStyle name="Migliaia 37 4 4 2 3" xfId="44777" xr:uid="{4BFA7A27-AB31-4643-855D-51AA0ECDE15E}"/>
    <cellStyle name="Migliaia 37 4 4 3" xfId="36888" xr:uid="{8CD19001-7D16-4325-9104-60157DA9E5CD}"/>
    <cellStyle name="Migliaia 37 4 4 4" xfId="42126" xr:uid="{18F328F7-AA42-4B64-B068-A250CF7FC3D7}"/>
    <cellStyle name="Migliaia 37 4 4 5" xfId="12010" xr:uid="{01715452-FD6C-4C3C-9C9E-A571A86CEDC3}"/>
    <cellStyle name="Migliaia 37 4 5" xfId="3594" xr:uid="{9726D3E7-8F96-474D-AD88-0D141BB704AB}"/>
    <cellStyle name="Migliaia 37 4 5 2" xfId="33943" xr:uid="{8CAD4CC4-804C-4F52-8C7B-CD74268A84D4}"/>
    <cellStyle name="Migliaia 37 4 5 2 2" xfId="39476" xr:uid="{C76B2FA4-FF89-471A-952D-3D109A50D361}"/>
    <cellStyle name="Migliaia 37 4 5 2 3" xfId="44778" xr:uid="{D461C5E7-B0CA-47A7-A1BE-D2C22AA10827}"/>
    <cellStyle name="Migliaia 37 4 5 3" xfId="36889" xr:uid="{B753C684-D347-4FD2-B756-7EE8D041CD94}"/>
    <cellStyle name="Migliaia 37 4 5 4" xfId="42127" xr:uid="{65039DE0-6998-4A95-A01E-BDB202B69924}"/>
    <cellStyle name="Migliaia 37 4 5 5" xfId="11357" xr:uid="{A0065B57-E77E-4E8A-98B1-E2C7764F2EE2}"/>
    <cellStyle name="Migliaia 37 4 6" xfId="10885" xr:uid="{BEEE61C6-8A22-4C3A-8036-7503C4CC9EE5}"/>
    <cellStyle name="Migliaia 37 4 6 2" xfId="21520" xr:uid="{4CC1FE7D-DEEF-4ABB-8E00-C0E04E7BF6DA}"/>
    <cellStyle name="Migliaia 37 4 6 2 2" xfId="39477" xr:uid="{D429B1C9-8A46-456A-AEF2-164AD181D513}"/>
    <cellStyle name="Migliaia 37 4 6 2 3" xfId="44779" xr:uid="{4CCD2EAD-8C7B-450A-B0DC-10D3113223D9}"/>
    <cellStyle name="Migliaia 37 4 6 2 4" xfId="33944" xr:uid="{A8D63D5F-AC1D-43B0-83AA-47BE4BE1355A}"/>
    <cellStyle name="Migliaia 37 4 6 3" xfId="36890" xr:uid="{9E80766A-73AA-4879-981D-3941F7800049}"/>
    <cellStyle name="Migliaia 37 4 6 4" xfId="42128" xr:uid="{A8E82757-004D-43BF-A6C9-FF638E97AA05}"/>
    <cellStyle name="Migliaia 37 4 6 5" xfId="24861" xr:uid="{D885633A-8569-4EEB-AD9A-A3B395EF4EA0}"/>
    <cellStyle name="Migliaia 37 4 6 6" xfId="46249" xr:uid="{1A8CD204-1535-4696-85F9-D56053DB7296}"/>
    <cellStyle name="Migliaia 37 4 6 7" xfId="50535" xr:uid="{44ABA70A-9C24-4EA3-B2BF-E922BCD243DE}"/>
    <cellStyle name="Migliaia 37 4 6 8" xfId="53551" xr:uid="{6DC71CFF-1A35-4B21-8663-0A45EF591F2F}"/>
    <cellStyle name="Migliaia 37 4 7" xfId="20511" xr:uid="{9A092F8A-5110-4BEB-8237-F98C1BEDCE1A}"/>
    <cellStyle name="Migliaia 37 4 7 2" xfId="33945" xr:uid="{926982CA-3FC3-4B01-9235-C6BCEC163769}"/>
    <cellStyle name="Migliaia 37 4 7 2 2" xfId="39478" xr:uid="{281B7D8F-4D94-47E8-8AF0-A5EC39998F13}"/>
    <cellStyle name="Migliaia 37 4 7 2 3" xfId="44780" xr:uid="{69977650-BCF5-4FB8-8D3A-CF39BE5ED3B3}"/>
    <cellStyle name="Migliaia 37 4 7 3" xfId="36891" xr:uid="{BC49E925-0F1E-4151-B761-8DEDE5C9794D}"/>
    <cellStyle name="Migliaia 37 4 7 4" xfId="42129" xr:uid="{AB12CC12-D97C-4CD8-A115-FE38425CD69F}"/>
    <cellStyle name="Migliaia 37 4 7 5" xfId="24862" xr:uid="{9BF1529F-2CA0-4D4C-BF7D-0B4F73FE0778}"/>
    <cellStyle name="Migliaia 37 4 8" xfId="24859" xr:uid="{32D92DE8-FFFA-4299-AA28-A95F117C26E7}"/>
    <cellStyle name="Migliaia 37 4 9" xfId="7474" xr:uid="{695B849C-AEAD-4E48-8E4C-015619F485A8}"/>
    <cellStyle name="Migliaia 37 5" xfId="1810" xr:uid="{00000000-0005-0000-0000-0000D5030000}"/>
    <cellStyle name="Migliaia 37 5 2" xfId="5322" xr:uid="{040770B9-B15F-4948-8884-B33003DC9FFD}"/>
    <cellStyle name="Migliaia 37 5 2 2" xfId="18454" xr:uid="{4E7F0E19-3E41-475D-A4EF-A9272F86255C}"/>
    <cellStyle name="Migliaia 37 5 2 2 2" xfId="39479" xr:uid="{02F9B696-0EA9-43AA-A7FF-E1387A60CAB4}"/>
    <cellStyle name="Migliaia 37 5 2 2 3" xfId="44781" xr:uid="{1169F4E5-FD06-4C5E-BE23-E5E420A74417}"/>
    <cellStyle name="Migliaia 37 5 2 3" xfId="20514" xr:uid="{0A7AA658-9634-4155-B881-48213F0F5047}"/>
    <cellStyle name="Migliaia 37 5 2 3 2" xfId="36892" xr:uid="{A7740636-7DF4-40F6-ADF2-58F79BA20C8E}"/>
    <cellStyle name="Migliaia 37 5 2 4" xfId="42130" xr:uid="{59C35BA1-21DC-4274-AEBB-39C2835C6AC5}"/>
    <cellStyle name="Migliaia 37 5 2 5" xfId="16486" xr:uid="{42327E01-BFCA-4DA4-A661-148A27EFD5BC}"/>
    <cellStyle name="Migliaia 37 5 2 6" xfId="8665" xr:uid="{F325F2E7-4E9B-43E7-81AD-ADB5FF54A276}"/>
    <cellStyle name="Migliaia 37 5 3" xfId="6515" xr:uid="{5B513201-78C3-4B3D-9F88-9D484743C8D1}"/>
    <cellStyle name="Migliaia 37 5 3 2" xfId="33946" xr:uid="{05EA4128-6A74-478F-9824-B34B18C2E545}"/>
    <cellStyle name="Migliaia 37 5 3 2 2" xfId="39480" xr:uid="{4F130702-BB82-453D-9B25-3031E138BB5C}"/>
    <cellStyle name="Migliaia 37 5 3 2 3" xfId="44782" xr:uid="{85C56273-C2B1-4C86-9C8D-4147E63F15BC}"/>
    <cellStyle name="Migliaia 37 5 3 3" xfId="36893" xr:uid="{3DF26CFD-3DBD-40CA-BC6C-9034A83ADF59}"/>
    <cellStyle name="Migliaia 37 5 3 4" xfId="42131" xr:uid="{61295309-B801-4EB3-97BD-FCFD0FAFDA43}"/>
    <cellStyle name="Migliaia 37 5 3 5" xfId="11359" xr:uid="{C1089CA3-40E7-4DD3-AF8D-0D5CFD028A08}"/>
    <cellStyle name="Migliaia 37 5 4" xfId="3596" xr:uid="{D1C469AE-757A-4D31-AC85-B1CAA0F1EAFD}"/>
    <cellStyle name="Migliaia 37 5 4 2" xfId="21522" xr:uid="{57F3C56D-48AA-448B-AC0B-580376D799C2}"/>
    <cellStyle name="Migliaia 37 5 4 2 2" xfId="39481" xr:uid="{5BBB0488-7D9B-4EA1-879D-19E68BBCAA4D}"/>
    <cellStyle name="Migliaia 37 5 4 2 3" xfId="44783" xr:uid="{3152B1A5-4FEC-4419-B1AA-DB39D3547DB6}"/>
    <cellStyle name="Migliaia 37 5 4 2 4" xfId="33947" xr:uid="{D90599A3-65B8-4F8B-BC77-04CC9E3A2D25}"/>
    <cellStyle name="Migliaia 37 5 4 3" xfId="36894" xr:uid="{62C8245F-59B9-421D-B277-8CD9775DB86E}"/>
    <cellStyle name="Migliaia 37 5 4 4" xfId="42132" xr:uid="{17E88206-688C-412F-B925-A4DE2ABE941A}"/>
    <cellStyle name="Migliaia 37 5 4 5" xfId="24864" xr:uid="{EB4167CA-1A17-4A41-9C69-5761B2030D10}"/>
    <cellStyle name="Migliaia 37 5 4 6" xfId="46250" xr:uid="{880F146F-1DE8-496B-9D7D-EEABB9F9E164}"/>
    <cellStyle name="Migliaia 37 5 4 7" xfId="50537" xr:uid="{4C3C88C7-7C3C-43A1-B1B4-2BDE8C0B340C}"/>
    <cellStyle name="Migliaia 37 5 4 8" xfId="53553" xr:uid="{D12FE3F5-C453-4E50-BFE2-59F00416D107}"/>
    <cellStyle name="Migliaia 37 5 4 9" xfId="10887" xr:uid="{5AD6685B-008C-4672-BBA9-DA74C7B6C717}"/>
    <cellStyle name="Migliaia 37 5 5" xfId="20513" xr:uid="{59B50A81-DD3C-46A1-8CFC-67A84DA9DED0}"/>
    <cellStyle name="Migliaia 37 5 5 2" xfId="33948" xr:uid="{3C242595-4945-4325-91B9-37BA570D9E53}"/>
    <cellStyle name="Migliaia 37 5 5 2 2" xfId="39482" xr:uid="{CD091D5A-022A-4C74-B9C6-E00F7947BF43}"/>
    <cellStyle name="Migliaia 37 5 5 2 3" xfId="44784" xr:uid="{C4DB6250-7DB8-42A2-A267-952F29BEFB01}"/>
    <cellStyle name="Migliaia 37 5 5 3" xfId="36895" xr:uid="{2A447B25-BDCA-409A-A34F-1006831A11DB}"/>
    <cellStyle name="Migliaia 37 5 5 4" xfId="42133" xr:uid="{5F08F81E-88BB-43CE-BF2A-0CA0DA665DA3}"/>
    <cellStyle name="Migliaia 37 5 5 5" xfId="24865" xr:uid="{C2120909-6710-477D-8595-31F1CF661D0E}"/>
    <cellStyle name="Migliaia 37 5 6" xfId="24866" xr:uid="{EED989DD-1D76-41F4-B2E4-5FA8EB6A03B2}"/>
    <cellStyle name="Migliaia 37 5 6 2" xfId="33949" xr:uid="{FAC46026-D10A-42B0-8D47-B07625CDA0DA}"/>
    <cellStyle name="Migliaia 37 5 6 2 2" xfId="39483" xr:uid="{F9D394F2-3879-49F0-B610-22E9E3D63BA2}"/>
    <cellStyle name="Migliaia 37 5 6 2 3" xfId="44785" xr:uid="{5B666F98-536B-43E1-8E9A-5B3CEBDA58B1}"/>
    <cellStyle name="Migliaia 37 5 6 3" xfId="36896" xr:uid="{47E4357D-A0A1-4940-BEEF-FCDE8A213373}"/>
    <cellStyle name="Migliaia 37 5 6 4" xfId="42134" xr:uid="{59210FF2-2BB3-4F96-95DC-DED7DADB9543}"/>
    <cellStyle name="Migliaia 37 5 7" xfId="24863" xr:uid="{84751837-7CDB-4F68-B900-78A5659E0F84}"/>
    <cellStyle name="Migliaia 37 5 8" xfId="7475" xr:uid="{D57282CD-7314-433C-9419-0E5F078F6895}"/>
    <cellStyle name="Migliaia 37 6" xfId="3597" xr:uid="{02D50670-B404-4218-B08C-DBEB9951C656}"/>
    <cellStyle name="Migliaia 37 6 2" xfId="5323" xr:uid="{5881A6B7-A243-40C4-A965-4FE26DC4E963}"/>
    <cellStyle name="Migliaia 37 6 2 2" xfId="9941" xr:uid="{E4C57220-6BC6-4B2C-A90C-782F975F3613}"/>
    <cellStyle name="Migliaia 37 6 2 3" xfId="18650" xr:uid="{4C5C5A6A-C6FD-4D60-B93F-477DB0CA6712}"/>
    <cellStyle name="Migliaia 37 6 2 4" xfId="20516" xr:uid="{E748E0B9-F93F-42A0-822B-3958BA6E80D6}"/>
    <cellStyle name="Migliaia 37 6 2 5" xfId="32392" xr:uid="{95BD24AD-9B3A-4054-9728-8818B557E334}"/>
    <cellStyle name="Migliaia 37 6 2 6" xfId="16488" xr:uid="{1C5406CC-CC09-4BC1-B6DE-5A02B87EC346}"/>
    <cellStyle name="Migliaia 37 6 2 7" xfId="8660" xr:uid="{05DD705A-BC51-4203-AAF4-D92E5BAA7FE9}"/>
    <cellStyle name="Migliaia 37 6 3" xfId="6516" xr:uid="{350D6510-8676-4186-9243-D53DB5CF346F}"/>
    <cellStyle name="Migliaia 37 6 3 2" xfId="35337" xr:uid="{D6BF256F-13BE-4FC9-88EF-FF311D1397DE}"/>
    <cellStyle name="Migliaia 37 6 3 2 2" xfId="40497" xr:uid="{7291B415-C9E9-45EB-9DB9-228504FA84D3}"/>
    <cellStyle name="Migliaia 37 6 3 2 3" xfId="45799" xr:uid="{A62E4B72-475B-4F3A-BAF5-C03268ADF760}"/>
    <cellStyle name="Migliaia 37 6 3 3" xfId="37846" xr:uid="{CE20DE70-C68B-45D8-ACDF-126D534EA5C6}"/>
    <cellStyle name="Migliaia 37 6 3 4" xfId="43148" xr:uid="{271BFB9D-C9D8-4CD0-987F-1B21D2351D57}"/>
    <cellStyle name="Migliaia 37 6 3 5" xfId="9704" xr:uid="{B85C5A23-08E3-4F9E-9EE4-68D3C9C1BB70}"/>
    <cellStyle name="Migliaia 37 6 4" xfId="20515" xr:uid="{D12EE4C6-2E35-42F1-ABF6-267FA02053AC}"/>
    <cellStyle name="Migliaia 37 6 4 2" xfId="39484" xr:uid="{23EA2CFF-CC1A-460A-BD60-F3E154615EE3}"/>
    <cellStyle name="Migliaia 37 6 4 3" xfId="44786" xr:uid="{3FAD0D4C-C9D5-4418-A2C6-98345FE98C21}"/>
    <cellStyle name="Migliaia 37 6 4 4" xfId="33950" xr:uid="{C81FBD04-E88C-466B-85E3-03CC49481FDC}"/>
    <cellStyle name="Migliaia 37 6 5" xfId="36897" xr:uid="{3762882E-2294-47C9-9431-8D3434C3D374}"/>
    <cellStyle name="Migliaia 37 6 6" xfId="42135" xr:uid="{B994B19C-D5E1-4AFE-A969-7A0B5439A3A0}"/>
    <cellStyle name="Migliaia 37 6 7" xfId="16487" xr:uid="{ED995D4B-90C0-4308-B4D1-48B9801D4BD4}"/>
    <cellStyle name="Migliaia 37 6 8" xfId="7470" xr:uid="{C95B9084-BD6B-4471-AC47-0B7E9B85D349}"/>
    <cellStyle name="Migliaia 37 7" xfId="3598" xr:uid="{075E0A5D-AAA2-4127-AEBB-09EDFA6C3BDB}"/>
    <cellStyle name="Migliaia 37 7 2" xfId="5324" xr:uid="{359A1158-A60E-464F-B1F9-38CFF9239C04}"/>
    <cellStyle name="Migliaia 37 7 2 2" xfId="35338" xr:uid="{5745D005-9487-480C-AB0E-433FD3517E9E}"/>
    <cellStyle name="Migliaia 37 7 2 2 2" xfId="40498" xr:uid="{9BE6A894-8D2B-48A6-AC5E-D5AC301BEBEE}"/>
    <cellStyle name="Migliaia 37 7 2 2 3" xfId="45800" xr:uid="{04413DD0-E858-45F9-B22B-504507EC369E}"/>
    <cellStyle name="Migliaia 37 7 2 3" xfId="37847" xr:uid="{BC36DBB8-1ECE-4EDA-8F75-2329CD339D17}"/>
    <cellStyle name="Migliaia 37 7 2 4" xfId="43149" xr:uid="{6171C59B-E1F6-40C1-A098-D2CCD31D7426}"/>
    <cellStyle name="Migliaia 37 7 2 5" xfId="14269" xr:uid="{F62A63C2-1E11-420C-B79B-60799B98A2DE}"/>
    <cellStyle name="Migliaia 37 7 3" xfId="6517" xr:uid="{03E3F660-1EFB-499D-96FB-579A48D45FEB}"/>
    <cellStyle name="Migliaia 37 7 3 2" xfId="39485" xr:uid="{D70DA1F7-B1E8-4BBD-A3B0-7750B9D5AAD7}"/>
    <cellStyle name="Migliaia 37 7 3 3" xfId="44787" xr:uid="{062FCC72-E8ED-4BE2-B282-373D84D76430}"/>
    <cellStyle name="Migliaia 37 7 3 4" xfId="33951" xr:uid="{0EF89428-C5C3-4E84-96EE-07D1D26DFB08}"/>
    <cellStyle name="Migliaia 37 7 3 5" xfId="20517" xr:uid="{A2EBB191-6CB6-434B-AA9D-0D7835E4E672}"/>
    <cellStyle name="Migliaia 37 7 4" xfId="36898" xr:uid="{0593B125-9BC3-4D65-A68E-E6A5BDB9471E}"/>
    <cellStyle name="Migliaia 37 7 5" xfId="42136" xr:uid="{58D597F4-AFCE-44A2-B007-FA6081EF045B}"/>
    <cellStyle name="Migliaia 37 7 6" xfId="16489" xr:uid="{F2FC9958-7C09-4FF2-8892-30D58BAD614A}"/>
    <cellStyle name="Migliaia 37 7 7" xfId="8331" xr:uid="{AA756156-34E0-47A9-86DF-F08E2965D1CC}"/>
    <cellStyle name="Migliaia 37 8" xfId="3599" xr:uid="{C232DE7B-EDEF-4B38-A92D-1632F8464D75}"/>
    <cellStyle name="Migliaia 37 8 2" xfId="5325" xr:uid="{AA51008E-09DE-44DB-882F-6BFF0AF4715E}"/>
    <cellStyle name="Migliaia 37 8 2 2" xfId="35339" xr:uid="{0AEE7114-27A7-414C-90D4-5941DFF83163}"/>
    <cellStyle name="Migliaia 37 8 2 2 2" xfId="40499" xr:uid="{E30DA1B0-D177-44C6-8821-EECD316F742D}"/>
    <cellStyle name="Migliaia 37 8 2 2 3" xfId="45801" xr:uid="{83325E35-7923-4BA1-8D77-B9E90A834957}"/>
    <cellStyle name="Migliaia 37 8 2 3" xfId="37848" xr:uid="{DB8579DD-2FF5-43BD-BBDD-68BE729578A3}"/>
    <cellStyle name="Migliaia 37 8 2 4" xfId="43150" xr:uid="{030AA1BF-3105-42D0-B3C1-70DF5783E173}"/>
    <cellStyle name="Migliaia 37 8 2 5" xfId="13974" xr:uid="{D4CF1E22-B83B-4361-A749-632225235F82}"/>
    <cellStyle name="Migliaia 37 8 3" xfId="6518" xr:uid="{A9B3D9D6-843A-4639-81FD-39BEF1E1E66E}"/>
    <cellStyle name="Migliaia 37 8 3 2" xfId="39486" xr:uid="{877CFE5E-2CA2-4DB8-964C-A7EB1EBA4974}"/>
    <cellStyle name="Migliaia 37 8 3 3" xfId="44788" xr:uid="{29951C96-CEAD-4ED6-B90B-9DEB73324787}"/>
    <cellStyle name="Migliaia 37 8 3 4" xfId="33952" xr:uid="{485A51AE-20A2-4411-8EB4-15EA8D15C4E2}"/>
    <cellStyle name="Migliaia 37 8 3 5" xfId="20518" xr:uid="{DA38E185-C5CC-4862-9AAD-58CA0C48ABBE}"/>
    <cellStyle name="Migliaia 37 8 4" xfId="36899" xr:uid="{4AF1BBAB-F183-4F6D-B7D5-F273B33EFD0D}"/>
    <cellStyle name="Migliaia 37 8 5" xfId="42137" xr:uid="{486D2612-91CB-4A7B-8E6B-27FC2EEC9FCA}"/>
    <cellStyle name="Migliaia 37 8 6" xfId="16490" xr:uid="{CF24D403-1FF2-4115-BD3E-73D7311373E0}"/>
    <cellStyle name="Migliaia 37 8 7" xfId="7942" xr:uid="{D7FF80D7-3F41-4026-973D-50D32E36D626}"/>
    <cellStyle name="Migliaia 37 9" xfId="5310" xr:uid="{7F867A6E-AB34-4652-8106-6FDAE61C35E0}"/>
    <cellStyle name="Migliaia 37 9 2" xfId="33953" xr:uid="{1D5D7406-41D4-49AE-842E-09D921E8CF9F}"/>
    <cellStyle name="Migliaia 37 9 2 2" xfId="39487" xr:uid="{D5291881-6E9C-40D3-AA96-7358E82212AD}"/>
    <cellStyle name="Migliaia 37 9 2 3" xfId="44789" xr:uid="{62030131-A6ED-44EA-AF57-06E9DA9B93C8}"/>
    <cellStyle name="Migliaia 37 9 3" xfId="36900" xr:uid="{BA26D8EA-9268-48F0-A8D9-B0C34B4A79C4}"/>
    <cellStyle name="Migliaia 37 9 4" xfId="42138" xr:uid="{E99DA59A-73DC-49EC-8756-C808913F00E0}"/>
    <cellStyle name="Migliaia 37 9 5" xfId="17195" xr:uid="{E3055A77-6F04-445B-9077-01EEBA9727DC}"/>
    <cellStyle name="Migliaia 38" xfId="425" xr:uid="{00000000-0005-0000-0000-0000D6030000}"/>
    <cellStyle name="Migliaia 38 10" xfId="6519" xr:uid="{48F4F792-D39C-4989-9355-B09A28869061}"/>
    <cellStyle name="Migliaia 38 10 2" xfId="39488" xr:uid="{37CC3291-8AF7-4C12-BD6E-16F5FF37E68D}"/>
    <cellStyle name="Migliaia 38 10 3" xfId="44790" xr:uid="{1DFAD0CA-E205-4F8F-AC67-AEE1AB8B11FD}"/>
    <cellStyle name="Migliaia 38 10 4" xfId="33954" xr:uid="{F6A606BF-5DD0-4B27-9599-B307D6074F7D}"/>
    <cellStyle name="Migliaia 38 10 5" xfId="20519" xr:uid="{21C66D7A-61A5-40BF-905D-4E1463947F51}"/>
    <cellStyle name="Migliaia 38 11" xfId="3600" xr:uid="{F0B5EB3C-E4AA-4AAA-9BDD-ACD6991327DA}"/>
    <cellStyle name="Migliaia 38 11 2" xfId="36901" xr:uid="{B041C9FC-0957-464E-9E1E-AF96C17DC514}"/>
    <cellStyle name="Migliaia 38 12" xfId="42139" xr:uid="{C67CF126-5163-43F2-9B85-35891F9CA3A9}"/>
    <cellStyle name="Migliaia 38 13" xfId="7135" xr:uid="{B95F1F88-FFB1-4F7B-A1F6-2BA6CED84DF6}"/>
    <cellStyle name="Migliaia 38 2" xfId="426" xr:uid="{00000000-0005-0000-0000-0000D7030000}"/>
    <cellStyle name="Migliaia 38 2 2" xfId="1811" xr:uid="{00000000-0005-0000-0000-0000D8030000}"/>
    <cellStyle name="Migliaia 38 2 2 2" xfId="5328" xr:uid="{EA6AC698-C72B-42AE-B749-E09E27789715}"/>
    <cellStyle name="Migliaia 38 2 2 2 2" xfId="14394" xr:uid="{3114F6CA-A51C-42EA-85F7-0F4C844DE373}"/>
    <cellStyle name="Migliaia 38 2 2 2 2 2" xfId="39489" xr:uid="{DC5E068A-BDFB-4F51-85FD-7CE7CB95C5B3}"/>
    <cellStyle name="Migliaia 38 2 2 2 2 3" xfId="44791" xr:uid="{01A135A6-22CA-428E-95E6-3891F05E44B8}"/>
    <cellStyle name="Migliaia 38 2 2 2 3" xfId="18455" xr:uid="{1565A37F-4C87-4D11-B7A4-7B2442CD5C5F}"/>
    <cellStyle name="Migliaia 38 2 2 2 4" xfId="20522" xr:uid="{50D7A5BF-F89E-4AFC-A40B-4278D64A9ADA}"/>
    <cellStyle name="Migliaia 38 2 2 2 4 2" xfId="42140" xr:uid="{C46DF8C2-2769-4DF8-8FAF-20F97906E7AF}"/>
    <cellStyle name="Migliaia 38 2 2 2 5" xfId="16491" xr:uid="{A98163FA-BE89-4898-ACCC-A15275C14AEB}"/>
    <cellStyle name="Migliaia 38 2 2 2 6" xfId="8667" xr:uid="{89A5E8D5-A90B-4440-B40A-4516BCD88633}"/>
    <cellStyle name="Migliaia 38 2 2 3" xfId="6521" xr:uid="{CD35BAC1-E071-40B0-A89C-05193445CCB9}"/>
    <cellStyle name="Migliaia 38 2 2 3 2" xfId="35340" xr:uid="{48F010C9-2F86-4AFF-8F44-177FC0853119}"/>
    <cellStyle name="Migliaia 38 2 2 3 2 2" xfId="40500" xr:uid="{1D838483-1348-4D1D-87D9-BED9D71507A0}"/>
    <cellStyle name="Migliaia 38 2 2 3 2 3" xfId="45802" xr:uid="{E01C8003-8ADE-4058-96B5-AE6BE780E0E8}"/>
    <cellStyle name="Migliaia 38 2 2 3 3" xfId="37849" xr:uid="{4750A646-2EF9-4F4D-9723-38B065AC820A}"/>
    <cellStyle name="Migliaia 38 2 2 3 4" xfId="43151" xr:uid="{A4D330B8-7BC5-457A-923B-1814D75A5D67}"/>
    <cellStyle name="Migliaia 38 2 2 3 5" xfId="11621" xr:uid="{E9547213-D9E5-4404-8A0B-86B65694F752}"/>
    <cellStyle name="Migliaia 38 2 2 4" xfId="3602" xr:uid="{CC8288F0-74CA-4DCB-92C2-909A5BE87EA2}"/>
    <cellStyle name="Migliaia 38 2 2 4 2" xfId="21523" xr:uid="{7B163D3C-998A-4BF5-88F4-7C10C93D010B}"/>
    <cellStyle name="Migliaia 38 2 2 4 3" xfId="47307" xr:uid="{37C24236-F369-407D-B233-9080F503D84A}"/>
    <cellStyle name="Migliaia 38 2 2 4 4" xfId="50538" xr:uid="{0A49192A-5ABF-4A75-BE47-7B773618768C}"/>
    <cellStyle name="Migliaia 38 2 2 4 5" xfId="53554" xr:uid="{B658EABF-7489-4200-846D-2B56AF87C48E}"/>
    <cellStyle name="Migliaia 38 2 2 4 6" xfId="10888" xr:uid="{96A214C4-4C75-426F-A095-CC3B6744119A}"/>
    <cellStyle name="Migliaia 38 2 2 5" xfId="20521" xr:uid="{D3D75FA3-F9B3-4CEC-BE06-FB5B49ECBF2D}"/>
    <cellStyle name="Migliaia 38 2 2 6" xfId="24868" xr:uid="{A70D1D34-BA94-4AE7-A1B0-A287E36B4C91}"/>
    <cellStyle name="Migliaia 38 2 2 7" xfId="7477" xr:uid="{5B737F9F-5434-4227-87EB-CC7DD7C9886E}"/>
    <cellStyle name="Migliaia 38 2 3" xfId="3603" xr:uid="{F7D50DF9-C34C-4F60-B22D-FBDB90820433}"/>
    <cellStyle name="Migliaia 38 2 3 2" xfId="5329" xr:uid="{EB225DAB-FB4F-43FE-9F17-4692AF62927E}"/>
    <cellStyle name="Migliaia 38 2 3 2 2" xfId="35341" xr:uid="{CFCC60D7-6B71-47B4-81F3-EE79BEDC4FBD}"/>
    <cellStyle name="Migliaia 38 2 3 2 2 2" xfId="40501" xr:uid="{A6380E6A-9F09-450D-8775-CDEEDD34C950}"/>
    <cellStyle name="Migliaia 38 2 3 2 2 3" xfId="45803" xr:uid="{17BF8822-67E5-4C06-A573-A289A5E24D47}"/>
    <cellStyle name="Migliaia 38 2 3 2 3" xfId="37850" xr:uid="{BA0CF14A-480B-449F-9E5A-620FB0CCA58F}"/>
    <cellStyle name="Migliaia 38 2 3 2 4" xfId="43152" xr:uid="{04AB9F80-37E9-4355-A3B8-ADE1BC91A8C9}"/>
    <cellStyle name="Migliaia 38 2 3 2 5" xfId="14273" xr:uid="{4DBBE0C5-09B2-4204-A620-40DD728E9AE0}"/>
    <cellStyle name="Migliaia 38 2 3 3" xfId="6522" xr:uid="{B92EC2F4-C659-4FB9-83F3-703DBC26EF7A}"/>
    <cellStyle name="Migliaia 38 2 3 3 2" xfId="39490" xr:uid="{23B6A006-2989-482B-9124-2BD10D638850}"/>
    <cellStyle name="Migliaia 38 2 3 3 3" xfId="44792" xr:uid="{BF713897-99A2-4B5B-ADCE-C2E29689C7AE}"/>
    <cellStyle name="Migliaia 38 2 3 3 4" xfId="33955" xr:uid="{A970BEDE-4341-4C9B-BED3-822446990ECA}"/>
    <cellStyle name="Migliaia 38 2 3 3 5" xfId="20523" xr:uid="{CC03A306-8E54-4902-9CF1-4F4D605AB944}"/>
    <cellStyle name="Migliaia 38 2 3 4" xfId="36902" xr:uid="{253ADE66-233B-47E8-B966-048DC349D550}"/>
    <cellStyle name="Migliaia 38 2 3 5" xfId="42141" xr:uid="{7135E8A5-531B-4490-BD85-C9BE4E4EC904}"/>
    <cellStyle name="Migliaia 38 2 3 6" xfId="16492" xr:uid="{07EF21D2-5CC6-4E99-ABE3-D667A63D33E9}"/>
    <cellStyle name="Migliaia 38 2 3 7" xfId="8335" xr:uid="{0682881F-2824-4A6A-85F6-559C0AD4D450}"/>
    <cellStyle name="Migliaia 38 2 4" xfId="5327" xr:uid="{6C77A039-D1A1-4D5F-BE0C-59947A39F44F}"/>
    <cellStyle name="Migliaia 38 2 4 2" xfId="13978" xr:uid="{91329869-DFAC-4F14-9E19-A187906B5D2C}"/>
    <cellStyle name="Migliaia 38 2 4 2 2" xfId="39491" xr:uid="{565EF5DE-FA62-4CC9-8680-B7E33D8525D4}"/>
    <cellStyle name="Migliaia 38 2 4 2 3" xfId="44793" xr:uid="{1C6B3210-C0DA-4941-A23E-6AAB12CC95FA}"/>
    <cellStyle name="Migliaia 38 2 4 3" xfId="18705" xr:uid="{6412A9A1-6658-4D68-9D31-E6A2154717E4}"/>
    <cellStyle name="Migliaia 38 2 4 4" xfId="20524" xr:uid="{07A9CD23-D6C4-4BC3-9D4C-B665A8DD5350}"/>
    <cellStyle name="Migliaia 38 2 4 4 2" xfId="42142" xr:uid="{D5301AE0-8B6D-4F27-B71E-7C13EEEB050C}"/>
    <cellStyle name="Migliaia 38 2 4 5" xfId="16493" xr:uid="{234A2756-BBBC-43E6-9ABE-49189A28CEA0}"/>
    <cellStyle name="Migliaia 38 2 4 6" xfId="7947" xr:uid="{D72B7F3E-5562-472E-94C9-22737A766E05}"/>
    <cellStyle name="Migliaia 38 2 5" xfId="6520" xr:uid="{ABFE1193-C612-426D-867C-EC04DF7370FB}"/>
    <cellStyle name="Migliaia 38 2 5 2" xfId="33956" xr:uid="{04323558-9076-47CF-8B26-2677CEC7717D}"/>
    <cellStyle name="Migliaia 38 2 5 2 2" xfId="39492" xr:uid="{13A15B6C-3078-4A9B-B152-0844B0BD12B9}"/>
    <cellStyle name="Migliaia 38 2 5 2 3" xfId="44794" xr:uid="{A9FAD7E9-6008-428E-A97E-6654BD5F51B5}"/>
    <cellStyle name="Migliaia 38 2 5 3" xfId="36903" xr:uid="{A11A4A8C-5F32-4277-BAA9-819F74E188B6}"/>
    <cellStyle name="Migliaia 38 2 5 4" xfId="42143" xr:uid="{3C0933D2-607E-45F0-B242-D201F5667F96}"/>
    <cellStyle name="Migliaia 38 2 5 5" xfId="13134" xr:uid="{4161142A-07D3-4130-B4D0-E8A75F9E53FD}"/>
    <cellStyle name="Migliaia 38 2 6" xfId="3601" xr:uid="{95445A0F-9632-4D42-B07B-A3AFF2B045EA}"/>
    <cellStyle name="Migliaia 38 2 6 2" xfId="33957" xr:uid="{F83A6D51-917C-4CEB-A02F-4A8B4A5F8613}"/>
    <cellStyle name="Migliaia 38 2 6 2 2" xfId="39493" xr:uid="{292A0137-EB82-4129-929C-4C98FC641E9A}"/>
    <cellStyle name="Migliaia 38 2 6 2 3" xfId="44795" xr:uid="{32B2F417-A41C-4CCF-9131-11DD8299AC5D}"/>
    <cellStyle name="Migliaia 38 2 6 3" xfId="36904" xr:uid="{C0F161A9-DF44-4D61-B863-EC183D907CBE}"/>
    <cellStyle name="Migliaia 38 2 6 4" xfId="42144" xr:uid="{C172BD62-8C42-4869-AA43-61D24B7C3EFC}"/>
    <cellStyle name="Migliaia 38 2 6 5" xfId="24869" xr:uid="{B163AD11-E455-4AA8-962F-A5D6968B367A}"/>
    <cellStyle name="Migliaia 38 2 6 6" xfId="20520" xr:uid="{A3A2A246-CB05-421F-9A49-FD77CA17E933}"/>
    <cellStyle name="Migliaia 38 2 7" xfId="24867" xr:uid="{5DBCB35D-C7F7-460F-9C8F-0531D67E0BC0}"/>
    <cellStyle name="Migliaia 38 2 8" xfId="7136" xr:uid="{C3498C50-D7AD-45AC-887F-D3DDE09C6234}"/>
    <cellStyle name="Migliaia 38 3" xfId="427" xr:uid="{00000000-0005-0000-0000-0000D9030000}"/>
    <cellStyle name="Migliaia 38 3 10" xfId="24870" xr:uid="{E893E195-7598-4C51-B5C2-DBE98E7D976B}"/>
    <cellStyle name="Migliaia 38 3 11" xfId="16494" xr:uid="{EAC9CE1D-8D90-456A-8DFB-0121508C31EB}"/>
    <cellStyle name="Migliaia 38 3 12" xfId="7137" xr:uid="{361DD419-A4A9-479B-B11B-97E7F21A2EE1}"/>
    <cellStyle name="Migliaia 38 3 2" xfId="428" xr:uid="{00000000-0005-0000-0000-0000DA030000}"/>
    <cellStyle name="Migliaia 38 3 2 2" xfId="1812" xr:uid="{00000000-0005-0000-0000-0000DB030000}"/>
    <cellStyle name="Migliaia 38 3 2 2 2" xfId="5332" xr:uid="{D0CE1583-2C21-4DBD-9FB4-9A9091181EAD}"/>
    <cellStyle name="Migliaia 38 3 2 2 2 2" xfId="18456" xr:uid="{7B3EF70D-494B-4D58-B456-E0EF94C5C4D4}"/>
    <cellStyle name="Migliaia 38 3 2 2 2 2 2" xfId="21872" xr:uid="{3A25C66B-D024-4758-9400-50D4271629A1}"/>
    <cellStyle name="Migliaia 38 3 2 2 2 2 2 2" xfId="39494" xr:uid="{A7DB44E7-B720-4FB9-8E04-603BFB858A65}"/>
    <cellStyle name="Migliaia 38 3 2 2 2 2 3" xfId="44796" xr:uid="{7D9EDA69-519D-4CAC-8A4F-24EE4DEF16AC}"/>
    <cellStyle name="Migliaia 38 3 2 2 2 2 4" xfId="33958" xr:uid="{1A1460B1-A807-4348-A7AB-9FDBBD5CBFF7}"/>
    <cellStyle name="Migliaia 38 3 2 2 2 3" xfId="36905" xr:uid="{E7714318-2F31-41B0-BD34-4B5AC469181C}"/>
    <cellStyle name="Migliaia 38 3 2 2 2 4" xfId="42145" xr:uid="{F372C539-473F-43D6-8E14-6B2B9700D674}"/>
    <cellStyle name="Migliaia 38 3 2 2 2 5" xfId="46748" xr:uid="{CCDBECFD-BFA5-4D13-895F-D02418976989}"/>
    <cellStyle name="Migliaia 38 3 2 2 2 6" xfId="50900" xr:uid="{959EFBC0-04AA-4DAC-8D60-3549F15DCABE}"/>
    <cellStyle name="Migliaia 38 3 2 2 2 7" xfId="53916" xr:uid="{EA088152-E0A2-42CA-B3D9-C9AA0E905C25}"/>
    <cellStyle name="Migliaia 38 3 2 2 2 8" xfId="17669" xr:uid="{6D06D18F-017E-49BA-A1E4-3BF9B58D6775}"/>
    <cellStyle name="Migliaia 38 3 2 2 2 9" xfId="12011" xr:uid="{1E3BAEB7-96A3-43D2-93F1-556E7C0BC099}"/>
    <cellStyle name="Migliaia 38 3 2 2 3" xfId="6525" xr:uid="{5B73C05B-34B4-4EB1-A292-409472A35D68}"/>
    <cellStyle name="Migliaia 38 3 2 2 3 2" xfId="11565" xr:uid="{7A231238-7D31-4F7F-A7D2-F75510F29459}"/>
    <cellStyle name="Migliaia 38 3 2 2 4" xfId="3606" xr:uid="{A93408DE-FA5A-4202-9595-2A0110C15F82}"/>
    <cellStyle name="Migliaia 38 3 2 2 4 2" xfId="21524" xr:uid="{768567DA-D132-4DA8-AF88-59989CBE7B6A}"/>
    <cellStyle name="Migliaia 38 3 2 2 4 3" xfId="46251" xr:uid="{B9267E41-EB64-4065-85AE-559C30B12B11}"/>
    <cellStyle name="Migliaia 38 3 2 2 4 4" xfId="50539" xr:uid="{D8629CA9-296D-4987-BA3A-1FB98E01BE72}"/>
    <cellStyle name="Migliaia 38 3 2 2 4 5" xfId="53555" xr:uid="{2746B891-D85E-4FBA-B72F-23EFB1216D07}"/>
    <cellStyle name="Migliaia 38 3 2 2 4 6" xfId="10889" xr:uid="{C3048E5B-FDAF-462D-B46B-146F52D76883}"/>
    <cellStyle name="Migliaia 38 3 2 2 5" xfId="20527" xr:uid="{8C95328A-FB90-4451-8074-CC660B7F7265}"/>
    <cellStyle name="Migliaia 38 3 2 2 6" xfId="24872" xr:uid="{EA671DE4-FAA2-48F0-9905-F8AB4A58B8D5}"/>
    <cellStyle name="Migliaia 38 3 2 2 7" xfId="8669" xr:uid="{4C669DE5-04E4-456B-853B-DB45F8365EF7}"/>
    <cellStyle name="Migliaia 38 3 2 3" xfId="5331" xr:uid="{91F9B1FE-73FF-42E9-95C0-24CCA9077C54}"/>
    <cellStyle name="Migliaia 38 3 2 3 2" xfId="11658" xr:uid="{FB4A00DF-3DF4-4F7D-944B-F8CD899E256A}"/>
    <cellStyle name="Migliaia 38 3 2 3 2 2" xfId="39495" xr:uid="{166FE51F-3981-4CD4-9273-710A62FBB107}"/>
    <cellStyle name="Migliaia 38 3 2 3 2 3" xfId="44797" xr:uid="{0B7FCC75-AD16-4888-A541-D5D4F31217AF}"/>
    <cellStyle name="Migliaia 38 3 2 3 2 4" xfId="33959" xr:uid="{A0BEF434-55BF-4A75-8C3D-F6FD44198E4D}"/>
    <cellStyle name="Migliaia 38 3 2 3 3" xfId="12012" xr:uid="{C5A2E48A-D8BB-4C78-9634-446FAE778CAC}"/>
    <cellStyle name="Migliaia 38 3 2 3 4" xfId="20528" xr:uid="{0F0C20F1-64E5-4703-894E-B1D1E9FA094E}"/>
    <cellStyle name="Migliaia 38 3 2 3 4 2" xfId="42146" xr:uid="{7B96C800-D2B2-4D6A-AA3D-7A31F0FBDA2B}"/>
    <cellStyle name="Migliaia 38 3 2 3 5" xfId="16495" xr:uid="{C1CCC75C-DC35-4126-AD09-A268D2983F01}"/>
    <cellStyle name="Migliaia 38 3 2 3 6" xfId="7949" xr:uid="{FB5BCB0D-2A1F-4008-B3A0-91D70DC7D1E9}"/>
    <cellStyle name="Migliaia 38 3 2 4" xfId="6524" xr:uid="{0EB52077-972D-45EE-9F75-01F143972C94}"/>
    <cellStyle name="Migliaia 38 3 2 4 2" xfId="18088" xr:uid="{BBBE813D-613A-4904-BAC3-3D5B915774DA}"/>
    <cellStyle name="Migliaia 38 3 2 4 2 2" xfId="39496" xr:uid="{8C255D9D-D4A4-4F77-890C-639D43DCA5D7}"/>
    <cellStyle name="Migliaia 38 3 2 4 2 3" xfId="44798" xr:uid="{1D6B524A-227A-44B8-AF39-2EA26715A45D}"/>
    <cellStyle name="Migliaia 38 3 2 4 3" xfId="36906" xr:uid="{467DBFD4-B406-4CD7-ADA5-50CEF2F1AA86}"/>
    <cellStyle name="Migliaia 38 3 2 4 4" xfId="42147" xr:uid="{D1C2F791-3311-4738-A107-9572F394E1E9}"/>
    <cellStyle name="Migliaia 38 3 2 4 5" xfId="17198" xr:uid="{D53897E4-4A13-415E-8911-3221C641DB9B}"/>
    <cellStyle name="Migliaia 38 3 2 4 6" xfId="11360" xr:uid="{466CDDB6-D36B-4C55-A4F8-8C627E353DEE}"/>
    <cellStyle name="Migliaia 38 3 2 5" xfId="3605" xr:uid="{0F78C155-B81C-4F41-A033-9A773CB9F65C}"/>
    <cellStyle name="Migliaia 38 3 2 5 2" xfId="33960" xr:uid="{489DB895-E6DF-4E1D-8547-20B3173F6D59}"/>
    <cellStyle name="Migliaia 38 3 2 5 2 2" xfId="39497" xr:uid="{BB2B2164-06D6-4B55-9F64-E3FE650638B1}"/>
    <cellStyle name="Migliaia 38 3 2 5 2 3" xfId="44799" xr:uid="{C4728C0E-4746-4EE7-9824-A6E1487D7E38}"/>
    <cellStyle name="Migliaia 38 3 2 5 3" xfId="36907" xr:uid="{42EB457B-9446-4320-84B9-B5152961711D}"/>
    <cellStyle name="Migliaia 38 3 2 5 4" xfId="42148" xr:uid="{72FA1F99-4151-46EC-BDD5-89730DDFABC6}"/>
    <cellStyle name="Migliaia 38 3 2 5 5" xfId="17333" xr:uid="{1DA84B22-8C15-4B47-A630-00469DE9109F}"/>
    <cellStyle name="Migliaia 38 3 2 6" xfId="20526" xr:uid="{5FCFEAB7-D428-4B6B-AC5D-BBE1F586D6C0}"/>
    <cellStyle name="Migliaia 38 3 2 6 2" xfId="33961" xr:uid="{6865B7B0-B8B8-4893-88F2-6341A260202F}"/>
    <cellStyle name="Migliaia 38 3 2 6 2 2" xfId="39498" xr:uid="{0BE3FBBF-6CA5-49FD-A19E-ADA3D9BC17E4}"/>
    <cellStyle name="Migliaia 38 3 2 6 2 3" xfId="44800" xr:uid="{E0506D97-4409-4F65-9F36-CA00D0006646}"/>
    <cellStyle name="Migliaia 38 3 2 6 3" xfId="36908" xr:uid="{BB3093A2-E985-402C-B779-3D22B19AF0BE}"/>
    <cellStyle name="Migliaia 38 3 2 6 4" xfId="42149" xr:uid="{0542F52E-E4F5-45FE-B795-EAD2C8B22031}"/>
    <cellStyle name="Migliaia 38 3 2 6 5" xfId="24873" xr:uid="{A863C9E3-6B5D-4476-B25E-2676F66DD009}"/>
    <cellStyle name="Migliaia 38 3 2 7" xfId="24871" xr:uid="{2D5A5E1C-A74E-43EC-8F45-A7D3A772BFFC}"/>
    <cellStyle name="Migliaia 38 3 2 8" xfId="7479" xr:uid="{EA800ECB-F153-4834-B9D0-0570D14B914D}"/>
    <cellStyle name="Migliaia 38 3 3" xfId="3607" xr:uid="{E6DD005A-9134-476D-B762-83809B5FBFBE}"/>
    <cellStyle name="Migliaia 38 3 3 10" xfId="7478" xr:uid="{A194FCB5-57B8-4DC4-82B7-7C897416D9E7}"/>
    <cellStyle name="Migliaia 38 3 3 2" xfId="5333" xr:uid="{4BC41AA1-D181-4A6D-A385-A576B2EDBB0E}"/>
    <cellStyle name="Migliaia 38 3 3 2 2" xfId="9944" xr:uid="{3E47CA5C-58FC-47DB-8814-9C144799FFB9}"/>
    <cellStyle name="Migliaia 38 3 3 2 2 2" xfId="39500" xr:uid="{3EDA6167-02C2-4C9E-929A-040ED58679F8}"/>
    <cellStyle name="Migliaia 38 3 3 2 2 3" xfId="44802" xr:uid="{A6C20078-FFA1-4450-A376-BE56CFCDEE44}"/>
    <cellStyle name="Migliaia 38 3 3 2 3" xfId="18224" xr:uid="{D0104D05-8D33-40DE-81F8-4B7E5A476EAF}"/>
    <cellStyle name="Migliaia 38 3 3 2 4" xfId="20530" xr:uid="{403AFAE3-DE38-43F0-8787-F5A87D49EE2A}"/>
    <cellStyle name="Migliaia 38 3 3 2 4 2" xfId="42151" xr:uid="{87471109-BDF7-4811-8F21-8262FD2B4D26}"/>
    <cellStyle name="Migliaia 38 3 3 2 5" xfId="16497" xr:uid="{08D09FB3-368A-4260-85B6-A6EA03231D62}"/>
    <cellStyle name="Migliaia 38 3 3 2 6" xfId="8668" xr:uid="{84EE48C7-E986-4ADF-B969-C2710B6EEE20}"/>
    <cellStyle name="Migliaia 38 3 3 3" xfId="6526" xr:uid="{E5CDDE51-A4DF-4806-8F58-52B864150B4F}"/>
    <cellStyle name="Migliaia 38 3 3 3 2" xfId="33963" xr:uid="{21D28120-3F94-430C-B720-C159E8BC0EAA}"/>
    <cellStyle name="Migliaia 38 3 3 3 2 2" xfId="39501" xr:uid="{7371B45E-C670-49F8-9525-FB32E029072F}"/>
    <cellStyle name="Migliaia 38 3 3 3 2 3" xfId="44803" xr:uid="{89ECEA0B-CA26-411D-8681-E6C8D8DF12E3}"/>
    <cellStyle name="Migliaia 38 3 3 3 3" xfId="36910" xr:uid="{0DEA77D8-02A4-4B93-899F-F1429A607C2A}"/>
    <cellStyle name="Migliaia 38 3 3 3 4" xfId="42152" xr:uid="{A46FECE1-23A0-405D-BC2E-CBADA02617ED}"/>
    <cellStyle name="Migliaia 38 3 3 3 5" xfId="9707" xr:uid="{22F99343-8C2E-4B0F-967C-7356BEBF3ABA}"/>
    <cellStyle name="Migliaia 38 3 3 4" xfId="20529" xr:uid="{88928595-2AD8-4707-BF45-388767B3CD37}"/>
    <cellStyle name="Migliaia 38 3 3 4 2" xfId="33964" xr:uid="{9C3FBF04-0935-4764-8058-FC86E27B966A}"/>
    <cellStyle name="Migliaia 38 3 3 4 2 2" xfId="39502" xr:uid="{CAA54364-1A66-4458-8793-0054A7DB2DF0}"/>
    <cellStyle name="Migliaia 38 3 3 4 2 3" xfId="44804" xr:uid="{11D0C421-5424-4819-A765-BCF9CE7475BA}"/>
    <cellStyle name="Migliaia 38 3 3 4 3" xfId="36911" xr:uid="{8BC22591-FCC0-4CB2-8371-E2CCFE2B265F}"/>
    <cellStyle name="Migliaia 38 3 3 4 4" xfId="42153" xr:uid="{EFEEB4A1-C8F6-4DF9-AB0B-833F1DC651D8}"/>
    <cellStyle name="Migliaia 38 3 3 4 5" xfId="24874" xr:uid="{804C617F-6015-420C-9B05-A35253FF2A5F}"/>
    <cellStyle name="Migliaia 38 3 3 5" xfId="24875" xr:uid="{0193E0B1-1831-43CA-908B-40D947EF54EA}"/>
    <cellStyle name="Migliaia 38 3 3 5 2" xfId="33965" xr:uid="{8966386D-266B-4E17-9D42-50F1CCAFD2FF}"/>
    <cellStyle name="Migliaia 38 3 3 5 2 2" xfId="39503" xr:uid="{B7222EE0-D2F2-4F5F-8E98-B050DBD047F7}"/>
    <cellStyle name="Migliaia 38 3 3 5 2 3" xfId="44805" xr:uid="{EA1DB3EC-3357-43B6-9D6E-964B8AAF224B}"/>
    <cellStyle name="Migliaia 38 3 3 5 3" xfId="36912" xr:uid="{1A53FBC7-EADE-4D22-A743-CE136AF3ED9C}"/>
    <cellStyle name="Migliaia 38 3 3 5 4" xfId="42154" xr:uid="{2370C3F4-AF04-474B-845B-4D31CE4C93CD}"/>
    <cellStyle name="Migliaia 38 3 3 6" xfId="33962" xr:uid="{C8BC030E-E123-426D-9A29-0CB9B6C2D448}"/>
    <cellStyle name="Migliaia 38 3 3 6 2" xfId="39499" xr:uid="{5F661768-FBCE-427F-A766-BBC1EA838A59}"/>
    <cellStyle name="Migliaia 38 3 3 6 3" xfId="44801" xr:uid="{AC3ACC16-6D75-462E-A493-5F091F0AD8A4}"/>
    <cellStyle name="Migliaia 38 3 3 7" xfId="36909" xr:uid="{C7EE4B52-3333-4495-BC37-02206D8925B5}"/>
    <cellStyle name="Migliaia 38 3 3 8" xfId="42150" xr:uid="{A2641004-2C15-4D00-9677-5C001B3B0191}"/>
    <cellStyle name="Migliaia 38 3 3 9" xfId="16496" xr:uid="{2FC81A26-EDB8-40B5-ACAF-70F15ECCBF65}"/>
    <cellStyle name="Migliaia 38 3 4" xfId="3608" xr:uid="{03636019-356D-450C-A339-43049776B7D5}"/>
    <cellStyle name="Migliaia 38 3 4 2" xfId="5334" xr:uid="{38D61A6A-5CDF-45B8-811B-E12970FB7DD6}"/>
    <cellStyle name="Migliaia 38 3 4 2 2" xfId="14454" xr:uid="{992DF857-C1AD-420D-9FD2-9E7BF790301F}"/>
    <cellStyle name="Migliaia 38 3 4 2 3" xfId="18130" xr:uid="{52632DA4-16D9-40E1-9888-1A67A6B21BDA}"/>
    <cellStyle name="Migliaia 38 3 4 2 4" xfId="20532" xr:uid="{2D7E4857-A1AB-4F21-B09A-057592BE8811}"/>
    <cellStyle name="Migliaia 38 3 4 2 5" xfId="32393" xr:uid="{1243FA94-33B8-471A-A5AB-E642435D2F0E}"/>
    <cellStyle name="Migliaia 38 3 4 2 6" xfId="16499" xr:uid="{B8F278E4-C8AE-4845-9E33-C603E5DB509D}"/>
    <cellStyle name="Migliaia 38 3 4 2 7" xfId="8877" xr:uid="{F3A3D0C9-7B3F-416E-92C4-C3B86A61DDB2}"/>
    <cellStyle name="Migliaia 38 3 4 3" xfId="6527" xr:uid="{CCC29080-2494-4314-96D0-464D4B1845A2}"/>
    <cellStyle name="Migliaia 38 3 4 3 2" xfId="35342" xr:uid="{F4B1B1ED-C272-4C55-AF48-234BE25D0365}"/>
    <cellStyle name="Migliaia 38 3 4 3 2 2" xfId="40502" xr:uid="{98A0A85D-4246-4E2A-B939-64C277451032}"/>
    <cellStyle name="Migliaia 38 3 4 3 2 3" xfId="45804" xr:uid="{CF60CBAC-E954-44A9-93F0-F583E9AEAAB1}"/>
    <cellStyle name="Migliaia 38 3 4 3 3" xfId="37851" xr:uid="{267F65DE-5F73-4F7F-98A2-6D0348070A74}"/>
    <cellStyle name="Migliaia 38 3 4 3 4" xfId="43153" xr:uid="{7064413A-F68B-44E5-8D47-B842F8A4ECFB}"/>
    <cellStyle name="Migliaia 38 3 4 3 5" xfId="13702" xr:uid="{BAC9919B-7081-4430-A3DD-7C94FDA9C1B1}"/>
    <cellStyle name="Migliaia 38 3 4 4" xfId="20531" xr:uid="{9EEE0D2C-4429-48CF-9644-E1B034E37B29}"/>
    <cellStyle name="Migliaia 38 3 4 4 2" xfId="39504" xr:uid="{C3FEACE6-9DD5-4D6A-AFA0-58D333D9AD19}"/>
    <cellStyle name="Migliaia 38 3 4 4 3" xfId="44806" xr:uid="{E960209D-4A11-4F79-9EB0-ED89F6D02F25}"/>
    <cellStyle name="Migliaia 38 3 4 4 4" xfId="33966" xr:uid="{07B31352-D605-4EFA-9D69-92981C235BDD}"/>
    <cellStyle name="Migliaia 38 3 4 5" xfId="36913" xr:uid="{8E492602-D8C9-4333-855D-6CA55086C662}"/>
    <cellStyle name="Migliaia 38 3 4 6" xfId="42155" xr:uid="{3DC5CEA4-1F4D-4DC2-8EEB-4846B55A6653}"/>
    <cellStyle name="Migliaia 38 3 4 7" xfId="16498" xr:uid="{F60BDBA7-6B33-4066-A0DC-F2842075C8C6}"/>
    <cellStyle name="Migliaia 38 3 4 8" xfId="7687" xr:uid="{180227B2-CE76-45D8-95EC-0310AD9DAB0A}"/>
    <cellStyle name="Migliaia 38 3 5" xfId="3609" xr:uid="{D2132C9F-5EC5-40E6-9013-33262637A7BA}"/>
    <cellStyle name="Migliaia 38 3 5 2" xfId="5335" xr:uid="{B2395656-4B00-4F69-B8AF-4BAF0CC926E9}"/>
    <cellStyle name="Migliaia 38 3 5 2 2" xfId="35343" xr:uid="{7043AC64-AABC-4E50-8E74-8449FAA70599}"/>
    <cellStyle name="Migliaia 38 3 5 2 2 2" xfId="40503" xr:uid="{B4DAFFC8-2AEA-42A5-A764-83F3C93AAA05}"/>
    <cellStyle name="Migliaia 38 3 5 2 2 3" xfId="45805" xr:uid="{264A86D4-3AA4-45B2-A871-5871E10B4E7D}"/>
    <cellStyle name="Migliaia 38 3 5 2 3" xfId="37852" xr:uid="{F360E874-84DA-44AB-A587-E4E8CCF50DF3}"/>
    <cellStyle name="Migliaia 38 3 5 2 4" xfId="43154" xr:uid="{D82E9405-A9ED-403C-877D-96BFEB1FEA7A}"/>
    <cellStyle name="Migliaia 38 3 5 2 5" xfId="14274" xr:uid="{FACCE34A-5912-4C21-81E2-CAE8BA36EBD0}"/>
    <cellStyle name="Migliaia 38 3 5 3" xfId="6528" xr:uid="{C8039125-AF5B-4875-829B-C2D9E880EA80}"/>
    <cellStyle name="Migliaia 38 3 5 3 2" xfId="39505" xr:uid="{0BED0C95-F469-4478-9E99-B3BF20240072}"/>
    <cellStyle name="Migliaia 38 3 5 3 3" xfId="44807" xr:uid="{D5EB5F1B-1AA3-4660-BCFE-0323D16B70A7}"/>
    <cellStyle name="Migliaia 38 3 5 3 4" xfId="33967" xr:uid="{560C5A14-984D-48E5-B3D4-B4C067577A1D}"/>
    <cellStyle name="Migliaia 38 3 5 3 5" xfId="20533" xr:uid="{291CA0C2-3998-4557-8B23-A92A949F29A6}"/>
    <cellStyle name="Migliaia 38 3 5 4" xfId="36914" xr:uid="{B9A02760-BF61-4B45-A987-748E126BC8EA}"/>
    <cellStyle name="Migliaia 38 3 5 5" xfId="42156" xr:uid="{A75BFAEC-2F00-42D1-8AC7-709A27C3A265}"/>
    <cellStyle name="Migliaia 38 3 5 6" xfId="16500" xr:uid="{EA374F2B-88DE-45BD-9A27-9A52F60BB599}"/>
    <cellStyle name="Migliaia 38 3 5 7" xfId="8336" xr:uid="{4FF5003C-BD30-4D9A-87DA-15B58F4432D5}"/>
    <cellStyle name="Migliaia 38 3 6" xfId="5330" xr:uid="{A28B5CC7-EC12-40AB-B727-2D07B696D258}"/>
    <cellStyle name="Migliaia 38 3 6 2" xfId="13979" xr:uid="{7C0CA3A6-566D-4BBE-B65A-79B6B3CFB69F}"/>
    <cellStyle name="Migliaia 38 3 6 2 2" xfId="39506" xr:uid="{568CD108-AF48-438A-91A3-5973AC0CCAB9}"/>
    <cellStyle name="Migliaia 38 3 6 2 3" xfId="44808" xr:uid="{D20C39C3-4FAA-4DFD-A3CB-A453D449707E}"/>
    <cellStyle name="Migliaia 38 3 6 3" xfId="18611" xr:uid="{100C366B-0D7F-4866-8D30-6352C6CBD3D2}"/>
    <cellStyle name="Migliaia 38 3 6 4" xfId="20534" xr:uid="{F1BE9AAF-7B1B-4A40-B135-3C7C6FE4A295}"/>
    <cellStyle name="Migliaia 38 3 6 4 2" xfId="42157" xr:uid="{2523EB8F-7D87-4859-90A9-F9192CAB87C9}"/>
    <cellStyle name="Migliaia 38 3 6 5" xfId="16501" xr:uid="{378B25B5-84FF-4201-8987-7A99D95479D3}"/>
    <cellStyle name="Migliaia 38 3 6 6" xfId="7948" xr:uid="{A8D5FE97-34AB-4E00-A824-FB181E6BDE03}"/>
    <cellStyle name="Migliaia 38 3 7" xfId="6523" xr:uid="{02543DDF-E2DA-4DFB-8B39-CD37854D65A4}"/>
    <cellStyle name="Migliaia 38 3 7 2" xfId="33968" xr:uid="{8F16D6E8-4FC7-4942-BBEE-097B70B8B432}"/>
    <cellStyle name="Migliaia 38 3 7 2 2" xfId="39507" xr:uid="{A7AF7014-CBDE-443C-B9CF-385FB95AB5AB}"/>
    <cellStyle name="Migliaia 38 3 7 2 3" xfId="44809" xr:uid="{96CA9D8C-F926-4A88-AFD7-B794112A900F}"/>
    <cellStyle name="Migliaia 38 3 7 3" xfId="36915" xr:uid="{8006C9C7-28BF-4AF7-B60E-65632C82BC46}"/>
    <cellStyle name="Migliaia 38 3 7 4" xfId="42158" xr:uid="{056D18D8-480D-4DD2-9686-BF210572D2ED}"/>
    <cellStyle name="Migliaia 38 3 7 5" xfId="11706" xr:uid="{BCB83896-98F9-42DC-9C8B-ECB3C929866F}"/>
    <cellStyle name="Migliaia 38 3 8" xfId="3604" xr:uid="{083DEB44-C1CA-4EAD-A030-BFAC9415BB9F}"/>
    <cellStyle name="Migliaia 38 3 8 2" xfId="33969" xr:uid="{6636ADCF-1567-4224-9CAE-EC04B8ACCCB2}"/>
    <cellStyle name="Migliaia 38 3 8 2 2" xfId="39508" xr:uid="{EDE5F1BE-8B78-42DE-97CD-1BECFCC781DD}"/>
    <cellStyle name="Migliaia 38 3 8 2 3" xfId="44810" xr:uid="{681FF8D8-5BEA-4F9B-B479-F182A37819E6}"/>
    <cellStyle name="Migliaia 38 3 8 3" xfId="36916" xr:uid="{C80B1BA1-D77F-42C4-9526-12A0C8A0AC3E}"/>
    <cellStyle name="Migliaia 38 3 8 4" xfId="42159" xr:uid="{524E8ED3-DBB1-408F-99FA-ED638F717A5F}"/>
    <cellStyle name="Migliaia 38 3 8 5" xfId="24876" xr:uid="{697B3691-FEF6-4B84-85DD-2B433B4E0368}"/>
    <cellStyle name="Migliaia 38 3 8 6" xfId="17334" xr:uid="{BF9BE613-11A4-4D02-B5B3-8F6D10DC5D07}"/>
    <cellStyle name="Migliaia 38 3 9" xfId="20525" xr:uid="{689A3EB2-26CC-4338-BA6A-7FC8CEF5E5BC}"/>
    <cellStyle name="Migliaia 38 4" xfId="1813" xr:uid="{00000000-0005-0000-0000-0000DC030000}"/>
    <cellStyle name="Migliaia 38 4 2" xfId="1814" xr:uid="{00000000-0005-0000-0000-0000DD030000}"/>
    <cellStyle name="Migliaia 38 4 2 2" xfId="5337" xr:uid="{4F97117D-5AC0-481C-B2C9-77B914E2198B}"/>
    <cellStyle name="Migliaia 38 4 2 2 2" xfId="33970" xr:uid="{1BDF14C5-133F-4506-9460-05F5DDB24633}"/>
    <cellStyle name="Migliaia 38 4 2 2 2 2" xfId="39509" xr:uid="{6433EBED-EB8E-4EF1-8715-C3ED54E86487}"/>
    <cellStyle name="Migliaia 38 4 2 2 2 3" xfId="44811" xr:uid="{68C5162E-D815-4C8B-8822-64507207CA5C}"/>
    <cellStyle name="Migliaia 38 4 2 2 3" xfId="36917" xr:uid="{094A6189-C086-41E2-9AA4-F7469DC11399}"/>
    <cellStyle name="Migliaia 38 4 2 2 4" xfId="42160" xr:uid="{26BD0101-6F0C-4D42-8D35-8D59B7BBBF0D}"/>
    <cellStyle name="Migliaia 38 4 2 2 5" xfId="9170" xr:uid="{28F66063-98B9-4893-8E7A-2CF403985FC0}"/>
    <cellStyle name="Migliaia 38 4 2 3" xfId="3611" xr:uid="{DD482E3B-6EB1-4AA9-BF95-F73D1E49A9B3}"/>
    <cellStyle name="Migliaia 38 4 2 3 2" xfId="33971" xr:uid="{6AD51307-6CD8-4657-A41C-56BD924F6F45}"/>
    <cellStyle name="Migliaia 38 4 2 3 2 2" xfId="39510" xr:uid="{44E5453A-9B29-4D8B-A09E-FDE584C01A89}"/>
    <cellStyle name="Migliaia 38 4 2 3 2 3" xfId="44812" xr:uid="{740B4852-1A52-4037-A643-85A361888B7D}"/>
    <cellStyle name="Migliaia 38 4 2 3 3" xfId="36918" xr:uid="{1C9A8A19-1029-419C-9270-F57CECBD894A}"/>
    <cellStyle name="Migliaia 38 4 2 3 4" xfId="42161" xr:uid="{652C8916-D3A5-4762-B67B-8277AFEEDFA7}"/>
    <cellStyle name="Migliaia 38 4 2 3 5" xfId="12013" xr:uid="{82A5B069-72F9-471D-B480-87906547C120}"/>
    <cellStyle name="Migliaia 38 4 2 4" xfId="11362" xr:uid="{059931A2-5726-4770-BA86-8DBBA6B09853}"/>
    <cellStyle name="Migliaia 38 4 2 5" xfId="10891" xr:uid="{4DCA0870-D8ED-43C6-A7E5-75F15ABD51C1}"/>
    <cellStyle name="Migliaia 38 4 2 5 2" xfId="21526" xr:uid="{4BEE206E-AE65-446E-889A-E5494963CAC8}"/>
    <cellStyle name="Migliaia 38 4 2 5 3" xfId="46252" xr:uid="{4783B407-595C-4624-91F6-A792FD183E5F}"/>
    <cellStyle name="Migliaia 38 4 2 5 4" xfId="50541" xr:uid="{94A947A8-E80A-4EB8-8AAE-ACEAB68B6357}"/>
    <cellStyle name="Migliaia 38 4 2 5 5" xfId="53557" xr:uid="{CFCF6AF5-628C-4229-9932-3584A4E0EEF8}"/>
    <cellStyle name="Migliaia 38 4 2 6" xfId="20536" xr:uid="{D84D18A1-4CB3-4530-98B8-0A4D8EC0B061}"/>
    <cellStyle name="Migliaia 38 4 2 7" xfId="24878" xr:uid="{3C978C58-D2AF-4428-A9EB-C196818AA8A5}"/>
    <cellStyle name="Migliaia 38 4 2 8" xfId="8670" xr:uid="{E1B7E20E-E376-470E-BA59-E4199A6761EA}"/>
    <cellStyle name="Migliaia 38 4 3" xfId="5336" xr:uid="{3900A934-2117-4FC1-BBE5-CB392DBCE2C7}"/>
    <cellStyle name="Migliaia 38 4 3 2" xfId="18225" xr:uid="{34A67653-280F-4591-A84B-F4FA48FE4B04}"/>
    <cellStyle name="Migliaia 38 4 3 2 2" xfId="39511" xr:uid="{DC8435A8-F4AF-4A65-BCAA-C9D06ABC2B8C}"/>
    <cellStyle name="Migliaia 38 4 3 2 3" xfId="44813" xr:uid="{42B40CEC-DC8B-4407-9AA1-921A86171482}"/>
    <cellStyle name="Migliaia 38 4 3 3" xfId="36919" xr:uid="{C5202835-3F51-4AF5-B04C-C42CC0D6B107}"/>
    <cellStyle name="Migliaia 38 4 3 4" xfId="42162" xr:uid="{0A579BEB-B2C6-4EC3-B365-40886C64324B}"/>
    <cellStyle name="Migliaia 38 4 3 5" xfId="17332" xr:uid="{5C3834E6-80C4-40F8-8464-A84A1DB43EC7}"/>
    <cellStyle name="Migliaia 38 4 3 6" xfId="9171" xr:uid="{C6E805C6-048E-4690-9FC4-575B2A851FF8}"/>
    <cellStyle name="Migliaia 38 4 4" xfId="6529" xr:uid="{9ADE9208-CFC7-46FA-8603-393658F63F30}"/>
    <cellStyle name="Migliaia 38 4 4 2" xfId="33972" xr:uid="{139821CB-D86F-4C1A-8B2C-4AE08B0E50F7}"/>
    <cellStyle name="Migliaia 38 4 4 2 2" xfId="39512" xr:uid="{BD0EF0D4-EF80-4583-9362-F14365DD4C7F}"/>
    <cellStyle name="Migliaia 38 4 4 2 3" xfId="44814" xr:uid="{56BD93E4-BFE0-4416-B5C9-47827E46B156}"/>
    <cellStyle name="Migliaia 38 4 4 3" xfId="36920" xr:uid="{31FA38EB-6C6D-42F5-814A-0312DA86260B}"/>
    <cellStyle name="Migliaia 38 4 4 4" xfId="42163" xr:uid="{7C202CB8-8083-48AD-995F-832B4DB055CA}"/>
    <cellStyle name="Migliaia 38 4 4 5" xfId="12014" xr:uid="{8D4C8D00-67F2-4FD3-BEA5-35A4419C7FE1}"/>
    <cellStyle name="Migliaia 38 4 5" xfId="3610" xr:uid="{CBD67DC0-37CA-4186-8127-0777D4535373}"/>
    <cellStyle name="Migliaia 38 4 5 2" xfId="33973" xr:uid="{0F12C39B-4048-48D0-ACD8-584D7A5F4919}"/>
    <cellStyle name="Migliaia 38 4 5 2 2" xfId="39513" xr:uid="{689CDDE9-CE00-405B-9925-AB54006522F6}"/>
    <cellStyle name="Migliaia 38 4 5 2 3" xfId="44815" xr:uid="{0830287E-2144-47BC-9B75-2A1BBECCA05E}"/>
    <cellStyle name="Migliaia 38 4 5 3" xfId="36921" xr:uid="{D15253DC-587A-4E40-9F47-3D30195D71D4}"/>
    <cellStyle name="Migliaia 38 4 5 4" xfId="42164" xr:uid="{432BF40B-2E81-43AE-8EC6-7F673611AD61}"/>
    <cellStyle name="Migliaia 38 4 5 5" xfId="11361" xr:uid="{366800F8-0D2D-4B62-90D6-8BAE44954995}"/>
    <cellStyle name="Migliaia 38 4 6" xfId="10890" xr:uid="{FDDF7823-376E-4C03-A53D-5F3AD7710AAC}"/>
    <cellStyle name="Migliaia 38 4 6 2" xfId="21525" xr:uid="{15E99F90-8946-4743-9CB8-A0737A2B21BF}"/>
    <cellStyle name="Migliaia 38 4 6 2 2" xfId="39514" xr:uid="{BE6D0F70-62EC-4D98-AB8A-0F541248E51C}"/>
    <cellStyle name="Migliaia 38 4 6 2 3" xfId="44816" xr:uid="{1A5A20A3-7763-47EE-BC40-95B0A52C0376}"/>
    <cellStyle name="Migliaia 38 4 6 2 4" xfId="33974" xr:uid="{8237EE14-D81D-45E6-A3EA-A955B3D18798}"/>
    <cellStyle name="Migliaia 38 4 6 3" xfId="36922" xr:uid="{89837D3E-9EAF-4ADE-8CE0-2990EE55B0E3}"/>
    <cellStyle name="Migliaia 38 4 6 4" xfId="42165" xr:uid="{A84BF9CA-99CF-4427-BB50-C480E3668876}"/>
    <cellStyle name="Migliaia 38 4 6 5" xfId="24879" xr:uid="{A7276291-0EAA-4150-9A99-F2146281902F}"/>
    <cellStyle name="Migliaia 38 4 6 6" xfId="47900" xr:uid="{F734F4C7-FF6A-4383-8CDB-BEC389F4CB3A}"/>
    <cellStyle name="Migliaia 38 4 6 7" xfId="50540" xr:uid="{97B1FCE4-E07B-4E8A-8C56-FC9FD8217137}"/>
    <cellStyle name="Migliaia 38 4 6 8" xfId="53556" xr:uid="{B483C4F5-863A-435C-870F-B4D502CC987E}"/>
    <cellStyle name="Migliaia 38 4 7" xfId="20535" xr:uid="{CA981286-2140-40D9-9BE8-ECED60365144}"/>
    <cellStyle name="Migliaia 38 4 7 2" xfId="33975" xr:uid="{593BD9DE-DD47-4B86-9B78-6DB1131061F3}"/>
    <cellStyle name="Migliaia 38 4 7 2 2" xfId="39515" xr:uid="{210A647F-5707-4A53-B72D-6394ACD7A1B0}"/>
    <cellStyle name="Migliaia 38 4 7 2 3" xfId="44817" xr:uid="{48CAE7D6-A494-4C48-AB86-6978960EAA86}"/>
    <cellStyle name="Migliaia 38 4 7 3" xfId="36923" xr:uid="{E3E486F9-754C-4878-BAE5-9922DE50DDF5}"/>
    <cellStyle name="Migliaia 38 4 7 4" xfId="42166" xr:uid="{9111BED0-AC20-4925-A646-7AC09EFE8D1E}"/>
    <cellStyle name="Migliaia 38 4 7 5" xfId="24880" xr:uid="{1B8272CE-8A17-4994-A5F5-9528581EE9F0}"/>
    <cellStyle name="Migliaia 38 4 8" xfId="24877" xr:uid="{4A7A79FA-9767-451A-8EE3-FCAF65518FF5}"/>
    <cellStyle name="Migliaia 38 4 9" xfId="7480" xr:uid="{AEC38727-F490-4A21-B310-CB2408E8A6CB}"/>
    <cellStyle name="Migliaia 38 5" xfId="1815" xr:uid="{00000000-0005-0000-0000-0000DE030000}"/>
    <cellStyle name="Migliaia 38 5 2" xfId="5338" xr:uid="{3AB354CE-116D-422B-8ACC-9C145B8CCEE6}"/>
    <cellStyle name="Migliaia 38 5 2 2" xfId="18457" xr:uid="{C31DFC08-64E8-464B-BEAC-1B05E615799D}"/>
    <cellStyle name="Migliaia 38 5 2 2 2" xfId="39516" xr:uid="{DD1E635A-0E4C-45C6-8669-F438EAD15097}"/>
    <cellStyle name="Migliaia 38 5 2 2 3" xfId="44818" xr:uid="{A781480E-7069-4096-BBB9-C14366A9EB90}"/>
    <cellStyle name="Migliaia 38 5 2 3" xfId="20538" xr:uid="{021A725C-F5C3-4AC7-B2D1-B2DC88D96552}"/>
    <cellStyle name="Migliaia 38 5 2 3 2" xfId="36924" xr:uid="{73F40181-AEC0-4D4A-9227-7C6389F0DD3B}"/>
    <cellStyle name="Migliaia 38 5 2 4" xfId="42167" xr:uid="{870F9C44-35D7-4BE1-BD57-F849662DE2E3}"/>
    <cellStyle name="Migliaia 38 5 2 5" xfId="16502" xr:uid="{A1D33785-E148-4449-B48D-67C9E54CEE82}"/>
    <cellStyle name="Migliaia 38 5 2 6" xfId="8671" xr:uid="{26E018E0-6FB8-488A-8416-2820BD1C51AD}"/>
    <cellStyle name="Migliaia 38 5 3" xfId="6530" xr:uid="{4B086269-5CD7-46FC-88C3-D86EE7F5E3C8}"/>
    <cellStyle name="Migliaia 38 5 3 2" xfId="33976" xr:uid="{BAB130B2-35E3-4295-B75B-CCF40F1178BB}"/>
    <cellStyle name="Migliaia 38 5 3 2 2" xfId="39517" xr:uid="{A7BA6BD2-879C-47AE-8878-156F88B3CE1C}"/>
    <cellStyle name="Migliaia 38 5 3 2 3" xfId="44819" xr:uid="{FBDDCE84-45AB-4661-A2B5-4D04AA52645E}"/>
    <cellStyle name="Migliaia 38 5 3 3" xfId="36925" xr:uid="{F8916960-F33A-4323-AE71-54E781EA6816}"/>
    <cellStyle name="Migliaia 38 5 3 4" xfId="42168" xr:uid="{E573E481-1B06-48E4-97F2-E543E3FB4CA1}"/>
    <cellStyle name="Migliaia 38 5 3 5" xfId="11363" xr:uid="{E945DEE9-D0A1-4867-BE0C-0A1253E59647}"/>
    <cellStyle name="Migliaia 38 5 4" xfId="3612" xr:uid="{77423CE8-20EA-4637-92C3-33DFA38E2407}"/>
    <cellStyle name="Migliaia 38 5 4 2" xfId="21527" xr:uid="{196AE844-E883-468E-8E6E-3BD9CAA58FCF}"/>
    <cellStyle name="Migliaia 38 5 4 2 2" xfId="39518" xr:uid="{B4ABB43E-1F90-4263-92A4-9CF4068EC46C}"/>
    <cellStyle name="Migliaia 38 5 4 2 3" xfId="44820" xr:uid="{93E65D6D-21B1-4C61-8FEE-F268F6FE0AD4}"/>
    <cellStyle name="Migliaia 38 5 4 2 4" xfId="33977" xr:uid="{530150AE-51CC-4648-A07E-635FBF441E1E}"/>
    <cellStyle name="Migliaia 38 5 4 3" xfId="36926" xr:uid="{D4A2CD11-418F-4998-BE11-3888E531503D}"/>
    <cellStyle name="Migliaia 38 5 4 4" xfId="42169" xr:uid="{7ED6D1EB-13C9-4D79-9BB0-90D76581905C}"/>
    <cellStyle name="Migliaia 38 5 4 5" xfId="24882" xr:uid="{0A17BA00-861F-4AA2-98A9-5810A7958C66}"/>
    <cellStyle name="Migliaia 38 5 4 6" xfId="46253" xr:uid="{3A218018-1903-4AC1-BE57-5979C85F8AFF}"/>
    <cellStyle name="Migliaia 38 5 4 7" xfId="50542" xr:uid="{7E470CEE-2EDB-40E8-BF20-04A8C01036FF}"/>
    <cellStyle name="Migliaia 38 5 4 8" xfId="53558" xr:uid="{59CEBDA3-CC2A-4910-82A9-6EF29CAC668C}"/>
    <cellStyle name="Migliaia 38 5 4 9" xfId="10892" xr:uid="{A4A7F521-B645-40A7-A510-A874423F7885}"/>
    <cellStyle name="Migliaia 38 5 5" xfId="20537" xr:uid="{9ACD79CC-CFE0-4D58-B5D0-E0231FCFD630}"/>
    <cellStyle name="Migliaia 38 5 5 2" xfId="33978" xr:uid="{AA4A9F53-515E-44A6-A070-52E5651A482F}"/>
    <cellStyle name="Migliaia 38 5 5 2 2" xfId="39519" xr:uid="{12A20AC3-C5F5-4281-B685-5D570C01F9E0}"/>
    <cellStyle name="Migliaia 38 5 5 2 3" xfId="44821" xr:uid="{0453917E-320E-4DC5-A4D9-5EAFC0862391}"/>
    <cellStyle name="Migliaia 38 5 5 3" xfId="36927" xr:uid="{544CB84C-73BF-4BDD-9D3B-1438DCD66724}"/>
    <cellStyle name="Migliaia 38 5 5 4" xfId="42170" xr:uid="{FEA11BA8-684B-4B32-A400-F115BFBACD05}"/>
    <cellStyle name="Migliaia 38 5 5 5" xfId="24883" xr:uid="{3ECCFFE5-EB6F-4111-A2A6-C8436A338E93}"/>
    <cellStyle name="Migliaia 38 5 6" xfId="24884" xr:uid="{7701F8FE-E15A-40CB-8578-9902267B22CE}"/>
    <cellStyle name="Migliaia 38 5 6 2" xfId="33979" xr:uid="{3B9B4C24-1D71-4F72-AAA5-454E1685DB6E}"/>
    <cellStyle name="Migliaia 38 5 6 2 2" xfId="39520" xr:uid="{33CA0117-7B01-4D59-8F1A-6BD3A1C82C3A}"/>
    <cellStyle name="Migliaia 38 5 6 2 3" xfId="44822" xr:uid="{42BD6741-6DEC-4033-AF67-24B1D8559035}"/>
    <cellStyle name="Migliaia 38 5 6 3" xfId="36928" xr:uid="{B4DCCCFA-E8F7-4FC3-8684-608EC943704B}"/>
    <cellStyle name="Migliaia 38 5 6 4" xfId="42171" xr:uid="{073CFFC8-EBE5-427D-8FEA-FD71F5181E07}"/>
    <cellStyle name="Migliaia 38 5 7" xfId="24881" xr:uid="{2F87B4FA-0CEF-464D-99A5-CC156FDE2918}"/>
    <cellStyle name="Migliaia 38 5 8" xfId="7481" xr:uid="{0AC5EA4C-F43E-4421-87F1-B7A1588CEA4E}"/>
    <cellStyle name="Migliaia 38 6" xfId="3613" xr:uid="{2432D56B-EABC-460A-9C46-0DDD26E30DDA}"/>
    <cellStyle name="Migliaia 38 6 2" xfId="5339" xr:uid="{2DDFE5EF-3994-4CDF-902B-F43901D5D494}"/>
    <cellStyle name="Migliaia 38 6 2 2" xfId="9943" xr:uid="{BB1AE1D5-E3EB-424C-8F0E-6C0F0B1596F5}"/>
    <cellStyle name="Migliaia 38 6 2 3" xfId="18649" xr:uid="{C6007671-0598-4245-AEDA-7FAD794516E4}"/>
    <cellStyle name="Migliaia 38 6 2 4" xfId="20540" xr:uid="{44393667-F443-4FEA-9C1C-3686DBE8A75C}"/>
    <cellStyle name="Migliaia 38 6 2 5" xfId="32394" xr:uid="{02AB99C2-68B1-44C9-9CAF-F1A1D23DBD87}"/>
    <cellStyle name="Migliaia 38 6 2 6" xfId="16504" xr:uid="{C159323F-3D6C-4DA5-9DB8-C3F752BE2013}"/>
    <cellStyle name="Migliaia 38 6 2 7" xfId="8666" xr:uid="{F85D33D3-9A33-4730-A6CA-D944BFB65717}"/>
    <cellStyle name="Migliaia 38 6 3" xfId="6531" xr:uid="{A985C821-2329-4D1E-8BBA-BEBF2DCFCFDC}"/>
    <cellStyle name="Migliaia 38 6 3 2" xfId="35344" xr:uid="{C67FBBCF-5330-4161-A58A-0BF08793A2EF}"/>
    <cellStyle name="Migliaia 38 6 3 2 2" xfId="40504" xr:uid="{CCD105AC-661A-48E9-9219-E0E67EEA6924}"/>
    <cellStyle name="Migliaia 38 6 3 2 3" xfId="45806" xr:uid="{D3B6A73F-A070-4121-B753-AE0036133C78}"/>
    <cellStyle name="Migliaia 38 6 3 3" xfId="37853" xr:uid="{A23ACF0B-A1D6-4B97-88D8-7B6D24781BFA}"/>
    <cellStyle name="Migliaia 38 6 3 4" xfId="43155" xr:uid="{4CC202AB-06E5-410D-BA00-DD61AEBCB3BA}"/>
    <cellStyle name="Migliaia 38 6 3 5" xfId="9706" xr:uid="{C1907B14-E75C-4306-B1A5-89CCB24BBB8E}"/>
    <cellStyle name="Migliaia 38 6 4" xfId="20539" xr:uid="{BBB169F1-5B44-4C0C-8CB4-EB12FD864BCA}"/>
    <cellStyle name="Migliaia 38 6 4 2" xfId="39521" xr:uid="{868A4163-8ED4-4E84-93AB-9C6E22DF5B39}"/>
    <cellStyle name="Migliaia 38 6 4 3" xfId="44823" xr:uid="{36F6CDCE-675B-4091-BFF8-E8052291EDBA}"/>
    <cellStyle name="Migliaia 38 6 4 4" xfId="33980" xr:uid="{9ED13515-99B1-43E0-B06B-D7A51E048C96}"/>
    <cellStyle name="Migliaia 38 6 5" xfId="36929" xr:uid="{5E9827C5-1A60-424A-9378-90EB1A010E2D}"/>
    <cellStyle name="Migliaia 38 6 6" xfId="42172" xr:uid="{3608E785-AB11-49C5-8F84-AD6F0A8D3298}"/>
    <cellStyle name="Migliaia 38 6 7" xfId="16503" xr:uid="{47462BA2-18F6-4527-BDE6-F89843CB9319}"/>
    <cellStyle name="Migliaia 38 6 8" xfId="7476" xr:uid="{EC8A6846-4131-43B6-A32F-14DB9E3FACD4}"/>
    <cellStyle name="Migliaia 38 7" xfId="3614" xr:uid="{5B712389-F75E-48E9-9F97-FDA680FC2D5B}"/>
    <cellStyle name="Migliaia 38 7 2" xfId="5340" xr:uid="{CE2A1AFF-8F65-4D9F-B01C-ED7ECCE7CB48}"/>
    <cellStyle name="Migliaia 38 7 2 2" xfId="35345" xr:uid="{D0072D0E-8368-4E2B-9FF9-B403C134B8AB}"/>
    <cellStyle name="Migliaia 38 7 2 2 2" xfId="40505" xr:uid="{727161BA-DCE1-44CC-9372-5EEA48C0E9C4}"/>
    <cellStyle name="Migliaia 38 7 2 2 3" xfId="45807" xr:uid="{836CB491-E48F-4095-AD7E-79E4EA480871}"/>
    <cellStyle name="Migliaia 38 7 2 3" xfId="37854" xr:uid="{901ABC2F-D7F6-49C6-B51E-5B56EC9D6EFA}"/>
    <cellStyle name="Migliaia 38 7 2 4" xfId="43156" xr:uid="{E64924D3-33A8-4FA8-BF9C-3AFD8CAC9ABB}"/>
    <cellStyle name="Migliaia 38 7 2 5" xfId="14272" xr:uid="{C69C7007-FD96-4AB2-BF19-EEF4170C7CD5}"/>
    <cellStyle name="Migliaia 38 7 3" xfId="6532" xr:uid="{8C96FD05-2175-42F0-B465-9A60BA25F179}"/>
    <cellStyle name="Migliaia 38 7 3 2" xfId="39522" xr:uid="{02360B93-5965-4052-9D4A-85CE198146FB}"/>
    <cellStyle name="Migliaia 38 7 3 3" xfId="44824" xr:uid="{99D897BD-E920-4312-9920-AE6062BF1FBB}"/>
    <cellStyle name="Migliaia 38 7 3 4" xfId="33981" xr:uid="{6D8FCC62-7423-4416-89A0-60DF7C1436FC}"/>
    <cellStyle name="Migliaia 38 7 3 5" xfId="20541" xr:uid="{DE5A4458-4033-41EA-AF23-FA86AF4EF498}"/>
    <cellStyle name="Migliaia 38 7 4" xfId="36930" xr:uid="{0AB25883-8096-4D62-BF19-1341D67D7711}"/>
    <cellStyle name="Migliaia 38 7 5" xfId="42173" xr:uid="{53A0BB3D-4D98-43FD-B198-414C02133474}"/>
    <cellStyle name="Migliaia 38 7 6" xfId="16505" xr:uid="{E4BDA299-B8E2-4C25-9BA9-021E7DE2EAD7}"/>
    <cellStyle name="Migliaia 38 7 7" xfId="8334" xr:uid="{0BF76980-5D77-4864-864C-7B845E49A0B5}"/>
    <cellStyle name="Migliaia 38 8" xfId="3615" xr:uid="{FEC2D15C-2EC3-435B-B5CE-C45E47472578}"/>
    <cellStyle name="Migliaia 38 8 2" xfId="5341" xr:uid="{42294420-5BEF-4D46-B74F-ABEAC6D40298}"/>
    <cellStyle name="Migliaia 38 8 2 2" xfId="35346" xr:uid="{4135E346-B0C4-467B-AB39-33DFF1B54AD4}"/>
    <cellStyle name="Migliaia 38 8 2 2 2" xfId="40506" xr:uid="{E4618E37-8259-4D81-90B2-5C653F3616F2}"/>
    <cellStyle name="Migliaia 38 8 2 2 3" xfId="45808" xr:uid="{2A96178B-4164-4F32-A03B-808EF207CFCA}"/>
    <cellStyle name="Migliaia 38 8 2 3" xfId="37855" xr:uid="{53F01672-6580-437F-8B4C-99696E7E49D3}"/>
    <cellStyle name="Migliaia 38 8 2 4" xfId="43157" xr:uid="{819C7FD2-7699-46CD-8C35-BB81186A5DF9}"/>
    <cellStyle name="Migliaia 38 8 2 5" xfId="13977" xr:uid="{12CE5E39-68BF-4336-B861-7928DE3B8FE6}"/>
    <cellStyle name="Migliaia 38 8 3" xfId="6533" xr:uid="{CB580AB0-2084-416E-A6C7-8C65823827ED}"/>
    <cellStyle name="Migliaia 38 8 3 2" xfId="39523" xr:uid="{B84FA462-4A74-4770-AA03-C2A5EEF058A3}"/>
    <cellStyle name="Migliaia 38 8 3 3" xfId="44825" xr:uid="{2FD711A0-0536-4EE6-8B4D-AA35547950BB}"/>
    <cellStyle name="Migliaia 38 8 3 4" xfId="33982" xr:uid="{06DE6B00-85EC-4EE7-8BC2-8432A9126C07}"/>
    <cellStyle name="Migliaia 38 8 3 5" xfId="20542" xr:uid="{FB31FA05-E2FA-4554-8104-5E602221DD2D}"/>
    <cellStyle name="Migliaia 38 8 4" xfId="36931" xr:uid="{A789DFA4-EAAA-45EB-BE4D-E386F63DE8CE}"/>
    <cellStyle name="Migliaia 38 8 5" xfId="42174" xr:uid="{F3A5F626-A9A1-4BFD-B68C-F9F0D4FFF15B}"/>
    <cellStyle name="Migliaia 38 8 6" xfId="16506" xr:uid="{0744CB20-4640-4469-A46D-C463A6D726D2}"/>
    <cellStyle name="Migliaia 38 8 7" xfId="7946" xr:uid="{831DE035-A5C8-47AE-92B7-ABDA8D2A6DA3}"/>
    <cellStyle name="Migliaia 38 9" xfId="5326" xr:uid="{FFABC888-0373-4DA5-9D10-C3F0132A77DA}"/>
    <cellStyle name="Migliaia 38 9 2" xfId="33983" xr:uid="{9E785BA5-22FD-4EE8-B7B3-123BEF5E7F4D}"/>
    <cellStyle name="Migliaia 38 9 2 2" xfId="39524" xr:uid="{BD6032E4-FE5E-4A6C-84FB-135AF1346B76}"/>
    <cellStyle name="Migliaia 38 9 2 3" xfId="44826" xr:uid="{4840CC6D-2F2C-41F5-A246-39D60C16671C}"/>
    <cellStyle name="Migliaia 38 9 3" xfId="36932" xr:uid="{AB55963A-D76D-4FA5-9E96-89F52E2B3330}"/>
    <cellStyle name="Migliaia 38 9 4" xfId="42175" xr:uid="{6AC58B75-5552-44A8-924D-00A0CBD91F99}"/>
    <cellStyle name="Migliaia 38 9 5" xfId="17197" xr:uid="{3F4FDAEF-6FEA-469D-808F-FCB76C288A29}"/>
    <cellStyle name="Migliaia 39" xfId="429" xr:uid="{00000000-0005-0000-0000-0000DF030000}"/>
    <cellStyle name="Migliaia 39 10" xfId="6534" xr:uid="{CFC2E287-C38C-4918-86C7-3ABD9EA5D7EF}"/>
    <cellStyle name="Migliaia 39 10 2" xfId="39525" xr:uid="{E8D584A6-D6E2-4A99-BCFA-D7BAFF33B098}"/>
    <cellStyle name="Migliaia 39 10 3" xfId="44827" xr:uid="{518D6A0A-FA25-49F5-893D-999AF9D36279}"/>
    <cellStyle name="Migliaia 39 10 4" xfId="33984" xr:uid="{16747DD9-8380-4B3F-95C9-D80452D3B4D3}"/>
    <cellStyle name="Migliaia 39 10 5" xfId="20543" xr:uid="{4E03B5DF-C31C-4BA1-9693-1EAE6EBA8D05}"/>
    <cellStyle name="Migliaia 39 11" xfId="3616" xr:uid="{4DF7559D-8ACB-46A8-A601-C3870FEBD4B5}"/>
    <cellStyle name="Migliaia 39 11 2" xfId="36933" xr:uid="{F90B55F5-7AF7-49AD-A929-8EE3EA3F8F30}"/>
    <cellStyle name="Migliaia 39 12" xfId="42176" xr:uid="{6214C8B2-E615-4163-9EC1-C92C530B2FA6}"/>
    <cellStyle name="Migliaia 39 13" xfId="7138" xr:uid="{9545CC27-B02C-4A10-A384-A1507A3722CA}"/>
    <cellStyle name="Migliaia 39 2" xfId="430" xr:uid="{00000000-0005-0000-0000-0000E0030000}"/>
    <cellStyle name="Migliaia 39 2 2" xfId="1816" xr:uid="{00000000-0005-0000-0000-0000E1030000}"/>
    <cellStyle name="Migliaia 39 2 2 2" xfId="5344" xr:uid="{4EEF8358-44C1-4910-815E-9E9540C6B007}"/>
    <cellStyle name="Migliaia 39 2 2 2 2" xfId="14395" xr:uid="{A68F90ED-1675-4333-84A3-9F37EDCD8410}"/>
    <cellStyle name="Migliaia 39 2 2 2 2 2" xfId="39526" xr:uid="{800C7850-53E6-4673-8DF2-F0CADE09EE55}"/>
    <cellStyle name="Migliaia 39 2 2 2 2 3" xfId="44828" xr:uid="{6BA9331F-8ADD-4EC8-9FB1-A07D8569D3E5}"/>
    <cellStyle name="Migliaia 39 2 2 2 3" xfId="18458" xr:uid="{35666D8F-3670-4E9F-A22E-3B391A7BD221}"/>
    <cellStyle name="Migliaia 39 2 2 2 4" xfId="20546" xr:uid="{22DFF55F-AE2E-4FBA-9DA0-FB4E30C3A94B}"/>
    <cellStyle name="Migliaia 39 2 2 2 4 2" xfId="42177" xr:uid="{531CDC44-C77E-4248-91CB-BD1676B45F02}"/>
    <cellStyle name="Migliaia 39 2 2 2 5" xfId="16507" xr:uid="{9C003247-3AED-4121-A131-B4661EB201E6}"/>
    <cellStyle name="Migliaia 39 2 2 2 6" xfId="8673" xr:uid="{6D4BACA8-AC08-4ECF-869C-A012CC4CE493}"/>
    <cellStyle name="Migliaia 39 2 2 3" xfId="6536" xr:uid="{02EB63FC-9469-4416-ACE2-59A140F48404}"/>
    <cellStyle name="Migliaia 39 2 2 3 2" xfId="35347" xr:uid="{2052D74D-BA06-44EF-8E39-51A08EEFB58C}"/>
    <cellStyle name="Migliaia 39 2 2 3 2 2" xfId="40507" xr:uid="{D0FC187F-C955-4CF0-B9D6-EDB70443EE99}"/>
    <cellStyle name="Migliaia 39 2 2 3 2 3" xfId="45809" xr:uid="{B41F007B-9445-40FB-884F-2B6F710FCED9}"/>
    <cellStyle name="Migliaia 39 2 2 3 3" xfId="37856" xr:uid="{A5810752-EB0E-4E79-9539-1093CA579309}"/>
    <cellStyle name="Migliaia 39 2 2 3 4" xfId="43158" xr:uid="{97976791-4D20-4CC0-8237-C4599FE5FE5B}"/>
    <cellStyle name="Migliaia 39 2 2 3 5" xfId="11622" xr:uid="{39C69095-398A-424C-929F-D58716CC3A4F}"/>
    <cellStyle name="Migliaia 39 2 2 4" xfId="3618" xr:uid="{F25BBBD6-FD29-41D9-94DA-E5DD52922C08}"/>
    <cellStyle name="Migliaia 39 2 2 4 2" xfId="21528" xr:uid="{AB403708-2513-47FC-9F2E-2A7044202921}"/>
    <cellStyle name="Migliaia 39 2 2 4 3" xfId="47603" xr:uid="{937F623D-3846-4B46-9877-F367C2566C77}"/>
    <cellStyle name="Migliaia 39 2 2 4 4" xfId="50543" xr:uid="{3326EBA4-2E21-46E2-AA0C-9806294E50AA}"/>
    <cellStyle name="Migliaia 39 2 2 4 5" xfId="53559" xr:uid="{3D5863B7-B395-436C-ABE5-BE01314E1456}"/>
    <cellStyle name="Migliaia 39 2 2 4 6" xfId="10893" xr:uid="{261825A8-6883-43AE-B650-06EE72FA18B0}"/>
    <cellStyle name="Migliaia 39 2 2 5" xfId="20545" xr:uid="{AE3F912A-40D6-4539-A3F5-0369AED0CF9C}"/>
    <cellStyle name="Migliaia 39 2 2 6" xfId="24886" xr:uid="{7560E1A8-AEA0-4D22-9ACA-5076B2A3E69E}"/>
    <cellStyle name="Migliaia 39 2 2 7" xfId="7483" xr:uid="{BA1500E9-C0FE-4AAB-9566-39C5D49D0208}"/>
    <cellStyle name="Migliaia 39 2 3" xfId="3619" xr:uid="{1385B6D2-D70A-416A-80D4-50E6D9CABB6A}"/>
    <cellStyle name="Migliaia 39 2 3 2" xfId="5345" xr:uid="{7E5B0DCB-5B81-4FF9-873F-919D92038554}"/>
    <cellStyle name="Migliaia 39 2 3 2 2" xfId="35348" xr:uid="{49547A22-6951-47AB-9FE6-FE265F87A873}"/>
    <cellStyle name="Migliaia 39 2 3 2 2 2" xfId="40508" xr:uid="{3477EF12-B89B-4E42-A926-6583829EDC10}"/>
    <cellStyle name="Migliaia 39 2 3 2 2 3" xfId="45810" xr:uid="{19E5822B-7BCF-4A26-A857-10BFEC24E375}"/>
    <cellStyle name="Migliaia 39 2 3 2 3" xfId="37857" xr:uid="{6C347C19-805D-4E95-B30D-8BB312E3AAC8}"/>
    <cellStyle name="Migliaia 39 2 3 2 4" xfId="43159" xr:uid="{98EAA1EC-305A-441E-908E-5416420AE7FF}"/>
    <cellStyle name="Migliaia 39 2 3 2 5" xfId="14276" xr:uid="{4FD1EBB6-9FDF-4391-8E95-5040A4544B61}"/>
    <cellStyle name="Migliaia 39 2 3 3" xfId="6537" xr:uid="{48A1327F-BAEF-4FBC-BC9A-6A99552285DF}"/>
    <cellStyle name="Migliaia 39 2 3 3 2" xfId="39527" xr:uid="{1F73E9BC-A4E6-4A69-9C3C-575F9D25BC39}"/>
    <cellStyle name="Migliaia 39 2 3 3 3" xfId="44829" xr:uid="{5DD8EA27-B944-470C-BE23-FDA57919E009}"/>
    <cellStyle name="Migliaia 39 2 3 3 4" xfId="33985" xr:uid="{FE931FA8-92AB-40E1-8834-E0CC08B86A7F}"/>
    <cellStyle name="Migliaia 39 2 3 3 5" xfId="20547" xr:uid="{1CCB78B1-CC1C-4EA2-8F88-92AD26783412}"/>
    <cellStyle name="Migliaia 39 2 3 4" xfId="36934" xr:uid="{D3BC682B-DB9D-489B-A4BA-686C07665A82}"/>
    <cellStyle name="Migliaia 39 2 3 5" xfId="42178" xr:uid="{1A552BE0-E9A1-4944-9188-80170BA68EFB}"/>
    <cellStyle name="Migliaia 39 2 3 6" xfId="16508" xr:uid="{BC555791-082A-41E0-BB27-3667F1FB477B}"/>
    <cellStyle name="Migliaia 39 2 3 7" xfId="8338" xr:uid="{A9054987-6B3A-4749-9D31-F7A488625D68}"/>
    <cellStyle name="Migliaia 39 2 4" xfId="5343" xr:uid="{0017A008-D53C-4605-8121-AEFAA5FC2D95}"/>
    <cellStyle name="Migliaia 39 2 4 2" xfId="13981" xr:uid="{B96DE7FD-BF52-4E37-A9E6-20025753CA65}"/>
    <cellStyle name="Migliaia 39 2 4 2 2" xfId="39528" xr:uid="{54047E1C-FE5C-4EFF-B92F-9837409EE402}"/>
    <cellStyle name="Migliaia 39 2 4 2 3" xfId="44830" xr:uid="{2763DF77-4016-4239-B615-2152353F8C04}"/>
    <cellStyle name="Migliaia 39 2 4 3" xfId="18704" xr:uid="{C345BE5A-EA8E-4F82-8B15-5CC4D982AE73}"/>
    <cellStyle name="Migliaia 39 2 4 4" xfId="20548" xr:uid="{F1069851-EB8C-41B9-AD51-5FA44FE43CDD}"/>
    <cellStyle name="Migliaia 39 2 4 4 2" xfId="42179" xr:uid="{AD56C349-0A8D-4430-92BC-306E68831BA8}"/>
    <cellStyle name="Migliaia 39 2 4 5" xfId="16509" xr:uid="{208764A7-A4E2-43F5-AC50-AD9D879D693E}"/>
    <cellStyle name="Migliaia 39 2 4 6" xfId="7951" xr:uid="{672C059B-BFB9-4BBB-84D1-507A967C1F4B}"/>
    <cellStyle name="Migliaia 39 2 5" xfId="6535" xr:uid="{47C8FCE7-CD69-453A-8748-D9E240DE063B}"/>
    <cellStyle name="Migliaia 39 2 5 2" xfId="33986" xr:uid="{1336F91F-65A2-4A43-8827-019C66CCF6BF}"/>
    <cellStyle name="Migliaia 39 2 5 2 2" xfId="39529" xr:uid="{6B8DD92F-A8E9-4A90-A8A8-06D34F3E2E90}"/>
    <cellStyle name="Migliaia 39 2 5 2 3" xfId="44831" xr:uid="{6937F19D-2D91-4AB1-960D-2B058CEA79BF}"/>
    <cellStyle name="Migliaia 39 2 5 3" xfId="36935" xr:uid="{0B659761-6345-454A-965D-BECEC9B506DF}"/>
    <cellStyle name="Migliaia 39 2 5 4" xfId="42180" xr:uid="{B7D86EAD-7DB7-4E2E-8C7C-4C6EEFBEE98F}"/>
    <cellStyle name="Migliaia 39 2 5 5" xfId="13135" xr:uid="{16EB16D5-5181-41D9-A20E-A3DBDF02E6D5}"/>
    <cellStyle name="Migliaia 39 2 6" xfId="3617" xr:uid="{DC7BE60A-9252-4E57-8C45-E0934247A5F6}"/>
    <cellStyle name="Migliaia 39 2 6 2" xfId="33987" xr:uid="{4A4A2698-5E73-4469-8FF5-4DAF709484F1}"/>
    <cellStyle name="Migliaia 39 2 6 2 2" xfId="39530" xr:uid="{09E9A30A-D222-4724-97E9-460A8F375C5E}"/>
    <cellStyle name="Migliaia 39 2 6 2 3" xfId="44832" xr:uid="{06D36C32-9C52-4BCE-A4F7-97AF0BCEF978}"/>
    <cellStyle name="Migliaia 39 2 6 3" xfId="36936" xr:uid="{F601C551-DCF5-4727-989B-00E6C09B806E}"/>
    <cellStyle name="Migliaia 39 2 6 4" xfId="42181" xr:uid="{5231C3DC-44AA-48D8-B8ED-6764503B41F4}"/>
    <cellStyle name="Migliaia 39 2 6 5" xfId="24887" xr:uid="{97EAEC56-848A-46B6-8610-C65377193928}"/>
    <cellStyle name="Migliaia 39 2 6 6" xfId="20544" xr:uid="{6194EC90-FAD1-4C66-9349-975687FF49EF}"/>
    <cellStyle name="Migliaia 39 2 7" xfId="24885" xr:uid="{C117FF7E-886B-49F8-BA3D-415B61187E32}"/>
    <cellStyle name="Migliaia 39 2 8" xfId="7139" xr:uid="{C117A12B-9623-481C-AA69-B2268352ADB8}"/>
    <cellStyle name="Migliaia 39 3" xfId="431" xr:uid="{00000000-0005-0000-0000-0000E2030000}"/>
    <cellStyle name="Migliaia 39 3 10" xfId="24888" xr:uid="{B7C1BAD9-B927-4F49-B683-8A50BE3BE42A}"/>
    <cellStyle name="Migliaia 39 3 11" xfId="16510" xr:uid="{91856B3E-C32F-48FA-BB25-ACFB0AACC015}"/>
    <cellStyle name="Migliaia 39 3 12" xfId="7140" xr:uid="{42DD65A6-BA7A-4D15-9B24-DF3BDD9A242D}"/>
    <cellStyle name="Migliaia 39 3 2" xfId="432" xr:uid="{00000000-0005-0000-0000-0000E3030000}"/>
    <cellStyle name="Migliaia 39 3 2 2" xfId="1817" xr:uid="{00000000-0005-0000-0000-0000E4030000}"/>
    <cellStyle name="Migliaia 39 3 2 2 2" xfId="5348" xr:uid="{DA376E34-C122-4C97-970E-21CD391347C1}"/>
    <cellStyle name="Migliaia 39 3 2 2 2 2" xfId="18459" xr:uid="{B3656EA0-5C8D-45B6-9D72-8AFB931EB599}"/>
    <cellStyle name="Migliaia 39 3 2 2 2 2 2" xfId="21873" xr:uid="{A1E8E18C-D9C2-4317-86B3-A7867B5928B3}"/>
    <cellStyle name="Migliaia 39 3 2 2 2 2 2 2" xfId="39531" xr:uid="{556E67E0-57DD-4DA2-8B2D-E6C0A71D8FE3}"/>
    <cellStyle name="Migliaia 39 3 2 2 2 2 3" xfId="44833" xr:uid="{AF1C9BFE-6622-489C-8534-626336BCFE93}"/>
    <cellStyle name="Migliaia 39 3 2 2 2 2 4" xfId="33988" xr:uid="{EB567233-1415-4B2A-A661-C6E0B2B62E77}"/>
    <cellStyle name="Migliaia 39 3 2 2 2 3" xfId="36937" xr:uid="{113CFFDE-4FDD-4860-AEB5-8E2C8987EAF2}"/>
    <cellStyle name="Migliaia 39 3 2 2 2 4" xfId="42182" xr:uid="{E4AED56F-8EA9-4F2E-9FFC-6222B70ECA60}"/>
    <cellStyle name="Migliaia 39 3 2 2 2 5" xfId="32434" xr:uid="{F3AB2E02-708C-4721-98E0-2CE657F1843B}"/>
    <cellStyle name="Migliaia 39 3 2 2 2 6" xfId="50901" xr:uid="{2CC20C33-EECE-4F00-8827-B3292154483B}"/>
    <cellStyle name="Migliaia 39 3 2 2 2 7" xfId="53917" xr:uid="{D0BCA0FD-D5DC-44E5-9231-767677ED9C33}"/>
    <cellStyle name="Migliaia 39 3 2 2 2 8" xfId="17670" xr:uid="{7F7C1CB7-E840-471B-BFA7-96EB1C17E031}"/>
    <cellStyle name="Migliaia 39 3 2 2 2 9" xfId="12015" xr:uid="{385CD7A1-FCBB-4E03-8265-51A507E11A89}"/>
    <cellStyle name="Migliaia 39 3 2 2 3" xfId="6540" xr:uid="{263F1D12-AF9B-4129-8A1E-D06510094D81}"/>
    <cellStyle name="Migliaia 39 3 2 2 3 2" xfId="11566" xr:uid="{4B7CF2E5-E457-4D30-BC8E-8F3F01736250}"/>
    <cellStyle name="Migliaia 39 3 2 2 4" xfId="3622" xr:uid="{59FABD8E-0803-4D4D-B625-7CBAF1602C2F}"/>
    <cellStyle name="Migliaia 39 3 2 2 4 2" xfId="21529" xr:uid="{7A352A63-3E76-4B31-8956-786760B42DFD}"/>
    <cellStyle name="Migliaia 39 3 2 2 4 3" xfId="47602" xr:uid="{B721EF49-3E84-4C60-A144-6581B0B4A4D7}"/>
    <cellStyle name="Migliaia 39 3 2 2 4 4" xfId="50544" xr:uid="{49DE03A4-D8E5-4552-8B94-116B07D49B71}"/>
    <cellStyle name="Migliaia 39 3 2 2 4 5" xfId="53560" xr:uid="{FA499CEF-BCD7-4E9B-9523-703626A8807B}"/>
    <cellStyle name="Migliaia 39 3 2 2 4 6" xfId="10894" xr:uid="{82C2670E-280B-4079-8380-01EB95475958}"/>
    <cellStyle name="Migliaia 39 3 2 2 5" xfId="20551" xr:uid="{DA037DB5-086E-46CA-A0F3-872149770DF2}"/>
    <cellStyle name="Migliaia 39 3 2 2 6" xfId="24890" xr:uid="{C5546E1C-6D56-45E0-8F92-1675D5188522}"/>
    <cellStyle name="Migliaia 39 3 2 2 7" xfId="8675" xr:uid="{F51CD125-C37B-4703-BEB7-4931B3871A9B}"/>
    <cellStyle name="Migliaia 39 3 2 3" xfId="5347" xr:uid="{2AD8AE99-A637-4AC3-8F3E-2F9D4FCB2364}"/>
    <cellStyle name="Migliaia 39 3 2 3 2" xfId="12224" xr:uid="{150A9623-C85C-42BF-BF9C-6753E925171A}"/>
    <cellStyle name="Migliaia 39 3 2 3 2 2" xfId="39532" xr:uid="{7938307D-D9AA-4AEE-BAF5-F8362449D337}"/>
    <cellStyle name="Migliaia 39 3 2 3 2 3" xfId="44834" xr:uid="{3139D78A-ECBD-499B-BC9A-51D2B3301113}"/>
    <cellStyle name="Migliaia 39 3 2 3 2 4" xfId="33989" xr:uid="{000A0C9F-CC54-4F9F-97FD-DC6318FB9B5C}"/>
    <cellStyle name="Migliaia 39 3 2 3 3" xfId="12016" xr:uid="{C59C5669-60A7-471C-9B90-08A4FC144127}"/>
    <cellStyle name="Migliaia 39 3 2 3 4" xfId="20552" xr:uid="{91CE704F-4795-4F60-ADB1-D3ECDC16D035}"/>
    <cellStyle name="Migliaia 39 3 2 3 4 2" xfId="42183" xr:uid="{06BC8E8E-4E2C-436C-9E50-1A80C635C1AF}"/>
    <cellStyle name="Migliaia 39 3 2 3 5" xfId="16511" xr:uid="{08A0B994-1EB4-4489-9F00-73B689BD0DA9}"/>
    <cellStyle name="Migliaia 39 3 2 3 6" xfId="7953" xr:uid="{34BA15D5-D651-4274-AF47-297ACD886005}"/>
    <cellStyle name="Migliaia 39 3 2 4" xfId="6539" xr:uid="{8549E9DB-8819-4648-82CF-A7F4713ABB64}"/>
    <cellStyle name="Migliaia 39 3 2 4 2" xfId="18089" xr:uid="{2FC20810-2D96-4D4F-A288-D845A56CFD62}"/>
    <cellStyle name="Migliaia 39 3 2 4 2 2" xfId="39533" xr:uid="{E4AD3CB4-054B-426D-A008-4E92CC2C9399}"/>
    <cellStyle name="Migliaia 39 3 2 4 2 3" xfId="44835" xr:uid="{8811D267-9CD7-4930-A2A9-B19CA98351D8}"/>
    <cellStyle name="Migliaia 39 3 2 4 3" xfId="36939" xr:uid="{FCA77973-3FD4-4044-8484-A2C9DFF03CB2}"/>
    <cellStyle name="Migliaia 39 3 2 4 4" xfId="42184" xr:uid="{FF4CA4BA-E8D4-499F-8805-FB7C9F5BC98B}"/>
    <cellStyle name="Migliaia 39 3 2 4 5" xfId="17200" xr:uid="{6A411EC6-CC4A-41E9-B953-48D783B4B3B4}"/>
    <cellStyle name="Migliaia 39 3 2 4 6" xfId="11364" xr:uid="{9A0C53F5-D210-450E-A124-D83744D141FF}"/>
    <cellStyle name="Migliaia 39 3 2 5" xfId="3621" xr:uid="{2DEF76CC-2892-4195-8E8D-6DC5B9E884B1}"/>
    <cellStyle name="Migliaia 39 3 2 5 2" xfId="33991" xr:uid="{A83A22F4-7DB2-4BD7-A991-90D6F3FADF35}"/>
    <cellStyle name="Migliaia 39 3 2 5 2 2" xfId="39534" xr:uid="{6D3D5BF3-D854-47A2-B4BC-E7DB7C9B4523}"/>
    <cellStyle name="Migliaia 39 3 2 5 2 3" xfId="44836" xr:uid="{D019104C-CFFC-4C74-B067-B8B2FC3EA321}"/>
    <cellStyle name="Migliaia 39 3 2 5 3" xfId="36940" xr:uid="{40C698B4-B1D0-4252-8044-8FAB6E8DC726}"/>
    <cellStyle name="Migliaia 39 3 2 5 4" xfId="42185" xr:uid="{B77BB8A3-70BB-4DCE-AFB0-6B1DDC54D424}"/>
    <cellStyle name="Migliaia 39 3 2 5 5" xfId="17330" xr:uid="{914E09AE-814D-4661-9893-DC3BC2B0F50F}"/>
    <cellStyle name="Migliaia 39 3 2 6" xfId="20550" xr:uid="{0C1A9267-29E6-4FC4-A59D-B97F756CB70D}"/>
    <cellStyle name="Migliaia 39 3 2 6 2" xfId="33992" xr:uid="{28C54FA5-EAD7-4841-984B-23B05B682639}"/>
    <cellStyle name="Migliaia 39 3 2 6 2 2" xfId="39535" xr:uid="{5D728060-8D98-4556-94CF-E0340E9C37DB}"/>
    <cellStyle name="Migliaia 39 3 2 6 2 3" xfId="44837" xr:uid="{D6C7D7D1-BC2B-4B8C-9C15-415113FC736C}"/>
    <cellStyle name="Migliaia 39 3 2 6 3" xfId="36941" xr:uid="{7856E28B-FE0E-4DD0-97C1-E87BF7DD04FE}"/>
    <cellStyle name="Migliaia 39 3 2 6 4" xfId="42186" xr:uid="{DB6C05F6-1779-4319-AA06-C936F6463F92}"/>
    <cellStyle name="Migliaia 39 3 2 6 5" xfId="24893" xr:uid="{B6E43D91-1972-4607-80BA-FE9F901BFBD9}"/>
    <cellStyle name="Migliaia 39 3 2 7" xfId="24889" xr:uid="{C6AD90A9-CEFF-4C0E-AF68-153130DBFB54}"/>
    <cellStyle name="Migliaia 39 3 2 8" xfId="7485" xr:uid="{629E9B1A-018F-4330-A12E-F5756284AAB2}"/>
    <cellStyle name="Migliaia 39 3 3" xfId="3623" xr:uid="{014A9E13-49C7-40AB-9415-918FFDBA1DC0}"/>
    <cellStyle name="Migliaia 39 3 3 10" xfId="7484" xr:uid="{91A00090-8A9F-433A-85FD-98855ADDC681}"/>
    <cellStyle name="Migliaia 39 3 3 2" xfId="5349" xr:uid="{513ED7CB-8380-4F80-BA36-2335FD42EE8B}"/>
    <cellStyle name="Migliaia 39 3 3 2 2" xfId="9946" xr:uid="{64FEE60B-8363-4713-ABB8-FC7195DE6DE7}"/>
    <cellStyle name="Migliaia 39 3 3 2 2 2" xfId="39537" xr:uid="{FD2E0982-D408-4A5D-A717-E0C2E48B9F4E}"/>
    <cellStyle name="Migliaia 39 3 3 2 2 3" xfId="44839" xr:uid="{C70B6F58-AE69-409D-85D5-DD6F0A9AE007}"/>
    <cellStyle name="Migliaia 39 3 3 2 3" xfId="18226" xr:uid="{1A674EF7-7539-40AD-BA9D-A7F6FDAEC187}"/>
    <cellStyle name="Migliaia 39 3 3 2 4" xfId="20554" xr:uid="{5048F0F3-F1E1-474D-890B-93302B151320}"/>
    <cellStyle name="Migliaia 39 3 3 2 4 2" xfId="42188" xr:uid="{11DE0F28-8E14-4A68-8D14-4A77784FE346}"/>
    <cellStyle name="Migliaia 39 3 3 2 5" xfId="16513" xr:uid="{1F710998-EC7F-42C7-9998-8B47A2DF035B}"/>
    <cellStyle name="Migliaia 39 3 3 2 6" xfId="8674" xr:uid="{5A2DF3CB-0EA7-4DEC-B3CC-E374BBE2989B}"/>
    <cellStyle name="Migliaia 39 3 3 3" xfId="6541" xr:uid="{176F2416-6811-4EB4-8420-AF407E1D6085}"/>
    <cellStyle name="Migliaia 39 3 3 3 2" xfId="33995" xr:uid="{24AEE98C-9FCC-4213-B771-74686DEA5021}"/>
    <cellStyle name="Migliaia 39 3 3 3 2 2" xfId="39538" xr:uid="{3A33BA3B-E6CB-49E5-BBA0-C3E63F612330}"/>
    <cellStyle name="Migliaia 39 3 3 3 2 3" xfId="44840" xr:uid="{109A088A-D7A7-4939-8D8A-2EF642C1DE3D}"/>
    <cellStyle name="Migliaia 39 3 3 3 3" xfId="36944" xr:uid="{15995CBE-FDA4-41AB-A16C-8674BD283241}"/>
    <cellStyle name="Migliaia 39 3 3 3 4" xfId="42189" xr:uid="{81E30383-4DBC-42A8-8448-606B76786B85}"/>
    <cellStyle name="Migliaia 39 3 3 3 5" xfId="9709" xr:uid="{5FDB18AB-DB14-4E00-9023-0B9EBED2920F}"/>
    <cellStyle name="Migliaia 39 3 3 4" xfId="20553" xr:uid="{50B378A0-E56C-47C2-BB06-551112A6E6A2}"/>
    <cellStyle name="Migliaia 39 3 3 4 2" xfId="33996" xr:uid="{858E9A93-B85A-4BAB-9E20-EBB2AE404FD9}"/>
    <cellStyle name="Migliaia 39 3 3 4 2 2" xfId="39539" xr:uid="{7071E168-D07B-4446-9143-BBEA34529C5A}"/>
    <cellStyle name="Migliaia 39 3 3 4 2 3" xfId="44841" xr:uid="{2A3758D4-A5D5-4C55-BFFE-CA65CBA54173}"/>
    <cellStyle name="Migliaia 39 3 3 4 3" xfId="36945" xr:uid="{2268797D-5353-406E-AA33-B477B7171749}"/>
    <cellStyle name="Migliaia 39 3 3 4 4" xfId="42190" xr:uid="{E8C79336-AA7C-48A2-964D-576CD39B36D0}"/>
    <cellStyle name="Migliaia 39 3 3 4 5" xfId="24897" xr:uid="{D34AD686-ADF6-4628-91BB-8D560FFE2C2E}"/>
    <cellStyle name="Migliaia 39 3 3 5" xfId="24898" xr:uid="{39EE1A20-2B00-499B-97C4-C8EA380416A2}"/>
    <cellStyle name="Migliaia 39 3 3 5 2" xfId="33997" xr:uid="{EC761F0D-7602-45B1-B952-BD9C74B4DC09}"/>
    <cellStyle name="Migliaia 39 3 3 5 2 2" xfId="39540" xr:uid="{65D7A235-0B49-49AA-AE59-C1331B2568E8}"/>
    <cellStyle name="Migliaia 39 3 3 5 2 3" xfId="44842" xr:uid="{7E9B18D3-9DFF-4CD3-B544-328FCAC9F2B2}"/>
    <cellStyle name="Migliaia 39 3 3 5 3" xfId="36946" xr:uid="{FA9C01C2-9380-4538-94CE-6671F884C5F8}"/>
    <cellStyle name="Migliaia 39 3 3 5 4" xfId="42191" xr:uid="{D031C4A3-5BE1-4710-902E-D37F8515500F}"/>
    <cellStyle name="Migliaia 39 3 3 6" xfId="33993" xr:uid="{D66D6906-E122-4201-88D2-4079C8557C3F}"/>
    <cellStyle name="Migliaia 39 3 3 6 2" xfId="39536" xr:uid="{27D203BC-7200-41F6-9175-0DBB8DA0C718}"/>
    <cellStyle name="Migliaia 39 3 3 6 3" xfId="44838" xr:uid="{364971FE-3BEA-46B6-BE53-BAE7DA19AEA1}"/>
    <cellStyle name="Migliaia 39 3 3 7" xfId="36942" xr:uid="{9D450160-A903-4927-B8DE-9C4EF8263A93}"/>
    <cellStyle name="Migliaia 39 3 3 8" xfId="42187" xr:uid="{1DC18966-B6D1-4923-8203-70DCAFE64597}"/>
    <cellStyle name="Migliaia 39 3 3 9" xfId="16512" xr:uid="{69A21EF7-5263-4E80-AC47-A47D387EDB85}"/>
    <cellStyle name="Migliaia 39 3 4" xfId="3624" xr:uid="{76992008-256F-41EA-B4E0-6903B9E6B7C2}"/>
    <cellStyle name="Migliaia 39 3 4 2" xfId="5350" xr:uid="{E6837375-F6A3-4819-9FAC-D09F42EF1249}"/>
    <cellStyle name="Migliaia 39 3 4 2 2" xfId="14455" xr:uid="{7C3DCBD5-05F3-4293-9FC7-6B05736B1873}"/>
    <cellStyle name="Migliaia 39 3 4 2 3" xfId="18131" xr:uid="{5669A124-9B3A-4EE6-A1C3-18455B0B6530}"/>
    <cellStyle name="Migliaia 39 3 4 2 4" xfId="20556" xr:uid="{0AE08B59-7DE2-4857-9CD4-9EAA971C8A43}"/>
    <cellStyle name="Migliaia 39 3 4 2 5" xfId="32395" xr:uid="{409AE6A7-ED55-4EA1-941A-9950C08E3686}"/>
    <cellStyle name="Migliaia 39 3 4 2 6" xfId="16515" xr:uid="{24E7D8A8-0E4F-4FF9-8C48-A17EE68B8796}"/>
    <cellStyle name="Migliaia 39 3 4 2 7" xfId="8878" xr:uid="{94426A29-481E-433A-B18E-719EAFD391DD}"/>
    <cellStyle name="Migliaia 39 3 4 3" xfId="6542" xr:uid="{D2C3A463-DE6E-4547-91A8-35C252C090FB}"/>
    <cellStyle name="Migliaia 39 3 4 3 2" xfId="35349" xr:uid="{4443D78C-9C58-40A6-8BFE-67D2C423318E}"/>
    <cellStyle name="Migliaia 39 3 4 3 2 2" xfId="40509" xr:uid="{03F43078-4E58-4290-B7B3-14D9CDF9EC3B}"/>
    <cellStyle name="Migliaia 39 3 4 3 2 3" xfId="45811" xr:uid="{8464696A-0D0F-4430-80CB-378448C2F3F0}"/>
    <cellStyle name="Migliaia 39 3 4 3 3" xfId="37858" xr:uid="{5729C90E-93A6-4FD5-AC0E-40EDF149DB57}"/>
    <cellStyle name="Migliaia 39 3 4 3 4" xfId="43160" xr:uid="{C332807E-D2AA-4599-8EFE-68ACB3803C55}"/>
    <cellStyle name="Migliaia 39 3 4 3 5" xfId="13703" xr:uid="{97B3D162-0965-4595-A8F6-7217AD5F0447}"/>
    <cellStyle name="Migliaia 39 3 4 4" xfId="20555" xr:uid="{A12AE1CD-593E-4A54-8A3E-12CECC874BF0}"/>
    <cellStyle name="Migliaia 39 3 4 4 2" xfId="39541" xr:uid="{84C90F0F-2EAC-4E42-8078-0A919E55C254}"/>
    <cellStyle name="Migliaia 39 3 4 4 3" xfId="44843" xr:uid="{3B8006AB-0476-46AC-A023-42054647A3E8}"/>
    <cellStyle name="Migliaia 39 3 4 4 4" xfId="33998" xr:uid="{52F80CAC-397E-49AA-B8A3-0EDB0AD5F6C4}"/>
    <cellStyle name="Migliaia 39 3 4 5" xfId="36947" xr:uid="{F8E78C72-BAAA-4B92-807E-B9C3102EB882}"/>
    <cellStyle name="Migliaia 39 3 4 6" xfId="42192" xr:uid="{B0C33F54-7B08-4CE3-9F57-1AB78A20A228}"/>
    <cellStyle name="Migliaia 39 3 4 7" xfId="16514" xr:uid="{1A3080FC-D56F-4668-A437-86D8C7E2584C}"/>
    <cellStyle name="Migliaia 39 3 4 8" xfId="7688" xr:uid="{9D0C48FA-125A-410F-8082-A4B3A9F5CD85}"/>
    <cellStyle name="Migliaia 39 3 5" xfId="3625" xr:uid="{C2F16917-2C87-4594-838C-79498D90E6C8}"/>
    <cellStyle name="Migliaia 39 3 5 2" xfId="5351" xr:uid="{FCDBD2A5-C6FD-4BD2-B08B-55A1A6D990B8}"/>
    <cellStyle name="Migliaia 39 3 5 2 2" xfId="35350" xr:uid="{FF6619AD-AF1C-48EE-AC24-BD227B1376BE}"/>
    <cellStyle name="Migliaia 39 3 5 2 2 2" xfId="40510" xr:uid="{62C4CB77-6310-4BE9-A6F8-5CFDD2A82E7D}"/>
    <cellStyle name="Migliaia 39 3 5 2 2 3" xfId="45812" xr:uid="{31A670C3-E823-4914-84A9-FE3AD693575F}"/>
    <cellStyle name="Migliaia 39 3 5 2 3" xfId="37859" xr:uid="{F4CA6FD6-8DA2-46F2-8932-2297352BD81E}"/>
    <cellStyle name="Migliaia 39 3 5 2 4" xfId="43161" xr:uid="{25725698-8131-482D-80AF-6CB5AD0DEEFC}"/>
    <cellStyle name="Migliaia 39 3 5 2 5" xfId="14277" xr:uid="{B417E577-37A5-444C-B3C7-2E34321C6116}"/>
    <cellStyle name="Migliaia 39 3 5 3" xfId="6543" xr:uid="{29A6465F-809D-472B-8E8B-DF24D09348DE}"/>
    <cellStyle name="Migliaia 39 3 5 3 2" xfId="39542" xr:uid="{1AA47CE1-35E2-4E52-A5DE-97017FD983BD}"/>
    <cellStyle name="Migliaia 39 3 5 3 3" xfId="44844" xr:uid="{67F4A0F9-9B42-40BD-BCBB-CB5EBB5E9948}"/>
    <cellStyle name="Migliaia 39 3 5 3 4" xfId="33999" xr:uid="{1C069B6C-3460-429A-B24F-59AC68C968F1}"/>
    <cellStyle name="Migliaia 39 3 5 3 5" xfId="20557" xr:uid="{C8E1A30D-AF35-40EE-A803-87933F3A1622}"/>
    <cellStyle name="Migliaia 39 3 5 4" xfId="36948" xr:uid="{9ECB072E-E66F-484B-B27C-CB239A4D53E3}"/>
    <cellStyle name="Migliaia 39 3 5 5" xfId="42193" xr:uid="{7CFD0D6D-07B2-419D-B286-1BFFEC98F02C}"/>
    <cellStyle name="Migliaia 39 3 5 6" xfId="16516" xr:uid="{426B963C-F1A2-4062-8CDE-3F1E685B47BC}"/>
    <cellStyle name="Migliaia 39 3 5 7" xfId="8339" xr:uid="{EB09E490-9FD7-45B9-BBE6-FB2263D56A2E}"/>
    <cellStyle name="Migliaia 39 3 6" xfId="5346" xr:uid="{7A8E6761-B157-4C88-905A-534893E95D41}"/>
    <cellStyle name="Migliaia 39 3 6 2" xfId="13982" xr:uid="{8B645D16-D1D0-4F65-8196-8BA7E9EC6B50}"/>
    <cellStyle name="Migliaia 39 3 6 2 2" xfId="39543" xr:uid="{655C8A16-624D-4A54-94E7-92B1B982E995}"/>
    <cellStyle name="Migliaia 39 3 6 2 3" xfId="44845" xr:uid="{5128CEC1-E109-485E-BCA1-BCA52F9F07EC}"/>
    <cellStyle name="Migliaia 39 3 6 3" xfId="18610" xr:uid="{033B2C41-B3B1-4F12-A9B2-7EB65275021D}"/>
    <cellStyle name="Migliaia 39 3 6 4" xfId="20558" xr:uid="{74F67427-06E8-4691-851B-E4BB8631AD16}"/>
    <cellStyle name="Migliaia 39 3 6 4 2" xfId="42194" xr:uid="{27AAB1DA-2B14-43D0-8FA1-99E59C590C8D}"/>
    <cellStyle name="Migliaia 39 3 6 5" xfId="16517" xr:uid="{7F47B537-9305-4A5E-AAA2-5C21120EC7AF}"/>
    <cellStyle name="Migliaia 39 3 6 6" xfId="7952" xr:uid="{AF0E73A6-FBA5-4001-A3C6-DCBB4EC09CA0}"/>
    <cellStyle name="Migliaia 39 3 7" xfId="6538" xr:uid="{3CA499F2-6FB4-4E52-8750-2A961480390B}"/>
    <cellStyle name="Migliaia 39 3 7 2" xfId="34001" xr:uid="{A935F85C-83DC-4529-8FBA-4739C381D911}"/>
    <cellStyle name="Migliaia 39 3 7 2 2" xfId="39544" xr:uid="{0A6C7FB3-346F-4920-8826-A22FDAEE08CC}"/>
    <cellStyle name="Migliaia 39 3 7 2 3" xfId="44846" xr:uid="{82E5ECC6-C189-4468-B25E-F8EA4899AF5B}"/>
    <cellStyle name="Migliaia 39 3 7 3" xfId="36950" xr:uid="{14BB8D18-A402-4921-BA58-0E96A29C5C7B}"/>
    <cellStyle name="Migliaia 39 3 7 4" xfId="42195" xr:uid="{7DEB72A5-679F-43BF-8FD9-71DF98FE90FD}"/>
    <cellStyle name="Migliaia 39 3 7 5" xfId="12246" xr:uid="{556B4AA2-6CC1-4205-A94F-05DB9E9011F8}"/>
    <cellStyle name="Migliaia 39 3 8" xfId="3620" xr:uid="{5E0C95DF-66EC-4253-B2DD-4DBEBE1FED07}"/>
    <cellStyle name="Migliaia 39 3 8 2" xfId="34002" xr:uid="{955CC0B3-534D-4C0C-9B27-9435C3B8D602}"/>
    <cellStyle name="Migliaia 39 3 8 2 2" xfId="39545" xr:uid="{15BDA1B4-DA03-44AE-8359-B20D8727B7C9}"/>
    <cellStyle name="Migliaia 39 3 8 2 3" xfId="44847" xr:uid="{B5BEF261-432F-4FD8-846C-D7691DCA597B}"/>
    <cellStyle name="Migliaia 39 3 8 3" xfId="36951" xr:uid="{6FD2AC2E-6969-4C82-877F-685B09962B36}"/>
    <cellStyle name="Migliaia 39 3 8 4" xfId="42196" xr:uid="{A639A8A0-E288-4095-A5CC-BBC0FBD63856}"/>
    <cellStyle name="Migliaia 39 3 8 5" xfId="24903" xr:uid="{F657C979-23D6-4CE7-8ABD-951D8CB07E66}"/>
    <cellStyle name="Migliaia 39 3 8 6" xfId="17331" xr:uid="{A87A9A80-F087-4443-85B2-3E2C2ED80E3A}"/>
    <cellStyle name="Migliaia 39 3 9" xfId="20549" xr:uid="{195796D9-7E99-4F0A-B8C3-885E1B21C0D3}"/>
    <cellStyle name="Migliaia 39 4" xfId="1818" xr:uid="{00000000-0005-0000-0000-0000E5030000}"/>
    <cellStyle name="Migliaia 39 4 2" xfId="1819" xr:uid="{00000000-0005-0000-0000-0000E6030000}"/>
    <cellStyle name="Migliaia 39 4 2 2" xfId="5353" xr:uid="{24BBCF88-5249-4052-8B5F-5F74FEE5AA87}"/>
    <cellStyle name="Migliaia 39 4 2 2 2" xfId="34003" xr:uid="{D6329F97-8DBB-4780-BE91-3FA42CAF620C}"/>
    <cellStyle name="Migliaia 39 4 2 2 2 2" xfId="39546" xr:uid="{4E75ACCA-06DA-4D29-98ED-55C1233BAFAA}"/>
    <cellStyle name="Migliaia 39 4 2 2 2 3" xfId="44848" xr:uid="{CF5955BE-AB57-4388-957E-20236AB2535E}"/>
    <cellStyle name="Migliaia 39 4 2 2 3" xfId="36952" xr:uid="{5186D4AC-FD54-47FD-90D7-A6314981F3C9}"/>
    <cellStyle name="Migliaia 39 4 2 2 4" xfId="42197" xr:uid="{4A9C2799-BEB4-413D-8480-6A77BDD8339C}"/>
    <cellStyle name="Migliaia 39 4 2 2 5" xfId="9172" xr:uid="{C8E51782-26C4-4F87-9478-85CE1334D10A}"/>
    <cellStyle name="Migliaia 39 4 2 3" xfId="3627" xr:uid="{DB4BC0AE-548D-4373-8DA4-7F08D8D38D39}"/>
    <cellStyle name="Migliaia 39 4 2 3 2" xfId="34004" xr:uid="{99D41647-2D41-4328-B226-FBCB592DE2E0}"/>
    <cellStyle name="Migliaia 39 4 2 3 2 2" xfId="39547" xr:uid="{667EF3FF-0EC1-4ED6-B024-9F9DFC5A40CA}"/>
    <cellStyle name="Migliaia 39 4 2 3 2 3" xfId="44849" xr:uid="{115868CC-3F23-4E37-B84E-800FF2434BB4}"/>
    <cellStyle name="Migliaia 39 4 2 3 3" xfId="36953" xr:uid="{F7C3DDD1-F56A-4ABE-B9B2-32CFD5F21824}"/>
    <cellStyle name="Migliaia 39 4 2 3 4" xfId="42198" xr:uid="{F5BDFE03-A0E9-43B5-9E74-5E22E1636B96}"/>
    <cellStyle name="Migliaia 39 4 2 3 5" xfId="12017" xr:uid="{C8C85988-D14C-46F8-BAE7-DAA5D2B1CBD0}"/>
    <cellStyle name="Migliaia 39 4 2 4" xfId="11366" xr:uid="{200F21AC-154A-48D0-9AE7-710038605A32}"/>
    <cellStyle name="Migliaia 39 4 2 5" xfId="10896" xr:uid="{F9AE7C16-E1EA-4423-9678-55C6B94029BE}"/>
    <cellStyle name="Migliaia 39 4 2 5 2" xfId="21531" xr:uid="{BE8122A7-D502-4C1B-BFF9-B878A7F0BEA7}"/>
    <cellStyle name="Migliaia 39 4 2 5 3" xfId="48178" xr:uid="{D6F3F009-FE5B-4D25-8C07-C3E1CD673CE9}"/>
    <cellStyle name="Migliaia 39 4 2 5 4" xfId="50546" xr:uid="{C0B15AB4-EBCD-4D9B-BA6C-2D65A05FDF3B}"/>
    <cellStyle name="Migliaia 39 4 2 5 5" xfId="53562" xr:uid="{162B3784-B395-496E-82BE-EFE151EE805F}"/>
    <cellStyle name="Migliaia 39 4 2 6" xfId="20560" xr:uid="{5C20F9A0-6490-41CD-8D57-70FC6E5812B2}"/>
    <cellStyle name="Migliaia 39 4 2 7" xfId="24905" xr:uid="{1C35EB78-C7D2-452A-A102-72DB683BB662}"/>
    <cellStyle name="Migliaia 39 4 2 8" xfId="8676" xr:uid="{819ABC09-B3DE-4F59-B316-ACB7D57EACCC}"/>
    <cellStyle name="Migliaia 39 4 3" xfId="5352" xr:uid="{0BB4C36B-4DD7-41DA-89D7-54542B2A165B}"/>
    <cellStyle name="Migliaia 39 4 3 2" xfId="18227" xr:uid="{59808F72-862B-4336-B4E4-981AF77BE901}"/>
    <cellStyle name="Migliaia 39 4 3 2 2" xfId="39548" xr:uid="{D6FEB8C3-C48F-4374-AC96-5C2DF966F8AD}"/>
    <cellStyle name="Migliaia 39 4 3 2 3" xfId="44850" xr:uid="{20FBA41F-1A12-4940-AD05-731979C5D590}"/>
    <cellStyle name="Migliaia 39 4 3 3" xfId="36954" xr:uid="{40FB2AF8-A59D-470B-9556-7BA583769631}"/>
    <cellStyle name="Migliaia 39 4 3 4" xfId="42199" xr:uid="{13589C14-7177-428B-ADA9-8959D2DAA2DE}"/>
    <cellStyle name="Migliaia 39 4 3 5" xfId="17329" xr:uid="{88F13841-A6DC-41BE-AE35-DF28A1BAEB68}"/>
    <cellStyle name="Migliaia 39 4 3 6" xfId="9173" xr:uid="{3F69CA83-5210-4CFC-8C37-3A806175CC48}"/>
    <cellStyle name="Migliaia 39 4 4" xfId="6544" xr:uid="{AC65918E-E011-483C-BB9F-1AB4CB98BBB4}"/>
    <cellStyle name="Migliaia 39 4 4 2" xfId="34006" xr:uid="{8747304E-FE4A-4591-A7B7-203E1FC35B64}"/>
    <cellStyle name="Migliaia 39 4 4 2 2" xfId="39549" xr:uid="{653708DE-4800-43C4-BDF7-7CE1C11AA67A}"/>
    <cellStyle name="Migliaia 39 4 4 2 3" xfId="44851" xr:uid="{D924349E-7179-466E-96AB-74BFE66FD576}"/>
    <cellStyle name="Migliaia 39 4 4 3" xfId="36955" xr:uid="{E0953F39-86AE-4A5D-BE97-5CA34B56080D}"/>
    <cellStyle name="Migliaia 39 4 4 4" xfId="42200" xr:uid="{5DF0A8B0-F116-4A1D-B6D0-FDCA95E9B44E}"/>
    <cellStyle name="Migliaia 39 4 4 5" xfId="12018" xr:uid="{918772B4-3922-4509-946D-7FD492DD6C57}"/>
    <cellStyle name="Migliaia 39 4 5" xfId="3626" xr:uid="{BACDCCF8-CF0A-4446-8E18-1A5EB17B1C26}"/>
    <cellStyle name="Migliaia 39 4 5 2" xfId="34007" xr:uid="{12B3FAD5-CAE9-4A3B-B80A-CE5D9036A143}"/>
    <cellStyle name="Migliaia 39 4 5 2 2" xfId="39550" xr:uid="{49573AC1-5925-4F7B-99EA-6BC76E37FDB9}"/>
    <cellStyle name="Migliaia 39 4 5 2 3" xfId="44852" xr:uid="{9DD6FE02-E0C1-4DFE-B4DC-E2D6D5E409F1}"/>
    <cellStyle name="Migliaia 39 4 5 3" xfId="36956" xr:uid="{040B7087-C0D7-4BB1-B7B6-7A36F8BDA6DC}"/>
    <cellStyle name="Migliaia 39 4 5 4" xfId="42201" xr:uid="{97DD57BC-A6E8-4D76-8B20-2ADA75981A96}"/>
    <cellStyle name="Migliaia 39 4 5 5" xfId="11365" xr:uid="{F5E36788-3401-4635-82F8-581A242B65D7}"/>
    <cellStyle name="Migliaia 39 4 6" xfId="10895" xr:uid="{20FF2FBE-394B-4BB5-A168-3127F54E41D2}"/>
    <cellStyle name="Migliaia 39 4 6 2" xfId="21530" xr:uid="{513FB039-9C48-4759-B501-A86192C2B87D}"/>
    <cellStyle name="Migliaia 39 4 6 2 2" xfId="39551" xr:uid="{94AAB7F2-7B55-42C4-803A-38497FAB0F87}"/>
    <cellStyle name="Migliaia 39 4 6 2 3" xfId="44853" xr:uid="{BCC04B93-23A3-4607-9A2E-5523DD68749C}"/>
    <cellStyle name="Migliaia 39 4 6 2 4" xfId="34008" xr:uid="{24E384AC-526B-4E76-B4B9-6D8BBD14FEA2}"/>
    <cellStyle name="Migliaia 39 4 6 3" xfId="36957" xr:uid="{B3BBE7C6-F279-4651-93F1-56324B383182}"/>
    <cellStyle name="Migliaia 39 4 6 4" xfId="42202" xr:uid="{2755E988-8563-4D96-BEE9-D5C42B983479}"/>
    <cellStyle name="Migliaia 39 4 6 5" xfId="24911" xr:uid="{8DFB8221-CB70-40DF-9DA5-A5B3E4B76385}"/>
    <cellStyle name="Migliaia 39 4 6 6" xfId="46254" xr:uid="{80FD73B1-4AB9-43D3-A77D-37CC7B4A5A4F}"/>
    <cellStyle name="Migliaia 39 4 6 7" xfId="50545" xr:uid="{DB108F73-0390-41BB-8DFF-C4FE65B6709B}"/>
    <cellStyle name="Migliaia 39 4 6 8" xfId="53561" xr:uid="{F402E0C3-8C96-4181-B40F-F14A5E268494}"/>
    <cellStyle name="Migliaia 39 4 7" xfId="20559" xr:uid="{C0CB2690-351F-48E0-BBAF-8910B1394D6B}"/>
    <cellStyle name="Migliaia 39 4 7 2" xfId="34009" xr:uid="{CA6EC07F-0D32-4564-8887-0184F828DAF3}"/>
    <cellStyle name="Migliaia 39 4 7 2 2" xfId="39552" xr:uid="{851893B4-54FA-4EC1-B3FD-A17C969F3388}"/>
    <cellStyle name="Migliaia 39 4 7 2 3" xfId="44854" xr:uid="{F772A7A2-D1E1-4F41-8E34-3A794C4756EE}"/>
    <cellStyle name="Migliaia 39 4 7 3" xfId="36958" xr:uid="{6F7877A2-CC1A-4001-BA38-830E1518F47C}"/>
    <cellStyle name="Migliaia 39 4 7 4" xfId="42203" xr:uid="{BE784AA9-197F-4227-9796-B8A1F0EEC630}"/>
    <cellStyle name="Migliaia 39 4 7 5" xfId="24912" xr:uid="{87B964DC-DB51-4FCE-878E-B1DFBAC70B1B}"/>
    <cellStyle name="Migliaia 39 4 8" xfId="24904" xr:uid="{2CA02159-5933-4D0C-A79A-3AAED85B46EC}"/>
    <cellStyle name="Migliaia 39 4 9" xfId="7486" xr:uid="{6DE8DA73-D092-4676-9C89-FF7C2203DD49}"/>
    <cellStyle name="Migliaia 39 5" xfId="1820" xr:uid="{00000000-0005-0000-0000-0000E7030000}"/>
    <cellStyle name="Migliaia 39 5 2" xfId="5354" xr:uid="{7059AAB9-9D25-4306-96C5-212CAF7DC14C}"/>
    <cellStyle name="Migliaia 39 5 2 2" xfId="18460" xr:uid="{149A80DE-F1FC-49A2-BB87-C6581038EAA4}"/>
    <cellStyle name="Migliaia 39 5 2 2 2" xfId="39553" xr:uid="{13E927E4-E249-4E63-AB94-4EBADB988BAF}"/>
    <cellStyle name="Migliaia 39 5 2 2 3" xfId="44855" xr:uid="{551A1367-C137-418E-A54B-9A7ED3990345}"/>
    <cellStyle name="Migliaia 39 5 2 3" xfId="20562" xr:uid="{C5DE9C5A-85AC-4D1D-A3C2-5C9EF16757A2}"/>
    <cellStyle name="Migliaia 39 5 2 3 2" xfId="36959" xr:uid="{C8C773D8-93B2-4CA4-9168-45ECAD1EBAB1}"/>
    <cellStyle name="Migliaia 39 5 2 4" xfId="42204" xr:uid="{4D5EB3D9-7973-4534-8D28-0E8C5F61A894}"/>
    <cellStyle name="Migliaia 39 5 2 5" xfId="16518" xr:uid="{5A2A6B34-5B48-4EA1-98EB-7B44B7924FFB}"/>
    <cellStyle name="Migliaia 39 5 2 6" xfId="8677" xr:uid="{2C0ACD1D-00B0-4C2C-9DA3-61EEDF21C352}"/>
    <cellStyle name="Migliaia 39 5 3" xfId="6545" xr:uid="{EEA491A8-2E86-49F3-8450-C8E8BD0AF943}"/>
    <cellStyle name="Migliaia 39 5 3 2" xfId="34011" xr:uid="{C1708F7F-E714-48C0-B2F1-FF1A7FFC00EE}"/>
    <cellStyle name="Migliaia 39 5 3 2 2" xfId="39554" xr:uid="{ED4F4B91-80C7-4950-A29C-57D195EEF46C}"/>
    <cellStyle name="Migliaia 39 5 3 2 3" xfId="44856" xr:uid="{B77C2280-F033-4C3E-A9BD-A6AF2BDC5DB0}"/>
    <cellStyle name="Migliaia 39 5 3 3" xfId="36960" xr:uid="{19FF57B0-F0CE-4B35-AD3A-AC167FEA40B1}"/>
    <cellStyle name="Migliaia 39 5 3 4" xfId="42205" xr:uid="{AA542EFE-B409-40C3-9CDE-D6F99A44040D}"/>
    <cellStyle name="Migliaia 39 5 3 5" xfId="11367" xr:uid="{C6A427F2-962F-492E-A341-9DF44FA74D8D}"/>
    <cellStyle name="Migliaia 39 5 4" xfId="3628" xr:uid="{C7FC68F3-DA80-4C35-B48E-E28C0AF5D606}"/>
    <cellStyle name="Migliaia 39 5 4 2" xfId="21532" xr:uid="{123CC7BD-4D04-4444-8C31-EC1494F33AB6}"/>
    <cellStyle name="Migliaia 39 5 4 2 2" xfId="39555" xr:uid="{BA85741D-82D8-4D82-9FC8-DEAFFB012BD8}"/>
    <cellStyle name="Migliaia 39 5 4 2 3" xfId="44857" xr:uid="{FA18F1D2-27A2-4B44-8430-584990E2A1CF}"/>
    <cellStyle name="Migliaia 39 5 4 2 4" xfId="34012" xr:uid="{880624D5-800F-4E8B-8962-CF17D3BC7FDE}"/>
    <cellStyle name="Migliaia 39 5 4 3" xfId="36961" xr:uid="{CF5B0F94-7374-4188-9108-311A8C1A40CD}"/>
    <cellStyle name="Migliaia 39 5 4 4" xfId="42206" xr:uid="{BF70F695-02D5-4ABC-A754-D7B76B3F75E8}"/>
    <cellStyle name="Migliaia 39 5 4 5" xfId="24915" xr:uid="{BF055DDA-F342-4116-971B-295D934122DE}"/>
    <cellStyle name="Migliaia 39 5 4 6" xfId="46255" xr:uid="{C6B1AFE2-6AD4-4919-A71D-C20681902E3C}"/>
    <cellStyle name="Migliaia 39 5 4 7" xfId="50547" xr:uid="{35F8CBE9-FD8C-4EFF-9F48-B8972741D9BD}"/>
    <cellStyle name="Migliaia 39 5 4 8" xfId="53563" xr:uid="{4CE59E45-418C-4BA4-9378-AC1C69E938EA}"/>
    <cellStyle name="Migliaia 39 5 4 9" xfId="10897" xr:uid="{146A709E-A4C9-49D0-9312-9DA328339AAD}"/>
    <cellStyle name="Migliaia 39 5 5" xfId="20561" xr:uid="{917BC2B3-926E-43C4-B439-9BCC625504A6}"/>
    <cellStyle name="Migliaia 39 5 5 2" xfId="34013" xr:uid="{717F87DB-07EF-4D63-96F1-8FBBA4F5374F}"/>
    <cellStyle name="Migliaia 39 5 5 2 2" xfId="39556" xr:uid="{B7F7BF57-236D-48E8-9A0D-5B5E9821784D}"/>
    <cellStyle name="Migliaia 39 5 5 2 3" xfId="44858" xr:uid="{2438ED2F-6E8F-4735-80A9-F162C04EDED6}"/>
    <cellStyle name="Migliaia 39 5 5 3" xfId="36962" xr:uid="{32878D1B-424A-4F51-8A8E-2794FBB2434E}"/>
    <cellStyle name="Migliaia 39 5 5 4" xfId="42207" xr:uid="{B8B49184-7480-43A2-BE05-CA3BDEAD8F36}"/>
    <cellStyle name="Migliaia 39 5 5 5" xfId="24916" xr:uid="{ABC2B91A-B897-44D5-845B-9D389D3F5DA0}"/>
    <cellStyle name="Migliaia 39 5 6" xfId="24917" xr:uid="{964709F2-BA42-4CE0-A9C2-CF56A9378BE7}"/>
    <cellStyle name="Migliaia 39 5 6 2" xfId="34014" xr:uid="{AF53AF96-897F-44FF-9BFA-7E1233947456}"/>
    <cellStyle name="Migliaia 39 5 6 2 2" xfId="39557" xr:uid="{7D8A9A95-3EC5-447E-BD19-F0E8B4BE4D39}"/>
    <cellStyle name="Migliaia 39 5 6 2 3" xfId="44859" xr:uid="{CFCEBD9D-C873-4BD9-8EF4-9C8819D93DB1}"/>
    <cellStyle name="Migliaia 39 5 6 3" xfId="36963" xr:uid="{E7979051-E936-4836-9043-C20DDFE2B485}"/>
    <cellStyle name="Migliaia 39 5 6 4" xfId="42208" xr:uid="{ABCFC529-BE46-4781-9B71-2C17549D6B9B}"/>
    <cellStyle name="Migliaia 39 5 7" xfId="24913" xr:uid="{2B48FD34-9F74-45F2-887C-68DB1D3ECE0A}"/>
    <cellStyle name="Migliaia 39 5 8" xfId="7487" xr:uid="{648FC253-3EE9-4486-947F-6F6948D52ECD}"/>
    <cellStyle name="Migliaia 39 6" xfId="3629" xr:uid="{2DF91330-6850-4732-A357-34177DCD4B1C}"/>
    <cellStyle name="Migliaia 39 6 2" xfId="5355" xr:uid="{642FEB35-DA3A-4D19-B555-22598D7C37AD}"/>
    <cellStyle name="Migliaia 39 6 2 2" xfId="9945" xr:uid="{387B8713-11CD-4A1E-9AE1-B1C787B36847}"/>
    <cellStyle name="Migliaia 39 6 2 3" xfId="18648" xr:uid="{B6CCF253-9386-40E8-A6AB-68949B6419D1}"/>
    <cellStyle name="Migliaia 39 6 2 4" xfId="20564" xr:uid="{80197F63-7EA5-4543-B208-79C2664858B0}"/>
    <cellStyle name="Migliaia 39 6 2 5" xfId="32398" xr:uid="{6EAEEDA1-2CF7-4BA6-AE55-79BD4E26A612}"/>
    <cellStyle name="Migliaia 39 6 2 6" xfId="16520" xr:uid="{BB438504-FCDA-4259-8936-B576532042DE}"/>
    <cellStyle name="Migliaia 39 6 2 7" xfId="8672" xr:uid="{856E902C-C145-4F0B-B486-DC57C9A47EF1}"/>
    <cellStyle name="Migliaia 39 6 3" xfId="6546" xr:uid="{837932BF-0207-40DD-8A1D-0E391398F323}"/>
    <cellStyle name="Migliaia 39 6 3 2" xfId="35351" xr:uid="{71C5CA33-642F-4F00-9DEB-35D01929316A}"/>
    <cellStyle name="Migliaia 39 6 3 2 2" xfId="40511" xr:uid="{AAA199CE-CAAF-4481-A28E-ECED2D079B5D}"/>
    <cellStyle name="Migliaia 39 6 3 2 3" xfId="45813" xr:uid="{659D21F1-FAFC-4742-AD92-156E0E8A50D9}"/>
    <cellStyle name="Migliaia 39 6 3 3" xfId="37860" xr:uid="{09085A1A-4C68-4692-9DA9-476571E1634E}"/>
    <cellStyle name="Migliaia 39 6 3 4" xfId="43162" xr:uid="{1CD66D07-B0AB-410D-9300-D9BFF7F272AA}"/>
    <cellStyle name="Migliaia 39 6 3 5" xfId="9708" xr:uid="{C30EE54E-4E8B-4880-B0FA-B379BA110C31}"/>
    <cellStyle name="Migliaia 39 6 4" xfId="20563" xr:uid="{A8A9E057-9319-4335-8F98-076680C72397}"/>
    <cellStyle name="Migliaia 39 6 4 2" xfId="39558" xr:uid="{2958291C-F758-4756-B236-DC407CE83AB4}"/>
    <cellStyle name="Migliaia 39 6 4 3" xfId="44860" xr:uid="{F987B816-516A-4727-A6E3-B34D8558C560}"/>
    <cellStyle name="Migliaia 39 6 4 4" xfId="34015" xr:uid="{73A91605-88FC-495A-98C4-492C18F58369}"/>
    <cellStyle name="Migliaia 39 6 5" xfId="36964" xr:uid="{F6102AB9-9FE7-4040-8E4F-AB1A04AD8378}"/>
    <cellStyle name="Migliaia 39 6 6" xfId="42209" xr:uid="{068AC0C8-DBCD-4046-8336-9AF53D99C99F}"/>
    <cellStyle name="Migliaia 39 6 7" xfId="16519" xr:uid="{04C26E5F-2985-43EB-A245-ED0D9ECD4727}"/>
    <cellStyle name="Migliaia 39 6 8" xfId="7482" xr:uid="{A17F5E17-D773-4275-9646-8322CE3B37D5}"/>
    <cellStyle name="Migliaia 39 7" xfId="3630" xr:uid="{82A18DBE-59BD-46DC-98DB-99D492101250}"/>
    <cellStyle name="Migliaia 39 7 2" xfId="5356" xr:uid="{DA87A8CF-90FB-4A7D-AD23-105EA91FA17A}"/>
    <cellStyle name="Migliaia 39 7 2 2" xfId="35352" xr:uid="{BEC030A8-4D18-4231-91A0-C32C37F99C49}"/>
    <cellStyle name="Migliaia 39 7 2 2 2" xfId="40512" xr:uid="{0E0AD2E7-F2BB-4E16-9AF0-B198D1DCC8AF}"/>
    <cellStyle name="Migliaia 39 7 2 2 3" xfId="45814" xr:uid="{AE95AA1C-DF59-4D32-A411-7258A53DE069}"/>
    <cellStyle name="Migliaia 39 7 2 3" xfId="37861" xr:uid="{3C8948DB-2C51-4DB8-A3B0-6808667174D5}"/>
    <cellStyle name="Migliaia 39 7 2 4" xfId="43163" xr:uid="{839B97BA-AA1B-43EC-8328-666DF0EB2393}"/>
    <cellStyle name="Migliaia 39 7 2 5" xfId="14275" xr:uid="{12A75E09-3D47-42FD-9942-0167A6C150E3}"/>
    <cellStyle name="Migliaia 39 7 3" xfId="6547" xr:uid="{0F867A8B-A7FE-487B-B26E-FCC82FE16BD7}"/>
    <cellStyle name="Migliaia 39 7 3 2" xfId="39559" xr:uid="{A75D98E2-9B2F-4325-8C44-913C569A15B2}"/>
    <cellStyle name="Migliaia 39 7 3 3" xfId="44861" xr:uid="{12151E66-5E80-40E6-B170-D8157BE44729}"/>
    <cellStyle name="Migliaia 39 7 3 4" xfId="34016" xr:uid="{049A42E8-7D0D-4D71-BF1B-42E9D778793A}"/>
    <cellStyle name="Migliaia 39 7 3 5" xfId="20565" xr:uid="{90117E44-DF07-495D-9F51-83D4C09A0534}"/>
    <cellStyle name="Migliaia 39 7 4" xfId="36965" xr:uid="{8E9CEB3E-B9AD-4CDA-9A5B-57B8E595DEA1}"/>
    <cellStyle name="Migliaia 39 7 5" xfId="42210" xr:uid="{BA7C80D4-4340-49AC-8CE2-5AB878D2689B}"/>
    <cellStyle name="Migliaia 39 7 6" xfId="16521" xr:uid="{A80DA12A-5D30-4F9A-AE76-ACC407C0601C}"/>
    <cellStyle name="Migliaia 39 7 7" xfId="8337" xr:uid="{11BFD40C-4975-402D-9117-BD044F07A0CB}"/>
    <cellStyle name="Migliaia 39 8" xfId="3631" xr:uid="{A2F0EDE6-0149-4EE1-A70E-AA7E987C56F9}"/>
    <cellStyle name="Migliaia 39 8 2" xfId="5357" xr:uid="{0AD2B88F-1264-482C-9648-81191E107CA2}"/>
    <cellStyle name="Migliaia 39 8 2 2" xfId="35353" xr:uid="{F4D8556C-B2C5-42B2-9F68-F0A898E44483}"/>
    <cellStyle name="Migliaia 39 8 2 2 2" xfId="40513" xr:uid="{8FDBEBD1-8EBE-4044-A29B-791446292DF5}"/>
    <cellStyle name="Migliaia 39 8 2 2 3" xfId="45815" xr:uid="{85AA7121-13EC-41AD-8D92-6442E70D0803}"/>
    <cellStyle name="Migliaia 39 8 2 3" xfId="37862" xr:uid="{85DE8175-4AA1-4D8B-B5CA-7B7840BDCF8A}"/>
    <cellStyle name="Migliaia 39 8 2 4" xfId="43164" xr:uid="{15599CD8-49FD-408F-9616-62698F499143}"/>
    <cellStyle name="Migliaia 39 8 2 5" xfId="13980" xr:uid="{3E1F3A79-01FC-477D-841C-0FB4A11D9CF9}"/>
    <cellStyle name="Migliaia 39 8 3" xfId="6548" xr:uid="{22BCE63F-6CC8-4055-ADFF-3ADDAEB822E7}"/>
    <cellStyle name="Migliaia 39 8 3 2" xfId="39560" xr:uid="{B8C6DF32-F706-4E88-85DC-3E8CC4546B14}"/>
    <cellStyle name="Migliaia 39 8 3 3" xfId="44862" xr:uid="{7C1B54BF-80F9-4C3B-B289-79643A49D065}"/>
    <cellStyle name="Migliaia 39 8 3 4" xfId="34017" xr:uid="{571BA963-EED5-49B3-9EB2-5EA562647D84}"/>
    <cellStyle name="Migliaia 39 8 3 5" xfId="20566" xr:uid="{23619E70-F5F4-4BCC-85C8-39D41472FB67}"/>
    <cellStyle name="Migliaia 39 8 4" xfId="36966" xr:uid="{010E339A-87F5-4723-91BC-A2B7E537AE29}"/>
    <cellStyle name="Migliaia 39 8 5" xfId="42211" xr:uid="{B2C67D41-45FA-43AB-898D-92406C0FA79A}"/>
    <cellStyle name="Migliaia 39 8 6" xfId="16522" xr:uid="{408E5172-9DF1-42EC-B5BE-A1AC65FAEA6A}"/>
    <cellStyle name="Migliaia 39 8 7" xfId="7950" xr:uid="{1AF03328-BA63-44AB-9DC3-568A9AE20D42}"/>
    <cellStyle name="Migliaia 39 9" xfId="5342" xr:uid="{E6D4DAFF-BA00-4F48-B80D-EF6E928434BE}"/>
    <cellStyle name="Migliaia 39 9 2" xfId="34018" xr:uid="{51763DFF-9273-4B66-859E-489D60479BCB}"/>
    <cellStyle name="Migliaia 39 9 2 2" xfId="39561" xr:uid="{DCE75DC5-DCC8-438F-A8FB-177B5EA6C517}"/>
    <cellStyle name="Migliaia 39 9 2 3" xfId="44863" xr:uid="{23D143BE-FD4B-4260-8210-FD3D81284AE5}"/>
    <cellStyle name="Migliaia 39 9 3" xfId="36967" xr:uid="{74223B91-4DEC-4570-9550-E1ED963835A7}"/>
    <cellStyle name="Migliaia 39 9 4" xfId="42212" xr:uid="{CFA851EC-438A-46A7-8700-EDBED71E256E}"/>
    <cellStyle name="Migliaia 39 9 5" xfId="17199" xr:uid="{9D046696-4DD5-4928-8657-91A3FD862588}"/>
    <cellStyle name="Migliaia 4" xfId="433" xr:uid="{00000000-0005-0000-0000-0000E8030000}"/>
    <cellStyle name="Migliaia 4 10" xfId="6549" xr:uid="{DB540070-4EF7-48DE-A8AD-946941EEDE68}"/>
    <cellStyle name="Migliaia 4 10 2" xfId="39562" xr:uid="{D2708D79-F514-417F-A280-EB0ACD156966}"/>
    <cellStyle name="Migliaia 4 10 3" xfId="44864" xr:uid="{604FB403-4614-49C5-8DD8-57AA8A640A91}"/>
    <cellStyle name="Migliaia 4 10 4" xfId="34019" xr:uid="{A71707B0-D5F1-4772-BBFE-E117929C7C9B}"/>
    <cellStyle name="Migliaia 4 10 5" xfId="20567" xr:uid="{1BF2F3DD-C91C-4DA9-BF4F-4DD1C94B873E}"/>
    <cellStyle name="Migliaia 4 11" xfId="3632" xr:uid="{C36E57AC-11D2-46E4-AB60-52C866218C4B}"/>
    <cellStyle name="Migliaia 4 11 2" xfId="36968" xr:uid="{94D8ECD5-FC5C-4B88-A01B-3DE832EE9A43}"/>
    <cellStyle name="Migliaia 4 12" xfId="42213" xr:uid="{0092C8C3-0AFA-4899-B5A9-295D776B9B8A}"/>
    <cellStyle name="Migliaia 4 13" xfId="7141" xr:uid="{5A6952B7-A356-465F-B157-77B984BFF7EE}"/>
    <cellStyle name="Migliaia 4 2" xfId="434" xr:uid="{00000000-0005-0000-0000-0000E9030000}"/>
    <cellStyle name="Migliaia 4 2 2" xfId="1821" xr:uid="{00000000-0005-0000-0000-0000EA030000}"/>
    <cellStyle name="Migliaia 4 2 2 2" xfId="5360" xr:uid="{76765C3C-1981-4C1C-97B3-17F46F0C3222}"/>
    <cellStyle name="Migliaia 4 2 2 2 2" xfId="14396" xr:uid="{8929BF24-07F1-49DC-BBDA-F0E90C3337F7}"/>
    <cellStyle name="Migliaia 4 2 2 2 2 2" xfId="39563" xr:uid="{A55996E7-9E56-4FA0-989F-85EAF06C7DE9}"/>
    <cellStyle name="Migliaia 4 2 2 2 2 3" xfId="44865" xr:uid="{5BDC5C03-EA0A-4857-8CDB-D698A75A9A07}"/>
    <cellStyle name="Migliaia 4 2 2 2 3" xfId="18461" xr:uid="{CE08D9BC-EC67-4DAE-9F39-D48652D19E9F}"/>
    <cellStyle name="Migliaia 4 2 2 2 4" xfId="20570" xr:uid="{1B0FC064-3F0E-491A-9923-C38ADE8AA107}"/>
    <cellStyle name="Migliaia 4 2 2 2 4 2" xfId="42214" xr:uid="{962E0D17-97A4-4F1F-8E43-4D4BEA00E23F}"/>
    <cellStyle name="Migliaia 4 2 2 2 5" xfId="16523" xr:uid="{ECDEDC01-2C26-44C0-97E8-85C89D393ECF}"/>
    <cellStyle name="Migliaia 4 2 2 2 6" xfId="8679" xr:uid="{6A7585A2-30D1-4883-8A69-AE043D809EA4}"/>
    <cellStyle name="Migliaia 4 2 2 3" xfId="6551" xr:uid="{E4E3D661-6755-49EF-9FCD-D076E10CBF93}"/>
    <cellStyle name="Migliaia 4 2 2 3 2" xfId="35354" xr:uid="{FD4ABA22-B9D1-4784-847F-31351E264B21}"/>
    <cellStyle name="Migliaia 4 2 2 3 2 2" xfId="40514" xr:uid="{54A2E82A-5FF1-4550-8B6D-E2B536535072}"/>
    <cellStyle name="Migliaia 4 2 2 3 2 3" xfId="45816" xr:uid="{BAD5BE37-7E91-48FA-907B-4ECE2E2799DF}"/>
    <cellStyle name="Migliaia 4 2 2 3 3" xfId="37863" xr:uid="{AA691E95-7489-4702-9513-55C882B0D203}"/>
    <cellStyle name="Migliaia 4 2 2 3 4" xfId="43165" xr:uid="{38D5B556-FF62-44EA-8122-9DD6E6A6B9CA}"/>
    <cellStyle name="Migliaia 4 2 2 3 5" xfId="11623" xr:uid="{7F0B7A18-5C90-42F4-AF89-D6CBFA3DC851}"/>
    <cellStyle name="Migliaia 4 2 2 4" xfId="3634" xr:uid="{43A942F3-EA15-4179-9350-7A3D01F04B89}"/>
    <cellStyle name="Migliaia 4 2 2 4 2" xfId="21533" xr:uid="{6B7963BB-0A2F-42E0-A689-5928554A48D1}"/>
    <cellStyle name="Migliaia 4 2 2 4 3" xfId="32297" xr:uid="{FBCC89FC-A132-4C8C-ACAD-AC40716FD256}"/>
    <cellStyle name="Migliaia 4 2 2 4 4" xfId="50548" xr:uid="{9885ED8D-7E68-43BD-B0DD-742ED2390B84}"/>
    <cellStyle name="Migliaia 4 2 2 4 5" xfId="53564" xr:uid="{4A5DDAD4-8678-404B-9D62-094BED4A51D8}"/>
    <cellStyle name="Migliaia 4 2 2 4 6" xfId="10898" xr:uid="{952256CD-A1E1-4868-8660-B9669EB52F57}"/>
    <cellStyle name="Migliaia 4 2 2 5" xfId="20569" xr:uid="{DF098DC7-23FA-4A9A-AB3B-6CEADBBC26E9}"/>
    <cellStyle name="Migliaia 4 2 2 6" xfId="24924" xr:uid="{FCC49594-4FB4-4C9B-A628-27802751C64C}"/>
    <cellStyle name="Migliaia 4 2 2 7" xfId="7489" xr:uid="{86EFA997-82F2-42BB-AB11-FF15F204BD14}"/>
    <cellStyle name="Migliaia 4 2 3" xfId="3635" xr:uid="{F7E57930-5846-43E6-B8DE-8AD9898220B1}"/>
    <cellStyle name="Migliaia 4 2 3 2" xfId="5361" xr:uid="{36A04C13-DB88-48A6-B93F-8DEEA38D88CD}"/>
    <cellStyle name="Migliaia 4 2 3 2 2" xfId="35355" xr:uid="{2A52EA7E-B279-4E8F-8D7D-9FB2C0098A63}"/>
    <cellStyle name="Migliaia 4 2 3 2 2 2" xfId="40515" xr:uid="{9630A37C-F318-4A60-A553-9CD4F0972BFB}"/>
    <cellStyle name="Migliaia 4 2 3 2 2 3" xfId="45817" xr:uid="{84B28D83-42A9-4964-B591-C33DFBD5E821}"/>
    <cellStyle name="Migliaia 4 2 3 2 3" xfId="37864" xr:uid="{695636CD-B706-46E6-9F90-96FD1BD522A1}"/>
    <cellStyle name="Migliaia 4 2 3 2 4" xfId="43166" xr:uid="{BE3816C2-DC07-4E4B-BA07-2577E4851207}"/>
    <cellStyle name="Migliaia 4 2 3 2 5" xfId="14279" xr:uid="{E093660E-E65D-41A9-BFC0-1D351F6CE225}"/>
    <cellStyle name="Migliaia 4 2 3 3" xfId="6552" xr:uid="{9E4ED60E-1A9C-4BDF-8CAA-A9C9203A586D}"/>
    <cellStyle name="Migliaia 4 2 3 3 2" xfId="39564" xr:uid="{1CE1A29F-CC36-4473-809B-F7A92A6EFF28}"/>
    <cellStyle name="Migliaia 4 2 3 3 3" xfId="44866" xr:uid="{74B01060-35C9-4106-AE9F-0B41F9053EE0}"/>
    <cellStyle name="Migliaia 4 2 3 3 4" xfId="34021" xr:uid="{692A0E3C-8CE4-4053-958C-713C90334556}"/>
    <cellStyle name="Migliaia 4 2 3 3 5" xfId="20571" xr:uid="{0268FB34-E835-4CBB-93D6-40CE9090D5D0}"/>
    <cellStyle name="Migliaia 4 2 3 4" xfId="36970" xr:uid="{2C34B115-CBF8-440A-A497-51EF7D0A6C7B}"/>
    <cellStyle name="Migliaia 4 2 3 5" xfId="42215" xr:uid="{851857B2-9B4A-47BA-9705-EFC1C3561AE8}"/>
    <cellStyle name="Migliaia 4 2 3 6" xfId="16524" xr:uid="{E29F9012-4BB2-4EF3-845B-1CD39C5217FC}"/>
    <cellStyle name="Migliaia 4 2 3 7" xfId="8341" xr:uid="{2E7EBC5F-A23B-45E5-B2EE-99A8C0531A1B}"/>
    <cellStyle name="Migliaia 4 2 4" xfId="5359" xr:uid="{E38673E1-7937-48EF-8B19-67D42262D4FE}"/>
    <cellStyle name="Migliaia 4 2 4 2" xfId="13984" xr:uid="{89D98156-A9FC-4BDF-9407-06E988215D76}"/>
    <cellStyle name="Migliaia 4 2 4 2 2" xfId="39565" xr:uid="{22DA724F-2766-444F-8D9C-2AA9A16E3F95}"/>
    <cellStyle name="Migliaia 4 2 4 2 3" xfId="44867" xr:uid="{AC55D3C4-3F57-46ED-900B-5332618C9010}"/>
    <cellStyle name="Migliaia 4 2 4 3" xfId="18703" xr:uid="{5465AF22-5B6B-4CBC-ACB4-42AC61FFCAC0}"/>
    <cellStyle name="Migliaia 4 2 4 4" xfId="20572" xr:uid="{4A7310D2-ABE4-4EB2-BE45-77DC5EDD7B96}"/>
    <cellStyle name="Migliaia 4 2 4 4 2" xfId="42216" xr:uid="{C1AF2B96-F906-453D-83F0-05C841B30BD9}"/>
    <cellStyle name="Migliaia 4 2 4 5" xfId="16525" xr:uid="{427D5630-98D2-41F0-9EE5-CCFE6BE38FDB}"/>
    <cellStyle name="Migliaia 4 2 4 6" xfId="7955" xr:uid="{6910115A-F89B-4AA3-9EEC-455391C5FCA5}"/>
    <cellStyle name="Migliaia 4 2 5" xfId="6550" xr:uid="{DE1383EE-94CE-4B8F-818C-312F4599F16F}"/>
    <cellStyle name="Migliaia 4 2 5 2" xfId="34023" xr:uid="{A3FE7C9C-994F-4449-BC98-7472A7CC73BC}"/>
    <cellStyle name="Migliaia 4 2 5 2 2" xfId="39566" xr:uid="{27D792CC-D518-4997-BDF0-2F4F8163F614}"/>
    <cellStyle name="Migliaia 4 2 5 2 3" xfId="44868" xr:uid="{E746F8F9-F459-431C-8835-4D1BFE02F782}"/>
    <cellStyle name="Migliaia 4 2 5 3" xfId="36972" xr:uid="{BC0068B3-8392-4F76-A154-ECC5E8FD82DB}"/>
    <cellStyle name="Migliaia 4 2 5 4" xfId="42217" xr:uid="{C8FE7842-6F38-400F-9866-D9A06EA1A537}"/>
    <cellStyle name="Migliaia 4 2 5 5" xfId="13136" xr:uid="{51F81A8C-A8BB-449D-BB75-C57A6F41A34A}"/>
    <cellStyle name="Migliaia 4 2 6" xfId="3633" xr:uid="{6832B15A-A782-41F5-905D-87979449EA21}"/>
    <cellStyle name="Migliaia 4 2 6 2" xfId="34024" xr:uid="{162E9E20-7721-4D81-8217-ED34760B013A}"/>
    <cellStyle name="Migliaia 4 2 6 2 2" xfId="39567" xr:uid="{62FCB0C5-BFB5-456B-9B20-FDE4EEB3BEBE}"/>
    <cellStyle name="Migliaia 4 2 6 2 3" xfId="44869" xr:uid="{4A9296D4-930E-48B6-A5C7-083532283F8B}"/>
    <cellStyle name="Migliaia 4 2 6 3" xfId="36973" xr:uid="{D58618C3-55EB-41C5-8C02-866822F3A6A1}"/>
    <cellStyle name="Migliaia 4 2 6 4" xfId="42218" xr:uid="{75A7A927-E4CC-4F2C-8B76-95CD9BAEE89C}"/>
    <cellStyle name="Migliaia 4 2 6 5" xfId="24928" xr:uid="{46AB8F3E-8DDA-4556-B063-DBDCA7AEC820}"/>
    <cellStyle name="Migliaia 4 2 6 6" xfId="20568" xr:uid="{2DC5669A-A766-4E87-A7E6-F1874D5D960E}"/>
    <cellStyle name="Migliaia 4 2 7" xfId="24923" xr:uid="{C00714E2-324E-4CB2-AC44-A2658A5FE018}"/>
    <cellStyle name="Migliaia 4 2 8" xfId="7142" xr:uid="{022E1762-20CF-4B22-B7D8-9988893E859A}"/>
    <cellStyle name="Migliaia 4 3" xfId="435" xr:uid="{00000000-0005-0000-0000-0000EB030000}"/>
    <cellStyle name="Migliaia 4 3 10" xfId="24929" xr:uid="{3843D638-F1F8-40DC-BE61-58DE5D8D1C6A}"/>
    <cellStyle name="Migliaia 4 3 11" xfId="16526" xr:uid="{63AA3807-68A7-406A-A297-D0E573524CF8}"/>
    <cellStyle name="Migliaia 4 3 12" xfId="7143" xr:uid="{7F4B1077-3739-4E57-8B85-AAD43705A6FD}"/>
    <cellStyle name="Migliaia 4 3 2" xfId="436" xr:uid="{00000000-0005-0000-0000-0000EC030000}"/>
    <cellStyle name="Migliaia 4 3 2 2" xfId="1822" xr:uid="{00000000-0005-0000-0000-0000ED030000}"/>
    <cellStyle name="Migliaia 4 3 2 2 2" xfId="5364" xr:uid="{25E452A3-3B9C-4355-8D98-DD87FCFA4FE1}"/>
    <cellStyle name="Migliaia 4 3 2 2 2 2" xfId="18462" xr:uid="{8848A93C-C58F-4DE8-942B-791F160B320D}"/>
    <cellStyle name="Migliaia 4 3 2 2 2 2 2" xfId="21874" xr:uid="{8E696A4D-3BFA-42D6-A3B2-7B0380E98BD1}"/>
    <cellStyle name="Migliaia 4 3 2 2 2 2 2 2" xfId="39568" xr:uid="{46280DD1-8832-40CE-A7E6-A6B8A74A0453}"/>
    <cellStyle name="Migliaia 4 3 2 2 2 2 3" xfId="44870" xr:uid="{4896D924-E44D-4A15-A37C-74FAAF193E2C}"/>
    <cellStyle name="Migliaia 4 3 2 2 2 2 4" xfId="34025" xr:uid="{A9DE0449-94C7-4BA8-8055-3AE88D863CF2}"/>
    <cellStyle name="Migliaia 4 3 2 2 2 3" xfId="36974" xr:uid="{2B22D150-6F08-4596-9EB0-849DF4F683B9}"/>
    <cellStyle name="Migliaia 4 3 2 2 2 4" xfId="42219" xr:uid="{30994076-DFA4-428E-AD2F-AA2696BA7DAE}"/>
    <cellStyle name="Migliaia 4 3 2 2 2 5" xfId="47077" xr:uid="{A7EEC294-4380-4F32-B501-A4E895609912}"/>
    <cellStyle name="Migliaia 4 3 2 2 2 6" xfId="50902" xr:uid="{8FA62D2D-9DEB-4A44-BDDF-8C1DF0DE8BDE}"/>
    <cellStyle name="Migliaia 4 3 2 2 2 7" xfId="53918" xr:uid="{6FBDC66D-1214-4B04-9F98-14F801335019}"/>
    <cellStyle name="Migliaia 4 3 2 2 2 8" xfId="17672" xr:uid="{C014CCC7-666B-4AFA-B7C2-2FC612FFD601}"/>
    <cellStyle name="Migliaia 4 3 2 2 2 9" xfId="12019" xr:uid="{0F1EBFA7-3D21-42A3-80D8-0E34463CB6B2}"/>
    <cellStyle name="Migliaia 4 3 2 2 3" xfId="6555" xr:uid="{29E95BFE-1ACC-4CEC-96F9-40C385B695CD}"/>
    <cellStyle name="Migliaia 4 3 2 2 3 2" xfId="11140" xr:uid="{2E0261E5-2181-4997-9E1D-653A04854D3A}"/>
    <cellStyle name="Migliaia 4 3 2 2 4" xfId="3638" xr:uid="{AB48C4E7-AA3F-46EB-892F-F1915196FE97}"/>
    <cellStyle name="Migliaia 4 3 2 2 4 2" xfId="21534" xr:uid="{B46E015F-F9B9-4689-B3D2-27458E3D8434}"/>
    <cellStyle name="Migliaia 4 3 2 2 4 3" xfId="46256" xr:uid="{05C60CF1-2EB7-4790-BBC8-0A6FB604C308}"/>
    <cellStyle name="Migliaia 4 3 2 2 4 4" xfId="50549" xr:uid="{4D3234BA-3698-4D34-8BC8-152A68E64336}"/>
    <cellStyle name="Migliaia 4 3 2 2 4 5" xfId="53565" xr:uid="{363163DE-6B31-47D2-B95A-43D15FAB2DDD}"/>
    <cellStyle name="Migliaia 4 3 2 2 4 6" xfId="10899" xr:uid="{903EC674-6DE6-4431-9B86-136F183AEA94}"/>
    <cellStyle name="Migliaia 4 3 2 2 5" xfId="20575" xr:uid="{B59F5069-2E16-4ACE-BE2B-0359021A0E09}"/>
    <cellStyle name="Migliaia 4 3 2 2 6" xfId="24931" xr:uid="{CB491A96-DFB8-4E84-A138-4B90ADA2F54F}"/>
    <cellStyle name="Migliaia 4 3 2 2 7" xfId="8681" xr:uid="{F9D15335-FF81-4FC5-903E-0E8E4730EF97}"/>
    <cellStyle name="Migliaia 4 3 2 3" xfId="5363" xr:uid="{D086087F-CD5A-4557-AC3A-36ADED505D28}"/>
    <cellStyle name="Migliaia 4 3 2 3 2" xfId="11106" xr:uid="{5B39951B-EB35-4369-BB58-4460B8AE16C5}"/>
    <cellStyle name="Migliaia 4 3 2 3 2 2" xfId="39569" xr:uid="{CD70F68B-D50B-4E07-9DEE-CF98F7DEA476}"/>
    <cellStyle name="Migliaia 4 3 2 3 2 3" xfId="44871" xr:uid="{F813B4A2-252E-4130-B67C-10BD9B338CD7}"/>
    <cellStyle name="Migliaia 4 3 2 3 2 4" xfId="34026" xr:uid="{791991A0-569E-44E4-B0D3-A29B24837ADC}"/>
    <cellStyle name="Migliaia 4 3 2 3 3" xfId="12020" xr:uid="{17CCDCF0-25E6-49DE-A538-5BF0E24CFFDC}"/>
    <cellStyle name="Migliaia 4 3 2 3 4" xfId="20576" xr:uid="{94C54D21-5D6E-4A7A-8A8D-6FA739E6B316}"/>
    <cellStyle name="Migliaia 4 3 2 3 4 2" xfId="42220" xr:uid="{F7736415-6ED9-4C29-91FB-DB054DA8A143}"/>
    <cellStyle name="Migliaia 4 3 2 3 5" xfId="16527" xr:uid="{9BD9B504-CFAA-4C4F-863A-B0F978C26C9A}"/>
    <cellStyle name="Migliaia 4 3 2 3 6" xfId="7957" xr:uid="{F4575712-2E92-4759-8C42-98D55EF80B2D}"/>
    <cellStyle name="Migliaia 4 3 2 4" xfId="6554" xr:uid="{AEE7FDB2-2C73-48F7-85E1-2BB93D89D385}"/>
    <cellStyle name="Migliaia 4 3 2 4 2" xfId="18090" xr:uid="{83752B35-BDEF-4666-83C2-122BA91E646B}"/>
    <cellStyle name="Migliaia 4 3 2 4 2 2" xfId="39570" xr:uid="{2364D572-FD72-4429-BDBB-F8B0322CE405}"/>
    <cellStyle name="Migliaia 4 3 2 4 2 3" xfId="44872" xr:uid="{0E034DF0-3227-4DDC-9519-5A399A80988D}"/>
    <cellStyle name="Migliaia 4 3 2 4 3" xfId="36976" xr:uid="{AF3CD104-30AA-4D63-A673-744149B042B1}"/>
    <cellStyle name="Migliaia 4 3 2 4 4" xfId="42221" xr:uid="{C8B183E7-20B2-4378-BDC0-07FE48500E39}"/>
    <cellStyle name="Migliaia 4 3 2 4 5" xfId="17202" xr:uid="{176EE5A3-70DC-4F6E-9D34-97C2EDDE6503}"/>
    <cellStyle name="Migliaia 4 3 2 4 6" xfId="11368" xr:uid="{C9531B89-67EA-46BB-BB7C-D03975CDB15B}"/>
    <cellStyle name="Migliaia 4 3 2 5" xfId="3637" xr:uid="{774A102B-68E8-4C44-80FF-05E09A4A2734}"/>
    <cellStyle name="Migliaia 4 3 2 5 2" xfId="34028" xr:uid="{DE3B779C-C6B5-48CA-922C-FEFEA5F8EF1A}"/>
    <cellStyle name="Migliaia 4 3 2 5 2 2" xfId="39571" xr:uid="{A4635BA2-355E-4310-ADA0-3749EB0C7401}"/>
    <cellStyle name="Migliaia 4 3 2 5 2 3" xfId="44873" xr:uid="{9237FFD7-22A1-42FE-B2B8-5802B7904CF4}"/>
    <cellStyle name="Migliaia 4 3 2 5 3" xfId="36977" xr:uid="{DC87D592-E889-430C-9E45-79085D12BE59}"/>
    <cellStyle name="Migliaia 4 3 2 5 4" xfId="42222" xr:uid="{F970A323-234A-45F4-A59E-DC955C3B45D4}"/>
    <cellStyle name="Migliaia 4 3 2 5 5" xfId="17327" xr:uid="{3FFB2BBE-9DA8-45BD-BC44-AA7F37EAF666}"/>
    <cellStyle name="Migliaia 4 3 2 6" xfId="20574" xr:uid="{886D7817-6F2A-48D0-9EF1-41A101057F95}"/>
    <cellStyle name="Migliaia 4 3 2 6 2" xfId="34029" xr:uid="{1279C7DF-8454-43F5-8308-E2AEC4257AFA}"/>
    <cellStyle name="Migliaia 4 3 2 6 2 2" xfId="39572" xr:uid="{2D0BC3F3-D423-4DAD-9F45-BD957D935002}"/>
    <cellStyle name="Migliaia 4 3 2 6 2 3" xfId="44874" xr:uid="{80E100C9-C12A-4E3C-85A4-01F9B34A9E73}"/>
    <cellStyle name="Migliaia 4 3 2 6 3" xfId="36978" xr:uid="{A9C2E821-3C5F-4E25-BD8E-4AF65D491597}"/>
    <cellStyle name="Migliaia 4 3 2 6 4" xfId="42223" xr:uid="{4743FF33-217B-40E5-A83B-6317DE4B53CB}"/>
    <cellStyle name="Migliaia 4 3 2 6 5" xfId="24936" xr:uid="{8B699951-70BA-46B0-A14E-825D7CB0A9BC}"/>
    <cellStyle name="Migliaia 4 3 2 7" xfId="24930" xr:uid="{E04CE2AF-86BC-42A4-BCB1-8A35AC9E3A29}"/>
    <cellStyle name="Migliaia 4 3 2 8" xfId="7491" xr:uid="{AEE93DA5-1050-4A30-9FAA-A0FFF160C37B}"/>
    <cellStyle name="Migliaia 4 3 3" xfId="3639" xr:uid="{C4F61EC8-F582-4632-A73E-E51258D72703}"/>
    <cellStyle name="Migliaia 4 3 3 10" xfId="7490" xr:uid="{B0E6D4C6-6BCB-4AAA-B161-248EEFCF1138}"/>
    <cellStyle name="Migliaia 4 3 3 2" xfId="5365" xr:uid="{CDC579E7-863B-43D4-8CF8-79DBB15CD936}"/>
    <cellStyle name="Migliaia 4 3 3 2 2" xfId="9948" xr:uid="{3B7EE5D0-0A47-4776-B94F-5667AAD01E8F}"/>
    <cellStyle name="Migliaia 4 3 3 2 2 2" xfId="39574" xr:uid="{25177448-773C-4EB9-89CF-D6122FAC6070}"/>
    <cellStyle name="Migliaia 4 3 3 2 2 3" xfId="44876" xr:uid="{0417A4A9-DF3C-4B3E-99DD-984F974741A1}"/>
    <cellStyle name="Migliaia 4 3 3 2 3" xfId="18228" xr:uid="{3B1A4B3C-35A7-483C-AEEC-ED89616F4687}"/>
    <cellStyle name="Migliaia 4 3 3 2 4" xfId="20578" xr:uid="{45E0265A-B3FF-4B11-ACEF-81BA36C4BC32}"/>
    <cellStyle name="Migliaia 4 3 3 2 4 2" xfId="42225" xr:uid="{E4F561D0-4356-4DF8-ADBD-54B2D19B044F}"/>
    <cellStyle name="Migliaia 4 3 3 2 5" xfId="16529" xr:uid="{EC601D55-992B-454E-B4C3-80A35020E2C5}"/>
    <cellStyle name="Migliaia 4 3 3 2 6" xfId="8680" xr:uid="{03026B3E-E62C-4710-BBD1-F076511354F6}"/>
    <cellStyle name="Migliaia 4 3 3 3" xfId="6556" xr:uid="{51A59EB4-55BD-49CC-BCD1-67E815F6EFE6}"/>
    <cellStyle name="Migliaia 4 3 3 3 2" xfId="34032" xr:uid="{4EC25BCF-50BE-48A9-A650-5AAF6A4C3803}"/>
    <cellStyle name="Migliaia 4 3 3 3 2 2" xfId="39575" xr:uid="{A9534F89-B318-43A4-9B0B-FD3DD0082F99}"/>
    <cellStyle name="Migliaia 4 3 3 3 2 3" xfId="44877" xr:uid="{F730985D-37E4-48CE-B668-F8C10E4253FB}"/>
    <cellStyle name="Migliaia 4 3 3 3 3" xfId="36981" xr:uid="{96A5193E-148D-40FF-B4E4-49403D97C066}"/>
    <cellStyle name="Migliaia 4 3 3 3 4" xfId="42226" xr:uid="{D975E420-A041-4307-8525-F6D2FAA470E4}"/>
    <cellStyle name="Migliaia 4 3 3 3 5" xfId="9711" xr:uid="{D56218E9-81A6-4B9D-AE39-61ECFC055202}"/>
    <cellStyle name="Migliaia 4 3 3 4" xfId="20577" xr:uid="{734CE600-5C78-4F01-BE4D-CFE4D272979C}"/>
    <cellStyle name="Migliaia 4 3 3 4 2" xfId="34033" xr:uid="{28976844-DCD2-4111-A062-3ED98036064D}"/>
    <cellStyle name="Migliaia 4 3 3 4 2 2" xfId="39576" xr:uid="{41C3A809-69ED-4E13-AD99-1EC109662BEE}"/>
    <cellStyle name="Migliaia 4 3 3 4 2 3" xfId="44878" xr:uid="{FE867912-E0F4-4A0C-8A49-5B72209BF989}"/>
    <cellStyle name="Migliaia 4 3 3 4 3" xfId="36982" xr:uid="{5C28F7F2-3F7B-41AD-91FC-8C99F037FAD0}"/>
    <cellStyle name="Migliaia 4 3 3 4 4" xfId="42227" xr:uid="{F619E393-6BAC-4CB5-9E2E-36A98ED5E234}"/>
    <cellStyle name="Migliaia 4 3 3 4 5" xfId="24940" xr:uid="{58D3E28D-EAF0-4792-AFFF-4575C0BF4FB8}"/>
    <cellStyle name="Migliaia 4 3 3 5" xfId="24941" xr:uid="{BE168DA0-BA56-4DA5-9808-80C0E6F4B17B}"/>
    <cellStyle name="Migliaia 4 3 3 5 2" xfId="34034" xr:uid="{33E15E2F-F3F3-4B65-883B-C35032792348}"/>
    <cellStyle name="Migliaia 4 3 3 5 2 2" xfId="39577" xr:uid="{CE7B87DA-0D5D-401B-9AD1-F432394E044D}"/>
    <cellStyle name="Migliaia 4 3 3 5 2 3" xfId="44879" xr:uid="{96AC4F55-E963-4513-98B2-2A0DF3078216}"/>
    <cellStyle name="Migliaia 4 3 3 5 3" xfId="36983" xr:uid="{F0EA5557-CDEE-4BEE-9137-9B1C2EFD9F49}"/>
    <cellStyle name="Migliaia 4 3 3 5 4" xfId="42228" xr:uid="{CB647618-1877-46DE-924B-06DB6CE371F0}"/>
    <cellStyle name="Migliaia 4 3 3 6" xfId="34030" xr:uid="{F4397DC5-186D-4E34-A5A9-3B97B97B6789}"/>
    <cellStyle name="Migliaia 4 3 3 6 2" xfId="39573" xr:uid="{89C79B57-B07F-42FD-A355-DE9887899A2B}"/>
    <cellStyle name="Migliaia 4 3 3 6 3" xfId="44875" xr:uid="{518617BB-E961-4D2A-B498-DD6951533D86}"/>
    <cellStyle name="Migliaia 4 3 3 7" xfId="36979" xr:uid="{F81C0AE3-2720-4A35-B029-FEC437C55656}"/>
    <cellStyle name="Migliaia 4 3 3 8" xfId="42224" xr:uid="{BACB0650-06EB-4C29-9BC4-BEA759F3DFA0}"/>
    <cellStyle name="Migliaia 4 3 3 9" xfId="16528" xr:uid="{BABCF931-CF73-4635-8E83-183AF9883DAB}"/>
    <cellStyle name="Migliaia 4 3 4" xfId="3640" xr:uid="{18F38CBC-8BCC-4922-890F-12040E12BF7E}"/>
    <cellStyle name="Migliaia 4 3 4 2" xfId="5366" xr:uid="{E67CFD34-9BCD-49EE-8DD6-7B035553830D}"/>
    <cellStyle name="Migliaia 4 3 4 2 2" xfId="14456" xr:uid="{78D105C2-AD9A-4F14-B027-B2C5FC7186D0}"/>
    <cellStyle name="Migliaia 4 3 4 2 3" xfId="18580" xr:uid="{6DC025C6-05AD-4AF9-8CA5-1E1CE4D3609A}"/>
    <cellStyle name="Migliaia 4 3 4 2 4" xfId="20580" xr:uid="{716102DD-C482-4257-BAE0-23B2038FFED9}"/>
    <cellStyle name="Migliaia 4 3 4 2 5" xfId="32404" xr:uid="{12DAD57C-6559-4AFE-BE9B-E91D1C451D5C}"/>
    <cellStyle name="Migliaia 4 3 4 2 6" xfId="16531" xr:uid="{54220C00-8878-4FFE-8135-F666CA3DCE1A}"/>
    <cellStyle name="Migliaia 4 3 4 2 7" xfId="8879" xr:uid="{AC13CB7A-0794-4E7F-9334-C8CD1CEE4427}"/>
    <cellStyle name="Migliaia 4 3 4 3" xfId="6557" xr:uid="{631E5F87-6761-4E87-A9D6-8B080FBB88B3}"/>
    <cellStyle name="Migliaia 4 3 4 3 2" xfId="35356" xr:uid="{3B734706-343D-49D8-B4B9-684B9FC12EE5}"/>
    <cellStyle name="Migliaia 4 3 4 3 2 2" xfId="40516" xr:uid="{D2013CC7-FF87-4DAE-B71F-E57C5B76A110}"/>
    <cellStyle name="Migliaia 4 3 4 3 2 3" xfId="45818" xr:uid="{139E4A9C-8772-4937-98FA-FCC15D7DD1F5}"/>
    <cellStyle name="Migliaia 4 3 4 3 3" xfId="37865" xr:uid="{57452563-1FDE-4FB7-857D-EA4AD9F7A152}"/>
    <cellStyle name="Migliaia 4 3 4 3 4" xfId="43167" xr:uid="{1A3208AD-95CC-41D3-9E7F-9484AD7F9C58}"/>
    <cellStyle name="Migliaia 4 3 4 3 5" xfId="13704" xr:uid="{05004FA1-9C30-49E6-910A-26C0559BE1D5}"/>
    <cellStyle name="Migliaia 4 3 4 4" xfId="20579" xr:uid="{2B98877F-C199-4CED-9F3D-891E1ED5F546}"/>
    <cellStyle name="Migliaia 4 3 4 4 2" xfId="39578" xr:uid="{8B79964E-7CA8-4E44-9A55-1FCA5AFF5E95}"/>
    <cellStyle name="Migliaia 4 3 4 4 3" xfId="44880" xr:uid="{C52DE6A2-15E6-4DCD-8646-16738CA1D1A5}"/>
    <cellStyle name="Migliaia 4 3 4 4 4" xfId="34035" xr:uid="{D77E38E1-0DFA-4C5D-856E-D78A418CD7CA}"/>
    <cellStyle name="Migliaia 4 3 4 5" xfId="36984" xr:uid="{2590269F-74DA-4C1B-AD38-005E5E4AF81F}"/>
    <cellStyle name="Migliaia 4 3 4 6" xfId="42229" xr:uid="{E116304C-1F8C-4EBA-AA0C-092E77DAB3F9}"/>
    <cellStyle name="Migliaia 4 3 4 7" xfId="16530" xr:uid="{A5FD9967-B746-4520-B80F-A39E00902C40}"/>
    <cellStyle name="Migliaia 4 3 4 8" xfId="7689" xr:uid="{D3472088-CF15-4537-99F6-05D253188A4B}"/>
    <cellStyle name="Migliaia 4 3 5" xfId="3641" xr:uid="{D887109D-1C94-4274-BD1D-2AD296DBB16A}"/>
    <cellStyle name="Migliaia 4 3 5 2" xfId="5367" xr:uid="{CF9C5A7D-534C-4310-840D-E9A7F281E376}"/>
    <cellStyle name="Migliaia 4 3 5 2 2" xfId="35357" xr:uid="{FA5A3FE9-83E7-4249-BE34-A4B0A2967A1D}"/>
    <cellStyle name="Migliaia 4 3 5 2 2 2" xfId="40517" xr:uid="{4F7BC34B-6678-404C-A763-D5AAFD269136}"/>
    <cellStyle name="Migliaia 4 3 5 2 2 3" xfId="45819" xr:uid="{B2C7B7E8-9FD5-417B-AB74-6CD84B5927F1}"/>
    <cellStyle name="Migliaia 4 3 5 2 3" xfId="37866" xr:uid="{39132629-D366-449F-8891-E8705C4F8856}"/>
    <cellStyle name="Migliaia 4 3 5 2 4" xfId="43168" xr:uid="{4A51C481-4179-4A97-B5F3-9CABD49FD3A5}"/>
    <cellStyle name="Migliaia 4 3 5 2 5" xfId="14280" xr:uid="{94B1FABE-F20F-4FE3-9AC2-A7F175E111FA}"/>
    <cellStyle name="Migliaia 4 3 5 3" xfId="6558" xr:uid="{D2AA91BB-C8D2-48B9-846E-2D5E9BC1CF94}"/>
    <cellStyle name="Migliaia 4 3 5 3 2" xfId="39579" xr:uid="{9DE59CAD-75E9-4D6F-89A4-C661264ECB19}"/>
    <cellStyle name="Migliaia 4 3 5 3 3" xfId="44881" xr:uid="{F48D507B-BDAA-44CA-B2AF-8598128201A6}"/>
    <cellStyle name="Migliaia 4 3 5 3 4" xfId="34036" xr:uid="{C4C097E1-490D-40B1-97B3-197FBD9E708A}"/>
    <cellStyle name="Migliaia 4 3 5 3 5" xfId="20581" xr:uid="{3EF8CC44-89F9-4471-8420-F79D0458BE42}"/>
    <cellStyle name="Migliaia 4 3 5 4" xfId="36985" xr:uid="{4601004E-831C-4F10-80FA-2EE60CAED393}"/>
    <cellStyle name="Migliaia 4 3 5 5" xfId="42230" xr:uid="{B4CFF321-F168-4AB1-B8FF-56AC6C0B0DDA}"/>
    <cellStyle name="Migliaia 4 3 5 6" xfId="16532" xr:uid="{911C2910-24E9-4037-9DA6-5364FC3A9850}"/>
    <cellStyle name="Migliaia 4 3 5 7" xfId="8342" xr:uid="{0B7A44F7-CE97-44DE-ADF8-FE591747CE05}"/>
    <cellStyle name="Migliaia 4 3 6" xfId="5362" xr:uid="{AF1DC7D3-186F-4992-A3D9-79EAEE59DAB2}"/>
    <cellStyle name="Migliaia 4 3 6 2" xfId="13985" xr:uid="{59093C2D-F4D4-4E24-9101-14A3FD0AC7A5}"/>
    <cellStyle name="Migliaia 4 3 6 2 2" xfId="39580" xr:uid="{774694E2-6056-43A1-BB8B-1002845A3033}"/>
    <cellStyle name="Migliaia 4 3 6 2 3" xfId="44882" xr:uid="{23728D4F-CBB1-4465-A42D-AD2E2CB69AF5}"/>
    <cellStyle name="Migliaia 4 3 6 3" xfId="18702" xr:uid="{32AB7F4A-E1C4-4EDE-8376-463F31CCCF6A}"/>
    <cellStyle name="Migliaia 4 3 6 4" xfId="20582" xr:uid="{5685B875-FC9F-4AD3-8FEC-DFCC68BD506A}"/>
    <cellStyle name="Migliaia 4 3 6 4 2" xfId="42231" xr:uid="{62C73621-EB7D-4510-B7AD-D1163D5F44D7}"/>
    <cellStyle name="Migliaia 4 3 6 5" xfId="16533" xr:uid="{6CF930A3-A242-4133-AFCF-BEE2EACCA537}"/>
    <cellStyle name="Migliaia 4 3 6 6" xfId="7956" xr:uid="{C9EC68B1-9C67-4600-BDC1-75ADF87C4865}"/>
    <cellStyle name="Migliaia 4 3 7" xfId="6553" xr:uid="{0374635D-66E7-4D74-9912-8084B42DB37E}"/>
    <cellStyle name="Migliaia 4 3 7 2" xfId="34038" xr:uid="{D3386157-D575-4EE5-9E0C-54E8384C6427}"/>
    <cellStyle name="Migliaia 4 3 7 2 2" xfId="39581" xr:uid="{30DCA03A-B733-423D-9A46-24AFE27FABDD}"/>
    <cellStyle name="Migliaia 4 3 7 2 3" xfId="44883" xr:uid="{4A18BB65-64CA-4F8D-A08E-055F18C5A17E}"/>
    <cellStyle name="Migliaia 4 3 7 3" xfId="36987" xr:uid="{8BCFA5D8-DD24-49EC-A96F-E4A6A731974B}"/>
    <cellStyle name="Migliaia 4 3 7 4" xfId="42232" xr:uid="{2B93ADB1-FCF9-4109-85E5-636CAC8FA6C5}"/>
    <cellStyle name="Migliaia 4 3 7 5" xfId="12284" xr:uid="{DA27B978-B6E1-403D-AE55-A65AF374A861}"/>
    <cellStyle name="Migliaia 4 3 8" xfId="3636" xr:uid="{6E37D77B-EFA6-4172-9C84-5058D44E2E5A}"/>
    <cellStyle name="Migliaia 4 3 8 2" xfId="34039" xr:uid="{85EFE4A9-FAAE-4A0B-A657-F7EB17014F9C}"/>
    <cellStyle name="Migliaia 4 3 8 2 2" xfId="39582" xr:uid="{27964A03-B563-42E8-8C04-AB6B2DBE3269}"/>
    <cellStyle name="Migliaia 4 3 8 2 3" xfId="44884" xr:uid="{302D2353-D62F-44AF-B369-89AE7746ABF8}"/>
    <cellStyle name="Migliaia 4 3 8 3" xfId="36988" xr:uid="{6907F23E-F2BD-4585-AF45-7229C4D27271}"/>
    <cellStyle name="Migliaia 4 3 8 4" xfId="42233" xr:uid="{A9CE331C-B930-444A-95AB-234340FEAFC6}"/>
    <cellStyle name="Migliaia 4 3 8 5" xfId="24946" xr:uid="{A4D512B0-8AB1-4F36-AFC1-5F3AE1A823D9}"/>
    <cellStyle name="Migliaia 4 3 8 6" xfId="17328" xr:uid="{3D06B50F-8B0E-45E2-BAFF-F1192194683D}"/>
    <cellStyle name="Migliaia 4 3 9" xfId="20573" xr:uid="{58C5BED8-099B-4791-9EAC-DC01178CFEE7}"/>
    <cellStyle name="Migliaia 4 4" xfId="1823" xr:uid="{00000000-0005-0000-0000-0000EE030000}"/>
    <cellStyle name="Migliaia 4 4 2" xfId="1824" xr:uid="{00000000-0005-0000-0000-0000EF030000}"/>
    <cellStyle name="Migliaia 4 4 2 2" xfId="5369" xr:uid="{0A7B6AE2-C82D-4357-BF70-42685159F04C}"/>
    <cellStyle name="Migliaia 4 4 2 2 2" xfId="34040" xr:uid="{84449A1E-C576-40DB-AF7C-6612541370C3}"/>
    <cellStyle name="Migliaia 4 4 2 2 2 2" xfId="39583" xr:uid="{897FF647-8C4A-49D2-9645-E9012CD8CAF3}"/>
    <cellStyle name="Migliaia 4 4 2 2 2 3" xfId="44885" xr:uid="{826FFC1C-39EB-4F2C-8CC5-380E89C56E37}"/>
    <cellStyle name="Migliaia 4 4 2 2 3" xfId="36989" xr:uid="{D43B33A4-B0AE-4C3A-820D-9DADA39ED733}"/>
    <cellStyle name="Migliaia 4 4 2 2 4" xfId="42234" xr:uid="{69EBAD36-F0D7-4449-B767-E90F249466D7}"/>
    <cellStyle name="Migliaia 4 4 2 2 5" xfId="9174" xr:uid="{056E5A88-2461-4585-B1D0-264E98C464DF}"/>
    <cellStyle name="Migliaia 4 4 2 3" xfId="3643" xr:uid="{053F2128-59C7-4FF9-8F12-BBC171429481}"/>
    <cellStyle name="Migliaia 4 4 2 3 2" xfId="34041" xr:uid="{B13C5F29-08C5-4CBC-974C-80706302600B}"/>
    <cellStyle name="Migliaia 4 4 2 3 2 2" xfId="39584" xr:uid="{3F0A4AC7-927B-4E84-AE21-B1F66636A227}"/>
    <cellStyle name="Migliaia 4 4 2 3 2 3" xfId="44886" xr:uid="{E00D8D7A-02B1-4C2C-8B5A-7E5A2916FFCC}"/>
    <cellStyle name="Migliaia 4 4 2 3 3" xfId="36990" xr:uid="{ADDAC1A4-4253-4118-ACA1-04D47FDB88A6}"/>
    <cellStyle name="Migliaia 4 4 2 3 4" xfId="42235" xr:uid="{262E32A9-3612-415B-B22B-5D6D676DEF50}"/>
    <cellStyle name="Migliaia 4 4 2 3 5" xfId="12021" xr:uid="{83F07BAF-DA20-4E91-80A9-797AA8D0F7C0}"/>
    <cellStyle name="Migliaia 4 4 2 4" xfId="11370" xr:uid="{301A8B75-F730-4732-8754-7036EA3E57FB}"/>
    <cellStyle name="Migliaia 4 4 2 5" xfId="10901" xr:uid="{70C527CF-D784-4CB4-AE53-50526D45CEDF}"/>
    <cellStyle name="Migliaia 4 4 2 5 2" xfId="21536" xr:uid="{CD70F500-B85A-4C12-BA0C-E01683D270CC}"/>
    <cellStyle name="Migliaia 4 4 2 5 3" xfId="47116" xr:uid="{726F6E58-5FD3-4C70-B340-9C1FAEA9E58B}"/>
    <cellStyle name="Migliaia 4 4 2 5 4" xfId="50551" xr:uid="{15F1FB2A-448D-4015-AC14-44DA62F535E1}"/>
    <cellStyle name="Migliaia 4 4 2 5 5" xfId="53567" xr:uid="{291E76C8-C732-4DF3-A2B9-135DF88C4F1D}"/>
    <cellStyle name="Migliaia 4 4 2 6" xfId="20584" xr:uid="{BA728E9C-83A5-4215-9F7A-9D39D81D159A}"/>
    <cellStyle name="Migliaia 4 4 2 7" xfId="24948" xr:uid="{08ECD5BA-5A57-4CA6-9D04-C0CB10798CF8}"/>
    <cellStyle name="Migliaia 4 4 2 8" xfId="8682" xr:uid="{06FED83B-C977-4ACE-9D38-C2EE3DC9B026}"/>
    <cellStyle name="Migliaia 4 4 3" xfId="5368" xr:uid="{F07ECBDF-DF21-4AD0-87EA-427071F7F424}"/>
    <cellStyle name="Migliaia 4 4 3 2" xfId="18229" xr:uid="{BCFBA17F-A8B7-4B18-BD98-FDE26AAFBC3F}"/>
    <cellStyle name="Migliaia 4 4 3 2 2" xfId="39585" xr:uid="{98986B2C-594D-4F9A-8BF1-A96247ED0CA9}"/>
    <cellStyle name="Migliaia 4 4 3 2 3" xfId="44887" xr:uid="{662A68D2-BFF7-4C73-82F4-ACF9CF776748}"/>
    <cellStyle name="Migliaia 4 4 3 3" xfId="36991" xr:uid="{CF5AC16A-AA27-4ABC-A104-663F997BD747}"/>
    <cellStyle name="Migliaia 4 4 3 4" xfId="42236" xr:uid="{6735BE25-E760-47E8-9209-33BF996FD366}"/>
    <cellStyle name="Migliaia 4 4 3 5" xfId="17326" xr:uid="{9DE434E5-A5A7-45D1-ABB6-3F8C71457D16}"/>
    <cellStyle name="Migliaia 4 4 3 6" xfId="9175" xr:uid="{7DFE5D0E-77CD-458F-A629-905347A6139F}"/>
    <cellStyle name="Migliaia 4 4 4" xfId="6559" xr:uid="{44E864D9-FFEB-4DBC-8563-D097C8676501}"/>
    <cellStyle name="Migliaia 4 4 4 2" xfId="34043" xr:uid="{185AF2C1-2459-47F4-AD47-6F01130E7592}"/>
    <cellStyle name="Migliaia 4 4 4 2 2" xfId="39586" xr:uid="{EFE9FFBE-A223-4E8A-ABAA-818B403F7422}"/>
    <cellStyle name="Migliaia 4 4 4 2 3" xfId="44888" xr:uid="{15C3ADC0-AB6F-4358-B118-95ADE4207DDA}"/>
    <cellStyle name="Migliaia 4 4 4 3" xfId="36992" xr:uid="{73525AB3-A588-425D-815E-C30287A84F11}"/>
    <cellStyle name="Migliaia 4 4 4 4" xfId="42237" xr:uid="{707E7C6E-17D7-4D8C-B579-6ACC85B97CBC}"/>
    <cellStyle name="Migliaia 4 4 4 5" xfId="12022" xr:uid="{8EAA2108-D2DC-414C-B4F1-878C3F42929D}"/>
    <cellStyle name="Migliaia 4 4 5" xfId="3642" xr:uid="{49E297A0-828B-46EE-910E-632E167F2739}"/>
    <cellStyle name="Migliaia 4 4 5 2" xfId="34044" xr:uid="{52F0852D-F8DD-4763-BB63-959F907063B2}"/>
    <cellStyle name="Migliaia 4 4 5 2 2" xfId="39587" xr:uid="{09BD8BF1-6982-4333-AEDD-33701EDEA182}"/>
    <cellStyle name="Migliaia 4 4 5 2 3" xfId="44889" xr:uid="{95AF467B-5D73-4D64-8D7F-0E7F4828847D}"/>
    <cellStyle name="Migliaia 4 4 5 3" xfId="36993" xr:uid="{64231308-3827-4ECD-BE48-3CDC811E4CB5}"/>
    <cellStyle name="Migliaia 4 4 5 4" xfId="42238" xr:uid="{DCA38B76-7BF1-4245-A62C-7412AFC88828}"/>
    <cellStyle name="Migliaia 4 4 5 5" xfId="11369" xr:uid="{3C686851-C585-4A3F-B57B-C1BE0558020C}"/>
    <cellStyle name="Migliaia 4 4 6" xfId="10900" xr:uid="{905BE364-68A0-4B2E-A5A0-DCCA8E439570}"/>
    <cellStyle name="Migliaia 4 4 6 2" xfId="21535" xr:uid="{8E7FFFFE-DBAC-4B8B-A7DA-EB8798ECA6AA}"/>
    <cellStyle name="Migliaia 4 4 6 2 2" xfId="39588" xr:uid="{5820C5F3-23FF-46D5-9199-4C57B25B89D0}"/>
    <cellStyle name="Migliaia 4 4 6 2 3" xfId="44890" xr:uid="{050F24BB-001A-45AD-BCB1-ED8F926ECA57}"/>
    <cellStyle name="Migliaia 4 4 6 2 4" xfId="34045" xr:uid="{D38D854E-69E8-48A3-876D-0A2D5ED62845}"/>
    <cellStyle name="Migliaia 4 4 6 3" xfId="36994" xr:uid="{1F808397-C613-420A-A746-68DA99A537EB}"/>
    <cellStyle name="Migliaia 4 4 6 4" xfId="42239" xr:uid="{2EE009A0-035F-481E-A7F0-41A014B0F040}"/>
    <cellStyle name="Migliaia 4 4 6 5" xfId="24954" xr:uid="{056DC795-4B6C-407E-95EB-D1BE598DD138}"/>
    <cellStyle name="Migliaia 4 4 6 6" xfId="47308" xr:uid="{DDA4A4DF-E61E-4B2B-9DC7-8E64BF3B9787}"/>
    <cellStyle name="Migliaia 4 4 6 7" xfId="50550" xr:uid="{C6D19D2C-8A0A-4248-9102-B43BC62C0889}"/>
    <cellStyle name="Migliaia 4 4 6 8" xfId="53566" xr:uid="{BDB95807-2CE0-47F1-8213-98695D9AEB8F}"/>
    <cellStyle name="Migliaia 4 4 7" xfId="20583" xr:uid="{58EE3A49-DADD-4E4D-B9E8-99958D84262B}"/>
    <cellStyle name="Migliaia 4 4 7 2" xfId="34046" xr:uid="{5A351417-DE6D-4303-BCAC-89CD7F66F4CE}"/>
    <cellStyle name="Migliaia 4 4 7 2 2" xfId="39589" xr:uid="{0D4C572F-B887-4F03-BCD5-73E5C4B02E68}"/>
    <cellStyle name="Migliaia 4 4 7 2 3" xfId="44891" xr:uid="{178FB839-8FDD-424E-A2B5-0F0FB421BB44}"/>
    <cellStyle name="Migliaia 4 4 7 3" xfId="36995" xr:uid="{62765AED-A694-4C50-B3FE-7A63E4537C1F}"/>
    <cellStyle name="Migliaia 4 4 7 4" xfId="42240" xr:uid="{A369561D-12DE-423B-9AFF-4E1FA555085D}"/>
    <cellStyle name="Migliaia 4 4 7 5" xfId="24955" xr:uid="{EBED3847-7666-45A1-85F5-B316CDB0B931}"/>
    <cellStyle name="Migliaia 4 4 8" xfId="24947" xr:uid="{9631A9B5-3081-4CE8-A57D-A9E645B4AAF9}"/>
    <cellStyle name="Migliaia 4 4 9" xfId="7492" xr:uid="{C566F1C8-5952-40F3-AFF1-E7BB5324ED0C}"/>
    <cellStyle name="Migliaia 4 5" xfId="1825" xr:uid="{00000000-0005-0000-0000-0000F0030000}"/>
    <cellStyle name="Migliaia 4 5 2" xfId="5370" xr:uid="{6A9E9BD3-F75D-4778-BC01-F5822B38C3B1}"/>
    <cellStyle name="Migliaia 4 5 2 2" xfId="18463" xr:uid="{70730FF0-9A0D-4A74-9AFF-C53384E78FDD}"/>
    <cellStyle name="Migliaia 4 5 2 2 2" xfId="39590" xr:uid="{59254C07-CB4C-404C-8EA8-42446F931CDB}"/>
    <cellStyle name="Migliaia 4 5 2 2 3" xfId="44892" xr:uid="{9ACE5E88-E06B-4D4A-992A-8607A3C26793}"/>
    <cellStyle name="Migliaia 4 5 2 3" xfId="20586" xr:uid="{FB723628-09EC-4DA7-831F-5ADFD5F05D3A}"/>
    <cellStyle name="Migliaia 4 5 2 3 2" xfId="36996" xr:uid="{A181843A-430A-4408-BDB4-AA3978D311E5}"/>
    <cellStyle name="Migliaia 4 5 2 4" xfId="42241" xr:uid="{889534C1-2BA1-43C7-82C6-20510E337160}"/>
    <cellStyle name="Migliaia 4 5 2 5" xfId="16534" xr:uid="{D9198CB6-B03D-4527-9898-B1FB38872251}"/>
    <cellStyle name="Migliaia 4 5 2 6" xfId="8683" xr:uid="{24A5F2EC-9357-409E-AF52-60BE043C9ECE}"/>
    <cellStyle name="Migliaia 4 5 3" xfId="6560" xr:uid="{DED86B47-9777-4B51-A0B3-D7DC08A4CF45}"/>
    <cellStyle name="Migliaia 4 5 3 2" xfId="34048" xr:uid="{650A8D9C-5095-43CA-A33A-D92D4CB53C7B}"/>
    <cellStyle name="Migliaia 4 5 3 2 2" xfId="39591" xr:uid="{257977C2-A8C8-43BC-A54F-E39F4EF51B1A}"/>
    <cellStyle name="Migliaia 4 5 3 2 3" xfId="44893" xr:uid="{1F7C7D9E-6602-4303-8AAE-276B026EAA19}"/>
    <cellStyle name="Migliaia 4 5 3 3" xfId="36997" xr:uid="{C61097D2-57A0-4DBB-A7E7-F598E96966B1}"/>
    <cellStyle name="Migliaia 4 5 3 4" xfId="42242" xr:uid="{2B837E3E-8E7B-4CD8-B612-3E3A8FB102D0}"/>
    <cellStyle name="Migliaia 4 5 3 5" xfId="11371" xr:uid="{C171332B-4F7C-4256-BF35-163AC4617C0D}"/>
    <cellStyle name="Migliaia 4 5 4" xfId="3644" xr:uid="{7FF4BD5E-8671-491E-8C6F-A70738CB1F7F}"/>
    <cellStyle name="Migliaia 4 5 4 2" xfId="21537" xr:uid="{9F7D2DF8-CE26-4B10-9786-831AF1935CFB}"/>
    <cellStyle name="Migliaia 4 5 4 2 2" xfId="39592" xr:uid="{E97DCB5A-4199-42F1-AD4C-808E08C28ECF}"/>
    <cellStyle name="Migliaia 4 5 4 2 3" xfId="44894" xr:uid="{7E1F58CC-8AF6-4AB5-BE81-D613A4CCE60A}"/>
    <cellStyle name="Migliaia 4 5 4 2 4" xfId="34049" xr:uid="{070079DE-DD3C-4238-9019-7B8EDEE67C36}"/>
    <cellStyle name="Migliaia 4 5 4 3" xfId="36998" xr:uid="{DACA353E-2E3D-4DFF-A600-88D5B095FA5C}"/>
    <cellStyle name="Migliaia 4 5 4 4" xfId="42243" xr:uid="{115C0761-7260-4B77-9997-F9FA017B67B1}"/>
    <cellStyle name="Migliaia 4 5 4 5" xfId="24959" xr:uid="{0308A294-C2F3-4DE5-973F-1C512FBC6258}"/>
    <cellStyle name="Migliaia 4 5 4 6" xfId="48476" xr:uid="{818BBD83-D335-450A-8E06-B8B86670AAF0}"/>
    <cellStyle name="Migliaia 4 5 4 7" xfId="50552" xr:uid="{AC75D377-BE1C-418E-BD21-58E0CED3C0D3}"/>
    <cellStyle name="Migliaia 4 5 4 8" xfId="53568" xr:uid="{A60D09E8-D592-4172-BF96-D8F9BC67A663}"/>
    <cellStyle name="Migliaia 4 5 4 9" xfId="10902" xr:uid="{D44ED193-5531-421F-8C66-2F41E2F04EF7}"/>
    <cellStyle name="Migliaia 4 5 5" xfId="20585" xr:uid="{74CB0932-E599-46AD-8AE6-DEE0E8BAD208}"/>
    <cellStyle name="Migliaia 4 5 5 2" xfId="34050" xr:uid="{A861614D-07AF-4843-B640-9B8D03C65B3E}"/>
    <cellStyle name="Migliaia 4 5 5 2 2" xfId="39593" xr:uid="{C642C2F3-9170-4455-8FAC-21E308D7E22B}"/>
    <cellStyle name="Migliaia 4 5 5 2 3" xfId="44895" xr:uid="{43536CB7-2FF9-4A29-850E-CEA817DDE21C}"/>
    <cellStyle name="Migliaia 4 5 5 3" xfId="36999" xr:uid="{09174CF5-DEF2-42E3-AECE-02DF0DEC3D24}"/>
    <cellStyle name="Migliaia 4 5 5 4" xfId="42244" xr:uid="{058EA28E-EB40-4126-9B42-FF2D2F9F7918}"/>
    <cellStyle name="Migliaia 4 5 5 5" xfId="24960" xr:uid="{077E7579-5550-4783-B847-D50562B16ED7}"/>
    <cellStyle name="Migliaia 4 5 6" xfId="24961" xr:uid="{139236BC-CD85-4A20-9EA3-03B577217D53}"/>
    <cellStyle name="Migliaia 4 5 6 2" xfId="34051" xr:uid="{0B582FC4-ACCC-49BC-9C9B-BC4734986F10}"/>
    <cellStyle name="Migliaia 4 5 6 2 2" xfId="39594" xr:uid="{272AEC33-17E0-4664-BA1B-9A647EA3B289}"/>
    <cellStyle name="Migliaia 4 5 6 2 3" xfId="44896" xr:uid="{C007CF76-DB6D-4D88-B281-14E286047920}"/>
    <cellStyle name="Migliaia 4 5 6 3" xfId="37000" xr:uid="{2688BF21-7D02-42C9-A9AD-2693D0755B68}"/>
    <cellStyle name="Migliaia 4 5 6 4" xfId="42245" xr:uid="{9131C864-6D7A-44E6-8BC8-32457760A710}"/>
    <cellStyle name="Migliaia 4 5 7" xfId="24956" xr:uid="{586CD731-6ECA-4B66-BF83-505F89D693CE}"/>
    <cellStyle name="Migliaia 4 5 8" xfId="7493" xr:uid="{EA1FEF69-800B-4B80-B369-6599176A1595}"/>
    <cellStyle name="Migliaia 4 6" xfId="3645" xr:uid="{8DC4BE46-180B-4F9C-8041-D9C195BED723}"/>
    <cellStyle name="Migliaia 4 6 2" xfId="5371" xr:uid="{B5275D74-C9AC-4CB9-8A9F-A654DFB4AB89}"/>
    <cellStyle name="Migliaia 4 6 2 2" xfId="9947" xr:uid="{F4A92557-A192-45E9-89E6-E4DED3FE831A}"/>
    <cellStyle name="Migliaia 4 6 2 3" xfId="18647" xr:uid="{8E7D2CC3-1EE5-40BF-A992-CAE62A5EC85C}"/>
    <cellStyle name="Migliaia 4 6 2 4" xfId="20588" xr:uid="{BB10D401-EB31-481D-9318-670D9934AF10}"/>
    <cellStyle name="Migliaia 4 6 2 5" xfId="32407" xr:uid="{710C2ECC-FBCB-4D54-A76E-57428F327997}"/>
    <cellStyle name="Migliaia 4 6 2 6" xfId="16536" xr:uid="{D67934B7-E440-4155-B487-7E2C3A393A8F}"/>
    <cellStyle name="Migliaia 4 6 2 7" xfId="8678" xr:uid="{3BE748FC-8D1B-4AFD-B38A-981AAA39AE30}"/>
    <cellStyle name="Migliaia 4 6 3" xfId="6561" xr:uid="{23B7CDAB-39A2-4C5B-8346-DC713F9D6EEE}"/>
    <cellStyle name="Migliaia 4 6 3 2" xfId="35358" xr:uid="{F0788EF0-DA1D-4FFE-8DF7-36BE02B4FC34}"/>
    <cellStyle name="Migliaia 4 6 3 2 2" xfId="40518" xr:uid="{B0C44329-4137-4594-9BB2-9890C36F38F8}"/>
    <cellStyle name="Migliaia 4 6 3 2 3" xfId="45820" xr:uid="{0D9403C5-1517-44EA-8096-8D28E2B357D6}"/>
    <cellStyle name="Migliaia 4 6 3 3" xfId="37867" xr:uid="{2538B1C1-D0DD-430C-840D-B7981C3695A7}"/>
    <cellStyle name="Migliaia 4 6 3 4" xfId="43169" xr:uid="{4B36827D-2DAC-45E2-90D3-EE251D6D3352}"/>
    <cellStyle name="Migliaia 4 6 3 5" xfId="9710" xr:uid="{99CE6775-57BE-4F7C-A4B8-A80FFA7F22CE}"/>
    <cellStyle name="Migliaia 4 6 4" xfId="20587" xr:uid="{677E4C87-75F8-42A5-A6FD-111F96A587A8}"/>
    <cellStyle name="Migliaia 4 6 4 2" xfId="39595" xr:uid="{FD51BA18-94F0-4D45-AD3A-42D3DD14FA11}"/>
    <cellStyle name="Migliaia 4 6 4 3" xfId="44897" xr:uid="{C4E57680-2388-4EFA-9CEF-483AE043AF0D}"/>
    <cellStyle name="Migliaia 4 6 4 4" xfId="34052" xr:uid="{07819D7C-5C2D-4BA4-9C40-B22ED77823D8}"/>
    <cellStyle name="Migliaia 4 6 5" xfId="37001" xr:uid="{86F22D37-13B2-4D70-9C96-A5138D2C2D1A}"/>
    <cellStyle name="Migliaia 4 6 6" xfId="42246" xr:uid="{F0D785A2-051D-4F2B-A927-08300EE0DF88}"/>
    <cellStyle name="Migliaia 4 6 7" xfId="16535" xr:uid="{22AF3DEA-FCEA-480F-9975-AEFB104B14DF}"/>
    <cellStyle name="Migliaia 4 6 8" xfId="7488" xr:uid="{40F40624-F372-4DBA-BCD5-0ECDF2933D58}"/>
    <cellStyle name="Migliaia 4 7" xfId="3646" xr:uid="{B35065B9-9393-4940-9342-948183CB72CE}"/>
    <cellStyle name="Migliaia 4 7 2" xfId="5372" xr:uid="{97CF11F6-CB96-4039-9F5B-71E2679370E0}"/>
    <cellStyle name="Migliaia 4 7 2 2" xfId="35359" xr:uid="{7B14621E-FC71-4394-8EA9-9A0BACD321E4}"/>
    <cellStyle name="Migliaia 4 7 2 2 2" xfId="40519" xr:uid="{39C2A076-9DA7-42C2-8675-D92ED3F4B204}"/>
    <cellStyle name="Migliaia 4 7 2 2 3" xfId="45821" xr:uid="{C4878F5C-8911-4574-866B-02B785359181}"/>
    <cellStyle name="Migliaia 4 7 2 3" xfId="37868" xr:uid="{1D3D1678-45FB-4983-9713-5749590FF69E}"/>
    <cellStyle name="Migliaia 4 7 2 4" xfId="43170" xr:uid="{44504BAE-A97D-4DD4-987C-1E49762DBC78}"/>
    <cellStyle name="Migliaia 4 7 2 5" xfId="14278" xr:uid="{7975038C-C98A-4E6D-A69F-3BA1C46EE4A6}"/>
    <cellStyle name="Migliaia 4 7 3" xfId="6562" xr:uid="{7484FC6F-6A4E-44DB-AA93-6AAA417D753C}"/>
    <cellStyle name="Migliaia 4 7 3 2" xfId="39596" xr:uid="{54D5645D-1E96-490A-B0AF-3A54A9597CA1}"/>
    <cellStyle name="Migliaia 4 7 3 3" xfId="44898" xr:uid="{69734EF3-27BD-486C-81F3-A712955E7729}"/>
    <cellStyle name="Migliaia 4 7 3 4" xfId="34053" xr:uid="{4D0C88B6-5629-4CF9-846C-8FDF91C4E8CA}"/>
    <cellStyle name="Migliaia 4 7 3 5" xfId="20589" xr:uid="{91D510A5-F7B4-47AD-827D-A37D34DC594A}"/>
    <cellStyle name="Migliaia 4 7 4" xfId="37002" xr:uid="{26B4FBB3-E6DD-432A-B263-5B03647BC1B7}"/>
    <cellStyle name="Migliaia 4 7 5" xfId="42247" xr:uid="{D4C14922-6D96-4C11-88DF-B7D156B149BF}"/>
    <cellStyle name="Migliaia 4 7 6" xfId="16537" xr:uid="{1F8CA726-E694-491E-B0F7-26603DBEFC87}"/>
    <cellStyle name="Migliaia 4 7 7" xfId="8340" xr:uid="{BF170BA1-549C-448A-BA84-878BE46479D6}"/>
    <cellStyle name="Migliaia 4 8" xfId="3647" xr:uid="{1F07FE26-4361-471D-A1E0-6485B1672019}"/>
    <cellStyle name="Migliaia 4 8 2" xfId="5373" xr:uid="{114F8054-6210-43FA-B85C-260F4D637F6C}"/>
    <cellStyle name="Migliaia 4 8 2 2" xfId="35360" xr:uid="{6EAC7FDC-47F0-44EC-B56F-AF152FD2719F}"/>
    <cellStyle name="Migliaia 4 8 2 2 2" xfId="40520" xr:uid="{AC1D5628-3CC6-48C8-A5FF-9AFA826CA09F}"/>
    <cellStyle name="Migliaia 4 8 2 2 3" xfId="45822" xr:uid="{005BF8B5-87C0-4638-B011-305D79BB1CED}"/>
    <cellStyle name="Migliaia 4 8 2 3" xfId="37869" xr:uid="{C3F085D2-919B-4B7A-96DE-037F5A78D883}"/>
    <cellStyle name="Migliaia 4 8 2 4" xfId="43171" xr:uid="{11D45EED-CDDD-47B0-82B4-6ECD5EF7DCF3}"/>
    <cellStyle name="Migliaia 4 8 2 5" xfId="13983" xr:uid="{15C95D41-42D6-4626-856D-16870D8C4F77}"/>
    <cellStyle name="Migliaia 4 8 3" xfId="6563" xr:uid="{817BEC91-123F-47A2-9491-0E24223B3FB7}"/>
    <cellStyle name="Migliaia 4 8 3 2" xfId="39597" xr:uid="{B7C5660F-0CA3-4304-B6FD-C714B5989A09}"/>
    <cellStyle name="Migliaia 4 8 3 3" xfId="44899" xr:uid="{672CF9EF-D9AF-40DB-980A-142D0A1FADD1}"/>
    <cellStyle name="Migliaia 4 8 3 4" xfId="34054" xr:uid="{08F639CD-6885-44F7-8759-C4C31DCF8CB2}"/>
    <cellStyle name="Migliaia 4 8 3 5" xfId="20590" xr:uid="{42D6E2F5-D2C0-4701-9057-DCBF4F24AB23}"/>
    <cellStyle name="Migliaia 4 8 4" xfId="37003" xr:uid="{1E426BA2-A896-4CF2-A28E-61B770875403}"/>
    <cellStyle name="Migliaia 4 8 5" xfId="42248" xr:uid="{28715A8F-819B-4DCE-A1CB-E8D2B39FBB43}"/>
    <cellStyle name="Migliaia 4 8 6" xfId="16538" xr:uid="{14876143-C891-456C-8EE1-80D4F4D7B588}"/>
    <cellStyle name="Migliaia 4 8 7" xfId="7954" xr:uid="{231C9DEA-6294-4D54-B7EC-6816E1239DC2}"/>
    <cellStyle name="Migliaia 4 9" xfId="5358" xr:uid="{FCECB6E5-A6B7-487A-98FC-EA4F8B2032FF}"/>
    <cellStyle name="Migliaia 4 9 2" xfId="34055" xr:uid="{49C4C0C2-2F84-48E9-B0EF-DCAC511DCECD}"/>
    <cellStyle name="Migliaia 4 9 2 2" xfId="39598" xr:uid="{C79FE9F2-8970-4139-A00D-E6C251C70A9E}"/>
    <cellStyle name="Migliaia 4 9 2 3" xfId="44900" xr:uid="{D394EFBC-34FC-4914-A293-D4499C79BF38}"/>
    <cellStyle name="Migliaia 4 9 3" xfId="37004" xr:uid="{2141CA6A-A914-4C46-B3F0-9494CD158296}"/>
    <cellStyle name="Migliaia 4 9 4" xfId="42249" xr:uid="{8510F204-0330-4202-A227-D383954B9FAC}"/>
    <cellStyle name="Migliaia 4 9 5" xfId="17201" xr:uid="{A67027E8-59EE-4A2B-AE13-7BFE081BE1AE}"/>
    <cellStyle name="Migliaia 40" xfId="437" xr:uid="{00000000-0005-0000-0000-0000F1030000}"/>
    <cellStyle name="Migliaia 40 10" xfId="6564" xr:uid="{3F548FCE-A300-454C-9A57-0C44B64D906D}"/>
    <cellStyle name="Migliaia 40 10 2" xfId="39599" xr:uid="{9FF0780A-2BF7-465A-A355-AFF9FB40BC86}"/>
    <cellStyle name="Migliaia 40 10 3" xfId="44901" xr:uid="{3DAB61FC-C459-4BF6-B525-D9BD25DCD327}"/>
    <cellStyle name="Migliaia 40 10 4" xfId="34056" xr:uid="{B8B98F7E-BBC5-4460-882B-88D3F3388560}"/>
    <cellStyle name="Migliaia 40 10 5" xfId="20591" xr:uid="{3FA7C231-C23C-49DC-9469-044759BA7D6D}"/>
    <cellStyle name="Migliaia 40 11" xfId="3648" xr:uid="{2DDCC1D5-2C24-455F-AC00-81AFB21B95BF}"/>
    <cellStyle name="Migliaia 40 11 2" xfId="37005" xr:uid="{B363CC94-AA29-4E13-AFCC-53292E2B2561}"/>
    <cellStyle name="Migliaia 40 12" xfId="42250" xr:uid="{E1EECA55-9B6C-4610-A298-0187E9768492}"/>
    <cellStyle name="Migliaia 40 13" xfId="7144" xr:uid="{DE6FDF63-3DDB-47E6-AB3F-B4F133D6A5DD}"/>
    <cellStyle name="Migliaia 40 2" xfId="438" xr:uid="{00000000-0005-0000-0000-0000F2030000}"/>
    <cellStyle name="Migliaia 40 2 2" xfId="1826" xr:uid="{00000000-0005-0000-0000-0000F3030000}"/>
    <cellStyle name="Migliaia 40 2 2 2" xfId="5376" xr:uid="{E5901360-51EC-402A-B5A7-A3E9CE8EEB5B}"/>
    <cellStyle name="Migliaia 40 2 2 2 2" xfId="14397" xr:uid="{A21CD7D4-88EB-4FC5-932D-14FB5F48D202}"/>
    <cellStyle name="Migliaia 40 2 2 2 2 2" xfId="39600" xr:uid="{AC2567A2-743A-48EE-B465-8B246B4A00C8}"/>
    <cellStyle name="Migliaia 40 2 2 2 2 3" xfId="44902" xr:uid="{614629EA-19A9-4988-985D-483E25B3960F}"/>
    <cellStyle name="Migliaia 40 2 2 2 3" xfId="18464" xr:uid="{E4B9826C-05AF-4445-9587-CCBE7E80122D}"/>
    <cellStyle name="Migliaia 40 2 2 2 4" xfId="20594" xr:uid="{BC3CD92B-F809-4599-B9DB-B55E3F626894}"/>
    <cellStyle name="Migliaia 40 2 2 2 4 2" xfId="42251" xr:uid="{E4CDD84A-58E3-41CF-B975-5DF12FD2F816}"/>
    <cellStyle name="Migliaia 40 2 2 2 5" xfId="16539" xr:uid="{84187E1E-F290-4DB8-89F1-CFEBB3EBB493}"/>
    <cellStyle name="Migliaia 40 2 2 2 6" xfId="8685" xr:uid="{43E8B2EB-7AB9-4A67-BF86-0B5DBFBF0699}"/>
    <cellStyle name="Migliaia 40 2 2 3" xfId="6566" xr:uid="{32D79352-E617-4BEF-BA40-7DED70798825}"/>
    <cellStyle name="Migliaia 40 2 2 3 2" xfId="35361" xr:uid="{F09E6BD1-5A68-4A37-A413-716EE4B2701C}"/>
    <cellStyle name="Migliaia 40 2 2 3 2 2" xfId="40521" xr:uid="{74EFA444-C579-4A97-A86B-5523A803D7A0}"/>
    <cellStyle name="Migliaia 40 2 2 3 2 3" xfId="45823" xr:uid="{0333B11A-1CD7-4801-A808-FC3CB3A9760B}"/>
    <cellStyle name="Migliaia 40 2 2 3 3" xfId="37870" xr:uid="{39B22016-1C51-46EF-A055-0ED5CCD0D5A2}"/>
    <cellStyle name="Migliaia 40 2 2 3 4" xfId="43172" xr:uid="{C0A7687A-F711-4E3F-A34F-67CEC2961306}"/>
    <cellStyle name="Migliaia 40 2 2 3 5" xfId="11624" xr:uid="{35127764-8DF0-4DD4-B5FB-456372024E51}"/>
    <cellStyle name="Migliaia 40 2 2 4" xfId="3650" xr:uid="{71D9899D-9093-4CFD-BD9B-43CA373D767A}"/>
    <cellStyle name="Migliaia 40 2 2 4 2" xfId="21538" xr:uid="{0B6459B3-4CA0-42E3-8AF2-5C7133420C3F}"/>
    <cellStyle name="Migliaia 40 2 2 4 3" xfId="47901" xr:uid="{B9F04CDF-EC91-4047-BA91-86C971FB1889}"/>
    <cellStyle name="Migliaia 40 2 2 4 4" xfId="50553" xr:uid="{7EAAE896-BACB-4990-9874-72509061BD56}"/>
    <cellStyle name="Migliaia 40 2 2 4 5" xfId="53569" xr:uid="{A6340A2C-F92C-43E1-B8EA-B48C6DD9E120}"/>
    <cellStyle name="Migliaia 40 2 2 4 6" xfId="10903" xr:uid="{B1415B4B-6FBA-4190-8410-D5B7743378BF}"/>
    <cellStyle name="Migliaia 40 2 2 5" xfId="20593" xr:uid="{537294FC-FE26-4E40-B710-B464D551EB14}"/>
    <cellStyle name="Migliaia 40 2 2 6" xfId="24968" xr:uid="{CB8EBF23-65DB-43E3-8423-2B0AF1C83DDA}"/>
    <cellStyle name="Migliaia 40 2 2 7" xfId="7495" xr:uid="{C77F6371-E216-46F9-B1C1-D360EE3F6FAE}"/>
    <cellStyle name="Migliaia 40 2 3" xfId="3651" xr:uid="{53BEE199-6FB4-427F-ADED-D1BF60783B9A}"/>
    <cellStyle name="Migliaia 40 2 3 2" xfId="5377" xr:uid="{FB2CDA29-6041-491B-AA1D-AE58514C6506}"/>
    <cellStyle name="Migliaia 40 2 3 2 2" xfId="35362" xr:uid="{E255323F-3FD8-4ABE-A322-F2B202A544F4}"/>
    <cellStyle name="Migliaia 40 2 3 2 2 2" xfId="40522" xr:uid="{0968628F-F392-409F-A09E-01938D76E12C}"/>
    <cellStyle name="Migliaia 40 2 3 2 2 3" xfId="45824" xr:uid="{454343AE-A468-4E29-8E59-BD21DD435B00}"/>
    <cellStyle name="Migliaia 40 2 3 2 3" xfId="37871" xr:uid="{EDA50057-AF19-4B45-BE28-F9A7412CB90B}"/>
    <cellStyle name="Migliaia 40 2 3 2 4" xfId="43173" xr:uid="{B24EBE1C-BB2A-4B11-81CA-EEEEE1A0B857}"/>
    <cellStyle name="Migliaia 40 2 3 2 5" xfId="14282" xr:uid="{66D408B3-1B39-411C-A60C-C8BA15164901}"/>
    <cellStyle name="Migliaia 40 2 3 3" xfId="6567" xr:uid="{AB8201F6-BF34-444A-AA41-2549D83721C5}"/>
    <cellStyle name="Migliaia 40 2 3 3 2" xfId="39601" xr:uid="{22EE30E1-164D-42F0-B381-B7CE5CDA9CA8}"/>
    <cellStyle name="Migliaia 40 2 3 3 3" xfId="44903" xr:uid="{7EA15FA1-1158-48F4-B9E9-BF21D6487FEF}"/>
    <cellStyle name="Migliaia 40 2 3 3 4" xfId="34058" xr:uid="{110D3AC7-E980-4F5D-9EF0-02465EA4523F}"/>
    <cellStyle name="Migliaia 40 2 3 3 5" xfId="20595" xr:uid="{EE0BFE85-41C8-40BC-9F8E-E77553C52EA8}"/>
    <cellStyle name="Migliaia 40 2 3 4" xfId="37007" xr:uid="{00AF6B28-0271-42CA-9D54-531FE996BF01}"/>
    <cellStyle name="Migliaia 40 2 3 5" xfId="42252" xr:uid="{9C1EADE4-6246-4B0A-9B60-C382805C880A}"/>
    <cellStyle name="Migliaia 40 2 3 6" xfId="16540" xr:uid="{A2B114AC-1597-479E-A4A6-626189DE37E2}"/>
    <cellStyle name="Migliaia 40 2 3 7" xfId="8344" xr:uid="{4F901284-43D1-4CAC-B0D6-A064713D6F33}"/>
    <cellStyle name="Migliaia 40 2 4" xfId="5375" xr:uid="{1254A463-2801-4829-B90F-0B124C2BA1BD}"/>
    <cellStyle name="Migliaia 40 2 4 2" xfId="13987" xr:uid="{0E98C99C-96DF-4041-9707-B0538204FD8D}"/>
    <cellStyle name="Migliaia 40 2 4 2 2" xfId="39602" xr:uid="{A9C5BB71-E436-4538-AB95-1C0327AC99F7}"/>
    <cellStyle name="Migliaia 40 2 4 2 3" xfId="44904" xr:uid="{4A6CFB85-286E-4DA3-8E91-D66EACD7A078}"/>
    <cellStyle name="Migliaia 40 2 4 3" xfId="18701" xr:uid="{04486297-4990-4B10-A4CD-2F49712CEA48}"/>
    <cellStyle name="Migliaia 40 2 4 4" xfId="20596" xr:uid="{94C51E1C-B50C-420E-97C1-A8E3A1D734B2}"/>
    <cellStyle name="Migliaia 40 2 4 4 2" xfId="42253" xr:uid="{8740280E-1F43-4657-9422-FC69051F57C9}"/>
    <cellStyle name="Migliaia 40 2 4 5" xfId="16541" xr:uid="{8A58FC5D-7D8D-46A3-82A3-CCFB32481197}"/>
    <cellStyle name="Migliaia 40 2 4 6" xfId="7959" xr:uid="{BE680D8F-D774-472A-BB71-DAA115FB88FD}"/>
    <cellStyle name="Migliaia 40 2 5" xfId="6565" xr:uid="{CBA65061-74AA-49C7-829E-4A359E2ABA62}"/>
    <cellStyle name="Migliaia 40 2 5 2" xfId="34060" xr:uid="{8A51699D-84E0-40BD-9DC6-76837CAAB951}"/>
    <cellStyle name="Migliaia 40 2 5 2 2" xfId="39603" xr:uid="{22E4FBB7-6DD7-4E6A-944D-827265CD306F}"/>
    <cellStyle name="Migliaia 40 2 5 2 3" xfId="44905" xr:uid="{A5DFB281-F6C3-480E-97DD-CEDCAD7D5D40}"/>
    <cellStyle name="Migliaia 40 2 5 3" xfId="37009" xr:uid="{4F0C80AB-516F-46EA-B211-B41FEA4402D2}"/>
    <cellStyle name="Migliaia 40 2 5 4" xfId="42254" xr:uid="{70799F08-AB89-49A3-AF36-DA25D1DD4B7D}"/>
    <cellStyle name="Migliaia 40 2 5 5" xfId="13137" xr:uid="{E7CB4195-53AA-4EAE-980E-DC94A04112B6}"/>
    <cellStyle name="Migliaia 40 2 6" xfId="3649" xr:uid="{11E2DD5E-9B3B-4D3A-9ACC-CCD961C196E8}"/>
    <cellStyle name="Migliaia 40 2 6 2" xfId="34061" xr:uid="{F3DBD151-47F9-4948-8983-43A4B357528A}"/>
    <cellStyle name="Migliaia 40 2 6 2 2" xfId="39604" xr:uid="{59BDB291-1A75-46B8-BDD0-5028F75BADB9}"/>
    <cellStyle name="Migliaia 40 2 6 2 3" xfId="44906" xr:uid="{CA17BA01-6894-418F-A556-63A30F15A981}"/>
    <cellStyle name="Migliaia 40 2 6 3" xfId="37010" xr:uid="{7E8A5813-28F5-45DF-82AB-7F5C98201993}"/>
    <cellStyle name="Migliaia 40 2 6 4" xfId="42255" xr:uid="{E775CDDE-8A21-4639-AE46-85FCE995722D}"/>
    <cellStyle name="Migliaia 40 2 6 5" xfId="24973" xr:uid="{D192117A-2231-4AE0-8967-F6E8E5047773}"/>
    <cellStyle name="Migliaia 40 2 6 6" xfId="20592" xr:uid="{FDF21277-6EE1-460A-A0EC-757B532C85C3}"/>
    <cellStyle name="Migliaia 40 2 7" xfId="24967" xr:uid="{BE50D5A7-5219-4951-97AA-E443EDAE4AF5}"/>
    <cellStyle name="Migliaia 40 2 8" xfId="7145" xr:uid="{E0BDF0DC-A599-47BC-B153-13A02C313A86}"/>
    <cellStyle name="Migliaia 40 3" xfId="439" xr:uid="{00000000-0005-0000-0000-0000F4030000}"/>
    <cellStyle name="Migliaia 40 3 10" xfId="24974" xr:uid="{04DF16EA-6B44-442E-804A-CC63110A36AF}"/>
    <cellStyle name="Migliaia 40 3 11" xfId="16542" xr:uid="{E0D29783-D3CA-4B7D-B589-35D167DCA9D4}"/>
    <cellStyle name="Migliaia 40 3 12" xfId="7146" xr:uid="{DF6C5C25-F622-447B-B47C-F3A1D70E70C6}"/>
    <cellStyle name="Migliaia 40 3 2" xfId="440" xr:uid="{00000000-0005-0000-0000-0000F5030000}"/>
    <cellStyle name="Migliaia 40 3 2 2" xfId="1827" xr:uid="{00000000-0005-0000-0000-0000F6030000}"/>
    <cellStyle name="Migliaia 40 3 2 2 2" xfId="5380" xr:uid="{A35AF7A5-2F1F-4EF8-82E4-AF2E94513DB0}"/>
    <cellStyle name="Migliaia 40 3 2 2 2 2" xfId="18465" xr:uid="{16B18845-5C8F-4506-A8FE-2B4360B0D5D1}"/>
    <cellStyle name="Migliaia 40 3 2 2 2 2 2" xfId="21875" xr:uid="{EF8EC2C0-9F05-496E-B18F-BA306B0112A4}"/>
    <cellStyle name="Migliaia 40 3 2 2 2 2 2 2" xfId="39605" xr:uid="{FFFE6351-8E14-4BCB-BB15-EB14857E8801}"/>
    <cellStyle name="Migliaia 40 3 2 2 2 2 3" xfId="44907" xr:uid="{0D2D6C26-29C8-4249-BB54-5739D55B60DD}"/>
    <cellStyle name="Migliaia 40 3 2 2 2 2 4" xfId="34062" xr:uid="{1412F6C7-C45F-4934-B4C3-052B4A336B3C}"/>
    <cellStyle name="Migliaia 40 3 2 2 2 3" xfId="37011" xr:uid="{131237C6-EBAB-4858-A95B-1E0808B377ED}"/>
    <cellStyle name="Migliaia 40 3 2 2 2 4" xfId="42256" xr:uid="{A3651C63-FB90-4436-9E18-EE8BE9804ACF}"/>
    <cellStyle name="Migliaia 40 3 2 2 2 5" xfId="46749" xr:uid="{025786E8-A5F4-4C82-A341-DA4820445F02}"/>
    <cellStyle name="Migliaia 40 3 2 2 2 6" xfId="50903" xr:uid="{8C5B3888-24AB-4839-ABCA-121CD5CD6CF3}"/>
    <cellStyle name="Migliaia 40 3 2 2 2 7" xfId="53919" xr:uid="{5C6499F8-0CEE-4B32-BE81-83B5A636DC88}"/>
    <cellStyle name="Migliaia 40 3 2 2 2 8" xfId="17673" xr:uid="{BE63C4AD-4456-4849-BF52-0FC126F125C4}"/>
    <cellStyle name="Migliaia 40 3 2 2 2 9" xfId="12023" xr:uid="{38DB8E41-1981-4183-AC64-54858C445F50}"/>
    <cellStyle name="Migliaia 40 3 2 2 3" xfId="6570" xr:uid="{3086855A-C625-421B-9A5F-DF363A5127D8}"/>
    <cellStyle name="Migliaia 40 3 2 2 3 2" xfId="11177" xr:uid="{F3291818-B989-4F04-86E5-5BDA3564F188}"/>
    <cellStyle name="Migliaia 40 3 2 2 4" xfId="3654" xr:uid="{CF9F03F0-8E70-4308-98C1-894B795C6C68}"/>
    <cellStyle name="Migliaia 40 3 2 2 4 2" xfId="21539" xr:uid="{145D2151-4650-4970-803C-D1F84C336672}"/>
    <cellStyle name="Migliaia 40 3 2 2 4 3" xfId="47423" xr:uid="{823151E0-89B2-4BA9-9197-23E675037192}"/>
    <cellStyle name="Migliaia 40 3 2 2 4 4" xfId="50554" xr:uid="{C5E0848B-9122-4015-A525-8C25DDBE133F}"/>
    <cellStyle name="Migliaia 40 3 2 2 4 5" xfId="53570" xr:uid="{77026AAD-0B63-414C-8885-FD14945085A4}"/>
    <cellStyle name="Migliaia 40 3 2 2 4 6" xfId="10904" xr:uid="{2D6123A9-6031-465E-ADDD-8771D345C1EC}"/>
    <cellStyle name="Migliaia 40 3 2 2 5" xfId="20599" xr:uid="{B4215A2E-3EE7-4EB1-A3F1-A97460CD8BD5}"/>
    <cellStyle name="Migliaia 40 3 2 2 6" xfId="24976" xr:uid="{17E76108-C79E-438E-A919-5DC9DD2C6A4E}"/>
    <cellStyle name="Migliaia 40 3 2 2 7" xfId="8687" xr:uid="{03EA865A-061E-463F-9638-F8C694B78606}"/>
    <cellStyle name="Migliaia 40 3 2 3" xfId="5379" xr:uid="{13DC3EE7-8E02-4896-9A4D-F7B08ECAC9B0}"/>
    <cellStyle name="Migliaia 40 3 2 3 2" xfId="12223" xr:uid="{3707D694-19C4-4BE4-A29C-88364C5F2971}"/>
    <cellStyle name="Migliaia 40 3 2 3 2 2" xfId="39606" xr:uid="{D4404CCB-0A71-41DE-99C9-0F5079905FD7}"/>
    <cellStyle name="Migliaia 40 3 2 3 2 3" xfId="44908" xr:uid="{FD502630-C855-4601-BC34-494A2BF692B6}"/>
    <cellStyle name="Migliaia 40 3 2 3 2 4" xfId="34063" xr:uid="{DB0379D9-7B41-4788-B27F-3D4BDC747F3D}"/>
    <cellStyle name="Migliaia 40 3 2 3 3" xfId="12024" xr:uid="{5D695A85-4883-4BB6-B552-3665BE7C17C6}"/>
    <cellStyle name="Migliaia 40 3 2 3 4" xfId="20600" xr:uid="{8D3E1576-6F38-40B7-B731-B674CFA294D4}"/>
    <cellStyle name="Migliaia 40 3 2 3 4 2" xfId="42257" xr:uid="{C5F27EE2-F264-4B9A-8027-06EC098F8AC1}"/>
    <cellStyle name="Migliaia 40 3 2 3 5" xfId="16543" xr:uid="{41685E66-1924-459D-8A7E-6C1D45495D1E}"/>
    <cellStyle name="Migliaia 40 3 2 3 6" xfId="7961" xr:uid="{19802D85-E4E3-4E6E-9C90-D2164BD01FC3}"/>
    <cellStyle name="Migliaia 40 3 2 4" xfId="6569" xr:uid="{3AA213D6-C2D6-458A-BF0A-22C44E871D76}"/>
    <cellStyle name="Migliaia 40 3 2 4 2" xfId="18091" xr:uid="{2E54F842-3123-48AC-BB25-E5F52F291644}"/>
    <cellStyle name="Migliaia 40 3 2 4 2 2" xfId="39607" xr:uid="{E08E2476-8734-4E8C-8501-C5C41AB4FB1D}"/>
    <cellStyle name="Migliaia 40 3 2 4 2 3" xfId="44909" xr:uid="{A5EC403C-F04E-4A35-9401-BAA33E9B6281}"/>
    <cellStyle name="Migliaia 40 3 2 4 3" xfId="37013" xr:uid="{722EB077-EE1A-4930-9C9E-A32555D8949F}"/>
    <cellStyle name="Migliaia 40 3 2 4 4" xfId="42258" xr:uid="{D9A61075-DD41-49BB-9D4E-5A7AEBB2EA4B}"/>
    <cellStyle name="Migliaia 40 3 2 4 5" xfId="17204" xr:uid="{401647B4-7364-4B9D-98BF-062549EE0BAA}"/>
    <cellStyle name="Migliaia 40 3 2 4 6" xfId="11372" xr:uid="{9D83BD44-3B72-4645-92FB-E23674B72B4A}"/>
    <cellStyle name="Migliaia 40 3 2 5" xfId="3653" xr:uid="{EEACEFAB-A5C3-4BBD-BC01-229050BC67C6}"/>
    <cellStyle name="Migliaia 40 3 2 5 2" xfId="34065" xr:uid="{2B9F5EE1-AB19-4B98-9DE7-65A1B1CA07B9}"/>
    <cellStyle name="Migliaia 40 3 2 5 2 2" xfId="39608" xr:uid="{9561DBC3-A8CE-4B9E-9BA1-5DAFCBB22257}"/>
    <cellStyle name="Migliaia 40 3 2 5 2 3" xfId="44910" xr:uid="{9A61443D-81F9-4BB7-8CBF-E93F7A2326A0}"/>
    <cellStyle name="Migliaia 40 3 2 5 3" xfId="37014" xr:uid="{5F03C033-B7A5-4EB8-A44A-4B91D67FBC97}"/>
    <cellStyle name="Migliaia 40 3 2 5 4" xfId="42259" xr:uid="{6EA43870-186E-4914-A427-675C19344E9A}"/>
    <cellStyle name="Migliaia 40 3 2 5 5" xfId="17324" xr:uid="{4F1EAB65-72C9-4800-A591-6709ABC849A7}"/>
    <cellStyle name="Migliaia 40 3 2 6" xfId="20598" xr:uid="{ECA00CFB-368B-4193-92E8-56DBBEDEF100}"/>
    <cellStyle name="Migliaia 40 3 2 6 2" xfId="34066" xr:uid="{B0320758-8546-41C2-BD97-E82F26F7DBA6}"/>
    <cellStyle name="Migliaia 40 3 2 6 2 2" xfId="39609" xr:uid="{64A353C0-E06C-4C34-A9D3-13019FCDB861}"/>
    <cellStyle name="Migliaia 40 3 2 6 2 3" xfId="44911" xr:uid="{C0ED8034-2637-4111-BA46-8391EBDBBA93}"/>
    <cellStyle name="Migliaia 40 3 2 6 3" xfId="37015" xr:uid="{9C5055B7-776C-4079-8AD6-521470907CF5}"/>
    <cellStyle name="Migliaia 40 3 2 6 4" xfId="42260" xr:uid="{9FD535AB-D387-49BA-8BF4-6D44CFDF42BA}"/>
    <cellStyle name="Migliaia 40 3 2 6 5" xfId="24981" xr:uid="{8CEC5436-A8FC-4290-A794-0FFF5143F87D}"/>
    <cellStyle name="Migliaia 40 3 2 7" xfId="24975" xr:uid="{63576FAC-3871-48F6-8695-B25D348E4B0C}"/>
    <cellStyle name="Migliaia 40 3 2 8" xfId="7497" xr:uid="{6B77FDA6-5532-4DBF-B634-582A0B1E72BC}"/>
    <cellStyle name="Migliaia 40 3 3" xfId="3655" xr:uid="{6EE31049-E971-40F1-BAF2-35550E2D1FCA}"/>
    <cellStyle name="Migliaia 40 3 3 10" xfId="7496" xr:uid="{D74618B2-3DDB-44DB-9961-542768B3DFA6}"/>
    <cellStyle name="Migliaia 40 3 3 2" xfId="5381" xr:uid="{864D2D15-010C-48C4-9ADC-6B872AFD4245}"/>
    <cellStyle name="Migliaia 40 3 3 2 2" xfId="9950" xr:uid="{FD930C7C-DBDB-44AB-B812-CC15B32C6D00}"/>
    <cellStyle name="Migliaia 40 3 3 2 2 2" xfId="39611" xr:uid="{338E9DB5-42C5-4FDB-B7E4-8BC5D27C7459}"/>
    <cellStyle name="Migliaia 40 3 3 2 2 3" xfId="44913" xr:uid="{E4AC2DE6-FBF2-4053-9AE2-B35DD1718FEA}"/>
    <cellStyle name="Migliaia 40 3 3 2 3" xfId="18230" xr:uid="{CBF57C9F-4F0C-4643-B92B-3CD60D78BEF5}"/>
    <cellStyle name="Migliaia 40 3 3 2 4" xfId="20602" xr:uid="{7D66451B-58DB-49A7-B785-DC1E93F58BB0}"/>
    <cellStyle name="Migliaia 40 3 3 2 4 2" xfId="42262" xr:uid="{300FA86D-287F-4646-BB81-28BAF85FD7DB}"/>
    <cellStyle name="Migliaia 40 3 3 2 5" xfId="16545" xr:uid="{48AEBCB9-FCFE-4566-9BF7-822F46449D86}"/>
    <cellStyle name="Migliaia 40 3 3 2 6" xfId="8686" xr:uid="{63679DAC-586B-408E-99D4-6CE0150700B3}"/>
    <cellStyle name="Migliaia 40 3 3 3" xfId="6571" xr:uid="{4B56B737-966C-4DE5-9210-390C168CF428}"/>
    <cellStyle name="Migliaia 40 3 3 3 2" xfId="34069" xr:uid="{81E0AD06-1A28-4B8C-8327-8D7060339999}"/>
    <cellStyle name="Migliaia 40 3 3 3 2 2" xfId="39612" xr:uid="{A55E5618-5D11-4195-885B-1FBFBF83CA03}"/>
    <cellStyle name="Migliaia 40 3 3 3 2 3" xfId="44914" xr:uid="{4A682D39-4A31-4540-AFCA-4D8A7959A52E}"/>
    <cellStyle name="Migliaia 40 3 3 3 3" xfId="37018" xr:uid="{7FA34C57-B68F-40BB-A400-E3EC1410E6EE}"/>
    <cellStyle name="Migliaia 40 3 3 3 4" xfId="42263" xr:uid="{7D2D67B9-ED79-4885-8D45-8E2C1C62459D}"/>
    <cellStyle name="Migliaia 40 3 3 3 5" xfId="9713" xr:uid="{448FDE21-5634-4F14-879E-C25254299B04}"/>
    <cellStyle name="Migliaia 40 3 3 4" xfId="20601" xr:uid="{2A55B4EF-A455-4E69-8AF6-863116B72749}"/>
    <cellStyle name="Migliaia 40 3 3 4 2" xfId="34070" xr:uid="{3B28A62E-D9D0-4D25-A978-4EE698BC0B3C}"/>
    <cellStyle name="Migliaia 40 3 3 4 2 2" xfId="39613" xr:uid="{FD5CDB4C-722C-4712-A23A-8EDEA3009112}"/>
    <cellStyle name="Migliaia 40 3 3 4 2 3" xfId="44915" xr:uid="{EF1562DB-63F6-492E-971E-0C7D3FE0A471}"/>
    <cellStyle name="Migliaia 40 3 3 4 3" xfId="37019" xr:uid="{45AE7AF7-BE82-4374-960A-B35E51A81BF1}"/>
    <cellStyle name="Migliaia 40 3 3 4 4" xfId="42264" xr:uid="{B0D6F25C-0038-4741-ADD9-1110F78880AD}"/>
    <cellStyle name="Migliaia 40 3 3 4 5" xfId="24985" xr:uid="{BD6F092C-1A3C-4A70-B2B4-6BF24BA535C9}"/>
    <cellStyle name="Migliaia 40 3 3 5" xfId="24986" xr:uid="{C045BEDC-B9CE-4FF1-ADEE-733BCE0D4258}"/>
    <cellStyle name="Migliaia 40 3 3 5 2" xfId="34071" xr:uid="{83FA60AC-3102-4794-819B-952E09F553CF}"/>
    <cellStyle name="Migliaia 40 3 3 5 2 2" xfId="39614" xr:uid="{5F7342DD-94C9-4907-991C-DECE57448872}"/>
    <cellStyle name="Migliaia 40 3 3 5 2 3" xfId="44916" xr:uid="{A670482B-53B1-434C-9716-1B608F79020F}"/>
    <cellStyle name="Migliaia 40 3 3 5 3" xfId="37020" xr:uid="{EED44E00-8384-4355-B945-BF6D4850440A}"/>
    <cellStyle name="Migliaia 40 3 3 5 4" xfId="42265" xr:uid="{5D7250B3-139D-42E8-BAE0-E183B42129DE}"/>
    <cellStyle name="Migliaia 40 3 3 6" xfId="34067" xr:uid="{1F7DC8A6-F5CB-4212-A8CA-4D49CE071E67}"/>
    <cellStyle name="Migliaia 40 3 3 6 2" xfId="39610" xr:uid="{008E8585-6FDC-4C0F-86C1-0A43E77AF85E}"/>
    <cellStyle name="Migliaia 40 3 3 6 3" xfId="44912" xr:uid="{7986AD2C-CFFC-4A7E-BE33-10D9C9B9787E}"/>
    <cellStyle name="Migliaia 40 3 3 7" xfId="37016" xr:uid="{DA64C292-C3D0-492D-8D65-408FD23E820F}"/>
    <cellStyle name="Migliaia 40 3 3 8" xfId="42261" xr:uid="{3313C9EF-952F-48CF-B2D3-ADD10C7B52FF}"/>
    <cellStyle name="Migliaia 40 3 3 9" xfId="16544" xr:uid="{2D2C9F21-679B-4411-AD4D-07DD7DD4B44A}"/>
    <cellStyle name="Migliaia 40 3 4" xfId="3656" xr:uid="{5BF90421-885E-4F28-A225-FB810E49DA92}"/>
    <cellStyle name="Migliaia 40 3 4 2" xfId="5382" xr:uid="{EB25D9ED-CEB4-484C-8702-F64C5F24969E}"/>
    <cellStyle name="Migliaia 40 3 4 2 2" xfId="14457" xr:uid="{CBDB46AE-FEE8-4079-9FA3-EC34121AEDE9}"/>
    <cellStyle name="Migliaia 40 3 4 2 3" xfId="18581" xr:uid="{C704AFF7-F7EE-46FC-9344-740F87DEC0A7}"/>
    <cellStyle name="Migliaia 40 3 4 2 4" xfId="20604" xr:uid="{59EE7D13-C229-40C5-B3B5-0FEFB139DF0B}"/>
    <cellStyle name="Migliaia 40 3 4 2 5" xfId="32413" xr:uid="{017B6750-60A0-4950-88EA-E4D1FBBFB467}"/>
    <cellStyle name="Migliaia 40 3 4 2 6" xfId="16547" xr:uid="{A2DC02B6-BDAA-483B-828B-CBAF4CCF9E20}"/>
    <cellStyle name="Migliaia 40 3 4 2 7" xfId="8880" xr:uid="{1D600F0A-02AC-49ED-A165-A62A28F1D5AC}"/>
    <cellStyle name="Migliaia 40 3 4 3" xfId="6572" xr:uid="{7C3F7D3E-F9F0-420A-B3E9-593B739973B5}"/>
    <cellStyle name="Migliaia 40 3 4 3 2" xfId="35363" xr:uid="{F497F27D-E790-450B-B137-516EF82E5975}"/>
    <cellStyle name="Migliaia 40 3 4 3 2 2" xfId="40523" xr:uid="{F7E571A0-E0AB-406B-AC33-A6C23408C09E}"/>
    <cellStyle name="Migliaia 40 3 4 3 2 3" xfId="45825" xr:uid="{E6C5BF17-54F5-41C8-8D3D-874EABBA7C6A}"/>
    <cellStyle name="Migliaia 40 3 4 3 3" xfId="37872" xr:uid="{DBF30D78-C7E2-4186-82C7-1DE80676F1BA}"/>
    <cellStyle name="Migliaia 40 3 4 3 4" xfId="43174" xr:uid="{B71AB9CA-6440-4DC9-ADDA-29FA7854904C}"/>
    <cellStyle name="Migliaia 40 3 4 3 5" xfId="13705" xr:uid="{6E34F8A4-193D-4588-8A07-533E100667F2}"/>
    <cellStyle name="Migliaia 40 3 4 4" xfId="20603" xr:uid="{3871E044-EBB6-491C-A49B-D34255558F73}"/>
    <cellStyle name="Migliaia 40 3 4 4 2" xfId="39615" xr:uid="{2A80D6BF-7D71-4CBB-8B7B-997F8EBCCDE6}"/>
    <cellStyle name="Migliaia 40 3 4 4 3" xfId="44917" xr:uid="{60D36D2F-F942-4EE8-B656-A540CE671EE8}"/>
    <cellStyle name="Migliaia 40 3 4 4 4" xfId="34072" xr:uid="{B9BCE288-995F-46A4-8723-DDA627131B84}"/>
    <cellStyle name="Migliaia 40 3 4 5" xfId="37021" xr:uid="{CBA9DA06-2911-4CD1-A067-799891164B91}"/>
    <cellStyle name="Migliaia 40 3 4 6" xfId="42266" xr:uid="{F3A856E8-A7D2-47D1-BB30-22D8F4BAF987}"/>
    <cellStyle name="Migliaia 40 3 4 7" xfId="16546" xr:uid="{EB8C3C29-A82F-479A-A401-9979635B0F0D}"/>
    <cellStyle name="Migliaia 40 3 4 8" xfId="7690" xr:uid="{72A155EA-EFFC-4779-B359-F929878ADA6A}"/>
    <cellStyle name="Migliaia 40 3 5" xfId="3657" xr:uid="{B82AF4CB-65B2-42CF-90C8-D0A33967B291}"/>
    <cellStyle name="Migliaia 40 3 5 2" xfId="5383" xr:uid="{26DFB600-A41E-4C5B-ABB0-60AEF244E8D7}"/>
    <cellStyle name="Migliaia 40 3 5 2 2" xfId="35364" xr:uid="{F53B499F-D5B6-40BC-B87A-83E679B7EF5C}"/>
    <cellStyle name="Migliaia 40 3 5 2 2 2" xfId="40524" xr:uid="{03C8A4E2-D2A8-4BAE-AC7F-93BE277062F5}"/>
    <cellStyle name="Migliaia 40 3 5 2 2 3" xfId="45826" xr:uid="{C80AA801-26D5-4123-A536-07602CF39FE6}"/>
    <cellStyle name="Migliaia 40 3 5 2 3" xfId="37873" xr:uid="{19B5455E-8F9F-4596-86D6-6101D28AA084}"/>
    <cellStyle name="Migliaia 40 3 5 2 4" xfId="43175" xr:uid="{0A03221F-E1C4-45E0-A4FE-137FAADB35BF}"/>
    <cellStyle name="Migliaia 40 3 5 2 5" xfId="14283" xr:uid="{D29D81AE-CED6-4AFA-ADDC-058EE29863CC}"/>
    <cellStyle name="Migliaia 40 3 5 3" xfId="6573" xr:uid="{BF77D1C9-BEDE-4822-9AC6-935ABF49A4F5}"/>
    <cellStyle name="Migliaia 40 3 5 3 2" xfId="39616" xr:uid="{2B5DCFA1-E127-437B-A834-E1B5B313571B}"/>
    <cellStyle name="Migliaia 40 3 5 3 3" xfId="44918" xr:uid="{550B641E-3CF6-4CA9-950B-F0D0A6DF9658}"/>
    <cellStyle name="Migliaia 40 3 5 3 4" xfId="34073" xr:uid="{9F6CD954-CD42-40F5-9E07-C1A5166CC93D}"/>
    <cellStyle name="Migliaia 40 3 5 3 5" xfId="20605" xr:uid="{63635582-6B95-4EFB-8387-B55BF3A763BE}"/>
    <cellStyle name="Migliaia 40 3 5 4" xfId="37022" xr:uid="{95D7FBF1-BF27-4B59-AE01-C208583A31BB}"/>
    <cellStyle name="Migliaia 40 3 5 5" xfId="42267" xr:uid="{80C25C73-A5AA-48ED-8968-E3C5ABA02883}"/>
    <cellStyle name="Migliaia 40 3 5 6" xfId="16548" xr:uid="{9DB7B4DA-A06C-4A88-A3E9-2D033EAFED16}"/>
    <cellStyle name="Migliaia 40 3 5 7" xfId="8345" xr:uid="{72746BFE-D190-46FB-A678-D3ABBB7F9D00}"/>
    <cellStyle name="Migliaia 40 3 6" xfId="5378" xr:uid="{301BF274-5B41-4690-89C4-21264D90D556}"/>
    <cellStyle name="Migliaia 40 3 6 2" xfId="13988" xr:uid="{81B23282-D4AD-4314-87D9-9F2E5E5E357C}"/>
    <cellStyle name="Migliaia 40 3 6 2 2" xfId="39617" xr:uid="{29B801F0-1D51-4C55-B8C9-4B4038BF8D4E}"/>
    <cellStyle name="Migliaia 40 3 6 2 3" xfId="44919" xr:uid="{B8093332-39CD-4DB0-A300-A30A4139B8DA}"/>
    <cellStyle name="Migliaia 40 3 6 3" xfId="18700" xr:uid="{FB1DE14F-A872-4458-9939-93114744910D}"/>
    <cellStyle name="Migliaia 40 3 6 4" xfId="20606" xr:uid="{E3F5E471-8E22-4792-A4EE-3FFF1FC2AB89}"/>
    <cellStyle name="Migliaia 40 3 6 4 2" xfId="42268" xr:uid="{81509DAD-8167-43C8-9BD9-C7FBF69AAF5E}"/>
    <cellStyle name="Migliaia 40 3 6 5" xfId="16549" xr:uid="{B73FE2FE-188E-465A-8DCC-4F60AB0736A3}"/>
    <cellStyle name="Migliaia 40 3 6 6" xfId="7960" xr:uid="{4F7B7B31-3674-42A4-98EC-44E5DFCFBF98}"/>
    <cellStyle name="Migliaia 40 3 7" xfId="6568" xr:uid="{62936169-4996-446A-BC76-A8D45F6E83A5}"/>
    <cellStyle name="Migliaia 40 3 7 2" xfId="34074" xr:uid="{329FA9D4-6492-46FC-9568-D87EB3DBBD8B}"/>
    <cellStyle name="Migliaia 40 3 7 2 2" xfId="39618" xr:uid="{C80B2A7B-233A-4D33-BF9A-B69CBA9EC3AB}"/>
    <cellStyle name="Migliaia 40 3 7 2 3" xfId="44920" xr:uid="{29A740FD-55FB-4D55-AFC4-4C0EC7344586}"/>
    <cellStyle name="Migliaia 40 3 7 3" xfId="37023" xr:uid="{748D622B-A3BA-4CFA-8EFE-822D03EE473E}"/>
    <cellStyle name="Migliaia 40 3 7 4" xfId="42269" xr:uid="{41239423-2F64-4A0F-A065-02652E798543}"/>
    <cellStyle name="Migliaia 40 3 7 5" xfId="11532" xr:uid="{0EEC25BB-B7B5-4068-808F-E2910C2C4FB8}"/>
    <cellStyle name="Migliaia 40 3 8" xfId="3652" xr:uid="{F9EAA708-C0B7-4368-A467-4A951CA22227}"/>
    <cellStyle name="Migliaia 40 3 8 2" xfId="34075" xr:uid="{2F682A28-0FAE-42A4-A8B2-93DF76916B73}"/>
    <cellStyle name="Migliaia 40 3 8 2 2" xfId="39619" xr:uid="{F39F519E-2E29-4E08-AB93-6412A67CCC2F}"/>
    <cellStyle name="Migliaia 40 3 8 2 3" xfId="44921" xr:uid="{1492D772-D02F-48C2-8836-7DC685390989}"/>
    <cellStyle name="Migliaia 40 3 8 3" xfId="37024" xr:uid="{37DA97E3-A9DF-424A-A5CD-5B014D6203EC}"/>
    <cellStyle name="Migliaia 40 3 8 4" xfId="42270" xr:uid="{3ADD2D22-68DD-42B6-9B79-8B4CD2177985}"/>
    <cellStyle name="Migliaia 40 3 8 5" xfId="24988" xr:uid="{C0EDC8E3-D8D0-40C5-9181-0FF668785129}"/>
    <cellStyle name="Migliaia 40 3 8 6" xfId="17325" xr:uid="{A5B8E9DD-EE34-4B59-A6EE-53F1F9CB2EE0}"/>
    <cellStyle name="Migliaia 40 3 9" xfId="20597" xr:uid="{92D5239F-6D1A-4D5F-BF16-C35AC1E0E76C}"/>
    <cellStyle name="Migliaia 40 4" xfId="1828" xr:uid="{00000000-0005-0000-0000-0000F7030000}"/>
    <cellStyle name="Migliaia 40 4 2" xfId="1829" xr:uid="{00000000-0005-0000-0000-0000F8030000}"/>
    <cellStyle name="Migliaia 40 4 2 2" xfId="5385" xr:uid="{AA74ED43-0770-4DB1-B220-2A2EF229484D}"/>
    <cellStyle name="Migliaia 40 4 2 2 2" xfId="34076" xr:uid="{785C804F-F4EF-45FC-84C6-649A7DC3125A}"/>
    <cellStyle name="Migliaia 40 4 2 2 2 2" xfId="39620" xr:uid="{49EF8C30-DB6A-424D-B1A1-37390C38E3C9}"/>
    <cellStyle name="Migliaia 40 4 2 2 2 3" xfId="44922" xr:uid="{F35D67E5-6B19-4F12-9C1A-885DA2F7FEBC}"/>
    <cellStyle name="Migliaia 40 4 2 2 3" xfId="37025" xr:uid="{592825EF-4CFB-4455-A782-909D60BFD3DE}"/>
    <cellStyle name="Migliaia 40 4 2 2 4" xfId="42271" xr:uid="{D0EFE4C3-8D3C-46FB-BB40-EA856416D73F}"/>
    <cellStyle name="Migliaia 40 4 2 2 5" xfId="9176" xr:uid="{28C07F2B-6C87-4A17-A9B6-3158DFC2E0E5}"/>
    <cellStyle name="Migliaia 40 4 2 3" xfId="3659" xr:uid="{91CD397F-3049-4EA6-8EAA-BF7D9665F7B0}"/>
    <cellStyle name="Migliaia 40 4 2 3 2" xfId="34077" xr:uid="{A3344A57-6CA1-4045-8DA3-8F005F583A77}"/>
    <cellStyle name="Migliaia 40 4 2 3 2 2" xfId="39621" xr:uid="{3D308363-A9C1-481E-95BA-756BBCB58B00}"/>
    <cellStyle name="Migliaia 40 4 2 3 2 3" xfId="44923" xr:uid="{66B54AAD-CE7B-48E3-8453-F78BC3E9684D}"/>
    <cellStyle name="Migliaia 40 4 2 3 3" xfId="37026" xr:uid="{D6A7E3C6-5F36-42FA-8802-0FABE70D009E}"/>
    <cellStyle name="Migliaia 40 4 2 3 4" xfId="42272" xr:uid="{6A89BFF9-CCAA-451A-BD92-6C78CE99A2E9}"/>
    <cellStyle name="Migliaia 40 4 2 3 5" xfId="12025" xr:uid="{5217B6FD-5048-4592-89C5-9CF79258A543}"/>
    <cellStyle name="Migliaia 40 4 2 4" xfId="11374" xr:uid="{CD7AB2F7-04CD-445D-85A8-0487DE0D5A0E}"/>
    <cellStyle name="Migliaia 40 4 2 5" xfId="10906" xr:uid="{C39A7557-3E72-4B94-88A6-8BFC83B17E97}"/>
    <cellStyle name="Migliaia 40 4 2 5 2" xfId="21541" xr:uid="{FF7A80FE-0E33-4AB0-AA3F-91B4922DD8E4}"/>
    <cellStyle name="Migliaia 40 4 2 5 3" xfId="47117" xr:uid="{2349D9E2-CC04-4338-A724-FB795DD5E706}"/>
    <cellStyle name="Migliaia 40 4 2 5 4" xfId="50556" xr:uid="{C958D9C6-A11B-4E35-864B-F51CA613C0B0}"/>
    <cellStyle name="Migliaia 40 4 2 5 5" xfId="53572" xr:uid="{6754080B-628F-4031-82A9-E51E9C7F82CB}"/>
    <cellStyle name="Migliaia 40 4 2 6" xfId="20608" xr:uid="{35685CC0-B8E9-4DA6-AFE7-F3F70D7D6C4D}"/>
    <cellStyle name="Migliaia 40 4 2 7" xfId="24990" xr:uid="{E6190895-C543-4C73-9FE5-000E9595ECEF}"/>
    <cellStyle name="Migliaia 40 4 2 8" xfId="8688" xr:uid="{3C5BD1E1-DADC-4377-A886-F18E646A85E6}"/>
    <cellStyle name="Migliaia 40 4 3" xfId="5384" xr:uid="{715ECAF9-CAAE-4B82-86B5-E4B4EAD8F797}"/>
    <cellStyle name="Migliaia 40 4 3 2" xfId="18231" xr:uid="{FD3D6B1A-5C4D-46D6-8663-B41D99BDE4A5}"/>
    <cellStyle name="Migliaia 40 4 3 2 2" xfId="39622" xr:uid="{24F5DAD0-F68B-491D-95FC-96EF0574B2CA}"/>
    <cellStyle name="Migliaia 40 4 3 2 3" xfId="44924" xr:uid="{48181987-2713-45D6-B91C-6BAD74FC9B30}"/>
    <cellStyle name="Migliaia 40 4 3 3" xfId="37027" xr:uid="{C52342F5-AEC5-4B08-890E-E37DE51627AE}"/>
    <cellStyle name="Migliaia 40 4 3 4" xfId="42273" xr:uid="{43A885C3-1CA7-4E1E-AD19-4ABCA41E9FB6}"/>
    <cellStyle name="Migliaia 40 4 3 5" xfId="17323" xr:uid="{86C0BA01-993A-4F2B-BD50-732D2C37C9A7}"/>
    <cellStyle name="Migliaia 40 4 3 6" xfId="9177" xr:uid="{8DB15B35-D767-4BF7-A440-889F5A47E9AF}"/>
    <cellStyle name="Migliaia 40 4 4" xfId="6574" xr:uid="{4AF5CBA4-47CD-4D1F-9798-D5A4A0616AB4}"/>
    <cellStyle name="Migliaia 40 4 4 2" xfId="34078" xr:uid="{F286C3FE-59B2-4CEA-9E96-C8543763D4CB}"/>
    <cellStyle name="Migliaia 40 4 4 2 2" xfId="39623" xr:uid="{F7374414-EC92-459D-8841-972920D16575}"/>
    <cellStyle name="Migliaia 40 4 4 2 3" xfId="44925" xr:uid="{6C3B6F1A-314B-4F8C-869E-C5FCD62ACA06}"/>
    <cellStyle name="Migliaia 40 4 4 3" xfId="37028" xr:uid="{82418CF3-68A8-4596-A0E8-51F8B2211BAB}"/>
    <cellStyle name="Migliaia 40 4 4 4" xfId="42274" xr:uid="{57A2F23D-1D16-4F06-A5F2-34B4403AFB6C}"/>
    <cellStyle name="Migliaia 40 4 4 5" xfId="12026" xr:uid="{914B5EF7-274A-4D34-A2BD-DA79417EB145}"/>
    <cellStyle name="Migliaia 40 4 5" xfId="3658" xr:uid="{99583DAC-1F90-4E1E-9BD8-973810CD5882}"/>
    <cellStyle name="Migliaia 40 4 5 2" xfId="34079" xr:uid="{E332A127-5E72-4431-9AC2-455D2C2DD19B}"/>
    <cellStyle name="Migliaia 40 4 5 2 2" xfId="39624" xr:uid="{0F271002-E442-483A-B822-63DE12CF37BB}"/>
    <cellStyle name="Migliaia 40 4 5 2 3" xfId="44926" xr:uid="{615EDD98-D97B-4D5C-93B5-5D76D29F78B3}"/>
    <cellStyle name="Migliaia 40 4 5 3" xfId="37029" xr:uid="{72AB533B-6542-4F25-A85C-36CC21D13C46}"/>
    <cellStyle name="Migliaia 40 4 5 4" xfId="42275" xr:uid="{12FFC233-9DE6-435E-8358-B2140108E927}"/>
    <cellStyle name="Migliaia 40 4 5 5" xfId="11373" xr:uid="{4909B722-028A-4686-AD15-ECA185BADCBA}"/>
    <cellStyle name="Migliaia 40 4 6" xfId="10905" xr:uid="{ABB9ECA4-878A-4A3D-8AAE-1775C34294D9}"/>
    <cellStyle name="Migliaia 40 4 6 2" xfId="21540" xr:uid="{2584420C-8894-4607-A686-B2507BDAB698}"/>
    <cellStyle name="Migliaia 40 4 6 2 2" xfId="39625" xr:uid="{AB88646B-6853-4FD9-9DD1-BD024377660F}"/>
    <cellStyle name="Migliaia 40 4 6 2 3" xfId="44927" xr:uid="{46017A9F-1BC3-45B2-A60A-52C4ABC13595}"/>
    <cellStyle name="Migliaia 40 4 6 2 4" xfId="34080" xr:uid="{6050C3C5-E234-4B40-BB40-D3152D82C6FE}"/>
    <cellStyle name="Migliaia 40 4 6 3" xfId="37030" xr:uid="{4EF83D5A-82AE-4CE6-9049-FB9E1DB12E6A}"/>
    <cellStyle name="Migliaia 40 4 6 4" xfId="42276" xr:uid="{2B543BF4-A71F-4925-8BD4-E6C15F949FDD}"/>
    <cellStyle name="Migliaia 40 4 6 5" xfId="24991" xr:uid="{2B0C10BF-F086-4F6C-845D-A9CFD4B527D7}"/>
    <cellStyle name="Migliaia 40 4 6 6" xfId="46257" xr:uid="{2F6EC5C3-08AB-4B32-A93A-B4646869E666}"/>
    <cellStyle name="Migliaia 40 4 6 7" xfId="50555" xr:uid="{789A4F5E-B80A-4AA0-BF2D-7D556A5A78B8}"/>
    <cellStyle name="Migliaia 40 4 6 8" xfId="53571" xr:uid="{2AF2948F-D73D-462F-B16A-7F94561E9B1B}"/>
    <cellStyle name="Migliaia 40 4 7" xfId="20607" xr:uid="{04A34A60-109D-4D42-B94A-E7090C09C79C}"/>
    <cellStyle name="Migliaia 40 4 7 2" xfId="34081" xr:uid="{7D738F1D-0AD3-4FB2-A819-190E4FC61105}"/>
    <cellStyle name="Migliaia 40 4 7 2 2" xfId="39626" xr:uid="{042ECC34-0E3B-47E2-9BE9-BCEF19211DC5}"/>
    <cellStyle name="Migliaia 40 4 7 2 3" xfId="44928" xr:uid="{FCC6CFC9-67DD-447C-B3BC-C413B44B3283}"/>
    <cellStyle name="Migliaia 40 4 7 3" xfId="37031" xr:uid="{F68C515C-B223-483E-8F6D-19E5E3317B7E}"/>
    <cellStyle name="Migliaia 40 4 7 4" xfId="42277" xr:uid="{E651993A-DEFD-49DA-8D41-51D29C6D9B4A}"/>
    <cellStyle name="Migliaia 40 4 7 5" xfId="24992" xr:uid="{0599B0AF-25D5-4407-9F31-D313EF83CC9B}"/>
    <cellStyle name="Migliaia 40 4 8" xfId="24989" xr:uid="{C6628F42-F84B-4D92-A259-5D0796DFB4B9}"/>
    <cellStyle name="Migliaia 40 4 9" xfId="7498" xr:uid="{5F9FA653-DC98-45B3-AA82-D3B686A6A9BC}"/>
    <cellStyle name="Migliaia 40 5" xfId="1830" xr:uid="{00000000-0005-0000-0000-0000F9030000}"/>
    <cellStyle name="Migliaia 40 5 2" xfId="5386" xr:uid="{2B1B3094-218A-499B-8251-3AE58343F96A}"/>
    <cellStyle name="Migliaia 40 5 2 2" xfId="18466" xr:uid="{F810B180-9973-4E8A-91B3-F102CEE22321}"/>
    <cellStyle name="Migliaia 40 5 2 2 2" xfId="39627" xr:uid="{EAF040A4-E18E-44F0-9CA7-1020B0771C14}"/>
    <cellStyle name="Migliaia 40 5 2 2 3" xfId="44929" xr:uid="{857FEEFF-F36C-488F-86AC-C1374AE84439}"/>
    <cellStyle name="Migliaia 40 5 2 3" xfId="20610" xr:uid="{35637244-69E2-42DD-978A-1DC1F6540E66}"/>
    <cellStyle name="Migliaia 40 5 2 3 2" xfId="37032" xr:uid="{54F0782E-0866-4A36-B12A-346A07EF5B33}"/>
    <cellStyle name="Migliaia 40 5 2 4" xfId="42278" xr:uid="{0272DE28-C21C-4673-B016-11CC39051218}"/>
    <cellStyle name="Migliaia 40 5 2 5" xfId="16550" xr:uid="{F0C9E0DA-CF3E-4DF7-9E12-08ED8D985478}"/>
    <cellStyle name="Migliaia 40 5 2 6" xfId="8689" xr:uid="{84328031-C691-4265-A008-41A6264970E0}"/>
    <cellStyle name="Migliaia 40 5 3" xfId="6575" xr:uid="{987F6F85-51C7-4FD8-A150-A9794AC2E39E}"/>
    <cellStyle name="Migliaia 40 5 3 2" xfId="34082" xr:uid="{7439DF7B-C9A3-43DB-B2A3-E1A3FA6FC2F0}"/>
    <cellStyle name="Migliaia 40 5 3 2 2" xfId="39628" xr:uid="{CEDD7DFD-D47B-424B-A7D1-B6E074D530DF}"/>
    <cellStyle name="Migliaia 40 5 3 2 3" xfId="44930" xr:uid="{97149C99-F9B4-4D0E-9225-D69586A9338C}"/>
    <cellStyle name="Migliaia 40 5 3 3" xfId="37033" xr:uid="{E86D55BF-83D2-433B-9371-C00EC76862C6}"/>
    <cellStyle name="Migliaia 40 5 3 4" xfId="42279" xr:uid="{959698A7-7FAC-46C9-ABB6-BCD100F77D30}"/>
    <cellStyle name="Migliaia 40 5 3 5" xfId="11375" xr:uid="{B7884250-E043-453A-BE35-6CCFA32F13C9}"/>
    <cellStyle name="Migliaia 40 5 4" xfId="3660" xr:uid="{D7DF010E-A659-4CE0-AE21-F847E91B1374}"/>
    <cellStyle name="Migliaia 40 5 4 2" xfId="21542" xr:uid="{B302A748-1DEB-4C8B-87DA-F0F95CE3DA48}"/>
    <cellStyle name="Migliaia 40 5 4 2 2" xfId="39629" xr:uid="{D6716C6E-EAC1-40AE-8275-EBB7999B706D}"/>
    <cellStyle name="Migliaia 40 5 4 2 3" xfId="44931" xr:uid="{82A7EAFA-74D8-469B-93F5-3103B955EEBE}"/>
    <cellStyle name="Migliaia 40 5 4 2 4" xfId="34083" xr:uid="{10A4D5D6-D1B0-4188-9D17-5BB7B6D18087}"/>
    <cellStyle name="Migliaia 40 5 4 3" xfId="37034" xr:uid="{66703E32-8A7D-46CC-BD23-344323D74048}"/>
    <cellStyle name="Migliaia 40 5 4 4" xfId="42280" xr:uid="{C67B50E9-14D7-41CF-B914-B0B30CE8272D}"/>
    <cellStyle name="Migliaia 40 5 4 5" xfId="24994" xr:uid="{50A77049-0C40-441D-A8B9-7C9DA6EE04A7}"/>
    <cellStyle name="Migliaia 40 5 4 6" xfId="47424" xr:uid="{5E709F3E-FD5D-44AA-82FC-692A595FE1D3}"/>
    <cellStyle name="Migliaia 40 5 4 7" xfId="50557" xr:uid="{883338AD-E35D-4EC4-A104-A370C217D2B4}"/>
    <cellStyle name="Migliaia 40 5 4 8" xfId="53573" xr:uid="{1620A3B6-C00D-46EB-8823-E09AA3095666}"/>
    <cellStyle name="Migliaia 40 5 4 9" xfId="10907" xr:uid="{544F6EB5-440B-4382-8BFA-B5D4E1D67258}"/>
    <cellStyle name="Migliaia 40 5 5" xfId="20609" xr:uid="{BBF0756B-D001-428A-9987-5C263B525A9B}"/>
    <cellStyle name="Migliaia 40 5 5 2" xfId="34084" xr:uid="{FF75B541-53CE-410D-B4CE-652AC8533411}"/>
    <cellStyle name="Migliaia 40 5 5 2 2" xfId="39630" xr:uid="{08403872-3C3B-49AC-913E-66E6CC3523DB}"/>
    <cellStyle name="Migliaia 40 5 5 2 3" xfId="44932" xr:uid="{BB88B5E4-73A2-4998-8F82-3F1746E87917}"/>
    <cellStyle name="Migliaia 40 5 5 3" xfId="37035" xr:uid="{036C4B80-AF1C-4BE3-B995-E6A911A785FB}"/>
    <cellStyle name="Migliaia 40 5 5 4" xfId="42281" xr:uid="{D12FDDAF-AE83-429E-88BD-90110A78C1CB}"/>
    <cellStyle name="Migliaia 40 5 5 5" xfId="24995" xr:uid="{BFF5CC7D-7900-4B54-99E3-04166F1835F1}"/>
    <cellStyle name="Migliaia 40 5 6" xfId="24996" xr:uid="{4FAE78D5-7BC9-467E-8738-D50E292C9416}"/>
    <cellStyle name="Migliaia 40 5 6 2" xfId="34085" xr:uid="{16248633-8B13-49A4-8986-2F0B53F062E3}"/>
    <cellStyle name="Migliaia 40 5 6 2 2" xfId="39631" xr:uid="{DE91ED99-4480-491E-823F-F2863E3FBF4F}"/>
    <cellStyle name="Migliaia 40 5 6 2 3" xfId="44933" xr:uid="{AB463BD3-663B-4D02-83CF-3CA7CC40C3DF}"/>
    <cellStyle name="Migliaia 40 5 6 3" xfId="37036" xr:uid="{EF4393D0-E107-4F09-B06B-EE817E1616A5}"/>
    <cellStyle name="Migliaia 40 5 6 4" xfId="42282" xr:uid="{FDCB282C-0DAC-4D90-A0D4-1586F914D0C4}"/>
    <cellStyle name="Migliaia 40 5 7" xfId="24993" xr:uid="{8D52C39E-1CC5-4FBE-BE65-D67F77BDD9FF}"/>
    <cellStyle name="Migliaia 40 5 8" xfId="7499" xr:uid="{77FB37A9-369D-4A6B-B86D-6FD6631D8DC4}"/>
    <cellStyle name="Migliaia 40 6" xfId="3661" xr:uid="{E19F1F50-49B5-4762-A31B-6464AEF3D2AE}"/>
    <cellStyle name="Migliaia 40 6 2" xfId="5387" xr:uid="{7FAEAEA1-518F-4A9F-B1B9-2D21F8853E18}"/>
    <cellStyle name="Migliaia 40 6 2 2" xfId="9949" xr:uid="{B9E91C0C-392E-4356-9829-5D8E8A36E6BF}"/>
    <cellStyle name="Migliaia 40 6 2 3" xfId="18646" xr:uid="{A3C41829-003F-414C-B1DF-F1349D5573E9}"/>
    <cellStyle name="Migliaia 40 6 2 4" xfId="20612" xr:uid="{F2B73CAB-E1AB-448A-8BF4-15003BA2F6A6}"/>
    <cellStyle name="Migliaia 40 6 2 5" xfId="32415" xr:uid="{C82B02D1-5EFF-435C-A588-317334C829B1}"/>
    <cellStyle name="Migliaia 40 6 2 6" xfId="16552" xr:uid="{2F679070-BBA7-4666-B7C7-0E51131808D0}"/>
    <cellStyle name="Migliaia 40 6 2 7" xfId="8684" xr:uid="{71A4D4FB-4436-4155-9281-6D24B5AA398A}"/>
    <cellStyle name="Migliaia 40 6 3" xfId="6576" xr:uid="{39B3B163-CA0D-476B-9A97-B455440E06D3}"/>
    <cellStyle name="Migliaia 40 6 3 2" xfId="35365" xr:uid="{03591050-0099-40A8-95A7-2745B527336B}"/>
    <cellStyle name="Migliaia 40 6 3 2 2" xfId="40525" xr:uid="{C2457F58-85F3-4E92-B5E5-D043925999BA}"/>
    <cellStyle name="Migliaia 40 6 3 2 3" xfId="45827" xr:uid="{2A9F7C8E-6636-4326-92C8-FED8AC20769D}"/>
    <cellStyle name="Migliaia 40 6 3 3" xfId="37874" xr:uid="{964C0130-6577-4C05-BD83-CBE8EA9657D8}"/>
    <cellStyle name="Migliaia 40 6 3 4" xfId="43176" xr:uid="{E7F97524-B8FF-4060-BFB6-268E095D2B37}"/>
    <cellStyle name="Migliaia 40 6 3 5" xfId="9712" xr:uid="{7BEC77F4-FAEF-4C4F-B170-B284F855BFEC}"/>
    <cellStyle name="Migliaia 40 6 4" xfId="20611" xr:uid="{D0625238-8FDD-49F9-928F-EBC32016A4D0}"/>
    <cellStyle name="Migliaia 40 6 4 2" xfId="39632" xr:uid="{DAB74FFD-CBBC-4E33-985F-C46F16FF8F2B}"/>
    <cellStyle name="Migliaia 40 6 4 3" xfId="44934" xr:uid="{A1520CFC-64A4-492E-ADFC-CE003217976D}"/>
    <cellStyle name="Migliaia 40 6 4 4" xfId="34086" xr:uid="{FE5C0BD0-4486-4C6C-89FD-144EE87528E4}"/>
    <cellStyle name="Migliaia 40 6 5" xfId="37037" xr:uid="{173029BC-859D-4B14-A19E-81AE103F1F54}"/>
    <cellStyle name="Migliaia 40 6 6" xfId="42283" xr:uid="{8EF396F5-629E-4F77-BEE6-2B892FE1F21F}"/>
    <cellStyle name="Migliaia 40 6 7" xfId="16551" xr:uid="{815B2047-1933-446F-9452-E5A5F5ECE689}"/>
    <cellStyle name="Migliaia 40 6 8" xfId="7494" xr:uid="{8DE9B063-9741-4A9C-B3C1-B6B78E40CD79}"/>
    <cellStyle name="Migliaia 40 7" xfId="3662" xr:uid="{EB42B6F9-E3CE-41D2-996C-4B99324B2A42}"/>
    <cellStyle name="Migliaia 40 7 2" xfId="5388" xr:uid="{D18F02D3-C422-4293-9011-DD441643D0F8}"/>
    <cellStyle name="Migliaia 40 7 2 2" xfId="35366" xr:uid="{E2196725-8D8B-4E01-AEB3-C73C0F0E967D}"/>
    <cellStyle name="Migliaia 40 7 2 2 2" xfId="40526" xr:uid="{ADDB2E2B-C2D4-40FC-AE64-3F34BD96D2E3}"/>
    <cellStyle name="Migliaia 40 7 2 2 3" xfId="45828" xr:uid="{7BACBDC5-3C75-4170-BB6C-D3CAF3B8EE70}"/>
    <cellStyle name="Migliaia 40 7 2 3" xfId="37875" xr:uid="{E0F51F4A-C804-42E9-A0E9-B8118B75EDAB}"/>
    <cellStyle name="Migliaia 40 7 2 4" xfId="43177" xr:uid="{B14D66DF-0AC9-40C7-ACF1-4048E8EDAA79}"/>
    <cellStyle name="Migliaia 40 7 2 5" xfId="14281" xr:uid="{2F856FA3-B93D-402F-934D-92441CEC6189}"/>
    <cellStyle name="Migliaia 40 7 3" xfId="6577" xr:uid="{7E10C901-DC2B-458A-B1E2-C6B48A6BE3AE}"/>
    <cellStyle name="Migliaia 40 7 3 2" xfId="39633" xr:uid="{F4ECB484-C588-40DC-ADBB-BB23CAAC2B46}"/>
    <cellStyle name="Migliaia 40 7 3 3" xfId="44935" xr:uid="{A0343788-313D-40DE-B361-5E29011C9966}"/>
    <cellStyle name="Migliaia 40 7 3 4" xfId="34087" xr:uid="{16C4982F-E9BD-4797-BABE-478D9569839C}"/>
    <cellStyle name="Migliaia 40 7 3 5" xfId="20613" xr:uid="{F87854F1-B77B-4516-A88B-D505BB458243}"/>
    <cellStyle name="Migliaia 40 7 4" xfId="37038" xr:uid="{853290E1-B4D7-4BD8-87BA-BEA1E0AA3EAF}"/>
    <cellStyle name="Migliaia 40 7 5" xfId="42284" xr:uid="{5CE49D19-219D-4457-BDB7-A839AC61977B}"/>
    <cellStyle name="Migliaia 40 7 6" xfId="16553" xr:uid="{18BE8D33-33B9-4C6B-BCFC-B37DBF038BBF}"/>
    <cellStyle name="Migliaia 40 7 7" xfId="8343" xr:uid="{E15E6109-FA3A-441A-BA2C-B18570621DB3}"/>
    <cellStyle name="Migliaia 40 8" xfId="3663" xr:uid="{7642D7F4-7196-40D7-9C76-EA470A5BE69F}"/>
    <cellStyle name="Migliaia 40 8 2" xfId="5389" xr:uid="{20A80043-9182-4069-99C2-65386FCE7D8A}"/>
    <cellStyle name="Migliaia 40 8 2 2" xfId="35367" xr:uid="{47CD279D-1CD0-454C-ACC5-E3D9C31FECD6}"/>
    <cellStyle name="Migliaia 40 8 2 2 2" xfId="40527" xr:uid="{113291C4-D0B5-444C-9E1B-5F68E9DDD1E8}"/>
    <cellStyle name="Migliaia 40 8 2 2 3" xfId="45829" xr:uid="{D6940F22-C7B1-4538-B23E-ED9C9AC38A2E}"/>
    <cellStyle name="Migliaia 40 8 2 3" xfId="37876" xr:uid="{A70ADFA3-E7DA-4D39-8027-D54131D2B5EC}"/>
    <cellStyle name="Migliaia 40 8 2 4" xfId="43178" xr:uid="{B0AE7512-496C-4A03-A459-FEA102197AD8}"/>
    <cellStyle name="Migliaia 40 8 2 5" xfId="13986" xr:uid="{513AD09A-7176-4EAC-9633-072BB17A0DE2}"/>
    <cellStyle name="Migliaia 40 8 3" xfId="6578" xr:uid="{EEB67D72-8A3E-44C8-AFC1-729AFAD41242}"/>
    <cellStyle name="Migliaia 40 8 3 2" xfId="39634" xr:uid="{C2D0BDFC-92A3-4EEB-ABB5-0560AE5FE1D6}"/>
    <cellStyle name="Migliaia 40 8 3 3" xfId="44936" xr:uid="{30417659-53DF-46B6-A2D3-509B1827CED8}"/>
    <cellStyle name="Migliaia 40 8 3 4" xfId="34088" xr:uid="{F0AD4526-1B34-4947-BE42-D152A2049AB1}"/>
    <cellStyle name="Migliaia 40 8 3 5" xfId="20614" xr:uid="{4EF73AD6-0A27-49EB-BDCC-5652AB3FEB74}"/>
    <cellStyle name="Migliaia 40 8 4" xfId="37039" xr:uid="{341B9EF9-2AD3-439A-A32D-8F3D5309D8C2}"/>
    <cellStyle name="Migliaia 40 8 5" xfId="42285" xr:uid="{C79790F5-4893-4C0E-8CDE-EE8EA8C062A2}"/>
    <cellStyle name="Migliaia 40 8 6" xfId="16554" xr:uid="{066F4CB0-95BF-4B96-818A-A9B02A484A1E}"/>
    <cellStyle name="Migliaia 40 8 7" xfId="7958" xr:uid="{A494FBB8-0C79-4DA0-91FB-2FECC24BE118}"/>
    <cellStyle name="Migliaia 40 9" xfId="5374" xr:uid="{98D7C1E1-CDFB-485D-92AD-13B8CD95FAEA}"/>
    <cellStyle name="Migliaia 40 9 2" xfId="34089" xr:uid="{D5FF9751-E4C2-4923-B8F5-090C63034A6C}"/>
    <cellStyle name="Migliaia 40 9 2 2" xfId="39635" xr:uid="{A3B35520-6B8B-43C8-89FE-814CC309F68E}"/>
    <cellStyle name="Migliaia 40 9 2 3" xfId="44937" xr:uid="{BE4D0E32-F966-40C0-B399-7915A87BEA08}"/>
    <cellStyle name="Migliaia 40 9 3" xfId="37040" xr:uid="{4E4FE1A1-C2A1-4C80-BE04-4D14FDE405E3}"/>
    <cellStyle name="Migliaia 40 9 4" xfId="42286" xr:uid="{E2E50AB6-A09D-4D91-AFCF-8334AD8A7B8A}"/>
    <cellStyle name="Migliaia 40 9 5" xfId="17203" xr:uid="{62EA7DEA-9E2C-4D20-AB08-C8D79363DB3B}"/>
    <cellStyle name="Migliaia 41" xfId="441" xr:uid="{00000000-0005-0000-0000-0000FA030000}"/>
    <cellStyle name="Migliaia 41 10" xfId="6579" xr:uid="{B6AE73A4-8A73-405B-8428-CE5BD40C5DA2}"/>
    <cellStyle name="Migliaia 41 10 2" xfId="39636" xr:uid="{A5CBE2C6-2B70-40F0-9B14-1DA20FB6D621}"/>
    <cellStyle name="Migliaia 41 10 3" xfId="44938" xr:uid="{FA8B788B-28DE-4F4F-9F1F-D5804197000C}"/>
    <cellStyle name="Migliaia 41 10 4" xfId="34090" xr:uid="{10ADE848-0EE2-484F-A454-DA4316CC6E57}"/>
    <cellStyle name="Migliaia 41 10 5" xfId="20615" xr:uid="{BF9EF805-F67E-4F5E-ACAE-9C664659D076}"/>
    <cellStyle name="Migliaia 41 11" xfId="3664" xr:uid="{24B1569F-0220-4C46-8137-D373FE19626E}"/>
    <cellStyle name="Migliaia 41 11 2" xfId="37041" xr:uid="{AC4963A3-3DAC-4165-9E9B-9E671103E47F}"/>
    <cellStyle name="Migliaia 41 12" xfId="42287" xr:uid="{EB96BB6F-ADF4-4EAE-AA65-7D53E055E816}"/>
    <cellStyle name="Migliaia 41 13" xfId="7147" xr:uid="{31CE06D9-FA02-4731-BD47-E7DB72557DA1}"/>
    <cellStyle name="Migliaia 41 2" xfId="442" xr:uid="{00000000-0005-0000-0000-0000FB030000}"/>
    <cellStyle name="Migliaia 41 2 2" xfId="1831" xr:uid="{00000000-0005-0000-0000-0000FC030000}"/>
    <cellStyle name="Migliaia 41 2 2 2" xfId="5392" xr:uid="{1A8EB5F1-BF4D-482B-A49F-F45BD5CF30B2}"/>
    <cellStyle name="Migliaia 41 2 2 2 2" xfId="14398" xr:uid="{90599C7F-7689-4EF5-AF68-4A2975B0CC72}"/>
    <cellStyle name="Migliaia 41 2 2 2 2 2" xfId="39637" xr:uid="{D13A4986-9F67-490B-8749-9C77226C3ED8}"/>
    <cellStyle name="Migliaia 41 2 2 2 2 3" xfId="44939" xr:uid="{264CC9D4-C86C-4D5E-A0D2-E8E7D314E513}"/>
    <cellStyle name="Migliaia 41 2 2 2 3" xfId="18467" xr:uid="{02FE4AAF-AF30-4C42-8201-E899A4CB409E}"/>
    <cellStyle name="Migliaia 41 2 2 2 4" xfId="20618" xr:uid="{ACEC91DD-DFD4-4D65-BEF5-D001E247C9E0}"/>
    <cellStyle name="Migliaia 41 2 2 2 4 2" xfId="42288" xr:uid="{3D1AF2EC-AD29-417A-B2B7-3AC37796D905}"/>
    <cellStyle name="Migliaia 41 2 2 2 5" xfId="16555" xr:uid="{298B8B99-F84E-4A33-B091-F7AB2D0A3F63}"/>
    <cellStyle name="Migliaia 41 2 2 2 6" xfId="8691" xr:uid="{A6652197-975B-47BC-93F4-5BBD081A4C4A}"/>
    <cellStyle name="Migliaia 41 2 2 3" xfId="6581" xr:uid="{08D5C62D-956C-425E-B8EA-3192A152D32B}"/>
    <cellStyle name="Migliaia 41 2 2 3 2" xfId="35368" xr:uid="{BD87902D-7561-46F4-AC8A-6D2A12E0D811}"/>
    <cellStyle name="Migliaia 41 2 2 3 2 2" xfId="40528" xr:uid="{F901F05B-3E0F-4B0A-879D-BF96C196F7A0}"/>
    <cellStyle name="Migliaia 41 2 2 3 2 3" xfId="45830" xr:uid="{6FA232C4-992A-42D0-98FA-554D0C7CA9EF}"/>
    <cellStyle name="Migliaia 41 2 2 3 3" xfId="37877" xr:uid="{0069C3B5-A09A-43E9-90A2-16F15FC4ABD7}"/>
    <cellStyle name="Migliaia 41 2 2 3 4" xfId="43179" xr:uid="{E445D6B5-A58E-4B4D-BA45-5B86FD3B4469}"/>
    <cellStyle name="Migliaia 41 2 2 3 5" xfId="11625" xr:uid="{38DFC627-820C-4108-AAF5-A13213A28634}"/>
    <cellStyle name="Migliaia 41 2 2 4" xfId="3666" xr:uid="{41DB77EF-B363-49C8-A2F1-52830D0E35F1}"/>
    <cellStyle name="Migliaia 41 2 2 4 2" xfId="21543" xr:uid="{D989958D-404E-4C78-9C70-B7B885DF3ABC}"/>
    <cellStyle name="Migliaia 41 2 2 4 3" xfId="48181" xr:uid="{787921EC-215F-42EB-9D62-04F5B23DC8DE}"/>
    <cellStyle name="Migliaia 41 2 2 4 4" xfId="50558" xr:uid="{F859E345-FBD0-4AA0-A90B-2616953EFF7F}"/>
    <cellStyle name="Migliaia 41 2 2 4 5" xfId="53574" xr:uid="{583B3DD7-C447-4F63-B246-B02BAB42C182}"/>
    <cellStyle name="Migliaia 41 2 2 4 6" xfId="10908" xr:uid="{2DF75FF2-9CF8-4A13-A4A3-952907D9C4DA}"/>
    <cellStyle name="Migliaia 41 2 2 5" xfId="20617" xr:uid="{20B697C7-0F8D-4103-88FD-E8911DCC098E}"/>
    <cellStyle name="Migliaia 41 2 2 6" xfId="24998" xr:uid="{7E7F0D22-436F-4C83-B972-50CF1480B91B}"/>
    <cellStyle name="Migliaia 41 2 2 7" xfId="7501" xr:uid="{BF9FADA5-8CC0-4806-B2D7-65BB0819FEB3}"/>
    <cellStyle name="Migliaia 41 2 3" xfId="3667" xr:uid="{755F7E7D-E15D-43D7-B9E4-F2EB3A943F41}"/>
    <cellStyle name="Migliaia 41 2 3 2" xfId="5393" xr:uid="{C359E737-32B1-4E52-AABC-0758EEB3843C}"/>
    <cellStyle name="Migliaia 41 2 3 2 2" xfId="35369" xr:uid="{47E29B2C-F0CE-4490-9D68-C2C7CC8C285A}"/>
    <cellStyle name="Migliaia 41 2 3 2 2 2" xfId="40529" xr:uid="{110BFBCB-9E83-4FCC-A46B-849142F3AC72}"/>
    <cellStyle name="Migliaia 41 2 3 2 2 3" xfId="45831" xr:uid="{A224337A-0BA1-421A-A823-EB84B6B3718A}"/>
    <cellStyle name="Migliaia 41 2 3 2 3" xfId="37878" xr:uid="{A8B53441-B723-4BE6-B604-42133C04C3FB}"/>
    <cellStyle name="Migliaia 41 2 3 2 4" xfId="43180" xr:uid="{8D8743F9-9AAC-4979-97AB-7DDC0FA195F9}"/>
    <cellStyle name="Migliaia 41 2 3 2 5" xfId="14285" xr:uid="{F0D88E17-40FB-4A9B-A8B4-8DC1524405CF}"/>
    <cellStyle name="Migliaia 41 2 3 3" xfId="6582" xr:uid="{564CD3C9-A399-447F-A669-D88D24533841}"/>
    <cellStyle name="Migliaia 41 2 3 3 2" xfId="39638" xr:uid="{CBF880B3-A8DC-48CA-B71B-161468199BCF}"/>
    <cellStyle name="Migliaia 41 2 3 3 3" xfId="44940" xr:uid="{D337CFD8-2C6D-44DF-A58C-7415B58AF85D}"/>
    <cellStyle name="Migliaia 41 2 3 3 4" xfId="34091" xr:uid="{DD18C9B2-6F88-425B-90DA-5A1DACA5920A}"/>
    <cellStyle name="Migliaia 41 2 3 3 5" xfId="20619" xr:uid="{A733A393-7C6C-46D0-8F3D-94D8960AB62B}"/>
    <cellStyle name="Migliaia 41 2 3 4" xfId="37042" xr:uid="{74A8B156-FDFB-4B93-8364-363A387A2A51}"/>
    <cellStyle name="Migliaia 41 2 3 5" xfId="42289" xr:uid="{CC29908C-8137-4EA2-ABA6-F9421805F488}"/>
    <cellStyle name="Migliaia 41 2 3 6" xfId="16556" xr:uid="{6C9D36DE-4776-41B7-8C8B-440AC56670CD}"/>
    <cellStyle name="Migliaia 41 2 3 7" xfId="8347" xr:uid="{CBAD86FF-096C-4DC7-8DAF-A3EBF4739401}"/>
    <cellStyle name="Migliaia 41 2 4" xfId="5391" xr:uid="{24FCC011-D9B2-4610-A5E0-0480C22F29F4}"/>
    <cellStyle name="Migliaia 41 2 4 2" xfId="13990" xr:uid="{E6EDDC8B-A4D3-4453-9AE2-1917E441439A}"/>
    <cellStyle name="Migliaia 41 2 4 2 2" xfId="39639" xr:uid="{1F5F2463-5A35-42D4-A15E-A6A54E993FC1}"/>
    <cellStyle name="Migliaia 41 2 4 2 3" xfId="44941" xr:uid="{8FAEF81E-26E0-4C99-8AC8-4A735694CEA6}"/>
    <cellStyle name="Migliaia 41 2 4 3" xfId="18153" xr:uid="{DAB9F0A1-A31A-4AB3-9C58-AFF939397131}"/>
    <cellStyle name="Migliaia 41 2 4 4" xfId="20620" xr:uid="{49A26813-1C63-4BBA-9BE8-B70717386228}"/>
    <cellStyle name="Migliaia 41 2 4 4 2" xfId="42290" xr:uid="{A76EAC5A-726A-4070-86C8-E41B87D34F3C}"/>
    <cellStyle name="Migliaia 41 2 4 5" xfId="16557" xr:uid="{F16D268D-B924-476C-9A55-E05707CD823B}"/>
    <cellStyle name="Migliaia 41 2 4 6" xfId="7963" xr:uid="{A712C83D-3D57-4B0D-8BDF-7A22D75663BE}"/>
    <cellStyle name="Migliaia 41 2 5" xfId="6580" xr:uid="{DE08F1CC-6040-4C85-A8B6-048A78AE9957}"/>
    <cellStyle name="Migliaia 41 2 5 2" xfId="34092" xr:uid="{93789C3B-7184-4B4D-B60D-12D083C4C411}"/>
    <cellStyle name="Migliaia 41 2 5 2 2" xfId="39640" xr:uid="{9C412E1E-E188-41F6-85AF-92E1516B4B7D}"/>
    <cellStyle name="Migliaia 41 2 5 2 3" xfId="44942" xr:uid="{397F4F0E-635E-48F9-8BE4-5F20F43F0B81}"/>
    <cellStyle name="Migliaia 41 2 5 3" xfId="37043" xr:uid="{4A7BE68C-2B60-4EF9-9BC6-328387A7BA97}"/>
    <cellStyle name="Migliaia 41 2 5 4" xfId="42291" xr:uid="{F490798F-8E89-4598-9103-A86BB7DC5A57}"/>
    <cellStyle name="Migliaia 41 2 5 5" xfId="13138" xr:uid="{6EA7C34E-6E6B-4787-AB76-CE21E2B2AF25}"/>
    <cellStyle name="Migliaia 41 2 6" xfId="3665" xr:uid="{80785BF2-9B6E-42B0-95FB-B2701C01D253}"/>
    <cellStyle name="Migliaia 41 2 6 2" xfId="34093" xr:uid="{E53A92B6-440E-4420-A4D6-556792231DE3}"/>
    <cellStyle name="Migliaia 41 2 6 2 2" xfId="39641" xr:uid="{60E51DF7-2173-4312-BFF9-F14CDF999C2C}"/>
    <cellStyle name="Migliaia 41 2 6 2 3" xfId="44943" xr:uid="{FB8A3AF2-28C3-419F-8F67-47B0BDA9E18D}"/>
    <cellStyle name="Migliaia 41 2 6 3" xfId="37044" xr:uid="{D2ABFE12-6704-4ED8-8594-8C16D61C88C1}"/>
    <cellStyle name="Migliaia 41 2 6 4" xfId="42292" xr:uid="{26F09DCC-F99C-4E38-9147-118D1EFBEFDE}"/>
    <cellStyle name="Migliaia 41 2 6 5" xfId="24999" xr:uid="{85BC1BB6-6F54-456E-A8DB-FD20A015A0E4}"/>
    <cellStyle name="Migliaia 41 2 6 6" xfId="20616" xr:uid="{08FB3022-B176-4920-9270-F573BA45862F}"/>
    <cellStyle name="Migliaia 41 2 7" xfId="24997" xr:uid="{DC0B12AB-8F25-4758-A241-0151C8F06FA0}"/>
    <cellStyle name="Migliaia 41 2 8" xfId="7148" xr:uid="{52409EC0-5D91-40F7-8958-E5EDBFFDF3A1}"/>
    <cellStyle name="Migliaia 41 3" xfId="443" xr:uid="{00000000-0005-0000-0000-0000FD030000}"/>
    <cellStyle name="Migliaia 41 3 10" xfId="25000" xr:uid="{F55983E0-C5DC-45F0-9E91-D70D7A81164D}"/>
    <cellStyle name="Migliaia 41 3 11" xfId="16558" xr:uid="{19E0B3D2-FFD6-40F2-8377-DBA6B38DBBF4}"/>
    <cellStyle name="Migliaia 41 3 12" xfId="7149" xr:uid="{77970086-BB66-420B-A16E-CECBC5ED062D}"/>
    <cellStyle name="Migliaia 41 3 2" xfId="444" xr:uid="{00000000-0005-0000-0000-0000FE030000}"/>
    <cellStyle name="Migliaia 41 3 2 2" xfId="1832" xr:uid="{00000000-0005-0000-0000-0000FF030000}"/>
    <cellStyle name="Migliaia 41 3 2 2 2" xfId="5396" xr:uid="{E7F5DF68-4D0F-42BB-98DE-F9B8C034CF0B}"/>
    <cellStyle name="Migliaia 41 3 2 2 2 2" xfId="18468" xr:uid="{DB1CAF3B-5451-4C54-A717-1281A8BC8BA8}"/>
    <cellStyle name="Migliaia 41 3 2 2 2 2 2" xfId="21876" xr:uid="{FF9C3021-14E6-42D2-8D5D-FBE402243E58}"/>
    <cellStyle name="Migliaia 41 3 2 2 2 2 2 2" xfId="39642" xr:uid="{6AC22212-D1E5-4F5E-BC37-EDEBE045CE15}"/>
    <cellStyle name="Migliaia 41 3 2 2 2 2 3" xfId="44944" xr:uid="{A3BF4A2B-A728-4B83-B86C-C0AFD9388E78}"/>
    <cellStyle name="Migliaia 41 3 2 2 2 2 4" xfId="34094" xr:uid="{E049D853-EB5B-40E2-9D20-3B283388C8B9}"/>
    <cellStyle name="Migliaia 41 3 2 2 2 3" xfId="37045" xr:uid="{E809266C-C739-4767-B5FD-FED71BC0BC17}"/>
    <cellStyle name="Migliaia 41 3 2 2 2 4" xfId="42293" xr:uid="{51FECCA5-2519-4D9F-BA04-A77D5D776C53}"/>
    <cellStyle name="Migliaia 41 3 2 2 2 5" xfId="36383" xr:uid="{1E825E1F-7B59-4273-8A23-E278C4958529}"/>
    <cellStyle name="Migliaia 41 3 2 2 2 6" xfId="50904" xr:uid="{675A1F0E-0A94-4D89-B313-A97B52400572}"/>
    <cellStyle name="Migliaia 41 3 2 2 2 7" xfId="53920" xr:uid="{EE858222-201D-4CEE-8ABD-7A74AF092A12}"/>
    <cellStyle name="Migliaia 41 3 2 2 2 8" xfId="17674" xr:uid="{23625E0B-8916-4E4D-9520-B5D40A7D0F36}"/>
    <cellStyle name="Migliaia 41 3 2 2 2 9" xfId="12027" xr:uid="{27A9CCAD-C3DB-4DFA-8942-46D1656F4EE9}"/>
    <cellStyle name="Migliaia 41 3 2 2 3" xfId="6585" xr:uid="{1023E66E-3B1E-41E0-87E5-C0623393763F}"/>
    <cellStyle name="Migliaia 41 3 2 2 3 2" xfId="11567" xr:uid="{FEC6F5D9-754B-4583-90FD-886864E413E0}"/>
    <cellStyle name="Migliaia 41 3 2 2 4" xfId="3670" xr:uid="{39CE3AC9-B03E-4EAB-BB40-6BD123818B87}"/>
    <cellStyle name="Migliaia 41 3 2 2 4 2" xfId="21544" xr:uid="{9D98EF69-61BE-4964-9FAF-C6AFBD6EECE9}"/>
    <cellStyle name="Migliaia 41 3 2 2 4 3" xfId="24241" xr:uid="{97C035E6-11A2-45A4-860C-0DA5FB208452}"/>
    <cellStyle name="Migliaia 41 3 2 2 4 4" xfId="50559" xr:uid="{5A9C2C28-CCD5-44BD-91B2-C6F72F206506}"/>
    <cellStyle name="Migliaia 41 3 2 2 4 5" xfId="53575" xr:uid="{43BA6B23-72A4-409E-BE9C-462E06CE36B1}"/>
    <cellStyle name="Migliaia 41 3 2 2 4 6" xfId="10909" xr:uid="{5D70369B-3866-4926-99BF-88ACDC8C5608}"/>
    <cellStyle name="Migliaia 41 3 2 2 5" xfId="20623" xr:uid="{7099677D-E384-4A1A-B379-1DAE1A41D0FB}"/>
    <cellStyle name="Migliaia 41 3 2 2 6" xfId="25002" xr:uid="{8EE0ACA9-B621-49BC-9FF0-FF3C4D2DB993}"/>
    <cellStyle name="Migliaia 41 3 2 2 7" xfId="8693" xr:uid="{D7D80972-ED75-4964-99DD-E970F7C4878F}"/>
    <cellStyle name="Migliaia 41 3 2 3" xfId="5395" xr:uid="{D7E725C4-924A-44F2-9F61-708986A900D2}"/>
    <cellStyle name="Migliaia 41 3 2 3 2" xfId="12407" xr:uid="{C9AE605E-7421-4709-8FC2-4F1C84A20756}"/>
    <cellStyle name="Migliaia 41 3 2 3 2 2" xfId="39643" xr:uid="{6E75FB98-F384-4F2A-AF8B-C34938F8D032}"/>
    <cellStyle name="Migliaia 41 3 2 3 2 3" xfId="44945" xr:uid="{04774580-FD8F-4194-98E0-775A36F538C5}"/>
    <cellStyle name="Migliaia 41 3 2 3 2 4" xfId="34095" xr:uid="{735DB84A-F07E-4BAF-92CF-F99E2580F904}"/>
    <cellStyle name="Migliaia 41 3 2 3 3" xfId="12028" xr:uid="{6CDF0BE9-A9B2-4174-A31B-237EC699113C}"/>
    <cellStyle name="Migliaia 41 3 2 3 4" xfId="20624" xr:uid="{D807D630-3C69-4FB6-9015-1181D7B4FECC}"/>
    <cellStyle name="Migliaia 41 3 2 3 4 2" xfId="42294" xr:uid="{8648EE54-8D27-41C4-BF64-BBA7D375699D}"/>
    <cellStyle name="Migliaia 41 3 2 3 5" xfId="16559" xr:uid="{990B157A-C57A-47CC-A9A5-EC3F26CD280B}"/>
    <cellStyle name="Migliaia 41 3 2 3 6" xfId="7965" xr:uid="{F7D4FEF9-A9CE-49FA-BDFC-390C09AB7997}"/>
    <cellStyle name="Migliaia 41 3 2 4" xfId="6584" xr:uid="{8B786F37-023B-4378-9E26-BC6294ECD313}"/>
    <cellStyle name="Migliaia 41 3 2 4 2" xfId="18092" xr:uid="{E5FE0878-7E9E-4F4A-8576-21816B744B63}"/>
    <cellStyle name="Migliaia 41 3 2 4 2 2" xfId="39644" xr:uid="{F8151C25-43F1-4F8A-AE72-A38AF26F9D8F}"/>
    <cellStyle name="Migliaia 41 3 2 4 2 3" xfId="44946" xr:uid="{C82AE960-F43B-42F7-92B6-B0C2CD5A773D}"/>
    <cellStyle name="Migliaia 41 3 2 4 3" xfId="37046" xr:uid="{F202A4E8-9ABD-48BF-8A5D-203C4429E0EA}"/>
    <cellStyle name="Migliaia 41 3 2 4 4" xfId="42295" xr:uid="{CDE32346-5D0D-47FC-ACD0-76136FD9513C}"/>
    <cellStyle name="Migliaia 41 3 2 4 5" xfId="17206" xr:uid="{F5ECD5AC-1EE8-47B8-9897-5330C9E5B718}"/>
    <cellStyle name="Migliaia 41 3 2 4 6" xfId="11376" xr:uid="{083505BB-DD07-4F15-9148-54DA9CD19D17}"/>
    <cellStyle name="Migliaia 41 3 2 5" xfId="3669" xr:uid="{F701301A-973F-44F5-84DE-75593B3F8F08}"/>
    <cellStyle name="Migliaia 41 3 2 5 2" xfId="34096" xr:uid="{38A07DA2-8954-49AD-89C3-F36C7A413C90}"/>
    <cellStyle name="Migliaia 41 3 2 5 2 2" xfId="39645" xr:uid="{281B793F-989A-4765-877F-B85516EB3DD3}"/>
    <cellStyle name="Migliaia 41 3 2 5 2 3" xfId="44947" xr:uid="{FF840C0A-040B-4721-8DAC-1D5E1B9FB948}"/>
    <cellStyle name="Migliaia 41 3 2 5 3" xfId="37047" xr:uid="{42A7C774-9FE0-4305-8DE2-67D2194DDCC7}"/>
    <cellStyle name="Migliaia 41 3 2 5 4" xfId="42296" xr:uid="{73A14144-025B-49ED-A110-68DF86775C25}"/>
    <cellStyle name="Migliaia 41 3 2 5 5" xfId="17321" xr:uid="{ADFB4761-1CB9-475C-8E66-D69D79FBF822}"/>
    <cellStyle name="Migliaia 41 3 2 6" xfId="20622" xr:uid="{6EC63469-8E9C-470E-B421-3CD2ED3D896D}"/>
    <cellStyle name="Migliaia 41 3 2 6 2" xfId="34097" xr:uid="{45F7A800-FB22-452D-AA57-6CA6A2A918BF}"/>
    <cellStyle name="Migliaia 41 3 2 6 2 2" xfId="39646" xr:uid="{1047FE4F-A0EA-491F-8E67-51E7B2E0CD6A}"/>
    <cellStyle name="Migliaia 41 3 2 6 2 3" xfId="44948" xr:uid="{681CD1AA-74FD-41CB-8C48-6530C1F98B57}"/>
    <cellStyle name="Migliaia 41 3 2 6 3" xfId="37048" xr:uid="{3525D9A3-F71E-416F-907C-F2BFBA74AFD0}"/>
    <cellStyle name="Migliaia 41 3 2 6 4" xfId="42297" xr:uid="{50F03ADB-3700-4978-9329-18EA1D6F93AF}"/>
    <cellStyle name="Migliaia 41 3 2 6 5" xfId="25003" xr:uid="{6CD3AA43-36D3-4124-BEEE-F1D9927A7494}"/>
    <cellStyle name="Migliaia 41 3 2 7" xfId="25001" xr:uid="{079013BC-5E83-406A-91AD-D253BA2A28A3}"/>
    <cellStyle name="Migliaia 41 3 2 8" xfId="7503" xr:uid="{B5012525-EF60-497C-AB04-591EF92178BB}"/>
    <cellStyle name="Migliaia 41 3 3" xfId="3671" xr:uid="{CCC797CA-FBEB-4E93-BFBB-570D0269D9E0}"/>
    <cellStyle name="Migliaia 41 3 3 10" xfId="7502" xr:uid="{18FD1AD1-D1B0-4311-BE69-F0615B335E3E}"/>
    <cellStyle name="Migliaia 41 3 3 2" xfId="5397" xr:uid="{3DBDA27A-78D8-4037-A8E3-22F005BC373E}"/>
    <cellStyle name="Migliaia 41 3 3 2 2" xfId="9952" xr:uid="{5AA84A20-2E79-4B82-BD8F-E49822CD1B35}"/>
    <cellStyle name="Migliaia 41 3 3 2 2 2" xfId="39648" xr:uid="{2B00042F-D211-4A2D-AD72-CCEA3F58A8C1}"/>
    <cellStyle name="Migliaia 41 3 3 2 2 3" xfId="44950" xr:uid="{756CC39A-E2F2-43B6-AE4A-BCEA84235299}"/>
    <cellStyle name="Migliaia 41 3 3 2 3" xfId="18232" xr:uid="{91A4F19B-9C2C-4F18-A467-B6893E48BE97}"/>
    <cellStyle name="Migliaia 41 3 3 2 4" xfId="20626" xr:uid="{3930B3A4-8DA1-4D07-88AD-EA91F1F95FC9}"/>
    <cellStyle name="Migliaia 41 3 3 2 4 2" xfId="42299" xr:uid="{011B03E8-F46A-4CF4-9A6C-D573CEB58E3B}"/>
    <cellStyle name="Migliaia 41 3 3 2 5" xfId="16561" xr:uid="{BA1DBB79-CD30-4086-BFB2-72D0EC8F1B72}"/>
    <cellStyle name="Migliaia 41 3 3 2 6" xfId="8692" xr:uid="{68F61442-95A3-492E-AC16-9DC52B503594}"/>
    <cellStyle name="Migliaia 41 3 3 3" xfId="6586" xr:uid="{B25CEFFB-DD2A-4064-888A-FAD34E38B694}"/>
    <cellStyle name="Migliaia 41 3 3 3 2" xfId="34099" xr:uid="{819364A7-3B78-4ACA-A9F9-A6F29D38CCF9}"/>
    <cellStyle name="Migliaia 41 3 3 3 2 2" xfId="39649" xr:uid="{E79D0DD8-81B0-4862-8060-3247FE141720}"/>
    <cellStyle name="Migliaia 41 3 3 3 2 3" xfId="44951" xr:uid="{15CDA7A5-452C-4B9F-8BD3-8B648AE57C63}"/>
    <cellStyle name="Migliaia 41 3 3 3 3" xfId="37050" xr:uid="{F024124F-657F-41C8-BD22-5185A3C0DC7F}"/>
    <cellStyle name="Migliaia 41 3 3 3 4" xfId="42300" xr:uid="{1E7E6735-7B52-4CC5-8443-4D0BE66317C5}"/>
    <cellStyle name="Migliaia 41 3 3 3 5" xfId="9715" xr:uid="{845F9063-DC25-401D-9AFF-37BF8820265E}"/>
    <cellStyle name="Migliaia 41 3 3 4" xfId="20625" xr:uid="{26E748E5-7D70-4C7E-A3F7-A9D53BF3B418}"/>
    <cellStyle name="Migliaia 41 3 3 4 2" xfId="34100" xr:uid="{4CF09EFF-8FFE-4E5B-A62D-49DE8E2A106E}"/>
    <cellStyle name="Migliaia 41 3 3 4 2 2" xfId="39650" xr:uid="{A60AE7EB-D3E9-48DB-93DA-B5E958C6ABF2}"/>
    <cellStyle name="Migliaia 41 3 3 4 2 3" xfId="44952" xr:uid="{EE4ECD4C-575C-4A0F-95DE-538C0A7E713D}"/>
    <cellStyle name="Migliaia 41 3 3 4 3" xfId="37051" xr:uid="{12D2B6BD-9EF4-4F3C-9A34-1FD948971B85}"/>
    <cellStyle name="Migliaia 41 3 3 4 4" xfId="42301" xr:uid="{8871F7BD-0A79-453B-BB0F-E9E3375D8DC5}"/>
    <cellStyle name="Migliaia 41 3 3 4 5" xfId="25004" xr:uid="{1671B8AF-80D7-404C-9467-A43490713BD6}"/>
    <cellStyle name="Migliaia 41 3 3 5" xfId="25005" xr:uid="{4CF47941-D879-40CE-8FA4-BA5BA7D3A3CB}"/>
    <cellStyle name="Migliaia 41 3 3 5 2" xfId="34101" xr:uid="{5E304405-EC75-49E1-BB03-6D82B1C0098E}"/>
    <cellStyle name="Migliaia 41 3 3 5 2 2" xfId="39651" xr:uid="{3B7D4F69-FDC5-48DD-8E83-5F42244CEC4F}"/>
    <cellStyle name="Migliaia 41 3 3 5 2 3" xfId="44953" xr:uid="{F6B9C8D4-2A52-4702-AAF5-8C4BA9D3D198}"/>
    <cellStyle name="Migliaia 41 3 3 5 3" xfId="37052" xr:uid="{3C17FA83-AEEF-4721-8608-B710E7C09A8A}"/>
    <cellStyle name="Migliaia 41 3 3 5 4" xfId="42302" xr:uid="{E0C847A4-5476-410A-9F4B-4309319AC808}"/>
    <cellStyle name="Migliaia 41 3 3 6" xfId="34098" xr:uid="{4FC95122-826E-4D27-B821-520AB95CBF7D}"/>
    <cellStyle name="Migliaia 41 3 3 6 2" xfId="39647" xr:uid="{50F90400-F9CE-48A3-8BF4-CF09169E8AA6}"/>
    <cellStyle name="Migliaia 41 3 3 6 3" xfId="44949" xr:uid="{55DF8494-8A09-4EF9-AD16-42EF484176AF}"/>
    <cellStyle name="Migliaia 41 3 3 7" xfId="37049" xr:uid="{DDAFE839-01F9-4103-90EF-9A1EAEB355C2}"/>
    <cellStyle name="Migliaia 41 3 3 8" xfId="42298" xr:uid="{A68F6160-4E21-4DBF-B347-BE2DA2DB2DCC}"/>
    <cellStyle name="Migliaia 41 3 3 9" xfId="16560" xr:uid="{143C6E86-5178-4E0A-A27E-3A5F25FAA9A1}"/>
    <cellStyle name="Migliaia 41 3 4" xfId="3672" xr:uid="{D30FD7CA-C51D-440F-98C6-C690A4034CC5}"/>
    <cellStyle name="Migliaia 41 3 4 2" xfId="5398" xr:uid="{A68135B6-C8F5-4D17-8604-B08907A2EDBC}"/>
    <cellStyle name="Migliaia 41 3 4 2 2" xfId="14458" xr:uid="{91E8AE19-16DB-4C2C-8E36-C283F7C57AF4}"/>
    <cellStyle name="Migliaia 41 3 4 2 3" xfId="18559" xr:uid="{727C3342-576F-44BB-A043-FBE11A37FF4A}"/>
    <cellStyle name="Migliaia 41 3 4 2 4" xfId="20628" xr:uid="{43195EEF-4DC1-40A2-B64D-1D7F73F5417A}"/>
    <cellStyle name="Migliaia 41 3 4 2 5" xfId="32416" xr:uid="{D8B450A3-0ED7-4B69-B246-15105107F0FE}"/>
    <cellStyle name="Migliaia 41 3 4 2 6" xfId="16563" xr:uid="{45603A33-DE07-4C36-9DEF-F08A42361FBB}"/>
    <cellStyle name="Migliaia 41 3 4 2 7" xfId="8881" xr:uid="{6B0BFB32-80FF-4F93-9131-99F22841209B}"/>
    <cellStyle name="Migliaia 41 3 4 3" xfId="6587" xr:uid="{8D3D2554-A257-4EEB-952E-57575849FADA}"/>
    <cellStyle name="Migliaia 41 3 4 3 2" xfId="35370" xr:uid="{76EC9C43-7D87-4AA3-82FD-EE340CAF5FD0}"/>
    <cellStyle name="Migliaia 41 3 4 3 2 2" xfId="40530" xr:uid="{5DF57E19-1337-4336-9D3D-372903B6D763}"/>
    <cellStyle name="Migliaia 41 3 4 3 2 3" xfId="45832" xr:uid="{F45AE0CA-6FCC-4B83-A1E7-56BCD71ECB68}"/>
    <cellStyle name="Migliaia 41 3 4 3 3" xfId="37879" xr:uid="{48722FA0-E6A9-4323-A505-C6D904D9FE42}"/>
    <cellStyle name="Migliaia 41 3 4 3 4" xfId="43181" xr:uid="{FFC20FFA-432D-4FA6-94CD-D9EC797F234F}"/>
    <cellStyle name="Migliaia 41 3 4 3 5" xfId="13706" xr:uid="{5EA68E3B-CE69-4A52-B2C7-442F87A65A20}"/>
    <cellStyle name="Migliaia 41 3 4 4" xfId="20627" xr:uid="{C19D4BD5-F786-4780-BFE4-DB13DA16C04F}"/>
    <cellStyle name="Migliaia 41 3 4 4 2" xfId="39652" xr:uid="{18733AF6-CC29-4731-8DD8-4919DA4919B2}"/>
    <cellStyle name="Migliaia 41 3 4 4 3" xfId="44954" xr:uid="{07199F13-7E6B-4194-8125-D9447F9D56AB}"/>
    <cellStyle name="Migliaia 41 3 4 4 4" xfId="34102" xr:uid="{EC8262AE-3055-4D8B-B74B-DE7A8BFE0F09}"/>
    <cellStyle name="Migliaia 41 3 4 5" xfId="37053" xr:uid="{679DC479-B5CC-43EC-A06A-EA77B696D616}"/>
    <cellStyle name="Migliaia 41 3 4 6" xfId="42303" xr:uid="{39F0E50C-7B5D-4B53-B3DB-56314205024A}"/>
    <cellStyle name="Migliaia 41 3 4 7" xfId="16562" xr:uid="{C955CE13-1336-4910-8396-1451B1D2AD31}"/>
    <cellStyle name="Migliaia 41 3 4 8" xfId="7691" xr:uid="{08E9DC64-3CA9-444D-A1CA-4C77336C206D}"/>
    <cellStyle name="Migliaia 41 3 5" xfId="3673" xr:uid="{C4A2ABCB-763C-4A24-8A6D-D5CDE7675D47}"/>
    <cellStyle name="Migliaia 41 3 5 2" xfId="5399" xr:uid="{BD5CB2BD-DDA7-414E-982A-4D238B461DC1}"/>
    <cellStyle name="Migliaia 41 3 5 2 2" xfId="35371" xr:uid="{2A4D9CD1-0FAF-48D1-A741-CD2D176CE807}"/>
    <cellStyle name="Migliaia 41 3 5 2 2 2" xfId="40531" xr:uid="{CC7D5DA3-7AAC-4F05-A10C-6113BD314F73}"/>
    <cellStyle name="Migliaia 41 3 5 2 2 3" xfId="45833" xr:uid="{3C30DE44-E8EE-4ACC-9BAA-ED7102B90480}"/>
    <cellStyle name="Migliaia 41 3 5 2 3" xfId="37880" xr:uid="{661D44C7-29AF-494B-9E6B-81ABB9BEECB9}"/>
    <cellStyle name="Migliaia 41 3 5 2 4" xfId="43182" xr:uid="{0ABCCB9D-59D9-44F5-8C8D-9BE7789F015E}"/>
    <cellStyle name="Migliaia 41 3 5 2 5" xfId="14286" xr:uid="{EBB3EA6D-2A31-477E-8F84-D52F4C2E9B83}"/>
    <cellStyle name="Migliaia 41 3 5 3" xfId="6588" xr:uid="{C2BC8053-3E19-4CF8-A840-2B5F4F0B891C}"/>
    <cellStyle name="Migliaia 41 3 5 3 2" xfId="39653" xr:uid="{A12A9753-AC53-455C-9723-2B7DDF5FDD38}"/>
    <cellStyle name="Migliaia 41 3 5 3 3" xfId="44955" xr:uid="{B17409FC-CEDC-4ECE-A460-41DD0DB781C4}"/>
    <cellStyle name="Migliaia 41 3 5 3 4" xfId="34103" xr:uid="{634F572D-5E7B-4EEF-B13C-2696D56FE283}"/>
    <cellStyle name="Migliaia 41 3 5 3 5" xfId="20629" xr:uid="{8C208878-67C1-492F-8FAF-B177C5C9AAAA}"/>
    <cellStyle name="Migliaia 41 3 5 4" xfId="37054" xr:uid="{9EB73F53-EC4A-4EF2-8370-619E89D74D6F}"/>
    <cellStyle name="Migliaia 41 3 5 5" xfId="42304" xr:uid="{56F8D175-C0C7-4A4E-B2C7-2F117F3AC4BF}"/>
    <cellStyle name="Migliaia 41 3 5 6" xfId="16564" xr:uid="{1A251CBE-BE3F-4E67-82D5-DA5ABE530D96}"/>
    <cellStyle name="Migliaia 41 3 5 7" xfId="8348" xr:uid="{C1107E28-A1FB-4F27-A306-69FFA56613A7}"/>
    <cellStyle name="Migliaia 41 3 6" xfId="5394" xr:uid="{B63FAC98-84DD-48EF-BA3D-FF867E6E66DF}"/>
    <cellStyle name="Migliaia 41 3 6 2" xfId="13991" xr:uid="{425D19BC-618E-4E64-8923-3B74D6343C74}"/>
    <cellStyle name="Migliaia 41 3 6 2 2" xfId="39654" xr:uid="{7AB844E4-3F9A-4B86-830D-B7F5CD032A37}"/>
    <cellStyle name="Migliaia 41 3 6 2 3" xfId="44956" xr:uid="{A000242A-8EFA-4F8B-9D00-B7EEBD759451}"/>
    <cellStyle name="Migliaia 41 3 6 3" xfId="18699" xr:uid="{F78F34CA-F7A9-46BC-BD8B-E62CBD568FF6}"/>
    <cellStyle name="Migliaia 41 3 6 4" xfId="20630" xr:uid="{99CEADA1-5B0A-4B43-8B60-5C9C1FA0C4F3}"/>
    <cellStyle name="Migliaia 41 3 6 4 2" xfId="42305" xr:uid="{030E28E8-527A-468E-B2DD-DC2129E916F1}"/>
    <cellStyle name="Migliaia 41 3 6 5" xfId="16565" xr:uid="{B4B1F38F-E638-4345-ABFE-E8BFD8CFB22B}"/>
    <cellStyle name="Migliaia 41 3 6 6" xfId="7964" xr:uid="{9A3BA60D-AD26-4FEE-879C-BE4B3C19F139}"/>
    <cellStyle name="Migliaia 41 3 7" xfId="6583" xr:uid="{D75A280D-C0F6-4DF2-BD43-C7D366392263}"/>
    <cellStyle name="Migliaia 41 3 7 2" xfId="34104" xr:uid="{CAC07438-1576-4A17-94CC-15E2A7D66C1D}"/>
    <cellStyle name="Migliaia 41 3 7 2 2" xfId="39655" xr:uid="{333030BF-4A2D-4D19-AAB4-2866DD92F6D4}"/>
    <cellStyle name="Migliaia 41 3 7 2 3" xfId="44957" xr:uid="{489F4D29-DAF4-419B-980C-69A701799F04}"/>
    <cellStyle name="Migliaia 41 3 7 3" xfId="37055" xr:uid="{8C1CC1A0-C737-4B26-80B7-FAFF933BF67F}"/>
    <cellStyle name="Migliaia 41 3 7 4" xfId="42306" xr:uid="{1848E72A-F4C9-4BD0-AD43-0E6B866E3332}"/>
    <cellStyle name="Migliaia 41 3 7 5" xfId="12283" xr:uid="{8E821BFE-234B-4711-8F74-F2EC61090BAF}"/>
    <cellStyle name="Migliaia 41 3 8" xfId="3668" xr:uid="{EA780D19-D4FC-42B6-8EF9-A185886509C6}"/>
    <cellStyle name="Migliaia 41 3 8 2" xfId="34105" xr:uid="{09F2C016-FB95-45FA-BF05-9D2CE15E0D1B}"/>
    <cellStyle name="Migliaia 41 3 8 2 2" xfId="39656" xr:uid="{CA17C210-583C-4A54-82F2-C1C573D36E71}"/>
    <cellStyle name="Migliaia 41 3 8 2 3" xfId="44958" xr:uid="{03ECD010-1676-4243-A8FF-EBA8C4462B7D}"/>
    <cellStyle name="Migliaia 41 3 8 3" xfId="37056" xr:uid="{A2012E00-0E37-4AA9-AAD9-0212E09141B7}"/>
    <cellStyle name="Migliaia 41 3 8 4" xfId="42307" xr:uid="{6686506C-E558-461C-89A6-93F1769EDD1D}"/>
    <cellStyle name="Migliaia 41 3 8 5" xfId="25006" xr:uid="{E73927C2-4BB4-4B35-92BD-509324C4C68E}"/>
    <cellStyle name="Migliaia 41 3 8 6" xfId="17322" xr:uid="{3702EA85-3C55-47F3-AF36-CE4E221237D6}"/>
    <cellStyle name="Migliaia 41 3 9" xfId="20621" xr:uid="{77F94837-2E88-4A6F-87B7-3859B74CD333}"/>
    <cellStyle name="Migliaia 41 4" xfId="1833" xr:uid="{00000000-0005-0000-0000-000000040000}"/>
    <cellStyle name="Migliaia 41 4 2" xfId="1834" xr:uid="{00000000-0005-0000-0000-000001040000}"/>
    <cellStyle name="Migliaia 41 4 2 2" xfId="5401" xr:uid="{0BF81CD2-D495-4235-A5F3-8598116771B7}"/>
    <cellStyle name="Migliaia 41 4 2 2 2" xfId="34106" xr:uid="{9F5AC840-0C41-4E93-A8D6-D0E756ABA11B}"/>
    <cellStyle name="Migliaia 41 4 2 2 2 2" xfId="39657" xr:uid="{D3DE2BE5-93A4-4A68-A528-B6E4388C65BA}"/>
    <cellStyle name="Migliaia 41 4 2 2 2 3" xfId="44959" xr:uid="{B3AA32C0-EB7E-4E71-8E2F-C763061AA4D7}"/>
    <cellStyle name="Migliaia 41 4 2 2 3" xfId="37057" xr:uid="{C67112EF-D02A-42F3-BF8A-BC64390C6B22}"/>
    <cellStyle name="Migliaia 41 4 2 2 4" xfId="42308" xr:uid="{655B2B46-B035-4FBF-AFAF-12A5DCAC27AF}"/>
    <cellStyle name="Migliaia 41 4 2 2 5" xfId="9178" xr:uid="{7EA65DB3-471A-49AC-9F98-CA7DE158D027}"/>
    <cellStyle name="Migliaia 41 4 2 3" xfId="3675" xr:uid="{250A6D7E-0F04-4EB3-A22E-E160BB8C9FCB}"/>
    <cellStyle name="Migliaia 41 4 2 3 2" xfId="34107" xr:uid="{8247E28C-BFC6-445B-BB3B-5DC950CC0EAE}"/>
    <cellStyle name="Migliaia 41 4 2 3 2 2" xfId="39658" xr:uid="{7FCD017A-685F-4FCE-976F-246F7C15A43B}"/>
    <cellStyle name="Migliaia 41 4 2 3 2 3" xfId="44960" xr:uid="{3783C4B9-F319-4551-AB30-DB0D1D825C2D}"/>
    <cellStyle name="Migliaia 41 4 2 3 3" xfId="37058" xr:uid="{FC715CF3-EFE4-47CA-9303-E77BFBF79489}"/>
    <cellStyle name="Migliaia 41 4 2 3 4" xfId="42309" xr:uid="{E6DDFDBE-D06D-4074-B86D-99E3EF7A71EC}"/>
    <cellStyle name="Migliaia 41 4 2 3 5" xfId="12029" xr:uid="{9F30BB87-1D97-42A1-B797-EE4AE4DE2AA4}"/>
    <cellStyle name="Migliaia 41 4 2 4" xfId="11378" xr:uid="{DE8E7B8A-7E71-4138-ABB5-2B12FBDD44A0}"/>
    <cellStyle name="Migliaia 41 4 2 5" xfId="10911" xr:uid="{4C1A4322-6650-4108-BCB2-57BD51ACFA0C}"/>
    <cellStyle name="Migliaia 41 4 2 5 2" xfId="21546" xr:uid="{D297181E-B8B6-465B-B4E3-77170C3E9887}"/>
    <cellStyle name="Migliaia 41 4 2 5 3" xfId="32296" xr:uid="{0954944C-C574-4EE4-B282-5958D17161BD}"/>
    <cellStyle name="Migliaia 41 4 2 5 4" xfId="50561" xr:uid="{580CBDB0-F899-4233-AE1F-ECA6C400C83C}"/>
    <cellStyle name="Migliaia 41 4 2 5 5" xfId="53577" xr:uid="{E9E84837-FB54-4E57-87B0-4FD97C3228EE}"/>
    <cellStyle name="Migliaia 41 4 2 6" xfId="20632" xr:uid="{7340A75D-DC49-4EF1-BCB3-5A15CC4430E4}"/>
    <cellStyle name="Migliaia 41 4 2 7" xfId="25008" xr:uid="{13C65749-3881-42EF-A64E-8EE2BB235D9E}"/>
    <cellStyle name="Migliaia 41 4 2 8" xfId="8694" xr:uid="{29870646-EBA1-4B21-8A05-8DC124E8817F}"/>
    <cellStyle name="Migliaia 41 4 3" xfId="5400" xr:uid="{57ABE550-183B-4D9B-91BB-7176C2F47CF2}"/>
    <cellStyle name="Migliaia 41 4 3 2" xfId="18233" xr:uid="{35B943FE-27B3-4651-BD08-B684101A12F6}"/>
    <cellStyle name="Migliaia 41 4 3 2 2" xfId="39659" xr:uid="{F0647A8C-9546-402A-9B69-C17C8338EB75}"/>
    <cellStyle name="Migliaia 41 4 3 2 3" xfId="44961" xr:uid="{0A109135-C54A-4941-AEFC-B4F951313E2D}"/>
    <cellStyle name="Migliaia 41 4 3 3" xfId="37059" xr:uid="{643B86CF-C6C5-461D-9EAE-5534231BD581}"/>
    <cellStyle name="Migliaia 41 4 3 4" xfId="42310" xr:uid="{FECCEF29-FB20-4014-BC75-E918D6051B74}"/>
    <cellStyle name="Migliaia 41 4 3 5" xfId="17320" xr:uid="{D1B6A159-C346-4DFD-B2C5-3849D427E210}"/>
    <cellStyle name="Migliaia 41 4 3 6" xfId="9179" xr:uid="{1EF10DBD-8513-4E72-964B-B4631020BAF7}"/>
    <cellStyle name="Migliaia 41 4 4" xfId="6589" xr:uid="{644339AC-D222-4D57-A042-89D255E7F645}"/>
    <cellStyle name="Migliaia 41 4 4 2" xfId="34108" xr:uid="{8E6ACFAC-6EB7-49FF-BA32-3A74FED2932E}"/>
    <cellStyle name="Migliaia 41 4 4 2 2" xfId="39660" xr:uid="{B407FAB9-4601-46B1-8EBB-32BF9DCA43C7}"/>
    <cellStyle name="Migliaia 41 4 4 2 3" xfId="44962" xr:uid="{8A60B855-4493-4D95-A88A-EB534020B5FB}"/>
    <cellStyle name="Migliaia 41 4 4 3" xfId="37060" xr:uid="{4AB9B8C4-BD01-4CAC-83B4-71A694925EFF}"/>
    <cellStyle name="Migliaia 41 4 4 4" xfId="42311" xr:uid="{794D014E-EB3A-4032-9D74-A103FF59EDB7}"/>
    <cellStyle name="Migliaia 41 4 4 5" xfId="12030" xr:uid="{0538037C-27ED-4B10-BE11-6F7C6C7F2597}"/>
    <cellStyle name="Migliaia 41 4 5" xfId="3674" xr:uid="{48D38193-51CB-4F37-9660-A67B15AF9EA3}"/>
    <cellStyle name="Migliaia 41 4 5 2" xfId="34109" xr:uid="{60F7753D-E222-45A2-A333-F20DB3D03835}"/>
    <cellStyle name="Migliaia 41 4 5 2 2" xfId="39661" xr:uid="{AC51F5AD-652B-4A64-AB8C-8A92CF83F547}"/>
    <cellStyle name="Migliaia 41 4 5 2 3" xfId="44963" xr:uid="{926E6578-054E-4BA0-8972-85E3D6D4CA5D}"/>
    <cellStyle name="Migliaia 41 4 5 3" xfId="37061" xr:uid="{F7A861D7-F6A2-4636-A14F-FDF6281E554E}"/>
    <cellStyle name="Migliaia 41 4 5 4" xfId="42312" xr:uid="{6091078E-A9ED-4CA9-8F03-464AEC4C332E}"/>
    <cellStyle name="Migliaia 41 4 5 5" xfId="11377" xr:uid="{CDCCA49D-692F-4D48-9D55-599A0CDE8DE1}"/>
    <cellStyle name="Migliaia 41 4 6" xfId="10910" xr:uid="{3B874466-C450-4B29-ABA6-0714AFB72B33}"/>
    <cellStyle name="Migliaia 41 4 6 2" xfId="21545" xr:uid="{A87C5062-1B88-4194-B5AE-D753C51BB5C4}"/>
    <cellStyle name="Migliaia 41 4 6 2 2" xfId="39662" xr:uid="{8860EAE8-0F0F-4767-AF0A-FA816EB3D2DD}"/>
    <cellStyle name="Migliaia 41 4 6 2 3" xfId="44964" xr:uid="{013DBEE3-46F1-43CB-8781-8CA57114BBFF}"/>
    <cellStyle name="Migliaia 41 4 6 2 4" xfId="34110" xr:uid="{CC0D77A4-EACD-4582-8E85-EFA5B5F542DB}"/>
    <cellStyle name="Migliaia 41 4 6 3" xfId="37062" xr:uid="{FC37E175-B1D0-43B6-857F-8FAE1FE23656}"/>
    <cellStyle name="Migliaia 41 4 6 4" xfId="42313" xr:uid="{2AD99E77-5025-408B-9E12-58ED825FB11B}"/>
    <cellStyle name="Migliaia 41 4 6 5" xfId="25009" xr:uid="{36CDAB8D-8ED2-4382-8C19-76882376DDD6}"/>
    <cellStyle name="Migliaia 41 4 6 6" xfId="46258" xr:uid="{EDA256BD-7128-4705-AB38-9BEB1ECE9C9D}"/>
    <cellStyle name="Migliaia 41 4 6 7" xfId="50560" xr:uid="{17AA54BB-853D-4F1B-8D71-304ED2919D4B}"/>
    <cellStyle name="Migliaia 41 4 6 8" xfId="53576" xr:uid="{95C50941-CCC4-45FE-B238-CF6B0CDE49DC}"/>
    <cellStyle name="Migliaia 41 4 7" xfId="20631" xr:uid="{06DBF93B-484A-4E5E-83E5-431AEB83DAB5}"/>
    <cellStyle name="Migliaia 41 4 7 2" xfId="34111" xr:uid="{8CBBD78D-0260-419F-AF4D-EE06A6835BB8}"/>
    <cellStyle name="Migliaia 41 4 7 2 2" xfId="39663" xr:uid="{B2DF1348-C5E2-4D43-8E0F-E51B061743AA}"/>
    <cellStyle name="Migliaia 41 4 7 2 3" xfId="44965" xr:uid="{2B8453B4-5257-42E1-8BFC-9B5DCB8D3D76}"/>
    <cellStyle name="Migliaia 41 4 7 3" xfId="37063" xr:uid="{7F7A05E7-4818-48DB-ACE8-D9FD3CD2AA66}"/>
    <cellStyle name="Migliaia 41 4 7 4" xfId="42314" xr:uid="{B2E6EADA-1692-498F-8C0D-1A84AFED3A90}"/>
    <cellStyle name="Migliaia 41 4 7 5" xfId="25010" xr:uid="{B2CF51E2-DD6C-44FB-99A3-D81CB1745392}"/>
    <cellStyle name="Migliaia 41 4 8" xfId="25007" xr:uid="{2CE0A57D-FD9B-43F0-8FD2-75FA808FF554}"/>
    <cellStyle name="Migliaia 41 4 9" xfId="7504" xr:uid="{77B076FB-7022-4C39-8CEC-910716A1F41C}"/>
    <cellStyle name="Migliaia 41 5" xfId="1835" xr:uid="{00000000-0005-0000-0000-000002040000}"/>
    <cellStyle name="Migliaia 41 5 2" xfId="5402" xr:uid="{5B9AF5BB-B682-4D79-8DE9-2B41D3B87B7B}"/>
    <cellStyle name="Migliaia 41 5 2 2" xfId="18469" xr:uid="{BB49E6EF-2F1C-4D41-9D83-25C2EC6DDE20}"/>
    <cellStyle name="Migliaia 41 5 2 2 2" xfId="39664" xr:uid="{BBBADB65-CD3D-4652-82CC-D4DB527FFCA5}"/>
    <cellStyle name="Migliaia 41 5 2 2 3" xfId="44966" xr:uid="{FB4745D1-4178-40BD-91A3-C3BEDE3BBAED}"/>
    <cellStyle name="Migliaia 41 5 2 3" xfId="20634" xr:uid="{549AFE9E-3ACE-463D-A471-0CFD376C6EC5}"/>
    <cellStyle name="Migliaia 41 5 2 3 2" xfId="37064" xr:uid="{7752558F-71C8-4F38-8460-3F69D43C5267}"/>
    <cellStyle name="Migliaia 41 5 2 4" xfId="42315" xr:uid="{7EF7C16D-9DAD-46AA-9426-E4235C93CBEA}"/>
    <cellStyle name="Migliaia 41 5 2 5" xfId="16566" xr:uid="{C8DAAEB5-FC86-4CE0-96BB-CBFE863E5DF9}"/>
    <cellStyle name="Migliaia 41 5 2 6" xfId="8695" xr:uid="{599AF1C2-2745-4E59-B043-B89402E92A36}"/>
    <cellStyle name="Migliaia 41 5 3" xfId="6590" xr:uid="{A9DCFD99-76E1-4D5A-93B9-359DF6A1AA1F}"/>
    <cellStyle name="Migliaia 41 5 3 2" xfId="34112" xr:uid="{1DB1D63B-E34D-40ED-91EE-401888E5FB70}"/>
    <cellStyle name="Migliaia 41 5 3 2 2" xfId="39665" xr:uid="{F3B23F83-9874-412B-97D1-EB313D376B8A}"/>
    <cellStyle name="Migliaia 41 5 3 2 3" xfId="44967" xr:uid="{E940C95F-0AF5-463E-AA5C-EC40AE6B620F}"/>
    <cellStyle name="Migliaia 41 5 3 3" xfId="37065" xr:uid="{7B32B80B-A70C-434C-9713-08B9ADAE9B6F}"/>
    <cellStyle name="Migliaia 41 5 3 4" xfId="42316" xr:uid="{13A427BE-1D48-45CE-9A25-74C608DC0343}"/>
    <cellStyle name="Migliaia 41 5 3 5" xfId="11379" xr:uid="{CC301E79-2B7A-41F0-90DA-439460803275}"/>
    <cellStyle name="Migliaia 41 5 4" xfId="3676" xr:uid="{24A4F75F-356B-46B7-A5D7-9B28498CE010}"/>
    <cellStyle name="Migliaia 41 5 4 2" xfId="21547" xr:uid="{8F67C49A-EE76-4B04-B790-2D2BCCC8C233}"/>
    <cellStyle name="Migliaia 41 5 4 2 2" xfId="39666" xr:uid="{B7D9C7F1-B6F8-41BD-AAFB-537F7443BD5E}"/>
    <cellStyle name="Migliaia 41 5 4 2 3" xfId="44968" xr:uid="{A5D3E2A4-221C-4E9C-A225-313C7D574809}"/>
    <cellStyle name="Migliaia 41 5 4 2 4" xfId="34113" xr:uid="{15B4F3B6-E064-415E-981E-5E90E87698C1}"/>
    <cellStyle name="Migliaia 41 5 4 3" xfId="37066" xr:uid="{A46162F0-776B-4BEE-A9F0-6932C242839F}"/>
    <cellStyle name="Migliaia 41 5 4 4" xfId="42317" xr:uid="{0A10C200-1DDE-43EB-B982-7B1DF5CE5BB2}"/>
    <cellStyle name="Migliaia 41 5 4 5" xfId="25012" xr:uid="{7F0FD481-457B-4D56-82F2-EB95A7171C1C}"/>
    <cellStyle name="Migliaia 41 5 4 6" xfId="47118" xr:uid="{4AF26D37-F88D-4D71-A611-8EE77E1DF4D7}"/>
    <cellStyle name="Migliaia 41 5 4 7" xfId="50562" xr:uid="{F6DE96B4-C9D7-4F24-964C-0B86D2A96D61}"/>
    <cellStyle name="Migliaia 41 5 4 8" xfId="53578" xr:uid="{D3C8623E-B8C2-45F1-8699-2D25483D4A04}"/>
    <cellStyle name="Migliaia 41 5 4 9" xfId="10912" xr:uid="{F2B3FDD6-948F-43B0-9220-D114624EC539}"/>
    <cellStyle name="Migliaia 41 5 5" xfId="20633" xr:uid="{38BE6AA5-5727-4E11-8693-5B0FFD9E5CE1}"/>
    <cellStyle name="Migliaia 41 5 5 2" xfId="34114" xr:uid="{05D5CD27-945A-4910-BACC-5A11B8406C47}"/>
    <cellStyle name="Migliaia 41 5 5 2 2" xfId="39667" xr:uid="{E981CDD4-0A1E-44CA-B211-FD262E04F5AC}"/>
    <cellStyle name="Migliaia 41 5 5 2 3" xfId="44969" xr:uid="{89E14843-C217-4934-A828-C5FED416D201}"/>
    <cellStyle name="Migliaia 41 5 5 3" xfId="37067" xr:uid="{015C0A26-AA0E-4929-B6FB-A37A3CBC5027}"/>
    <cellStyle name="Migliaia 41 5 5 4" xfId="42318" xr:uid="{29C251F7-767A-49A3-941B-5FFB1CB8468D}"/>
    <cellStyle name="Migliaia 41 5 5 5" xfId="25013" xr:uid="{4ABC1534-EC0A-43F7-AC64-B42B09E5A069}"/>
    <cellStyle name="Migliaia 41 5 6" xfId="25014" xr:uid="{A5ACB79F-214F-4597-9F9C-79B10108838A}"/>
    <cellStyle name="Migliaia 41 5 6 2" xfId="34115" xr:uid="{F2E2E127-DC62-4E7E-88CD-DC1453FAD5E0}"/>
    <cellStyle name="Migliaia 41 5 6 2 2" xfId="39668" xr:uid="{13E647D2-2927-4831-B67F-DCD15411F3DA}"/>
    <cellStyle name="Migliaia 41 5 6 2 3" xfId="44970" xr:uid="{109130E9-ECD4-4422-A7B3-69A077626DC8}"/>
    <cellStyle name="Migliaia 41 5 6 3" xfId="37068" xr:uid="{106A4295-F09A-43D6-8D14-05C1D071DA8D}"/>
    <cellStyle name="Migliaia 41 5 6 4" xfId="42319" xr:uid="{0C234BF9-9F2F-41A0-9897-377BDFA4EF72}"/>
    <cellStyle name="Migliaia 41 5 7" xfId="25011" xr:uid="{53901848-5172-4D23-B613-8757119B875D}"/>
    <cellStyle name="Migliaia 41 5 8" xfId="7505" xr:uid="{AFC2450B-8B2B-41D5-91AD-2FEBFFB83D11}"/>
    <cellStyle name="Migliaia 41 6" xfId="3677" xr:uid="{64EBE5BE-22B6-4CD3-ACAB-945D61481878}"/>
    <cellStyle name="Migliaia 41 6 2" xfId="5403" xr:uid="{A182C449-281E-4104-B67F-B8166D007DF1}"/>
    <cellStyle name="Migliaia 41 6 2 2" xfId="9951" xr:uid="{DBCF0ED2-18A6-4DDD-963F-F6F29521C374}"/>
    <cellStyle name="Migliaia 41 6 2 3" xfId="18645" xr:uid="{2BE3DAB5-2C86-4EAB-970B-57ABE0D6CFA9}"/>
    <cellStyle name="Migliaia 41 6 2 4" xfId="20636" xr:uid="{8F2B280A-4CA3-4C6B-BACB-AF9D32E09B51}"/>
    <cellStyle name="Migliaia 41 6 2 5" xfId="32417" xr:uid="{E6219713-C2C3-4BFA-A8F3-E1471704A8FF}"/>
    <cellStyle name="Migliaia 41 6 2 6" xfId="16568" xr:uid="{FB7A3B08-1992-4547-9F92-FB4589648B96}"/>
    <cellStyle name="Migliaia 41 6 2 7" xfId="8690" xr:uid="{71819118-DF65-450D-BD41-B582D66B3822}"/>
    <cellStyle name="Migliaia 41 6 3" xfId="6591" xr:uid="{E4433CCD-FCA9-416A-9A73-816451B07F74}"/>
    <cellStyle name="Migliaia 41 6 3 2" xfId="35372" xr:uid="{73424A20-9428-42C3-8A99-3B40AE34075E}"/>
    <cellStyle name="Migliaia 41 6 3 2 2" xfId="40532" xr:uid="{625F64F1-0505-4532-A5D8-1C19814968C3}"/>
    <cellStyle name="Migliaia 41 6 3 2 3" xfId="45834" xr:uid="{5C6649FB-589D-4C5C-B15A-5E22FCA4DEA6}"/>
    <cellStyle name="Migliaia 41 6 3 3" xfId="37881" xr:uid="{FDA45F98-72A4-4006-9093-C73CEEA3FF56}"/>
    <cellStyle name="Migliaia 41 6 3 4" xfId="43183" xr:uid="{5A74474D-4048-4F7D-A92E-47503E11E4AF}"/>
    <cellStyle name="Migliaia 41 6 3 5" xfId="9714" xr:uid="{E94F2DE0-0C36-4577-9D30-B9B7917C7D3B}"/>
    <cellStyle name="Migliaia 41 6 4" xfId="20635" xr:uid="{A1C58C75-267F-4AFC-AA83-6A703D6F645A}"/>
    <cellStyle name="Migliaia 41 6 4 2" xfId="39669" xr:uid="{7294BEC7-D59C-4F63-9A3C-0B2C990329AC}"/>
    <cellStyle name="Migliaia 41 6 4 3" xfId="44971" xr:uid="{6416DAD6-9462-4E01-8D0E-E0364918B05C}"/>
    <cellStyle name="Migliaia 41 6 4 4" xfId="34116" xr:uid="{477C358B-6F70-48B2-B838-E32B9331B424}"/>
    <cellStyle name="Migliaia 41 6 5" xfId="37069" xr:uid="{73FB0A2D-47D5-4ED4-A739-F7DF158B8731}"/>
    <cellStyle name="Migliaia 41 6 6" xfId="42320" xr:uid="{2C6F5E2A-BA2C-4201-8CBB-87387866D3DE}"/>
    <cellStyle name="Migliaia 41 6 7" xfId="16567" xr:uid="{6A7A8A11-1989-4078-92C6-270B25423B5A}"/>
    <cellStyle name="Migliaia 41 6 8" xfId="7500" xr:uid="{06B433C0-9701-4CA7-8430-750ED955758C}"/>
    <cellStyle name="Migliaia 41 7" xfId="3678" xr:uid="{AB694BBD-D91F-4DE4-B3F6-A942DC9C1F35}"/>
    <cellStyle name="Migliaia 41 7 2" xfId="5404" xr:uid="{E6E82F0C-8A3E-4364-8460-1D0214C26916}"/>
    <cellStyle name="Migliaia 41 7 2 2" xfId="35373" xr:uid="{D56175CD-9B50-4514-BDDC-6A679362798E}"/>
    <cellStyle name="Migliaia 41 7 2 2 2" xfId="40533" xr:uid="{ABDDE411-0707-499D-87ED-994CFCC23D69}"/>
    <cellStyle name="Migliaia 41 7 2 2 3" xfId="45835" xr:uid="{72CC50C2-1340-4215-82B5-F4C2A7A5B94D}"/>
    <cellStyle name="Migliaia 41 7 2 3" xfId="37882" xr:uid="{608E0254-3CA5-4445-89A4-502EDB7CE72E}"/>
    <cellStyle name="Migliaia 41 7 2 4" xfId="43184" xr:uid="{87C6EA41-C821-455E-B96E-F5F53E736370}"/>
    <cellStyle name="Migliaia 41 7 2 5" xfId="14284" xr:uid="{08CABD1B-3429-43A1-8199-8C8196ED8EC7}"/>
    <cellStyle name="Migliaia 41 7 3" xfId="6592" xr:uid="{FF2122F4-0943-43D6-BA95-C723958CF4A9}"/>
    <cellStyle name="Migliaia 41 7 3 2" xfId="39670" xr:uid="{8CBB92C4-45A4-427A-A3F6-B56FB903E85A}"/>
    <cellStyle name="Migliaia 41 7 3 3" xfId="44972" xr:uid="{61E2C023-3C1E-4F8A-8549-907D8389F904}"/>
    <cellStyle name="Migliaia 41 7 3 4" xfId="34117" xr:uid="{9DB40DEE-0BC2-47F1-B991-20EAD9A5C87E}"/>
    <cellStyle name="Migliaia 41 7 3 5" xfId="20637" xr:uid="{90BA7B7B-A7FD-4A4E-AB6F-7188633A83DF}"/>
    <cellStyle name="Migliaia 41 7 4" xfId="37070" xr:uid="{F9E9F99C-6F55-41C9-96E6-F36FFDF4D4DB}"/>
    <cellStyle name="Migliaia 41 7 5" xfId="42321" xr:uid="{28B09A89-7A21-4B06-BD79-F9CAE819E143}"/>
    <cellStyle name="Migliaia 41 7 6" xfId="16569" xr:uid="{427F9776-C4EC-41FD-A631-C8391F01E182}"/>
    <cellStyle name="Migliaia 41 7 7" xfId="8346" xr:uid="{97D2DE38-6700-4F0B-8DA3-4270B6069CB6}"/>
    <cellStyle name="Migliaia 41 8" xfId="3679" xr:uid="{1F3D00DE-01F6-4BD7-95C0-2747F8039565}"/>
    <cellStyle name="Migliaia 41 8 2" xfId="5405" xr:uid="{2F1B0665-19C4-4449-80F2-0E8435B1CBAD}"/>
    <cellStyle name="Migliaia 41 8 2 2" xfId="35374" xr:uid="{16208FFA-5163-42DE-97BA-B2C6F1DA84E8}"/>
    <cellStyle name="Migliaia 41 8 2 2 2" xfId="40534" xr:uid="{5960E34F-48FD-4219-BCC4-6C2CC5E2C4AC}"/>
    <cellStyle name="Migliaia 41 8 2 2 3" xfId="45836" xr:uid="{F5390EF0-6DD0-472B-B31E-A48019A7E879}"/>
    <cellStyle name="Migliaia 41 8 2 3" xfId="37883" xr:uid="{F6EE9643-F643-46E7-8A18-3162593CB5C1}"/>
    <cellStyle name="Migliaia 41 8 2 4" xfId="43185" xr:uid="{5D7512A2-9E44-4E06-A23B-09CD10B8671A}"/>
    <cellStyle name="Migliaia 41 8 2 5" xfId="13989" xr:uid="{1FB5A1EE-7924-4747-884E-A6BAE0D55ED4}"/>
    <cellStyle name="Migliaia 41 8 3" xfId="6593" xr:uid="{DB823D79-6E06-4B3E-A7A2-793B3ADC91C4}"/>
    <cellStyle name="Migliaia 41 8 3 2" xfId="39671" xr:uid="{0A906E5B-5D6E-4898-89E4-2FB33000F402}"/>
    <cellStyle name="Migliaia 41 8 3 3" xfId="44973" xr:uid="{7A299ECC-6B93-4B66-99B4-88D75391B5EB}"/>
    <cellStyle name="Migliaia 41 8 3 4" xfId="34118" xr:uid="{E93B39C3-48AE-4B7A-A9BD-06132B22BA34}"/>
    <cellStyle name="Migliaia 41 8 3 5" xfId="20638" xr:uid="{FD374B21-D3CC-4007-A3EF-C280DD7891FB}"/>
    <cellStyle name="Migliaia 41 8 4" xfId="37071" xr:uid="{199934E5-773F-4A6B-8038-1AB7A294F76B}"/>
    <cellStyle name="Migliaia 41 8 5" xfId="42322" xr:uid="{0032F8C1-43FD-480E-80AB-F8BC538AB216}"/>
    <cellStyle name="Migliaia 41 8 6" xfId="16570" xr:uid="{1143FA6D-93F2-450D-8C60-58DB8E830FCE}"/>
    <cellStyle name="Migliaia 41 8 7" xfId="7962" xr:uid="{2D6C33EC-AB37-4FE0-9C99-F60697025DEE}"/>
    <cellStyle name="Migliaia 41 9" xfId="5390" xr:uid="{4ACE08C6-2C20-46FA-AC8E-1D2D865DA549}"/>
    <cellStyle name="Migliaia 41 9 2" xfId="34119" xr:uid="{0C30C3B9-06AE-4A14-8BF9-F2695B42EC56}"/>
    <cellStyle name="Migliaia 41 9 2 2" xfId="39672" xr:uid="{9E2B7AC6-5332-42F3-B237-468615DCB2DA}"/>
    <cellStyle name="Migliaia 41 9 2 3" xfId="44974" xr:uid="{2980C7C0-9A8C-487F-91DF-4DC808D28D6F}"/>
    <cellStyle name="Migliaia 41 9 3" xfId="37072" xr:uid="{E802DB20-AF27-43B1-9053-2C5120DF0A47}"/>
    <cellStyle name="Migliaia 41 9 4" xfId="42323" xr:uid="{921B04B9-0282-4025-89DB-A79649FD869D}"/>
    <cellStyle name="Migliaia 41 9 5" xfId="17205" xr:uid="{3F74649E-36D4-4D71-A3B5-88596FEBFDB2}"/>
    <cellStyle name="Migliaia 42" xfId="445" xr:uid="{00000000-0005-0000-0000-000003040000}"/>
    <cellStyle name="Migliaia 42 10" xfId="6594" xr:uid="{4CA667ED-9C0C-4A5B-93E9-45E13265C50F}"/>
    <cellStyle name="Migliaia 42 10 2" xfId="39673" xr:uid="{FBA18652-CFCC-4487-B18D-F20E8943328D}"/>
    <cellStyle name="Migliaia 42 10 3" xfId="44975" xr:uid="{C33B1DD2-C26C-49EC-85F0-F882A43535C1}"/>
    <cellStyle name="Migliaia 42 10 4" xfId="34120" xr:uid="{92BAEC75-5046-4F34-865C-C8B08A811C63}"/>
    <cellStyle name="Migliaia 42 10 5" xfId="20639" xr:uid="{78FDB559-F84D-4B8E-A92D-CB7FD5EC773E}"/>
    <cellStyle name="Migliaia 42 11" xfId="3680" xr:uid="{63575C2D-0943-4508-94B2-FF374F8D3B40}"/>
    <cellStyle name="Migliaia 42 11 2" xfId="37073" xr:uid="{C24EEEE5-2650-4934-B852-66EBE9F6E65B}"/>
    <cellStyle name="Migliaia 42 12" xfId="42324" xr:uid="{A4D6DA36-829F-40D9-9100-C556C2CB2D3E}"/>
    <cellStyle name="Migliaia 42 13" xfId="7150" xr:uid="{D53E19C0-5F6C-450C-B516-13CD276D2FFB}"/>
    <cellStyle name="Migliaia 42 2" xfId="446" xr:uid="{00000000-0005-0000-0000-000004040000}"/>
    <cellStyle name="Migliaia 42 2 2" xfId="1836" xr:uid="{00000000-0005-0000-0000-000005040000}"/>
    <cellStyle name="Migliaia 42 2 2 2" xfId="5408" xr:uid="{FC4DF6BE-260D-4227-BB92-FF8BE8E97E50}"/>
    <cellStyle name="Migliaia 42 2 2 2 2" xfId="14399" xr:uid="{16FD9EFA-762F-4CE1-B059-2B1561E22968}"/>
    <cellStyle name="Migliaia 42 2 2 2 2 2" xfId="39674" xr:uid="{474DE85D-5B37-473C-9D76-F8CBB9773ED1}"/>
    <cellStyle name="Migliaia 42 2 2 2 2 3" xfId="44976" xr:uid="{1EF34E44-DD9A-4274-A784-FCC7F69DF060}"/>
    <cellStyle name="Migliaia 42 2 2 2 3" xfId="18470" xr:uid="{603D8668-9A85-41F7-AE7B-D792CED87B6B}"/>
    <cellStyle name="Migliaia 42 2 2 2 4" xfId="20642" xr:uid="{C0E7D02A-B75D-46FF-8E4F-D0780FECC6ED}"/>
    <cellStyle name="Migliaia 42 2 2 2 4 2" xfId="42325" xr:uid="{76E20149-FB91-47A8-84FB-158618E2C3E2}"/>
    <cellStyle name="Migliaia 42 2 2 2 5" xfId="16571" xr:uid="{DAB33F08-4853-4416-B920-577479B8FFBD}"/>
    <cellStyle name="Migliaia 42 2 2 2 6" xfId="8697" xr:uid="{22BA0BCD-22AF-4B70-8273-0921B6C5B3AE}"/>
    <cellStyle name="Migliaia 42 2 2 3" xfId="6596" xr:uid="{9CECB5FF-B687-427A-92DB-2183CFD32993}"/>
    <cellStyle name="Migliaia 42 2 2 3 2" xfId="35375" xr:uid="{391A201B-7809-4275-B189-81D743CAC599}"/>
    <cellStyle name="Migliaia 42 2 2 3 2 2" xfId="40535" xr:uid="{CFD95F3E-85EE-4340-A779-2F1C32325E44}"/>
    <cellStyle name="Migliaia 42 2 2 3 2 3" xfId="45837" xr:uid="{7C7F94A1-7034-4C1F-85D9-B19EBE2AC6B8}"/>
    <cellStyle name="Migliaia 42 2 2 3 3" xfId="37884" xr:uid="{29154DFC-2A20-4D8B-902D-D3B6CFF149F6}"/>
    <cellStyle name="Migliaia 42 2 2 3 4" xfId="43186" xr:uid="{36AF4D62-237A-419E-893A-5A78453A91D9}"/>
    <cellStyle name="Migliaia 42 2 2 3 5" xfId="11626" xr:uid="{0041E145-7DB8-4A09-8A55-9D846EDB3BFE}"/>
    <cellStyle name="Migliaia 42 2 2 4" xfId="3682" xr:uid="{C3433140-B375-4634-B4A8-6DE0989B7C51}"/>
    <cellStyle name="Migliaia 42 2 2 4 2" xfId="21548" xr:uid="{E362E10A-77BB-424A-9D38-5478E96FB660}"/>
    <cellStyle name="Migliaia 42 2 2 4 3" xfId="47309" xr:uid="{3EA5971F-AAFA-4FA2-B634-7C5F74502D3C}"/>
    <cellStyle name="Migliaia 42 2 2 4 4" xfId="50563" xr:uid="{C00BDEED-CA2A-48F3-9344-7848D7E19869}"/>
    <cellStyle name="Migliaia 42 2 2 4 5" xfId="53579" xr:uid="{BB3BC3ED-94AE-4403-A618-050B2239ADF5}"/>
    <cellStyle name="Migliaia 42 2 2 4 6" xfId="10913" xr:uid="{AB72B128-DED0-4546-BF22-475381BA55F9}"/>
    <cellStyle name="Migliaia 42 2 2 5" xfId="20641" xr:uid="{12AB9F2E-D69F-4289-961C-AF5189CACB86}"/>
    <cellStyle name="Migliaia 42 2 2 6" xfId="25016" xr:uid="{152A06A6-5A2D-4BD7-A9F2-D8CFD461D767}"/>
    <cellStyle name="Migliaia 42 2 2 7" xfId="7507" xr:uid="{CB9DE556-7B75-48F5-8773-A2EC8FE61D9C}"/>
    <cellStyle name="Migliaia 42 2 3" xfId="3683" xr:uid="{B7EDE378-2CD8-4A31-8C5A-827F0011BC37}"/>
    <cellStyle name="Migliaia 42 2 3 2" xfId="5409" xr:uid="{7A25153E-547F-4B10-9912-2C02885DF10C}"/>
    <cellStyle name="Migliaia 42 2 3 2 2" xfId="35376" xr:uid="{DA528DE9-17F9-4026-86B5-90E4920F8CF6}"/>
    <cellStyle name="Migliaia 42 2 3 2 2 2" xfId="40536" xr:uid="{D51C024C-236F-44C8-8D5E-7CD627A64CC3}"/>
    <cellStyle name="Migliaia 42 2 3 2 2 3" xfId="45838" xr:uid="{7D8B117B-3332-4F5B-8A4D-16B2EE3967B0}"/>
    <cellStyle name="Migliaia 42 2 3 2 3" xfId="37885" xr:uid="{6432F162-0550-41FA-8C89-ADC22E7CC6C9}"/>
    <cellStyle name="Migliaia 42 2 3 2 4" xfId="43187" xr:uid="{9A8C8520-C97E-416C-833F-EE8282CB605C}"/>
    <cellStyle name="Migliaia 42 2 3 2 5" xfId="14288" xr:uid="{7818B884-3E8C-4EA1-9144-0F7B234EEDCA}"/>
    <cellStyle name="Migliaia 42 2 3 3" xfId="6597" xr:uid="{BEB49CE5-149C-4004-8F7B-74C637C35268}"/>
    <cellStyle name="Migliaia 42 2 3 3 2" xfId="39675" xr:uid="{2C7F0003-4315-4DB9-8585-98232C4F275C}"/>
    <cellStyle name="Migliaia 42 2 3 3 3" xfId="44977" xr:uid="{FE6A2E17-7532-4E08-A00D-063BC3A90268}"/>
    <cellStyle name="Migliaia 42 2 3 3 4" xfId="34121" xr:uid="{2C41090A-6182-401E-BC50-11AF5BF5F7E7}"/>
    <cellStyle name="Migliaia 42 2 3 3 5" xfId="20643" xr:uid="{A228E10F-E31B-4FCA-959B-E5183BF4802C}"/>
    <cellStyle name="Migliaia 42 2 3 4" xfId="37074" xr:uid="{6B16147C-715C-43CB-BD86-6421DCA272F9}"/>
    <cellStyle name="Migliaia 42 2 3 5" xfId="42326" xr:uid="{E79CC83C-FF94-4A04-B183-89556A0605BA}"/>
    <cellStyle name="Migliaia 42 2 3 6" xfId="16572" xr:uid="{1E85E9CB-C049-4B90-B961-231F295486E0}"/>
    <cellStyle name="Migliaia 42 2 3 7" xfId="8350" xr:uid="{42B1F9B4-B46C-4350-BC6C-3C91AA2C1B38}"/>
    <cellStyle name="Migliaia 42 2 4" xfId="5407" xr:uid="{CA689A89-2784-4832-9BD9-6035668EF8D8}"/>
    <cellStyle name="Migliaia 42 2 4 2" xfId="13993" xr:uid="{2C7B4CFF-FA78-4282-8CAE-3871F9C8D840}"/>
    <cellStyle name="Migliaia 42 2 4 2 2" xfId="39676" xr:uid="{C8B4B55F-4478-4A59-BF32-A7BEB0EED60D}"/>
    <cellStyle name="Migliaia 42 2 4 2 3" xfId="44978" xr:uid="{1BDEB0EA-8F9B-479A-B22E-7C8C2F8E4263}"/>
    <cellStyle name="Migliaia 42 2 4 3" xfId="18698" xr:uid="{629751DE-D6A1-4A8E-92D3-443D3B07E9A5}"/>
    <cellStyle name="Migliaia 42 2 4 4" xfId="20644" xr:uid="{47C2361D-4403-4AB3-9AD5-BF208EAE24FE}"/>
    <cellStyle name="Migliaia 42 2 4 4 2" xfId="42327" xr:uid="{DCF47A8D-785A-4C7D-A225-F1E36B1A0CBA}"/>
    <cellStyle name="Migliaia 42 2 4 5" xfId="16573" xr:uid="{B7F70B6D-8CCB-463C-94C4-EB1473027240}"/>
    <cellStyle name="Migliaia 42 2 4 6" xfId="7967" xr:uid="{17310118-7B23-4F76-81BB-C16B75D9215D}"/>
    <cellStyle name="Migliaia 42 2 5" xfId="6595" xr:uid="{E6E24544-EE03-4DAD-93FD-0DE641D8DCCF}"/>
    <cellStyle name="Migliaia 42 2 5 2" xfId="34122" xr:uid="{D5DE7451-7D69-4B81-97C6-AB320B09D45E}"/>
    <cellStyle name="Migliaia 42 2 5 2 2" xfId="39677" xr:uid="{12C3C188-A4A5-4B82-85B8-D9DEB8DAD615}"/>
    <cellStyle name="Migliaia 42 2 5 2 3" xfId="44979" xr:uid="{29AC3EB2-CB36-42F3-B577-EF6A6D0D80BF}"/>
    <cellStyle name="Migliaia 42 2 5 3" xfId="37075" xr:uid="{10AA29A1-3C80-42F6-8614-80B28451E87B}"/>
    <cellStyle name="Migliaia 42 2 5 4" xfId="42328" xr:uid="{3EAE7413-D230-4437-B7CD-FD5F0D69AA4E}"/>
    <cellStyle name="Migliaia 42 2 5 5" xfId="13139" xr:uid="{A73740C3-5E05-4761-A792-B2B280AECDEF}"/>
    <cellStyle name="Migliaia 42 2 6" xfId="3681" xr:uid="{98B60FD5-F5FB-4C1F-B12C-DB87333136C2}"/>
    <cellStyle name="Migliaia 42 2 6 2" xfId="34123" xr:uid="{5A677FA6-D4F6-4B1D-9FEE-71CB50005D38}"/>
    <cellStyle name="Migliaia 42 2 6 2 2" xfId="39678" xr:uid="{9B4F3087-F573-47A2-8CBF-DC48F2CB7103}"/>
    <cellStyle name="Migliaia 42 2 6 2 3" xfId="44980" xr:uid="{110E8423-1CB9-4285-8451-6546F9EACB94}"/>
    <cellStyle name="Migliaia 42 2 6 3" xfId="37076" xr:uid="{3EE9DD15-0BBB-462C-96FA-F5807D7E8336}"/>
    <cellStyle name="Migliaia 42 2 6 4" xfId="42329" xr:uid="{FD4D46B5-4797-4D29-8ADB-DB947C45D3BB}"/>
    <cellStyle name="Migliaia 42 2 6 5" xfId="25017" xr:uid="{72AC9495-4537-40EB-93C0-0977A85AFF0F}"/>
    <cellStyle name="Migliaia 42 2 6 6" xfId="20640" xr:uid="{41A50701-6C6F-4C43-96A3-609540EE791C}"/>
    <cellStyle name="Migliaia 42 2 7" xfId="25015" xr:uid="{D127CEE8-50C8-4219-8735-C47DF7E18DE4}"/>
    <cellStyle name="Migliaia 42 2 8" xfId="7151" xr:uid="{47962C00-BF36-4EA5-9BDA-27F18695023F}"/>
    <cellStyle name="Migliaia 42 3" xfId="447" xr:uid="{00000000-0005-0000-0000-000006040000}"/>
    <cellStyle name="Migliaia 42 3 10" xfId="25018" xr:uid="{D6AADFE3-80E2-4A6E-8472-88BFF57D4C4E}"/>
    <cellStyle name="Migliaia 42 3 11" xfId="16574" xr:uid="{3A20ABCA-E18E-4E83-9C6C-934D62725D78}"/>
    <cellStyle name="Migliaia 42 3 12" xfId="7152" xr:uid="{9379673C-91F8-45BF-87BB-C781451C25C9}"/>
    <cellStyle name="Migliaia 42 3 2" xfId="448" xr:uid="{00000000-0005-0000-0000-000007040000}"/>
    <cellStyle name="Migliaia 42 3 2 2" xfId="1837" xr:uid="{00000000-0005-0000-0000-000008040000}"/>
    <cellStyle name="Migliaia 42 3 2 2 2" xfId="5412" xr:uid="{6F73CBD8-D11F-4FCC-BE10-340B3C8D2687}"/>
    <cellStyle name="Migliaia 42 3 2 2 2 2" xfId="18471" xr:uid="{B0DF7848-59FE-4CF7-8D23-71BA4B1F1BEE}"/>
    <cellStyle name="Migliaia 42 3 2 2 2 2 2" xfId="21877" xr:uid="{E9E7F037-9624-4C90-8119-04AA2263CCAA}"/>
    <cellStyle name="Migliaia 42 3 2 2 2 2 2 2" xfId="39679" xr:uid="{210C82CE-FA05-4C3C-B6B0-3EFB65765F2B}"/>
    <cellStyle name="Migliaia 42 3 2 2 2 2 3" xfId="44981" xr:uid="{FBA4F13F-20D1-4B22-AC54-47C83C97CA24}"/>
    <cellStyle name="Migliaia 42 3 2 2 2 2 4" xfId="34124" xr:uid="{10E01876-9554-41C4-B702-9E38C4F809CC}"/>
    <cellStyle name="Migliaia 42 3 2 2 2 3" xfId="37077" xr:uid="{A92F6058-736B-4F84-A80C-42E4A5F0FD2C}"/>
    <cellStyle name="Migliaia 42 3 2 2 2 4" xfId="42330" xr:uid="{BA8335FC-5ADA-4FC3-8962-E6D643CC6A7E}"/>
    <cellStyle name="Migliaia 42 3 2 2 2 5" xfId="23988" xr:uid="{FFCE5E57-DE31-485F-A3BA-008373997C93}"/>
    <cellStyle name="Migliaia 42 3 2 2 2 6" xfId="50905" xr:uid="{FA9870B7-A6EA-4E8B-975A-DA0212DBF9FC}"/>
    <cellStyle name="Migliaia 42 3 2 2 2 7" xfId="53921" xr:uid="{494B921F-BBB0-417D-9779-4A33E8FEA2B4}"/>
    <cellStyle name="Migliaia 42 3 2 2 2 8" xfId="17675" xr:uid="{2174B7D5-601C-4A58-9744-75950DB64AD2}"/>
    <cellStyle name="Migliaia 42 3 2 2 2 9" xfId="12031" xr:uid="{411375EC-3586-4563-BFF8-DA297BFED320}"/>
    <cellStyle name="Migliaia 42 3 2 2 3" xfId="6600" xr:uid="{0328CB94-615F-4A6E-8AAF-C67B88E1B857}"/>
    <cellStyle name="Migliaia 42 3 2 2 3 2" xfId="11568" xr:uid="{5D7005F5-760A-495C-8C29-C62938DC432D}"/>
    <cellStyle name="Migliaia 42 3 2 2 4" xfId="3686" xr:uid="{8C01A4E3-8ABD-440E-8CDE-7F758DDC3D98}"/>
    <cellStyle name="Migliaia 42 3 2 2 4 2" xfId="21549" xr:uid="{8FAD40E7-F943-4A47-9E48-9C7E0AE1B22C}"/>
    <cellStyle name="Migliaia 42 3 2 2 4 3" xfId="47425" xr:uid="{606EFEA6-FDD2-4E27-91F0-61C082F1BF65}"/>
    <cellStyle name="Migliaia 42 3 2 2 4 4" xfId="50564" xr:uid="{7E585232-475A-4D95-BE5D-4A6CFAD4C7F4}"/>
    <cellStyle name="Migliaia 42 3 2 2 4 5" xfId="53580" xr:uid="{C158CF4A-83C5-4F6F-89E0-EA837C09DFB8}"/>
    <cellStyle name="Migliaia 42 3 2 2 4 6" xfId="10914" xr:uid="{AEBFA000-85C5-4F50-95EE-A714CA995C3A}"/>
    <cellStyle name="Migliaia 42 3 2 2 5" xfId="20647" xr:uid="{79ABB003-FB5B-454D-AD85-769AE11C1DAA}"/>
    <cellStyle name="Migliaia 42 3 2 2 6" xfId="25020" xr:uid="{7FDF8E4C-F6DE-4057-B352-C2714E8CB346}"/>
    <cellStyle name="Migliaia 42 3 2 2 7" xfId="8699" xr:uid="{E82652F7-89C5-4491-8D60-0813ADD81E0A}"/>
    <cellStyle name="Migliaia 42 3 2 3" xfId="5411" xr:uid="{7AE042D6-73EB-4AC6-BC85-07A616024026}"/>
    <cellStyle name="Migliaia 42 3 2 3 2" xfId="12406" xr:uid="{2DCB0AD6-61A0-4DBF-A0E8-16F5DBBFAE5E}"/>
    <cellStyle name="Migliaia 42 3 2 3 2 2" xfId="39680" xr:uid="{C28C5956-783C-4603-A280-666EB5DF5332}"/>
    <cellStyle name="Migliaia 42 3 2 3 2 3" xfId="44982" xr:uid="{6F38F036-6DA4-4DED-8A5D-9BDFA27EE6E5}"/>
    <cellStyle name="Migliaia 42 3 2 3 2 4" xfId="34125" xr:uid="{459715AD-4917-4A8B-A460-EAB7F6E93EB8}"/>
    <cellStyle name="Migliaia 42 3 2 3 3" xfId="12032" xr:uid="{F4BE4F1F-2C76-4735-9E3E-458E919DCD51}"/>
    <cellStyle name="Migliaia 42 3 2 3 4" xfId="20648" xr:uid="{895ACF05-6772-4D5E-B312-1CCB9B524110}"/>
    <cellStyle name="Migliaia 42 3 2 3 4 2" xfId="42331" xr:uid="{90153681-EA6A-4441-8E27-14887EB4C69C}"/>
    <cellStyle name="Migliaia 42 3 2 3 5" xfId="16575" xr:uid="{DCEFB2F3-9728-4A23-8C62-AB17E25AE7BB}"/>
    <cellStyle name="Migliaia 42 3 2 3 6" xfId="7969" xr:uid="{8A98B4BA-22BB-47C6-9CFD-F6F859CCACF1}"/>
    <cellStyle name="Migliaia 42 3 2 4" xfId="6599" xr:uid="{548C2C2F-34C3-4615-B91D-56194F789C96}"/>
    <cellStyle name="Migliaia 42 3 2 4 2" xfId="18093" xr:uid="{9338A041-5061-46EB-B5C4-D84D39735A85}"/>
    <cellStyle name="Migliaia 42 3 2 4 2 2" xfId="39681" xr:uid="{972E6E81-F91B-42F1-ADDE-2DA788FD7EA3}"/>
    <cellStyle name="Migliaia 42 3 2 4 2 3" xfId="44983" xr:uid="{CF25D883-5245-44EF-B3C4-BCE3ACD67541}"/>
    <cellStyle name="Migliaia 42 3 2 4 3" xfId="37078" xr:uid="{F6865A4E-3DE2-465B-84F5-FC4CCDFE6937}"/>
    <cellStyle name="Migliaia 42 3 2 4 4" xfId="42332" xr:uid="{D12478DD-874E-41E0-9012-4329D67C6055}"/>
    <cellStyle name="Migliaia 42 3 2 4 5" xfId="17208" xr:uid="{2C7ED76A-F9A4-490C-ACF9-27C574214624}"/>
    <cellStyle name="Migliaia 42 3 2 4 6" xfId="11380" xr:uid="{1F7B6F86-2BFE-47E7-BED5-9AD7983C8D2C}"/>
    <cellStyle name="Migliaia 42 3 2 5" xfId="3685" xr:uid="{046DF93E-5516-4292-A2CD-BE3E4CE547C4}"/>
    <cellStyle name="Migliaia 42 3 2 5 2" xfId="34126" xr:uid="{C16BB024-944E-4947-8D41-4984FF66AA7D}"/>
    <cellStyle name="Migliaia 42 3 2 5 2 2" xfId="39682" xr:uid="{99627C58-3987-49B3-A012-F16FC9D9D9BF}"/>
    <cellStyle name="Migliaia 42 3 2 5 2 3" xfId="44984" xr:uid="{B07E80A0-19AE-437C-8C3B-DB26858640CB}"/>
    <cellStyle name="Migliaia 42 3 2 5 3" xfId="37079" xr:uid="{5CF27984-ABDB-4688-A9CF-56A6CD8FC148}"/>
    <cellStyle name="Migliaia 42 3 2 5 4" xfId="42333" xr:uid="{CDC4C1FD-E28C-4EF6-9D6C-8F49F8714BA5}"/>
    <cellStyle name="Migliaia 42 3 2 5 5" xfId="17318" xr:uid="{664588A4-A51E-4891-A474-A6803CC71C60}"/>
    <cellStyle name="Migliaia 42 3 2 6" xfId="20646" xr:uid="{919CF251-2508-4690-AED7-701914E4BD49}"/>
    <cellStyle name="Migliaia 42 3 2 6 2" xfId="34127" xr:uid="{A54E5D9B-C3F4-41EC-B53B-825FCFA426AF}"/>
    <cellStyle name="Migliaia 42 3 2 6 2 2" xfId="39683" xr:uid="{9CD4C518-519C-44F8-9661-CBC634A43347}"/>
    <cellStyle name="Migliaia 42 3 2 6 2 3" xfId="44985" xr:uid="{E469F326-0284-49E6-A03C-30555A994FB7}"/>
    <cellStyle name="Migliaia 42 3 2 6 3" xfId="37080" xr:uid="{C2C7C948-3F13-41A2-9905-16D00EDFBEE3}"/>
    <cellStyle name="Migliaia 42 3 2 6 4" xfId="42334" xr:uid="{C47C88A6-A046-44AF-8967-7850DB7A39C1}"/>
    <cellStyle name="Migliaia 42 3 2 6 5" xfId="25021" xr:uid="{464085E3-6782-4785-9AA5-C0FA341E4FD1}"/>
    <cellStyle name="Migliaia 42 3 2 7" xfId="25019" xr:uid="{6D96BA6D-20D5-4BBE-9D30-DC618E1A0DAC}"/>
    <cellStyle name="Migliaia 42 3 2 8" xfId="7509" xr:uid="{5C5AC451-612B-43C6-81A9-7F0CEA49D912}"/>
    <cellStyle name="Migliaia 42 3 3" xfId="3687" xr:uid="{14AD234C-A93C-434D-8AA0-E9E268F695CA}"/>
    <cellStyle name="Migliaia 42 3 3 10" xfId="7508" xr:uid="{3AA6861F-5499-4BD7-BB74-A00259EB6600}"/>
    <cellStyle name="Migliaia 42 3 3 2" xfId="5413" xr:uid="{935F6128-386C-42F2-A7C2-5CED5BA480A5}"/>
    <cellStyle name="Migliaia 42 3 3 2 2" xfId="9954" xr:uid="{C54C5DF8-A766-4A7A-9ED0-0B94FECC10DD}"/>
    <cellStyle name="Migliaia 42 3 3 2 2 2" xfId="39685" xr:uid="{CE015A26-B7D1-4C39-9811-AB79CC501899}"/>
    <cellStyle name="Migliaia 42 3 3 2 2 3" xfId="44987" xr:uid="{9CD1730B-062F-4819-BD7F-D08AB98AC43D}"/>
    <cellStyle name="Migliaia 42 3 3 2 3" xfId="18234" xr:uid="{321031B4-1002-4B1D-83E2-C5F038249221}"/>
    <cellStyle name="Migliaia 42 3 3 2 4" xfId="20650" xr:uid="{4585F5E2-A727-4CC3-85B2-7AF4B3C09AED}"/>
    <cellStyle name="Migliaia 42 3 3 2 4 2" xfId="42336" xr:uid="{8E5B5955-3B8E-4E84-87BF-1F7B856DC025}"/>
    <cellStyle name="Migliaia 42 3 3 2 5" xfId="16577" xr:uid="{690A8058-8C5C-4D49-9A60-EB7E065DE3DE}"/>
    <cellStyle name="Migliaia 42 3 3 2 6" xfId="8698" xr:uid="{225F4972-5E5D-4A75-9148-8DFAF0FE524A}"/>
    <cellStyle name="Migliaia 42 3 3 3" xfId="6601" xr:uid="{CF9E21B0-96BE-4BA8-A247-D8194F45F190}"/>
    <cellStyle name="Migliaia 42 3 3 3 2" xfId="34129" xr:uid="{1DD9C758-0364-49C0-A045-BECD82D26BAF}"/>
    <cellStyle name="Migliaia 42 3 3 3 2 2" xfId="39686" xr:uid="{566BD775-A204-476E-B90A-EEC205DC28CE}"/>
    <cellStyle name="Migliaia 42 3 3 3 2 3" xfId="44988" xr:uid="{D7D039F6-728B-4B68-BC82-D7FFF33DBC20}"/>
    <cellStyle name="Migliaia 42 3 3 3 3" xfId="37082" xr:uid="{14848FD8-D93C-41C2-947B-98F36CB46461}"/>
    <cellStyle name="Migliaia 42 3 3 3 4" xfId="42337" xr:uid="{C9718DD5-02D0-4BDA-8576-9D522D0225C0}"/>
    <cellStyle name="Migliaia 42 3 3 3 5" xfId="9717" xr:uid="{0E80169B-1E6C-44B4-A4D4-A9C123E891BC}"/>
    <cellStyle name="Migliaia 42 3 3 4" xfId="20649" xr:uid="{82F555A5-158E-42ED-8D48-69289CE4B6F4}"/>
    <cellStyle name="Migliaia 42 3 3 4 2" xfId="34130" xr:uid="{BF3F9426-5B0A-4342-AF60-48316662C650}"/>
    <cellStyle name="Migliaia 42 3 3 4 2 2" xfId="39687" xr:uid="{FB8D534E-D82E-49A2-BCDA-D0769E0D31B5}"/>
    <cellStyle name="Migliaia 42 3 3 4 2 3" xfId="44989" xr:uid="{BC382741-B34E-4B46-B8C0-C137AC5E6676}"/>
    <cellStyle name="Migliaia 42 3 3 4 3" xfId="37083" xr:uid="{8E1DB54D-FB00-4211-8302-A677B0A42E62}"/>
    <cellStyle name="Migliaia 42 3 3 4 4" xfId="42338" xr:uid="{F715F4BA-9EFA-4233-AA21-114F93715F83}"/>
    <cellStyle name="Migliaia 42 3 3 4 5" xfId="25022" xr:uid="{F41961CC-134D-4345-9C69-2047B3FE4094}"/>
    <cellStyle name="Migliaia 42 3 3 5" xfId="25023" xr:uid="{5243B470-B646-42BB-B3A9-389D8A85E3B4}"/>
    <cellStyle name="Migliaia 42 3 3 5 2" xfId="34131" xr:uid="{2F4FA38B-E540-4D45-83E0-B5A4AD8F4499}"/>
    <cellStyle name="Migliaia 42 3 3 5 2 2" xfId="39688" xr:uid="{E3484864-E94B-4CC8-8D84-14E9795FF9BD}"/>
    <cellStyle name="Migliaia 42 3 3 5 2 3" xfId="44990" xr:uid="{3A217358-5944-4C17-95B0-F86393E026DF}"/>
    <cellStyle name="Migliaia 42 3 3 5 3" xfId="37084" xr:uid="{DE81502C-6E50-4508-B398-3D64BD167DC7}"/>
    <cellStyle name="Migliaia 42 3 3 5 4" xfId="42339" xr:uid="{E2D48FEB-9EC8-4157-B3D5-745959F64CE0}"/>
    <cellStyle name="Migliaia 42 3 3 6" xfId="34128" xr:uid="{8B6EB805-3E86-4563-927C-5269FC3ED6D6}"/>
    <cellStyle name="Migliaia 42 3 3 6 2" xfId="39684" xr:uid="{44109717-C499-4FCC-A2B8-0013D97A75AA}"/>
    <cellStyle name="Migliaia 42 3 3 6 3" xfId="44986" xr:uid="{572F0177-2376-4424-891E-0540DBE2FA3B}"/>
    <cellStyle name="Migliaia 42 3 3 7" xfId="37081" xr:uid="{5741A35A-74BA-4518-A4AA-7DB5C7AE28E4}"/>
    <cellStyle name="Migliaia 42 3 3 8" xfId="42335" xr:uid="{1D0DFCE9-B5D0-47EB-A1A4-584F734A0100}"/>
    <cellStyle name="Migliaia 42 3 3 9" xfId="16576" xr:uid="{C2AD4F90-E9F1-4E82-8500-DDC260279846}"/>
    <cellStyle name="Migliaia 42 3 4" xfId="3688" xr:uid="{F529A206-FE6C-46CC-BFB3-399F2C0C49CE}"/>
    <cellStyle name="Migliaia 42 3 4 2" xfId="5414" xr:uid="{BDADA8EF-4072-46E6-9238-9652E920CBC7}"/>
    <cellStyle name="Migliaia 42 3 4 2 2" xfId="14459" xr:uid="{56A8C100-BECD-4354-8A52-D33B6A3D3BF0}"/>
    <cellStyle name="Migliaia 42 3 4 2 3" xfId="18628" xr:uid="{2BA26BD7-1FC2-4AD7-879F-92FF607BB406}"/>
    <cellStyle name="Migliaia 42 3 4 2 4" xfId="20652" xr:uid="{C7024B64-1F0C-4A1D-9F46-685C16A1427F}"/>
    <cellStyle name="Migliaia 42 3 4 2 5" xfId="32418" xr:uid="{A9D93383-B5FC-40E3-B227-0C8339B075F4}"/>
    <cellStyle name="Migliaia 42 3 4 2 6" xfId="16579" xr:uid="{8CCD9A84-4652-45FD-9A14-991890218AF0}"/>
    <cellStyle name="Migliaia 42 3 4 2 7" xfId="8882" xr:uid="{99B3A80C-A8FD-4980-9169-04689D52FD2B}"/>
    <cellStyle name="Migliaia 42 3 4 3" xfId="6602" xr:uid="{94099431-B308-4B76-BCDA-426073D11105}"/>
    <cellStyle name="Migliaia 42 3 4 3 2" xfId="35377" xr:uid="{68C7BCAC-2721-4934-AEAF-6FA9739E450F}"/>
    <cellStyle name="Migliaia 42 3 4 3 2 2" xfId="40537" xr:uid="{58558476-16C1-40E3-A7D2-A4FDDBC774BF}"/>
    <cellStyle name="Migliaia 42 3 4 3 2 3" xfId="45839" xr:uid="{08D7F91A-A5D9-4733-BCCB-190A530DEE77}"/>
    <cellStyle name="Migliaia 42 3 4 3 3" xfId="37886" xr:uid="{193B0AA8-ABBC-44D9-BD82-2CE22B33CACF}"/>
    <cellStyle name="Migliaia 42 3 4 3 4" xfId="43188" xr:uid="{B0592774-6268-46EF-A4E0-72C18969CC35}"/>
    <cellStyle name="Migliaia 42 3 4 3 5" xfId="13707" xr:uid="{9E79E41F-1E2E-4A76-9943-D8CC8C476CC4}"/>
    <cellStyle name="Migliaia 42 3 4 4" xfId="20651" xr:uid="{D30DF690-AEF7-4FD6-A5C9-D616D4014E36}"/>
    <cellStyle name="Migliaia 42 3 4 4 2" xfId="39689" xr:uid="{A6C47B8A-7120-412C-9F40-34EE22700BBE}"/>
    <cellStyle name="Migliaia 42 3 4 4 3" xfId="44991" xr:uid="{79E7109D-0E90-47FF-A704-CE138CB25BC1}"/>
    <cellStyle name="Migliaia 42 3 4 4 4" xfId="34132" xr:uid="{D0DE17A3-6E1F-4C87-AA59-8DD00A745CAA}"/>
    <cellStyle name="Migliaia 42 3 4 5" xfId="37085" xr:uid="{4E698B98-1F3E-4640-A263-FCC154F31706}"/>
    <cellStyle name="Migliaia 42 3 4 6" xfId="42340" xr:uid="{FFA5D687-E782-4EDF-AB88-D5E4BCE19592}"/>
    <cellStyle name="Migliaia 42 3 4 7" xfId="16578" xr:uid="{0ED7AB9D-DC8C-4DB5-8D72-6A7D89AAAA07}"/>
    <cellStyle name="Migliaia 42 3 4 8" xfId="7692" xr:uid="{6ADF6C3E-4A22-40F7-BF01-524132127E2D}"/>
    <cellStyle name="Migliaia 42 3 5" xfId="3689" xr:uid="{F8E66518-068A-494A-B58A-A69DDA470BBD}"/>
    <cellStyle name="Migliaia 42 3 5 2" xfId="5415" xr:uid="{0EFAC48A-16B6-4400-83A1-F8E0EB29F1BA}"/>
    <cellStyle name="Migliaia 42 3 5 2 2" xfId="35378" xr:uid="{8F7ACB88-5C37-4F31-A35B-823FA1AA62B4}"/>
    <cellStyle name="Migliaia 42 3 5 2 2 2" xfId="40538" xr:uid="{C9BE55C2-F20A-4C1A-BC9F-C7745923DBE8}"/>
    <cellStyle name="Migliaia 42 3 5 2 2 3" xfId="45840" xr:uid="{1ADF1C08-8641-48F7-A771-A22922A63F5E}"/>
    <cellStyle name="Migliaia 42 3 5 2 3" xfId="37887" xr:uid="{DFABE7B0-7080-4317-A17C-ACD564CE5FC5}"/>
    <cellStyle name="Migliaia 42 3 5 2 4" xfId="43189" xr:uid="{75CAC2C5-56F0-4CEA-B347-10A3E3D14B73}"/>
    <cellStyle name="Migliaia 42 3 5 2 5" xfId="14289" xr:uid="{B65BC46D-037B-4143-BD7C-3F4C84034DAF}"/>
    <cellStyle name="Migliaia 42 3 5 3" xfId="6603" xr:uid="{6F8B11C8-0983-4291-A012-5619273643DE}"/>
    <cellStyle name="Migliaia 42 3 5 3 2" xfId="39690" xr:uid="{77FBB6C4-9410-4978-8859-6178D6CF925C}"/>
    <cellStyle name="Migliaia 42 3 5 3 3" xfId="44992" xr:uid="{96045B64-10A0-4149-A554-1E59907C8F2C}"/>
    <cellStyle name="Migliaia 42 3 5 3 4" xfId="34133" xr:uid="{94E330F9-BC44-45C6-873D-EB06B56D5204}"/>
    <cellStyle name="Migliaia 42 3 5 3 5" xfId="20653" xr:uid="{570D26FC-5C0F-41ED-B108-646DDC59A4E2}"/>
    <cellStyle name="Migliaia 42 3 5 4" xfId="37086" xr:uid="{29C17E89-99E0-472E-8FD4-3D88C75B546F}"/>
    <cellStyle name="Migliaia 42 3 5 5" xfId="42341" xr:uid="{548D2DCD-B4D2-4A07-AAFA-3A6300BBC7FC}"/>
    <cellStyle name="Migliaia 42 3 5 6" xfId="16580" xr:uid="{B165D33E-875F-4109-94DD-099B8BD67F63}"/>
    <cellStyle name="Migliaia 42 3 5 7" xfId="8351" xr:uid="{6EB12D98-E6FC-4280-88DF-0068047FCC3C}"/>
    <cellStyle name="Migliaia 42 3 6" xfId="5410" xr:uid="{D95E8B71-2436-4DF1-B110-FA1A92E0AFF0}"/>
    <cellStyle name="Migliaia 42 3 6 2" xfId="13994" xr:uid="{4A5BF096-EB06-472F-9CC4-7E109587D6B2}"/>
    <cellStyle name="Migliaia 42 3 6 2 2" xfId="39691" xr:uid="{7A7D7358-70AC-46D7-AE40-6181E80FC49D}"/>
    <cellStyle name="Migliaia 42 3 6 2 3" xfId="44993" xr:uid="{C0AAC34A-D2D4-4FF7-BD72-C8AD9CFBA916}"/>
    <cellStyle name="Migliaia 42 3 6 3" xfId="18609" xr:uid="{832B40FE-DED6-42DB-894F-D2A6A9E48C2A}"/>
    <cellStyle name="Migliaia 42 3 6 4" xfId="20654" xr:uid="{6A480FE5-A1E0-46F3-8BB1-E4292A7CE2BC}"/>
    <cellStyle name="Migliaia 42 3 6 4 2" xfId="42342" xr:uid="{97E03AFF-BA59-43B9-B8AB-9A7E8062442B}"/>
    <cellStyle name="Migliaia 42 3 6 5" xfId="16581" xr:uid="{40079096-9E7C-47C7-A83A-F7A136780138}"/>
    <cellStyle name="Migliaia 42 3 6 6" xfId="7968" xr:uid="{02B4B44F-E093-4A04-9A21-762027150C24}"/>
    <cellStyle name="Migliaia 42 3 7" xfId="6598" xr:uid="{E99903A8-AD5F-4B60-A58A-7BE94FBD941C}"/>
    <cellStyle name="Migliaia 42 3 7 2" xfId="34134" xr:uid="{B8BBBE5A-5DEE-4271-A93A-8399D9661805}"/>
    <cellStyle name="Migliaia 42 3 7 2 2" xfId="39692" xr:uid="{3908C0C6-2AE8-4D4F-AB01-1EE1C51D0F77}"/>
    <cellStyle name="Migliaia 42 3 7 2 3" xfId="44994" xr:uid="{C07F44F0-AC2B-48D8-A2F2-87D3CC7717AA}"/>
    <cellStyle name="Migliaia 42 3 7 3" xfId="37087" xr:uid="{A9D39D86-0A7C-489E-8F63-4A19A2B764A3}"/>
    <cellStyle name="Migliaia 42 3 7 4" xfId="42343" xr:uid="{754C375B-A4BC-4E46-BE4A-C1A35F8C4A32}"/>
    <cellStyle name="Migliaia 42 3 7 5" xfId="12247" xr:uid="{3F005B55-F432-4327-8A99-03759731F798}"/>
    <cellStyle name="Migliaia 42 3 8" xfId="3684" xr:uid="{BF2E584E-DB74-4E71-9D2D-2897249F35F7}"/>
    <cellStyle name="Migliaia 42 3 8 2" xfId="34135" xr:uid="{CC1FC2F4-7CF9-4630-B6C4-3D37BDF8DC8A}"/>
    <cellStyle name="Migliaia 42 3 8 2 2" xfId="39693" xr:uid="{365EAC0B-F12A-44D8-B360-5010724E28EE}"/>
    <cellStyle name="Migliaia 42 3 8 2 3" xfId="44995" xr:uid="{400186FC-53B4-4E70-9139-763B4372EF67}"/>
    <cellStyle name="Migliaia 42 3 8 3" xfId="37088" xr:uid="{ABAAC972-8EC0-47AC-9311-9A9AE474F45A}"/>
    <cellStyle name="Migliaia 42 3 8 4" xfId="42344" xr:uid="{DEBC1C1B-4E98-4F79-A1DA-60BB40F58AF2}"/>
    <cellStyle name="Migliaia 42 3 8 5" xfId="25024" xr:uid="{C79967D1-0035-4B07-9C17-52E60D809C7F}"/>
    <cellStyle name="Migliaia 42 3 8 6" xfId="17319" xr:uid="{5D66BA5B-B59E-4AFC-B0BA-C220CC535EDD}"/>
    <cellStyle name="Migliaia 42 3 9" xfId="20645" xr:uid="{AA61BE4B-94F6-4D82-A58F-9C3877A3D12A}"/>
    <cellStyle name="Migliaia 42 4" xfId="1838" xr:uid="{00000000-0005-0000-0000-000009040000}"/>
    <cellStyle name="Migliaia 42 4 2" xfId="1839" xr:uid="{00000000-0005-0000-0000-00000A040000}"/>
    <cellStyle name="Migliaia 42 4 2 2" xfId="5417" xr:uid="{F353511E-7122-4DF1-B2D0-CB89EB433B1C}"/>
    <cellStyle name="Migliaia 42 4 2 2 2" xfId="34136" xr:uid="{085579E7-D7D2-4999-904A-7A570419B02A}"/>
    <cellStyle name="Migliaia 42 4 2 2 2 2" xfId="39694" xr:uid="{8B8AFBAB-DFF6-4F4E-9C58-E14329CEDC8B}"/>
    <cellStyle name="Migliaia 42 4 2 2 2 3" xfId="44996" xr:uid="{FB449D6D-0592-4AE0-9C6C-C9E149038165}"/>
    <cellStyle name="Migliaia 42 4 2 2 3" xfId="37089" xr:uid="{16478EB4-3F56-497E-8F2F-E204D7F79FBB}"/>
    <cellStyle name="Migliaia 42 4 2 2 4" xfId="42345" xr:uid="{92FD4046-5060-4F3E-9150-333972F020E0}"/>
    <cellStyle name="Migliaia 42 4 2 2 5" xfId="9180" xr:uid="{708F96F8-B4E2-4884-B538-AD707E37325F}"/>
    <cellStyle name="Migliaia 42 4 2 3" xfId="3691" xr:uid="{F0016668-CC46-41EE-8DE0-434A015DD712}"/>
    <cellStyle name="Migliaia 42 4 2 3 2" xfId="34137" xr:uid="{C8D39D2C-74D1-4C69-A416-8EB164162F3F}"/>
    <cellStyle name="Migliaia 42 4 2 3 2 2" xfId="39695" xr:uid="{66059E14-89D1-447E-8C0A-36CBAF7152F8}"/>
    <cellStyle name="Migliaia 42 4 2 3 2 3" xfId="44997" xr:uid="{F3D76387-0F67-4B94-BDCD-AB6C26018E4A}"/>
    <cellStyle name="Migliaia 42 4 2 3 3" xfId="37090" xr:uid="{844B621C-CDA5-485F-B147-68E79CBD8CB1}"/>
    <cellStyle name="Migliaia 42 4 2 3 4" xfId="42346" xr:uid="{17110356-0DB1-4732-A1D4-134365C5E38A}"/>
    <cellStyle name="Migliaia 42 4 2 3 5" xfId="12033" xr:uid="{5D7F69AF-3327-4A0D-A394-0B6FDA605FB8}"/>
    <cellStyle name="Migliaia 42 4 2 4" xfId="11382" xr:uid="{0AE7782F-93A3-4834-8DCC-0D41B9619757}"/>
    <cellStyle name="Migliaia 42 4 2 5" xfId="10916" xr:uid="{3456CFC0-55C6-486B-B365-2DBF3F293A78}"/>
    <cellStyle name="Migliaia 42 4 2 5 2" xfId="21551" xr:uid="{8B5DD290-BACE-493A-B357-BF3E2C575750}"/>
    <cellStyle name="Migliaia 42 4 2 5 3" xfId="25350" xr:uid="{86BE9832-EBD2-48FE-965A-97C6F93EBE83}"/>
    <cellStyle name="Migliaia 42 4 2 5 4" xfId="50566" xr:uid="{7A0EA6F6-23CE-4589-9850-9F3585EF9F54}"/>
    <cellStyle name="Migliaia 42 4 2 5 5" xfId="53582" xr:uid="{791E3DDC-93C9-44F4-8F2B-23758393803B}"/>
    <cellStyle name="Migliaia 42 4 2 6" xfId="20656" xr:uid="{9BDC98E3-086B-41F1-8DF5-1F9EFDCE9F97}"/>
    <cellStyle name="Migliaia 42 4 2 7" xfId="25026" xr:uid="{B228C546-5E58-42A6-A976-6C32D62B83D4}"/>
    <cellStyle name="Migliaia 42 4 2 8" xfId="8700" xr:uid="{916E3B09-6D98-454D-B3BC-E3DDC01C4653}"/>
    <cellStyle name="Migliaia 42 4 3" xfId="5416" xr:uid="{97FE7688-E785-41D6-9197-6C70640B3B6C}"/>
    <cellStyle name="Migliaia 42 4 3 2" xfId="18235" xr:uid="{95A122C6-8CAA-414F-A21F-DDC81A26D37B}"/>
    <cellStyle name="Migliaia 42 4 3 2 2" xfId="39696" xr:uid="{6B7CCB82-631B-4F4A-B59A-0FE557CFE5C1}"/>
    <cellStyle name="Migliaia 42 4 3 2 3" xfId="44998" xr:uid="{3821AAA2-51B7-4612-9EA4-5CBF28692F86}"/>
    <cellStyle name="Migliaia 42 4 3 3" xfId="37091" xr:uid="{FBC34D1C-F38D-4F12-A5DD-32D4023B58DF}"/>
    <cellStyle name="Migliaia 42 4 3 4" xfId="42347" xr:uid="{5EB83BF4-6300-456B-A270-C6535DD39961}"/>
    <cellStyle name="Migliaia 42 4 3 5" xfId="17317" xr:uid="{244FC892-FDBC-4590-A83E-AB73B96A6D21}"/>
    <cellStyle name="Migliaia 42 4 3 6" xfId="9181" xr:uid="{3A105F35-1FDD-4F78-9E14-30ACE820FE2F}"/>
    <cellStyle name="Migliaia 42 4 4" xfId="6604" xr:uid="{E5812EF7-A939-4F47-82A0-F11A5EDB1272}"/>
    <cellStyle name="Migliaia 42 4 4 2" xfId="34139" xr:uid="{7157546D-A726-4F46-830C-0EAD428201DA}"/>
    <cellStyle name="Migliaia 42 4 4 2 2" xfId="39697" xr:uid="{28667A3C-0F8E-42DB-9291-ADB42CAE446E}"/>
    <cellStyle name="Migliaia 42 4 4 2 3" xfId="44999" xr:uid="{6C29DF8F-BCB1-45C4-8D07-A39EDBC19B9C}"/>
    <cellStyle name="Migliaia 42 4 4 3" xfId="37092" xr:uid="{29994A0A-3568-4ACE-80E2-0F2F3332189A}"/>
    <cellStyle name="Migliaia 42 4 4 4" xfId="42348" xr:uid="{B14256B5-64D4-484F-8486-A88EB0234EA1}"/>
    <cellStyle name="Migliaia 42 4 4 5" xfId="12034" xr:uid="{86423CAE-C65F-439B-ACD4-8D6CAEBBF3B0}"/>
    <cellStyle name="Migliaia 42 4 5" xfId="3690" xr:uid="{6FC28AF1-43DA-4F9C-8AD9-01091AC3B763}"/>
    <cellStyle name="Migliaia 42 4 5 2" xfId="34140" xr:uid="{30D3BA50-4BB8-441E-85D9-34943EE57AFA}"/>
    <cellStyle name="Migliaia 42 4 5 2 2" xfId="39698" xr:uid="{ABE9ADCA-3F52-480C-B41F-CC55EE767380}"/>
    <cellStyle name="Migliaia 42 4 5 2 3" xfId="45000" xr:uid="{604F3892-337E-4D07-90F6-AEF1F0FAC483}"/>
    <cellStyle name="Migliaia 42 4 5 3" xfId="37093" xr:uid="{4C2515FE-5CB1-4BAC-8869-5197295B12F5}"/>
    <cellStyle name="Migliaia 42 4 5 4" xfId="42349" xr:uid="{807EC45C-F2F2-483F-91EF-AC2237467E2C}"/>
    <cellStyle name="Migliaia 42 4 5 5" xfId="11381" xr:uid="{7E840DF5-48DD-4840-93B3-7630826BBFC7}"/>
    <cellStyle name="Migliaia 42 4 6" xfId="10915" xr:uid="{044C42C3-19D9-4BEC-AACC-C9615294B72C}"/>
    <cellStyle name="Migliaia 42 4 6 2" xfId="21550" xr:uid="{F0F8C6ED-1F35-43E1-91D6-1550E7AE4F78}"/>
    <cellStyle name="Migliaia 42 4 6 2 2" xfId="39699" xr:uid="{2C2F327F-977B-4B2C-8374-6CE49ED9F1B2}"/>
    <cellStyle name="Migliaia 42 4 6 2 3" xfId="45001" xr:uid="{B84CB9B0-67DB-47C8-A26D-3FF23643B1A6}"/>
    <cellStyle name="Migliaia 42 4 6 2 4" xfId="34141" xr:uid="{88D80FC9-CFCE-4E29-85F1-B487C936AC6F}"/>
    <cellStyle name="Migliaia 42 4 6 3" xfId="37094" xr:uid="{BF0BD964-B065-4B30-A6D7-701D74AC6E19}"/>
    <cellStyle name="Migliaia 42 4 6 4" xfId="42350" xr:uid="{7A4702FC-F8D2-4283-95BE-7583CD903C85}"/>
    <cellStyle name="Migliaia 42 4 6 5" xfId="25031" xr:uid="{337E76B7-19C2-47C6-BF50-67B7E1C73838}"/>
    <cellStyle name="Migliaia 42 4 6 6" xfId="47903" xr:uid="{F6C99586-E809-4139-A32B-4BC304936084}"/>
    <cellStyle name="Migliaia 42 4 6 7" xfId="50565" xr:uid="{F92DD9A6-AF17-489D-869A-FE6C211F139C}"/>
    <cellStyle name="Migliaia 42 4 6 8" xfId="53581" xr:uid="{B1EDCFBB-BB40-4B49-85A7-521C843829A3}"/>
    <cellStyle name="Migliaia 42 4 7" xfId="20655" xr:uid="{71F86F2E-0FCD-452F-99FE-FCC55A23FE35}"/>
    <cellStyle name="Migliaia 42 4 7 2" xfId="34142" xr:uid="{2D80DD91-CE47-496A-9AC1-07878BAE9F3D}"/>
    <cellStyle name="Migliaia 42 4 7 2 2" xfId="39700" xr:uid="{DAADC547-4F36-4B87-B578-1472E5C30525}"/>
    <cellStyle name="Migliaia 42 4 7 2 3" xfId="45002" xr:uid="{B43BC6E9-6C6C-40DE-99F2-2A5A6EA2960F}"/>
    <cellStyle name="Migliaia 42 4 7 3" xfId="37095" xr:uid="{E7581B52-504A-4431-AAFC-FD1A241726A4}"/>
    <cellStyle name="Migliaia 42 4 7 4" xfId="42351" xr:uid="{9B48FEE6-4DCA-415E-B1F9-B9C7A1C9DACC}"/>
    <cellStyle name="Migliaia 42 4 7 5" xfId="25032" xr:uid="{09F2F37F-6B7B-4F96-9BC9-787A386A051F}"/>
    <cellStyle name="Migliaia 42 4 8" xfId="25025" xr:uid="{278E04B7-CD0B-4952-AF7A-CD77EB018638}"/>
    <cellStyle name="Migliaia 42 4 9" xfId="7510" xr:uid="{35F41FBD-FD71-45FE-96A7-3EC765E9D364}"/>
    <cellStyle name="Migliaia 42 5" xfId="1840" xr:uid="{00000000-0005-0000-0000-00000B040000}"/>
    <cellStyle name="Migliaia 42 5 2" xfId="5418" xr:uid="{89C8FEB2-EEDB-4A35-9C06-3BEEC11466E6}"/>
    <cellStyle name="Migliaia 42 5 2 2" xfId="18472" xr:uid="{71913396-5AD8-479F-977C-245B420F6236}"/>
    <cellStyle name="Migliaia 42 5 2 2 2" xfId="39701" xr:uid="{09A56A1B-B7B9-4EDD-B8E2-FE1F9677E456}"/>
    <cellStyle name="Migliaia 42 5 2 2 3" xfId="45003" xr:uid="{22954157-D996-4313-B65D-48B4EA72177D}"/>
    <cellStyle name="Migliaia 42 5 2 3" xfId="20658" xr:uid="{776B25E5-49E6-42C4-BF1F-2EE831664061}"/>
    <cellStyle name="Migliaia 42 5 2 3 2" xfId="37096" xr:uid="{712A855E-1832-49BD-B84E-031EF6050D47}"/>
    <cellStyle name="Migliaia 42 5 2 4" xfId="42352" xr:uid="{A5F44E9E-D99A-4CB1-8D4E-07152677ABA9}"/>
    <cellStyle name="Migliaia 42 5 2 5" xfId="16582" xr:uid="{EEDC6D8C-F384-4717-B5DD-FE713485889C}"/>
    <cellStyle name="Migliaia 42 5 2 6" xfId="8701" xr:uid="{0751170D-EBF2-4A14-9BB1-81F0340F697A}"/>
    <cellStyle name="Migliaia 42 5 3" xfId="6605" xr:uid="{28F63BBA-C89B-4692-8F68-297820F79E7E}"/>
    <cellStyle name="Migliaia 42 5 3 2" xfId="34144" xr:uid="{5D2ED6CF-D0C9-4F69-AFE6-667B2FA701A6}"/>
    <cellStyle name="Migliaia 42 5 3 2 2" xfId="39702" xr:uid="{61FCB0B4-4DD9-407F-B64A-A3F4B49E4841}"/>
    <cellStyle name="Migliaia 42 5 3 2 3" xfId="45004" xr:uid="{159854C0-1813-43AD-AC90-A9DCDC6CA20C}"/>
    <cellStyle name="Migliaia 42 5 3 3" xfId="37097" xr:uid="{7DAEA7DC-D5B2-477C-B5C6-2C88B382000D}"/>
    <cellStyle name="Migliaia 42 5 3 4" xfId="42353" xr:uid="{65C81641-3E98-4937-8AF1-10C951A4FFC1}"/>
    <cellStyle name="Migliaia 42 5 3 5" xfId="11383" xr:uid="{20282CAF-A50D-48D0-8DE8-BA72663CA1BE}"/>
    <cellStyle name="Migliaia 42 5 4" xfId="3692" xr:uid="{FC3A25BA-A23A-4BC1-86D8-F1797FCD92AA}"/>
    <cellStyle name="Migliaia 42 5 4 2" xfId="21552" xr:uid="{4F9E3A51-BCE4-4C22-B3C2-7DE750FA89B0}"/>
    <cellStyle name="Migliaia 42 5 4 2 2" xfId="39703" xr:uid="{F3DC06B1-3C14-45D4-B755-40A49FE26D2C}"/>
    <cellStyle name="Migliaia 42 5 4 2 3" xfId="45005" xr:uid="{8C441359-2FED-4416-97DC-D83180C7C25E}"/>
    <cellStyle name="Migliaia 42 5 4 2 4" xfId="34145" xr:uid="{05510ACB-39A7-4BD0-A17C-35931F310413}"/>
    <cellStyle name="Migliaia 42 5 4 3" xfId="37098" xr:uid="{2DA758ED-DA7F-41E2-AFAD-5824E66DC567}"/>
    <cellStyle name="Migliaia 42 5 4 4" xfId="42354" xr:uid="{A4C5A8C5-A031-4912-AF8F-E31066B7CCC3}"/>
    <cellStyle name="Migliaia 42 5 4 5" xfId="25036" xr:uid="{929007F9-4F7D-4425-B6FD-CA009A5F084A}"/>
    <cellStyle name="Migliaia 42 5 4 6" xfId="47684" xr:uid="{D09DA7AA-3FDE-4DA1-A2BC-7382D4EA0C88}"/>
    <cellStyle name="Migliaia 42 5 4 7" xfId="50567" xr:uid="{06AAA181-05A6-4EC1-80B4-5464477E7659}"/>
    <cellStyle name="Migliaia 42 5 4 8" xfId="53583" xr:uid="{5D1B8EE0-FFBC-4DE9-AF5D-5BB1046A1322}"/>
    <cellStyle name="Migliaia 42 5 4 9" xfId="10917" xr:uid="{54E9E6D5-9CE0-4630-B71A-5AD853E5B158}"/>
    <cellStyle name="Migliaia 42 5 5" xfId="20657" xr:uid="{3C92F024-D803-4427-BC08-47A46C67D0B4}"/>
    <cellStyle name="Migliaia 42 5 5 2" xfId="34146" xr:uid="{E106252F-B7F0-4372-83B2-9E1B3287131B}"/>
    <cellStyle name="Migliaia 42 5 5 2 2" xfId="39704" xr:uid="{2F62A187-F02C-4653-A3F5-4DAD06E88209}"/>
    <cellStyle name="Migliaia 42 5 5 2 3" xfId="45006" xr:uid="{31AB2EB6-CAB9-40C9-9AFD-B1523FE452E2}"/>
    <cellStyle name="Migliaia 42 5 5 3" xfId="37099" xr:uid="{916A10A9-30FC-46EA-B362-D0AF2FD585B8}"/>
    <cellStyle name="Migliaia 42 5 5 4" xfId="42355" xr:uid="{57CE34D6-DFEB-45BB-8FFB-A4E618C5E78C}"/>
    <cellStyle name="Migliaia 42 5 5 5" xfId="25037" xr:uid="{B7C15AA2-FF3D-4582-AFF3-21A8988BCAE7}"/>
    <cellStyle name="Migliaia 42 5 6" xfId="25038" xr:uid="{590B0E26-ADB6-45C0-AB39-C7438022B959}"/>
    <cellStyle name="Migliaia 42 5 6 2" xfId="34147" xr:uid="{C6CAA7C5-E433-4D6D-9794-05EA3ABAFF43}"/>
    <cellStyle name="Migliaia 42 5 6 2 2" xfId="39705" xr:uid="{B54E7263-6061-4228-97C8-AD0B95AFC840}"/>
    <cellStyle name="Migliaia 42 5 6 2 3" xfId="45007" xr:uid="{F58790AC-0A54-4ACA-8A2C-F3BDE8A247D1}"/>
    <cellStyle name="Migliaia 42 5 6 3" xfId="37100" xr:uid="{F5743281-DAE1-4B32-ABAC-B8F188F3F1AA}"/>
    <cellStyle name="Migliaia 42 5 6 4" xfId="42356" xr:uid="{07C6A713-2E1D-4F26-832C-E8C459CEAEF0}"/>
    <cellStyle name="Migliaia 42 5 7" xfId="25033" xr:uid="{3D742FCF-7F11-4439-9130-BB69FFD90C32}"/>
    <cellStyle name="Migliaia 42 5 8" xfId="7511" xr:uid="{438F3350-91B1-42F4-93C4-4F4B5064ACEA}"/>
    <cellStyle name="Migliaia 42 6" xfId="3693" xr:uid="{632F3160-871B-4698-BB32-D290612D7D8A}"/>
    <cellStyle name="Migliaia 42 6 2" xfId="5419" xr:uid="{5E0A78F6-9B38-42BD-BDA4-94C39C3CCE10}"/>
    <cellStyle name="Migliaia 42 6 2 2" xfId="9953" xr:uid="{C94CA372-A326-4BA4-9EAB-8D3069556100}"/>
    <cellStyle name="Migliaia 42 6 2 3" xfId="18644" xr:uid="{8338275C-AD53-44FF-8622-FE5E4991A444}"/>
    <cellStyle name="Migliaia 42 6 2 4" xfId="20660" xr:uid="{6474C2C1-DB5B-4545-8A32-B9B3FBD4CDB3}"/>
    <cellStyle name="Migliaia 42 6 2 5" xfId="32419" xr:uid="{CDA34691-F75C-4650-A9FC-D2E5F5D007FE}"/>
    <cellStyle name="Migliaia 42 6 2 6" xfId="16584" xr:uid="{C6F1395F-2893-4D98-BFF5-C892990790AD}"/>
    <cellStyle name="Migliaia 42 6 2 7" xfId="8696" xr:uid="{55625B93-B671-4D1A-B37B-6CD269009727}"/>
    <cellStyle name="Migliaia 42 6 3" xfId="6606" xr:uid="{87D8BCEA-FE4D-4CFA-8F43-CC31D9131F9A}"/>
    <cellStyle name="Migliaia 42 6 3 2" xfId="35379" xr:uid="{35CEE2E6-76E6-4714-AA64-E87E408ABCD3}"/>
    <cellStyle name="Migliaia 42 6 3 2 2" xfId="40539" xr:uid="{56F293E3-7307-4FFC-A6B7-8FFC53484306}"/>
    <cellStyle name="Migliaia 42 6 3 2 3" xfId="45841" xr:uid="{A0937652-114D-4A68-A878-9677C981A4B0}"/>
    <cellStyle name="Migliaia 42 6 3 3" xfId="37888" xr:uid="{9A32E8BB-B5B8-4604-8723-357E31A70C59}"/>
    <cellStyle name="Migliaia 42 6 3 4" xfId="43190" xr:uid="{D0CB7B31-4066-4602-BE9D-02FB445F3670}"/>
    <cellStyle name="Migliaia 42 6 3 5" xfId="9716" xr:uid="{F52C3CF1-7177-40C9-ACA8-35F69BB49C07}"/>
    <cellStyle name="Migliaia 42 6 4" xfId="20659" xr:uid="{86195FB4-9CE8-48C8-ACEA-0BF283F645C7}"/>
    <cellStyle name="Migliaia 42 6 4 2" xfId="39706" xr:uid="{8284C111-2C85-45B5-8DD8-0915D19AC26D}"/>
    <cellStyle name="Migliaia 42 6 4 3" xfId="45008" xr:uid="{DC5251C0-BCDD-435E-B7D3-8DD7711D19E4}"/>
    <cellStyle name="Migliaia 42 6 4 4" xfId="34148" xr:uid="{4A98269E-ADCB-4F3C-BA55-BD0A9014880B}"/>
    <cellStyle name="Migliaia 42 6 5" xfId="37101" xr:uid="{62705112-3FCC-4254-9D27-FB597149D44E}"/>
    <cellStyle name="Migliaia 42 6 6" xfId="42357" xr:uid="{85CBBAA0-02F1-46E8-8ADD-DBE6A322FA32}"/>
    <cellStyle name="Migliaia 42 6 7" xfId="16583" xr:uid="{6E99512B-F487-4724-9388-204FA21AC43A}"/>
    <cellStyle name="Migliaia 42 6 8" xfId="7506" xr:uid="{3A1A4E62-6C7A-4692-B148-EFF938A6D860}"/>
    <cellStyle name="Migliaia 42 7" xfId="3694" xr:uid="{879D1E0B-71AA-4AC4-A310-DA61331F4844}"/>
    <cellStyle name="Migliaia 42 7 2" xfId="5420" xr:uid="{CF49F9FA-E279-4E2A-8397-9A999C594BF7}"/>
    <cellStyle name="Migliaia 42 7 2 2" xfId="35380" xr:uid="{9FB1DC88-E215-4F86-AC06-9807FB596B58}"/>
    <cellStyle name="Migliaia 42 7 2 2 2" xfId="40540" xr:uid="{F2B7B221-A1A6-4712-BB00-85BF242294C7}"/>
    <cellStyle name="Migliaia 42 7 2 2 3" xfId="45842" xr:uid="{EB7DA3E3-797D-40DB-A63B-C84D14C7AFD4}"/>
    <cellStyle name="Migliaia 42 7 2 3" xfId="37889" xr:uid="{121DD3C7-2B49-4BDD-9E45-769EE915D09E}"/>
    <cellStyle name="Migliaia 42 7 2 4" xfId="43191" xr:uid="{EB8DCA5A-C024-463A-9D57-1789DBF95E6F}"/>
    <cellStyle name="Migliaia 42 7 2 5" xfId="14287" xr:uid="{5037202B-2391-4B24-B5C2-436F0F9B8CC9}"/>
    <cellStyle name="Migliaia 42 7 3" xfId="6607" xr:uid="{A0759CFA-4706-4847-B960-D9A8D10A652A}"/>
    <cellStyle name="Migliaia 42 7 3 2" xfId="39707" xr:uid="{D3F1FC1E-9DF4-4742-B5EC-8633C9D4D321}"/>
    <cellStyle name="Migliaia 42 7 3 3" xfId="45009" xr:uid="{42935F49-D243-4398-B3F8-BB3BB052A5DB}"/>
    <cellStyle name="Migliaia 42 7 3 4" xfId="34149" xr:uid="{555C4B1C-DD2B-4061-B80D-1277033CA646}"/>
    <cellStyle name="Migliaia 42 7 3 5" xfId="20661" xr:uid="{CA0FF31B-E8EC-445B-9649-6262140C29F2}"/>
    <cellStyle name="Migliaia 42 7 4" xfId="37102" xr:uid="{1BC709C6-93A6-4C74-8AFA-8FDCE16F7678}"/>
    <cellStyle name="Migliaia 42 7 5" xfId="42358" xr:uid="{C98F35F6-31C8-4E2C-B727-CAFB49DEAC52}"/>
    <cellStyle name="Migliaia 42 7 6" xfId="16585" xr:uid="{CAB21A63-3A81-4569-BCEC-90BC77516C3C}"/>
    <cellStyle name="Migliaia 42 7 7" xfId="8349" xr:uid="{650960B5-31DD-4E25-B70D-50CE8A6E5422}"/>
    <cellStyle name="Migliaia 42 8" xfId="3695" xr:uid="{5ED4FED8-AA9E-4460-93D5-72AC33061130}"/>
    <cellStyle name="Migliaia 42 8 2" xfId="5421" xr:uid="{191A56C6-AC93-447F-81F8-367E259B40C6}"/>
    <cellStyle name="Migliaia 42 8 2 2" xfId="35381" xr:uid="{AC49295C-2D14-4970-914C-3DDC24A1CC33}"/>
    <cellStyle name="Migliaia 42 8 2 2 2" xfId="40541" xr:uid="{AB75B483-C930-45A0-99F7-89EBB7BBD1C1}"/>
    <cellStyle name="Migliaia 42 8 2 2 3" xfId="45843" xr:uid="{C778D8E1-00F8-45C9-8856-57AE50E5FA1C}"/>
    <cellStyle name="Migliaia 42 8 2 3" xfId="37890" xr:uid="{6B5B6772-559C-423D-A8A3-160BEA79A81C}"/>
    <cellStyle name="Migliaia 42 8 2 4" xfId="43192" xr:uid="{235E667D-B7E2-4D75-B361-7B9DA357DD70}"/>
    <cellStyle name="Migliaia 42 8 2 5" xfId="13992" xr:uid="{59030CFF-2F4B-40C7-8EB2-B30B68723314}"/>
    <cellStyle name="Migliaia 42 8 3" xfId="6608" xr:uid="{2E4669DF-12E5-470B-9A61-A0C393B6ABDB}"/>
    <cellStyle name="Migliaia 42 8 3 2" xfId="39708" xr:uid="{91F83CBA-67BD-4F7F-8845-D88C3C1DA8E5}"/>
    <cellStyle name="Migliaia 42 8 3 3" xfId="45010" xr:uid="{110E9A64-DB44-40C6-A564-D376DF7DC4B6}"/>
    <cellStyle name="Migliaia 42 8 3 4" xfId="34150" xr:uid="{FF951990-E552-4794-B4C2-CA456A14F062}"/>
    <cellStyle name="Migliaia 42 8 3 5" xfId="20662" xr:uid="{FC99B20C-281A-418D-ACB5-A86FD1DE53F7}"/>
    <cellStyle name="Migliaia 42 8 4" xfId="37103" xr:uid="{D5BC26DC-A00B-49D0-999F-E4980D5548C8}"/>
    <cellStyle name="Migliaia 42 8 5" xfId="42359" xr:uid="{A09881A1-F812-4D5E-8D45-F89F704E2FC2}"/>
    <cellStyle name="Migliaia 42 8 6" xfId="16586" xr:uid="{D9228E3F-3DA6-40D5-9F3F-1A92361A1F6F}"/>
    <cellStyle name="Migliaia 42 8 7" xfId="7966" xr:uid="{9440F674-15C5-42F1-AD0F-026941564D32}"/>
    <cellStyle name="Migliaia 42 9" xfId="5406" xr:uid="{1DEB2634-39AF-4229-AB19-878D9A76D4A9}"/>
    <cellStyle name="Migliaia 42 9 2" xfId="34151" xr:uid="{609F3586-2594-40CA-A7EF-AEFD1DAF03A6}"/>
    <cellStyle name="Migliaia 42 9 2 2" xfId="39709" xr:uid="{6E96F12C-B860-43C5-9F6E-AEE411E9100E}"/>
    <cellStyle name="Migliaia 42 9 2 3" xfId="45011" xr:uid="{428A8C5B-82DE-4C83-91A6-63F015884195}"/>
    <cellStyle name="Migliaia 42 9 3" xfId="37104" xr:uid="{F1DF73D5-A5B8-49C3-8A2E-A194A1BCFC50}"/>
    <cellStyle name="Migliaia 42 9 4" xfId="42360" xr:uid="{0EAB34A9-27C2-4615-B6AA-7971F8F54945}"/>
    <cellStyle name="Migliaia 42 9 5" xfId="17207" xr:uid="{F854B0F7-E528-4857-8868-7BA7F76C49E6}"/>
    <cellStyle name="Migliaia 43" xfId="449" xr:uid="{00000000-0005-0000-0000-00000C040000}"/>
    <cellStyle name="Migliaia 43 10" xfId="6609" xr:uid="{7828C89F-F659-4428-9044-91FF9D5FA5EC}"/>
    <cellStyle name="Migliaia 43 10 2" xfId="39710" xr:uid="{868D094E-BC63-46A7-8D48-37351FDE7523}"/>
    <cellStyle name="Migliaia 43 10 3" xfId="45012" xr:uid="{EA8D02A2-CC04-4811-A4E3-8136A527576B}"/>
    <cellStyle name="Migliaia 43 10 4" xfId="34152" xr:uid="{C741703E-6EA2-41D1-8A9A-84735AAB9C19}"/>
    <cellStyle name="Migliaia 43 10 5" xfId="20663" xr:uid="{66CBB224-6774-4FE2-8C1E-E0086CD1611D}"/>
    <cellStyle name="Migliaia 43 11" xfId="3696" xr:uid="{1F709AED-F455-4A56-A064-8FBE24D576EA}"/>
    <cellStyle name="Migliaia 43 11 2" xfId="37105" xr:uid="{7B79099D-032F-4B05-BEA5-F4ADD9CEE883}"/>
    <cellStyle name="Migliaia 43 12" xfId="42361" xr:uid="{FB608340-FD6E-4D6D-8A59-D355090013FB}"/>
    <cellStyle name="Migliaia 43 13" xfId="7153" xr:uid="{92BAFA19-9115-4E02-A344-DEAA97C55EF3}"/>
    <cellStyle name="Migliaia 43 2" xfId="450" xr:uid="{00000000-0005-0000-0000-00000D040000}"/>
    <cellStyle name="Migliaia 43 2 2" xfId="1841" xr:uid="{00000000-0005-0000-0000-00000E040000}"/>
    <cellStyle name="Migliaia 43 2 2 2" xfId="5424" xr:uid="{49839C44-7518-468A-BCA9-196611BFD54F}"/>
    <cellStyle name="Migliaia 43 2 2 2 2" xfId="14400" xr:uid="{EFF754C5-6105-4DF8-915A-3920240F4D25}"/>
    <cellStyle name="Migliaia 43 2 2 2 2 2" xfId="39711" xr:uid="{C3EA92F8-7663-449E-9ACC-63E32C7B82E3}"/>
    <cellStyle name="Migliaia 43 2 2 2 2 3" xfId="45013" xr:uid="{FD2B266A-8E54-41E3-B12A-49690057E905}"/>
    <cellStyle name="Migliaia 43 2 2 2 3" xfId="18473" xr:uid="{5CDA7EDA-40AF-4DFB-925F-B4C715A317E9}"/>
    <cellStyle name="Migliaia 43 2 2 2 4" xfId="20666" xr:uid="{27A8FEFB-9078-4CF0-A7A0-EDC76896D069}"/>
    <cellStyle name="Migliaia 43 2 2 2 4 2" xfId="42362" xr:uid="{0AD3DAA4-29B3-4F32-A4B0-0BF76F0851A7}"/>
    <cellStyle name="Migliaia 43 2 2 2 5" xfId="16587" xr:uid="{CC26867F-E2E0-4CE5-B060-D2EF837E6193}"/>
    <cellStyle name="Migliaia 43 2 2 2 6" xfId="8703" xr:uid="{66391FD5-BE31-4705-BD63-A18DD88A3143}"/>
    <cellStyle name="Migliaia 43 2 2 3" xfId="6611" xr:uid="{EBEEF11C-D5DB-41BD-939A-FE7222A02729}"/>
    <cellStyle name="Migliaia 43 2 2 3 2" xfId="35382" xr:uid="{4AFD7B41-E21E-4FC5-857F-F08171696D02}"/>
    <cellStyle name="Migliaia 43 2 2 3 2 2" xfId="40542" xr:uid="{4C6CD827-CBBF-4509-96DC-326B7C56352A}"/>
    <cellStyle name="Migliaia 43 2 2 3 2 3" xfId="45844" xr:uid="{70019DD3-2BFD-4C97-80A1-6F8CA132AF43}"/>
    <cellStyle name="Migliaia 43 2 2 3 3" xfId="37891" xr:uid="{89940BA5-710E-4614-81C8-E8D83DA36CED}"/>
    <cellStyle name="Migliaia 43 2 2 3 4" xfId="43193" xr:uid="{8CBEA2A7-4EED-4D15-A4B2-27400174865D}"/>
    <cellStyle name="Migliaia 43 2 2 3 5" xfId="11627" xr:uid="{9642820D-38BE-46CE-8F7B-07A2F6C41455}"/>
    <cellStyle name="Migliaia 43 2 2 4" xfId="3698" xr:uid="{31C160B1-093A-4118-ABE6-D4859C4E366A}"/>
    <cellStyle name="Migliaia 43 2 2 4 2" xfId="21553" xr:uid="{9092DC02-4A5A-4F9E-B4E4-6593FDFF3884}"/>
    <cellStyle name="Migliaia 43 2 2 4 3" xfId="46648" xr:uid="{2AB0ED83-783A-4BD1-8F73-C0093F8A1092}"/>
    <cellStyle name="Migliaia 43 2 2 4 4" xfId="50568" xr:uid="{D0BC10F8-527C-41F7-A39F-6B01BB77C703}"/>
    <cellStyle name="Migliaia 43 2 2 4 5" xfId="53584" xr:uid="{1413CE68-218C-4B76-B025-7094A52F6B76}"/>
    <cellStyle name="Migliaia 43 2 2 4 6" xfId="10918" xr:uid="{33883E87-9986-4E63-99F5-D7E9FAEFEC90}"/>
    <cellStyle name="Migliaia 43 2 2 5" xfId="20665" xr:uid="{B56C77FE-8919-4F95-8300-FB645D2A009F}"/>
    <cellStyle name="Migliaia 43 2 2 6" xfId="25045" xr:uid="{AD74B53F-B1BC-4571-960C-C4549F319632}"/>
    <cellStyle name="Migliaia 43 2 2 7" xfId="7513" xr:uid="{958D17F3-44B6-40F4-B35A-65CEB223F951}"/>
    <cellStyle name="Migliaia 43 2 3" xfId="3699" xr:uid="{EC4A9E39-04FF-4D3E-96DF-557A0B41BEA1}"/>
    <cellStyle name="Migliaia 43 2 3 2" xfId="5425" xr:uid="{6B6C10FF-3B8A-44F9-86E0-A909BE29BAE9}"/>
    <cellStyle name="Migliaia 43 2 3 2 2" xfId="35383" xr:uid="{B041A09A-4811-4CE9-A383-F5C471B669C6}"/>
    <cellStyle name="Migliaia 43 2 3 2 2 2" xfId="40543" xr:uid="{1D9D4E05-51A0-4E27-BD46-87E3FC98CCB7}"/>
    <cellStyle name="Migliaia 43 2 3 2 2 3" xfId="45845" xr:uid="{C1F486B9-DCE8-4CC3-9758-D9C57E4E9BB2}"/>
    <cellStyle name="Migliaia 43 2 3 2 3" xfId="37892" xr:uid="{E34A3D0D-8D4D-4BDA-BCA9-6D28CF5B28F8}"/>
    <cellStyle name="Migliaia 43 2 3 2 4" xfId="43194" xr:uid="{3389F25F-0569-4FAA-AF48-4280A2ED28D6}"/>
    <cellStyle name="Migliaia 43 2 3 2 5" xfId="14291" xr:uid="{BAC342F4-B1DE-4AAB-8750-BDD886A494FA}"/>
    <cellStyle name="Migliaia 43 2 3 3" xfId="6612" xr:uid="{7093F441-B026-4001-A20C-C1991CA647F4}"/>
    <cellStyle name="Migliaia 43 2 3 3 2" xfId="39712" xr:uid="{EF720481-5E2C-400A-8CE1-3915E9D98EEA}"/>
    <cellStyle name="Migliaia 43 2 3 3 3" xfId="45014" xr:uid="{19055BFE-72E0-442B-BD61-CD77146A52A6}"/>
    <cellStyle name="Migliaia 43 2 3 3 4" xfId="34154" xr:uid="{227C43BC-8BB6-4E83-A81E-7D49FC5D675C}"/>
    <cellStyle name="Migliaia 43 2 3 3 5" xfId="20667" xr:uid="{E2BBD45B-8312-46AD-8D77-59C3021792EB}"/>
    <cellStyle name="Migliaia 43 2 3 4" xfId="37107" xr:uid="{0634D817-DAD2-4BA4-A95C-3FA9311BE7DB}"/>
    <cellStyle name="Migliaia 43 2 3 5" xfId="42363" xr:uid="{B573B628-41EC-4B70-A61A-1D5A870114D5}"/>
    <cellStyle name="Migliaia 43 2 3 6" xfId="16588" xr:uid="{F1FE39D3-6456-4374-9CC8-2E8613CC1E69}"/>
    <cellStyle name="Migliaia 43 2 3 7" xfId="8353" xr:uid="{AE2B5A89-905F-4595-BAE9-8AA25C383DD1}"/>
    <cellStyle name="Migliaia 43 2 4" xfId="5423" xr:uid="{016DC3AE-3817-4F79-9372-9E38E01E7DA3}"/>
    <cellStyle name="Migliaia 43 2 4 2" xfId="13996" xr:uid="{1E457AC8-FF1A-4F08-BE27-522546FC4A90}"/>
    <cellStyle name="Migliaia 43 2 4 2 2" xfId="39713" xr:uid="{2765CB81-FD04-4122-BFF7-A756AEFE0283}"/>
    <cellStyle name="Migliaia 43 2 4 2 3" xfId="45015" xr:uid="{F02DAF1B-1871-4D27-ACFB-9ED58B118B98}"/>
    <cellStyle name="Migliaia 43 2 4 3" xfId="18289" xr:uid="{0C02AFEA-63EA-440D-A70F-7EC55330B7C8}"/>
    <cellStyle name="Migliaia 43 2 4 4" xfId="20668" xr:uid="{5FC2A43D-9DFE-4142-BF8C-903A028CD615}"/>
    <cellStyle name="Migliaia 43 2 4 4 2" xfId="42364" xr:uid="{5BCBA173-0439-47D5-BE58-B0C3A422E8AF}"/>
    <cellStyle name="Migliaia 43 2 4 5" xfId="16589" xr:uid="{6D56A285-53AD-45E7-83E2-758AC74F3464}"/>
    <cellStyle name="Migliaia 43 2 4 6" xfId="7971" xr:uid="{EB0E458F-559B-4779-825C-A758FD5F490A}"/>
    <cellStyle name="Migliaia 43 2 5" xfId="6610" xr:uid="{03C114F5-F6FC-400E-AA53-D915636EBD5E}"/>
    <cellStyle name="Migliaia 43 2 5 2" xfId="34155" xr:uid="{C267EB13-CF07-45B9-816A-A6692F227727}"/>
    <cellStyle name="Migliaia 43 2 5 2 2" xfId="39714" xr:uid="{93BCDC13-E440-41C8-B087-FC86ECE70D6C}"/>
    <cellStyle name="Migliaia 43 2 5 2 3" xfId="45016" xr:uid="{96FD800D-3A5A-4C43-AA5E-C6B3AFEC7DE2}"/>
    <cellStyle name="Migliaia 43 2 5 3" xfId="37109" xr:uid="{43ACFF08-0CAA-43FF-BC07-ADA49DC23259}"/>
    <cellStyle name="Migliaia 43 2 5 4" xfId="42365" xr:uid="{B79B914F-C451-4F01-884F-DE0A70970DF6}"/>
    <cellStyle name="Migliaia 43 2 5 5" xfId="13140" xr:uid="{62DC6C09-F830-4557-AFEA-5A889A6019ED}"/>
    <cellStyle name="Migliaia 43 2 6" xfId="3697" xr:uid="{62560EEF-FDC7-4812-B4A1-1C78330739A4}"/>
    <cellStyle name="Migliaia 43 2 6 2" xfId="34156" xr:uid="{1E122B88-57B2-4230-BF3A-1A07D0FCCA40}"/>
    <cellStyle name="Migliaia 43 2 6 2 2" xfId="39715" xr:uid="{BA3FC78F-6A98-42CF-96C1-F83644F2F5A6}"/>
    <cellStyle name="Migliaia 43 2 6 2 3" xfId="45017" xr:uid="{8C383BE4-B04D-411E-9369-D9B28D1640B9}"/>
    <cellStyle name="Migliaia 43 2 6 3" xfId="37110" xr:uid="{F947CF86-86A2-469E-A2F2-8403C966DDC5}"/>
    <cellStyle name="Migliaia 43 2 6 4" xfId="42366" xr:uid="{A0E3338E-F78C-404D-B57F-8800341A04E5}"/>
    <cellStyle name="Migliaia 43 2 6 5" xfId="25050" xr:uid="{0464839D-0DFA-41D8-916D-358AFE29C213}"/>
    <cellStyle name="Migliaia 43 2 6 6" xfId="20664" xr:uid="{9B3148CE-B8D5-43EB-94D6-9EF4F13B24C1}"/>
    <cellStyle name="Migliaia 43 2 7" xfId="25044" xr:uid="{F2473E12-39A3-4759-AEF6-66C4D21F8251}"/>
    <cellStyle name="Migliaia 43 2 8" xfId="7154" xr:uid="{10E2D32E-DD83-42F1-9D8A-E080D5B3299E}"/>
    <cellStyle name="Migliaia 43 3" xfId="451" xr:uid="{00000000-0005-0000-0000-00000F040000}"/>
    <cellStyle name="Migliaia 43 3 10" xfId="25051" xr:uid="{5757DFDC-AE60-402B-83C2-9FE6CA89CEAB}"/>
    <cellStyle name="Migliaia 43 3 11" xfId="16590" xr:uid="{F191CF5E-E007-4040-858E-22BC47FEA002}"/>
    <cellStyle name="Migliaia 43 3 12" xfId="7155" xr:uid="{0536EF18-715D-4613-8E05-E609FAA17048}"/>
    <cellStyle name="Migliaia 43 3 2" xfId="452" xr:uid="{00000000-0005-0000-0000-000010040000}"/>
    <cellStyle name="Migliaia 43 3 2 2" xfId="1842" xr:uid="{00000000-0005-0000-0000-000011040000}"/>
    <cellStyle name="Migliaia 43 3 2 2 2" xfId="5428" xr:uid="{D5403BE5-FC5B-4B9B-AADD-C7FC6EB8DA3C}"/>
    <cellStyle name="Migliaia 43 3 2 2 2 2" xfId="18474" xr:uid="{BF64C4DD-DC47-442E-87C6-28CEB47FC436}"/>
    <cellStyle name="Migliaia 43 3 2 2 2 2 2" xfId="21878" xr:uid="{40884ED0-4FF2-446E-8ED9-6963F72FABBE}"/>
    <cellStyle name="Migliaia 43 3 2 2 2 2 2 2" xfId="39716" xr:uid="{0E59B65A-784D-4913-8AC5-C524D60269F9}"/>
    <cellStyle name="Migliaia 43 3 2 2 2 2 3" xfId="45018" xr:uid="{E84A62A5-1CF0-4CFC-B7C1-14F2EB12C497}"/>
    <cellStyle name="Migliaia 43 3 2 2 2 2 4" xfId="34157" xr:uid="{14CA3302-0992-4186-9750-207280DBA0E2}"/>
    <cellStyle name="Migliaia 43 3 2 2 2 3" xfId="37111" xr:uid="{32945834-79C6-4622-B8E0-F27EDA633825}"/>
    <cellStyle name="Migliaia 43 3 2 2 2 4" xfId="42367" xr:uid="{12A43A55-6AAC-4A85-9100-17A4FDBA6157}"/>
    <cellStyle name="Migliaia 43 3 2 2 2 5" xfId="46750" xr:uid="{DFD83035-497F-4227-A1AD-C935672F60B9}"/>
    <cellStyle name="Migliaia 43 3 2 2 2 6" xfId="50906" xr:uid="{1751B70A-69EA-47FF-8182-496E7619649F}"/>
    <cellStyle name="Migliaia 43 3 2 2 2 7" xfId="53922" xr:uid="{46E0FD31-5918-4764-8D10-D9C22030B754}"/>
    <cellStyle name="Migliaia 43 3 2 2 2 8" xfId="17676" xr:uid="{12422C07-4C11-44F3-AECE-3A00404E22F3}"/>
    <cellStyle name="Migliaia 43 3 2 2 2 9" xfId="12035" xr:uid="{7CC954FC-7BE8-4C6A-B076-8726B0A74713}"/>
    <cellStyle name="Migliaia 43 3 2 2 3" xfId="6615" xr:uid="{37AA7550-D513-4A67-93FE-B0CE9C60A80A}"/>
    <cellStyle name="Migliaia 43 3 2 2 3 2" xfId="12174" xr:uid="{41708C03-8B40-4D44-811C-C5E1AD181871}"/>
    <cellStyle name="Migliaia 43 3 2 2 4" xfId="3702" xr:uid="{889E4846-3796-4257-AE69-1EF1E0D440D8}"/>
    <cellStyle name="Migliaia 43 3 2 2 4 2" xfId="21554" xr:uid="{F6536B3B-BDC1-4D34-B6F4-3EAACA6F813F}"/>
    <cellStyle name="Migliaia 43 3 2 2 4 3" xfId="48257" xr:uid="{2C9B646A-363A-479B-8B6D-1140D05D756C}"/>
    <cellStyle name="Migliaia 43 3 2 2 4 4" xfId="50569" xr:uid="{853450D7-6FF6-4EEC-95DD-2CEF31D79FA9}"/>
    <cellStyle name="Migliaia 43 3 2 2 4 5" xfId="53585" xr:uid="{8767E1FF-C540-4C07-8976-F8216755FADB}"/>
    <cellStyle name="Migliaia 43 3 2 2 4 6" xfId="10919" xr:uid="{CB8BD4CB-B159-4B5A-812C-7261D2CFC014}"/>
    <cellStyle name="Migliaia 43 3 2 2 5" xfId="20671" xr:uid="{86D4CB2D-A918-4B91-835D-71EC32EC9E25}"/>
    <cellStyle name="Migliaia 43 3 2 2 6" xfId="25053" xr:uid="{EC23201F-83FB-4242-8BD3-AFA89574FC77}"/>
    <cellStyle name="Migliaia 43 3 2 2 7" xfId="8705" xr:uid="{B4B50419-230D-4C7D-8552-D25B504D30D5}"/>
    <cellStyle name="Migliaia 43 3 2 3" xfId="5427" xr:uid="{59F7E196-E6B1-4F5F-BD82-F6E7A666E1A0}"/>
    <cellStyle name="Migliaia 43 3 2 3 2" xfId="12405" xr:uid="{54499A43-FB75-4384-9899-49D2F958FC62}"/>
    <cellStyle name="Migliaia 43 3 2 3 2 2" xfId="39717" xr:uid="{36428C8C-A6B0-41E3-8A27-72BFEEA66BFB}"/>
    <cellStyle name="Migliaia 43 3 2 3 2 3" xfId="45019" xr:uid="{DBA9E010-885D-49AD-97DF-DA480B3D58C1}"/>
    <cellStyle name="Migliaia 43 3 2 3 2 4" xfId="34158" xr:uid="{2996C05D-1199-4E66-A0DE-82CC0AF42F13}"/>
    <cellStyle name="Migliaia 43 3 2 3 3" xfId="12036" xr:uid="{528C95FD-928F-47A7-A1CB-A752FB512C7B}"/>
    <cellStyle name="Migliaia 43 3 2 3 4" xfId="20672" xr:uid="{6464916D-DD3D-48DA-A11B-9F932A4A4694}"/>
    <cellStyle name="Migliaia 43 3 2 3 4 2" xfId="42368" xr:uid="{61BDBAD0-055B-40FA-B4CE-417B84A8E6CF}"/>
    <cellStyle name="Migliaia 43 3 2 3 5" xfId="16591" xr:uid="{0A19EECB-7B91-455B-A014-63D9C08DC81C}"/>
    <cellStyle name="Migliaia 43 3 2 3 6" xfId="7973" xr:uid="{2CD26B0E-740F-459B-89BA-FB97E55E1A1C}"/>
    <cellStyle name="Migliaia 43 3 2 4" xfId="6614" xr:uid="{6C66720D-3082-46EB-8ADC-BC443882FC13}"/>
    <cellStyle name="Migliaia 43 3 2 4 2" xfId="18094" xr:uid="{7EE45EBC-F2B0-4439-B319-941FDD6F1114}"/>
    <cellStyle name="Migliaia 43 3 2 4 2 2" xfId="39718" xr:uid="{F15DD610-E322-41E0-8B1C-57B8C392ED6B}"/>
    <cellStyle name="Migliaia 43 3 2 4 2 3" xfId="45020" xr:uid="{992B3473-FDC7-44AD-9CC5-ED9F1BF7293E}"/>
    <cellStyle name="Migliaia 43 3 2 4 3" xfId="37113" xr:uid="{DEFF0303-A636-47DC-99AB-E9AC22BF8E4D}"/>
    <cellStyle name="Migliaia 43 3 2 4 4" xfId="42369" xr:uid="{161587AC-136D-4BF2-A9BF-F8F905AD2BBE}"/>
    <cellStyle name="Migliaia 43 3 2 4 5" xfId="17210" xr:uid="{EEC5FA0E-23F3-4F41-AD52-1282B9B6ABC6}"/>
    <cellStyle name="Migliaia 43 3 2 4 6" xfId="11384" xr:uid="{42E7D8DD-0778-4ABE-8DCC-6956F9D9C8C1}"/>
    <cellStyle name="Migliaia 43 3 2 5" xfId="3701" xr:uid="{58D20B1C-E517-46D3-B52A-B791A609F367}"/>
    <cellStyle name="Migliaia 43 3 2 5 2" xfId="34160" xr:uid="{3174A042-CE68-4A8B-BBAA-692E3679A807}"/>
    <cellStyle name="Migliaia 43 3 2 5 2 2" xfId="39719" xr:uid="{DAFEDB3B-859F-4A06-B4DE-88C029DF3D3C}"/>
    <cellStyle name="Migliaia 43 3 2 5 2 3" xfId="45021" xr:uid="{3F015F49-7632-43ED-B556-BA09DF914A85}"/>
    <cellStyle name="Migliaia 43 3 2 5 3" xfId="37114" xr:uid="{F9B10F61-ACE8-4AA9-8ADF-CEAED949A40C}"/>
    <cellStyle name="Migliaia 43 3 2 5 4" xfId="42370" xr:uid="{0AB70625-3879-4973-B7C1-34A587151590}"/>
    <cellStyle name="Migliaia 43 3 2 5 5" xfId="17315" xr:uid="{849BCFE8-9989-4214-A44E-E18047CD11A9}"/>
    <cellStyle name="Migliaia 43 3 2 6" xfId="20670" xr:uid="{CBD82545-456D-425E-8CEB-887DF4C3195E}"/>
    <cellStyle name="Migliaia 43 3 2 6 2" xfId="34161" xr:uid="{D81AAFEA-6F22-45EB-A9EF-72E8AB204CB4}"/>
    <cellStyle name="Migliaia 43 3 2 6 2 2" xfId="39720" xr:uid="{3D4C1EA5-C2C4-4EDE-BFCF-8E2835037320}"/>
    <cellStyle name="Migliaia 43 3 2 6 2 3" xfId="45022" xr:uid="{67485ADC-5ADE-4348-8E6E-0F6C18DE0EA6}"/>
    <cellStyle name="Migliaia 43 3 2 6 3" xfId="37115" xr:uid="{C2061F5F-0D44-4FC9-8829-A27CA521CB0B}"/>
    <cellStyle name="Migliaia 43 3 2 6 4" xfId="42371" xr:uid="{09C96970-28CE-4C52-B4E6-644132B6BD4C}"/>
    <cellStyle name="Migliaia 43 3 2 6 5" xfId="25058" xr:uid="{6C620E30-ABC5-45E1-A0AE-E97B4A835128}"/>
    <cellStyle name="Migliaia 43 3 2 7" xfId="25052" xr:uid="{54B8BAD9-9893-4658-8C3D-F1D65B379085}"/>
    <cellStyle name="Migliaia 43 3 2 8" xfId="7515" xr:uid="{15522BE0-E05F-4B41-BC80-87D466DDB24E}"/>
    <cellStyle name="Migliaia 43 3 3" xfId="3703" xr:uid="{65E1434F-A338-4681-AC67-36312D7F0D10}"/>
    <cellStyle name="Migliaia 43 3 3 10" xfId="7514" xr:uid="{85737D3A-BA0F-4946-955B-5A62DD8D3A3F}"/>
    <cellStyle name="Migliaia 43 3 3 2" xfId="5429" xr:uid="{EC01A1EE-AA6F-4060-8A55-8806FDC2501B}"/>
    <cellStyle name="Migliaia 43 3 3 2 2" xfId="9956" xr:uid="{41319265-3843-48DF-9967-692F04B1F1DE}"/>
    <cellStyle name="Migliaia 43 3 3 2 2 2" xfId="39722" xr:uid="{C1C71A9C-1D3D-47B0-8602-6B182F35FCB4}"/>
    <cellStyle name="Migliaia 43 3 3 2 2 3" xfId="45024" xr:uid="{3CFCD39F-ECA0-4041-A3F7-EAE72D3CF3C3}"/>
    <cellStyle name="Migliaia 43 3 3 2 3" xfId="18236" xr:uid="{51C70468-CBF0-43C9-8DE1-F7D5CB4E3392}"/>
    <cellStyle name="Migliaia 43 3 3 2 4" xfId="20674" xr:uid="{F5A1067B-018B-4FEA-A27C-7F6BBC5E26AB}"/>
    <cellStyle name="Migliaia 43 3 3 2 4 2" xfId="42373" xr:uid="{DB32D776-A3D4-4E05-851B-60DF61D0C1F1}"/>
    <cellStyle name="Migliaia 43 3 3 2 5" xfId="16593" xr:uid="{381DCEA5-5A62-4055-8E92-37A5E87C837F}"/>
    <cellStyle name="Migliaia 43 3 3 2 6" xfId="8704" xr:uid="{F85DEF5E-9401-4568-A36B-A4A9C56EFD8D}"/>
    <cellStyle name="Migliaia 43 3 3 3" xfId="6616" xr:uid="{85113703-F0EA-4B30-9BCF-A976FD4CAB38}"/>
    <cellStyle name="Migliaia 43 3 3 3 2" xfId="34164" xr:uid="{2A768E68-DB58-43FB-A311-96DCCF443490}"/>
    <cellStyle name="Migliaia 43 3 3 3 2 2" xfId="39723" xr:uid="{CA0A2A37-BEBF-4268-9067-3057524AB43D}"/>
    <cellStyle name="Migliaia 43 3 3 3 2 3" xfId="45025" xr:uid="{2A2AC789-D897-4DAF-97B5-0E4FB0ACB8D1}"/>
    <cellStyle name="Migliaia 43 3 3 3 3" xfId="37118" xr:uid="{B4692E16-995B-481B-953C-687CBB5511B6}"/>
    <cellStyle name="Migliaia 43 3 3 3 4" xfId="42374" xr:uid="{BA20E789-114B-4415-A08F-12BC74286816}"/>
    <cellStyle name="Migliaia 43 3 3 3 5" xfId="9719" xr:uid="{35E1251F-48D5-4C2E-833A-209C7356DB8F}"/>
    <cellStyle name="Migliaia 43 3 3 4" xfId="20673" xr:uid="{1EDD993B-2BE1-4BF6-920D-430FEDD3A36E}"/>
    <cellStyle name="Migliaia 43 3 3 4 2" xfId="34165" xr:uid="{EB7D0C53-E306-4582-A804-A9792081579A}"/>
    <cellStyle name="Migliaia 43 3 3 4 2 2" xfId="39724" xr:uid="{B0716F1B-BDCD-4F54-814B-4E70EC209B65}"/>
    <cellStyle name="Migliaia 43 3 3 4 2 3" xfId="45026" xr:uid="{B338A192-EE8E-4B31-A7A4-2F30B0A7BCB8}"/>
    <cellStyle name="Migliaia 43 3 3 4 3" xfId="37119" xr:uid="{F4FE3C53-AB9A-472C-9E98-F7CFA41B7CBB}"/>
    <cellStyle name="Migliaia 43 3 3 4 4" xfId="42375" xr:uid="{7AFC23DF-EF6F-455E-BBFD-9D2BC2B61DE7}"/>
    <cellStyle name="Migliaia 43 3 3 4 5" xfId="25062" xr:uid="{9FA1626C-3D2F-460A-BDFD-7AA4DEC443DC}"/>
    <cellStyle name="Migliaia 43 3 3 5" xfId="25063" xr:uid="{8C04FD00-7D64-4C2F-BF0E-ACA897D7BAC4}"/>
    <cellStyle name="Migliaia 43 3 3 5 2" xfId="34166" xr:uid="{C05E6070-2501-44A9-ADF0-A5CBE968FDA7}"/>
    <cellStyle name="Migliaia 43 3 3 5 2 2" xfId="39725" xr:uid="{6EF96632-37AA-45D3-B110-EFF13A515D29}"/>
    <cellStyle name="Migliaia 43 3 3 5 2 3" xfId="45027" xr:uid="{D41182E5-CA26-40BE-9A6A-CC7F9A207C91}"/>
    <cellStyle name="Migliaia 43 3 3 5 3" xfId="37120" xr:uid="{C7716C88-7349-4A5D-934F-75E6529C0CC6}"/>
    <cellStyle name="Migliaia 43 3 3 5 4" xfId="42376" xr:uid="{06696FA3-D502-441C-9905-B6B32A836E00}"/>
    <cellStyle name="Migliaia 43 3 3 6" xfId="34162" xr:uid="{A1B714B5-78E1-4C04-8022-A6471F03ABAA}"/>
    <cellStyle name="Migliaia 43 3 3 6 2" xfId="39721" xr:uid="{9B237987-9F10-46E9-A6EE-36D413B91456}"/>
    <cellStyle name="Migliaia 43 3 3 6 3" xfId="45023" xr:uid="{62675886-F928-4C39-86A3-955AFFDEA149}"/>
    <cellStyle name="Migliaia 43 3 3 7" xfId="37116" xr:uid="{09D522EC-796E-456F-B019-0B5256BFC627}"/>
    <cellStyle name="Migliaia 43 3 3 8" xfId="42372" xr:uid="{A28A638C-48E2-49B1-9B5C-4180C2749FCE}"/>
    <cellStyle name="Migliaia 43 3 3 9" xfId="16592" xr:uid="{48D2FE39-BD28-4379-A631-7A3E89F648AC}"/>
    <cellStyle name="Migliaia 43 3 4" xfId="3704" xr:uid="{6C271BCC-AA0D-4046-BF70-502DC218C912}"/>
    <cellStyle name="Migliaia 43 3 4 2" xfId="5430" xr:uid="{EBDA9C74-000E-4CC2-BB15-E748E45F932A}"/>
    <cellStyle name="Migliaia 43 3 4 2 2" xfId="14460" xr:uid="{5E068F2A-29E9-433A-A6D0-CDF9202244A8}"/>
    <cellStyle name="Migliaia 43 3 4 2 3" xfId="18132" xr:uid="{1A629785-208A-4D97-9566-453B9A19596B}"/>
    <cellStyle name="Migliaia 43 3 4 2 4" xfId="20676" xr:uid="{FA9C0F0B-F4A0-47A8-9D1B-F7D535CA7906}"/>
    <cellStyle name="Migliaia 43 3 4 2 5" xfId="32425" xr:uid="{4C19820A-894F-4C4C-B3DA-F45B2BD111E7}"/>
    <cellStyle name="Migliaia 43 3 4 2 6" xfId="16595" xr:uid="{14A515DD-BDDE-4947-AEC7-9707C7222B39}"/>
    <cellStyle name="Migliaia 43 3 4 2 7" xfId="8883" xr:uid="{DDD17D1B-55E1-4002-9D22-6ADB038A04D3}"/>
    <cellStyle name="Migliaia 43 3 4 3" xfId="6617" xr:uid="{37BD3EBB-C1F3-425D-8E70-C3B4A8566F44}"/>
    <cellStyle name="Migliaia 43 3 4 3 2" xfId="35384" xr:uid="{BBE58207-4C60-4D1F-B65D-0505BB7BAA05}"/>
    <cellStyle name="Migliaia 43 3 4 3 2 2" xfId="40544" xr:uid="{A86CAA9B-B10F-4D47-A307-FFD9E3CFCEF1}"/>
    <cellStyle name="Migliaia 43 3 4 3 2 3" xfId="45846" xr:uid="{BA3372F0-3251-449C-BD9E-62EBC84A913A}"/>
    <cellStyle name="Migliaia 43 3 4 3 3" xfId="37893" xr:uid="{44EB5D94-D115-4C19-80AA-AB58EF330F12}"/>
    <cellStyle name="Migliaia 43 3 4 3 4" xfId="43195" xr:uid="{6FC23DC3-D7C6-4A8C-A523-DDBB2F27AD83}"/>
    <cellStyle name="Migliaia 43 3 4 3 5" xfId="13708" xr:uid="{8D07CD6C-DE5C-41B0-B702-D3B1307F652B}"/>
    <cellStyle name="Migliaia 43 3 4 4" xfId="20675" xr:uid="{BB932412-7C8B-4EF3-A632-3CDA8CF3D84A}"/>
    <cellStyle name="Migliaia 43 3 4 4 2" xfId="39726" xr:uid="{DB5F872A-C917-4804-92A2-92E8C415BC28}"/>
    <cellStyle name="Migliaia 43 3 4 4 3" xfId="45028" xr:uid="{70D94F9E-C546-47A0-A695-F346B63494DF}"/>
    <cellStyle name="Migliaia 43 3 4 4 4" xfId="34167" xr:uid="{684EA4C0-485C-41FA-8B71-2085A27C29E7}"/>
    <cellStyle name="Migliaia 43 3 4 5" xfId="37121" xr:uid="{4B0FACE1-2839-4B50-88E9-4456588AADA1}"/>
    <cellStyle name="Migliaia 43 3 4 6" xfId="42377" xr:uid="{934FF300-6716-41C8-96DA-F0E10C1056F3}"/>
    <cellStyle name="Migliaia 43 3 4 7" xfId="16594" xr:uid="{43FAF9CC-2A03-44B0-A9BC-A6D2C69AFA96}"/>
    <cellStyle name="Migliaia 43 3 4 8" xfId="7693" xr:uid="{1D5DBED4-5994-4FEC-A6AC-6D626295289A}"/>
    <cellStyle name="Migliaia 43 3 5" xfId="3705" xr:uid="{68C33D07-A8C5-4CB2-85C6-A8498106DD2F}"/>
    <cellStyle name="Migliaia 43 3 5 2" xfId="5431" xr:uid="{1D9F2EA8-64E0-407B-B98B-3BE489B96248}"/>
    <cellStyle name="Migliaia 43 3 5 2 2" xfId="35385" xr:uid="{EBCD51A8-7F53-4217-A3AF-C12CDD0BF22B}"/>
    <cellStyle name="Migliaia 43 3 5 2 2 2" xfId="40545" xr:uid="{A879C7D3-4F96-44FD-AD3A-06F23CDC3E48}"/>
    <cellStyle name="Migliaia 43 3 5 2 2 3" xfId="45847" xr:uid="{3CDA5AFA-140F-4295-8331-9BC879834FD1}"/>
    <cellStyle name="Migliaia 43 3 5 2 3" xfId="37894" xr:uid="{8305D945-48DD-46E4-AF2C-942E3958E905}"/>
    <cellStyle name="Migliaia 43 3 5 2 4" xfId="43196" xr:uid="{EFD3B234-BCB7-4880-B664-AFD8D87CC811}"/>
    <cellStyle name="Migliaia 43 3 5 2 5" xfId="14292" xr:uid="{82550F0E-1E35-4546-AA31-2CE5021E90B4}"/>
    <cellStyle name="Migliaia 43 3 5 3" xfId="6618" xr:uid="{F378636C-A7F0-4845-AF59-6745C293FFAD}"/>
    <cellStyle name="Migliaia 43 3 5 3 2" xfId="39727" xr:uid="{8EA2309F-BB2A-44D8-8D5A-C9CAB7D61AAB}"/>
    <cellStyle name="Migliaia 43 3 5 3 3" xfId="45029" xr:uid="{4809AF43-37D2-4855-B110-9CA59350EC02}"/>
    <cellStyle name="Migliaia 43 3 5 3 4" xfId="34168" xr:uid="{DD2BA1D8-6572-4988-A37B-AEC95C43910F}"/>
    <cellStyle name="Migliaia 43 3 5 3 5" xfId="20677" xr:uid="{40A7DABD-507C-40D6-B0DF-69F06A558BB5}"/>
    <cellStyle name="Migliaia 43 3 5 4" xfId="37122" xr:uid="{8649139F-19CD-4AAE-91CC-F6E23007512A}"/>
    <cellStyle name="Migliaia 43 3 5 5" xfId="42378" xr:uid="{87A7DFDA-6BA8-4F6B-A29A-63165DECE69B}"/>
    <cellStyle name="Migliaia 43 3 5 6" xfId="16596" xr:uid="{E6E49358-25B6-4FB1-A9B4-73333C1F0865}"/>
    <cellStyle name="Migliaia 43 3 5 7" xfId="8354" xr:uid="{3C489F8E-78DC-4DC1-B1DC-79C9B38972C8}"/>
    <cellStyle name="Migliaia 43 3 6" xfId="5426" xr:uid="{DBBAE00A-0A95-4A90-A3C2-C92BFB18727F}"/>
    <cellStyle name="Migliaia 43 3 6 2" xfId="13997" xr:uid="{F3C96492-BB16-42CB-930D-C2340E28CA87}"/>
    <cellStyle name="Migliaia 43 3 6 2 2" xfId="39728" xr:uid="{A5FE435E-35CE-49FC-9954-53F7AC5FB6EE}"/>
    <cellStyle name="Migliaia 43 3 6 2 3" xfId="45030" xr:uid="{58494975-409E-4D79-9DA5-D1560ADEBD6D}"/>
    <cellStyle name="Migliaia 43 3 6 3" xfId="18023" xr:uid="{20224FD5-2995-44EB-93E7-2B6EF72AA9ED}"/>
    <cellStyle name="Migliaia 43 3 6 4" xfId="20678" xr:uid="{4F003EF8-E038-4595-8E34-39A98FD3FD6D}"/>
    <cellStyle name="Migliaia 43 3 6 4 2" xfId="42379" xr:uid="{952BD2A4-BF0F-42F2-9507-8BF381D3A14A}"/>
    <cellStyle name="Migliaia 43 3 6 5" xfId="16597" xr:uid="{55396C5B-00CA-431C-A447-B2B79836F566}"/>
    <cellStyle name="Migliaia 43 3 6 6" xfId="7972" xr:uid="{8546FFD2-6044-4ECC-A50F-391F66D9CD07}"/>
    <cellStyle name="Migliaia 43 3 7" xfId="6613" xr:uid="{A2298F06-8173-4CE0-886F-40D57C9B7459}"/>
    <cellStyle name="Migliaia 43 3 7 2" xfId="34170" xr:uid="{A735E35B-510D-4BD8-8187-62F50103A6E7}"/>
    <cellStyle name="Migliaia 43 3 7 2 2" xfId="39729" xr:uid="{0179EF3F-E203-463E-B3A1-951FA793EAB3}"/>
    <cellStyle name="Migliaia 43 3 7 2 3" xfId="45031" xr:uid="{52637D82-16B6-495D-80B0-DB22E5F68FDC}"/>
    <cellStyle name="Migliaia 43 3 7 3" xfId="37124" xr:uid="{29A074B1-4D0B-48D1-BF6A-F16E8BC6ED21}"/>
    <cellStyle name="Migliaia 43 3 7 4" xfId="42380" xr:uid="{9C07E753-AB0E-4458-B687-97229996D54F}"/>
    <cellStyle name="Migliaia 43 3 7 5" xfId="11218" xr:uid="{D0EBA80E-6010-4DEB-A5E8-00C385A28EC6}"/>
    <cellStyle name="Migliaia 43 3 8" xfId="3700" xr:uid="{13A3A862-2990-4B10-9DC9-4CC398BB5405}"/>
    <cellStyle name="Migliaia 43 3 8 2" xfId="34171" xr:uid="{CF0FF482-B624-4C2B-BF39-4B71CD5FE47C}"/>
    <cellStyle name="Migliaia 43 3 8 2 2" xfId="39730" xr:uid="{10335B84-BFF8-4EBB-8DBE-212D77AD4B8A}"/>
    <cellStyle name="Migliaia 43 3 8 2 3" xfId="45032" xr:uid="{091AC831-635B-499D-8B28-3FFBF65378EA}"/>
    <cellStyle name="Migliaia 43 3 8 3" xfId="37125" xr:uid="{C55255FE-4F7A-474D-A32D-22010DE67BD2}"/>
    <cellStyle name="Migliaia 43 3 8 4" xfId="42381" xr:uid="{B8B31C03-490A-42DD-B052-28E1B647D4FF}"/>
    <cellStyle name="Migliaia 43 3 8 5" xfId="25068" xr:uid="{AEB033BC-2A09-4CF1-B4E7-512CDE1FF411}"/>
    <cellStyle name="Migliaia 43 3 8 6" xfId="17316" xr:uid="{66CF9003-BEDB-4B3B-89CD-F4C8CD28C3DE}"/>
    <cellStyle name="Migliaia 43 3 9" xfId="20669" xr:uid="{77FD21BF-8659-4E21-B850-65E6A3D1B1A5}"/>
    <cellStyle name="Migliaia 43 4" xfId="1843" xr:uid="{00000000-0005-0000-0000-000012040000}"/>
    <cellStyle name="Migliaia 43 4 2" xfId="1844" xr:uid="{00000000-0005-0000-0000-000013040000}"/>
    <cellStyle name="Migliaia 43 4 2 2" xfId="5433" xr:uid="{FCA34C9C-2165-4B21-93A9-1693C5E53DEE}"/>
    <cellStyle name="Migliaia 43 4 2 2 2" xfId="34172" xr:uid="{4CB8CF92-56D6-431E-B24F-9DE452EC39AE}"/>
    <cellStyle name="Migliaia 43 4 2 2 2 2" xfId="39731" xr:uid="{616E0339-DE4E-40AD-8248-506E8A6962A1}"/>
    <cellStyle name="Migliaia 43 4 2 2 2 3" xfId="45033" xr:uid="{C19DFF35-C085-4B47-B3D0-541436C833F2}"/>
    <cellStyle name="Migliaia 43 4 2 2 3" xfId="37126" xr:uid="{3BD04D5A-AF7A-4065-B1E3-A487DE9405DF}"/>
    <cellStyle name="Migliaia 43 4 2 2 4" xfId="42382" xr:uid="{BD9321CA-BA1B-40D3-A34A-5A7DD02720E8}"/>
    <cellStyle name="Migliaia 43 4 2 2 5" xfId="9182" xr:uid="{655707D8-4E22-41AE-94B2-64A8C125378D}"/>
    <cellStyle name="Migliaia 43 4 2 3" xfId="3707" xr:uid="{511D714A-B169-4432-9F0A-707476A89686}"/>
    <cellStyle name="Migliaia 43 4 2 3 2" xfId="34173" xr:uid="{BB45BF0F-B66E-451B-8A4A-74A96A074BC7}"/>
    <cellStyle name="Migliaia 43 4 2 3 2 2" xfId="39732" xr:uid="{E2A8E2AB-2555-4651-9FC9-93688D0F5A6D}"/>
    <cellStyle name="Migliaia 43 4 2 3 2 3" xfId="45034" xr:uid="{8A9373B6-230B-4B61-B8AB-4DCF53F23D83}"/>
    <cellStyle name="Migliaia 43 4 2 3 3" xfId="37127" xr:uid="{9D877977-D2BB-40DB-92EE-A43DA4729C8A}"/>
    <cellStyle name="Migliaia 43 4 2 3 4" xfId="42383" xr:uid="{445BE23B-C839-4956-A13A-85F09612DC5E}"/>
    <cellStyle name="Migliaia 43 4 2 3 5" xfId="12037" xr:uid="{C0ADC7E1-5BF7-4B8E-991C-8A796BA4032D}"/>
    <cellStyle name="Migliaia 43 4 2 4" xfId="11386" xr:uid="{94575CD5-D102-441A-B2AA-C9C01ED2CE05}"/>
    <cellStyle name="Migliaia 43 4 2 5" xfId="10921" xr:uid="{3899E73C-0586-4B72-BDE3-1F5627242BFF}"/>
    <cellStyle name="Migliaia 43 4 2 5 2" xfId="21556" xr:uid="{95FB1715-7405-420B-B9E8-5E5B984C227A}"/>
    <cellStyle name="Migliaia 43 4 2 5 3" xfId="47364" xr:uid="{C4B40BF3-02D3-4CA2-9F2A-3EBF3D32BEC3}"/>
    <cellStyle name="Migliaia 43 4 2 5 4" xfId="50571" xr:uid="{37456766-B88B-4B1E-9A40-24A5C7AFC4B5}"/>
    <cellStyle name="Migliaia 43 4 2 5 5" xfId="53587" xr:uid="{E2181475-8738-403D-B224-4B7EDB70D9B4}"/>
    <cellStyle name="Migliaia 43 4 2 6" xfId="20680" xr:uid="{38CE37D6-AC2D-44E3-8298-6C0A229F94CE}"/>
    <cellStyle name="Migliaia 43 4 2 7" xfId="25070" xr:uid="{92154275-68EE-4237-A5C3-903495FC8902}"/>
    <cellStyle name="Migliaia 43 4 2 8" xfId="8706" xr:uid="{F24C4962-701B-49E3-ADB5-075C1405B469}"/>
    <cellStyle name="Migliaia 43 4 3" xfId="5432" xr:uid="{5C16A89C-6620-4EF5-8FBD-1B9F0E2D5A2B}"/>
    <cellStyle name="Migliaia 43 4 3 2" xfId="18237" xr:uid="{980CA8D3-7547-4D6B-BD82-06482480C7FA}"/>
    <cellStyle name="Migliaia 43 4 3 2 2" xfId="39733" xr:uid="{D1070AC1-DD56-41DD-B955-0F0EB4A90903}"/>
    <cellStyle name="Migliaia 43 4 3 2 3" xfId="45035" xr:uid="{93725761-7C5C-4FDC-A77A-98352A57ACA3}"/>
    <cellStyle name="Migliaia 43 4 3 3" xfId="37128" xr:uid="{D92565F8-34A8-49EC-9E06-52EA91AA24F5}"/>
    <cellStyle name="Migliaia 43 4 3 4" xfId="42384" xr:uid="{766AE19D-F67C-47B8-A074-1312BEF06233}"/>
    <cellStyle name="Migliaia 43 4 3 5" xfId="17314" xr:uid="{719319D2-BF1A-4F0C-8302-09F0D14F9C01}"/>
    <cellStyle name="Migliaia 43 4 3 6" xfId="9183" xr:uid="{2693692E-5C2C-4F0A-89D0-E86D01DC87BA}"/>
    <cellStyle name="Migliaia 43 4 4" xfId="6619" xr:uid="{79B51477-2238-42D7-802B-9B4E05057A8A}"/>
    <cellStyle name="Migliaia 43 4 4 2" xfId="34175" xr:uid="{791C7DFC-28DC-444C-A727-58605EE462BC}"/>
    <cellStyle name="Migliaia 43 4 4 2 2" xfId="39734" xr:uid="{E184BEC8-2540-4ABA-8304-E595142D479E}"/>
    <cellStyle name="Migliaia 43 4 4 2 3" xfId="45036" xr:uid="{C5BEEDD2-EA4F-4ED6-B3A0-149D0460BF4F}"/>
    <cellStyle name="Migliaia 43 4 4 3" xfId="37129" xr:uid="{82A5C984-AFA3-450C-A8B8-178F02B3C30A}"/>
    <cellStyle name="Migliaia 43 4 4 4" xfId="42385" xr:uid="{7677C060-9254-46F9-8C2D-1001ACB9504C}"/>
    <cellStyle name="Migliaia 43 4 4 5" xfId="12038" xr:uid="{5F32C596-C382-44F2-86FC-12D88FE8AFD1}"/>
    <cellStyle name="Migliaia 43 4 5" xfId="3706" xr:uid="{55B37FB2-0420-40E0-B31D-40AAE29CC37A}"/>
    <cellStyle name="Migliaia 43 4 5 2" xfId="34176" xr:uid="{AA22D1B6-B66D-40E8-8749-89DBFE0E39D2}"/>
    <cellStyle name="Migliaia 43 4 5 2 2" xfId="39735" xr:uid="{46516304-2F47-4AB9-9E8C-1079D1662872}"/>
    <cellStyle name="Migliaia 43 4 5 2 3" xfId="45037" xr:uid="{79BB87F6-6060-4E2C-A7EC-E936C600E971}"/>
    <cellStyle name="Migliaia 43 4 5 3" xfId="37130" xr:uid="{EAD07527-D0E6-495F-A3D7-7DCA6C3D1A61}"/>
    <cellStyle name="Migliaia 43 4 5 4" xfId="42386" xr:uid="{23394B5E-F416-4E6E-A8BD-AFD906F7D78C}"/>
    <cellStyle name="Migliaia 43 4 5 5" xfId="11385" xr:uid="{43F2C320-C2A3-4F72-B567-83F43E2BAD46}"/>
    <cellStyle name="Migliaia 43 4 6" xfId="10920" xr:uid="{CEA8DB65-C5D6-4AD1-BA81-07C76FD5F5D8}"/>
    <cellStyle name="Migliaia 43 4 6 2" xfId="21555" xr:uid="{EA20C6A8-DA8D-4377-BD24-73B415A29550}"/>
    <cellStyle name="Migliaia 43 4 6 2 2" xfId="39736" xr:uid="{E89DB492-0756-4BE9-A65C-EC63AA4E0DB3}"/>
    <cellStyle name="Migliaia 43 4 6 2 3" xfId="45038" xr:uid="{90B0A57E-706C-47CB-AA67-AA991AB74788}"/>
    <cellStyle name="Migliaia 43 4 6 2 4" xfId="34177" xr:uid="{44FDD22A-728B-4C5B-A258-F0B543510C24}"/>
    <cellStyle name="Migliaia 43 4 6 3" xfId="37131" xr:uid="{D7CB82F5-5AD6-482C-9E8D-C0F9F16FF47B}"/>
    <cellStyle name="Migliaia 43 4 6 4" xfId="42387" xr:uid="{B6FFBCE4-25B3-43BD-9EB2-9F18A253BB59}"/>
    <cellStyle name="Migliaia 43 4 6 5" xfId="25076" xr:uid="{95A8ACF1-E127-44D5-9950-3965C380F7A0}"/>
    <cellStyle name="Migliaia 43 4 6 6" xfId="47264" xr:uid="{F8D86233-6EBA-4C49-9934-AEE128D9BBEF}"/>
    <cellStyle name="Migliaia 43 4 6 7" xfId="50570" xr:uid="{61EEF052-66C1-4668-B3F6-C121D0962261}"/>
    <cellStyle name="Migliaia 43 4 6 8" xfId="53586" xr:uid="{B16FC150-703B-43B0-9CF9-C47CD68AA7D4}"/>
    <cellStyle name="Migliaia 43 4 7" xfId="20679" xr:uid="{72102058-8F77-4B2D-9B07-96398FF7D91A}"/>
    <cellStyle name="Migliaia 43 4 7 2" xfId="34178" xr:uid="{22672D5D-0A6B-4FB8-9DB7-575C083B4983}"/>
    <cellStyle name="Migliaia 43 4 7 2 2" xfId="39737" xr:uid="{03641958-64E5-4875-A852-91C8B2740571}"/>
    <cellStyle name="Migliaia 43 4 7 2 3" xfId="45039" xr:uid="{CCD48F93-C7CB-4837-B821-1542C6DD5E3E}"/>
    <cellStyle name="Migliaia 43 4 7 3" xfId="37132" xr:uid="{D7D7BC0B-FF71-4843-AE10-DFFF0B55E67A}"/>
    <cellStyle name="Migliaia 43 4 7 4" xfId="42388" xr:uid="{C45A65FD-0240-486D-BCB8-A341E0C658E9}"/>
    <cellStyle name="Migliaia 43 4 7 5" xfId="25077" xr:uid="{9117ED36-0E46-4054-BF1C-21806AC64ADF}"/>
    <cellStyle name="Migliaia 43 4 8" xfId="25069" xr:uid="{BE0499CF-A6D4-41DD-99A8-308C959DF963}"/>
    <cellStyle name="Migliaia 43 4 9" xfId="7516" xr:uid="{656B39BA-325F-48EC-A899-12BD22F3166F}"/>
    <cellStyle name="Migliaia 43 5" xfId="1845" xr:uid="{00000000-0005-0000-0000-000014040000}"/>
    <cellStyle name="Migliaia 43 5 2" xfId="5434" xr:uid="{FA42EACE-A059-4BF5-8E5A-48E50AAD8857}"/>
    <cellStyle name="Migliaia 43 5 2 2" xfId="18475" xr:uid="{1DD1D7F2-B799-46ED-83DF-FD8B385752BF}"/>
    <cellStyle name="Migliaia 43 5 2 2 2" xfId="39738" xr:uid="{32318B93-7CA7-46FA-A98A-5825F8CD276B}"/>
    <cellStyle name="Migliaia 43 5 2 2 3" xfId="45040" xr:uid="{FDF9BFB0-9889-4194-9286-BF2EDDA7A4B4}"/>
    <cellStyle name="Migliaia 43 5 2 3" xfId="20682" xr:uid="{0AEC5357-7D78-4B93-92A0-2698326A62BB}"/>
    <cellStyle name="Migliaia 43 5 2 3 2" xfId="37133" xr:uid="{650B1D34-1E9B-4FA3-8AE2-0510C63EB89F}"/>
    <cellStyle name="Migliaia 43 5 2 4" xfId="42389" xr:uid="{68667E0C-A03B-43FC-BFE0-1CBA23294587}"/>
    <cellStyle name="Migliaia 43 5 2 5" xfId="16598" xr:uid="{0118E776-98CE-4895-863E-04E672BC14C5}"/>
    <cellStyle name="Migliaia 43 5 2 6" xfId="8707" xr:uid="{E450942C-5175-4CA4-84FB-5CFEB8C1B2E5}"/>
    <cellStyle name="Migliaia 43 5 3" xfId="6620" xr:uid="{5C3EA93A-136B-4265-8CC5-5660E75BEBAE}"/>
    <cellStyle name="Migliaia 43 5 3 2" xfId="34180" xr:uid="{0D37C7E5-02DA-42C7-91AC-F33C352E1D94}"/>
    <cellStyle name="Migliaia 43 5 3 2 2" xfId="39739" xr:uid="{51400C6A-4C98-465E-8327-C1F229457523}"/>
    <cellStyle name="Migliaia 43 5 3 2 3" xfId="45041" xr:uid="{1EFBD755-841C-4881-876E-29362E8F9894}"/>
    <cellStyle name="Migliaia 43 5 3 3" xfId="37134" xr:uid="{4C949410-1D52-4AFB-928A-A6BFEF193365}"/>
    <cellStyle name="Migliaia 43 5 3 4" xfId="42390" xr:uid="{A7851E4F-D750-4EFD-A3BC-829E222CD2AD}"/>
    <cellStyle name="Migliaia 43 5 3 5" xfId="11387" xr:uid="{9E10C2AE-C794-4041-B233-699F0BFD2518}"/>
    <cellStyle name="Migliaia 43 5 4" xfId="3708" xr:uid="{E224E1F4-931F-4E25-AE94-2E9EF9F2C2C5}"/>
    <cellStyle name="Migliaia 43 5 4 2" xfId="21557" xr:uid="{0DBE780F-0382-4FD3-97AE-A9B816B552C4}"/>
    <cellStyle name="Migliaia 43 5 4 2 2" xfId="39740" xr:uid="{F279D305-57A1-4F2E-9A5B-132B0FFAE2AD}"/>
    <cellStyle name="Migliaia 43 5 4 2 3" xfId="45042" xr:uid="{89775498-2167-4B47-8B1A-BF093639CAC8}"/>
    <cellStyle name="Migliaia 43 5 4 2 4" xfId="34181" xr:uid="{0524A084-E6F1-4CCC-9B4F-2FC07AB8BC3B}"/>
    <cellStyle name="Migliaia 43 5 4 3" xfId="37135" xr:uid="{86511C26-2962-4507-9F61-C914605E96BF}"/>
    <cellStyle name="Migliaia 43 5 4 4" xfId="42391" xr:uid="{D62620D8-4552-43B8-8EF6-3BD0D3457D1E}"/>
    <cellStyle name="Migliaia 43 5 4 5" xfId="25081" xr:uid="{D6684779-F851-48E0-AA09-B247D8BEB77A}"/>
    <cellStyle name="Migliaia 43 5 4 6" xfId="46259" xr:uid="{B663A6B9-0E81-47FD-B6E2-0638407BBA11}"/>
    <cellStyle name="Migliaia 43 5 4 7" xfId="50572" xr:uid="{94EE158C-3315-4569-BE3D-65B929F5B99B}"/>
    <cellStyle name="Migliaia 43 5 4 8" xfId="53588" xr:uid="{CA40F439-C6F7-4A96-A240-AFB6E3ECBEFF}"/>
    <cellStyle name="Migliaia 43 5 4 9" xfId="10922" xr:uid="{EFCB44CE-5AB7-4F43-AF7A-0F281D13DCCC}"/>
    <cellStyle name="Migliaia 43 5 5" xfId="20681" xr:uid="{93A61784-CD46-46A6-AA0B-B53ABADE8897}"/>
    <cellStyle name="Migliaia 43 5 5 2" xfId="34182" xr:uid="{E01A1212-A99B-44E7-A3E6-A2BF0D05345E}"/>
    <cellStyle name="Migliaia 43 5 5 2 2" xfId="39741" xr:uid="{D2986DBD-7FC7-498D-A4C5-DDFB71208819}"/>
    <cellStyle name="Migliaia 43 5 5 2 3" xfId="45043" xr:uid="{460D357E-B93A-43E4-AF08-E1FBFF3B64E4}"/>
    <cellStyle name="Migliaia 43 5 5 3" xfId="37136" xr:uid="{FEB6F996-E0E0-42FB-8EF3-D5D320C62510}"/>
    <cellStyle name="Migliaia 43 5 5 4" xfId="42392" xr:uid="{4CD4B72F-C953-4234-BE85-885E37E7C6FB}"/>
    <cellStyle name="Migliaia 43 5 5 5" xfId="25082" xr:uid="{6B5C94BA-8A65-46E7-8320-E15FA653301A}"/>
    <cellStyle name="Migliaia 43 5 6" xfId="25083" xr:uid="{CBA383BD-3EBF-42A5-8396-FBCE64C4A4DE}"/>
    <cellStyle name="Migliaia 43 5 6 2" xfId="34183" xr:uid="{A3052A38-88B9-44DD-BCB2-14CDC61AC282}"/>
    <cellStyle name="Migliaia 43 5 6 2 2" xfId="39742" xr:uid="{9D0199FC-82A7-4E66-BD15-515DAE66B76E}"/>
    <cellStyle name="Migliaia 43 5 6 2 3" xfId="45044" xr:uid="{4E1C9835-793C-4BE7-A7FF-D40BCBEFCE6D}"/>
    <cellStyle name="Migliaia 43 5 6 3" xfId="37137" xr:uid="{C6330DED-917D-40C4-95E5-485CF9266DF3}"/>
    <cellStyle name="Migliaia 43 5 6 4" xfId="42393" xr:uid="{4ED8858D-EC5E-4CA1-85DC-3F6F1F4A6F28}"/>
    <cellStyle name="Migliaia 43 5 7" xfId="25078" xr:uid="{DCBCBEC3-D5A9-4864-93C4-D356CBC24D15}"/>
    <cellStyle name="Migliaia 43 5 8" xfId="7517" xr:uid="{3C89BBE0-228B-41B5-B700-4B2F115155E1}"/>
    <cellStyle name="Migliaia 43 6" xfId="3709" xr:uid="{F072E6B5-FE24-4E0D-A4DC-03F9C71B9882}"/>
    <cellStyle name="Migliaia 43 6 2" xfId="5435" xr:uid="{0B4D3EA2-B8F0-4CD0-885B-6F83EC6E70ED}"/>
    <cellStyle name="Migliaia 43 6 2 2" xfId="9955" xr:uid="{47DE7256-A376-4740-A9D4-13FE421EA5A6}"/>
    <cellStyle name="Migliaia 43 6 2 3" xfId="18643" xr:uid="{48A983F2-7AE3-4467-8CD6-D88CB78EAF10}"/>
    <cellStyle name="Migliaia 43 6 2 4" xfId="20684" xr:uid="{10EA8155-EA0F-460B-B33F-3397AF55905E}"/>
    <cellStyle name="Migliaia 43 6 2 5" xfId="32427" xr:uid="{6717DDCF-8FB5-408C-8B03-215205B3BAA0}"/>
    <cellStyle name="Migliaia 43 6 2 6" xfId="16600" xr:uid="{0B2002C7-A939-40AA-8366-94BCC85F35CC}"/>
    <cellStyle name="Migliaia 43 6 2 7" xfId="8702" xr:uid="{340B007C-E359-418C-AA4A-3D385D6E0122}"/>
    <cellStyle name="Migliaia 43 6 3" xfId="6621" xr:uid="{8BF9FBF5-236D-49C7-BFD3-6B2B271B0ECA}"/>
    <cellStyle name="Migliaia 43 6 3 2" xfId="35386" xr:uid="{5E7EED87-9663-4C52-8FD5-D8414C4A27E7}"/>
    <cellStyle name="Migliaia 43 6 3 2 2" xfId="40546" xr:uid="{E7AC8B0F-3854-4827-8342-52E4E3ECF1CF}"/>
    <cellStyle name="Migliaia 43 6 3 2 3" xfId="45848" xr:uid="{0A6EB1FD-DA97-42F3-969A-4ABB731F23C9}"/>
    <cellStyle name="Migliaia 43 6 3 3" xfId="37895" xr:uid="{1993A862-22B1-4718-97C2-F38FA88CFB48}"/>
    <cellStyle name="Migliaia 43 6 3 4" xfId="43197" xr:uid="{A5B8DB68-6A7E-41CA-9ABB-52BF4E0D58E8}"/>
    <cellStyle name="Migliaia 43 6 3 5" xfId="9718" xr:uid="{DBAF44B0-B876-41AA-AA2F-AF8C2DBFFFB2}"/>
    <cellStyle name="Migliaia 43 6 4" xfId="20683" xr:uid="{09FD1F59-12C6-4CCB-B823-02DF341006DF}"/>
    <cellStyle name="Migliaia 43 6 4 2" xfId="39743" xr:uid="{A6EB34DE-558C-4CA1-89E9-05133F75DA03}"/>
    <cellStyle name="Migliaia 43 6 4 3" xfId="45045" xr:uid="{5CF2A20D-9DB5-4CA7-B4E4-E03317580649}"/>
    <cellStyle name="Migliaia 43 6 4 4" xfId="34184" xr:uid="{9A6C3B5F-2984-40F7-99C4-3C58C33BFA5E}"/>
    <cellStyle name="Migliaia 43 6 5" xfId="37138" xr:uid="{68E8C4EC-5162-4864-82FE-77B424EE089B}"/>
    <cellStyle name="Migliaia 43 6 6" xfId="42394" xr:uid="{EEE29800-5F47-452B-AE0A-F91C0DDAAB6D}"/>
    <cellStyle name="Migliaia 43 6 7" xfId="16599" xr:uid="{08D31EBD-C698-4C2F-99E4-84AFAB8F5A9D}"/>
    <cellStyle name="Migliaia 43 6 8" xfId="7512" xr:uid="{66884DA4-7A92-4615-A2AB-A3C35AE2F40E}"/>
    <cellStyle name="Migliaia 43 7" xfId="3710" xr:uid="{118DD966-44D8-43A0-B4D9-71ADC72DC010}"/>
    <cellStyle name="Migliaia 43 7 2" xfId="5436" xr:uid="{63826C31-3B57-4F51-A584-91A8D3E5120B}"/>
    <cellStyle name="Migliaia 43 7 2 2" xfId="35387" xr:uid="{BC89A0D4-FE08-44EF-AB80-82A2745832AE}"/>
    <cellStyle name="Migliaia 43 7 2 2 2" xfId="40547" xr:uid="{739587F9-C83C-48AC-AFCB-2BDCC13F95B4}"/>
    <cellStyle name="Migliaia 43 7 2 2 3" xfId="45849" xr:uid="{67525FB6-AC57-476F-88A7-33431C1C0A2C}"/>
    <cellStyle name="Migliaia 43 7 2 3" xfId="37896" xr:uid="{88E63988-EF98-4DCB-95D7-A3E284836D75}"/>
    <cellStyle name="Migliaia 43 7 2 4" xfId="43198" xr:uid="{9FD5DA2F-8AD3-4828-A1EC-325B3906DA37}"/>
    <cellStyle name="Migliaia 43 7 2 5" xfId="14290" xr:uid="{35B87AF5-0EB0-40DA-8826-C332D9FA1923}"/>
    <cellStyle name="Migliaia 43 7 3" xfId="6622" xr:uid="{3544D5E2-072E-40D6-AFE3-D0E85DA1E348}"/>
    <cellStyle name="Migliaia 43 7 3 2" xfId="39744" xr:uid="{F95710EB-193A-4F65-8537-70509C12D038}"/>
    <cellStyle name="Migliaia 43 7 3 3" xfId="45046" xr:uid="{35DD572C-251F-4F76-9C9C-D09966D94AFD}"/>
    <cellStyle name="Migliaia 43 7 3 4" xfId="34185" xr:uid="{FACCC2D0-985C-4F4C-AE3C-A069383C0AC8}"/>
    <cellStyle name="Migliaia 43 7 3 5" xfId="20685" xr:uid="{98B11196-C41D-4CBD-93AF-58CB905EA803}"/>
    <cellStyle name="Migliaia 43 7 4" xfId="37139" xr:uid="{C9521F0F-3D7E-4EE7-92F0-ADEA0A9CE08D}"/>
    <cellStyle name="Migliaia 43 7 5" xfId="42395" xr:uid="{4416FDCC-825F-4EE3-9F60-4EE03FED8200}"/>
    <cellStyle name="Migliaia 43 7 6" xfId="16601" xr:uid="{FE019635-BF6C-4FBB-B1E9-441F6F369E3D}"/>
    <cellStyle name="Migliaia 43 7 7" xfId="8352" xr:uid="{C3E43FB2-27A8-4CD8-AF75-159C7E0BED10}"/>
    <cellStyle name="Migliaia 43 8" xfId="3711" xr:uid="{7780D516-51AA-4E45-B93A-0175E8FF9C2C}"/>
    <cellStyle name="Migliaia 43 8 2" xfId="5437" xr:uid="{276B9114-7D7D-4299-ADFA-B6C80DB86282}"/>
    <cellStyle name="Migliaia 43 8 2 2" xfId="35388" xr:uid="{3FCF122D-6D0A-49D0-8A17-38EE21897407}"/>
    <cellStyle name="Migliaia 43 8 2 2 2" xfId="40548" xr:uid="{E27BDB13-4E3C-4808-B572-C7A697F015B7}"/>
    <cellStyle name="Migliaia 43 8 2 2 3" xfId="45850" xr:uid="{6E784B3F-B21A-4150-A4BB-0DD4C860F23D}"/>
    <cellStyle name="Migliaia 43 8 2 3" xfId="37897" xr:uid="{5FA2D2E1-52FD-49D2-A4A9-A2C07C14DB77}"/>
    <cellStyle name="Migliaia 43 8 2 4" xfId="43199" xr:uid="{B1C5E889-BA2E-470C-8A9E-78FD0C520BF3}"/>
    <cellStyle name="Migliaia 43 8 2 5" xfId="13995" xr:uid="{A48DA4E1-D229-481A-8E68-6C1A5ABADEEE}"/>
    <cellStyle name="Migliaia 43 8 3" xfId="6623" xr:uid="{9F11793E-9177-4C2B-8556-0565DB74A265}"/>
    <cellStyle name="Migliaia 43 8 3 2" xfId="39745" xr:uid="{E534010F-2F91-49A5-BA88-3059B2705E7E}"/>
    <cellStyle name="Migliaia 43 8 3 3" xfId="45047" xr:uid="{14FCC487-C263-4355-B831-38EBFD0F2C3C}"/>
    <cellStyle name="Migliaia 43 8 3 4" xfId="34186" xr:uid="{D982147A-BBB8-47A0-A4DA-F1891678B8F3}"/>
    <cellStyle name="Migliaia 43 8 3 5" xfId="20686" xr:uid="{805BAE3C-32C0-47F5-A315-660737B719CD}"/>
    <cellStyle name="Migliaia 43 8 4" xfId="37140" xr:uid="{B80EF678-A1DA-4772-A0FF-5A3D63673C96}"/>
    <cellStyle name="Migliaia 43 8 5" xfId="42396" xr:uid="{04731A40-E075-488C-A490-1F491A7889C4}"/>
    <cellStyle name="Migliaia 43 8 6" xfId="16602" xr:uid="{0440B9E3-DF16-4671-9159-F2CDC8FA924F}"/>
    <cellStyle name="Migliaia 43 8 7" xfId="7970" xr:uid="{956DC0B6-7E2B-4BAC-A855-CDB815BFDF6A}"/>
    <cellStyle name="Migliaia 43 9" xfId="5422" xr:uid="{63CC7E02-61B6-4E30-A101-7A865BDF1BC2}"/>
    <cellStyle name="Migliaia 43 9 2" xfId="34187" xr:uid="{1EAE561F-FEA9-44D6-954A-750D5C4E5F55}"/>
    <cellStyle name="Migliaia 43 9 2 2" xfId="39746" xr:uid="{7C7FB619-737B-4A43-A067-B300F8C16FD4}"/>
    <cellStyle name="Migliaia 43 9 2 3" xfId="45048" xr:uid="{6A3FB4B5-A8A9-4F6C-AF7A-5F96CA50D00B}"/>
    <cellStyle name="Migliaia 43 9 3" xfId="37141" xr:uid="{E8D1818C-3E28-4EE2-BB00-A0B57CC5085B}"/>
    <cellStyle name="Migliaia 43 9 4" xfId="42397" xr:uid="{7DAEBF02-6682-431D-B363-309CF141DA98}"/>
    <cellStyle name="Migliaia 43 9 5" xfId="17209" xr:uid="{0EE0B0F5-30C3-4E78-AC07-EE33E544D467}"/>
    <cellStyle name="Migliaia 44" xfId="453" xr:uid="{00000000-0005-0000-0000-000015040000}"/>
    <cellStyle name="Migliaia 44 10" xfId="6624" xr:uid="{A8D53E44-37FD-4DC9-8A4A-82D613CB23B6}"/>
    <cellStyle name="Migliaia 44 10 2" xfId="39747" xr:uid="{33A559D5-C87A-4E29-B914-BC828432C12E}"/>
    <cellStyle name="Migliaia 44 10 3" xfId="45049" xr:uid="{6C2E9CA5-5ABB-4968-B8E2-4FF27B1575EA}"/>
    <cellStyle name="Migliaia 44 10 4" xfId="34188" xr:uid="{F239B6AF-DE01-46C3-A0F3-62BA53F23DFE}"/>
    <cellStyle name="Migliaia 44 10 5" xfId="20687" xr:uid="{567A0866-3A18-4714-949A-6CD621199F2D}"/>
    <cellStyle name="Migliaia 44 11" xfId="3712" xr:uid="{6DC8F25D-EE44-4546-85BB-50ED6B7759A6}"/>
    <cellStyle name="Migliaia 44 11 2" xfId="37142" xr:uid="{5109B807-7298-4A5B-B8CD-909E00C96DBC}"/>
    <cellStyle name="Migliaia 44 12" xfId="42398" xr:uid="{984F9000-BA07-4E0A-968C-E0FF961D08D1}"/>
    <cellStyle name="Migliaia 44 13" xfId="7156" xr:uid="{9EBDA7FE-D3B0-41B2-82CC-4A10091EF2EE}"/>
    <cellStyle name="Migliaia 44 2" xfId="454" xr:uid="{00000000-0005-0000-0000-000016040000}"/>
    <cellStyle name="Migliaia 44 2 2" xfId="1846" xr:uid="{00000000-0005-0000-0000-000017040000}"/>
    <cellStyle name="Migliaia 44 2 2 2" xfId="5440" xr:uid="{28D25D56-790E-44B2-993B-A295C3550BA0}"/>
    <cellStyle name="Migliaia 44 2 2 2 2" xfId="14401" xr:uid="{55FCC41F-0BAA-47B3-BE9E-64EA3E786A25}"/>
    <cellStyle name="Migliaia 44 2 2 2 2 2" xfId="39748" xr:uid="{F7F8AF53-7D5D-4F32-95F6-E3F5A6BF41EF}"/>
    <cellStyle name="Migliaia 44 2 2 2 2 3" xfId="45050" xr:uid="{31EA1B0E-D774-4D92-B621-4D1E64A5BBF8}"/>
    <cellStyle name="Migliaia 44 2 2 2 3" xfId="18476" xr:uid="{32A29965-ED6E-49CF-8E7A-70CF5F9697E4}"/>
    <cellStyle name="Migliaia 44 2 2 2 4" xfId="20690" xr:uid="{EABDA32C-DFD9-4CE4-8F14-8BAAF08A56D9}"/>
    <cellStyle name="Migliaia 44 2 2 2 4 2" xfId="42399" xr:uid="{BCCC9A6A-9E96-4C9F-B671-503A59646C08}"/>
    <cellStyle name="Migliaia 44 2 2 2 5" xfId="16603" xr:uid="{FBBA37D3-F281-47D3-A99F-3AF27F6A2B25}"/>
    <cellStyle name="Migliaia 44 2 2 2 6" xfId="8709" xr:uid="{074D9D02-51E4-484E-AF8D-D5773D52E095}"/>
    <cellStyle name="Migliaia 44 2 2 3" xfId="6626" xr:uid="{904E045B-19C4-432B-BC32-05470016BC52}"/>
    <cellStyle name="Migliaia 44 2 2 3 2" xfId="35389" xr:uid="{5F739DC0-E90E-48EC-BED4-6D53A1B13FD7}"/>
    <cellStyle name="Migliaia 44 2 2 3 2 2" xfId="40549" xr:uid="{2CE77EFD-EC1E-4B6B-887F-D838287D1B0C}"/>
    <cellStyle name="Migliaia 44 2 2 3 2 3" xfId="45851" xr:uid="{56121CB7-558D-414D-8C50-075617ED7DFB}"/>
    <cellStyle name="Migliaia 44 2 2 3 3" xfId="37898" xr:uid="{B9295926-0AED-4E1C-B62E-F11E1D9A6707}"/>
    <cellStyle name="Migliaia 44 2 2 3 4" xfId="43200" xr:uid="{A76CF8D2-2DB4-4EC8-B357-C5CB14A6DD6F}"/>
    <cellStyle name="Migliaia 44 2 2 3 5" xfId="11628" xr:uid="{ABA7E34F-D115-4A01-80DD-02D570A22257}"/>
    <cellStyle name="Migliaia 44 2 2 4" xfId="3714" xr:uid="{8D4B1600-5DB4-487D-9980-14978E7BCDC2}"/>
    <cellStyle name="Migliaia 44 2 2 4 2" xfId="21558" xr:uid="{97AB884F-7D6D-42D6-881C-6D2E62B84FAD}"/>
    <cellStyle name="Migliaia 44 2 2 4 3" xfId="47604" xr:uid="{BD9F8AD8-730A-440D-A1F1-CC7248259B27}"/>
    <cellStyle name="Migliaia 44 2 2 4 4" xfId="50573" xr:uid="{ADD7138B-80F0-4B23-B47E-329183788EDF}"/>
    <cellStyle name="Migliaia 44 2 2 4 5" xfId="53589" xr:uid="{BA98F7C4-00F2-4C2C-BC8A-44AB076C33CC}"/>
    <cellStyle name="Migliaia 44 2 2 4 6" xfId="10923" xr:uid="{EFB97BF3-4C81-4581-AD56-1B2E49F3CC9A}"/>
    <cellStyle name="Migliaia 44 2 2 5" xfId="20689" xr:uid="{AE472FB9-574A-4337-9D68-E426957609E5}"/>
    <cellStyle name="Migliaia 44 2 2 6" xfId="25090" xr:uid="{AB3B409B-3297-44EB-AE51-C17BE065289F}"/>
    <cellStyle name="Migliaia 44 2 2 7" xfId="7519" xr:uid="{0372186C-106C-4CB9-95ED-7CAB14732C62}"/>
    <cellStyle name="Migliaia 44 2 3" xfId="3715" xr:uid="{AF28B6FB-A1F2-47A2-BB70-BFC4EF2ED806}"/>
    <cellStyle name="Migliaia 44 2 3 2" xfId="5441" xr:uid="{D00BD111-F711-4EA3-B1D5-2F0821A74D2E}"/>
    <cellStyle name="Migliaia 44 2 3 2 2" xfId="35390" xr:uid="{3FFD429C-B5AF-4277-88C9-FE7B15A1EF66}"/>
    <cellStyle name="Migliaia 44 2 3 2 2 2" xfId="40550" xr:uid="{5BAE779C-8383-4F98-8C5F-8C2B8EAD39EF}"/>
    <cellStyle name="Migliaia 44 2 3 2 2 3" xfId="45852" xr:uid="{5DA84BAF-E980-4C87-879C-D50891A2CF89}"/>
    <cellStyle name="Migliaia 44 2 3 2 3" xfId="37899" xr:uid="{16C3AF66-935D-48E8-ACDF-CBD5B6964574}"/>
    <cellStyle name="Migliaia 44 2 3 2 4" xfId="43201" xr:uid="{C8DD5F52-DA42-4C8E-A2C0-BA5AB86C6CB4}"/>
    <cellStyle name="Migliaia 44 2 3 2 5" xfId="14294" xr:uid="{344F9587-6557-4502-9A75-3F96410A7760}"/>
    <cellStyle name="Migliaia 44 2 3 3" xfId="6627" xr:uid="{D96E467E-E4D7-4E82-A0A1-0500AD740787}"/>
    <cellStyle name="Migliaia 44 2 3 3 2" xfId="39749" xr:uid="{BCAE3F75-0FD3-4CEF-BFDA-27701EE70784}"/>
    <cellStyle name="Migliaia 44 2 3 3 3" xfId="45051" xr:uid="{25BB52EC-CDC5-4EC8-85E9-C7173DF36D71}"/>
    <cellStyle name="Migliaia 44 2 3 3 4" xfId="34190" xr:uid="{0D827030-F4CD-4E9F-ABE3-3C03F6FE064D}"/>
    <cellStyle name="Migliaia 44 2 3 3 5" xfId="20691" xr:uid="{482EC773-4FD2-489F-9442-CEA4E38BE994}"/>
    <cellStyle name="Migliaia 44 2 3 4" xfId="37144" xr:uid="{43513EE5-B022-46D5-A4AB-990BEA962186}"/>
    <cellStyle name="Migliaia 44 2 3 5" xfId="42400" xr:uid="{F73C5625-8403-4100-A3B7-52200BD11B5B}"/>
    <cellStyle name="Migliaia 44 2 3 6" xfId="16604" xr:uid="{C3FC07BC-02CD-40C5-85C1-0056DEB27EB7}"/>
    <cellStyle name="Migliaia 44 2 3 7" xfId="8356" xr:uid="{337820A8-A21A-4974-A120-D822F946591F}"/>
    <cellStyle name="Migliaia 44 2 4" xfId="5439" xr:uid="{8D5A401F-98CC-4B2E-AB8D-78767C17BED6}"/>
    <cellStyle name="Migliaia 44 2 4 2" xfId="13999" xr:uid="{6EF584A2-826D-4833-B383-DE2F91DB691E}"/>
    <cellStyle name="Migliaia 44 2 4 2 2" xfId="39750" xr:uid="{9A49DA97-70D9-4A2F-89B0-69B80527AB97}"/>
    <cellStyle name="Migliaia 44 2 4 2 3" xfId="45052" xr:uid="{45522ED3-4ED4-496D-B479-28C55EDAC0FF}"/>
    <cellStyle name="Migliaia 44 2 4 3" xfId="18608" xr:uid="{D9E092F3-DFD6-4B97-A0D5-140A2D08799F}"/>
    <cellStyle name="Migliaia 44 2 4 4" xfId="20692" xr:uid="{F4D5E7D9-EE1B-4455-A058-702954718656}"/>
    <cellStyle name="Migliaia 44 2 4 4 2" xfId="42401" xr:uid="{6F5BAB18-FBB7-4AA0-BC75-F4E630D29C56}"/>
    <cellStyle name="Migliaia 44 2 4 5" xfId="16605" xr:uid="{827D37D4-4C79-464C-B016-59E510E5AF25}"/>
    <cellStyle name="Migliaia 44 2 4 6" xfId="7975" xr:uid="{631EAAE9-CA59-45D1-9896-973C2D0B996F}"/>
    <cellStyle name="Migliaia 44 2 5" xfId="6625" xr:uid="{3EEDC538-83E2-4FBD-864A-098E6BB934DE}"/>
    <cellStyle name="Migliaia 44 2 5 2" xfId="34191" xr:uid="{AACEAB61-1432-4753-AE3B-0283306B6E2C}"/>
    <cellStyle name="Migliaia 44 2 5 2 2" xfId="39751" xr:uid="{C1F5425D-84DE-4D5F-B01A-0AED104B11CA}"/>
    <cellStyle name="Migliaia 44 2 5 2 3" xfId="45053" xr:uid="{0E64FCAD-B365-4ED3-B69B-00AFB612BD21}"/>
    <cellStyle name="Migliaia 44 2 5 3" xfId="37145" xr:uid="{E3A5E7B5-372C-4EC0-A0A6-75B63C57792B}"/>
    <cellStyle name="Migliaia 44 2 5 4" xfId="42402" xr:uid="{BD093E10-AFCE-4CD6-8CA0-F070AEF2E500}"/>
    <cellStyle name="Migliaia 44 2 5 5" xfId="13141" xr:uid="{78A7402C-5D46-44DB-AFB6-686187D4629A}"/>
    <cellStyle name="Migliaia 44 2 6" xfId="3713" xr:uid="{CA824D8A-2ADC-4E78-AE53-724E9F125FAF}"/>
    <cellStyle name="Migliaia 44 2 6 2" xfId="34192" xr:uid="{DDA26824-854B-4B9B-AED5-DDFD60BB8D99}"/>
    <cellStyle name="Migliaia 44 2 6 2 2" xfId="39752" xr:uid="{BCC8F59B-BCB8-4E91-B6E1-FAE2EFB20D04}"/>
    <cellStyle name="Migliaia 44 2 6 2 3" xfId="45054" xr:uid="{18129C84-51E2-4833-ABFB-193257E4471D}"/>
    <cellStyle name="Migliaia 44 2 6 3" xfId="37146" xr:uid="{87305442-A995-4048-BACB-7B680F00DB42}"/>
    <cellStyle name="Migliaia 44 2 6 4" xfId="42403" xr:uid="{6342FB03-9FFF-40AC-A390-AD323783CEF2}"/>
    <cellStyle name="Migliaia 44 2 6 5" xfId="25092" xr:uid="{6A24767E-394B-44A8-AB57-E45082A883C0}"/>
    <cellStyle name="Migliaia 44 2 6 6" xfId="20688" xr:uid="{4A82205D-1B66-423F-B7D1-A60FE1D2FED5}"/>
    <cellStyle name="Migliaia 44 2 7" xfId="25089" xr:uid="{E40D86A3-4EAA-423A-9135-9F08C45588FD}"/>
    <cellStyle name="Migliaia 44 2 8" xfId="7157" xr:uid="{00B97E6C-587D-4420-8103-D9FF8C7603ED}"/>
    <cellStyle name="Migliaia 44 3" xfId="455" xr:uid="{00000000-0005-0000-0000-000018040000}"/>
    <cellStyle name="Migliaia 44 3 10" xfId="25093" xr:uid="{9EBF86FF-5AB2-4840-84E6-46FA6E94A88A}"/>
    <cellStyle name="Migliaia 44 3 11" xfId="16606" xr:uid="{2A816D33-C4DF-4840-9606-1CE831ADF7B6}"/>
    <cellStyle name="Migliaia 44 3 12" xfId="7158" xr:uid="{5D19B05A-1A84-4AFD-9D28-E4B2E3EA8F0E}"/>
    <cellStyle name="Migliaia 44 3 2" xfId="456" xr:uid="{00000000-0005-0000-0000-000019040000}"/>
    <cellStyle name="Migliaia 44 3 2 2" xfId="1847" xr:uid="{00000000-0005-0000-0000-00001A040000}"/>
    <cellStyle name="Migliaia 44 3 2 2 2" xfId="5444" xr:uid="{861B8755-8FBD-4691-A486-819FA10B0846}"/>
    <cellStyle name="Migliaia 44 3 2 2 2 2" xfId="18477" xr:uid="{5B8761B7-5267-47DE-AA26-BAFD5E05928F}"/>
    <cellStyle name="Migliaia 44 3 2 2 2 2 2" xfId="21879" xr:uid="{AF14AB27-2FE2-41DC-8C70-6705686D7AC9}"/>
    <cellStyle name="Migliaia 44 3 2 2 2 2 2 2" xfId="39753" xr:uid="{3D50B70B-5C4E-4B44-AC36-2A107C391D18}"/>
    <cellStyle name="Migliaia 44 3 2 2 2 2 3" xfId="45055" xr:uid="{56936C79-BE41-4544-9155-AB91F9F9DF21}"/>
    <cellStyle name="Migliaia 44 3 2 2 2 2 4" xfId="34193" xr:uid="{33171C85-FF9E-4149-8962-05D04C9FC7B8}"/>
    <cellStyle name="Migliaia 44 3 2 2 2 3" xfId="37147" xr:uid="{68B731E0-1AEA-4CFB-83AA-A70A723A9753}"/>
    <cellStyle name="Migliaia 44 3 2 2 2 4" xfId="42404" xr:uid="{078152DB-0F8E-4AFD-AB61-A10AAAE0D630}"/>
    <cellStyle name="Migliaia 44 3 2 2 2 5" xfId="47212" xr:uid="{8BE1A9BE-D625-4978-BEEC-81217BE0B5AB}"/>
    <cellStyle name="Migliaia 44 3 2 2 2 6" xfId="50907" xr:uid="{358CC441-9133-4843-8972-4514233B40E6}"/>
    <cellStyle name="Migliaia 44 3 2 2 2 7" xfId="53923" xr:uid="{733EE611-4BC3-4252-B550-5BE2F28B873F}"/>
    <cellStyle name="Migliaia 44 3 2 2 2 8" xfId="17677" xr:uid="{F008281C-9CA1-4A74-9CB6-D5686DB5D943}"/>
    <cellStyle name="Migliaia 44 3 2 2 2 9" xfId="12039" xr:uid="{C4B968C2-D41A-48FE-A9B4-59C0CC3910A1}"/>
    <cellStyle name="Migliaia 44 3 2 2 3" xfId="6630" xr:uid="{917919BD-6B66-4E4E-960F-BA4F0384F55D}"/>
    <cellStyle name="Migliaia 44 3 2 2 3 2" xfId="11569" xr:uid="{015AD682-BAC4-4723-9DC2-6BAE02CCB901}"/>
    <cellStyle name="Migliaia 44 3 2 2 4" xfId="3718" xr:uid="{BD4F330B-D144-4029-9F78-9FF59D30185E}"/>
    <cellStyle name="Migliaia 44 3 2 2 4 2" xfId="21559" xr:uid="{2321D8FA-90E5-408E-B583-202BE6EA9AC0}"/>
    <cellStyle name="Migliaia 44 3 2 2 4 3" xfId="32469" xr:uid="{4F7E9DDA-1FF2-44EC-9274-0B6D105C071B}"/>
    <cellStyle name="Migliaia 44 3 2 2 4 4" xfId="50574" xr:uid="{FD9CB82D-9C48-4875-BB59-78E04C6E9343}"/>
    <cellStyle name="Migliaia 44 3 2 2 4 5" xfId="53590" xr:uid="{3E5B3F3B-437F-4C31-A7EA-2154E421816F}"/>
    <cellStyle name="Migliaia 44 3 2 2 4 6" xfId="10924" xr:uid="{E5CC1809-70B2-4502-BA9B-D90557BD16EE}"/>
    <cellStyle name="Migliaia 44 3 2 2 5" xfId="20695" xr:uid="{E8242429-45C3-4E6E-96B8-09F08D52B3F6}"/>
    <cellStyle name="Migliaia 44 3 2 2 6" xfId="25095" xr:uid="{0CC10331-3B18-4BB5-91B8-7ED461770DE8}"/>
    <cellStyle name="Migliaia 44 3 2 2 7" xfId="8711" xr:uid="{55021F92-B330-4639-8B6E-36DE043E8690}"/>
    <cellStyle name="Migliaia 44 3 2 3" xfId="5443" xr:uid="{B8E228EA-5609-41AA-8907-B20C07421AED}"/>
    <cellStyle name="Migliaia 44 3 2 3 2" xfId="12404" xr:uid="{C9A7FCAF-563C-4C60-961A-F8A19B978974}"/>
    <cellStyle name="Migliaia 44 3 2 3 2 2" xfId="39754" xr:uid="{1E54F82A-5930-4BAE-B8D1-F2F3032D2B83}"/>
    <cellStyle name="Migliaia 44 3 2 3 2 3" xfId="45056" xr:uid="{EBFC4D89-F5D6-4F3E-BBC4-B2E47908C455}"/>
    <cellStyle name="Migliaia 44 3 2 3 2 4" xfId="34194" xr:uid="{55BA28E6-10FF-49FD-9630-B5F8DA97DEAA}"/>
    <cellStyle name="Migliaia 44 3 2 3 3" xfId="12040" xr:uid="{1136854C-8AF9-4E65-94F5-20BC895521EE}"/>
    <cellStyle name="Migliaia 44 3 2 3 4" xfId="20696" xr:uid="{A92DA1FF-145C-42D3-A5ED-9A6D5B66F23F}"/>
    <cellStyle name="Migliaia 44 3 2 3 4 2" xfId="42405" xr:uid="{CD791D95-0D23-4841-874E-16D04451C30D}"/>
    <cellStyle name="Migliaia 44 3 2 3 5" xfId="16607" xr:uid="{325A3BC5-744B-4BD3-95C8-0E6AE0253CF8}"/>
    <cellStyle name="Migliaia 44 3 2 3 6" xfId="7977" xr:uid="{228FB0B2-5F8D-4608-9A5C-CA2A255BA5F0}"/>
    <cellStyle name="Migliaia 44 3 2 4" xfId="6629" xr:uid="{EA1D03E1-00CB-4E2E-A6F2-919D8CFF335F}"/>
    <cellStyle name="Migliaia 44 3 2 4 2" xfId="18095" xr:uid="{1C828EC4-793F-4E54-B0AC-30DE8C06B35E}"/>
    <cellStyle name="Migliaia 44 3 2 4 2 2" xfId="39755" xr:uid="{E1E82E91-CEBE-4E97-A6EC-A7A2159D42E0}"/>
    <cellStyle name="Migliaia 44 3 2 4 2 3" xfId="45057" xr:uid="{630ED773-CF2C-494B-85B3-C71AE30D8647}"/>
    <cellStyle name="Migliaia 44 3 2 4 3" xfId="37148" xr:uid="{C1FD4A05-FE0B-4FC0-9F8E-A4091DE5788A}"/>
    <cellStyle name="Migliaia 44 3 2 4 4" xfId="42406" xr:uid="{DA1CCEBB-F729-44C8-ACBB-1ACA182CC429}"/>
    <cellStyle name="Migliaia 44 3 2 4 5" xfId="17212" xr:uid="{054E3898-362B-485B-913B-7A1480C58CBD}"/>
    <cellStyle name="Migliaia 44 3 2 4 6" xfId="11388" xr:uid="{9A357FE5-6F67-4A72-B0C1-A30B1B10E1CA}"/>
    <cellStyle name="Migliaia 44 3 2 5" xfId="3717" xr:uid="{7B7C961D-9974-4584-88EE-6B3E88E9D2A2}"/>
    <cellStyle name="Migliaia 44 3 2 5 2" xfId="34195" xr:uid="{0D6B56D1-3C32-48BA-AA93-25E3A4D3DA86}"/>
    <cellStyle name="Migliaia 44 3 2 5 2 2" xfId="39756" xr:uid="{8948FEFB-C9D1-45DD-8153-1F24FD7B13DE}"/>
    <cellStyle name="Migliaia 44 3 2 5 2 3" xfId="45058" xr:uid="{4BB23E9A-4348-494D-AFDF-C21029D14F98}"/>
    <cellStyle name="Migliaia 44 3 2 5 3" xfId="37149" xr:uid="{F3601FBB-B351-4615-9720-D03730B6A1C3}"/>
    <cellStyle name="Migliaia 44 3 2 5 4" xfId="42407" xr:uid="{E5DCE5DA-5D16-45CC-99E1-D3EC6E82702B}"/>
    <cellStyle name="Migliaia 44 3 2 5 5" xfId="17312" xr:uid="{361550D7-F118-4FFC-BA67-C451C9033BDB}"/>
    <cellStyle name="Migliaia 44 3 2 6" xfId="20694" xr:uid="{061747CF-3EF1-40B8-81A0-9CE89A64A9D4}"/>
    <cellStyle name="Migliaia 44 3 2 6 2" xfId="34196" xr:uid="{AD43EDBF-06C8-495F-9995-2613540BE6FD}"/>
    <cellStyle name="Migliaia 44 3 2 6 2 2" xfId="39757" xr:uid="{4575AEE7-06D3-49CC-9564-7456AEB618F9}"/>
    <cellStyle name="Migliaia 44 3 2 6 2 3" xfId="45059" xr:uid="{89561864-2343-4B0E-A286-F72145FD13BA}"/>
    <cellStyle name="Migliaia 44 3 2 6 3" xfId="37150" xr:uid="{A283F890-49AF-4B01-85DB-343D74460320}"/>
    <cellStyle name="Migliaia 44 3 2 6 4" xfId="42408" xr:uid="{B345AA3C-A281-4779-AFEB-037126DD2509}"/>
    <cellStyle name="Migliaia 44 3 2 6 5" xfId="25096" xr:uid="{6911CC77-81B9-4FCC-B2D8-756CEB2BE785}"/>
    <cellStyle name="Migliaia 44 3 2 7" xfId="25094" xr:uid="{01C2E9EE-3A26-49F6-A571-4AE51AB32955}"/>
    <cellStyle name="Migliaia 44 3 2 8" xfId="7521" xr:uid="{DD04ADB4-4956-4EE9-B16E-2E056D4D9FD9}"/>
    <cellStyle name="Migliaia 44 3 3" xfId="3719" xr:uid="{6900DCB4-EF93-40FE-BE01-A4A35B96B411}"/>
    <cellStyle name="Migliaia 44 3 3 10" xfId="7520" xr:uid="{DC5C0DEF-2D1C-4018-B012-46119AC14704}"/>
    <cellStyle name="Migliaia 44 3 3 2" xfId="5445" xr:uid="{60ABB838-2A0B-4222-AE93-52A6170EF019}"/>
    <cellStyle name="Migliaia 44 3 3 2 2" xfId="9958" xr:uid="{FE8D5FE4-2FB8-4302-B617-23B3A55FFA82}"/>
    <cellStyle name="Migliaia 44 3 3 2 2 2" xfId="39759" xr:uid="{84071B29-E1FB-42C3-BC9F-B6C53B540EC2}"/>
    <cellStyle name="Migliaia 44 3 3 2 2 3" xfId="45061" xr:uid="{E75707D8-B60C-42FF-9396-F3DA5F37763D}"/>
    <cellStyle name="Migliaia 44 3 3 2 3" xfId="18238" xr:uid="{358C14C5-5785-45EA-819A-F417E98EFF5A}"/>
    <cellStyle name="Migliaia 44 3 3 2 4" xfId="20698" xr:uid="{E8C309C1-8331-4E8F-877C-656642B31E2B}"/>
    <cellStyle name="Migliaia 44 3 3 2 4 2" xfId="42410" xr:uid="{AFAB6AB7-C51C-4B72-94F3-05A6B1317B97}"/>
    <cellStyle name="Migliaia 44 3 3 2 5" xfId="16609" xr:uid="{5278E8F9-81FE-41F7-AEFD-63DCBC671E50}"/>
    <cellStyle name="Migliaia 44 3 3 2 6" xfId="8710" xr:uid="{2E7649A1-FD1B-40F8-AAA3-9466F73C8847}"/>
    <cellStyle name="Migliaia 44 3 3 3" xfId="6631" xr:uid="{2C2A44C1-2D90-4F7E-8C6B-F0C5948DC5B9}"/>
    <cellStyle name="Migliaia 44 3 3 3 2" xfId="34198" xr:uid="{29B94591-9AB1-4087-84EE-656348B3FE09}"/>
    <cellStyle name="Migliaia 44 3 3 3 2 2" xfId="39760" xr:uid="{A9200040-7E7A-426D-92CC-638B5BEAEE19}"/>
    <cellStyle name="Migliaia 44 3 3 3 2 3" xfId="45062" xr:uid="{CAC0975B-D9D1-4E24-9E4A-B28B5A63393B}"/>
    <cellStyle name="Migliaia 44 3 3 3 3" xfId="37152" xr:uid="{97530F50-0673-4D66-BD10-D5B98B91F8EA}"/>
    <cellStyle name="Migliaia 44 3 3 3 4" xfId="42411" xr:uid="{355EEB10-7E1F-4636-9A57-2BAFD5002BE6}"/>
    <cellStyle name="Migliaia 44 3 3 3 5" xfId="9721" xr:uid="{7BA15277-8182-4814-9F46-7249A16C88C5}"/>
    <cellStyle name="Migliaia 44 3 3 4" xfId="20697" xr:uid="{F6D09BE2-F517-4B9A-BDD8-D7D3A9F0489C}"/>
    <cellStyle name="Migliaia 44 3 3 4 2" xfId="34199" xr:uid="{AF67F587-3C30-4AD2-8D6E-E29EAD51CE34}"/>
    <cellStyle name="Migliaia 44 3 3 4 2 2" xfId="39761" xr:uid="{8BD06F36-FFA7-471A-95D2-75670B8C4A01}"/>
    <cellStyle name="Migliaia 44 3 3 4 2 3" xfId="45063" xr:uid="{332620E8-49CF-4B1F-8CAB-8791E58FBDAB}"/>
    <cellStyle name="Migliaia 44 3 3 4 3" xfId="37153" xr:uid="{F7970C24-5621-4E82-A70B-05ACA1D8DC5D}"/>
    <cellStyle name="Migliaia 44 3 3 4 4" xfId="42412" xr:uid="{9B0CEB22-78E5-4191-9F4C-5D0E54B83952}"/>
    <cellStyle name="Migliaia 44 3 3 4 5" xfId="25097" xr:uid="{BB14E425-C5A8-4CC0-AA18-62FF6380548F}"/>
    <cellStyle name="Migliaia 44 3 3 5" xfId="25098" xr:uid="{F0D8F215-A8F4-444E-91A0-156C60720D0D}"/>
    <cellStyle name="Migliaia 44 3 3 5 2" xfId="34200" xr:uid="{29C78F79-6AFA-49F8-BB13-29C0AD725EEF}"/>
    <cellStyle name="Migliaia 44 3 3 5 2 2" xfId="39762" xr:uid="{2D532BBE-92DB-4BD1-AAD4-87A786CB2F2A}"/>
    <cellStyle name="Migliaia 44 3 3 5 2 3" xfId="45064" xr:uid="{C19FB828-CF7C-476E-8F6E-5A932EC12DF7}"/>
    <cellStyle name="Migliaia 44 3 3 5 3" xfId="37154" xr:uid="{111687A4-3951-4CFE-B470-133520E7DD3C}"/>
    <cellStyle name="Migliaia 44 3 3 5 4" xfId="42413" xr:uid="{FDC8A997-AFB4-4B0B-AC67-406159030F78}"/>
    <cellStyle name="Migliaia 44 3 3 6" xfId="34197" xr:uid="{05479C39-857D-4006-9903-DE94D0794D40}"/>
    <cellStyle name="Migliaia 44 3 3 6 2" xfId="39758" xr:uid="{1F81EE7B-0C1B-479E-8E2E-BAE9554D5446}"/>
    <cellStyle name="Migliaia 44 3 3 6 3" xfId="45060" xr:uid="{3E7430DB-4C59-4C8A-A001-16F5A9B31AB2}"/>
    <cellStyle name="Migliaia 44 3 3 7" xfId="37151" xr:uid="{6903BEFE-A182-48F4-8C51-08405D06D680}"/>
    <cellStyle name="Migliaia 44 3 3 8" xfId="42409" xr:uid="{9E5767DB-CD3F-40CB-87AC-D784075D6598}"/>
    <cellStyle name="Migliaia 44 3 3 9" xfId="16608" xr:uid="{537A3BAE-7D70-4CDD-BB25-9FF7647C2BEF}"/>
    <cellStyle name="Migliaia 44 3 4" xfId="3720" xr:uid="{AF33F740-0144-403E-8DE8-9F5640CCEE60}"/>
    <cellStyle name="Migliaia 44 3 4 2" xfId="5446" xr:uid="{173D0A7A-6705-42BC-8CF2-4742FE979774}"/>
    <cellStyle name="Migliaia 44 3 4 2 2" xfId="14461" xr:uid="{A4DF7D1E-7FD4-4D68-A8DF-702EA5A65EC1}"/>
    <cellStyle name="Migliaia 44 3 4 2 3" xfId="18133" xr:uid="{64ACF327-6074-40EE-B3BA-D64CE1883201}"/>
    <cellStyle name="Migliaia 44 3 4 2 4" xfId="20700" xr:uid="{AA58EA23-DF28-4024-8011-80AFE78D7098}"/>
    <cellStyle name="Migliaia 44 3 4 2 5" xfId="32432" xr:uid="{475BDA86-DD9B-4A9D-AD2E-52CA515E4B19}"/>
    <cellStyle name="Migliaia 44 3 4 2 6" xfId="16611" xr:uid="{6100AAE0-4F78-4B29-A362-090705D8FFA8}"/>
    <cellStyle name="Migliaia 44 3 4 2 7" xfId="8884" xr:uid="{944BAD98-FD2A-4FF9-9571-2976991A4936}"/>
    <cellStyle name="Migliaia 44 3 4 3" xfId="6632" xr:uid="{72EB8694-7FEE-4D7B-AAF3-7D8B1BAC25BC}"/>
    <cellStyle name="Migliaia 44 3 4 3 2" xfId="35391" xr:uid="{12ACAD47-B94E-4285-A68E-397C3FE379FF}"/>
    <cellStyle name="Migliaia 44 3 4 3 2 2" xfId="40551" xr:uid="{07A75CC3-EF3A-48F5-BCDA-E8E2F6705B51}"/>
    <cellStyle name="Migliaia 44 3 4 3 2 3" xfId="45853" xr:uid="{575DEFC5-B06E-454C-B675-D25AED47226F}"/>
    <cellStyle name="Migliaia 44 3 4 3 3" xfId="37900" xr:uid="{2A74C8F5-43A6-44DC-94DF-202761129431}"/>
    <cellStyle name="Migliaia 44 3 4 3 4" xfId="43202" xr:uid="{942B5F2B-16DF-4BB9-A2F4-0C81F1C20535}"/>
    <cellStyle name="Migliaia 44 3 4 3 5" xfId="13709" xr:uid="{50E72A2F-953C-4308-A4A0-C4A33A78E5C0}"/>
    <cellStyle name="Migliaia 44 3 4 4" xfId="20699" xr:uid="{09606D36-F6D8-4F2B-92CB-D4649A144E3D}"/>
    <cellStyle name="Migliaia 44 3 4 4 2" xfId="39763" xr:uid="{5CF6B0A3-7195-4BAE-B80A-FF3491D2296A}"/>
    <cellStyle name="Migliaia 44 3 4 4 3" xfId="45065" xr:uid="{4EE2B89B-A882-4A77-AC11-114E43379586}"/>
    <cellStyle name="Migliaia 44 3 4 4 4" xfId="34201" xr:uid="{D57B0A9C-7349-4E3D-830A-84900E2350A8}"/>
    <cellStyle name="Migliaia 44 3 4 5" xfId="37155" xr:uid="{4335E90B-FE1F-4AED-BAFE-B842FAD11B1F}"/>
    <cellStyle name="Migliaia 44 3 4 6" xfId="42414" xr:uid="{361A997E-3E5B-4438-B1A4-C608DEBA49D7}"/>
    <cellStyle name="Migliaia 44 3 4 7" xfId="16610" xr:uid="{46664480-FAAC-4E1B-B73D-3322F4BE499A}"/>
    <cellStyle name="Migliaia 44 3 4 8" xfId="7694" xr:uid="{5FD6CB5D-C6C0-42E7-B366-CAEDE923D10C}"/>
    <cellStyle name="Migliaia 44 3 5" xfId="3721" xr:uid="{0B522378-E586-43EB-818D-2A491ADD29E9}"/>
    <cellStyle name="Migliaia 44 3 5 2" xfId="5447" xr:uid="{84000AE2-4D60-455E-9FE7-E5398ED7EE40}"/>
    <cellStyle name="Migliaia 44 3 5 2 2" xfId="35392" xr:uid="{B40FCCC0-7C13-4A58-9C7B-B19213FBAD7E}"/>
    <cellStyle name="Migliaia 44 3 5 2 2 2" xfId="40552" xr:uid="{AEDC7F82-6DB1-4541-8AA2-F37CE472EBFA}"/>
    <cellStyle name="Migliaia 44 3 5 2 2 3" xfId="45854" xr:uid="{734B6949-0F60-4D88-BEAE-505A62C163C8}"/>
    <cellStyle name="Migliaia 44 3 5 2 3" xfId="37901" xr:uid="{F79F5A23-0C35-46F8-871C-4F37E10FE7B4}"/>
    <cellStyle name="Migliaia 44 3 5 2 4" xfId="43203" xr:uid="{54AA181D-2BAA-4181-9EB2-A975F64C7DD8}"/>
    <cellStyle name="Migliaia 44 3 5 2 5" xfId="14295" xr:uid="{29CF4C3F-E8FE-441C-8851-29D89D4CEBE5}"/>
    <cellStyle name="Migliaia 44 3 5 3" xfId="6633" xr:uid="{AEA74206-CA55-40DB-B82C-46250188FAA6}"/>
    <cellStyle name="Migliaia 44 3 5 3 2" xfId="39764" xr:uid="{5678D900-2EB4-46FE-BF3B-F5FD0ADAFE01}"/>
    <cellStyle name="Migliaia 44 3 5 3 3" xfId="45066" xr:uid="{25899101-768C-4362-8633-18245B204DAF}"/>
    <cellStyle name="Migliaia 44 3 5 3 4" xfId="34202" xr:uid="{70DB9935-9FFA-4814-8C4A-4B8A3CE1E21C}"/>
    <cellStyle name="Migliaia 44 3 5 3 5" xfId="20701" xr:uid="{9A0F9F40-AE43-469F-BE98-35A40D3C341D}"/>
    <cellStyle name="Migliaia 44 3 5 4" xfId="37156" xr:uid="{C29B3F41-044B-47D6-8107-2ECADA207EEC}"/>
    <cellStyle name="Migliaia 44 3 5 5" xfId="42415" xr:uid="{DE1F5FA3-E79C-40A9-B86A-5F2177FC30C0}"/>
    <cellStyle name="Migliaia 44 3 5 6" xfId="16612" xr:uid="{98B9F411-6EB0-4493-BCDF-16B980B8B1AF}"/>
    <cellStyle name="Migliaia 44 3 5 7" xfId="8357" xr:uid="{0E7BB83C-E6D5-4031-B770-86C86DC48501}"/>
    <cellStyle name="Migliaia 44 3 6" xfId="5442" xr:uid="{3EEFC3D4-2C66-4584-8D4A-860EF4388484}"/>
    <cellStyle name="Migliaia 44 3 6 2" xfId="14000" xr:uid="{3E379953-BA96-4E81-A208-959496E8CF21}"/>
    <cellStyle name="Migliaia 44 3 6 2 2" xfId="39765" xr:uid="{1F8CABC8-CE63-4F4A-B94D-0A831CBBED8D}"/>
    <cellStyle name="Migliaia 44 3 6 2 3" xfId="45067" xr:uid="{A178D84F-4A04-4496-B04D-F895B8FE8329}"/>
    <cellStyle name="Migliaia 44 3 6 3" xfId="18290" xr:uid="{DFA0BFA5-3FB9-49B8-A2EC-6582CEF25699}"/>
    <cellStyle name="Migliaia 44 3 6 4" xfId="20702" xr:uid="{100DB960-6333-4EB6-99FF-3A030BB4758F}"/>
    <cellStyle name="Migliaia 44 3 6 4 2" xfId="42416" xr:uid="{355E7388-C344-4F30-9625-CAB25584D9E6}"/>
    <cellStyle name="Migliaia 44 3 6 5" xfId="16613" xr:uid="{EF25E997-7DF6-42B0-AAAB-F0D257721C8A}"/>
    <cellStyle name="Migliaia 44 3 6 6" xfId="7976" xr:uid="{866A2EF3-9A12-44AD-924D-B416DF1743F1}"/>
    <cellStyle name="Migliaia 44 3 7" xfId="6628" xr:uid="{55B4266E-D3C1-413C-9139-63CD568310AD}"/>
    <cellStyle name="Migliaia 44 3 7 2" xfId="34203" xr:uid="{BD21876C-3F8A-4B2C-8953-5FD735D10F0C}"/>
    <cellStyle name="Migliaia 44 3 7 2 2" xfId="39766" xr:uid="{39A78412-2AAC-450C-94B9-5699F747F83B}"/>
    <cellStyle name="Migliaia 44 3 7 2 3" xfId="45068" xr:uid="{568A4226-78D4-421A-88EA-4C9E769FDDDF}"/>
    <cellStyle name="Migliaia 44 3 7 3" xfId="37157" xr:uid="{4404E111-0D53-4E8A-802E-22ADD0EAC5E8}"/>
    <cellStyle name="Migliaia 44 3 7 4" xfId="42417" xr:uid="{7FEC17CB-DC28-418C-91D9-14008645EFC9}"/>
    <cellStyle name="Migliaia 44 3 7 5" xfId="11531" xr:uid="{25606D7E-4E2A-4AD9-B1B0-B89A57D0D5F3}"/>
    <cellStyle name="Migliaia 44 3 8" xfId="3716" xr:uid="{5EC787BA-4D6C-42C2-99E6-631453E03DE8}"/>
    <cellStyle name="Migliaia 44 3 8 2" xfId="34204" xr:uid="{B40A5357-340D-46C9-BFEE-375DB67C5442}"/>
    <cellStyle name="Migliaia 44 3 8 2 2" xfId="39767" xr:uid="{52ED2925-1961-4E11-A6EA-F1569C09C53F}"/>
    <cellStyle name="Migliaia 44 3 8 2 3" xfId="45069" xr:uid="{4D57276E-18BF-45A8-9852-2E03E66E268B}"/>
    <cellStyle name="Migliaia 44 3 8 3" xfId="37158" xr:uid="{726EA871-584C-4FAC-9F01-0D48D10D5D5C}"/>
    <cellStyle name="Migliaia 44 3 8 4" xfId="42418" xr:uid="{B0C898F8-22CF-4415-AC1A-FBB13446E96A}"/>
    <cellStyle name="Migliaia 44 3 8 5" xfId="25099" xr:uid="{1EDCF5FB-808F-421E-B23B-8B2FEE906CC2}"/>
    <cellStyle name="Migliaia 44 3 8 6" xfId="17313" xr:uid="{AE05D928-3506-47CE-A58D-C08F00E758DD}"/>
    <cellStyle name="Migliaia 44 3 9" xfId="20693" xr:uid="{4AB8EFAF-F417-4F78-A7FD-261A0AA7B14A}"/>
    <cellStyle name="Migliaia 44 4" xfId="1848" xr:uid="{00000000-0005-0000-0000-00001B040000}"/>
    <cellStyle name="Migliaia 44 4 2" xfId="1849" xr:uid="{00000000-0005-0000-0000-00001C040000}"/>
    <cellStyle name="Migliaia 44 4 2 2" xfId="5449" xr:uid="{8DD2AA22-2652-4242-BD9A-1F8296586DC6}"/>
    <cellStyle name="Migliaia 44 4 2 2 2" xfId="34205" xr:uid="{FE3FB68E-1436-44BA-9927-DC69C3FD8EE3}"/>
    <cellStyle name="Migliaia 44 4 2 2 2 2" xfId="39768" xr:uid="{03BFBE08-5DB5-4AA4-9E6F-957571FBAAE1}"/>
    <cellStyle name="Migliaia 44 4 2 2 2 3" xfId="45070" xr:uid="{6048DFDB-47BE-470E-8C4A-C32DBB01ECB6}"/>
    <cellStyle name="Migliaia 44 4 2 2 3" xfId="37159" xr:uid="{A5ECB326-65DC-4969-974F-4D9492D57C1A}"/>
    <cellStyle name="Migliaia 44 4 2 2 4" xfId="42419" xr:uid="{FD8C9492-5834-4C34-A38E-6B22C509D55A}"/>
    <cellStyle name="Migliaia 44 4 2 2 5" xfId="9184" xr:uid="{2677F580-784C-441C-A3AF-9307507E0519}"/>
    <cellStyle name="Migliaia 44 4 2 3" xfId="3723" xr:uid="{FDE08B28-0A17-43A8-B934-8F33F81E52E9}"/>
    <cellStyle name="Migliaia 44 4 2 3 2" xfId="34206" xr:uid="{505A79BD-C7A1-4AE6-BD9A-0F6D286F930D}"/>
    <cellStyle name="Migliaia 44 4 2 3 2 2" xfId="39769" xr:uid="{085B96AB-E2C8-4871-AB3E-AE90125E46E7}"/>
    <cellStyle name="Migliaia 44 4 2 3 2 3" xfId="45071" xr:uid="{0EDB73A1-E78B-40AC-864D-5D2B5B522C0C}"/>
    <cellStyle name="Migliaia 44 4 2 3 3" xfId="37160" xr:uid="{713616E1-4E9A-42FC-BF42-23B8826D1232}"/>
    <cellStyle name="Migliaia 44 4 2 3 4" xfId="42420" xr:uid="{6BC613D0-3644-47DE-9E3A-45BF36C7453B}"/>
    <cellStyle name="Migliaia 44 4 2 3 5" xfId="12041" xr:uid="{EA6993FD-D8DB-40F4-9E1E-743C549ED5B6}"/>
    <cellStyle name="Migliaia 44 4 2 4" xfId="11390" xr:uid="{4BD26477-30C2-4FBB-9C1E-E6AB2267B82D}"/>
    <cellStyle name="Migliaia 44 4 2 5" xfId="10926" xr:uid="{31D58768-C77A-4B47-82DB-1478056B22A8}"/>
    <cellStyle name="Migliaia 44 4 2 5 2" xfId="21561" xr:uid="{24FED794-7C0F-4227-8312-341358D8EF8A}"/>
    <cellStyle name="Migliaia 44 4 2 5 3" xfId="46649" xr:uid="{7BB45274-71D9-4C55-AB88-F11859EF1BB1}"/>
    <cellStyle name="Migliaia 44 4 2 5 4" xfId="50576" xr:uid="{20B441FD-702F-4F93-A8AE-D23639CCFA2A}"/>
    <cellStyle name="Migliaia 44 4 2 5 5" xfId="53592" xr:uid="{B427FDF6-2C25-48F4-B37F-A10FABA48208}"/>
    <cellStyle name="Migliaia 44 4 2 6" xfId="20704" xr:uid="{72494F94-6151-456A-B828-89B1D2ACD283}"/>
    <cellStyle name="Migliaia 44 4 2 7" xfId="25101" xr:uid="{65385FFB-AEF9-4F02-BC65-EE24E7949154}"/>
    <cellStyle name="Migliaia 44 4 2 8" xfId="8712" xr:uid="{0B6A4F7D-538D-4AB1-A793-0BCD011CEEE5}"/>
    <cellStyle name="Migliaia 44 4 3" xfId="5448" xr:uid="{927E3CEB-76A2-4C0F-8642-5F4F187E2C88}"/>
    <cellStyle name="Migliaia 44 4 3 2" xfId="18239" xr:uid="{20AD7DB2-7A43-4A7E-87D8-80E7E2ADA54C}"/>
    <cellStyle name="Migliaia 44 4 3 2 2" xfId="39770" xr:uid="{FC929D02-180C-482E-A0C7-BF720F283FD8}"/>
    <cellStyle name="Migliaia 44 4 3 2 3" xfId="45072" xr:uid="{2E3AE97A-1FF3-4597-AD8E-E31970BB58B0}"/>
    <cellStyle name="Migliaia 44 4 3 3" xfId="37161" xr:uid="{8BFC251F-49FC-4745-8F82-80A9C284FFAF}"/>
    <cellStyle name="Migliaia 44 4 3 4" xfId="42421" xr:uid="{ECD3EC9A-5109-42CA-BA76-3AED4FBCDA2B}"/>
    <cellStyle name="Migliaia 44 4 3 5" xfId="17311" xr:uid="{A5B7D536-EC07-4FA6-9866-D4671362AB8F}"/>
    <cellStyle name="Migliaia 44 4 3 6" xfId="9185" xr:uid="{4CBF72AB-A388-4BEB-B77C-D1F6FD112A66}"/>
    <cellStyle name="Migliaia 44 4 4" xfId="6634" xr:uid="{8FB85026-CE7E-4BB5-8FEA-AF23276BC979}"/>
    <cellStyle name="Migliaia 44 4 4 2" xfId="34207" xr:uid="{9665C257-262C-4FE3-BE77-C4B554247195}"/>
    <cellStyle name="Migliaia 44 4 4 2 2" xfId="39771" xr:uid="{D2607FA3-9D31-4FE7-A44F-E0936D357848}"/>
    <cellStyle name="Migliaia 44 4 4 2 3" xfId="45073" xr:uid="{F9F5BCB0-E4ED-44F3-9F0B-9758B3249C67}"/>
    <cellStyle name="Migliaia 44 4 4 3" xfId="37162" xr:uid="{05200463-51EA-49D0-9337-2980656F3FD7}"/>
    <cellStyle name="Migliaia 44 4 4 4" xfId="42422" xr:uid="{AB94BECC-D867-4023-8AD3-E41F264F5EE9}"/>
    <cellStyle name="Migliaia 44 4 4 5" xfId="12042" xr:uid="{EAF97073-B993-49AF-9945-CA4E0B1BF2DA}"/>
    <cellStyle name="Migliaia 44 4 5" xfId="3722" xr:uid="{59F3572B-9313-423A-A1AF-4B4018541B15}"/>
    <cellStyle name="Migliaia 44 4 5 2" xfId="34208" xr:uid="{C2C05EFE-F8D4-40F4-B2DC-382C811C8359}"/>
    <cellStyle name="Migliaia 44 4 5 2 2" xfId="39772" xr:uid="{9889FA51-76CC-4EA4-9178-6AE4EAC3344A}"/>
    <cellStyle name="Migliaia 44 4 5 2 3" xfId="45074" xr:uid="{A42D45D4-B381-4030-B27D-00DCC278E3FC}"/>
    <cellStyle name="Migliaia 44 4 5 3" xfId="37163" xr:uid="{1D34534B-9631-4754-91B4-128E5326A27C}"/>
    <cellStyle name="Migliaia 44 4 5 4" xfId="42423" xr:uid="{2F6BDE68-46CA-4875-A650-27B8F96DA1C8}"/>
    <cellStyle name="Migliaia 44 4 5 5" xfId="11389" xr:uid="{581FA83E-AFF5-48E0-95BA-D1ED41492DA8}"/>
    <cellStyle name="Migliaia 44 4 6" xfId="10925" xr:uid="{F2E1D25E-AA62-48B3-873C-9BB099E20FB6}"/>
    <cellStyle name="Migliaia 44 4 6 2" xfId="21560" xr:uid="{65A9F7D7-2D84-4502-9ACC-C28E909B1F79}"/>
    <cellStyle name="Migliaia 44 4 6 2 2" xfId="39773" xr:uid="{775FC090-EC8E-4EF6-9B23-17E951C1EDEF}"/>
    <cellStyle name="Migliaia 44 4 6 2 3" xfId="45075" xr:uid="{D5EAE920-7E4F-4D65-A492-D8B87007C6DB}"/>
    <cellStyle name="Migliaia 44 4 6 2 4" xfId="34209" xr:uid="{34875ECC-B65F-4CD6-A330-F92A85A6343A}"/>
    <cellStyle name="Migliaia 44 4 6 3" xfId="37164" xr:uid="{2F0CB3C0-5E51-487F-B2D5-059E29ADF9B2}"/>
    <cellStyle name="Migliaia 44 4 6 4" xfId="42424" xr:uid="{2CF355FF-8CA2-4B57-B1E5-9BF645719AA6}"/>
    <cellStyle name="Migliaia 44 4 6 5" xfId="25102" xr:uid="{F726B957-0F09-4E34-8E86-5BC079E5713E}"/>
    <cellStyle name="Migliaia 44 4 6 6" xfId="48265" xr:uid="{ADB060B3-E544-4E44-B7BD-E559F9248D9A}"/>
    <cellStyle name="Migliaia 44 4 6 7" xfId="50575" xr:uid="{B125ED72-C7CC-41AC-BCB8-550210E92FDE}"/>
    <cellStyle name="Migliaia 44 4 6 8" xfId="53591" xr:uid="{03D0DF0B-B9A8-42D6-9FA0-2F7466714028}"/>
    <cellStyle name="Migliaia 44 4 7" xfId="20703" xr:uid="{7CA85A8B-11E0-47C5-9167-DAB2B405E4D1}"/>
    <cellStyle name="Migliaia 44 4 7 2" xfId="34210" xr:uid="{C0EE8309-0F1C-4AD1-9C2C-8C1C945E6544}"/>
    <cellStyle name="Migliaia 44 4 7 2 2" xfId="39774" xr:uid="{5A6E74B2-E643-407C-90A9-E63278F69D05}"/>
    <cellStyle name="Migliaia 44 4 7 2 3" xfId="45076" xr:uid="{746597BC-B466-427F-9F4F-6B67A34B1AE3}"/>
    <cellStyle name="Migliaia 44 4 7 3" xfId="37165" xr:uid="{8440DFAB-106D-437C-99B4-953285C06F4A}"/>
    <cellStyle name="Migliaia 44 4 7 4" xfId="42425" xr:uid="{2F7A3132-01F3-428A-BD43-DE9421EC919D}"/>
    <cellStyle name="Migliaia 44 4 7 5" xfId="25103" xr:uid="{1333DCF3-CFCB-48E8-B983-03BAB33AA72B}"/>
    <cellStyle name="Migliaia 44 4 8" xfId="25100" xr:uid="{ADBF2E3A-4FB5-45AB-81F7-9554D546571B}"/>
    <cellStyle name="Migliaia 44 4 9" xfId="7522" xr:uid="{F2F93A9F-A1DC-4E4C-AF55-6F5920CD2129}"/>
    <cellStyle name="Migliaia 44 5" xfId="1850" xr:uid="{00000000-0005-0000-0000-00001D040000}"/>
    <cellStyle name="Migliaia 44 5 2" xfId="5450" xr:uid="{4E6E42EF-E27B-459B-B41A-9B4449054B5B}"/>
    <cellStyle name="Migliaia 44 5 2 2" xfId="18478" xr:uid="{7A1AFB66-F85C-4364-A031-112A588DD996}"/>
    <cellStyle name="Migliaia 44 5 2 2 2" xfId="39775" xr:uid="{2175ECD3-383B-4D11-883C-BCAE6A675328}"/>
    <cellStyle name="Migliaia 44 5 2 2 3" xfId="45077" xr:uid="{D4210010-CE8A-4BA0-8305-D1F92818E71F}"/>
    <cellStyle name="Migliaia 44 5 2 3" xfId="20706" xr:uid="{694CAF9C-C412-42D2-AA74-025C3448FEA7}"/>
    <cellStyle name="Migliaia 44 5 2 3 2" xfId="37166" xr:uid="{CE300E90-9A6C-445A-8B80-07CE29DFBD38}"/>
    <cellStyle name="Migliaia 44 5 2 4" xfId="42426" xr:uid="{79992522-403A-4BFC-872D-E7BD588E5160}"/>
    <cellStyle name="Migliaia 44 5 2 5" xfId="16614" xr:uid="{0B6BA713-A1A0-403E-B02A-9E6564952FA4}"/>
    <cellStyle name="Migliaia 44 5 2 6" xfId="8713" xr:uid="{DECBF57D-E45E-403F-8699-31CEF86F4C0D}"/>
    <cellStyle name="Migliaia 44 5 3" xfId="6635" xr:uid="{22BB5BC8-F2A8-4609-A595-51234E78F983}"/>
    <cellStyle name="Migliaia 44 5 3 2" xfId="34211" xr:uid="{A977745A-1609-4864-AF5F-A05866A44717}"/>
    <cellStyle name="Migliaia 44 5 3 2 2" xfId="39776" xr:uid="{EF7EC22C-AB3E-4F47-9B8E-47FE0CE7DF64}"/>
    <cellStyle name="Migliaia 44 5 3 2 3" xfId="45078" xr:uid="{3D05E8EA-E843-481C-9172-6984D9A2FBA6}"/>
    <cellStyle name="Migliaia 44 5 3 3" xfId="37167" xr:uid="{97A88EC7-67AD-4981-8E7E-4C47563BD10D}"/>
    <cellStyle name="Migliaia 44 5 3 4" xfId="42427" xr:uid="{18C626EF-EE18-4739-ACC7-17475D54A451}"/>
    <cellStyle name="Migliaia 44 5 3 5" xfId="11391" xr:uid="{A7E7D77A-3C1B-4C52-89B4-3EB83D5CFEBE}"/>
    <cellStyle name="Migliaia 44 5 4" xfId="3724" xr:uid="{B1B9CAE4-A201-40C2-AFD1-274C107521F9}"/>
    <cellStyle name="Migliaia 44 5 4 2" xfId="21562" xr:uid="{37746872-E93F-4360-9299-3A828A39EAA8}"/>
    <cellStyle name="Migliaia 44 5 4 2 2" xfId="39777" xr:uid="{2F033F72-5647-488B-8377-193CC1AEE448}"/>
    <cellStyle name="Migliaia 44 5 4 2 3" xfId="45079" xr:uid="{F8991CFE-DED0-45FC-9A60-9E6E435D58E4}"/>
    <cellStyle name="Migliaia 44 5 4 2 4" xfId="34212" xr:uid="{3FEEED97-07DC-4963-B865-F006579AF0F0}"/>
    <cellStyle name="Migliaia 44 5 4 3" xfId="37168" xr:uid="{76862522-164D-4991-842D-C447791B0832}"/>
    <cellStyle name="Migliaia 44 5 4 4" xfId="42428" xr:uid="{73300D37-B649-456A-AD7C-1E8D207D04C2}"/>
    <cellStyle name="Migliaia 44 5 4 5" xfId="25106" xr:uid="{8579DAC7-34D3-48FE-B088-0945FEB3E467}"/>
    <cellStyle name="Migliaia 44 5 4 6" xfId="47144" xr:uid="{E04C95D9-66B7-42AC-98BE-C396DE564BC3}"/>
    <cellStyle name="Migliaia 44 5 4 7" xfId="50577" xr:uid="{C3B863F9-6BEA-4EDE-8F13-FDD8612E54CA}"/>
    <cellStyle name="Migliaia 44 5 4 8" xfId="53593" xr:uid="{83E82749-3A77-43C7-94DB-CB44B41C8CC5}"/>
    <cellStyle name="Migliaia 44 5 4 9" xfId="10927" xr:uid="{FE06348E-4502-417B-9A08-AA343CDAA203}"/>
    <cellStyle name="Migliaia 44 5 5" xfId="20705" xr:uid="{C28E810E-0973-4059-9C30-F7B07D383AD1}"/>
    <cellStyle name="Migliaia 44 5 5 2" xfId="34213" xr:uid="{54278351-DF2C-41D5-A0C8-901ACFE3F21C}"/>
    <cellStyle name="Migliaia 44 5 5 2 2" xfId="39778" xr:uid="{90BB5106-C184-4E11-8494-2FC11049B34F}"/>
    <cellStyle name="Migliaia 44 5 5 2 3" xfId="45080" xr:uid="{80EB85CD-4309-459B-A956-AB8AB12791C0}"/>
    <cellStyle name="Migliaia 44 5 5 3" xfId="37169" xr:uid="{1A2916C2-FBA7-4250-9DE2-CF8AF7526543}"/>
    <cellStyle name="Migliaia 44 5 5 4" xfId="42429" xr:uid="{9F15883F-747D-4658-959F-562BEE87155F}"/>
    <cellStyle name="Migliaia 44 5 5 5" xfId="25107" xr:uid="{93EBC265-331B-4CE8-97EF-210C7502B73B}"/>
    <cellStyle name="Migliaia 44 5 6" xfId="25108" xr:uid="{53AF20FC-3B2C-4F32-83D4-CA2D0E8CA2AB}"/>
    <cellStyle name="Migliaia 44 5 6 2" xfId="34214" xr:uid="{FDD68640-8EE7-4AA5-8238-D7DE177F7295}"/>
    <cellStyle name="Migliaia 44 5 6 2 2" xfId="39779" xr:uid="{B4701F5E-5E3F-49D2-8F0F-E7A9BFD1B6C7}"/>
    <cellStyle name="Migliaia 44 5 6 2 3" xfId="45081" xr:uid="{67036E29-0A02-4DF1-B847-9C26757CCD24}"/>
    <cellStyle name="Migliaia 44 5 6 3" xfId="37170" xr:uid="{10E74408-7940-4117-AF17-B8E71A94DE0F}"/>
    <cellStyle name="Migliaia 44 5 6 4" xfId="42430" xr:uid="{80C83B32-368A-4619-AC3E-7B6839C1872D}"/>
    <cellStyle name="Migliaia 44 5 7" xfId="25104" xr:uid="{6C0FC56C-1D4E-4369-BF9A-2F4738FF729A}"/>
    <cellStyle name="Migliaia 44 5 8" xfId="7523" xr:uid="{5AE19133-2A6A-4836-A1F0-2FF68BC94F65}"/>
    <cellStyle name="Migliaia 44 6" xfId="3725" xr:uid="{CF324E23-EDE7-4354-9AEB-A0CEC7FDF5B6}"/>
    <cellStyle name="Migliaia 44 6 2" xfId="5451" xr:uid="{4DB200AB-90A7-46BD-BA97-66E0989B388C}"/>
    <cellStyle name="Migliaia 44 6 2 2" xfId="9957" xr:uid="{487BB87C-C853-4B76-A8FB-282A9675EF8D}"/>
    <cellStyle name="Migliaia 44 6 2 3" xfId="18642" xr:uid="{728B8EE7-B157-4CD9-A002-531F9446FF78}"/>
    <cellStyle name="Migliaia 44 6 2 4" xfId="20708" xr:uid="{CB749558-0E4E-4826-A645-7017EB013495}"/>
    <cellStyle name="Migliaia 44 6 2 5" xfId="32433" xr:uid="{451BC901-4BE0-4F0B-A275-EC2E77C76025}"/>
    <cellStyle name="Migliaia 44 6 2 6" xfId="16616" xr:uid="{558F8D16-2B69-45FB-B791-7A6AA0F082A9}"/>
    <cellStyle name="Migliaia 44 6 2 7" xfId="8708" xr:uid="{41FC712F-140B-4FEE-98C0-FAA7D9FA5792}"/>
    <cellStyle name="Migliaia 44 6 3" xfId="6636" xr:uid="{E26374A9-8151-4087-88CF-21E30ADADF34}"/>
    <cellStyle name="Migliaia 44 6 3 2" xfId="35393" xr:uid="{BFFC31B7-2D03-4570-8C1D-9A61E56EF4D2}"/>
    <cellStyle name="Migliaia 44 6 3 2 2" xfId="40553" xr:uid="{822684EF-B8B8-483B-AD0B-5C7D9FFB0698}"/>
    <cellStyle name="Migliaia 44 6 3 2 3" xfId="45855" xr:uid="{A6737DC9-FEA6-4405-996C-365F9589661D}"/>
    <cellStyle name="Migliaia 44 6 3 3" xfId="37902" xr:uid="{F74A463A-239C-4CC7-A8F7-BB6EBC65EB2A}"/>
    <cellStyle name="Migliaia 44 6 3 4" xfId="43204" xr:uid="{78F52D41-61EB-4638-9669-84D451626749}"/>
    <cellStyle name="Migliaia 44 6 3 5" xfId="9720" xr:uid="{7907CBFF-FB45-4462-9F0F-27392BCA9535}"/>
    <cellStyle name="Migliaia 44 6 4" xfId="20707" xr:uid="{BC8EF088-9DB7-4881-BA52-1C25373D2D87}"/>
    <cellStyle name="Migliaia 44 6 4 2" xfId="39780" xr:uid="{2A195C70-6783-410E-ACAE-89DC90CFE612}"/>
    <cellStyle name="Migliaia 44 6 4 3" xfId="45082" xr:uid="{2300E7E5-04C2-4E1F-8E59-14B9EF50D04A}"/>
    <cellStyle name="Migliaia 44 6 4 4" xfId="34215" xr:uid="{0D5F5EC0-C84B-4127-BE1F-5283224FD488}"/>
    <cellStyle name="Migliaia 44 6 5" xfId="37171" xr:uid="{713C1E22-542F-45B4-BAA7-95B10A5AE682}"/>
    <cellStyle name="Migliaia 44 6 6" xfId="42431" xr:uid="{8F11D115-D676-4465-B411-1F88C3DF56AF}"/>
    <cellStyle name="Migliaia 44 6 7" xfId="16615" xr:uid="{809628F2-F373-4689-BE05-1232ECAC4C1C}"/>
    <cellStyle name="Migliaia 44 6 8" xfId="7518" xr:uid="{4392AC52-7483-4BD5-8924-EF5168E4380C}"/>
    <cellStyle name="Migliaia 44 7" xfId="3726" xr:uid="{14D4DD88-180E-4CD7-B583-DD33A3BFB54F}"/>
    <cellStyle name="Migliaia 44 7 2" xfId="5452" xr:uid="{F5C7DC81-4AA8-4935-A67C-701B272661B8}"/>
    <cellStyle name="Migliaia 44 7 2 2" xfId="35394" xr:uid="{361E4FFE-B302-44EF-B771-5ADC11EF8CD3}"/>
    <cellStyle name="Migliaia 44 7 2 2 2" xfId="40554" xr:uid="{146A8E0B-2D5E-46A4-AD04-AA11AE14FEF4}"/>
    <cellStyle name="Migliaia 44 7 2 2 3" xfId="45856" xr:uid="{32F9A35C-8AE1-456B-B646-2B4452FB565B}"/>
    <cellStyle name="Migliaia 44 7 2 3" xfId="37903" xr:uid="{849B5FC1-6354-4BEC-A58A-B74A27D65396}"/>
    <cellStyle name="Migliaia 44 7 2 4" xfId="43205" xr:uid="{4DC36DBA-0468-4386-95B9-1687F49A61CB}"/>
    <cellStyle name="Migliaia 44 7 2 5" xfId="14293" xr:uid="{AC03A435-D745-4FB7-AE42-B4A394420738}"/>
    <cellStyle name="Migliaia 44 7 3" xfId="6637" xr:uid="{F3C72B20-1445-4CC3-87A4-28E5E62066B0}"/>
    <cellStyle name="Migliaia 44 7 3 2" xfId="39781" xr:uid="{FC272549-1DD4-4825-96E3-A27F49E10FDC}"/>
    <cellStyle name="Migliaia 44 7 3 3" xfId="45083" xr:uid="{E4678D1D-213C-4E16-B36E-12FFC22FB450}"/>
    <cellStyle name="Migliaia 44 7 3 4" xfId="34216" xr:uid="{F5CE154C-3C28-4104-93EB-E188AFBF5E7B}"/>
    <cellStyle name="Migliaia 44 7 3 5" xfId="20709" xr:uid="{D3567147-4D8D-4703-86AD-06A37C6626A0}"/>
    <cellStyle name="Migliaia 44 7 4" xfId="37172" xr:uid="{CD2D7DB7-C675-4D01-B3BA-94E69147463F}"/>
    <cellStyle name="Migliaia 44 7 5" xfId="42432" xr:uid="{EEB9800A-3359-4D91-8F41-7BD4E804B203}"/>
    <cellStyle name="Migliaia 44 7 6" xfId="16617" xr:uid="{58298541-006D-43AD-9F8A-37762B149C2B}"/>
    <cellStyle name="Migliaia 44 7 7" xfId="8355" xr:uid="{4091219D-BE11-4F79-AB09-73F26F239575}"/>
    <cellStyle name="Migliaia 44 8" xfId="3727" xr:uid="{5E796974-C4BC-46FB-91D4-D41B3BB4EF58}"/>
    <cellStyle name="Migliaia 44 8 2" xfId="5453" xr:uid="{89D24175-CFDB-474D-AE7A-AED0EFF4A9C7}"/>
    <cellStyle name="Migliaia 44 8 2 2" xfId="35395" xr:uid="{88F5ACA7-08C5-4E81-A3C6-684D3C9F62BB}"/>
    <cellStyle name="Migliaia 44 8 2 2 2" xfId="40555" xr:uid="{AF633EFE-4219-48D7-AB70-89079FE53A20}"/>
    <cellStyle name="Migliaia 44 8 2 2 3" xfId="45857" xr:uid="{0C738855-409D-42D2-ACF6-61819E3B854E}"/>
    <cellStyle name="Migliaia 44 8 2 3" xfId="37904" xr:uid="{ADEDCA4F-1D5E-4CD4-BA75-F5C6AB07392B}"/>
    <cellStyle name="Migliaia 44 8 2 4" xfId="43206" xr:uid="{99D9B21C-780C-411A-A97D-59AD7E0DC944}"/>
    <cellStyle name="Migliaia 44 8 2 5" xfId="13998" xr:uid="{283935A5-892A-4825-B158-AFD5173C0170}"/>
    <cellStyle name="Migliaia 44 8 3" xfId="6638" xr:uid="{72EB42BE-18CE-4E08-816E-BE04A1D72D2C}"/>
    <cellStyle name="Migliaia 44 8 3 2" xfId="39782" xr:uid="{1E9982F9-CEEE-4EA3-822B-1CFAA9A1B122}"/>
    <cellStyle name="Migliaia 44 8 3 3" xfId="45084" xr:uid="{DFECC3E8-C503-4BD3-B784-0634D57F2945}"/>
    <cellStyle name="Migliaia 44 8 3 4" xfId="34217" xr:uid="{CD611326-C62D-4AC2-B36D-69D0F0BB6B20}"/>
    <cellStyle name="Migliaia 44 8 3 5" xfId="20710" xr:uid="{1006290D-DB25-4691-9F5D-C4B3B7C1C0CB}"/>
    <cellStyle name="Migliaia 44 8 4" xfId="37173" xr:uid="{AC75CC8A-13F7-4FB9-AB47-5E51ABD03A0C}"/>
    <cellStyle name="Migliaia 44 8 5" xfId="42433" xr:uid="{DC6901EC-D55D-4EE8-9C1F-6AA43893F89F}"/>
    <cellStyle name="Migliaia 44 8 6" xfId="16618" xr:uid="{266F34E5-4F0C-485D-A473-DA00D21046B5}"/>
    <cellStyle name="Migliaia 44 8 7" xfId="7974" xr:uid="{BF7754CF-A331-4911-8805-46C009290C5A}"/>
    <cellStyle name="Migliaia 44 9" xfId="5438" xr:uid="{4E77F5C1-8DAE-4B56-90A3-1C629B13C55F}"/>
    <cellStyle name="Migliaia 44 9 2" xfId="34218" xr:uid="{84FC19BA-1CB9-4008-B249-76B2ECB5F9B5}"/>
    <cellStyle name="Migliaia 44 9 2 2" xfId="39783" xr:uid="{D3546828-6B42-4595-B141-78E173E4B878}"/>
    <cellStyle name="Migliaia 44 9 2 3" xfId="45085" xr:uid="{626068B7-E48E-445F-BAEC-F60742F1FEAD}"/>
    <cellStyle name="Migliaia 44 9 3" xfId="37174" xr:uid="{330E2C1D-03F3-4517-A8CD-CFEA04B61558}"/>
    <cellStyle name="Migliaia 44 9 4" xfId="42434" xr:uid="{E7197999-D648-4F39-B417-1F2416EBABB9}"/>
    <cellStyle name="Migliaia 44 9 5" xfId="17211" xr:uid="{ADBC7CDF-294A-4863-9B01-53E7C9C570AB}"/>
    <cellStyle name="Migliaia 45" xfId="457" xr:uid="{00000000-0005-0000-0000-00001E040000}"/>
    <cellStyle name="Migliaia 45 10" xfId="6639" xr:uid="{CB4C5E9D-DB0B-402A-B61B-58D73708FDC3}"/>
    <cellStyle name="Migliaia 45 10 2" xfId="39784" xr:uid="{66CDC3D7-5918-4513-82B7-D4B88208F41A}"/>
    <cellStyle name="Migliaia 45 10 3" xfId="45086" xr:uid="{82DF6D56-1180-40AE-91E8-7F20DD24BBF5}"/>
    <cellStyle name="Migliaia 45 10 4" xfId="34219" xr:uid="{6E3F5C12-D477-45F2-BD74-A3423AD2E33A}"/>
    <cellStyle name="Migliaia 45 10 5" xfId="20711" xr:uid="{3DE811A1-6F37-4AC4-9064-94012F863504}"/>
    <cellStyle name="Migliaia 45 11" xfId="3728" xr:uid="{360FA787-C808-4CDB-954B-1A945C46AE26}"/>
    <cellStyle name="Migliaia 45 11 2" xfId="37175" xr:uid="{559D9D8C-4A1C-4DC1-91B5-2EFF08F71A75}"/>
    <cellStyle name="Migliaia 45 12" xfId="42435" xr:uid="{BB01DEC1-90B4-4626-8642-B25B201F63BC}"/>
    <cellStyle name="Migliaia 45 13" xfId="7159" xr:uid="{91A7E6B3-9DE8-48B3-85E1-C7DF8E14C32D}"/>
    <cellStyle name="Migliaia 45 2" xfId="458" xr:uid="{00000000-0005-0000-0000-00001F040000}"/>
    <cellStyle name="Migliaia 45 2 2" xfId="1851" xr:uid="{00000000-0005-0000-0000-000020040000}"/>
    <cellStyle name="Migliaia 45 2 2 2" xfId="5456" xr:uid="{88F7DDCA-EF5E-4A07-ABBC-3E9667C945B8}"/>
    <cellStyle name="Migliaia 45 2 2 2 2" xfId="14402" xr:uid="{7B7BB0D5-D698-4C07-8D2C-98BD39B1D7E4}"/>
    <cellStyle name="Migliaia 45 2 2 2 2 2" xfId="39785" xr:uid="{2EC8EB29-4B25-40EC-810A-7D18C6883EBC}"/>
    <cellStyle name="Migliaia 45 2 2 2 2 3" xfId="45087" xr:uid="{62A9A0E0-F95E-4C11-8044-76672D8ACBD7}"/>
    <cellStyle name="Migliaia 45 2 2 2 3" xfId="18479" xr:uid="{D23C11FD-FFD6-487A-8447-F461D0D2D640}"/>
    <cellStyle name="Migliaia 45 2 2 2 4" xfId="20714" xr:uid="{7A00DDB7-19C9-4E92-9506-89198520033E}"/>
    <cellStyle name="Migliaia 45 2 2 2 4 2" xfId="42436" xr:uid="{59DA8315-34EB-4C6F-9820-CB79BA1FCAD0}"/>
    <cellStyle name="Migliaia 45 2 2 2 5" xfId="16619" xr:uid="{43E534D8-ABD6-4DE5-A6C5-DF3908E19937}"/>
    <cellStyle name="Migliaia 45 2 2 2 6" xfId="8715" xr:uid="{EF2B23CC-CC8E-4EF0-A50C-07C1A3D4A53F}"/>
    <cellStyle name="Migliaia 45 2 2 3" xfId="6641" xr:uid="{910B35A0-D794-4DF7-8ADE-42D25A6AE7E8}"/>
    <cellStyle name="Migliaia 45 2 2 3 2" xfId="35396" xr:uid="{98FA80E6-38D6-4AB2-B88E-1FDFFF03DDC4}"/>
    <cellStyle name="Migliaia 45 2 2 3 2 2" xfId="40556" xr:uid="{1B0F17BB-C4BF-47E1-91AD-F22C4AE9D07C}"/>
    <cellStyle name="Migliaia 45 2 2 3 2 3" xfId="45858" xr:uid="{C33653E0-A198-4B26-AEB2-AAD2371A792B}"/>
    <cellStyle name="Migliaia 45 2 2 3 3" xfId="37905" xr:uid="{7DB8AA02-5D1D-416B-B31E-47524DB46140}"/>
    <cellStyle name="Migliaia 45 2 2 3 4" xfId="43207" xr:uid="{04408EC0-DC71-432A-977E-58673072D0C8}"/>
    <cellStyle name="Migliaia 45 2 2 3 5" xfId="11629" xr:uid="{B61F0270-85CD-4C9A-A3A7-CAE377BD8FCC}"/>
    <cellStyle name="Migliaia 45 2 2 4" xfId="3730" xr:uid="{86429CD3-D532-47BF-B58E-E1C62B77B5CE}"/>
    <cellStyle name="Migliaia 45 2 2 4 2" xfId="21563" xr:uid="{E80CC313-B42B-4DEF-A0BB-8C9626B0142B}"/>
    <cellStyle name="Migliaia 45 2 2 4 3" xfId="47856" xr:uid="{08A37D9B-427E-417E-8F97-E65295640573}"/>
    <cellStyle name="Migliaia 45 2 2 4 4" xfId="50578" xr:uid="{5F3CEE38-1047-4955-BAC3-0BC65C5E3FD6}"/>
    <cellStyle name="Migliaia 45 2 2 4 5" xfId="53594" xr:uid="{299F0FEB-EEEC-4C8A-AF17-8D3695741770}"/>
    <cellStyle name="Migliaia 45 2 2 4 6" xfId="10928" xr:uid="{D91CB6CC-8C0C-467E-982F-CD83E08EE83B}"/>
    <cellStyle name="Migliaia 45 2 2 5" xfId="20713" xr:uid="{372433FE-1BAE-409E-AE18-9CB7E91810B0}"/>
    <cellStyle name="Migliaia 45 2 2 6" xfId="25112" xr:uid="{91092F69-25A9-4BDD-B645-DB957F0195D3}"/>
    <cellStyle name="Migliaia 45 2 2 7" xfId="7525" xr:uid="{AB3D5AD9-7298-4743-A651-29E8010E0643}"/>
    <cellStyle name="Migliaia 45 2 3" xfId="3731" xr:uid="{6A8FC345-B4E5-4724-B61F-ED1BC940140B}"/>
    <cellStyle name="Migliaia 45 2 3 2" xfId="5457" xr:uid="{7EEE3B49-ED0F-4137-904D-DA37DA464E60}"/>
    <cellStyle name="Migliaia 45 2 3 2 2" xfId="35397" xr:uid="{DB83C961-55B1-4152-AFD7-B0693B459539}"/>
    <cellStyle name="Migliaia 45 2 3 2 2 2" xfId="40557" xr:uid="{CA2672BA-36B3-4D10-8F81-B168D3A05E2B}"/>
    <cellStyle name="Migliaia 45 2 3 2 2 3" xfId="45859" xr:uid="{E6037EFC-5D93-4FBE-8126-616711CF5749}"/>
    <cellStyle name="Migliaia 45 2 3 2 3" xfId="37906" xr:uid="{344B88A5-15F7-4FD5-B378-5DC133731939}"/>
    <cellStyle name="Migliaia 45 2 3 2 4" xfId="43208" xr:uid="{DED0BF62-CF63-4B76-9BEC-92273C0B4EAA}"/>
    <cellStyle name="Migliaia 45 2 3 2 5" xfId="14297" xr:uid="{A48DB99A-5974-4621-8025-7D35F10D9C22}"/>
    <cellStyle name="Migliaia 45 2 3 3" xfId="6642" xr:uid="{22B73B88-3A39-4166-B7EB-FF9993985D73}"/>
    <cellStyle name="Migliaia 45 2 3 3 2" xfId="39786" xr:uid="{F98E0055-2E94-40D7-9E12-22399950BEF8}"/>
    <cellStyle name="Migliaia 45 2 3 3 3" xfId="45088" xr:uid="{89F31F87-77F9-48FA-AC82-B9AFAAE91333}"/>
    <cellStyle name="Migliaia 45 2 3 3 4" xfId="34220" xr:uid="{C3953363-4B42-49AC-A46F-DBFC4F8CF9A3}"/>
    <cellStyle name="Migliaia 45 2 3 3 5" xfId="20715" xr:uid="{9ED77180-2063-4F70-8267-0AB42E3C3E04}"/>
    <cellStyle name="Migliaia 45 2 3 4" xfId="37177" xr:uid="{6C3D5455-FA1B-455D-B39E-FC9C63BDC34C}"/>
    <cellStyle name="Migliaia 45 2 3 5" xfId="42437" xr:uid="{95CD7692-3A11-49FE-8780-62CEDA5EBED6}"/>
    <cellStyle name="Migliaia 45 2 3 6" xfId="16620" xr:uid="{755C988A-DA55-4EA4-AC3A-FC30D7B1AED4}"/>
    <cellStyle name="Migliaia 45 2 3 7" xfId="8359" xr:uid="{23EC7A05-E422-4D04-AC8D-F49C18F70514}"/>
    <cellStyle name="Migliaia 45 2 4" xfId="5455" xr:uid="{C2416A9B-8DB7-4782-9264-1681D1062B36}"/>
    <cellStyle name="Migliaia 45 2 4 2" xfId="14002" xr:uid="{F72DC0DB-E00C-4137-A977-2CC298DBC4E0}"/>
    <cellStyle name="Migliaia 45 2 4 2 2" xfId="39787" xr:uid="{F17479EC-E972-4135-AB51-B78719B9EBE2}"/>
    <cellStyle name="Migliaia 45 2 4 2 3" xfId="45089" xr:uid="{5B526D6B-B386-462C-BF59-62AB28567290}"/>
    <cellStyle name="Migliaia 45 2 4 3" xfId="18024" xr:uid="{B80F02A4-CD4A-4880-9BB2-42F55D00CF46}"/>
    <cellStyle name="Migliaia 45 2 4 4" xfId="20716" xr:uid="{9E59E0E0-CB64-4BB7-95BA-7787BD5ACF2A}"/>
    <cellStyle name="Migliaia 45 2 4 4 2" xfId="42438" xr:uid="{DDF35E80-F8D0-4FFE-9E60-9E457B4A741E}"/>
    <cellStyle name="Migliaia 45 2 4 5" xfId="16621" xr:uid="{D56B3BBD-9F30-431C-8FC9-24EEE02AD483}"/>
    <cellStyle name="Migliaia 45 2 4 6" xfId="7979" xr:uid="{A8371B9A-3648-407F-81D2-F7272A200F30}"/>
    <cellStyle name="Migliaia 45 2 5" xfId="6640" xr:uid="{D59A5B6D-17E7-4CD8-96BA-08E86CFD4FEE}"/>
    <cellStyle name="Migliaia 45 2 5 2" xfId="34222" xr:uid="{7D597830-64E4-4DCD-9C6B-10428804D113}"/>
    <cellStyle name="Migliaia 45 2 5 2 2" xfId="39788" xr:uid="{90DE4638-FAC2-4D3C-8807-534666921BAE}"/>
    <cellStyle name="Migliaia 45 2 5 2 3" xfId="45090" xr:uid="{C886D7F1-DAD6-469C-85FB-CDB7955D6EA7}"/>
    <cellStyle name="Migliaia 45 2 5 3" xfId="37179" xr:uid="{7283F7B7-1CD5-417A-8A65-C9B57C9DF177}"/>
    <cellStyle name="Migliaia 45 2 5 4" xfId="42439" xr:uid="{4C804A67-818E-4BCF-9722-346B2723230F}"/>
    <cellStyle name="Migliaia 45 2 5 5" xfId="13142" xr:uid="{91F989F4-F70F-4920-90B5-12B984558B3A}"/>
    <cellStyle name="Migliaia 45 2 6" xfId="3729" xr:uid="{27D1F830-6362-4398-BF56-F877B072F498}"/>
    <cellStyle name="Migliaia 45 2 6 2" xfId="34223" xr:uid="{2950634D-A99B-45E9-AA5C-8C1640F1BCF7}"/>
    <cellStyle name="Migliaia 45 2 6 2 2" xfId="39789" xr:uid="{6DBE2081-7069-4A33-BD04-104C986563AE}"/>
    <cellStyle name="Migliaia 45 2 6 2 3" xfId="45091" xr:uid="{8885DC2E-F1BA-4B3A-9A73-EC48BD2AADF0}"/>
    <cellStyle name="Migliaia 45 2 6 3" xfId="37180" xr:uid="{EEB8E7D0-087A-4BE7-8F95-FAAA9E91D300}"/>
    <cellStyle name="Migliaia 45 2 6 4" xfId="42440" xr:uid="{BA4E6575-0DBC-4A4A-8F73-7856DF3B46F0}"/>
    <cellStyle name="Migliaia 45 2 6 5" xfId="25114" xr:uid="{0599041C-4D9D-4C50-8398-1397B34DF8CC}"/>
    <cellStyle name="Migliaia 45 2 6 6" xfId="20712" xr:uid="{5F54EC99-A227-4EC2-9153-67E74155D96B}"/>
    <cellStyle name="Migliaia 45 2 7" xfId="25111" xr:uid="{A60F0CAF-4A1C-4A7B-A197-92914179D0AA}"/>
    <cellStyle name="Migliaia 45 2 8" xfId="7160" xr:uid="{A47486D4-8A5C-40F7-B192-109EC2AE0F71}"/>
    <cellStyle name="Migliaia 45 3" xfId="459" xr:uid="{00000000-0005-0000-0000-000021040000}"/>
    <cellStyle name="Migliaia 45 3 10" xfId="25115" xr:uid="{7C0BD1EA-64B8-4D15-A2C7-0803045A551D}"/>
    <cellStyle name="Migliaia 45 3 11" xfId="16622" xr:uid="{95FCEDDF-65B1-4E32-B8CF-930214F119E8}"/>
    <cellStyle name="Migliaia 45 3 12" xfId="7161" xr:uid="{B6929698-D8AA-4E31-8174-8B2F93B464F2}"/>
    <cellStyle name="Migliaia 45 3 2" xfId="460" xr:uid="{00000000-0005-0000-0000-000022040000}"/>
    <cellStyle name="Migliaia 45 3 2 2" xfId="1852" xr:uid="{00000000-0005-0000-0000-000023040000}"/>
    <cellStyle name="Migliaia 45 3 2 2 2" xfId="5460" xr:uid="{BE2C701F-5550-42E7-B73F-C491CBAA30AE}"/>
    <cellStyle name="Migliaia 45 3 2 2 2 2" xfId="18480" xr:uid="{50502FD0-F02F-4405-B28C-F2EA65B580B7}"/>
    <cellStyle name="Migliaia 45 3 2 2 2 2 2" xfId="21880" xr:uid="{E7974282-DD09-4E10-ACED-533771A24D40}"/>
    <cellStyle name="Migliaia 45 3 2 2 2 2 2 2" xfId="39790" xr:uid="{028789F2-62E8-4102-BB87-8CD8065DF1C2}"/>
    <cellStyle name="Migliaia 45 3 2 2 2 2 3" xfId="45092" xr:uid="{00B05A83-BC02-4DA8-8A64-5797A565CD74}"/>
    <cellStyle name="Migliaia 45 3 2 2 2 2 4" xfId="34224" xr:uid="{1B9F9302-C23B-4CA7-89FB-1B0B5F5794CB}"/>
    <cellStyle name="Migliaia 45 3 2 2 2 3" xfId="37181" xr:uid="{B5580A1D-41BA-487B-B66B-9BAC594C33C8}"/>
    <cellStyle name="Migliaia 45 3 2 2 2 4" xfId="42441" xr:uid="{EA5866DB-5ED2-47D6-81B7-E359CB35044C}"/>
    <cellStyle name="Migliaia 45 3 2 2 2 5" xfId="47085" xr:uid="{AFCC765B-D9C4-4A22-95E6-99DB935D410D}"/>
    <cellStyle name="Migliaia 45 3 2 2 2 6" xfId="50908" xr:uid="{5840C98F-597B-408E-83DC-0CED955E6BBA}"/>
    <cellStyle name="Migliaia 45 3 2 2 2 7" xfId="53924" xr:uid="{438F0080-E747-4DE3-9DBF-3D1ED0583B7E}"/>
    <cellStyle name="Migliaia 45 3 2 2 2 8" xfId="17678" xr:uid="{4AF6FA34-60D9-4D5F-AE1F-AED4743662FA}"/>
    <cellStyle name="Migliaia 45 3 2 2 2 9" xfId="12043" xr:uid="{D41A1B06-E962-4377-AA48-9E56F6C09381}"/>
    <cellStyle name="Migliaia 45 3 2 2 3" xfId="6645" xr:uid="{B8EA651F-A8BC-400B-AC3D-30C5207B9EEE}"/>
    <cellStyle name="Migliaia 45 3 2 2 3 2" xfId="11570" xr:uid="{99250ABB-B485-4342-A92B-9CC83921D700}"/>
    <cellStyle name="Migliaia 45 3 2 2 4" xfId="3734" xr:uid="{747CD7D9-9F0A-48CA-AC5D-23795C1AFE49}"/>
    <cellStyle name="Migliaia 45 3 2 2 4 2" xfId="21564" xr:uid="{BE4D146A-BC87-48F9-A978-74357400179D}"/>
    <cellStyle name="Migliaia 45 3 2 2 4 3" xfId="47959" xr:uid="{E47726BC-9637-49A3-9409-DDEB510CA5B5}"/>
    <cellStyle name="Migliaia 45 3 2 2 4 4" xfId="50579" xr:uid="{67C6772C-C730-4136-84E9-4D5F04954D48}"/>
    <cellStyle name="Migliaia 45 3 2 2 4 5" xfId="53595" xr:uid="{70F96E7E-ECB9-43FF-AAA3-39CB23008A12}"/>
    <cellStyle name="Migliaia 45 3 2 2 4 6" xfId="10929" xr:uid="{EBD16809-388D-4585-8C05-46CA0DA7B7FA}"/>
    <cellStyle name="Migliaia 45 3 2 2 5" xfId="20719" xr:uid="{14DF95D7-10B4-462C-9C9E-2DB4B83098EE}"/>
    <cellStyle name="Migliaia 45 3 2 2 6" xfId="25117" xr:uid="{8760939D-FF77-49E2-86D2-1F7CCFFEF491}"/>
    <cellStyle name="Migliaia 45 3 2 2 7" xfId="8717" xr:uid="{1FADDA78-CAA7-4754-8BED-8CBFBF06C14E}"/>
    <cellStyle name="Migliaia 45 3 2 3" xfId="5459" xr:uid="{A766F0A4-BECE-447A-A59E-ABD5E4B7942A}"/>
    <cellStyle name="Migliaia 45 3 2 3 2" xfId="12403" xr:uid="{94DADAEF-9723-4A98-A861-BCFB9AD43910}"/>
    <cellStyle name="Migliaia 45 3 2 3 2 2" xfId="39791" xr:uid="{FA147434-5B72-4BD0-89A1-58F609398B76}"/>
    <cellStyle name="Migliaia 45 3 2 3 2 3" xfId="45093" xr:uid="{FFEF7BCA-FB70-4436-9006-0014F4D5C954}"/>
    <cellStyle name="Migliaia 45 3 2 3 2 4" xfId="34225" xr:uid="{F9C59EBA-182A-4BEB-82D0-6A18C7A08A4E}"/>
    <cellStyle name="Migliaia 45 3 2 3 3" xfId="12044" xr:uid="{637A2C40-8AA5-40F0-A5F4-1FD7EC1195B7}"/>
    <cellStyle name="Migliaia 45 3 2 3 4" xfId="20720" xr:uid="{EB863725-0092-4CE2-BDA3-EAE48C86AD09}"/>
    <cellStyle name="Migliaia 45 3 2 3 4 2" xfId="42442" xr:uid="{34EFACB2-2B7A-4669-8ACC-4E5B0203A8DE}"/>
    <cellStyle name="Migliaia 45 3 2 3 5" xfId="16623" xr:uid="{2AF31D6F-8EAB-46D1-8DF1-EF25C708B5A2}"/>
    <cellStyle name="Migliaia 45 3 2 3 6" xfId="7981" xr:uid="{9C77BEA7-1656-44A9-986B-25E35B46D707}"/>
    <cellStyle name="Migliaia 45 3 2 4" xfId="6644" xr:uid="{DFCC49E6-783B-4FF8-94DA-29C6F0094B2B}"/>
    <cellStyle name="Migliaia 45 3 2 4 2" xfId="18096" xr:uid="{675D3225-EF35-401B-9F48-D86E72037866}"/>
    <cellStyle name="Migliaia 45 3 2 4 2 2" xfId="39792" xr:uid="{677C5FE3-997D-48C8-8B56-A2B8EE49A411}"/>
    <cellStyle name="Migliaia 45 3 2 4 2 3" xfId="45094" xr:uid="{C16550D2-DAB3-489F-BA4F-4DE651C09DB4}"/>
    <cellStyle name="Migliaia 45 3 2 4 3" xfId="37183" xr:uid="{956DE352-2D6E-459B-A501-B6D8DAF064E0}"/>
    <cellStyle name="Migliaia 45 3 2 4 4" xfId="42443" xr:uid="{12C6C9A5-772A-4944-BDE8-E5491FC6BA8E}"/>
    <cellStyle name="Migliaia 45 3 2 4 5" xfId="17214" xr:uid="{95540FE3-DC7A-4073-9CBB-8FDFE37C8063}"/>
    <cellStyle name="Migliaia 45 3 2 4 6" xfId="11392" xr:uid="{A6ED6001-FEDE-43A0-85A6-A38BAE5F3940}"/>
    <cellStyle name="Migliaia 45 3 2 5" xfId="3733" xr:uid="{8F2C7B16-3A2E-4CC8-8E0A-D1F03CEB7E30}"/>
    <cellStyle name="Migliaia 45 3 2 5 2" xfId="34226" xr:uid="{BD865915-67B4-47A1-87E7-EED370C70361}"/>
    <cellStyle name="Migliaia 45 3 2 5 2 2" xfId="39793" xr:uid="{CD5EC84E-199E-4237-8FFC-5A60B422338B}"/>
    <cellStyle name="Migliaia 45 3 2 5 2 3" xfId="45095" xr:uid="{A982714C-0330-403C-B971-403E24E534F0}"/>
    <cellStyle name="Migliaia 45 3 2 5 3" xfId="37184" xr:uid="{FA8B1FD2-938D-4606-BADE-6E55ADCC80E8}"/>
    <cellStyle name="Migliaia 45 3 2 5 4" xfId="42444" xr:uid="{45479597-B476-4503-B950-14BD13F2AD06}"/>
    <cellStyle name="Migliaia 45 3 2 5 5" xfId="17309" xr:uid="{D5431EA5-6D96-4EB3-B89A-A2187CAC599E}"/>
    <cellStyle name="Migliaia 45 3 2 6" xfId="20718" xr:uid="{2C07C621-B629-4150-AF21-FB2F1ACD43CE}"/>
    <cellStyle name="Migliaia 45 3 2 6 2" xfId="34227" xr:uid="{4D50E917-6BB8-46AC-8FC6-1E1767D0958D}"/>
    <cellStyle name="Migliaia 45 3 2 6 2 2" xfId="39794" xr:uid="{88EC071B-3313-418B-BE4F-A728D1361C9A}"/>
    <cellStyle name="Migliaia 45 3 2 6 2 3" xfId="45096" xr:uid="{732E0E18-D6F6-40E1-B676-E08CF5128C0C}"/>
    <cellStyle name="Migliaia 45 3 2 6 3" xfId="37185" xr:uid="{BDFE6CF7-57E0-4ED8-9010-8EE3DC639FBC}"/>
    <cellStyle name="Migliaia 45 3 2 6 4" xfId="42445" xr:uid="{8C94AA93-7FA7-4EA3-90DA-89C926B27823}"/>
    <cellStyle name="Migliaia 45 3 2 6 5" xfId="25120" xr:uid="{C844152D-5A23-4521-BDDE-FF9D22C735F4}"/>
    <cellStyle name="Migliaia 45 3 2 7" xfId="25116" xr:uid="{C9E3B218-F3BC-4C2B-857B-104E0A6045F7}"/>
    <cellStyle name="Migliaia 45 3 2 8" xfId="7527" xr:uid="{EE6DA81A-8722-4504-B4AB-886D949F2706}"/>
    <cellStyle name="Migliaia 45 3 3" xfId="3735" xr:uid="{87AB3AED-A4E9-4E5B-B820-C06F19DC3C20}"/>
    <cellStyle name="Migliaia 45 3 3 10" xfId="7526" xr:uid="{C3A8D475-EC34-4C9A-8B72-A2F8F46E13EB}"/>
    <cellStyle name="Migliaia 45 3 3 2" xfId="5461" xr:uid="{BE2787CE-5D37-4F48-BF6E-6A3F2FA3B8C7}"/>
    <cellStyle name="Migliaia 45 3 3 2 2" xfId="9960" xr:uid="{370D1BA4-91A5-49EE-806E-06C82B7F49B5}"/>
    <cellStyle name="Migliaia 45 3 3 2 2 2" xfId="39796" xr:uid="{1E36631D-7A8D-4653-812E-693E70877CAD}"/>
    <cellStyle name="Migliaia 45 3 3 2 2 3" xfId="45098" xr:uid="{25004DCE-2130-4765-83B3-BA223757ED12}"/>
    <cellStyle name="Migliaia 45 3 3 2 3" xfId="18240" xr:uid="{1B2A1D8D-357F-4397-B690-58A23B753C91}"/>
    <cellStyle name="Migliaia 45 3 3 2 4" xfId="20722" xr:uid="{527F6B9E-CD44-4F50-AFBE-D0FD321A6701}"/>
    <cellStyle name="Migliaia 45 3 3 2 4 2" xfId="42447" xr:uid="{C8DB6842-5EB0-4F33-9CE4-296140E5E289}"/>
    <cellStyle name="Migliaia 45 3 3 2 5" xfId="16625" xr:uid="{AFBD6098-2DB4-454C-BC24-F520093E31C1}"/>
    <cellStyle name="Migliaia 45 3 3 2 6" xfId="8716" xr:uid="{43DDEFDC-EDB1-4DB6-ADFF-845AA479F2E9}"/>
    <cellStyle name="Migliaia 45 3 3 3" xfId="6646" xr:uid="{B02DDF3B-00CC-4AC4-89C8-881B11D9C2EA}"/>
    <cellStyle name="Migliaia 45 3 3 3 2" xfId="34230" xr:uid="{D506240B-4182-40C1-8D60-521C3B7EC536}"/>
    <cellStyle name="Migliaia 45 3 3 3 2 2" xfId="39797" xr:uid="{B48FF1CA-423F-45F9-8979-3EDE3EC7FF6C}"/>
    <cellStyle name="Migliaia 45 3 3 3 2 3" xfId="45099" xr:uid="{1CD7F514-5C69-4396-853A-71B23A622061}"/>
    <cellStyle name="Migliaia 45 3 3 3 3" xfId="37188" xr:uid="{4036BA9C-1D3C-4499-B72A-F96EDC35D993}"/>
    <cellStyle name="Migliaia 45 3 3 3 4" xfId="42448" xr:uid="{62EDE648-8CD7-45D9-9FA3-75158CC442CF}"/>
    <cellStyle name="Migliaia 45 3 3 3 5" xfId="9723" xr:uid="{29EE7561-AEF8-451B-95A0-1F0EC79D1108}"/>
    <cellStyle name="Migliaia 45 3 3 4" xfId="20721" xr:uid="{220CEF73-65B9-4926-8433-BB17EE2A5DB1}"/>
    <cellStyle name="Migliaia 45 3 3 4 2" xfId="34231" xr:uid="{1C0FC007-6358-4FF9-8E5A-C8912B1A44C5}"/>
    <cellStyle name="Migliaia 45 3 3 4 2 2" xfId="39798" xr:uid="{E4E761C2-3D7B-42EE-9619-1108B806A28D}"/>
    <cellStyle name="Migliaia 45 3 3 4 2 3" xfId="45100" xr:uid="{A1793CD0-3EBD-46D7-9C1D-9B37CB2E3FCE}"/>
    <cellStyle name="Migliaia 45 3 3 4 3" xfId="37189" xr:uid="{B3AC9461-F74D-427B-8E48-2A75F2AA96D7}"/>
    <cellStyle name="Migliaia 45 3 3 4 4" xfId="42449" xr:uid="{183D56B0-14C8-4D39-A038-61C7C6611B72}"/>
    <cellStyle name="Migliaia 45 3 3 4 5" xfId="25121" xr:uid="{D22ECC61-323D-47A7-A26F-E590DCCF7322}"/>
    <cellStyle name="Migliaia 45 3 3 5" xfId="25122" xr:uid="{17AC6C59-B62D-4519-8327-C06EE0BE1AC6}"/>
    <cellStyle name="Migliaia 45 3 3 5 2" xfId="34232" xr:uid="{2CCC7965-98D0-41E0-B759-8111F0475038}"/>
    <cellStyle name="Migliaia 45 3 3 5 2 2" xfId="39799" xr:uid="{CE40BB23-3F9A-4922-93DA-B306D0F01005}"/>
    <cellStyle name="Migliaia 45 3 3 5 2 3" xfId="45101" xr:uid="{595A97F4-BA19-4AA8-A0A5-D4ADB0DEFD89}"/>
    <cellStyle name="Migliaia 45 3 3 5 3" xfId="37190" xr:uid="{C227CAF4-532A-4744-ABED-62E20761185B}"/>
    <cellStyle name="Migliaia 45 3 3 5 4" xfId="42450" xr:uid="{B2E646E1-D116-47DB-BD33-EA91D1180400}"/>
    <cellStyle name="Migliaia 45 3 3 6" xfId="34228" xr:uid="{1CCA2A4A-EAF0-4D14-AC40-893D980DDF98}"/>
    <cellStyle name="Migliaia 45 3 3 6 2" xfId="39795" xr:uid="{CB95168F-B420-4781-87C1-8BD5EEF128AB}"/>
    <cellStyle name="Migliaia 45 3 3 6 3" xfId="45097" xr:uid="{88AF4CE3-0680-4A76-BCC9-D3816B7ADDCE}"/>
    <cellStyle name="Migliaia 45 3 3 7" xfId="37186" xr:uid="{A4D690D1-66E7-43CE-A794-787AEF26B2AF}"/>
    <cellStyle name="Migliaia 45 3 3 8" xfId="42446" xr:uid="{A5AFAEE1-1654-4AF9-BEB4-B0A11B2C3DF6}"/>
    <cellStyle name="Migliaia 45 3 3 9" xfId="16624" xr:uid="{93F7703D-87DE-401D-ADCA-D9167170E828}"/>
    <cellStyle name="Migliaia 45 3 4" xfId="3736" xr:uid="{C0D1102E-0BD9-4CE7-9214-A63F183C73DD}"/>
    <cellStyle name="Migliaia 45 3 4 2" xfId="5462" xr:uid="{67491AEB-0A8E-4CAC-B321-FE81104E4818}"/>
    <cellStyle name="Migliaia 45 3 4 2 2" xfId="14462" xr:uid="{07A70A63-9CE1-450C-8482-542396D692F5}"/>
    <cellStyle name="Migliaia 45 3 4 2 3" xfId="18579" xr:uid="{CF2D1954-54F6-44E8-AAB6-167232A8FF1D}"/>
    <cellStyle name="Migliaia 45 3 4 2 4" xfId="20724" xr:uid="{3A8C5123-E8B6-4252-A10E-E3C67BE00FBE}"/>
    <cellStyle name="Migliaia 45 3 4 2 5" xfId="32435" xr:uid="{E6B9A436-5E31-4599-96A1-B80B28E4F37C}"/>
    <cellStyle name="Migliaia 45 3 4 2 6" xfId="16627" xr:uid="{F7469200-191A-4AE0-8B5A-A933F4974C66}"/>
    <cellStyle name="Migliaia 45 3 4 2 7" xfId="8885" xr:uid="{9B504185-4EF7-4547-B561-75B7BF979D58}"/>
    <cellStyle name="Migliaia 45 3 4 3" xfId="6647" xr:uid="{FF84C7C2-1871-447F-82B4-CADC2FF2D9CC}"/>
    <cellStyle name="Migliaia 45 3 4 3 2" xfId="35398" xr:uid="{4A0546EB-8DD4-42BA-9BD4-025677F7515A}"/>
    <cellStyle name="Migliaia 45 3 4 3 2 2" xfId="40558" xr:uid="{54C191E3-AF16-402E-8619-F0BCBA036867}"/>
    <cellStyle name="Migliaia 45 3 4 3 2 3" xfId="45860" xr:uid="{3ECA2AC2-3135-490F-A75D-FEBCE9D0A33B}"/>
    <cellStyle name="Migliaia 45 3 4 3 3" xfId="37907" xr:uid="{4E846CE6-8551-4E18-8AC9-2AC339803851}"/>
    <cellStyle name="Migliaia 45 3 4 3 4" xfId="43209" xr:uid="{2DC1DA25-6AD2-497C-BA2D-07ACD26AEF08}"/>
    <cellStyle name="Migliaia 45 3 4 3 5" xfId="13710" xr:uid="{09FD28DC-2A05-4EB2-9007-2807D9B8CF32}"/>
    <cellStyle name="Migliaia 45 3 4 4" xfId="20723" xr:uid="{80A2AD85-1A95-483F-8BB9-636672214D05}"/>
    <cellStyle name="Migliaia 45 3 4 4 2" xfId="39800" xr:uid="{8FDBE668-837D-4B0F-9219-2D7CCE3BA6E6}"/>
    <cellStyle name="Migliaia 45 3 4 4 3" xfId="45102" xr:uid="{C9074BF0-46E8-42B3-BB2F-D94CE449842A}"/>
    <cellStyle name="Migliaia 45 3 4 4 4" xfId="34233" xr:uid="{9403D04B-7108-4AC9-8221-C04F370F2AC1}"/>
    <cellStyle name="Migliaia 45 3 4 5" xfId="37191" xr:uid="{9FE0DB7D-7594-4E54-9C21-FC0FBF926DFD}"/>
    <cellStyle name="Migliaia 45 3 4 6" xfId="42451" xr:uid="{087AC798-F38D-45FA-8E04-3431665DB04D}"/>
    <cellStyle name="Migliaia 45 3 4 7" xfId="16626" xr:uid="{C6DBFE85-BCB9-44D8-B2FA-157526ACC819}"/>
    <cellStyle name="Migliaia 45 3 4 8" xfId="7695" xr:uid="{7740A718-6D75-4A15-9265-FB71B1F6901F}"/>
    <cellStyle name="Migliaia 45 3 5" xfId="3737" xr:uid="{8DCC063F-A2FC-4C0B-A9EE-9A42D165D1A7}"/>
    <cellStyle name="Migliaia 45 3 5 2" xfId="5463" xr:uid="{2E9A93E2-1CD2-4A38-B17B-4D42818A8DF9}"/>
    <cellStyle name="Migliaia 45 3 5 2 2" xfId="35399" xr:uid="{11E4E4C9-39D4-497F-B04A-2647AA65E566}"/>
    <cellStyle name="Migliaia 45 3 5 2 2 2" xfId="40559" xr:uid="{F13970E0-54DF-4A5F-9912-DFF877B5E2D7}"/>
    <cellStyle name="Migliaia 45 3 5 2 2 3" xfId="45861" xr:uid="{13481850-DACC-4F8B-9D4B-38E86BA86B65}"/>
    <cellStyle name="Migliaia 45 3 5 2 3" xfId="37908" xr:uid="{6EAE9652-58B3-4EE7-BDD1-F3055BAD608A}"/>
    <cellStyle name="Migliaia 45 3 5 2 4" xfId="43210" xr:uid="{E5405B0B-297D-455F-A6A1-4B5ED33759F3}"/>
    <cellStyle name="Migliaia 45 3 5 2 5" xfId="14298" xr:uid="{A696BB32-C558-4A0D-B1D2-B7A781A64A2E}"/>
    <cellStyle name="Migliaia 45 3 5 3" xfId="6648" xr:uid="{986F262D-8A60-48A5-8FF9-35A6173712D1}"/>
    <cellStyle name="Migliaia 45 3 5 3 2" xfId="39801" xr:uid="{E04CEBE5-0BDD-443A-BB74-69B29B11981E}"/>
    <cellStyle name="Migliaia 45 3 5 3 3" xfId="45103" xr:uid="{EB04BDEE-3328-4D86-AD5F-FAB64598D4EA}"/>
    <cellStyle name="Migliaia 45 3 5 3 4" xfId="34234" xr:uid="{15F6D9FB-542C-4785-980C-D1231BA9CB67}"/>
    <cellStyle name="Migliaia 45 3 5 3 5" xfId="20725" xr:uid="{44337DCD-1872-4B5B-BAEC-45400155B04B}"/>
    <cellStyle name="Migliaia 45 3 5 4" xfId="37192" xr:uid="{E5A441FC-180A-4FBA-8183-6B85F1C9B150}"/>
    <cellStyle name="Migliaia 45 3 5 5" xfId="42452" xr:uid="{90EDA9A5-7FCC-4AA3-ACAC-4C89340A100C}"/>
    <cellStyle name="Migliaia 45 3 5 6" xfId="16628" xr:uid="{C92159C3-D759-4B42-9BFE-8B50A7D11C69}"/>
    <cellStyle name="Migliaia 45 3 5 7" xfId="8360" xr:uid="{D0FCD5A2-C945-4F85-973B-5E1C55D46A3E}"/>
    <cellStyle name="Migliaia 45 3 6" xfId="5458" xr:uid="{E17BC920-A66D-4798-8763-18F7574402A1}"/>
    <cellStyle name="Migliaia 45 3 6 2" xfId="14003" xr:uid="{6021065D-7D9C-4620-B2B2-582AA8C28810}"/>
    <cellStyle name="Migliaia 45 3 6 2 2" xfId="39802" xr:uid="{45ECA847-875F-4918-8D91-1453B6BFB5C9}"/>
    <cellStyle name="Migliaia 45 3 6 2 3" xfId="45104" xr:uid="{ADDD94E0-456C-4678-8EBE-7B30525D8431}"/>
    <cellStyle name="Migliaia 45 3 6 3" xfId="18291" xr:uid="{D3BC4769-B187-4CB5-9EED-486164EA856C}"/>
    <cellStyle name="Migliaia 45 3 6 4" xfId="20726" xr:uid="{06739DEE-2482-4D2A-BC3C-683344AC9DE5}"/>
    <cellStyle name="Migliaia 45 3 6 4 2" xfId="42453" xr:uid="{E5D380B8-45FD-4477-9096-01FB562C3CF6}"/>
    <cellStyle name="Migliaia 45 3 6 5" xfId="16629" xr:uid="{F2200DE4-4047-4F5D-BAC7-C993A4F3D046}"/>
    <cellStyle name="Migliaia 45 3 6 6" xfId="7980" xr:uid="{2CE726F2-1110-4472-A5B8-252F9686163B}"/>
    <cellStyle name="Migliaia 45 3 7" xfId="6643" xr:uid="{EDCFE344-C2AD-4359-8EA1-DD7858ED757D}"/>
    <cellStyle name="Migliaia 45 3 7 2" xfId="34236" xr:uid="{A97D94E5-3560-459B-B368-199F0881643A}"/>
    <cellStyle name="Migliaia 45 3 7 2 2" xfId="39803" xr:uid="{A7AFB845-FC90-4BF2-A723-B0568AFA8175}"/>
    <cellStyle name="Migliaia 45 3 7 2 3" xfId="45105" xr:uid="{01109F6C-6B6F-456F-BE98-91665EDC0A8B}"/>
    <cellStyle name="Migliaia 45 3 7 3" xfId="37194" xr:uid="{3051F8B2-CAE1-43BC-B2B5-9425BE32336B}"/>
    <cellStyle name="Migliaia 45 3 7 4" xfId="42454" xr:uid="{9E062EB0-D5E1-438C-8C5E-FF225FDE2DCD}"/>
    <cellStyle name="Migliaia 45 3 7 5" xfId="11518" xr:uid="{44AED69B-5CA7-43C5-A9B1-0FC4A5649A0B}"/>
    <cellStyle name="Migliaia 45 3 8" xfId="3732" xr:uid="{3ABBACF6-F343-4BE6-8D60-6B581AED1DA7}"/>
    <cellStyle name="Migliaia 45 3 8 2" xfId="34237" xr:uid="{86D220F4-7689-4FA7-A447-718831632FAD}"/>
    <cellStyle name="Migliaia 45 3 8 2 2" xfId="39804" xr:uid="{365BF8C8-1C69-4413-B005-CE7EEFDAF94B}"/>
    <cellStyle name="Migliaia 45 3 8 2 3" xfId="45106" xr:uid="{D9981C0E-260B-4F1D-8D0E-EFEB5E6374B7}"/>
    <cellStyle name="Migliaia 45 3 8 3" xfId="37195" xr:uid="{A7A6D12F-876C-4AA3-B2CD-4C3371EDAE9C}"/>
    <cellStyle name="Migliaia 45 3 8 4" xfId="42455" xr:uid="{6CFB2E0F-2522-40F7-9BCD-95347DAFF07B}"/>
    <cellStyle name="Migliaia 45 3 8 5" xfId="25126" xr:uid="{2C9CF865-45F8-440C-AAD7-648039249D3C}"/>
    <cellStyle name="Migliaia 45 3 8 6" xfId="17310" xr:uid="{2BB9AE42-8220-47A9-81E7-BD455D6E6052}"/>
    <cellStyle name="Migliaia 45 3 9" xfId="20717" xr:uid="{2EC4ADD8-6F2B-43DB-A984-951F5636CA73}"/>
    <cellStyle name="Migliaia 45 4" xfId="1853" xr:uid="{00000000-0005-0000-0000-000024040000}"/>
    <cellStyle name="Migliaia 45 4 2" xfId="1854" xr:uid="{00000000-0005-0000-0000-000025040000}"/>
    <cellStyle name="Migliaia 45 4 2 2" xfId="5465" xr:uid="{A19FA925-73A8-4C77-836B-9ECD9943A7E9}"/>
    <cellStyle name="Migliaia 45 4 2 2 2" xfId="34238" xr:uid="{9922C7FC-36B1-4D7E-A50C-0947E45CB67B}"/>
    <cellStyle name="Migliaia 45 4 2 2 2 2" xfId="39805" xr:uid="{AFDCE943-1BC6-46C0-B42A-B9A3749F3492}"/>
    <cellStyle name="Migliaia 45 4 2 2 2 3" xfId="45107" xr:uid="{0DA012CE-2746-4FAD-BC5C-23CB05251E07}"/>
    <cellStyle name="Migliaia 45 4 2 2 3" xfId="37196" xr:uid="{070DC943-9F9A-4906-AFA0-08AF4244ADC8}"/>
    <cellStyle name="Migliaia 45 4 2 2 4" xfId="42456" xr:uid="{7C2FC211-A0D4-409C-A400-FB9DC28B4129}"/>
    <cellStyle name="Migliaia 45 4 2 2 5" xfId="9186" xr:uid="{669179BA-AF99-435C-8924-715750F91B39}"/>
    <cellStyle name="Migliaia 45 4 2 3" xfId="3739" xr:uid="{3A0F199E-214D-483B-A13E-5237C9BF53AD}"/>
    <cellStyle name="Migliaia 45 4 2 3 2" xfId="34239" xr:uid="{9055B643-DDD6-411C-9D6E-2FF2229BA8E1}"/>
    <cellStyle name="Migliaia 45 4 2 3 2 2" xfId="39806" xr:uid="{3CE6E19F-842E-4249-852C-F128CBE2874D}"/>
    <cellStyle name="Migliaia 45 4 2 3 2 3" xfId="45108" xr:uid="{ADF72078-63DD-4DAA-941E-C7636BBAA870}"/>
    <cellStyle name="Migliaia 45 4 2 3 3" xfId="37197" xr:uid="{992D6750-50EA-4AD8-93D6-D21841F6609A}"/>
    <cellStyle name="Migliaia 45 4 2 3 4" xfId="42457" xr:uid="{A01751A2-6151-4A56-ACC8-EA23323C69EA}"/>
    <cellStyle name="Migliaia 45 4 2 3 5" xfId="12045" xr:uid="{646792A6-1453-44AB-9C82-50DDA7853468}"/>
    <cellStyle name="Migliaia 45 4 2 4" xfId="11394" xr:uid="{A756B019-A0F4-4F8A-A66C-8A6D0128027B}"/>
    <cellStyle name="Migliaia 45 4 2 5" xfId="10931" xr:uid="{9FA1084A-63EB-4A27-8C5A-35978753A358}"/>
    <cellStyle name="Migliaia 45 4 2 5 2" xfId="21566" xr:uid="{B5EE4CB3-B6B7-4D2E-B6CF-6CAB1009B4D6}"/>
    <cellStyle name="Migliaia 45 4 2 5 3" xfId="47119" xr:uid="{5B32A75B-CB38-4213-8531-7743659AAC1A}"/>
    <cellStyle name="Migliaia 45 4 2 5 4" xfId="50581" xr:uid="{30397D28-E6C3-442F-B85B-6C46EDD8D4FA}"/>
    <cellStyle name="Migliaia 45 4 2 5 5" xfId="53597" xr:uid="{3C4C63A2-AEDA-4A2A-99AA-5E46066E204D}"/>
    <cellStyle name="Migliaia 45 4 2 6" xfId="20728" xr:uid="{EFD4A683-1A47-4DCA-924B-63C131CA62E9}"/>
    <cellStyle name="Migliaia 45 4 2 7" xfId="25128" xr:uid="{C2A6E085-ED68-4457-9295-796D23894D75}"/>
    <cellStyle name="Migliaia 45 4 2 8" xfId="8718" xr:uid="{C4ED253F-9DDB-48CC-B7A0-492B5755B51D}"/>
    <cellStyle name="Migliaia 45 4 3" xfId="5464" xr:uid="{A6D791CB-7226-4EBC-9337-25A7E4AE20FE}"/>
    <cellStyle name="Migliaia 45 4 3 2" xfId="18241" xr:uid="{3CBE9B00-3265-46C0-9475-430FF9AAE1DF}"/>
    <cellStyle name="Migliaia 45 4 3 2 2" xfId="39807" xr:uid="{609C0E27-9C4F-4905-B3B3-8B131F5D1096}"/>
    <cellStyle name="Migliaia 45 4 3 2 3" xfId="45109" xr:uid="{F1DA4B02-0C8C-4188-BCAA-19BB46A070A2}"/>
    <cellStyle name="Migliaia 45 4 3 3" xfId="37198" xr:uid="{DD954A36-78C4-46E3-A32D-128D76A8401D}"/>
    <cellStyle name="Migliaia 45 4 3 4" xfId="42458" xr:uid="{3B3535F4-CC5B-4CEA-AB05-82A1C28D9295}"/>
    <cellStyle name="Migliaia 45 4 3 5" xfId="17308" xr:uid="{F0FD3884-949A-45BF-9CEB-D4FDE51C7FBD}"/>
    <cellStyle name="Migliaia 45 4 3 6" xfId="9187" xr:uid="{ADFE7A5D-F744-4120-8F20-53C973EB86C7}"/>
    <cellStyle name="Migliaia 45 4 4" xfId="6649" xr:uid="{F803B11A-A649-49DF-8393-D44AC82BF769}"/>
    <cellStyle name="Migliaia 45 4 4 2" xfId="34240" xr:uid="{B1E8774A-8EDD-4C14-A527-C2B2E983DF4A}"/>
    <cellStyle name="Migliaia 45 4 4 2 2" xfId="39808" xr:uid="{B67CD498-5783-48F6-A753-748800C542FC}"/>
    <cellStyle name="Migliaia 45 4 4 2 3" xfId="45110" xr:uid="{54278422-80AD-4B1F-9DA1-A6A202DC4B90}"/>
    <cellStyle name="Migliaia 45 4 4 3" xfId="37199" xr:uid="{F5EAC6FA-E683-41C6-89E3-1EE509B22936}"/>
    <cellStyle name="Migliaia 45 4 4 4" xfId="42459" xr:uid="{1772222B-4FAC-4805-B8EA-251E70231A57}"/>
    <cellStyle name="Migliaia 45 4 4 5" xfId="12046" xr:uid="{6C191470-67FD-4144-AA34-18C0810297BF}"/>
    <cellStyle name="Migliaia 45 4 5" xfId="3738" xr:uid="{977BDE80-8F24-404B-BC20-4854FC8F22FB}"/>
    <cellStyle name="Migliaia 45 4 5 2" xfId="34241" xr:uid="{D3BC4D75-318C-4B47-8D38-4C77150DC94B}"/>
    <cellStyle name="Migliaia 45 4 5 2 2" xfId="39809" xr:uid="{C62BB664-E7FA-49A6-A0EA-9D91E498C456}"/>
    <cellStyle name="Migliaia 45 4 5 2 3" xfId="45111" xr:uid="{F26903B0-0DAA-4351-83CF-1D9BC9CEAB4D}"/>
    <cellStyle name="Migliaia 45 4 5 3" xfId="37200" xr:uid="{AB75E32A-8AC9-43F1-B469-C0AFE4A660BE}"/>
    <cellStyle name="Migliaia 45 4 5 4" xfId="42460" xr:uid="{59F773AD-54AB-44F3-BD10-6216BA6D2FB8}"/>
    <cellStyle name="Migliaia 45 4 5 5" xfId="11393" xr:uid="{EA5B949C-3AFF-4F09-B27A-8FB1B35AAFFE}"/>
    <cellStyle name="Migliaia 45 4 6" xfId="10930" xr:uid="{ECA5175E-36B6-469E-B17D-FBB033370444}"/>
    <cellStyle name="Migliaia 45 4 6 2" xfId="21565" xr:uid="{D20ABC73-D830-4437-AC44-631680AD2184}"/>
    <cellStyle name="Migliaia 45 4 6 2 2" xfId="39810" xr:uid="{FD0B24B5-8AE3-493F-9B8C-93617BFE75E7}"/>
    <cellStyle name="Migliaia 45 4 6 2 3" xfId="45112" xr:uid="{5C799CFC-070E-4B70-A0A0-92422B158E36}"/>
    <cellStyle name="Migliaia 45 4 6 2 4" xfId="34242" xr:uid="{99C975A1-E9BB-4A70-87A8-006285057A53}"/>
    <cellStyle name="Migliaia 45 4 6 3" xfId="37201" xr:uid="{510D5132-5DE4-4743-A6DE-97443A6D33D0}"/>
    <cellStyle name="Migliaia 45 4 6 4" xfId="42461" xr:uid="{52879D29-F391-489F-A7FA-7C16B656544E}"/>
    <cellStyle name="Migliaia 45 4 6 5" xfId="25132" xr:uid="{72C93969-0471-44E8-B5AC-3944390DA003}"/>
    <cellStyle name="Migliaia 45 4 6 6" xfId="48477" xr:uid="{6C2D15E5-D4C5-4280-AD9F-D0545A5DA43A}"/>
    <cellStyle name="Migliaia 45 4 6 7" xfId="50580" xr:uid="{EDCE24FC-706F-4315-A314-170E78913FD7}"/>
    <cellStyle name="Migliaia 45 4 6 8" xfId="53596" xr:uid="{D7812963-357A-498D-9087-0ECE2E8AF4CA}"/>
    <cellStyle name="Migliaia 45 4 7" xfId="20727" xr:uid="{0635AA40-7DAD-4F32-822C-B1DAA33EEE99}"/>
    <cellStyle name="Migliaia 45 4 7 2" xfId="34243" xr:uid="{5328FDA5-1675-48CE-8ADC-8EBB027A44E9}"/>
    <cellStyle name="Migliaia 45 4 7 2 2" xfId="39811" xr:uid="{7B21CE7C-5F89-4FAA-9B36-773A0163F7A4}"/>
    <cellStyle name="Migliaia 45 4 7 2 3" xfId="45113" xr:uid="{1C456E24-2C0C-4E72-853B-8FD601F4CEDE}"/>
    <cellStyle name="Migliaia 45 4 7 3" xfId="37202" xr:uid="{DE330603-0993-4703-989B-63CE8F3919DA}"/>
    <cellStyle name="Migliaia 45 4 7 4" xfId="42462" xr:uid="{8B923D09-89D6-475A-B54F-5BD4BB1B621A}"/>
    <cellStyle name="Migliaia 45 4 7 5" xfId="25133" xr:uid="{363242D6-9524-4CB7-92A4-38AC4E3D8358}"/>
    <cellStyle name="Migliaia 45 4 8" xfId="25127" xr:uid="{ECE7054D-1CB0-469D-AC04-81DF1D769DEF}"/>
    <cellStyle name="Migliaia 45 4 9" xfId="7528" xr:uid="{93293FDD-7888-4174-9720-D4F524FED94B}"/>
    <cellStyle name="Migliaia 45 5" xfId="1855" xr:uid="{00000000-0005-0000-0000-000026040000}"/>
    <cellStyle name="Migliaia 45 5 2" xfId="5466" xr:uid="{9406E960-03A3-4D04-BAF5-C29F5A07AE7F}"/>
    <cellStyle name="Migliaia 45 5 2 2" xfId="18481" xr:uid="{50E4E1C1-4CB0-43C8-ADB6-919873A76FCB}"/>
    <cellStyle name="Migliaia 45 5 2 2 2" xfId="39812" xr:uid="{0F99C936-2C0F-4978-946F-0DB3578C7985}"/>
    <cellStyle name="Migliaia 45 5 2 2 3" xfId="45114" xr:uid="{D49C5E82-C161-4B7E-83DA-9D0744A2BAD4}"/>
    <cellStyle name="Migliaia 45 5 2 3" xfId="20730" xr:uid="{9BA2E7B1-B9F9-4938-A45B-34264E2D1D1D}"/>
    <cellStyle name="Migliaia 45 5 2 3 2" xfId="37203" xr:uid="{EFFEF3FE-C4C2-4B9E-A1DC-59B514EF4F57}"/>
    <cellStyle name="Migliaia 45 5 2 4" xfId="42463" xr:uid="{F15990F6-C78B-4177-B5E4-D83D675A9726}"/>
    <cellStyle name="Migliaia 45 5 2 5" xfId="16630" xr:uid="{8EB14286-09B5-4DE8-8A54-4B15C3B8B27F}"/>
    <cellStyle name="Migliaia 45 5 2 6" xfId="8719" xr:uid="{834C45BD-6A96-45F3-A8BA-527D1761C02D}"/>
    <cellStyle name="Migliaia 45 5 3" xfId="6650" xr:uid="{7CFB10BC-54DA-4BB7-BD88-0033A14A8EAB}"/>
    <cellStyle name="Migliaia 45 5 3 2" xfId="34244" xr:uid="{CFE3165E-0241-45C1-A5A0-D6B67282F87D}"/>
    <cellStyle name="Migliaia 45 5 3 2 2" xfId="39813" xr:uid="{AAE948AB-8A77-45EB-B542-1439AB30A713}"/>
    <cellStyle name="Migliaia 45 5 3 2 3" xfId="45115" xr:uid="{496374FD-5DC1-44EA-8539-BD3724727451}"/>
    <cellStyle name="Migliaia 45 5 3 3" xfId="37204" xr:uid="{EE4E39DE-01E9-4374-A57F-573E254A4735}"/>
    <cellStyle name="Migliaia 45 5 3 4" xfId="42464" xr:uid="{37311EBA-0138-49BD-98B7-B8B92DF70D2D}"/>
    <cellStyle name="Migliaia 45 5 3 5" xfId="11395" xr:uid="{E8EEC1EF-9DAE-4726-AA3A-5FF97A5F21E5}"/>
    <cellStyle name="Migliaia 45 5 4" xfId="3740" xr:uid="{4329E875-D24C-488F-BFF9-C28865C5A93F}"/>
    <cellStyle name="Migliaia 45 5 4 2" xfId="21567" xr:uid="{C2CF2829-467E-4826-ACEC-837C6514E10D}"/>
    <cellStyle name="Migliaia 45 5 4 2 2" xfId="39814" xr:uid="{1371714C-D032-4DFF-90FF-0ED9FEC34B63}"/>
    <cellStyle name="Migliaia 45 5 4 2 3" xfId="45116" xr:uid="{BEF4DB5F-9B42-4860-99B5-2482EFA271B6}"/>
    <cellStyle name="Migliaia 45 5 4 2 4" xfId="34245" xr:uid="{2A57DE87-AE46-47B3-BA01-DF8726E7BE3B}"/>
    <cellStyle name="Migliaia 45 5 4 3" xfId="37205" xr:uid="{6493A185-B332-423E-8E72-460D3B010AFF}"/>
    <cellStyle name="Migliaia 45 5 4 4" xfId="42465" xr:uid="{CD8991CD-564C-4A59-802C-62C28FBB77F8}"/>
    <cellStyle name="Migliaia 45 5 4 5" xfId="25135" xr:uid="{04EA2A00-7D43-4B7D-B1FB-FCDA67692C44}"/>
    <cellStyle name="Migliaia 45 5 4 6" xfId="47426" xr:uid="{17CD3F9F-8559-4D71-9764-383A65703F1D}"/>
    <cellStyle name="Migliaia 45 5 4 7" xfId="50582" xr:uid="{B7E6DFFC-67A0-4058-80DE-9C108D91C191}"/>
    <cellStyle name="Migliaia 45 5 4 8" xfId="53598" xr:uid="{C3E462EA-DEAC-4D73-A496-BE3A813FEB9C}"/>
    <cellStyle name="Migliaia 45 5 4 9" xfId="10932" xr:uid="{70263C65-D144-4BEB-8DC6-F8FE7BAAB7F9}"/>
    <cellStyle name="Migliaia 45 5 5" xfId="20729" xr:uid="{C8EEC835-BE01-4C6B-AE47-1584369023B6}"/>
    <cellStyle name="Migliaia 45 5 5 2" xfId="34246" xr:uid="{F21CF628-A94C-4CFA-9872-C8BB9ADAEA1D}"/>
    <cellStyle name="Migliaia 45 5 5 2 2" xfId="39815" xr:uid="{AC9CDFB8-B764-4500-BD48-4561685604C2}"/>
    <cellStyle name="Migliaia 45 5 5 2 3" xfId="45117" xr:uid="{2D7953B6-ACC5-4050-B594-6CAD8E3B7B5F}"/>
    <cellStyle name="Migliaia 45 5 5 3" xfId="37206" xr:uid="{79B47CCE-6835-4BC0-9FBC-18ADB5DE7C15}"/>
    <cellStyle name="Migliaia 45 5 5 4" xfId="42466" xr:uid="{8E76CBCD-5662-416B-8574-3EE0D9591602}"/>
    <cellStyle name="Migliaia 45 5 5 5" xfId="25136" xr:uid="{92EE93E7-E03E-49D0-8A4B-D56F4B652F1F}"/>
    <cellStyle name="Migliaia 45 5 6" xfId="25137" xr:uid="{EDC7E65F-B3B8-49AB-9D2E-9EB11FCC61D2}"/>
    <cellStyle name="Migliaia 45 5 6 2" xfId="34247" xr:uid="{6B45AA86-7B35-4D43-B6FE-B1CD2D60387F}"/>
    <cellStyle name="Migliaia 45 5 6 2 2" xfId="39816" xr:uid="{1C402B77-F0C9-4CA0-B3F0-3B1B05D21735}"/>
    <cellStyle name="Migliaia 45 5 6 2 3" xfId="45118" xr:uid="{B34B63AE-5CC1-4D3E-AF28-2AB045BBF2DE}"/>
    <cellStyle name="Migliaia 45 5 6 3" xfId="37207" xr:uid="{B39B5CA9-482B-49CA-BC2A-63BF47354EC6}"/>
    <cellStyle name="Migliaia 45 5 6 4" xfId="42467" xr:uid="{7F76569F-49BE-439B-87F0-E3D11D101BF5}"/>
    <cellStyle name="Migliaia 45 5 7" xfId="25134" xr:uid="{921C0C15-B184-4209-A8AB-5B3BF9784498}"/>
    <cellStyle name="Migliaia 45 5 8" xfId="7529" xr:uid="{BE3AAF14-0C64-4D07-8B97-F8E5C99E81BC}"/>
    <cellStyle name="Migliaia 45 6" xfId="3741" xr:uid="{450938BB-9F5A-4E2C-A7C4-7181921BC508}"/>
    <cellStyle name="Migliaia 45 6 2" xfId="5467" xr:uid="{33C47DBF-1611-418E-A7A9-A0BDE21937DA}"/>
    <cellStyle name="Migliaia 45 6 2 2" xfId="9959" xr:uid="{D822049D-E6D0-4EAB-A722-E1BFF588ACB1}"/>
    <cellStyle name="Migliaia 45 6 2 3" xfId="18641" xr:uid="{413D7C8C-EAE4-4F33-BD32-148612B00CC7}"/>
    <cellStyle name="Migliaia 45 6 2 4" xfId="20732" xr:uid="{DEBD9671-ED7B-44CA-AF66-B5EB3B3BD741}"/>
    <cellStyle name="Migliaia 45 6 2 5" xfId="32438" xr:uid="{A396503A-1DD5-4D9E-8C5A-AD3D7149C9C1}"/>
    <cellStyle name="Migliaia 45 6 2 6" xfId="16632" xr:uid="{DED9508C-767B-4E65-B9E4-97024DEABEAE}"/>
    <cellStyle name="Migliaia 45 6 2 7" xfId="8714" xr:uid="{A3418D3A-7E5F-4377-A69A-D0C304366509}"/>
    <cellStyle name="Migliaia 45 6 3" xfId="6651" xr:uid="{55D62B0F-254E-4D2F-8B17-9C019BAA0D82}"/>
    <cellStyle name="Migliaia 45 6 3 2" xfId="35400" xr:uid="{380F3D45-719E-46F9-B14D-B1C7DE389E6D}"/>
    <cellStyle name="Migliaia 45 6 3 2 2" xfId="40560" xr:uid="{6952155B-678D-4BCF-86B7-21D492550AD3}"/>
    <cellStyle name="Migliaia 45 6 3 2 3" xfId="45862" xr:uid="{4ED6700F-A62E-4500-AA0B-8258F8FD946E}"/>
    <cellStyle name="Migliaia 45 6 3 3" xfId="37909" xr:uid="{50C467DB-85D0-4AC3-9F44-1809DBA69D71}"/>
    <cellStyle name="Migliaia 45 6 3 4" xfId="43211" xr:uid="{ED909338-FCBD-4953-BDDA-56EEAFE6E11B}"/>
    <cellStyle name="Migliaia 45 6 3 5" xfId="9722" xr:uid="{54D76FFD-D5E0-42EF-97C4-803BE89CF5A5}"/>
    <cellStyle name="Migliaia 45 6 4" xfId="20731" xr:uid="{E1238E69-932A-447F-BC7B-261DC591BBBF}"/>
    <cellStyle name="Migliaia 45 6 4 2" xfId="39817" xr:uid="{BF2A76B4-01D0-48D5-B0B1-6EE2CF655FBA}"/>
    <cellStyle name="Migliaia 45 6 4 3" xfId="45119" xr:uid="{15144446-C8D9-4918-B63E-9378D7646A25}"/>
    <cellStyle name="Migliaia 45 6 4 4" xfId="34248" xr:uid="{DED34DD1-D5DB-42A4-9B45-5B51485A3094}"/>
    <cellStyle name="Migliaia 45 6 5" xfId="37208" xr:uid="{A5283D05-30AE-4F24-9668-8E7B35840A82}"/>
    <cellStyle name="Migliaia 45 6 6" xfId="42468" xr:uid="{3ADD8D98-7D2D-4A82-818C-8AAF24F1CC99}"/>
    <cellStyle name="Migliaia 45 6 7" xfId="16631" xr:uid="{410C6538-E39D-4768-A063-3526F935C4C7}"/>
    <cellStyle name="Migliaia 45 6 8" xfId="7524" xr:uid="{787BBD76-BB1C-49AD-82F8-10DF6278732D}"/>
    <cellStyle name="Migliaia 45 7" xfId="3742" xr:uid="{9F506B05-3B13-4232-84CB-B1337D50D4BA}"/>
    <cellStyle name="Migliaia 45 7 2" xfId="5468" xr:uid="{066C1883-C6B9-4211-A12B-AC88EAF1B14F}"/>
    <cellStyle name="Migliaia 45 7 2 2" xfId="35401" xr:uid="{2895F71B-240F-4BFC-83B9-9CA6A5244A30}"/>
    <cellStyle name="Migliaia 45 7 2 2 2" xfId="40561" xr:uid="{AAAD7A7E-7ECE-4546-8863-6BAC7DDBD138}"/>
    <cellStyle name="Migliaia 45 7 2 2 3" xfId="45863" xr:uid="{EA49D6D3-BB28-4FAC-BEBA-654E26F28B7B}"/>
    <cellStyle name="Migliaia 45 7 2 3" xfId="37910" xr:uid="{E66BE94B-B34D-49A2-AEA8-22E1C29C0A11}"/>
    <cellStyle name="Migliaia 45 7 2 4" xfId="43212" xr:uid="{422E6E9E-C920-4608-AA44-EDA5DBC5A30A}"/>
    <cellStyle name="Migliaia 45 7 2 5" xfId="14296" xr:uid="{0F5B7DEC-0532-47A7-8858-11CE5FAAB7E6}"/>
    <cellStyle name="Migliaia 45 7 3" xfId="6652" xr:uid="{04A80393-4B6E-431C-A69F-FD25D45DD4AF}"/>
    <cellStyle name="Migliaia 45 7 3 2" xfId="39818" xr:uid="{73D1A1E2-8812-4E3F-97A4-5E71CC543887}"/>
    <cellStyle name="Migliaia 45 7 3 3" xfId="45120" xr:uid="{13DD975C-4907-466D-8EEE-528B35D0190D}"/>
    <cellStyle name="Migliaia 45 7 3 4" xfId="34249" xr:uid="{CD8F0C9D-B5C6-4E15-BE15-B428A942B9D1}"/>
    <cellStyle name="Migliaia 45 7 3 5" xfId="20733" xr:uid="{C2F73DE9-BAA1-4424-92EF-5DFDAA4D5780}"/>
    <cellStyle name="Migliaia 45 7 4" xfId="37209" xr:uid="{76B86065-2013-4311-BA65-F2997133EA54}"/>
    <cellStyle name="Migliaia 45 7 5" xfId="42469" xr:uid="{DF598FEF-360E-4B84-A3EB-8A05B35C5BF1}"/>
    <cellStyle name="Migliaia 45 7 6" xfId="16633" xr:uid="{E1D5C459-E3AA-45E4-8662-33C9EEE4AED6}"/>
    <cellStyle name="Migliaia 45 7 7" xfId="8358" xr:uid="{33972E4E-9565-4650-A39B-2307618139FB}"/>
    <cellStyle name="Migliaia 45 8" xfId="3743" xr:uid="{605F0FA4-7C77-4BF0-A639-D7734D66A3CB}"/>
    <cellStyle name="Migliaia 45 8 2" xfId="5469" xr:uid="{5D8CA892-ABDC-4A6A-82AB-B149F5226BD6}"/>
    <cellStyle name="Migliaia 45 8 2 2" xfId="35402" xr:uid="{E7D60BF3-5F5D-462F-97D9-3606552393E3}"/>
    <cellStyle name="Migliaia 45 8 2 2 2" xfId="40562" xr:uid="{C832DB11-88EE-4D21-9F28-B6DD68D61F93}"/>
    <cellStyle name="Migliaia 45 8 2 2 3" xfId="45864" xr:uid="{CD5F2D9C-F42F-4D3D-91C5-0DBE2D934FA6}"/>
    <cellStyle name="Migliaia 45 8 2 3" xfId="37911" xr:uid="{01547B9E-2FF5-42AA-B0BC-7DEB2A6B08B6}"/>
    <cellStyle name="Migliaia 45 8 2 4" xfId="43213" xr:uid="{2061C742-B892-4ACE-9114-ACC059EE9CBE}"/>
    <cellStyle name="Migliaia 45 8 2 5" xfId="14001" xr:uid="{8B4386B0-CE47-42B1-8FD9-87780B7D7046}"/>
    <cellStyle name="Migliaia 45 8 3" xfId="6653" xr:uid="{04731D4E-7C5B-4C35-90D9-0701F6FEF57B}"/>
    <cellStyle name="Migliaia 45 8 3 2" xfId="39819" xr:uid="{48D57B12-FD9F-465D-A688-AFBC45747175}"/>
    <cellStyle name="Migliaia 45 8 3 3" xfId="45121" xr:uid="{E2CEEB3E-97AB-4CF9-8E55-60F25CC60296}"/>
    <cellStyle name="Migliaia 45 8 3 4" xfId="34250" xr:uid="{43D72B16-29DA-401B-9E87-63055D4D7DEC}"/>
    <cellStyle name="Migliaia 45 8 3 5" xfId="20734" xr:uid="{A9F4723D-91F6-4CD6-89AB-17439135B9BF}"/>
    <cellStyle name="Migliaia 45 8 4" xfId="37210" xr:uid="{B0580AFE-069B-4960-AA9A-C8D5BC79A4F9}"/>
    <cellStyle name="Migliaia 45 8 5" xfId="42470" xr:uid="{9A342F7E-BE68-413B-827E-D65C4A3226FA}"/>
    <cellStyle name="Migliaia 45 8 6" xfId="16634" xr:uid="{58A6C0BD-C257-4FAB-9AB4-50E2A01FB3EA}"/>
    <cellStyle name="Migliaia 45 8 7" xfId="7978" xr:uid="{58D19ABD-B5D5-4B93-A007-200A33FD1707}"/>
    <cellStyle name="Migliaia 45 9" xfId="5454" xr:uid="{719EF2D7-D3E8-457B-8ABB-7535F1BCD2FD}"/>
    <cellStyle name="Migliaia 45 9 2" xfId="34251" xr:uid="{6EEF1C9B-D359-48A2-A5D9-3EDDD7515A24}"/>
    <cellStyle name="Migliaia 45 9 2 2" xfId="39820" xr:uid="{99A8F06E-A386-438E-9A7A-8FF25C101121}"/>
    <cellStyle name="Migliaia 45 9 2 3" xfId="45122" xr:uid="{D14A444B-5BE6-44D6-AC05-E791A353E333}"/>
    <cellStyle name="Migliaia 45 9 3" xfId="37211" xr:uid="{9DA7A5B6-A119-4627-8A63-A12DF613513A}"/>
    <cellStyle name="Migliaia 45 9 4" xfId="42471" xr:uid="{16E3CB42-5C08-4B90-B993-C0211F107416}"/>
    <cellStyle name="Migliaia 45 9 5" xfId="17213" xr:uid="{D679D634-CD93-4F90-ABC6-A32C0B4997F5}"/>
    <cellStyle name="Migliaia 46" xfId="461" xr:uid="{00000000-0005-0000-0000-000027040000}"/>
    <cellStyle name="Migliaia 46 10" xfId="6654" xr:uid="{391522CE-0ACD-4306-AEAE-3609E2D6424A}"/>
    <cellStyle name="Migliaia 46 10 2" xfId="39821" xr:uid="{89A775B0-C599-47D2-A5F2-73072D0A6406}"/>
    <cellStyle name="Migliaia 46 10 3" xfId="45123" xr:uid="{F7EDDF2E-05A6-4425-ADFC-975BC5C4ADB2}"/>
    <cellStyle name="Migliaia 46 10 4" xfId="34252" xr:uid="{87C1FD44-D276-40CF-A5EF-187247ADF280}"/>
    <cellStyle name="Migliaia 46 10 5" xfId="20735" xr:uid="{DDB0E91A-1AC8-405B-8DCB-6E4DCB938684}"/>
    <cellStyle name="Migliaia 46 11" xfId="3744" xr:uid="{5848253A-7386-41FE-A382-6ECDE73DEA24}"/>
    <cellStyle name="Migliaia 46 11 2" xfId="37212" xr:uid="{78028635-0E4E-4F3B-BECD-4DE40A182062}"/>
    <cellStyle name="Migliaia 46 12" xfId="42472" xr:uid="{A8A27DE4-D2A3-4412-8BEC-E288F7A81F82}"/>
    <cellStyle name="Migliaia 46 13" xfId="7162" xr:uid="{5903FFD7-22B2-4E07-83E7-393EDD4953C9}"/>
    <cellStyle name="Migliaia 46 2" xfId="462" xr:uid="{00000000-0005-0000-0000-000028040000}"/>
    <cellStyle name="Migliaia 46 2 2" xfId="1856" xr:uid="{00000000-0005-0000-0000-000029040000}"/>
    <cellStyle name="Migliaia 46 2 2 2" xfId="5472" xr:uid="{65774CC7-9EF2-4C9F-B057-C0DFF1C58B0F}"/>
    <cellStyle name="Migliaia 46 2 2 2 2" xfId="14403" xr:uid="{72214872-DF8C-4D00-95B6-994ACFACFA55}"/>
    <cellStyle name="Migliaia 46 2 2 2 2 2" xfId="39822" xr:uid="{62A2EB27-EEF2-4885-8518-7C7B31AC2524}"/>
    <cellStyle name="Migliaia 46 2 2 2 2 3" xfId="45124" xr:uid="{8205D10D-99DF-4A51-A765-88582C64FC54}"/>
    <cellStyle name="Migliaia 46 2 2 2 3" xfId="18482" xr:uid="{780A5981-39A8-45E2-8186-19B689D3FE76}"/>
    <cellStyle name="Migliaia 46 2 2 2 4" xfId="20738" xr:uid="{2D19F1F5-6348-4FBF-AEC5-5310EA3090BE}"/>
    <cellStyle name="Migliaia 46 2 2 2 4 2" xfId="42473" xr:uid="{EBC291D7-EFEC-42FB-A2BA-EDB7057256B0}"/>
    <cellStyle name="Migliaia 46 2 2 2 5" xfId="16635" xr:uid="{1046D646-2D26-4550-B55C-DD718AB772B1}"/>
    <cellStyle name="Migliaia 46 2 2 2 6" xfId="8721" xr:uid="{BEA41339-7F19-479A-BB8B-AC4820C00045}"/>
    <cellStyle name="Migliaia 46 2 2 3" xfId="6656" xr:uid="{F4720053-1D51-4B19-874E-4191BF2ACA33}"/>
    <cellStyle name="Migliaia 46 2 2 3 2" xfId="35403" xr:uid="{D8F1F4DF-043B-418B-995E-338FD8C8B500}"/>
    <cellStyle name="Migliaia 46 2 2 3 2 2" xfId="40563" xr:uid="{F5374F7A-AB97-4434-BCF6-45AE5649D202}"/>
    <cellStyle name="Migliaia 46 2 2 3 2 3" xfId="45865" xr:uid="{509B071E-7349-4614-BFF7-48CC0EB099A8}"/>
    <cellStyle name="Migliaia 46 2 2 3 3" xfId="37912" xr:uid="{FEBE7420-65F1-43C7-B0CA-73838E26B8AC}"/>
    <cellStyle name="Migliaia 46 2 2 3 4" xfId="43214" xr:uid="{1E65A623-1847-41B3-AA9B-970B5397D9D8}"/>
    <cellStyle name="Migliaia 46 2 2 3 5" xfId="11630" xr:uid="{4B03E32B-07B7-40AF-94DF-7A9971254E7E}"/>
    <cellStyle name="Migliaia 46 2 2 4" xfId="3746" xr:uid="{8E595C51-E99F-416C-B8F0-B8B2371E07C6}"/>
    <cellStyle name="Migliaia 46 2 2 4 2" xfId="21568" xr:uid="{481015BA-182A-4FF4-ACD9-D11C058BA0DE}"/>
    <cellStyle name="Migliaia 46 2 2 4 3" xfId="47120" xr:uid="{9A46B6FD-89B7-473B-A323-4534C9C438DD}"/>
    <cellStyle name="Migliaia 46 2 2 4 4" xfId="50583" xr:uid="{EFB06574-B328-438D-AF93-76C8A06A1AC4}"/>
    <cellStyle name="Migliaia 46 2 2 4 5" xfId="53599" xr:uid="{B5FBFE10-3C34-4956-8F9E-60D01186BD87}"/>
    <cellStyle name="Migliaia 46 2 2 4 6" xfId="10933" xr:uid="{3C401081-0D3C-4443-B6A4-C2B4222E7EDF}"/>
    <cellStyle name="Migliaia 46 2 2 5" xfId="20737" xr:uid="{63F9FA3B-8056-4E95-8020-DB1A83FD5310}"/>
    <cellStyle name="Migliaia 46 2 2 6" xfId="25140" xr:uid="{32236567-56C8-4718-977C-1A70D2080EF7}"/>
    <cellStyle name="Migliaia 46 2 2 7" xfId="7531" xr:uid="{57B5C3C8-FF66-48BF-86FD-F22A0E641E1C}"/>
    <cellStyle name="Migliaia 46 2 3" xfId="3747" xr:uid="{2FF833E5-177F-4732-AAB1-0F674947457F}"/>
    <cellStyle name="Migliaia 46 2 3 2" xfId="5473" xr:uid="{9D94B1AE-DCD4-4B8A-A324-60D8270ACCCD}"/>
    <cellStyle name="Migliaia 46 2 3 2 2" xfId="35404" xr:uid="{E38DE8D5-1A22-4467-BDB6-EC41C7687FD5}"/>
    <cellStyle name="Migliaia 46 2 3 2 2 2" xfId="40564" xr:uid="{FE862C1D-49B9-4938-8B7A-BF5670B36076}"/>
    <cellStyle name="Migliaia 46 2 3 2 2 3" xfId="45866" xr:uid="{64D8E1E6-BD0B-454B-AC61-2B2B268C531D}"/>
    <cellStyle name="Migliaia 46 2 3 2 3" xfId="37913" xr:uid="{1408C725-385B-43BF-BE5D-0704AC1F34D8}"/>
    <cellStyle name="Migliaia 46 2 3 2 4" xfId="43215" xr:uid="{C93F110A-49EB-43E3-B143-296BC9EA6542}"/>
    <cellStyle name="Migliaia 46 2 3 2 5" xfId="14300" xr:uid="{8AA7DE8D-E12B-4DC7-880B-2E27A34B4485}"/>
    <cellStyle name="Migliaia 46 2 3 3" xfId="6657" xr:uid="{70877106-0C80-4F5E-B2D0-0E9591468102}"/>
    <cellStyle name="Migliaia 46 2 3 3 2" xfId="39823" xr:uid="{56851DD1-41E9-42DC-BE85-8CD9C41A1EF4}"/>
    <cellStyle name="Migliaia 46 2 3 3 3" xfId="45125" xr:uid="{2CD99399-0CB1-4A32-9DF1-F8480E2C6AEB}"/>
    <cellStyle name="Migliaia 46 2 3 3 4" xfId="34253" xr:uid="{71464DEE-C378-40FC-B62D-EE9D87784AD4}"/>
    <cellStyle name="Migliaia 46 2 3 3 5" xfId="20739" xr:uid="{AFBA7D24-4334-4052-A475-DEB177FE504B}"/>
    <cellStyle name="Migliaia 46 2 3 4" xfId="37213" xr:uid="{2BB84C6E-CE97-4E85-9DEE-9EFF62367AFD}"/>
    <cellStyle name="Migliaia 46 2 3 5" xfId="42474" xr:uid="{22C0C35C-23E9-483A-910D-B02386062461}"/>
    <cellStyle name="Migliaia 46 2 3 6" xfId="16636" xr:uid="{CEEFB32C-8437-4065-98D3-D96CC891549D}"/>
    <cellStyle name="Migliaia 46 2 3 7" xfId="8362" xr:uid="{5B558C6E-A637-49E2-A2F7-51387C147232}"/>
    <cellStyle name="Migliaia 46 2 4" xfId="5471" xr:uid="{C43B14DB-CC7B-4866-A8C8-3343755BF1DC}"/>
    <cellStyle name="Migliaia 46 2 4 2" xfId="14005" xr:uid="{84591C2D-4574-4819-9CB6-50F24F9BA087}"/>
    <cellStyle name="Migliaia 46 2 4 2 2" xfId="39824" xr:uid="{1C419466-E4E0-4E8C-9EF8-36CF0049E10B}"/>
    <cellStyle name="Migliaia 46 2 4 2 3" xfId="45126" xr:uid="{09703170-7BA6-4739-A2FE-55FBE261B26A}"/>
    <cellStyle name="Migliaia 46 2 4 3" xfId="18607" xr:uid="{B1E0B324-E638-4C14-98A9-AFD23DA284FF}"/>
    <cellStyle name="Migliaia 46 2 4 4" xfId="20740" xr:uid="{A20D167D-9FE8-44E5-B602-A64402EF43AD}"/>
    <cellStyle name="Migliaia 46 2 4 4 2" xfId="42475" xr:uid="{11E23A95-C9DC-405F-A35D-2F40AE0DA8FE}"/>
    <cellStyle name="Migliaia 46 2 4 5" xfId="16637" xr:uid="{EDABA50B-8058-4705-999C-3BD37CD01804}"/>
    <cellStyle name="Migliaia 46 2 4 6" xfId="7983" xr:uid="{CE462B0F-17DC-4007-B9AA-11F1562FBA93}"/>
    <cellStyle name="Migliaia 46 2 5" xfId="6655" xr:uid="{9FF78595-24EE-435E-BADA-9083442DB8C9}"/>
    <cellStyle name="Migliaia 46 2 5 2" xfId="34254" xr:uid="{25D32D34-4D2B-4A1A-834B-638D87D33821}"/>
    <cellStyle name="Migliaia 46 2 5 2 2" xfId="39825" xr:uid="{BE2CB0DE-44E3-40EC-9BF6-6B7C297DCF03}"/>
    <cellStyle name="Migliaia 46 2 5 2 3" xfId="45127" xr:uid="{3B1525A7-B306-4874-9029-F3957F9023A5}"/>
    <cellStyle name="Migliaia 46 2 5 3" xfId="37215" xr:uid="{4B89A0BA-852E-4DD9-8860-8C16C9B86A62}"/>
    <cellStyle name="Migliaia 46 2 5 4" xfId="42476" xr:uid="{BCBCC785-E17A-433C-9162-E792109321BF}"/>
    <cellStyle name="Migliaia 46 2 5 5" xfId="13143" xr:uid="{41E047D3-4F2D-4CCA-9FAF-3CB5F840EB3C}"/>
    <cellStyle name="Migliaia 46 2 6" xfId="3745" xr:uid="{D40B4495-0E33-4118-A6BB-EC0019ADEB1A}"/>
    <cellStyle name="Migliaia 46 2 6 2" xfId="34255" xr:uid="{22F95DA9-9990-4347-A450-F867C637CC40}"/>
    <cellStyle name="Migliaia 46 2 6 2 2" xfId="39826" xr:uid="{5A27A16F-EA9D-498C-98D3-1CC02CEF9429}"/>
    <cellStyle name="Migliaia 46 2 6 2 3" xfId="45128" xr:uid="{E0B44F92-FCBF-453F-A45C-437A6A71EF5C}"/>
    <cellStyle name="Migliaia 46 2 6 3" xfId="37216" xr:uid="{5ED8203E-728B-429F-8D72-05CED495F975}"/>
    <cellStyle name="Migliaia 46 2 6 4" xfId="42477" xr:uid="{15FD1443-1220-4DCC-8E6B-171DEE5CB9E2}"/>
    <cellStyle name="Migliaia 46 2 6 5" xfId="25141" xr:uid="{78B1D546-FE2A-429B-975C-0312E69CA189}"/>
    <cellStyle name="Migliaia 46 2 6 6" xfId="20736" xr:uid="{6E07B773-842F-4578-8BA1-FD631806CDB3}"/>
    <cellStyle name="Migliaia 46 2 7" xfId="25139" xr:uid="{32F970A4-562B-4678-9BE2-18DC106C885D}"/>
    <cellStyle name="Migliaia 46 2 8" xfId="7163" xr:uid="{38C67086-1CEB-4B05-AA65-6786604A83E3}"/>
    <cellStyle name="Migliaia 46 3" xfId="463" xr:uid="{00000000-0005-0000-0000-00002A040000}"/>
    <cellStyle name="Migliaia 46 3 10" xfId="25142" xr:uid="{8C505DFB-B596-4543-904C-6051816C03D6}"/>
    <cellStyle name="Migliaia 46 3 11" xfId="16638" xr:uid="{567D3072-F03E-4438-8AB8-77C016AE6557}"/>
    <cellStyle name="Migliaia 46 3 12" xfId="7164" xr:uid="{87A15F8D-E9F3-4B04-B313-D504399B21F1}"/>
    <cellStyle name="Migliaia 46 3 2" xfId="464" xr:uid="{00000000-0005-0000-0000-00002B040000}"/>
    <cellStyle name="Migliaia 46 3 2 2" xfId="1857" xr:uid="{00000000-0005-0000-0000-00002C040000}"/>
    <cellStyle name="Migliaia 46 3 2 2 2" xfId="5476" xr:uid="{53C39A1D-DE4C-42F5-9625-18EDD8F92182}"/>
    <cellStyle name="Migliaia 46 3 2 2 2 2" xfId="18483" xr:uid="{291AF77A-BC19-4E29-A00A-F9ACCFD587A7}"/>
    <cellStyle name="Migliaia 46 3 2 2 2 2 2" xfId="21881" xr:uid="{AB5D534C-51D7-4E7C-98E5-7AF620499264}"/>
    <cellStyle name="Migliaia 46 3 2 2 2 2 2 2" xfId="39827" xr:uid="{A3655E92-EA3A-4ACA-924C-600FAEB4DA4B}"/>
    <cellStyle name="Migliaia 46 3 2 2 2 2 3" xfId="45129" xr:uid="{58CC6756-E784-44B4-A08A-320E32521F5F}"/>
    <cellStyle name="Migliaia 46 3 2 2 2 2 4" xfId="34256" xr:uid="{27DECB42-E636-4C60-BCB7-CEFFCB301BF0}"/>
    <cellStyle name="Migliaia 46 3 2 2 2 3" xfId="37217" xr:uid="{8667230F-5F88-48FE-9D77-22754B106F74}"/>
    <cellStyle name="Migliaia 46 3 2 2 2 4" xfId="42478" xr:uid="{E0F58D24-18DB-4B76-8539-BD841455E009}"/>
    <cellStyle name="Migliaia 46 3 2 2 2 5" xfId="24489" xr:uid="{0E2E7347-C485-4F33-B7BF-73F50A9F230A}"/>
    <cellStyle name="Migliaia 46 3 2 2 2 6" xfId="50909" xr:uid="{20A3BCF3-C025-4B47-BFBD-C2B6676BB9F9}"/>
    <cellStyle name="Migliaia 46 3 2 2 2 7" xfId="53925" xr:uid="{5565C536-3E59-40D9-B255-8D4A90723FE4}"/>
    <cellStyle name="Migliaia 46 3 2 2 2 8" xfId="17679" xr:uid="{A5803C8C-8E58-4F8A-BC88-C850A4123F6C}"/>
    <cellStyle name="Migliaia 46 3 2 2 2 9" xfId="12047" xr:uid="{09B988F6-B200-4F2E-82E2-59D3549F0367}"/>
    <cellStyle name="Migliaia 46 3 2 2 3" xfId="6660" xr:uid="{462E83BA-0363-4214-8938-0FA27B056877}"/>
    <cellStyle name="Migliaia 46 3 2 2 3 2" xfId="11571" xr:uid="{2CBEEB92-D63D-42B0-B022-8CC9E33B4235}"/>
    <cellStyle name="Migliaia 46 3 2 2 4" xfId="3750" xr:uid="{9B940950-B9A1-4442-A2C0-3D1AC51C7988}"/>
    <cellStyle name="Migliaia 46 3 2 2 4 2" xfId="21569" xr:uid="{4264836C-CB11-4579-8087-CCB3C41EE6C8}"/>
    <cellStyle name="Migliaia 46 3 2 2 4 3" xfId="24240" xr:uid="{CB83C2EC-C663-48DC-A078-988DF3895E81}"/>
    <cellStyle name="Migliaia 46 3 2 2 4 4" xfId="50584" xr:uid="{D07063D9-1209-42B2-805F-0F8758A60FB6}"/>
    <cellStyle name="Migliaia 46 3 2 2 4 5" xfId="53600" xr:uid="{B1126C60-6F56-4044-A73E-9F5F1E3917E1}"/>
    <cellStyle name="Migliaia 46 3 2 2 4 6" xfId="10934" xr:uid="{19E24EC8-0E98-480F-AF98-F23A047190B6}"/>
    <cellStyle name="Migliaia 46 3 2 2 5" xfId="20743" xr:uid="{565FD44E-81DA-4E87-BF86-BE1D3EB9FC1F}"/>
    <cellStyle name="Migliaia 46 3 2 2 6" xfId="25144" xr:uid="{008D097B-FCD0-4169-87C1-5AFD01E04994}"/>
    <cellStyle name="Migliaia 46 3 2 2 7" xfId="8723" xr:uid="{0BD16203-3403-40D3-AB62-D2E993B85C42}"/>
    <cellStyle name="Migliaia 46 3 2 3" xfId="5475" xr:uid="{4E7388B4-F95E-4AC6-8D8D-E2FBB2ABBB91}"/>
    <cellStyle name="Migliaia 46 3 2 3 2" xfId="12170" xr:uid="{8249BF9E-6789-4B3E-8FE3-409531EE4AE3}"/>
    <cellStyle name="Migliaia 46 3 2 3 2 2" xfId="39828" xr:uid="{260671C8-3C9E-4C88-B210-CB6572B27173}"/>
    <cellStyle name="Migliaia 46 3 2 3 2 3" xfId="45130" xr:uid="{1C694A1E-53DD-4B06-9D37-5D02B3E98B22}"/>
    <cellStyle name="Migliaia 46 3 2 3 2 4" xfId="34257" xr:uid="{3E0D57D2-FE2E-46FF-9968-67458BD51AF7}"/>
    <cellStyle name="Migliaia 46 3 2 3 3" xfId="12048" xr:uid="{0483D667-54C4-476D-8072-E65A1AC31306}"/>
    <cellStyle name="Migliaia 46 3 2 3 4" xfId="20744" xr:uid="{493ABC4E-891D-45C3-9470-16447EA1F684}"/>
    <cellStyle name="Migliaia 46 3 2 3 4 2" xfId="42479" xr:uid="{C463947D-E2CA-4841-B9C0-86F252391B31}"/>
    <cellStyle name="Migliaia 46 3 2 3 5" xfId="16639" xr:uid="{62D7C965-5498-4F4D-A5B3-BF6625B76C9D}"/>
    <cellStyle name="Migliaia 46 3 2 3 6" xfId="7985" xr:uid="{BE9C52A0-794B-4F49-BF2B-FA599A66C460}"/>
    <cellStyle name="Migliaia 46 3 2 4" xfId="6659" xr:uid="{B2B3B897-7254-4567-8261-FEE1FFDCBAF3}"/>
    <cellStyle name="Migliaia 46 3 2 4 2" xfId="18097" xr:uid="{63E557C0-7AF5-478A-BBAB-6BAA79A4686E}"/>
    <cellStyle name="Migliaia 46 3 2 4 2 2" xfId="39829" xr:uid="{836E47B3-EA77-444B-8B13-3EBB22EF88A9}"/>
    <cellStyle name="Migliaia 46 3 2 4 2 3" xfId="45131" xr:uid="{9CBBFFE3-F719-4432-90C2-FA6784340CFA}"/>
    <cellStyle name="Migliaia 46 3 2 4 3" xfId="37218" xr:uid="{D52B548A-F9F7-4681-B4C2-33B9FDE0F58C}"/>
    <cellStyle name="Migliaia 46 3 2 4 4" xfId="42480" xr:uid="{52E4482D-8D1E-471B-825C-97E4A7280DF7}"/>
    <cellStyle name="Migliaia 46 3 2 4 5" xfId="17216" xr:uid="{7D001DCF-E028-4E6F-9EE4-15DE3891A7E7}"/>
    <cellStyle name="Migliaia 46 3 2 4 6" xfId="11396" xr:uid="{5D954A4A-0196-42C7-9C62-F0977551DEA0}"/>
    <cellStyle name="Migliaia 46 3 2 5" xfId="3749" xr:uid="{4F36FF56-3621-495C-A151-C50598CC00E7}"/>
    <cellStyle name="Migliaia 46 3 2 5 2" xfId="34258" xr:uid="{D375DFE4-2B79-49A0-A798-1DEBD2B5C208}"/>
    <cellStyle name="Migliaia 46 3 2 5 2 2" xfId="39830" xr:uid="{E8F31DA4-84FA-482F-B9F9-FB56105038E1}"/>
    <cellStyle name="Migliaia 46 3 2 5 2 3" xfId="45132" xr:uid="{D12B770A-25A5-429D-92B8-657C36959916}"/>
    <cellStyle name="Migliaia 46 3 2 5 3" xfId="37219" xr:uid="{66A205DC-FE16-48CF-A5C1-B3092934BE46}"/>
    <cellStyle name="Migliaia 46 3 2 5 4" xfId="42481" xr:uid="{3845D922-E422-40F7-97C8-3C9EB63EE64C}"/>
    <cellStyle name="Migliaia 46 3 2 5 5" xfId="17306" xr:uid="{DEC600DD-FC86-4F4C-8B32-C380F3316238}"/>
    <cellStyle name="Migliaia 46 3 2 6" xfId="20742" xr:uid="{79DB43BA-8273-4144-BB66-D8B04468E5DD}"/>
    <cellStyle name="Migliaia 46 3 2 6 2" xfId="34259" xr:uid="{9DA2990E-9808-4C02-8730-73099DC5FB9A}"/>
    <cellStyle name="Migliaia 46 3 2 6 2 2" xfId="39831" xr:uid="{978F9AE3-F325-493C-92C0-CF2BB9A0C9A0}"/>
    <cellStyle name="Migliaia 46 3 2 6 2 3" xfId="45133" xr:uid="{0895DB03-CBC8-448A-A803-379A3DEC0535}"/>
    <cellStyle name="Migliaia 46 3 2 6 3" xfId="37220" xr:uid="{8A19D509-0CB6-4AB6-824A-7293E271D300}"/>
    <cellStyle name="Migliaia 46 3 2 6 4" xfId="42482" xr:uid="{140FD21B-D8C6-4BD3-8403-B6E7B75BB047}"/>
    <cellStyle name="Migliaia 46 3 2 6 5" xfId="25145" xr:uid="{2EC2B624-9B7B-458F-9F3E-0B125B8BFA67}"/>
    <cellStyle name="Migliaia 46 3 2 7" xfId="25143" xr:uid="{4297F773-8663-4D05-84F2-564E3989A00A}"/>
    <cellStyle name="Migliaia 46 3 2 8" xfId="7533" xr:uid="{DCC633F1-9B6C-48CB-AE1A-E8D535BCE642}"/>
    <cellStyle name="Migliaia 46 3 3" xfId="3751" xr:uid="{0ECE847B-586F-4868-B327-6DD573066B0D}"/>
    <cellStyle name="Migliaia 46 3 3 10" xfId="7532" xr:uid="{BFB30BBA-AC6B-4605-95FA-C9839E0AA212}"/>
    <cellStyle name="Migliaia 46 3 3 2" xfId="5477" xr:uid="{F90AC99B-D04D-4982-AA39-6B65C31669C5}"/>
    <cellStyle name="Migliaia 46 3 3 2 2" xfId="9962" xr:uid="{FF86E377-B2A7-4671-BEA5-B50374CE07F1}"/>
    <cellStyle name="Migliaia 46 3 3 2 2 2" xfId="39833" xr:uid="{AF26A725-16DD-434A-BB89-4DA5C1677285}"/>
    <cellStyle name="Migliaia 46 3 3 2 2 3" xfId="45135" xr:uid="{A991418B-7876-4345-B919-F283E54D7267}"/>
    <cellStyle name="Migliaia 46 3 3 2 3" xfId="18242" xr:uid="{2D6C3D78-9153-4EF2-8832-578DFF95D014}"/>
    <cellStyle name="Migliaia 46 3 3 2 4" xfId="20746" xr:uid="{22AC1B1A-CD1E-419F-8014-F9E381926B6A}"/>
    <cellStyle name="Migliaia 46 3 3 2 4 2" xfId="42484" xr:uid="{C4404672-D65A-462E-9B69-535DFDE4268F}"/>
    <cellStyle name="Migliaia 46 3 3 2 5" xfId="16641" xr:uid="{116E79E9-D651-46CD-8BEF-0FA46DE2E925}"/>
    <cellStyle name="Migliaia 46 3 3 2 6" xfId="8722" xr:uid="{1393B9A3-F1C7-4697-8ED9-03915A6BD377}"/>
    <cellStyle name="Migliaia 46 3 3 3" xfId="6661" xr:uid="{8A330E73-8DD2-4390-93D7-FA2701227ED1}"/>
    <cellStyle name="Migliaia 46 3 3 3 2" xfId="34261" xr:uid="{36FCE927-5D4D-4F6E-8715-A1CE2DD5DC3E}"/>
    <cellStyle name="Migliaia 46 3 3 3 2 2" xfId="39834" xr:uid="{BD978327-DEB0-4F89-9478-18541BDE031A}"/>
    <cellStyle name="Migliaia 46 3 3 3 2 3" xfId="45136" xr:uid="{4263C511-4DE9-4C35-AC2D-105AD3075F09}"/>
    <cellStyle name="Migliaia 46 3 3 3 3" xfId="37222" xr:uid="{9C344B60-C497-4E93-9207-71662A3D656F}"/>
    <cellStyle name="Migliaia 46 3 3 3 4" xfId="42485" xr:uid="{C78643DE-54D2-427B-AE54-FCBDD5FE3BB9}"/>
    <cellStyle name="Migliaia 46 3 3 3 5" xfId="9725" xr:uid="{31348892-9D61-417B-9D5F-71ADD78B8B7C}"/>
    <cellStyle name="Migliaia 46 3 3 4" xfId="20745" xr:uid="{C79B5DF7-30F6-4FB7-9E3F-F609AF93AB3A}"/>
    <cellStyle name="Migliaia 46 3 3 4 2" xfId="34262" xr:uid="{D509CED4-FCDE-49DB-9900-3148AB33BBE7}"/>
    <cellStyle name="Migliaia 46 3 3 4 2 2" xfId="39835" xr:uid="{D4BF6B67-136F-43EC-B677-21B7BE6079A5}"/>
    <cellStyle name="Migliaia 46 3 3 4 2 3" xfId="45137" xr:uid="{B4DA6074-28E6-4BD8-ABDE-C87D38993064}"/>
    <cellStyle name="Migliaia 46 3 3 4 3" xfId="37223" xr:uid="{AD603A8B-5221-4ED2-B666-956FCF241F20}"/>
    <cellStyle name="Migliaia 46 3 3 4 4" xfId="42486" xr:uid="{DC885DDE-8B2A-463B-AC71-40665974020E}"/>
    <cellStyle name="Migliaia 46 3 3 4 5" xfId="25146" xr:uid="{7B5EB095-17FE-4165-AAA6-60C3D1445999}"/>
    <cellStyle name="Migliaia 46 3 3 5" xfId="25147" xr:uid="{5275B099-EE02-4177-BD71-3EFB05EB6076}"/>
    <cellStyle name="Migliaia 46 3 3 5 2" xfId="34263" xr:uid="{5492A7CA-A3DF-4ECB-99A5-73C8B023B92B}"/>
    <cellStyle name="Migliaia 46 3 3 5 2 2" xfId="39836" xr:uid="{75EB9314-3887-4CB9-AE4E-F3927AF94762}"/>
    <cellStyle name="Migliaia 46 3 3 5 2 3" xfId="45138" xr:uid="{69A9099C-A2EC-441F-8908-9CA552CA6699}"/>
    <cellStyle name="Migliaia 46 3 3 5 3" xfId="37224" xr:uid="{CF0E302B-AC7E-4B9A-868E-25201F39DC5F}"/>
    <cellStyle name="Migliaia 46 3 3 5 4" xfId="42487" xr:uid="{866E928E-4CDB-4958-8A23-D6E9A38F0264}"/>
    <cellStyle name="Migliaia 46 3 3 6" xfId="34260" xr:uid="{07BE22AF-526E-4045-907E-39493D0115FD}"/>
    <cellStyle name="Migliaia 46 3 3 6 2" xfId="39832" xr:uid="{9E0D82C6-9F83-4BF0-959F-76A73A9B810B}"/>
    <cellStyle name="Migliaia 46 3 3 6 3" xfId="45134" xr:uid="{7F403CBD-DEEC-4326-8193-D6FEF72B1BD6}"/>
    <cellStyle name="Migliaia 46 3 3 7" xfId="37221" xr:uid="{B203DE2A-DF74-4D4A-A327-1B5BA25547CC}"/>
    <cellStyle name="Migliaia 46 3 3 8" xfId="42483" xr:uid="{423F5DAF-D1F1-4288-A710-7C07936189DF}"/>
    <cellStyle name="Migliaia 46 3 3 9" xfId="16640" xr:uid="{43C4C240-AE1B-4CF5-8C1A-51084B824037}"/>
    <cellStyle name="Migliaia 46 3 4" xfId="3752" xr:uid="{0F8DE620-6C6F-4062-977E-41F319C49A36}"/>
    <cellStyle name="Migliaia 46 3 4 2" xfId="5478" xr:uid="{8206242C-0D65-4891-BC60-8A03F510F333}"/>
    <cellStyle name="Migliaia 46 3 4 2 2" xfId="14463" xr:uid="{F2B80D22-FC79-443E-9989-ACD1C52119F5}"/>
    <cellStyle name="Migliaia 46 3 4 2 3" xfId="18047" xr:uid="{7F18AC64-64C6-449A-BE40-33D16C079A09}"/>
    <cellStyle name="Migliaia 46 3 4 2 4" xfId="20748" xr:uid="{F77CB776-957B-4757-9FA5-BD386D53DEF4}"/>
    <cellStyle name="Migliaia 46 3 4 2 5" xfId="32440" xr:uid="{6A639CC2-83A1-4FE6-8398-CA0E728BE2B9}"/>
    <cellStyle name="Migliaia 46 3 4 2 6" xfId="16643" xr:uid="{86292850-7936-415E-AF71-AF5FC0B5A108}"/>
    <cellStyle name="Migliaia 46 3 4 2 7" xfId="8886" xr:uid="{D578884C-25F3-472A-AB34-3265450A6D56}"/>
    <cellStyle name="Migliaia 46 3 4 3" xfId="6662" xr:uid="{350087F6-2FAC-4028-9028-E3C833BE3CB6}"/>
    <cellStyle name="Migliaia 46 3 4 3 2" xfId="35405" xr:uid="{8E560535-6AFF-47C6-96A2-D1553E365CC3}"/>
    <cellStyle name="Migliaia 46 3 4 3 2 2" xfId="40565" xr:uid="{C7FF7C6E-6EA6-483B-A5BE-2C62CA19F942}"/>
    <cellStyle name="Migliaia 46 3 4 3 2 3" xfId="45867" xr:uid="{707C9BE1-0197-426B-AEEE-036A5A69D4BE}"/>
    <cellStyle name="Migliaia 46 3 4 3 3" xfId="37914" xr:uid="{C2C10D93-B7DE-4327-A304-8A507097B792}"/>
    <cellStyle name="Migliaia 46 3 4 3 4" xfId="43216" xr:uid="{D71D576A-2352-4B37-8791-A658FDEE0BC5}"/>
    <cellStyle name="Migliaia 46 3 4 3 5" xfId="13711" xr:uid="{AB1DAF6D-BC57-497A-9119-1A6DF9A0D012}"/>
    <cellStyle name="Migliaia 46 3 4 4" xfId="20747" xr:uid="{D8969F87-58DC-44B4-90E5-4553D8D7E8BC}"/>
    <cellStyle name="Migliaia 46 3 4 4 2" xfId="39837" xr:uid="{0AE8AD8B-23F8-423B-9B7B-A3B1083E75F6}"/>
    <cellStyle name="Migliaia 46 3 4 4 3" xfId="45139" xr:uid="{6CB9E858-FE06-4F96-9239-3CCCBB0E09BE}"/>
    <cellStyle name="Migliaia 46 3 4 4 4" xfId="34264" xr:uid="{4DBE1E2D-1570-4329-879A-8CEE18BBEC8B}"/>
    <cellStyle name="Migliaia 46 3 4 5" xfId="37225" xr:uid="{3B658666-2F13-47FF-A496-C6B75000ECD2}"/>
    <cellStyle name="Migliaia 46 3 4 6" xfId="42488" xr:uid="{9E6DAB67-A7AD-44BF-AE30-7018E96EC373}"/>
    <cellStyle name="Migliaia 46 3 4 7" xfId="16642" xr:uid="{FB2FFD9A-461D-4111-B12D-F3E9F784979B}"/>
    <cellStyle name="Migliaia 46 3 4 8" xfId="7696" xr:uid="{EF75146A-E40A-4297-8F90-7B43CBCBAD89}"/>
    <cellStyle name="Migliaia 46 3 5" xfId="3753" xr:uid="{96EF8DCE-EBA0-4540-A29C-075BA3A6B594}"/>
    <cellStyle name="Migliaia 46 3 5 2" xfId="5479" xr:uid="{142E5445-07C7-4A47-8072-7A021AC9AA93}"/>
    <cellStyle name="Migliaia 46 3 5 2 2" xfId="35406" xr:uid="{801E2A33-1C1A-4B4C-B3F0-E10DAC037C30}"/>
    <cellStyle name="Migliaia 46 3 5 2 2 2" xfId="40566" xr:uid="{8DCF7864-2731-4A23-8A82-8518D14FFF6C}"/>
    <cellStyle name="Migliaia 46 3 5 2 2 3" xfId="45868" xr:uid="{1DB6E03E-ED4E-4868-A041-43B7ABCC3B00}"/>
    <cellStyle name="Migliaia 46 3 5 2 3" xfId="37915" xr:uid="{B2E4EEDD-5C5D-46F2-A8EC-9421BA8354A1}"/>
    <cellStyle name="Migliaia 46 3 5 2 4" xfId="43217" xr:uid="{1F84CB10-9C67-45E0-847D-45F61D002882}"/>
    <cellStyle name="Migliaia 46 3 5 2 5" xfId="14301" xr:uid="{AAEB9E7D-5353-458A-A9D0-56EF91BE3FDA}"/>
    <cellStyle name="Migliaia 46 3 5 3" xfId="6663" xr:uid="{E97B99D4-CFEF-455D-B549-94A713F7A832}"/>
    <cellStyle name="Migliaia 46 3 5 3 2" xfId="39838" xr:uid="{D3100E9E-51F9-43C9-8CE7-DCD08FF132E3}"/>
    <cellStyle name="Migliaia 46 3 5 3 3" xfId="45140" xr:uid="{80E3E301-FA38-4846-BD91-7DA143BED360}"/>
    <cellStyle name="Migliaia 46 3 5 3 4" xfId="34265" xr:uid="{1B06AC8E-0C63-4781-BB77-571F92EB9149}"/>
    <cellStyle name="Migliaia 46 3 5 3 5" xfId="20749" xr:uid="{6F4DEE75-B74E-41C5-8A0E-EA2E57D7B5EE}"/>
    <cellStyle name="Migliaia 46 3 5 4" xfId="37226" xr:uid="{CFDB4FE6-A32A-45C4-A015-8E0D7F16A81F}"/>
    <cellStyle name="Migliaia 46 3 5 5" xfId="42489" xr:uid="{2C6AF2DA-CC54-4293-A005-B2C454111974}"/>
    <cellStyle name="Migliaia 46 3 5 6" xfId="16644" xr:uid="{13E8C87D-C988-4A11-8C3D-D6FC9F549D99}"/>
    <cellStyle name="Migliaia 46 3 5 7" xfId="8363" xr:uid="{4A745A9B-DDA1-40AF-9FC8-0DA504B5C26D}"/>
    <cellStyle name="Migliaia 46 3 6" xfId="5474" xr:uid="{791EB1AA-901B-4755-A300-2AA74D7CE06C}"/>
    <cellStyle name="Migliaia 46 3 6 2" xfId="14006" xr:uid="{316936FF-441A-4963-95A5-8A127F7A3734}"/>
    <cellStyle name="Migliaia 46 3 6 2 2" xfId="39839" xr:uid="{E5D21603-D262-4942-816C-BB0AB8397437}"/>
    <cellStyle name="Migliaia 46 3 6 2 3" xfId="45141" xr:uid="{DF49DEC7-2F98-4BCE-9307-361EEDE27045}"/>
    <cellStyle name="Migliaia 46 3 6 3" xfId="18143" xr:uid="{AD750B1E-B0B2-40D1-B21C-8DCBBFF408C2}"/>
    <cellStyle name="Migliaia 46 3 6 4" xfId="20750" xr:uid="{0D4ACB03-7676-4127-B8F8-D895670CC45F}"/>
    <cellStyle name="Migliaia 46 3 6 4 2" xfId="42490" xr:uid="{C0591369-13D8-4CC3-A35B-1807684C57EA}"/>
    <cellStyle name="Migliaia 46 3 6 5" xfId="16645" xr:uid="{F218D61A-631F-482C-9523-0701B355C9E7}"/>
    <cellStyle name="Migliaia 46 3 6 6" xfId="7984" xr:uid="{3FD3313F-2394-4D0A-9AF1-DFAB78A2C64D}"/>
    <cellStyle name="Migliaia 46 3 7" xfId="6658" xr:uid="{7BCFB411-9239-44B8-AD44-E74FF61584A3}"/>
    <cellStyle name="Migliaia 46 3 7 2" xfId="34266" xr:uid="{8D23C66D-F6B8-4C42-B342-456E3DAE0242}"/>
    <cellStyle name="Migliaia 46 3 7 2 2" xfId="39840" xr:uid="{BE99A6C0-3483-4FE0-AA66-1F871185CEEA}"/>
    <cellStyle name="Migliaia 46 3 7 2 3" xfId="45142" xr:uid="{E5A6F1A2-D339-4543-979A-4C1A26ECBE56}"/>
    <cellStyle name="Migliaia 46 3 7 3" xfId="37227" xr:uid="{8D7C06AB-6DE4-44A4-9151-7408B26F6D2F}"/>
    <cellStyle name="Migliaia 46 3 7 4" xfId="42491" xr:uid="{9475610D-5C4E-4854-A7C0-CADA719418EC}"/>
    <cellStyle name="Migliaia 46 3 7 5" xfId="12248" xr:uid="{4B4AF906-C59A-4E26-AADC-95811D5980F5}"/>
    <cellStyle name="Migliaia 46 3 8" xfId="3748" xr:uid="{7AF1ED60-1AF0-46F3-A238-E22CB4B93686}"/>
    <cellStyle name="Migliaia 46 3 8 2" xfId="34267" xr:uid="{924A7540-99E4-4468-8D26-421B49CB7BEC}"/>
    <cellStyle name="Migliaia 46 3 8 2 2" xfId="39841" xr:uid="{BB4BF53C-73A7-4EA9-9CC9-A55C30695BE4}"/>
    <cellStyle name="Migliaia 46 3 8 2 3" xfId="45143" xr:uid="{BE840805-BD3E-4FB4-967B-D349B52A4713}"/>
    <cellStyle name="Migliaia 46 3 8 3" xfId="37228" xr:uid="{9EE4AE36-9D21-476A-86AC-7C5ACB31750F}"/>
    <cellStyle name="Migliaia 46 3 8 4" xfId="42492" xr:uid="{DFD80FE6-7AFC-44DB-B669-2A6FD6CE2FE9}"/>
    <cellStyle name="Migliaia 46 3 8 5" xfId="25148" xr:uid="{22F17F04-C591-4327-ABC2-FD82A1FAEE8D}"/>
    <cellStyle name="Migliaia 46 3 8 6" xfId="17307" xr:uid="{21498629-CC6A-4382-A719-33CC21EEC0CE}"/>
    <cellStyle name="Migliaia 46 3 9" xfId="20741" xr:uid="{CF35EF3C-01C9-409B-9C4B-99ABDBD0796C}"/>
    <cellStyle name="Migliaia 46 4" xfId="1858" xr:uid="{00000000-0005-0000-0000-00002D040000}"/>
    <cellStyle name="Migliaia 46 4 2" xfId="1859" xr:uid="{00000000-0005-0000-0000-00002E040000}"/>
    <cellStyle name="Migliaia 46 4 2 2" xfId="5481" xr:uid="{8EE5C577-EE62-4743-9615-ACAC84407180}"/>
    <cellStyle name="Migliaia 46 4 2 2 2" xfId="34268" xr:uid="{4E1E0A8B-E58D-4391-B776-45DDFCE99E91}"/>
    <cellStyle name="Migliaia 46 4 2 2 2 2" xfId="39842" xr:uid="{F76C486C-BAB0-4816-B0F6-5D13EDD63AF3}"/>
    <cellStyle name="Migliaia 46 4 2 2 2 3" xfId="45144" xr:uid="{7F1B81A3-A4FB-4E7A-B307-16F29E7B5FAB}"/>
    <cellStyle name="Migliaia 46 4 2 2 3" xfId="37229" xr:uid="{CFD9DE00-1ABA-4CAF-97D6-7318E3D18AB0}"/>
    <cellStyle name="Migliaia 46 4 2 2 4" xfId="42493" xr:uid="{F355B6A7-53D9-4C57-8F15-3B8808FCC84A}"/>
    <cellStyle name="Migliaia 46 4 2 2 5" xfId="9188" xr:uid="{A7582FF8-057B-435C-8451-2219A00E4D8D}"/>
    <cellStyle name="Migliaia 46 4 2 3" xfId="3755" xr:uid="{7DFFFB86-9FD2-49D6-8218-34A4FF769132}"/>
    <cellStyle name="Migliaia 46 4 2 3 2" xfId="34269" xr:uid="{C1E7341C-2962-40C0-8FF0-092DCB837259}"/>
    <cellStyle name="Migliaia 46 4 2 3 2 2" xfId="39843" xr:uid="{51CAEE99-CEB3-4DD8-ADB4-7B7D687CEBA3}"/>
    <cellStyle name="Migliaia 46 4 2 3 2 3" xfId="45145" xr:uid="{E0E3FE48-E048-45F2-8D6B-63D3499E53C5}"/>
    <cellStyle name="Migliaia 46 4 2 3 3" xfId="37230" xr:uid="{30CBB57A-1752-447A-BEFF-50922180A6AA}"/>
    <cellStyle name="Migliaia 46 4 2 3 4" xfId="42494" xr:uid="{B5C8EF9F-73FC-4E28-BC8A-8E000C0F4738}"/>
    <cellStyle name="Migliaia 46 4 2 3 5" xfId="12049" xr:uid="{2CDE1213-E5EA-4D91-ABD4-8CE61935FED7}"/>
    <cellStyle name="Migliaia 46 4 2 4" xfId="11398" xr:uid="{C1DC0481-6A64-42DB-B641-ECF728AC468A}"/>
    <cellStyle name="Migliaia 46 4 2 5" xfId="10936" xr:uid="{6DD5FBFA-1077-4142-BA85-C1FD32916431}"/>
    <cellStyle name="Migliaia 46 4 2 5 2" xfId="21571" xr:uid="{BA1F5722-5EE4-4373-B050-E043BA6B1CFA}"/>
    <cellStyle name="Migliaia 46 4 2 5 3" xfId="47310" xr:uid="{3416746A-652F-4D4D-8B30-3BA2F63B0A69}"/>
    <cellStyle name="Migliaia 46 4 2 5 4" xfId="50586" xr:uid="{B9F8B641-262D-4BF0-98F6-2D51F378C89C}"/>
    <cellStyle name="Migliaia 46 4 2 5 5" xfId="53602" xr:uid="{7D40FD53-4C08-4B0E-8DC2-AB24D0AB2F9C}"/>
    <cellStyle name="Migliaia 46 4 2 6" xfId="20752" xr:uid="{F2E49407-6D76-4300-AC5F-0258E8243C8F}"/>
    <cellStyle name="Migliaia 46 4 2 7" xfId="25150" xr:uid="{C491E25F-00AE-4382-B151-FB8DCB885C54}"/>
    <cellStyle name="Migliaia 46 4 2 8" xfId="8724" xr:uid="{92E852B0-B8F5-4859-B46F-D652592EE3B9}"/>
    <cellStyle name="Migliaia 46 4 3" xfId="5480" xr:uid="{80163026-F19E-4685-8285-E88D17E548D9}"/>
    <cellStyle name="Migliaia 46 4 3 2" xfId="18243" xr:uid="{788812CE-3E87-47C5-B13E-CBCCF4F83280}"/>
    <cellStyle name="Migliaia 46 4 3 2 2" xfId="39844" xr:uid="{3FBB2D95-B8B2-4681-A0A8-B45418E7A80C}"/>
    <cellStyle name="Migliaia 46 4 3 2 3" xfId="45146" xr:uid="{8E8B7554-02BD-42A4-AF99-DAACD478AE50}"/>
    <cellStyle name="Migliaia 46 4 3 3" xfId="37231" xr:uid="{A46E9FA3-3ACA-4B5B-803F-1DC99EAA5A1B}"/>
    <cellStyle name="Migliaia 46 4 3 4" xfId="42495" xr:uid="{B0FEBC88-AC81-448A-9B4C-9FFB0BA247A4}"/>
    <cellStyle name="Migliaia 46 4 3 5" xfId="17305" xr:uid="{9762606E-B860-41E1-BC4C-84C96329FA4E}"/>
    <cellStyle name="Migliaia 46 4 3 6" xfId="9189" xr:uid="{AB0BA984-0651-432B-A289-544D83E8E5FC}"/>
    <cellStyle name="Migliaia 46 4 4" xfId="6664" xr:uid="{DD892B3B-1930-4DA2-9FCF-6C45F366021C}"/>
    <cellStyle name="Migliaia 46 4 4 2" xfId="34270" xr:uid="{B6B82E84-D0FC-441F-9018-37167A8CAF4E}"/>
    <cellStyle name="Migliaia 46 4 4 2 2" xfId="39845" xr:uid="{1E847A80-D441-41F8-931F-C2D5C8CA3099}"/>
    <cellStyle name="Migliaia 46 4 4 2 3" xfId="45147" xr:uid="{A6EFC519-9878-4579-819E-FB49CEB774BC}"/>
    <cellStyle name="Migliaia 46 4 4 3" xfId="37232" xr:uid="{9C9EA2B8-B95F-41F2-B8A6-EEFD4CDEDE1B}"/>
    <cellStyle name="Migliaia 46 4 4 4" xfId="42496" xr:uid="{002E3897-7F46-42D5-91A7-B2F6AD4121C9}"/>
    <cellStyle name="Migliaia 46 4 4 5" xfId="12050" xr:uid="{4B53916D-40ED-4468-8110-28C7E573280E}"/>
    <cellStyle name="Migliaia 46 4 5" xfId="3754" xr:uid="{21D75C22-4D3D-460C-8760-F59B699F5A4B}"/>
    <cellStyle name="Migliaia 46 4 5 2" xfId="34271" xr:uid="{DBD64D81-9136-48A6-B885-D91563E885CF}"/>
    <cellStyle name="Migliaia 46 4 5 2 2" xfId="39846" xr:uid="{618D7159-B307-4DE5-A9EB-80BFDC31095C}"/>
    <cellStyle name="Migliaia 46 4 5 2 3" xfId="45148" xr:uid="{1B5110C7-FED1-4CC3-819C-70B98AAD96ED}"/>
    <cellStyle name="Migliaia 46 4 5 3" xfId="37233" xr:uid="{22EFE003-144B-4B02-BCC7-AA86B2CA6152}"/>
    <cellStyle name="Migliaia 46 4 5 4" xfId="42497" xr:uid="{96811363-F9BC-4309-AC90-E16472071013}"/>
    <cellStyle name="Migliaia 46 4 5 5" xfId="11397" xr:uid="{5F6939AB-771A-455C-9B1B-EA59F9373482}"/>
    <cellStyle name="Migliaia 46 4 6" xfId="10935" xr:uid="{E0625DD4-B6BE-4460-B757-333F5F6CBFA2}"/>
    <cellStyle name="Migliaia 46 4 6 2" xfId="21570" xr:uid="{AF570ED4-CDE6-4FE9-A60A-4051BA107993}"/>
    <cellStyle name="Migliaia 46 4 6 2 2" xfId="39847" xr:uid="{49133F8A-EC2E-41F2-A07F-47885D48183B}"/>
    <cellStyle name="Migliaia 46 4 6 2 3" xfId="45149" xr:uid="{24D038BE-6A06-40B1-8A8E-E24F927D2B17}"/>
    <cellStyle name="Migliaia 46 4 6 2 4" xfId="34272" xr:uid="{3F52F045-6809-4A97-8430-A4D5CFFEA950}"/>
    <cellStyle name="Migliaia 46 4 6 3" xfId="37234" xr:uid="{785D8B59-6F26-49E6-81FA-BF7F4AC25BD1}"/>
    <cellStyle name="Migliaia 46 4 6 4" xfId="42498" xr:uid="{64B385A4-BAED-4278-8781-2FDE56CB1DAF}"/>
    <cellStyle name="Migliaia 46 4 6 5" xfId="25151" xr:uid="{AC217BEF-B8A5-4F7F-B1EF-782128C323BA}"/>
    <cellStyle name="Migliaia 46 4 6 6" xfId="47427" xr:uid="{1F4301F0-752A-4D97-806D-5238A496DB7D}"/>
    <cellStyle name="Migliaia 46 4 6 7" xfId="50585" xr:uid="{B2C1D74B-76C1-4783-8C27-74EDDCEAD175}"/>
    <cellStyle name="Migliaia 46 4 6 8" xfId="53601" xr:uid="{3B7F9402-6E0A-4158-BFD6-3949F9A17D1F}"/>
    <cellStyle name="Migliaia 46 4 7" xfId="20751" xr:uid="{40F36421-FF64-4A3F-99A6-D90B7EB2363B}"/>
    <cellStyle name="Migliaia 46 4 7 2" xfId="34273" xr:uid="{67AD894B-7EC7-4EC0-8A7A-E99D2CF15118}"/>
    <cellStyle name="Migliaia 46 4 7 2 2" xfId="39848" xr:uid="{27914DBA-EBB5-4362-8BAB-5C37014BF385}"/>
    <cellStyle name="Migliaia 46 4 7 2 3" xfId="45150" xr:uid="{3B00FC05-90ED-4D99-B478-96E19EE6FEAA}"/>
    <cellStyle name="Migliaia 46 4 7 3" xfId="37235" xr:uid="{EB166857-FC0A-444E-9080-34279478D67A}"/>
    <cellStyle name="Migliaia 46 4 7 4" xfId="42499" xr:uid="{BA3AD520-E55C-4ADF-A657-22445C514F15}"/>
    <cellStyle name="Migliaia 46 4 7 5" xfId="25152" xr:uid="{8C535E9A-77BE-4ECE-BF4A-0499ADC7A6C4}"/>
    <cellStyle name="Migliaia 46 4 8" xfId="25149" xr:uid="{FD7B0012-0401-4708-9A2D-2DCA1F5B4CF9}"/>
    <cellStyle name="Migliaia 46 4 9" xfId="7534" xr:uid="{C6399183-FEE4-4182-BAA6-2F3BECE6BAAA}"/>
    <cellStyle name="Migliaia 46 5" xfId="1860" xr:uid="{00000000-0005-0000-0000-00002F040000}"/>
    <cellStyle name="Migliaia 46 5 2" xfId="5482" xr:uid="{59338C53-D48E-457B-B9C3-C5DC44F3310B}"/>
    <cellStyle name="Migliaia 46 5 2 2" xfId="18484" xr:uid="{E8CA00F7-879B-4F53-B05F-1677C76D0DC4}"/>
    <cellStyle name="Migliaia 46 5 2 2 2" xfId="39849" xr:uid="{19B72BFA-0BA6-404D-B33D-CE6234FAF7D5}"/>
    <cellStyle name="Migliaia 46 5 2 2 3" xfId="45151" xr:uid="{527460D6-73F0-4AC7-A347-D4990DBB91C0}"/>
    <cellStyle name="Migliaia 46 5 2 3" xfId="20754" xr:uid="{29BC4323-F4DA-40B9-88D0-40EF046D43EF}"/>
    <cellStyle name="Migliaia 46 5 2 3 2" xfId="37236" xr:uid="{D8E4CE0E-8272-42E8-AD0C-B63AF3261CAF}"/>
    <cellStyle name="Migliaia 46 5 2 4" xfId="42500" xr:uid="{2694F40B-09DA-4F4B-96F5-1DF8374529D2}"/>
    <cellStyle name="Migliaia 46 5 2 5" xfId="16646" xr:uid="{954F5968-8D79-41F8-BFFE-1ED007BF2858}"/>
    <cellStyle name="Migliaia 46 5 2 6" xfId="8725" xr:uid="{78A7551B-8C95-49EE-B95E-01C87CB247F6}"/>
    <cellStyle name="Migliaia 46 5 3" xfId="6665" xr:uid="{DA403AF9-9141-4A89-B56A-92414CFE7274}"/>
    <cellStyle name="Migliaia 46 5 3 2" xfId="34274" xr:uid="{2F3EC246-BCAE-4A7D-BC25-99520B06A03E}"/>
    <cellStyle name="Migliaia 46 5 3 2 2" xfId="39850" xr:uid="{549DFA70-F5CB-4AB5-AFE1-7AD08D566660}"/>
    <cellStyle name="Migliaia 46 5 3 2 3" xfId="45152" xr:uid="{119DEFF2-C599-468D-A32F-C0635FDFBBA3}"/>
    <cellStyle name="Migliaia 46 5 3 3" xfId="37237" xr:uid="{BA90ACD1-E479-4253-A071-59501BC51BB6}"/>
    <cellStyle name="Migliaia 46 5 3 4" xfId="42501" xr:uid="{8715A3CC-9310-49A7-ACE5-27FA312C89CE}"/>
    <cellStyle name="Migliaia 46 5 3 5" xfId="11399" xr:uid="{E660679F-7E4A-47F0-90B6-3884C9DDB17B}"/>
    <cellStyle name="Migliaia 46 5 4" xfId="3756" xr:uid="{C7A418DF-17FC-4179-BF40-776395AB3D11}"/>
    <cellStyle name="Migliaia 46 5 4 2" xfId="21572" xr:uid="{CC9DADE3-2683-4DF6-B663-2367E1CC6DD0}"/>
    <cellStyle name="Migliaia 46 5 4 2 2" xfId="39851" xr:uid="{B360582F-B539-4719-BBFC-A33A85467706}"/>
    <cellStyle name="Migliaia 46 5 4 2 3" xfId="45153" xr:uid="{42FAD991-6672-488E-9BD4-6F216288FB24}"/>
    <cellStyle name="Migliaia 46 5 4 2 4" xfId="34275" xr:uid="{C1880878-7F5B-4208-AFA8-DDDD0219F1A1}"/>
    <cellStyle name="Migliaia 46 5 4 3" xfId="37238" xr:uid="{DCA5BAE4-D0A1-4EF9-BD6E-F631315CF414}"/>
    <cellStyle name="Migliaia 46 5 4 4" xfId="42502" xr:uid="{30EE2E70-3C5B-46C7-9D1D-D61038332661}"/>
    <cellStyle name="Migliaia 46 5 4 5" xfId="25154" xr:uid="{30DBA3F3-AA0D-44FA-AFF7-E0A6510A8EBF}"/>
    <cellStyle name="Migliaia 46 5 4 6" xfId="46260" xr:uid="{A4C25B83-26AB-445F-90E1-D72E09FE0E7F}"/>
    <cellStyle name="Migliaia 46 5 4 7" xfId="50587" xr:uid="{0697CABF-A99A-44BD-9986-C43AA96E681D}"/>
    <cellStyle name="Migliaia 46 5 4 8" xfId="53603" xr:uid="{FD674446-56F1-4BF6-86D8-EEEAE271F08C}"/>
    <cellStyle name="Migliaia 46 5 4 9" xfId="10937" xr:uid="{D38BB2C6-706E-49B8-BE0E-FEB79E6822B0}"/>
    <cellStyle name="Migliaia 46 5 5" xfId="20753" xr:uid="{A3FB3B2E-5889-4A82-88B0-1F666300E87D}"/>
    <cellStyle name="Migliaia 46 5 5 2" xfId="34276" xr:uid="{59DE34D0-0332-4B79-A8E3-C2FE8DA8F28E}"/>
    <cellStyle name="Migliaia 46 5 5 2 2" xfId="39852" xr:uid="{235E6BB8-703E-4953-9A7C-EDD3024E0CE6}"/>
    <cellStyle name="Migliaia 46 5 5 2 3" xfId="45154" xr:uid="{3559690E-B7B8-4220-8E57-80F14ED738AF}"/>
    <cellStyle name="Migliaia 46 5 5 3" xfId="37239" xr:uid="{A918EA5D-479D-44A7-B42B-A7301BFD0FA9}"/>
    <cellStyle name="Migliaia 46 5 5 4" xfId="42503" xr:uid="{8C894095-8164-4F28-9E72-9D81B8480D1D}"/>
    <cellStyle name="Migliaia 46 5 5 5" xfId="25155" xr:uid="{FF552209-3998-47E3-B109-FEE85968FECE}"/>
    <cellStyle name="Migliaia 46 5 6" xfId="25156" xr:uid="{FD38D098-E8EE-4DFA-A91F-CB42264D1DC6}"/>
    <cellStyle name="Migliaia 46 5 6 2" xfId="34277" xr:uid="{DD3F8A60-9754-4EF6-9DC2-26E389BBEC2A}"/>
    <cellStyle name="Migliaia 46 5 6 2 2" xfId="39853" xr:uid="{7EBCC056-6C73-4884-B8FF-2BA0DF76628F}"/>
    <cellStyle name="Migliaia 46 5 6 2 3" xfId="45155" xr:uid="{1B8247D6-C38A-443C-BA77-EDCD241B50A6}"/>
    <cellStyle name="Migliaia 46 5 6 3" xfId="37240" xr:uid="{7ABFF4B3-CA57-41C4-A8B9-9F640E25FD2F}"/>
    <cellStyle name="Migliaia 46 5 6 4" xfId="42504" xr:uid="{81FD7248-0338-4C50-9A9A-4D770F672E5E}"/>
    <cellStyle name="Migliaia 46 5 7" xfId="25153" xr:uid="{0294ADE2-1227-4332-AC94-7550C8622EC0}"/>
    <cellStyle name="Migliaia 46 5 8" xfId="7535" xr:uid="{395C751D-9921-4122-879F-CEADFB5255D1}"/>
    <cellStyle name="Migliaia 46 6" xfId="3757" xr:uid="{C7EB0CDC-7E81-4458-87BA-F2890ECBD7C0}"/>
    <cellStyle name="Migliaia 46 6 2" xfId="5483" xr:uid="{709C9577-B994-42ED-B7F3-08AA34E5BC19}"/>
    <cellStyle name="Migliaia 46 6 2 2" xfId="9961" xr:uid="{1F2B35AB-3795-4E74-906D-61C565D267B4}"/>
    <cellStyle name="Migliaia 46 6 2 3" xfId="18640" xr:uid="{E01BD415-341C-408E-8064-3662671FC776}"/>
    <cellStyle name="Migliaia 46 6 2 4" xfId="20756" xr:uid="{EF18E96B-C0B5-48B6-9B26-42F7DC554B6F}"/>
    <cellStyle name="Migliaia 46 6 2 5" xfId="32441" xr:uid="{827704D9-3A15-49BB-BABF-B3182B78841B}"/>
    <cellStyle name="Migliaia 46 6 2 6" xfId="16648" xr:uid="{236767C9-AB73-496A-A1BF-8357B30A6084}"/>
    <cellStyle name="Migliaia 46 6 2 7" xfId="8720" xr:uid="{59D57109-857F-454F-9264-1D0071DDBE25}"/>
    <cellStyle name="Migliaia 46 6 3" xfId="6666" xr:uid="{ED4F6FE0-6C02-4CF3-90EA-0F6E0EF41885}"/>
    <cellStyle name="Migliaia 46 6 3 2" xfId="35407" xr:uid="{48B8CCFC-D7DF-401C-AD4E-C260829400E9}"/>
    <cellStyle name="Migliaia 46 6 3 2 2" xfId="40567" xr:uid="{9D2525A8-2D6D-481E-8692-E81ECE39DD17}"/>
    <cellStyle name="Migliaia 46 6 3 2 3" xfId="45869" xr:uid="{3F4600AE-F898-4C92-8423-59878228F6D7}"/>
    <cellStyle name="Migliaia 46 6 3 3" xfId="37916" xr:uid="{27AB7022-A6E5-45DD-8317-1EE88737B21B}"/>
    <cellStyle name="Migliaia 46 6 3 4" xfId="43218" xr:uid="{B68A4CD7-11EB-4896-956D-D9DE176C1A55}"/>
    <cellStyle name="Migliaia 46 6 3 5" xfId="9724" xr:uid="{74D8D098-FEE6-43AE-9BF4-FF2C0FF8AB14}"/>
    <cellStyle name="Migliaia 46 6 4" xfId="20755" xr:uid="{ACF3C187-BED3-4D51-B5D5-8D444571B95F}"/>
    <cellStyle name="Migliaia 46 6 4 2" xfId="39854" xr:uid="{DD459F02-7C0A-402C-A495-402C1E06A9C8}"/>
    <cellStyle name="Migliaia 46 6 4 3" xfId="45156" xr:uid="{87AD234F-57BD-40FA-8343-56C0F63B1379}"/>
    <cellStyle name="Migliaia 46 6 4 4" xfId="34278" xr:uid="{0278D5CC-8FC0-43F6-B472-D5AC5D7FEAE5}"/>
    <cellStyle name="Migliaia 46 6 5" xfId="37241" xr:uid="{5D18C243-7FC6-4527-B471-95B067997D10}"/>
    <cellStyle name="Migliaia 46 6 6" xfId="42505" xr:uid="{79D5237E-3706-4B54-8147-26AAF11C6412}"/>
    <cellStyle name="Migliaia 46 6 7" xfId="16647" xr:uid="{5BC2763D-7483-4EC2-A89C-51743015FF3F}"/>
    <cellStyle name="Migliaia 46 6 8" xfId="7530" xr:uid="{EBFEC8B9-6571-455B-859E-A89DC6C609EB}"/>
    <cellStyle name="Migliaia 46 7" xfId="3758" xr:uid="{ED74A01A-CB09-41E1-A89C-E75A48F8B810}"/>
    <cellStyle name="Migliaia 46 7 2" xfId="5484" xr:uid="{20B75C15-BCA0-423B-9D2D-637D9587551D}"/>
    <cellStyle name="Migliaia 46 7 2 2" xfId="35408" xr:uid="{5F1628F2-152D-43DE-A092-AC2C3C5F7212}"/>
    <cellStyle name="Migliaia 46 7 2 2 2" xfId="40568" xr:uid="{41E8E01C-4E15-4E02-A09E-1AF769E15B05}"/>
    <cellStyle name="Migliaia 46 7 2 2 3" xfId="45870" xr:uid="{6CEB436F-E06A-4D15-B31D-C754075646D0}"/>
    <cellStyle name="Migliaia 46 7 2 3" xfId="37917" xr:uid="{380B0764-D2CD-4509-B1E1-D03AA7761B32}"/>
    <cellStyle name="Migliaia 46 7 2 4" xfId="43219" xr:uid="{BF06D51E-70DC-4CA4-B5D2-A0010E1F4B71}"/>
    <cellStyle name="Migliaia 46 7 2 5" xfId="14299" xr:uid="{5979E2FF-279D-4ABC-891F-ACCB72A1DB36}"/>
    <cellStyle name="Migliaia 46 7 3" xfId="6667" xr:uid="{CDEAFA78-86A6-4034-8C33-82ABFC96A806}"/>
    <cellStyle name="Migliaia 46 7 3 2" xfId="39855" xr:uid="{4269250F-91C2-4A95-85D7-6D5BDA9B6F39}"/>
    <cellStyle name="Migliaia 46 7 3 3" xfId="45157" xr:uid="{0696E9E8-5B22-467A-8486-6A9887254126}"/>
    <cellStyle name="Migliaia 46 7 3 4" xfId="34279" xr:uid="{524004A6-C62B-4A7A-AAB6-69E63161B4DC}"/>
    <cellStyle name="Migliaia 46 7 3 5" xfId="20757" xr:uid="{039B9ECF-4DBB-47A1-8BE8-AA6747B17DB1}"/>
    <cellStyle name="Migliaia 46 7 4" xfId="37242" xr:uid="{6362FE89-3989-4972-A2D7-FCFAFA1EB8AA}"/>
    <cellStyle name="Migliaia 46 7 5" xfId="42506" xr:uid="{AEFFE9E8-E8AF-42B1-B9CE-536C7E611F34}"/>
    <cellStyle name="Migliaia 46 7 6" xfId="16649" xr:uid="{AA314AED-6B78-4252-B89D-30370803292B}"/>
    <cellStyle name="Migliaia 46 7 7" xfId="8361" xr:uid="{EA8D4DCD-2FCD-41CA-BD6E-110EB0B628A4}"/>
    <cellStyle name="Migliaia 46 8" xfId="3759" xr:uid="{5BF3515C-FA1A-4236-91D3-5547CA86AF7A}"/>
    <cellStyle name="Migliaia 46 8 2" xfId="5485" xr:uid="{407376C9-4ED2-413C-92F2-C534AC9748E5}"/>
    <cellStyle name="Migliaia 46 8 2 2" xfId="35409" xr:uid="{B2DB2B43-D906-4FC7-8294-ADBBCFD3171D}"/>
    <cellStyle name="Migliaia 46 8 2 2 2" xfId="40569" xr:uid="{0193B82E-5C1A-40BB-877C-2246B34E7C22}"/>
    <cellStyle name="Migliaia 46 8 2 2 3" xfId="45871" xr:uid="{4A63D364-721D-4A8D-A86F-E43376A4EFED}"/>
    <cellStyle name="Migliaia 46 8 2 3" xfId="37918" xr:uid="{DA947AEF-CE8F-41E3-AE2B-9FEB87E7BFF9}"/>
    <cellStyle name="Migliaia 46 8 2 4" xfId="43220" xr:uid="{9B2BDE60-1CCE-4559-B1AB-54BB39B073C4}"/>
    <cellStyle name="Migliaia 46 8 2 5" xfId="14004" xr:uid="{9AB3B737-5671-4C24-A26E-E1625AEE500B}"/>
    <cellStyle name="Migliaia 46 8 3" xfId="6668" xr:uid="{87B3C641-C4DC-4C6C-87F3-A705526F1A55}"/>
    <cellStyle name="Migliaia 46 8 3 2" xfId="39856" xr:uid="{640FF09B-B3C1-42DB-8739-3BD764FC7D05}"/>
    <cellStyle name="Migliaia 46 8 3 3" xfId="45158" xr:uid="{5FDED6FC-4AA0-492B-83FD-D6FA3E405FD7}"/>
    <cellStyle name="Migliaia 46 8 3 4" xfId="34280" xr:uid="{DFE76762-72B0-4F38-A749-62DF7C03E6EA}"/>
    <cellStyle name="Migliaia 46 8 3 5" xfId="20758" xr:uid="{A298DB5A-7375-465E-BA4C-D249F13B2086}"/>
    <cellStyle name="Migliaia 46 8 4" xfId="37243" xr:uid="{55784EA6-78F1-4D64-BB5A-BA7B86D30B9E}"/>
    <cellStyle name="Migliaia 46 8 5" xfId="42507" xr:uid="{8F5897CC-C990-4B7C-9AAA-D17DD07D0E52}"/>
    <cellStyle name="Migliaia 46 8 6" xfId="16650" xr:uid="{54EB37E9-FDCC-436B-A284-E7AFEF3EA574}"/>
    <cellStyle name="Migliaia 46 8 7" xfId="7982" xr:uid="{AEB58526-D24F-4DBC-9890-7529A6DFE925}"/>
    <cellStyle name="Migliaia 46 9" xfId="5470" xr:uid="{1DF514BA-51C7-4BB3-9BCC-D90476BF9D38}"/>
    <cellStyle name="Migliaia 46 9 2" xfId="34281" xr:uid="{AD8D2C6E-E218-4E4D-A1EB-CCE7C5072EA6}"/>
    <cellStyle name="Migliaia 46 9 2 2" xfId="39857" xr:uid="{6410B75C-B84C-44BC-B26B-664A1E052896}"/>
    <cellStyle name="Migliaia 46 9 2 3" xfId="45159" xr:uid="{1C3779F0-EB8B-42DE-B74D-5ED6F3D7F352}"/>
    <cellStyle name="Migliaia 46 9 3" xfId="37244" xr:uid="{8E0EB2AB-BF79-4F3F-AFF9-130FD55A2088}"/>
    <cellStyle name="Migliaia 46 9 4" xfId="42508" xr:uid="{755DDED4-4CD3-440F-B742-D756626BEC0A}"/>
    <cellStyle name="Migliaia 46 9 5" xfId="17215" xr:uid="{4583C464-3551-42BA-9173-91D82C49AB6A}"/>
    <cellStyle name="Migliaia 47" xfId="465" xr:uid="{00000000-0005-0000-0000-000030040000}"/>
    <cellStyle name="Migliaia 47 10" xfId="6669" xr:uid="{58B66077-9DE4-4615-8A05-88F40868DFA6}"/>
    <cellStyle name="Migliaia 47 10 2" xfId="39858" xr:uid="{51E7F5DB-3F10-459D-A1C8-365BB86F70E7}"/>
    <cellStyle name="Migliaia 47 10 3" xfId="45160" xr:uid="{A8DDBE16-93BB-477C-8ED4-0175F96084AB}"/>
    <cellStyle name="Migliaia 47 10 4" xfId="34282" xr:uid="{5580C26A-C636-4D2E-9C7E-BBC96A91C404}"/>
    <cellStyle name="Migliaia 47 10 5" xfId="20759" xr:uid="{8FF02B87-D020-4B8B-9ADE-45D0E7D6FC0D}"/>
    <cellStyle name="Migliaia 47 11" xfId="3760" xr:uid="{30D4AB59-2E0C-4BD0-845B-896614282AC1}"/>
    <cellStyle name="Migliaia 47 11 2" xfId="37245" xr:uid="{602A5055-D0BE-476B-97D4-35F24F30258B}"/>
    <cellStyle name="Migliaia 47 12" xfId="42509" xr:uid="{AB6FA7D1-A3DF-4E56-9314-CA25C3D30F44}"/>
    <cellStyle name="Migliaia 47 13" xfId="7165" xr:uid="{AC5E1B96-ECB5-4302-AA74-780DD5ECF69E}"/>
    <cellStyle name="Migliaia 47 2" xfId="466" xr:uid="{00000000-0005-0000-0000-000031040000}"/>
    <cellStyle name="Migliaia 47 2 2" xfId="1861" xr:uid="{00000000-0005-0000-0000-000032040000}"/>
    <cellStyle name="Migliaia 47 2 2 2" xfId="5488" xr:uid="{F5D4E436-81DE-4984-8C33-44D2F5D5B7CF}"/>
    <cellStyle name="Migliaia 47 2 2 2 2" xfId="14404" xr:uid="{6142B4D7-85BE-4481-A99B-B1061E15952E}"/>
    <cellStyle name="Migliaia 47 2 2 2 2 2" xfId="39859" xr:uid="{0FC8357E-76CB-4C25-BE15-CAC46D25CE30}"/>
    <cellStyle name="Migliaia 47 2 2 2 2 3" xfId="45161" xr:uid="{47A78FA1-0302-415A-8EE5-75FAECEC3928}"/>
    <cellStyle name="Migliaia 47 2 2 2 3" xfId="18485" xr:uid="{434AD15B-14C9-412F-A333-A16475E681B4}"/>
    <cellStyle name="Migliaia 47 2 2 2 4" xfId="20762" xr:uid="{6FCCBBB8-DA9D-44EC-A5E7-89F73FF09F78}"/>
    <cellStyle name="Migliaia 47 2 2 2 4 2" xfId="42510" xr:uid="{390775AA-D824-48E9-B201-287EDB29860E}"/>
    <cellStyle name="Migliaia 47 2 2 2 5" xfId="16651" xr:uid="{E9663506-DCF1-4417-BE54-F7CDA3F66927}"/>
    <cellStyle name="Migliaia 47 2 2 2 6" xfId="8727" xr:uid="{A8DE60AA-F427-4930-972C-4083BDF202CC}"/>
    <cellStyle name="Migliaia 47 2 2 3" xfId="6671" xr:uid="{E007C20A-A4FD-4785-B414-CFCD199C7B8F}"/>
    <cellStyle name="Migliaia 47 2 2 3 2" xfId="35410" xr:uid="{011DB7B5-F66C-4D07-8EDC-DA36550D085C}"/>
    <cellStyle name="Migliaia 47 2 2 3 2 2" xfId="40570" xr:uid="{EFA84E2F-712C-4E00-ABD4-56F6FCBABA1E}"/>
    <cellStyle name="Migliaia 47 2 2 3 2 3" xfId="45872" xr:uid="{F6CC6A80-C285-4E18-A3DD-8A598819CB8D}"/>
    <cellStyle name="Migliaia 47 2 2 3 3" xfId="37919" xr:uid="{6F6B54C3-BFC1-4D68-AADD-03AE43709777}"/>
    <cellStyle name="Migliaia 47 2 2 3 4" xfId="43221" xr:uid="{D3504D7F-33B5-43DD-9EDA-85DE683767D6}"/>
    <cellStyle name="Migliaia 47 2 2 3 5" xfId="11631" xr:uid="{8839CAE9-A517-4904-A670-22F1510D4DFB}"/>
    <cellStyle name="Migliaia 47 2 2 4" xfId="3762" xr:uid="{6A4DA001-497B-4567-95EE-9EE8B2F1E73A}"/>
    <cellStyle name="Migliaia 47 2 2 4 2" xfId="21573" xr:uid="{5A75D05C-C193-4175-AAF5-31C809227508}"/>
    <cellStyle name="Migliaia 47 2 2 4 3" xfId="47904" xr:uid="{2F28772F-7970-4E18-82B8-1F5B469F8559}"/>
    <cellStyle name="Migliaia 47 2 2 4 4" xfId="50588" xr:uid="{3B5F8D1D-0DD9-4B77-B7E5-C9AAA7AF5A85}"/>
    <cellStyle name="Migliaia 47 2 2 4 5" xfId="53604" xr:uid="{20FBBB76-BB1C-42F8-9454-15CFD15681A6}"/>
    <cellStyle name="Migliaia 47 2 2 4 6" xfId="10938" xr:uid="{86B14F87-F0E5-487D-92B3-25C72C066038}"/>
    <cellStyle name="Migliaia 47 2 2 5" xfId="20761" xr:uid="{601AB84D-8BEE-483F-A21C-05C7950F01D9}"/>
    <cellStyle name="Migliaia 47 2 2 6" xfId="25158" xr:uid="{34D4EC2D-2FFE-463C-8EB6-D568D3C9D0A8}"/>
    <cellStyle name="Migliaia 47 2 2 7" xfId="7537" xr:uid="{0E856AE8-A8FA-4F22-B5E8-2857BBAA249B}"/>
    <cellStyle name="Migliaia 47 2 3" xfId="3763" xr:uid="{8EC71CED-A63F-453C-83FF-A7FDAC949A3E}"/>
    <cellStyle name="Migliaia 47 2 3 2" xfId="5489" xr:uid="{F62E0981-0B94-4DEF-A2AC-7464D851E043}"/>
    <cellStyle name="Migliaia 47 2 3 2 2" xfId="35411" xr:uid="{AB6D45B2-F0BF-4763-BC2D-1C62BA4AA59A}"/>
    <cellStyle name="Migliaia 47 2 3 2 2 2" xfId="40571" xr:uid="{05C75B21-64A9-4D47-8AA5-ACB20D8B65A7}"/>
    <cellStyle name="Migliaia 47 2 3 2 2 3" xfId="45873" xr:uid="{C598D2AF-4954-424A-A449-B621E0D3E0CF}"/>
    <cellStyle name="Migliaia 47 2 3 2 3" xfId="37920" xr:uid="{6772EA97-3909-4FEB-A594-838C9BF98CE9}"/>
    <cellStyle name="Migliaia 47 2 3 2 4" xfId="43222" xr:uid="{F7727180-FD67-410B-BF99-894FAA478183}"/>
    <cellStyle name="Migliaia 47 2 3 2 5" xfId="14303" xr:uid="{5F699C29-A1EE-44C6-9A18-AA1C0FD7E4D4}"/>
    <cellStyle name="Migliaia 47 2 3 3" xfId="6672" xr:uid="{3251134C-5FD7-4504-B782-8AB3957D207D}"/>
    <cellStyle name="Migliaia 47 2 3 3 2" xfId="39860" xr:uid="{453ADDCA-C92A-4249-95AE-184778F9F114}"/>
    <cellStyle name="Migliaia 47 2 3 3 3" xfId="45162" xr:uid="{22599909-C5CC-4144-B1BB-ABAD25454FEF}"/>
    <cellStyle name="Migliaia 47 2 3 3 4" xfId="34283" xr:uid="{6B17FF00-BD58-451C-933E-29ED5EF317DB}"/>
    <cellStyle name="Migliaia 47 2 3 3 5" xfId="20763" xr:uid="{91ED2D15-9211-4B30-9F88-D4BC44936EFD}"/>
    <cellStyle name="Migliaia 47 2 3 4" xfId="37246" xr:uid="{92E930DE-A76F-48D8-B8F7-8D63DB860DA2}"/>
    <cellStyle name="Migliaia 47 2 3 5" xfId="42511" xr:uid="{B8CFE0A3-2CB7-40FC-B597-132AB69DFB25}"/>
    <cellStyle name="Migliaia 47 2 3 6" xfId="16652" xr:uid="{34506406-7D51-4ACE-84F1-ECED2636B20A}"/>
    <cellStyle name="Migliaia 47 2 3 7" xfId="8365" xr:uid="{5D2039A7-F463-4FFF-B71F-85101202B48B}"/>
    <cellStyle name="Migliaia 47 2 4" xfId="5487" xr:uid="{9A483735-BE3F-41D2-89FE-BFEE098C3787}"/>
    <cellStyle name="Migliaia 47 2 4 2" xfId="14008" xr:uid="{4EA7AE78-F146-43DA-87B3-F1D44CBA627B}"/>
    <cellStyle name="Migliaia 47 2 4 2 2" xfId="39861" xr:uid="{97C359DF-916C-403A-A5E0-AE6AE1678C93}"/>
    <cellStyle name="Migliaia 47 2 4 2 3" xfId="45163" xr:uid="{93AF5596-080D-4294-8FC4-EFD57C9AA511}"/>
    <cellStyle name="Migliaia 47 2 4 3" xfId="18697" xr:uid="{DB4F0684-6453-46A3-B5B0-19FE758B2E55}"/>
    <cellStyle name="Migliaia 47 2 4 4" xfId="20764" xr:uid="{7D48CAAA-EE2A-4B71-B7BE-74D814299C8D}"/>
    <cellStyle name="Migliaia 47 2 4 4 2" xfId="42512" xr:uid="{818553DD-6566-4947-9C8B-DB98CE755081}"/>
    <cellStyle name="Migliaia 47 2 4 5" xfId="16653" xr:uid="{F13AB95F-C28B-4F76-83C8-215F87ED0176}"/>
    <cellStyle name="Migliaia 47 2 4 6" xfId="7987" xr:uid="{552376A4-F09E-43E1-AE4D-3D5430112559}"/>
    <cellStyle name="Migliaia 47 2 5" xfId="6670" xr:uid="{67FB58E4-996B-4C2F-8B1B-29FFED53830F}"/>
    <cellStyle name="Migliaia 47 2 5 2" xfId="34285" xr:uid="{942789D6-E523-4C3F-8034-AE50579AD94D}"/>
    <cellStyle name="Migliaia 47 2 5 2 2" xfId="39862" xr:uid="{B36BD3A4-3ADC-435C-B545-B00FB73741D4}"/>
    <cellStyle name="Migliaia 47 2 5 2 3" xfId="45164" xr:uid="{A05919B9-C81B-492B-B3C1-FE915E7C2DDD}"/>
    <cellStyle name="Migliaia 47 2 5 3" xfId="37247" xr:uid="{4594CAB5-DA24-408B-BA92-3A6049A9E9F6}"/>
    <cellStyle name="Migliaia 47 2 5 4" xfId="42513" xr:uid="{C1D260C0-EC01-4A37-9F88-2A3C4574E708}"/>
    <cellStyle name="Migliaia 47 2 5 5" xfId="13144" xr:uid="{5A9F3F0E-C538-4FEC-93B0-DEFBB258383A}"/>
    <cellStyle name="Migliaia 47 2 6" xfId="3761" xr:uid="{E70DB612-ECDB-48D8-9547-5B659033AB11}"/>
    <cellStyle name="Migliaia 47 2 6 2" xfId="34286" xr:uid="{94FD381C-9396-4BAE-9A4E-599E6AB3C6F5}"/>
    <cellStyle name="Migliaia 47 2 6 2 2" xfId="39863" xr:uid="{97D7DDF5-C614-48F7-A0E3-44341B5957B8}"/>
    <cellStyle name="Migliaia 47 2 6 2 3" xfId="45165" xr:uid="{3B0B99FB-A3B8-4167-BE75-3CB3953FC7E3}"/>
    <cellStyle name="Migliaia 47 2 6 3" xfId="37248" xr:uid="{404811EF-CDE6-4F4F-8B1D-B4B095B05B8B}"/>
    <cellStyle name="Migliaia 47 2 6 4" xfId="42514" xr:uid="{03A77F18-290F-4657-BC4E-1EF2AFBAD374}"/>
    <cellStyle name="Migliaia 47 2 6 5" xfId="25160" xr:uid="{4D74BE74-FFB8-4A1C-A80A-ABD3EA784CB8}"/>
    <cellStyle name="Migliaia 47 2 6 6" xfId="20760" xr:uid="{38F59E28-4FF2-457A-BFE7-7C4192FEC312}"/>
    <cellStyle name="Migliaia 47 2 7" xfId="25157" xr:uid="{2258533B-CD2B-423C-94E0-A187DAFD9404}"/>
    <cellStyle name="Migliaia 47 2 8" xfId="7166" xr:uid="{A91C51FF-2429-4C81-AE3C-F1AD531AA9C8}"/>
    <cellStyle name="Migliaia 47 3" xfId="467" xr:uid="{00000000-0005-0000-0000-000033040000}"/>
    <cellStyle name="Migliaia 47 3 10" xfId="25161" xr:uid="{86EBABEF-0264-4F73-A663-C458E79BA2F6}"/>
    <cellStyle name="Migliaia 47 3 11" xfId="16654" xr:uid="{DDB50030-9857-4680-A7FB-B8CAAFDD302F}"/>
    <cellStyle name="Migliaia 47 3 12" xfId="7167" xr:uid="{034EE52F-8D10-4BD4-B3CC-052F54656821}"/>
    <cellStyle name="Migliaia 47 3 2" xfId="468" xr:uid="{00000000-0005-0000-0000-000034040000}"/>
    <cellStyle name="Migliaia 47 3 2 2" xfId="1862" xr:uid="{00000000-0005-0000-0000-000035040000}"/>
    <cellStyle name="Migliaia 47 3 2 2 2" xfId="5492" xr:uid="{D97BA747-D864-41C6-9A12-C0317C2B2ED2}"/>
    <cellStyle name="Migliaia 47 3 2 2 2 2" xfId="18486" xr:uid="{B94587E5-53D0-481B-A131-6F2266C35E62}"/>
    <cellStyle name="Migliaia 47 3 2 2 2 2 2" xfId="21882" xr:uid="{DF3672D3-4C4A-420F-AE8F-D658DDF45E41}"/>
    <cellStyle name="Migliaia 47 3 2 2 2 2 2 2" xfId="39864" xr:uid="{B123DF8E-19D2-40D3-A0DD-A7A0802F6B8E}"/>
    <cellStyle name="Migliaia 47 3 2 2 2 2 3" xfId="45166" xr:uid="{2D6C8048-6EC5-4434-9853-8510F1AF8FAA}"/>
    <cellStyle name="Migliaia 47 3 2 2 2 2 4" xfId="34287" xr:uid="{378A444D-33EC-4BA0-93C9-6D9513C1D4D8}"/>
    <cellStyle name="Migliaia 47 3 2 2 2 3" xfId="37249" xr:uid="{00BF4221-0CE3-41D5-96E5-8B834006AE1D}"/>
    <cellStyle name="Migliaia 47 3 2 2 2 4" xfId="42515" xr:uid="{D75576E4-4273-4FB1-A0AF-7B350EA77ACF}"/>
    <cellStyle name="Migliaia 47 3 2 2 2 5" xfId="25113" xr:uid="{6B3127EB-B190-4990-9BFB-D30EC8C54965}"/>
    <cellStyle name="Migliaia 47 3 2 2 2 6" xfId="50910" xr:uid="{6B655601-FC96-455C-91DB-3B7C455C632F}"/>
    <cellStyle name="Migliaia 47 3 2 2 2 7" xfId="53926" xr:uid="{9E9644D2-917C-421D-AA51-C2E9E36E0240}"/>
    <cellStyle name="Migliaia 47 3 2 2 2 8" xfId="17680" xr:uid="{37D79C8D-C231-4474-9CF4-80F7D114C888}"/>
    <cellStyle name="Migliaia 47 3 2 2 2 9" xfId="12051" xr:uid="{67B72CB5-A15E-4225-A0FF-7AECC3A0C144}"/>
    <cellStyle name="Migliaia 47 3 2 2 3" xfId="6675" xr:uid="{6AA901BF-7931-428C-BC04-8FF206E9E720}"/>
    <cellStyle name="Migliaia 47 3 2 2 3 2" xfId="11141" xr:uid="{353CECCE-0FCF-4EC6-B91C-7308D9069A2A}"/>
    <cellStyle name="Migliaia 47 3 2 2 4" xfId="3766" xr:uid="{80C05CA8-F4FF-40E6-83AF-4B0FDAF5919F}"/>
    <cellStyle name="Migliaia 47 3 2 2 4 2" xfId="21574" xr:uid="{77AF271E-01A5-4262-98B2-D9E6E7D51215}"/>
    <cellStyle name="Migliaia 47 3 2 2 4 3" xfId="25349" xr:uid="{428F9E32-1E00-48E4-B329-D85873593EBD}"/>
    <cellStyle name="Migliaia 47 3 2 2 4 4" xfId="50589" xr:uid="{A441CC85-1DA0-416D-962F-1715CAF39D26}"/>
    <cellStyle name="Migliaia 47 3 2 2 4 5" xfId="53605" xr:uid="{36D407E6-54DA-46EF-AB07-6213340F3255}"/>
    <cellStyle name="Migliaia 47 3 2 2 4 6" xfId="10939" xr:uid="{25E0EAB5-1DAD-4434-9ADA-1010F7FB3B13}"/>
    <cellStyle name="Migliaia 47 3 2 2 5" xfId="20767" xr:uid="{F1A8499A-7E2D-41A2-BB22-ACEB8857AF87}"/>
    <cellStyle name="Migliaia 47 3 2 2 6" xfId="25163" xr:uid="{6B491CA1-CB39-4016-8D31-3E756D79A3E6}"/>
    <cellStyle name="Migliaia 47 3 2 2 7" xfId="8729" xr:uid="{930344C8-A30F-44FB-AB2F-8CECE3C06F61}"/>
    <cellStyle name="Migliaia 47 3 2 3" xfId="5491" xr:uid="{0F95BC40-D8CB-4E74-95F3-077FB8C3D444}"/>
    <cellStyle name="Migliaia 47 3 2 3 2" xfId="12402" xr:uid="{25537D91-0525-409C-AEC5-FF27A046D5E1}"/>
    <cellStyle name="Migliaia 47 3 2 3 2 2" xfId="39865" xr:uid="{8C2B3F2A-A780-4742-835E-2970083C2270}"/>
    <cellStyle name="Migliaia 47 3 2 3 2 3" xfId="45167" xr:uid="{139838F6-524B-4897-A8AB-88C559369A4D}"/>
    <cellStyle name="Migliaia 47 3 2 3 2 4" xfId="34288" xr:uid="{697C2133-5755-4DF8-9313-9C8A80FEDD9D}"/>
    <cellStyle name="Migliaia 47 3 2 3 3" xfId="12052" xr:uid="{AB9BF880-C414-4C66-87B8-AA410ADBCD9B}"/>
    <cellStyle name="Migliaia 47 3 2 3 4" xfId="20768" xr:uid="{0932AF06-0580-45E7-BFBB-4DE8C9DC8B88}"/>
    <cellStyle name="Migliaia 47 3 2 3 4 2" xfId="42516" xr:uid="{26334DB4-7E59-4618-A0B0-BC9DAF10D55C}"/>
    <cellStyle name="Migliaia 47 3 2 3 5" xfId="16655" xr:uid="{20B36C75-1C15-445B-A3C7-097F1D9390FD}"/>
    <cellStyle name="Migliaia 47 3 2 3 6" xfId="7989" xr:uid="{21E34490-9A14-46E0-8E5E-DDBD2BD7F4D9}"/>
    <cellStyle name="Migliaia 47 3 2 4" xfId="6674" xr:uid="{0A14D3A0-B26E-43E3-93E6-4EBD80449D44}"/>
    <cellStyle name="Migliaia 47 3 2 4 2" xfId="18098" xr:uid="{9B734395-9AF5-401B-9A9A-C5DC8D2AC4F8}"/>
    <cellStyle name="Migliaia 47 3 2 4 2 2" xfId="39866" xr:uid="{39AADF45-315F-4A71-958D-F8655400D757}"/>
    <cellStyle name="Migliaia 47 3 2 4 2 3" xfId="45168" xr:uid="{D3AF07F6-9374-4502-8A18-E057A34FD642}"/>
    <cellStyle name="Migliaia 47 3 2 4 3" xfId="37250" xr:uid="{F505F607-9D0B-4F7C-8B3F-F1BEAC56A95B}"/>
    <cellStyle name="Migliaia 47 3 2 4 4" xfId="42517" xr:uid="{EDCEDEFE-E580-471A-A694-C019998F32AE}"/>
    <cellStyle name="Migliaia 47 3 2 4 5" xfId="17218" xr:uid="{320C3DB3-7B49-4B93-B757-4031CCE8D0A0}"/>
    <cellStyle name="Migliaia 47 3 2 4 6" xfId="11400" xr:uid="{B457EAC7-F25B-4C77-A182-2C8F711E261E}"/>
    <cellStyle name="Migliaia 47 3 2 5" xfId="3765" xr:uid="{1A7309DA-6A1B-4F7F-8B67-8B35A65810EF}"/>
    <cellStyle name="Migliaia 47 3 2 5 2" xfId="34289" xr:uid="{22C38159-95A1-41E8-8D77-A1B5A85D2BA8}"/>
    <cellStyle name="Migliaia 47 3 2 5 2 2" xfId="39867" xr:uid="{C50C136F-87CB-4C02-A821-BD0CC2C6B52A}"/>
    <cellStyle name="Migliaia 47 3 2 5 2 3" xfId="45169" xr:uid="{4D6BBB46-38D9-4A2C-B71C-DC4333F2B088}"/>
    <cellStyle name="Migliaia 47 3 2 5 3" xfId="37251" xr:uid="{1D0F04D8-CC29-4E0A-9E1A-66FF5BD667A3}"/>
    <cellStyle name="Migliaia 47 3 2 5 4" xfId="42518" xr:uid="{52D243F1-67EF-4430-8959-54CA0CCFC149}"/>
    <cellStyle name="Migliaia 47 3 2 5 5" xfId="17303" xr:uid="{A0566FC9-F770-47FE-B567-E12CCFB3D479}"/>
    <cellStyle name="Migliaia 47 3 2 6" xfId="20766" xr:uid="{D68548A8-5CE6-4066-A37B-8BEE0331E8F8}"/>
    <cellStyle name="Migliaia 47 3 2 6 2" xfId="34290" xr:uid="{5EAE3E20-B17A-46C6-8C55-C7682E53A14F}"/>
    <cellStyle name="Migliaia 47 3 2 6 2 2" xfId="39868" xr:uid="{8B5AE849-D749-44DD-9A67-2769821167B9}"/>
    <cellStyle name="Migliaia 47 3 2 6 2 3" xfId="45170" xr:uid="{82D29505-3657-4EB5-AF13-0B442F029670}"/>
    <cellStyle name="Migliaia 47 3 2 6 3" xfId="37252" xr:uid="{5A1E7661-1C73-47D1-9E7E-3B3C6CA6CBB4}"/>
    <cellStyle name="Migliaia 47 3 2 6 4" xfId="42519" xr:uid="{24CF22EF-B30C-48D2-844B-A2769235EF88}"/>
    <cellStyle name="Migliaia 47 3 2 6 5" xfId="25165" xr:uid="{27FA2C89-E83E-4CB3-86C2-6471B18B21E2}"/>
    <cellStyle name="Migliaia 47 3 2 7" xfId="25162" xr:uid="{74FF6A7C-F812-43B6-AE2F-CF14922E3906}"/>
    <cellStyle name="Migliaia 47 3 2 8" xfId="7539" xr:uid="{1490735C-549A-43B7-B293-C9108ECD897C}"/>
    <cellStyle name="Migliaia 47 3 3" xfId="3767" xr:uid="{F7D5CB41-EAC1-4919-A03A-2F0918E86579}"/>
    <cellStyle name="Migliaia 47 3 3 10" xfId="7538" xr:uid="{2099C720-C1F2-4B97-82A8-3B07F240255A}"/>
    <cellStyle name="Migliaia 47 3 3 2" xfId="5493" xr:uid="{C72CD9F1-027F-47C9-ACF3-556ED879D09B}"/>
    <cellStyle name="Migliaia 47 3 3 2 2" xfId="9964" xr:uid="{7EAD3058-244B-4E95-B12D-5185B6EDD603}"/>
    <cellStyle name="Migliaia 47 3 3 2 2 2" xfId="39870" xr:uid="{DFF2E03E-68FA-4B7C-B4FD-8A9054E4C5DC}"/>
    <cellStyle name="Migliaia 47 3 3 2 2 3" xfId="45172" xr:uid="{1AA3501A-2445-4319-932D-7D8F5639D8E0}"/>
    <cellStyle name="Migliaia 47 3 3 2 3" xfId="18244" xr:uid="{D432E71C-8AD4-45CB-ADB1-8352828642CD}"/>
    <cellStyle name="Migliaia 47 3 3 2 4" xfId="20770" xr:uid="{F5C118C5-900A-4FE7-92DB-853E4821DCE7}"/>
    <cellStyle name="Migliaia 47 3 3 2 4 2" xfId="42521" xr:uid="{8A870803-CB49-40E0-B239-34EC61D60DCE}"/>
    <cellStyle name="Migliaia 47 3 3 2 5" xfId="16657" xr:uid="{72471BDB-997F-4604-A647-781A84291E90}"/>
    <cellStyle name="Migliaia 47 3 3 2 6" xfId="8728" xr:uid="{B2B4B00B-30FB-47F8-9F96-7FDA5B22294D}"/>
    <cellStyle name="Migliaia 47 3 3 3" xfId="6676" xr:uid="{0EA9DBD3-D086-40B4-AA09-5E3D43286F9B}"/>
    <cellStyle name="Migliaia 47 3 3 3 2" xfId="34292" xr:uid="{CA429718-0262-4E5A-9014-D7C9E0357771}"/>
    <cellStyle name="Migliaia 47 3 3 3 2 2" xfId="39871" xr:uid="{F8FC02A1-7886-42D9-8A60-FD09DA79147D}"/>
    <cellStyle name="Migliaia 47 3 3 3 2 3" xfId="45173" xr:uid="{00C7F549-5BF7-4D5E-93CE-B98AC9906933}"/>
    <cellStyle name="Migliaia 47 3 3 3 3" xfId="37255" xr:uid="{F3BAE4E8-F7BC-4FC5-B3FF-3A67541809F2}"/>
    <cellStyle name="Migliaia 47 3 3 3 4" xfId="42522" xr:uid="{D3F85A8E-EEC5-446E-A02C-AD7BA0CE87F8}"/>
    <cellStyle name="Migliaia 47 3 3 3 5" xfId="9727" xr:uid="{7A828BBC-67AD-4A5A-95E4-DF475242BF8C}"/>
    <cellStyle name="Migliaia 47 3 3 4" xfId="20769" xr:uid="{F7D691DE-DCFD-44ED-82FE-F65A87215F7B}"/>
    <cellStyle name="Migliaia 47 3 3 4 2" xfId="34293" xr:uid="{0AF4D0E0-291F-45CF-B503-8FCF72CA7EED}"/>
    <cellStyle name="Migliaia 47 3 3 4 2 2" xfId="39872" xr:uid="{88995DEB-BF69-4F78-8298-6140AFB29558}"/>
    <cellStyle name="Migliaia 47 3 3 4 2 3" xfId="45174" xr:uid="{E859A849-D9C0-43F8-AB20-FAC39E01DFC3}"/>
    <cellStyle name="Migliaia 47 3 3 4 3" xfId="37256" xr:uid="{203BFED0-6365-4B54-B32F-B59AB0C48801}"/>
    <cellStyle name="Migliaia 47 3 3 4 4" xfId="42523" xr:uid="{DB56FA77-C201-4425-B4E4-8E4D94E0FB6F}"/>
    <cellStyle name="Migliaia 47 3 3 4 5" xfId="25166" xr:uid="{21B4DF81-1201-45D9-BA32-16298FA1C95B}"/>
    <cellStyle name="Migliaia 47 3 3 5" xfId="25167" xr:uid="{3855A2C1-0AFB-4279-8A2C-70D6F4D6D37C}"/>
    <cellStyle name="Migliaia 47 3 3 5 2" xfId="34294" xr:uid="{66EDB81E-EB93-404B-8367-648C5CB6C172}"/>
    <cellStyle name="Migliaia 47 3 3 5 2 2" xfId="39873" xr:uid="{C54CBAC4-5792-41C8-A72F-DAB31EEBABDE}"/>
    <cellStyle name="Migliaia 47 3 3 5 2 3" xfId="45175" xr:uid="{869497F4-AA4F-4A45-ACDB-9EF08239E6F8}"/>
    <cellStyle name="Migliaia 47 3 3 5 3" xfId="37257" xr:uid="{C0AA95A1-47C6-4435-9A3E-EBA1D3B3F467}"/>
    <cellStyle name="Migliaia 47 3 3 5 4" xfId="42524" xr:uid="{1324C8F1-06E5-4E96-BED5-3A1C066A01D5}"/>
    <cellStyle name="Migliaia 47 3 3 6" xfId="34291" xr:uid="{0E6AC50C-0415-457F-B99F-E9E81BE43326}"/>
    <cellStyle name="Migliaia 47 3 3 6 2" xfId="39869" xr:uid="{6F5A3A88-A2DE-496C-9282-1E757623B1DF}"/>
    <cellStyle name="Migliaia 47 3 3 6 3" xfId="45171" xr:uid="{6CB28241-90AB-4304-A624-8E057D560421}"/>
    <cellStyle name="Migliaia 47 3 3 7" xfId="37253" xr:uid="{84490E46-780F-4313-8AE9-27AD2C3D6F13}"/>
    <cellStyle name="Migliaia 47 3 3 8" xfId="42520" xr:uid="{07D7A513-2175-4012-B2A6-27690B96DD41}"/>
    <cellStyle name="Migliaia 47 3 3 9" xfId="16656" xr:uid="{3286F16D-F8B0-413D-BD26-0CE1521B1BC7}"/>
    <cellStyle name="Migliaia 47 3 4" xfId="3768" xr:uid="{54DE5148-DC8B-4FE0-ACD6-26A88986EC46}"/>
    <cellStyle name="Migliaia 47 3 4 2" xfId="5494" xr:uid="{AC022AD0-71F0-428F-ABDA-6C5F6E96AE7F}"/>
    <cellStyle name="Migliaia 47 3 4 2 2" xfId="14464" xr:uid="{01F72089-D19B-49C5-B1D8-09EB0E2866E2}"/>
    <cellStyle name="Migliaia 47 3 4 2 3" xfId="18157" xr:uid="{BBE2763D-3521-4955-BB4A-6DF39290D038}"/>
    <cellStyle name="Migliaia 47 3 4 2 4" xfId="20772" xr:uid="{2F9D3861-4C37-4B8B-8BD5-A977BF932505}"/>
    <cellStyle name="Migliaia 47 3 4 2 5" xfId="32443" xr:uid="{75DA4484-E8F4-4EEB-A259-7F1ED819D664}"/>
    <cellStyle name="Migliaia 47 3 4 2 6" xfId="16659" xr:uid="{C06D5D2C-22EA-454C-8FD4-8D41B4ACF6B4}"/>
    <cellStyle name="Migliaia 47 3 4 2 7" xfId="8887" xr:uid="{C8F4A317-BD8E-43AE-87E5-957237F38437}"/>
    <cellStyle name="Migliaia 47 3 4 3" xfId="6677" xr:uid="{1BAD6652-6290-4D20-8DE9-43C90B311574}"/>
    <cellStyle name="Migliaia 47 3 4 3 2" xfId="35412" xr:uid="{BF39891E-3BB4-4989-B7A9-8C226E6D4251}"/>
    <cellStyle name="Migliaia 47 3 4 3 2 2" xfId="40572" xr:uid="{06AD624B-D51F-4D8B-921F-B5A468CF7AF1}"/>
    <cellStyle name="Migliaia 47 3 4 3 2 3" xfId="45874" xr:uid="{CF45F20F-4CB6-4458-8012-C2748FEE8F86}"/>
    <cellStyle name="Migliaia 47 3 4 3 3" xfId="37921" xr:uid="{24E1592E-AF58-458C-A243-CB1AFF6B1A41}"/>
    <cellStyle name="Migliaia 47 3 4 3 4" xfId="43223" xr:uid="{3E4CA121-2D08-4E26-96C7-56BDEBC5A7FE}"/>
    <cellStyle name="Migliaia 47 3 4 3 5" xfId="13712" xr:uid="{F2DDE577-73FB-45F2-857A-7FD18452C492}"/>
    <cellStyle name="Migliaia 47 3 4 4" xfId="20771" xr:uid="{5B49CDDD-8B8E-4A5A-9F3D-D267AE7B98B0}"/>
    <cellStyle name="Migliaia 47 3 4 4 2" xfId="39874" xr:uid="{E08A2EEC-D89A-4A80-BEF6-DB7966541553}"/>
    <cellStyle name="Migliaia 47 3 4 4 3" xfId="45176" xr:uid="{9D6982AA-5055-4BE1-991B-69D73D51B459}"/>
    <cellStyle name="Migliaia 47 3 4 4 4" xfId="34295" xr:uid="{BB441A6B-D698-4030-9D3D-BCF813101349}"/>
    <cellStyle name="Migliaia 47 3 4 5" xfId="37258" xr:uid="{05B9126A-DE53-43D3-9CB8-C78DCE38F0B0}"/>
    <cellStyle name="Migliaia 47 3 4 6" xfId="42525" xr:uid="{6226ADFC-EB50-48F3-93D7-68054C75C14D}"/>
    <cellStyle name="Migliaia 47 3 4 7" xfId="16658" xr:uid="{DEAC3563-EFDB-487A-818E-E639182071AC}"/>
    <cellStyle name="Migliaia 47 3 4 8" xfId="7697" xr:uid="{0E8E13FD-D560-4FD9-A204-F3AF8875C89F}"/>
    <cellStyle name="Migliaia 47 3 5" xfId="3769" xr:uid="{C595156D-C7D3-4253-9746-1D984E684331}"/>
    <cellStyle name="Migliaia 47 3 5 2" xfId="5495" xr:uid="{2C230855-C095-427A-A035-64D971060BE7}"/>
    <cellStyle name="Migliaia 47 3 5 2 2" xfId="35413" xr:uid="{6E95DE45-AF58-4BAD-AD5E-F365AD11EB56}"/>
    <cellStyle name="Migliaia 47 3 5 2 2 2" xfId="40573" xr:uid="{9F7C6865-021D-48EF-9559-C99A563E41A9}"/>
    <cellStyle name="Migliaia 47 3 5 2 2 3" xfId="45875" xr:uid="{3D570F39-A4FC-40A7-B4BF-635A47A7F54D}"/>
    <cellStyle name="Migliaia 47 3 5 2 3" xfId="37922" xr:uid="{643BEEFE-AF8A-4948-8743-BA8C7FEF7237}"/>
    <cellStyle name="Migliaia 47 3 5 2 4" xfId="43224" xr:uid="{748ABF92-4D71-4D52-9124-383670F84F4E}"/>
    <cellStyle name="Migliaia 47 3 5 2 5" xfId="14304" xr:uid="{76007187-6888-4C1D-A47D-E059021D1B3E}"/>
    <cellStyle name="Migliaia 47 3 5 3" xfId="6678" xr:uid="{35923231-D47C-4F65-A646-DD4E3BFDC13E}"/>
    <cellStyle name="Migliaia 47 3 5 3 2" xfId="39875" xr:uid="{261F15D1-48FD-4DA5-9C12-826B6617EAA0}"/>
    <cellStyle name="Migliaia 47 3 5 3 3" xfId="45177" xr:uid="{85FC0F5F-CA6C-4283-84FA-C8D3C6EE4AEF}"/>
    <cellStyle name="Migliaia 47 3 5 3 4" xfId="34296" xr:uid="{D3AF8B83-8FEB-4D9E-829E-587BA1FCC23E}"/>
    <cellStyle name="Migliaia 47 3 5 3 5" xfId="20773" xr:uid="{E968300E-9995-4439-BA5B-537E40F625AA}"/>
    <cellStyle name="Migliaia 47 3 5 4" xfId="37259" xr:uid="{AB15B2B9-BCA3-4978-8A25-D8D318B44957}"/>
    <cellStyle name="Migliaia 47 3 5 5" xfId="42526" xr:uid="{E1999B78-BB36-48B7-8CDA-814C1B842DDD}"/>
    <cellStyle name="Migliaia 47 3 5 6" xfId="16660" xr:uid="{69DEFB94-98DD-45DC-8CEF-12FC57B8B9DB}"/>
    <cellStyle name="Migliaia 47 3 5 7" xfId="8366" xr:uid="{EFFE0D21-ACA8-49B7-BDB3-BD7811059902}"/>
    <cellStyle name="Migliaia 47 3 6" xfId="5490" xr:uid="{27034741-B3A1-45F6-A9C8-18A29448D514}"/>
    <cellStyle name="Migliaia 47 3 6 2" xfId="14009" xr:uid="{CE020B0C-3875-4F2E-BD65-FF0629181634}"/>
    <cellStyle name="Migliaia 47 3 6 2 2" xfId="39876" xr:uid="{93B1A6BE-AF8D-4E43-AB74-7DE0584C177C}"/>
    <cellStyle name="Migliaia 47 3 6 2 3" xfId="45178" xr:uid="{01E1005C-D923-4FB7-8473-42DB5869B262}"/>
    <cellStyle name="Migliaia 47 3 6 3" xfId="18025" xr:uid="{167A2682-B37B-474C-A88B-735D4999D381}"/>
    <cellStyle name="Migliaia 47 3 6 4" xfId="20774" xr:uid="{B7D09F72-B729-4FC1-ABB2-3BF009E0C95C}"/>
    <cellStyle name="Migliaia 47 3 6 4 2" xfId="42527" xr:uid="{141A75E9-D0D3-4662-B9E4-AB3E79F3996A}"/>
    <cellStyle name="Migliaia 47 3 6 5" xfId="16661" xr:uid="{73FECE0F-E042-4858-92FE-77E3254561AA}"/>
    <cellStyle name="Migliaia 47 3 6 6" xfId="7988" xr:uid="{C001EA63-07C5-4B35-B8B3-33A40DBFE192}"/>
    <cellStyle name="Migliaia 47 3 7" xfId="6673" xr:uid="{591A807B-902C-469B-80E2-EA9A262943D1}"/>
    <cellStyle name="Migliaia 47 3 7 2" xfId="34297" xr:uid="{DA0C67E4-E2BF-4F7D-9A47-BF9E1AB7E09E}"/>
    <cellStyle name="Migliaia 47 3 7 2 2" xfId="39877" xr:uid="{AE7A60BB-8FC8-4AB4-8756-1BE09C7C00A7}"/>
    <cellStyle name="Migliaia 47 3 7 2 3" xfId="45179" xr:uid="{475F1490-9EA0-4314-815C-D64D609E2095}"/>
    <cellStyle name="Migliaia 47 3 7 3" xfId="37260" xr:uid="{897EF9A8-D173-4D5D-BACE-B072049728AF}"/>
    <cellStyle name="Migliaia 47 3 7 4" xfId="42528" xr:uid="{5AE83559-DA27-4E2A-A4AD-64DB9A56FF66}"/>
    <cellStyle name="Migliaia 47 3 7 5" xfId="11163" xr:uid="{254A6E2A-5B4C-469F-A90A-C596D979EE37}"/>
    <cellStyle name="Migliaia 47 3 8" xfId="3764" xr:uid="{9ED0196E-2303-4849-8493-4EA214F8D607}"/>
    <cellStyle name="Migliaia 47 3 8 2" xfId="34298" xr:uid="{A3AE379B-28C2-470A-83D7-F19C6E7422AE}"/>
    <cellStyle name="Migliaia 47 3 8 2 2" xfId="39878" xr:uid="{947B5054-DF51-42CC-8378-8FB1B66E7719}"/>
    <cellStyle name="Migliaia 47 3 8 2 3" xfId="45180" xr:uid="{BA2FDFA8-CB0A-49CD-B0D2-A44B0ED81476}"/>
    <cellStyle name="Migliaia 47 3 8 3" xfId="37261" xr:uid="{2CFC5381-3894-4E68-87CD-04EED3E95CA5}"/>
    <cellStyle name="Migliaia 47 3 8 4" xfId="42529" xr:uid="{3F7E12C7-6E7C-4037-B30F-13C06253531D}"/>
    <cellStyle name="Migliaia 47 3 8 5" xfId="25171" xr:uid="{2FEC1AF3-C23E-4B0B-8C69-DD8D8653B229}"/>
    <cellStyle name="Migliaia 47 3 8 6" xfId="17304" xr:uid="{DB7519D3-2E1A-4644-93E4-D847BDCF3C74}"/>
    <cellStyle name="Migliaia 47 3 9" xfId="20765" xr:uid="{D36CCA53-0C57-45BA-99B1-700ED795179E}"/>
    <cellStyle name="Migliaia 47 4" xfId="1863" xr:uid="{00000000-0005-0000-0000-000036040000}"/>
    <cellStyle name="Migliaia 47 4 2" xfId="1864" xr:uid="{00000000-0005-0000-0000-000037040000}"/>
    <cellStyle name="Migliaia 47 4 2 2" xfId="5497" xr:uid="{40EB5BB5-5E11-49C1-9341-C1E88426028B}"/>
    <cellStyle name="Migliaia 47 4 2 2 2" xfId="34299" xr:uid="{321BD443-416A-4445-B3CC-B766CC3E820C}"/>
    <cellStyle name="Migliaia 47 4 2 2 2 2" xfId="39879" xr:uid="{ECEEAFA2-E694-4B6A-940F-46A9FAA2E7CC}"/>
    <cellStyle name="Migliaia 47 4 2 2 2 3" xfId="45181" xr:uid="{A4EA0352-B9B7-44EF-8A2A-E0AD49D1DC71}"/>
    <cellStyle name="Migliaia 47 4 2 2 3" xfId="37262" xr:uid="{96B38762-EA6C-4FB7-9616-D377F7742FEA}"/>
    <cellStyle name="Migliaia 47 4 2 2 4" xfId="42530" xr:uid="{7A9FFB6F-4A6C-4BB7-BDE2-BE44E38358AB}"/>
    <cellStyle name="Migliaia 47 4 2 2 5" xfId="9190" xr:uid="{A48789BF-12F6-4919-AE73-2A1DB09D1818}"/>
    <cellStyle name="Migliaia 47 4 2 3" xfId="3771" xr:uid="{F86FDFCB-22D4-4228-A273-4AFE1278E143}"/>
    <cellStyle name="Migliaia 47 4 2 3 2" xfId="34300" xr:uid="{EAA93607-6399-41E5-BAE6-250367890D56}"/>
    <cellStyle name="Migliaia 47 4 2 3 2 2" xfId="39880" xr:uid="{DDAC986D-595F-437C-B153-BC33CB324B6D}"/>
    <cellStyle name="Migliaia 47 4 2 3 2 3" xfId="45182" xr:uid="{3D7215FE-E9B6-4CC0-BE99-6304D15E86BA}"/>
    <cellStyle name="Migliaia 47 4 2 3 3" xfId="37263" xr:uid="{6AFC6221-8272-4FDF-AF1F-9729FA33F078}"/>
    <cellStyle name="Migliaia 47 4 2 3 4" xfId="42531" xr:uid="{676D4BF2-C1CB-4E6A-A79A-0CD7AB9C08B2}"/>
    <cellStyle name="Migliaia 47 4 2 3 5" xfId="12053" xr:uid="{13516A8A-7B14-4783-919A-664850E6526C}"/>
    <cellStyle name="Migliaia 47 4 2 4" xfId="11402" xr:uid="{4E080F5F-3275-4E4F-8C97-1A9A37FEFC65}"/>
    <cellStyle name="Migliaia 47 4 2 5" xfId="10941" xr:uid="{5C97EB3B-4B17-41D3-9EB2-2135AFD8E554}"/>
    <cellStyle name="Migliaia 47 4 2 5 2" xfId="21576" xr:uid="{8F52D687-3D20-4C95-9243-AC6A7C870227}"/>
    <cellStyle name="Migliaia 47 4 2 5 3" xfId="32553" xr:uid="{F62F8DE9-7FC1-49EE-AE30-F09E20DAAE6F}"/>
    <cellStyle name="Migliaia 47 4 2 5 4" xfId="50591" xr:uid="{82EB0BB9-D147-435E-84FE-AFB445AB156F}"/>
    <cellStyle name="Migliaia 47 4 2 5 5" xfId="53607" xr:uid="{9229DC2A-C980-4162-A769-8F7B5E347453}"/>
    <cellStyle name="Migliaia 47 4 2 6" xfId="20776" xr:uid="{430678B8-3924-486C-8A00-62953608AC26}"/>
    <cellStyle name="Migliaia 47 4 2 7" xfId="25173" xr:uid="{B33221D5-C724-4212-A5A9-0E6A7BB3E3C3}"/>
    <cellStyle name="Migliaia 47 4 2 8" xfId="8730" xr:uid="{0BA10670-1363-493B-BD1C-AB85C86201E0}"/>
    <cellStyle name="Migliaia 47 4 3" xfId="5496" xr:uid="{FE84EDD8-556C-42B4-AABE-549869E9BAF6}"/>
    <cellStyle name="Migliaia 47 4 3 2" xfId="18245" xr:uid="{D6D39A4C-A9AC-4A17-8FA5-D0B32FEF9E47}"/>
    <cellStyle name="Migliaia 47 4 3 2 2" xfId="39881" xr:uid="{7541AF84-1476-49B5-9A00-56C0EAADB4EF}"/>
    <cellStyle name="Migliaia 47 4 3 2 3" xfId="45183" xr:uid="{99906653-CBFA-4EBC-AEDF-247532EAE92B}"/>
    <cellStyle name="Migliaia 47 4 3 3" xfId="37264" xr:uid="{C3817691-E42F-46FA-BCA8-EC22EB07B7BE}"/>
    <cellStyle name="Migliaia 47 4 3 4" xfId="42532" xr:uid="{2B97FD93-38FE-4589-B408-C8659C205CFE}"/>
    <cellStyle name="Migliaia 47 4 3 5" xfId="17302" xr:uid="{C2343E41-94BC-4997-8469-6BE9E6448D98}"/>
    <cellStyle name="Migliaia 47 4 3 6" xfId="9191" xr:uid="{6A4848EA-E3EA-40E2-BDAA-408710A9683E}"/>
    <cellStyle name="Migliaia 47 4 4" xfId="6679" xr:uid="{E7E8BE65-91E8-4E9C-8A64-6E84047B4220}"/>
    <cellStyle name="Migliaia 47 4 4 2" xfId="34301" xr:uid="{F00CCB8E-EFE4-485B-9786-B1EA51C80EC8}"/>
    <cellStyle name="Migliaia 47 4 4 2 2" xfId="39882" xr:uid="{64B4E10B-DE6E-459F-B8FE-B725F636A150}"/>
    <cellStyle name="Migliaia 47 4 4 2 3" xfId="45184" xr:uid="{46476A36-3D8E-4206-871F-269BF831535D}"/>
    <cellStyle name="Migliaia 47 4 4 3" xfId="37265" xr:uid="{DFB10F49-421C-4FE4-BD04-3A1D3C2FBD55}"/>
    <cellStyle name="Migliaia 47 4 4 4" xfId="42533" xr:uid="{385AEC5C-F8E6-4A08-A129-06638BE4306D}"/>
    <cellStyle name="Migliaia 47 4 4 5" xfId="12054" xr:uid="{E0FFC106-45FB-45B0-901B-404C5593CCBB}"/>
    <cellStyle name="Migliaia 47 4 5" xfId="3770" xr:uid="{F9FCEB1A-986E-4E83-835C-C19127D1077C}"/>
    <cellStyle name="Migliaia 47 4 5 2" xfId="34302" xr:uid="{8934BF95-58F3-439B-8399-E72EA57973E9}"/>
    <cellStyle name="Migliaia 47 4 5 2 2" xfId="39883" xr:uid="{F6B54338-B4CA-4495-89AC-3D50E216FFFE}"/>
    <cellStyle name="Migliaia 47 4 5 2 3" xfId="45185" xr:uid="{88C6E741-0D9F-4679-A2BB-3FCBA76BAE40}"/>
    <cellStyle name="Migliaia 47 4 5 3" xfId="37266" xr:uid="{CF44C9E1-8D31-447A-9EDF-CA54F5299BD2}"/>
    <cellStyle name="Migliaia 47 4 5 4" xfId="42534" xr:uid="{14FB4E05-FA8C-406A-84E7-2189948E61F4}"/>
    <cellStyle name="Migliaia 47 4 5 5" xfId="11401" xr:uid="{D2AC3E75-CB28-43A0-8150-4F331B3248A6}"/>
    <cellStyle name="Migliaia 47 4 6" xfId="10940" xr:uid="{43059E03-F228-42FD-A9FF-EDAB42BFEA98}"/>
    <cellStyle name="Migliaia 47 4 6 2" xfId="21575" xr:uid="{9BAE11F5-7C60-4DE0-B74E-DB602BA25AB0}"/>
    <cellStyle name="Migliaia 47 4 6 2 2" xfId="39884" xr:uid="{94CD6D63-FF19-4DC9-88B3-6757FFEB92AB}"/>
    <cellStyle name="Migliaia 47 4 6 2 3" xfId="45186" xr:uid="{167F5E53-2EEF-4BB6-B315-143B6DC3D7C3}"/>
    <cellStyle name="Migliaia 47 4 6 2 4" xfId="34303" xr:uid="{45970FDF-118E-4F5F-8245-3D02AB415C9E}"/>
    <cellStyle name="Migliaia 47 4 6 3" xfId="37267" xr:uid="{9D52B6B7-B8E6-413D-80B3-A4B9EA0133D2}"/>
    <cellStyle name="Migliaia 47 4 6 4" xfId="42535" xr:uid="{BA8E12E7-7A30-49F3-8647-E05AE62B0382}"/>
    <cellStyle name="Migliaia 47 4 6 5" xfId="25175" xr:uid="{DDAA58D1-6748-450E-9C5E-71AC8E415F49}"/>
    <cellStyle name="Migliaia 47 4 6 6" xfId="47209" xr:uid="{43F33F8B-82EC-4C3F-86E5-45485626CB39}"/>
    <cellStyle name="Migliaia 47 4 6 7" xfId="50590" xr:uid="{24D96710-579D-4661-876B-F940D92799D5}"/>
    <cellStyle name="Migliaia 47 4 6 8" xfId="53606" xr:uid="{F1907221-4F8C-4188-B04D-6A83049B0E47}"/>
    <cellStyle name="Migliaia 47 4 7" xfId="20775" xr:uid="{4616FDF0-D782-40FF-A5E8-D1C66BA71669}"/>
    <cellStyle name="Migliaia 47 4 7 2" xfId="34304" xr:uid="{A087E3AA-FDA1-4EA6-B5C0-660287B4685E}"/>
    <cellStyle name="Migliaia 47 4 7 2 2" xfId="39885" xr:uid="{671790B1-3947-4227-B19B-1F603F32E20F}"/>
    <cellStyle name="Migliaia 47 4 7 2 3" xfId="45187" xr:uid="{88188C6F-E99A-43E7-96C6-E5A5EC2BC9E4}"/>
    <cellStyle name="Migliaia 47 4 7 3" xfId="37268" xr:uid="{56AD5EC4-36C9-4E1C-B176-AF830DE32562}"/>
    <cellStyle name="Migliaia 47 4 7 4" xfId="42536" xr:uid="{9E7E177E-E8F4-4F5C-9FF8-E29EEA43A97A}"/>
    <cellStyle name="Migliaia 47 4 7 5" xfId="25176" xr:uid="{12F6CE44-6CD7-46BF-985F-67F1971FDEE7}"/>
    <cellStyle name="Migliaia 47 4 8" xfId="25172" xr:uid="{D2B142D3-3938-4E33-9FF4-B46043C009D8}"/>
    <cellStyle name="Migliaia 47 4 9" xfId="7540" xr:uid="{7E827C17-BC48-4F00-B021-4FE8A4FC4284}"/>
    <cellStyle name="Migliaia 47 5" xfId="1865" xr:uid="{00000000-0005-0000-0000-000038040000}"/>
    <cellStyle name="Migliaia 47 5 2" xfId="5498" xr:uid="{86B3F866-57F0-48F9-9415-1BB773E959A2}"/>
    <cellStyle name="Migliaia 47 5 2 2" xfId="18487" xr:uid="{59D2F3F2-36CB-4129-A6EE-F0F6705A92BC}"/>
    <cellStyle name="Migliaia 47 5 2 2 2" xfId="39886" xr:uid="{CF54274E-EDFC-4AF8-A992-BD3640DD425C}"/>
    <cellStyle name="Migliaia 47 5 2 2 3" xfId="45188" xr:uid="{02EDE3AB-2AFD-4F51-AA0A-54168F2039E2}"/>
    <cellStyle name="Migliaia 47 5 2 3" xfId="20778" xr:uid="{1ABF89EE-1A7F-45AD-8547-70D4ABF0BB45}"/>
    <cellStyle name="Migliaia 47 5 2 3 2" xfId="37269" xr:uid="{758377C9-09E3-4084-9A9A-5C6202C90F8E}"/>
    <cellStyle name="Migliaia 47 5 2 4" xfId="42537" xr:uid="{331F2717-0913-460E-92F6-D27E3E50AD55}"/>
    <cellStyle name="Migliaia 47 5 2 5" xfId="16662" xr:uid="{8C3BE350-9382-410B-B8E2-BD3C4ED1ABE9}"/>
    <cellStyle name="Migliaia 47 5 2 6" xfId="8731" xr:uid="{5FE614E9-92E4-445D-9D91-CB26BED698DC}"/>
    <cellStyle name="Migliaia 47 5 3" xfId="6680" xr:uid="{56F67C40-C458-4314-8602-2B88CD1860E9}"/>
    <cellStyle name="Migliaia 47 5 3 2" xfId="34305" xr:uid="{EA43E082-69C8-4F23-8B7B-637714CE4750}"/>
    <cellStyle name="Migliaia 47 5 3 2 2" xfId="39887" xr:uid="{00B0DA99-CB9E-4861-AE69-BDB4F2BFEFD2}"/>
    <cellStyle name="Migliaia 47 5 3 2 3" xfId="45189" xr:uid="{0C47D06F-4950-4B04-8219-2BB46FE2034E}"/>
    <cellStyle name="Migliaia 47 5 3 3" xfId="37270" xr:uid="{3EF8FBE0-EBFE-4905-974E-901E35C67FBC}"/>
    <cellStyle name="Migliaia 47 5 3 4" xfId="42538" xr:uid="{B12EFDA5-1456-4BF4-86F2-CA52577DC878}"/>
    <cellStyle name="Migliaia 47 5 3 5" xfId="11403" xr:uid="{4364C444-C7A6-4BD9-A6E2-33A88BA3A637}"/>
    <cellStyle name="Migliaia 47 5 4" xfId="3772" xr:uid="{EBD8CF46-CA09-4524-8FCF-CF63257C73A5}"/>
    <cellStyle name="Migliaia 47 5 4 2" xfId="21577" xr:uid="{2AE5CB77-C7EA-4E12-97AC-1123B35B834B}"/>
    <cellStyle name="Migliaia 47 5 4 2 2" xfId="39888" xr:uid="{100E6193-5BB1-4CCD-BF86-83DF0F6C823F}"/>
    <cellStyle name="Migliaia 47 5 4 2 3" xfId="45190" xr:uid="{207D17CA-B093-4A2F-9EF2-72622D47E5F6}"/>
    <cellStyle name="Migliaia 47 5 4 2 4" xfId="34306" xr:uid="{C75B337F-C82F-4473-93DD-601BDC4E634F}"/>
    <cellStyle name="Migliaia 47 5 4 3" xfId="37271" xr:uid="{A61B6B37-8D15-4FF3-AEA8-F37C933CF1EF}"/>
    <cellStyle name="Migliaia 47 5 4 4" xfId="42539" xr:uid="{82580673-AD6E-4CFF-8A2A-C473FE9D3D8D}"/>
    <cellStyle name="Migliaia 47 5 4 5" xfId="25178" xr:uid="{4B767563-C2BC-4BC3-9143-8F033BDB72C4}"/>
    <cellStyle name="Migliaia 47 5 4 6" xfId="47737" xr:uid="{9C41322F-AE9B-4FB1-8D44-85B711C3AECD}"/>
    <cellStyle name="Migliaia 47 5 4 7" xfId="50592" xr:uid="{D55843E9-3C4B-4D6C-825A-AED52732D35E}"/>
    <cellStyle name="Migliaia 47 5 4 8" xfId="53608" xr:uid="{C0D66378-E7C7-479E-9A92-C7ABB8C252CD}"/>
    <cellStyle name="Migliaia 47 5 4 9" xfId="10942" xr:uid="{10CFED4F-62EE-4880-BFB5-6CAFC949EA8E}"/>
    <cellStyle name="Migliaia 47 5 5" xfId="20777" xr:uid="{8227A77A-7AD5-4723-8D6D-C8A90F6B24E2}"/>
    <cellStyle name="Migliaia 47 5 5 2" xfId="34307" xr:uid="{7315FDD3-FE55-4F1D-A9CE-C7FAA0D15254}"/>
    <cellStyle name="Migliaia 47 5 5 2 2" xfId="39889" xr:uid="{C8BFBA6A-A8D7-4C4F-9927-DA7A036F37F9}"/>
    <cellStyle name="Migliaia 47 5 5 2 3" xfId="45191" xr:uid="{1B4960A9-F45B-4725-8984-76171523E32D}"/>
    <cellStyle name="Migliaia 47 5 5 3" xfId="37272" xr:uid="{1182978B-928C-4D22-A1D8-470D146EB666}"/>
    <cellStyle name="Migliaia 47 5 5 4" xfId="42540" xr:uid="{62531CC6-8D42-410F-B0E0-18531944B9E1}"/>
    <cellStyle name="Migliaia 47 5 5 5" xfId="25179" xr:uid="{57E02871-A959-4410-9F3E-889D5B668263}"/>
    <cellStyle name="Migliaia 47 5 6" xfId="25180" xr:uid="{78EE03AA-A6A4-4E3B-B5EA-FC1C6B6DB158}"/>
    <cellStyle name="Migliaia 47 5 6 2" xfId="34308" xr:uid="{6F666A42-85F3-40E7-AAF3-BBA1A19330C6}"/>
    <cellStyle name="Migliaia 47 5 6 2 2" xfId="39890" xr:uid="{ABB9EB56-9E65-44C1-9B67-AA0D59031097}"/>
    <cellStyle name="Migliaia 47 5 6 2 3" xfId="45192" xr:uid="{E357B4D5-6335-4164-B3D6-38FCAB282288}"/>
    <cellStyle name="Migliaia 47 5 6 3" xfId="37273" xr:uid="{624139EA-C295-4DA2-A89D-4E97E35EBF22}"/>
    <cellStyle name="Migliaia 47 5 6 4" xfId="42541" xr:uid="{795A4C96-086B-4DEF-89EB-E781A2E2CC36}"/>
    <cellStyle name="Migliaia 47 5 7" xfId="25177" xr:uid="{D26D3EB8-69C9-4146-B321-4A667E159B17}"/>
    <cellStyle name="Migliaia 47 5 8" xfId="7541" xr:uid="{FA7C2F83-FDA8-4B1B-A827-E3D238371F9A}"/>
    <cellStyle name="Migliaia 47 6" xfId="3773" xr:uid="{CDE3A044-E971-42C6-8D1A-07950CFB2EB2}"/>
    <cellStyle name="Migliaia 47 6 2" xfId="5499" xr:uid="{F400D2B8-F47C-4AB2-8FDC-7DABD42BFC71}"/>
    <cellStyle name="Migliaia 47 6 2 2" xfId="9963" xr:uid="{9D1CA0E8-F7D1-454F-BF78-469D824252A7}"/>
    <cellStyle name="Migliaia 47 6 2 3" xfId="18639" xr:uid="{D86548C1-0A91-4FAA-A8CD-F2D2D405CDE9}"/>
    <cellStyle name="Migliaia 47 6 2 4" xfId="20780" xr:uid="{ED84726D-0CBA-4C1F-A527-0C1BC533A2DB}"/>
    <cellStyle name="Migliaia 47 6 2 5" xfId="32445" xr:uid="{592FFEE5-BD12-4066-8F4F-01487BC938E4}"/>
    <cellStyle name="Migliaia 47 6 2 6" xfId="16664" xr:uid="{7696FC80-0402-4C3D-8E7A-FF453AF3444D}"/>
    <cellStyle name="Migliaia 47 6 2 7" xfId="8726" xr:uid="{9A0A6848-9991-4287-8B12-F015DFAB7739}"/>
    <cellStyle name="Migliaia 47 6 3" xfId="6681" xr:uid="{EC0021BD-192E-46FE-A9A3-1141A3CE7481}"/>
    <cellStyle name="Migliaia 47 6 3 2" xfId="35414" xr:uid="{B7B71E11-2DD0-450B-A5BF-3D55796950F3}"/>
    <cellStyle name="Migliaia 47 6 3 2 2" xfId="40574" xr:uid="{FF20BB84-2E60-42F2-8542-0A76D4EB8527}"/>
    <cellStyle name="Migliaia 47 6 3 2 3" xfId="45876" xr:uid="{728BFE40-9E0F-42D1-9D55-0A30879D7C26}"/>
    <cellStyle name="Migliaia 47 6 3 3" xfId="37923" xr:uid="{5840C7D0-87D0-4967-8700-93757C891569}"/>
    <cellStyle name="Migliaia 47 6 3 4" xfId="43225" xr:uid="{D143AABD-CA19-4F23-9CD7-5A4B78DDA1D9}"/>
    <cellStyle name="Migliaia 47 6 3 5" xfId="9726" xr:uid="{90164652-F29F-453F-81C0-5B9DCDB426BA}"/>
    <cellStyle name="Migliaia 47 6 4" xfId="20779" xr:uid="{3BD70A28-606D-4D4D-AF8B-5BB007553B83}"/>
    <cellStyle name="Migliaia 47 6 4 2" xfId="39891" xr:uid="{F3785E33-845C-46A8-8D42-2B2F0DA3FF8C}"/>
    <cellStyle name="Migliaia 47 6 4 3" xfId="45193" xr:uid="{92BB3B90-7FE9-4578-ABCB-C9D4A71C02A0}"/>
    <cellStyle name="Migliaia 47 6 4 4" xfId="34309" xr:uid="{07414CA7-5AC4-4FD8-831E-6A4B19178FBF}"/>
    <cellStyle name="Migliaia 47 6 5" xfId="37274" xr:uid="{35F37371-CF47-4DD9-B429-73C8F68AC1CE}"/>
    <cellStyle name="Migliaia 47 6 6" xfId="42542" xr:uid="{3B37100A-D174-4206-93FE-926B3C8AF1BC}"/>
    <cellStyle name="Migliaia 47 6 7" xfId="16663" xr:uid="{7DF49897-3F9B-4076-84B5-83D9EE6A269A}"/>
    <cellStyle name="Migliaia 47 6 8" xfId="7536" xr:uid="{2DAAA1AB-EE8A-4821-BDA5-1E5F20961114}"/>
    <cellStyle name="Migliaia 47 7" xfId="3774" xr:uid="{C7AA7706-B7C6-4C07-9B06-8E7E7687E563}"/>
    <cellStyle name="Migliaia 47 7 2" xfId="5500" xr:uid="{13CEC47B-BA4E-48F9-BB66-B74A36124A94}"/>
    <cellStyle name="Migliaia 47 7 2 2" xfId="35415" xr:uid="{EC4C61D0-3FC3-4C6A-A3CE-8E0088A89C72}"/>
    <cellStyle name="Migliaia 47 7 2 2 2" xfId="40575" xr:uid="{0C2A1DAD-825D-4DA7-A5FD-EAA5C6188E74}"/>
    <cellStyle name="Migliaia 47 7 2 2 3" xfId="45877" xr:uid="{9CB01EAC-A3AA-4D78-A46B-388D1A52372F}"/>
    <cellStyle name="Migliaia 47 7 2 3" xfId="37924" xr:uid="{2F1599AB-9FE8-4010-B695-D0D1C90E4917}"/>
    <cellStyle name="Migliaia 47 7 2 4" xfId="43226" xr:uid="{1477BB95-EC99-4900-BA53-1F49569CD794}"/>
    <cellStyle name="Migliaia 47 7 2 5" xfId="14302" xr:uid="{17A18AEB-4099-454D-9221-DDFD68E631AB}"/>
    <cellStyle name="Migliaia 47 7 3" xfId="6682" xr:uid="{40D4BAE2-4E95-4EB8-9D1E-7B92E5A019F4}"/>
    <cellStyle name="Migliaia 47 7 3 2" xfId="39892" xr:uid="{AC41E8DF-CFA0-4AB9-BB93-1182A9BF0FC5}"/>
    <cellStyle name="Migliaia 47 7 3 3" xfId="45194" xr:uid="{E703F0D0-8088-4F10-BA47-864AFB5A2FAE}"/>
    <cellStyle name="Migliaia 47 7 3 4" xfId="34310" xr:uid="{10353415-06DB-4385-B0D1-CC1B5A37DDB1}"/>
    <cellStyle name="Migliaia 47 7 3 5" xfId="20781" xr:uid="{087F3623-F37C-4AD5-9A63-66C044283945}"/>
    <cellStyle name="Migliaia 47 7 4" xfId="37275" xr:uid="{6FC80417-5590-42A3-A999-4C2A545133F7}"/>
    <cellStyle name="Migliaia 47 7 5" xfId="42543" xr:uid="{129A6DA8-76F9-4C59-A3D8-273ACA19720C}"/>
    <cellStyle name="Migliaia 47 7 6" xfId="16665" xr:uid="{7CB74436-6501-4947-8333-FA0F0FAB89FD}"/>
    <cellStyle name="Migliaia 47 7 7" xfId="8364" xr:uid="{DF1C7B4B-F237-45FB-810B-0D39E0A9133C}"/>
    <cellStyle name="Migliaia 47 8" xfId="3775" xr:uid="{20A380C3-7557-4424-BBD7-E92C1A0DB05F}"/>
    <cellStyle name="Migliaia 47 8 2" xfId="5501" xr:uid="{7F8D32F9-8891-4C85-BD71-A5A12F9C5C85}"/>
    <cellStyle name="Migliaia 47 8 2 2" xfId="35416" xr:uid="{D3400A62-1112-43E9-A3DE-8FDF07051C23}"/>
    <cellStyle name="Migliaia 47 8 2 2 2" xfId="40576" xr:uid="{AA972A2C-6F08-461F-B7EA-F3E02AC52146}"/>
    <cellStyle name="Migliaia 47 8 2 2 3" xfId="45878" xr:uid="{B1C7E997-02BA-4A0F-986E-2ED40AA78322}"/>
    <cellStyle name="Migliaia 47 8 2 3" xfId="37925" xr:uid="{1395AF42-F734-4E91-9FB5-03553DEAEBE9}"/>
    <cellStyle name="Migliaia 47 8 2 4" xfId="43227" xr:uid="{1BC47B1E-5ED4-4B27-AEC3-9E1C6B2D8A5B}"/>
    <cellStyle name="Migliaia 47 8 2 5" xfId="14007" xr:uid="{A0117D08-C797-45F5-91D1-4A6F8F9093D4}"/>
    <cellStyle name="Migliaia 47 8 3" xfId="6683" xr:uid="{DA3599F0-5027-4D8D-9DA6-4F90B5F6B702}"/>
    <cellStyle name="Migliaia 47 8 3 2" xfId="39893" xr:uid="{D8F62528-1756-45A1-8685-536E5D516420}"/>
    <cellStyle name="Migliaia 47 8 3 3" xfId="45195" xr:uid="{75289C44-4E3B-4C66-BDB6-40BBDDF16037}"/>
    <cellStyle name="Migliaia 47 8 3 4" xfId="34311" xr:uid="{9F9B9402-BFBA-4857-B5F9-50649EB10F25}"/>
    <cellStyle name="Migliaia 47 8 3 5" xfId="20782" xr:uid="{DD9EFA82-B360-420C-A338-9BBED71BBC72}"/>
    <cellStyle name="Migliaia 47 8 4" xfId="37276" xr:uid="{0A28D8B8-3F8E-4041-A919-369A6D3867AD}"/>
    <cellStyle name="Migliaia 47 8 5" xfId="42544" xr:uid="{D75A7EDA-84E5-438A-B904-180C6B16BC03}"/>
    <cellStyle name="Migliaia 47 8 6" xfId="16666" xr:uid="{BB79D7FD-D58B-4A29-B3D6-FC7C4113E3F0}"/>
    <cellStyle name="Migliaia 47 8 7" xfId="7986" xr:uid="{C9C6A09E-0C2C-4357-AE41-481088D8B7D6}"/>
    <cellStyle name="Migliaia 47 9" xfId="5486" xr:uid="{57D67CFF-0252-4A5F-A505-D0751A14898B}"/>
    <cellStyle name="Migliaia 47 9 2" xfId="34312" xr:uid="{9D681870-1127-4431-87AD-3B873D64408F}"/>
    <cellStyle name="Migliaia 47 9 2 2" xfId="39894" xr:uid="{2C0D8306-21E2-4EB0-B41A-CAE78B5FC550}"/>
    <cellStyle name="Migliaia 47 9 2 3" xfId="45196" xr:uid="{0768250D-6548-4A89-B97B-DC6C5E85C775}"/>
    <cellStyle name="Migliaia 47 9 3" xfId="37277" xr:uid="{BCD2F151-A845-4802-A396-30304C4EF8BB}"/>
    <cellStyle name="Migliaia 47 9 4" xfId="42545" xr:uid="{785EF9D5-89E2-4638-8563-38FC7DA245E4}"/>
    <cellStyle name="Migliaia 47 9 5" xfId="17217" xr:uid="{681B3650-A6EE-4F22-8494-870E93A3D940}"/>
    <cellStyle name="Migliaia 48" xfId="469" xr:uid="{00000000-0005-0000-0000-000039040000}"/>
    <cellStyle name="Migliaia 48 10" xfId="6684" xr:uid="{3D47937B-DB6C-4AC4-ADF6-63CAEF2DB7F1}"/>
    <cellStyle name="Migliaia 48 10 2" xfId="39895" xr:uid="{71A8DC60-A678-4483-8416-F53F749A5868}"/>
    <cellStyle name="Migliaia 48 10 3" xfId="45197" xr:uid="{5B9D4E74-A503-4283-9274-672D64689E0E}"/>
    <cellStyle name="Migliaia 48 10 4" xfId="34313" xr:uid="{6332E180-C799-49C8-93E4-E91050893A4F}"/>
    <cellStyle name="Migliaia 48 10 5" xfId="20783" xr:uid="{E8FC5488-56D2-407D-B9F6-89AA2340509C}"/>
    <cellStyle name="Migliaia 48 11" xfId="3776" xr:uid="{7DEA1472-11A5-44F9-AB88-6330FB2FE8D6}"/>
    <cellStyle name="Migliaia 48 11 2" xfId="37278" xr:uid="{AABD7D6E-3C3C-440B-97A1-2DDB9B1CC6A8}"/>
    <cellStyle name="Migliaia 48 12" xfId="42546" xr:uid="{29E9E20D-2C51-41FC-A98B-0B747865654A}"/>
    <cellStyle name="Migliaia 48 13" xfId="7168" xr:uid="{511DBFB1-128D-493E-88C7-742167E02EE3}"/>
    <cellStyle name="Migliaia 48 2" xfId="470" xr:uid="{00000000-0005-0000-0000-00003A040000}"/>
    <cellStyle name="Migliaia 48 2 2" xfId="1866" xr:uid="{00000000-0005-0000-0000-00003B040000}"/>
    <cellStyle name="Migliaia 48 2 2 2" xfId="5504" xr:uid="{6389DF05-C1F1-4A24-8A92-26C60F8D97CA}"/>
    <cellStyle name="Migliaia 48 2 2 2 2" xfId="14405" xr:uid="{FFE3E2EA-67AB-4F47-AF2F-A5FFFDF51922}"/>
    <cellStyle name="Migliaia 48 2 2 2 2 2" xfId="39896" xr:uid="{FFB0ADE5-17E7-4241-BC03-CD1EE7B66962}"/>
    <cellStyle name="Migliaia 48 2 2 2 2 3" xfId="45198" xr:uid="{7C106805-BFDA-447F-AF5F-4A333FF41F02}"/>
    <cellStyle name="Migliaia 48 2 2 2 3" xfId="18488" xr:uid="{2E324FD4-BCAE-4801-8262-DA513B0999EE}"/>
    <cellStyle name="Migliaia 48 2 2 2 4" xfId="20786" xr:uid="{E75F2792-84CF-46F4-AFBC-E536A9BD6D04}"/>
    <cellStyle name="Migliaia 48 2 2 2 4 2" xfId="42547" xr:uid="{C5F67810-ACEF-415E-8606-47865B7F6E84}"/>
    <cellStyle name="Migliaia 48 2 2 2 5" xfId="16667" xr:uid="{8CABD6C0-99C8-44CD-9F33-1559F60136FB}"/>
    <cellStyle name="Migliaia 48 2 2 2 6" xfId="8733" xr:uid="{8433486C-2D72-47B0-8A03-D37B40D77ECD}"/>
    <cellStyle name="Migliaia 48 2 2 3" xfId="6686" xr:uid="{1B73C074-83AA-422B-A239-B68041C08319}"/>
    <cellStyle name="Migliaia 48 2 2 3 2" xfId="35417" xr:uid="{B574AF1C-0533-4E3E-ADE0-240947924408}"/>
    <cellStyle name="Migliaia 48 2 2 3 2 2" xfId="40577" xr:uid="{872BE6E3-FB1B-427B-A601-98AB766E3473}"/>
    <cellStyle name="Migliaia 48 2 2 3 2 3" xfId="45879" xr:uid="{2FECBEC7-FE14-4038-86E2-6B539CF36D67}"/>
    <cellStyle name="Migliaia 48 2 2 3 3" xfId="37926" xr:uid="{A7D75EB5-6978-42C0-9AC5-DB6780DCEFB1}"/>
    <cellStyle name="Migliaia 48 2 2 3 4" xfId="43228" xr:uid="{604BB730-8AF9-4332-BC8F-4ACBDCB00B0E}"/>
    <cellStyle name="Migliaia 48 2 2 3 5" xfId="11632" xr:uid="{BC77FAEB-B172-4C10-A5E1-2522EA398BE9}"/>
    <cellStyle name="Migliaia 48 2 2 4" xfId="3778" xr:uid="{8A4CCAC0-0234-4289-9063-52FAA553EA87}"/>
    <cellStyle name="Migliaia 48 2 2 4 2" xfId="21578" xr:uid="{0719EF64-4425-41CF-8B43-7AFFF7FE7546}"/>
    <cellStyle name="Migliaia 48 2 2 4 3" xfId="48432" xr:uid="{01404B25-73BE-4254-928B-96478CA17F00}"/>
    <cellStyle name="Migliaia 48 2 2 4 4" xfId="50593" xr:uid="{A95067B8-835D-45AE-977E-7DFF12B840C6}"/>
    <cellStyle name="Migliaia 48 2 2 4 5" xfId="53609" xr:uid="{436282F3-73CA-45E3-9E8E-D90A3FCA8D35}"/>
    <cellStyle name="Migliaia 48 2 2 4 6" xfId="10943" xr:uid="{7E8FB35A-DFA1-470C-BFE6-DF2C44DBDD6A}"/>
    <cellStyle name="Migliaia 48 2 2 5" xfId="20785" xr:uid="{4742E514-C0B0-4C0A-B06B-7BBF74005212}"/>
    <cellStyle name="Migliaia 48 2 2 6" xfId="25187" xr:uid="{9552922C-5052-45D5-ACCD-1845E92A2A6E}"/>
    <cellStyle name="Migliaia 48 2 2 7" xfId="7543" xr:uid="{2B7FA726-340C-4BCA-B5CA-2A7B6273EDA8}"/>
    <cellStyle name="Migliaia 48 2 3" xfId="3779" xr:uid="{8ECAB38A-695B-4371-9215-6C326D33AF86}"/>
    <cellStyle name="Migliaia 48 2 3 2" xfId="5505" xr:uid="{BA9D5057-023E-4B8F-A2EB-2C343CF56E11}"/>
    <cellStyle name="Migliaia 48 2 3 2 2" xfId="35418" xr:uid="{277C38CA-B840-4D3A-A252-DE14348E6F80}"/>
    <cellStyle name="Migliaia 48 2 3 2 2 2" xfId="40578" xr:uid="{03343EEA-EE2A-4635-BB94-B2F4D79478AE}"/>
    <cellStyle name="Migliaia 48 2 3 2 2 3" xfId="45880" xr:uid="{3B689167-FEF5-463C-9308-4C626784112B}"/>
    <cellStyle name="Migliaia 48 2 3 2 3" xfId="37927" xr:uid="{70933116-8B4D-44E9-BE84-8F8CEBC98763}"/>
    <cellStyle name="Migliaia 48 2 3 2 4" xfId="43229" xr:uid="{CB737483-9D3C-40E5-9FCC-A39D70B4B237}"/>
    <cellStyle name="Migliaia 48 2 3 2 5" xfId="14306" xr:uid="{FE080E35-CD86-4D6B-BA58-7E34E868C666}"/>
    <cellStyle name="Migliaia 48 2 3 3" xfId="6687" xr:uid="{78BB7882-912F-4C9D-9563-DB64300C24F6}"/>
    <cellStyle name="Migliaia 48 2 3 3 2" xfId="39897" xr:uid="{BA340F37-AF87-40EE-A8A9-9CCFE2F0280D}"/>
    <cellStyle name="Migliaia 48 2 3 3 3" xfId="45199" xr:uid="{EEDA2C6D-7EB8-4E7E-8812-FB71E9F2CA1B}"/>
    <cellStyle name="Migliaia 48 2 3 3 4" xfId="34315" xr:uid="{9EB2FD98-0C59-4490-ABB3-12808F80E096}"/>
    <cellStyle name="Migliaia 48 2 3 3 5" xfId="20787" xr:uid="{0CC3DF0D-C426-43A7-9063-2B1B81A43FF8}"/>
    <cellStyle name="Migliaia 48 2 3 4" xfId="37280" xr:uid="{642A6966-1CCB-41C5-94FA-D89F32B034A8}"/>
    <cellStyle name="Migliaia 48 2 3 5" xfId="42548" xr:uid="{BFC69EB1-5F36-41DC-BA24-C8DD98E490F8}"/>
    <cellStyle name="Migliaia 48 2 3 6" xfId="16668" xr:uid="{CD26F154-3AEE-4FAD-A9DE-6ED3423E1C80}"/>
    <cellStyle name="Migliaia 48 2 3 7" xfId="8368" xr:uid="{7060236D-7CAC-4357-B18F-49642F5DFCC0}"/>
    <cellStyle name="Migliaia 48 2 4" xfId="5503" xr:uid="{643AE65E-EC19-4928-AA9D-32E5AA3C1274}"/>
    <cellStyle name="Migliaia 48 2 4 2" xfId="14011" xr:uid="{3B828AE0-063E-43B1-AD7E-E873522F4FFD}"/>
    <cellStyle name="Migliaia 48 2 4 2 2" xfId="39898" xr:uid="{1269C178-C7FD-4D4E-B0C8-3C5A5103D2FF}"/>
    <cellStyle name="Migliaia 48 2 4 2 3" xfId="45200" xr:uid="{E9B56106-79AA-41AB-8609-E41E68FC2929}"/>
    <cellStyle name="Migliaia 48 2 4 3" xfId="18696" xr:uid="{FF69DBD1-9CE1-46AC-8A0D-46326B883C3A}"/>
    <cellStyle name="Migliaia 48 2 4 4" xfId="20788" xr:uid="{E447062E-A0FA-4CCD-BA86-E7E44CB0B438}"/>
    <cellStyle name="Migliaia 48 2 4 4 2" xfId="42549" xr:uid="{897134C2-1BBC-406B-BD43-396150AAE3EC}"/>
    <cellStyle name="Migliaia 48 2 4 5" xfId="16669" xr:uid="{C39EC201-DE2F-4AD6-88E6-09458216FA63}"/>
    <cellStyle name="Migliaia 48 2 4 6" xfId="7991" xr:uid="{EEBFC40C-3E0F-404F-8B85-3A694FE4FF58}"/>
    <cellStyle name="Migliaia 48 2 5" xfId="6685" xr:uid="{DA6EF1CF-B13B-4420-9C74-34694DEDEDB6}"/>
    <cellStyle name="Migliaia 48 2 5 2" xfId="34316" xr:uid="{FD7706BD-F86D-440D-BCD4-C5E45E570B30}"/>
    <cellStyle name="Migliaia 48 2 5 2 2" xfId="39899" xr:uid="{294BD096-831A-40A0-AA7C-0F99B6E590B8}"/>
    <cellStyle name="Migliaia 48 2 5 2 3" xfId="45201" xr:uid="{2F3615CA-4DA4-4C60-BF2F-384FAA552AFF}"/>
    <cellStyle name="Migliaia 48 2 5 3" xfId="37281" xr:uid="{28726015-86E5-4EB5-A505-4C3CCB0CE7E6}"/>
    <cellStyle name="Migliaia 48 2 5 4" xfId="42550" xr:uid="{6D86E9C2-3A0A-486D-9B86-B8A9357CD41E}"/>
    <cellStyle name="Migliaia 48 2 5 5" xfId="13145" xr:uid="{69CECA01-0F72-421B-BFC0-AA85C792C6D8}"/>
    <cellStyle name="Migliaia 48 2 6" xfId="3777" xr:uid="{00EF5211-487E-4A7D-B71D-62B98ED4D1D0}"/>
    <cellStyle name="Migliaia 48 2 6 2" xfId="34317" xr:uid="{499E3DC3-3FE2-4CB4-85A7-E624B3C9021E}"/>
    <cellStyle name="Migliaia 48 2 6 2 2" xfId="39900" xr:uid="{6600DF1C-7D39-4FA8-8B5C-4B8247BF94D8}"/>
    <cellStyle name="Migliaia 48 2 6 2 3" xfId="45202" xr:uid="{CD920690-B4E3-412F-A2F3-A2CFCB9A4329}"/>
    <cellStyle name="Migliaia 48 2 6 3" xfId="37282" xr:uid="{62982527-E09C-4F5D-860B-39DD33F928F4}"/>
    <cellStyle name="Migliaia 48 2 6 4" xfId="42551" xr:uid="{FD675EF6-C570-4315-9F12-89439A3D73A8}"/>
    <cellStyle name="Migliaia 48 2 6 5" xfId="25189" xr:uid="{2BAA33F9-3707-485B-9948-4C9E1DEC371E}"/>
    <cellStyle name="Migliaia 48 2 6 6" xfId="20784" xr:uid="{0C83BD0D-2B53-462D-AC1E-F725EE23E9C1}"/>
    <cellStyle name="Migliaia 48 2 7" xfId="25186" xr:uid="{9A755F64-F5D0-4EA9-B6CA-2F3469117E67}"/>
    <cellStyle name="Migliaia 48 2 8" xfId="7169" xr:uid="{01F9929A-044C-4775-BD7C-16606CA89933}"/>
    <cellStyle name="Migliaia 48 3" xfId="471" xr:uid="{00000000-0005-0000-0000-00003C040000}"/>
    <cellStyle name="Migliaia 48 3 10" xfId="25190" xr:uid="{5E0E0345-9F4A-4BE3-91B0-BDD154688338}"/>
    <cellStyle name="Migliaia 48 3 11" xfId="16670" xr:uid="{CDF0C226-BF04-4097-B1E6-8A02C29E0B61}"/>
    <cellStyle name="Migliaia 48 3 12" xfId="7170" xr:uid="{D9D2E1A3-6172-4540-8D20-9943FCDF0556}"/>
    <cellStyle name="Migliaia 48 3 2" xfId="472" xr:uid="{00000000-0005-0000-0000-00003D040000}"/>
    <cellStyle name="Migliaia 48 3 2 2" xfId="1867" xr:uid="{00000000-0005-0000-0000-00003E040000}"/>
    <cellStyle name="Migliaia 48 3 2 2 2" xfId="5508" xr:uid="{AC7ED50C-0128-4CA4-89E0-F70F4FD41733}"/>
    <cellStyle name="Migliaia 48 3 2 2 2 2" xfId="18489" xr:uid="{0E5CD169-6D0E-41DC-80E4-EB38EEE88461}"/>
    <cellStyle name="Migliaia 48 3 2 2 2 2 2" xfId="21883" xr:uid="{0D069C24-EE1D-4AF7-8BA4-FF6F42322153}"/>
    <cellStyle name="Migliaia 48 3 2 2 2 2 2 2" xfId="39901" xr:uid="{76584A69-7A6C-410A-8BDA-DAE9D5FDAE40}"/>
    <cellStyle name="Migliaia 48 3 2 2 2 2 3" xfId="45203" xr:uid="{E4BF8832-8DE9-4B96-8D40-1E375C975F3C}"/>
    <cellStyle name="Migliaia 48 3 2 2 2 2 4" xfId="34318" xr:uid="{7FB4D5FC-AA7D-4C45-A64A-BB423C0D2927}"/>
    <cellStyle name="Migliaia 48 3 2 2 2 3" xfId="37283" xr:uid="{583A3562-DDC9-4199-8B6D-C08C1601A3C5}"/>
    <cellStyle name="Migliaia 48 3 2 2 2 4" xfId="42552" xr:uid="{C349A94A-C3D0-4756-B8A2-C6AFDD104DBA}"/>
    <cellStyle name="Migliaia 48 3 2 2 2 5" xfId="48578" xr:uid="{7E1E7E45-E117-4EDC-BCC3-DB2289B5DD25}"/>
    <cellStyle name="Migliaia 48 3 2 2 2 6" xfId="50911" xr:uid="{9F4A93F7-D939-46DE-A224-B9B94672153F}"/>
    <cellStyle name="Migliaia 48 3 2 2 2 7" xfId="53927" xr:uid="{9D9E544E-B177-4D6A-B6A6-48DF847C7E26}"/>
    <cellStyle name="Migliaia 48 3 2 2 2 8" xfId="17681" xr:uid="{3FF10A45-A951-4DD8-A4B3-3FAF13C35538}"/>
    <cellStyle name="Migliaia 48 3 2 2 2 9" xfId="12055" xr:uid="{5E4FBE32-05B4-4D07-B182-27D2B23EF3B8}"/>
    <cellStyle name="Migliaia 48 3 2 2 3" xfId="6690" xr:uid="{DC76F674-9FC7-4B44-A8F0-EC3B3B69E631}"/>
    <cellStyle name="Migliaia 48 3 2 2 3 2" xfId="11178" xr:uid="{D92C78ED-84F7-4002-A5A4-DCC4188DEC44}"/>
    <cellStyle name="Migliaia 48 3 2 2 4" xfId="3782" xr:uid="{2F07C70B-EA86-474D-AC16-D8DEF1E3E3B9}"/>
    <cellStyle name="Migliaia 48 3 2 2 4 2" xfId="21579" xr:uid="{61BDC72F-A0AA-459F-8E36-61CE6181858C}"/>
    <cellStyle name="Migliaia 48 3 2 2 4 3" xfId="48530" xr:uid="{60814731-617F-48DF-B2A7-0DCDA7042140}"/>
    <cellStyle name="Migliaia 48 3 2 2 4 4" xfId="50594" xr:uid="{9A0E4ABB-DE2E-4A07-9A3E-B5BE372FAF6C}"/>
    <cellStyle name="Migliaia 48 3 2 2 4 5" xfId="53610" xr:uid="{D46DBC5F-B176-4565-9EF3-1B633BBC35F5}"/>
    <cellStyle name="Migliaia 48 3 2 2 4 6" xfId="10944" xr:uid="{F0102A04-5665-40B3-A5F5-C05956DA3AA6}"/>
    <cellStyle name="Migliaia 48 3 2 2 5" xfId="20791" xr:uid="{BA13CE46-532A-4DBE-AF90-3AA304E18AF1}"/>
    <cellStyle name="Migliaia 48 3 2 2 6" xfId="25192" xr:uid="{18873292-8E9B-452A-829B-321EC01D2481}"/>
    <cellStyle name="Migliaia 48 3 2 2 7" xfId="8735" xr:uid="{246B3C80-3672-424C-B21D-123277BBD91D}"/>
    <cellStyle name="Migliaia 48 3 2 3" xfId="5507" xr:uid="{DB6A0758-D8D0-4739-B8FF-73BC2C69B6A3}"/>
    <cellStyle name="Migliaia 48 3 2 3 2" xfId="11107" xr:uid="{236C2EDF-AA38-41B3-9DE7-455A9A659949}"/>
    <cellStyle name="Migliaia 48 3 2 3 2 2" xfId="39902" xr:uid="{01AA14B7-F6A7-482D-8E21-FE7080AD579B}"/>
    <cellStyle name="Migliaia 48 3 2 3 2 3" xfId="45204" xr:uid="{7D88B59A-9708-43B5-9182-E08437E45BE1}"/>
    <cellStyle name="Migliaia 48 3 2 3 2 4" xfId="34319" xr:uid="{632A7D35-1DA0-4C98-9D29-D96B30611A7C}"/>
    <cellStyle name="Migliaia 48 3 2 3 3" xfId="12056" xr:uid="{3C3F4E35-ACF8-4551-ABCD-D313E2581384}"/>
    <cellStyle name="Migliaia 48 3 2 3 4" xfId="20792" xr:uid="{C6D2A29F-90C3-4591-8097-FCAE9D48B32A}"/>
    <cellStyle name="Migliaia 48 3 2 3 4 2" xfId="42553" xr:uid="{DD6F8419-522F-45FE-BD1A-E3BA4F414EA3}"/>
    <cellStyle name="Migliaia 48 3 2 3 5" xfId="16671" xr:uid="{98795B0B-89D1-4698-9D48-F4A20D316C4D}"/>
    <cellStyle name="Migliaia 48 3 2 3 6" xfId="7993" xr:uid="{EB5362FD-38CC-48FA-A197-7E191016E187}"/>
    <cellStyle name="Migliaia 48 3 2 4" xfId="6689" xr:uid="{450F15B9-738A-4853-9C42-3284AD0A0193}"/>
    <cellStyle name="Migliaia 48 3 2 4 2" xfId="18099" xr:uid="{B81FF524-C3EE-4856-8218-AF62481C2599}"/>
    <cellStyle name="Migliaia 48 3 2 4 2 2" xfId="39903" xr:uid="{6C602E76-B239-4CE6-B838-B1FA2F9AE16D}"/>
    <cellStyle name="Migliaia 48 3 2 4 2 3" xfId="45205" xr:uid="{492EFB8E-343B-43A4-B083-96F8824570F0}"/>
    <cellStyle name="Migliaia 48 3 2 4 3" xfId="37284" xr:uid="{CA7B2C91-7795-4C4D-B12A-D63FDF6B6EB9}"/>
    <cellStyle name="Migliaia 48 3 2 4 4" xfId="42554" xr:uid="{124C4903-977B-4D91-88D7-5080F2F70CFB}"/>
    <cellStyle name="Migliaia 48 3 2 4 5" xfId="17220" xr:uid="{EDE0BACA-B299-471A-AED9-296FCFA073A7}"/>
    <cellStyle name="Migliaia 48 3 2 4 6" xfId="11404" xr:uid="{070EB49D-9A58-40C2-A185-B362F92B7AAD}"/>
    <cellStyle name="Migliaia 48 3 2 5" xfId="3781" xr:uid="{4AA643C6-73FD-4601-BAAF-AB97EA0EE2EE}"/>
    <cellStyle name="Migliaia 48 3 2 5 2" xfId="34320" xr:uid="{CE72EF21-9871-4809-B155-029D4EFA4666}"/>
    <cellStyle name="Migliaia 48 3 2 5 2 2" xfId="39904" xr:uid="{A9645318-0FA7-46CA-97AD-09652CBCEC93}"/>
    <cellStyle name="Migliaia 48 3 2 5 2 3" xfId="45206" xr:uid="{F3D47164-E324-4710-AEDD-8FC717DA8EEB}"/>
    <cellStyle name="Migliaia 48 3 2 5 3" xfId="37285" xr:uid="{C2454A70-BD40-4E33-AD4C-74BC5DDC46F3}"/>
    <cellStyle name="Migliaia 48 3 2 5 4" xfId="42555" xr:uid="{CEECAE3E-401E-4B69-A7AC-2D847D572176}"/>
    <cellStyle name="Migliaia 48 3 2 5 5" xfId="17300" xr:uid="{6CB01F70-1EB9-4755-BEA2-0D6D1A522888}"/>
    <cellStyle name="Migliaia 48 3 2 6" xfId="20790" xr:uid="{FA323745-B210-414A-B862-E3F295FCEF5A}"/>
    <cellStyle name="Migliaia 48 3 2 6 2" xfId="34321" xr:uid="{2EADC999-6AA6-44C3-AD8E-F82A45B4DFC2}"/>
    <cellStyle name="Migliaia 48 3 2 6 2 2" xfId="39905" xr:uid="{D8C1D67C-507B-4FDD-A21B-0C99F7D0880A}"/>
    <cellStyle name="Migliaia 48 3 2 6 2 3" xfId="45207" xr:uid="{E9575110-854D-4A62-9B32-DA004112001D}"/>
    <cellStyle name="Migliaia 48 3 2 6 3" xfId="37286" xr:uid="{42FE3723-E83E-45DB-9BB2-355C86FF82EF}"/>
    <cellStyle name="Migliaia 48 3 2 6 4" xfId="42556" xr:uid="{72F41237-6630-465F-8916-75DAE0CA22F2}"/>
    <cellStyle name="Migliaia 48 3 2 6 5" xfId="25193" xr:uid="{610CDB42-42D9-4135-AA02-82D30DEDFD1F}"/>
    <cellStyle name="Migliaia 48 3 2 7" xfId="25191" xr:uid="{24596585-9359-43EA-A305-191CB990CF6B}"/>
    <cellStyle name="Migliaia 48 3 2 8" xfId="7545" xr:uid="{AA3011A2-974A-4F6F-BEFB-F5FCADDEE849}"/>
    <cellStyle name="Migliaia 48 3 3" xfId="3783" xr:uid="{C74081EA-1D19-46DC-B806-49767859E545}"/>
    <cellStyle name="Migliaia 48 3 3 10" xfId="7544" xr:uid="{BC9920B4-7A72-4FD7-BDEC-9B8E1FBE7118}"/>
    <cellStyle name="Migliaia 48 3 3 2" xfId="5509" xr:uid="{39CFEEF8-C86C-4A81-B443-88762A4AE44B}"/>
    <cellStyle name="Migliaia 48 3 3 2 2" xfId="9966" xr:uid="{75D8A674-C99B-4032-B4BD-339D98FB097D}"/>
    <cellStyle name="Migliaia 48 3 3 2 2 2" xfId="39907" xr:uid="{FABD7A2A-49CC-4CD1-9C3C-9CA82F637BA8}"/>
    <cellStyle name="Migliaia 48 3 3 2 2 3" xfId="45209" xr:uid="{35F16C11-451F-4A9D-9DCA-29933614DD47}"/>
    <cellStyle name="Migliaia 48 3 3 2 3" xfId="18246" xr:uid="{FF3A1DAA-0FEE-4AFA-AE0E-425E28F01EAA}"/>
    <cellStyle name="Migliaia 48 3 3 2 4" xfId="20794" xr:uid="{3B696FF1-518F-4211-ABB1-1D19F8AF3CA2}"/>
    <cellStyle name="Migliaia 48 3 3 2 4 2" xfId="42558" xr:uid="{8C0DBB3B-39D0-4712-887C-228062204B5D}"/>
    <cellStyle name="Migliaia 48 3 3 2 5" xfId="16673" xr:uid="{C706ECD3-296D-4646-A776-B50058FFF1D7}"/>
    <cellStyle name="Migliaia 48 3 3 2 6" xfId="8734" xr:uid="{69AD834F-EA76-4277-99B1-719C49595F90}"/>
    <cellStyle name="Migliaia 48 3 3 3" xfId="6691" xr:uid="{AF1AD14A-AE50-4630-A229-9F0F396F30D8}"/>
    <cellStyle name="Migliaia 48 3 3 3 2" xfId="34323" xr:uid="{44E05175-F8E4-4BC5-A63B-8D0547A06642}"/>
    <cellStyle name="Migliaia 48 3 3 3 2 2" xfId="39908" xr:uid="{617CE376-0C72-43F2-8E83-FCB976D2A1E2}"/>
    <cellStyle name="Migliaia 48 3 3 3 2 3" xfId="45210" xr:uid="{0E1D64CE-92F7-4552-BCCE-595EFE4314E7}"/>
    <cellStyle name="Migliaia 48 3 3 3 3" xfId="37288" xr:uid="{31722E77-AFBD-437A-AD0E-DB6176AC7542}"/>
    <cellStyle name="Migliaia 48 3 3 3 4" xfId="42559" xr:uid="{1FC18113-7F4B-4535-AB0B-1770C5E30F92}"/>
    <cellStyle name="Migliaia 48 3 3 3 5" xfId="9729" xr:uid="{161DF7C3-8068-4DBA-B18E-6CF1BAE5BC9A}"/>
    <cellStyle name="Migliaia 48 3 3 4" xfId="20793" xr:uid="{3A6EB377-C45F-41BC-9F4B-756241C061DD}"/>
    <cellStyle name="Migliaia 48 3 3 4 2" xfId="34324" xr:uid="{2CE57851-2DBE-4075-B490-A8942B28FAD9}"/>
    <cellStyle name="Migliaia 48 3 3 4 2 2" xfId="39909" xr:uid="{FE971DB6-015D-44E9-82F6-1D60DCF9EF74}"/>
    <cellStyle name="Migliaia 48 3 3 4 2 3" xfId="45211" xr:uid="{A217FF19-D124-4056-8E1A-9FB382DA6323}"/>
    <cellStyle name="Migliaia 48 3 3 4 3" xfId="37289" xr:uid="{B2F6E3F0-7224-4825-A855-09769B5D25B3}"/>
    <cellStyle name="Migliaia 48 3 3 4 4" xfId="42560" xr:uid="{1B42A339-08DF-4045-B2E8-51D184500510}"/>
    <cellStyle name="Migliaia 48 3 3 4 5" xfId="25194" xr:uid="{FA85DD8E-A5F6-4555-BB92-6201508A6D2A}"/>
    <cellStyle name="Migliaia 48 3 3 5" xfId="25195" xr:uid="{FF0B154D-775A-414F-9037-B220C2EB6A19}"/>
    <cellStyle name="Migliaia 48 3 3 5 2" xfId="34325" xr:uid="{72B9530E-1771-4635-9A9E-537FE14D912E}"/>
    <cellStyle name="Migliaia 48 3 3 5 2 2" xfId="39910" xr:uid="{4A9C3008-B846-4827-A3A4-D28E56E25A88}"/>
    <cellStyle name="Migliaia 48 3 3 5 2 3" xfId="45212" xr:uid="{C47B872F-039E-4651-B96E-9E902300C914}"/>
    <cellStyle name="Migliaia 48 3 3 5 3" xfId="37290" xr:uid="{125D2236-E651-4D1D-9B54-CD5F899ACA5B}"/>
    <cellStyle name="Migliaia 48 3 3 5 4" xfId="42561" xr:uid="{8F7CC100-7A4E-4E83-905C-6D7268411E30}"/>
    <cellStyle name="Migliaia 48 3 3 6" xfId="34322" xr:uid="{760DE741-BA78-4245-9767-61475F3852F9}"/>
    <cellStyle name="Migliaia 48 3 3 6 2" xfId="39906" xr:uid="{8289D6F9-B2B3-4815-AC71-7F78274CCC79}"/>
    <cellStyle name="Migliaia 48 3 3 6 3" xfId="45208" xr:uid="{514D9855-B6E4-47EE-A755-07ACD6E8A4FF}"/>
    <cellStyle name="Migliaia 48 3 3 7" xfId="37287" xr:uid="{174A627A-6AF6-4531-971A-D0EACB340E36}"/>
    <cellStyle name="Migliaia 48 3 3 8" xfId="42557" xr:uid="{B447DE2D-62B7-4D4D-8D5B-48B7D538217C}"/>
    <cellStyle name="Migliaia 48 3 3 9" xfId="16672" xr:uid="{F40A4708-5635-4D8B-8BDC-320F887468EC}"/>
    <cellStyle name="Migliaia 48 3 4" xfId="3784" xr:uid="{4847FAC4-0631-46AF-ADCD-401C2B28AF6D}"/>
    <cellStyle name="Migliaia 48 3 4 2" xfId="5510" xr:uid="{A8F58F4C-594A-463E-B524-886752F71768}"/>
    <cellStyle name="Migliaia 48 3 4 2 2" xfId="14465" xr:uid="{15CF7C00-4393-4155-802E-34BD2D0499DF}"/>
    <cellStyle name="Migliaia 48 3 4 2 3" xfId="18134" xr:uid="{2F74B57A-FA8A-4026-97CE-53ADC679C103}"/>
    <cellStyle name="Migliaia 48 3 4 2 4" xfId="20796" xr:uid="{CED4C17A-2861-45F5-B826-3E727586295B}"/>
    <cellStyle name="Migliaia 48 3 4 2 5" xfId="32449" xr:uid="{2DA9706A-E65C-4B60-AA88-D0354EC4B77F}"/>
    <cellStyle name="Migliaia 48 3 4 2 6" xfId="16675" xr:uid="{B8269B55-A731-43CE-8B19-07F81E4400AF}"/>
    <cellStyle name="Migliaia 48 3 4 2 7" xfId="8888" xr:uid="{D0C9FE1E-EC44-48BE-A3A9-1F100B4D67E4}"/>
    <cellStyle name="Migliaia 48 3 4 3" xfId="6692" xr:uid="{3087FD74-8AE7-4B3E-8131-DA762FF0E701}"/>
    <cellStyle name="Migliaia 48 3 4 3 2" xfId="35419" xr:uid="{DCD84910-8505-41DA-A8A9-4680E7C79A1B}"/>
    <cellStyle name="Migliaia 48 3 4 3 2 2" xfId="40579" xr:uid="{088FFA95-4A40-43CB-9F33-7C021CA8E1E0}"/>
    <cellStyle name="Migliaia 48 3 4 3 2 3" xfId="45881" xr:uid="{BDA89DE6-C0ED-41B2-9A0C-C3C1689107D6}"/>
    <cellStyle name="Migliaia 48 3 4 3 3" xfId="37928" xr:uid="{CBD58126-B816-45FA-B67F-DBAB66AB68D4}"/>
    <cellStyle name="Migliaia 48 3 4 3 4" xfId="43230" xr:uid="{33F9F1FD-F6F4-46E9-B51F-A9988D0B0ECE}"/>
    <cellStyle name="Migliaia 48 3 4 3 5" xfId="13713" xr:uid="{49E7CC5E-F5F3-459C-B268-89696A7E488F}"/>
    <cellStyle name="Migliaia 48 3 4 4" xfId="20795" xr:uid="{D358C62C-3AC8-4173-9E06-C05F76B781A0}"/>
    <cellStyle name="Migliaia 48 3 4 4 2" xfId="39911" xr:uid="{F212BCA0-90DE-4BD7-9375-16CFEAF425C5}"/>
    <cellStyle name="Migliaia 48 3 4 4 3" xfId="45213" xr:uid="{8A0EFED3-1177-4CA7-863C-1D89F7F1E601}"/>
    <cellStyle name="Migliaia 48 3 4 4 4" xfId="34326" xr:uid="{C0156715-244F-4692-A189-CC612B59E023}"/>
    <cellStyle name="Migliaia 48 3 4 5" xfId="37291" xr:uid="{0552153D-6C99-49CE-8676-4DF871CC59AD}"/>
    <cellStyle name="Migliaia 48 3 4 6" xfId="42562" xr:uid="{BD7E8D36-F717-4BC5-9E1C-8B1DAB1F80F7}"/>
    <cellStyle name="Migliaia 48 3 4 7" xfId="16674" xr:uid="{754A7BA8-F37B-4C68-A198-FEBCC8543644}"/>
    <cellStyle name="Migliaia 48 3 4 8" xfId="7698" xr:uid="{BBAAA4F5-8D61-4CCC-8757-252E12E403E3}"/>
    <cellStyle name="Migliaia 48 3 5" xfId="3785" xr:uid="{68DF3283-8196-4DE0-A23E-0163C178D0FF}"/>
    <cellStyle name="Migliaia 48 3 5 2" xfId="5511" xr:uid="{D15ECDD6-20D1-4F4E-BE84-5B3A9629EA01}"/>
    <cellStyle name="Migliaia 48 3 5 2 2" xfId="35420" xr:uid="{ADA58CE5-825D-466F-9E99-216E85119776}"/>
    <cellStyle name="Migliaia 48 3 5 2 2 2" xfId="40580" xr:uid="{BA3E57FE-77D7-4104-9F91-F3F55F3657DC}"/>
    <cellStyle name="Migliaia 48 3 5 2 2 3" xfId="45882" xr:uid="{8571430C-BEDA-4534-8BB5-31B41B061E37}"/>
    <cellStyle name="Migliaia 48 3 5 2 3" xfId="37929" xr:uid="{8A25C452-69B3-4ED3-B314-95F36A624513}"/>
    <cellStyle name="Migliaia 48 3 5 2 4" xfId="43231" xr:uid="{B967788C-4760-4A3F-8A95-98CC997FC1AB}"/>
    <cellStyle name="Migliaia 48 3 5 2 5" xfId="14307" xr:uid="{8C9FA3BC-0920-430D-9078-4A8653461C0E}"/>
    <cellStyle name="Migliaia 48 3 5 3" xfId="6693" xr:uid="{372D6505-49C2-43C8-8F6B-0E0B786D6CE9}"/>
    <cellStyle name="Migliaia 48 3 5 3 2" xfId="39912" xr:uid="{8D3DAE34-8B16-4FCF-A5B2-D42567E8A342}"/>
    <cellStyle name="Migliaia 48 3 5 3 3" xfId="45214" xr:uid="{CECA242D-7532-434E-9644-5E8103178A00}"/>
    <cellStyle name="Migliaia 48 3 5 3 4" xfId="34327" xr:uid="{978D9292-7FF5-49DB-8822-5E15A0C83357}"/>
    <cellStyle name="Migliaia 48 3 5 3 5" xfId="20797" xr:uid="{A18A5677-CC86-417D-B758-370FB0581260}"/>
    <cellStyle name="Migliaia 48 3 5 4" xfId="37292" xr:uid="{1BE62ADA-8AA2-46AC-80EB-C1AD34BCA2F3}"/>
    <cellStyle name="Migliaia 48 3 5 5" xfId="42563" xr:uid="{14207CC5-1021-410C-AFCD-908DB7BAC271}"/>
    <cellStyle name="Migliaia 48 3 5 6" xfId="16676" xr:uid="{64D614CD-78E4-4225-A0A8-08ABA3FC0E2E}"/>
    <cellStyle name="Migliaia 48 3 5 7" xfId="8369" xr:uid="{2F603D21-7D0B-49EB-BCDB-AA79803E3F9F}"/>
    <cellStyle name="Migliaia 48 3 6" xfId="5506" xr:uid="{AEA81241-B79B-4D67-ACB4-BE74D8BBD72C}"/>
    <cellStyle name="Migliaia 48 3 6 2" xfId="14012" xr:uid="{8AB5A21C-2E1C-4147-901D-D0C8B03325AA}"/>
    <cellStyle name="Migliaia 48 3 6 2 2" xfId="39913" xr:uid="{E0386945-B96D-4882-AADD-C14EB4ACBB44}"/>
    <cellStyle name="Migliaia 48 3 6 2 3" xfId="45215" xr:uid="{8DCE9D0C-BA85-4744-9AE0-0CEA7CD97A96}"/>
    <cellStyle name="Migliaia 48 3 6 3" xfId="18606" xr:uid="{FFB9AA45-7CB3-4B3B-A02A-9E6D7EAE5C3A}"/>
    <cellStyle name="Migliaia 48 3 6 4" xfId="20798" xr:uid="{DD8941A8-DBDF-4083-A027-15250E57762B}"/>
    <cellStyle name="Migliaia 48 3 6 4 2" xfId="42564" xr:uid="{F1620333-B4E6-4F6A-B4A7-9262125A3F1F}"/>
    <cellStyle name="Migliaia 48 3 6 5" xfId="16677" xr:uid="{174314A3-133D-4420-9C73-66616405A0D7}"/>
    <cellStyle name="Migliaia 48 3 6 6" xfId="7992" xr:uid="{C624E57A-CFBB-420C-B8A5-9E6F6B70718B}"/>
    <cellStyle name="Migliaia 48 3 7" xfId="6688" xr:uid="{65A0DD9E-D934-48B0-9E79-7D59EBB52E88}"/>
    <cellStyle name="Migliaia 48 3 7 2" xfId="34328" xr:uid="{D2F1C04C-6214-4A2F-92E2-FFA2F99E95D1}"/>
    <cellStyle name="Migliaia 48 3 7 2 2" xfId="39914" xr:uid="{2ECD03DA-9F45-48BB-8BDB-91CE539FD6AE}"/>
    <cellStyle name="Migliaia 48 3 7 2 3" xfId="45216" xr:uid="{27BFBBC3-F9CD-4062-A0F8-4E5007461437}"/>
    <cellStyle name="Migliaia 48 3 7 3" xfId="37293" xr:uid="{02AC31D0-84EA-4AC0-A0A1-2171F015FECA}"/>
    <cellStyle name="Migliaia 48 3 7 4" xfId="42565" xr:uid="{EBF20BE5-26F0-439A-92C1-FD4C9731B123}"/>
    <cellStyle name="Migliaia 48 3 7 5" xfId="11169" xr:uid="{6F9AB829-C8E6-43A8-BB50-765A8DE0AAD7}"/>
    <cellStyle name="Migliaia 48 3 8" xfId="3780" xr:uid="{54C99EC7-1A21-41CB-B9D2-4922FEB3971F}"/>
    <cellStyle name="Migliaia 48 3 8 2" xfId="34329" xr:uid="{C1183BBB-61E6-4E6F-98C3-F927A98DC901}"/>
    <cellStyle name="Migliaia 48 3 8 2 2" xfId="39915" xr:uid="{08DADE00-D8CB-48C8-8634-6C87CDD8D097}"/>
    <cellStyle name="Migliaia 48 3 8 2 3" xfId="45217" xr:uid="{AC0E0425-A958-43D8-BA94-0A1A96C683E7}"/>
    <cellStyle name="Migliaia 48 3 8 3" xfId="37294" xr:uid="{2C11E3DF-4065-4643-9A31-D17FD24892F9}"/>
    <cellStyle name="Migliaia 48 3 8 4" xfId="42566" xr:uid="{B39EB8BF-6C15-4E04-818D-02BDD3826800}"/>
    <cellStyle name="Migliaia 48 3 8 5" xfId="25196" xr:uid="{D16B441E-F3C5-44E3-AA30-600105453BA3}"/>
    <cellStyle name="Migliaia 48 3 8 6" xfId="17301" xr:uid="{1FEA1972-C098-4A72-8EBB-7B009AE684C1}"/>
    <cellStyle name="Migliaia 48 3 9" xfId="20789" xr:uid="{741130FB-F7BE-4D60-AEFF-0832C5A2F5A0}"/>
    <cellStyle name="Migliaia 48 4" xfId="1868" xr:uid="{00000000-0005-0000-0000-00003F040000}"/>
    <cellStyle name="Migliaia 48 4 2" xfId="1869" xr:uid="{00000000-0005-0000-0000-000040040000}"/>
    <cellStyle name="Migliaia 48 4 2 2" xfId="5513" xr:uid="{AEB9DAD4-3907-46EA-B673-E6C58C2C56CC}"/>
    <cellStyle name="Migliaia 48 4 2 2 2" xfId="34330" xr:uid="{9FA21B63-0641-40A7-A385-F50E1E40CD0F}"/>
    <cellStyle name="Migliaia 48 4 2 2 2 2" xfId="39916" xr:uid="{C6836BE7-19D6-46DC-A707-01D90CCE95DE}"/>
    <cellStyle name="Migliaia 48 4 2 2 2 3" xfId="45218" xr:uid="{9A4F4AFB-6F1B-4BAD-BE39-38E3251732F8}"/>
    <cellStyle name="Migliaia 48 4 2 2 3" xfId="37295" xr:uid="{3E0E5EEF-27CB-4529-85AC-C70A9292491B}"/>
    <cellStyle name="Migliaia 48 4 2 2 4" xfId="42567" xr:uid="{E030154A-678D-4854-92B0-74D164970EB2}"/>
    <cellStyle name="Migliaia 48 4 2 2 5" xfId="9192" xr:uid="{C1726DDD-E37D-488A-8CA9-A7FC90BB46FB}"/>
    <cellStyle name="Migliaia 48 4 2 3" xfId="3787" xr:uid="{21864041-358F-4787-A0D0-CEBF4A88267F}"/>
    <cellStyle name="Migliaia 48 4 2 3 2" xfId="34331" xr:uid="{0F995EC9-B509-4191-A7CF-1099806DC8D2}"/>
    <cellStyle name="Migliaia 48 4 2 3 2 2" xfId="39917" xr:uid="{510F5DD4-783B-4608-BA2F-B585389DC1B3}"/>
    <cellStyle name="Migliaia 48 4 2 3 2 3" xfId="45219" xr:uid="{D55659E3-89A0-4490-A2E6-26B45C1624DE}"/>
    <cellStyle name="Migliaia 48 4 2 3 3" xfId="37296" xr:uid="{BC9221A4-05CD-4741-812C-ABFCB7C695A4}"/>
    <cellStyle name="Migliaia 48 4 2 3 4" xfId="42568" xr:uid="{AB6C5D17-89D0-4B5C-9154-93F9C8A0B7A4}"/>
    <cellStyle name="Migliaia 48 4 2 3 5" xfId="12057" xr:uid="{94E9441E-BFFE-4804-AB86-9EA839B1D236}"/>
    <cellStyle name="Migliaia 48 4 2 4" xfId="11406" xr:uid="{DABAD712-615A-478A-908E-1FDC8702B9DC}"/>
    <cellStyle name="Migliaia 48 4 2 5" xfId="10946" xr:uid="{AA314360-7A50-4110-9DD4-BB8654E57D74}"/>
    <cellStyle name="Migliaia 48 4 2 5 2" xfId="21581" xr:uid="{2DFAB021-3423-48F8-A65E-8CFB867D8FAE}"/>
    <cellStyle name="Migliaia 48 4 2 5 3" xfId="48478" xr:uid="{AC573756-DD3B-4DB6-A1A0-2A5882091D8E}"/>
    <cellStyle name="Migliaia 48 4 2 5 4" xfId="50596" xr:uid="{AE0815AC-7C14-4B64-95B1-89C26C86610C}"/>
    <cellStyle name="Migliaia 48 4 2 5 5" xfId="53612" xr:uid="{DEFCF27B-EB8E-4F48-AF54-91A38C1F6AAC}"/>
    <cellStyle name="Migliaia 48 4 2 6" xfId="20800" xr:uid="{3C02D39B-92BE-4D8F-9C43-0B8866AAFF5F}"/>
    <cellStyle name="Migliaia 48 4 2 7" xfId="25198" xr:uid="{CEC4ED92-5708-41CB-A0FE-0248EE974CD6}"/>
    <cellStyle name="Migliaia 48 4 2 8" xfId="8736" xr:uid="{EF92C7AD-40F8-4993-AF6E-1B87417E2C22}"/>
    <cellStyle name="Migliaia 48 4 3" xfId="5512" xr:uid="{D0DE0E64-6928-447B-BFF8-913E4CB69654}"/>
    <cellStyle name="Migliaia 48 4 3 2" xfId="18247" xr:uid="{7AEB2BF4-181B-4FE4-ABB0-F12DA7BC54F9}"/>
    <cellStyle name="Migliaia 48 4 3 2 2" xfId="39918" xr:uid="{0DC6FF48-6CDE-460C-B53D-C04CF9BD2C99}"/>
    <cellStyle name="Migliaia 48 4 3 2 3" xfId="45220" xr:uid="{1A7FDF82-EF67-4C5A-8604-7B038736E579}"/>
    <cellStyle name="Migliaia 48 4 3 3" xfId="37297" xr:uid="{FA76F945-D140-4F1D-97D2-1502F6D31D71}"/>
    <cellStyle name="Migliaia 48 4 3 4" xfId="42569" xr:uid="{61F3998D-9B5A-48A2-AF52-6A60B0B4FCB3}"/>
    <cellStyle name="Migliaia 48 4 3 5" xfId="17299" xr:uid="{625BCA23-9CE5-456D-9365-EE6BB41AB917}"/>
    <cellStyle name="Migliaia 48 4 3 6" xfId="9193" xr:uid="{687DA09B-6FDE-4F62-BF0B-763B3D21E260}"/>
    <cellStyle name="Migliaia 48 4 4" xfId="6694" xr:uid="{D7A7A348-6AA8-4B1C-985B-206A2DDBF0E5}"/>
    <cellStyle name="Migliaia 48 4 4 2" xfId="34332" xr:uid="{05FCB37E-25F3-4ED3-A46D-BF4D12B7EF9C}"/>
    <cellStyle name="Migliaia 48 4 4 2 2" xfId="39919" xr:uid="{6AE4CFE8-765F-43A4-863B-B528AA1C804F}"/>
    <cellStyle name="Migliaia 48 4 4 2 3" xfId="45221" xr:uid="{87D0BD30-662F-4137-9838-A322223AFF66}"/>
    <cellStyle name="Migliaia 48 4 4 3" xfId="37298" xr:uid="{CA6D168C-4BC8-4CF3-92CA-D7B714D6DD85}"/>
    <cellStyle name="Migliaia 48 4 4 4" xfId="42570" xr:uid="{B36135AA-3725-46EE-BA2A-A6AF820A309C}"/>
    <cellStyle name="Migliaia 48 4 4 5" xfId="12058" xr:uid="{95C5183D-FA0A-411A-AE4E-0EA761C00494}"/>
    <cellStyle name="Migliaia 48 4 5" xfId="3786" xr:uid="{DCB3BB2B-D570-4C4D-9C7D-404AEB09421F}"/>
    <cellStyle name="Migliaia 48 4 5 2" xfId="34333" xr:uid="{F317DB74-3092-4A13-8FCD-1B4754C2DD40}"/>
    <cellStyle name="Migliaia 48 4 5 2 2" xfId="39920" xr:uid="{5B6534C1-4748-449C-B6C1-9C07EA1F984F}"/>
    <cellStyle name="Migliaia 48 4 5 2 3" xfId="45222" xr:uid="{0DC51601-BF63-4BD5-8780-5B5A85C77282}"/>
    <cellStyle name="Migliaia 48 4 5 3" xfId="37299" xr:uid="{E55487DD-57A7-4BC1-B363-878011C8F213}"/>
    <cellStyle name="Migliaia 48 4 5 4" xfId="42571" xr:uid="{B86A2225-5525-4DF9-BAB3-D519C11ADA09}"/>
    <cellStyle name="Migliaia 48 4 5 5" xfId="11405" xr:uid="{DEC180DF-A449-4328-B8C0-9F88E10714CA}"/>
    <cellStyle name="Migliaia 48 4 6" xfId="10945" xr:uid="{D8037709-78B7-46DF-A685-88FC4F1D5044}"/>
    <cellStyle name="Migliaia 48 4 6 2" xfId="21580" xr:uid="{F4792857-B0D1-4641-9C42-D2F87CEBADF0}"/>
    <cellStyle name="Migliaia 48 4 6 2 2" xfId="39921" xr:uid="{EC20A3CB-36CE-4081-8B10-F07D2289254B}"/>
    <cellStyle name="Migliaia 48 4 6 2 3" xfId="45223" xr:uid="{5C90095C-69F9-4617-BE2A-E1F07A629115}"/>
    <cellStyle name="Migliaia 48 4 6 2 4" xfId="34334" xr:uid="{FF24ECAC-7BAF-4377-AAEC-8EC60AFAE592}"/>
    <cellStyle name="Migliaia 48 4 6 3" xfId="37300" xr:uid="{E584B651-4AE2-4382-8B99-87FE4652915A}"/>
    <cellStyle name="Migliaia 48 4 6 4" xfId="42572" xr:uid="{4A5EE25B-0A4A-466A-A3BD-0773DBB886B4}"/>
    <cellStyle name="Migliaia 48 4 6 5" xfId="25199" xr:uid="{353D44A7-803F-4C5C-8D0A-845AE63C33A4}"/>
    <cellStyle name="Migliaia 48 4 6 6" xfId="47087" xr:uid="{1E41E4AC-6CEB-43F6-BFC2-C9FA10D68137}"/>
    <cellStyle name="Migliaia 48 4 6 7" xfId="50595" xr:uid="{DD321EE7-6858-404B-9B40-22666293B95A}"/>
    <cellStyle name="Migliaia 48 4 6 8" xfId="53611" xr:uid="{EB6FDC66-73F3-4794-948F-D52D983DFBE9}"/>
    <cellStyle name="Migliaia 48 4 7" xfId="20799" xr:uid="{31D0549D-4E16-4A01-93D5-15D548E7F235}"/>
    <cellStyle name="Migliaia 48 4 7 2" xfId="34335" xr:uid="{65043A76-4FE1-4F4B-84A1-4A5C844F56EA}"/>
    <cellStyle name="Migliaia 48 4 7 2 2" xfId="39922" xr:uid="{507B0798-0322-437F-BF4A-C16722BBAF22}"/>
    <cellStyle name="Migliaia 48 4 7 2 3" xfId="45224" xr:uid="{4AE6FC8E-C9F1-4E97-8D31-5976758A14C6}"/>
    <cellStyle name="Migliaia 48 4 7 3" xfId="37301" xr:uid="{28A0EF39-6C7E-4A2E-9C5D-6747B92F0A4D}"/>
    <cellStyle name="Migliaia 48 4 7 4" xfId="42573" xr:uid="{9A85AE3B-F616-495A-8792-03BF61FF9490}"/>
    <cellStyle name="Migliaia 48 4 7 5" xfId="25200" xr:uid="{8F24C04A-1255-446D-8925-CDFC862F9C9C}"/>
    <cellStyle name="Migliaia 48 4 8" xfId="25197" xr:uid="{34D4006E-EEE9-4EFC-8EF3-9A04F73AFB04}"/>
    <cellStyle name="Migliaia 48 4 9" xfId="7546" xr:uid="{09CD6FC3-4AAB-4E94-8373-376163F166CE}"/>
    <cellStyle name="Migliaia 48 5" xfId="1870" xr:uid="{00000000-0005-0000-0000-000041040000}"/>
    <cellStyle name="Migliaia 48 5 2" xfId="5514" xr:uid="{87CCBA65-76AE-4546-A10E-067202ABDBCD}"/>
    <cellStyle name="Migliaia 48 5 2 2" xfId="18490" xr:uid="{FE6C9DBE-C4DE-407B-B011-E0F839E767B8}"/>
    <cellStyle name="Migliaia 48 5 2 2 2" xfId="39923" xr:uid="{CFD1D766-A687-4370-B6EF-8E2B51943C0F}"/>
    <cellStyle name="Migliaia 48 5 2 2 3" xfId="45225" xr:uid="{E484F37B-1DDB-4C9E-A941-CD96F7D16B36}"/>
    <cellStyle name="Migliaia 48 5 2 3" xfId="20802" xr:uid="{984A8E86-AF09-4981-9A9F-5CAD17CE70FE}"/>
    <cellStyle name="Migliaia 48 5 2 3 2" xfId="37302" xr:uid="{418B0B65-2F2F-4DA3-9094-669EA7FAC1FE}"/>
    <cellStyle name="Migliaia 48 5 2 4" xfId="42574" xr:uid="{8D947594-45FA-4D9B-9228-859B7B4A4926}"/>
    <cellStyle name="Migliaia 48 5 2 5" xfId="16678" xr:uid="{8122314A-1FA9-45F6-BA3C-94DCC0F43432}"/>
    <cellStyle name="Migliaia 48 5 2 6" xfId="8737" xr:uid="{8DDD49AE-6052-4370-B575-8D7FEA0D1B6B}"/>
    <cellStyle name="Migliaia 48 5 3" xfId="6695" xr:uid="{35ED1B91-CC29-48E0-B959-5DCE55C6E8D4}"/>
    <cellStyle name="Migliaia 48 5 3 2" xfId="34336" xr:uid="{89BAA414-31B2-4E2B-9EA5-099FC398E862}"/>
    <cellStyle name="Migliaia 48 5 3 2 2" xfId="39924" xr:uid="{457939C9-9F36-44C6-A899-3F728B5C7E23}"/>
    <cellStyle name="Migliaia 48 5 3 2 3" xfId="45226" xr:uid="{5CC64CE9-5B84-41F5-B01B-E6474C394B40}"/>
    <cellStyle name="Migliaia 48 5 3 3" xfId="37303" xr:uid="{C667D726-5E5E-4260-9F85-AC34A1D66525}"/>
    <cellStyle name="Migliaia 48 5 3 4" xfId="42575" xr:uid="{15F2FB6D-1895-45AD-8061-37A648FD19A3}"/>
    <cellStyle name="Migliaia 48 5 3 5" xfId="11407" xr:uid="{77646003-CEC8-4F2B-935D-11B3C73D62CB}"/>
    <cellStyle name="Migliaia 48 5 4" xfId="3788" xr:uid="{E7E88798-A9FA-4AB5-BBE1-D8E55D93FAF6}"/>
    <cellStyle name="Migliaia 48 5 4 2" xfId="21582" xr:uid="{FA47319C-17BC-4B0E-9286-5CE3F17D5546}"/>
    <cellStyle name="Migliaia 48 5 4 2 2" xfId="39925" xr:uid="{6C72F2A1-7C6B-4AE2-AD21-1E09494807F3}"/>
    <cellStyle name="Migliaia 48 5 4 2 3" xfId="45227" xr:uid="{8A270DFF-B57F-4801-B304-B7DA132270D6}"/>
    <cellStyle name="Migliaia 48 5 4 2 4" xfId="34337" xr:uid="{3C75A034-9FB2-4488-91BC-AFEAEBF72294}"/>
    <cellStyle name="Migliaia 48 5 4 3" xfId="37304" xr:uid="{473D6342-6714-4A06-A638-91A2C03FB130}"/>
    <cellStyle name="Migliaia 48 5 4 4" xfId="42576" xr:uid="{67634ED4-1E08-49FB-9CA0-F6E676B84A2C}"/>
    <cellStyle name="Migliaia 48 5 4 5" xfId="25202" xr:uid="{0A52C892-79B4-4362-8D61-F7E3120E2226}"/>
    <cellStyle name="Migliaia 48 5 4 6" xfId="46991" xr:uid="{5830593E-994E-4AB2-85F6-AB0B405E5A42}"/>
    <cellStyle name="Migliaia 48 5 4 7" xfId="50597" xr:uid="{79828EE0-3F68-4630-B81C-B79DBEC945D0}"/>
    <cellStyle name="Migliaia 48 5 4 8" xfId="53613" xr:uid="{4464BB53-B1C8-40F3-B099-513A0BDD4831}"/>
    <cellStyle name="Migliaia 48 5 4 9" xfId="10947" xr:uid="{5FFAEDB9-2918-42D5-8A78-9BDF83394ACC}"/>
    <cellStyle name="Migliaia 48 5 5" xfId="20801" xr:uid="{8E1DB324-CCD3-4D01-9E03-E3E4BD2DFE88}"/>
    <cellStyle name="Migliaia 48 5 5 2" xfId="34338" xr:uid="{E40BEA21-ADBE-4670-B13D-B9F2A8E12116}"/>
    <cellStyle name="Migliaia 48 5 5 2 2" xfId="39926" xr:uid="{E1DF89A7-3BED-4774-9CB1-3582C751108B}"/>
    <cellStyle name="Migliaia 48 5 5 2 3" xfId="45228" xr:uid="{2C811034-501D-4A52-A380-9E978CD2902A}"/>
    <cellStyle name="Migliaia 48 5 5 3" xfId="37305" xr:uid="{37B83766-B5C1-4576-B0B3-3F4A9FCB130C}"/>
    <cellStyle name="Migliaia 48 5 5 4" xfId="42577" xr:uid="{4F716E40-D8C2-43F4-AA5C-460B77A72E85}"/>
    <cellStyle name="Migliaia 48 5 5 5" xfId="25203" xr:uid="{697BA2ED-E7A2-4E49-B3DA-83A43B67BF03}"/>
    <cellStyle name="Migliaia 48 5 6" xfId="25204" xr:uid="{14F92297-64A0-4DAC-84C7-30A9167E1020}"/>
    <cellStyle name="Migliaia 48 5 6 2" xfId="34339" xr:uid="{C802D5B7-D1B4-41DA-9622-1DCD37D98C8D}"/>
    <cellStyle name="Migliaia 48 5 6 2 2" xfId="39927" xr:uid="{5AFB58E2-0401-4DD2-A2FA-5AC7343940A3}"/>
    <cellStyle name="Migliaia 48 5 6 2 3" xfId="45229" xr:uid="{A8044929-E903-4568-A09C-D2FFB406CDB0}"/>
    <cellStyle name="Migliaia 48 5 6 3" xfId="37306" xr:uid="{2DA40D9B-0632-4050-8E3C-E28A129BCE51}"/>
    <cellStyle name="Migliaia 48 5 6 4" xfId="42578" xr:uid="{8E963313-8F05-4C74-ADF5-6CFD6A5E4586}"/>
    <cellStyle name="Migliaia 48 5 7" xfId="25201" xr:uid="{96D660CF-4EA6-45E5-8010-651986390126}"/>
    <cellStyle name="Migliaia 48 5 8" xfId="7547" xr:uid="{2679216B-6EE0-497B-AABA-331889F04E2E}"/>
    <cellStyle name="Migliaia 48 6" xfId="3789" xr:uid="{A50335F4-9147-45BE-AFF9-EFB3F1D643B8}"/>
    <cellStyle name="Migliaia 48 6 2" xfId="5515" xr:uid="{953A9F1D-C700-457D-8ED2-D6588F439E22}"/>
    <cellStyle name="Migliaia 48 6 2 2" xfId="9965" xr:uid="{5902E5FB-8E6D-4BA7-8E3A-82C7B8B23B9E}"/>
    <cellStyle name="Migliaia 48 6 2 3" xfId="18638" xr:uid="{8CB9CB36-34BE-4BD4-9AD7-CA6BA18144C9}"/>
    <cellStyle name="Migliaia 48 6 2 4" xfId="20804" xr:uid="{8179E165-825B-4FFA-BABC-842C9919E723}"/>
    <cellStyle name="Migliaia 48 6 2 5" xfId="32450" xr:uid="{829E2618-D3AC-4CFC-AA0D-81662B035F80}"/>
    <cellStyle name="Migliaia 48 6 2 6" xfId="16680" xr:uid="{CDA72F4F-2D5C-408F-981A-AF5F9A20C74C}"/>
    <cellStyle name="Migliaia 48 6 2 7" xfId="8732" xr:uid="{BC18908C-CA04-44EB-AAC6-1BF934FD785E}"/>
    <cellStyle name="Migliaia 48 6 3" xfId="6696" xr:uid="{1A306D7D-4DE1-4F4C-AB24-98A481D733E4}"/>
    <cellStyle name="Migliaia 48 6 3 2" xfId="35421" xr:uid="{F34598B2-AC15-44FE-895C-C5A69AA1DDD9}"/>
    <cellStyle name="Migliaia 48 6 3 2 2" xfId="40581" xr:uid="{4AF51E5A-6EF0-44A0-8298-C7160D1521DE}"/>
    <cellStyle name="Migliaia 48 6 3 2 3" xfId="45883" xr:uid="{32478DB7-F2D8-41D8-A6F9-C35DAAD9932E}"/>
    <cellStyle name="Migliaia 48 6 3 3" xfId="37930" xr:uid="{042A621F-EB58-4C86-BB67-919E051825B2}"/>
    <cellStyle name="Migliaia 48 6 3 4" xfId="43232" xr:uid="{EDA5885C-57F9-4CA8-B771-2C590264978F}"/>
    <cellStyle name="Migliaia 48 6 3 5" xfId="9728" xr:uid="{6BA8E892-7A2E-4065-89F7-F6349A359A30}"/>
    <cellStyle name="Migliaia 48 6 4" xfId="20803" xr:uid="{51BEAC6B-6F5B-4903-8416-B0F26FC636EA}"/>
    <cellStyle name="Migliaia 48 6 4 2" xfId="39928" xr:uid="{0B205A92-25D7-4FD6-BB74-0B38CE706A09}"/>
    <cellStyle name="Migliaia 48 6 4 3" xfId="45230" xr:uid="{C9AFF8C4-2FDC-439E-AF6E-8311FAE07FFA}"/>
    <cellStyle name="Migliaia 48 6 4 4" xfId="34340" xr:uid="{738E1DBF-1178-47C4-BF95-2C77AF9DABAB}"/>
    <cellStyle name="Migliaia 48 6 5" xfId="37307" xr:uid="{2F4D7584-1C26-46ED-9201-7B9DD37038CA}"/>
    <cellStyle name="Migliaia 48 6 6" xfId="42579" xr:uid="{650D3992-5F49-4F8D-B8CF-64978D997860}"/>
    <cellStyle name="Migliaia 48 6 7" xfId="16679" xr:uid="{2D2E5DC2-F4D4-4C13-82BD-885323F2A504}"/>
    <cellStyle name="Migliaia 48 6 8" xfId="7542" xr:uid="{518A33E8-497D-4A42-8CB5-F80CCA1195B4}"/>
    <cellStyle name="Migliaia 48 7" xfId="3790" xr:uid="{2FABA8D4-0C29-44AF-948E-607CD9ADA7C4}"/>
    <cellStyle name="Migliaia 48 7 2" xfId="5516" xr:uid="{25700625-F857-42BC-B736-C3433CD70E9F}"/>
    <cellStyle name="Migliaia 48 7 2 2" xfId="35422" xr:uid="{7B9AE0B4-E022-40ED-A76D-6BEC05259EFF}"/>
    <cellStyle name="Migliaia 48 7 2 2 2" xfId="40582" xr:uid="{A28229E8-1C80-4A9B-88BB-2DFE2A590EAC}"/>
    <cellStyle name="Migliaia 48 7 2 2 3" xfId="45884" xr:uid="{B5CD82C6-BFC0-4EFA-8791-4FDB979955AE}"/>
    <cellStyle name="Migliaia 48 7 2 3" xfId="37931" xr:uid="{CB44EB5A-93E5-4DBE-9B7B-337948ECF353}"/>
    <cellStyle name="Migliaia 48 7 2 4" xfId="43233" xr:uid="{35D04FA2-4637-43D9-B999-C9DF294011B0}"/>
    <cellStyle name="Migliaia 48 7 2 5" xfId="14305" xr:uid="{B3209797-5C04-4FFD-B2D6-9937265017BE}"/>
    <cellStyle name="Migliaia 48 7 3" xfId="6697" xr:uid="{DF904197-D8D6-46AB-8E80-438444B0B648}"/>
    <cellStyle name="Migliaia 48 7 3 2" xfId="39929" xr:uid="{E2286941-6F57-4486-BECA-61591A5E41A9}"/>
    <cellStyle name="Migliaia 48 7 3 3" xfId="45231" xr:uid="{B095B818-F74C-478D-8608-016A92803D89}"/>
    <cellStyle name="Migliaia 48 7 3 4" xfId="34341" xr:uid="{B301E0A7-B10E-42E8-B582-34C464310260}"/>
    <cellStyle name="Migliaia 48 7 3 5" xfId="20805" xr:uid="{97DF1A7A-61DD-4B31-8243-76A05A38A913}"/>
    <cellStyle name="Migliaia 48 7 4" xfId="37308" xr:uid="{F4F3DA02-7E58-40B9-9D14-28BFFD86536C}"/>
    <cellStyle name="Migliaia 48 7 5" xfId="42580" xr:uid="{AC4FB797-996D-4E0C-B09C-CE55C130BB24}"/>
    <cellStyle name="Migliaia 48 7 6" xfId="16681" xr:uid="{3C6ABF8F-9035-4CED-BBE4-4C00ACA878E1}"/>
    <cellStyle name="Migliaia 48 7 7" xfId="8367" xr:uid="{B39F5FE5-EE57-4EB6-9463-E3FAD5A50636}"/>
    <cellStyle name="Migliaia 48 8" xfId="3791" xr:uid="{D5117569-CCF8-4353-9502-AE4FB3C8EBEB}"/>
    <cellStyle name="Migliaia 48 8 2" xfId="5517" xr:uid="{28E51732-AC1C-42BE-9A44-1D5376DAF197}"/>
    <cellStyle name="Migliaia 48 8 2 2" xfId="35423" xr:uid="{7D53F495-C939-457C-8FA7-C30228BCC7BA}"/>
    <cellStyle name="Migliaia 48 8 2 2 2" xfId="40583" xr:uid="{0738E404-47AC-4C16-8C19-9E011150459E}"/>
    <cellStyle name="Migliaia 48 8 2 2 3" xfId="45885" xr:uid="{827E6BCD-8758-4B84-8FC2-A2A70CCCF908}"/>
    <cellStyle name="Migliaia 48 8 2 3" xfId="37932" xr:uid="{59DC1FAD-43E7-4FB4-AAA7-D0A34F22FB33}"/>
    <cellStyle name="Migliaia 48 8 2 4" xfId="43234" xr:uid="{517C7EDC-0B76-4B8B-9D94-17D6CCDDA8C9}"/>
    <cellStyle name="Migliaia 48 8 2 5" xfId="14010" xr:uid="{0E0A4C2D-D56D-4014-BDD2-0CA092B81347}"/>
    <cellStyle name="Migliaia 48 8 3" xfId="6698" xr:uid="{274E9AED-2EAD-42DC-8377-05BA7B016936}"/>
    <cellStyle name="Migliaia 48 8 3 2" xfId="39930" xr:uid="{E22AB9DE-1F58-459B-9CD3-1645AE9E3921}"/>
    <cellStyle name="Migliaia 48 8 3 3" xfId="45232" xr:uid="{55990ED8-5442-4FDA-AD62-509821ED6463}"/>
    <cellStyle name="Migliaia 48 8 3 4" xfId="34342" xr:uid="{843DE820-2338-442C-91DF-6957F19C60B7}"/>
    <cellStyle name="Migliaia 48 8 3 5" xfId="20806" xr:uid="{8920A2D3-43C9-4338-ADCA-1D966A5BC8B4}"/>
    <cellStyle name="Migliaia 48 8 4" xfId="37309" xr:uid="{C3EFB1B0-64E0-436B-9BA6-410323162245}"/>
    <cellStyle name="Migliaia 48 8 5" xfId="42581" xr:uid="{4CDF8C7E-58A9-4C53-8B53-4729D5CE3FFA}"/>
    <cellStyle name="Migliaia 48 8 6" xfId="16682" xr:uid="{6DE8C44C-BFCE-4278-A4AF-0ACCEFB05D5A}"/>
    <cellStyle name="Migliaia 48 8 7" xfId="7990" xr:uid="{C56933F6-53F3-4010-A0B8-A14E96EDB6D3}"/>
    <cellStyle name="Migliaia 48 9" xfId="5502" xr:uid="{48022C8E-27DE-4119-B6ED-6ADBA780E501}"/>
    <cellStyle name="Migliaia 48 9 2" xfId="34343" xr:uid="{E02FBCC4-CE81-45FA-95B0-31032EF87B52}"/>
    <cellStyle name="Migliaia 48 9 2 2" xfId="39931" xr:uid="{C8E5407E-BC02-41BE-AAA5-AB5ACF2EDB0B}"/>
    <cellStyle name="Migliaia 48 9 2 3" xfId="45233" xr:uid="{CBB42CE2-446A-4781-BFA6-684A5C544396}"/>
    <cellStyle name="Migliaia 48 9 3" xfId="37310" xr:uid="{589DE146-7DEB-4835-8C98-88F43B34B18F}"/>
    <cellStyle name="Migliaia 48 9 4" xfId="42582" xr:uid="{8DA75E30-F091-4970-BA4F-9E4C2AC32892}"/>
    <cellStyle name="Migliaia 48 9 5" xfId="17219" xr:uid="{08517867-E1F6-48CD-BC99-C8BA76B19ECB}"/>
    <cellStyle name="Migliaia 49" xfId="473" xr:uid="{00000000-0005-0000-0000-000042040000}"/>
    <cellStyle name="Migliaia 49 10" xfId="6699" xr:uid="{BB4905F9-BC9C-410C-9D22-59AC415F1409}"/>
    <cellStyle name="Migliaia 49 10 2" xfId="39932" xr:uid="{0621F250-F530-4177-B6B8-E80421BDB9E4}"/>
    <cellStyle name="Migliaia 49 10 3" xfId="45234" xr:uid="{A9C9270A-FD5B-41E4-B5EB-CBF726EF84B2}"/>
    <cellStyle name="Migliaia 49 10 4" xfId="34344" xr:uid="{48E11784-BF21-4B1A-A023-FCF22CE2D25D}"/>
    <cellStyle name="Migliaia 49 10 5" xfId="20807" xr:uid="{6525FF28-5FB0-43E3-AB03-A5B90212AFDC}"/>
    <cellStyle name="Migliaia 49 11" xfId="3792" xr:uid="{455D6FC7-1B5F-45F9-B4D2-66FCB40951BE}"/>
    <cellStyle name="Migliaia 49 11 2" xfId="37311" xr:uid="{FD581562-EB0A-45B5-91BE-061E845BF07A}"/>
    <cellStyle name="Migliaia 49 12" xfId="42583" xr:uid="{97F98A30-6192-407E-A48B-488D1BDBDE9E}"/>
    <cellStyle name="Migliaia 49 13" xfId="7171" xr:uid="{67FA0B97-282D-430B-9DE7-E3D9E605FDE6}"/>
    <cellStyle name="Migliaia 49 2" xfId="474" xr:uid="{00000000-0005-0000-0000-000043040000}"/>
    <cellStyle name="Migliaia 49 2 2" xfId="1871" xr:uid="{00000000-0005-0000-0000-000044040000}"/>
    <cellStyle name="Migliaia 49 2 2 2" xfId="5520" xr:uid="{A9AFC466-633B-4806-8ADA-7AAB19C8CACA}"/>
    <cellStyle name="Migliaia 49 2 2 2 2" xfId="14406" xr:uid="{5FFE0A0F-47A0-4F20-99BF-89818ADB8F2C}"/>
    <cellStyle name="Migliaia 49 2 2 2 2 2" xfId="39933" xr:uid="{D26043B3-D55B-4732-B393-F3A7B6A15D67}"/>
    <cellStyle name="Migliaia 49 2 2 2 2 3" xfId="45235" xr:uid="{EB0F07A9-F33F-4E3B-A7AB-572B4248C285}"/>
    <cellStyle name="Migliaia 49 2 2 2 3" xfId="18491" xr:uid="{E7535B19-F6DF-4A97-927D-0A40BC30A678}"/>
    <cellStyle name="Migliaia 49 2 2 2 4" xfId="20810" xr:uid="{24A1883F-EA05-4437-A49A-B6B513930CFD}"/>
    <cellStyle name="Migliaia 49 2 2 2 4 2" xfId="42584" xr:uid="{1137D73D-A6A0-41F8-97C1-B9F42B60DD34}"/>
    <cellStyle name="Migliaia 49 2 2 2 5" xfId="16683" xr:uid="{27767F62-8B22-44DC-B590-F8DA58B2080F}"/>
    <cellStyle name="Migliaia 49 2 2 2 6" xfId="8739" xr:uid="{CA972C93-BE13-4103-BF27-4211B921A5AE}"/>
    <cellStyle name="Migliaia 49 2 2 3" xfId="6701" xr:uid="{CC5D1ECA-727E-42D7-A867-9408DDFD9C67}"/>
    <cellStyle name="Migliaia 49 2 2 3 2" xfId="35424" xr:uid="{8FB962F2-9740-4DEB-9D37-B7D774E2174E}"/>
    <cellStyle name="Migliaia 49 2 2 3 2 2" xfId="40584" xr:uid="{287F4258-C656-48EB-931C-07A1022E7652}"/>
    <cellStyle name="Migliaia 49 2 2 3 2 3" xfId="45886" xr:uid="{1834C121-FB65-4EDA-8E39-8AF9C9761B0D}"/>
    <cellStyle name="Migliaia 49 2 2 3 3" xfId="37933" xr:uid="{E5E60E3A-15C7-4135-A681-6098873A4658}"/>
    <cellStyle name="Migliaia 49 2 2 3 4" xfId="43235" xr:uid="{37CB6F0B-8622-44B4-9964-5C5DCBD86489}"/>
    <cellStyle name="Migliaia 49 2 2 3 5" xfId="11633" xr:uid="{4882BD90-D3DA-4C67-BF22-A8FADA6D9F12}"/>
    <cellStyle name="Migliaia 49 2 2 4" xfId="3794" xr:uid="{073E5CFD-8CB3-4413-ADA5-F0F20FCDE3CD}"/>
    <cellStyle name="Migliaia 49 2 2 4 2" xfId="21583" xr:uid="{240283D5-16CD-45E2-A3D8-68C0985A8962}"/>
    <cellStyle name="Migliaia 49 2 2 4 3" xfId="47801" xr:uid="{5BC7CE32-B981-4ACA-932D-EF06B38A3D79}"/>
    <cellStyle name="Migliaia 49 2 2 4 4" xfId="50598" xr:uid="{3480238A-F0FF-4273-9DF8-C8374F5F88F4}"/>
    <cellStyle name="Migliaia 49 2 2 4 5" xfId="53614" xr:uid="{34DBF262-AE73-42EC-A879-504B94A02C00}"/>
    <cellStyle name="Migliaia 49 2 2 4 6" xfId="10948" xr:uid="{77E05BD6-0239-4C45-AA12-ECC47C7FFEA4}"/>
    <cellStyle name="Migliaia 49 2 2 5" xfId="20809" xr:uid="{E4BD5745-3C46-49A7-B4E1-8584B63C7AC6}"/>
    <cellStyle name="Migliaia 49 2 2 6" xfId="25206" xr:uid="{E79509F3-957F-4BFA-8FAC-ABBF8B209639}"/>
    <cellStyle name="Migliaia 49 2 2 7" xfId="7549" xr:uid="{7ABFE8B6-FB5B-44C3-8518-AA64A214224D}"/>
    <cellStyle name="Migliaia 49 2 3" xfId="3795" xr:uid="{82AA7E3A-8E9D-46B5-9D1D-DB8659C23E61}"/>
    <cellStyle name="Migliaia 49 2 3 2" xfId="5521" xr:uid="{6D41C37A-57FD-4D54-AF99-BFE61157C205}"/>
    <cellStyle name="Migliaia 49 2 3 2 2" xfId="35425" xr:uid="{94CDB2C6-35A8-42E1-AA7C-A6FA7C5757B1}"/>
    <cellStyle name="Migliaia 49 2 3 2 2 2" xfId="40585" xr:uid="{53A0B90E-42C1-46D8-BD3D-56457CFE2385}"/>
    <cellStyle name="Migliaia 49 2 3 2 2 3" xfId="45887" xr:uid="{B68AAC2A-9BED-44E8-9D7A-23FD9FCB0705}"/>
    <cellStyle name="Migliaia 49 2 3 2 3" xfId="37934" xr:uid="{C5BF0CDD-5E88-43B2-895A-F7A0CA882333}"/>
    <cellStyle name="Migliaia 49 2 3 2 4" xfId="43236" xr:uid="{276F4742-5644-42B3-B9CC-F27758E75E69}"/>
    <cellStyle name="Migliaia 49 2 3 2 5" xfId="14309" xr:uid="{534603D9-12D0-4694-985A-2517BC717B9E}"/>
    <cellStyle name="Migliaia 49 2 3 3" xfId="6702" xr:uid="{F57C6B5F-5728-44A0-A22F-54EBF1F7EB8B}"/>
    <cellStyle name="Migliaia 49 2 3 3 2" xfId="39934" xr:uid="{3D725425-F601-4C29-8641-557A10CF50CF}"/>
    <cellStyle name="Migliaia 49 2 3 3 3" xfId="45236" xr:uid="{6491468F-040F-4228-A8EF-9F7AAE747D35}"/>
    <cellStyle name="Migliaia 49 2 3 3 4" xfId="34345" xr:uid="{B7A6640F-DF8A-47E8-9577-6ACC205F9214}"/>
    <cellStyle name="Migliaia 49 2 3 3 5" xfId="20811" xr:uid="{0FF6E212-201A-4A64-8EB3-9F9195EC4304}"/>
    <cellStyle name="Migliaia 49 2 3 4" xfId="37312" xr:uid="{7D95DFF8-EF89-4FDA-8ABF-74CBFA621AD9}"/>
    <cellStyle name="Migliaia 49 2 3 5" xfId="42585" xr:uid="{44BF79CC-AD5C-447F-B283-E78BA83F614B}"/>
    <cellStyle name="Migliaia 49 2 3 6" xfId="16684" xr:uid="{C6613F8D-027E-4E07-9ED1-486C41D9060D}"/>
    <cellStyle name="Migliaia 49 2 3 7" xfId="8371" xr:uid="{AAF06480-BCC2-4385-89F1-DC4552341367}"/>
    <cellStyle name="Migliaia 49 2 4" xfId="5519" xr:uid="{2A9D3D26-29CF-431E-84C9-6DC5DE80668B}"/>
    <cellStyle name="Migliaia 49 2 4 2" xfId="14014" xr:uid="{11B02B8A-7909-4F31-8764-D8B525B4EA92}"/>
    <cellStyle name="Migliaia 49 2 4 2 2" xfId="39935" xr:uid="{4CE4CD9B-1730-42CC-BF84-FE8D107A1E2F}"/>
    <cellStyle name="Migliaia 49 2 4 2 3" xfId="45237" xr:uid="{116E821D-4B62-4369-AB8F-5E006A7C4989}"/>
    <cellStyle name="Migliaia 49 2 4 3" xfId="18695" xr:uid="{A3D42CD5-794E-412F-95BB-538A61E0F986}"/>
    <cellStyle name="Migliaia 49 2 4 4" xfId="20812" xr:uid="{B0047BD2-DEF7-46AE-87B4-2BA0204F017D}"/>
    <cellStyle name="Migliaia 49 2 4 4 2" xfId="42586" xr:uid="{C7DED7FD-57CE-4F16-869A-92CE703ABB7B}"/>
    <cellStyle name="Migliaia 49 2 4 5" xfId="16685" xr:uid="{848EF817-E317-4DE4-8407-44486095934F}"/>
    <cellStyle name="Migliaia 49 2 4 6" xfId="7995" xr:uid="{59FB8A52-0DE1-4CF2-8467-85B04A5EC6BF}"/>
    <cellStyle name="Migliaia 49 2 5" xfId="6700" xr:uid="{DFAC791D-D784-4752-A78A-6620C3EC0010}"/>
    <cellStyle name="Migliaia 49 2 5 2" xfId="34346" xr:uid="{F73FB6CC-6AB4-4934-8AFF-70630DD4F79F}"/>
    <cellStyle name="Migliaia 49 2 5 2 2" xfId="39936" xr:uid="{6B02BCC2-BA3B-488B-B6AD-0A72FC594ECF}"/>
    <cellStyle name="Migliaia 49 2 5 2 3" xfId="45238" xr:uid="{0003B17C-375A-4355-8EDA-65FD993C515E}"/>
    <cellStyle name="Migliaia 49 2 5 3" xfId="37313" xr:uid="{B8FA12B3-53A1-497A-8734-BE17AAF2E003}"/>
    <cellStyle name="Migliaia 49 2 5 4" xfId="42587" xr:uid="{72AD90E8-102F-429D-981A-6B82C691FBD6}"/>
    <cellStyle name="Migliaia 49 2 5 5" xfId="13146" xr:uid="{CB8F51D8-162E-4A44-892C-36C604D362DA}"/>
    <cellStyle name="Migliaia 49 2 6" xfId="3793" xr:uid="{86284552-B9FE-4B43-9A77-42E376C094CB}"/>
    <cellStyle name="Migliaia 49 2 6 2" xfId="34347" xr:uid="{1DDA1424-E9E1-439F-B150-A1E5BACF80BB}"/>
    <cellStyle name="Migliaia 49 2 6 2 2" xfId="39937" xr:uid="{9FB5E43F-6B9F-4D95-81B1-47BD038F6931}"/>
    <cellStyle name="Migliaia 49 2 6 2 3" xfId="45239" xr:uid="{0F330055-7CC5-4783-9C92-826391E29700}"/>
    <cellStyle name="Migliaia 49 2 6 3" xfId="37314" xr:uid="{0AB7936C-7BDC-4B1F-A7B7-9620DD404218}"/>
    <cellStyle name="Migliaia 49 2 6 4" xfId="42588" xr:uid="{A51E9C99-A374-4BAE-B227-ED962C3435A9}"/>
    <cellStyle name="Migliaia 49 2 6 5" xfId="25207" xr:uid="{E96D8C58-1241-49E4-87F6-498AFC0A82CE}"/>
    <cellStyle name="Migliaia 49 2 6 6" xfId="20808" xr:uid="{E561E1DD-3253-4E2E-90A2-579B67227D35}"/>
    <cellStyle name="Migliaia 49 2 7" xfId="25205" xr:uid="{66AA3F06-4221-440B-AAC3-7B49A016A5E4}"/>
    <cellStyle name="Migliaia 49 2 8" xfId="7172" xr:uid="{1EAA41B5-392F-432A-8E1B-B12EA44048F9}"/>
    <cellStyle name="Migliaia 49 3" xfId="475" xr:uid="{00000000-0005-0000-0000-000045040000}"/>
    <cellStyle name="Migliaia 49 3 10" xfId="25208" xr:uid="{20119A23-0B6E-4848-B263-E7CEEF0E2CD9}"/>
    <cellStyle name="Migliaia 49 3 11" xfId="16686" xr:uid="{3F66DD9F-34C6-439B-BD4F-49A6039DC382}"/>
    <cellStyle name="Migliaia 49 3 12" xfId="7173" xr:uid="{68A86F74-9F9C-4232-A238-3219225B99E3}"/>
    <cellStyle name="Migliaia 49 3 2" xfId="476" xr:uid="{00000000-0005-0000-0000-000046040000}"/>
    <cellStyle name="Migliaia 49 3 2 2" xfId="1872" xr:uid="{00000000-0005-0000-0000-000047040000}"/>
    <cellStyle name="Migliaia 49 3 2 2 2" xfId="5524" xr:uid="{53758397-6EC9-40C8-AB81-22EF54A51014}"/>
    <cellStyle name="Migliaia 49 3 2 2 2 2" xfId="18492" xr:uid="{BC0D6987-12E3-4966-83F1-947650E061D9}"/>
    <cellStyle name="Migliaia 49 3 2 2 2 2 2" xfId="21884" xr:uid="{4AA219F3-DB57-4018-927A-8BE9B7A6D924}"/>
    <cellStyle name="Migliaia 49 3 2 2 2 2 2 2" xfId="39938" xr:uid="{6E5AFCC5-2EE1-4C6F-8D84-B43EDE9F2B0E}"/>
    <cellStyle name="Migliaia 49 3 2 2 2 2 3" xfId="45240" xr:uid="{FCE6B103-F0C6-4432-BDAB-4469CCB6AA52}"/>
    <cellStyle name="Migliaia 49 3 2 2 2 2 4" xfId="34348" xr:uid="{D800878D-EDD0-44AC-BD91-52F02A27B0EA}"/>
    <cellStyle name="Migliaia 49 3 2 2 2 3" xfId="37315" xr:uid="{93D92006-0C79-4D2A-B028-8F0CB37A08C2}"/>
    <cellStyle name="Migliaia 49 3 2 2 2 4" xfId="42589" xr:uid="{0D7EC5E7-81BB-4C31-A3B9-E53A810AD757}"/>
    <cellStyle name="Migliaia 49 3 2 2 2 5" xfId="46751" xr:uid="{B2004F73-BDB9-41A3-9864-EF08F6881422}"/>
    <cellStyle name="Migliaia 49 3 2 2 2 6" xfId="50912" xr:uid="{540A96C4-BDFD-4057-96A5-04EC92C885C4}"/>
    <cellStyle name="Migliaia 49 3 2 2 2 7" xfId="53928" xr:uid="{65335514-11EF-48E9-AEA9-B7EF51356F02}"/>
    <cellStyle name="Migliaia 49 3 2 2 2 8" xfId="17682" xr:uid="{6D3711BE-27C7-4BE9-99FB-97F5CDC55420}"/>
    <cellStyle name="Migliaia 49 3 2 2 2 9" xfId="12059" xr:uid="{5328D1E9-091C-4E50-89E0-E62147049CDF}"/>
    <cellStyle name="Migliaia 49 3 2 2 3" xfId="6705" xr:uid="{2B7C1CB5-9EFC-4DDD-8BDB-E5B2D61DF1C3}"/>
    <cellStyle name="Migliaia 49 3 2 2 3 2" xfId="11572" xr:uid="{5B9809BA-0F73-4CBD-8ED8-A692D3444048}"/>
    <cellStyle name="Migliaia 49 3 2 2 4" xfId="3798" xr:uid="{65F40D06-C0BC-4F9F-AF0F-158B383FA004}"/>
    <cellStyle name="Migliaia 49 3 2 2 4 2" xfId="21584" xr:uid="{50E2E2E2-DD45-495A-BAFC-650569464C89}"/>
    <cellStyle name="Migliaia 49 3 2 2 4 3" xfId="46650" xr:uid="{D2150957-75D5-4656-9704-AD1B21D361BD}"/>
    <cellStyle name="Migliaia 49 3 2 2 4 4" xfId="50599" xr:uid="{3F6F96C4-A82A-497B-BACE-458739CE5870}"/>
    <cellStyle name="Migliaia 49 3 2 2 4 5" xfId="53615" xr:uid="{4206B53A-8208-4A9C-B4C3-63E5B8A11467}"/>
    <cellStyle name="Migliaia 49 3 2 2 4 6" xfId="10949" xr:uid="{164C4FD7-8B2A-4918-9361-7CDC6F5F4555}"/>
    <cellStyle name="Migliaia 49 3 2 2 5" xfId="20815" xr:uid="{4D9D48AF-7865-4A01-882A-BFF4F182598B}"/>
    <cellStyle name="Migliaia 49 3 2 2 6" xfId="25210" xr:uid="{9C165F4F-862B-414B-A805-DB41CCC88B4A}"/>
    <cellStyle name="Migliaia 49 3 2 2 7" xfId="8741" xr:uid="{F5809C33-32FB-49D5-9EFA-3C00A9028457}"/>
    <cellStyle name="Migliaia 49 3 2 3" xfId="5523" xr:uid="{364E6C59-73C5-43F2-AB88-9ABC33D57793}"/>
    <cellStyle name="Migliaia 49 3 2 3 2" xfId="12222" xr:uid="{215E15C7-5FD3-4BF1-B6ED-39429237C4D8}"/>
    <cellStyle name="Migliaia 49 3 2 3 2 2" xfId="39939" xr:uid="{A7A42A46-8541-40DE-9B24-B8067D32D615}"/>
    <cellStyle name="Migliaia 49 3 2 3 2 3" xfId="45241" xr:uid="{3174B2EE-08E4-4913-B962-41FA992B183B}"/>
    <cellStyle name="Migliaia 49 3 2 3 2 4" xfId="34349" xr:uid="{7B21E41E-ABDC-413C-BD13-EA09DFD525F6}"/>
    <cellStyle name="Migliaia 49 3 2 3 3" xfId="12060" xr:uid="{00310B22-A3D8-4CB4-8F10-F36DD72EBB56}"/>
    <cellStyle name="Migliaia 49 3 2 3 4" xfId="20816" xr:uid="{02F073D6-72E9-4233-8CE4-F30677264E9A}"/>
    <cellStyle name="Migliaia 49 3 2 3 4 2" xfId="42590" xr:uid="{B6ED6742-C5F2-448D-A052-E16C9E874DF8}"/>
    <cellStyle name="Migliaia 49 3 2 3 5" xfId="16687" xr:uid="{0F95F282-F1CD-443A-9239-7781030A6993}"/>
    <cellStyle name="Migliaia 49 3 2 3 6" xfId="7997" xr:uid="{11E7E425-1F40-4E5B-8D0E-925CF3C51DF1}"/>
    <cellStyle name="Migliaia 49 3 2 4" xfId="6704" xr:uid="{32382014-9CC0-49BF-86D7-0DAA61B06E25}"/>
    <cellStyle name="Migliaia 49 3 2 4 2" xfId="18100" xr:uid="{DA5E8925-1463-4E51-A163-F0B3EFC7B972}"/>
    <cellStyle name="Migliaia 49 3 2 4 2 2" xfId="39940" xr:uid="{F50D2ACF-E580-445C-80CB-61CE60906F86}"/>
    <cellStyle name="Migliaia 49 3 2 4 2 3" xfId="45242" xr:uid="{7907890E-F7A6-493B-9F87-A538E10174D2}"/>
    <cellStyle name="Migliaia 49 3 2 4 3" xfId="37316" xr:uid="{B9FD3CED-5F9D-477D-BD9F-1C93B6B84D65}"/>
    <cellStyle name="Migliaia 49 3 2 4 4" xfId="42591" xr:uid="{188CE17C-1A0F-48BA-9B59-9759671BF30D}"/>
    <cellStyle name="Migliaia 49 3 2 4 5" xfId="17222" xr:uid="{9A2CD6B7-E13E-4B1C-A01F-B37D0430A2CD}"/>
    <cellStyle name="Migliaia 49 3 2 4 6" xfId="11408" xr:uid="{ADB06FE1-DA7D-400D-8B2B-5CF559706643}"/>
    <cellStyle name="Migliaia 49 3 2 5" xfId="3797" xr:uid="{AD7C1244-45FB-49F7-A444-523100B82F2F}"/>
    <cellStyle name="Migliaia 49 3 2 5 2" xfId="34350" xr:uid="{77C078D3-E1B7-4A78-B295-202B28E1F883}"/>
    <cellStyle name="Migliaia 49 3 2 5 2 2" xfId="39941" xr:uid="{B27B7400-2AE4-4CE0-9921-4970FD263194}"/>
    <cellStyle name="Migliaia 49 3 2 5 2 3" xfId="45243" xr:uid="{0B820653-ACB7-44C3-9534-9A9B2A9997DB}"/>
    <cellStyle name="Migliaia 49 3 2 5 3" xfId="37317" xr:uid="{5004F6E1-7308-4EBC-A3DF-587B00B68DC0}"/>
    <cellStyle name="Migliaia 49 3 2 5 4" xfId="42592" xr:uid="{8F615E9B-DC6B-4BA4-89A4-BB76B7107903}"/>
    <cellStyle name="Migliaia 49 3 2 5 5" xfId="17297" xr:uid="{D69A9E37-CDDA-4A0D-B2A1-6D4548BA0CD1}"/>
    <cellStyle name="Migliaia 49 3 2 6" xfId="20814" xr:uid="{58606D3D-1928-46B3-BF5B-1176985FAD54}"/>
    <cellStyle name="Migliaia 49 3 2 6 2" xfId="34351" xr:uid="{9E519003-6420-4A24-8E07-99EFF5856060}"/>
    <cellStyle name="Migliaia 49 3 2 6 2 2" xfId="39942" xr:uid="{A577D995-6F6A-48F3-8371-ACA33A0FDF67}"/>
    <cellStyle name="Migliaia 49 3 2 6 2 3" xfId="45244" xr:uid="{3803E024-9D9F-4F2E-902A-55A6D2FBE4C0}"/>
    <cellStyle name="Migliaia 49 3 2 6 3" xfId="37318" xr:uid="{035A40D2-BD29-454F-9D39-F3AEA768D736}"/>
    <cellStyle name="Migliaia 49 3 2 6 4" xfId="42593" xr:uid="{17B8F123-D435-4190-B9A8-E69A4DC54A1B}"/>
    <cellStyle name="Migliaia 49 3 2 6 5" xfId="25211" xr:uid="{6820A460-4C99-4884-8793-E2C26EAB537D}"/>
    <cellStyle name="Migliaia 49 3 2 7" xfId="25209" xr:uid="{A3D49C2A-1898-4BEF-9456-716AB7BF15FF}"/>
    <cellStyle name="Migliaia 49 3 2 8" xfId="7551" xr:uid="{D75EF8EC-2C14-4038-BED7-33A040CD4625}"/>
    <cellStyle name="Migliaia 49 3 3" xfId="3799" xr:uid="{7AF4B83D-4624-45C3-8BC8-E5A5F5607F71}"/>
    <cellStyle name="Migliaia 49 3 3 10" xfId="7550" xr:uid="{E434C3CD-09A2-48DE-BA41-9700DAB01D06}"/>
    <cellStyle name="Migliaia 49 3 3 2" xfId="5525" xr:uid="{65782560-CC9E-4D0A-B4F9-E2F178134124}"/>
    <cellStyle name="Migliaia 49 3 3 2 2" xfId="9968" xr:uid="{B9993EA6-A6AF-45D1-A4AB-2D5727E121F7}"/>
    <cellStyle name="Migliaia 49 3 3 2 2 2" xfId="39944" xr:uid="{EC4389C2-7D9A-44F6-9538-D2CED40D6F40}"/>
    <cellStyle name="Migliaia 49 3 3 2 2 3" xfId="45246" xr:uid="{BADFFB08-1291-41F0-93E2-B9A0A5B3F824}"/>
    <cellStyle name="Migliaia 49 3 3 2 3" xfId="18248" xr:uid="{1BB47877-DBF7-4D0B-B1F4-E112C6E03620}"/>
    <cellStyle name="Migliaia 49 3 3 2 4" xfId="20818" xr:uid="{0FDB4BF1-1D0C-4D2E-9FD3-D97D05988DE6}"/>
    <cellStyle name="Migliaia 49 3 3 2 4 2" xfId="42595" xr:uid="{593737AD-2396-45CB-82A6-AEEBB1D65E51}"/>
    <cellStyle name="Migliaia 49 3 3 2 5" xfId="16689" xr:uid="{91F1598F-1554-406A-8AD4-318ACEE6E07C}"/>
    <cellStyle name="Migliaia 49 3 3 2 6" xfId="8740" xr:uid="{F48D2F51-8AEC-4BC1-BFF6-581E0935F821}"/>
    <cellStyle name="Migliaia 49 3 3 3" xfId="6706" xr:uid="{51C20236-45A2-4441-9922-39746BBFB2D1}"/>
    <cellStyle name="Migliaia 49 3 3 3 2" xfId="34353" xr:uid="{E82905CD-BECB-44F5-8EBD-905737A20926}"/>
    <cellStyle name="Migliaia 49 3 3 3 2 2" xfId="39945" xr:uid="{580C2FAB-D69E-4398-B60E-96783ECD8D5A}"/>
    <cellStyle name="Migliaia 49 3 3 3 2 3" xfId="45247" xr:uid="{C3F5C5DC-67C1-452A-AFC5-3CD668948828}"/>
    <cellStyle name="Migliaia 49 3 3 3 3" xfId="37320" xr:uid="{B1D4F15A-D2EE-4EB0-8570-DF814508F824}"/>
    <cellStyle name="Migliaia 49 3 3 3 4" xfId="42596" xr:uid="{8713D2E3-EB4D-47AA-A69D-E2806EC5B196}"/>
    <cellStyle name="Migliaia 49 3 3 3 5" xfId="9731" xr:uid="{2B7B4338-5D25-4F20-BDCA-14BE3F47FA88}"/>
    <cellStyle name="Migliaia 49 3 3 4" xfId="20817" xr:uid="{5F88DA5D-6742-4D45-90ED-1F1C2B269AA9}"/>
    <cellStyle name="Migliaia 49 3 3 4 2" xfId="34354" xr:uid="{0A583ED5-5EA2-46D8-A1A7-27FDED12A712}"/>
    <cellStyle name="Migliaia 49 3 3 4 2 2" xfId="39946" xr:uid="{278707B6-B462-4013-9C60-DFB98C79EDEC}"/>
    <cellStyle name="Migliaia 49 3 3 4 2 3" xfId="45248" xr:uid="{0D1EE59E-8905-417E-8B49-E922F05EF942}"/>
    <cellStyle name="Migliaia 49 3 3 4 3" xfId="37321" xr:uid="{F516277F-2304-423D-B0C9-0695507F0080}"/>
    <cellStyle name="Migliaia 49 3 3 4 4" xfId="42597" xr:uid="{CBFFDDDD-178E-41A8-B9D0-F16272BB443A}"/>
    <cellStyle name="Migliaia 49 3 3 4 5" xfId="25212" xr:uid="{51367531-7F03-4B8F-8730-DD526EA7A310}"/>
    <cellStyle name="Migliaia 49 3 3 5" xfId="25213" xr:uid="{3E4258BE-B8A5-4B7A-8BF3-FA3AE5AFBC0B}"/>
    <cellStyle name="Migliaia 49 3 3 5 2" xfId="34355" xr:uid="{A3139647-B060-4E59-8287-18A6459CDE76}"/>
    <cellStyle name="Migliaia 49 3 3 5 2 2" xfId="39947" xr:uid="{F5ADCA0A-DEE3-4910-B2BE-E80B21F09A69}"/>
    <cellStyle name="Migliaia 49 3 3 5 2 3" xfId="45249" xr:uid="{9D4AB652-C01D-4BA4-8D4D-180C28897160}"/>
    <cellStyle name="Migliaia 49 3 3 5 3" xfId="37322" xr:uid="{DE622A37-91B4-4BB9-B7DA-2117DA56C824}"/>
    <cellStyle name="Migliaia 49 3 3 5 4" xfId="42598" xr:uid="{0BB6EEBD-4158-4F41-ACD8-D8455C2F9B09}"/>
    <cellStyle name="Migliaia 49 3 3 6" xfId="34352" xr:uid="{80C79BD6-9F1D-4720-B4B2-8AB0C84A2EEC}"/>
    <cellStyle name="Migliaia 49 3 3 6 2" xfId="39943" xr:uid="{46540B2E-5D98-4B24-833D-CC3298148A6B}"/>
    <cellStyle name="Migliaia 49 3 3 6 3" xfId="45245" xr:uid="{B89EFCDD-4981-4EF6-BFE1-496106F18DE6}"/>
    <cellStyle name="Migliaia 49 3 3 7" xfId="37319" xr:uid="{230379F9-7E4E-4FAD-AE9E-4D3A7A037B1C}"/>
    <cellStyle name="Migliaia 49 3 3 8" xfId="42594" xr:uid="{D7566574-E86E-4C35-B28C-1741458B3CC8}"/>
    <cellStyle name="Migliaia 49 3 3 9" xfId="16688" xr:uid="{B1DB312A-FB3E-4F58-A22C-0FD1FA782C9C}"/>
    <cellStyle name="Migliaia 49 3 4" xfId="3800" xr:uid="{2419BAEE-6AA4-4408-8921-F67F4F8BC873}"/>
    <cellStyle name="Migliaia 49 3 4 2" xfId="5526" xr:uid="{FD40C6F9-764D-428D-AE27-32D22A2295DC}"/>
    <cellStyle name="Migliaia 49 3 4 2 2" xfId="14466" xr:uid="{3D976F6C-644F-402D-9973-2BCE14A219FF}"/>
    <cellStyle name="Migliaia 49 3 4 2 3" xfId="18577" xr:uid="{83B2C32E-F09F-400E-A3B4-EE696A60DBD9}"/>
    <cellStyle name="Migliaia 49 3 4 2 4" xfId="20820" xr:uid="{A3E72D26-05EF-4DAD-9A17-4A41D194B5BD}"/>
    <cellStyle name="Migliaia 49 3 4 2 5" xfId="32451" xr:uid="{A7E6AA0E-C3FD-4116-843D-69ECA64D2CB0}"/>
    <cellStyle name="Migliaia 49 3 4 2 6" xfId="16691" xr:uid="{BD67D7EA-E358-445E-86A2-9BBE9A26627E}"/>
    <cellStyle name="Migliaia 49 3 4 2 7" xfId="8889" xr:uid="{78CCE7EF-4B8B-4339-A3E2-72B4C60A47F9}"/>
    <cellStyle name="Migliaia 49 3 4 3" xfId="6707" xr:uid="{B2628B23-C69E-4C31-A457-D4E0049F509D}"/>
    <cellStyle name="Migliaia 49 3 4 3 2" xfId="35426" xr:uid="{8BD6942F-2A5A-4A7C-853C-EC633D161891}"/>
    <cellStyle name="Migliaia 49 3 4 3 2 2" xfId="40586" xr:uid="{4EB59ABE-3CF2-403A-9239-54E561B0CE6C}"/>
    <cellStyle name="Migliaia 49 3 4 3 2 3" xfId="45888" xr:uid="{F794DB72-0711-45FF-A285-56AF1BCC2795}"/>
    <cellStyle name="Migliaia 49 3 4 3 3" xfId="37935" xr:uid="{B9E2AB07-EC5E-4D8D-906D-17433B77968F}"/>
    <cellStyle name="Migliaia 49 3 4 3 4" xfId="43237" xr:uid="{90358C09-53C7-4F99-8977-0C0D1FE4E042}"/>
    <cellStyle name="Migliaia 49 3 4 3 5" xfId="13714" xr:uid="{121D5C05-A5D9-4CB8-9F65-C6F1BB8568B1}"/>
    <cellStyle name="Migliaia 49 3 4 4" xfId="20819" xr:uid="{B764DCDB-1FBF-4E0B-B54B-96B63C456ED6}"/>
    <cellStyle name="Migliaia 49 3 4 4 2" xfId="39948" xr:uid="{513E1883-6268-422F-BB2C-E33A42A25E8A}"/>
    <cellStyle name="Migliaia 49 3 4 4 3" xfId="45250" xr:uid="{F0381070-81CA-4A19-8280-4CFEDE65FA97}"/>
    <cellStyle name="Migliaia 49 3 4 4 4" xfId="34356" xr:uid="{DD395AFC-A83D-40B1-8E6D-670A0428A671}"/>
    <cellStyle name="Migliaia 49 3 4 5" xfId="37323" xr:uid="{A9206D91-E698-481F-8695-FC9F063C288A}"/>
    <cellStyle name="Migliaia 49 3 4 6" xfId="42599" xr:uid="{1EE727FD-FE68-42A4-B91C-BDA40B03A533}"/>
    <cellStyle name="Migliaia 49 3 4 7" xfId="16690" xr:uid="{37AE9535-25BC-4BFC-915A-9A2B35AA2BC8}"/>
    <cellStyle name="Migliaia 49 3 4 8" xfId="7699" xr:uid="{1C0800BF-C456-42C3-A6A8-C84B132937B4}"/>
    <cellStyle name="Migliaia 49 3 5" xfId="3801" xr:uid="{F10C7564-55D1-4C39-80E8-F25E2C4297C0}"/>
    <cellStyle name="Migliaia 49 3 5 2" xfId="5527" xr:uid="{272B0ACC-07E9-4FD7-B12E-BF70C17BA4FD}"/>
    <cellStyle name="Migliaia 49 3 5 2 2" xfId="35427" xr:uid="{965BE2A1-0C92-49F4-A284-8EF42238B561}"/>
    <cellStyle name="Migliaia 49 3 5 2 2 2" xfId="40587" xr:uid="{292C4D1D-D3C5-4F87-9EFA-57A05C66D011}"/>
    <cellStyle name="Migliaia 49 3 5 2 2 3" xfId="45889" xr:uid="{037C7ABB-B567-450B-B6B6-DE66EB280A28}"/>
    <cellStyle name="Migliaia 49 3 5 2 3" xfId="37936" xr:uid="{5549A7AF-9568-4A91-BAAF-3B4442320A6F}"/>
    <cellStyle name="Migliaia 49 3 5 2 4" xfId="43238" xr:uid="{21E64167-F671-48C7-B1B8-73710E53C765}"/>
    <cellStyle name="Migliaia 49 3 5 2 5" xfId="14310" xr:uid="{E6A06C6F-2E77-4A61-9A41-343B6E98EC28}"/>
    <cellStyle name="Migliaia 49 3 5 3" xfId="6708" xr:uid="{E225E5D1-0F5B-44E5-A872-01E2777A0BC3}"/>
    <cellStyle name="Migliaia 49 3 5 3 2" xfId="39949" xr:uid="{BA269DD7-03BD-481B-9EB8-9402437524CB}"/>
    <cellStyle name="Migliaia 49 3 5 3 3" xfId="45251" xr:uid="{31FED7B3-A2A2-4F49-8013-901D47780E3E}"/>
    <cellStyle name="Migliaia 49 3 5 3 4" xfId="34357" xr:uid="{CE753C4C-26C3-4CFD-8F7B-BB96154BA32A}"/>
    <cellStyle name="Migliaia 49 3 5 3 5" xfId="20821" xr:uid="{650824E1-FCAD-4B3F-9152-465F01B1D7C1}"/>
    <cellStyle name="Migliaia 49 3 5 4" xfId="37324" xr:uid="{BBF97F13-DF01-4FE1-B47F-1EB04B0B9A87}"/>
    <cellStyle name="Migliaia 49 3 5 5" xfId="42600" xr:uid="{662D909C-5CDD-4BCA-94B7-1D0964807E40}"/>
    <cellStyle name="Migliaia 49 3 5 6" xfId="16692" xr:uid="{C948BE45-E410-498E-A550-CC6E72958DB1}"/>
    <cellStyle name="Migliaia 49 3 5 7" xfId="8372" xr:uid="{3903FDEE-7A1A-4702-BD24-200A1EE7DAA4}"/>
    <cellStyle name="Migliaia 49 3 6" xfId="5522" xr:uid="{C48D5032-6783-4B8B-9597-5B4E97349912}"/>
    <cellStyle name="Migliaia 49 3 6 2" xfId="14015" xr:uid="{7F998BD3-DDD1-4868-8FDE-722BA2B1B79D}"/>
    <cellStyle name="Migliaia 49 3 6 2 2" xfId="39950" xr:uid="{65B1C6FD-8275-46DB-8E91-919FBDD3F670}"/>
    <cellStyle name="Migliaia 49 3 6 2 3" xfId="45252" xr:uid="{B59422B4-406E-44D7-852F-FA4085D2604E}"/>
    <cellStyle name="Migliaia 49 3 6 3" xfId="18605" xr:uid="{F1198EB4-7AA5-4B15-9018-3A031E58EDF9}"/>
    <cellStyle name="Migliaia 49 3 6 4" xfId="20822" xr:uid="{21BDD228-B052-4AB2-BA01-0FE309B55CE1}"/>
    <cellStyle name="Migliaia 49 3 6 4 2" xfId="42601" xr:uid="{6D9E445D-ECC4-44B1-93B8-35664B97FFA5}"/>
    <cellStyle name="Migliaia 49 3 6 5" xfId="16693" xr:uid="{C49FCF6F-6106-431D-9250-F9C26A9E075E}"/>
    <cellStyle name="Migliaia 49 3 6 6" xfId="7996" xr:uid="{CE15FFF0-DAD6-4701-85E1-48F3F6658222}"/>
    <cellStyle name="Migliaia 49 3 7" xfId="6703" xr:uid="{7973CA98-CB3B-467E-A87E-692BAB0588FC}"/>
    <cellStyle name="Migliaia 49 3 7 2" xfId="34358" xr:uid="{4245ED38-A26D-49C7-BFEB-C70A9A3C8EF0}"/>
    <cellStyle name="Migliaia 49 3 7 2 2" xfId="39951" xr:uid="{6B276974-CDE1-4566-82F8-DB72487718E2}"/>
    <cellStyle name="Migliaia 49 3 7 2 3" xfId="45253" xr:uid="{12BB941A-7DF4-44B6-B4E1-E4F496272883}"/>
    <cellStyle name="Migliaia 49 3 7 3" xfId="37325" xr:uid="{57406720-F5B9-43DA-991D-6E36CA2C18B9}"/>
    <cellStyle name="Migliaia 49 3 7 4" xfId="42602" xr:uid="{794844A6-9233-4609-856C-9E9B04A94FB0}"/>
    <cellStyle name="Migliaia 49 3 7 5" xfId="12285" xr:uid="{9DCF7D2B-5234-42E5-8165-B5FBB7A89B15}"/>
    <cellStyle name="Migliaia 49 3 8" xfId="3796" xr:uid="{2F000C90-CEB5-4F4B-8E44-567F74616F2F}"/>
    <cellStyle name="Migliaia 49 3 8 2" xfId="34359" xr:uid="{0AB7F2D8-D62F-4319-8A68-B47E6546AFBE}"/>
    <cellStyle name="Migliaia 49 3 8 2 2" xfId="39952" xr:uid="{4A0ABF8E-8B58-4B6F-B357-9620288166FA}"/>
    <cellStyle name="Migliaia 49 3 8 2 3" xfId="45254" xr:uid="{A9C0FF43-42E0-41F4-A406-DE5C0EB2F7C5}"/>
    <cellStyle name="Migliaia 49 3 8 3" xfId="37326" xr:uid="{06147FD2-EB57-431D-A249-7640588F1FBA}"/>
    <cellStyle name="Migliaia 49 3 8 4" xfId="42603" xr:uid="{FB65CE88-E5CA-4D0F-80A6-B8CFE4A1BF49}"/>
    <cellStyle name="Migliaia 49 3 8 5" xfId="25214" xr:uid="{6B8D4FBB-4639-4CCB-8C79-A16D75276F68}"/>
    <cellStyle name="Migliaia 49 3 8 6" xfId="17298" xr:uid="{183262DC-1CE5-4C3A-BFE9-F299A903F083}"/>
    <cellStyle name="Migliaia 49 3 9" xfId="20813" xr:uid="{CD4063EF-66F4-4E3E-81E4-D595B3144D3C}"/>
    <cellStyle name="Migliaia 49 4" xfId="1873" xr:uid="{00000000-0005-0000-0000-000048040000}"/>
    <cellStyle name="Migliaia 49 4 2" xfId="1874" xr:uid="{00000000-0005-0000-0000-000049040000}"/>
    <cellStyle name="Migliaia 49 4 2 2" xfId="5529" xr:uid="{F9996BD8-A53B-4290-93E2-927AE598AE0C}"/>
    <cellStyle name="Migliaia 49 4 2 2 2" xfId="34360" xr:uid="{A82EC071-646C-4DD7-8DD0-C8583207167E}"/>
    <cellStyle name="Migliaia 49 4 2 2 2 2" xfId="39953" xr:uid="{3C7D765C-6DF6-487E-91C1-051C85DECC4F}"/>
    <cellStyle name="Migliaia 49 4 2 2 2 3" xfId="45255" xr:uid="{8769744B-748F-45E8-8CC9-E70EF950F22E}"/>
    <cellStyle name="Migliaia 49 4 2 2 3" xfId="37327" xr:uid="{32C56CE8-E0C8-46EE-A884-54A1975053BE}"/>
    <cellStyle name="Migliaia 49 4 2 2 4" xfId="42604" xr:uid="{41773E7F-5F2F-4905-8E6B-9667436EAAB5}"/>
    <cellStyle name="Migliaia 49 4 2 2 5" xfId="9194" xr:uid="{4789B4E1-0375-484C-A244-CA06A6A24A92}"/>
    <cellStyle name="Migliaia 49 4 2 3" xfId="3803" xr:uid="{FFDF6696-8266-4CE5-9FC3-8E64F86A77A6}"/>
    <cellStyle name="Migliaia 49 4 2 3 2" xfId="34361" xr:uid="{AB13785A-F0CE-4605-AA1E-9903E8C32106}"/>
    <cellStyle name="Migliaia 49 4 2 3 2 2" xfId="39954" xr:uid="{D4046969-2EEF-4AB1-89D9-608AD0B1C023}"/>
    <cellStyle name="Migliaia 49 4 2 3 2 3" xfId="45256" xr:uid="{6BD10AFE-CEEB-420C-AE18-46458DD0D4D0}"/>
    <cellStyle name="Migliaia 49 4 2 3 3" xfId="37328" xr:uid="{E0FB99FB-7F3D-48A6-BCFC-13957ADD2B77}"/>
    <cellStyle name="Migliaia 49 4 2 3 4" xfId="42605" xr:uid="{142C026E-0AD9-49F0-BF0B-DCFE3FBC3C41}"/>
    <cellStyle name="Migliaia 49 4 2 3 5" xfId="12061" xr:uid="{ADD75B58-70E2-4B66-86D2-CFF8B1E375EA}"/>
    <cellStyle name="Migliaia 49 4 2 4" xfId="11410" xr:uid="{E6C16E55-1F6E-46F4-A757-77E028B42C6B}"/>
    <cellStyle name="Migliaia 49 4 2 5" xfId="10951" xr:uid="{8C7E385A-C053-4B3E-BAFC-1E0B8AAF4B1A}"/>
    <cellStyle name="Migliaia 49 4 2 5 2" xfId="21586" xr:uid="{D5C971B9-01D0-4E88-B733-ABB40705A00B}"/>
    <cellStyle name="Migliaia 49 4 2 5 3" xfId="47561" xr:uid="{DE8F904F-BF21-4E1B-B7D1-F8713A552960}"/>
    <cellStyle name="Migliaia 49 4 2 5 4" xfId="50601" xr:uid="{25A295F8-3DB7-458B-BF58-A91C6FF26234}"/>
    <cellStyle name="Migliaia 49 4 2 5 5" xfId="53617" xr:uid="{1DB6146F-BB68-462E-9DC2-166EDD1092E3}"/>
    <cellStyle name="Migliaia 49 4 2 6" xfId="20824" xr:uid="{CFBCD37E-79AC-46BD-A530-20213A99D3E1}"/>
    <cellStyle name="Migliaia 49 4 2 7" xfId="25216" xr:uid="{BE3304DA-C243-4C14-AC67-64D2EE81AC2B}"/>
    <cellStyle name="Migliaia 49 4 2 8" xfId="8742" xr:uid="{70B779AA-FF92-463A-8645-2322357F237C}"/>
    <cellStyle name="Migliaia 49 4 3" xfId="5528" xr:uid="{B10BF2AF-AA1A-4DA4-8E4D-8D3686E3DCE0}"/>
    <cellStyle name="Migliaia 49 4 3 2" xfId="18249" xr:uid="{67052E38-F889-4AA7-A54D-242F86FCAEE0}"/>
    <cellStyle name="Migliaia 49 4 3 2 2" xfId="39955" xr:uid="{2DED0EF3-E3DB-44E1-BADB-061FC1E5355C}"/>
    <cellStyle name="Migliaia 49 4 3 2 3" xfId="45257" xr:uid="{AB7622A6-3627-47D4-8082-4624038C73AE}"/>
    <cellStyle name="Migliaia 49 4 3 3" xfId="37329" xr:uid="{4BF95C18-A83F-49A4-8E4C-EB1324AF34CC}"/>
    <cellStyle name="Migliaia 49 4 3 4" xfId="42606" xr:uid="{040D5019-6CAD-4A88-9C8D-FE36B48A67F2}"/>
    <cellStyle name="Migliaia 49 4 3 5" xfId="17296" xr:uid="{6EB644B1-C360-401D-BD39-C9F4A1524908}"/>
    <cellStyle name="Migliaia 49 4 3 6" xfId="9195" xr:uid="{7CFE715D-9971-4D03-BE0C-0539B4F69153}"/>
    <cellStyle name="Migliaia 49 4 4" xfId="6709" xr:uid="{3D5412EF-D26C-4138-952C-1400769C8EA8}"/>
    <cellStyle name="Migliaia 49 4 4 2" xfId="34362" xr:uid="{1B2209B3-0969-4C71-B711-E2ED6787C110}"/>
    <cellStyle name="Migliaia 49 4 4 2 2" xfId="39956" xr:uid="{A28EC7C7-ED98-42B4-8078-F315A91D6786}"/>
    <cellStyle name="Migliaia 49 4 4 2 3" xfId="45258" xr:uid="{10A6F7D1-BFAB-4B01-85AC-F659A2DC6179}"/>
    <cellStyle name="Migliaia 49 4 4 3" xfId="37330" xr:uid="{07FFB0FB-9E79-4F17-98F6-F63250F1B974}"/>
    <cellStyle name="Migliaia 49 4 4 4" xfId="42607" xr:uid="{2421AC7F-7CD7-4082-8A99-2E6094209766}"/>
    <cellStyle name="Migliaia 49 4 4 5" xfId="12062" xr:uid="{B4E1E724-31E3-4DFB-8109-292877A954D5}"/>
    <cellStyle name="Migliaia 49 4 5" xfId="3802" xr:uid="{B0141B7E-E089-433A-A74E-041688EC4FC1}"/>
    <cellStyle name="Migliaia 49 4 5 2" xfId="34363" xr:uid="{2E740C68-4CC0-4593-9F0C-D023601F4F82}"/>
    <cellStyle name="Migliaia 49 4 5 2 2" xfId="39957" xr:uid="{4570C411-3D1F-485B-B5C4-6EA95E5650FF}"/>
    <cellStyle name="Migliaia 49 4 5 2 3" xfId="45259" xr:uid="{532B47B2-8C70-4C38-AE24-E93DCFD9A60A}"/>
    <cellStyle name="Migliaia 49 4 5 3" xfId="37331" xr:uid="{9294CCD0-C0AD-4771-AE2C-093DF22C80AF}"/>
    <cellStyle name="Migliaia 49 4 5 4" xfId="42608" xr:uid="{BE49DFFF-0F19-456B-ABBF-6691C96B98C5}"/>
    <cellStyle name="Migliaia 49 4 5 5" xfId="11409" xr:uid="{3E8654E1-AD78-4885-BBB9-A387A9C02C86}"/>
    <cellStyle name="Migliaia 49 4 6" xfId="10950" xr:uid="{4F963629-5286-4516-9A23-973659940D95}"/>
    <cellStyle name="Migliaia 49 4 6 2" xfId="21585" xr:uid="{0356BA29-0DE7-4BCC-8527-AD58133D8523}"/>
    <cellStyle name="Migliaia 49 4 6 2 2" xfId="39958" xr:uid="{B2E72253-D9DC-4692-8CAF-E42C9438EB10}"/>
    <cellStyle name="Migliaia 49 4 6 2 3" xfId="45260" xr:uid="{40154F22-BC45-4F70-9903-A5B0AABC14A2}"/>
    <cellStyle name="Migliaia 49 4 6 2 4" xfId="34364" xr:uid="{BE8578C9-B48A-4460-8CF4-E73F25E77223}"/>
    <cellStyle name="Migliaia 49 4 6 3" xfId="37332" xr:uid="{0D1DB539-DE88-492E-85EE-AC418C688B37}"/>
    <cellStyle name="Migliaia 49 4 6 4" xfId="42609" xr:uid="{FBC34268-5C7E-4511-8D8A-56F11CA9748D}"/>
    <cellStyle name="Migliaia 49 4 6 5" xfId="25217" xr:uid="{E84F4399-3262-4B22-8722-CF7155CBD52A}"/>
    <cellStyle name="Migliaia 49 4 6 6" xfId="48316" xr:uid="{BF658470-5496-4899-8290-2B436710BDA4}"/>
    <cellStyle name="Migliaia 49 4 6 7" xfId="50600" xr:uid="{13EAD483-E066-44AB-8C75-6B98922EBAF9}"/>
    <cellStyle name="Migliaia 49 4 6 8" xfId="53616" xr:uid="{591F9972-4181-4D62-8DAA-ECC105C93B52}"/>
    <cellStyle name="Migliaia 49 4 7" xfId="20823" xr:uid="{AE69C6C0-4E01-4647-9711-C5978E1633C0}"/>
    <cellStyle name="Migliaia 49 4 7 2" xfId="34365" xr:uid="{5B9E7730-3364-4394-9F5F-741E1545B30A}"/>
    <cellStyle name="Migliaia 49 4 7 2 2" xfId="39959" xr:uid="{D6124AC5-8664-47E2-8528-D80557A739C0}"/>
    <cellStyle name="Migliaia 49 4 7 2 3" xfId="45261" xr:uid="{AF485867-A230-4B29-ACCE-C0A60437CA94}"/>
    <cellStyle name="Migliaia 49 4 7 3" xfId="37333" xr:uid="{6C40A20C-A324-4154-A97D-16F52978E24A}"/>
    <cellStyle name="Migliaia 49 4 7 4" xfId="42610" xr:uid="{8A8358C4-010D-41F9-850D-34EBD7A0E084}"/>
    <cellStyle name="Migliaia 49 4 7 5" xfId="25218" xr:uid="{431E5C9C-B661-4066-B45F-709C2FE033FC}"/>
    <cellStyle name="Migliaia 49 4 8" xfId="25215" xr:uid="{825858C3-7C39-4D9A-94A3-3BF3637E449F}"/>
    <cellStyle name="Migliaia 49 4 9" xfId="7552" xr:uid="{9A4DF914-F8B7-4DD3-8642-DB9C048B78EA}"/>
    <cellStyle name="Migliaia 49 5" xfId="1875" xr:uid="{00000000-0005-0000-0000-00004A040000}"/>
    <cellStyle name="Migliaia 49 5 2" xfId="5530" xr:uid="{B6CB7350-2973-4FB9-97CE-9B28427B98FC}"/>
    <cellStyle name="Migliaia 49 5 2 2" xfId="18493" xr:uid="{F8EE2B24-4B81-4C07-919A-E291C58F364A}"/>
    <cellStyle name="Migliaia 49 5 2 2 2" xfId="39960" xr:uid="{F40A9B29-A160-45AD-992E-EEE05DB6804F}"/>
    <cellStyle name="Migliaia 49 5 2 2 3" xfId="45262" xr:uid="{66DF4524-4FB7-4776-A6CA-6CDD5F34F775}"/>
    <cellStyle name="Migliaia 49 5 2 3" xfId="20826" xr:uid="{4238E2EE-18E1-4E9E-9FA4-64E76BF42621}"/>
    <cellStyle name="Migliaia 49 5 2 3 2" xfId="37334" xr:uid="{4925C123-1726-4E0D-94CC-05C90B8E26C8}"/>
    <cellStyle name="Migliaia 49 5 2 4" xfId="42611" xr:uid="{10518E4E-5449-4F8E-90C0-CB8AC8C4602A}"/>
    <cellStyle name="Migliaia 49 5 2 5" xfId="16694" xr:uid="{AD14315D-8CF3-40C2-93D9-6577F50630EC}"/>
    <cellStyle name="Migliaia 49 5 2 6" xfId="8743" xr:uid="{46FDFBF2-302B-4E47-BA7A-AB38AA800D0B}"/>
    <cellStyle name="Migliaia 49 5 3" xfId="6710" xr:uid="{F3A212A5-079C-4642-8B6B-EFD2F3CF4D01}"/>
    <cellStyle name="Migliaia 49 5 3 2" xfId="34366" xr:uid="{92631D94-8052-4F72-B314-D3F460342BC4}"/>
    <cellStyle name="Migliaia 49 5 3 2 2" xfId="39961" xr:uid="{F56B7FC8-9063-40B1-8637-1C594797EEBF}"/>
    <cellStyle name="Migliaia 49 5 3 2 3" xfId="45263" xr:uid="{5A5A76D7-3646-4BA3-A62A-DAB5B61D7D6D}"/>
    <cellStyle name="Migliaia 49 5 3 3" xfId="37335" xr:uid="{90B35019-6D72-436D-8403-0184320ECD99}"/>
    <cellStyle name="Migliaia 49 5 3 4" xfId="42612" xr:uid="{1C1CFEA0-E2F4-4BFC-B6F4-AFA9C2AB34A8}"/>
    <cellStyle name="Migliaia 49 5 3 5" xfId="11411" xr:uid="{5A1A483E-49AA-4D0C-87C1-CDF98B855F9B}"/>
    <cellStyle name="Migliaia 49 5 4" xfId="3804" xr:uid="{A6C57765-AC11-4650-96E8-5A6A76385E51}"/>
    <cellStyle name="Migliaia 49 5 4 2" xfId="21587" xr:uid="{F2EB6C35-56B9-4573-A9AB-EA26E8C61798}"/>
    <cellStyle name="Migliaia 49 5 4 2 2" xfId="39962" xr:uid="{21D3BD32-169B-487C-BD98-6DE5EB1F46F0}"/>
    <cellStyle name="Migliaia 49 5 4 2 3" xfId="45264" xr:uid="{E40538B2-D374-4BF9-B142-2C1A051CFE72}"/>
    <cellStyle name="Migliaia 49 5 4 2 4" xfId="34367" xr:uid="{700E10D4-17C0-4E5B-BCC7-4D6F6C083248}"/>
    <cellStyle name="Migliaia 49 5 4 3" xfId="37336" xr:uid="{703DBE2B-1090-423D-BDDA-497991CDD6EA}"/>
    <cellStyle name="Migliaia 49 5 4 4" xfId="42613" xr:uid="{4402E863-4167-4513-8D00-9D5D9B148875}"/>
    <cellStyle name="Migliaia 49 5 4 5" xfId="25220" xr:uid="{6E8BC534-1680-4E7C-9A72-33D71403A823}"/>
    <cellStyle name="Migliaia 49 5 4 6" xfId="47659" xr:uid="{D27BC162-F949-4E50-B749-E6DC6F286B52}"/>
    <cellStyle name="Migliaia 49 5 4 7" xfId="50602" xr:uid="{E131B8B3-28C7-4CEB-8DCA-39AA330CAD33}"/>
    <cellStyle name="Migliaia 49 5 4 8" xfId="53618" xr:uid="{1330B9FA-A4BF-4828-B78C-1C9D92B35380}"/>
    <cellStyle name="Migliaia 49 5 4 9" xfId="10952" xr:uid="{7E05C852-7A10-4D72-8E95-8DFD4442A55B}"/>
    <cellStyle name="Migliaia 49 5 5" xfId="20825" xr:uid="{144F44E1-D763-40AA-933D-F0435EC12039}"/>
    <cellStyle name="Migliaia 49 5 5 2" xfId="34368" xr:uid="{7A38394B-77AF-4D24-971C-D1D9635F3C4B}"/>
    <cellStyle name="Migliaia 49 5 5 2 2" xfId="39963" xr:uid="{4BD508F5-32FC-4F26-AA57-69AF12CDAD99}"/>
    <cellStyle name="Migliaia 49 5 5 2 3" xfId="45265" xr:uid="{083F83FD-8C8E-424E-8A5A-796F10585421}"/>
    <cellStyle name="Migliaia 49 5 5 3" xfId="37337" xr:uid="{251FE6C4-3C86-4E35-AE2B-BE59B560F4B5}"/>
    <cellStyle name="Migliaia 49 5 5 4" xfId="42614" xr:uid="{53CE3AB8-91EF-441B-AA7E-A4A3657C1923}"/>
    <cellStyle name="Migliaia 49 5 5 5" xfId="25221" xr:uid="{38D9BB12-9928-40D5-BD68-33D8BF5A64F6}"/>
    <cellStyle name="Migliaia 49 5 6" xfId="25222" xr:uid="{4F0ECC35-1D39-497C-A581-E909202C97B3}"/>
    <cellStyle name="Migliaia 49 5 6 2" xfId="34369" xr:uid="{9C61613B-9225-48DA-B75E-EC6C389175A5}"/>
    <cellStyle name="Migliaia 49 5 6 2 2" xfId="39964" xr:uid="{7EDBA784-9C38-4B4A-9AFF-F75D791D3EFB}"/>
    <cellStyle name="Migliaia 49 5 6 2 3" xfId="45266" xr:uid="{22D5F2FE-A5A4-41B0-B9D9-D0B4A43343C1}"/>
    <cellStyle name="Migliaia 49 5 6 3" xfId="37338" xr:uid="{440887DA-4D95-4848-B7CA-F94D867C0B9D}"/>
    <cellStyle name="Migliaia 49 5 6 4" xfId="42615" xr:uid="{F42C0B24-CFAE-44D5-987F-73DC2CCC6DC1}"/>
    <cellStyle name="Migliaia 49 5 7" xfId="25219" xr:uid="{74C7B017-FAEC-498B-9793-B01E06E434B9}"/>
    <cellStyle name="Migliaia 49 5 8" xfId="7553" xr:uid="{48E6E08A-1C74-4545-8B78-8301DB44A1F6}"/>
    <cellStyle name="Migliaia 49 6" xfId="3805" xr:uid="{B9BB8B28-43C5-42BD-BEF7-9E02554CA7D5}"/>
    <cellStyle name="Migliaia 49 6 2" xfId="5531" xr:uid="{4EE0CC1A-957A-4392-9115-1B6FFA41EA5D}"/>
    <cellStyle name="Migliaia 49 6 2 2" xfId="9967" xr:uid="{84B1643E-FD6E-4B9B-AC03-70CBC6E91426}"/>
    <cellStyle name="Migliaia 49 6 2 3" xfId="18637" xr:uid="{5609E90B-0CEF-4610-9E6C-C2B47F8C8749}"/>
    <cellStyle name="Migliaia 49 6 2 4" xfId="20828" xr:uid="{624FA6EF-C158-4329-B350-4884AFA2A106}"/>
    <cellStyle name="Migliaia 49 6 2 5" xfId="32452" xr:uid="{7D0CCCE9-FC0E-49E2-9447-46E16FF566CE}"/>
    <cellStyle name="Migliaia 49 6 2 6" xfId="16696" xr:uid="{1F39030E-145A-4BC5-8964-BCD3C9AA1462}"/>
    <cellStyle name="Migliaia 49 6 2 7" xfId="8738" xr:uid="{D254C046-6078-4658-AA72-9523BE2EBD36}"/>
    <cellStyle name="Migliaia 49 6 3" xfId="6711" xr:uid="{DAE40A19-7B96-4B23-9981-5DC2BAC010A2}"/>
    <cellStyle name="Migliaia 49 6 3 2" xfId="35428" xr:uid="{A64481C8-EB01-4988-8729-8B10E449DC46}"/>
    <cellStyle name="Migliaia 49 6 3 2 2" xfId="40588" xr:uid="{D5F9A19A-6E2E-4FC2-8F6C-4A492E8CB089}"/>
    <cellStyle name="Migliaia 49 6 3 2 3" xfId="45890" xr:uid="{46986C50-B832-4461-9624-6626AF7F4A79}"/>
    <cellStyle name="Migliaia 49 6 3 3" xfId="37937" xr:uid="{C57BC79A-8B8C-48CE-9079-8D703281764B}"/>
    <cellStyle name="Migliaia 49 6 3 4" xfId="43239" xr:uid="{AAE49C26-3804-41AE-ADA9-B24BCD9720BF}"/>
    <cellStyle name="Migliaia 49 6 3 5" xfId="9730" xr:uid="{C4A10B8C-8B9B-474D-B7DD-80EAD7DCAF8A}"/>
    <cellStyle name="Migliaia 49 6 4" xfId="20827" xr:uid="{74989444-9FCE-4857-B3CA-25D749CC0B0D}"/>
    <cellStyle name="Migliaia 49 6 4 2" xfId="39965" xr:uid="{337FCE58-2174-469D-95E2-C605992C1FD3}"/>
    <cellStyle name="Migliaia 49 6 4 3" xfId="45267" xr:uid="{009CACF6-3A79-4F48-9F23-32C58BE5586A}"/>
    <cellStyle name="Migliaia 49 6 4 4" xfId="34370" xr:uid="{6B3F6C6E-57D3-47D9-8023-596C792B7989}"/>
    <cellStyle name="Migliaia 49 6 5" xfId="37339" xr:uid="{A8981C4D-3E11-490F-80CB-83A8FA75AD48}"/>
    <cellStyle name="Migliaia 49 6 6" xfId="42616" xr:uid="{2788790B-3BA0-4FEB-BB33-7F70C0ADE368}"/>
    <cellStyle name="Migliaia 49 6 7" xfId="16695" xr:uid="{FA5FC75C-826D-46C9-B0D1-92DCE8567FBF}"/>
    <cellStyle name="Migliaia 49 6 8" xfId="7548" xr:uid="{750EE6F5-3A97-421C-A2B1-F046E9D136CF}"/>
    <cellStyle name="Migliaia 49 7" xfId="3806" xr:uid="{4468C6DB-D02F-4EC8-B05F-A095D13287AB}"/>
    <cellStyle name="Migliaia 49 7 2" xfId="5532" xr:uid="{8AA45AA5-A8ED-4DD6-A8F9-D8A947B656CB}"/>
    <cellStyle name="Migliaia 49 7 2 2" xfId="35429" xr:uid="{8EB57E97-85D5-42E5-82F6-0E78291AC33D}"/>
    <cellStyle name="Migliaia 49 7 2 2 2" xfId="40589" xr:uid="{A6F7A93C-C2D1-45D4-A28E-C41528C5B1F2}"/>
    <cellStyle name="Migliaia 49 7 2 2 3" xfId="45891" xr:uid="{3C99B8DD-599F-4E28-A2A3-E0D3EE6E851A}"/>
    <cellStyle name="Migliaia 49 7 2 3" xfId="37938" xr:uid="{A4265A6B-488A-4900-BF35-FD0AE81D5335}"/>
    <cellStyle name="Migliaia 49 7 2 4" xfId="43240" xr:uid="{886566B4-2D00-46A3-8FE8-3E926B94FF1C}"/>
    <cellStyle name="Migliaia 49 7 2 5" xfId="14308" xr:uid="{33C08B17-AA2B-4D86-9630-AAA3B1F75B16}"/>
    <cellStyle name="Migliaia 49 7 3" xfId="6712" xr:uid="{74DD8914-0605-4D98-A487-594388E11F9F}"/>
    <cellStyle name="Migliaia 49 7 3 2" xfId="39966" xr:uid="{378871E8-9A15-4087-B5AD-1E53C157588C}"/>
    <cellStyle name="Migliaia 49 7 3 3" xfId="45268" xr:uid="{C900FEEC-E26D-4910-BFA2-AD91ECD2439E}"/>
    <cellStyle name="Migliaia 49 7 3 4" xfId="34371" xr:uid="{70411F6D-CFD2-4202-A884-43B254CF78D9}"/>
    <cellStyle name="Migliaia 49 7 3 5" xfId="20829" xr:uid="{5E926F79-CA1B-4184-8820-95AC22FB152E}"/>
    <cellStyle name="Migliaia 49 7 4" xfId="37340" xr:uid="{158EB44F-789F-4096-B71C-8913C390B5BB}"/>
    <cellStyle name="Migliaia 49 7 5" xfId="42617" xr:uid="{12742B14-966E-4A11-886E-A9C87C0B7582}"/>
    <cellStyle name="Migliaia 49 7 6" xfId="16697" xr:uid="{0E663EB8-5507-4C19-918F-77B598843C21}"/>
    <cellStyle name="Migliaia 49 7 7" xfId="8370" xr:uid="{7EC6756B-B4EC-4EEC-9DB9-D8412077D59C}"/>
    <cellStyle name="Migliaia 49 8" xfId="3807" xr:uid="{15EE6375-2F2F-421D-AD09-C145716C4224}"/>
    <cellStyle name="Migliaia 49 8 2" xfId="5533" xr:uid="{F593E36D-F2A4-4812-B195-6A107445F818}"/>
    <cellStyle name="Migliaia 49 8 2 2" xfId="35430" xr:uid="{B4A634ED-FD30-4A96-8FF1-91AA855F6811}"/>
    <cellStyle name="Migliaia 49 8 2 2 2" xfId="40590" xr:uid="{72FF7194-9342-45B7-89A6-7B126CF6B55B}"/>
    <cellStyle name="Migliaia 49 8 2 2 3" xfId="45892" xr:uid="{32E98AAE-DF13-4955-95AD-530C7FA6FAA4}"/>
    <cellStyle name="Migliaia 49 8 2 3" xfId="37939" xr:uid="{B5DA0B8A-1F12-47A1-A598-D88E87294732}"/>
    <cellStyle name="Migliaia 49 8 2 4" xfId="43241" xr:uid="{16A02600-EE1F-47B8-8E61-6775A04623A4}"/>
    <cellStyle name="Migliaia 49 8 2 5" xfId="14013" xr:uid="{339582FA-1751-4B8F-B4D1-142AAFBB8770}"/>
    <cellStyle name="Migliaia 49 8 3" xfId="6713" xr:uid="{A5782382-01E0-4985-879F-9D32FD4005F7}"/>
    <cellStyle name="Migliaia 49 8 3 2" xfId="39967" xr:uid="{C3286191-499A-4913-98D4-B6574264BD68}"/>
    <cellStyle name="Migliaia 49 8 3 3" xfId="45269" xr:uid="{441055F7-F106-4A94-9593-41E27FA8986C}"/>
    <cellStyle name="Migliaia 49 8 3 4" xfId="34372" xr:uid="{364CCEAD-D0E8-4BFA-9AE0-ED1D60CB4779}"/>
    <cellStyle name="Migliaia 49 8 3 5" xfId="20830" xr:uid="{A655277A-3015-4A37-B6DD-36E539D09C0B}"/>
    <cellStyle name="Migliaia 49 8 4" xfId="37341" xr:uid="{6D81E529-9FE6-40BB-A170-98A53FC18A9F}"/>
    <cellStyle name="Migliaia 49 8 5" xfId="42618" xr:uid="{CE011F40-3754-485E-88BD-2705F7974573}"/>
    <cellStyle name="Migliaia 49 8 6" xfId="16698" xr:uid="{FEB10960-7A0D-4C37-9245-C8D6B53AEEEE}"/>
    <cellStyle name="Migliaia 49 8 7" xfId="7994" xr:uid="{7DE35DC5-24DC-4A73-AFFE-20AAF7FB1F99}"/>
    <cellStyle name="Migliaia 49 9" xfId="5518" xr:uid="{D3569D0B-9FB4-4FF5-9949-3F597449754D}"/>
    <cellStyle name="Migliaia 49 9 2" xfId="34373" xr:uid="{0226F961-2D8D-4132-8095-072E35F84EF0}"/>
    <cellStyle name="Migliaia 49 9 2 2" xfId="39968" xr:uid="{683D286B-5143-4E73-B009-716DA4F060CC}"/>
    <cellStyle name="Migliaia 49 9 2 3" xfId="45270" xr:uid="{7F3D9293-D491-4156-88E6-66AF52A2DFA4}"/>
    <cellStyle name="Migliaia 49 9 3" xfId="37342" xr:uid="{262C0256-C600-45DC-9C06-535C6EDA99E0}"/>
    <cellStyle name="Migliaia 49 9 4" xfId="42619" xr:uid="{2FAA6383-0C1B-450A-906B-7D1EF6D329EB}"/>
    <cellStyle name="Migliaia 49 9 5" xfId="17221" xr:uid="{C58A0DAE-1F5E-4AC7-82A4-59FF43457DEE}"/>
    <cellStyle name="Migliaia 5" xfId="477" xr:uid="{00000000-0005-0000-0000-00004B040000}"/>
    <cellStyle name="Migliaia 5 10" xfId="6714" xr:uid="{AD76C527-5B80-44C2-BDBE-5491B84CC103}"/>
    <cellStyle name="Migliaia 5 10 2" xfId="39969" xr:uid="{6D431D0A-2707-4D14-A3C2-581B90F4F13D}"/>
    <cellStyle name="Migliaia 5 10 3" xfId="45271" xr:uid="{B393370F-E238-4861-B3C0-49C94B0110A6}"/>
    <cellStyle name="Migliaia 5 10 4" xfId="34374" xr:uid="{6A31253D-4923-463C-8D9B-58248B2446E0}"/>
    <cellStyle name="Migliaia 5 10 5" xfId="20831" xr:uid="{90A35A41-66C1-4567-ADC4-A331D1108646}"/>
    <cellStyle name="Migliaia 5 11" xfId="3808" xr:uid="{924B5315-42D7-4D27-B17E-B9EA06A9402D}"/>
    <cellStyle name="Migliaia 5 11 2" xfId="37343" xr:uid="{4DF9F833-5CE7-45CF-895E-F0066636F81D}"/>
    <cellStyle name="Migliaia 5 12" xfId="42620" xr:uid="{ABB96B24-9A86-46FB-8983-90EA037ACA69}"/>
    <cellStyle name="Migliaia 5 13" xfId="7174" xr:uid="{5542979C-B66B-4FF6-A815-40DBE50433F7}"/>
    <cellStyle name="Migliaia 5 2" xfId="478" xr:uid="{00000000-0005-0000-0000-00004C040000}"/>
    <cellStyle name="Migliaia 5 2 2" xfId="1876" xr:uid="{00000000-0005-0000-0000-00004D040000}"/>
    <cellStyle name="Migliaia 5 2 2 2" xfId="5536" xr:uid="{4E97F7C5-F444-4F14-9BCE-B34A6DA47276}"/>
    <cellStyle name="Migliaia 5 2 2 2 2" xfId="14407" xr:uid="{0F7E492A-57CE-4D2A-B73F-AE565D809AC4}"/>
    <cellStyle name="Migliaia 5 2 2 2 2 2" xfId="39970" xr:uid="{A7EF3CD3-D77E-4C5D-B43B-FE3D7B53D6A8}"/>
    <cellStyle name="Migliaia 5 2 2 2 2 3" xfId="45272" xr:uid="{07DF6311-3973-4093-98DA-A56D2C602D23}"/>
    <cellStyle name="Migliaia 5 2 2 2 3" xfId="18494" xr:uid="{F11986A8-E86B-4799-8FA1-1A04EA52BEBE}"/>
    <cellStyle name="Migliaia 5 2 2 2 4" xfId="20834" xr:uid="{3788D300-5D23-4BF8-BF81-9252F4E84B22}"/>
    <cellStyle name="Migliaia 5 2 2 2 4 2" xfId="42621" xr:uid="{BD81DD65-2A51-4153-ACFE-8EC700AD69EE}"/>
    <cellStyle name="Migliaia 5 2 2 2 5" xfId="16699" xr:uid="{CEF93F96-3D33-496D-B14D-CF976BCB2A3D}"/>
    <cellStyle name="Migliaia 5 2 2 2 6" xfId="8745" xr:uid="{FC42CAC9-86CC-400B-B7F3-209B5D7A4D62}"/>
    <cellStyle name="Migliaia 5 2 2 3" xfId="6716" xr:uid="{7DAE6998-7C0B-408C-B682-F2CF68CF32F2}"/>
    <cellStyle name="Migliaia 5 2 2 3 2" xfId="35431" xr:uid="{ED75E14E-7248-4CB7-8E7F-6BDCE31E2668}"/>
    <cellStyle name="Migliaia 5 2 2 3 2 2" xfId="40591" xr:uid="{5F5A3940-70A7-4861-853E-648B149626B3}"/>
    <cellStyle name="Migliaia 5 2 2 3 2 3" xfId="45893" xr:uid="{59534CE2-3C96-43D4-8320-DBF6B0E823E7}"/>
    <cellStyle name="Migliaia 5 2 2 3 3" xfId="37940" xr:uid="{8923F737-E6AC-4049-9C1D-82E00EF31FE2}"/>
    <cellStyle name="Migliaia 5 2 2 3 4" xfId="43242" xr:uid="{2866AF06-7AB2-476A-BC14-E096B2B1E9EA}"/>
    <cellStyle name="Migliaia 5 2 2 3 5" xfId="11634" xr:uid="{71E3D1B2-BB78-44EE-AFF6-D562785B5BC7}"/>
    <cellStyle name="Migliaia 5 2 2 4" xfId="3810" xr:uid="{6FDE6C22-9DCC-432E-A8A6-DC85EF377E28}"/>
    <cellStyle name="Migliaia 5 2 2 4 2" xfId="21588" xr:uid="{0AB4F50C-06E4-490E-9412-BF935112CFA9}"/>
    <cellStyle name="Migliaia 5 2 2 4 3" xfId="47422" xr:uid="{F6BB5EEE-E539-4D38-8373-9D0141D08695}"/>
    <cellStyle name="Migliaia 5 2 2 4 4" xfId="50603" xr:uid="{153F8CC1-39AF-4D1D-8BB2-5B0D19EBCD4E}"/>
    <cellStyle name="Migliaia 5 2 2 4 5" xfId="53619" xr:uid="{F6E7133C-C904-453B-8552-0293F9844907}"/>
    <cellStyle name="Migliaia 5 2 2 4 6" xfId="10953" xr:uid="{2F7D58F3-7341-4515-AB2E-DCA68DEB3B34}"/>
    <cellStyle name="Migliaia 5 2 2 5" xfId="20833" xr:uid="{46557730-3EE5-40A8-85C0-8B54F0D746B7}"/>
    <cellStyle name="Migliaia 5 2 2 6" xfId="25224" xr:uid="{E068FBBE-9AA1-41CC-AFB4-4B094B212555}"/>
    <cellStyle name="Migliaia 5 2 2 7" xfId="7555" xr:uid="{70C9B004-795A-4980-9AD4-D9B97FA4C2F2}"/>
    <cellStyle name="Migliaia 5 2 3" xfId="3811" xr:uid="{43E0B9DF-A9D3-4004-9992-B3196A6235F3}"/>
    <cellStyle name="Migliaia 5 2 3 2" xfId="5537" xr:uid="{B8164968-F388-4E2C-9992-F9D8CA4716A1}"/>
    <cellStyle name="Migliaia 5 2 3 2 2" xfId="35432" xr:uid="{D9113759-6BA7-44D5-8D6F-DB343413B588}"/>
    <cellStyle name="Migliaia 5 2 3 2 2 2" xfId="40592" xr:uid="{5A74B0B1-75E6-4C21-B195-5A82C9E04D73}"/>
    <cellStyle name="Migliaia 5 2 3 2 2 3" xfId="45894" xr:uid="{397006BF-3395-41B3-9D12-BCAB2D5C1A1D}"/>
    <cellStyle name="Migliaia 5 2 3 2 3" xfId="37941" xr:uid="{879C7591-E9EB-48F2-ADDE-850D16858541}"/>
    <cellStyle name="Migliaia 5 2 3 2 4" xfId="43243" xr:uid="{8EE4DB11-3B91-43D0-AC27-A24B2DD05AE4}"/>
    <cellStyle name="Migliaia 5 2 3 2 5" xfId="14312" xr:uid="{84A7E241-18E2-431B-93FF-768F113BDA39}"/>
    <cellStyle name="Migliaia 5 2 3 3" xfId="6717" xr:uid="{477FA175-A307-4D31-A839-E2818BBCD462}"/>
    <cellStyle name="Migliaia 5 2 3 3 2" xfId="39971" xr:uid="{CED6FCBA-870C-40DE-98AC-98204DFE22FC}"/>
    <cellStyle name="Migliaia 5 2 3 3 3" xfId="45273" xr:uid="{1A0BA50C-FD08-49D2-AA6F-64F36828A922}"/>
    <cellStyle name="Migliaia 5 2 3 3 4" xfId="34375" xr:uid="{5F88D68D-302C-4102-8F9B-0884E6B06C1C}"/>
    <cellStyle name="Migliaia 5 2 3 3 5" xfId="20835" xr:uid="{DC4A81C7-AF12-426D-A1E5-96A2C4335761}"/>
    <cellStyle name="Migliaia 5 2 3 4" xfId="37344" xr:uid="{CCF0DCA3-EC86-4A61-91F2-9DE1ADA9A723}"/>
    <cellStyle name="Migliaia 5 2 3 5" xfId="42622" xr:uid="{38798073-4355-4D6D-B4EA-3685BF98642E}"/>
    <cellStyle name="Migliaia 5 2 3 6" xfId="16700" xr:uid="{886A7120-99A6-4226-89C7-462D9FC48CF9}"/>
    <cellStyle name="Migliaia 5 2 3 7" xfId="8374" xr:uid="{DEB4A818-CAE0-4E06-8DF5-4CF63BAE9473}"/>
    <cellStyle name="Migliaia 5 2 4" xfId="5535" xr:uid="{13C3A97E-146A-4D56-8169-AA12BA64623E}"/>
    <cellStyle name="Migliaia 5 2 4 2" xfId="14017" xr:uid="{4D576873-E408-464B-B70B-5B8EA932BFA2}"/>
    <cellStyle name="Migliaia 5 2 4 2 2" xfId="39972" xr:uid="{388054B0-94C5-4816-B568-B24C6F937A37}"/>
    <cellStyle name="Migliaia 5 2 4 2 3" xfId="45274" xr:uid="{EB2E59FC-2D0F-40FE-A842-6731DF727F27}"/>
    <cellStyle name="Migliaia 5 2 4 3" xfId="18694" xr:uid="{3684B295-F1C2-4FA6-AAB4-53E8DC52E348}"/>
    <cellStyle name="Migliaia 5 2 4 4" xfId="20836" xr:uid="{116E082C-CDCF-4645-8BA5-42ADC1016748}"/>
    <cellStyle name="Migliaia 5 2 4 4 2" xfId="42623" xr:uid="{207BAA72-77D9-4201-86B6-44D049DCD82A}"/>
    <cellStyle name="Migliaia 5 2 4 5" xfId="16701" xr:uid="{C99CC78C-BA4E-439C-99D9-EAEDD0608C60}"/>
    <cellStyle name="Migliaia 5 2 4 6" xfId="7999" xr:uid="{349C2A82-5950-4D81-BFA9-818C850E92A0}"/>
    <cellStyle name="Migliaia 5 2 5" xfId="6715" xr:uid="{42BA3A54-2731-47E2-A3E6-AA8C47E35474}"/>
    <cellStyle name="Migliaia 5 2 5 2" xfId="34376" xr:uid="{7BD49FB9-E01A-4582-BEB2-33B41C4F1F90}"/>
    <cellStyle name="Migliaia 5 2 5 2 2" xfId="39973" xr:uid="{89735AB6-6151-4EDF-B70B-88158D6C8FA1}"/>
    <cellStyle name="Migliaia 5 2 5 2 3" xfId="45275" xr:uid="{097FA977-3F0A-4341-8DFD-2E2BC35CAFC1}"/>
    <cellStyle name="Migliaia 5 2 5 3" xfId="37345" xr:uid="{F319D1A6-896C-4506-810D-86E496F5B0D0}"/>
    <cellStyle name="Migliaia 5 2 5 4" xfId="42624" xr:uid="{B8B6243A-361F-430B-A4C6-F8182F6E398C}"/>
    <cellStyle name="Migliaia 5 2 5 5" xfId="13147" xr:uid="{54EFDD34-4FFB-4DE7-B357-90BD383061BE}"/>
    <cellStyle name="Migliaia 5 2 6" xfId="3809" xr:uid="{FB04150B-0427-440A-9E74-3ADCAA9301F2}"/>
    <cellStyle name="Migliaia 5 2 6 2" xfId="34377" xr:uid="{1615F987-28E4-460B-9F26-CD7F991B878E}"/>
    <cellStyle name="Migliaia 5 2 6 2 2" xfId="39974" xr:uid="{8B5D6C45-FC73-4A20-A709-9D2CB1EFEB14}"/>
    <cellStyle name="Migliaia 5 2 6 2 3" xfId="45276" xr:uid="{7F1B6CF0-DFD4-40CB-BB5C-CDD94A0E5D22}"/>
    <cellStyle name="Migliaia 5 2 6 3" xfId="37346" xr:uid="{02448FD7-3D59-416F-8D94-231754969DEB}"/>
    <cellStyle name="Migliaia 5 2 6 4" xfId="42625" xr:uid="{98F6EC0A-E7AA-452F-8163-E64565BEA9D0}"/>
    <cellStyle name="Migliaia 5 2 6 5" xfId="25225" xr:uid="{81F8F3B2-3EC3-4767-B4A5-993243A41884}"/>
    <cellStyle name="Migliaia 5 2 6 6" xfId="20832" xr:uid="{A0E492A2-6BF3-435F-AC60-B1123249B2AB}"/>
    <cellStyle name="Migliaia 5 2 7" xfId="25223" xr:uid="{E8D4D1F6-A9C1-4471-9905-B664E9A89C80}"/>
    <cellStyle name="Migliaia 5 2 8" xfId="7175" xr:uid="{B4A8F99C-1D21-4C23-8001-FBB2F25ED3FF}"/>
    <cellStyle name="Migliaia 5 3" xfId="479" xr:uid="{00000000-0005-0000-0000-00004E040000}"/>
    <cellStyle name="Migliaia 5 3 10" xfId="25226" xr:uid="{AFDD52B9-1282-4A50-BBF4-2221FCB95ECF}"/>
    <cellStyle name="Migliaia 5 3 11" xfId="16702" xr:uid="{07E78668-7CF0-433B-B5DE-7693E04DED91}"/>
    <cellStyle name="Migliaia 5 3 12" xfId="7176" xr:uid="{0DC1A3DF-75C0-4B62-BF61-BDBD1319D113}"/>
    <cellStyle name="Migliaia 5 3 2" xfId="480" xr:uid="{00000000-0005-0000-0000-00004F040000}"/>
    <cellStyle name="Migliaia 5 3 2 2" xfId="1877" xr:uid="{00000000-0005-0000-0000-000050040000}"/>
    <cellStyle name="Migliaia 5 3 2 2 2" xfId="5540" xr:uid="{E18F2D7E-A3AB-4817-9DDE-AB43A7E66C96}"/>
    <cellStyle name="Migliaia 5 3 2 2 2 2" xfId="18495" xr:uid="{2C6E57C5-EA6F-4021-AE43-A10885EE89DA}"/>
    <cellStyle name="Migliaia 5 3 2 2 2 2 2" xfId="21885" xr:uid="{8D0FD38C-21BE-4139-829F-1409C8E18014}"/>
    <cellStyle name="Migliaia 5 3 2 2 2 2 2 2" xfId="39975" xr:uid="{FA226767-3C7E-4076-882C-F706CDA95312}"/>
    <cellStyle name="Migliaia 5 3 2 2 2 2 3" xfId="45277" xr:uid="{DB17B2DF-F37E-43F5-AC89-633379F9020D}"/>
    <cellStyle name="Migliaia 5 3 2 2 2 2 4" xfId="34378" xr:uid="{A097FB4C-3E60-49AD-A0AC-E32B74522D2F}"/>
    <cellStyle name="Migliaia 5 3 2 2 2 3" xfId="37347" xr:uid="{DC20CB6B-12DC-45CF-893F-F1F8737D351D}"/>
    <cellStyle name="Migliaia 5 3 2 2 2 4" xfId="42626" xr:uid="{CD0BF98E-DA0E-43E9-A4F9-BCD7384AD12E}"/>
    <cellStyle name="Migliaia 5 3 2 2 2 5" xfId="37176" xr:uid="{AA939278-141F-497A-994C-95C522A2FC51}"/>
    <cellStyle name="Migliaia 5 3 2 2 2 6" xfId="50913" xr:uid="{FE55B360-4EE2-4DD6-B262-47D56156D8EE}"/>
    <cellStyle name="Migliaia 5 3 2 2 2 7" xfId="53929" xr:uid="{BA541F78-2E44-45C8-9368-C793BCC2B331}"/>
    <cellStyle name="Migliaia 5 3 2 2 2 8" xfId="17683" xr:uid="{C1717170-6254-4953-84AB-EB554EC5AE81}"/>
    <cellStyle name="Migliaia 5 3 2 2 2 9" xfId="12063" xr:uid="{9F840DBA-42ED-48FF-954A-4AA683588B6F}"/>
    <cellStyle name="Migliaia 5 3 2 2 3" xfId="6720" xr:uid="{D644B5D6-12A5-499A-96C0-9609CECB7DFE}"/>
    <cellStyle name="Migliaia 5 3 2 2 3 2" xfId="11573" xr:uid="{28E90548-33FA-438F-A92D-16AFB3002093}"/>
    <cellStyle name="Migliaia 5 3 2 2 4" xfId="3814" xr:uid="{8674B428-DF2D-4E98-AB27-52A9F087ED95}"/>
    <cellStyle name="Migliaia 5 3 2 2 4 2" xfId="21589" xr:uid="{5B9C5761-F184-441C-825D-0675D0508D03}"/>
    <cellStyle name="Migliaia 5 3 2 2 4 3" xfId="37279" xr:uid="{FBB8C965-F23B-4315-958A-F7B68F79E837}"/>
    <cellStyle name="Migliaia 5 3 2 2 4 4" xfId="50604" xr:uid="{5EAE280C-E575-4A0F-A365-A0B34C4EE200}"/>
    <cellStyle name="Migliaia 5 3 2 2 4 5" xfId="53620" xr:uid="{A96247EB-6E5D-4BAF-B492-452DC341C3F1}"/>
    <cellStyle name="Migliaia 5 3 2 2 4 6" xfId="10954" xr:uid="{E22E41D2-C224-4066-AC34-772BCC2D0466}"/>
    <cellStyle name="Migliaia 5 3 2 2 5" xfId="20839" xr:uid="{E5FD0E3C-1FF9-4239-9CE2-647ED13A1AF9}"/>
    <cellStyle name="Migliaia 5 3 2 2 6" xfId="25228" xr:uid="{26CA53EC-FEFF-4B41-84D8-73AB0F682556}"/>
    <cellStyle name="Migliaia 5 3 2 2 7" xfId="8747" xr:uid="{766F9CD5-43B0-4839-90D8-4C246AF2259E}"/>
    <cellStyle name="Migliaia 5 3 2 3" xfId="5539" xr:uid="{E405FDFE-4BAD-4A22-B470-6A60EB205CA7}"/>
    <cellStyle name="Migliaia 5 3 2 3 2" xfId="11659" xr:uid="{C20B43D3-036E-42B2-830E-FA3C2217D35B}"/>
    <cellStyle name="Migliaia 5 3 2 3 2 2" xfId="39976" xr:uid="{A0A54590-D91A-4DE2-94C6-B493AA598CCC}"/>
    <cellStyle name="Migliaia 5 3 2 3 2 3" xfId="45278" xr:uid="{0BD3DF8D-CAC2-4046-8DE8-40F3EC113234}"/>
    <cellStyle name="Migliaia 5 3 2 3 2 4" xfId="34379" xr:uid="{D5074D0A-0D18-4DAD-9C78-CB1729D7C3EB}"/>
    <cellStyle name="Migliaia 5 3 2 3 3" xfId="12064" xr:uid="{E901DB05-7518-4930-8431-A946706F5C21}"/>
    <cellStyle name="Migliaia 5 3 2 3 4" xfId="20840" xr:uid="{236AEC3A-7ED0-4D0D-8BEF-AF9267FFE10F}"/>
    <cellStyle name="Migliaia 5 3 2 3 4 2" xfId="42627" xr:uid="{E4C6EC45-EA71-46A4-98BE-3E172E4B8CC2}"/>
    <cellStyle name="Migliaia 5 3 2 3 5" xfId="16703" xr:uid="{40B81D6E-F0C3-42F7-8BF5-6BDFDF3BC084}"/>
    <cellStyle name="Migliaia 5 3 2 3 6" xfId="8001" xr:uid="{E3DFFBE5-3996-46DD-8804-196A31FCA031}"/>
    <cellStyle name="Migliaia 5 3 2 4" xfId="6719" xr:uid="{6F839173-E108-484A-B421-E1833EBC154B}"/>
    <cellStyle name="Migliaia 5 3 2 4 2" xfId="18101" xr:uid="{6BB4160A-2259-4C5B-8D7F-41D9C7C8F302}"/>
    <cellStyle name="Migliaia 5 3 2 4 2 2" xfId="39977" xr:uid="{D35ABC43-D0C6-4AAF-9EF3-4CFA7B949B48}"/>
    <cellStyle name="Migliaia 5 3 2 4 2 3" xfId="45279" xr:uid="{BEE65CB1-61F6-4AE3-B84A-C2D2EB97103A}"/>
    <cellStyle name="Migliaia 5 3 2 4 3" xfId="37348" xr:uid="{5D1F0EA9-F26D-4F74-A58A-971DB4156890}"/>
    <cellStyle name="Migliaia 5 3 2 4 4" xfId="42628" xr:uid="{B3733FE5-9A9E-4873-9D0E-AB74C109672B}"/>
    <cellStyle name="Migliaia 5 3 2 4 5" xfId="17224" xr:uid="{B74EE711-0C86-4C13-8F9C-DD8AB7DA52CB}"/>
    <cellStyle name="Migliaia 5 3 2 4 6" xfId="11412" xr:uid="{76893237-5221-4CB1-97E5-A4A86EFEBB02}"/>
    <cellStyle name="Migliaia 5 3 2 5" xfId="3813" xr:uid="{FC0D35F5-FB78-4338-8C42-628CF3F20AB3}"/>
    <cellStyle name="Migliaia 5 3 2 5 2" xfId="34380" xr:uid="{645C5C25-0028-4FFE-948F-AF1254B1CC21}"/>
    <cellStyle name="Migliaia 5 3 2 5 2 2" xfId="39978" xr:uid="{4E1E3595-1F58-4998-8880-A1B39165050F}"/>
    <cellStyle name="Migliaia 5 3 2 5 2 3" xfId="45280" xr:uid="{A6C0AFD2-8FB8-4F96-BFFA-6A8EB8D0829B}"/>
    <cellStyle name="Migliaia 5 3 2 5 3" xfId="37349" xr:uid="{AA6B67EC-541D-41E7-AA27-C13995633ADD}"/>
    <cellStyle name="Migliaia 5 3 2 5 4" xfId="42629" xr:uid="{915A7D28-62ED-476C-A593-6C0A02F88E6D}"/>
    <cellStyle name="Migliaia 5 3 2 5 5" xfId="17294" xr:uid="{E266EEFA-9868-4C0C-AFC4-4736E58AD185}"/>
    <cellStyle name="Migliaia 5 3 2 6" xfId="20838" xr:uid="{4E612781-3151-4351-BD73-A119A77E79EA}"/>
    <cellStyle name="Migliaia 5 3 2 6 2" xfId="34381" xr:uid="{E6848BC5-3BB7-4356-A126-A793F03732E5}"/>
    <cellStyle name="Migliaia 5 3 2 6 2 2" xfId="39979" xr:uid="{EEFCF862-732E-4AD7-984E-44BEA92B2C50}"/>
    <cellStyle name="Migliaia 5 3 2 6 2 3" xfId="45281" xr:uid="{2C1725EB-B282-4947-A5E3-4C483E86FF7C}"/>
    <cellStyle name="Migliaia 5 3 2 6 3" xfId="37350" xr:uid="{A729CC55-41F2-4E22-B131-7E8343237E99}"/>
    <cellStyle name="Migliaia 5 3 2 6 4" xfId="42630" xr:uid="{829A85CC-1364-4B8A-9047-AEE11F52310D}"/>
    <cellStyle name="Migliaia 5 3 2 6 5" xfId="25229" xr:uid="{2A4A2867-C3F4-4465-8DD3-B60157A4325E}"/>
    <cellStyle name="Migliaia 5 3 2 7" xfId="25227" xr:uid="{F2005047-4DC0-45F8-9C65-EDEA5564D07C}"/>
    <cellStyle name="Migliaia 5 3 2 8" xfId="7557" xr:uid="{A970B618-52DF-4ABD-9D7B-9713D51323B1}"/>
    <cellStyle name="Migliaia 5 3 3" xfId="3815" xr:uid="{A9FDEA38-5F1E-48CB-8E30-67560893E707}"/>
    <cellStyle name="Migliaia 5 3 3 10" xfId="7556" xr:uid="{35C9B468-E6ED-4F34-B129-8A5A97BC0160}"/>
    <cellStyle name="Migliaia 5 3 3 2" xfId="5541" xr:uid="{8F0CE5DE-B6FF-4335-B0B8-66728B524739}"/>
    <cellStyle name="Migliaia 5 3 3 2 2" xfId="9970" xr:uid="{C763AF1A-3A99-4FA5-A700-0133BCE4FAEB}"/>
    <cellStyle name="Migliaia 5 3 3 2 2 2" xfId="39981" xr:uid="{10337CE8-63D4-4ACD-A9D3-5D8F62CC6D63}"/>
    <cellStyle name="Migliaia 5 3 3 2 2 3" xfId="45283" xr:uid="{DBF6AA5D-7054-4452-BC7D-9C1A52D4B485}"/>
    <cellStyle name="Migliaia 5 3 3 2 3" xfId="18250" xr:uid="{6011E2BB-6E28-4680-B133-DD378131F11E}"/>
    <cellStyle name="Migliaia 5 3 3 2 4" xfId="20842" xr:uid="{8EDE2DEA-F092-4D85-B7D2-3C7B9604E9DE}"/>
    <cellStyle name="Migliaia 5 3 3 2 4 2" xfId="42632" xr:uid="{1698D657-F994-4912-A637-BF604150CEFD}"/>
    <cellStyle name="Migliaia 5 3 3 2 5" xfId="16705" xr:uid="{35866AF7-686A-4E4A-AE6A-EC3594D15259}"/>
    <cellStyle name="Migliaia 5 3 3 2 6" xfId="8746" xr:uid="{A042BA7A-D873-4BEF-A336-A675E4391ABA}"/>
    <cellStyle name="Migliaia 5 3 3 3" xfId="6721" xr:uid="{6A95519A-173B-4A08-8225-AE2E136C0D06}"/>
    <cellStyle name="Migliaia 5 3 3 3 2" xfId="34383" xr:uid="{380A34E1-AD02-4248-B7C2-25B7A5275075}"/>
    <cellStyle name="Migliaia 5 3 3 3 2 2" xfId="39982" xr:uid="{1B899A12-5921-4B6E-AD72-BB337C779620}"/>
    <cellStyle name="Migliaia 5 3 3 3 2 3" xfId="45284" xr:uid="{A0079ADC-38A1-430C-BE57-4D838F5A1DE6}"/>
    <cellStyle name="Migliaia 5 3 3 3 3" xfId="37352" xr:uid="{1202E9F8-FFF8-40C4-97A3-AA5D490FC548}"/>
    <cellStyle name="Migliaia 5 3 3 3 4" xfId="42633" xr:uid="{40924B42-B8CF-424E-A4F5-6FC00ECD7C7E}"/>
    <cellStyle name="Migliaia 5 3 3 3 5" xfId="9733" xr:uid="{0055499E-7635-4A68-9EDB-7A5CC8880053}"/>
    <cellStyle name="Migliaia 5 3 3 4" xfId="20841" xr:uid="{E15FD984-2884-460A-8E1A-8C50909E3EAE}"/>
    <cellStyle name="Migliaia 5 3 3 4 2" xfId="34384" xr:uid="{DCA0A4B7-4BFB-41EC-B904-0931825EE319}"/>
    <cellStyle name="Migliaia 5 3 3 4 2 2" xfId="39983" xr:uid="{9DC7C347-13E8-407E-B3FD-6AC07C01B6D9}"/>
    <cellStyle name="Migliaia 5 3 3 4 2 3" xfId="45285" xr:uid="{7C5A9593-F8B2-450A-AE7B-81858C9005CB}"/>
    <cellStyle name="Migliaia 5 3 3 4 3" xfId="37353" xr:uid="{68F84BA1-C9A5-40C6-AE99-9049969C418C}"/>
    <cellStyle name="Migliaia 5 3 3 4 4" xfId="42634" xr:uid="{FE4C4054-E7F7-4466-97D4-127AAF2918F1}"/>
    <cellStyle name="Migliaia 5 3 3 4 5" xfId="25230" xr:uid="{11F0C8EE-A2B4-4503-86D1-EA4B865727C4}"/>
    <cellStyle name="Migliaia 5 3 3 5" xfId="25231" xr:uid="{2EF01E62-51D5-4D37-B529-D2CE3C05A540}"/>
    <cellStyle name="Migliaia 5 3 3 5 2" xfId="34385" xr:uid="{AD17F659-88AF-4807-95AF-7AF7D35230FA}"/>
    <cellStyle name="Migliaia 5 3 3 5 2 2" xfId="39984" xr:uid="{5DD769AD-1AF2-4815-9506-D501FC53DD35}"/>
    <cellStyle name="Migliaia 5 3 3 5 2 3" xfId="45286" xr:uid="{FF83A8A9-47AA-480B-961F-C3E119F77A18}"/>
    <cellStyle name="Migliaia 5 3 3 5 3" xfId="37354" xr:uid="{7C4B29C4-9B0A-4D19-808D-FA4BBB684ED6}"/>
    <cellStyle name="Migliaia 5 3 3 5 4" xfId="42635" xr:uid="{2B751C55-B07C-40AB-9182-06B0ECFE9EF4}"/>
    <cellStyle name="Migliaia 5 3 3 6" xfId="34382" xr:uid="{B968364D-572F-4A6A-9D88-984B1B9B53A9}"/>
    <cellStyle name="Migliaia 5 3 3 6 2" xfId="39980" xr:uid="{E8D453A7-57F6-4889-8B24-08EF77F36F37}"/>
    <cellStyle name="Migliaia 5 3 3 6 3" xfId="45282" xr:uid="{F6197027-5316-42C6-9122-FDFE410A5E10}"/>
    <cellStyle name="Migliaia 5 3 3 7" xfId="37351" xr:uid="{64833410-4957-476E-936E-E529AE8FD3DC}"/>
    <cellStyle name="Migliaia 5 3 3 8" xfId="42631" xr:uid="{801D8C58-F537-47D1-80C0-80029A85EBCB}"/>
    <cellStyle name="Migliaia 5 3 3 9" xfId="16704" xr:uid="{E3DE884D-AFA9-4DF3-9CF8-A60572FD1AEC}"/>
    <cellStyle name="Migliaia 5 3 4" xfId="3816" xr:uid="{93244E45-3500-4C7A-A1AA-A88B4B364CBB}"/>
    <cellStyle name="Migliaia 5 3 4 2" xfId="5542" xr:uid="{4554231B-24DA-42FA-9CE7-0BA3CE539CD8}"/>
    <cellStyle name="Migliaia 5 3 4 2 2" xfId="14467" xr:uid="{D3FB3AD3-7AC0-424A-9286-1FF360A6E695}"/>
    <cellStyle name="Migliaia 5 3 4 2 3" xfId="18578" xr:uid="{E912D3BB-54C5-4E31-B76F-FEC44E9E333B}"/>
    <cellStyle name="Migliaia 5 3 4 2 4" xfId="20844" xr:uid="{043DA093-2D35-42E7-BD82-CADEDDF6CF5E}"/>
    <cellStyle name="Migliaia 5 3 4 2 5" xfId="32453" xr:uid="{9EEED1F4-3105-4F34-8780-19AF91ADECD2}"/>
    <cellStyle name="Migliaia 5 3 4 2 6" xfId="16707" xr:uid="{83D21728-0AC6-4AF9-88E6-3A1853E4600B}"/>
    <cellStyle name="Migliaia 5 3 4 2 7" xfId="8890" xr:uid="{A8DBF91B-FFC0-478D-ABDF-E90AC23A4540}"/>
    <cellStyle name="Migliaia 5 3 4 3" xfId="6722" xr:uid="{A909F13F-5F56-46DF-9EE4-58FC9D6497AF}"/>
    <cellStyle name="Migliaia 5 3 4 3 2" xfId="35433" xr:uid="{D2002148-F157-4A03-8269-9816E64B4478}"/>
    <cellStyle name="Migliaia 5 3 4 3 2 2" xfId="40593" xr:uid="{32A8A377-2294-4E42-930F-407AFC842B85}"/>
    <cellStyle name="Migliaia 5 3 4 3 2 3" xfId="45895" xr:uid="{C7F60DC3-1C49-402B-B93B-CDE7E56F8278}"/>
    <cellStyle name="Migliaia 5 3 4 3 3" xfId="37942" xr:uid="{B3725BA8-682B-4B56-AA52-354A03B910C0}"/>
    <cellStyle name="Migliaia 5 3 4 3 4" xfId="43244" xr:uid="{D317B7F6-3ECD-482C-B024-86CEA1912DB7}"/>
    <cellStyle name="Migliaia 5 3 4 3 5" xfId="13715" xr:uid="{437C1773-3BC7-4BF0-ADA4-AB27BB9641ED}"/>
    <cellStyle name="Migliaia 5 3 4 4" xfId="20843" xr:uid="{AA9EDCB8-C0B7-46FD-8B30-D919B4F33EF0}"/>
    <cellStyle name="Migliaia 5 3 4 4 2" xfId="39985" xr:uid="{ED6BADD6-A72C-47B5-ABB6-7F52EF44D147}"/>
    <cellStyle name="Migliaia 5 3 4 4 3" xfId="45287" xr:uid="{D7DC664E-4D4D-4C53-BE78-D2E2058F0BC5}"/>
    <cellStyle name="Migliaia 5 3 4 4 4" xfId="34386" xr:uid="{D8C328CD-3143-46AE-8623-C9A559CC95A0}"/>
    <cellStyle name="Migliaia 5 3 4 5" xfId="37355" xr:uid="{C4A04745-8DFA-4BC2-837E-6DCCBFB227D8}"/>
    <cellStyle name="Migliaia 5 3 4 6" xfId="42636" xr:uid="{414455FC-3236-4795-84F0-05AE75B7F3E0}"/>
    <cellStyle name="Migliaia 5 3 4 7" xfId="16706" xr:uid="{F45A944F-1D3D-4F9B-BA06-71BD3AC753DD}"/>
    <cellStyle name="Migliaia 5 3 4 8" xfId="7700" xr:uid="{2A60E96F-82E5-4D4D-9CB3-E8EE7B3D91C1}"/>
    <cellStyle name="Migliaia 5 3 5" xfId="3817" xr:uid="{E1B9C5C9-706F-4AB4-93DD-6EBF8D7F9DBF}"/>
    <cellStyle name="Migliaia 5 3 5 2" xfId="5543" xr:uid="{8781A64A-5D57-48B3-8371-3A6873440D32}"/>
    <cellStyle name="Migliaia 5 3 5 2 2" xfId="35434" xr:uid="{9A0B664D-6AB2-415E-8D31-E01B223B9CD8}"/>
    <cellStyle name="Migliaia 5 3 5 2 2 2" xfId="40594" xr:uid="{867563CE-D6A1-40D7-ACE0-ABCEEBBC420E}"/>
    <cellStyle name="Migliaia 5 3 5 2 2 3" xfId="45896" xr:uid="{968B0DD7-F93D-4EAE-AE9F-ADB7FBC9B99B}"/>
    <cellStyle name="Migliaia 5 3 5 2 3" xfId="37943" xr:uid="{7B34CAF9-6792-44CE-BE5B-0F4334A16B85}"/>
    <cellStyle name="Migliaia 5 3 5 2 4" xfId="43245" xr:uid="{DF45E102-1577-420A-AA63-1572CEF2C929}"/>
    <cellStyle name="Migliaia 5 3 5 2 5" xfId="14313" xr:uid="{01219714-8FD0-4A7E-BFF8-8EA09E01EC0D}"/>
    <cellStyle name="Migliaia 5 3 5 3" xfId="6723" xr:uid="{C78D0715-5A68-4C8E-98F0-10A95C27698E}"/>
    <cellStyle name="Migliaia 5 3 5 3 2" xfId="39986" xr:uid="{85721612-344E-4741-9842-6C486268AB25}"/>
    <cellStyle name="Migliaia 5 3 5 3 3" xfId="45288" xr:uid="{4743FB08-313F-4BB2-91DC-7EF295812E98}"/>
    <cellStyle name="Migliaia 5 3 5 3 4" xfId="34387" xr:uid="{1379D653-B1B3-4ACF-9F5D-FF8AC9253026}"/>
    <cellStyle name="Migliaia 5 3 5 3 5" xfId="20845" xr:uid="{BD537CF5-5D9D-4D22-BA27-C4CCCAFA8ACE}"/>
    <cellStyle name="Migliaia 5 3 5 4" xfId="37356" xr:uid="{86C36E48-33D1-4533-BAF4-CCA0F33BFF9B}"/>
    <cellStyle name="Migliaia 5 3 5 5" xfId="42637" xr:uid="{D51A9E7C-EFCD-4DEA-AE3D-9BB44BC4F626}"/>
    <cellStyle name="Migliaia 5 3 5 6" xfId="16708" xr:uid="{BE2F908F-10F1-458F-A4CE-9EEFA0C79316}"/>
    <cellStyle name="Migliaia 5 3 5 7" xfId="8375" xr:uid="{899F3870-9944-4651-8312-B3806558CFB1}"/>
    <cellStyle name="Migliaia 5 3 6" xfId="5538" xr:uid="{702EAA1D-238A-4614-8CDF-00AFA46C4C2E}"/>
    <cellStyle name="Migliaia 5 3 6 2" xfId="14018" xr:uid="{3FBD0180-4633-488D-8896-2919E82DA646}"/>
    <cellStyle name="Migliaia 5 3 6 2 2" xfId="39987" xr:uid="{34E649B3-80EF-4DB1-9571-184C91E75F85}"/>
    <cellStyle name="Migliaia 5 3 6 2 3" xfId="45289" xr:uid="{EEFD76F9-E741-4925-AD03-5CFCD2349D79}"/>
    <cellStyle name="Migliaia 5 3 6 3" xfId="18693" xr:uid="{09E92D59-17CC-437C-A0D9-C13DD4006C5E}"/>
    <cellStyle name="Migliaia 5 3 6 4" xfId="20846" xr:uid="{121EDB3E-F92B-4A4F-82BC-FDCBCD9DC946}"/>
    <cellStyle name="Migliaia 5 3 6 4 2" xfId="42638" xr:uid="{A3DE28F3-D213-47A6-B2A8-8308427B88BA}"/>
    <cellStyle name="Migliaia 5 3 6 5" xfId="16709" xr:uid="{54B94E31-6852-4F68-9134-721B941464E3}"/>
    <cellStyle name="Migliaia 5 3 6 6" xfId="8000" xr:uid="{47BC419A-391F-417E-AC51-CBAB1232C07D}"/>
    <cellStyle name="Migliaia 5 3 7" xfId="6718" xr:uid="{7504247B-5B92-4CCB-AE5E-075C4006CEDE}"/>
    <cellStyle name="Migliaia 5 3 7 2" xfId="34388" xr:uid="{11E470B6-87AD-42D8-A3FE-03BC5E65F590}"/>
    <cellStyle name="Migliaia 5 3 7 2 2" xfId="39988" xr:uid="{4695E8D0-76A3-4FD7-970F-F088FAD80CFF}"/>
    <cellStyle name="Migliaia 5 3 7 2 3" xfId="45290" xr:uid="{D082A99D-C64D-4080-BA5D-B55470BCF423}"/>
    <cellStyle name="Migliaia 5 3 7 3" xfId="37357" xr:uid="{1DD1373E-2C0C-47E7-BB56-795A91FB2CE8}"/>
    <cellStyle name="Migliaia 5 3 7 4" xfId="42639" xr:uid="{11C4A42D-83AD-4C15-9B45-4185FA3568D9}"/>
    <cellStyle name="Migliaia 5 3 7 5" xfId="12249" xr:uid="{A8EDA127-8CA2-434D-9087-BFF7AF8F9353}"/>
    <cellStyle name="Migliaia 5 3 8" xfId="3812" xr:uid="{023F59AE-9885-4B4C-9EFD-1579A61659BF}"/>
    <cellStyle name="Migliaia 5 3 8 2" xfId="34389" xr:uid="{4AD50FE4-ED5A-46C3-B810-C9B3832ACBAB}"/>
    <cellStyle name="Migliaia 5 3 8 2 2" xfId="39989" xr:uid="{335B1855-99AF-40E1-A301-097ED62C104C}"/>
    <cellStyle name="Migliaia 5 3 8 2 3" xfId="45291" xr:uid="{E58316D1-D936-4B2F-92F8-C34D73A14B20}"/>
    <cellStyle name="Migliaia 5 3 8 3" xfId="37358" xr:uid="{CCF79119-3237-4F80-B480-D6C501C3C54A}"/>
    <cellStyle name="Migliaia 5 3 8 4" xfId="42640" xr:uid="{F890EA81-BD02-4126-8660-CCE493D89064}"/>
    <cellStyle name="Migliaia 5 3 8 5" xfId="25232" xr:uid="{E6902332-AC9E-4B7F-9809-CD3D32CC20DE}"/>
    <cellStyle name="Migliaia 5 3 8 6" xfId="17295" xr:uid="{7DD6E700-AA44-47B9-B625-D1A30133A946}"/>
    <cellStyle name="Migliaia 5 3 9" xfId="20837" xr:uid="{56651DDE-B982-42A0-B50C-888E8B4C99C0}"/>
    <cellStyle name="Migliaia 5 4" xfId="1878" xr:uid="{00000000-0005-0000-0000-000051040000}"/>
    <cellStyle name="Migliaia 5 4 2" xfId="1879" xr:uid="{00000000-0005-0000-0000-000052040000}"/>
    <cellStyle name="Migliaia 5 4 2 2" xfId="5545" xr:uid="{0167749C-44DC-4E9D-A530-BD9B865A70E1}"/>
    <cellStyle name="Migliaia 5 4 2 2 2" xfId="34390" xr:uid="{4D302760-FAFF-4975-A015-F8D4055AFAC8}"/>
    <cellStyle name="Migliaia 5 4 2 2 2 2" xfId="39990" xr:uid="{73ACB4F5-1D02-4714-B15C-76DDF157F83B}"/>
    <cellStyle name="Migliaia 5 4 2 2 2 3" xfId="45292" xr:uid="{A20D45B2-FFBE-449D-AEAC-635782A144D0}"/>
    <cellStyle name="Migliaia 5 4 2 2 3" xfId="37359" xr:uid="{98861604-BEB3-4FEA-80E1-9583264BA7D6}"/>
    <cellStyle name="Migliaia 5 4 2 2 4" xfId="42641" xr:uid="{6D5D52FA-2B06-4846-977D-7C8DC029A18C}"/>
    <cellStyle name="Migliaia 5 4 2 2 5" xfId="9196" xr:uid="{E03837E7-87C5-48D2-BC18-79174DE5280F}"/>
    <cellStyle name="Migliaia 5 4 2 3" xfId="3819" xr:uid="{2055642A-EE01-41F6-9ACF-9B57EA4C314C}"/>
    <cellStyle name="Migliaia 5 4 2 3 2" xfId="34391" xr:uid="{CB05F654-947C-4607-9412-B11B0E8B1AB2}"/>
    <cellStyle name="Migliaia 5 4 2 3 2 2" xfId="39991" xr:uid="{AED8BF23-23FC-4DCF-A813-BF632186213C}"/>
    <cellStyle name="Migliaia 5 4 2 3 2 3" xfId="45293" xr:uid="{66D2348D-42BC-436F-B4F5-4D7E22DC2FC4}"/>
    <cellStyle name="Migliaia 5 4 2 3 3" xfId="37360" xr:uid="{E853A31F-8D5A-4569-91A8-BF7481B59E60}"/>
    <cellStyle name="Migliaia 5 4 2 3 4" xfId="42642" xr:uid="{81CC9E79-B683-47F6-870F-DCB4B3E46CB8}"/>
    <cellStyle name="Migliaia 5 4 2 3 5" xfId="12065" xr:uid="{864F6DF3-D955-42E9-9850-B49DBAF53682}"/>
    <cellStyle name="Migliaia 5 4 2 4" xfId="11414" xr:uid="{97DA3E19-551F-4A1C-9171-203C1E0789DF}"/>
    <cellStyle name="Migliaia 5 4 2 5" xfId="10956" xr:uid="{CDDA48D2-6472-42F8-B096-3E8CBCC7875D}"/>
    <cellStyle name="Migliaia 5 4 2 5 2" xfId="21591" xr:uid="{101BA41A-6A52-48BE-A6BD-6CB3EA228F31}"/>
    <cellStyle name="Migliaia 5 4 2 5 3" xfId="46705" xr:uid="{B0F5DDD7-7C38-46A0-9A14-81DB0E3B865B}"/>
    <cellStyle name="Migliaia 5 4 2 5 4" xfId="50606" xr:uid="{259D383B-F8D2-477D-BCA3-27A51D360C40}"/>
    <cellStyle name="Migliaia 5 4 2 5 5" xfId="53622" xr:uid="{3B7A5051-1C5F-4277-A663-039CB56CBD42}"/>
    <cellStyle name="Migliaia 5 4 2 6" xfId="20848" xr:uid="{CB1749F2-EDAF-44D2-B005-00BEBF0E29E8}"/>
    <cellStyle name="Migliaia 5 4 2 7" xfId="25234" xr:uid="{192B4A80-B1D1-45B9-AF84-C6E3BF99B53C}"/>
    <cellStyle name="Migliaia 5 4 2 8" xfId="8748" xr:uid="{415E45E2-1779-48E5-A6AC-BCE1A9163AA0}"/>
    <cellStyle name="Migliaia 5 4 3" xfId="5544" xr:uid="{28873FEF-A138-476C-8494-7DB887C20B08}"/>
    <cellStyle name="Migliaia 5 4 3 2" xfId="18251" xr:uid="{040DFB7A-A652-4E5A-BAB1-881B48515041}"/>
    <cellStyle name="Migliaia 5 4 3 2 2" xfId="39992" xr:uid="{CBE34F32-3406-4D99-91B7-1A29C34ACFD4}"/>
    <cellStyle name="Migliaia 5 4 3 2 3" xfId="45294" xr:uid="{CFB8CD0B-2A26-48AB-8D1F-44BA13EFED68}"/>
    <cellStyle name="Migliaia 5 4 3 3" xfId="37361" xr:uid="{1EAD98AF-55A6-4189-BC34-5CC3819261C8}"/>
    <cellStyle name="Migliaia 5 4 3 4" xfId="42643" xr:uid="{84FAC2D1-08BD-4EF2-8954-B9DBECF15423}"/>
    <cellStyle name="Migliaia 5 4 3 5" xfId="17293" xr:uid="{7AF3824B-F760-4877-A00F-E0F91D91A531}"/>
    <cellStyle name="Migliaia 5 4 3 6" xfId="9197" xr:uid="{511EC98D-B990-48D2-938D-A5475237BEE7}"/>
    <cellStyle name="Migliaia 5 4 4" xfId="6724" xr:uid="{0530E6AF-86F4-4AB3-ADE1-8ABC895C8FE0}"/>
    <cellStyle name="Migliaia 5 4 4 2" xfId="34392" xr:uid="{B8B70A72-E42D-4D46-B47D-AE8BA0FF2CA8}"/>
    <cellStyle name="Migliaia 5 4 4 2 2" xfId="39993" xr:uid="{3CCF1475-8427-4D6F-A658-01A14B385CB5}"/>
    <cellStyle name="Migliaia 5 4 4 2 3" xfId="45295" xr:uid="{479E1E45-DBC3-423A-8461-B7FE84EC3DBE}"/>
    <cellStyle name="Migliaia 5 4 4 3" xfId="37362" xr:uid="{516F19B9-AF0C-4C02-B423-E1C11BCF3FAE}"/>
    <cellStyle name="Migliaia 5 4 4 4" xfId="42644" xr:uid="{B6B88C94-508B-4F55-8E0D-6C5E02484426}"/>
    <cellStyle name="Migliaia 5 4 4 5" xfId="12066" xr:uid="{C9C389FE-AB70-4624-9947-98159CFE757C}"/>
    <cellStyle name="Migliaia 5 4 5" xfId="3818" xr:uid="{DE259583-13F6-4785-B48D-3749074649A2}"/>
    <cellStyle name="Migliaia 5 4 5 2" xfId="34393" xr:uid="{B37F7491-3643-4B88-B4EA-DDE6880545A1}"/>
    <cellStyle name="Migliaia 5 4 5 2 2" xfId="39994" xr:uid="{69B88B55-D856-42DB-979A-BE382312031F}"/>
    <cellStyle name="Migliaia 5 4 5 2 3" xfId="45296" xr:uid="{C9D7E25B-2E3E-44D2-8F9A-1356C7F6AAC2}"/>
    <cellStyle name="Migliaia 5 4 5 3" xfId="37363" xr:uid="{C6E72AB7-3AD6-42B9-82BF-CB2634F7D8A7}"/>
    <cellStyle name="Migliaia 5 4 5 4" xfId="42645" xr:uid="{59492B96-DBAA-4776-A429-2D07D4160274}"/>
    <cellStyle name="Migliaia 5 4 5 5" xfId="11413" xr:uid="{D98686CD-B6B3-4F07-92D1-E57798FEF481}"/>
    <cellStyle name="Migliaia 5 4 6" xfId="10955" xr:uid="{5CEC437A-4D0E-4CC2-BAAE-A17F4B37CE77}"/>
    <cellStyle name="Migliaia 5 4 6 2" xfId="21590" xr:uid="{9FB3D63B-626E-487C-B309-EDA766E52E97}"/>
    <cellStyle name="Migliaia 5 4 6 2 2" xfId="39995" xr:uid="{45DE9CD7-26E3-49B9-B6F6-5CC430D7DB8A}"/>
    <cellStyle name="Migliaia 5 4 6 2 3" xfId="45297" xr:uid="{3DCABF03-E813-4461-983E-7CAB4203B59D}"/>
    <cellStyle name="Migliaia 5 4 6 2 4" xfId="34394" xr:uid="{3ED083B2-B7F0-45C3-9523-26D9FF818969}"/>
    <cellStyle name="Migliaia 5 4 6 3" xfId="37364" xr:uid="{5DDD3DA0-0F8D-43AC-A633-7E55D1036086}"/>
    <cellStyle name="Migliaia 5 4 6 4" xfId="42646" xr:uid="{E60B1573-BA96-429D-BDEC-F2B24EC012FB}"/>
    <cellStyle name="Migliaia 5 4 6 5" xfId="25235" xr:uid="{FB428DBF-AF6B-4170-AA24-AD88BF27E55B}"/>
    <cellStyle name="Migliaia 5 4 6 6" xfId="32341" xr:uid="{2D7A637A-5137-48AA-8F76-76546A14EC87}"/>
    <cellStyle name="Migliaia 5 4 6 7" xfId="50605" xr:uid="{2331F716-C5FE-4B94-A7B9-BB7624BD7385}"/>
    <cellStyle name="Migliaia 5 4 6 8" xfId="53621" xr:uid="{F9186532-A44D-4461-B71A-E5D9F6C07FCA}"/>
    <cellStyle name="Migliaia 5 4 7" xfId="20847" xr:uid="{C90433A2-AD75-43C1-9DFC-6DE0280CC508}"/>
    <cellStyle name="Migliaia 5 4 7 2" xfId="34395" xr:uid="{399B778F-673A-4A62-BAB9-6A1DA02F3EC7}"/>
    <cellStyle name="Migliaia 5 4 7 2 2" xfId="39996" xr:uid="{6F823FB7-9BFF-45C7-B99B-CFF611AC5C7A}"/>
    <cellStyle name="Migliaia 5 4 7 2 3" xfId="45298" xr:uid="{438486FA-B574-43AA-9165-C9E79CAE8A37}"/>
    <cellStyle name="Migliaia 5 4 7 3" xfId="37365" xr:uid="{3A2A5118-D885-4AD0-B542-E49FB7EE2C3C}"/>
    <cellStyle name="Migliaia 5 4 7 4" xfId="42647" xr:uid="{E2064950-280A-43D3-899A-CD1A1DCACA0B}"/>
    <cellStyle name="Migliaia 5 4 7 5" xfId="25236" xr:uid="{34B8FEB9-71C7-4697-AB8D-3AFFBC02AA04}"/>
    <cellStyle name="Migliaia 5 4 8" xfId="25233" xr:uid="{D140ED66-ED85-4FA9-B3B8-2C505A38B038}"/>
    <cellStyle name="Migliaia 5 4 9" xfId="7558" xr:uid="{02627831-237D-4427-B0E9-353A77BFE80C}"/>
    <cellStyle name="Migliaia 5 5" xfId="1880" xr:uid="{00000000-0005-0000-0000-000053040000}"/>
    <cellStyle name="Migliaia 5 5 2" xfId="5546" xr:uid="{A3C92435-0753-4229-86D3-D003802E8B94}"/>
    <cellStyle name="Migliaia 5 5 2 2" xfId="18496" xr:uid="{7DC56B8E-1375-4107-AB26-AA95686C4E9C}"/>
    <cellStyle name="Migliaia 5 5 2 2 2" xfId="39997" xr:uid="{40DB36E5-59CB-481C-80BC-29A34A8CDD79}"/>
    <cellStyle name="Migliaia 5 5 2 2 3" xfId="45299" xr:uid="{887290FC-D176-4475-8898-66D6CE70DD98}"/>
    <cellStyle name="Migliaia 5 5 2 3" xfId="20850" xr:uid="{C7BE6731-3A2E-48A0-A2CE-715DFF59FB54}"/>
    <cellStyle name="Migliaia 5 5 2 3 2" xfId="37366" xr:uid="{58C49BFB-1916-427C-B1D2-8B74C54881A6}"/>
    <cellStyle name="Migliaia 5 5 2 4" xfId="42648" xr:uid="{2CEEC880-595A-446B-AE64-003FDF103D0F}"/>
    <cellStyle name="Migliaia 5 5 2 5" xfId="16710" xr:uid="{3F2F71AF-D59C-4264-BE8E-0A1429AF50B7}"/>
    <cellStyle name="Migliaia 5 5 2 6" xfId="8749" xr:uid="{21E394A2-28B8-4537-BB17-D35CFDCA8030}"/>
    <cellStyle name="Migliaia 5 5 3" xfId="6725" xr:uid="{73ED6986-017D-4A07-9812-B2DBF10FE10F}"/>
    <cellStyle name="Migliaia 5 5 3 2" xfId="34396" xr:uid="{D9D9C407-7291-4655-ABE1-FC2D2AC3A6C0}"/>
    <cellStyle name="Migliaia 5 5 3 2 2" xfId="39998" xr:uid="{625358CA-DCA0-4A25-8548-ACE6C4D6DF34}"/>
    <cellStyle name="Migliaia 5 5 3 2 3" xfId="45300" xr:uid="{2A888EFC-7A14-4555-BAF0-222CC6C89F2B}"/>
    <cellStyle name="Migliaia 5 5 3 3" xfId="37367" xr:uid="{16370075-90DB-4DE7-BA5D-3DEEDDF04984}"/>
    <cellStyle name="Migliaia 5 5 3 4" xfId="42649" xr:uid="{DC06D464-1485-45EA-B5BC-ABAE3784D97E}"/>
    <cellStyle name="Migliaia 5 5 3 5" xfId="11415" xr:uid="{84CF682F-5905-4C00-97E1-D29E04278DE8}"/>
    <cellStyle name="Migliaia 5 5 4" xfId="3820" xr:uid="{AD3C3143-4292-4071-8393-832E4CA01768}"/>
    <cellStyle name="Migliaia 5 5 4 2" xfId="21592" xr:uid="{80F2279E-38AC-47B5-B930-7780C3749E73}"/>
    <cellStyle name="Migliaia 5 5 4 2 2" xfId="39999" xr:uid="{DFEFE25E-FEF3-4159-8744-E60C5545B472}"/>
    <cellStyle name="Migliaia 5 5 4 2 3" xfId="45301" xr:uid="{6D66741F-4578-4E6C-B321-94D5B55F2D86}"/>
    <cellStyle name="Migliaia 5 5 4 2 4" xfId="34397" xr:uid="{8084E36D-EF1C-461E-8A78-2700AED9B154}"/>
    <cellStyle name="Migliaia 5 5 4 3" xfId="37368" xr:uid="{6F6F64D1-7F27-44E8-9E7C-7253FF5130D7}"/>
    <cellStyle name="Migliaia 5 5 4 4" xfId="42650" xr:uid="{17A66FB8-588B-4EA2-B87F-5E2910787F84}"/>
    <cellStyle name="Migliaia 5 5 4 5" xfId="25238" xr:uid="{12FB3F15-9601-4A27-BCFE-08B70BDFB7BE}"/>
    <cellStyle name="Migliaia 5 5 4 6" xfId="24720" xr:uid="{C6E927F1-55B6-44AA-944A-0D2FD49EEEE7}"/>
    <cellStyle name="Migliaia 5 5 4 7" xfId="50607" xr:uid="{16803708-6338-4CB0-B287-26DC05916DA2}"/>
    <cellStyle name="Migliaia 5 5 4 8" xfId="53623" xr:uid="{104EEF92-DEE2-4293-8152-3DD2399DD20B}"/>
    <cellStyle name="Migliaia 5 5 4 9" xfId="10957" xr:uid="{9723EBAD-DF7F-490E-937D-72FB026EEDE0}"/>
    <cellStyle name="Migliaia 5 5 5" xfId="20849" xr:uid="{F4DD48A7-8F75-4FE5-962E-60B49FB44C4C}"/>
    <cellStyle name="Migliaia 5 5 5 2" xfId="34398" xr:uid="{0824283E-8527-4431-8754-BB56D5A41B78}"/>
    <cellStyle name="Migliaia 5 5 5 2 2" xfId="40000" xr:uid="{9866A127-D811-4A52-B783-1F679667820F}"/>
    <cellStyle name="Migliaia 5 5 5 2 3" xfId="45302" xr:uid="{E9CB339F-0D5C-44F6-BBC0-9378CF097445}"/>
    <cellStyle name="Migliaia 5 5 5 3" xfId="37369" xr:uid="{D24E9E4C-2103-4148-9D51-656D6263F0BF}"/>
    <cellStyle name="Migliaia 5 5 5 4" xfId="42651" xr:uid="{5E3E9EDD-2A24-403F-8495-6FC693DFC137}"/>
    <cellStyle name="Migliaia 5 5 5 5" xfId="25239" xr:uid="{C9505F00-100E-42E0-BB8C-F985FC23DCEB}"/>
    <cellStyle name="Migliaia 5 5 6" xfId="25240" xr:uid="{0B608196-142E-4F4C-90CB-6CB25B083754}"/>
    <cellStyle name="Migliaia 5 5 6 2" xfId="34399" xr:uid="{EC29A917-7A5F-4DF2-A5D3-DD2CC8AF3085}"/>
    <cellStyle name="Migliaia 5 5 6 2 2" xfId="40001" xr:uid="{0AADB28E-9A13-40D6-B970-3C36C74DABE0}"/>
    <cellStyle name="Migliaia 5 5 6 2 3" xfId="45303" xr:uid="{59F74441-DBDF-4860-B35E-6F189E57704E}"/>
    <cellStyle name="Migliaia 5 5 6 3" xfId="37370" xr:uid="{AACED6E4-F6DA-45B7-B4C7-77FB6E7800EC}"/>
    <cellStyle name="Migliaia 5 5 6 4" xfId="42652" xr:uid="{94BD8A15-0EAA-4907-9712-C6A5B3B2649D}"/>
    <cellStyle name="Migliaia 5 5 7" xfId="25237" xr:uid="{8F3470F1-020A-47B6-8CA4-619BF1B6565F}"/>
    <cellStyle name="Migliaia 5 5 8" xfId="7559" xr:uid="{3A1BFA5F-F976-46BD-943B-CC3C7BAAB7B7}"/>
    <cellStyle name="Migliaia 5 6" xfId="3821" xr:uid="{CE1128FF-0D85-442E-9973-298B89165B4A}"/>
    <cellStyle name="Migliaia 5 6 2" xfId="5547" xr:uid="{81AC2B4E-3750-4111-B38B-86D77C12DFB3}"/>
    <cellStyle name="Migliaia 5 6 2 2" xfId="9969" xr:uid="{5AA4D4C8-8C6A-4E05-B243-BA7A6546B66B}"/>
    <cellStyle name="Migliaia 5 6 2 3" xfId="18636" xr:uid="{259D02E7-4BAA-42EF-A7D5-1E2D1D952133}"/>
    <cellStyle name="Migliaia 5 6 2 4" xfId="20852" xr:uid="{B04FBF2D-F2B0-48E8-AF95-52B24425EFC3}"/>
    <cellStyle name="Migliaia 5 6 2 5" xfId="32454" xr:uid="{A1B5C696-3AF5-4508-A11E-70F0313BA00A}"/>
    <cellStyle name="Migliaia 5 6 2 6" xfId="16712" xr:uid="{459166F9-E681-4F4C-9A08-9210031F53CB}"/>
    <cellStyle name="Migliaia 5 6 2 7" xfId="8744" xr:uid="{56F4F906-B522-459F-80B3-0CCA5D65F1DA}"/>
    <cellStyle name="Migliaia 5 6 3" xfId="6726" xr:uid="{99C53AF2-D058-4BA6-94FE-4145134FB039}"/>
    <cellStyle name="Migliaia 5 6 3 2" xfId="35435" xr:uid="{6E0EDDAA-3FEA-49F0-B448-6DA3DD9E645B}"/>
    <cellStyle name="Migliaia 5 6 3 2 2" xfId="40595" xr:uid="{3280987E-8AEF-4384-8A02-DC1A6E4D4B0E}"/>
    <cellStyle name="Migliaia 5 6 3 2 3" xfId="45897" xr:uid="{8A714A0F-D449-467D-8D99-EF5EA7D633AF}"/>
    <cellStyle name="Migliaia 5 6 3 3" xfId="37944" xr:uid="{A3619829-F755-43B8-B64A-CD2BF42C7000}"/>
    <cellStyle name="Migliaia 5 6 3 4" xfId="43246" xr:uid="{F68173D9-0E4F-4595-8091-16DC09DC9EC9}"/>
    <cellStyle name="Migliaia 5 6 3 5" xfId="9732" xr:uid="{96DF2FF4-4AB9-4B07-9941-37D25839CEE4}"/>
    <cellStyle name="Migliaia 5 6 4" xfId="20851" xr:uid="{B63AD8F5-1D3E-456D-8D69-F40C7B748F6A}"/>
    <cellStyle name="Migliaia 5 6 4 2" xfId="40002" xr:uid="{45E28E8D-C37A-438A-B3DD-D6074104A209}"/>
    <cellStyle name="Migliaia 5 6 4 3" xfId="45304" xr:uid="{B5B42F05-D118-4B80-9821-1681D37EB0FE}"/>
    <cellStyle name="Migliaia 5 6 4 4" xfId="34400" xr:uid="{9F2296D6-75F5-40D3-B8FE-D6CB252319B9}"/>
    <cellStyle name="Migliaia 5 6 5" xfId="37371" xr:uid="{C0ABD0AC-5293-4897-8B23-BACE357E5B89}"/>
    <cellStyle name="Migliaia 5 6 6" xfId="42653" xr:uid="{5D86956E-C24F-4599-A451-689C150228FE}"/>
    <cellStyle name="Migliaia 5 6 7" xfId="16711" xr:uid="{96939378-E89E-4B18-BD36-22032515F21D}"/>
    <cellStyle name="Migliaia 5 6 8" xfId="7554" xr:uid="{324D7363-9171-48C0-9E7E-AA26A3F0696E}"/>
    <cellStyle name="Migliaia 5 7" xfId="3822" xr:uid="{7961EA66-A6B4-405A-B106-2843D4B1AD3F}"/>
    <cellStyle name="Migliaia 5 7 2" xfId="5548" xr:uid="{5691E667-E1E9-4312-9C77-50F4CAE58B42}"/>
    <cellStyle name="Migliaia 5 7 2 2" xfId="35436" xr:uid="{503ACAA0-7FDD-4494-89FD-4BB359BFD361}"/>
    <cellStyle name="Migliaia 5 7 2 2 2" xfId="40596" xr:uid="{D2F14187-EDD0-4083-8029-DF5A7A6926A3}"/>
    <cellStyle name="Migliaia 5 7 2 2 3" xfId="45898" xr:uid="{D1C1A21F-B03B-4F91-B0FB-C033529DD6F7}"/>
    <cellStyle name="Migliaia 5 7 2 3" xfId="37945" xr:uid="{1AE235EA-B501-47AB-853F-86FBFA750E5D}"/>
    <cellStyle name="Migliaia 5 7 2 4" xfId="43247" xr:uid="{9D7E0107-5F24-4321-853F-3BA50DBDCDB6}"/>
    <cellStyle name="Migliaia 5 7 2 5" xfId="14311" xr:uid="{CCC8C58A-81AF-4BA8-BF41-A04F1E8EEDEC}"/>
    <cellStyle name="Migliaia 5 7 3" xfId="6727" xr:uid="{129E5703-D28C-4465-A944-AEBF33E8C04D}"/>
    <cellStyle name="Migliaia 5 7 3 2" xfId="40003" xr:uid="{3095C999-8E97-44F9-85B3-5478BA02BE3C}"/>
    <cellStyle name="Migliaia 5 7 3 3" xfId="45305" xr:uid="{95C45DFD-5C5E-47C0-A088-272BEAFBF1EB}"/>
    <cellStyle name="Migliaia 5 7 3 4" xfId="34401" xr:uid="{A63E9FC5-C363-4D82-9138-62C77B5CAF88}"/>
    <cellStyle name="Migliaia 5 7 3 5" xfId="20853" xr:uid="{4BC26CAF-E727-410C-8B2A-B1BBF811DF29}"/>
    <cellStyle name="Migliaia 5 7 4" xfId="37372" xr:uid="{9AD99234-96BA-47C0-A737-5E9A6E329681}"/>
    <cellStyle name="Migliaia 5 7 5" xfId="42654" xr:uid="{D48BE7D7-AD80-429F-96B8-E344C15E53FB}"/>
    <cellStyle name="Migliaia 5 7 6" xfId="16713" xr:uid="{63844465-9BF4-4F3D-B7A5-49C3D61FDF28}"/>
    <cellStyle name="Migliaia 5 7 7" xfId="8373" xr:uid="{7B710853-8D52-43E6-938C-1B2D174BF63B}"/>
    <cellStyle name="Migliaia 5 8" xfId="3823" xr:uid="{D0A3D77F-4B84-4DB4-AA41-9B697CA2AE02}"/>
    <cellStyle name="Migliaia 5 8 2" xfId="5549" xr:uid="{62E944AA-BF42-482D-AE25-7B56A058083A}"/>
    <cellStyle name="Migliaia 5 8 2 2" xfId="35437" xr:uid="{5BFF006F-53CD-493A-A0F5-36D356D6D0D9}"/>
    <cellStyle name="Migliaia 5 8 2 2 2" xfId="40597" xr:uid="{FAFA651A-3B41-472E-A4B7-3959D7FC37B4}"/>
    <cellStyle name="Migliaia 5 8 2 2 3" xfId="45899" xr:uid="{1909C446-5678-4007-8E81-D4AF1057E25D}"/>
    <cellStyle name="Migliaia 5 8 2 3" xfId="37946" xr:uid="{19D8B3AC-75AD-44C5-8AAF-F89D3AF78B58}"/>
    <cellStyle name="Migliaia 5 8 2 4" xfId="43248" xr:uid="{55FC7461-8E95-4414-B378-92B3EB37CE80}"/>
    <cellStyle name="Migliaia 5 8 2 5" xfId="14016" xr:uid="{EBF96282-B9C0-48A6-B9AD-924314456721}"/>
    <cellStyle name="Migliaia 5 8 3" xfId="6728" xr:uid="{EE294F82-CD30-4E58-B51B-7CCD2E6991F4}"/>
    <cellStyle name="Migliaia 5 8 3 2" xfId="40004" xr:uid="{EC915E49-99B8-46F2-A89E-08C4CD7774BC}"/>
    <cellStyle name="Migliaia 5 8 3 3" xfId="45306" xr:uid="{9F33AE13-AB85-4DFE-91BF-66DC410A7F1C}"/>
    <cellStyle name="Migliaia 5 8 3 4" xfId="34402" xr:uid="{AC785B4A-4358-4CC4-B942-CBA2CAE64B1C}"/>
    <cellStyle name="Migliaia 5 8 3 5" xfId="20854" xr:uid="{EA35FEE5-76CA-4486-8C03-EB55071DB776}"/>
    <cellStyle name="Migliaia 5 8 4" xfId="37373" xr:uid="{1E3F65BD-5F85-40A4-AE85-9F55F1E1D403}"/>
    <cellStyle name="Migliaia 5 8 5" xfId="42655" xr:uid="{F071FA07-2AC3-457A-A583-0A7AAA54B866}"/>
    <cellStyle name="Migliaia 5 8 6" xfId="16714" xr:uid="{B4C9966D-226D-4A5D-9B8C-04CA19B8B4C4}"/>
    <cellStyle name="Migliaia 5 8 7" xfId="7998" xr:uid="{A21C0FCE-9160-48F8-9462-EAAC5AD6BA13}"/>
    <cellStyle name="Migliaia 5 9" xfId="5534" xr:uid="{12662844-185E-4B71-B45E-27291F21D528}"/>
    <cellStyle name="Migliaia 5 9 2" xfId="34403" xr:uid="{528F1F59-C13D-4A82-96C8-73120A137573}"/>
    <cellStyle name="Migliaia 5 9 2 2" xfId="40005" xr:uid="{32039327-E66E-4A6D-BA77-75E89415D71B}"/>
    <cellStyle name="Migliaia 5 9 2 3" xfId="45307" xr:uid="{A0606472-F143-4A5C-B852-042338BAC561}"/>
    <cellStyle name="Migliaia 5 9 3" xfId="37374" xr:uid="{664EE7C0-6DBC-422B-A3E7-880782847963}"/>
    <cellStyle name="Migliaia 5 9 4" xfId="42656" xr:uid="{C5950AEB-7F98-43D4-963D-692BCD665326}"/>
    <cellStyle name="Migliaia 5 9 5" xfId="17223" xr:uid="{ABE4999F-39F0-487B-9F05-FA5EF0F7A444}"/>
    <cellStyle name="Migliaia 50" xfId="481" xr:uid="{00000000-0005-0000-0000-000054040000}"/>
    <cellStyle name="Migliaia 50 10" xfId="6729" xr:uid="{052FC603-D84D-4F4D-BE55-B5DD14B44695}"/>
    <cellStyle name="Migliaia 50 10 2" xfId="40006" xr:uid="{8DE0F05C-FC88-415D-89F7-98D79F06AE3D}"/>
    <cellStyle name="Migliaia 50 10 3" xfId="45308" xr:uid="{DC010A7E-E8C1-4529-AC3D-926F9800C5B9}"/>
    <cellStyle name="Migliaia 50 10 4" xfId="34404" xr:uid="{AAA5F5D7-C4DA-447E-ACE1-695B40BEFDF1}"/>
    <cellStyle name="Migliaia 50 10 5" xfId="20855" xr:uid="{C56F879A-8CFF-4511-991B-6312F17F1254}"/>
    <cellStyle name="Migliaia 50 11" xfId="3824" xr:uid="{9194D318-F10F-4F49-BABD-EB9451D83A6C}"/>
    <cellStyle name="Migliaia 50 11 2" xfId="37375" xr:uid="{4B57BE20-A10E-44B4-9F6D-05EAC78EB5E6}"/>
    <cellStyle name="Migliaia 50 12" xfId="42657" xr:uid="{38752330-E883-489E-8911-4EE3C37A02F3}"/>
    <cellStyle name="Migliaia 50 13" xfId="7177" xr:uid="{846E15DE-CD52-4814-9188-01275CA1ADCE}"/>
    <cellStyle name="Migliaia 50 2" xfId="482" xr:uid="{00000000-0005-0000-0000-000055040000}"/>
    <cellStyle name="Migliaia 50 2 2" xfId="1881" xr:uid="{00000000-0005-0000-0000-000056040000}"/>
    <cellStyle name="Migliaia 50 2 2 2" xfId="5552" xr:uid="{B83964E4-AD91-47C3-A227-E66AA3CB4163}"/>
    <cellStyle name="Migliaia 50 2 2 2 2" xfId="14408" xr:uid="{990E9C72-8FB2-4415-9C3A-55456FA7E9A1}"/>
    <cellStyle name="Migliaia 50 2 2 2 2 2" xfId="40007" xr:uid="{B8C214E9-AA2C-4B0D-B903-1DDF2ECCEA14}"/>
    <cellStyle name="Migliaia 50 2 2 2 2 3" xfId="45309" xr:uid="{0D2061AC-C3AB-4B03-B93C-4F8DC5C080B9}"/>
    <cellStyle name="Migliaia 50 2 2 2 3" xfId="18497" xr:uid="{7D82A9E7-A0BC-4035-8702-4E25AE330730}"/>
    <cellStyle name="Migliaia 50 2 2 2 4" xfId="20858" xr:uid="{349E0C03-4FC1-44E5-B234-C0EF29A73F54}"/>
    <cellStyle name="Migliaia 50 2 2 2 4 2" xfId="42658" xr:uid="{CFCE3053-2FFD-4746-8DF2-46611AE05C2F}"/>
    <cellStyle name="Migliaia 50 2 2 2 5" xfId="16715" xr:uid="{C3EA8A6D-C6B9-43D7-951F-BA700F4E7C69}"/>
    <cellStyle name="Migliaia 50 2 2 2 6" xfId="8751" xr:uid="{4C46C00E-9759-457B-928D-544FDFE1F92D}"/>
    <cellStyle name="Migliaia 50 2 2 3" xfId="6731" xr:uid="{21659E38-682F-4D1A-9EEE-0E257D2179BF}"/>
    <cellStyle name="Migliaia 50 2 2 3 2" xfId="35438" xr:uid="{F778906A-7820-4991-91AE-D9199633A315}"/>
    <cellStyle name="Migliaia 50 2 2 3 2 2" xfId="40598" xr:uid="{D921909B-7B61-4348-BA98-604117D2CB56}"/>
    <cellStyle name="Migliaia 50 2 2 3 2 3" xfId="45900" xr:uid="{4E1CF54A-1D56-4C23-A9B7-95B8E54B8E34}"/>
    <cellStyle name="Migliaia 50 2 2 3 3" xfId="37947" xr:uid="{5A28089C-C52E-4FF2-98ED-85F189A0BC5B}"/>
    <cellStyle name="Migliaia 50 2 2 3 4" xfId="43249" xr:uid="{2DF63C92-570E-45D0-92C1-BA943ED5DCD5}"/>
    <cellStyle name="Migliaia 50 2 2 3 5" xfId="11635" xr:uid="{36FA4622-82E3-4B94-A9A9-8104F5B4D3C2}"/>
    <cellStyle name="Migliaia 50 2 2 4" xfId="3826" xr:uid="{AC041363-C6D6-4287-8909-82CF016A2150}"/>
    <cellStyle name="Migliaia 50 2 2 4 2" xfId="21593" xr:uid="{70E8AB08-A926-4F58-98A0-12E3EBEC026C}"/>
    <cellStyle name="Migliaia 50 2 2 4 3" xfId="47605" xr:uid="{FFDBA0B5-CF03-4213-81FB-AA7878F3BCB0}"/>
    <cellStyle name="Migliaia 50 2 2 4 4" xfId="50608" xr:uid="{93370C5A-5443-4F2D-8A81-8A682DECFA2E}"/>
    <cellStyle name="Migliaia 50 2 2 4 5" xfId="53624" xr:uid="{11862F70-9AD3-4545-B637-8B2BCD50FB26}"/>
    <cellStyle name="Migliaia 50 2 2 4 6" xfId="10958" xr:uid="{B1F77770-B5B9-47FE-A9BD-649967423EB9}"/>
    <cellStyle name="Migliaia 50 2 2 5" xfId="20857" xr:uid="{DB0F6EF0-197C-487E-9530-22E400CA014B}"/>
    <cellStyle name="Migliaia 50 2 2 6" xfId="25242" xr:uid="{2ABC4743-3C39-4B05-9081-9E05F8B8F7EC}"/>
    <cellStyle name="Migliaia 50 2 2 7" xfId="7561" xr:uid="{A32AB292-30EA-44B8-B0C1-4C7E29432C0A}"/>
    <cellStyle name="Migliaia 50 2 3" xfId="3827" xr:uid="{02174822-0FCF-479A-B155-C55555097B84}"/>
    <cellStyle name="Migliaia 50 2 3 2" xfId="5553" xr:uid="{78A044AF-D18F-4777-A6D3-95AA7EF59786}"/>
    <cellStyle name="Migliaia 50 2 3 2 2" xfId="35439" xr:uid="{C2A17D68-FC05-40A9-B550-FD895F5B3AFD}"/>
    <cellStyle name="Migliaia 50 2 3 2 2 2" xfId="40599" xr:uid="{24AA418D-8301-4700-AE61-BD76E5EBA054}"/>
    <cellStyle name="Migliaia 50 2 3 2 2 3" xfId="45901" xr:uid="{681B12E2-538D-4A01-BB83-C86A10BA3C44}"/>
    <cellStyle name="Migliaia 50 2 3 2 3" xfId="37948" xr:uid="{F7F51AC0-2BDD-4253-8E17-B125679DE720}"/>
    <cellStyle name="Migliaia 50 2 3 2 4" xfId="43250" xr:uid="{BBD18F84-078E-48DA-8715-E478B11E5227}"/>
    <cellStyle name="Migliaia 50 2 3 2 5" xfId="14315" xr:uid="{937CF1EC-4811-4B40-8840-9ECEB9529305}"/>
    <cellStyle name="Migliaia 50 2 3 3" xfId="6732" xr:uid="{8B83B2CE-6689-4747-8B42-969BB066F1F8}"/>
    <cellStyle name="Migliaia 50 2 3 3 2" xfId="40008" xr:uid="{ACBCFE2E-E7D7-48DD-85AC-2E7342F75B57}"/>
    <cellStyle name="Migliaia 50 2 3 3 3" xfId="45310" xr:uid="{A0092A32-3ACF-45AF-B22E-CD6B87B178D4}"/>
    <cellStyle name="Migliaia 50 2 3 3 4" xfId="34405" xr:uid="{7055C6B1-0BC3-48C1-9190-234CBE000DF0}"/>
    <cellStyle name="Migliaia 50 2 3 3 5" xfId="20859" xr:uid="{C7EE88AA-1448-4EFE-8DB1-AFD09EFB27FD}"/>
    <cellStyle name="Migliaia 50 2 3 4" xfId="37376" xr:uid="{91C6C635-3E23-4971-9B57-40680279760E}"/>
    <cellStyle name="Migliaia 50 2 3 5" xfId="42659" xr:uid="{A2964E7F-74A3-4B46-A10B-36079B5B6030}"/>
    <cellStyle name="Migliaia 50 2 3 6" xfId="16716" xr:uid="{86B4763C-295C-40E9-9005-037EFADCD760}"/>
    <cellStyle name="Migliaia 50 2 3 7" xfId="8377" xr:uid="{DD630E3C-E427-494D-8A3F-2E1A9C9FD693}"/>
    <cellStyle name="Migliaia 50 2 4" xfId="5551" xr:uid="{F2C26353-A5B3-447F-945E-395C4FB3BF14}"/>
    <cellStyle name="Migliaia 50 2 4 2" xfId="14020" xr:uid="{B9389293-AE01-4F00-BED3-EE8C7B2199F1}"/>
    <cellStyle name="Migliaia 50 2 4 2 2" xfId="40009" xr:uid="{098DACEC-4993-4D08-9333-3FDE4198C15F}"/>
    <cellStyle name="Migliaia 50 2 4 2 3" xfId="45311" xr:uid="{6FC3A7DE-6CB4-4C0F-9717-72126EFE8FBD}"/>
    <cellStyle name="Migliaia 50 2 4 3" xfId="18692" xr:uid="{EA4916CB-8DD0-4042-8BA6-2DC033F6C66F}"/>
    <cellStyle name="Migliaia 50 2 4 4" xfId="20860" xr:uid="{2080AB20-54AA-43E6-A582-5C4F6386FF2C}"/>
    <cellStyle name="Migliaia 50 2 4 4 2" xfId="42660" xr:uid="{43641815-1FC0-4F30-B8D3-A60016A1D9D1}"/>
    <cellStyle name="Migliaia 50 2 4 5" xfId="16717" xr:uid="{971C4747-BEAA-43DD-B650-E70BE07CC025}"/>
    <cellStyle name="Migliaia 50 2 4 6" xfId="8003" xr:uid="{6600C3EF-5850-45BD-91A0-A6C877F5CEE8}"/>
    <cellStyle name="Migliaia 50 2 5" xfId="6730" xr:uid="{2F450306-4C8D-4EA9-9E55-98CD6E7D5AC1}"/>
    <cellStyle name="Migliaia 50 2 5 2" xfId="34406" xr:uid="{33B620DB-FC65-4C35-BE6C-64694E2E24C3}"/>
    <cellStyle name="Migliaia 50 2 5 2 2" xfId="40010" xr:uid="{9BF78AF5-D6A4-402D-AFAA-42841807DC05}"/>
    <cellStyle name="Migliaia 50 2 5 2 3" xfId="45312" xr:uid="{A9EE93D9-45BC-4C0E-BA1E-186E93A25EAD}"/>
    <cellStyle name="Migliaia 50 2 5 3" xfId="37377" xr:uid="{32D02DBF-7DCB-4211-8BBD-13EBEB602260}"/>
    <cellStyle name="Migliaia 50 2 5 4" xfId="42661" xr:uid="{4DB940D1-3721-4EBA-AB7C-E93761001662}"/>
    <cellStyle name="Migliaia 50 2 5 5" xfId="13148" xr:uid="{749C0734-B8BC-4804-B0EF-FCF07E422E16}"/>
    <cellStyle name="Migliaia 50 2 6" xfId="3825" xr:uid="{0786225E-232F-42B6-93C1-8F1439FE2E8B}"/>
    <cellStyle name="Migliaia 50 2 6 2" xfId="34407" xr:uid="{71C8A3B7-D653-4225-A623-309B9A53D6D5}"/>
    <cellStyle name="Migliaia 50 2 6 2 2" xfId="40011" xr:uid="{A2A75A44-CDF1-4E1A-B851-AA1787469570}"/>
    <cellStyle name="Migliaia 50 2 6 2 3" xfId="45313" xr:uid="{6F4AE9F9-2744-4B27-9765-9B1474A83757}"/>
    <cellStyle name="Migliaia 50 2 6 3" xfId="37378" xr:uid="{019C5821-737F-45AD-957E-C7674B9D73F1}"/>
    <cellStyle name="Migliaia 50 2 6 4" xfId="42662" xr:uid="{72BA8E35-2F36-4F2F-A039-F899BCFCE2DF}"/>
    <cellStyle name="Migliaia 50 2 6 5" xfId="25243" xr:uid="{62D775BF-9F3D-480C-953D-A1CD4CF9D9A6}"/>
    <cellStyle name="Migliaia 50 2 6 6" xfId="20856" xr:uid="{10B85188-0580-4286-A669-50D13537899A}"/>
    <cellStyle name="Migliaia 50 2 7" xfId="25241" xr:uid="{0DAC3987-D2A5-4940-8B98-63485FDB2126}"/>
    <cellStyle name="Migliaia 50 2 8" xfId="7178" xr:uid="{FEEC5733-DE57-4B73-A53B-652E87F9F18D}"/>
    <cellStyle name="Migliaia 50 3" xfId="483" xr:uid="{00000000-0005-0000-0000-000057040000}"/>
    <cellStyle name="Migliaia 50 3 10" xfId="25244" xr:uid="{7AA51D1C-9110-4321-8140-1C682DD59042}"/>
    <cellStyle name="Migliaia 50 3 11" xfId="16718" xr:uid="{612F560F-BCFE-476B-BC20-A5483AD310A4}"/>
    <cellStyle name="Migliaia 50 3 12" xfId="7179" xr:uid="{F27AC40C-F8A5-4B86-93E6-914F9CD6E667}"/>
    <cellStyle name="Migliaia 50 3 2" xfId="484" xr:uid="{00000000-0005-0000-0000-000058040000}"/>
    <cellStyle name="Migliaia 50 3 2 2" xfId="1882" xr:uid="{00000000-0005-0000-0000-000059040000}"/>
    <cellStyle name="Migliaia 50 3 2 2 2" xfId="5556" xr:uid="{0A4540D2-E20A-4B29-A1DB-F1542F602C60}"/>
    <cellStyle name="Migliaia 50 3 2 2 2 2" xfId="18498" xr:uid="{840E4419-61DD-4240-BE3E-4C7E96F00038}"/>
    <cellStyle name="Migliaia 50 3 2 2 2 2 2" xfId="21886" xr:uid="{1752DB52-310E-402E-A1CA-7458A90AB0D9}"/>
    <cellStyle name="Migliaia 50 3 2 2 2 2 2 2" xfId="40012" xr:uid="{CEE7B235-A0D0-43DF-AE64-E711B1D62C04}"/>
    <cellStyle name="Migliaia 50 3 2 2 2 2 3" xfId="45314" xr:uid="{06055586-85F1-4BE2-8C66-6F8BA61A86D0}"/>
    <cellStyle name="Migliaia 50 3 2 2 2 2 4" xfId="34408" xr:uid="{E62CC96A-D6A6-4A45-AAA9-54B206D99692}"/>
    <cellStyle name="Migliaia 50 3 2 2 2 3" xfId="37379" xr:uid="{CDF31619-8594-4976-934A-E4B3F19C9C23}"/>
    <cellStyle name="Migliaia 50 3 2 2 2 4" xfId="42663" xr:uid="{632F9474-DFD6-4B71-BB92-0D2A78B18F52}"/>
    <cellStyle name="Migliaia 50 3 2 2 2 5" xfId="48291" xr:uid="{87ABC971-A3A5-4D73-BBAC-67154D739A5C}"/>
    <cellStyle name="Migliaia 50 3 2 2 2 6" xfId="50914" xr:uid="{E1AFEF5E-0E3D-462E-8127-388D13D4DD50}"/>
    <cellStyle name="Migliaia 50 3 2 2 2 7" xfId="53930" xr:uid="{A26696EB-59C0-4921-8C69-036D4FB6BB45}"/>
    <cellStyle name="Migliaia 50 3 2 2 2 8" xfId="17684" xr:uid="{C3A61839-DEED-4DCF-A222-8B36911F9E15}"/>
    <cellStyle name="Migliaia 50 3 2 2 2 9" xfId="12067" xr:uid="{50C95D4D-FB44-451F-83CE-9F8811616788}"/>
    <cellStyle name="Migliaia 50 3 2 2 3" xfId="6735" xr:uid="{8ABF46CF-7632-4D0D-9971-1D223D1A690C}"/>
    <cellStyle name="Migliaia 50 3 2 2 3 2" xfId="12319" xr:uid="{9C4E5B12-C09F-4D2A-ABCF-4C82F610CC0F}"/>
    <cellStyle name="Migliaia 50 3 2 2 4" xfId="3830" xr:uid="{6784C0D1-43B7-47C0-B8D5-6AD9D843F429}"/>
    <cellStyle name="Migliaia 50 3 2 2 4 2" xfId="21594" xr:uid="{1D3A4B34-4627-458E-81EE-1CD887F0B3FB}"/>
    <cellStyle name="Migliaia 50 3 2 2 4 3" xfId="46992" xr:uid="{BFDDCC21-7103-42A1-B137-411798789BF0}"/>
    <cellStyle name="Migliaia 50 3 2 2 4 4" xfId="50609" xr:uid="{10C11D24-8593-41EF-A857-4EDBA35B5C0A}"/>
    <cellStyle name="Migliaia 50 3 2 2 4 5" xfId="53625" xr:uid="{C7FE0DE7-C5B4-4365-8689-A29CDC1495D1}"/>
    <cellStyle name="Migliaia 50 3 2 2 4 6" xfId="10959" xr:uid="{D57D4D1F-7D7C-4C32-BEE8-E9DC09A7C3D7}"/>
    <cellStyle name="Migliaia 50 3 2 2 5" xfId="20863" xr:uid="{69AA2A1E-7491-47CA-BB0F-F105E08082B6}"/>
    <cellStyle name="Migliaia 50 3 2 2 6" xfId="25246" xr:uid="{AB0FFE76-531A-4989-BD74-3CDD3FF7340D}"/>
    <cellStyle name="Migliaia 50 3 2 2 7" xfId="8753" xr:uid="{5E235178-F0B7-4117-8C62-302DD0FD8545}"/>
    <cellStyle name="Migliaia 50 3 2 3" xfId="5555" xr:uid="{051B4B79-92B7-448B-974A-27AD6318645F}"/>
    <cellStyle name="Migliaia 50 3 2 3 2" xfId="12221" xr:uid="{D29904D8-17EA-43B8-8798-375CFDFAC526}"/>
    <cellStyle name="Migliaia 50 3 2 3 2 2" xfId="40013" xr:uid="{B4338932-F5BD-4A56-A24D-A03880123DA4}"/>
    <cellStyle name="Migliaia 50 3 2 3 2 3" xfId="45315" xr:uid="{0940D85A-F6A2-4EBA-98B5-007B37817BB4}"/>
    <cellStyle name="Migliaia 50 3 2 3 2 4" xfId="34409" xr:uid="{9EBDA1E5-7773-4FFC-A6AC-987EDE732B2B}"/>
    <cellStyle name="Migliaia 50 3 2 3 3" xfId="12068" xr:uid="{05477171-2F1A-4407-A473-27C8B37176E8}"/>
    <cellStyle name="Migliaia 50 3 2 3 4" xfId="20864" xr:uid="{14FC43B2-4821-457E-BCE0-1D4E51A05B97}"/>
    <cellStyle name="Migliaia 50 3 2 3 4 2" xfId="42664" xr:uid="{FF0E40A8-4A6D-4DDB-8B5A-03E420EEC340}"/>
    <cellStyle name="Migliaia 50 3 2 3 5" xfId="16719" xr:uid="{58FA6253-16B3-47D3-8984-A3C635D9E567}"/>
    <cellStyle name="Migliaia 50 3 2 3 6" xfId="8005" xr:uid="{B19E753F-6622-4DE2-99A8-3CEEE07DFA4C}"/>
    <cellStyle name="Migliaia 50 3 2 4" xfId="6734" xr:uid="{4E6208E2-3F4D-4BE5-9F5F-29FCA93B8E56}"/>
    <cellStyle name="Migliaia 50 3 2 4 2" xfId="18102" xr:uid="{96A37241-5595-4533-8304-A777FF754BAE}"/>
    <cellStyle name="Migliaia 50 3 2 4 2 2" xfId="40014" xr:uid="{A4B57781-A432-4868-BC71-3D6CB06AA5A6}"/>
    <cellStyle name="Migliaia 50 3 2 4 2 3" xfId="45316" xr:uid="{57D66660-F40A-4FA3-8ECB-86314128C0BB}"/>
    <cellStyle name="Migliaia 50 3 2 4 3" xfId="37380" xr:uid="{2CC7C0A6-7B63-4CD9-B450-D7956B0C8242}"/>
    <cellStyle name="Migliaia 50 3 2 4 4" xfId="42665" xr:uid="{1CD562FD-B31E-4CB5-9F85-97BEF0555ED2}"/>
    <cellStyle name="Migliaia 50 3 2 4 5" xfId="17226" xr:uid="{70BAF5D7-D580-4A27-94D8-EBB5D7B056D2}"/>
    <cellStyle name="Migliaia 50 3 2 4 6" xfId="11417" xr:uid="{B26E8D09-6FA7-4A4F-B1EA-DAF85342CCDF}"/>
    <cellStyle name="Migliaia 50 3 2 5" xfId="3829" xr:uid="{CA51B2F2-2E1B-4253-BB52-F1E5AEE21BE5}"/>
    <cellStyle name="Migliaia 50 3 2 5 2" xfId="34410" xr:uid="{55314B21-1385-4800-AD67-1136331BBF10}"/>
    <cellStyle name="Migliaia 50 3 2 5 2 2" xfId="40015" xr:uid="{00302D75-E1A6-4435-8DF3-B96EEB91B0C9}"/>
    <cellStyle name="Migliaia 50 3 2 5 2 3" xfId="45317" xr:uid="{A0B0AF3D-3A17-44B7-8439-F8CB10E634BB}"/>
    <cellStyle name="Migliaia 50 3 2 5 3" xfId="37381" xr:uid="{90D966B7-A0E7-4FBA-86E7-B73ABCCC0409}"/>
    <cellStyle name="Migliaia 50 3 2 5 4" xfId="42666" xr:uid="{5D6079B2-2C76-4944-9541-C9A1C67CA9FF}"/>
    <cellStyle name="Migliaia 50 3 2 5 5" xfId="17291" xr:uid="{6AC89117-4104-4EDF-82D0-91015E6303DF}"/>
    <cellStyle name="Migliaia 50 3 2 6" xfId="20862" xr:uid="{0B4622A0-9E12-4D56-B893-66ABBDD9F26E}"/>
    <cellStyle name="Migliaia 50 3 2 6 2" xfId="34411" xr:uid="{1E6D3447-9CAC-44B9-BB04-C4E0C8BA494D}"/>
    <cellStyle name="Migliaia 50 3 2 6 2 2" xfId="40016" xr:uid="{DB906F23-E691-47BE-91B4-D9A6BCAD994D}"/>
    <cellStyle name="Migliaia 50 3 2 6 2 3" xfId="45318" xr:uid="{5DB878DB-6AF8-48BA-AED2-66DD5F9EC787}"/>
    <cellStyle name="Migliaia 50 3 2 6 3" xfId="37382" xr:uid="{C1C094DB-F9C8-4846-A0A6-1D603486252E}"/>
    <cellStyle name="Migliaia 50 3 2 6 4" xfId="42667" xr:uid="{35A6ECD5-A129-487B-BBED-3A24DBEDC891}"/>
    <cellStyle name="Migliaia 50 3 2 6 5" xfId="25247" xr:uid="{B23E410D-DFDD-4C5D-BEBB-28FAB7274651}"/>
    <cellStyle name="Migliaia 50 3 2 7" xfId="25245" xr:uid="{1A67AD63-67FB-4A9A-8CA5-B3B709945D31}"/>
    <cellStyle name="Migliaia 50 3 2 8" xfId="7563" xr:uid="{13F5E939-742E-4D6B-B59D-FBF84046C4C3}"/>
    <cellStyle name="Migliaia 50 3 3" xfId="3831" xr:uid="{4C8B61BA-D09D-42D3-9679-536B38FB3434}"/>
    <cellStyle name="Migliaia 50 3 3 10" xfId="7562" xr:uid="{B019C4F3-6B18-433D-8AD5-693D751890E5}"/>
    <cellStyle name="Migliaia 50 3 3 2" xfId="5557" xr:uid="{76CD6033-7917-4A32-ABB4-D12E3F0AF4CA}"/>
    <cellStyle name="Migliaia 50 3 3 2 2" xfId="9972" xr:uid="{430591B0-366C-4478-90BC-242273ABE5E4}"/>
    <cellStyle name="Migliaia 50 3 3 2 2 2" xfId="40018" xr:uid="{1E0E97BA-388F-4CF8-A548-7732F12565AB}"/>
    <cellStyle name="Migliaia 50 3 3 2 2 3" xfId="45320" xr:uid="{09D8314F-D226-4350-B067-59D40E230666}"/>
    <cellStyle name="Migliaia 50 3 3 2 3" xfId="18252" xr:uid="{B63BE917-6EF8-4C00-9023-058E79242754}"/>
    <cellStyle name="Migliaia 50 3 3 2 4" xfId="20866" xr:uid="{FD909920-C930-4215-8A59-468EB8C565B7}"/>
    <cellStyle name="Migliaia 50 3 3 2 4 2" xfId="42669" xr:uid="{0BF57F68-978B-41EB-A9A0-A5B7F3436FA6}"/>
    <cellStyle name="Migliaia 50 3 3 2 5" xfId="16721" xr:uid="{8776DA89-2444-498E-BCE3-8D23ECADFEFC}"/>
    <cellStyle name="Migliaia 50 3 3 2 6" xfId="8752" xr:uid="{6257F485-8A62-4863-9A7B-708D6FC28F5D}"/>
    <cellStyle name="Migliaia 50 3 3 3" xfId="6736" xr:uid="{16AAEDFD-5899-48D1-BF2C-C3F8A611EBC4}"/>
    <cellStyle name="Migliaia 50 3 3 3 2" xfId="34413" xr:uid="{F3FBAFFF-F662-4451-941D-E6197BE85BB8}"/>
    <cellStyle name="Migliaia 50 3 3 3 2 2" xfId="40019" xr:uid="{36BE54BF-7579-4D99-A3F3-2CDCC865A8EF}"/>
    <cellStyle name="Migliaia 50 3 3 3 2 3" xfId="45321" xr:uid="{9BAD1555-6976-4000-87D3-B2D9E9DA749F}"/>
    <cellStyle name="Migliaia 50 3 3 3 3" xfId="37384" xr:uid="{7C4F557D-C23A-4989-A777-1A62EED44073}"/>
    <cellStyle name="Migliaia 50 3 3 3 4" xfId="42670" xr:uid="{B6F3C448-4CCE-4271-814B-D71850BF5C9A}"/>
    <cellStyle name="Migliaia 50 3 3 3 5" xfId="9735" xr:uid="{F08D21F5-9E72-4A73-933B-54D1FEF8E350}"/>
    <cellStyle name="Migliaia 50 3 3 4" xfId="20865" xr:uid="{3FC1D1F2-655B-4646-A6F1-7259CE2D636A}"/>
    <cellStyle name="Migliaia 50 3 3 4 2" xfId="34414" xr:uid="{456C6DFE-87E7-49FD-8530-1A5F929E4E01}"/>
    <cellStyle name="Migliaia 50 3 3 4 2 2" xfId="40020" xr:uid="{7243BC1B-0D18-44A7-A28A-FD83A537DCF7}"/>
    <cellStyle name="Migliaia 50 3 3 4 2 3" xfId="45322" xr:uid="{699FD857-4108-4AC4-8A6B-895013D7E73F}"/>
    <cellStyle name="Migliaia 50 3 3 4 3" xfId="37385" xr:uid="{0BEE1EE5-A8BE-4445-82D4-096A5B64E600}"/>
    <cellStyle name="Migliaia 50 3 3 4 4" xfId="42671" xr:uid="{59DBD5CB-39D5-4FF5-BFE9-B1DCC06DF8C9}"/>
    <cellStyle name="Migliaia 50 3 3 4 5" xfId="25248" xr:uid="{49E76E14-8436-4544-93F7-6E9187031119}"/>
    <cellStyle name="Migliaia 50 3 3 5" xfId="25249" xr:uid="{8A134E60-C11F-4BC7-8F2D-52FD5DE22191}"/>
    <cellStyle name="Migliaia 50 3 3 5 2" xfId="34415" xr:uid="{9C0CD4E1-5509-4888-ACEE-600C2C37D2A0}"/>
    <cellStyle name="Migliaia 50 3 3 5 2 2" xfId="40021" xr:uid="{9B2FA0C0-7222-40DA-8206-5CA87BDECC76}"/>
    <cellStyle name="Migliaia 50 3 3 5 2 3" xfId="45323" xr:uid="{41C13B79-F570-4BA5-BB90-68C10D187572}"/>
    <cellStyle name="Migliaia 50 3 3 5 3" xfId="37386" xr:uid="{9D29E668-EE1E-48A2-B3F1-C5492D8956B0}"/>
    <cellStyle name="Migliaia 50 3 3 5 4" xfId="42672" xr:uid="{C36549E9-4C99-4E67-8D89-6378270E4508}"/>
    <cellStyle name="Migliaia 50 3 3 6" xfId="34412" xr:uid="{DA66CC26-9C5F-4963-87BC-218F158E1775}"/>
    <cellStyle name="Migliaia 50 3 3 6 2" xfId="40017" xr:uid="{0EB87DCC-183C-43AD-83C7-092311CBE083}"/>
    <cellStyle name="Migliaia 50 3 3 6 3" xfId="45319" xr:uid="{B938DC2B-A419-4226-84E9-86CF2D27D2DE}"/>
    <cellStyle name="Migliaia 50 3 3 7" xfId="37383" xr:uid="{FFD6927A-31AC-498C-B150-D1DEA1FE2D3B}"/>
    <cellStyle name="Migliaia 50 3 3 8" xfId="42668" xr:uid="{16BE99D8-886D-4458-BE36-4D80B636213E}"/>
    <cellStyle name="Migliaia 50 3 3 9" xfId="16720" xr:uid="{36A218DC-5623-41E1-B6E2-D73086C9F4BD}"/>
    <cellStyle name="Migliaia 50 3 4" xfId="3832" xr:uid="{61630A4C-D7F4-4D6D-AC7E-AF5000F1BD89}"/>
    <cellStyle name="Migliaia 50 3 4 2" xfId="5558" xr:uid="{6DF363F7-F0A6-4676-A7B2-757510CAED98}"/>
    <cellStyle name="Migliaia 50 3 4 2 2" xfId="14468" xr:uid="{D483DFF9-8A86-46C8-AB10-D70C325880E9}"/>
    <cellStyle name="Migliaia 50 3 4 2 3" xfId="18035" xr:uid="{9923B95D-69D8-4CB1-BB2A-042708FD75B5}"/>
    <cellStyle name="Migliaia 50 3 4 2 4" xfId="20868" xr:uid="{929C209F-92F5-4091-98AC-3DCE5EE10147}"/>
    <cellStyle name="Migliaia 50 3 4 2 5" xfId="32455" xr:uid="{024253E1-BB1C-4C86-914C-7F56CF760490}"/>
    <cellStyle name="Migliaia 50 3 4 2 6" xfId="16723" xr:uid="{285AF51F-8B77-4D93-B81D-893EEAB05865}"/>
    <cellStyle name="Migliaia 50 3 4 2 7" xfId="8891" xr:uid="{B782A703-25BF-4B47-8CDB-15620DC8B5DC}"/>
    <cellStyle name="Migliaia 50 3 4 3" xfId="6737" xr:uid="{432D1E88-4C6B-4ADB-B6B1-C8BABA3DBF19}"/>
    <cellStyle name="Migliaia 50 3 4 3 2" xfId="35440" xr:uid="{D1163DA4-7B27-45FA-B09F-05E670737B6F}"/>
    <cellStyle name="Migliaia 50 3 4 3 2 2" xfId="40600" xr:uid="{98E41D11-D753-4B05-9E90-9A9F5D1EAE0A}"/>
    <cellStyle name="Migliaia 50 3 4 3 2 3" xfId="45902" xr:uid="{6CB12196-6785-4519-AE7F-D61A167883B3}"/>
    <cellStyle name="Migliaia 50 3 4 3 3" xfId="37949" xr:uid="{2F957922-1569-498F-A92B-0798F61CEF23}"/>
    <cellStyle name="Migliaia 50 3 4 3 4" xfId="43251" xr:uid="{09138BC2-F774-46ED-AAFF-01983763E8E4}"/>
    <cellStyle name="Migliaia 50 3 4 3 5" xfId="13716" xr:uid="{063A9384-1343-40A3-8943-7BB95A07B9DE}"/>
    <cellStyle name="Migliaia 50 3 4 4" xfId="20867" xr:uid="{8A04E806-D706-40AF-8F10-B3E6E5923EAB}"/>
    <cellStyle name="Migliaia 50 3 4 4 2" xfId="40022" xr:uid="{957A5024-BCF2-466C-A4F7-B61A25A399EC}"/>
    <cellStyle name="Migliaia 50 3 4 4 3" xfId="45324" xr:uid="{43472862-9445-42C8-B2A7-40B15B571A36}"/>
    <cellStyle name="Migliaia 50 3 4 4 4" xfId="34416" xr:uid="{1630074B-9A9A-4515-A87E-A21D9A3185F4}"/>
    <cellStyle name="Migliaia 50 3 4 5" xfId="37387" xr:uid="{E67747CF-3A7A-4D7E-82E8-5750F6F9503E}"/>
    <cellStyle name="Migliaia 50 3 4 6" xfId="42673" xr:uid="{888133BF-0F0A-465F-AD19-88FD4858951F}"/>
    <cellStyle name="Migliaia 50 3 4 7" xfId="16722" xr:uid="{A4E8537C-F587-48AC-AC52-CA099E3BE0CE}"/>
    <cellStyle name="Migliaia 50 3 4 8" xfId="7701" xr:uid="{46FBBD16-8F53-4BA8-AE0C-FF0FB12BC25A}"/>
    <cellStyle name="Migliaia 50 3 5" xfId="3833" xr:uid="{53F95984-E938-4B29-B1BB-A0351A3403EC}"/>
    <cellStyle name="Migliaia 50 3 5 2" xfId="5559" xr:uid="{5E29E62A-A1BF-4A0A-BDFD-18F65BFA4552}"/>
    <cellStyle name="Migliaia 50 3 5 2 2" xfId="35441" xr:uid="{CAE9C389-EF08-4DBA-A93E-CF35059F16F7}"/>
    <cellStyle name="Migliaia 50 3 5 2 2 2" xfId="40601" xr:uid="{1A318973-DB6B-46C4-BEF8-62F6F3940B04}"/>
    <cellStyle name="Migliaia 50 3 5 2 2 3" xfId="45903" xr:uid="{FD0801F0-AD95-4F45-B252-CE7B435010C8}"/>
    <cellStyle name="Migliaia 50 3 5 2 3" xfId="37950" xr:uid="{8A49365B-600A-4CA0-9DEC-0C0EE7729318}"/>
    <cellStyle name="Migliaia 50 3 5 2 4" xfId="43252" xr:uid="{FD9226D6-8C1E-4118-B4C6-26096A33F5E5}"/>
    <cellStyle name="Migliaia 50 3 5 2 5" xfId="14316" xr:uid="{13FD90CA-32CD-45FC-9F78-71F7BCAA8AC8}"/>
    <cellStyle name="Migliaia 50 3 5 3" xfId="6738" xr:uid="{6E33159D-382B-47EE-9213-7FD76751C414}"/>
    <cellStyle name="Migliaia 50 3 5 3 2" xfId="40023" xr:uid="{33A34D20-8FD0-4469-9FCE-62631B854991}"/>
    <cellStyle name="Migliaia 50 3 5 3 3" xfId="45325" xr:uid="{BF2BD010-5BAF-4FA6-A923-0FA86B1E065E}"/>
    <cellStyle name="Migliaia 50 3 5 3 4" xfId="34417" xr:uid="{A95494CA-182B-438C-8A98-C4A87B92026A}"/>
    <cellStyle name="Migliaia 50 3 5 3 5" xfId="20869" xr:uid="{C2782E65-7958-4B05-B9EA-85B9F97843C9}"/>
    <cellStyle name="Migliaia 50 3 5 4" xfId="37388" xr:uid="{0A403AB0-DE8C-4B18-A7D9-34767045164C}"/>
    <cellStyle name="Migliaia 50 3 5 5" xfId="42674" xr:uid="{B652030B-B8B8-4DB0-BB96-537DC8177240}"/>
    <cellStyle name="Migliaia 50 3 5 6" xfId="16724" xr:uid="{0FD06F96-9205-4E05-AF75-23951DF26866}"/>
    <cellStyle name="Migliaia 50 3 5 7" xfId="8378" xr:uid="{DD4DD320-35CD-476F-B377-3E5557521C3D}"/>
    <cellStyle name="Migliaia 50 3 6" xfId="5554" xr:uid="{A382329F-F97D-49FC-8327-772E5B22ED8C}"/>
    <cellStyle name="Migliaia 50 3 6 2" xfId="14021" xr:uid="{F6CACADC-DBB0-4F09-B834-B9A2BAC110FF}"/>
    <cellStyle name="Migliaia 50 3 6 2 2" xfId="40024" xr:uid="{947B546E-D04E-4273-876C-64CCC357B9C5}"/>
    <cellStyle name="Migliaia 50 3 6 2 3" xfId="45326" xr:uid="{6496153B-10D6-4AE6-B85B-6826111D049B}"/>
    <cellStyle name="Migliaia 50 3 6 3" xfId="18691" xr:uid="{5B5A8ED7-1EEA-48CD-A790-A809E305CABA}"/>
    <cellStyle name="Migliaia 50 3 6 4" xfId="20870" xr:uid="{3D062D95-DC7B-4E58-9B6F-7F6BB3E49277}"/>
    <cellStyle name="Migliaia 50 3 6 4 2" xfId="42675" xr:uid="{0973CBE6-395A-4011-931E-FD67CF23D32F}"/>
    <cellStyle name="Migliaia 50 3 6 5" xfId="16725" xr:uid="{49E7B17F-7938-46A1-B875-FDEFD9C62D84}"/>
    <cellStyle name="Migliaia 50 3 6 6" xfId="8004" xr:uid="{6702DDE9-7E84-4287-91E0-649EA573514A}"/>
    <cellStyle name="Migliaia 50 3 7" xfId="6733" xr:uid="{62BD617F-CDE4-42C2-982B-57BE0EB632B4}"/>
    <cellStyle name="Migliaia 50 3 7 2" xfId="34418" xr:uid="{C3E8B5D1-6D50-4E3C-B2AD-73A9465E8D2D}"/>
    <cellStyle name="Migliaia 50 3 7 2 2" xfId="40025" xr:uid="{EC6094E0-8B2B-4C6D-AF37-C7FC15EFFBF8}"/>
    <cellStyle name="Migliaia 50 3 7 2 3" xfId="45327" xr:uid="{A8EC0085-F99B-439F-B133-8D3B39B8EFCD}"/>
    <cellStyle name="Migliaia 50 3 7 3" xfId="37389" xr:uid="{3771AF21-F5DB-4305-B8B8-DE0E2D7895B5}"/>
    <cellStyle name="Migliaia 50 3 7 4" xfId="42676" xr:uid="{17967532-4222-47CE-8344-9409967AE6B3}"/>
    <cellStyle name="Migliaia 50 3 7 5" xfId="11217" xr:uid="{EF5D6F80-CD72-4D5E-A98B-F887CCD69912}"/>
    <cellStyle name="Migliaia 50 3 8" xfId="3828" xr:uid="{171A1F20-4986-4F0F-89D7-ED14B0C5F035}"/>
    <cellStyle name="Migliaia 50 3 8 2" xfId="34419" xr:uid="{C6637934-A3C8-49DD-BE25-861DA2C81E71}"/>
    <cellStyle name="Migliaia 50 3 8 2 2" xfId="40026" xr:uid="{B9B6A5E4-C4F3-45A9-B1E8-D410534AD88B}"/>
    <cellStyle name="Migliaia 50 3 8 2 3" xfId="45328" xr:uid="{B554AC55-111A-47CA-AF48-D48ABC3DE62F}"/>
    <cellStyle name="Migliaia 50 3 8 3" xfId="37390" xr:uid="{E66D1E3D-8642-4166-8A4D-F87AC49AD70F}"/>
    <cellStyle name="Migliaia 50 3 8 4" xfId="42677" xr:uid="{911DF65D-AE62-4151-B726-7B610F6C681E}"/>
    <cellStyle name="Migliaia 50 3 8 5" xfId="25250" xr:uid="{762A0DC1-1DD2-4484-8869-DE6B6D399777}"/>
    <cellStyle name="Migliaia 50 3 8 6" xfId="17292" xr:uid="{A788A283-BECB-42CA-BB02-CECB8465A29A}"/>
    <cellStyle name="Migliaia 50 3 9" xfId="20861" xr:uid="{CF490FAF-4BCD-497E-BA06-94C5D23759FE}"/>
    <cellStyle name="Migliaia 50 4" xfId="1883" xr:uid="{00000000-0005-0000-0000-00005A040000}"/>
    <cellStyle name="Migliaia 50 4 2" xfId="1884" xr:uid="{00000000-0005-0000-0000-00005B040000}"/>
    <cellStyle name="Migliaia 50 4 2 2" xfId="5561" xr:uid="{0F6E3954-129E-48FB-8B7B-2A818B143147}"/>
    <cellStyle name="Migliaia 50 4 2 2 2" xfId="34420" xr:uid="{AFB64BA1-E2E3-461D-B970-9667DDDFB18D}"/>
    <cellStyle name="Migliaia 50 4 2 2 2 2" xfId="40027" xr:uid="{1EA62ADC-63DD-489E-BBFC-D1D831D5E574}"/>
    <cellStyle name="Migliaia 50 4 2 2 2 3" xfId="45329" xr:uid="{F63EBBB9-FCCF-4E3F-B917-DC9D53B3EF41}"/>
    <cellStyle name="Migliaia 50 4 2 2 3" xfId="37391" xr:uid="{EC7B84A3-F791-46A3-9314-E3BE5B80CF2B}"/>
    <cellStyle name="Migliaia 50 4 2 2 4" xfId="42678" xr:uid="{B5E90EBF-9CA3-4889-8B4B-46C07A41B1CE}"/>
    <cellStyle name="Migliaia 50 4 2 2 5" xfId="9198" xr:uid="{7BEA8429-9AA1-4B1C-9037-1F043577A156}"/>
    <cellStyle name="Migliaia 50 4 2 3" xfId="3835" xr:uid="{9B14D4BA-0C34-4CC9-BBCD-3D4DD522230C}"/>
    <cellStyle name="Migliaia 50 4 2 3 2" xfId="34421" xr:uid="{B3EDCFC7-AB42-4DF0-A096-805C65946814}"/>
    <cellStyle name="Migliaia 50 4 2 3 2 2" xfId="40028" xr:uid="{FE68063E-8AA2-4FE2-9A05-A4BF0223E7B4}"/>
    <cellStyle name="Migliaia 50 4 2 3 2 3" xfId="45330" xr:uid="{2B3742F0-AAD4-4CD7-A030-C8229328BF6F}"/>
    <cellStyle name="Migliaia 50 4 2 3 3" xfId="37392" xr:uid="{84FDFEC1-9506-448E-9B0B-2FA0A48D85FD}"/>
    <cellStyle name="Migliaia 50 4 2 3 4" xfId="42679" xr:uid="{2EE19DB6-F342-4B4B-8458-62C83B9F4763}"/>
    <cellStyle name="Migliaia 50 4 2 3 5" xfId="12069" xr:uid="{7DD22326-E203-4BBD-BB2E-848BC19B5307}"/>
    <cellStyle name="Migliaia 50 4 2 4" xfId="11419" xr:uid="{38556269-D6D9-4F03-B0F6-6585830EB8C4}"/>
    <cellStyle name="Migliaia 50 4 2 5" xfId="10961" xr:uid="{1B6E731C-12F8-495A-B57B-D2F7198823DF}"/>
    <cellStyle name="Migliaia 50 4 2 5 2" xfId="21596" xr:uid="{2C1DE2A8-7821-4292-89A9-4B12A0A1560F}"/>
    <cellStyle name="Migliaia 50 4 2 5 3" xfId="32552" xr:uid="{9995B144-55B5-48F0-B2FF-BBF4AC8C0F6F}"/>
    <cellStyle name="Migliaia 50 4 2 5 4" xfId="50611" xr:uid="{F1F094E6-7392-41F2-961A-5D10D0DF8737}"/>
    <cellStyle name="Migliaia 50 4 2 5 5" xfId="53627" xr:uid="{8442B180-41E4-48B8-B626-BABA407D35F6}"/>
    <cellStyle name="Migliaia 50 4 2 6" xfId="20872" xr:uid="{3DCC104B-BC23-4AB6-8DB7-91CFA94B6F00}"/>
    <cellStyle name="Migliaia 50 4 2 7" xfId="25252" xr:uid="{BFED9F1F-A020-4892-87EA-ED6151D3835E}"/>
    <cellStyle name="Migliaia 50 4 2 8" xfId="8754" xr:uid="{1EC3AACB-4610-49DF-AB5D-AC1C87391055}"/>
    <cellStyle name="Migliaia 50 4 3" xfId="5560" xr:uid="{C4AD7F81-7CA9-41B1-93BF-C5AD3BE44A35}"/>
    <cellStyle name="Migliaia 50 4 3 2" xfId="18253" xr:uid="{F1A54598-A539-4132-BAC4-BC4D5DCE6310}"/>
    <cellStyle name="Migliaia 50 4 3 2 2" xfId="40029" xr:uid="{AF659390-F0C7-4D1B-955D-E9EABE5347F1}"/>
    <cellStyle name="Migliaia 50 4 3 2 3" xfId="45331" xr:uid="{8BCC61F0-25C5-46B0-84FD-4B9E4EBD3DFB}"/>
    <cellStyle name="Migliaia 50 4 3 3" xfId="37393" xr:uid="{4D5EC592-5569-481F-A4B1-84D6EFB4C7EF}"/>
    <cellStyle name="Migliaia 50 4 3 4" xfId="42680" xr:uid="{5280886C-B230-43E4-8CA2-0151577C463C}"/>
    <cellStyle name="Migliaia 50 4 3 5" xfId="17290" xr:uid="{A6AAD607-C51F-4A4C-9388-2D247701AA03}"/>
    <cellStyle name="Migliaia 50 4 3 6" xfId="9199" xr:uid="{5D170BFE-06C4-4D50-ADBE-719B76C97852}"/>
    <cellStyle name="Migliaia 50 4 4" xfId="6739" xr:uid="{C0B22001-1E00-4F3B-B4F5-9E832502C432}"/>
    <cellStyle name="Migliaia 50 4 4 2" xfId="34422" xr:uid="{A8EF4161-11D3-4B84-AE48-8EEA94616F7D}"/>
    <cellStyle name="Migliaia 50 4 4 2 2" xfId="40030" xr:uid="{F89E9FC1-6D02-4E2A-A9DF-1B8F180577AD}"/>
    <cellStyle name="Migliaia 50 4 4 2 3" xfId="45332" xr:uid="{C404073A-514E-425D-93C7-17871B79ED56}"/>
    <cellStyle name="Migliaia 50 4 4 3" xfId="37394" xr:uid="{9662D92C-E105-4F81-A086-DD2108C43979}"/>
    <cellStyle name="Migliaia 50 4 4 4" xfId="42681" xr:uid="{091C22E1-CBD9-427B-8BD3-C703BD7023BF}"/>
    <cellStyle name="Migliaia 50 4 4 5" xfId="12070" xr:uid="{FBD360F7-1C71-4799-90E8-9992CEF4D643}"/>
    <cellStyle name="Migliaia 50 4 5" xfId="3834" xr:uid="{BBCE4333-9F34-4C47-8868-73E9F07581E4}"/>
    <cellStyle name="Migliaia 50 4 5 2" xfId="34423" xr:uid="{6B3FBD43-71D2-4158-8696-D101D7FA346E}"/>
    <cellStyle name="Migliaia 50 4 5 2 2" xfId="40031" xr:uid="{D8CF23E1-841B-4D6E-B65A-5BCFA95DA772}"/>
    <cellStyle name="Migliaia 50 4 5 2 3" xfId="45333" xr:uid="{DE83266F-482B-46B9-971C-FE3097FF3B46}"/>
    <cellStyle name="Migliaia 50 4 5 3" xfId="37395" xr:uid="{28435843-DA22-4970-91C4-0D6AF0C4B112}"/>
    <cellStyle name="Migliaia 50 4 5 4" xfId="42682" xr:uid="{5D4F1B5D-171F-4F8A-A248-9C301478053C}"/>
    <cellStyle name="Migliaia 50 4 5 5" xfId="11418" xr:uid="{6A374242-B3AF-46C2-A721-7F172D23EB5B}"/>
    <cellStyle name="Migliaia 50 4 6" xfId="10960" xr:uid="{BFD2D1D8-366B-417D-8D01-F90EB62DF495}"/>
    <cellStyle name="Migliaia 50 4 6 2" xfId="21595" xr:uid="{5ABF18D8-0A58-4AA6-8A59-1F20C8C7B68C}"/>
    <cellStyle name="Migliaia 50 4 6 2 2" xfId="40032" xr:uid="{731A747E-F619-49CD-8273-5D1963A75726}"/>
    <cellStyle name="Migliaia 50 4 6 2 3" xfId="45334" xr:uid="{F98026B0-C535-4EEA-8CF8-A95C2C38C3C1}"/>
    <cellStyle name="Migliaia 50 4 6 2 4" xfId="34424" xr:uid="{E1F20F50-416E-4CD9-8F90-BCE773B2212A}"/>
    <cellStyle name="Migliaia 50 4 6 3" xfId="37396" xr:uid="{F740C9C2-C9A8-4C7D-A275-EE2CE8791895}"/>
    <cellStyle name="Migliaia 50 4 6 4" xfId="42683" xr:uid="{0BA92DCF-9620-4E55-BF85-10B85F0AE712}"/>
    <cellStyle name="Migliaia 50 4 6 5" xfId="25253" xr:uid="{CFF56FAF-C9A8-4D3C-872C-1A1F42AC859A}"/>
    <cellStyle name="Migliaia 50 4 6 6" xfId="48379" xr:uid="{AE5F4688-CADB-496D-860C-7ED05A6F4452}"/>
    <cellStyle name="Migliaia 50 4 6 7" xfId="50610" xr:uid="{CBDB5A90-4CCE-4147-892F-4C351B847F93}"/>
    <cellStyle name="Migliaia 50 4 6 8" xfId="53626" xr:uid="{C685FDA2-65CF-41B2-8E05-78A46BF1EEE0}"/>
    <cellStyle name="Migliaia 50 4 7" xfId="20871" xr:uid="{1A2E3136-7D70-4A85-914B-896A2F92C02E}"/>
    <cellStyle name="Migliaia 50 4 7 2" xfId="34425" xr:uid="{EB0A8083-15B9-4DD8-B3CF-F21D1D3C6712}"/>
    <cellStyle name="Migliaia 50 4 7 2 2" xfId="40033" xr:uid="{1B591B1E-ED03-441B-B0B2-D39D7CB70951}"/>
    <cellStyle name="Migliaia 50 4 7 2 3" xfId="45335" xr:uid="{CFADBEA1-AC29-44DC-91B4-35F1B38C0458}"/>
    <cellStyle name="Migliaia 50 4 7 3" xfId="37397" xr:uid="{8E4436CB-A91E-42D7-A0E9-A9C8B6B213BE}"/>
    <cellStyle name="Migliaia 50 4 7 4" xfId="42684" xr:uid="{78168EE4-E40F-485A-8FC7-B5E84855C1AF}"/>
    <cellStyle name="Migliaia 50 4 7 5" xfId="25254" xr:uid="{0BDBBD68-E11A-4137-AAF4-1A2BF79A6075}"/>
    <cellStyle name="Migliaia 50 4 8" xfId="25251" xr:uid="{324C1786-9104-4590-B34B-0484F500892B}"/>
    <cellStyle name="Migliaia 50 4 9" xfId="7564" xr:uid="{49F1EA18-217B-4C73-8A0A-619A3014CB05}"/>
    <cellStyle name="Migliaia 50 5" xfId="1885" xr:uid="{00000000-0005-0000-0000-00005C040000}"/>
    <cellStyle name="Migliaia 50 5 2" xfId="5562" xr:uid="{9CE24454-31A6-4FA8-9C79-DEBD9FE6E401}"/>
    <cellStyle name="Migliaia 50 5 2 2" xfId="18499" xr:uid="{CC3A4395-69CB-4902-9256-1D13687D0B18}"/>
    <cellStyle name="Migliaia 50 5 2 2 2" xfId="40034" xr:uid="{D1854D54-B5F0-4E61-A410-C614022AE187}"/>
    <cellStyle name="Migliaia 50 5 2 2 3" xfId="45336" xr:uid="{55D88310-B6B2-4FA7-9CDC-E9CCD7EBC499}"/>
    <cellStyle name="Migliaia 50 5 2 3" xfId="20874" xr:uid="{32C3E295-32BA-4498-8788-799F5C3A558C}"/>
    <cellStyle name="Migliaia 50 5 2 3 2" xfId="37398" xr:uid="{F5FADE19-4C6E-4D3C-A538-191012BB7749}"/>
    <cellStyle name="Migliaia 50 5 2 4" xfId="42685" xr:uid="{0F444594-6669-4D98-BD03-DA62F084ADE6}"/>
    <cellStyle name="Migliaia 50 5 2 5" xfId="16726" xr:uid="{9A72C99E-FC3D-4D5D-A697-69FFE790F6FB}"/>
    <cellStyle name="Migliaia 50 5 2 6" xfId="8755" xr:uid="{9E50D41C-7671-4D65-89C2-1E7FB8DF943E}"/>
    <cellStyle name="Migliaia 50 5 3" xfId="6740" xr:uid="{D6DDAC44-3120-4FA6-8DCA-9EEBC15692D7}"/>
    <cellStyle name="Migliaia 50 5 3 2" xfId="34426" xr:uid="{CE233141-A51F-46BD-A867-A6FB07CFCA1A}"/>
    <cellStyle name="Migliaia 50 5 3 2 2" xfId="40035" xr:uid="{B8AE8195-5ABF-46FC-9772-F483890169F9}"/>
    <cellStyle name="Migliaia 50 5 3 2 3" xfId="45337" xr:uid="{7786A742-C8C9-4F90-9AAE-ECBCDA64692C}"/>
    <cellStyle name="Migliaia 50 5 3 3" xfId="37399" xr:uid="{4A90F83E-B88C-4A7A-9F7C-C07C50B84FA2}"/>
    <cellStyle name="Migliaia 50 5 3 4" xfId="42686" xr:uid="{5096A808-7149-469E-B262-651C0CAD5B50}"/>
    <cellStyle name="Migliaia 50 5 3 5" xfId="11420" xr:uid="{DD8AFE02-E369-4858-82B6-B0BCEA10D89B}"/>
    <cellStyle name="Migliaia 50 5 4" xfId="3836" xr:uid="{C7B93756-9009-454D-8D86-9D6E1C5E426D}"/>
    <cellStyle name="Migliaia 50 5 4 2" xfId="21597" xr:uid="{394008A0-8A76-45CE-8C55-1F739521531C}"/>
    <cellStyle name="Migliaia 50 5 4 2 2" xfId="40036" xr:uid="{98DC2976-DE9A-4505-9B3B-DE329D042D83}"/>
    <cellStyle name="Migliaia 50 5 4 2 3" xfId="45338" xr:uid="{060F05BD-0A19-4534-98EC-A02407435C45}"/>
    <cellStyle name="Migliaia 50 5 4 2 4" xfId="34427" xr:uid="{DFF677F9-B492-48D0-BB07-CCECD8F9DED9}"/>
    <cellStyle name="Migliaia 50 5 4 3" xfId="37400" xr:uid="{457E10BB-DAFF-46FA-B405-9D44326E3B08}"/>
    <cellStyle name="Migliaia 50 5 4 4" xfId="42687" xr:uid="{FD1D2184-E995-4D24-8915-785C2E3197E0}"/>
    <cellStyle name="Migliaia 50 5 4 5" xfId="25256" xr:uid="{040A6CC9-35ED-4E18-B00D-A3C45BAB5D27}"/>
    <cellStyle name="Migliaia 50 5 4 6" xfId="47448" xr:uid="{41AF6218-C8CE-47A5-AFCC-78D0BF869490}"/>
    <cellStyle name="Migliaia 50 5 4 7" xfId="50612" xr:uid="{8A166FFB-BFAE-4E3F-9A4E-1835F924CEA7}"/>
    <cellStyle name="Migliaia 50 5 4 8" xfId="53628" xr:uid="{A92E14EE-67DA-49D1-BA6A-DC5D1EBA9FEF}"/>
    <cellStyle name="Migliaia 50 5 4 9" xfId="10962" xr:uid="{0598AA28-2D61-4F78-BD45-03F7961EE94E}"/>
    <cellStyle name="Migliaia 50 5 5" xfId="20873" xr:uid="{80994DF5-3556-4AE2-AD3D-A0BE0578F085}"/>
    <cellStyle name="Migliaia 50 5 5 2" xfId="34428" xr:uid="{3FC35BAC-1D20-4CE9-B91A-FEBC5D272CC1}"/>
    <cellStyle name="Migliaia 50 5 5 2 2" xfId="40037" xr:uid="{75FC6697-D41D-458C-A83A-3873603B6613}"/>
    <cellStyle name="Migliaia 50 5 5 2 3" xfId="45339" xr:uid="{1C09D3A0-5D73-41EC-A0E7-C4D59847E2C6}"/>
    <cellStyle name="Migliaia 50 5 5 3" xfId="37401" xr:uid="{8E5EE701-AF06-4784-9653-4F5CD911F8EA}"/>
    <cellStyle name="Migliaia 50 5 5 4" xfId="42688" xr:uid="{B59C962F-273D-4B3B-B529-95AA5B779EFE}"/>
    <cellStyle name="Migliaia 50 5 5 5" xfId="25257" xr:uid="{00ED1456-3A4C-48A6-AA56-993067DC03CF}"/>
    <cellStyle name="Migliaia 50 5 6" xfId="25258" xr:uid="{F7CF910E-40A5-4F4A-98D3-86D86B60D843}"/>
    <cellStyle name="Migliaia 50 5 6 2" xfId="34429" xr:uid="{8068F662-D734-4AE7-9B08-00531F20E4F1}"/>
    <cellStyle name="Migliaia 50 5 6 2 2" xfId="40038" xr:uid="{56AE709A-5D1E-424B-9187-6E55E0CB8517}"/>
    <cellStyle name="Migliaia 50 5 6 2 3" xfId="45340" xr:uid="{A9EDBAB6-6F36-44E0-9F91-24B83EAB9863}"/>
    <cellStyle name="Migliaia 50 5 6 3" xfId="37402" xr:uid="{DBBF02B1-8472-49BF-9A6F-C91FA3DF6CF0}"/>
    <cellStyle name="Migliaia 50 5 6 4" xfId="42689" xr:uid="{879C00AC-11B6-48EA-9B37-CEAEBF9A04D6}"/>
    <cellStyle name="Migliaia 50 5 7" xfId="25255" xr:uid="{5B073FA8-83BA-4EAD-A393-D83C7CD38698}"/>
    <cellStyle name="Migliaia 50 5 8" xfId="7565" xr:uid="{3EBED094-B62C-42F4-BA30-900EB80E2804}"/>
    <cellStyle name="Migliaia 50 6" xfId="3837" xr:uid="{A371CFB9-2028-437F-B4EA-9C7804A49ED6}"/>
    <cellStyle name="Migliaia 50 6 2" xfId="5563" xr:uid="{20BA3BFE-3478-41C1-BD2B-2EB4B64F64F5}"/>
    <cellStyle name="Migliaia 50 6 2 2" xfId="9971" xr:uid="{86513CED-F266-489D-A8FC-D54147ECC04A}"/>
    <cellStyle name="Migliaia 50 6 2 3" xfId="18635" xr:uid="{9C3FAEAB-D0F2-42E5-AF5F-0052470305B5}"/>
    <cellStyle name="Migliaia 50 6 2 4" xfId="20876" xr:uid="{4F8DA746-4109-41E0-928C-DD96C10CDC74}"/>
    <cellStyle name="Migliaia 50 6 2 5" xfId="32456" xr:uid="{596E16D8-9107-4BE6-B4C8-FB2E79FEC034}"/>
    <cellStyle name="Migliaia 50 6 2 6" xfId="16728" xr:uid="{DF129FDB-6A08-4C0D-8058-2BCCC01F1D13}"/>
    <cellStyle name="Migliaia 50 6 2 7" xfId="8750" xr:uid="{BA6BE6C2-FD11-475B-968C-5A33AEDF0AE7}"/>
    <cellStyle name="Migliaia 50 6 3" xfId="6741" xr:uid="{821DA7F8-1DB0-439C-8CE9-6A0DC2D46436}"/>
    <cellStyle name="Migliaia 50 6 3 2" xfId="35442" xr:uid="{092DB4FC-3F60-47F4-806F-B1FEFFD2CF03}"/>
    <cellStyle name="Migliaia 50 6 3 2 2" xfId="40602" xr:uid="{7843EA1D-4B51-4023-B148-8D60751E7F5F}"/>
    <cellStyle name="Migliaia 50 6 3 2 3" xfId="45904" xr:uid="{14B61ECD-E6F2-45D3-8906-BCF01F6FBA00}"/>
    <cellStyle name="Migliaia 50 6 3 3" xfId="37951" xr:uid="{2C733FBC-C985-4054-AD21-7ADAE1517F6E}"/>
    <cellStyle name="Migliaia 50 6 3 4" xfId="43253" xr:uid="{C145806D-A57A-49F5-B546-9ADA63CF1736}"/>
    <cellStyle name="Migliaia 50 6 3 5" xfId="9734" xr:uid="{DEC5C49D-3B1D-4ADE-A162-DBA153813ACB}"/>
    <cellStyle name="Migliaia 50 6 4" xfId="20875" xr:uid="{92E347F4-9726-42B7-8DC3-95E4A372C4D2}"/>
    <cellStyle name="Migliaia 50 6 4 2" xfId="40039" xr:uid="{789DC33B-DBD1-4955-8FA6-11F9BB443358}"/>
    <cellStyle name="Migliaia 50 6 4 3" xfId="45341" xr:uid="{F300C7CD-C809-4FD8-B7C3-803C9C32B992}"/>
    <cellStyle name="Migliaia 50 6 4 4" xfId="34430" xr:uid="{1B26F56B-E7D8-4112-83F0-C9C2E5CC61E4}"/>
    <cellStyle name="Migliaia 50 6 5" xfId="37403" xr:uid="{A6FC72C6-A384-4B73-B3A2-817E99FE8C2B}"/>
    <cellStyle name="Migliaia 50 6 6" xfId="42690" xr:uid="{E90E7432-8D99-4CAC-A2BA-2A9DBF7F715E}"/>
    <cellStyle name="Migliaia 50 6 7" xfId="16727" xr:uid="{F3523076-0081-4C61-8D3A-3C2202B86910}"/>
    <cellStyle name="Migliaia 50 6 8" xfId="7560" xr:uid="{1A22BF61-C624-4E2A-B68E-607E1955695A}"/>
    <cellStyle name="Migliaia 50 7" xfId="3838" xr:uid="{80CD9E38-1608-4D63-AF43-9629E0C03EEE}"/>
    <cellStyle name="Migliaia 50 7 2" xfId="5564" xr:uid="{4BECC92C-1125-4FF3-BAAB-7520683DCD9B}"/>
    <cellStyle name="Migliaia 50 7 2 2" xfId="35443" xr:uid="{85FBE9B1-C588-4CAD-BE74-47E1FE63A112}"/>
    <cellStyle name="Migliaia 50 7 2 2 2" xfId="40603" xr:uid="{040FBA71-1142-4435-84AD-D932979A0E7A}"/>
    <cellStyle name="Migliaia 50 7 2 2 3" xfId="45905" xr:uid="{4E1664F7-EA90-456E-A00D-62F5A9AE59AC}"/>
    <cellStyle name="Migliaia 50 7 2 3" xfId="37952" xr:uid="{D3E52A8A-1829-4C0D-BA3D-D6F328254057}"/>
    <cellStyle name="Migliaia 50 7 2 4" xfId="43254" xr:uid="{D5EB6A54-C3AF-4428-ACBC-3A147F3A4236}"/>
    <cellStyle name="Migliaia 50 7 2 5" xfId="14314" xr:uid="{26BF982B-45E3-4550-8371-C1CF37CF99F5}"/>
    <cellStyle name="Migliaia 50 7 3" xfId="6742" xr:uid="{2DDFB624-42A8-4612-BD61-45F774755535}"/>
    <cellStyle name="Migliaia 50 7 3 2" xfId="40040" xr:uid="{9BC92768-F193-4406-83BA-1B11B004233F}"/>
    <cellStyle name="Migliaia 50 7 3 3" xfId="45342" xr:uid="{96DEDF34-AE49-4037-98AA-E484F1205FA3}"/>
    <cellStyle name="Migliaia 50 7 3 4" xfId="34431" xr:uid="{F1E26382-12D2-4A48-BAD2-53C3A7BC8763}"/>
    <cellStyle name="Migliaia 50 7 3 5" xfId="20877" xr:uid="{0DB37FDE-EC78-4056-8099-DC247568E64F}"/>
    <cellStyle name="Migliaia 50 7 4" xfId="37404" xr:uid="{F1761FFD-6F0F-4C08-BE8E-C36565B3C3E5}"/>
    <cellStyle name="Migliaia 50 7 5" xfId="42691" xr:uid="{5C301C0C-6FC0-4222-8698-53D792AAEE20}"/>
    <cellStyle name="Migliaia 50 7 6" xfId="16729" xr:uid="{7D04BC87-F80E-4943-9614-73442EC1D748}"/>
    <cellStyle name="Migliaia 50 7 7" xfId="8376" xr:uid="{293E46F2-B24F-4CE6-B6CB-6BD281501D9B}"/>
    <cellStyle name="Migliaia 50 8" xfId="3839" xr:uid="{33E97BBD-C1BF-45AD-89BB-CB5D003145DC}"/>
    <cellStyle name="Migliaia 50 8 2" xfId="5565" xr:uid="{F2200D22-0E42-4820-8404-E386BE09584B}"/>
    <cellStyle name="Migliaia 50 8 2 2" xfId="35444" xr:uid="{8668F01C-123B-4F40-B43F-E739EC5A4411}"/>
    <cellStyle name="Migliaia 50 8 2 2 2" xfId="40604" xr:uid="{7A4EC703-E9D1-4EF6-B77A-5716F607993F}"/>
    <cellStyle name="Migliaia 50 8 2 2 3" xfId="45906" xr:uid="{246DA7D4-D053-469C-A593-3D32D35A0924}"/>
    <cellStyle name="Migliaia 50 8 2 3" xfId="37953" xr:uid="{2FF763D6-7FED-40D9-A511-7BF1286EC985}"/>
    <cellStyle name="Migliaia 50 8 2 4" xfId="43255" xr:uid="{5C34F352-BBAE-4C46-99D9-A3CAC92F05EA}"/>
    <cellStyle name="Migliaia 50 8 2 5" xfId="14019" xr:uid="{DF9DF165-9D41-48A7-A921-CFDA00F1E0FB}"/>
    <cellStyle name="Migliaia 50 8 3" xfId="6743" xr:uid="{E4ED31A0-E29E-4DE4-9054-37DE1F282765}"/>
    <cellStyle name="Migliaia 50 8 3 2" xfId="40041" xr:uid="{EE27D4FB-EE34-4789-9885-79A49AA62861}"/>
    <cellStyle name="Migliaia 50 8 3 3" xfId="45343" xr:uid="{DA4A3227-8AE7-45B5-809B-0487118BC58E}"/>
    <cellStyle name="Migliaia 50 8 3 4" xfId="34432" xr:uid="{3250E0C0-C9F4-4043-9200-622CCF7B7A6D}"/>
    <cellStyle name="Migliaia 50 8 3 5" xfId="20878" xr:uid="{08751F4B-27AA-4B66-A3E2-E9D39F34B4D1}"/>
    <cellStyle name="Migliaia 50 8 4" xfId="37405" xr:uid="{EA7C8A04-8464-4404-B673-B89B708EFE49}"/>
    <cellStyle name="Migliaia 50 8 5" xfId="42692" xr:uid="{11D6B600-8008-49D4-BE9A-AD5ECF209B45}"/>
    <cellStyle name="Migliaia 50 8 6" xfId="16730" xr:uid="{A6CF562F-178B-48C0-AD4D-A7640726E606}"/>
    <cellStyle name="Migliaia 50 8 7" xfId="8002" xr:uid="{9B5A864A-D266-4652-AFE1-CF9F219B80FA}"/>
    <cellStyle name="Migliaia 50 9" xfId="5550" xr:uid="{DBDDFA74-FB76-4FFA-A808-B56318FDC025}"/>
    <cellStyle name="Migliaia 50 9 2" xfId="34433" xr:uid="{0587CA73-C33F-43EF-A5FF-50A33FB88CE3}"/>
    <cellStyle name="Migliaia 50 9 2 2" xfId="40042" xr:uid="{7B506BBB-C23D-400C-B139-EC41E1BE69D5}"/>
    <cellStyle name="Migliaia 50 9 2 3" xfId="45344" xr:uid="{D9C8AA83-9B16-453B-9830-4869D75B5D93}"/>
    <cellStyle name="Migliaia 50 9 3" xfId="37406" xr:uid="{990C7E2E-53A8-4EC9-9DF2-257F244A4FFD}"/>
    <cellStyle name="Migliaia 50 9 4" xfId="42693" xr:uid="{85F0C84F-56E4-4899-A194-52F712655D98}"/>
    <cellStyle name="Migliaia 50 9 5" xfId="17225" xr:uid="{06A9AC49-1E56-4BEA-96B9-B05E22E57BB0}"/>
    <cellStyle name="Migliaia 51" xfId="485" xr:uid="{00000000-0005-0000-0000-00005D040000}"/>
    <cellStyle name="Migliaia 51 10" xfId="6744" xr:uid="{AACC4D75-CF7A-4BE3-A08B-DACE5A0D9604}"/>
    <cellStyle name="Migliaia 51 10 2" xfId="40043" xr:uid="{1EF780A5-F325-4A7E-AE97-FA0769C6D1F3}"/>
    <cellStyle name="Migliaia 51 10 3" xfId="45345" xr:uid="{6AD7590D-42D9-452E-96A6-58261B2D778A}"/>
    <cellStyle name="Migliaia 51 10 4" xfId="34434" xr:uid="{59050920-9216-4691-8CDC-AFF6481CAE91}"/>
    <cellStyle name="Migliaia 51 10 5" xfId="20879" xr:uid="{254E9BDB-9B00-4985-A5FC-60EEB03DC101}"/>
    <cellStyle name="Migliaia 51 11" xfId="3840" xr:uid="{618DEF42-A21C-46FC-A76E-9C41CAE26608}"/>
    <cellStyle name="Migliaia 51 11 2" xfId="37407" xr:uid="{3722AAC4-DAA7-4000-8FC8-0BF67B3DED44}"/>
    <cellStyle name="Migliaia 51 12" xfId="42694" xr:uid="{82ACA318-E8D4-4E6A-8A33-F3C5571BE058}"/>
    <cellStyle name="Migliaia 51 13" xfId="7180" xr:uid="{22C88A87-D20D-4C82-BE78-94808A0EFA79}"/>
    <cellStyle name="Migliaia 51 2" xfId="486" xr:uid="{00000000-0005-0000-0000-00005E040000}"/>
    <cellStyle name="Migliaia 51 2 2" xfId="1886" xr:uid="{00000000-0005-0000-0000-00005F040000}"/>
    <cellStyle name="Migliaia 51 2 2 2" xfId="5568" xr:uid="{65A01FB0-C034-4D03-ADF2-21145A5E0CF0}"/>
    <cellStyle name="Migliaia 51 2 2 2 2" xfId="14409" xr:uid="{69DB1BDD-BEB0-4744-AD0A-23CA87385493}"/>
    <cellStyle name="Migliaia 51 2 2 2 2 2" xfId="40044" xr:uid="{24689146-7358-4F92-911C-834AA2BD0885}"/>
    <cellStyle name="Migliaia 51 2 2 2 2 3" xfId="45346" xr:uid="{0FC407F0-ED00-47D1-AC6D-F4717C35D7CD}"/>
    <cellStyle name="Migliaia 51 2 2 2 3" xfId="18500" xr:uid="{C92E5990-62E8-49A4-849C-438E87FC724B}"/>
    <cellStyle name="Migliaia 51 2 2 2 4" xfId="20882" xr:uid="{0B7D5AD5-0359-49AF-B2AB-5941ECFA51AD}"/>
    <cellStyle name="Migliaia 51 2 2 2 4 2" xfId="42695" xr:uid="{CFAB48F8-48C4-4684-A947-46031C345DA6}"/>
    <cellStyle name="Migliaia 51 2 2 2 5" xfId="16731" xr:uid="{86205CAD-5BA1-42A1-A48A-BA9174A0A2A4}"/>
    <cellStyle name="Migliaia 51 2 2 2 6" xfId="8757" xr:uid="{07D13B81-A7F2-4C84-AFA9-1F037EB96902}"/>
    <cellStyle name="Migliaia 51 2 2 3" xfId="6746" xr:uid="{5139F08B-47AA-4BAE-B41F-1DE4436E5FA6}"/>
    <cellStyle name="Migliaia 51 2 2 3 2" xfId="35445" xr:uid="{5FD6A422-0C61-4116-B809-0862DF381233}"/>
    <cellStyle name="Migliaia 51 2 2 3 2 2" xfId="40605" xr:uid="{9520FD4E-C6E0-4EB9-B6FB-4F9440EB7C01}"/>
    <cellStyle name="Migliaia 51 2 2 3 2 3" xfId="45907" xr:uid="{C6C66F1C-7072-4746-84AB-41729478D2AB}"/>
    <cellStyle name="Migliaia 51 2 2 3 3" xfId="37954" xr:uid="{B052A76E-4EE0-4B59-B081-ADA3227A8C76}"/>
    <cellStyle name="Migliaia 51 2 2 3 4" xfId="43256" xr:uid="{D42D326E-1E48-4896-ACF8-37ABF7A96474}"/>
    <cellStyle name="Migliaia 51 2 2 3 5" xfId="11636" xr:uid="{C53200DC-5476-48A6-B023-53C690DBFAA6}"/>
    <cellStyle name="Migliaia 51 2 2 4" xfId="3842" xr:uid="{4C940DD2-A32A-4052-A1A9-0B7253505CA9}"/>
    <cellStyle name="Migliaia 51 2 2 4 2" xfId="21598" xr:uid="{FB192CAF-31AB-4948-B955-62F01114D52F}"/>
    <cellStyle name="Migliaia 51 2 2 4 3" xfId="48140" xr:uid="{76C23F74-E6C9-4345-B9D8-FD1E53E88889}"/>
    <cellStyle name="Migliaia 51 2 2 4 4" xfId="50613" xr:uid="{E8DAFA30-80CE-4BC0-9BE2-4F34B16D270D}"/>
    <cellStyle name="Migliaia 51 2 2 4 5" xfId="53629" xr:uid="{FCE007CF-03F8-454F-BCC1-9CFF4108ED6B}"/>
    <cellStyle name="Migliaia 51 2 2 4 6" xfId="10963" xr:uid="{AD68A98C-7AF1-41D2-B3ED-E66ECF59A477}"/>
    <cellStyle name="Migliaia 51 2 2 5" xfId="20881" xr:uid="{0D2232D7-97D7-4756-82EC-6710A0349DB8}"/>
    <cellStyle name="Migliaia 51 2 2 6" xfId="25260" xr:uid="{57CB82AB-C1E5-4662-AF6C-627240B38E1C}"/>
    <cellStyle name="Migliaia 51 2 2 7" xfId="7567" xr:uid="{A5B15680-4B9D-4258-B4D3-BA9E24EE479D}"/>
    <cellStyle name="Migliaia 51 2 3" xfId="3843" xr:uid="{AAC52EA7-8BB9-440D-8EDA-BFF1B24C4178}"/>
    <cellStyle name="Migliaia 51 2 3 2" xfId="5569" xr:uid="{4411E18C-E0C7-4640-A93E-348004503912}"/>
    <cellStyle name="Migliaia 51 2 3 2 2" xfId="35446" xr:uid="{82D1C8E7-73D3-461C-851D-2A19E7A3DA2C}"/>
    <cellStyle name="Migliaia 51 2 3 2 2 2" xfId="40606" xr:uid="{6588AA90-3916-4E56-8934-EDD88A61ED83}"/>
    <cellStyle name="Migliaia 51 2 3 2 2 3" xfId="45908" xr:uid="{40694EDC-04B3-4F5E-AD9C-DA28D3DB9EF1}"/>
    <cellStyle name="Migliaia 51 2 3 2 3" xfId="37955" xr:uid="{BC0E9C44-C373-4A67-9B20-9755D6EFADE3}"/>
    <cellStyle name="Migliaia 51 2 3 2 4" xfId="43257" xr:uid="{9548DA8F-F331-46FB-A3AD-D5D314468D0F}"/>
    <cellStyle name="Migliaia 51 2 3 2 5" xfId="14318" xr:uid="{B640F0F4-1AA8-4F42-BBE2-818BEE8B28E9}"/>
    <cellStyle name="Migliaia 51 2 3 3" xfId="6747" xr:uid="{AD2512A3-CBC3-4EB8-B80F-1B1F365D37AD}"/>
    <cellStyle name="Migliaia 51 2 3 3 2" xfId="40045" xr:uid="{BC3B61EC-4871-4779-9A49-9AAE4654823F}"/>
    <cellStyle name="Migliaia 51 2 3 3 3" xfId="45347" xr:uid="{563BF86E-D805-4135-B57E-C6EC182278A7}"/>
    <cellStyle name="Migliaia 51 2 3 3 4" xfId="34435" xr:uid="{B1FFA2BB-342A-435B-89CE-A42827132B34}"/>
    <cellStyle name="Migliaia 51 2 3 3 5" xfId="20883" xr:uid="{B568ED2E-6263-4A8A-B0C3-0153C53CB3BD}"/>
    <cellStyle name="Migliaia 51 2 3 4" xfId="37408" xr:uid="{161FAD11-D0B7-4F96-A86B-2E3BA7B4191D}"/>
    <cellStyle name="Migliaia 51 2 3 5" xfId="42696" xr:uid="{BDFD5DB0-0AAE-4537-9FAB-BBCE411547A8}"/>
    <cellStyle name="Migliaia 51 2 3 6" xfId="16732" xr:uid="{C43B715A-610E-4C3B-8EBA-3FB2ACA46602}"/>
    <cellStyle name="Migliaia 51 2 3 7" xfId="8380" xr:uid="{20A2D898-9504-4A01-88A1-694A3D7EB60F}"/>
    <cellStyle name="Migliaia 51 2 4" xfId="5567" xr:uid="{B72E00B5-6BEA-423C-9227-B50B9B1E3B60}"/>
    <cellStyle name="Migliaia 51 2 4 2" xfId="14023" xr:uid="{455C510C-93AA-4419-86DA-9080F34A509C}"/>
    <cellStyle name="Migliaia 51 2 4 2 2" xfId="40046" xr:uid="{59423B34-4491-4AEB-A716-23BEFD2D0820}"/>
    <cellStyle name="Migliaia 51 2 4 2 3" xfId="45348" xr:uid="{F29A2ADB-BB82-4906-AD60-20733309B431}"/>
    <cellStyle name="Migliaia 51 2 4 3" xfId="18154" xr:uid="{DE9F55B6-A3D5-4AC9-B5B0-AB611EB16DC5}"/>
    <cellStyle name="Migliaia 51 2 4 4" xfId="20884" xr:uid="{42A4B7E8-57E8-4692-9155-356D86C33605}"/>
    <cellStyle name="Migliaia 51 2 4 4 2" xfId="42697" xr:uid="{A01CE82E-BA96-4564-B5A8-F5C4F97EBFFE}"/>
    <cellStyle name="Migliaia 51 2 4 5" xfId="16733" xr:uid="{3FA41C99-A7F2-4A54-B64A-62ABA58DBFBA}"/>
    <cellStyle name="Migliaia 51 2 4 6" xfId="8007" xr:uid="{5B222FFC-F39D-42E7-9496-82D46C6F0357}"/>
    <cellStyle name="Migliaia 51 2 5" xfId="6745" xr:uid="{5832C5BB-A2D4-40C7-A2E6-1A664E518E31}"/>
    <cellStyle name="Migliaia 51 2 5 2" xfId="34436" xr:uid="{35468F6C-6746-4AE4-BAEB-69A905956468}"/>
    <cellStyle name="Migliaia 51 2 5 2 2" xfId="40047" xr:uid="{E4BC34E5-B83F-41B0-8989-57CBAA19CFF9}"/>
    <cellStyle name="Migliaia 51 2 5 2 3" xfId="45349" xr:uid="{9D4BD845-1A6C-48AC-8149-4CED7A628C92}"/>
    <cellStyle name="Migliaia 51 2 5 3" xfId="37409" xr:uid="{F1054420-687B-41DE-B5ED-163218E98361}"/>
    <cellStyle name="Migliaia 51 2 5 4" xfId="42698" xr:uid="{5ED2A68B-88B8-4DA2-B789-F85EE736D844}"/>
    <cellStyle name="Migliaia 51 2 5 5" xfId="13149" xr:uid="{91F5B867-F141-4C4A-90E0-3985F2CDF0F9}"/>
    <cellStyle name="Migliaia 51 2 6" xfId="3841" xr:uid="{A475D162-7F50-45B2-B159-C5966420D600}"/>
    <cellStyle name="Migliaia 51 2 6 2" xfId="34437" xr:uid="{F474D48A-9787-4F03-A598-75FF96E481D3}"/>
    <cellStyle name="Migliaia 51 2 6 2 2" xfId="40048" xr:uid="{07AA8A4C-AB5C-4C77-8FC3-3F84A4D002A2}"/>
    <cellStyle name="Migliaia 51 2 6 2 3" xfId="45350" xr:uid="{6DA26545-4F20-4403-824D-1EEB95FEBE3E}"/>
    <cellStyle name="Migliaia 51 2 6 3" xfId="37410" xr:uid="{EF878B43-946F-4544-8F7A-B21588240A0B}"/>
    <cellStyle name="Migliaia 51 2 6 4" xfId="42699" xr:uid="{362532A7-264B-4478-AD55-C38954B17F04}"/>
    <cellStyle name="Migliaia 51 2 6 5" xfId="25261" xr:uid="{3BEC76DE-485C-4DCE-81EF-364D22794B3A}"/>
    <cellStyle name="Migliaia 51 2 6 6" xfId="20880" xr:uid="{4A78F5FF-6746-49A8-851A-3B0C11F717BC}"/>
    <cellStyle name="Migliaia 51 2 7" xfId="25259" xr:uid="{1C3519EC-B9B7-4063-9644-1673E3F32B7F}"/>
    <cellStyle name="Migliaia 51 2 8" xfId="7181" xr:uid="{B940C770-D136-4054-A129-E4AE430D5FDD}"/>
    <cellStyle name="Migliaia 51 3" xfId="487" xr:uid="{00000000-0005-0000-0000-000060040000}"/>
    <cellStyle name="Migliaia 51 3 10" xfId="25262" xr:uid="{EEDC3129-394C-4C8F-B82A-72A3AE915476}"/>
    <cellStyle name="Migliaia 51 3 11" xfId="16734" xr:uid="{C7418672-13A8-45E4-8EBC-C554E7C276F1}"/>
    <cellStyle name="Migliaia 51 3 12" xfId="7182" xr:uid="{1CA8BB4B-4493-4B2C-9F78-E0AC57562393}"/>
    <cellStyle name="Migliaia 51 3 2" xfId="488" xr:uid="{00000000-0005-0000-0000-000061040000}"/>
    <cellStyle name="Migliaia 51 3 2 2" xfId="1887" xr:uid="{00000000-0005-0000-0000-000062040000}"/>
    <cellStyle name="Migliaia 51 3 2 2 2" xfId="5572" xr:uid="{C9D4FC38-94E1-4E0F-8E01-E7394383E78D}"/>
    <cellStyle name="Migliaia 51 3 2 2 2 2" xfId="18501" xr:uid="{3E99B817-AC86-4930-A33E-5F45D1DAEF8A}"/>
    <cellStyle name="Migliaia 51 3 2 2 2 2 2" xfId="21887" xr:uid="{07EECA38-15F0-42F5-9016-01AD1E9271A4}"/>
    <cellStyle name="Migliaia 51 3 2 2 2 2 2 2" xfId="40049" xr:uid="{691522FC-F8E2-4A87-B71A-2903820C3B50}"/>
    <cellStyle name="Migliaia 51 3 2 2 2 2 3" xfId="45351" xr:uid="{95EC84FB-9C65-4A4A-9303-5B59EAC1891E}"/>
    <cellStyle name="Migliaia 51 3 2 2 2 2 4" xfId="34438" xr:uid="{A3C2E95D-3F04-48D2-9AC9-C6B0986799AD}"/>
    <cellStyle name="Migliaia 51 3 2 2 2 3" xfId="37411" xr:uid="{5A480581-D15C-42A0-BB25-63FB7FC3E03D}"/>
    <cellStyle name="Migliaia 51 3 2 2 2 4" xfId="42700" xr:uid="{9493302E-068F-4EE4-988A-996ECB3F1342}"/>
    <cellStyle name="Migliaia 51 3 2 2 2 5" xfId="46752" xr:uid="{F9E0791B-5C38-414B-8D10-2099A5D33426}"/>
    <cellStyle name="Migliaia 51 3 2 2 2 6" xfId="50915" xr:uid="{5BD0DD3F-D77B-4267-8A41-1E7B746D5685}"/>
    <cellStyle name="Migliaia 51 3 2 2 2 7" xfId="53931" xr:uid="{D7BFE94D-E09B-46D5-B733-6A2E025F8AB2}"/>
    <cellStyle name="Migliaia 51 3 2 2 2 8" xfId="17686" xr:uid="{4E3DE057-91F8-4A3C-9B55-67844EF58F36}"/>
    <cellStyle name="Migliaia 51 3 2 2 2 9" xfId="12071" xr:uid="{E6ED9A02-7B18-47E9-BC15-F76043316D65}"/>
    <cellStyle name="Migliaia 51 3 2 2 3" xfId="6750" xr:uid="{ABFC92A4-0C1C-4C8E-AE41-1EE37D87AF60}"/>
    <cellStyle name="Migliaia 51 3 2 2 3 2" xfId="12204" xr:uid="{D618D4D8-5F86-4200-8D1B-C7BC6BDF6AF1}"/>
    <cellStyle name="Migliaia 51 3 2 2 4" xfId="3846" xr:uid="{E0D450B9-DAF9-49E0-9A5E-93CCC4970CF0}"/>
    <cellStyle name="Migliaia 51 3 2 2 4 2" xfId="21599" xr:uid="{F5C0F943-C8B6-4B16-8BA7-7DAA736B8708}"/>
    <cellStyle name="Migliaia 51 3 2 2 4 3" xfId="48239" xr:uid="{F4951285-5602-4204-B5B2-6CF73A029478}"/>
    <cellStyle name="Migliaia 51 3 2 2 4 4" xfId="50614" xr:uid="{F4F450B9-7554-40CA-9468-5691F68A44B5}"/>
    <cellStyle name="Migliaia 51 3 2 2 4 5" xfId="53630" xr:uid="{53740DCB-A24E-4F67-8FCB-59D328F70C2B}"/>
    <cellStyle name="Migliaia 51 3 2 2 4 6" xfId="10964" xr:uid="{156D548C-2EAC-45D8-8F46-AAAFCA1ACFA9}"/>
    <cellStyle name="Migliaia 51 3 2 2 5" xfId="20887" xr:uid="{1B51F9F3-AD78-4CCD-B5E0-14BB69863916}"/>
    <cellStyle name="Migliaia 51 3 2 2 6" xfId="25264" xr:uid="{C1028061-A3B7-4CAD-A14E-BD1488644DDD}"/>
    <cellStyle name="Migliaia 51 3 2 2 7" xfId="8759" xr:uid="{3FA7D0EF-22A8-4199-BAA9-15ED7719BE3B}"/>
    <cellStyle name="Migliaia 51 3 2 3" xfId="5571" xr:uid="{5468F957-723F-49C9-8B21-5319CD9B3813}"/>
    <cellStyle name="Migliaia 51 3 2 3 2" xfId="12401" xr:uid="{6EA0C870-FA82-412A-B451-94755D43CEE5}"/>
    <cellStyle name="Migliaia 51 3 2 3 2 2" xfId="40050" xr:uid="{8EC45305-4E62-4DA5-BE68-2A68C662AED6}"/>
    <cellStyle name="Migliaia 51 3 2 3 2 3" xfId="45352" xr:uid="{48F39C2A-9DBD-4775-AD4B-D82173C24CB0}"/>
    <cellStyle name="Migliaia 51 3 2 3 2 4" xfId="34439" xr:uid="{BECE0C31-A4E9-4E85-AA26-00E24E7E98CB}"/>
    <cellStyle name="Migliaia 51 3 2 3 3" xfId="12072" xr:uid="{E112498B-D88D-42B1-9CA1-A245B91011B3}"/>
    <cellStyle name="Migliaia 51 3 2 3 4" xfId="20888" xr:uid="{B56A6D99-F1CB-48E4-A83E-825B3B1CD1BC}"/>
    <cellStyle name="Migliaia 51 3 2 3 4 2" xfId="42701" xr:uid="{3CAF63F1-E192-43E1-93C7-D83703C51BF9}"/>
    <cellStyle name="Migliaia 51 3 2 3 5" xfId="16735" xr:uid="{DC632837-F083-4A43-B8FD-E9A933A4D795}"/>
    <cellStyle name="Migliaia 51 3 2 3 6" xfId="8009" xr:uid="{14FA5821-2A7B-4C9C-853C-A454634513C2}"/>
    <cellStyle name="Migliaia 51 3 2 4" xfId="6749" xr:uid="{3FB4E0F9-19D5-422A-9F28-9D61ED2A5680}"/>
    <cellStyle name="Migliaia 51 3 2 4 2" xfId="18103" xr:uid="{59C9D4C9-4E15-4388-B880-A3F1932698B1}"/>
    <cellStyle name="Migliaia 51 3 2 4 2 2" xfId="40051" xr:uid="{62435F1B-A157-4E42-A30D-3465B43E33F7}"/>
    <cellStyle name="Migliaia 51 3 2 4 2 3" xfId="45353" xr:uid="{DB873B2E-24D7-4EA9-BC34-89AE62F12236}"/>
    <cellStyle name="Migliaia 51 3 2 4 3" xfId="37412" xr:uid="{2C2F662F-39E1-4656-822A-1FCAC7416398}"/>
    <cellStyle name="Migliaia 51 3 2 4 4" xfId="42702" xr:uid="{9B0EA5E5-A488-4D1D-B4FC-660C343ABBBA}"/>
    <cellStyle name="Migliaia 51 3 2 4 5" xfId="17228" xr:uid="{D261A442-C004-465D-9A9A-3906D00C815B}"/>
    <cellStyle name="Migliaia 51 3 2 4 6" xfId="11422" xr:uid="{222EF433-29F1-46AA-A4E6-5BFEC88396E0}"/>
    <cellStyle name="Migliaia 51 3 2 5" xfId="3845" xr:uid="{6AF79E83-0B69-48F2-877E-233B9CB08D66}"/>
    <cellStyle name="Migliaia 51 3 2 5 2" xfId="34440" xr:uid="{8DC49DEC-3616-4F1E-8996-53CF8BB16A77}"/>
    <cellStyle name="Migliaia 51 3 2 5 2 2" xfId="40052" xr:uid="{4D2C19A3-ED0F-44F0-84DD-65EA297E1766}"/>
    <cellStyle name="Migliaia 51 3 2 5 2 3" xfId="45354" xr:uid="{30F437CE-63B1-4C38-8018-57AA45A7C6B6}"/>
    <cellStyle name="Migliaia 51 3 2 5 3" xfId="37413" xr:uid="{6390DD11-07E1-40C2-8E59-213DDFA3F7CC}"/>
    <cellStyle name="Migliaia 51 3 2 5 4" xfId="42703" xr:uid="{5342C061-CB2F-4705-AB25-7CBE9E6D0BFC}"/>
    <cellStyle name="Migliaia 51 3 2 5 5" xfId="17288" xr:uid="{2DAD68B4-FF1E-46FF-BF9C-EE31B74B01F1}"/>
    <cellStyle name="Migliaia 51 3 2 6" xfId="20886" xr:uid="{B6A128D0-F5AB-480C-A135-A8877C69E2AB}"/>
    <cellStyle name="Migliaia 51 3 2 6 2" xfId="34441" xr:uid="{1B393B5B-C029-47DB-846F-22A1A7DD7193}"/>
    <cellStyle name="Migliaia 51 3 2 6 2 2" xfId="40053" xr:uid="{8DCC4DF8-B170-4953-B39E-832DE9A4DC9D}"/>
    <cellStyle name="Migliaia 51 3 2 6 2 3" xfId="45355" xr:uid="{373DF620-FC77-4F31-A7C6-A9F69580C115}"/>
    <cellStyle name="Migliaia 51 3 2 6 3" xfId="37414" xr:uid="{19E4A576-8ACE-4648-B821-9E0ACE5CC882}"/>
    <cellStyle name="Migliaia 51 3 2 6 4" xfId="42704" xr:uid="{098BFA88-A937-43F0-ABE8-04380B89604C}"/>
    <cellStyle name="Migliaia 51 3 2 6 5" xfId="25265" xr:uid="{ADCBB565-B2F5-41B5-99B2-14B2E2E8BA03}"/>
    <cellStyle name="Migliaia 51 3 2 7" xfId="25263" xr:uid="{83C7EA8C-5152-4D07-86CA-129101B42445}"/>
    <cellStyle name="Migliaia 51 3 2 8" xfId="7569" xr:uid="{AA2332FD-4B25-4183-B416-B72D80CD07C6}"/>
    <cellStyle name="Migliaia 51 3 3" xfId="3847" xr:uid="{F95EDA76-92EB-45F1-95CF-B369510ED1A3}"/>
    <cellStyle name="Migliaia 51 3 3 10" xfId="7568" xr:uid="{FEDA4A63-A000-4F2D-B71D-6C54F953F1B5}"/>
    <cellStyle name="Migliaia 51 3 3 2" xfId="5573" xr:uid="{8832C0C3-B99F-4792-90F1-44F323CACD69}"/>
    <cellStyle name="Migliaia 51 3 3 2 2" xfId="9974" xr:uid="{2806FCCC-5917-4DB9-8D93-A94D6FB7F492}"/>
    <cellStyle name="Migliaia 51 3 3 2 2 2" xfId="40055" xr:uid="{75EF6C1E-3B8E-4825-857B-A57FDCAA50F3}"/>
    <cellStyle name="Migliaia 51 3 3 2 2 3" xfId="45357" xr:uid="{7A2D9311-7E6A-4A29-B672-01D79EC7F38A}"/>
    <cellStyle name="Migliaia 51 3 3 2 3" xfId="18254" xr:uid="{CC3B53B7-EBA5-4F3A-83ED-FEFB4249AA7F}"/>
    <cellStyle name="Migliaia 51 3 3 2 4" xfId="20890" xr:uid="{4388B202-5B12-450D-92A6-82786117DA0D}"/>
    <cellStyle name="Migliaia 51 3 3 2 4 2" xfId="42706" xr:uid="{5CF73747-6EA1-42FE-B336-547019361A38}"/>
    <cellStyle name="Migliaia 51 3 3 2 5" xfId="16737" xr:uid="{7127C657-A3AC-4ADB-A12F-213FB6AA4390}"/>
    <cellStyle name="Migliaia 51 3 3 2 6" xfId="8758" xr:uid="{E41BB661-E489-4C3C-A8AB-05B5BC821226}"/>
    <cellStyle name="Migliaia 51 3 3 3" xfId="6751" xr:uid="{A24C6DE4-2606-4764-8B70-6D906A498FD6}"/>
    <cellStyle name="Migliaia 51 3 3 3 2" xfId="34443" xr:uid="{BB22CD5B-0574-4FFF-8DA0-C3C8091BC89F}"/>
    <cellStyle name="Migliaia 51 3 3 3 2 2" xfId="40056" xr:uid="{0872971B-C691-4D3F-9E6C-F3A182842416}"/>
    <cellStyle name="Migliaia 51 3 3 3 2 3" xfId="45358" xr:uid="{5291D30E-DF86-4B4F-978A-B43D84906B9B}"/>
    <cellStyle name="Migliaia 51 3 3 3 3" xfId="37416" xr:uid="{AA7C3D4B-2C8A-436C-9C63-04BEBAF5656E}"/>
    <cellStyle name="Migliaia 51 3 3 3 4" xfId="42707" xr:uid="{C80D93B2-0560-4DF3-9A9D-8433A9377A62}"/>
    <cellStyle name="Migliaia 51 3 3 3 5" xfId="9737" xr:uid="{A3F0E2AE-F6B2-45BC-8023-FF45B8DE96B9}"/>
    <cellStyle name="Migliaia 51 3 3 4" xfId="20889" xr:uid="{7C7DC3F9-D14E-4780-8261-D7CCC83475A2}"/>
    <cellStyle name="Migliaia 51 3 3 4 2" xfId="34444" xr:uid="{DC0F437F-B127-4A13-B38B-01E23E16EEE9}"/>
    <cellStyle name="Migliaia 51 3 3 4 2 2" xfId="40057" xr:uid="{E1FB3E29-4772-421A-869C-A66EB53077D4}"/>
    <cellStyle name="Migliaia 51 3 3 4 2 3" xfId="45359" xr:uid="{00C20CDF-A8CC-4342-9F22-0F6A97BED62C}"/>
    <cellStyle name="Migliaia 51 3 3 4 3" xfId="37417" xr:uid="{8A62CD0C-BF1E-46FD-AFA0-A61AF66E42B7}"/>
    <cellStyle name="Migliaia 51 3 3 4 4" xfId="42708" xr:uid="{799CAB45-19A0-4631-A6D6-96969EC872B9}"/>
    <cellStyle name="Migliaia 51 3 3 4 5" xfId="25266" xr:uid="{E1F87FDA-262B-4162-87AF-B87E2846CE37}"/>
    <cellStyle name="Migliaia 51 3 3 5" xfId="25267" xr:uid="{2321537E-8128-4A92-8C4F-CA5534354602}"/>
    <cellStyle name="Migliaia 51 3 3 5 2" xfId="34445" xr:uid="{2D35A12A-E098-46BE-9D01-E2F6F02E9F6A}"/>
    <cellStyle name="Migliaia 51 3 3 5 2 2" xfId="40058" xr:uid="{B5C77B17-6536-4037-A439-1E7A29BDDB6C}"/>
    <cellStyle name="Migliaia 51 3 3 5 2 3" xfId="45360" xr:uid="{B80CA341-72AA-40AE-A36D-6ECDABB8057D}"/>
    <cellStyle name="Migliaia 51 3 3 5 3" xfId="37418" xr:uid="{2CFEB244-04F3-4D28-93E7-3EEA2690FC1B}"/>
    <cellStyle name="Migliaia 51 3 3 5 4" xfId="42709" xr:uid="{EC8C7066-0E7E-4BEF-B060-1369FFF0E3E7}"/>
    <cellStyle name="Migliaia 51 3 3 6" xfId="34442" xr:uid="{815078C5-8494-4CE1-A0A6-E82E13681697}"/>
    <cellStyle name="Migliaia 51 3 3 6 2" xfId="40054" xr:uid="{4DC94106-94AA-4C5D-BC1D-4DDD23E9E8FE}"/>
    <cellStyle name="Migliaia 51 3 3 6 3" xfId="45356" xr:uid="{AB9FDC4F-6BC1-421F-BB29-FAA1408D3604}"/>
    <cellStyle name="Migliaia 51 3 3 7" xfId="37415" xr:uid="{890B3C1B-6821-46E6-BD71-9CD792F64667}"/>
    <cellStyle name="Migliaia 51 3 3 8" xfId="42705" xr:uid="{3B7D3152-B04A-4078-8AB9-D2A833D6DEA0}"/>
    <cellStyle name="Migliaia 51 3 3 9" xfId="16736" xr:uid="{D8DAB506-0BB9-43DD-8C94-4E367C28D26A}"/>
    <cellStyle name="Migliaia 51 3 4" xfId="3848" xr:uid="{EE0B44F8-EB5A-44B9-A26F-5F0B1B85E61A}"/>
    <cellStyle name="Migliaia 51 3 4 2" xfId="5574" xr:uid="{35A4ACEE-D015-4CB5-B468-D5B5696FFDCF}"/>
    <cellStyle name="Migliaia 51 3 4 2 2" xfId="14469" xr:uid="{F0D5F85F-5814-4DAA-BE57-89F034534F4A}"/>
    <cellStyle name="Migliaia 51 3 4 2 3" xfId="18046" xr:uid="{B3FAACBC-D301-4D03-91B8-6094C24090C8}"/>
    <cellStyle name="Migliaia 51 3 4 2 4" xfId="20892" xr:uid="{A9F91AB3-DCAA-4D61-A227-9464C5E08BA6}"/>
    <cellStyle name="Migliaia 51 3 4 2 5" xfId="32457" xr:uid="{B86287A1-A96A-48C8-87A9-C685566E5C8D}"/>
    <cellStyle name="Migliaia 51 3 4 2 6" xfId="16739" xr:uid="{D9E93EFD-E2C5-4FD4-A1A8-0B15B7D4BA34}"/>
    <cellStyle name="Migliaia 51 3 4 2 7" xfId="8892" xr:uid="{A3595935-2301-4528-BF91-993FC143F85E}"/>
    <cellStyle name="Migliaia 51 3 4 3" xfId="6752" xr:uid="{53D5B2D1-6A78-4314-A5DC-BE623023CB11}"/>
    <cellStyle name="Migliaia 51 3 4 3 2" xfId="35447" xr:uid="{2C873F54-9E66-482A-90B2-B66833DB3B10}"/>
    <cellStyle name="Migliaia 51 3 4 3 2 2" xfId="40607" xr:uid="{1B5BEAFE-E855-4507-A4CE-DA70E98D0D7F}"/>
    <cellStyle name="Migliaia 51 3 4 3 2 3" xfId="45909" xr:uid="{7F456736-133C-4648-BAAD-94803E170A81}"/>
    <cellStyle name="Migliaia 51 3 4 3 3" xfId="37956" xr:uid="{9B805263-5059-4695-8392-F83FDD15D95B}"/>
    <cellStyle name="Migliaia 51 3 4 3 4" xfId="43258" xr:uid="{0DDBB22E-9066-4D42-B960-CCCE0EF85B9B}"/>
    <cellStyle name="Migliaia 51 3 4 3 5" xfId="13717" xr:uid="{B8D8ECE5-894E-4091-BAA2-4BF1E3D9C940}"/>
    <cellStyle name="Migliaia 51 3 4 4" xfId="20891" xr:uid="{17C72E51-720D-4100-A989-772D1472D77C}"/>
    <cellStyle name="Migliaia 51 3 4 4 2" xfId="40059" xr:uid="{86E460EE-8E3D-499C-90DA-2283A03FCDD1}"/>
    <cellStyle name="Migliaia 51 3 4 4 3" xfId="45361" xr:uid="{4F73B98F-9B47-436A-80FA-E1A27649B8E7}"/>
    <cellStyle name="Migliaia 51 3 4 4 4" xfId="34446" xr:uid="{1C70B74F-C1E9-4CA9-A4CB-B98EC4866501}"/>
    <cellStyle name="Migliaia 51 3 4 5" xfId="37419" xr:uid="{E7B85C02-FF11-4474-8F39-814B5B2E6C1E}"/>
    <cellStyle name="Migliaia 51 3 4 6" xfId="42710" xr:uid="{8B6554D2-D404-45EB-827A-E5629DEE1417}"/>
    <cellStyle name="Migliaia 51 3 4 7" xfId="16738" xr:uid="{6D2861F1-9150-499F-9BB2-5723DB569E7D}"/>
    <cellStyle name="Migliaia 51 3 4 8" xfId="7702" xr:uid="{55222F6A-454B-4E36-AC8D-09260AA81642}"/>
    <cellStyle name="Migliaia 51 3 5" xfId="3849" xr:uid="{5ADA7F42-8A78-40BE-9AF7-D55388D481CE}"/>
    <cellStyle name="Migliaia 51 3 5 2" xfId="5575" xr:uid="{8E840EBA-D277-4909-9E47-C263F89822F2}"/>
    <cellStyle name="Migliaia 51 3 5 2 2" xfId="35448" xr:uid="{332A61DA-DEE0-46E3-B891-D08670C9BECE}"/>
    <cellStyle name="Migliaia 51 3 5 2 2 2" xfId="40608" xr:uid="{9C2A628E-B51C-44A0-89BC-6747A0877996}"/>
    <cellStyle name="Migliaia 51 3 5 2 2 3" xfId="45910" xr:uid="{686646C1-274B-44CE-A289-5BB6838A6CBF}"/>
    <cellStyle name="Migliaia 51 3 5 2 3" xfId="37957" xr:uid="{B9F42A48-97F2-4E36-87CB-1FE40C6ED432}"/>
    <cellStyle name="Migliaia 51 3 5 2 4" xfId="43259" xr:uid="{4065EE2D-7034-4438-9F08-C8045EFF23B9}"/>
    <cellStyle name="Migliaia 51 3 5 2 5" xfId="14319" xr:uid="{32D17BE1-DFE4-4E63-9D07-329DC420C1EF}"/>
    <cellStyle name="Migliaia 51 3 5 3" xfId="6753" xr:uid="{D1B0A480-40D4-46B1-B85D-4A6267E8401E}"/>
    <cellStyle name="Migliaia 51 3 5 3 2" xfId="40060" xr:uid="{3D27DEDF-EF41-49AD-8E4D-1AFD09EA1EE7}"/>
    <cellStyle name="Migliaia 51 3 5 3 3" xfId="45362" xr:uid="{37F70042-DF34-4EEC-89A6-DD1C2C6AC18A}"/>
    <cellStyle name="Migliaia 51 3 5 3 4" xfId="34447" xr:uid="{9CB4D862-8FE4-4CAF-8284-147B7887FCE3}"/>
    <cellStyle name="Migliaia 51 3 5 3 5" xfId="20893" xr:uid="{D44E1B07-1C0C-40CC-A6AD-19656488944C}"/>
    <cellStyle name="Migliaia 51 3 5 4" xfId="37420" xr:uid="{AD6CB6F0-81CE-41F4-ACB0-658075D97DB4}"/>
    <cellStyle name="Migliaia 51 3 5 5" xfId="42711" xr:uid="{CB216156-A5C3-4C7D-B031-B4EB39AE8A58}"/>
    <cellStyle name="Migliaia 51 3 5 6" xfId="16740" xr:uid="{43B103A6-8101-449E-A24D-DCDF11A5F2EA}"/>
    <cellStyle name="Migliaia 51 3 5 7" xfId="8381" xr:uid="{4B1A62C7-1498-4C4C-BBC9-00F570470006}"/>
    <cellStyle name="Migliaia 51 3 6" xfId="5570" xr:uid="{625C77C9-166B-497C-B063-E8F85BB936DC}"/>
    <cellStyle name="Migliaia 51 3 6 2" xfId="14024" xr:uid="{E81096C7-E17B-4C22-ACB8-283C27741704}"/>
    <cellStyle name="Migliaia 51 3 6 2 2" xfId="40061" xr:uid="{3ADC097F-D49F-4A2A-8158-5537DA3C192B}"/>
    <cellStyle name="Migliaia 51 3 6 2 3" xfId="45363" xr:uid="{38ACA782-8A97-42B1-A856-C0E681F00D9D}"/>
    <cellStyle name="Migliaia 51 3 6 3" xfId="18690" xr:uid="{68C06613-F26B-40B2-9275-96531CF461BD}"/>
    <cellStyle name="Migliaia 51 3 6 4" xfId="20894" xr:uid="{C2E2EA3E-AB1B-4C13-BAC7-89C9627B00E2}"/>
    <cellStyle name="Migliaia 51 3 6 4 2" xfId="42712" xr:uid="{5A6CAD93-B5DA-4690-BEE1-816C5BD58412}"/>
    <cellStyle name="Migliaia 51 3 6 5" xfId="16741" xr:uid="{1427EA86-6BE4-40D6-AA55-3EBFCA655BD5}"/>
    <cellStyle name="Migliaia 51 3 6 6" xfId="8008" xr:uid="{A8645A47-4767-4A59-9933-B1C8E83BD337}"/>
    <cellStyle name="Migliaia 51 3 7" xfId="6748" xr:uid="{393AFC89-CFB9-4C48-A486-C73E49E36684}"/>
    <cellStyle name="Migliaia 51 3 7 2" xfId="34448" xr:uid="{D1F0EE13-0DD6-444F-A898-13593E0F92B9}"/>
    <cellStyle name="Migliaia 51 3 7 2 2" xfId="40062" xr:uid="{B54A7294-BE4F-418C-862D-A039DE8D22C2}"/>
    <cellStyle name="Migliaia 51 3 7 2 3" xfId="45364" xr:uid="{F5AE59BD-A879-4975-9974-516F67887B80}"/>
    <cellStyle name="Migliaia 51 3 7 3" xfId="37421" xr:uid="{9D3B119E-8388-44C0-84A6-5F3E84737A44}"/>
    <cellStyle name="Migliaia 51 3 7 4" xfId="42713" xr:uid="{B1310912-1607-49B3-8470-D125C7033BB1}"/>
    <cellStyle name="Migliaia 51 3 7 5" xfId="11128" xr:uid="{CB04B241-FF8C-471B-91CB-52AF0A69CF6A}"/>
    <cellStyle name="Migliaia 51 3 8" xfId="3844" xr:uid="{1C60F52E-5FBF-4613-94A9-48448D399308}"/>
    <cellStyle name="Migliaia 51 3 8 2" xfId="34449" xr:uid="{CD1BCB7F-8DA7-4B9D-A73B-B8B4BCC5F37A}"/>
    <cellStyle name="Migliaia 51 3 8 2 2" xfId="40063" xr:uid="{6D8B5CF2-FF35-44E1-838E-345ACC3B8BE7}"/>
    <cellStyle name="Migliaia 51 3 8 2 3" xfId="45365" xr:uid="{4D9203A5-06D9-4999-9A09-A8324FEF2DBE}"/>
    <cellStyle name="Migliaia 51 3 8 3" xfId="37422" xr:uid="{15AFDBC7-DD08-42C4-ABC1-690A06AC296F}"/>
    <cellStyle name="Migliaia 51 3 8 4" xfId="42714" xr:uid="{14485DC0-32CA-4335-8B14-1E18C4AB6F81}"/>
    <cellStyle name="Migliaia 51 3 8 5" xfId="25268" xr:uid="{975B8F5C-7EAA-4D6D-8DDC-AEC69B412F9C}"/>
    <cellStyle name="Migliaia 51 3 8 6" xfId="17289" xr:uid="{D0964318-79F3-477E-84E8-0E6203B22C14}"/>
    <cellStyle name="Migliaia 51 3 9" xfId="20885" xr:uid="{92D0026A-58AB-4B80-A32A-0231F1703454}"/>
    <cellStyle name="Migliaia 51 4" xfId="1888" xr:uid="{00000000-0005-0000-0000-000063040000}"/>
    <cellStyle name="Migliaia 51 4 2" xfId="1889" xr:uid="{00000000-0005-0000-0000-000064040000}"/>
    <cellStyle name="Migliaia 51 4 2 2" xfId="5577" xr:uid="{75FA0004-DE90-407B-93B6-2F250AF634BD}"/>
    <cellStyle name="Migliaia 51 4 2 2 2" xfId="34450" xr:uid="{B8BDB6AD-F367-429C-BE99-54BD290F619C}"/>
    <cellStyle name="Migliaia 51 4 2 2 2 2" xfId="40064" xr:uid="{0B3E15DF-CCB0-453D-A563-D51C67D7245F}"/>
    <cellStyle name="Migliaia 51 4 2 2 2 3" xfId="45366" xr:uid="{F356C5FC-5FC1-4662-BDDC-9C136C3BF7A9}"/>
    <cellStyle name="Migliaia 51 4 2 2 3" xfId="37423" xr:uid="{B4746189-D759-45D4-824B-C27C5990C982}"/>
    <cellStyle name="Migliaia 51 4 2 2 4" xfId="42715" xr:uid="{8FC4D0F8-5B41-437F-96B8-7B10CF76B467}"/>
    <cellStyle name="Migliaia 51 4 2 2 5" xfId="9200" xr:uid="{115C23CA-3C5F-47A5-B159-3ACC7A9BFCDB}"/>
    <cellStyle name="Migliaia 51 4 2 3" xfId="3851" xr:uid="{8C651A77-98CE-488E-A6D9-8D4AF767DA35}"/>
    <cellStyle name="Migliaia 51 4 2 3 2" xfId="34451" xr:uid="{5635B184-E56D-4CA0-895D-DBB8F5E5F112}"/>
    <cellStyle name="Migliaia 51 4 2 3 2 2" xfId="40065" xr:uid="{D315C9BC-01F7-454F-9337-515FDD35E565}"/>
    <cellStyle name="Migliaia 51 4 2 3 2 3" xfId="45367" xr:uid="{18944AA0-CCBB-4049-8828-0265A0E58F60}"/>
    <cellStyle name="Migliaia 51 4 2 3 3" xfId="37424" xr:uid="{F01280DB-55AE-44F0-9E61-26073D75C68C}"/>
    <cellStyle name="Migliaia 51 4 2 3 4" xfId="42716" xr:uid="{1C2BA31E-50E7-469B-8E66-319525C29D04}"/>
    <cellStyle name="Migliaia 51 4 2 3 5" xfId="12073" xr:uid="{17E120F5-094C-4557-A12A-C18214B97E40}"/>
    <cellStyle name="Migliaia 51 4 2 4" xfId="11424" xr:uid="{12163FAA-EE00-40BC-9622-AAF588F2AC82}"/>
    <cellStyle name="Migliaia 51 4 2 5" xfId="10966" xr:uid="{D0032F20-B0DD-463F-A1C5-70A72536977F}"/>
    <cellStyle name="Migliaia 51 4 2 5 2" xfId="21601" xr:uid="{2A14B30D-2971-469E-819A-AA848A14E8FD}"/>
    <cellStyle name="Migliaia 51 4 2 5 3" xfId="46261" xr:uid="{3B5038CE-ECC3-408F-B443-036F5CA02075}"/>
    <cellStyle name="Migliaia 51 4 2 5 4" xfId="50616" xr:uid="{A0528E47-4775-454A-9CCB-6B3C89781E03}"/>
    <cellStyle name="Migliaia 51 4 2 5 5" xfId="53632" xr:uid="{9AD12CCB-F4FA-4A9D-88A7-99FFD49E30B5}"/>
    <cellStyle name="Migliaia 51 4 2 6" xfId="20896" xr:uid="{3A07A07D-330C-4E95-8FB3-843EED434E74}"/>
    <cellStyle name="Migliaia 51 4 2 7" xfId="25270" xr:uid="{39DBA420-2028-4330-8949-DAA2B02867FE}"/>
    <cellStyle name="Migliaia 51 4 2 8" xfId="8760" xr:uid="{15C170DE-2F8F-4649-BC6B-A3AB6E14F272}"/>
    <cellStyle name="Migliaia 51 4 3" xfId="5576" xr:uid="{AC0D6A30-F049-43FB-8C5C-60674D8A342A}"/>
    <cellStyle name="Migliaia 51 4 3 2" xfId="18255" xr:uid="{5E8E0270-9DB0-460C-B895-0FE105B92A42}"/>
    <cellStyle name="Migliaia 51 4 3 2 2" xfId="40066" xr:uid="{DC3A2861-FA35-475B-BCDE-613305061311}"/>
    <cellStyle name="Migliaia 51 4 3 2 3" xfId="45368" xr:uid="{FB98ED08-6512-4DEC-8299-CDEDE76ECE03}"/>
    <cellStyle name="Migliaia 51 4 3 3" xfId="37425" xr:uid="{835F1C73-13EF-464B-B2B8-AC28F07FB4DF}"/>
    <cellStyle name="Migliaia 51 4 3 4" xfId="42717" xr:uid="{3906885B-674B-4E1C-BCA0-09B90CFCEDB4}"/>
    <cellStyle name="Migliaia 51 4 3 5" xfId="17287" xr:uid="{51B83CF4-6C4B-44B7-9181-C7F6405C3216}"/>
    <cellStyle name="Migliaia 51 4 3 6" xfId="9201" xr:uid="{FB431797-EDC1-4B86-92CA-41EBAE6EC05E}"/>
    <cellStyle name="Migliaia 51 4 4" xfId="6754" xr:uid="{8627033C-CEA5-4BE9-8875-4B6C1A37899A}"/>
    <cellStyle name="Migliaia 51 4 4 2" xfId="34452" xr:uid="{1461472C-A835-49FB-9D9F-7458888E96A9}"/>
    <cellStyle name="Migliaia 51 4 4 2 2" xfId="40067" xr:uid="{9220C2AC-A756-4721-AA30-3E7F466EAF86}"/>
    <cellStyle name="Migliaia 51 4 4 2 3" xfId="45369" xr:uid="{18EA6514-5159-45AD-892D-56E7D243B076}"/>
    <cellStyle name="Migliaia 51 4 4 3" xfId="37426" xr:uid="{CA5CE187-BA68-4935-B207-5F5C2246AE8F}"/>
    <cellStyle name="Migliaia 51 4 4 4" xfId="42718" xr:uid="{2F3C1089-2551-4D7B-9732-65C0B3875245}"/>
    <cellStyle name="Migliaia 51 4 4 5" xfId="12074" xr:uid="{7B81C56B-1710-4454-BCE5-FFCC196B1EEB}"/>
    <cellStyle name="Migliaia 51 4 5" xfId="3850" xr:uid="{F8755A77-E664-4A3A-91F3-384017DD3BBA}"/>
    <cellStyle name="Migliaia 51 4 5 2" xfId="34453" xr:uid="{BD49CE2A-E4F1-4D64-AB11-6B7F762C6C67}"/>
    <cellStyle name="Migliaia 51 4 5 2 2" xfId="40068" xr:uid="{3295057F-1103-4F97-A54C-3616155E8586}"/>
    <cellStyle name="Migliaia 51 4 5 2 3" xfId="45370" xr:uid="{FA8EE575-1876-4684-9DA5-2A9953F89C31}"/>
    <cellStyle name="Migliaia 51 4 5 3" xfId="37427" xr:uid="{6944435E-A98A-4101-BDE6-438F21292A5A}"/>
    <cellStyle name="Migliaia 51 4 5 4" xfId="42719" xr:uid="{E6ABB800-ADD4-4C1F-AD48-B68211DF89B4}"/>
    <cellStyle name="Migliaia 51 4 5 5" xfId="11423" xr:uid="{146CD7D9-D4AD-4EAE-8461-43FED7F4A71E}"/>
    <cellStyle name="Migliaia 51 4 6" xfId="10965" xr:uid="{BDA2B445-5E3A-4A93-8D34-E027A38DEBBC}"/>
    <cellStyle name="Migliaia 51 4 6 2" xfId="21600" xr:uid="{A583FBCC-2079-4C75-B8B2-4AEAA9BA8198}"/>
    <cellStyle name="Migliaia 51 4 6 2 2" xfId="40069" xr:uid="{37309D4F-589F-40D3-8336-612D8C8DCABB}"/>
    <cellStyle name="Migliaia 51 4 6 2 3" xfId="45371" xr:uid="{A7EE51B7-AAE4-4C65-8133-1301C1D311F3}"/>
    <cellStyle name="Migliaia 51 4 6 2 4" xfId="34454" xr:uid="{CB61338F-8D8F-4A7F-A9E6-36F1E419A793}"/>
    <cellStyle name="Migliaia 51 4 6 3" xfId="37428" xr:uid="{56CBA54C-894D-493C-BDD9-EC63D34BD5AC}"/>
    <cellStyle name="Migliaia 51 4 6 4" xfId="42720" xr:uid="{BBECB8EF-D25F-4099-8673-0D81272181C4}"/>
    <cellStyle name="Migliaia 51 4 6 5" xfId="25271" xr:uid="{7B5513FC-E8E5-4A26-9298-365CC5F22DEE}"/>
    <cellStyle name="Migliaia 51 4 6 6" xfId="23992" xr:uid="{76FF9638-25B9-4B4D-A77F-A556F83180C2}"/>
    <cellStyle name="Migliaia 51 4 6 7" xfId="50615" xr:uid="{D864E286-94F6-4BCE-AA43-7AB87D6B9F30}"/>
    <cellStyle name="Migliaia 51 4 6 8" xfId="53631" xr:uid="{27FE056F-CAB2-49F6-B331-4CAB1E73D360}"/>
    <cellStyle name="Migliaia 51 4 7" xfId="20895" xr:uid="{BB66D15A-2065-472A-9FB7-7B0B006CF08E}"/>
    <cellStyle name="Migliaia 51 4 7 2" xfId="34455" xr:uid="{AD9BFAF1-D590-4902-B092-6F8D66197D5E}"/>
    <cellStyle name="Migliaia 51 4 7 2 2" xfId="40070" xr:uid="{2408A1D4-F658-412C-917F-8181DC58C39A}"/>
    <cellStyle name="Migliaia 51 4 7 2 3" xfId="45372" xr:uid="{B960DD17-D2D8-4592-8CCF-40278948E7C0}"/>
    <cellStyle name="Migliaia 51 4 7 3" xfId="37429" xr:uid="{04C7728D-488B-468D-82E6-B456E7C229D3}"/>
    <cellStyle name="Migliaia 51 4 7 4" xfId="42721" xr:uid="{AC204B21-3BF4-49E9-8485-04B16B489C01}"/>
    <cellStyle name="Migliaia 51 4 7 5" xfId="25272" xr:uid="{A63762C1-E0FD-49AF-BEC2-AFD6E6CC0304}"/>
    <cellStyle name="Migliaia 51 4 8" xfId="25269" xr:uid="{D23B320B-0316-4F7A-A956-D77460EDF12B}"/>
    <cellStyle name="Migliaia 51 4 9" xfId="7570" xr:uid="{447B5022-8019-409A-99C4-088164EF8368}"/>
    <cellStyle name="Migliaia 51 5" xfId="1890" xr:uid="{00000000-0005-0000-0000-000065040000}"/>
    <cellStyle name="Migliaia 51 5 2" xfId="5578" xr:uid="{1EAF9CB0-5795-4A4C-AD74-6A03A80E7E52}"/>
    <cellStyle name="Migliaia 51 5 2 2" xfId="18502" xr:uid="{AF1BF1C5-A10E-44DD-9DBC-65519C55E9F0}"/>
    <cellStyle name="Migliaia 51 5 2 2 2" xfId="40071" xr:uid="{27FB7BBD-549D-42BA-98AD-12D503C036D1}"/>
    <cellStyle name="Migliaia 51 5 2 2 3" xfId="45373" xr:uid="{C0BBD35B-EA73-4401-AF0D-E034EE4289B6}"/>
    <cellStyle name="Migliaia 51 5 2 3" xfId="20898" xr:uid="{EE905997-9338-45B5-A672-1C79F837666D}"/>
    <cellStyle name="Migliaia 51 5 2 3 2" xfId="37430" xr:uid="{6A88741F-7009-4E9C-BE84-EE5C431344E9}"/>
    <cellStyle name="Migliaia 51 5 2 4" xfId="42722" xr:uid="{DE6980F6-6205-42A3-854B-C1B3DB43E021}"/>
    <cellStyle name="Migliaia 51 5 2 5" xfId="16742" xr:uid="{38C9ABBD-69F8-48E6-BDAB-A98797A333CF}"/>
    <cellStyle name="Migliaia 51 5 2 6" xfId="8761" xr:uid="{CE1345BA-5E1F-4BFA-980A-6852A741C8E8}"/>
    <cellStyle name="Migliaia 51 5 3" xfId="6755" xr:uid="{4F366AE7-23DC-4EC1-A0B8-35CBDDF39021}"/>
    <cellStyle name="Migliaia 51 5 3 2" xfId="34456" xr:uid="{96A89A2C-9DD5-438C-86FE-41422063ED37}"/>
    <cellStyle name="Migliaia 51 5 3 2 2" xfId="40072" xr:uid="{91A6618C-6CFB-42F2-8F51-064A31D6406C}"/>
    <cellStyle name="Migliaia 51 5 3 2 3" xfId="45374" xr:uid="{509F17CF-2FD6-4D35-BE19-D12CCF34851A}"/>
    <cellStyle name="Migliaia 51 5 3 3" xfId="37431" xr:uid="{4AFD9C1F-C422-4D45-85B6-1EA5753109C4}"/>
    <cellStyle name="Migliaia 51 5 3 4" xfId="42723" xr:uid="{84DC89C2-9C9F-427E-AB8A-6003C4814ADE}"/>
    <cellStyle name="Migliaia 51 5 3 5" xfId="11425" xr:uid="{26F70FDD-DE7E-490E-B53D-ECEE89891C85}"/>
    <cellStyle name="Migliaia 51 5 4" xfId="3852" xr:uid="{F3CED710-64AB-43B8-AB4E-32D7E1BE0406}"/>
    <cellStyle name="Migliaia 51 5 4 2" xfId="21602" xr:uid="{435F0E4D-A72F-4343-B4A7-60CA68E40C01}"/>
    <cellStyle name="Migliaia 51 5 4 2 2" xfId="40073" xr:uid="{45FC7206-41B6-45D3-8A04-E3DDC90BDB0C}"/>
    <cellStyle name="Migliaia 51 5 4 2 3" xfId="45375" xr:uid="{894916C3-424C-4E11-9288-183A26173FED}"/>
    <cellStyle name="Migliaia 51 5 4 2 4" xfId="34457" xr:uid="{0B20D239-B686-417E-9031-E210A5041545}"/>
    <cellStyle name="Migliaia 51 5 4 3" xfId="37432" xr:uid="{765EFE4B-9E90-47C3-B428-783D145C2120}"/>
    <cellStyle name="Migliaia 51 5 4 4" xfId="42724" xr:uid="{5B7799AD-1042-4D02-AED2-B0234E4F966A}"/>
    <cellStyle name="Migliaia 51 5 4 5" xfId="25274" xr:uid="{3C52EA0E-5B2F-4372-8734-262FDB20584E}"/>
    <cellStyle name="Migliaia 51 5 4 6" xfId="34314" xr:uid="{EEDEFE40-1148-4612-8F57-7ED97F474E9D}"/>
    <cellStyle name="Migliaia 51 5 4 7" xfId="50617" xr:uid="{A4782DA7-B60C-4641-8B51-B51D6ACBE882}"/>
    <cellStyle name="Migliaia 51 5 4 8" xfId="53633" xr:uid="{49A5FD92-33E5-4506-9A1E-0DE3DB391C66}"/>
    <cellStyle name="Migliaia 51 5 4 9" xfId="10967" xr:uid="{B6B68598-9E36-449A-8DFC-BF458DF52D63}"/>
    <cellStyle name="Migliaia 51 5 5" xfId="20897" xr:uid="{0D725F8B-3C83-4A95-8548-C57B40F7910C}"/>
    <cellStyle name="Migliaia 51 5 5 2" xfId="34458" xr:uid="{75068530-2C74-45FD-BD90-472A56656A37}"/>
    <cellStyle name="Migliaia 51 5 5 2 2" xfId="40074" xr:uid="{A5753DB2-FBC8-4B70-B311-87FE2DD02F02}"/>
    <cellStyle name="Migliaia 51 5 5 2 3" xfId="45376" xr:uid="{D0B9DA37-399D-4B98-9B23-33AAE46A620F}"/>
    <cellStyle name="Migliaia 51 5 5 3" xfId="37433" xr:uid="{C480CE0D-3CBD-46A9-BD02-E9EE41E268E4}"/>
    <cellStyle name="Migliaia 51 5 5 4" xfId="42725" xr:uid="{61A9CB4C-5F53-4CBD-B61D-C6A11A735EC0}"/>
    <cellStyle name="Migliaia 51 5 5 5" xfId="25275" xr:uid="{CBA37AB2-8529-4D7A-BBC4-B051B28BC462}"/>
    <cellStyle name="Migliaia 51 5 6" xfId="25276" xr:uid="{972A74D9-6197-47C8-BE9A-604416B56509}"/>
    <cellStyle name="Migliaia 51 5 6 2" xfId="34459" xr:uid="{DE692C07-42F5-4A58-B8CB-ABB68A8B810F}"/>
    <cellStyle name="Migliaia 51 5 6 2 2" xfId="40075" xr:uid="{DEF83C61-458C-4B77-8026-56C019D1DD05}"/>
    <cellStyle name="Migliaia 51 5 6 2 3" xfId="45377" xr:uid="{E048E1AF-1ACD-4B75-8E77-E9455E21282A}"/>
    <cellStyle name="Migliaia 51 5 6 3" xfId="37434" xr:uid="{DB93C7D6-5F5C-42F1-B33B-18D8B2DDF919}"/>
    <cellStyle name="Migliaia 51 5 6 4" xfId="42726" xr:uid="{FFB6F940-A6B1-4DD3-8D74-20F1B37D9748}"/>
    <cellStyle name="Migliaia 51 5 7" xfId="25273" xr:uid="{93A2C678-6D40-49DC-81C1-051E7BFA7DAA}"/>
    <cellStyle name="Migliaia 51 5 8" xfId="7571" xr:uid="{DC48D016-8AC3-40DE-86CA-D978441A6F3F}"/>
    <cellStyle name="Migliaia 51 6" xfId="3853" xr:uid="{1E301903-4C53-4992-902D-1F017D8456EA}"/>
    <cellStyle name="Migliaia 51 6 2" xfId="5579" xr:uid="{DBD49CC6-48A0-43EA-9527-003717943D06}"/>
    <cellStyle name="Migliaia 51 6 2 2" xfId="9973" xr:uid="{A668CB6B-AD53-43C8-A02E-BB53BCC83127}"/>
    <cellStyle name="Migliaia 51 6 2 3" xfId="18634" xr:uid="{6552C497-8975-441E-88B4-EBFBE3DF0EE3}"/>
    <cellStyle name="Migliaia 51 6 2 4" xfId="20900" xr:uid="{445F8FCC-98E2-4291-8CC8-8B0AB4E27033}"/>
    <cellStyle name="Migliaia 51 6 2 5" xfId="32458" xr:uid="{A3CB650B-1227-4936-9D6C-037EA749FA7E}"/>
    <cellStyle name="Migliaia 51 6 2 6" xfId="16744" xr:uid="{70296184-38B1-4340-99A3-F47CF39BDC85}"/>
    <cellStyle name="Migliaia 51 6 2 7" xfId="8756" xr:uid="{62D9F80B-5182-4B44-8D45-2439700B8864}"/>
    <cellStyle name="Migliaia 51 6 3" xfId="6756" xr:uid="{C5903F44-3F9D-4364-BA79-928A1B73295E}"/>
    <cellStyle name="Migliaia 51 6 3 2" xfId="35449" xr:uid="{3DAFF199-5E40-43B7-AD99-279D31AAD946}"/>
    <cellStyle name="Migliaia 51 6 3 2 2" xfId="40609" xr:uid="{72014B06-7D89-4ECA-BA01-DD740AF99F04}"/>
    <cellStyle name="Migliaia 51 6 3 2 3" xfId="45911" xr:uid="{4CD8D439-B14F-457E-852E-3DBEC526EF06}"/>
    <cellStyle name="Migliaia 51 6 3 3" xfId="37958" xr:uid="{4A44B2E4-1B69-48EE-809B-6CC633846791}"/>
    <cellStyle name="Migliaia 51 6 3 4" xfId="43260" xr:uid="{6B9FD06C-3103-41D3-807C-DDA34D324E63}"/>
    <cellStyle name="Migliaia 51 6 3 5" xfId="9736" xr:uid="{97E2CB9A-108B-4A21-823B-392E69943B4E}"/>
    <cellStyle name="Migliaia 51 6 4" xfId="20899" xr:uid="{79C60B0D-F6DB-431D-B0C3-2625CDB5A185}"/>
    <cellStyle name="Migliaia 51 6 4 2" xfId="40076" xr:uid="{AE29A181-CF47-4F1D-9FF9-878F7483324D}"/>
    <cellStyle name="Migliaia 51 6 4 3" xfId="45378" xr:uid="{4BAF136A-AC08-4C8E-BD93-6546803A4E5D}"/>
    <cellStyle name="Migliaia 51 6 4 4" xfId="34460" xr:uid="{4C8CE7FC-219A-4DD7-B650-ADF50E455EA4}"/>
    <cellStyle name="Migliaia 51 6 5" xfId="37435" xr:uid="{0E1CF819-93DD-44BC-9CEF-FF59024F3752}"/>
    <cellStyle name="Migliaia 51 6 6" xfId="42727" xr:uid="{E4CC239F-01D3-4456-B4EB-41F2DB695E50}"/>
    <cellStyle name="Migliaia 51 6 7" xfId="16743" xr:uid="{3E7707AA-8923-4493-93DE-6AD3966E9E13}"/>
    <cellStyle name="Migliaia 51 6 8" xfId="7566" xr:uid="{44F9C4C3-80E0-4990-BC67-F12F2AE0ABF8}"/>
    <cellStyle name="Migliaia 51 7" xfId="3854" xr:uid="{520D5A07-1EFC-479D-A533-1AC2ED4B7D25}"/>
    <cellStyle name="Migliaia 51 7 2" xfId="5580" xr:uid="{C4D596D4-D510-4FD7-814C-BA6103B678ED}"/>
    <cellStyle name="Migliaia 51 7 2 2" xfId="35450" xr:uid="{CE50D21F-62E4-47B2-A7D0-A3AEEB81A99D}"/>
    <cellStyle name="Migliaia 51 7 2 2 2" xfId="40610" xr:uid="{CFEB15EF-DAE1-4D9F-B532-7232826BAE8C}"/>
    <cellStyle name="Migliaia 51 7 2 2 3" xfId="45912" xr:uid="{6CE6D76C-43A7-4303-9161-3B6E32845B71}"/>
    <cellStyle name="Migliaia 51 7 2 3" xfId="37959" xr:uid="{E3378A33-5101-4718-B058-ED1ADCD73A37}"/>
    <cellStyle name="Migliaia 51 7 2 4" xfId="43261" xr:uid="{EFFCA04E-BC73-44C8-BD16-26ABF55A975E}"/>
    <cellStyle name="Migliaia 51 7 2 5" xfId="14317" xr:uid="{59590874-3B62-4609-89FC-7A15B5C15AEF}"/>
    <cellStyle name="Migliaia 51 7 3" xfId="6757" xr:uid="{7B4EE3F6-4C65-4210-8D52-D1EB6F83B1CC}"/>
    <cellStyle name="Migliaia 51 7 3 2" xfId="40077" xr:uid="{298F0AEE-763F-4F70-B816-96DB48B35173}"/>
    <cellStyle name="Migliaia 51 7 3 3" xfId="45379" xr:uid="{A86EABF6-AFAD-4068-BD74-10377AC77296}"/>
    <cellStyle name="Migliaia 51 7 3 4" xfId="34461" xr:uid="{E6F60063-F98F-4A23-BF27-1FD9A2A15F32}"/>
    <cellStyle name="Migliaia 51 7 3 5" xfId="20901" xr:uid="{B376339B-FC0D-4D0F-A3F6-6A2C186AD59B}"/>
    <cellStyle name="Migliaia 51 7 4" xfId="37436" xr:uid="{896F5C82-F841-43ED-BEE0-3E44AAA931B5}"/>
    <cellStyle name="Migliaia 51 7 5" xfId="42728" xr:uid="{A817FFFD-54D0-4857-9C2E-CFA659E7A115}"/>
    <cellStyle name="Migliaia 51 7 6" xfId="16745" xr:uid="{39699297-716A-4DA1-A78F-0B5A2D4E415C}"/>
    <cellStyle name="Migliaia 51 7 7" xfId="8379" xr:uid="{FFF12317-D66F-4A0E-ABE0-3FAFE01217D6}"/>
    <cellStyle name="Migliaia 51 8" xfId="3855" xr:uid="{C31A8808-7EAB-4B89-9D5F-2BF47CE2C33E}"/>
    <cellStyle name="Migliaia 51 8 2" xfId="5581" xr:uid="{9381D578-0D5D-4059-9F47-B5136990127D}"/>
    <cellStyle name="Migliaia 51 8 2 2" xfId="35451" xr:uid="{ECA07493-038C-4694-B788-E3F2C05F32D1}"/>
    <cellStyle name="Migliaia 51 8 2 2 2" xfId="40611" xr:uid="{60CFB20D-FA29-4086-8E46-C2B7D342D671}"/>
    <cellStyle name="Migliaia 51 8 2 2 3" xfId="45913" xr:uid="{B4598F00-DB1B-4564-9B0D-5C675066BD0B}"/>
    <cellStyle name="Migliaia 51 8 2 3" xfId="37960" xr:uid="{09AE2394-9E09-470D-87EB-16F731B38D3E}"/>
    <cellStyle name="Migliaia 51 8 2 4" xfId="43262" xr:uid="{9C7EC12E-6E80-4D2B-9055-6692B2B93283}"/>
    <cellStyle name="Migliaia 51 8 2 5" xfId="14022" xr:uid="{E6E5BE84-2AFF-422B-81E2-EF699E9A534A}"/>
    <cellStyle name="Migliaia 51 8 3" xfId="6758" xr:uid="{0BBBB5C8-EE7A-4F1F-B5D7-39DD60FB227B}"/>
    <cellStyle name="Migliaia 51 8 3 2" xfId="40078" xr:uid="{B976829B-048D-4452-A04A-D7D0D726345E}"/>
    <cellStyle name="Migliaia 51 8 3 3" xfId="45380" xr:uid="{690EF684-151D-4240-8970-62789606D30D}"/>
    <cellStyle name="Migliaia 51 8 3 4" xfId="34462" xr:uid="{45BD5A13-B984-4BF0-B9ED-560E27648103}"/>
    <cellStyle name="Migliaia 51 8 3 5" xfId="20902" xr:uid="{B547F4BD-00DD-4B86-B02F-FBE6C9B5096E}"/>
    <cellStyle name="Migliaia 51 8 4" xfId="37437" xr:uid="{712719B4-2D76-4192-9A72-B505BA1FFA65}"/>
    <cellStyle name="Migliaia 51 8 5" xfId="42729" xr:uid="{333A5DDA-E53D-433A-96E6-3F60E37BFD42}"/>
    <cellStyle name="Migliaia 51 8 6" xfId="16746" xr:uid="{9593E764-AE0B-4045-8D77-62904582825D}"/>
    <cellStyle name="Migliaia 51 8 7" xfId="8006" xr:uid="{915AD889-95F9-438E-84B1-0D75F8098DD0}"/>
    <cellStyle name="Migliaia 51 9" xfId="5566" xr:uid="{AF09C562-BEDB-48C3-9A46-E255101142D0}"/>
    <cellStyle name="Migliaia 51 9 2" xfId="34463" xr:uid="{1EB28A87-226C-4AC5-937B-0C32E6938BDD}"/>
    <cellStyle name="Migliaia 51 9 2 2" xfId="40079" xr:uid="{3F8C161B-17A3-458E-9A30-EDD83324BB79}"/>
    <cellStyle name="Migliaia 51 9 2 3" xfId="45381" xr:uid="{A9B1F215-F24D-413B-805F-5E2B4F64C649}"/>
    <cellStyle name="Migliaia 51 9 3" xfId="37438" xr:uid="{CC3A0B9B-7A63-490B-9F4C-0C81344731A4}"/>
    <cellStyle name="Migliaia 51 9 4" xfId="42730" xr:uid="{40725B83-BF1F-4590-B669-D8B21C007494}"/>
    <cellStyle name="Migliaia 51 9 5" xfId="17227" xr:uid="{DF85ABE7-65EB-42DE-9959-5449372F97F5}"/>
    <cellStyle name="Migliaia 52" xfId="489" xr:uid="{00000000-0005-0000-0000-000066040000}"/>
    <cellStyle name="Migliaia 52 10" xfId="6759" xr:uid="{4F8F202B-9165-4708-81AA-0BA46E17474D}"/>
    <cellStyle name="Migliaia 52 10 2" xfId="40080" xr:uid="{DD4B7682-D5EC-43B2-B129-69B03C9B9109}"/>
    <cellStyle name="Migliaia 52 10 3" xfId="45382" xr:uid="{49395E3C-8600-4E25-8926-E497233A6ADD}"/>
    <cellStyle name="Migliaia 52 10 4" xfId="34464" xr:uid="{92E02E5B-FB72-4A4E-83BD-6A7DC539F6BB}"/>
    <cellStyle name="Migliaia 52 10 5" xfId="20903" xr:uid="{2792D51C-877F-4E42-A2DD-C945C098A090}"/>
    <cellStyle name="Migliaia 52 11" xfId="3856" xr:uid="{4A3D0EA7-7816-471C-8713-4FB2392E468B}"/>
    <cellStyle name="Migliaia 52 11 2" xfId="37439" xr:uid="{08BAFBFF-2833-4033-8A75-8730DB7DBF57}"/>
    <cellStyle name="Migliaia 52 12" xfId="42731" xr:uid="{E83667D6-595A-4736-96ED-3ED690F61147}"/>
    <cellStyle name="Migliaia 52 13" xfId="7183" xr:uid="{59C19A5D-07D0-4A08-8742-EA95DBDD92AA}"/>
    <cellStyle name="Migliaia 52 2" xfId="490" xr:uid="{00000000-0005-0000-0000-000067040000}"/>
    <cellStyle name="Migliaia 52 2 2" xfId="1891" xr:uid="{00000000-0005-0000-0000-000068040000}"/>
    <cellStyle name="Migliaia 52 2 2 2" xfId="5584" xr:uid="{496893FF-52B0-4DD3-AF8D-FA52BCEF7B15}"/>
    <cellStyle name="Migliaia 52 2 2 2 2" xfId="14410" xr:uid="{FE482378-F50A-462A-A176-3DEC1AA9ABAB}"/>
    <cellStyle name="Migliaia 52 2 2 2 2 2" xfId="40081" xr:uid="{48BDEB37-2C0D-4A1A-BC7B-FDE68D801F1B}"/>
    <cellStyle name="Migliaia 52 2 2 2 2 3" xfId="45383" xr:uid="{4D084817-4C36-4F57-94C3-3CAAE92A99E5}"/>
    <cellStyle name="Migliaia 52 2 2 2 3" xfId="18503" xr:uid="{63555CFA-3387-40A0-8686-F65E2762107E}"/>
    <cellStyle name="Migliaia 52 2 2 2 4" xfId="20906" xr:uid="{FDE724FE-B3A7-40F3-979C-847EF4C38E09}"/>
    <cellStyle name="Migliaia 52 2 2 2 4 2" xfId="42732" xr:uid="{7B24CB9A-35A9-4C17-AF95-35601A473A39}"/>
    <cellStyle name="Migliaia 52 2 2 2 5" xfId="16747" xr:uid="{8825A2E2-EE96-41A9-BB9F-D977FFB8AE63}"/>
    <cellStyle name="Migliaia 52 2 2 2 6" xfId="8763" xr:uid="{1906F9EC-D617-4D60-9AC0-880F0F9E3FFA}"/>
    <cellStyle name="Migliaia 52 2 2 3" xfId="6761" xr:uid="{357F043A-58EB-4BD6-A784-71A66B55E9A5}"/>
    <cellStyle name="Migliaia 52 2 2 3 2" xfId="35452" xr:uid="{705485B1-24A4-4847-B4C4-8B60B4B97C19}"/>
    <cellStyle name="Migliaia 52 2 2 3 2 2" xfId="40612" xr:uid="{0B0DE430-4AD5-4754-9C49-1C6337185B5B}"/>
    <cellStyle name="Migliaia 52 2 2 3 2 3" xfId="45914" xr:uid="{F913362D-A837-4862-8537-D315CEA012CA}"/>
    <cellStyle name="Migliaia 52 2 2 3 3" xfId="37961" xr:uid="{D6832986-719F-4C69-AD3F-3B6FC9FC7A59}"/>
    <cellStyle name="Migliaia 52 2 2 3 4" xfId="43263" xr:uid="{91E9CE30-D1D6-4A38-8C82-CE05A95D40A4}"/>
    <cellStyle name="Migliaia 52 2 2 3 5" xfId="11637" xr:uid="{D0249C56-2494-4849-A255-066B30027D4E}"/>
    <cellStyle name="Migliaia 52 2 2 4" xfId="3858" xr:uid="{0A121CDE-6712-404B-A7CF-7CD3DC628249}"/>
    <cellStyle name="Migliaia 52 2 2 4 2" xfId="21603" xr:uid="{28BD8EF6-EC68-4670-B951-91FE368BC019}"/>
    <cellStyle name="Migliaia 52 2 2 4 3" xfId="47219" xr:uid="{4B85C1C2-D076-4F98-B8AA-3D0E850D57FF}"/>
    <cellStyle name="Migliaia 52 2 2 4 4" xfId="50618" xr:uid="{CC11CA3F-59D2-4C66-8CC4-B9DDFCED5819}"/>
    <cellStyle name="Migliaia 52 2 2 4 5" xfId="53634" xr:uid="{408C3D6D-D17F-4895-BF6B-CCED69286145}"/>
    <cellStyle name="Migliaia 52 2 2 4 6" xfId="10968" xr:uid="{A648E520-B959-4852-B32C-75BB76FAD26F}"/>
    <cellStyle name="Migliaia 52 2 2 5" xfId="20905" xr:uid="{365AA7A5-6CDD-407B-810E-0C730FD80191}"/>
    <cellStyle name="Migliaia 52 2 2 6" xfId="25278" xr:uid="{A8BBED11-1B5E-48EC-91EB-0E6F5A9AC12B}"/>
    <cellStyle name="Migliaia 52 2 2 7" xfId="7573" xr:uid="{382E9D5C-1040-4275-A6D7-780DAA9A9A7A}"/>
    <cellStyle name="Migliaia 52 2 3" xfId="3859" xr:uid="{9E30C25D-FD46-45E8-BE3C-727C55A3E0DC}"/>
    <cellStyle name="Migliaia 52 2 3 2" xfId="5585" xr:uid="{FFA8988A-63A5-480D-A2AB-5CDAED2487C8}"/>
    <cellStyle name="Migliaia 52 2 3 2 2" xfId="35453" xr:uid="{DF793D2A-B3AB-43F9-8EEE-C63D85CCC5BF}"/>
    <cellStyle name="Migliaia 52 2 3 2 2 2" xfId="40613" xr:uid="{BA6C526A-79BF-4A62-B9E1-EE62E0457902}"/>
    <cellStyle name="Migliaia 52 2 3 2 2 3" xfId="45915" xr:uid="{DE3071DB-9917-4D5B-AF9E-D3C945086836}"/>
    <cellStyle name="Migliaia 52 2 3 2 3" xfId="37962" xr:uid="{2983DC93-9363-452B-91BC-B4C68DE93741}"/>
    <cellStyle name="Migliaia 52 2 3 2 4" xfId="43264" xr:uid="{76BDD764-29BA-4664-9590-EB513C092D55}"/>
    <cellStyle name="Migliaia 52 2 3 2 5" xfId="14321" xr:uid="{5B323E89-4B1E-43D9-8B9E-2E0FC824B552}"/>
    <cellStyle name="Migliaia 52 2 3 3" xfId="6762" xr:uid="{29C53278-71B7-4716-8049-33E239F57BCC}"/>
    <cellStyle name="Migliaia 52 2 3 3 2" xfId="40082" xr:uid="{C1150ADD-F4E8-45DB-B44F-5042B40A9D8D}"/>
    <cellStyle name="Migliaia 52 2 3 3 3" xfId="45384" xr:uid="{1E8901B6-9EEB-49B4-9633-38E8BD1E6B9D}"/>
    <cellStyle name="Migliaia 52 2 3 3 4" xfId="34465" xr:uid="{77FBCE07-54F1-4500-BEDE-B05F4671E553}"/>
    <cellStyle name="Migliaia 52 2 3 3 5" xfId="20907" xr:uid="{3CD2E9FF-3388-47BF-A641-F96BD54030F4}"/>
    <cellStyle name="Migliaia 52 2 3 4" xfId="37440" xr:uid="{AC5C2EA6-832E-475C-85CE-B24B996AB1DD}"/>
    <cellStyle name="Migliaia 52 2 3 5" xfId="42733" xr:uid="{B3281B5A-E62F-443C-8BE7-CD6C05B3181C}"/>
    <cellStyle name="Migliaia 52 2 3 6" xfId="16748" xr:uid="{CD503C6B-D61E-42E1-A939-EDF7C3060738}"/>
    <cellStyle name="Migliaia 52 2 3 7" xfId="8383" xr:uid="{5BACCCB6-7B5D-413E-8D4F-10CEEF56A924}"/>
    <cellStyle name="Migliaia 52 2 4" xfId="5583" xr:uid="{9C7978A9-07A9-4F15-BEC7-964F570630A6}"/>
    <cellStyle name="Migliaia 52 2 4 2" xfId="14026" xr:uid="{9999147E-136E-416B-9F89-C47D5F10001B}"/>
    <cellStyle name="Migliaia 52 2 4 2 2" xfId="40083" xr:uid="{AE2A443A-4499-461D-856C-2C43EEAD3E42}"/>
    <cellStyle name="Migliaia 52 2 4 2 3" xfId="45385" xr:uid="{D8BF0D52-DA60-4B4A-9069-CFFC432376C5}"/>
    <cellStyle name="Migliaia 52 2 4 3" xfId="18689" xr:uid="{D617FBD9-8725-4635-9FA4-3966C5A8858A}"/>
    <cellStyle name="Migliaia 52 2 4 4" xfId="20908" xr:uid="{05BA3906-79F6-4A6E-8804-B0912875805F}"/>
    <cellStyle name="Migliaia 52 2 4 4 2" xfId="42734" xr:uid="{630EFC42-17B1-4541-9E63-46DFC7207FF0}"/>
    <cellStyle name="Migliaia 52 2 4 5" xfId="16749" xr:uid="{6C0E7CAD-B5A6-4DB8-BE97-0F0A588CB9D0}"/>
    <cellStyle name="Migliaia 52 2 4 6" xfId="8011" xr:uid="{61DD02FB-B8A3-4C4B-99CE-C1A5D33E3AB7}"/>
    <cellStyle name="Migliaia 52 2 5" xfId="6760" xr:uid="{34F150B4-839B-47A1-A13F-D074B998E071}"/>
    <cellStyle name="Migliaia 52 2 5 2" xfId="34467" xr:uid="{795A349B-9957-4C10-A66D-CBD112A36A18}"/>
    <cellStyle name="Migliaia 52 2 5 2 2" xfId="40084" xr:uid="{34DC806E-B5AC-412E-A51D-737D94CAB17C}"/>
    <cellStyle name="Migliaia 52 2 5 2 3" xfId="45386" xr:uid="{B311D395-D064-4775-ADCD-F23D21DE10A8}"/>
    <cellStyle name="Migliaia 52 2 5 3" xfId="37442" xr:uid="{9F0E86E8-3354-46C6-A5AB-B072C0802311}"/>
    <cellStyle name="Migliaia 52 2 5 4" xfId="42735" xr:uid="{72A959FE-3071-4284-A8C4-2574FA2D37B0}"/>
    <cellStyle name="Migliaia 52 2 5 5" xfId="13150" xr:uid="{9642D034-219F-40FB-A524-B532E939604B}"/>
    <cellStyle name="Migliaia 52 2 6" xfId="3857" xr:uid="{3A93DF82-25CE-4B62-ABB2-82D59B213E19}"/>
    <cellStyle name="Migliaia 52 2 6 2" xfId="34468" xr:uid="{9315C6F0-6316-4DF4-AD39-94FA044A2A5D}"/>
    <cellStyle name="Migliaia 52 2 6 2 2" xfId="40085" xr:uid="{697205E3-CA6A-4C59-87B0-AF687828C107}"/>
    <cellStyle name="Migliaia 52 2 6 2 3" xfId="45387" xr:uid="{88C5FA42-2BA8-477D-818A-9DED7BEACF71}"/>
    <cellStyle name="Migliaia 52 2 6 3" xfId="37443" xr:uid="{3E73FAAD-B693-44A5-BEB4-CBF67FEF63DE}"/>
    <cellStyle name="Migliaia 52 2 6 4" xfId="42736" xr:uid="{7594106D-2038-4189-8EB3-84320232569B}"/>
    <cellStyle name="Migliaia 52 2 6 5" xfId="25280" xr:uid="{B0218A58-493B-4988-B6DD-63C232D67A0D}"/>
    <cellStyle name="Migliaia 52 2 6 6" xfId="20904" xr:uid="{86057555-6002-40D8-86AA-F3AA8A402EBE}"/>
    <cellStyle name="Migliaia 52 2 7" xfId="25277" xr:uid="{0A1F0CB9-FECB-4F10-BBAC-CCD499A5E787}"/>
    <cellStyle name="Migliaia 52 2 8" xfId="7184" xr:uid="{F0C2C01E-1D52-4239-BD0E-999970269E3D}"/>
    <cellStyle name="Migliaia 52 3" xfId="491" xr:uid="{00000000-0005-0000-0000-000069040000}"/>
    <cellStyle name="Migliaia 52 3 10" xfId="25281" xr:uid="{EF9D84CC-4F42-4C44-97F4-F31311185DBE}"/>
    <cellStyle name="Migliaia 52 3 11" xfId="16750" xr:uid="{06FEDC48-E9CD-4195-8D7B-EC2162BB8238}"/>
    <cellStyle name="Migliaia 52 3 12" xfId="7185" xr:uid="{4B338166-B6EB-4CCD-A29B-DB4A308CFA8F}"/>
    <cellStyle name="Migliaia 52 3 2" xfId="492" xr:uid="{00000000-0005-0000-0000-00006A040000}"/>
    <cellStyle name="Migliaia 52 3 2 2" xfId="1892" xr:uid="{00000000-0005-0000-0000-00006B040000}"/>
    <cellStyle name="Migliaia 52 3 2 2 2" xfId="5588" xr:uid="{E353D501-58C2-4D0F-AE81-27D244064494}"/>
    <cellStyle name="Migliaia 52 3 2 2 2 2" xfId="18504" xr:uid="{75B3E397-CC7A-4861-8B35-D4F0DB345655}"/>
    <cellStyle name="Migliaia 52 3 2 2 2 2 2" xfId="21888" xr:uid="{87E55329-77F3-48F9-87B5-6A0DC09439E0}"/>
    <cellStyle name="Migliaia 52 3 2 2 2 2 2 2" xfId="40086" xr:uid="{1240D396-C1A3-465E-84D3-3A0D56771CC5}"/>
    <cellStyle name="Migliaia 52 3 2 2 2 2 3" xfId="45388" xr:uid="{1923E168-F302-4E8E-835C-2C1031FFD18C}"/>
    <cellStyle name="Migliaia 52 3 2 2 2 2 4" xfId="34469" xr:uid="{B5AE65B3-400E-48E8-9C41-8B864E941352}"/>
    <cellStyle name="Migliaia 52 3 2 2 2 3" xfId="37444" xr:uid="{6DD6BC4B-BE65-45FE-802E-07003F758B44}"/>
    <cellStyle name="Migliaia 52 3 2 2 2 4" xfId="42737" xr:uid="{FED23D97-80BF-44CA-9CF1-2F374312D1BC}"/>
    <cellStyle name="Migliaia 52 3 2 2 2 5" xfId="46302" xr:uid="{6E9CBB5E-D185-4A59-B7E9-AB92EE8F28D0}"/>
    <cellStyle name="Migliaia 52 3 2 2 2 6" xfId="50916" xr:uid="{29C56F5B-18C0-4257-A4B0-40F3DFC9C33F}"/>
    <cellStyle name="Migliaia 52 3 2 2 2 7" xfId="53932" xr:uid="{93FDC060-A69F-4C5B-B8B3-7148864B4B96}"/>
    <cellStyle name="Migliaia 52 3 2 2 2 8" xfId="17687" xr:uid="{9CF6635D-5D40-4A01-A342-35A6804490F5}"/>
    <cellStyle name="Migliaia 52 3 2 2 2 9" xfId="12075" xr:uid="{11B015FF-B089-49FD-927A-61E0275594F5}"/>
    <cellStyle name="Migliaia 52 3 2 2 3" xfId="6765" xr:uid="{4561DE48-8E04-45C2-8DE5-AE858B53D6F1}"/>
    <cellStyle name="Migliaia 52 3 2 2 3 2" xfId="12152" xr:uid="{41BBE2CD-1C8B-45A4-86A1-085AD984A3E2}"/>
    <cellStyle name="Migliaia 52 3 2 2 4" xfId="3862" xr:uid="{041F1779-E0A9-456C-8B6E-57005D93D80C}"/>
    <cellStyle name="Migliaia 52 3 2 2 4 2" xfId="21604" xr:uid="{3BCB6D21-01CD-4E8C-BC4D-CC9125F9D6C3}"/>
    <cellStyle name="Migliaia 52 3 2 2 4 3" xfId="46706" xr:uid="{5C6C41E0-A13F-4C5C-B3E3-94856E874DD3}"/>
    <cellStyle name="Migliaia 52 3 2 2 4 4" xfId="50619" xr:uid="{E0E97EBE-BAD6-468F-969D-586450314143}"/>
    <cellStyle name="Migliaia 52 3 2 2 4 5" xfId="53635" xr:uid="{F2516521-FD12-4D37-BC4C-768C91AD2E78}"/>
    <cellStyle name="Migliaia 52 3 2 2 4 6" xfId="10969" xr:uid="{A2B825C4-F150-480F-8454-FF6225C62F01}"/>
    <cellStyle name="Migliaia 52 3 2 2 5" xfId="20911" xr:uid="{3210B0CB-FD81-43D6-B336-646B624E6F4F}"/>
    <cellStyle name="Migliaia 52 3 2 2 6" xfId="25283" xr:uid="{9915ED60-489B-4948-8E9B-6123827FB7F4}"/>
    <cellStyle name="Migliaia 52 3 2 2 7" xfId="8765" xr:uid="{02131332-E60E-421A-9497-76DDAF149062}"/>
    <cellStyle name="Migliaia 52 3 2 3" xfId="5587" xr:uid="{081C7DD0-E4A1-47A2-B1BD-493DD876A11E}"/>
    <cellStyle name="Migliaia 52 3 2 3 2" xfId="12400" xr:uid="{1E66D971-4A32-4EF0-8B91-994AE0FD98A0}"/>
    <cellStyle name="Migliaia 52 3 2 3 2 2" xfId="40087" xr:uid="{B1989659-25CD-4500-9FDE-C8862DEED4DB}"/>
    <cellStyle name="Migliaia 52 3 2 3 2 3" xfId="45389" xr:uid="{F436AC3C-BFCA-4394-BE58-C9BCFC7D20CD}"/>
    <cellStyle name="Migliaia 52 3 2 3 2 4" xfId="34470" xr:uid="{40572E2B-5C9D-4B10-AA99-9923B9B9CD1F}"/>
    <cellStyle name="Migliaia 52 3 2 3 3" xfId="12076" xr:uid="{FA33AEF2-57D0-4CAC-B8BF-EBCA43A17943}"/>
    <cellStyle name="Migliaia 52 3 2 3 4" xfId="20912" xr:uid="{A7527244-9410-4D61-8BBC-A2D16EF6A3D7}"/>
    <cellStyle name="Migliaia 52 3 2 3 4 2" xfId="42738" xr:uid="{826AFE04-D90A-443E-B933-09A1324B5604}"/>
    <cellStyle name="Migliaia 52 3 2 3 5" xfId="16751" xr:uid="{D7DF1612-1729-417E-BF2D-E21D90D25E3E}"/>
    <cellStyle name="Migliaia 52 3 2 3 6" xfId="8013" xr:uid="{93DBA02D-6307-4E54-A7B3-3BF67E637481}"/>
    <cellStyle name="Migliaia 52 3 2 4" xfId="6764" xr:uid="{A2E23FA7-B29F-4317-ADFB-33E97CBC492D}"/>
    <cellStyle name="Migliaia 52 3 2 4 2" xfId="18104" xr:uid="{1DD14655-90FA-4F87-B433-C9279421DFDB}"/>
    <cellStyle name="Migliaia 52 3 2 4 2 2" xfId="40088" xr:uid="{18985526-E7E6-4595-81F0-13C15604AFA7}"/>
    <cellStyle name="Migliaia 52 3 2 4 2 3" xfId="45390" xr:uid="{09F6A664-1760-4092-BB22-6DA5DC0BA30C}"/>
    <cellStyle name="Migliaia 52 3 2 4 3" xfId="37446" xr:uid="{F6A9C736-2096-4500-8B75-4FA1267D94E8}"/>
    <cellStyle name="Migliaia 52 3 2 4 4" xfId="42739" xr:uid="{D8A98BAF-4E6B-4FED-8265-11081C5D0F80}"/>
    <cellStyle name="Migliaia 52 3 2 4 5" xfId="17230" xr:uid="{3CBB6E76-1181-4FEA-8BB1-65BBB232C396}"/>
    <cellStyle name="Migliaia 52 3 2 4 6" xfId="11427" xr:uid="{DABA883D-92A5-4FD8-8812-F72873607536}"/>
    <cellStyle name="Migliaia 52 3 2 5" xfId="3861" xr:uid="{8B9B85AC-6B53-42A1-82F7-7C6DFB633BC7}"/>
    <cellStyle name="Migliaia 52 3 2 5 2" xfId="34472" xr:uid="{4707BDEF-21C9-404E-8DC7-1A6F00E108B5}"/>
    <cellStyle name="Migliaia 52 3 2 5 2 2" xfId="40089" xr:uid="{4CAC9709-72DB-4C63-BA67-1047AB5E28A2}"/>
    <cellStyle name="Migliaia 52 3 2 5 2 3" xfId="45391" xr:uid="{ECEE4ED4-01E1-489E-B888-01475FD3AFDC}"/>
    <cellStyle name="Migliaia 52 3 2 5 3" xfId="37447" xr:uid="{0B9382E2-0FDD-4A1C-B818-6BB76739EE19}"/>
    <cellStyle name="Migliaia 52 3 2 5 4" xfId="42740" xr:uid="{12FFFBDE-B43D-428D-A4BF-3D4127981026}"/>
    <cellStyle name="Migliaia 52 3 2 5 5" xfId="17285" xr:uid="{29D8ED71-7E74-402E-9AC5-67DE31376B65}"/>
    <cellStyle name="Migliaia 52 3 2 6" xfId="20910" xr:uid="{7FF7EF32-E781-4C81-94E0-B294B6BDB85A}"/>
    <cellStyle name="Migliaia 52 3 2 6 2" xfId="34473" xr:uid="{AEF10072-3198-4C74-A396-CDCB09ADFE14}"/>
    <cellStyle name="Migliaia 52 3 2 6 2 2" xfId="40090" xr:uid="{57EB6AF6-A075-41DB-B66C-7F454A117EED}"/>
    <cellStyle name="Migliaia 52 3 2 6 2 3" xfId="45392" xr:uid="{F3057FF4-BC3C-47DF-8BB0-F37A7E8D8224}"/>
    <cellStyle name="Migliaia 52 3 2 6 3" xfId="37448" xr:uid="{C98157F3-9860-4C35-B059-DEB4B7E41D4E}"/>
    <cellStyle name="Migliaia 52 3 2 6 4" xfId="42741" xr:uid="{E21BA281-62FB-48C3-A46A-AC1E64CE8190}"/>
    <cellStyle name="Migliaia 52 3 2 6 5" xfId="25287" xr:uid="{B2BA8B90-BD59-4676-B997-8FEACF6C32FB}"/>
    <cellStyle name="Migliaia 52 3 2 7" xfId="25282" xr:uid="{16D11D1B-7EE9-4C58-A60F-51A900B41BC1}"/>
    <cellStyle name="Migliaia 52 3 2 8" xfId="7575" xr:uid="{E2D44709-F7AD-4A68-86CB-3134A769D81A}"/>
    <cellStyle name="Migliaia 52 3 3" xfId="3863" xr:uid="{6B2BD9B4-5E99-4599-95CB-CA486B0886D7}"/>
    <cellStyle name="Migliaia 52 3 3 10" xfId="7574" xr:uid="{D49A5C3D-AFBB-45E1-BF8B-C208A23D1148}"/>
    <cellStyle name="Migliaia 52 3 3 2" xfId="5589" xr:uid="{D553F11B-0000-44DC-9547-B349460B67F1}"/>
    <cellStyle name="Migliaia 52 3 3 2 2" xfId="9976" xr:uid="{B10258E5-BE59-4DB6-BE58-5C62C9ACE36B}"/>
    <cellStyle name="Migliaia 52 3 3 2 2 2" xfId="40092" xr:uid="{9D72EA4D-D167-4A70-8E87-0BB0090A8192}"/>
    <cellStyle name="Migliaia 52 3 3 2 2 3" xfId="45394" xr:uid="{6E8567CB-D868-4A0D-972A-7096A0B5D9C2}"/>
    <cellStyle name="Migliaia 52 3 3 2 3" xfId="18256" xr:uid="{31DA658E-AD7E-4219-A239-50F924F03953}"/>
    <cellStyle name="Migliaia 52 3 3 2 4" xfId="20914" xr:uid="{8EC8EC8B-DFD6-47CA-96A0-88AA58C3494D}"/>
    <cellStyle name="Migliaia 52 3 3 2 4 2" xfId="42743" xr:uid="{582A4F2F-0EDA-420C-9676-39F6247BDC5D}"/>
    <cellStyle name="Migliaia 52 3 3 2 5" xfId="16753" xr:uid="{9EF1DE5D-7D6C-4766-A1D4-2D7A5B5A29F7}"/>
    <cellStyle name="Migliaia 52 3 3 2 6" xfId="8764" xr:uid="{4CD271A0-BCEA-44BF-92F5-2BD3342F4DCE}"/>
    <cellStyle name="Migliaia 52 3 3 3" xfId="6766" xr:uid="{1AAAE1AC-8E92-4BBE-B3E3-E069B500621D}"/>
    <cellStyle name="Migliaia 52 3 3 3 2" xfId="34476" xr:uid="{FAA51A20-3780-4CF6-A997-11065E0FB27C}"/>
    <cellStyle name="Migliaia 52 3 3 3 2 2" xfId="40093" xr:uid="{56396A24-1D3B-4078-BEB2-4FA860BB4BB1}"/>
    <cellStyle name="Migliaia 52 3 3 3 2 3" xfId="45395" xr:uid="{D598200E-736E-4F54-AF0D-06AE9BFB243B}"/>
    <cellStyle name="Migliaia 52 3 3 3 3" xfId="37451" xr:uid="{77540F22-E6BF-491A-9D67-A10DAF284CA3}"/>
    <cellStyle name="Migliaia 52 3 3 3 4" xfId="42744" xr:uid="{4AB7C1F1-7A57-4BF9-ACA3-715CA6DADF85}"/>
    <cellStyle name="Migliaia 52 3 3 3 5" xfId="9739" xr:uid="{40D563C8-B31D-4B83-A842-D333CF747133}"/>
    <cellStyle name="Migliaia 52 3 3 4" xfId="20913" xr:uid="{F4ED40FB-F578-468B-A505-9FD47C4D7030}"/>
    <cellStyle name="Migliaia 52 3 3 4 2" xfId="34477" xr:uid="{8CE97C58-B403-49D6-AC15-C37138682C47}"/>
    <cellStyle name="Migliaia 52 3 3 4 2 2" xfId="40094" xr:uid="{E13522CC-D629-47EC-A497-DFDDF52D27E0}"/>
    <cellStyle name="Migliaia 52 3 3 4 2 3" xfId="45396" xr:uid="{AFC9BE03-17F2-4E18-9C67-4CFE1046F0BC}"/>
    <cellStyle name="Migliaia 52 3 3 4 3" xfId="37452" xr:uid="{BBEC9BE2-8092-4F0B-A757-97F893944D4B}"/>
    <cellStyle name="Migliaia 52 3 3 4 4" xfId="42745" xr:uid="{3B6894AA-5BAC-459D-8E59-94AECEC2C3B7}"/>
    <cellStyle name="Migliaia 52 3 3 4 5" xfId="25291" xr:uid="{ACD9EBC4-1911-43AE-A1F8-7AF8B7190D8C}"/>
    <cellStyle name="Migliaia 52 3 3 5" xfId="25292" xr:uid="{DD7084E0-FA48-47D9-93B7-62366E347411}"/>
    <cellStyle name="Migliaia 52 3 3 5 2" xfId="34478" xr:uid="{58E50518-90D2-405D-8AE2-44D6B86E21BD}"/>
    <cellStyle name="Migliaia 52 3 3 5 2 2" xfId="40095" xr:uid="{062669E9-C233-4523-B836-182AEA1FBC66}"/>
    <cellStyle name="Migliaia 52 3 3 5 2 3" xfId="45397" xr:uid="{F5207A50-E446-460F-95AB-2D45BF0D93EC}"/>
    <cellStyle name="Migliaia 52 3 3 5 3" xfId="37453" xr:uid="{B012418D-3C55-430D-B0EE-71D11726708F}"/>
    <cellStyle name="Migliaia 52 3 3 5 4" xfId="42746" xr:uid="{3AC360A5-40A6-4F9A-B9D8-9621152D8A71}"/>
    <cellStyle name="Migliaia 52 3 3 6" xfId="34474" xr:uid="{00EB2C96-EB21-4269-871F-0F37FCAB90D6}"/>
    <cellStyle name="Migliaia 52 3 3 6 2" xfId="40091" xr:uid="{C932BB32-64F0-4F22-AD45-0CF66A9A5A07}"/>
    <cellStyle name="Migliaia 52 3 3 6 3" xfId="45393" xr:uid="{D9C2C59F-35B0-42A5-84D4-72F2009FCC8F}"/>
    <cellStyle name="Migliaia 52 3 3 7" xfId="37449" xr:uid="{42A59037-7A11-4262-AA1F-F9F738ACBDE2}"/>
    <cellStyle name="Migliaia 52 3 3 8" xfId="42742" xr:uid="{23103C57-2ED8-42D9-B2E5-F9DB6005DCCF}"/>
    <cellStyle name="Migliaia 52 3 3 9" xfId="16752" xr:uid="{B2E85D5C-6684-443A-9F5D-EC8877E34AB4}"/>
    <cellStyle name="Migliaia 52 3 4" xfId="3864" xr:uid="{2E8FC73C-531C-4FC1-BBA3-B040D56697A6}"/>
    <cellStyle name="Migliaia 52 3 4 2" xfId="5590" xr:uid="{1C43779B-969B-4779-B238-F1DA6CCDAE8F}"/>
    <cellStyle name="Migliaia 52 3 4 2 2" xfId="14470" xr:uid="{359262AE-EFDE-4C1D-A899-3DA46D36A54F}"/>
    <cellStyle name="Migliaia 52 3 4 2 3" xfId="18575" xr:uid="{A065EA94-A123-40DB-9D90-6AC1024AEF65}"/>
    <cellStyle name="Migliaia 52 3 4 2 4" xfId="20916" xr:uid="{49CE0EA3-A586-4B19-8B8F-2903E8570163}"/>
    <cellStyle name="Migliaia 52 3 4 2 5" xfId="32459" xr:uid="{4B17B102-21EF-4CC3-88F9-90092F400E64}"/>
    <cellStyle name="Migliaia 52 3 4 2 6" xfId="16755" xr:uid="{5C98E542-8A6A-49F1-88EF-AF20F5DBD59A}"/>
    <cellStyle name="Migliaia 52 3 4 2 7" xfId="8893" xr:uid="{F56C1946-368E-479E-9C58-E5A9B1051F5E}"/>
    <cellStyle name="Migliaia 52 3 4 3" xfId="6767" xr:uid="{1506BA68-84DB-49CE-9E0A-EA4D121F0F0A}"/>
    <cellStyle name="Migliaia 52 3 4 3 2" xfId="35454" xr:uid="{66E58E63-CAE8-4B0E-A2C3-6FBAF234D100}"/>
    <cellStyle name="Migliaia 52 3 4 3 2 2" xfId="40614" xr:uid="{B7481B22-BB5A-4CF1-B2EA-152F43E36B71}"/>
    <cellStyle name="Migliaia 52 3 4 3 2 3" xfId="45916" xr:uid="{76A5F88A-D3D8-4D68-9B93-CFBBED55E69C}"/>
    <cellStyle name="Migliaia 52 3 4 3 3" xfId="37963" xr:uid="{00378C28-4EF3-4463-BB74-E58CF6B83A30}"/>
    <cellStyle name="Migliaia 52 3 4 3 4" xfId="43265" xr:uid="{4EFDA222-20E2-4FF9-A777-14B9EE61D6F8}"/>
    <cellStyle name="Migliaia 52 3 4 3 5" xfId="13718" xr:uid="{B4F2CBE0-FB75-4C5D-912A-258C59843444}"/>
    <cellStyle name="Migliaia 52 3 4 4" xfId="20915" xr:uid="{834772EB-12C7-41C9-869A-6BA1B14DA93A}"/>
    <cellStyle name="Migliaia 52 3 4 4 2" xfId="40096" xr:uid="{76E52C94-A2A1-4A4C-94FF-7099E206801D}"/>
    <cellStyle name="Migliaia 52 3 4 4 3" xfId="45398" xr:uid="{8C3D7400-6181-4453-9729-6B3B9041C0AD}"/>
    <cellStyle name="Migliaia 52 3 4 4 4" xfId="34479" xr:uid="{C398FEEF-0AC6-4C16-BDB4-7E7A285184D2}"/>
    <cellStyle name="Migliaia 52 3 4 5" xfId="37454" xr:uid="{E919CBB7-912E-4B27-86F9-CE5225BF0C93}"/>
    <cellStyle name="Migliaia 52 3 4 6" xfId="42747" xr:uid="{B76977ED-185C-448E-832B-A47685613F93}"/>
    <cellStyle name="Migliaia 52 3 4 7" xfId="16754" xr:uid="{7C992133-BE2B-442C-8797-1A35CB1B1BC9}"/>
    <cellStyle name="Migliaia 52 3 4 8" xfId="7703" xr:uid="{993CDA90-4DC4-4D4C-AB2A-D812C3E34F12}"/>
    <cellStyle name="Migliaia 52 3 5" xfId="3865" xr:uid="{DB680883-2EC2-4686-BE19-C23065AADDCE}"/>
    <cellStyle name="Migliaia 52 3 5 2" xfId="5591" xr:uid="{6AE6EE50-DFBA-46EC-A7EE-1A995FA5BCEC}"/>
    <cellStyle name="Migliaia 52 3 5 2 2" xfId="35455" xr:uid="{F06561A0-FB3F-4761-BAC7-29C420EAC14F}"/>
    <cellStyle name="Migliaia 52 3 5 2 2 2" xfId="40615" xr:uid="{7D13AF6A-07B2-41DF-A598-9D52D0218882}"/>
    <cellStyle name="Migliaia 52 3 5 2 2 3" xfId="45917" xr:uid="{52CA3616-410F-4317-9A7C-D961A946A2C1}"/>
    <cellStyle name="Migliaia 52 3 5 2 3" xfId="37964" xr:uid="{CFC09230-FB2E-4795-AB9F-DD6FDC42E01F}"/>
    <cellStyle name="Migliaia 52 3 5 2 4" xfId="43266" xr:uid="{CA4E16B0-AF73-435D-AE3F-6817CF65536C}"/>
    <cellStyle name="Migliaia 52 3 5 2 5" xfId="14322" xr:uid="{F4AA2C6C-2E24-4E60-90E6-094E89CA5038}"/>
    <cellStyle name="Migliaia 52 3 5 3" xfId="6768" xr:uid="{4BD6F40A-F44E-472A-9394-BEF1AAC42170}"/>
    <cellStyle name="Migliaia 52 3 5 3 2" xfId="40097" xr:uid="{82687147-35BC-469B-AF50-0A1911397AE6}"/>
    <cellStyle name="Migliaia 52 3 5 3 3" xfId="45399" xr:uid="{0839D27B-0709-461B-B304-0755DBD22447}"/>
    <cellStyle name="Migliaia 52 3 5 3 4" xfId="34480" xr:uid="{AB3B4CB6-D1A9-4A7E-8B5C-BB43396EE692}"/>
    <cellStyle name="Migliaia 52 3 5 3 5" xfId="20917" xr:uid="{1EA4376B-E2FE-45C1-BBF7-CBA5EBA92AC1}"/>
    <cellStyle name="Migliaia 52 3 5 4" xfId="37455" xr:uid="{402B6E9F-E729-4E25-B143-5D18BA98A5BA}"/>
    <cellStyle name="Migliaia 52 3 5 5" xfId="42748" xr:uid="{51C18E53-5426-47C9-B253-9B89EAB19626}"/>
    <cellStyle name="Migliaia 52 3 5 6" xfId="16756" xr:uid="{9A347C4E-D59B-4437-8BD6-46030688CE14}"/>
    <cellStyle name="Migliaia 52 3 5 7" xfId="8384" xr:uid="{118129B6-D6B4-4F90-B0F8-769259EC554A}"/>
    <cellStyle name="Migliaia 52 3 6" xfId="5586" xr:uid="{ACDC8639-7892-4486-9A58-DF50016D9B40}"/>
    <cellStyle name="Migliaia 52 3 6 2" xfId="14027" xr:uid="{C4D8078A-1E5D-4694-9BC9-F0944E07ADA2}"/>
    <cellStyle name="Migliaia 52 3 6 2 2" xfId="40098" xr:uid="{4D430BEF-73DE-4B94-87E3-0080F267125B}"/>
    <cellStyle name="Migliaia 52 3 6 2 3" xfId="45400" xr:uid="{F8786604-A520-4610-8815-E297B11C4C99}"/>
    <cellStyle name="Migliaia 52 3 6 3" xfId="18604" xr:uid="{31E6EB27-686E-4069-867C-CAFA54E9C57C}"/>
    <cellStyle name="Migliaia 52 3 6 4" xfId="20918" xr:uid="{3830BC25-AF21-47CD-BD88-09BFD0340B78}"/>
    <cellStyle name="Migliaia 52 3 6 4 2" xfId="42749" xr:uid="{F838EACA-1FCF-4BF2-B2CE-D33C12D10BFA}"/>
    <cellStyle name="Migliaia 52 3 6 5" xfId="16757" xr:uid="{20E46270-BB27-4B6B-8ADF-330A41AA6713}"/>
    <cellStyle name="Migliaia 52 3 6 6" xfId="8012" xr:uid="{AAD5AAB0-EF11-4616-9905-A6A25A216097}"/>
    <cellStyle name="Migliaia 52 3 7" xfId="6763" xr:uid="{67C174ED-B3F8-420F-A73F-4702FAE67348}"/>
    <cellStyle name="Migliaia 52 3 7 2" xfId="34482" xr:uid="{A9D58451-BCFC-48E1-9D33-059DF9C101CA}"/>
    <cellStyle name="Migliaia 52 3 7 2 2" xfId="40099" xr:uid="{8E180FC2-2696-4254-83D1-2CDF8900A27F}"/>
    <cellStyle name="Migliaia 52 3 7 2 3" xfId="45401" xr:uid="{8653C0D4-81D6-49D6-9B6F-B3794DFE2BBD}"/>
    <cellStyle name="Migliaia 52 3 7 3" xfId="37457" xr:uid="{7ADD9581-B28F-4264-A9A1-1F7064000C6C}"/>
    <cellStyle name="Migliaia 52 3 7 4" xfId="42750" xr:uid="{4AF8C8E3-00BD-4A9A-80F6-27064B2EE678}"/>
    <cellStyle name="Migliaia 52 3 7 5" xfId="11152" xr:uid="{A62FC08F-4CA8-4B0C-AB89-7EE0B2B5AE80}"/>
    <cellStyle name="Migliaia 52 3 8" xfId="3860" xr:uid="{B2A29D56-E03C-42FA-9B73-33F1C6701030}"/>
    <cellStyle name="Migliaia 52 3 8 2" xfId="34483" xr:uid="{73A7D4FD-6BDB-43C2-897D-DF55EB87C1A6}"/>
    <cellStyle name="Migliaia 52 3 8 2 2" xfId="40100" xr:uid="{7696C3B0-433B-4863-AAC1-4C5748D058BF}"/>
    <cellStyle name="Migliaia 52 3 8 2 3" xfId="45402" xr:uid="{E22C64E8-A3FA-4908-BC77-FDFDEDC90397}"/>
    <cellStyle name="Migliaia 52 3 8 3" xfId="37458" xr:uid="{8B6D9ECF-2B20-4B39-905E-A12C78318ADD}"/>
    <cellStyle name="Migliaia 52 3 8 4" xfId="42751" xr:uid="{0C8C0D2B-0BDB-495D-ACCE-A543A1223B27}"/>
    <cellStyle name="Migliaia 52 3 8 5" xfId="25297" xr:uid="{CDA06C63-31ED-4193-B5C2-1233BC68274D}"/>
    <cellStyle name="Migliaia 52 3 8 6" xfId="17286" xr:uid="{BACAC2DC-4F8E-4A97-892A-94D7635CB4D6}"/>
    <cellStyle name="Migliaia 52 3 9" xfId="20909" xr:uid="{6248A8EA-28D8-405E-A4AE-3F61FFC223FC}"/>
    <cellStyle name="Migliaia 52 4" xfId="1893" xr:uid="{00000000-0005-0000-0000-00006C040000}"/>
    <cellStyle name="Migliaia 52 4 2" xfId="1894" xr:uid="{00000000-0005-0000-0000-00006D040000}"/>
    <cellStyle name="Migliaia 52 4 2 2" xfId="5593" xr:uid="{6C6C9FDF-B115-493C-8708-6F2DB120344D}"/>
    <cellStyle name="Migliaia 52 4 2 2 2" xfId="34484" xr:uid="{DCB69A0E-D8E8-4E1A-BBF9-C8F7A9B8465E}"/>
    <cellStyle name="Migliaia 52 4 2 2 2 2" xfId="40101" xr:uid="{EA907EAE-56FB-4AAE-BD59-23E7FF93EC6A}"/>
    <cellStyle name="Migliaia 52 4 2 2 2 3" xfId="45403" xr:uid="{7D8A0BC3-DB8C-479D-ACBD-8A515C0057F6}"/>
    <cellStyle name="Migliaia 52 4 2 2 3" xfId="37459" xr:uid="{B815DBF7-2808-4EE3-94F3-C0B04095E000}"/>
    <cellStyle name="Migliaia 52 4 2 2 4" xfId="42752" xr:uid="{CC2E43FB-7F91-4FE1-9F9A-C17EF1459670}"/>
    <cellStyle name="Migliaia 52 4 2 2 5" xfId="9202" xr:uid="{7A2ABE97-3F6A-42C7-BC90-6FAD59FD8B1F}"/>
    <cellStyle name="Migliaia 52 4 2 3" xfId="3867" xr:uid="{E74A678A-13CD-4343-9ACA-8FC9ABCE00FF}"/>
    <cellStyle name="Migliaia 52 4 2 3 2" xfId="34485" xr:uid="{2037FF60-C250-4455-8541-98EEDE9A4E96}"/>
    <cellStyle name="Migliaia 52 4 2 3 2 2" xfId="40102" xr:uid="{AAC133C3-EFB9-4255-B55D-434FD2C291D1}"/>
    <cellStyle name="Migliaia 52 4 2 3 2 3" xfId="45404" xr:uid="{51AE35DC-DB25-4DAF-ABBC-394089F560A6}"/>
    <cellStyle name="Migliaia 52 4 2 3 3" xfId="37460" xr:uid="{EF42153C-32EB-45AF-9319-B074D0BF3212}"/>
    <cellStyle name="Migliaia 52 4 2 3 4" xfId="42753" xr:uid="{ECA733F6-186D-4CA0-A8EA-421757425979}"/>
    <cellStyle name="Migliaia 52 4 2 3 5" xfId="12077" xr:uid="{EABA6CD1-EFE0-43D3-A0E3-8FAE74D166B8}"/>
    <cellStyle name="Migliaia 52 4 2 4" xfId="11429" xr:uid="{EF0D5C0E-E5A2-47A0-A66B-13FC302104EE}"/>
    <cellStyle name="Migliaia 52 4 2 5" xfId="10971" xr:uid="{E7AC3F9D-5A14-47D1-8F0B-2244EC3AF680}"/>
    <cellStyle name="Migliaia 52 4 2 5 2" xfId="21606" xr:uid="{926DE819-B191-4980-99DC-A3CE5E2C9761}"/>
    <cellStyle name="Migliaia 52 4 2 5 3" xfId="48182" xr:uid="{57275AE9-3861-44F1-A35B-9FAC9ED5CAFD}"/>
    <cellStyle name="Migliaia 52 4 2 5 4" xfId="50621" xr:uid="{107A9C82-0EB7-4F8C-9A60-F404C53E51FE}"/>
    <cellStyle name="Migliaia 52 4 2 5 5" xfId="53637" xr:uid="{27AFB66D-A9EC-48F7-834E-495C2A858AC4}"/>
    <cellStyle name="Migliaia 52 4 2 6" xfId="20920" xr:uid="{B630B3FD-A18F-4A33-983C-F1585107D214}"/>
    <cellStyle name="Migliaia 52 4 2 7" xfId="25299" xr:uid="{71724C61-E14D-4326-A900-615040556700}"/>
    <cellStyle name="Migliaia 52 4 2 8" xfId="8766" xr:uid="{3760C6AD-12D6-41FF-9F84-A9004D7569E9}"/>
    <cellStyle name="Migliaia 52 4 3" xfId="5592" xr:uid="{64069470-4AF6-4A31-8FD4-9CA09ED15DC0}"/>
    <cellStyle name="Migliaia 52 4 3 2" xfId="18257" xr:uid="{2C8E4C43-24A8-483A-A1F7-3ED2069BA521}"/>
    <cellStyle name="Migliaia 52 4 3 2 2" xfId="40103" xr:uid="{EC1C22DA-5C5B-4CF2-80D0-4DD8D5B70B85}"/>
    <cellStyle name="Migliaia 52 4 3 2 3" xfId="45405" xr:uid="{4C0E371B-2658-4DE7-AAC8-6B5D0F4A5D07}"/>
    <cellStyle name="Migliaia 52 4 3 3" xfId="37461" xr:uid="{59EC9AA6-3325-48A0-B633-5B85621E272E}"/>
    <cellStyle name="Migliaia 52 4 3 4" xfId="42754" xr:uid="{1931A714-385C-4C07-B1F5-CB5E805890CD}"/>
    <cellStyle name="Migliaia 52 4 3 5" xfId="17284" xr:uid="{A22A5A09-5F6F-42B5-905A-1E99BE44B0F0}"/>
    <cellStyle name="Migliaia 52 4 3 6" xfId="9203" xr:uid="{45A2015E-C191-4A93-AA76-E4C61C581186}"/>
    <cellStyle name="Migliaia 52 4 4" xfId="6769" xr:uid="{81E0A9BA-6FA1-4775-8D03-0CA461993283}"/>
    <cellStyle name="Migliaia 52 4 4 2" xfId="34487" xr:uid="{4D47D7F1-85D1-4C7D-8506-F516B7B6D12C}"/>
    <cellStyle name="Migliaia 52 4 4 2 2" xfId="40104" xr:uid="{9D77ED31-7DD0-4669-A9DD-0DC0BE75C4C2}"/>
    <cellStyle name="Migliaia 52 4 4 2 3" xfId="45406" xr:uid="{23325BAF-C197-4647-B357-C9081310E94E}"/>
    <cellStyle name="Migliaia 52 4 4 3" xfId="37462" xr:uid="{5F1D9F91-B5E0-4F3B-82CE-2AA08327F9C9}"/>
    <cellStyle name="Migliaia 52 4 4 4" xfId="42755" xr:uid="{F9C1B8B0-D377-4716-A79B-0BC803671D75}"/>
    <cellStyle name="Migliaia 52 4 4 5" xfId="12078" xr:uid="{8246FDBB-9B8B-46C1-9461-303714066159}"/>
    <cellStyle name="Migliaia 52 4 5" xfId="3866" xr:uid="{0DAE8909-C240-44F2-8D5A-84163F08E9F6}"/>
    <cellStyle name="Migliaia 52 4 5 2" xfId="34488" xr:uid="{3B40439E-846C-46F0-9661-7CC3A9068292}"/>
    <cellStyle name="Migliaia 52 4 5 2 2" xfId="40105" xr:uid="{DBB82B8A-7DA6-4049-9997-63A4E56022DD}"/>
    <cellStyle name="Migliaia 52 4 5 2 3" xfId="45407" xr:uid="{9496EA6F-FA87-4105-876A-9CEC37C3F011}"/>
    <cellStyle name="Migliaia 52 4 5 3" xfId="37463" xr:uid="{4B1971DA-F7C8-41EE-8882-60C5BED0E8B7}"/>
    <cellStyle name="Migliaia 52 4 5 4" xfId="42756" xr:uid="{4489BDF7-A911-46F9-81C2-1B3842C9C36C}"/>
    <cellStyle name="Migliaia 52 4 5 5" xfId="11428" xr:uid="{887B0743-2BFE-476F-8935-45F3BED4F785}"/>
    <cellStyle name="Migliaia 52 4 6" xfId="10970" xr:uid="{0DA4E5D1-385A-4AFA-B10F-0A46E2AC3240}"/>
    <cellStyle name="Migliaia 52 4 6 2" xfId="21605" xr:uid="{8401A9DD-F7D1-4FFF-BBF5-7318FFBF6DCD}"/>
    <cellStyle name="Migliaia 52 4 6 2 2" xfId="40106" xr:uid="{50077E0C-A4D9-44BB-8D4A-465907E5D9AC}"/>
    <cellStyle name="Migliaia 52 4 6 2 3" xfId="45408" xr:uid="{8E9808CF-9B82-4311-B283-71E0B62A1169}"/>
    <cellStyle name="Migliaia 52 4 6 2 4" xfId="34489" xr:uid="{5D3330F6-D5EB-4348-B008-1B544FEF44AF}"/>
    <cellStyle name="Migliaia 52 4 6 3" xfId="37464" xr:uid="{C308A041-9FAB-48A7-BC5E-D57A3C38CE86}"/>
    <cellStyle name="Migliaia 52 4 6 4" xfId="42757" xr:uid="{045D23F3-3C5A-4A9B-9A8F-F71FB0242A55}"/>
    <cellStyle name="Migliaia 52 4 6 5" xfId="25305" xr:uid="{F14357D8-F2BE-4560-A3C2-804A0189E419}"/>
    <cellStyle name="Migliaia 52 4 6 6" xfId="47155" xr:uid="{E8ED9E8F-7BC4-4613-9471-803F9072B62E}"/>
    <cellStyle name="Migliaia 52 4 6 7" xfId="50620" xr:uid="{446B4ABA-6782-43A9-8C13-5323E720EF05}"/>
    <cellStyle name="Migliaia 52 4 6 8" xfId="53636" xr:uid="{B7176474-7F86-46EF-9B61-38C5317678AE}"/>
    <cellStyle name="Migliaia 52 4 7" xfId="20919" xr:uid="{FBD8AB7F-A155-443C-8050-6026BE2C098C}"/>
    <cellStyle name="Migliaia 52 4 7 2" xfId="34490" xr:uid="{66A25C07-2BF1-4962-977E-1897E4F0C1C4}"/>
    <cellStyle name="Migliaia 52 4 7 2 2" xfId="40107" xr:uid="{4ED589DA-C48A-4AB1-B440-64FAC903F83F}"/>
    <cellStyle name="Migliaia 52 4 7 2 3" xfId="45409" xr:uid="{FD03058B-D96C-41E2-85AB-F77E42EF1637}"/>
    <cellStyle name="Migliaia 52 4 7 3" xfId="37465" xr:uid="{86BDB19B-9E84-4327-BEA9-2919A02326C2}"/>
    <cellStyle name="Migliaia 52 4 7 4" xfId="42758" xr:uid="{74E4D4ED-EF29-43A5-AC4C-7E18B5441A84}"/>
    <cellStyle name="Migliaia 52 4 7 5" xfId="25306" xr:uid="{BA6202D3-D733-4267-B23A-141AA9CAF552}"/>
    <cellStyle name="Migliaia 52 4 8" xfId="25298" xr:uid="{D99A7F94-22E9-44A3-9014-706A1A3642DD}"/>
    <cellStyle name="Migliaia 52 4 9" xfId="7576" xr:uid="{94378A50-55E6-4D1E-B878-59F6FA30C9B8}"/>
    <cellStyle name="Migliaia 52 5" xfId="1895" xr:uid="{00000000-0005-0000-0000-00006E040000}"/>
    <cellStyle name="Migliaia 52 5 2" xfId="5594" xr:uid="{AB4021E3-902E-452A-AE4C-E93BF6E94F71}"/>
    <cellStyle name="Migliaia 52 5 2 2" xfId="18505" xr:uid="{0403CB42-7E6E-4845-B725-E14935ACFE6A}"/>
    <cellStyle name="Migliaia 52 5 2 2 2" xfId="40108" xr:uid="{067FB697-8433-49F7-8921-523C04D2669C}"/>
    <cellStyle name="Migliaia 52 5 2 2 3" xfId="45410" xr:uid="{9211C936-B5AC-4825-A3B9-8DDFAF1E7E36}"/>
    <cellStyle name="Migliaia 52 5 2 3" xfId="20922" xr:uid="{081095CD-ED95-4E9C-B637-0371D851B12C}"/>
    <cellStyle name="Migliaia 52 5 2 3 2" xfId="37466" xr:uid="{81EEA23C-4ED4-4AA5-8EF1-6AF414EAB49B}"/>
    <cellStyle name="Migliaia 52 5 2 4" xfId="42759" xr:uid="{65059C37-3C1C-4197-8A09-D38FB7907BED}"/>
    <cellStyle name="Migliaia 52 5 2 5" xfId="16758" xr:uid="{ADF50805-1B6B-441D-B351-02C8DA2EB9BF}"/>
    <cellStyle name="Migliaia 52 5 2 6" xfId="8767" xr:uid="{E602548B-3CE5-4400-BFB6-8C3F4A169840}"/>
    <cellStyle name="Migliaia 52 5 3" xfId="6770" xr:uid="{D943F761-B4C9-4444-97F5-3399F4390E6E}"/>
    <cellStyle name="Migliaia 52 5 3 2" xfId="34492" xr:uid="{8255E299-0375-45A4-90A4-769E3FA90F83}"/>
    <cellStyle name="Migliaia 52 5 3 2 2" xfId="40109" xr:uid="{E0DBD1E8-7A58-4503-BA00-C3B3C5CC3139}"/>
    <cellStyle name="Migliaia 52 5 3 2 3" xfId="45411" xr:uid="{AB3AE8AA-E19D-46B4-B46C-062D6E2D8FC6}"/>
    <cellStyle name="Migliaia 52 5 3 3" xfId="37467" xr:uid="{32AC2BD5-894C-4D4D-8F79-CA5B9AE8EFDA}"/>
    <cellStyle name="Migliaia 52 5 3 4" xfId="42760" xr:uid="{3AD7CCA2-869D-4D3C-A9F8-25834164221D}"/>
    <cellStyle name="Migliaia 52 5 3 5" xfId="11430" xr:uid="{4DE5A99C-D6BD-4339-880F-EDC440B09ED3}"/>
    <cellStyle name="Migliaia 52 5 4" xfId="3868" xr:uid="{65FE5126-4CBF-4510-9CD4-D12C4C8C3A2A}"/>
    <cellStyle name="Migliaia 52 5 4 2" xfId="21607" xr:uid="{F661CFCA-0085-4C94-A129-1392C61D29C9}"/>
    <cellStyle name="Migliaia 52 5 4 2 2" xfId="40110" xr:uid="{FC967B61-E5BF-4B09-9E03-6FB797DB260A}"/>
    <cellStyle name="Migliaia 52 5 4 2 3" xfId="45412" xr:uid="{5EC44E48-31DE-491F-8953-49F4EE39CC76}"/>
    <cellStyle name="Migliaia 52 5 4 2 4" xfId="34493" xr:uid="{E82FDBEA-9622-40E9-990F-ABD63C8F6689}"/>
    <cellStyle name="Migliaia 52 5 4 3" xfId="37468" xr:uid="{E19A0AA2-1F48-41AA-A55B-34531D6FDD79}"/>
    <cellStyle name="Migliaia 52 5 4 4" xfId="42761" xr:uid="{FEA7B719-FBA4-42F0-B3A7-3F9308AE66B1}"/>
    <cellStyle name="Migliaia 52 5 4 5" xfId="25309" xr:uid="{CC3A75B1-91E7-4212-8891-C342DDBEBA99}"/>
    <cellStyle name="Migliaia 52 5 4 6" xfId="47121" xr:uid="{887CAD51-931E-468F-AE3A-FE482B23E946}"/>
    <cellStyle name="Migliaia 52 5 4 7" xfId="50622" xr:uid="{88A26878-8BEC-4B92-A59D-7D6A9685A3A9}"/>
    <cellStyle name="Migliaia 52 5 4 8" xfId="53638" xr:uid="{5BF1A407-2900-42E3-9FEE-73CE38DFDDBE}"/>
    <cellStyle name="Migliaia 52 5 4 9" xfId="10972" xr:uid="{22A8DA6F-F84D-4D31-B948-98403C1F94B7}"/>
    <cellStyle name="Migliaia 52 5 5" xfId="20921" xr:uid="{3172C189-4B3A-4C34-B806-08537166D632}"/>
    <cellStyle name="Migliaia 52 5 5 2" xfId="34494" xr:uid="{621E43E3-EF83-4AEF-B554-7C488D330177}"/>
    <cellStyle name="Migliaia 52 5 5 2 2" xfId="40111" xr:uid="{8466CF7A-4DD1-4A5E-A5DA-FADBD04783BF}"/>
    <cellStyle name="Migliaia 52 5 5 2 3" xfId="45413" xr:uid="{BC791FDC-13B0-4302-B5A4-C373B61D3496}"/>
    <cellStyle name="Migliaia 52 5 5 3" xfId="37469" xr:uid="{71B2856C-BF9F-46CF-85F9-5A80E4EFF92B}"/>
    <cellStyle name="Migliaia 52 5 5 4" xfId="42762" xr:uid="{23FBD2A9-53D4-4495-B52F-9A74FCC91816}"/>
    <cellStyle name="Migliaia 52 5 5 5" xfId="25310" xr:uid="{9634A7E6-E25D-4AF0-B800-D3FC3F5F4396}"/>
    <cellStyle name="Migliaia 52 5 6" xfId="25311" xr:uid="{3DA91E98-CADE-4892-B3F0-3C18614EB2BD}"/>
    <cellStyle name="Migliaia 52 5 6 2" xfId="34495" xr:uid="{F72222A9-64E0-4B6C-8081-6521CE331A10}"/>
    <cellStyle name="Migliaia 52 5 6 2 2" xfId="40112" xr:uid="{511ABE39-0B9A-4412-BD67-E62730881F7F}"/>
    <cellStyle name="Migliaia 52 5 6 2 3" xfId="45414" xr:uid="{93B165D2-FD27-42D3-99EE-090C127315C0}"/>
    <cellStyle name="Migliaia 52 5 6 3" xfId="37470" xr:uid="{619C28D0-8AC0-4651-B96C-BFEAB6CBE9D1}"/>
    <cellStyle name="Migliaia 52 5 6 4" xfId="42763" xr:uid="{8484B464-99B5-4F7E-8EA3-7ECE1E68B267}"/>
    <cellStyle name="Migliaia 52 5 7" xfId="25307" xr:uid="{95D6A30E-13BC-44DF-8C7A-089EB2CFAECD}"/>
    <cellStyle name="Migliaia 52 5 8" xfId="7577" xr:uid="{6CBFB9A1-AEAE-4358-BF2A-94754C47565B}"/>
    <cellStyle name="Migliaia 52 6" xfId="3869" xr:uid="{4D3AF9B1-0040-4E20-94C8-D18B5F0D3743}"/>
    <cellStyle name="Migliaia 52 6 2" xfId="5595" xr:uid="{8A2C2F60-7FB5-4288-8CCB-6835811F5EBB}"/>
    <cellStyle name="Migliaia 52 6 2 2" xfId="9975" xr:uid="{145CB101-03AE-4A42-9376-3CD8BBD5CCE2}"/>
    <cellStyle name="Migliaia 52 6 2 3" xfId="18556" xr:uid="{5C82466E-9F9F-47DD-819A-6205DE74B079}"/>
    <cellStyle name="Migliaia 52 6 2 4" xfId="20924" xr:uid="{A9461552-D429-491B-BF1A-BA46F431F4CC}"/>
    <cellStyle name="Migliaia 52 6 2 5" xfId="32462" xr:uid="{B23D06C0-572F-4E25-8AFF-C6DCAE305520}"/>
    <cellStyle name="Migliaia 52 6 2 6" xfId="16760" xr:uid="{8114613F-D44B-45C3-A8B2-5292FA9B8C75}"/>
    <cellStyle name="Migliaia 52 6 2 7" xfId="8762" xr:uid="{68B0579E-A6D3-4335-90BF-9B4763E2FC71}"/>
    <cellStyle name="Migliaia 52 6 3" xfId="6771" xr:uid="{686B1AA2-4A21-4FCA-9846-5C701B54893D}"/>
    <cellStyle name="Migliaia 52 6 3 2" xfId="35456" xr:uid="{40524F0C-EE41-4931-B90E-6310C274A567}"/>
    <cellStyle name="Migliaia 52 6 3 2 2" xfId="40616" xr:uid="{83FC8110-BCC1-410A-8EBA-58B377D03FC4}"/>
    <cellStyle name="Migliaia 52 6 3 2 3" xfId="45918" xr:uid="{DAE68052-7ED6-4EFF-92EF-B2B27147016E}"/>
    <cellStyle name="Migliaia 52 6 3 3" xfId="37965" xr:uid="{E01BF68C-D07F-4CEF-AC8D-F3C81095A52A}"/>
    <cellStyle name="Migliaia 52 6 3 4" xfId="43267" xr:uid="{7228D3E3-13AD-4846-9758-92EE31FB43A6}"/>
    <cellStyle name="Migliaia 52 6 3 5" xfId="9738" xr:uid="{CD672A70-1889-4858-A657-D06F235D750C}"/>
    <cellStyle name="Migliaia 52 6 4" xfId="20923" xr:uid="{F330EE6C-0F30-4D67-8224-21807F717651}"/>
    <cellStyle name="Migliaia 52 6 4 2" xfId="40113" xr:uid="{7B32C215-9A5F-4104-B80E-1491598DB2E2}"/>
    <cellStyle name="Migliaia 52 6 4 3" xfId="45415" xr:uid="{D9D6555B-61D4-491F-910E-816D32055B1E}"/>
    <cellStyle name="Migliaia 52 6 4 4" xfId="34496" xr:uid="{6F20A766-A1CA-4032-A130-B3B5AC989608}"/>
    <cellStyle name="Migliaia 52 6 5" xfId="37471" xr:uid="{B8C139A2-86F6-4C7C-8327-C9C452C5AF76}"/>
    <cellStyle name="Migliaia 52 6 6" xfId="42764" xr:uid="{DFDEFDEB-B95A-460A-A097-7A64E66EBA8D}"/>
    <cellStyle name="Migliaia 52 6 7" xfId="16759" xr:uid="{1EDF86B1-D418-4C1B-8E5B-B9477CD1B442}"/>
    <cellStyle name="Migliaia 52 6 8" xfId="7572" xr:uid="{C2D17991-9E01-4B6C-9CBF-BA9365257057}"/>
    <cellStyle name="Migliaia 52 7" xfId="3870" xr:uid="{A9376C20-2A9D-48BF-A68E-D3155CE143D7}"/>
    <cellStyle name="Migliaia 52 7 2" xfId="5596" xr:uid="{2D8E491C-E4DA-4296-B25E-E55173329DA6}"/>
    <cellStyle name="Migliaia 52 7 2 2" xfId="35457" xr:uid="{A81E620E-0F1E-4455-88B0-EC2F3AD5437A}"/>
    <cellStyle name="Migliaia 52 7 2 2 2" xfId="40617" xr:uid="{EA2E9628-10EF-4388-9742-D5A1ED30DB82}"/>
    <cellStyle name="Migliaia 52 7 2 2 3" xfId="45919" xr:uid="{9813CB05-798D-4D09-8199-2B43B0DA8855}"/>
    <cellStyle name="Migliaia 52 7 2 3" xfId="37966" xr:uid="{E8CC10F4-DBAB-4DFB-B9A5-3460202F3EDF}"/>
    <cellStyle name="Migliaia 52 7 2 4" xfId="43268" xr:uid="{0939B40D-56C2-4AFC-B0BF-8A89420D625F}"/>
    <cellStyle name="Migliaia 52 7 2 5" xfId="14320" xr:uid="{8DC0C7E4-4EBB-4E48-ABE5-B6C2093B7175}"/>
    <cellStyle name="Migliaia 52 7 3" xfId="6772" xr:uid="{EDE04637-5F84-48CE-A355-DB60D39184ED}"/>
    <cellStyle name="Migliaia 52 7 3 2" xfId="40114" xr:uid="{582DB7F1-2367-48FE-8FED-08C169B1F9F3}"/>
    <cellStyle name="Migliaia 52 7 3 3" xfId="45416" xr:uid="{3014C438-201E-437B-ACB0-2CF79CAA2E32}"/>
    <cellStyle name="Migliaia 52 7 3 4" xfId="34497" xr:uid="{F82E0A89-4761-41B6-80B5-317D6D370357}"/>
    <cellStyle name="Migliaia 52 7 3 5" xfId="20925" xr:uid="{E2BE290D-FC60-4EFD-BC4C-C88F88E974BA}"/>
    <cellStyle name="Migliaia 52 7 4" xfId="37472" xr:uid="{A413E715-D20A-48E3-99EC-5416A5CC0A3C}"/>
    <cellStyle name="Migliaia 52 7 5" xfId="42765" xr:uid="{5B86EAAB-8F11-4994-BB03-EC39D96F488F}"/>
    <cellStyle name="Migliaia 52 7 6" xfId="16761" xr:uid="{8B610CB3-F262-4A16-83D9-EC9FDB982EB1}"/>
    <cellStyle name="Migliaia 52 7 7" xfId="8382" xr:uid="{94CBED37-1FF3-4DCA-8623-59D74F468BBD}"/>
    <cellStyle name="Migliaia 52 8" xfId="3871" xr:uid="{CDF16066-9FBF-400C-9E0C-859C512F7701}"/>
    <cellStyle name="Migliaia 52 8 2" xfId="5597" xr:uid="{BC0CC8ED-5DC5-431E-910D-D4B8094900F4}"/>
    <cellStyle name="Migliaia 52 8 2 2" xfId="35458" xr:uid="{939B3396-5D74-4B35-9EDD-AF661B394BA7}"/>
    <cellStyle name="Migliaia 52 8 2 2 2" xfId="40618" xr:uid="{9386B7D0-5B69-4A71-9EF6-98AFE13E5FC2}"/>
    <cellStyle name="Migliaia 52 8 2 2 3" xfId="45920" xr:uid="{ACC828B2-33CD-42C5-A2FE-F4596E7D1AF9}"/>
    <cellStyle name="Migliaia 52 8 2 3" xfId="37967" xr:uid="{32FED97A-0B8F-4F62-9F54-EE72ABCE122D}"/>
    <cellStyle name="Migliaia 52 8 2 4" xfId="43269" xr:uid="{FCAA7955-C6EE-4C68-BB30-EB72ACEE0F35}"/>
    <cellStyle name="Migliaia 52 8 2 5" xfId="14025" xr:uid="{F6EA8BF4-27CB-4C48-BC11-11FABC9C534A}"/>
    <cellStyle name="Migliaia 52 8 3" xfId="6773" xr:uid="{0B01831D-C060-432E-8770-8AEA844FBDFE}"/>
    <cellStyle name="Migliaia 52 8 3 2" xfId="40115" xr:uid="{CEB5481D-1031-4D8E-9A71-7F0DFFECD6C6}"/>
    <cellStyle name="Migliaia 52 8 3 3" xfId="45417" xr:uid="{29B1CBCE-BF0B-4CA3-B8DD-5D4C8DBBA598}"/>
    <cellStyle name="Migliaia 52 8 3 4" xfId="34498" xr:uid="{6A4252B9-37B7-44F9-BE6A-0AC473525629}"/>
    <cellStyle name="Migliaia 52 8 3 5" xfId="20926" xr:uid="{E00DD43E-2264-4644-B39F-1C761F8BD224}"/>
    <cellStyle name="Migliaia 52 8 4" xfId="37473" xr:uid="{CD15873E-7345-4BCD-8060-B3FEA7E513F6}"/>
    <cellStyle name="Migliaia 52 8 5" xfId="42766" xr:uid="{B9E9B37F-2CC4-4AC0-9E69-DE9F15DF77F7}"/>
    <cellStyle name="Migliaia 52 8 6" xfId="16762" xr:uid="{53009083-FA9E-4864-AB4D-BA63EA22E32A}"/>
    <cellStyle name="Migliaia 52 8 7" xfId="8010" xr:uid="{4195D993-7E3D-4167-BD67-32D14A21BAAE}"/>
    <cellStyle name="Migliaia 52 9" xfId="5582" xr:uid="{A9201CA5-F61B-4D5F-84CF-DA5CDC670C37}"/>
    <cellStyle name="Migliaia 52 9 2" xfId="34499" xr:uid="{DB9009F8-5D1A-4070-BAD9-66B663CD9A04}"/>
    <cellStyle name="Migliaia 52 9 2 2" xfId="40116" xr:uid="{6845DAFF-C406-48DC-A2E2-762B5146AC2B}"/>
    <cellStyle name="Migliaia 52 9 2 3" xfId="45418" xr:uid="{B2C14F51-22B0-4E9E-8C8A-F92844589DB0}"/>
    <cellStyle name="Migliaia 52 9 3" xfId="37474" xr:uid="{036D0835-FA2A-44BC-B37C-8E2A2364923B}"/>
    <cellStyle name="Migliaia 52 9 4" xfId="42767" xr:uid="{6D8EC918-CD1E-48B8-B7E5-67F78A3E5489}"/>
    <cellStyle name="Migliaia 52 9 5" xfId="17229" xr:uid="{42BB29D1-5BF7-451F-9F44-BF57AE98E20F}"/>
    <cellStyle name="Migliaia 53" xfId="493" xr:uid="{00000000-0005-0000-0000-00006F040000}"/>
    <cellStyle name="Migliaia 53 10" xfId="6774" xr:uid="{DAABB730-F358-454D-B24E-C6CA17D60C38}"/>
    <cellStyle name="Migliaia 53 10 2" xfId="40117" xr:uid="{0FE4BD0D-770F-467B-976A-56144C8591F0}"/>
    <cellStyle name="Migliaia 53 10 3" xfId="45419" xr:uid="{ADACED73-6983-4C20-BE5A-286FD5703F8B}"/>
    <cellStyle name="Migliaia 53 10 4" xfId="34500" xr:uid="{0A4A96FC-E6CD-4BA0-9443-8EAB8C76FC08}"/>
    <cellStyle name="Migliaia 53 10 5" xfId="20927" xr:uid="{79ABB330-18EF-4D70-8E67-CD7911E58666}"/>
    <cellStyle name="Migliaia 53 11" xfId="3872" xr:uid="{F577A5FA-201D-4BAD-BE16-3B8538AADD32}"/>
    <cellStyle name="Migliaia 53 11 2" xfId="37475" xr:uid="{4F72C184-67D0-40BB-B8E4-E4C77A1EBCA2}"/>
    <cellStyle name="Migliaia 53 12" xfId="42768" xr:uid="{EEF49269-F9B0-425A-97A1-B04495D00325}"/>
    <cellStyle name="Migliaia 53 13" xfId="7186" xr:uid="{3C832AD8-90DA-4F00-A340-3598D37DDAEC}"/>
    <cellStyle name="Migliaia 53 2" xfId="494" xr:uid="{00000000-0005-0000-0000-000070040000}"/>
    <cellStyle name="Migliaia 53 2 2" xfId="1896" xr:uid="{00000000-0005-0000-0000-000071040000}"/>
    <cellStyle name="Migliaia 53 2 2 2" xfId="5600" xr:uid="{9FCDC712-8F29-4C62-9DB0-A380AFDE55B0}"/>
    <cellStyle name="Migliaia 53 2 2 2 2" xfId="14411" xr:uid="{4B84363E-DFA7-493B-AB26-8F03F7BF09E8}"/>
    <cellStyle name="Migliaia 53 2 2 2 2 2" xfId="40118" xr:uid="{518A7B55-EEEB-4462-B3E8-361D0E5DF805}"/>
    <cellStyle name="Migliaia 53 2 2 2 2 3" xfId="45420" xr:uid="{C8E98B56-FCFF-4D73-8307-A7C3FB9B1D35}"/>
    <cellStyle name="Migliaia 53 2 2 2 3" xfId="18506" xr:uid="{F2D59A02-B7DB-4925-8A4B-C2F60E1C96B7}"/>
    <cellStyle name="Migliaia 53 2 2 2 4" xfId="20930" xr:uid="{EF679286-5D46-4E4D-8C5E-D2ABE6DBF0CB}"/>
    <cellStyle name="Migliaia 53 2 2 2 4 2" xfId="42769" xr:uid="{E673FC0B-4036-447D-80AA-3AC31A02C29C}"/>
    <cellStyle name="Migliaia 53 2 2 2 5" xfId="16763" xr:uid="{B7DE8435-FC2F-48EF-953B-58BEDA7836A8}"/>
    <cellStyle name="Migliaia 53 2 2 2 6" xfId="8769" xr:uid="{4DE672F9-B7EC-4FB7-B4B7-98802F136259}"/>
    <cellStyle name="Migliaia 53 2 2 3" xfId="6776" xr:uid="{C294BC7A-BAAF-4BDD-B838-9C2DA801907C}"/>
    <cellStyle name="Migliaia 53 2 2 3 2" xfId="35459" xr:uid="{19913BAD-259C-408E-BA80-BDC6FFB6C3F1}"/>
    <cellStyle name="Migliaia 53 2 2 3 2 2" xfId="40619" xr:uid="{731DAB54-97CD-47EB-AB01-755D02D228DA}"/>
    <cellStyle name="Migliaia 53 2 2 3 2 3" xfId="45921" xr:uid="{B149FE83-3745-425F-920F-CEEC0E685453}"/>
    <cellStyle name="Migliaia 53 2 2 3 3" xfId="37968" xr:uid="{B1F37DF2-E788-4BB1-AA40-02869DD597A1}"/>
    <cellStyle name="Migliaia 53 2 2 3 4" xfId="43270" xr:uid="{E5CC4404-61D1-469B-8B7C-5DCDB32772FE}"/>
    <cellStyle name="Migliaia 53 2 2 3 5" xfId="11638" xr:uid="{8BFA8DCC-4CF9-4CDF-B89B-9435675C594B}"/>
    <cellStyle name="Migliaia 53 2 2 4" xfId="3874" xr:uid="{42DBEE27-4BB5-48A7-81B7-579439AEA7ED}"/>
    <cellStyle name="Migliaia 53 2 2 4 2" xfId="21608" xr:uid="{24D53240-732F-4603-83AE-12677809F87F}"/>
    <cellStyle name="Migliaia 53 2 2 4 3" xfId="47004" xr:uid="{271A898E-89A1-4224-8A7C-4693DEB035AF}"/>
    <cellStyle name="Migliaia 53 2 2 4 4" xfId="50623" xr:uid="{34E1736C-CBE5-4C5D-AAEB-CBA86FF1CE19}"/>
    <cellStyle name="Migliaia 53 2 2 4 5" xfId="53639" xr:uid="{6AC004E3-E42F-40DB-9B58-560E22C90573}"/>
    <cellStyle name="Migliaia 53 2 2 4 6" xfId="10973" xr:uid="{AA163C25-3F78-48B1-A49C-E35752CAE3DE}"/>
    <cellStyle name="Migliaia 53 2 2 5" xfId="20929" xr:uid="{381C68C2-2C4C-4B63-9EDD-6E736E7303A1}"/>
    <cellStyle name="Migliaia 53 2 2 6" xfId="25313" xr:uid="{80BE1379-98BF-4C89-A1F6-21E7419ACCA3}"/>
    <cellStyle name="Migliaia 53 2 2 7" xfId="7579" xr:uid="{74C177FF-1317-44CE-A7F8-2D02BDADF53B}"/>
    <cellStyle name="Migliaia 53 2 3" xfId="3875" xr:uid="{02500575-C6FA-402E-8599-0AD31427F0FE}"/>
    <cellStyle name="Migliaia 53 2 3 2" xfId="5601" xr:uid="{BE3AF0C6-4A27-4615-BD5A-C9651DD44D92}"/>
    <cellStyle name="Migliaia 53 2 3 2 2" xfId="35460" xr:uid="{0D6646B1-885C-4D57-9CFE-ED342677BBA3}"/>
    <cellStyle name="Migliaia 53 2 3 2 2 2" xfId="40620" xr:uid="{D55A694D-0A79-4B78-9937-EF334BADF10F}"/>
    <cellStyle name="Migliaia 53 2 3 2 2 3" xfId="45922" xr:uid="{B252B674-5242-47DE-BEFF-979F4920A7A8}"/>
    <cellStyle name="Migliaia 53 2 3 2 3" xfId="37969" xr:uid="{474291A0-A7D4-4EE2-A81E-4C99A4D2C97F}"/>
    <cellStyle name="Migliaia 53 2 3 2 4" xfId="43271" xr:uid="{C609BFED-EAC0-4FCC-B313-AF9E95526600}"/>
    <cellStyle name="Migliaia 53 2 3 2 5" xfId="14324" xr:uid="{98FBCA2B-A324-46F9-9BD8-BD7BFB57DFC4}"/>
    <cellStyle name="Migliaia 53 2 3 3" xfId="6777" xr:uid="{B19315B1-1D0B-4601-8142-E9662F818A16}"/>
    <cellStyle name="Migliaia 53 2 3 3 2" xfId="40119" xr:uid="{BC26D025-3792-45EE-8B22-A329010F3DD8}"/>
    <cellStyle name="Migliaia 53 2 3 3 3" xfId="45421" xr:uid="{36591EB2-F826-496F-BD86-0C0367C549D7}"/>
    <cellStyle name="Migliaia 53 2 3 3 4" xfId="34501" xr:uid="{B1B52BD4-92BF-4708-BAD8-7CAD8F191D32}"/>
    <cellStyle name="Migliaia 53 2 3 3 5" xfId="20931" xr:uid="{EA2ABCE7-718F-4701-91ED-5A130692A239}"/>
    <cellStyle name="Migliaia 53 2 3 4" xfId="37476" xr:uid="{2A8A748F-BFB5-4E19-BE63-7C21B611C297}"/>
    <cellStyle name="Migliaia 53 2 3 5" xfId="42770" xr:uid="{440839F4-9CA6-466A-BF89-A03C4D718560}"/>
    <cellStyle name="Migliaia 53 2 3 6" xfId="16764" xr:uid="{6B59ABAB-3BCC-4200-8FD9-D1BA0DF92160}"/>
    <cellStyle name="Migliaia 53 2 3 7" xfId="8386" xr:uid="{F0B9F7CB-4D49-4874-A91B-B11F478AC16E}"/>
    <cellStyle name="Migliaia 53 2 4" xfId="5599" xr:uid="{79285C30-7E19-4A06-879C-5D9E17637B45}"/>
    <cellStyle name="Migliaia 53 2 4 2" xfId="14029" xr:uid="{D9F053E3-E423-4B69-A052-1BEE3DE4A142}"/>
    <cellStyle name="Migliaia 53 2 4 2 2" xfId="40120" xr:uid="{763DB3D6-0320-4134-A312-AB06D4359652}"/>
    <cellStyle name="Migliaia 53 2 4 2 3" xfId="45422" xr:uid="{CFF69C43-3B97-493F-8A31-F896E4F7718F}"/>
    <cellStyle name="Migliaia 53 2 4 3" xfId="18026" xr:uid="{F467BF2D-172C-4D92-9BD0-A11310B03469}"/>
    <cellStyle name="Migliaia 53 2 4 4" xfId="20932" xr:uid="{AAEBE5F2-F774-4914-85DF-D0131E10A05B}"/>
    <cellStyle name="Migliaia 53 2 4 4 2" xfId="42771" xr:uid="{53A2390F-45E7-4A74-B202-487B894E7ED8}"/>
    <cellStyle name="Migliaia 53 2 4 5" xfId="16765" xr:uid="{5FF110A9-E6C5-4B1C-BDD3-E1BD5D88264F}"/>
    <cellStyle name="Migliaia 53 2 4 6" xfId="8015" xr:uid="{CEB0B378-1627-4AA5-AB83-86A4A5B59023}"/>
    <cellStyle name="Migliaia 53 2 5" xfId="6775" xr:uid="{3C67B881-3AA1-4800-8D4B-647D0E92CC67}"/>
    <cellStyle name="Migliaia 53 2 5 2" xfId="34502" xr:uid="{BEA95D4A-F6DC-4AAA-B3E3-887EE52C3FFE}"/>
    <cellStyle name="Migliaia 53 2 5 2 2" xfId="40121" xr:uid="{A04A44C7-D455-4A01-85D7-114A31A21D5D}"/>
    <cellStyle name="Migliaia 53 2 5 2 3" xfId="45423" xr:uid="{74B0AE18-E8AF-4777-927A-8A69595AE826}"/>
    <cellStyle name="Migliaia 53 2 5 3" xfId="37477" xr:uid="{08F27FA0-BAC5-4A2E-B352-9A06C7C3A0B2}"/>
    <cellStyle name="Migliaia 53 2 5 4" xfId="42772" xr:uid="{A2042EF7-471D-4D8E-8C39-CDBF29662775}"/>
    <cellStyle name="Migliaia 53 2 5 5" xfId="13151" xr:uid="{A4CE940D-29F7-4705-89DF-0E7F2CCFCA62}"/>
    <cellStyle name="Migliaia 53 2 6" xfId="3873" xr:uid="{62C1B83E-D9A4-4B18-B4B9-F32F2D39B531}"/>
    <cellStyle name="Migliaia 53 2 6 2" xfId="34503" xr:uid="{748F2B30-EFB8-4895-9346-53D27D6B5EF8}"/>
    <cellStyle name="Migliaia 53 2 6 2 2" xfId="40122" xr:uid="{494F19D6-291D-41E5-AF8B-A68766B866C8}"/>
    <cellStyle name="Migliaia 53 2 6 2 3" xfId="45424" xr:uid="{3B723AF3-36A4-4700-A8BF-9A4C6776E45B}"/>
    <cellStyle name="Migliaia 53 2 6 3" xfId="37478" xr:uid="{9C55549B-15B2-48B6-BB5A-1A80D95B9F79}"/>
    <cellStyle name="Migliaia 53 2 6 4" xfId="42773" xr:uid="{1BFA6BF0-5457-4C86-A27D-8F66C551E7BA}"/>
    <cellStyle name="Migliaia 53 2 6 5" xfId="25314" xr:uid="{C2E9312F-7348-497B-88EA-B4AE4760160C}"/>
    <cellStyle name="Migliaia 53 2 6 6" xfId="20928" xr:uid="{07027D43-78C2-4090-A3FC-B5F00E6B0B42}"/>
    <cellStyle name="Migliaia 53 2 7" xfId="25312" xr:uid="{DCFEBD8A-3B85-44D0-92BD-E236D37FBFFB}"/>
    <cellStyle name="Migliaia 53 2 8" xfId="7187" xr:uid="{8897B37C-5540-4F20-AD41-409DE92A66D5}"/>
    <cellStyle name="Migliaia 53 3" xfId="495" xr:uid="{00000000-0005-0000-0000-000072040000}"/>
    <cellStyle name="Migliaia 53 3 10" xfId="25315" xr:uid="{53FB93DE-5461-4F5F-9725-8417D327EF47}"/>
    <cellStyle name="Migliaia 53 3 11" xfId="16766" xr:uid="{498AA1A2-2E36-4C44-9EBB-CC646B6D1BB1}"/>
    <cellStyle name="Migliaia 53 3 12" xfId="7188" xr:uid="{C35CFB18-A7CD-43B9-BC91-C55E2D686A2F}"/>
    <cellStyle name="Migliaia 53 3 2" xfId="496" xr:uid="{00000000-0005-0000-0000-000073040000}"/>
    <cellStyle name="Migliaia 53 3 2 2" xfId="1897" xr:uid="{00000000-0005-0000-0000-000074040000}"/>
    <cellStyle name="Migliaia 53 3 2 2 2" xfId="5604" xr:uid="{75C72B14-29FD-4EDC-A5AA-21C320D99EBB}"/>
    <cellStyle name="Migliaia 53 3 2 2 2 2" xfId="18507" xr:uid="{F32E3ADC-01C7-4C06-B5C3-C7282D315A35}"/>
    <cellStyle name="Migliaia 53 3 2 2 2 2 2" xfId="21889" xr:uid="{CB7FA5FB-8923-4C8C-8045-AEB1633033EB}"/>
    <cellStyle name="Migliaia 53 3 2 2 2 2 2 2" xfId="40123" xr:uid="{36F3380F-A258-4AD4-9CD9-82D3D636942B}"/>
    <cellStyle name="Migliaia 53 3 2 2 2 2 3" xfId="45425" xr:uid="{00D4B525-07B0-4A1C-A768-D140136B80BF}"/>
    <cellStyle name="Migliaia 53 3 2 2 2 2 4" xfId="34504" xr:uid="{96C55D7F-D47D-43DD-8259-5432A5A00E22}"/>
    <cellStyle name="Migliaia 53 3 2 2 2 3" xfId="37479" xr:uid="{25AC9A29-5C55-44FB-825C-A8742AF98251}"/>
    <cellStyle name="Migliaia 53 3 2 2 2 4" xfId="42774" xr:uid="{F44039D4-50BA-4FF6-92E0-0EE747C288BB}"/>
    <cellStyle name="Migliaia 53 3 2 2 2 5" xfId="48333" xr:uid="{9B5E1508-640B-49CF-B5A9-2EC0A361F0A1}"/>
    <cellStyle name="Migliaia 53 3 2 2 2 6" xfId="50917" xr:uid="{54CDBE45-7BD1-44B3-AC8F-CCBB30881DDC}"/>
    <cellStyle name="Migliaia 53 3 2 2 2 7" xfId="53933" xr:uid="{BB624C03-70A5-43D6-9DFA-20DEFD4B08AE}"/>
    <cellStyle name="Migliaia 53 3 2 2 2 8" xfId="17688" xr:uid="{4D7DE55E-2E3C-41C6-A3E0-4DD400534FAB}"/>
    <cellStyle name="Migliaia 53 3 2 2 2 9" xfId="12079" xr:uid="{9AE5FCBC-5EE5-427B-9323-E702CB91F751}"/>
    <cellStyle name="Migliaia 53 3 2 2 3" xfId="6780" xr:uid="{7FA9ABE1-7B77-45A7-BF60-319609DC99D0}"/>
    <cellStyle name="Migliaia 53 3 2 2 3 2" xfId="12153" xr:uid="{52456DBC-E612-4744-93CA-43E3734456CA}"/>
    <cellStyle name="Migliaia 53 3 2 2 4" xfId="3878" xr:uid="{CB917C84-8DF1-469D-924F-DA2073ED0507}"/>
    <cellStyle name="Migliaia 53 3 2 2 4 2" xfId="21609" xr:uid="{982856C9-FE88-4672-BA72-40E991E63578}"/>
    <cellStyle name="Migliaia 53 3 2 2 4 3" xfId="47809" xr:uid="{1C884AAE-1A37-4345-8041-A8A55C8F4993}"/>
    <cellStyle name="Migliaia 53 3 2 2 4 4" xfId="50624" xr:uid="{4771FCB7-6FAE-4C17-85A0-991494530E1B}"/>
    <cellStyle name="Migliaia 53 3 2 2 4 5" xfId="53640" xr:uid="{30CDFEC2-A365-4289-A0BB-73EDC9B761B2}"/>
    <cellStyle name="Migliaia 53 3 2 2 4 6" xfId="10974" xr:uid="{73964F8D-1700-4E95-A04B-CA5EFE923DE9}"/>
    <cellStyle name="Migliaia 53 3 2 2 5" xfId="20935" xr:uid="{08346BCD-7CAA-461B-ADB8-6F9BFA02BF92}"/>
    <cellStyle name="Migliaia 53 3 2 2 6" xfId="25317" xr:uid="{82ABCA99-8CD6-4BAB-99F0-001AD75C295A}"/>
    <cellStyle name="Migliaia 53 3 2 2 7" xfId="8771" xr:uid="{1A93341A-6525-431C-8119-3E3F53C7C5A1}"/>
    <cellStyle name="Migliaia 53 3 2 3" xfId="5603" xr:uid="{85C60C5D-9849-414D-924D-2290AF049499}"/>
    <cellStyle name="Migliaia 53 3 2 3 2" xfId="12399" xr:uid="{196FBDD8-E903-4D1E-A231-90F125C965D7}"/>
    <cellStyle name="Migliaia 53 3 2 3 2 2" xfId="40124" xr:uid="{96934E05-BA6A-4751-A02D-81B67135708D}"/>
    <cellStyle name="Migliaia 53 3 2 3 2 3" xfId="45426" xr:uid="{EA873047-F6EF-4CD7-B63F-F214D14739A5}"/>
    <cellStyle name="Migliaia 53 3 2 3 2 4" xfId="34505" xr:uid="{91C7C2BD-7ADC-4D31-8CBA-18EF2917FAE5}"/>
    <cellStyle name="Migliaia 53 3 2 3 3" xfId="12080" xr:uid="{136BCC7E-2194-44A6-B2F0-669DDA103A74}"/>
    <cellStyle name="Migliaia 53 3 2 3 4" xfId="20936" xr:uid="{E424271F-804E-4130-A9D9-ECCF3858EFF6}"/>
    <cellStyle name="Migliaia 53 3 2 3 4 2" xfId="42775" xr:uid="{1C51F291-9422-46AD-B427-9EB5B0151AE1}"/>
    <cellStyle name="Migliaia 53 3 2 3 5" xfId="16767" xr:uid="{D92CD7E1-1EA4-44C1-8C2F-CFFED851A7A2}"/>
    <cellStyle name="Migliaia 53 3 2 3 6" xfId="8017" xr:uid="{03A1DA71-E6A1-4674-86AB-406D876C69C1}"/>
    <cellStyle name="Migliaia 53 3 2 4" xfId="6779" xr:uid="{7D14AFBB-177D-4DDF-A911-649763AF1ECE}"/>
    <cellStyle name="Migliaia 53 3 2 4 2" xfId="18105" xr:uid="{CFED6966-8774-471F-AB4A-49DCE3FFCFBE}"/>
    <cellStyle name="Migliaia 53 3 2 4 2 2" xfId="40125" xr:uid="{8EFFD414-34A0-40A1-97A5-CD4476B025B1}"/>
    <cellStyle name="Migliaia 53 3 2 4 2 3" xfId="45427" xr:uid="{ED9BC48C-4FE3-4B5F-9FFE-A315762E5FA7}"/>
    <cellStyle name="Migliaia 53 3 2 4 3" xfId="37480" xr:uid="{4B1039F4-66E8-4847-87A1-2CF66F960A85}"/>
    <cellStyle name="Migliaia 53 3 2 4 4" xfId="42776" xr:uid="{1398E508-E79A-43EB-B2CA-303B18F4E2CE}"/>
    <cellStyle name="Migliaia 53 3 2 4 5" xfId="17232" xr:uid="{D50F1EAC-3704-46AC-A6D6-FCFC766FFAB8}"/>
    <cellStyle name="Migliaia 53 3 2 4 6" xfId="11432" xr:uid="{D095B24D-DF0E-4EAE-8CD9-337B774C65F6}"/>
    <cellStyle name="Migliaia 53 3 2 5" xfId="3877" xr:uid="{6775C2D6-273D-4242-8F25-D8BD483F35CC}"/>
    <cellStyle name="Migliaia 53 3 2 5 2" xfId="34506" xr:uid="{C733B251-C549-41DC-A3E0-264322F55042}"/>
    <cellStyle name="Migliaia 53 3 2 5 2 2" xfId="40126" xr:uid="{4D97DDA7-C854-4482-908F-B93F69B5E7EF}"/>
    <cellStyle name="Migliaia 53 3 2 5 2 3" xfId="45428" xr:uid="{09537322-5D15-4568-B17F-E452D616FBEB}"/>
    <cellStyle name="Migliaia 53 3 2 5 3" xfId="37481" xr:uid="{3E64E9C1-A209-4493-A1BD-0E1CA7BC4976}"/>
    <cellStyle name="Migliaia 53 3 2 5 4" xfId="42777" xr:uid="{8AD69CE8-F1A2-4C6A-9EB1-90E2D4F5AC1F}"/>
    <cellStyle name="Migliaia 53 3 2 5 5" xfId="17282" xr:uid="{5CA28D9A-834B-447C-BF8C-D5CEE85425E3}"/>
    <cellStyle name="Migliaia 53 3 2 6" xfId="20934" xr:uid="{093C2B74-1AA7-4DD4-9E06-297107A326CA}"/>
    <cellStyle name="Migliaia 53 3 2 6 2" xfId="34507" xr:uid="{93C4F193-3F5F-4A20-935E-E7B09109579C}"/>
    <cellStyle name="Migliaia 53 3 2 6 2 2" xfId="40127" xr:uid="{F5B29F03-6071-46CD-817E-C60A93C26DAF}"/>
    <cellStyle name="Migliaia 53 3 2 6 2 3" xfId="45429" xr:uid="{C1CB4BDF-6DBD-4049-8DFE-AD237FC7038A}"/>
    <cellStyle name="Migliaia 53 3 2 6 3" xfId="37482" xr:uid="{85FDFC39-B926-4439-AC5F-F874316A693B}"/>
    <cellStyle name="Migliaia 53 3 2 6 4" xfId="42778" xr:uid="{337175A1-61EC-45F0-94F7-4556230F927A}"/>
    <cellStyle name="Migliaia 53 3 2 6 5" xfId="25318" xr:uid="{E8FB1664-C642-49A2-A556-1EA04F7A4955}"/>
    <cellStyle name="Migliaia 53 3 2 7" xfId="25316" xr:uid="{43520FCA-58B4-4857-A079-CB81BE85C858}"/>
    <cellStyle name="Migliaia 53 3 2 8" xfId="7581" xr:uid="{0FBC3842-DD2F-4586-A989-0B48D694D027}"/>
    <cellStyle name="Migliaia 53 3 3" xfId="3879" xr:uid="{B007EE73-7F64-4378-82D1-D8E8338F4576}"/>
    <cellStyle name="Migliaia 53 3 3 10" xfId="7580" xr:uid="{50D69143-C5C7-4044-B501-96EEAA162531}"/>
    <cellStyle name="Migliaia 53 3 3 2" xfId="5605" xr:uid="{81E03943-2F26-4427-9C81-124D02491819}"/>
    <cellStyle name="Migliaia 53 3 3 2 2" xfId="9978" xr:uid="{C6FFA2BC-D3CE-4790-BB8E-78DA81E6CFB9}"/>
    <cellStyle name="Migliaia 53 3 3 2 2 2" xfId="40129" xr:uid="{84A2D34B-8741-4E36-9832-549748154DB9}"/>
    <cellStyle name="Migliaia 53 3 3 2 2 3" xfId="45431" xr:uid="{298C2086-C134-4479-813E-150CE60BF680}"/>
    <cellStyle name="Migliaia 53 3 3 2 3" xfId="18258" xr:uid="{343568EC-1893-41B4-9B17-016180CBA48A}"/>
    <cellStyle name="Migliaia 53 3 3 2 4" xfId="20938" xr:uid="{B0DA4036-4E58-45F0-9771-BFB8C8CBAC22}"/>
    <cellStyle name="Migliaia 53 3 3 2 4 2" xfId="42780" xr:uid="{518F1903-EDE5-48C5-BFE6-7306A6F297FE}"/>
    <cellStyle name="Migliaia 53 3 3 2 5" xfId="16769" xr:uid="{50115D6C-DE98-4243-A5EF-8E33F9044BE0}"/>
    <cellStyle name="Migliaia 53 3 3 2 6" xfId="8770" xr:uid="{40A1985C-3A9A-482E-84A8-3B05BBE9A41C}"/>
    <cellStyle name="Migliaia 53 3 3 3" xfId="6781" xr:uid="{F340A5EC-D3CF-4110-8DC4-288ECD06B4F7}"/>
    <cellStyle name="Migliaia 53 3 3 3 2" xfId="34509" xr:uid="{EA1943DD-D68D-4632-8DE1-BB76389370D9}"/>
    <cellStyle name="Migliaia 53 3 3 3 2 2" xfId="40130" xr:uid="{5EC09AE2-C699-4EAE-8249-0AA0E0B0E2AB}"/>
    <cellStyle name="Migliaia 53 3 3 3 2 3" xfId="45432" xr:uid="{5FA4B8C0-AAFC-4C3C-9BC3-BA21A2A1656B}"/>
    <cellStyle name="Migliaia 53 3 3 3 3" xfId="37484" xr:uid="{1DCB395A-800E-45F8-B8CD-2CC00FA6E939}"/>
    <cellStyle name="Migliaia 53 3 3 3 4" xfId="42781" xr:uid="{29BCCA6C-BD85-46A2-B28D-22ED036E3085}"/>
    <cellStyle name="Migliaia 53 3 3 3 5" xfId="9741" xr:uid="{883153AC-00DD-457E-9477-BC707677C8A5}"/>
    <cellStyle name="Migliaia 53 3 3 4" xfId="20937" xr:uid="{F92BE089-020D-47D7-92A1-014C27675A58}"/>
    <cellStyle name="Migliaia 53 3 3 4 2" xfId="34510" xr:uid="{304EE081-CCB5-409F-B30D-0E8BD6AD368C}"/>
    <cellStyle name="Migliaia 53 3 3 4 2 2" xfId="40131" xr:uid="{017761F3-6E7B-4D0B-9926-C93740345B5D}"/>
    <cellStyle name="Migliaia 53 3 3 4 2 3" xfId="45433" xr:uid="{7D7791B2-7BD3-42B1-8C6C-AAC080A8E04A}"/>
    <cellStyle name="Migliaia 53 3 3 4 3" xfId="37485" xr:uid="{122A7394-2E5E-4177-8381-BEC35B26FB14}"/>
    <cellStyle name="Migliaia 53 3 3 4 4" xfId="42782" xr:uid="{15757778-AD4E-4AE1-94DC-3644BE77831D}"/>
    <cellStyle name="Migliaia 53 3 3 4 5" xfId="25320" xr:uid="{ED582B15-8F76-4578-A5B4-24FEA6030F4A}"/>
    <cellStyle name="Migliaia 53 3 3 5" xfId="25321" xr:uid="{981C8891-F07B-494E-8D39-C621B2AF8EEC}"/>
    <cellStyle name="Migliaia 53 3 3 5 2" xfId="34511" xr:uid="{CCE49F4E-D1EF-40D6-AE1A-CA985917B6CA}"/>
    <cellStyle name="Migliaia 53 3 3 5 2 2" xfId="40132" xr:uid="{E96FC7E6-4A41-4C6F-A975-D8BEE62449FB}"/>
    <cellStyle name="Migliaia 53 3 3 5 2 3" xfId="45434" xr:uid="{BC6C21A0-72A9-47D6-8D18-9A3C7DDB85D1}"/>
    <cellStyle name="Migliaia 53 3 3 5 3" xfId="37486" xr:uid="{19959284-FB0B-44AE-9E4B-13DE374779BF}"/>
    <cellStyle name="Migliaia 53 3 3 5 4" xfId="42783" xr:uid="{E8B03C19-2C1B-463F-9FBB-FAD0C83BF8A9}"/>
    <cellStyle name="Migliaia 53 3 3 6" xfId="34508" xr:uid="{E436513D-9FBD-4F52-B653-42045F39F0C0}"/>
    <cellStyle name="Migliaia 53 3 3 6 2" xfId="40128" xr:uid="{23D6672A-6E6A-4E5E-A7C2-1BA089E01501}"/>
    <cellStyle name="Migliaia 53 3 3 6 3" xfId="45430" xr:uid="{F861D6A5-063F-4E09-A154-58146DE27F28}"/>
    <cellStyle name="Migliaia 53 3 3 7" xfId="37483" xr:uid="{24864F3F-13E7-4CAB-A203-BF3EFB29B697}"/>
    <cellStyle name="Migliaia 53 3 3 8" xfId="42779" xr:uid="{F484C95B-77B3-41D9-BBA0-EDCC48013BCC}"/>
    <cellStyle name="Migliaia 53 3 3 9" xfId="16768" xr:uid="{2725B595-2AD2-405B-A590-525A20A4659F}"/>
    <cellStyle name="Migliaia 53 3 4" xfId="3880" xr:uid="{C5224267-4214-4399-91CF-09B0D892940C}"/>
    <cellStyle name="Migliaia 53 3 4 2" xfId="5606" xr:uid="{04C6FA9A-47A6-4F06-9B3B-063D426021AE}"/>
    <cellStyle name="Migliaia 53 3 4 2 2" xfId="14471" xr:uid="{24EF8A2D-09CE-48D6-9F00-C4653E38BEAC}"/>
    <cellStyle name="Migliaia 53 3 4 2 3" xfId="18576" xr:uid="{7BDBD987-FD8C-4F7D-AD60-8B40C0DEE560}"/>
    <cellStyle name="Migliaia 53 3 4 2 4" xfId="20940" xr:uid="{7E6C2926-B54A-46D1-9966-EA7FA69275AF}"/>
    <cellStyle name="Migliaia 53 3 4 2 5" xfId="32463" xr:uid="{D9862B42-2AF9-456B-A49F-5E7C6127712C}"/>
    <cellStyle name="Migliaia 53 3 4 2 6" xfId="16771" xr:uid="{8FC00584-1638-4E42-939B-72BD8DB19F5B}"/>
    <cellStyle name="Migliaia 53 3 4 2 7" xfId="8894" xr:uid="{3AF61F36-4ED6-44A9-AE74-7D61FC9D5CD6}"/>
    <cellStyle name="Migliaia 53 3 4 3" xfId="6782" xr:uid="{CE780606-F8E7-486D-B8D1-10B836AD182D}"/>
    <cellStyle name="Migliaia 53 3 4 3 2" xfId="35461" xr:uid="{781C5492-853F-4A13-84FF-41DAB63B9E58}"/>
    <cellStyle name="Migliaia 53 3 4 3 2 2" xfId="40621" xr:uid="{B07E9743-0E5B-494D-801C-7BDA93282B6E}"/>
    <cellStyle name="Migliaia 53 3 4 3 2 3" xfId="45923" xr:uid="{B91CD9A0-CBE0-40A8-807E-6284EF66657F}"/>
    <cellStyle name="Migliaia 53 3 4 3 3" xfId="37970" xr:uid="{D925FF8C-9645-4FB8-9B8C-8906C534BE2B}"/>
    <cellStyle name="Migliaia 53 3 4 3 4" xfId="43272" xr:uid="{EC46ABBE-75EE-4F71-A89D-2402B56F91F2}"/>
    <cellStyle name="Migliaia 53 3 4 3 5" xfId="13719" xr:uid="{8472C7C2-6A41-419D-B4ED-8E38CFB4048C}"/>
    <cellStyle name="Migliaia 53 3 4 4" xfId="20939" xr:uid="{12C92993-27A1-416E-8AE9-2FAB2BA3A9C6}"/>
    <cellStyle name="Migliaia 53 3 4 4 2" xfId="40133" xr:uid="{20629B5F-8D27-49D2-8897-08F2BDA2C853}"/>
    <cellStyle name="Migliaia 53 3 4 4 3" xfId="45435" xr:uid="{692A0CB0-CA61-4CBF-9F0D-01F6A93BAE7E}"/>
    <cellStyle name="Migliaia 53 3 4 4 4" xfId="34512" xr:uid="{FA073A32-AE5D-428A-9D4A-F83F3E40C2F9}"/>
    <cellStyle name="Migliaia 53 3 4 5" xfId="37487" xr:uid="{B3D98050-F609-449D-93EA-421D222D25D8}"/>
    <cellStyle name="Migliaia 53 3 4 6" xfId="42784" xr:uid="{EE935C47-A666-4E44-9704-F369883820C3}"/>
    <cellStyle name="Migliaia 53 3 4 7" xfId="16770" xr:uid="{BA3F4118-5E0A-44EE-A895-CDA92307EEFD}"/>
    <cellStyle name="Migliaia 53 3 4 8" xfId="7704" xr:uid="{44340128-4640-40DA-95FE-56B012925E9D}"/>
    <cellStyle name="Migliaia 53 3 5" xfId="3881" xr:uid="{47DD4609-1775-4409-9240-CAE6AD7E56FD}"/>
    <cellStyle name="Migliaia 53 3 5 2" xfId="5607" xr:uid="{38571950-1E44-46D7-AB1D-07A0003FCA8D}"/>
    <cellStyle name="Migliaia 53 3 5 2 2" xfId="35462" xr:uid="{2738E10B-687C-4D9C-B421-F77173FF2560}"/>
    <cellStyle name="Migliaia 53 3 5 2 2 2" xfId="40622" xr:uid="{AD9479AF-7D0D-4808-8AA3-CAF85E1E0DAC}"/>
    <cellStyle name="Migliaia 53 3 5 2 2 3" xfId="45924" xr:uid="{F12B93B3-7B3B-46E7-855A-959F24609C95}"/>
    <cellStyle name="Migliaia 53 3 5 2 3" xfId="37971" xr:uid="{11DC63C9-C219-4ABC-AD76-60CD7435189F}"/>
    <cellStyle name="Migliaia 53 3 5 2 4" xfId="43273" xr:uid="{B78E98AF-1F06-4E6B-BED8-F420762F235F}"/>
    <cellStyle name="Migliaia 53 3 5 2 5" xfId="14325" xr:uid="{A2D465BF-B6EF-4F10-A55E-07DA2803CFB9}"/>
    <cellStyle name="Migliaia 53 3 5 3" xfId="6783" xr:uid="{14CE2A3B-5540-4BC3-B3D9-787823D44F6B}"/>
    <cellStyle name="Migliaia 53 3 5 3 2" xfId="40134" xr:uid="{831580BE-9278-4C90-8957-7DB54E1A1DB6}"/>
    <cellStyle name="Migliaia 53 3 5 3 3" xfId="45436" xr:uid="{D29C4103-4015-4E20-AD43-749BA3911F0B}"/>
    <cellStyle name="Migliaia 53 3 5 3 4" xfId="34513" xr:uid="{95B7B8BB-9BD5-4C7F-9273-04686A7F1114}"/>
    <cellStyle name="Migliaia 53 3 5 3 5" xfId="20941" xr:uid="{BC354B74-929F-4C6D-844D-8A1BFF4A6968}"/>
    <cellStyle name="Migliaia 53 3 5 4" xfId="37488" xr:uid="{8C2C9E5A-991B-4124-9D8B-D0568645C98B}"/>
    <cellStyle name="Migliaia 53 3 5 5" xfId="42785" xr:uid="{EA0C357B-CBD4-4BF3-AC78-53049CF38F44}"/>
    <cellStyle name="Migliaia 53 3 5 6" xfId="16772" xr:uid="{544AEA06-A292-4797-A155-A0679C01DE44}"/>
    <cellStyle name="Migliaia 53 3 5 7" xfId="8387" xr:uid="{B1B95D03-3731-46CC-8E42-0D0AED17AEA0}"/>
    <cellStyle name="Migliaia 53 3 6" xfId="5602" xr:uid="{A952BE88-463A-49B6-9098-9BAD5C9E3C5C}"/>
    <cellStyle name="Migliaia 53 3 6 2" xfId="14030" xr:uid="{A93AE73D-6CF5-46D1-B604-1FC7BD56AD6B}"/>
    <cellStyle name="Migliaia 53 3 6 2 2" xfId="40135" xr:uid="{5AAB9944-D8C9-40B2-B3A1-315D99DEAF9B}"/>
    <cellStyle name="Migliaia 53 3 6 2 3" xfId="45437" xr:uid="{6177C0EC-3371-4A2D-BA4A-39A8D68B9EEA}"/>
    <cellStyle name="Migliaia 53 3 6 3" xfId="18292" xr:uid="{16BD652D-A0D2-4C71-9C4E-97E55D589AF8}"/>
    <cellStyle name="Migliaia 53 3 6 4" xfId="20942" xr:uid="{EC93C129-BB4A-4227-8F45-83CD4BAEBC21}"/>
    <cellStyle name="Migliaia 53 3 6 4 2" xfId="42786" xr:uid="{8A271878-CB73-4FD3-83A9-24DFFA68B488}"/>
    <cellStyle name="Migliaia 53 3 6 5" xfId="16773" xr:uid="{A61DE816-4CD2-4B75-A4D7-550973239EFB}"/>
    <cellStyle name="Migliaia 53 3 6 6" xfId="8016" xr:uid="{921D80D5-9E58-4F7B-86D6-75305B4EB232}"/>
    <cellStyle name="Migliaia 53 3 7" xfId="6778" xr:uid="{A31DDD86-40AC-4241-AF89-473E11805479}"/>
    <cellStyle name="Migliaia 53 3 7 2" xfId="34515" xr:uid="{F91A84FF-F200-4FDB-96B4-47E1A10AAE7F}"/>
    <cellStyle name="Migliaia 53 3 7 2 2" xfId="40136" xr:uid="{3106ED73-0D01-4A34-9EB2-23D971EF8BC5}"/>
    <cellStyle name="Migliaia 53 3 7 2 3" xfId="45438" xr:uid="{99A5FE9D-646E-46B8-9643-177F1B12EB6F}"/>
    <cellStyle name="Migliaia 53 3 7 3" xfId="37490" xr:uid="{CB3E35A5-A45E-41C5-8853-E80595A4126C}"/>
    <cellStyle name="Migliaia 53 3 7 4" xfId="42787" xr:uid="{1391EE95-AA6B-4EC4-902B-12B0A83CAA38}"/>
    <cellStyle name="Migliaia 53 3 7 5" xfId="12440" xr:uid="{665EEAB6-4F49-4A53-8664-14485827453C}"/>
    <cellStyle name="Migliaia 53 3 8" xfId="3876" xr:uid="{AE4B4BFC-96FE-46F7-BE5F-ED640FD1D2D3}"/>
    <cellStyle name="Migliaia 53 3 8 2" xfId="34516" xr:uid="{2537EE4D-B415-4CC6-B2D4-6AC00D260758}"/>
    <cellStyle name="Migliaia 53 3 8 2 2" xfId="40137" xr:uid="{9FD2188D-74DE-47B4-8DAE-4FDDD2B9E6D3}"/>
    <cellStyle name="Migliaia 53 3 8 2 3" xfId="45439" xr:uid="{F7135A16-B512-4665-8E2F-BD5967317FC3}"/>
    <cellStyle name="Migliaia 53 3 8 3" xfId="37491" xr:uid="{27935345-40FD-4DAC-AEC2-2BA0C0187FFC}"/>
    <cellStyle name="Migliaia 53 3 8 4" xfId="42788" xr:uid="{A79F3639-5DE0-4AE9-89EF-22FA59E0A4F5}"/>
    <cellStyle name="Migliaia 53 3 8 5" xfId="25326" xr:uid="{FD028DB7-0946-4E68-9821-602EA6BFCA35}"/>
    <cellStyle name="Migliaia 53 3 8 6" xfId="17283" xr:uid="{A49392BA-E5EC-4E7F-8423-841D2BD3AC3E}"/>
    <cellStyle name="Migliaia 53 3 9" xfId="20933" xr:uid="{A98BDFD2-56DC-4D10-A9EA-4A8E6EAA90C3}"/>
    <cellStyle name="Migliaia 53 4" xfId="1898" xr:uid="{00000000-0005-0000-0000-000075040000}"/>
    <cellStyle name="Migliaia 53 4 2" xfId="1899" xr:uid="{00000000-0005-0000-0000-000076040000}"/>
    <cellStyle name="Migliaia 53 4 2 2" xfId="5609" xr:uid="{CA9FDED3-63DD-401A-BDA2-4B46F6FDB28A}"/>
    <cellStyle name="Migliaia 53 4 2 2 2" xfId="34517" xr:uid="{92E25EF3-9AA3-483D-82FB-DAF631B2FDB1}"/>
    <cellStyle name="Migliaia 53 4 2 2 2 2" xfId="40138" xr:uid="{AD7D05AB-6F08-4879-BFCF-779C6C8E1148}"/>
    <cellStyle name="Migliaia 53 4 2 2 2 3" xfId="45440" xr:uid="{744DA050-BB08-44D8-A9B3-8010CCD5FD4C}"/>
    <cellStyle name="Migliaia 53 4 2 2 3" xfId="37492" xr:uid="{FC644771-DDD5-4156-AFE4-0D0C83BDE282}"/>
    <cellStyle name="Migliaia 53 4 2 2 4" xfId="42789" xr:uid="{CE196D08-9DD6-487F-B9D1-53702CE56B3B}"/>
    <cellStyle name="Migliaia 53 4 2 2 5" xfId="9204" xr:uid="{8452E297-2682-424C-8222-C6DF205B012E}"/>
    <cellStyle name="Migliaia 53 4 2 3" xfId="3883" xr:uid="{06F9AAF4-12C0-4749-8F15-1CFA81ED7146}"/>
    <cellStyle name="Migliaia 53 4 2 3 2" xfId="34518" xr:uid="{D3C2163E-83C0-4917-9716-6516EDE022E8}"/>
    <cellStyle name="Migliaia 53 4 2 3 2 2" xfId="40139" xr:uid="{49677573-3759-4877-8FFD-33D063FCA85B}"/>
    <cellStyle name="Migliaia 53 4 2 3 2 3" xfId="45441" xr:uid="{8C049B84-9E98-4C61-BB65-B3B43B74678C}"/>
    <cellStyle name="Migliaia 53 4 2 3 3" xfId="37493" xr:uid="{3C66C8BE-F20F-4A34-B172-8EACE08A8061}"/>
    <cellStyle name="Migliaia 53 4 2 3 4" xfId="42790" xr:uid="{0667466D-F8D2-4FE9-AA2F-DCE49E661ED2}"/>
    <cellStyle name="Migliaia 53 4 2 3 5" xfId="12081" xr:uid="{1E014C3C-9184-4E6F-9162-ACD1A05F4F58}"/>
    <cellStyle name="Migliaia 53 4 2 4" xfId="11434" xr:uid="{CD8BD1D9-5A4A-4433-8C0D-B048FA3ABCC2}"/>
    <cellStyle name="Migliaia 53 4 2 5" xfId="10976" xr:uid="{A2D67BF1-775F-46A5-B42F-93ADA2E44626}"/>
    <cellStyle name="Migliaia 53 4 2 5 2" xfId="21611" xr:uid="{DF2E7D00-0894-4D65-ACAC-4F041139E01C}"/>
    <cellStyle name="Migliaia 53 4 2 5 3" xfId="47748" xr:uid="{4D189118-744F-4E25-99B5-D08760BAE1B2}"/>
    <cellStyle name="Migliaia 53 4 2 5 4" xfId="50626" xr:uid="{5B502AB1-6922-4837-BA3E-E2B582D27896}"/>
    <cellStyle name="Migliaia 53 4 2 5 5" xfId="53642" xr:uid="{84829E21-CB02-46B8-B52E-09146CDA9C45}"/>
    <cellStyle name="Migliaia 53 4 2 6" xfId="20944" xr:uid="{852AFF3F-351A-4410-8BAE-D4BAEC159966}"/>
    <cellStyle name="Migliaia 53 4 2 7" xfId="25328" xr:uid="{ABCD2E4C-C892-427A-9079-640506C8C109}"/>
    <cellStyle name="Migliaia 53 4 2 8" xfId="8772" xr:uid="{0326788B-B3A1-4D3F-B76A-6644F665F152}"/>
    <cellStyle name="Migliaia 53 4 3" xfId="5608" xr:uid="{92383D3C-A1EB-42E3-850E-B67392493D18}"/>
    <cellStyle name="Migliaia 53 4 3 2" xfId="18259" xr:uid="{0DCA89ED-3BF7-459A-B65A-6BEC738DEC19}"/>
    <cellStyle name="Migliaia 53 4 3 2 2" xfId="40140" xr:uid="{4C3E9180-BCAC-4B05-B247-226481702AFF}"/>
    <cellStyle name="Migliaia 53 4 3 2 3" xfId="45442" xr:uid="{8FB35D23-1852-46A4-B6A6-8F11C714E0E3}"/>
    <cellStyle name="Migliaia 53 4 3 3" xfId="37494" xr:uid="{A7CB69FE-75E5-4FE2-8397-21FBF1303953}"/>
    <cellStyle name="Migliaia 53 4 3 4" xfId="42791" xr:uid="{D3B89598-399A-4096-8D16-9515E8237081}"/>
    <cellStyle name="Migliaia 53 4 3 5" xfId="17281" xr:uid="{A87F829E-31F8-475A-8DA0-A2174AE8F6DD}"/>
    <cellStyle name="Migliaia 53 4 3 6" xfId="9205" xr:uid="{C8FC8BF8-89E5-4434-BA53-D3AE77EA5E6B}"/>
    <cellStyle name="Migliaia 53 4 4" xfId="6784" xr:uid="{CD53CDE4-C9C0-46D6-AC1F-C476952F526A}"/>
    <cellStyle name="Migliaia 53 4 4 2" xfId="34520" xr:uid="{2073E4E3-F6E0-485C-9CA2-46BB25CE9005}"/>
    <cellStyle name="Migliaia 53 4 4 2 2" xfId="40141" xr:uid="{94A998E9-2BE2-4067-A503-A7E5035171A0}"/>
    <cellStyle name="Migliaia 53 4 4 2 3" xfId="45443" xr:uid="{93729489-EBD9-45CB-8A64-61035881AAD2}"/>
    <cellStyle name="Migliaia 53 4 4 3" xfId="37495" xr:uid="{861FF8B7-952A-4439-8D3E-6B20441766D1}"/>
    <cellStyle name="Migliaia 53 4 4 4" xfId="42792" xr:uid="{DE166FE3-5692-4246-8365-17F8B8A936A3}"/>
    <cellStyle name="Migliaia 53 4 4 5" xfId="12082" xr:uid="{B7178DCB-C5CE-4A69-B64A-93B1ABA8F2A4}"/>
    <cellStyle name="Migliaia 53 4 5" xfId="3882" xr:uid="{787DC4BA-F088-4A0C-AC33-159BA68A0B8F}"/>
    <cellStyle name="Migliaia 53 4 5 2" xfId="34521" xr:uid="{E0DB27DE-0C87-4AAE-80C7-F47E428902C9}"/>
    <cellStyle name="Migliaia 53 4 5 2 2" xfId="40142" xr:uid="{20713422-C3CB-47EB-8016-2A97088AF4AE}"/>
    <cellStyle name="Migliaia 53 4 5 2 3" xfId="45444" xr:uid="{D18C890A-4476-4B61-84CE-E320D95BD777}"/>
    <cellStyle name="Migliaia 53 4 5 3" xfId="37496" xr:uid="{693D9FA6-9110-4C87-98BC-3191A1B9A3BD}"/>
    <cellStyle name="Migliaia 53 4 5 4" xfId="42793" xr:uid="{894056D8-7B09-424A-9136-02F47AAF24F6}"/>
    <cellStyle name="Migliaia 53 4 5 5" xfId="11433" xr:uid="{9A532BD3-D99A-4D4C-9E83-2774DF55FA92}"/>
    <cellStyle name="Migliaia 53 4 6" xfId="10975" xr:uid="{35713EC8-B6B0-49F3-AC7B-B66084EEBB16}"/>
    <cellStyle name="Migliaia 53 4 6 2" xfId="21610" xr:uid="{35CB88D7-C88C-420B-85D3-31FD8C468F5B}"/>
    <cellStyle name="Migliaia 53 4 6 2 2" xfId="40143" xr:uid="{6F1DF0F0-FEDB-4E03-9582-2F24FD7BF465}"/>
    <cellStyle name="Migliaia 53 4 6 2 3" xfId="45445" xr:uid="{61EF5E0C-E49B-4BFC-BB0F-24F460479E89}"/>
    <cellStyle name="Migliaia 53 4 6 2 4" xfId="34522" xr:uid="{34A62193-F6C0-41E0-ABD1-09586FD2F21D}"/>
    <cellStyle name="Migliaia 53 4 6 3" xfId="37497" xr:uid="{2F194CBF-F26F-4431-B9F3-E1D39BEE6E5E}"/>
    <cellStyle name="Migliaia 53 4 6 4" xfId="42794" xr:uid="{C81EB210-90EC-458D-A579-32C791D54AF1}"/>
    <cellStyle name="Migliaia 53 4 6 5" xfId="25332" xr:uid="{DD06C696-B068-405D-AC3F-F620F130D977}"/>
    <cellStyle name="Migliaia 53 4 6 6" xfId="46707" xr:uid="{428178AB-7336-4214-9B18-020B4672F105}"/>
    <cellStyle name="Migliaia 53 4 6 7" xfId="50625" xr:uid="{86B4ABFE-8A7F-4ABC-BFF3-4401A05DCFF2}"/>
    <cellStyle name="Migliaia 53 4 6 8" xfId="53641" xr:uid="{6698A1B0-E8B5-4F82-B836-37BFB17525D2}"/>
    <cellStyle name="Migliaia 53 4 7" xfId="20943" xr:uid="{7D8DE2B5-250D-4A1C-B952-363957FFCF49}"/>
    <cellStyle name="Migliaia 53 4 7 2" xfId="34523" xr:uid="{C8C386E7-57F5-498B-BCFB-FB32AF54254E}"/>
    <cellStyle name="Migliaia 53 4 7 2 2" xfId="40144" xr:uid="{1D60949A-C055-4AB4-B873-73C9CFC73008}"/>
    <cellStyle name="Migliaia 53 4 7 2 3" xfId="45446" xr:uid="{2A9830E8-E61D-478D-A180-B5C12B8FDA36}"/>
    <cellStyle name="Migliaia 53 4 7 3" xfId="37498" xr:uid="{F29AFE59-87CB-41CF-8B2E-4407D1604719}"/>
    <cellStyle name="Migliaia 53 4 7 4" xfId="42795" xr:uid="{BBDBB793-D1C9-450B-B7EF-3ED7759A49B8}"/>
    <cellStyle name="Migliaia 53 4 7 5" xfId="25333" xr:uid="{2CC26EFE-FFA1-49AC-8A0B-CBCD7CDD9159}"/>
    <cellStyle name="Migliaia 53 4 8" xfId="25327" xr:uid="{7CF6E369-D682-4BF0-9CA6-9B1154DDFD27}"/>
    <cellStyle name="Migliaia 53 4 9" xfId="7582" xr:uid="{D48FFDC0-6EF9-41DF-BB70-BF47EF4788CD}"/>
    <cellStyle name="Migliaia 53 5" xfId="1900" xr:uid="{00000000-0005-0000-0000-000077040000}"/>
    <cellStyle name="Migliaia 53 5 2" xfId="5610" xr:uid="{5C04D5DE-F19D-4619-B40E-4A384003069C}"/>
    <cellStyle name="Migliaia 53 5 2 2" xfId="18508" xr:uid="{0B2D31D6-922A-44FD-AEC1-4A890C54947C}"/>
    <cellStyle name="Migliaia 53 5 2 2 2" xfId="40145" xr:uid="{9C2E1EFF-2AF3-42E6-BD1E-4A715F22D2A9}"/>
    <cellStyle name="Migliaia 53 5 2 2 3" xfId="45447" xr:uid="{B431A5CF-263B-41C8-9AFB-991432A974D7}"/>
    <cellStyle name="Migliaia 53 5 2 3" xfId="20946" xr:uid="{43FA8968-BC9B-425C-A5AB-91C42BC7BD81}"/>
    <cellStyle name="Migliaia 53 5 2 3 2" xfId="37499" xr:uid="{69A54E4B-DFC8-4E6D-85D5-64DB816AA75D}"/>
    <cellStyle name="Migliaia 53 5 2 4" xfId="42796" xr:uid="{75DD1851-8842-412A-8D8B-539CFB836F1D}"/>
    <cellStyle name="Migliaia 53 5 2 5" xfId="16774" xr:uid="{C3128043-69C6-4CAE-A77C-AD6E3A2BDDB2}"/>
    <cellStyle name="Migliaia 53 5 2 6" xfId="8773" xr:uid="{EF5D1FE2-D90C-4537-B64C-28A4E8897DD0}"/>
    <cellStyle name="Migliaia 53 5 3" xfId="6785" xr:uid="{B23C12AC-6BD8-4385-9DA9-3D97653EE38E}"/>
    <cellStyle name="Migliaia 53 5 3 2" xfId="34524" xr:uid="{3A7376E1-7CC9-4860-AF41-98906D0ED26E}"/>
    <cellStyle name="Migliaia 53 5 3 2 2" xfId="40146" xr:uid="{4307CB9D-7962-4C4C-9BB7-03E80D39494A}"/>
    <cellStyle name="Migliaia 53 5 3 2 3" xfId="45448" xr:uid="{CF7A9C5B-8286-461E-BDF8-CBDF1F979D17}"/>
    <cellStyle name="Migliaia 53 5 3 3" xfId="37500" xr:uid="{BEF9BD5A-FF4E-4A02-B9F3-664B2AD2F428}"/>
    <cellStyle name="Migliaia 53 5 3 4" xfId="42797" xr:uid="{047DE23F-D4E5-483B-A4AD-A919FB72F750}"/>
    <cellStyle name="Migliaia 53 5 3 5" xfId="11435" xr:uid="{E1F9FBD9-D32A-4B07-B45D-A0D9092C8143}"/>
    <cellStyle name="Migliaia 53 5 4" xfId="3884" xr:uid="{47509DBD-3D1D-451E-AE22-136B72219474}"/>
    <cellStyle name="Migliaia 53 5 4 2" xfId="21612" xr:uid="{2D231BA6-83B2-4729-848E-6500BC6B3360}"/>
    <cellStyle name="Migliaia 53 5 4 2 2" xfId="40147" xr:uid="{736420D9-247F-41E4-8DA4-FD3807401CFB}"/>
    <cellStyle name="Migliaia 53 5 4 2 3" xfId="45449" xr:uid="{C83B53EB-DB27-4F82-936C-EDBD7DF46D70}"/>
    <cellStyle name="Migliaia 53 5 4 2 4" xfId="34525" xr:uid="{AC492B97-BD5A-406E-B0E1-7891CFE70A80}"/>
    <cellStyle name="Migliaia 53 5 4 3" xfId="37501" xr:uid="{CF94E49B-CCCB-4A43-A021-E619E22F4BCE}"/>
    <cellStyle name="Migliaia 53 5 4 4" xfId="42798" xr:uid="{FB2B03ED-A520-4100-B414-0E1FB857694C}"/>
    <cellStyle name="Migliaia 53 5 4 5" xfId="25335" xr:uid="{3BBB1780-92B1-4D6A-94B8-399E985A9EB2}"/>
    <cellStyle name="Migliaia 53 5 4 6" xfId="32295" xr:uid="{9CEAD480-9DED-4856-B213-44E83DA5C2C8}"/>
    <cellStyle name="Migliaia 53 5 4 7" xfId="50627" xr:uid="{90A785B0-5189-48ED-8075-482563C1EA39}"/>
    <cellStyle name="Migliaia 53 5 4 8" xfId="53643" xr:uid="{4D3CED3C-15B1-4E9B-9183-83E54375762E}"/>
    <cellStyle name="Migliaia 53 5 4 9" xfId="10977" xr:uid="{77098E9B-AF45-4E4B-A5F9-7384346ACF0A}"/>
    <cellStyle name="Migliaia 53 5 5" xfId="20945" xr:uid="{B4560FD0-0A5D-4AD2-AF83-9E76AA8A20BE}"/>
    <cellStyle name="Migliaia 53 5 5 2" xfId="34526" xr:uid="{506A9F19-888C-4A1F-B8A0-EDD2136C49A8}"/>
    <cellStyle name="Migliaia 53 5 5 2 2" xfId="40148" xr:uid="{A53F8264-3340-4F6F-AEA3-B3455F139D48}"/>
    <cellStyle name="Migliaia 53 5 5 2 3" xfId="45450" xr:uid="{5FD4D54A-A9C3-45B2-AA04-BCAA7D2883A1}"/>
    <cellStyle name="Migliaia 53 5 5 3" xfId="37502" xr:uid="{2D29ABB3-19C3-4799-A381-728C5527E849}"/>
    <cellStyle name="Migliaia 53 5 5 4" xfId="42799" xr:uid="{CCCF70C2-EFC8-422B-8CFD-8F5FD0CBD999}"/>
    <cellStyle name="Migliaia 53 5 5 5" xfId="25336" xr:uid="{10539B39-D599-41A2-AB47-B2773E58875E}"/>
    <cellStyle name="Migliaia 53 5 6" xfId="25337" xr:uid="{DDFBCDB5-C481-4253-B657-EC98E642E381}"/>
    <cellStyle name="Migliaia 53 5 6 2" xfId="34527" xr:uid="{B95F8F93-1C78-449F-A4BA-DE2886348493}"/>
    <cellStyle name="Migliaia 53 5 6 2 2" xfId="40149" xr:uid="{46B99C81-263D-4A7A-90A2-22B0FA92322D}"/>
    <cellStyle name="Migliaia 53 5 6 2 3" xfId="45451" xr:uid="{52A16E63-E678-439A-B082-B7D799F33A9A}"/>
    <cellStyle name="Migliaia 53 5 6 3" xfId="37503" xr:uid="{2F886F04-9F5E-486B-9C8B-41BD3B293C04}"/>
    <cellStyle name="Migliaia 53 5 6 4" xfId="42800" xr:uid="{773CCE7E-639C-4D11-9E9E-D6BED1653E73}"/>
    <cellStyle name="Migliaia 53 5 7" xfId="25334" xr:uid="{95D4D68F-C781-43F2-B574-B343523DCE3F}"/>
    <cellStyle name="Migliaia 53 5 8" xfId="7583" xr:uid="{F0B7EAF4-D21F-4CBD-B983-86A7A86108B8}"/>
    <cellStyle name="Migliaia 53 6" xfId="3885" xr:uid="{5C9FD073-83AB-492E-A719-B8DED83D4A5C}"/>
    <cellStyle name="Migliaia 53 6 2" xfId="5611" xr:uid="{25D4EA56-8B20-4A08-9C39-D329B4D28484}"/>
    <cellStyle name="Migliaia 53 6 2 2" xfId="9977" xr:uid="{9B9C3B4E-F35A-4413-96D7-D368C4107AF7}"/>
    <cellStyle name="Migliaia 53 6 2 3" xfId="18557" xr:uid="{CAD4D88B-F2A3-4043-88A7-D4E576380A8A}"/>
    <cellStyle name="Migliaia 53 6 2 4" xfId="20948" xr:uid="{04898B43-3FA6-417E-8F44-DC08AEAA1093}"/>
    <cellStyle name="Migliaia 53 6 2 5" xfId="32466" xr:uid="{A21812B4-11AA-4A77-A593-405F8985B576}"/>
    <cellStyle name="Migliaia 53 6 2 6" xfId="16776" xr:uid="{57384FB6-6110-4D0D-BD51-F2C9DE5B01C2}"/>
    <cellStyle name="Migliaia 53 6 2 7" xfId="8768" xr:uid="{2F71E5B3-EA54-4DE3-835A-D0AEEA7F589C}"/>
    <cellStyle name="Migliaia 53 6 3" xfId="6786" xr:uid="{52D57E89-6984-43E4-9ADE-342F7AAD18F7}"/>
    <cellStyle name="Migliaia 53 6 3 2" xfId="35463" xr:uid="{C02F07A6-71E1-4E3B-97BD-3717212E98FB}"/>
    <cellStyle name="Migliaia 53 6 3 2 2" xfId="40623" xr:uid="{2E0E75DF-F536-47EF-B5DF-C43640FC5C64}"/>
    <cellStyle name="Migliaia 53 6 3 2 3" xfId="45925" xr:uid="{3DBC9068-17C8-4C82-9A51-BD8EAEFDE320}"/>
    <cellStyle name="Migliaia 53 6 3 3" xfId="37972" xr:uid="{60C85345-7B89-4986-9628-03ACC27C82D0}"/>
    <cellStyle name="Migliaia 53 6 3 4" xfId="43274" xr:uid="{44C94523-9C38-4AE1-BB7E-9AFD3E75FA61}"/>
    <cellStyle name="Migliaia 53 6 3 5" xfId="9740" xr:uid="{20DBDC6D-77D6-4220-BC95-E8E233033869}"/>
    <cellStyle name="Migliaia 53 6 4" xfId="20947" xr:uid="{6DF35B6F-2EE4-4521-8A77-E0716F0ADB74}"/>
    <cellStyle name="Migliaia 53 6 4 2" xfId="40150" xr:uid="{33222EF1-3BA8-4ADF-A93F-02E13002F64F}"/>
    <cellStyle name="Migliaia 53 6 4 3" xfId="45452" xr:uid="{FFAD456D-0CC3-4DF7-B43D-76C57FB11D48}"/>
    <cellStyle name="Migliaia 53 6 4 4" xfId="34528" xr:uid="{35773197-E6DA-4BCE-AB01-F43D920436FB}"/>
    <cellStyle name="Migliaia 53 6 5" xfId="37504" xr:uid="{DF906295-B0A7-4747-8B53-BAAB6EABCB61}"/>
    <cellStyle name="Migliaia 53 6 6" xfId="42801" xr:uid="{F50D1532-17A2-4EBA-9D85-0C8ED2035A07}"/>
    <cellStyle name="Migliaia 53 6 7" xfId="16775" xr:uid="{677D05B8-789C-40B1-848E-B3B92BAB0396}"/>
    <cellStyle name="Migliaia 53 6 8" xfId="7578" xr:uid="{21747055-6B16-4CF9-843B-326906616A6D}"/>
    <cellStyle name="Migliaia 53 7" xfId="3886" xr:uid="{70E68BE1-DC05-4D07-9B9D-3BD84C43AE9B}"/>
    <cellStyle name="Migliaia 53 7 2" xfId="5612" xr:uid="{CF88FE01-EA63-4EEA-A9CB-E3BDCC086337}"/>
    <cellStyle name="Migliaia 53 7 2 2" xfId="35464" xr:uid="{AA093696-A470-4175-9165-7C71D5D4881B}"/>
    <cellStyle name="Migliaia 53 7 2 2 2" xfId="40624" xr:uid="{E03B9E6D-CE2F-4533-BBB2-FE03D5B01947}"/>
    <cellStyle name="Migliaia 53 7 2 2 3" xfId="45926" xr:uid="{D7BCC61C-1E1B-4F18-AA09-6759D0DBC8E1}"/>
    <cellStyle name="Migliaia 53 7 2 3" xfId="37973" xr:uid="{D262FECD-09F0-4CE2-B246-095C8EE78A1D}"/>
    <cellStyle name="Migliaia 53 7 2 4" xfId="43275" xr:uid="{2E80932A-2956-4789-8399-EECC41C57BDE}"/>
    <cellStyle name="Migliaia 53 7 2 5" xfId="14323" xr:uid="{981EB1C1-E609-48D7-9873-996D0D725A6D}"/>
    <cellStyle name="Migliaia 53 7 3" xfId="6787" xr:uid="{48E6106B-95FD-4672-B5EB-0A65BEEC2C19}"/>
    <cellStyle name="Migliaia 53 7 3 2" xfId="40151" xr:uid="{E952B0AF-BE45-48B6-8A9F-81D6CF77801D}"/>
    <cellStyle name="Migliaia 53 7 3 3" xfId="45453" xr:uid="{44A10C0B-F4DB-4F28-BE49-EED9465F1825}"/>
    <cellStyle name="Migliaia 53 7 3 4" xfId="34529" xr:uid="{7B5BDA90-F419-47FC-A9A9-F706875EB3F2}"/>
    <cellStyle name="Migliaia 53 7 3 5" xfId="20949" xr:uid="{1FE41992-CEB4-4DBF-8AF4-380891D0A023}"/>
    <cellStyle name="Migliaia 53 7 4" xfId="37505" xr:uid="{CDE16D51-6C20-410D-9117-C701D331B96F}"/>
    <cellStyle name="Migliaia 53 7 5" xfId="42802" xr:uid="{F4904A8D-1874-42F6-89A9-85C3B9462125}"/>
    <cellStyle name="Migliaia 53 7 6" xfId="16777" xr:uid="{37E20742-BD2D-4CE9-9FD6-3F2D6D9D2E05}"/>
    <cellStyle name="Migliaia 53 7 7" xfId="8385" xr:uid="{22B12744-CFD3-48B4-9CE6-CCB74870FDDE}"/>
    <cellStyle name="Migliaia 53 8" xfId="3887" xr:uid="{0B0BDC8D-2324-43D5-A4D7-2B25317E1EB9}"/>
    <cellStyle name="Migliaia 53 8 2" xfId="5613" xr:uid="{4DD31888-8092-4F16-8E5F-747D536714AE}"/>
    <cellStyle name="Migliaia 53 8 2 2" xfId="35465" xr:uid="{4675654E-79CD-4DA7-818F-F7E9D0EEE863}"/>
    <cellStyle name="Migliaia 53 8 2 2 2" xfId="40625" xr:uid="{BB06DB45-1675-466C-B3D5-3CD503D0FD32}"/>
    <cellStyle name="Migliaia 53 8 2 2 3" xfId="45927" xr:uid="{5571C459-59FB-46A1-BFA6-B45E98BB1CE3}"/>
    <cellStyle name="Migliaia 53 8 2 3" xfId="37974" xr:uid="{A754FD9B-0A7D-4016-8DDB-484A615ED28E}"/>
    <cellStyle name="Migliaia 53 8 2 4" xfId="43276" xr:uid="{1BEA1DA1-04CB-4388-95E4-C41F08628195}"/>
    <cellStyle name="Migliaia 53 8 2 5" xfId="14028" xr:uid="{38DDBB0D-56DC-4AF3-8D3A-4A58C820B6C0}"/>
    <cellStyle name="Migliaia 53 8 3" xfId="6788" xr:uid="{C9535630-BD64-4B75-9277-F76A5D03542D}"/>
    <cellStyle name="Migliaia 53 8 3 2" xfId="40152" xr:uid="{CCC07F45-FE4A-4EC2-9416-A547621DF78F}"/>
    <cellStyle name="Migliaia 53 8 3 3" xfId="45454" xr:uid="{E44D532A-BD88-440C-BF84-C7A030989D1C}"/>
    <cellStyle name="Migliaia 53 8 3 4" xfId="34530" xr:uid="{52D25390-8202-4264-9472-E6C6CFB78B19}"/>
    <cellStyle name="Migliaia 53 8 3 5" xfId="20950" xr:uid="{65B7B4A3-BD0A-4FF0-A195-5CE7C452349D}"/>
    <cellStyle name="Migliaia 53 8 4" xfId="37506" xr:uid="{8BD0CAC5-D91E-403E-9566-BF87A82528BE}"/>
    <cellStyle name="Migliaia 53 8 5" xfId="42803" xr:uid="{CF6A8523-C7EE-42BE-9705-9AD10D3DB77F}"/>
    <cellStyle name="Migliaia 53 8 6" xfId="16778" xr:uid="{8C640410-7DDC-44A3-80C2-B10A2B611F9B}"/>
    <cellStyle name="Migliaia 53 8 7" xfId="8014" xr:uid="{60FFCE6D-A5B9-492E-9BD5-5AF9ADCFF2E9}"/>
    <cellStyle name="Migliaia 53 9" xfId="5598" xr:uid="{05C21FDF-6308-485A-A7EA-B51E0C017029}"/>
    <cellStyle name="Migliaia 53 9 2" xfId="34531" xr:uid="{6D23DF12-77B5-4663-9CBC-AECB74DF0F10}"/>
    <cellStyle name="Migliaia 53 9 2 2" xfId="40153" xr:uid="{149F1371-2E1B-4883-8E38-A72D81FC8D91}"/>
    <cellStyle name="Migliaia 53 9 2 3" xfId="45455" xr:uid="{CB1B0001-3ACD-4806-AFB6-436BFBEDDF71}"/>
    <cellStyle name="Migliaia 53 9 3" xfId="37507" xr:uid="{4BB1D22D-43AF-4BC6-80D4-A06A999C907D}"/>
    <cellStyle name="Migliaia 53 9 4" xfId="42804" xr:uid="{FE2DCBB3-C250-467A-9A94-FB66D29C5D73}"/>
    <cellStyle name="Migliaia 53 9 5" xfId="17231" xr:uid="{80974EAE-6625-4055-8035-72545AA6DCE1}"/>
    <cellStyle name="Migliaia 54" xfId="497" xr:uid="{00000000-0005-0000-0000-000078040000}"/>
    <cellStyle name="Migliaia 54 10" xfId="6789" xr:uid="{29E2D201-844F-419E-8397-878EB832E861}"/>
    <cellStyle name="Migliaia 54 10 2" xfId="40154" xr:uid="{CDA27A1D-5267-49BB-970B-E7274EEF67A1}"/>
    <cellStyle name="Migliaia 54 10 3" xfId="45456" xr:uid="{21D9428A-E5A3-4105-A40E-F037582C610C}"/>
    <cellStyle name="Migliaia 54 10 4" xfId="34532" xr:uid="{8261FD95-051E-4951-AB00-BB569256D7B6}"/>
    <cellStyle name="Migliaia 54 10 5" xfId="20951" xr:uid="{1DBBB4D4-B77D-4072-AB68-96BDA4999FA9}"/>
    <cellStyle name="Migliaia 54 11" xfId="3888" xr:uid="{A406B706-863B-4438-99BF-EC8C477204ED}"/>
    <cellStyle name="Migliaia 54 11 2" xfId="37508" xr:uid="{8E8014E9-EF68-4F23-8694-6657F49F14D7}"/>
    <cellStyle name="Migliaia 54 12" xfId="42805" xr:uid="{3F99CA1C-2B4A-4355-B0C6-86AC9307E104}"/>
    <cellStyle name="Migliaia 54 13" xfId="7189" xr:uid="{B69C79BD-77E8-4826-AAB2-6926CB0401E9}"/>
    <cellStyle name="Migliaia 54 2" xfId="498" xr:uid="{00000000-0005-0000-0000-000079040000}"/>
    <cellStyle name="Migliaia 54 2 2" xfId="1901" xr:uid="{00000000-0005-0000-0000-00007A040000}"/>
    <cellStyle name="Migliaia 54 2 2 2" xfId="5616" xr:uid="{1E2B8EB1-7F5B-4C7E-ACBF-C6D64F2F9CD9}"/>
    <cellStyle name="Migliaia 54 2 2 2 2" xfId="14412" xr:uid="{25D58D7C-0000-4671-956B-78FF1AAEE30D}"/>
    <cellStyle name="Migliaia 54 2 2 2 2 2" xfId="40155" xr:uid="{BBC54067-619C-4FF8-A738-769BC2FF5186}"/>
    <cellStyle name="Migliaia 54 2 2 2 2 3" xfId="45457" xr:uid="{BB890453-E97E-4129-945F-4387ED144A05}"/>
    <cellStyle name="Migliaia 54 2 2 2 3" xfId="18509" xr:uid="{4B8760D3-B257-4E6B-8287-31000BA19524}"/>
    <cellStyle name="Migliaia 54 2 2 2 4" xfId="20954" xr:uid="{051895EB-54FB-4374-9E3B-280530F87E5C}"/>
    <cellStyle name="Migliaia 54 2 2 2 4 2" xfId="42806" xr:uid="{A4B3217A-7D28-4FF7-86A3-BFE2B37334B3}"/>
    <cellStyle name="Migliaia 54 2 2 2 5" xfId="16779" xr:uid="{179C1734-B8B6-4FE2-B918-72E676880A2A}"/>
    <cellStyle name="Migliaia 54 2 2 2 6" xfId="8775" xr:uid="{9A8BDD6D-E6E1-406D-B4C1-D720E7591B93}"/>
    <cellStyle name="Migliaia 54 2 2 3" xfId="6791" xr:uid="{5EE7A8E0-AAD6-43F4-A63A-C8D236DE6C54}"/>
    <cellStyle name="Migliaia 54 2 2 3 2" xfId="35466" xr:uid="{4A8D903D-6C81-46D5-9666-B8BD504A9C98}"/>
    <cellStyle name="Migliaia 54 2 2 3 2 2" xfId="40626" xr:uid="{F6CB9690-3E92-4BC6-A5B4-9E2E1891A3C9}"/>
    <cellStyle name="Migliaia 54 2 2 3 2 3" xfId="45928" xr:uid="{0A649BD1-59E2-4B1F-87A2-1B2A786FB817}"/>
    <cellStyle name="Migliaia 54 2 2 3 3" xfId="37975" xr:uid="{1781FCB6-526B-4073-9F3E-32DBB79FB1FD}"/>
    <cellStyle name="Migliaia 54 2 2 3 4" xfId="43277" xr:uid="{D4C5BC04-813A-4B80-B379-860025A11DD0}"/>
    <cellStyle name="Migliaia 54 2 2 3 5" xfId="11639" xr:uid="{AA347221-9184-4D8F-9C70-A75781A6F887}"/>
    <cellStyle name="Migliaia 54 2 2 4" xfId="3890" xr:uid="{A08667BC-F5EB-4A36-A045-94D93ACFDA11}"/>
    <cellStyle name="Migliaia 54 2 2 4 2" xfId="21613" xr:uid="{5C0B6C84-4893-4EAF-8124-B0E1BF856C93}"/>
    <cellStyle name="Migliaia 54 2 2 4 3" xfId="47428" xr:uid="{04F58C5A-156B-41A2-AE9E-601F6E3DC16D}"/>
    <cellStyle name="Migliaia 54 2 2 4 4" xfId="50628" xr:uid="{CE049798-3960-46A5-B994-C7ECDCC2A43E}"/>
    <cellStyle name="Migliaia 54 2 2 4 5" xfId="53644" xr:uid="{4381C2E6-3FFC-459A-8BE2-62380D49A313}"/>
    <cellStyle name="Migliaia 54 2 2 4 6" xfId="10978" xr:uid="{C06F534E-05A7-4581-AB97-B779680E6336}"/>
    <cellStyle name="Migliaia 54 2 2 5" xfId="20953" xr:uid="{673734F4-1933-4C1D-9C7A-05B72A8A539C}"/>
    <cellStyle name="Migliaia 54 2 2 6" xfId="25339" xr:uid="{FDCE7E4A-492E-4C9F-960F-E6A325964E56}"/>
    <cellStyle name="Migliaia 54 2 2 7" xfId="7585" xr:uid="{4049568C-BFEA-4DDD-BFA0-E4914DEC5B28}"/>
    <cellStyle name="Migliaia 54 2 3" xfId="3891" xr:uid="{0F52A02A-1EB1-4DA5-938E-5EF19D7E75BD}"/>
    <cellStyle name="Migliaia 54 2 3 2" xfId="5617" xr:uid="{1F8DB1B4-5E47-4FED-86D9-C17130741652}"/>
    <cellStyle name="Migliaia 54 2 3 2 2" xfId="35467" xr:uid="{05D69C0F-FBBC-4D55-B489-8FE49B1DDD5E}"/>
    <cellStyle name="Migliaia 54 2 3 2 2 2" xfId="40627" xr:uid="{218C7F36-8B01-410F-90CC-0808652169DD}"/>
    <cellStyle name="Migliaia 54 2 3 2 2 3" xfId="45929" xr:uid="{29F49E20-255F-4E98-A55A-9DA09F4203CC}"/>
    <cellStyle name="Migliaia 54 2 3 2 3" xfId="37976" xr:uid="{4B03DB8B-3AB6-43A5-B71D-648B1B557A82}"/>
    <cellStyle name="Migliaia 54 2 3 2 4" xfId="43278" xr:uid="{1E994805-822A-43E1-A725-8F31D95957AE}"/>
    <cellStyle name="Migliaia 54 2 3 2 5" xfId="14327" xr:uid="{E8D6CA28-B703-49A5-815F-8C74417B77F5}"/>
    <cellStyle name="Migliaia 54 2 3 3" xfId="6792" xr:uid="{322EB5E0-6A70-4508-B49A-111898FFC848}"/>
    <cellStyle name="Migliaia 54 2 3 3 2" xfId="40156" xr:uid="{19C6FBAE-9602-490D-B7BD-D698B22B58DB}"/>
    <cellStyle name="Migliaia 54 2 3 3 3" xfId="45458" xr:uid="{6AFC7455-14E0-4A6C-96A7-45F9E9B825A3}"/>
    <cellStyle name="Migliaia 54 2 3 3 4" xfId="34534" xr:uid="{D5A177BA-1BB4-4F43-97F6-F6DC54A203D1}"/>
    <cellStyle name="Migliaia 54 2 3 3 5" xfId="20955" xr:uid="{6DDBC2BC-F79B-4156-A161-B6FD974C0FF3}"/>
    <cellStyle name="Migliaia 54 2 3 4" xfId="37510" xr:uid="{779B39D9-581A-4431-922B-A15F47B7DA30}"/>
    <cellStyle name="Migliaia 54 2 3 5" xfId="42807" xr:uid="{B1839CFF-3AD6-45EA-8FC0-294D82138EB2}"/>
    <cellStyle name="Migliaia 54 2 3 6" xfId="16780" xr:uid="{17737D49-6660-4873-A8AE-CC629ECE5FB5}"/>
    <cellStyle name="Migliaia 54 2 3 7" xfId="8389" xr:uid="{3042CB81-F617-4350-98B8-C3154D28B06B}"/>
    <cellStyle name="Migliaia 54 2 4" xfId="5615" xr:uid="{021C4E47-12A3-443B-B853-1EA4424E945E}"/>
    <cellStyle name="Migliaia 54 2 4 2" xfId="14032" xr:uid="{E327461E-6FA9-4A6F-9B29-F40DE1191182}"/>
    <cellStyle name="Migliaia 54 2 4 2 2" xfId="40157" xr:uid="{08B1731F-AAA8-4539-9547-E83AB261F69B}"/>
    <cellStyle name="Migliaia 54 2 4 2 3" xfId="45459" xr:uid="{D50AA3A7-6BC2-48AA-82EC-417A14F010C6}"/>
    <cellStyle name="Migliaia 54 2 4 3" xfId="18603" xr:uid="{E76961FA-2A03-4F67-AC69-DB4F567980CB}"/>
    <cellStyle name="Migliaia 54 2 4 4" xfId="20956" xr:uid="{6324F46F-0F9D-4E78-A0D4-FB4901F6098D}"/>
    <cellStyle name="Migliaia 54 2 4 4 2" xfId="42808" xr:uid="{F04B209C-F5E2-4D61-9ECB-E8F80848DC4C}"/>
    <cellStyle name="Migliaia 54 2 4 5" xfId="16781" xr:uid="{BE5A815C-B18C-479C-B966-ADB5B9013674}"/>
    <cellStyle name="Migliaia 54 2 4 6" xfId="8019" xr:uid="{0B344533-9087-4335-B179-7462152F3019}"/>
    <cellStyle name="Migliaia 54 2 5" xfId="6790" xr:uid="{D659F3B8-07E4-4E59-A069-EA3A6564622A}"/>
    <cellStyle name="Migliaia 54 2 5 2" xfId="34535" xr:uid="{1DBC4605-B08B-402D-8095-AA62DC0DFDDF}"/>
    <cellStyle name="Migliaia 54 2 5 2 2" xfId="40158" xr:uid="{6AC812BE-8DDB-48A7-89A7-5214354934EC}"/>
    <cellStyle name="Migliaia 54 2 5 2 3" xfId="45460" xr:uid="{FE200328-7716-47B8-855A-F1AD01FE75B4}"/>
    <cellStyle name="Migliaia 54 2 5 3" xfId="37511" xr:uid="{9B8A3899-0929-4A46-91FF-DDB1B77E4A4E}"/>
    <cellStyle name="Migliaia 54 2 5 4" xfId="42809" xr:uid="{42D493DF-6F9F-4FFE-A8B5-698049C17D85}"/>
    <cellStyle name="Migliaia 54 2 5 5" xfId="13152" xr:uid="{4E8E7274-FF24-45E3-90F6-CE159DA8CDE0}"/>
    <cellStyle name="Migliaia 54 2 6" xfId="3889" xr:uid="{39FA281F-3ED5-41C5-8605-077420AF120F}"/>
    <cellStyle name="Migliaia 54 2 6 2" xfId="34536" xr:uid="{B4C52D17-35B1-405C-A369-DCDD61D43DDC}"/>
    <cellStyle name="Migliaia 54 2 6 2 2" xfId="40159" xr:uid="{F8A0EC7B-B128-4F41-A9B7-1A9DD94555F5}"/>
    <cellStyle name="Migliaia 54 2 6 2 3" xfId="45461" xr:uid="{939B5E94-2D5E-4E59-A169-0E79F8B88322}"/>
    <cellStyle name="Migliaia 54 2 6 3" xfId="37512" xr:uid="{3946FEB3-A0D5-4F13-911B-032876F3DE58}"/>
    <cellStyle name="Migliaia 54 2 6 4" xfId="42810" xr:uid="{9D425E6F-C4D5-4107-B55B-11E67CDAF7D5}"/>
    <cellStyle name="Migliaia 54 2 6 5" xfId="25341" xr:uid="{9AE9F591-5780-4B6F-89DB-CB62EC96F818}"/>
    <cellStyle name="Migliaia 54 2 6 6" xfId="20952" xr:uid="{39545DEF-8C6F-493B-8B65-AEDC0C9D5310}"/>
    <cellStyle name="Migliaia 54 2 7" xfId="25338" xr:uid="{A8F5E1FF-2D61-4530-A535-8291016BF991}"/>
    <cellStyle name="Migliaia 54 2 8" xfId="7190" xr:uid="{CE938A4C-99AD-4E84-B5A5-8E7478D85C65}"/>
    <cellStyle name="Migliaia 54 3" xfId="499" xr:uid="{00000000-0005-0000-0000-00007B040000}"/>
    <cellStyle name="Migliaia 54 3 10" xfId="25342" xr:uid="{3B9FE3BD-B3DB-4C46-A633-224ECC5B8A17}"/>
    <cellStyle name="Migliaia 54 3 11" xfId="16782" xr:uid="{C30BACC1-0678-4712-8211-0B1F4D09BCF7}"/>
    <cellStyle name="Migliaia 54 3 12" xfId="7191" xr:uid="{205241EF-13A3-4E4D-958D-5A7E451C450E}"/>
    <cellStyle name="Migliaia 54 3 2" xfId="500" xr:uid="{00000000-0005-0000-0000-00007C040000}"/>
    <cellStyle name="Migliaia 54 3 2 2" xfId="1902" xr:uid="{00000000-0005-0000-0000-00007D040000}"/>
    <cellStyle name="Migliaia 54 3 2 2 2" xfId="5620" xr:uid="{34487C83-14F3-4C66-95FB-221A974E49F3}"/>
    <cellStyle name="Migliaia 54 3 2 2 2 2" xfId="18510" xr:uid="{354673E0-69BD-4B32-8E7E-15560A7C8958}"/>
    <cellStyle name="Migliaia 54 3 2 2 2 2 2" xfId="21890" xr:uid="{87BA186B-BC3D-40EC-8240-CB47ADC61A3F}"/>
    <cellStyle name="Migliaia 54 3 2 2 2 2 2 2" xfId="40160" xr:uid="{B2DBB543-8E4D-49CD-ABDB-2F44D913EF4B}"/>
    <cellStyle name="Migliaia 54 3 2 2 2 2 3" xfId="45462" xr:uid="{0928A606-67F5-4280-8DAB-45755F1BE11C}"/>
    <cellStyle name="Migliaia 54 3 2 2 2 2 4" xfId="34537" xr:uid="{04756837-DA18-4EDB-A748-6774DA1A90E1}"/>
    <cellStyle name="Migliaia 54 3 2 2 2 3" xfId="37513" xr:uid="{ED4D065A-8EB3-461E-B5DE-950D32D028D6}"/>
    <cellStyle name="Migliaia 54 3 2 2 2 4" xfId="42811" xr:uid="{03EFE10A-5A21-46B3-A78B-03E10B58D5D6}"/>
    <cellStyle name="Migliaia 54 3 2 2 2 5" xfId="47816" xr:uid="{2F5EF880-2561-4C51-ADA4-0B0099C3B58B}"/>
    <cellStyle name="Migliaia 54 3 2 2 2 6" xfId="50918" xr:uid="{D8506F35-0962-43D9-AA82-081F43B63D7F}"/>
    <cellStyle name="Migliaia 54 3 2 2 2 7" xfId="53934" xr:uid="{E18D0C05-4C19-4885-8534-92FAA7EDA8E0}"/>
    <cellStyle name="Migliaia 54 3 2 2 2 8" xfId="17689" xr:uid="{BF1FA7F9-4564-4122-8CE6-68F10F98645D}"/>
    <cellStyle name="Migliaia 54 3 2 2 2 9" xfId="12083" xr:uid="{F1C1C982-111E-4A33-8C51-49AA269A58A7}"/>
    <cellStyle name="Migliaia 54 3 2 2 3" xfId="6795" xr:uid="{72E798C2-34BB-4A7F-AE46-AC32A70D22CA}"/>
    <cellStyle name="Migliaia 54 3 2 2 3 2" xfId="11120" xr:uid="{39200F69-CB58-47A1-A515-96A491E40F69}"/>
    <cellStyle name="Migliaia 54 3 2 2 4" xfId="3894" xr:uid="{AE482941-0D8B-4774-9A58-036662BF809B}"/>
    <cellStyle name="Migliaia 54 3 2 2 4 2" xfId="21614" xr:uid="{21A20B04-F59A-4E89-9422-3014661030EF}"/>
    <cellStyle name="Migliaia 54 3 2 2 4 3" xfId="25188" xr:uid="{DD3BAB02-0DCB-467A-AC2F-88AFBA30B923}"/>
    <cellStyle name="Migliaia 54 3 2 2 4 4" xfId="50629" xr:uid="{8452536E-1FB1-4224-82C9-3770F004F6DD}"/>
    <cellStyle name="Migliaia 54 3 2 2 4 5" xfId="53645" xr:uid="{8F7FC828-DFC2-41AB-8DAC-CC41D1D7CA14}"/>
    <cellStyle name="Migliaia 54 3 2 2 4 6" xfId="10979" xr:uid="{CE9E9804-B31F-4D67-AE08-6F3AC0001C1F}"/>
    <cellStyle name="Migliaia 54 3 2 2 5" xfId="20959" xr:uid="{C0E1F3B2-E727-4DEF-A46C-3A919F7A6E0C}"/>
    <cellStyle name="Migliaia 54 3 2 2 6" xfId="25344" xr:uid="{473EDDDA-5A4F-477A-9D7F-50466F5FFDD1}"/>
    <cellStyle name="Migliaia 54 3 2 2 7" xfId="8777" xr:uid="{F545CAF9-1328-48F2-81E7-AD7CC372F14B}"/>
    <cellStyle name="Migliaia 54 3 2 3" xfId="5619" xr:uid="{6E2759E1-F77C-485A-AD20-ED2CFBB2707B}"/>
    <cellStyle name="Migliaia 54 3 2 3 2" xfId="12398" xr:uid="{5877880F-C41A-421B-90DC-A045020B32FE}"/>
    <cellStyle name="Migliaia 54 3 2 3 2 2" xfId="40161" xr:uid="{988A4C2D-DAA0-46B4-B3BA-E89AD63AB80F}"/>
    <cellStyle name="Migliaia 54 3 2 3 2 3" xfId="45463" xr:uid="{95BBB139-7903-4228-82E1-FFB4ED56C852}"/>
    <cellStyle name="Migliaia 54 3 2 3 2 4" xfId="34538" xr:uid="{FC32F406-C478-4C1A-B285-1E11BFBD4C19}"/>
    <cellStyle name="Migliaia 54 3 2 3 3" xfId="12084" xr:uid="{F6E96692-1FEE-466F-A34B-A0E59E442BB0}"/>
    <cellStyle name="Migliaia 54 3 2 3 4" xfId="20960" xr:uid="{53700C18-8ADD-4E53-885E-0E6FD0AEC43F}"/>
    <cellStyle name="Migliaia 54 3 2 3 4 2" xfId="42812" xr:uid="{6327BE66-89DD-4704-B097-99E3991B8DFD}"/>
    <cellStyle name="Migliaia 54 3 2 3 5" xfId="16783" xr:uid="{A64EBE3B-DF26-4729-B0E5-B261906E8994}"/>
    <cellStyle name="Migliaia 54 3 2 3 6" xfId="8021" xr:uid="{E7D40B61-C7A2-48FE-8A84-95BC31362605}"/>
    <cellStyle name="Migliaia 54 3 2 4" xfId="6794" xr:uid="{06005A2B-294B-442B-BBFC-B031E12CFAE8}"/>
    <cellStyle name="Migliaia 54 3 2 4 2" xfId="18106" xr:uid="{575C602A-DF27-4188-B07A-15AD97406EDE}"/>
    <cellStyle name="Migliaia 54 3 2 4 2 2" xfId="40162" xr:uid="{59BE9163-D1B5-40A0-B240-6310D0471425}"/>
    <cellStyle name="Migliaia 54 3 2 4 2 3" xfId="45464" xr:uid="{B363389D-8D55-4E67-86DB-5DC4B5556EB4}"/>
    <cellStyle name="Migliaia 54 3 2 4 3" xfId="37514" xr:uid="{D5D8AF76-5BB1-4553-A85C-FD6ED863370F}"/>
    <cellStyle name="Migliaia 54 3 2 4 4" xfId="42813" xr:uid="{7A6578F7-9AA9-4B90-9819-77C098A45517}"/>
    <cellStyle name="Migliaia 54 3 2 4 5" xfId="17234" xr:uid="{D3058889-5FCD-440F-94FC-89582B8D8C61}"/>
    <cellStyle name="Migliaia 54 3 2 4 6" xfId="11436" xr:uid="{8609095F-AE18-4717-ADA4-DA0F0F24D140}"/>
    <cellStyle name="Migliaia 54 3 2 5" xfId="3893" xr:uid="{E5F482F6-E013-4D57-8246-19B1B469C6EC}"/>
    <cellStyle name="Migliaia 54 3 2 5 2" xfId="34539" xr:uid="{F568EF24-2935-42AE-8AD5-4742C690D8BC}"/>
    <cellStyle name="Migliaia 54 3 2 5 2 2" xfId="40163" xr:uid="{20B061D9-E00A-4393-945B-E39025873B90}"/>
    <cellStyle name="Migliaia 54 3 2 5 2 3" xfId="45465" xr:uid="{B5470423-0D22-4A43-A51F-F3F981F24420}"/>
    <cellStyle name="Migliaia 54 3 2 5 3" xfId="37515" xr:uid="{28E7FBEE-70DB-46A9-8815-10528A41395F}"/>
    <cellStyle name="Migliaia 54 3 2 5 4" xfId="42814" xr:uid="{4F67823C-7807-43EA-9145-423B53BC1713}"/>
    <cellStyle name="Migliaia 54 3 2 5 5" xfId="17279" xr:uid="{41299EC5-22F8-4E42-98A3-5C0FFCFCC093}"/>
    <cellStyle name="Migliaia 54 3 2 6" xfId="20958" xr:uid="{411E3D0F-2F1A-4C8B-B8CD-D38DE8AE2D32}"/>
    <cellStyle name="Migliaia 54 3 2 6 2" xfId="34540" xr:uid="{2877B620-4BAC-4E0F-82B7-376D44CFD22E}"/>
    <cellStyle name="Migliaia 54 3 2 6 2 2" xfId="40164" xr:uid="{6ABDA12E-EDF7-43D5-9236-35BE67B55F0F}"/>
    <cellStyle name="Migliaia 54 3 2 6 2 3" xfId="45466" xr:uid="{688AB824-58FA-432A-BAEF-B94F4FDDBAA3}"/>
    <cellStyle name="Migliaia 54 3 2 6 3" xfId="37516" xr:uid="{856945A2-2759-4BE9-BE2C-81D0527282CF}"/>
    <cellStyle name="Migliaia 54 3 2 6 4" xfId="42815" xr:uid="{763B5B34-3639-48CD-8570-7CF75D84D814}"/>
    <cellStyle name="Migliaia 54 3 2 6 5" xfId="25345" xr:uid="{EA497115-228B-4FE6-8129-87518C93398C}"/>
    <cellStyle name="Migliaia 54 3 2 7" xfId="25343" xr:uid="{1EE9395D-B0C3-484D-977A-5DBE59322C36}"/>
    <cellStyle name="Migliaia 54 3 2 8" xfId="7587" xr:uid="{81625012-B74C-430E-BFD1-B5DA9C5D666E}"/>
    <cellStyle name="Migliaia 54 3 3" xfId="3895" xr:uid="{E8707CFD-BDCA-439B-8398-0F537546007A}"/>
    <cellStyle name="Migliaia 54 3 3 10" xfId="7586" xr:uid="{0169C52E-5578-4E8B-BD7F-EEEFD0D7DF83}"/>
    <cellStyle name="Migliaia 54 3 3 2" xfId="5621" xr:uid="{20B7B2A1-78A3-4653-B9CF-70A9E97E5AC1}"/>
    <cellStyle name="Migliaia 54 3 3 2 2" xfId="9980" xr:uid="{FCDF6335-4D1F-44D6-AD27-C8E36CE9CF4C}"/>
    <cellStyle name="Migliaia 54 3 3 2 2 2" xfId="40166" xr:uid="{3C03998A-7FA3-40A1-9EF4-B9CBE3EBD319}"/>
    <cellStyle name="Migliaia 54 3 3 2 2 3" xfId="45468" xr:uid="{A81EC7A1-DC63-48F6-B909-DE488069649B}"/>
    <cellStyle name="Migliaia 54 3 3 2 3" xfId="18260" xr:uid="{D647A842-A247-49A1-BAC1-A803FFA10DD2}"/>
    <cellStyle name="Migliaia 54 3 3 2 4" xfId="20962" xr:uid="{3467C5E5-87F1-4C69-8C8E-5B853EC8C828}"/>
    <cellStyle name="Migliaia 54 3 3 2 4 2" xfId="42817" xr:uid="{C8612538-6437-4520-B571-1B229C83325E}"/>
    <cellStyle name="Migliaia 54 3 3 2 5" xfId="16785" xr:uid="{2A228371-63B1-4625-BBC6-6EDD8EE0ABEA}"/>
    <cellStyle name="Migliaia 54 3 3 2 6" xfId="8776" xr:uid="{EEA0486D-AEF1-4D9A-83AD-93CD490E8B4B}"/>
    <cellStyle name="Migliaia 54 3 3 3" xfId="6796" xr:uid="{79B4DB88-845E-4961-A3AF-F5F82A8FDBE4}"/>
    <cellStyle name="Migliaia 54 3 3 3 2" xfId="34543" xr:uid="{60887DD3-B47E-4990-8114-C4DD3B9FB228}"/>
    <cellStyle name="Migliaia 54 3 3 3 2 2" xfId="40167" xr:uid="{CD0F1E86-E54C-4810-867C-A3661E3A922C}"/>
    <cellStyle name="Migliaia 54 3 3 3 2 3" xfId="45469" xr:uid="{F406B137-6001-4677-AACA-8E3AC767D037}"/>
    <cellStyle name="Migliaia 54 3 3 3 3" xfId="37519" xr:uid="{89627C87-68F8-4C7E-98E9-D58C58E426AD}"/>
    <cellStyle name="Migliaia 54 3 3 3 4" xfId="42818" xr:uid="{B2ABECCC-8D27-4D80-B6B1-DD2437BD81FA}"/>
    <cellStyle name="Migliaia 54 3 3 3 5" xfId="9743" xr:uid="{1A25C2A8-EE06-4ECD-94F9-A03FA5352B97}"/>
    <cellStyle name="Migliaia 54 3 3 4" xfId="20961" xr:uid="{8555DB1A-BECC-4976-8CF3-B1ECD63251D8}"/>
    <cellStyle name="Migliaia 54 3 3 4 2" xfId="34544" xr:uid="{D89951CF-1F21-43C8-ADA2-0C743884F651}"/>
    <cellStyle name="Migliaia 54 3 3 4 2 2" xfId="40168" xr:uid="{B85D0FE4-8218-4E8C-9151-7DC3A7BB4D5E}"/>
    <cellStyle name="Migliaia 54 3 3 4 2 3" xfId="45470" xr:uid="{146299BA-B5EC-4856-805B-316F706FE400}"/>
    <cellStyle name="Migliaia 54 3 3 4 3" xfId="37520" xr:uid="{78A975E7-9889-4C32-BAE6-BB1914898898}"/>
    <cellStyle name="Migliaia 54 3 3 4 4" xfId="42819" xr:uid="{ABB1F0FE-F20D-43C2-8457-FAF07CC674BD}"/>
    <cellStyle name="Migliaia 54 3 3 4 5" xfId="25347" xr:uid="{21CA2963-6677-4B16-AE74-4F76BCA50AD6}"/>
    <cellStyle name="Migliaia 54 3 3 5" xfId="25348" xr:uid="{520A35CA-71AF-43D0-A367-94C56596E1F3}"/>
    <cellStyle name="Migliaia 54 3 3 5 2" xfId="34545" xr:uid="{E20626E8-3E7D-435C-9BAE-F313521177AC}"/>
    <cellStyle name="Migliaia 54 3 3 5 2 2" xfId="40169" xr:uid="{ADDC1A90-BC44-4F7F-BBCE-46F456A70FCE}"/>
    <cellStyle name="Migliaia 54 3 3 5 2 3" xfId="45471" xr:uid="{A3C098ED-E527-49C6-916F-32FF1855D690}"/>
    <cellStyle name="Migliaia 54 3 3 5 3" xfId="37521" xr:uid="{77CB0A81-0372-4836-B550-4D540E357F58}"/>
    <cellStyle name="Migliaia 54 3 3 5 4" xfId="42820" xr:uid="{DA7C1E51-B3B5-473E-831B-3759EF3BC59F}"/>
    <cellStyle name="Migliaia 54 3 3 6" xfId="34541" xr:uid="{3531C5CF-8388-49E1-B91A-1F964E1F4C45}"/>
    <cellStyle name="Migliaia 54 3 3 6 2" xfId="40165" xr:uid="{03132AD6-8122-41E5-820C-89B9318A13EC}"/>
    <cellStyle name="Migliaia 54 3 3 6 3" xfId="45467" xr:uid="{0B7F4537-C704-4BAA-B984-45ECDB51B2CC}"/>
    <cellStyle name="Migliaia 54 3 3 7" xfId="37517" xr:uid="{8878E658-28B0-4217-AD12-FD124DCE88EC}"/>
    <cellStyle name="Migliaia 54 3 3 8" xfId="42816" xr:uid="{1FAD045A-9467-4906-A466-0CDD72920ECB}"/>
    <cellStyle name="Migliaia 54 3 3 9" xfId="16784" xr:uid="{255D99FC-F9CC-4716-A512-4C48C70BE550}"/>
    <cellStyle name="Migliaia 54 3 4" xfId="3896" xr:uid="{12333AE5-B3C3-44F7-9A8A-576D7C8A6313}"/>
    <cellStyle name="Migliaia 54 3 4 2" xfId="5622" xr:uid="{70EE280B-D1E8-4127-9069-0F969FA948B9}"/>
    <cellStyle name="Migliaia 54 3 4 2 2" xfId="14472" xr:uid="{7409A618-9559-48B9-AD61-616C815FE3FD}"/>
    <cellStyle name="Migliaia 54 3 4 2 3" xfId="18135" xr:uid="{7C04A69F-81F9-45D9-BB81-8DDDBE386250}"/>
    <cellStyle name="Migliaia 54 3 4 2 4" xfId="20964" xr:uid="{82B1E1A6-57A2-4907-86FE-1934843A5E4F}"/>
    <cellStyle name="Migliaia 54 3 4 2 5" xfId="32468" xr:uid="{ABCCA9D7-47BB-4089-99D9-C6CEB5FA96F9}"/>
    <cellStyle name="Migliaia 54 3 4 2 6" xfId="16787" xr:uid="{4BBBAD11-2DFB-4AE2-B293-D482ED02D501}"/>
    <cellStyle name="Migliaia 54 3 4 2 7" xfId="8895" xr:uid="{D0708DAD-5155-411D-A971-51B04EDAD3E3}"/>
    <cellStyle name="Migliaia 54 3 4 3" xfId="6797" xr:uid="{D07C26F9-0E80-46F3-9B8A-6E9959EB834B}"/>
    <cellStyle name="Migliaia 54 3 4 3 2" xfId="35468" xr:uid="{73F849E2-F4E6-44FA-88F4-FE3DE8794C3F}"/>
    <cellStyle name="Migliaia 54 3 4 3 2 2" xfId="40628" xr:uid="{8E418A6A-1AF7-44B6-9DCD-5A2EA851565A}"/>
    <cellStyle name="Migliaia 54 3 4 3 2 3" xfId="45930" xr:uid="{43FD40BB-FD19-45BF-B25D-1D2902592C8E}"/>
    <cellStyle name="Migliaia 54 3 4 3 3" xfId="37977" xr:uid="{001D3DC5-4170-4439-8D6C-6788C603A40F}"/>
    <cellStyle name="Migliaia 54 3 4 3 4" xfId="43279" xr:uid="{9BFD4DA3-5039-478B-8D61-B490B0691E21}"/>
    <cellStyle name="Migliaia 54 3 4 3 5" xfId="13720" xr:uid="{9E9863B5-0114-4830-9D28-81654B260A34}"/>
    <cellStyle name="Migliaia 54 3 4 4" xfId="20963" xr:uid="{17A734C7-1435-408C-9756-2A715AD530C5}"/>
    <cellStyle name="Migliaia 54 3 4 4 2" xfId="40170" xr:uid="{B2428AD5-3A76-44A3-BB52-4939D639AB0D}"/>
    <cellStyle name="Migliaia 54 3 4 4 3" xfId="45472" xr:uid="{47E094AE-AF3E-4BF5-A32A-48A9E7C2FB24}"/>
    <cellStyle name="Migliaia 54 3 4 4 4" xfId="34546" xr:uid="{7C763507-47F4-40FF-BD83-823DA6B52F3F}"/>
    <cellStyle name="Migliaia 54 3 4 5" xfId="37522" xr:uid="{4E80AB16-239A-46DA-B7B3-4F0145019A5E}"/>
    <cellStyle name="Migliaia 54 3 4 6" xfId="42821" xr:uid="{8323A9D1-960C-432B-9301-9A57D81C5E39}"/>
    <cellStyle name="Migliaia 54 3 4 7" xfId="16786" xr:uid="{684F5757-64A4-4E6A-BC0F-F0A1B0ACD885}"/>
    <cellStyle name="Migliaia 54 3 4 8" xfId="7705" xr:uid="{CC0BCF55-8822-4720-AC99-11EF63ED559D}"/>
    <cellStyle name="Migliaia 54 3 5" xfId="3897" xr:uid="{69D3EF5A-6021-4B69-8184-7F316D4B4A34}"/>
    <cellStyle name="Migliaia 54 3 5 2" xfId="5623" xr:uid="{F543C407-A716-4014-8282-6CE86883F0A6}"/>
    <cellStyle name="Migliaia 54 3 5 2 2" xfId="35469" xr:uid="{BAC2829F-8B59-4F35-A928-AC575D1B380F}"/>
    <cellStyle name="Migliaia 54 3 5 2 2 2" xfId="40629" xr:uid="{B6BE04DE-DA60-4598-A4D3-77FF0C3EA01F}"/>
    <cellStyle name="Migliaia 54 3 5 2 2 3" xfId="45931" xr:uid="{8F33FE26-DD39-472E-B3C0-B358D4C09867}"/>
    <cellStyle name="Migliaia 54 3 5 2 3" xfId="37978" xr:uid="{A7801BC0-80A8-4C93-B845-4E27C61F9C90}"/>
    <cellStyle name="Migliaia 54 3 5 2 4" xfId="43280" xr:uid="{7D6F2F7D-47AB-4DE6-86AC-A0EED24A3CD9}"/>
    <cellStyle name="Migliaia 54 3 5 2 5" xfId="14328" xr:uid="{711ED660-244D-46CF-82EF-2945977F349E}"/>
    <cellStyle name="Migliaia 54 3 5 3" xfId="6798" xr:uid="{43905B95-04D1-4EC2-857F-9FA06B82B7C4}"/>
    <cellStyle name="Migliaia 54 3 5 3 2" xfId="40171" xr:uid="{2F5E6D9E-205A-4F27-8002-6AEDE6E38895}"/>
    <cellStyle name="Migliaia 54 3 5 3 3" xfId="45473" xr:uid="{DB734DFD-9476-4139-9EF3-75EC0EB6285F}"/>
    <cellStyle name="Migliaia 54 3 5 3 4" xfId="34547" xr:uid="{877CB8B4-381E-4B8B-A449-33C6E9F6AE53}"/>
    <cellStyle name="Migliaia 54 3 5 3 5" xfId="20965" xr:uid="{445FCF77-3994-4E12-91E7-962D9D029B15}"/>
    <cellStyle name="Migliaia 54 3 5 4" xfId="37523" xr:uid="{64CAEED4-4B0E-4408-9AF5-20C987F81EB6}"/>
    <cellStyle name="Migliaia 54 3 5 5" xfId="42822" xr:uid="{DE4F8EF6-A05D-46C7-8E0E-2854FA1421E6}"/>
    <cellStyle name="Migliaia 54 3 5 6" xfId="16788" xr:uid="{14CE178E-47ED-4210-9D9B-31A7071D6FEB}"/>
    <cellStyle name="Migliaia 54 3 5 7" xfId="8390" xr:uid="{A76C7CB8-C181-409F-B3A1-F8BBF33C889E}"/>
    <cellStyle name="Migliaia 54 3 6" xfId="5618" xr:uid="{F12F2385-5A2B-47D9-A8BE-358B3553570C}"/>
    <cellStyle name="Migliaia 54 3 6 2" xfId="14033" xr:uid="{182782B4-A9E0-4949-966C-9E5A05D916E7}"/>
    <cellStyle name="Migliaia 54 3 6 2 2" xfId="40172" xr:uid="{B6B95ACE-220A-4F87-BB04-395676049C4C}"/>
    <cellStyle name="Migliaia 54 3 6 2 3" xfId="45474" xr:uid="{C7F87A28-920D-4657-81F1-8931D4DF091C}"/>
    <cellStyle name="Migliaia 54 3 6 3" xfId="18027" xr:uid="{2F509B8D-545A-4522-9BC1-9350E623310C}"/>
    <cellStyle name="Migliaia 54 3 6 4" xfId="20966" xr:uid="{1E9273BE-4D6F-4A0D-B2EB-06A269602D63}"/>
    <cellStyle name="Migliaia 54 3 6 4 2" xfId="42823" xr:uid="{0D47EB97-DE4C-41D0-A48B-0D2048ECD0A6}"/>
    <cellStyle name="Migliaia 54 3 6 5" xfId="16789" xr:uid="{362ED2CB-41F1-496D-98AD-AECC47E9F2FA}"/>
    <cellStyle name="Migliaia 54 3 6 6" xfId="8020" xr:uid="{B540267F-BBC5-4FEA-AF0D-503FEA9AA00E}"/>
    <cellStyle name="Migliaia 54 3 7" xfId="6793" xr:uid="{8358025A-587C-42DA-9297-E767BA20C6E5}"/>
    <cellStyle name="Migliaia 54 3 7 2" xfId="34549" xr:uid="{372ADF58-B000-4917-9F86-143D74CBFDCE}"/>
    <cellStyle name="Migliaia 54 3 7 2 2" xfId="40173" xr:uid="{7C26EE32-92C0-49A5-8CE9-7C37044E1479}"/>
    <cellStyle name="Migliaia 54 3 7 2 3" xfId="45475" xr:uid="{54A72C3B-C4E5-44F4-A8E6-80013A7FE988}"/>
    <cellStyle name="Migliaia 54 3 7 3" xfId="37525" xr:uid="{55D5B9CB-9D60-49F9-B312-D4B09D683E4A}"/>
    <cellStyle name="Migliaia 54 3 7 4" xfId="42824" xr:uid="{A6E2A954-5968-4E5F-8C09-4F439D2C49FC}"/>
    <cellStyle name="Migliaia 54 3 7 5" xfId="11529" xr:uid="{4E2397DF-D8A5-4665-A294-C7592E7A3BB1}"/>
    <cellStyle name="Migliaia 54 3 8" xfId="3892" xr:uid="{EC5ACF4E-8899-4780-8353-9DB72EDA0423}"/>
    <cellStyle name="Migliaia 54 3 8 2" xfId="34550" xr:uid="{6A2992A3-8172-4762-82DD-DB3DE4DDD14F}"/>
    <cellStyle name="Migliaia 54 3 8 2 2" xfId="40174" xr:uid="{F69669AC-5441-4B4E-9F74-8256A73E79A2}"/>
    <cellStyle name="Migliaia 54 3 8 2 3" xfId="45476" xr:uid="{CA397230-35CB-42B6-8345-BEC948805373}"/>
    <cellStyle name="Migliaia 54 3 8 3" xfId="37526" xr:uid="{3BA29F3C-2162-4E13-8CD3-C831029DB250}"/>
    <cellStyle name="Migliaia 54 3 8 4" xfId="42825" xr:uid="{D942AD41-7FF5-47AF-BCBC-0628F58AE57A}"/>
    <cellStyle name="Migliaia 54 3 8 5" xfId="25353" xr:uid="{2D4D9D2F-A189-4912-89E8-5E0CE9112FCD}"/>
    <cellStyle name="Migliaia 54 3 8 6" xfId="17280" xr:uid="{C125BC4A-E9A3-49E6-A533-0BCEFD0E7421}"/>
    <cellStyle name="Migliaia 54 3 9" xfId="20957" xr:uid="{B370E34C-69D8-4FA2-AB95-F692D31875EE}"/>
    <cellStyle name="Migliaia 54 4" xfId="1903" xr:uid="{00000000-0005-0000-0000-00007E040000}"/>
    <cellStyle name="Migliaia 54 4 2" xfId="1904" xr:uid="{00000000-0005-0000-0000-00007F040000}"/>
    <cellStyle name="Migliaia 54 4 2 2" xfId="5625" xr:uid="{2E71CD10-6D64-46BE-BB51-2D719789528C}"/>
    <cellStyle name="Migliaia 54 4 2 2 2" xfId="34551" xr:uid="{67BCA534-929D-461D-99AE-0D94D8D39B3C}"/>
    <cellStyle name="Migliaia 54 4 2 2 2 2" xfId="40175" xr:uid="{A73BB807-EBC1-4A9D-9C70-D0873EE19D1F}"/>
    <cellStyle name="Migliaia 54 4 2 2 2 3" xfId="45477" xr:uid="{EC7EEAD1-881F-46A1-A426-CDAABE080505}"/>
    <cellStyle name="Migliaia 54 4 2 2 3" xfId="37527" xr:uid="{A1DCB07E-BB62-4CAA-9CAC-4E5666C12FB2}"/>
    <cellStyle name="Migliaia 54 4 2 2 4" xfId="42826" xr:uid="{60D728A2-2E2B-483D-8081-48D6F8A0C645}"/>
    <cellStyle name="Migliaia 54 4 2 2 5" xfId="9206" xr:uid="{123E50C7-923C-4062-BDC7-6CCE1ABFEAA7}"/>
    <cellStyle name="Migliaia 54 4 2 3" xfId="3899" xr:uid="{3847DD73-BBF6-44DB-B699-5468F0EA4E68}"/>
    <cellStyle name="Migliaia 54 4 2 3 2" xfId="34552" xr:uid="{4ADC263D-9AB1-42EB-8237-AD3C067CD4CA}"/>
    <cellStyle name="Migliaia 54 4 2 3 2 2" xfId="40176" xr:uid="{BD40E59C-169E-4702-948F-65A5849B6AD7}"/>
    <cellStyle name="Migliaia 54 4 2 3 2 3" xfId="45478" xr:uid="{6B1A0ED2-C560-4858-A20F-F7C426DEC368}"/>
    <cellStyle name="Migliaia 54 4 2 3 3" xfId="37528" xr:uid="{4CEF4D7D-9D67-4C41-97DE-71F461C3DC64}"/>
    <cellStyle name="Migliaia 54 4 2 3 4" xfId="42827" xr:uid="{2643CDF5-833F-47CD-B7E5-2E1F51180386}"/>
    <cellStyle name="Migliaia 54 4 2 3 5" xfId="12085" xr:uid="{DF56E66B-2743-4B86-B5DF-583C5BD339E0}"/>
    <cellStyle name="Migliaia 54 4 2 4" xfId="11438" xr:uid="{FD6B9CFB-859D-46A1-81A9-5964C366F495}"/>
    <cellStyle name="Migliaia 54 4 2 5" xfId="10981" xr:uid="{376D1912-C57A-46E1-A21B-645E50138957}"/>
    <cellStyle name="Migliaia 54 4 2 5 2" xfId="21616" xr:uid="{354E6B65-DB99-47D5-A646-409460C0BA78}"/>
    <cellStyle name="Migliaia 54 4 2 5 3" xfId="32542" xr:uid="{7C87612F-564C-4429-8839-F8662C7A070E}"/>
    <cellStyle name="Migliaia 54 4 2 5 4" xfId="50631" xr:uid="{454C13B0-3BC8-4F89-8733-7DDB481468DE}"/>
    <cellStyle name="Migliaia 54 4 2 5 5" xfId="53647" xr:uid="{F745974F-AA35-45CD-A673-5DB453597478}"/>
    <cellStyle name="Migliaia 54 4 2 6" xfId="20968" xr:uid="{9E547098-0AFF-4104-87C7-2362522254E3}"/>
    <cellStyle name="Migliaia 54 4 2 7" xfId="25355" xr:uid="{30EAD6F2-7D44-46B6-959E-7D73346C6BEC}"/>
    <cellStyle name="Migliaia 54 4 2 8" xfId="8778" xr:uid="{1AED777E-A3D1-4D1D-A584-0FBB6C449091}"/>
    <cellStyle name="Migliaia 54 4 3" xfId="5624" xr:uid="{F7E79B6F-32EA-4B25-9FB0-F38C3C63835E}"/>
    <cellStyle name="Migliaia 54 4 3 2" xfId="18261" xr:uid="{8DFACF91-70AB-4549-BBF4-53985DB21389}"/>
    <cellStyle name="Migliaia 54 4 3 2 2" xfId="40177" xr:uid="{32A8326C-9EA7-4225-AF8B-3EC31DAAB54E}"/>
    <cellStyle name="Migliaia 54 4 3 2 3" xfId="45479" xr:uid="{5B55F596-269A-41EB-B101-4B366111BE1F}"/>
    <cellStyle name="Migliaia 54 4 3 3" xfId="37529" xr:uid="{D44DDD9F-F72E-4AF0-8C5A-AD574044B30D}"/>
    <cellStyle name="Migliaia 54 4 3 4" xfId="42828" xr:uid="{0174AEC9-121F-4CB0-A7C1-377A3A4D5B8E}"/>
    <cellStyle name="Migliaia 54 4 3 5" xfId="17278" xr:uid="{3B61B77C-F351-454D-BD0F-169BCDCA4F95}"/>
    <cellStyle name="Migliaia 54 4 3 6" xfId="9207" xr:uid="{D9764B0E-F972-4F2E-AC93-6329B7151AB7}"/>
    <cellStyle name="Migliaia 54 4 4" xfId="6799" xr:uid="{7AA01473-6AEB-4D1E-A677-156A15E5DB12}"/>
    <cellStyle name="Migliaia 54 4 4 2" xfId="34554" xr:uid="{64CDCB19-146A-45FA-8918-C72765EED734}"/>
    <cellStyle name="Migliaia 54 4 4 2 2" xfId="40178" xr:uid="{4F5B8DB9-A382-4FDA-AC92-06F575EE2090}"/>
    <cellStyle name="Migliaia 54 4 4 2 3" xfId="45480" xr:uid="{F8A6653A-E885-4D1E-8414-AD82111F3723}"/>
    <cellStyle name="Migliaia 54 4 4 3" xfId="37530" xr:uid="{5282271C-A032-4F74-A7DF-135D1EC5B51C}"/>
    <cellStyle name="Migliaia 54 4 4 4" xfId="42829" xr:uid="{A64F5C6F-01FB-4A6C-9D5B-CE5653675017}"/>
    <cellStyle name="Migliaia 54 4 4 5" xfId="12086" xr:uid="{3DCDF75A-9143-4036-AC15-52C8E8616303}"/>
    <cellStyle name="Migliaia 54 4 5" xfId="3898" xr:uid="{51327D9F-F041-4628-AA50-162FDF7A4575}"/>
    <cellStyle name="Migliaia 54 4 5 2" xfId="34555" xr:uid="{D0AF5F20-2CD2-42B4-B4AF-D3A8F9E945E6}"/>
    <cellStyle name="Migliaia 54 4 5 2 2" xfId="40179" xr:uid="{63C6AC68-BC20-40CE-92B3-973ED264B7F9}"/>
    <cellStyle name="Migliaia 54 4 5 2 3" xfId="45481" xr:uid="{24D32A59-05AC-4249-81CA-89A9B37B4981}"/>
    <cellStyle name="Migliaia 54 4 5 3" xfId="37531" xr:uid="{84F2827A-715C-4415-8B72-65A58F48E0A4}"/>
    <cellStyle name="Migliaia 54 4 5 4" xfId="42830" xr:uid="{14F107FE-92DA-455B-AFF5-19AA5E4EDDF9}"/>
    <cellStyle name="Migliaia 54 4 5 5" xfId="11437" xr:uid="{4C4391B9-37A2-4B45-88DF-ABE4765DA3CE}"/>
    <cellStyle name="Migliaia 54 4 6" xfId="10980" xr:uid="{DB0E3480-35AA-460D-8328-5CE982FFB135}"/>
    <cellStyle name="Migliaia 54 4 6 2" xfId="21615" xr:uid="{C69A0D55-3374-4182-9E8D-607850D0A12D}"/>
    <cellStyle name="Migliaia 54 4 6 2 2" xfId="40180" xr:uid="{1F34D83D-6A2C-4EF2-ABD1-B992216E2586}"/>
    <cellStyle name="Migliaia 54 4 6 2 3" xfId="45482" xr:uid="{BD7AEB4D-8888-42F7-9545-71F24DC8DC95}"/>
    <cellStyle name="Migliaia 54 4 6 2 4" xfId="34556" xr:uid="{101D8073-C7F8-4D23-8746-4ED9A08AA5CB}"/>
    <cellStyle name="Migliaia 54 4 6 3" xfId="37532" xr:uid="{9B953B8B-6B74-4F8D-9773-42716B18B6E4}"/>
    <cellStyle name="Migliaia 54 4 6 4" xfId="42831" xr:uid="{4B4058DF-D3BF-43D6-97A9-B67D177FD97A}"/>
    <cellStyle name="Migliaia 54 4 6 5" xfId="25361" xr:uid="{1D3A4235-63F5-4D38-9765-5692D7D5355D}"/>
    <cellStyle name="Migliaia 54 4 6 6" xfId="48386" xr:uid="{F5E2EF45-BF1F-4B1D-AD49-5F6E39EA9370}"/>
    <cellStyle name="Migliaia 54 4 6 7" xfId="50630" xr:uid="{C8ADF6E8-B642-4CB0-8AA9-F2F57E61EE1C}"/>
    <cellStyle name="Migliaia 54 4 6 8" xfId="53646" xr:uid="{AEDDF016-DF1A-4EAF-9FFE-DBABF097BEAE}"/>
    <cellStyle name="Migliaia 54 4 7" xfId="20967" xr:uid="{CE6D1110-75A3-4AA3-9719-CCE1FB764CFB}"/>
    <cellStyle name="Migliaia 54 4 7 2" xfId="34557" xr:uid="{85B20FBF-502B-41C8-AA2D-F9AC6A407FC6}"/>
    <cellStyle name="Migliaia 54 4 7 2 2" xfId="40181" xr:uid="{91D8E87D-7355-41F9-9948-43493F8236CB}"/>
    <cellStyle name="Migliaia 54 4 7 2 3" xfId="45483" xr:uid="{F872814F-E410-4D32-953E-C1095E6AFF81}"/>
    <cellStyle name="Migliaia 54 4 7 3" xfId="37533" xr:uid="{09A9FC50-3C02-41FE-A4C6-4ED69BD0A920}"/>
    <cellStyle name="Migliaia 54 4 7 4" xfId="42832" xr:uid="{F66D6080-4AB1-4AFE-ABE3-564A3E959C73}"/>
    <cellStyle name="Migliaia 54 4 7 5" xfId="25362" xr:uid="{01D1DC2B-6F2E-4F90-8D87-9E71E167A138}"/>
    <cellStyle name="Migliaia 54 4 8" xfId="25354" xr:uid="{BB93B268-C280-4F04-8F6C-CBF048AF736B}"/>
    <cellStyle name="Migliaia 54 4 9" xfId="7588" xr:uid="{E7FE30B2-EC15-4ACE-A033-01310EF4FD5F}"/>
    <cellStyle name="Migliaia 54 5" xfId="1905" xr:uid="{00000000-0005-0000-0000-000080040000}"/>
    <cellStyle name="Migliaia 54 5 2" xfId="5626" xr:uid="{EE75512C-20D5-40AD-933C-15A8343E2B8C}"/>
    <cellStyle name="Migliaia 54 5 2 2" xfId="18511" xr:uid="{072F4990-0DBA-4D1C-B508-4132C81ACDD0}"/>
    <cellStyle name="Migliaia 54 5 2 2 2" xfId="40182" xr:uid="{7F74CD1F-89EE-42E9-88B9-D78DF7A30B36}"/>
    <cellStyle name="Migliaia 54 5 2 2 3" xfId="45484" xr:uid="{6EF00E39-2676-49D9-ABE6-005BD72E706C}"/>
    <cellStyle name="Migliaia 54 5 2 3" xfId="20970" xr:uid="{5B8F579E-EAB2-4AF2-B18C-A79D91CC6371}"/>
    <cellStyle name="Migliaia 54 5 2 3 2" xfId="37534" xr:uid="{F3D2BD7C-880A-4324-B658-36D3561E5C51}"/>
    <cellStyle name="Migliaia 54 5 2 4" xfId="42833" xr:uid="{BDA4483E-2B96-4123-ABA9-2796B79E298A}"/>
    <cellStyle name="Migliaia 54 5 2 5" xfId="16790" xr:uid="{A5AF946C-7BD5-43BA-9991-234C0A4AB1B0}"/>
    <cellStyle name="Migliaia 54 5 2 6" xfId="8779" xr:uid="{C6063716-42BA-45BC-8236-43CF9EA48490}"/>
    <cellStyle name="Migliaia 54 5 3" xfId="6800" xr:uid="{7B453BC3-A201-479E-B5F4-E3DEE4C48847}"/>
    <cellStyle name="Migliaia 54 5 3 2" xfId="34558" xr:uid="{95BDB26E-02B0-4B8F-B4D7-E4C5E48D31E6}"/>
    <cellStyle name="Migliaia 54 5 3 2 2" xfId="40183" xr:uid="{1BCA496D-EBA7-40D4-A5C4-A2381CB92DCB}"/>
    <cellStyle name="Migliaia 54 5 3 2 3" xfId="45485" xr:uid="{2585A476-FBA6-40AC-9553-4467AB85CC66}"/>
    <cellStyle name="Migliaia 54 5 3 3" xfId="37535" xr:uid="{EECC469F-01F4-48A3-99BD-86E44EE231D9}"/>
    <cellStyle name="Migliaia 54 5 3 4" xfId="42834" xr:uid="{80007CBA-C881-4632-AA83-B2DFE5ED614F}"/>
    <cellStyle name="Migliaia 54 5 3 5" xfId="11439" xr:uid="{B901E919-B937-41DE-A1B8-EEC7097A3389}"/>
    <cellStyle name="Migliaia 54 5 4" xfId="3900" xr:uid="{D6BE16EF-8FEE-40FE-BF6C-B0F30A16F76C}"/>
    <cellStyle name="Migliaia 54 5 4 2" xfId="21617" xr:uid="{59D30164-28E2-484E-952F-B788769F63AE}"/>
    <cellStyle name="Migliaia 54 5 4 2 2" xfId="40184" xr:uid="{FE6C991B-8D4E-4ED9-9664-0C34BAA74895}"/>
    <cellStyle name="Migliaia 54 5 4 2 3" xfId="45486" xr:uid="{E80F324A-9112-4DE3-9491-DD4D7B664786}"/>
    <cellStyle name="Migliaia 54 5 4 2 4" xfId="34559" xr:uid="{0E8854D5-4CDB-4AD9-8EF0-A2455382B09D}"/>
    <cellStyle name="Migliaia 54 5 4 3" xfId="37536" xr:uid="{42EC531D-006F-4C70-9C0E-AAEE35CD9CAC}"/>
    <cellStyle name="Migliaia 54 5 4 4" xfId="42835" xr:uid="{457AE786-E0E4-4BEA-BC59-4164FE69E704}"/>
    <cellStyle name="Migliaia 54 5 4 5" xfId="25364" xr:uid="{B10236EA-1C65-447A-B25E-CE2C0B853F91}"/>
    <cellStyle name="Migliaia 54 5 4 6" xfId="48326" xr:uid="{6268A96D-F5AE-482F-9361-0B9C10FCF178}"/>
    <cellStyle name="Migliaia 54 5 4 7" xfId="50632" xr:uid="{B32FE456-1DD5-4545-8CB3-E410DC74313F}"/>
    <cellStyle name="Migliaia 54 5 4 8" xfId="53648" xr:uid="{4952820D-036F-4A6C-9BD4-1EAD5ECF8256}"/>
    <cellStyle name="Migliaia 54 5 4 9" xfId="10982" xr:uid="{1E4A65B0-9742-4E4C-A6B7-DA8C891C554B}"/>
    <cellStyle name="Migliaia 54 5 5" xfId="20969" xr:uid="{999E4818-D97B-4D84-8B10-11E5E4B41505}"/>
    <cellStyle name="Migliaia 54 5 5 2" xfId="34560" xr:uid="{852FA839-C347-45F0-93A4-74B119CE152C}"/>
    <cellStyle name="Migliaia 54 5 5 2 2" xfId="40185" xr:uid="{DDC81F7A-C562-4DA5-9F31-70E218B10792}"/>
    <cellStyle name="Migliaia 54 5 5 2 3" xfId="45487" xr:uid="{A8330BCB-E311-42D6-AF2D-E5D428CC5333}"/>
    <cellStyle name="Migliaia 54 5 5 3" xfId="37537" xr:uid="{E306F149-42CF-425C-87BC-53F8B3076148}"/>
    <cellStyle name="Migliaia 54 5 5 4" xfId="42836" xr:uid="{2AD9725F-1DF8-4732-B623-D56C6934AB3E}"/>
    <cellStyle name="Migliaia 54 5 5 5" xfId="25365" xr:uid="{8B6906FD-4418-4DD3-AF86-3289AA9B9FC8}"/>
    <cellStyle name="Migliaia 54 5 6" xfId="25366" xr:uid="{5BD1A609-074A-45F0-8F7B-31FB4A9229E6}"/>
    <cellStyle name="Migliaia 54 5 6 2" xfId="34561" xr:uid="{A74BF239-7F92-490D-A72F-A16E51A057CD}"/>
    <cellStyle name="Migliaia 54 5 6 2 2" xfId="40186" xr:uid="{51BE24E0-D3BB-475A-B8D8-2DE35F192B43}"/>
    <cellStyle name="Migliaia 54 5 6 2 3" xfId="45488" xr:uid="{DB6F99ED-D842-4630-8A5D-1C97AAF8EF08}"/>
    <cellStyle name="Migliaia 54 5 6 3" xfId="37538" xr:uid="{7C2F89F5-6198-458C-8AFD-94E8423DD277}"/>
    <cellStyle name="Migliaia 54 5 6 4" xfId="42837" xr:uid="{B0D84789-0DC3-41B8-8063-0D1697DC36F4}"/>
    <cellStyle name="Migliaia 54 5 7" xfId="25363" xr:uid="{5B0B4B58-1A71-4429-9976-92ABEFA82967}"/>
    <cellStyle name="Migliaia 54 5 8" xfId="7589" xr:uid="{40C47C47-3A78-4399-99E8-50CD6300399E}"/>
    <cellStyle name="Migliaia 54 6" xfId="3901" xr:uid="{3DA98C7A-D5FA-4A16-BC65-4E8768B409C8}"/>
    <cellStyle name="Migliaia 54 6 2" xfId="5627" xr:uid="{023EDC9D-C211-48AD-8ECF-3218346D0F01}"/>
    <cellStyle name="Migliaia 54 6 2 2" xfId="9979" xr:uid="{60DD57EA-FE0F-4196-A646-910A988D92C9}"/>
    <cellStyle name="Migliaia 54 6 2 3" xfId="18633" xr:uid="{E14AFB5D-F1D3-47CA-A37B-548861080901}"/>
    <cellStyle name="Migliaia 54 6 2 4" xfId="20972" xr:uid="{11752072-3A0B-4751-981C-C72F9A41AA95}"/>
    <cellStyle name="Migliaia 54 6 2 5" xfId="32471" xr:uid="{55A71BD9-7D56-4C47-ADE1-E7A7488CF724}"/>
    <cellStyle name="Migliaia 54 6 2 6" xfId="16792" xr:uid="{65CCCE23-58EB-4577-AFF8-D3BFCD6C2409}"/>
    <cellStyle name="Migliaia 54 6 2 7" xfId="8774" xr:uid="{DC07600E-9AD6-46EE-AE51-B2D1AA6B6704}"/>
    <cellStyle name="Migliaia 54 6 3" xfId="6801" xr:uid="{18E147B5-1E02-4AB3-A5CF-89BD4CFFB87A}"/>
    <cellStyle name="Migliaia 54 6 3 2" xfId="35470" xr:uid="{7E25C101-E88F-409F-9428-790F627E723E}"/>
    <cellStyle name="Migliaia 54 6 3 2 2" xfId="40630" xr:uid="{76418265-6F5F-4FE9-962E-17040DFC0774}"/>
    <cellStyle name="Migliaia 54 6 3 2 3" xfId="45932" xr:uid="{32233185-12ED-4AC3-BC80-66EDD2486D1F}"/>
    <cellStyle name="Migliaia 54 6 3 3" xfId="37979" xr:uid="{B45E2130-DC64-4A80-93EE-2B4B1F6D1055}"/>
    <cellStyle name="Migliaia 54 6 3 4" xfId="43281" xr:uid="{4A3A197C-396D-4F55-9A79-81CEB5FBD516}"/>
    <cellStyle name="Migliaia 54 6 3 5" xfId="9742" xr:uid="{7DF6A874-763B-436C-9CCD-D6BB99014201}"/>
    <cellStyle name="Migliaia 54 6 4" xfId="20971" xr:uid="{38E1B379-1246-48D2-8F5C-10DEE9D5F6AC}"/>
    <cellStyle name="Migliaia 54 6 4 2" xfId="40187" xr:uid="{8D26D1D8-A0C7-41D9-A356-CD0685AA293B}"/>
    <cellStyle name="Migliaia 54 6 4 3" xfId="45489" xr:uid="{7966C7A4-59C8-47AD-A6A4-74A9B41A6B63}"/>
    <cellStyle name="Migliaia 54 6 4 4" xfId="34562" xr:uid="{DF76555D-A8B0-4426-9D2D-A6172DC2EEB3}"/>
    <cellStyle name="Migliaia 54 6 5" xfId="37539" xr:uid="{DC5BACD4-3030-4C3B-83A1-D361C8369E61}"/>
    <cellStyle name="Migliaia 54 6 6" xfId="42838" xr:uid="{46BFC47F-7B3E-4EBB-A160-1B1A82264D53}"/>
    <cellStyle name="Migliaia 54 6 7" xfId="16791" xr:uid="{6835BCAC-CAF1-41F2-81FC-5A175226150D}"/>
    <cellStyle name="Migliaia 54 6 8" xfId="7584" xr:uid="{8D872746-0875-4717-9DA9-FD3B0EE588F1}"/>
    <cellStyle name="Migliaia 54 7" xfId="3902" xr:uid="{4426B53A-057C-442B-9495-FCF499FF1426}"/>
    <cellStyle name="Migliaia 54 7 2" xfId="5628" xr:uid="{C92B0CB2-F3AD-41A0-A555-5CEC7A81421F}"/>
    <cellStyle name="Migliaia 54 7 2 2" xfId="35471" xr:uid="{99D64439-1EB7-46B7-BC04-41321E1E8990}"/>
    <cellStyle name="Migliaia 54 7 2 2 2" xfId="40631" xr:uid="{03F44486-1D0B-4053-9CDF-09A6F727079A}"/>
    <cellStyle name="Migliaia 54 7 2 2 3" xfId="45933" xr:uid="{B1054109-20E9-4299-8855-EF2EA41C575B}"/>
    <cellStyle name="Migliaia 54 7 2 3" xfId="37980" xr:uid="{9DC2AB5A-93EC-4C1D-8501-5034D8EEE3F4}"/>
    <cellStyle name="Migliaia 54 7 2 4" xfId="43282" xr:uid="{23543991-18CC-4815-B105-DA12C4D12D9A}"/>
    <cellStyle name="Migliaia 54 7 2 5" xfId="14326" xr:uid="{E321749C-EC9D-4AD9-A915-997296829F8F}"/>
    <cellStyle name="Migliaia 54 7 3" xfId="6802" xr:uid="{E34355DC-D4A6-4E70-9849-C08D783D784F}"/>
    <cellStyle name="Migliaia 54 7 3 2" xfId="40188" xr:uid="{6430799C-C2E9-4541-ADB9-9FB81AF5AD37}"/>
    <cellStyle name="Migliaia 54 7 3 3" xfId="45490" xr:uid="{CB6BA2CE-0DAF-4BEB-BDDF-EDF4619D814F}"/>
    <cellStyle name="Migliaia 54 7 3 4" xfId="34563" xr:uid="{7457568F-3759-4F6C-BD47-6DCA26813CF8}"/>
    <cellStyle name="Migliaia 54 7 3 5" xfId="20973" xr:uid="{79D5921E-6CA8-4923-A007-F200A6514032}"/>
    <cellStyle name="Migliaia 54 7 4" xfId="37540" xr:uid="{7B9039BA-589F-4C2D-B955-2B60FAE01592}"/>
    <cellStyle name="Migliaia 54 7 5" xfId="42839" xr:uid="{491EB9BC-7A61-4812-984C-BB04059BBF28}"/>
    <cellStyle name="Migliaia 54 7 6" xfId="16793" xr:uid="{3D879971-7EB4-4E4E-B98E-915320A3185C}"/>
    <cellStyle name="Migliaia 54 7 7" xfId="8388" xr:uid="{C5DEA403-20D9-4E15-9534-9A183318713A}"/>
    <cellStyle name="Migliaia 54 8" xfId="3903" xr:uid="{DED0693B-5703-44F9-9821-E307648457A0}"/>
    <cellStyle name="Migliaia 54 8 2" xfId="5629" xr:uid="{21664644-04A8-490D-96C4-6E7971D46CF9}"/>
    <cellStyle name="Migliaia 54 8 2 2" xfId="35472" xr:uid="{C3937A78-B3EC-4BC3-B4AC-BEDE819FFE33}"/>
    <cellStyle name="Migliaia 54 8 2 2 2" xfId="40632" xr:uid="{05413366-063B-401A-BAE1-4A0885CD9C38}"/>
    <cellStyle name="Migliaia 54 8 2 2 3" xfId="45934" xr:uid="{289A064C-D277-4524-AD99-9AC0DC70F524}"/>
    <cellStyle name="Migliaia 54 8 2 3" xfId="37981" xr:uid="{BC54D004-DEBB-4149-9911-9F7546474DA2}"/>
    <cellStyle name="Migliaia 54 8 2 4" xfId="43283" xr:uid="{12BA1F61-B329-4D7A-B569-87FF145E5E15}"/>
    <cellStyle name="Migliaia 54 8 2 5" xfId="14031" xr:uid="{0DB257A9-9C79-4F06-A514-619086121B50}"/>
    <cellStyle name="Migliaia 54 8 3" xfId="6803" xr:uid="{1C04C348-3293-4301-8243-7955B15AF2C2}"/>
    <cellStyle name="Migliaia 54 8 3 2" xfId="40189" xr:uid="{13CBFB61-5ACF-430A-ABF2-2EE6066C636F}"/>
    <cellStyle name="Migliaia 54 8 3 3" xfId="45491" xr:uid="{381B38A9-7BAF-4343-BCAD-BA02AB2DBA59}"/>
    <cellStyle name="Migliaia 54 8 3 4" xfId="34564" xr:uid="{1675E453-A6D3-4313-A305-B3E86B1E67D2}"/>
    <cellStyle name="Migliaia 54 8 3 5" xfId="20974" xr:uid="{79C8D878-B281-4450-B31B-EE9FE9C8383B}"/>
    <cellStyle name="Migliaia 54 8 4" xfId="37541" xr:uid="{C00C4C1F-0165-485B-BC35-CEE9EDB738FE}"/>
    <cellStyle name="Migliaia 54 8 5" xfId="42840" xr:uid="{2A79CB2B-7CAC-4C0A-9BA5-31D192FDB343}"/>
    <cellStyle name="Migliaia 54 8 6" xfId="16794" xr:uid="{87E4543B-4185-4F3F-9255-66E01A32BC1A}"/>
    <cellStyle name="Migliaia 54 8 7" xfId="8018" xr:uid="{D20EABD7-0F83-4149-B2A0-C6E05280CEF8}"/>
    <cellStyle name="Migliaia 54 9" xfId="5614" xr:uid="{C50A4D05-FCFD-4B3A-B060-CBA53189FDDF}"/>
    <cellStyle name="Migliaia 54 9 2" xfId="34565" xr:uid="{BCF5D03E-E813-47DF-B36B-68D0A3269466}"/>
    <cellStyle name="Migliaia 54 9 2 2" xfId="40190" xr:uid="{35566D4E-9B9B-497E-BDB3-2D20153E198E}"/>
    <cellStyle name="Migliaia 54 9 2 3" xfId="45492" xr:uid="{F3B58DE0-5449-4732-A0C0-F4B01325A46D}"/>
    <cellStyle name="Migliaia 54 9 3" xfId="37542" xr:uid="{F863F451-CD05-4321-B982-CA8D122509FA}"/>
    <cellStyle name="Migliaia 54 9 4" xfId="42841" xr:uid="{4268F3FC-78EC-4E60-92F8-DFC70E4B2FFD}"/>
    <cellStyle name="Migliaia 54 9 5" xfId="17233" xr:uid="{282A51AB-6D9E-44C7-91AD-BCA09361662F}"/>
    <cellStyle name="Migliaia 55" xfId="501" xr:uid="{00000000-0005-0000-0000-000081040000}"/>
    <cellStyle name="Migliaia 55 10" xfId="6804" xr:uid="{E3940A7E-CADE-4CA4-BDB2-F2E6CEE202DD}"/>
    <cellStyle name="Migliaia 55 10 2" xfId="40191" xr:uid="{2EB1B0F3-D552-4C88-82C4-598C74544DB1}"/>
    <cellStyle name="Migliaia 55 10 3" xfId="45493" xr:uid="{5B82A805-5ABC-4323-B7B2-DE2E6632CC95}"/>
    <cellStyle name="Migliaia 55 10 4" xfId="34566" xr:uid="{CAEEFDED-527E-4B7D-BCBC-BA8A6099279B}"/>
    <cellStyle name="Migliaia 55 10 5" xfId="20975" xr:uid="{3EC5AD9F-F0A1-40C1-8971-1C07B1039BB7}"/>
    <cellStyle name="Migliaia 55 11" xfId="3904" xr:uid="{22FA0594-8774-4F02-BB76-7784F640A209}"/>
    <cellStyle name="Migliaia 55 11 2" xfId="37543" xr:uid="{643B16ED-FE35-4A5E-9CE4-5678AF61859B}"/>
    <cellStyle name="Migliaia 55 12" xfId="42842" xr:uid="{EDCAECCC-D56E-4C0C-A44E-53EBA31538CC}"/>
    <cellStyle name="Migliaia 55 13" xfId="7192" xr:uid="{F5D78D60-B2F8-4F13-BC2B-9736B5BA143B}"/>
    <cellStyle name="Migliaia 55 2" xfId="502" xr:uid="{00000000-0005-0000-0000-000082040000}"/>
    <cellStyle name="Migliaia 55 2 2" xfId="1906" xr:uid="{00000000-0005-0000-0000-000083040000}"/>
    <cellStyle name="Migliaia 55 2 2 2" xfId="5632" xr:uid="{4C766987-9155-4427-AF94-CAEDAEF78613}"/>
    <cellStyle name="Migliaia 55 2 2 2 2" xfId="14413" xr:uid="{93D862B1-274D-4298-AEC6-5F80F87A7226}"/>
    <cellStyle name="Migliaia 55 2 2 2 2 2" xfId="40192" xr:uid="{9C72B7DA-DFCA-4C3F-A9C8-2918635AF961}"/>
    <cellStyle name="Migliaia 55 2 2 2 2 3" xfId="45494" xr:uid="{E9D65B37-E3E3-497B-99C3-655FFD127F28}"/>
    <cellStyle name="Migliaia 55 2 2 2 3" xfId="18512" xr:uid="{3AE9DCF5-0627-4678-A412-9D411BC0E9F6}"/>
    <cellStyle name="Migliaia 55 2 2 2 4" xfId="20978" xr:uid="{F481EEC0-0817-4DFB-9FE2-8CDD051B7A1C}"/>
    <cellStyle name="Migliaia 55 2 2 2 4 2" xfId="42843" xr:uid="{63B19B28-1F5D-44A9-84D0-73944FCF7662}"/>
    <cellStyle name="Migliaia 55 2 2 2 5" xfId="16795" xr:uid="{CBB16365-96AD-417F-82E8-0EF3B31D2A8F}"/>
    <cellStyle name="Migliaia 55 2 2 2 6" xfId="8781" xr:uid="{58B63780-C13F-4740-B770-76123575383C}"/>
    <cellStyle name="Migliaia 55 2 2 3" xfId="6806" xr:uid="{FCD8F3C3-0AF8-4403-9CE3-63AAFD3CF806}"/>
    <cellStyle name="Migliaia 55 2 2 3 2" xfId="35473" xr:uid="{695D70A3-D55A-47F0-AD45-341241F06F7E}"/>
    <cellStyle name="Migliaia 55 2 2 3 2 2" xfId="40633" xr:uid="{B6C24BE3-0275-4F18-9269-674398CA7327}"/>
    <cellStyle name="Migliaia 55 2 2 3 2 3" xfId="45935" xr:uid="{4D33DBCF-CBF6-4410-A608-ECE1E97B68A1}"/>
    <cellStyle name="Migliaia 55 2 2 3 3" xfId="37982" xr:uid="{8360C039-66CD-4E43-82A8-CCAA949A4AC6}"/>
    <cellStyle name="Migliaia 55 2 2 3 4" xfId="43284" xr:uid="{14F5FC64-49C6-421D-968B-427C4989A725}"/>
    <cellStyle name="Migliaia 55 2 2 3 5" xfId="11640" xr:uid="{B2F353CB-BD3E-4B60-A081-ABA12A6B4656}"/>
    <cellStyle name="Migliaia 55 2 2 4" xfId="3906" xr:uid="{507618F7-D66C-4693-8432-DC1414862180}"/>
    <cellStyle name="Migliaia 55 2 2 4 2" xfId="21618" xr:uid="{9C76D5E0-901C-4A20-93D6-6C85326EA846}"/>
    <cellStyle name="Migliaia 55 2 2 4 3" xfId="47311" xr:uid="{DCEF5511-1E7C-4779-9995-74B9CFE57BB2}"/>
    <cellStyle name="Migliaia 55 2 2 4 4" xfId="50633" xr:uid="{1604B671-43F4-4FBE-96EC-7839EB1A86A1}"/>
    <cellStyle name="Migliaia 55 2 2 4 5" xfId="53649" xr:uid="{ECB871A5-0FE5-4A13-80D5-9C6D2DCC2403}"/>
    <cellStyle name="Migliaia 55 2 2 4 6" xfId="10983" xr:uid="{BA9129A8-08EE-43C4-940C-8CB8E380029E}"/>
    <cellStyle name="Migliaia 55 2 2 5" xfId="20977" xr:uid="{A35BF604-AF08-4CD3-AD18-CF14522D53E5}"/>
    <cellStyle name="Migliaia 55 2 2 6" xfId="25370" xr:uid="{0F54313D-064B-4515-A4A5-1027581E712A}"/>
    <cellStyle name="Migliaia 55 2 2 7" xfId="7591" xr:uid="{E92420E9-49AF-4EEF-8E00-72A5FA99323C}"/>
    <cellStyle name="Migliaia 55 2 3" xfId="3907" xr:uid="{848F5F82-1027-4A77-82CE-98FDBE24628B}"/>
    <cellStyle name="Migliaia 55 2 3 2" xfId="5633" xr:uid="{C083E76F-99BB-41F4-82ED-B377FB2748ED}"/>
    <cellStyle name="Migliaia 55 2 3 2 2" xfId="35474" xr:uid="{522E0B27-E91C-4DC9-ABDD-FD04561EAB49}"/>
    <cellStyle name="Migliaia 55 2 3 2 2 2" xfId="40634" xr:uid="{1559D353-C9B8-4576-9748-BBB7C507EAA5}"/>
    <cellStyle name="Migliaia 55 2 3 2 2 3" xfId="45936" xr:uid="{56A5E6EF-3AE0-4260-817C-B9F14FF49A66}"/>
    <cellStyle name="Migliaia 55 2 3 2 3" xfId="37983" xr:uid="{961ECCD8-434B-41C9-AD07-8A3938D996D6}"/>
    <cellStyle name="Migliaia 55 2 3 2 4" xfId="43285" xr:uid="{313F6D76-324C-4B9B-9EF3-80A7D6FEEE73}"/>
    <cellStyle name="Migliaia 55 2 3 2 5" xfId="14330" xr:uid="{2B90A39B-3B36-4A3B-B984-C1BB3AA6DA2B}"/>
    <cellStyle name="Migliaia 55 2 3 3" xfId="6807" xr:uid="{173B1FCF-431A-465A-A9CF-80D5AC8FA804}"/>
    <cellStyle name="Migliaia 55 2 3 3 2" xfId="40193" xr:uid="{5232CCC9-2C22-423D-9AB4-2F0C8E97E2FB}"/>
    <cellStyle name="Migliaia 55 2 3 3 3" xfId="45495" xr:uid="{D2F05B46-20C3-4C94-9E58-4E844207BD52}"/>
    <cellStyle name="Migliaia 55 2 3 3 4" xfId="34568" xr:uid="{58BAAD28-9831-4EA2-9A5D-4FBBD9FB3ED4}"/>
    <cellStyle name="Migliaia 55 2 3 3 5" xfId="20979" xr:uid="{73A969B7-7700-46FB-8CAB-D30181D24299}"/>
    <cellStyle name="Migliaia 55 2 3 4" xfId="37544" xr:uid="{A7D6E797-9F9B-4822-A7C0-953A0306CAC2}"/>
    <cellStyle name="Migliaia 55 2 3 5" xfId="42844" xr:uid="{EF2B1FC2-772A-46B8-9E80-4FE60524394B}"/>
    <cellStyle name="Migliaia 55 2 3 6" xfId="16796" xr:uid="{DD494CD0-0B73-4DAD-ACDD-E5AD2ACFC8A3}"/>
    <cellStyle name="Migliaia 55 2 3 7" xfId="8392" xr:uid="{7F2421CA-874D-464E-B3A0-E8965346FBBD}"/>
    <cellStyle name="Migliaia 55 2 4" xfId="5631" xr:uid="{2EC4E3CB-C3D0-4BDF-B4F8-DE3D88878DA1}"/>
    <cellStyle name="Migliaia 55 2 4 2" xfId="14035" xr:uid="{AD8CD3F4-9A2A-430F-BA1F-7C3E555CEAA9}"/>
    <cellStyle name="Migliaia 55 2 4 2 2" xfId="40194" xr:uid="{86C39661-39AA-4DB2-A67D-FFCE23D6CE80}"/>
    <cellStyle name="Migliaia 55 2 4 2 3" xfId="45496" xr:uid="{7E4EF1C0-20D2-4CA6-85C0-4BC1986AEA23}"/>
    <cellStyle name="Migliaia 55 2 4 3" xfId="18293" xr:uid="{F8D7E3DB-CD11-4363-BCFC-96B81FDEC24C}"/>
    <cellStyle name="Migliaia 55 2 4 4" xfId="20980" xr:uid="{F04E92C1-DAB5-42A7-802A-A295DB93E85A}"/>
    <cellStyle name="Migliaia 55 2 4 4 2" xfId="42845" xr:uid="{A7B7BD88-0C2E-4B2C-941E-A1A7FBC44F05}"/>
    <cellStyle name="Migliaia 55 2 4 5" xfId="16797" xr:uid="{8EDEE769-D3F6-4471-8F6F-9BC7F54CD609}"/>
    <cellStyle name="Migliaia 55 2 4 6" xfId="8023" xr:uid="{D97D9655-4FBB-44A6-8D38-64C7D3DEC85F}"/>
    <cellStyle name="Migliaia 55 2 5" xfId="6805" xr:uid="{AE568A93-6F72-46F1-8614-D38A7AB05C37}"/>
    <cellStyle name="Migliaia 55 2 5 2" xfId="34570" xr:uid="{6A79FF8E-E657-4786-ADED-12B7F7E0A970}"/>
    <cellStyle name="Migliaia 55 2 5 2 2" xfId="40195" xr:uid="{9AC389E4-46CD-408C-BE36-D12E13911A1A}"/>
    <cellStyle name="Migliaia 55 2 5 2 3" xfId="45497" xr:uid="{A2325837-15CC-48C3-9CFC-4B30B4A68F4D}"/>
    <cellStyle name="Migliaia 55 2 5 3" xfId="37546" xr:uid="{67EC1073-2ED3-473E-A751-EF945DBE9B1A}"/>
    <cellStyle name="Migliaia 55 2 5 4" xfId="42846" xr:uid="{FF904C41-5A10-461C-B2BC-4A45E920D46E}"/>
    <cellStyle name="Migliaia 55 2 5 5" xfId="13153" xr:uid="{C7BB8B47-0204-47FE-9A32-8B08B7430D90}"/>
    <cellStyle name="Migliaia 55 2 6" xfId="3905" xr:uid="{919169A5-6FC2-45A7-A963-F38FF65420B4}"/>
    <cellStyle name="Migliaia 55 2 6 2" xfId="34571" xr:uid="{F6007E9D-5BC8-4E2C-992E-8887F8F4C34E}"/>
    <cellStyle name="Migliaia 55 2 6 2 2" xfId="40196" xr:uid="{6103F003-69E2-4BE8-B572-AC7A554D8FE3}"/>
    <cellStyle name="Migliaia 55 2 6 2 3" xfId="45498" xr:uid="{1DB09E36-4753-4E4A-8B29-3430939D3E87}"/>
    <cellStyle name="Migliaia 55 2 6 3" xfId="37547" xr:uid="{3E25053D-DB1D-455A-95B7-FFBE4B2CD2C5}"/>
    <cellStyle name="Migliaia 55 2 6 4" xfId="42847" xr:uid="{C3661C26-DB81-433A-A7D3-D9E3D389BB35}"/>
    <cellStyle name="Migliaia 55 2 6 5" xfId="25374" xr:uid="{DD21DBC7-9DBC-4C6E-AE6C-4D24743F7825}"/>
    <cellStyle name="Migliaia 55 2 6 6" xfId="20976" xr:uid="{F7D5876B-987B-4DC0-B67C-D38767ABD674}"/>
    <cellStyle name="Migliaia 55 2 7" xfId="25369" xr:uid="{FCCC4686-7854-431C-BB57-F01CA546AF29}"/>
    <cellStyle name="Migliaia 55 2 8" xfId="7193" xr:uid="{A70A4F56-3C9B-4C3D-B342-E38F34926C39}"/>
    <cellStyle name="Migliaia 55 3" xfId="503" xr:uid="{00000000-0005-0000-0000-000084040000}"/>
    <cellStyle name="Migliaia 55 3 10" xfId="25375" xr:uid="{0646606F-E08C-42BE-9BD7-E1EC58A2249A}"/>
    <cellStyle name="Migliaia 55 3 11" xfId="16798" xr:uid="{45EE3A7D-A519-47C9-8736-E71E7450946F}"/>
    <cellStyle name="Migliaia 55 3 12" xfId="7194" xr:uid="{6EBA4699-0D5A-469F-AC74-736E5D604DBA}"/>
    <cellStyle name="Migliaia 55 3 2" xfId="504" xr:uid="{00000000-0005-0000-0000-000085040000}"/>
    <cellStyle name="Migliaia 55 3 2 2" xfId="1907" xr:uid="{00000000-0005-0000-0000-000086040000}"/>
    <cellStyle name="Migliaia 55 3 2 2 2" xfId="5636" xr:uid="{6A841434-B074-4C06-A730-2ADB165F28D8}"/>
    <cellStyle name="Migliaia 55 3 2 2 2 2" xfId="18513" xr:uid="{EEC5068B-DB4B-4FF0-A120-F6C5462D22EE}"/>
    <cellStyle name="Migliaia 55 3 2 2 2 2 2" xfId="21891" xr:uid="{298B10F1-142D-43AC-B896-7227DE15B0D7}"/>
    <cellStyle name="Migliaia 55 3 2 2 2 2 2 2" xfId="40197" xr:uid="{2B45219A-8250-4477-B0DD-43F4047C253F}"/>
    <cellStyle name="Migliaia 55 3 2 2 2 2 3" xfId="45499" xr:uid="{898EEF21-AD26-421C-9E11-D4E02D102F43}"/>
    <cellStyle name="Migliaia 55 3 2 2 2 2 4" xfId="34572" xr:uid="{12409069-EBAA-4087-8028-19521E8D9820}"/>
    <cellStyle name="Migliaia 55 3 2 2 2 3" xfId="37548" xr:uid="{7988B6D5-D53B-4512-B55B-64D20A8957FF}"/>
    <cellStyle name="Migliaia 55 3 2 2 2 4" xfId="42848" xr:uid="{14E6E797-8A04-42FC-8938-DAF5A4474227}"/>
    <cellStyle name="Migliaia 55 3 2 2 2 5" xfId="46303" xr:uid="{7CE81974-2906-42CE-AE0F-DF95C1138EBC}"/>
    <cellStyle name="Migliaia 55 3 2 2 2 6" xfId="50919" xr:uid="{09D2FEAB-5BB2-4240-9490-03428FC308D4}"/>
    <cellStyle name="Migliaia 55 3 2 2 2 7" xfId="53935" xr:uid="{1DF49E30-B5F7-4AE4-BEE1-DD842CE03630}"/>
    <cellStyle name="Migliaia 55 3 2 2 2 8" xfId="17690" xr:uid="{303DDD4B-21C0-485A-9D15-578EFD0748CD}"/>
    <cellStyle name="Migliaia 55 3 2 2 2 9" xfId="12087" xr:uid="{31439D85-39BF-436E-8412-FCAD2B957A7C}"/>
    <cellStyle name="Migliaia 55 3 2 2 3" xfId="6810" xr:uid="{0A8D8CF9-0ABF-4A0F-84AF-37DB7E454446}"/>
    <cellStyle name="Migliaia 55 3 2 2 3 2" xfId="11160" xr:uid="{41A08041-2C60-4525-B1DA-F66933CC3E39}"/>
    <cellStyle name="Migliaia 55 3 2 2 4" xfId="3910" xr:uid="{E1947028-A1A6-46AB-B84E-BE4A8E66602A}"/>
    <cellStyle name="Migliaia 55 3 2 2 4 2" xfId="21619" xr:uid="{D74678A5-A1C8-4F6A-9859-03FFE548A14F}"/>
    <cellStyle name="Migliaia 55 3 2 2 4 3" xfId="46262" xr:uid="{E2AC118C-A55B-4A0E-9945-92BF437DDDA5}"/>
    <cellStyle name="Migliaia 55 3 2 2 4 4" xfId="50634" xr:uid="{AF85A9AB-2FB2-4DA5-84AB-D85134215286}"/>
    <cellStyle name="Migliaia 55 3 2 2 4 5" xfId="53650" xr:uid="{696D45D8-73C8-4701-9AA2-4DA328C573AF}"/>
    <cellStyle name="Migliaia 55 3 2 2 4 6" xfId="10984" xr:uid="{C5EDB4A3-E503-4D15-852B-1E8CBC39289F}"/>
    <cellStyle name="Migliaia 55 3 2 2 5" xfId="20983" xr:uid="{C2E2C896-24A0-4208-91C2-908CF67A588D}"/>
    <cellStyle name="Migliaia 55 3 2 2 6" xfId="25377" xr:uid="{9C06707D-A845-4F7F-A888-93F1E48A8E82}"/>
    <cellStyle name="Migliaia 55 3 2 2 7" xfId="8783" xr:uid="{BBCD92A8-92E5-4C18-B60D-4D839171512F}"/>
    <cellStyle name="Migliaia 55 3 2 3" xfId="5635" xr:uid="{77F56CB2-C01B-4315-9C4A-3DF0652ED184}"/>
    <cellStyle name="Migliaia 55 3 2 3 2" xfId="12397" xr:uid="{3ABBBF6D-6303-4145-8E12-2EB95CC564B2}"/>
    <cellStyle name="Migliaia 55 3 2 3 2 2" xfId="40198" xr:uid="{B0F8F8B2-9F00-48BB-AC81-4D3D4FCC0173}"/>
    <cellStyle name="Migliaia 55 3 2 3 2 3" xfId="45500" xr:uid="{B40C2EAE-DA3A-4AD6-8E8C-3147F33B05AF}"/>
    <cellStyle name="Migliaia 55 3 2 3 2 4" xfId="34573" xr:uid="{9445C6C0-48A0-410A-B230-71F2C2AD7D4F}"/>
    <cellStyle name="Migliaia 55 3 2 3 3" xfId="12088" xr:uid="{556F2D03-8B45-40A7-9612-80696D6F192C}"/>
    <cellStyle name="Migliaia 55 3 2 3 4" xfId="20984" xr:uid="{68E8301B-EADC-48CB-B4A5-0D74339F86FF}"/>
    <cellStyle name="Migliaia 55 3 2 3 4 2" xfId="42849" xr:uid="{047E71F4-AB51-480D-9CB0-4D9E95809211}"/>
    <cellStyle name="Migliaia 55 3 2 3 5" xfId="16799" xr:uid="{381B881C-B250-427D-B248-ADD2E8D9D5F2}"/>
    <cellStyle name="Migliaia 55 3 2 3 6" xfId="8025" xr:uid="{A6FA3C20-6FF4-4F78-8DFB-20340843A120}"/>
    <cellStyle name="Migliaia 55 3 2 4" xfId="6809" xr:uid="{1FF26294-F428-471E-9B1A-42ADE5D787D7}"/>
    <cellStyle name="Migliaia 55 3 2 4 2" xfId="18107" xr:uid="{F279D268-AE90-4E12-BE56-0B71DA264B40}"/>
    <cellStyle name="Migliaia 55 3 2 4 2 2" xfId="40199" xr:uid="{853B8F2F-9CA4-49FA-9933-108417C703CB}"/>
    <cellStyle name="Migliaia 55 3 2 4 2 3" xfId="45501" xr:uid="{8EF1FD63-E27A-4E90-A7D5-A6FBC403F71B}"/>
    <cellStyle name="Migliaia 55 3 2 4 3" xfId="37550" xr:uid="{49449D1B-C3BF-40E3-8D26-663DB534C6F7}"/>
    <cellStyle name="Migliaia 55 3 2 4 4" xfId="42850" xr:uid="{1A0290AE-56D7-4A22-BD6C-DE4BC16BAD70}"/>
    <cellStyle name="Migliaia 55 3 2 4 5" xfId="17236" xr:uid="{BF4C4CF7-549A-4437-A2CA-31D7AC9468CE}"/>
    <cellStyle name="Migliaia 55 3 2 4 6" xfId="11440" xr:uid="{C9D1F8A7-C854-4754-9CA9-21C4F11B7C46}"/>
    <cellStyle name="Migliaia 55 3 2 5" xfId="3909" xr:uid="{B0EA70C2-9255-4EBA-8126-61DDE8A4B67F}"/>
    <cellStyle name="Migliaia 55 3 2 5 2" xfId="34575" xr:uid="{6F8F4325-A66A-4ADA-A7DA-0DA178F9FED5}"/>
    <cellStyle name="Migliaia 55 3 2 5 2 2" xfId="40200" xr:uid="{7C06E378-5AFE-4D94-B13A-EFA4FD305575}"/>
    <cellStyle name="Migliaia 55 3 2 5 2 3" xfId="45502" xr:uid="{CE317586-2AEC-444F-A316-AEFAEAEF67A5}"/>
    <cellStyle name="Migliaia 55 3 2 5 3" xfId="37551" xr:uid="{0C98FF5B-F272-4731-B4C9-FCD396DD8509}"/>
    <cellStyle name="Migliaia 55 3 2 5 4" xfId="42851" xr:uid="{99F18999-C35D-4AFA-8737-25F41B330384}"/>
    <cellStyle name="Migliaia 55 3 2 5 5" xfId="17276" xr:uid="{BBBF5C0B-2D30-4598-9DA0-8EE794892A32}"/>
    <cellStyle name="Migliaia 55 3 2 6" xfId="20982" xr:uid="{E50D25EF-BDB1-4617-8C24-B4F5E434D980}"/>
    <cellStyle name="Migliaia 55 3 2 6 2" xfId="34576" xr:uid="{BFF76A9B-98B8-41D1-A213-6CF59EFF87F7}"/>
    <cellStyle name="Migliaia 55 3 2 6 2 2" xfId="40201" xr:uid="{57B893BF-D37F-44DE-89FF-5AFFA5BA16C3}"/>
    <cellStyle name="Migliaia 55 3 2 6 2 3" xfId="45503" xr:uid="{EEE387A2-DC7D-455D-86BF-13E9E32DFE23}"/>
    <cellStyle name="Migliaia 55 3 2 6 3" xfId="37552" xr:uid="{E446CB16-F3BE-41D5-B952-22A92ABA5803}"/>
    <cellStyle name="Migliaia 55 3 2 6 4" xfId="42852" xr:uid="{8C57507E-37ED-45BA-BC3D-BE6202903317}"/>
    <cellStyle name="Migliaia 55 3 2 6 5" xfId="25381" xr:uid="{71D39C39-A835-4514-AD0B-1724807CF351}"/>
    <cellStyle name="Migliaia 55 3 2 7" xfId="25376" xr:uid="{3483A1FE-C1D1-4141-BD98-11406D9DE80C}"/>
    <cellStyle name="Migliaia 55 3 2 8" xfId="7593" xr:uid="{076F621F-45AC-41A7-A91A-10A35A849201}"/>
    <cellStyle name="Migliaia 55 3 3" xfId="3911" xr:uid="{9255E58F-4468-4263-ABB8-33C46546CA74}"/>
    <cellStyle name="Migliaia 55 3 3 10" xfId="7592" xr:uid="{116C633F-62B6-400C-BD31-B0656F6993CB}"/>
    <cellStyle name="Migliaia 55 3 3 2" xfId="5637" xr:uid="{196578B0-4A88-4F2A-B83D-1F6C15965A26}"/>
    <cellStyle name="Migliaia 55 3 3 2 2" xfId="9982" xr:uid="{A362FCF2-B8E1-4825-97A5-63292B03FF11}"/>
    <cellStyle name="Migliaia 55 3 3 2 2 2" xfId="40203" xr:uid="{A6A472EA-3943-4317-BB99-A97EF4115BC8}"/>
    <cellStyle name="Migliaia 55 3 3 2 2 3" xfId="45505" xr:uid="{2EAC5980-304A-4C9F-8A08-6E4194578595}"/>
    <cellStyle name="Migliaia 55 3 3 2 3" xfId="18262" xr:uid="{ADE6016B-3CC2-4628-8016-BF0607AB0D8E}"/>
    <cellStyle name="Migliaia 55 3 3 2 4" xfId="20986" xr:uid="{B723CF73-5FA3-4D60-9F18-A3A7FFEE655A}"/>
    <cellStyle name="Migliaia 55 3 3 2 4 2" xfId="42854" xr:uid="{A1FABF22-1726-48C5-9ABC-E533B1D1EE92}"/>
    <cellStyle name="Migliaia 55 3 3 2 5" xfId="16801" xr:uid="{0B86F84A-23DD-48AF-8784-1EB2D1DA6497}"/>
    <cellStyle name="Migliaia 55 3 3 2 6" xfId="8782" xr:uid="{061861A5-7B76-441E-88CE-7C3133A04A79}"/>
    <cellStyle name="Migliaia 55 3 3 3" xfId="6811" xr:uid="{3C135A71-9572-44B6-BE3A-224908A75108}"/>
    <cellStyle name="Migliaia 55 3 3 3 2" xfId="34578" xr:uid="{2EC135D4-A679-4912-9E6D-75082448607A}"/>
    <cellStyle name="Migliaia 55 3 3 3 2 2" xfId="40204" xr:uid="{75FE121F-4315-48FF-B4B0-26CBDB23A48F}"/>
    <cellStyle name="Migliaia 55 3 3 3 2 3" xfId="45506" xr:uid="{EB640B28-2924-4A28-9F81-FEA58BD6D8CD}"/>
    <cellStyle name="Migliaia 55 3 3 3 3" xfId="37554" xr:uid="{B462CF39-1233-48CD-8AC9-DE205A648FC4}"/>
    <cellStyle name="Migliaia 55 3 3 3 4" xfId="42855" xr:uid="{0416076A-C639-4CB1-BD47-E41DBE36A2C3}"/>
    <cellStyle name="Migliaia 55 3 3 3 5" xfId="9745" xr:uid="{8E3FD908-8FF4-4581-AE91-4ACEC8692623}"/>
    <cellStyle name="Migliaia 55 3 3 4" xfId="20985" xr:uid="{D7C9F462-807F-4CAD-B864-8BB3AC3D9832}"/>
    <cellStyle name="Migliaia 55 3 3 4 2" xfId="34579" xr:uid="{55CFD539-8C27-4CEB-BF29-849D9F727BE7}"/>
    <cellStyle name="Migliaia 55 3 3 4 2 2" xfId="40205" xr:uid="{5BFC5EB5-E49A-42B1-BB4A-C4F4D3F8FBDA}"/>
    <cellStyle name="Migliaia 55 3 3 4 2 3" xfId="45507" xr:uid="{A9DC0788-7584-489E-8495-2C0E8BE0A95B}"/>
    <cellStyle name="Migliaia 55 3 3 4 3" xfId="37555" xr:uid="{B2DBF20B-AD8A-4405-A1CA-9FF364298C87}"/>
    <cellStyle name="Migliaia 55 3 3 4 4" xfId="42856" xr:uid="{0BBFF184-5987-42F0-BFB7-B26B40745363}"/>
    <cellStyle name="Migliaia 55 3 3 4 5" xfId="25384" xr:uid="{CB6FF33C-227E-4DA1-9E6F-48FFFD9141D6}"/>
    <cellStyle name="Migliaia 55 3 3 5" xfId="25385" xr:uid="{D1872521-5A77-47CF-830F-DB137E2038D2}"/>
    <cellStyle name="Migliaia 55 3 3 5 2" xfId="34580" xr:uid="{A6CC42B7-1056-445C-B721-2AFE4E12F231}"/>
    <cellStyle name="Migliaia 55 3 3 5 2 2" xfId="40206" xr:uid="{24CB43C5-5C27-4A51-8637-8FE19898277E}"/>
    <cellStyle name="Migliaia 55 3 3 5 2 3" xfId="45508" xr:uid="{7BED2E48-A8EA-497F-BDB7-5565D054AFB6}"/>
    <cellStyle name="Migliaia 55 3 3 5 3" xfId="37556" xr:uid="{7AC437FE-4F3F-44AB-AE9C-0694959C8D8A}"/>
    <cellStyle name="Migliaia 55 3 3 5 4" xfId="42857" xr:uid="{16346721-9140-4338-BB03-0F117481A1D2}"/>
    <cellStyle name="Migliaia 55 3 3 6" xfId="34577" xr:uid="{56EBC3F5-77C7-453E-8516-13399DA45F49}"/>
    <cellStyle name="Migliaia 55 3 3 6 2" xfId="40202" xr:uid="{7C43D8D3-807E-48AB-A76B-3839F83BD6B9}"/>
    <cellStyle name="Migliaia 55 3 3 6 3" xfId="45504" xr:uid="{333AECEF-0A6A-454D-9283-E67A4E7DB596}"/>
    <cellStyle name="Migliaia 55 3 3 7" xfId="37553" xr:uid="{CDE8E310-0072-4F6C-9BF6-05C413E3B3A4}"/>
    <cellStyle name="Migliaia 55 3 3 8" xfId="42853" xr:uid="{BC72A8EB-832B-4BB2-AB7E-DAF21CF7C173}"/>
    <cellStyle name="Migliaia 55 3 3 9" xfId="16800" xr:uid="{099EE925-8BBA-464D-8519-78BEAA5C5766}"/>
    <cellStyle name="Migliaia 55 3 4" xfId="3912" xr:uid="{99B7466E-CA48-4801-8D3D-2F0DD77935DD}"/>
    <cellStyle name="Migliaia 55 3 4 2" xfId="5638" xr:uid="{367D349C-ADD5-4BC6-BB2A-D5D841ED5B36}"/>
    <cellStyle name="Migliaia 55 3 4 2 2" xfId="14473" xr:uid="{5CE0C87F-07DA-4980-9437-489F97FD94FC}"/>
    <cellStyle name="Migliaia 55 3 4 2 3" xfId="18627" xr:uid="{293954EF-66F9-4392-BD95-95E8F2EFFEAD}"/>
    <cellStyle name="Migliaia 55 3 4 2 4" xfId="20988" xr:uid="{ACCF6EAD-A8F8-4493-ACB2-9A77CDDFC385}"/>
    <cellStyle name="Migliaia 55 3 4 2 5" xfId="32475" xr:uid="{27EBAEA7-C21C-49DE-836F-0C72615F48B7}"/>
    <cellStyle name="Migliaia 55 3 4 2 6" xfId="16803" xr:uid="{BFD8819A-1D07-4AA9-B224-F4205F4F8072}"/>
    <cellStyle name="Migliaia 55 3 4 2 7" xfId="8896" xr:uid="{0978A180-270C-4BED-BB25-F8E020B8DA7F}"/>
    <cellStyle name="Migliaia 55 3 4 3" xfId="6812" xr:uid="{60643042-20DF-49D9-A654-B46FCCDBE2E7}"/>
    <cellStyle name="Migliaia 55 3 4 3 2" xfId="35475" xr:uid="{27EE0903-B4D3-4E5B-8C2D-DCB060115872}"/>
    <cellStyle name="Migliaia 55 3 4 3 2 2" xfId="40635" xr:uid="{B9B0446E-A98C-4F97-8706-DA97F194E029}"/>
    <cellStyle name="Migliaia 55 3 4 3 2 3" xfId="45937" xr:uid="{5FBFC90C-E47A-457C-8745-DBA2311C2C13}"/>
    <cellStyle name="Migliaia 55 3 4 3 3" xfId="37984" xr:uid="{3AF3D6E4-675B-41B4-B67E-EC281BBF4999}"/>
    <cellStyle name="Migliaia 55 3 4 3 4" xfId="43286" xr:uid="{DEF39060-53B4-4B0F-BA01-52D516E773EC}"/>
    <cellStyle name="Migliaia 55 3 4 3 5" xfId="13721" xr:uid="{4483FD7E-FB53-46C3-969E-274FE53EA5E7}"/>
    <cellStyle name="Migliaia 55 3 4 4" xfId="20987" xr:uid="{DA0F97CB-1DC2-44F3-B656-9D4DBF4390C0}"/>
    <cellStyle name="Migliaia 55 3 4 4 2" xfId="40207" xr:uid="{87BE6592-90C5-434A-BA7F-94A99531A1DF}"/>
    <cellStyle name="Migliaia 55 3 4 4 3" xfId="45509" xr:uid="{5857B4F6-FA29-48A7-93EE-ADFD04BB75EB}"/>
    <cellStyle name="Migliaia 55 3 4 4 4" xfId="34581" xr:uid="{C846795F-1846-4E32-93E7-C80645D19AAF}"/>
    <cellStyle name="Migliaia 55 3 4 5" xfId="37557" xr:uid="{2EFFE3C7-1951-45C8-B0A9-42452F770D9F}"/>
    <cellStyle name="Migliaia 55 3 4 6" xfId="42858" xr:uid="{FC638A2C-3855-4A69-A991-B4ADC1EBCC08}"/>
    <cellStyle name="Migliaia 55 3 4 7" xfId="16802" xr:uid="{9A1B3F7F-5851-41EE-AD06-DA24D5A13B3F}"/>
    <cellStyle name="Migliaia 55 3 4 8" xfId="7706" xr:uid="{9C5F6942-498A-44C3-936F-445D33CFB96B}"/>
    <cellStyle name="Migliaia 55 3 5" xfId="3913" xr:uid="{6922E324-EAB3-4F4C-936F-5622583A8794}"/>
    <cellStyle name="Migliaia 55 3 5 2" xfId="5639" xr:uid="{34BED136-306C-487F-A9DA-8C987BE2A58C}"/>
    <cellStyle name="Migliaia 55 3 5 2 2" xfId="35476" xr:uid="{77737E18-4FC2-475C-ABBF-29E8D7C0141E}"/>
    <cellStyle name="Migliaia 55 3 5 2 2 2" xfId="40636" xr:uid="{B511CD8D-50B1-4233-9B99-F907487DAA74}"/>
    <cellStyle name="Migliaia 55 3 5 2 2 3" xfId="45938" xr:uid="{56B5AF23-0402-42FD-A283-BAD993BD019F}"/>
    <cellStyle name="Migliaia 55 3 5 2 3" xfId="37985" xr:uid="{51E33E9A-66D0-4DCE-944C-4184BBB9A8A1}"/>
    <cellStyle name="Migliaia 55 3 5 2 4" xfId="43287" xr:uid="{D5EDAD78-0380-47E9-B5B1-6280E2A6C93D}"/>
    <cellStyle name="Migliaia 55 3 5 2 5" xfId="14331" xr:uid="{808EC9A3-3E2C-4A38-9B93-F87EC477C920}"/>
    <cellStyle name="Migliaia 55 3 5 3" xfId="6813" xr:uid="{4E8DB34B-DCF4-4E01-B408-FA2998C794FD}"/>
    <cellStyle name="Migliaia 55 3 5 3 2" xfId="40208" xr:uid="{7E3BE2E4-7117-490E-BB48-A3BB4262440A}"/>
    <cellStyle name="Migliaia 55 3 5 3 3" xfId="45510" xr:uid="{81C84D87-E883-4FF9-9DE7-54C22E3745B6}"/>
    <cellStyle name="Migliaia 55 3 5 3 4" xfId="34582" xr:uid="{6F850F61-DA03-4E42-BB7C-64A28870EE99}"/>
    <cellStyle name="Migliaia 55 3 5 3 5" xfId="20989" xr:uid="{E6062D97-CD87-4C51-A2F5-39E21F2CB430}"/>
    <cellStyle name="Migliaia 55 3 5 4" xfId="37558" xr:uid="{2DE5CDD9-8D35-4DE2-8C5E-D480400E19C6}"/>
    <cellStyle name="Migliaia 55 3 5 5" xfId="42859" xr:uid="{8266CE64-B85E-4A2C-A141-34BC541D201B}"/>
    <cellStyle name="Migliaia 55 3 5 6" xfId="16804" xr:uid="{D95E44C5-6713-4AB2-965C-67A85A775C93}"/>
    <cellStyle name="Migliaia 55 3 5 7" xfId="8393" xr:uid="{7536B452-D3C3-43D9-8695-03D08D5214ED}"/>
    <cellStyle name="Migliaia 55 3 6" xfId="5634" xr:uid="{67953C8A-CF09-4BBE-A47E-F64B3C941433}"/>
    <cellStyle name="Migliaia 55 3 6 2" xfId="14036" xr:uid="{01B29F5B-E6A5-4481-BD13-E77345D21B49}"/>
    <cellStyle name="Migliaia 55 3 6 2 2" xfId="40209" xr:uid="{A05DFD81-FFDC-4D2E-B97C-D053577B9AE7}"/>
    <cellStyle name="Migliaia 55 3 6 2 3" xfId="45511" xr:uid="{BC9AC502-77BF-4CF5-AA86-CC7D1ADD3DC3}"/>
    <cellStyle name="Migliaia 55 3 6 3" xfId="18028" xr:uid="{6A2CCA05-1589-4236-B6E0-16962A77C92F}"/>
    <cellStyle name="Migliaia 55 3 6 4" xfId="20990" xr:uid="{128F828A-3C5E-46CB-837F-D46B4C60F895}"/>
    <cellStyle name="Migliaia 55 3 6 4 2" xfId="42860" xr:uid="{3C860434-0BF7-4569-80F3-4B6E7217434C}"/>
    <cellStyle name="Migliaia 55 3 6 5" xfId="16805" xr:uid="{7BF990E5-6177-4B0D-9EBC-C2CD03379B91}"/>
    <cellStyle name="Migliaia 55 3 6 6" xfId="8024" xr:uid="{EDFE1031-73F6-4E9C-9D44-7D9707E0E536}"/>
    <cellStyle name="Migliaia 55 3 7" xfId="6808" xr:uid="{A531D3A5-2A36-47F0-8F32-756A4A55D6CB}"/>
    <cellStyle name="Migliaia 55 3 7 2" xfId="34583" xr:uid="{958DBD64-D1ED-406B-BAB8-86664BD32BAB}"/>
    <cellStyle name="Migliaia 55 3 7 2 2" xfId="40210" xr:uid="{C797C2DD-C76A-45C1-B8EF-B9EB03087274}"/>
    <cellStyle name="Migliaia 55 3 7 2 3" xfId="45512" xr:uid="{0F5FA8B1-57E6-4A7C-99F2-2A9B5C0759DA}"/>
    <cellStyle name="Migliaia 55 3 7 3" xfId="37559" xr:uid="{F381E36D-0795-4385-A49B-083EA3AE06DA}"/>
    <cellStyle name="Migliaia 55 3 7 4" xfId="42861" xr:uid="{8F9DE9CE-0CBC-4B10-A557-56CDCCA1C7E1}"/>
    <cellStyle name="Migliaia 55 3 7 5" xfId="11530" xr:uid="{C256E8FF-7DF3-47D5-8A65-C0A7EC80705E}"/>
    <cellStyle name="Migliaia 55 3 8" xfId="3908" xr:uid="{3311BBE6-AC94-499B-8C8C-9D03E2301C52}"/>
    <cellStyle name="Migliaia 55 3 8 2" xfId="34584" xr:uid="{83D5296F-7DB7-4C4B-AD90-1F9527DB5B00}"/>
    <cellStyle name="Migliaia 55 3 8 2 2" xfId="40211" xr:uid="{772C71BD-8190-48D6-8C6D-999C64F19DEF}"/>
    <cellStyle name="Migliaia 55 3 8 2 3" xfId="45513" xr:uid="{63584658-3501-4A96-92F6-8277EE6E8C70}"/>
    <cellStyle name="Migliaia 55 3 8 3" xfId="37560" xr:uid="{89995513-02CD-4F08-B7BB-A6F814A53B75}"/>
    <cellStyle name="Migliaia 55 3 8 4" xfId="42862" xr:uid="{4E20C3AB-CFA1-4D64-AD4C-F36E44FEE706}"/>
    <cellStyle name="Migliaia 55 3 8 5" xfId="25386" xr:uid="{F2F5976A-A0DD-4868-BE68-99E6ADE00007}"/>
    <cellStyle name="Migliaia 55 3 8 6" xfId="17277" xr:uid="{3F57A1C6-1873-4FD0-A0F5-04845C710ADE}"/>
    <cellStyle name="Migliaia 55 3 9" xfId="20981" xr:uid="{07235F05-AA66-42B5-9A28-4868D807DC71}"/>
    <cellStyle name="Migliaia 55 4" xfId="1908" xr:uid="{00000000-0005-0000-0000-000087040000}"/>
    <cellStyle name="Migliaia 55 4 2" xfId="1909" xr:uid="{00000000-0005-0000-0000-000088040000}"/>
    <cellStyle name="Migliaia 55 4 2 2" xfId="5641" xr:uid="{B2DBABBD-237A-42C9-849C-9D06A93D1754}"/>
    <cellStyle name="Migliaia 55 4 2 2 2" xfId="34585" xr:uid="{13537B7D-2FF2-4C47-9767-F71FE85BAFF1}"/>
    <cellStyle name="Migliaia 55 4 2 2 2 2" xfId="40212" xr:uid="{4D802685-43B5-4B6C-8A5C-170CD26FA49C}"/>
    <cellStyle name="Migliaia 55 4 2 2 2 3" xfId="45514" xr:uid="{692F76F4-9E42-415A-9FBD-5EA0920744C0}"/>
    <cellStyle name="Migliaia 55 4 2 2 3" xfId="37561" xr:uid="{00C4F504-1795-4426-85DF-DC73D6C061A9}"/>
    <cellStyle name="Migliaia 55 4 2 2 4" xfId="42863" xr:uid="{66CF423F-476D-4F2D-85F4-2EA29D69C513}"/>
    <cellStyle name="Migliaia 55 4 2 2 5" xfId="9208" xr:uid="{120E18D5-D6A0-42A9-AF88-B33644A984FE}"/>
    <cellStyle name="Migliaia 55 4 2 3" xfId="3915" xr:uid="{300E1853-4EF6-4F8B-BC06-29D0137C1369}"/>
    <cellStyle name="Migliaia 55 4 2 3 2" xfId="34586" xr:uid="{621A8FF5-8AC5-41F8-B794-4892E0C71F30}"/>
    <cellStyle name="Migliaia 55 4 2 3 2 2" xfId="40213" xr:uid="{3C2EC94C-3465-4041-97FE-F7DC63A57D3D}"/>
    <cellStyle name="Migliaia 55 4 2 3 2 3" xfId="45515" xr:uid="{56268BA8-21C9-4860-B3C5-71A7219C667F}"/>
    <cellStyle name="Migliaia 55 4 2 3 3" xfId="37562" xr:uid="{38151F45-9318-4E7F-8FBA-7AA78D103A20}"/>
    <cellStyle name="Migliaia 55 4 2 3 4" xfId="42864" xr:uid="{CBC6475B-0A76-4C40-B2C2-36AD7DF813B1}"/>
    <cellStyle name="Migliaia 55 4 2 3 5" xfId="12089" xr:uid="{E70FCFB4-1ABC-4DAD-9C5B-BC5C4A293C24}"/>
    <cellStyle name="Migliaia 55 4 2 4" xfId="11442" xr:uid="{527FD100-D1DA-4A3E-BDDC-7481B3BCC28E}"/>
    <cellStyle name="Migliaia 55 4 2 5" xfId="10986" xr:uid="{DD6C642E-628F-43CC-87F9-9A331DCE794E}"/>
    <cellStyle name="Migliaia 55 4 2 5 2" xfId="21621" xr:uid="{2F5D1590-6F07-41FA-8508-AD0ED22EC4F7}"/>
    <cellStyle name="Migliaia 55 4 2 5 3" xfId="47515" xr:uid="{67D383AB-A265-425D-9574-9AB44306FE5C}"/>
    <cellStyle name="Migliaia 55 4 2 5 4" xfId="50636" xr:uid="{FF233458-F1E2-4D1F-8C40-FB9E47DB0E02}"/>
    <cellStyle name="Migliaia 55 4 2 5 5" xfId="53652" xr:uid="{7DB18688-2759-46D9-ABEC-FDC5AEF395D7}"/>
    <cellStyle name="Migliaia 55 4 2 6" xfId="20992" xr:uid="{5E8A747A-FB81-457B-AE9B-C3D528A340B6}"/>
    <cellStyle name="Migliaia 55 4 2 7" xfId="25388" xr:uid="{50176683-6D10-430F-B26F-EADD5F25589A}"/>
    <cellStyle name="Migliaia 55 4 2 8" xfId="8784" xr:uid="{18F7D71E-D8D8-4E07-B2A2-EA2CB35F7F59}"/>
    <cellStyle name="Migliaia 55 4 3" xfId="5640" xr:uid="{D8D0371E-B806-4BF9-AAA6-05C3A0636ED8}"/>
    <cellStyle name="Migliaia 55 4 3 2" xfId="18263" xr:uid="{583C1CB7-F9A0-4AF8-8457-0847056B365B}"/>
    <cellStyle name="Migliaia 55 4 3 2 2" xfId="40214" xr:uid="{1637DC40-34F0-489A-8ADB-433AAEB7AE04}"/>
    <cellStyle name="Migliaia 55 4 3 2 3" xfId="45516" xr:uid="{40B05D1E-D334-4C86-AB02-8FC30196F470}"/>
    <cellStyle name="Migliaia 55 4 3 3" xfId="37563" xr:uid="{7E854FBC-9C4A-4447-A2BF-D0C273667F8C}"/>
    <cellStyle name="Migliaia 55 4 3 4" xfId="42865" xr:uid="{01FCA6E8-458D-47B6-ABB7-D3BCE165890E}"/>
    <cellStyle name="Migliaia 55 4 3 5" xfId="17275" xr:uid="{FE170FDE-1E1C-42DE-851B-19EF93EFC82E}"/>
    <cellStyle name="Migliaia 55 4 3 6" xfId="9209" xr:uid="{49DD08A5-30A0-4FDE-B851-0DF51156DFCA}"/>
    <cellStyle name="Migliaia 55 4 4" xfId="6814" xr:uid="{8F162600-032E-4AE7-997D-1C97B07E2631}"/>
    <cellStyle name="Migliaia 55 4 4 2" xfId="34587" xr:uid="{CCF227ED-22B8-439B-BE40-1040396B3A6E}"/>
    <cellStyle name="Migliaia 55 4 4 2 2" xfId="40215" xr:uid="{210E8531-37AC-4178-92F4-3A012EF8E62E}"/>
    <cellStyle name="Migliaia 55 4 4 2 3" xfId="45517" xr:uid="{F0F5004A-9F2A-4862-964A-56F725CE4415}"/>
    <cellStyle name="Migliaia 55 4 4 3" xfId="37564" xr:uid="{212E82A0-8BF2-42DE-B833-5FBA547F130C}"/>
    <cellStyle name="Migliaia 55 4 4 4" xfId="42866" xr:uid="{CC9E4539-728C-41B7-A84D-0E3254A0C35D}"/>
    <cellStyle name="Migliaia 55 4 4 5" xfId="12090" xr:uid="{BB90AA75-7950-4E89-A6CF-3B783D6A8ADA}"/>
    <cellStyle name="Migliaia 55 4 5" xfId="3914" xr:uid="{FF3B42B4-38DF-43D1-96EA-D2F2164EC081}"/>
    <cellStyle name="Migliaia 55 4 5 2" xfId="34588" xr:uid="{87F0582C-9F61-409B-B89F-D8EEF8057F74}"/>
    <cellStyle name="Migliaia 55 4 5 2 2" xfId="40216" xr:uid="{522D9703-0B11-4682-BD62-7AC92385FBFD}"/>
    <cellStyle name="Migliaia 55 4 5 2 3" xfId="45518" xr:uid="{984EF318-DD43-48AF-968E-B1173BFCF9FA}"/>
    <cellStyle name="Migliaia 55 4 5 3" xfId="37565" xr:uid="{0DD48EE3-8E7E-4CB6-B808-B3DFF4646E23}"/>
    <cellStyle name="Migliaia 55 4 5 4" xfId="42867" xr:uid="{03BFF65F-7A70-4CFA-8619-433D2C8D9751}"/>
    <cellStyle name="Migliaia 55 4 5 5" xfId="11441" xr:uid="{2EBBA71D-3793-46B6-B503-495A289C8DFC}"/>
    <cellStyle name="Migliaia 55 4 6" xfId="10985" xr:uid="{0C6CC8E8-1387-4A04-9777-4FAA4171F169}"/>
    <cellStyle name="Migliaia 55 4 6 2" xfId="21620" xr:uid="{D2F30A69-E4D6-40BA-A05A-3E741196E71A}"/>
    <cellStyle name="Migliaia 55 4 6 2 2" xfId="40217" xr:uid="{A214F3AB-6720-4813-8D84-4BE6D42EBF81}"/>
    <cellStyle name="Migliaia 55 4 6 2 3" xfId="45519" xr:uid="{DAC1A188-4F07-4270-94DC-C60C531ADAD8}"/>
    <cellStyle name="Migliaia 55 4 6 2 4" xfId="34589" xr:uid="{2B514874-A06A-47A2-A3D4-A9045283F509}"/>
    <cellStyle name="Migliaia 55 4 6 3" xfId="37566" xr:uid="{A0961F77-9CA1-4512-9C9B-978D5479D5F8}"/>
    <cellStyle name="Migliaia 55 4 6 4" xfId="42868" xr:uid="{D8BB8A16-6D1F-432A-9F2D-AC40D02FDACD}"/>
    <cellStyle name="Migliaia 55 4 6 5" xfId="25389" xr:uid="{D66F7395-CBBB-4926-B168-29C4A6934087}"/>
    <cellStyle name="Migliaia 55 4 6 6" xfId="25185" xr:uid="{072725CE-346A-48FC-855B-CF1432A49386}"/>
    <cellStyle name="Migliaia 55 4 6 7" xfId="50635" xr:uid="{0DD2EB9C-4763-4CF2-A8C9-206F772C2DF7}"/>
    <cellStyle name="Migliaia 55 4 6 8" xfId="53651" xr:uid="{3950B002-B474-498B-A0BA-8FCCEA308212}"/>
    <cellStyle name="Migliaia 55 4 7" xfId="20991" xr:uid="{5FC27DCA-FCCB-46A1-81D8-CEC0C8E4391C}"/>
    <cellStyle name="Migliaia 55 4 7 2" xfId="34590" xr:uid="{73087F4C-25D2-454F-B1C2-2F7C3253D0D9}"/>
    <cellStyle name="Migliaia 55 4 7 2 2" xfId="40218" xr:uid="{C1142F89-CD4D-4E9F-B853-2E606DD356BC}"/>
    <cellStyle name="Migliaia 55 4 7 2 3" xfId="45520" xr:uid="{CC870D2C-F6A2-43BD-ABDE-5B059C5E77AD}"/>
    <cellStyle name="Migliaia 55 4 7 3" xfId="37567" xr:uid="{2FE68E1C-201C-4019-B27B-703255B9574A}"/>
    <cellStyle name="Migliaia 55 4 7 4" xfId="42869" xr:uid="{54888D82-52CD-4EE9-AD35-6BA6A146C768}"/>
    <cellStyle name="Migliaia 55 4 7 5" xfId="25390" xr:uid="{189A3B53-AA71-4D86-80D5-ED945D882873}"/>
    <cellStyle name="Migliaia 55 4 8" xfId="25387" xr:uid="{AD4308D9-460B-4C20-88F7-BC2F6809B1D8}"/>
    <cellStyle name="Migliaia 55 4 9" xfId="7594" xr:uid="{C8324971-C30A-4E75-9623-51A263539B4C}"/>
    <cellStyle name="Migliaia 55 5" xfId="1910" xr:uid="{00000000-0005-0000-0000-000089040000}"/>
    <cellStyle name="Migliaia 55 5 2" xfId="5642" xr:uid="{F66A2613-42F4-4475-B082-2DF45771890C}"/>
    <cellStyle name="Migliaia 55 5 2 2" xfId="18514" xr:uid="{47A0B3EE-474D-4D71-AE80-F061886DDC9C}"/>
    <cellStyle name="Migliaia 55 5 2 2 2" xfId="40219" xr:uid="{A2E22633-D117-42A1-A019-0A5E0490EBA9}"/>
    <cellStyle name="Migliaia 55 5 2 2 3" xfId="45521" xr:uid="{92D876AC-F3D4-40EA-8CE4-27CC0920D838}"/>
    <cellStyle name="Migliaia 55 5 2 3" xfId="20994" xr:uid="{B4F24C9F-454D-47CA-95ED-AC070C531DA8}"/>
    <cellStyle name="Migliaia 55 5 2 3 2" xfId="37568" xr:uid="{86EA21B2-C32E-407C-93EF-7D3577711FB8}"/>
    <cellStyle name="Migliaia 55 5 2 4" xfId="42870" xr:uid="{CD915511-B18A-4FE9-8CB1-E6C30038D003}"/>
    <cellStyle name="Migliaia 55 5 2 5" xfId="16806" xr:uid="{C3751E12-4BB3-4B9A-A6D7-0BA49F23303C}"/>
    <cellStyle name="Migliaia 55 5 2 6" xfId="8785" xr:uid="{7BD6388E-7406-432F-8CD3-A7940FE9A0EA}"/>
    <cellStyle name="Migliaia 55 5 3" xfId="6815" xr:uid="{8448FABC-C628-46B2-A137-5D159A71520A}"/>
    <cellStyle name="Migliaia 55 5 3 2" xfId="34591" xr:uid="{B36CFF62-EF73-42FC-B98E-ECD6E4653D48}"/>
    <cellStyle name="Migliaia 55 5 3 2 2" xfId="40220" xr:uid="{84F84C8A-85D5-4178-AF95-3EA3168D06F8}"/>
    <cellStyle name="Migliaia 55 5 3 2 3" xfId="45522" xr:uid="{B844A463-2078-42DA-8A11-E92B5D84A756}"/>
    <cellStyle name="Migliaia 55 5 3 3" xfId="37569" xr:uid="{AEA1E1ED-CC85-4684-9156-54B4879149F9}"/>
    <cellStyle name="Migliaia 55 5 3 4" xfId="42871" xr:uid="{1A2CD10A-9AD6-47EE-841B-A71965EFC774}"/>
    <cellStyle name="Migliaia 55 5 3 5" xfId="11443" xr:uid="{99C029F3-EF7A-40D0-AC99-1310DDD0139A}"/>
    <cellStyle name="Migliaia 55 5 4" xfId="3916" xr:uid="{1AB7B9BD-B505-47F6-9164-2421549AD519}"/>
    <cellStyle name="Migliaia 55 5 4 2" xfId="21622" xr:uid="{37C7890B-2891-4080-A9DB-A309F9A38F16}"/>
    <cellStyle name="Migliaia 55 5 4 2 2" xfId="40221" xr:uid="{2EBB8D8B-2624-4108-916A-8FA38391CFAF}"/>
    <cellStyle name="Migliaia 55 5 4 2 3" xfId="45523" xr:uid="{8477B0F8-D8DB-47C6-9C60-0442BF3FDA06}"/>
    <cellStyle name="Migliaia 55 5 4 2 4" xfId="34592" xr:uid="{262B8297-44BA-4F31-ABE4-BB74CAC41BDA}"/>
    <cellStyle name="Migliaia 55 5 4 3" xfId="37570" xr:uid="{FD8589A2-7D7B-485B-B59F-E39DFD22D9BA}"/>
    <cellStyle name="Migliaia 55 5 4 4" xfId="42872" xr:uid="{0785B2B9-D013-449E-B1C5-865A683653DE}"/>
    <cellStyle name="Migliaia 55 5 4 5" xfId="25392" xr:uid="{9E3C7B1D-68B9-4CD6-8E38-8807981A8FAA}"/>
    <cellStyle name="Migliaia 55 5 4 6" xfId="32541" xr:uid="{1DC3CBBD-5286-4AA0-AB34-C1D8036B9B20}"/>
    <cellStyle name="Migliaia 55 5 4 7" xfId="50637" xr:uid="{BC864E12-7CFA-44D4-AAA9-AE4D0483BF75}"/>
    <cellStyle name="Migliaia 55 5 4 8" xfId="53653" xr:uid="{1F6C4DC5-7D9F-46C0-A99D-91388314EB7E}"/>
    <cellStyle name="Migliaia 55 5 4 9" xfId="10987" xr:uid="{51CE9B1C-FD87-4B03-90A1-29C2A50C9B2F}"/>
    <cellStyle name="Migliaia 55 5 5" xfId="20993" xr:uid="{04EE3969-C7CD-4688-B81F-E27FDA8DA8BC}"/>
    <cellStyle name="Migliaia 55 5 5 2" xfId="34593" xr:uid="{82C5159E-B139-4057-AF7E-8B42BDB02EBA}"/>
    <cellStyle name="Migliaia 55 5 5 2 2" xfId="40222" xr:uid="{283866C8-76D1-4A5B-B3E5-56582C3F6AD2}"/>
    <cellStyle name="Migliaia 55 5 5 2 3" xfId="45524" xr:uid="{1A53876E-E93D-4533-8094-F168A3FA6C4A}"/>
    <cellStyle name="Migliaia 55 5 5 3" xfId="37571" xr:uid="{AC629AAE-0686-48C4-985B-FBC19D17A914}"/>
    <cellStyle name="Migliaia 55 5 5 4" xfId="42873" xr:uid="{8B4C6CB9-485A-4C9C-8CBB-C32B3C06344F}"/>
    <cellStyle name="Migliaia 55 5 5 5" xfId="25393" xr:uid="{579AEDD9-2E0D-415F-861E-20E62FC15E5E}"/>
    <cellStyle name="Migliaia 55 5 6" xfId="25394" xr:uid="{FDD50A7C-7058-4895-80D7-7841A69E356B}"/>
    <cellStyle name="Migliaia 55 5 6 2" xfId="34594" xr:uid="{5C25CF4F-C270-425B-B953-E89CF8C69EED}"/>
    <cellStyle name="Migliaia 55 5 6 2 2" xfId="40223" xr:uid="{09358F74-E1CE-405B-BA8E-5F1B6EBC3FEB}"/>
    <cellStyle name="Migliaia 55 5 6 2 3" xfId="45525" xr:uid="{DD4A0EBB-1788-4F1F-B41E-9FDFDA19B769}"/>
    <cellStyle name="Migliaia 55 5 6 3" xfId="37572" xr:uid="{2B11B1EC-AEA7-44D1-A609-C2379FD8009E}"/>
    <cellStyle name="Migliaia 55 5 6 4" xfId="42874" xr:uid="{CDDD3547-0583-417F-A0E9-68A28E75CF66}"/>
    <cellStyle name="Migliaia 55 5 7" xfId="25391" xr:uid="{A3CACD0B-A434-4F93-BD1F-A74AD21BFA5B}"/>
    <cellStyle name="Migliaia 55 5 8" xfId="7595" xr:uid="{CCB926B5-E1E4-4FF7-8F18-F20CB17D28D7}"/>
    <cellStyle name="Migliaia 55 6" xfId="3917" xr:uid="{13C952F4-5711-4D0F-A42F-31949C3A5E02}"/>
    <cellStyle name="Migliaia 55 6 2" xfId="5643" xr:uid="{E2BCE070-5F4D-45AB-B247-03D4D3951DB1}"/>
    <cellStyle name="Migliaia 55 6 2 2" xfId="9981" xr:uid="{EAD5286C-FAB9-4D3F-A68B-CD773FD3C9C9}"/>
    <cellStyle name="Migliaia 55 6 2 3" xfId="18031" xr:uid="{6FE60AC7-E4A5-483A-B231-DB8DCCD8D866}"/>
    <cellStyle name="Migliaia 55 6 2 4" xfId="20996" xr:uid="{FB49B747-1633-4EE7-9DE2-10A420AF8C8F}"/>
    <cellStyle name="Migliaia 55 6 2 5" xfId="32476" xr:uid="{AD2482CF-0CF3-48CD-927D-CDB4384265F4}"/>
    <cellStyle name="Migliaia 55 6 2 6" xfId="16808" xr:uid="{13E48056-EB59-4F2B-B11F-7A6AF51BA47D}"/>
    <cellStyle name="Migliaia 55 6 2 7" xfId="8780" xr:uid="{AF4C5EF5-D51C-434C-B0B6-8F6D9A03CC2C}"/>
    <cellStyle name="Migliaia 55 6 3" xfId="6816" xr:uid="{65F9CCB4-A9B4-4BD3-AE5C-9EAC849E2FFD}"/>
    <cellStyle name="Migliaia 55 6 3 2" xfId="35477" xr:uid="{38C5A351-9072-49AC-8020-19750CA504E6}"/>
    <cellStyle name="Migliaia 55 6 3 2 2" xfId="40637" xr:uid="{C4A26F6E-B132-4624-8A26-B28618DFDBDA}"/>
    <cellStyle name="Migliaia 55 6 3 2 3" xfId="45939" xr:uid="{1F3FC421-41D8-49B7-9D63-0E698B34358C}"/>
    <cellStyle name="Migliaia 55 6 3 3" xfId="37986" xr:uid="{F39614D1-6E71-43EA-B54D-CA259EAD889D}"/>
    <cellStyle name="Migliaia 55 6 3 4" xfId="43288" xr:uid="{BBCFFE31-2170-47B5-96A0-FB103FB26CBA}"/>
    <cellStyle name="Migliaia 55 6 3 5" xfId="9744" xr:uid="{EFADC81C-654A-40B9-AE57-A5FD8ACDBE1B}"/>
    <cellStyle name="Migliaia 55 6 4" xfId="20995" xr:uid="{C136102E-E71C-4128-894C-C507FD974C16}"/>
    <cellStyle name="Migliaia 55 6 4 2" xfId="40224" xr:uid="{62E7491C-71BE-4F6D-8403-88BBB6332B03}"/>
    <cellStyle name="Migliaia 55 6 4 3" xfId="45526" xr:uid="{F679A7AA-AEC5-4AA7-9D06-2874AA10114C}"/>
    <cellStyle name="Migliaia 55 6 4 4" xfId="34595" xr:uid="{1FEC60F4-6F2B-4B72-9D02-F765E1CABD4D}"/>
    <cellStyle name="Migliaia 55 6 5" xfId="37573" xr:uid="{27DA8AD9-14A4-40B2-AE49-F6E611BD186A}"/>
    <cellStyle name="Migliaia 55 6 6" xfId="42875" xr:uid="{C6EB28D9-2425-403A-9050-E64E97F22EC0}"/>
    <cellStyle name="Migliaia 55 6 7" xfId="16807" xr:uid="{25A702A7-5774-4F67-B319-CC3B8E3BF9EC}"/>
    <cellStyle name="Migliaia 55 6 8" xfId="7590" xr:uid="{74BC0489-73B1-4E2C-A176-1DDA0B01FBE9}"/>
    <cellStyle name="Migliaia 55 7" xfId="3918" xr:uid="{B25D1C03-AD86-490A-88F7-DA95A00FA578}"/>
    <cellStyle name="Migliaia 55 7 2" xfId="5644" xr:uid="{87E545E2-2E40-4235-B30A-AB90C7C36DFA}"/>
    <cellStyle name="Migliaia 55 7 2 2" xfId="35478" xr:uid="{2FC47999-03E5-463A-9F3C-4B176D1B4335}"/>
    <cellStyle name="Migliaia 55 7 2 2 2" xfId="40638" xr:uid="{DD0E778E-1581-4268-B1A8-5A0EBE660815}"/>
    <cellStyle name="Migliaia 55 7 2 2 3" xfId="45940" xr:uid="{6BFB3431-F1F8-4031-8A62-75957C717843}"/>
    <cellStyle name="Migliaia 55 7 2 3" xfId="37987" xr:uid="{941896D3-A30A-4B2D-B8E4-18E50F85271D}"/>
    <cellStyle name="Migliaia 55 7 2 4" xfId="43289" xr:uid="{9D427763-16B5-4B54-9D1F-83A0BDB6C850}"/>
    <cellStyle name="Migliaia 55 7 2 5" xfId="14329" xr:uid="{48CE6021-EC97-4919-9751-BB07D2919572}"/>
    <cellStyle name="Migliaia 55 7 3" xfId="6817" xr:uid="{986AB476-AED1-4ACF-9E07-92034153E2E8}"/>
    <cellStyle name="Migliaia 55 7 3 2" xfId="34596" xr:uid="{C46A1405-01DD-4FF5-BCD0-041F81E91A16}"/>
    <cellStyle name="Migliaia 55 7 3 3" xfId="20997" xr:uid="{D052EC89-DEB8-46AC-8B68-D8FF19F4C39C}"/>
    <cellStyle name="Migliaia 55 7 4" xfId="25395" xr:uid="{774C3319-DFC6-4EEA-AE78-098744D40715}"/>
    <cellStyle name="Migliaia 55 7 5" xfId="16809" xr:uid="{E3C0B918-42D5-4726-ABD6-6940DD9DB1E3}"/>
    <cellStyle name="Migliaia 55 7 6" xfId="8391" xr:uid="{9E8F4908-8C39-4E32-A911-6BD804A35D72}"/>
    <cellStyle name="Migliaia 55 8" xfId="3919" xr:uid="{7A1E14B0-A6DA-4600-A540-7ADCAF5071BB}"/>
    <cellStyle name="Migliaia 55 8 2" xfId="5645" xr:uid="{B18726B1-0B0B-4184-BD1C-ED6B846CCC02}"/>
    <cellStyle name="Migliaia 55 8 2 2" xfId="35479" xr:uid="{6A1B3FD2-7912-40DE-8C07-163A4FCA1334}"/>
    <cellStyle name="Migliaia 55 8 2 2 2" xfId="40639" xr:uid="{A59BCDDD-BDFE-4687-86D9-6D3BBC9EA955}"/>
    <cellStyle name="Migliaia 55 8 2 2 3" xfId="45941" xr:uid="{079C2A56-BB20-4CE9-BF5B-989F4B89D387}"/>
    <cellStyle name="Migliaia 55 8 2 3" xfId="37988" xr:uid="{F93F4269-DC07-420E-B884-7A57EF3D17F7}"/>
    <cellStyle name="Migliaia 55 8 2 4" xfId="43290" xr:uid="{888EBCB9-F244-44CC-9419-3396D4BA42CD}"/>
    <cellStyle name="Migliaia 55 8 2 5" xfId="14034" xr:uid="{BD165335-0039-4E3D-9A98-6A82E7CBAA61}"/>
    <cellStyle name="Migliaia 55 8 3" xfId="6818" xr:uid="{557C50E7-6ECA-4156-B7AD-7FF5A8732A4F}"/>
    <cellStyle name="Migliaia 55 8 3 2" xfId="34597" xr:uid="{4F408FF2-EB4F-4393-A12D-CC72E89C3CF5}"/>
    <cellStyle name="Migliaia 55 8 3 3" xfId="20998" xr:uid="{9CDB0F22-6B2B-4D14-8703-904D742ED60A}"/>
    <cellStyle name="Migliaia 55 8 4" xfId="25396" xr:uid="{7C12D5C0-886B-4B75-8E52-EFD90F7D40CB}"/>
    <cellStyle name="Migliaia 55 8 5" xfId="16810" xr:uid="{E19A5F1E-2A79-4A4D-925F-F67FD70E7016}"/>
    <cellStyle name="Migliaia 55 8 6" xfId="8022" xr:uid="{6DADF86F-800F-4B66-873F-EBA6B0806B00}"/>
    <cellStyle name="Migliaia 55 9" xfId="5630" xr:uid="{A0DCC808-DEBA-4C91-9EB9-3DA1463ED197}"/>
    <cellStyle name="Migliaia 55 9 2" xfId="34598" xr:uid="{7734D132-4BA3-4EA0-BF18-FA79BEE9D3A2}"/>
    <cellStyle name="Migliaia 55 9 3" xfId="25397" xr:uid="{6AF40E4E-BCED-4606-83C2-3E50856154C9}"/>
    <cellStyle name="Migliaia 55 9 4" xfId="17235" xr:uid="{3540FC3A-B9F4-41C9-80B4-2701A2C09ED9}"/>
    <cellStyle name="Migliaia 56" xfId="505" xr:uid="{00000000-0005-0000-0000-00008A040000}"/>
    <cellStyle name="Migliaia 56 10" xfId="6819" xr:uid="{7B9824B5-BAB3-4347-B67A-E1435A3FCCA2}"/>
    <cellStyle name="Migliaia 56 10 2" xfId="34599" xr:uid="{8C62817C-2366-4177-814D-A6FE55FFB1FB}"/>
    <cellStyle name="Migliaia 56 10 3" xfId="20999" xr:uid="{5F779E1C-512D-44CF-8811-5659C9B1ADAB}"/>
    <cellStyle name="Migliaia 56 11" xfId="3920" xr:uid="{779DF0DA-0195-42B2-B60E-0C13086BB6F2}"/>
    <cellStyle name="Migliaia 56 11 2" xfId="25398" xr:uid="{FCB6BDEC-D2F4-4331-9EDD-90006CF1168B}"/>
    <cellStyle name="Migliaia 56 12" xfId="7195" xr:uid="{B1438701-1A60-4B3E-AF1F-308549266431}"/>
    <cellStyle name="Migliaia 56 2" xfId="506" xr:uid="{00000000-0005-0000-0000-00008B040000}"/>
    <cellStyle name="Migliaia 56 2 2" xfId="1911" xr:uid="{00000000-0005-0000-0000-00008C040000}"/>
    <cellStyle name="Migliaia 56 2 2 2" xfId="5648" xr:uid="{B7B48E49-4801-4A91-AB4D-BB158492FC7B}"/>
    <cellStyle name="Migliaia 56 2 2 2 2" xfId="14414" xr:uid="{5574CD08-6A25-46A0-BC8E-29762B3C067E}"/>
    <cellStyle name="Migliaia 56 2 2 2 2 2" xfId="34602" xr:uid="{6BE7FB36-F442-4FD4-AC52-B0ED21AA5708}"/>
    <cellStyle name="Migliaia 56 2 2 2 3" xfId="18515" xr:uid="{5FB0D38A-6269-4256-A09E-B8F1BF7C42C1}"/>
    <cellStyle name="Migliaia 56 2 2 2 4" xfId="21002" xr:uid="{83BC9278-D37B-4C54-9051-1B4DED759865}"/>
    <cellStyle name="Migliaia 56 2 2 2 5" xfId="25401" xr:uid="{58D0CE9E-524E-4541-AC09-E59357FB259C}"/>
    <cellStyle name="Migliaia 56 2 2 2 6" xfId="16811" xr:uid="{3F924023-4888-483A-9B57-763F4EBA22D3}"/>
    <cellStyle name="Migliaia 56 2 2 2 7" xfId="8787" xr:uid="{53157654-0219-40AE-8201-9606F35F2EB9}"/>
    <cellStyle name="Migliaia 56 2 2 3" xfId="6821" xr:uid="{32616EB8-562B-48C1-98AF-60FC73911A8F}"/>
    <cellStyle name="Migliaia 56 2 2 3 2" xfId="35480" xr:uid="{DF4D3162-7D0F-4D13-ACBB-45168563AD6E}"/>
    <cellStyle name="Migliaia 56 2 2 3 2 2" xfId="40640" xr:uid="{4FA10BE8-6794-44A6-8D85-E2D8674D708D}"/>
    <cellStyle name="Migliaia 56 2 2 3 2 3" xfId="45942" xr:uid="{DBB70A10-243D-48B8-B83E-04EEAEB655C1}"/>
    <cellStyle name="Migliaia 56 2 2 3 3" xfId="37989" xr:uid="{0B44B61F-FE74-429B-B7FE-113122B39DA2}"/>
    <cellStyle name="Migliaia 56 2 2 3 4" xfId="43291" xr:uid="{7842F4A2-2C3E-4FAD-ACFB-152C0E7BF868}"/>
    <cellStyle name="Migliaia 56 2 2 3 5" xfId="11641" xr:uid="{39B54E7E-5BAE-4677-BCFB-B06F91141B17}"/>
    <cellStyle name="Migliaia 56 2 2 4" xfId="3922" xr:uid="{A224740C-6A80-498D-AF39-56C5ACF1E14D}"/>
    <cellStyle name="Migliaia 56 2 2 4 2" xfId="21623" xr:uid="{E258CB08-D0A2-444E-93EC-7D57F635E1F4}"/>
    <cellStyle name="Migliaia 56 2 2 4 3" xfId="34601" xr:uid="{D5D0D88F-E5F6-49A4-B2A4-85CF0468A610}"/>
    <cellStyle name="Migliaia 56 2 2 4 4" xfId="47458" xr:uid="{95F7D1CC-B418-460F-991F-DBDF4FF46887}"/>
    <cellStyle name="Migliaia 56 2 2 4 5" xfId="50638" xr:uid="{A9EB4FA5-D38F-4B6A-8AC8-95385EE7CE82}"/>
    <cellStyle name="Migliaia 56 2 2 4 6" xfId="53654" xr:uid="{05B369D8-E792-465A-90D2-0FA1F8236C20}"/>
    <cellStyle name="Migliaia 56 2 2 4 7" xfId="10988" xr:uid="{80D2C6B9-9C24-4859-BD49-27AF58A9372B}"/>
    <cellStyle name="Migliaia 56 2 2 5" xfId="21001" xr:uid="{B98A3BFA-136D-49CA-83E5-4394E518C876}"/>
    <cellStyle name="Migliaia 56 2 2 6" xfId="25400" xr:uid="{EF86A198-CD01-409C-AB1B-329CABB3CDEE}"/>
    <cellStyle name="Migliaia 56 2 2 7" xfId="7597" xr:uid="{2C2E983F-3A59-43ED-86FC-FA508D2E3D14}"/>
    <cellStyle name="Migliaia 56 2 3" xfId="3923" xr:uid="{BC9062F7-A2AA-46DC-BC74-55FD0E1826E9}"/>
    <cellStyle name="Migliaia 56 2 3 2" xfId="5649" xr:uid="{90DD5F5C-1568-4D0C-9418-735883A9F84D}"/>
    <cellStyle name="Migliaia 56 2 3 2 2" xfId="35481" xr:uid="{920F8A8F-F24E-4E65-AAC7-8A9E5E6DAFEE}"/>
    <cellStyle name="Migliaia 56 2 3 2 2 2" xfId="40641" xr:uid="{071312CF-1C65-4DFA-8AD5-B5AE13A673CD}"/>
    <cellStyle name="Migliaia 56 2 3 2 2 3" xfId="45943" xr:uid="{54395679-A6F5-4DA0-8989-A855E95AAC8E}"/>
    <cellStyle name="Migliaia 56 2 3 2 3" xfId="37990" xr:uid="{5614D2CE-4F21-4CF0-A94F-283D0BD087CC}"/>
    <cellStyle name="Migliaia 56 2 3 2 4" xfId="43292" xr:uid="{08A10F84-5655-424C-9D18-62955A7584C4}"/>
    <cellStyle name="Migliaia 56 2 3 2 5" xfId="14333" xr:uid="{9FA4FACE-1043-4E38-92E0-0449A3E1E4ED}"/>
    <cellStyle name="Migliaia 56 2 3 3" xfId="6822" xr:uid="{25AC26C2-17F8-4F9C-941F-D9EADFA72C14}"/>
    <cellStyle name="Migliaia 56 2 3 3 2" xfId="34603" xr:uid="{5D9D1F48-6A38-4129-A71E-0D05BFBCA686}"/>
    <cellStyle name="Migliaia 56 2 3 3 3" xfId="21003" xr:uid="{6107836D-A1E4-4979-A1FD-5E4796C7A827}"/>
    <cellStyle name="Migliaia 56 2 3 4" xfId="25402" xr:uid="{4C26691D-0A3D-4EFB-817D-B6F43A439320}"/>
    <cellStyle name="Migliaia 56 2 3 5" xfId="16812" xr:uid="{5E018513-9B81-47F7-BE53-D91845654887}"/>
    <cellStyle name="Migliaia 56 2 3 6" xfId="8395" xr:uid="{FDED0E0C-44E7-4FE3-8334-4762BBFE6267}"/>
    <cellStyle name="Migliaia 56 2 4" xfId="5647" xr:uid="{71F9CD5F-308F-4DC5-AFFF-0FB4F5684498}"/>
    <cellStyle name="Migliaia 56 2 4 2" xfId="14038" xr:uid="{7E49DCE3-049C-4374-BEDD-C2B915A1732C}"/>
    <cellStyle name="Migliaia 56 2 4 2 2" xfId="34604" xr:uid="{290A79A1-96E0-4430-9EB7-97EC6FBC21B5}"/>
    <cellStyle name="Migliaia 56 2 4 3" xfId="18602" xr:uid="{935AA738-C37A-4706-8A39-785B15ADBDB7}"/>
    <cellStyle name="Migliaia 56 2 4 4" xfId="21004" xr:uid="{23C9129B-D800-44A4-9287-8666A00ECDF1}"/>
    <cellStyle name="Migliaia 56 2 4 5" xfId="25403" xr:uid="{1027FE2D-37E1-4CDF-BB9C-EE94B4017210}"/>
    <cellStyle name="Migliaia 56 2 4 6" xfId="16813" xr:uid="{FEAE069D-EB3F-4E08-A4B5-EF3FC6897B84}"/>
    <cellStyle name="Migliaia 56 2 4 7" xfId="8027" xr:uid="{E44A7A13-C30F-4336-92D5-78F02A037ABD}"/>
    <cellStyle name="Migliaia 56 2 5" xfId="6820" xr:uid="{C21140F0-739B-4A24-A02C-2CD49457E7BB}"/>
    <cellStyle name="Migliaia 56 2 5 2" xfId="34605" xr:uid="{B8B39C4E-8D75-4727-87EE-0D4FD0686D92}"/>
    <cellStyle name="Migliaia 56 2 5 3" xfId="25404" xr:uid="{7EC5EA37-7355-4F16-B220-347B0201C610}"/>
    <cellStyle name="Migliaia 56 2 5 4" xfId="13154" xr:uid="{96F08A30-BB90-4C9E-93B6-7C0C8F424D30}"/>
    <cellStyle name="Migliaia 56 2 6" xfId="3921" xr:uid="{99BFC918-9F63-41C7-9BDD-B6CB7F05CAFC}"/>
    <cellStyle name="Migliaia 56 2 6 2" xfId="34606" xr:uid="{9068A3B4-C8DE-44C8-9138-C67EF2AB7284}"/>
    <cellStyle name="Migliaia 56 2 6 3" xfId="25405" xr:uid="{9F4CDFE7-DA7C-4EB4-A152-BD8788F8DC44}"/>
    <cellStyle name="Migliaia 56 2 6 4" xfId="21000" xr:uid="{99F72ECB-E3F0-4EDC-A70B-BCE9DB318804}"/>
    <cellStyle name="Migliaia 56 2 7" xfId="34600" xr:uid="{D76ADB1E-CAE7-42E5-9547-B3C939F2BB6A}"/>
    <cellStyle name="Migliaia 56 2 8" xfId="25399" xr:uid="{F221537C-B8C2-4C72-8FC5-667FD995428E}"/>
    <cellStyle name="Migliaia 56 2 9" xfId="7196" xr:uid="{8CBBE02B-DA4D-4F09-907C-15836F16503D}"/>
    <cellStyle name="Migliaia 56 3" xfId="507" xr:uid="{00000000-0005-0000-0000-00008D040000}"/>
    <cellStyle name="Migliaia 56 3 10" xfId="25406" xr:uid="{66F48A02-75AD-4EE6-9CDA-1777BCC1F3CC}"/>
    <cellStyle name="Migliaia 56 3 11" xfId="16814" xr:uid="{AB355EF9-FC8B-4438-8E97-C23C9A2824BF}"/>
    <cellStyle name="Migliaia 56 3 12" xfId="7197" xr:uid="{C11DE876-F5DB-4F59-9829-79652DD301D6}"/>
    <cellStyle name="Migliaia 56 3 2" xfId="508" xr:uid="{00000000-0005-0000-0000-00008E040000}"/>
    <cellStyle name="Migliaia 56 3 2 2" xfId="1912" xr:uid="{00000000-0005-0000-0000-00008F040000}"/>
    <cellStyle name="Migliaia 56 3 2 2 2" xfId="5652" xr:uid="{A0058D04-B87E-41FF-925A-359FFFFD1809}"/>
    <cellStyle name="Migliaia 56 3 2 2 2 2" xfId="18516" xr:uid="{72F0AFF6-8176-4693-ABB9-5C6456290777}"/>
    <cellStyle name="Migliaia 56 3 2 2 2 2 2" xfId="21892" xr:uid="{C0058D6D-D42C-4E69-BC71-D9A95A7F52AA}"/>
    <cellStyle name="Migliaia 56 3 2 2 2 2 3" xfId="34610" xr:uid="{FA7ACE76-8B0A-4E0D-946F-B37346F0B410}"/>
    <cellStyle name="Migliaia 56 3 2 2 2 3" xfId="25409" xr:uid="{B30A9650-553E-44CF-A84E-7DC9E8A89894}"/>
    <cellStyle name="Migliaia 56 3 2 2 2 4" xfId="48045" xr:uid="{70AB69CF-B92E-4958-8C7A-ED3CB8B79682}"/>
    <cellStyle name="Migliaia 56 3 2 2 2 5" xfId="50920" xr:uid="{C8F0ADFF-0338-4080-A944-63909C1BA4D6}"/>
    <cellStyle name="Migliaia 56 3 2 2 2 6" xfId="53936" xr:uid="{8E310A27-01C6-492C-B9E8-5969351BD5EF}"/>
    <cellStyle name="Migliaia 56 3 2 2 2 7" xfId="17691" xr:uid="{28439EA4-4F42-4C40-9937-9CD1502F1C92}"/>
    <cellStyle name="Migliaia 56 3 2 2 2 8" xfId="12091" xr:uid="{66C75F8C-1074-4D2F-99ED-ED8BCDB670EB}"/>
    <cellStyle name="Migliaia 56 3 2 2 3" xfId="6825" xr:uid="{76115F34-921D-42FD-9650-550B6DB245A3}"/>
    <cellStyle name="Migliaia 56 3 2 2 3 2" xfId="34609" xr:uid="{A88108B3-D983-4BC1-8A9B-60BD76798B96}"/>
    <cellStyle name="Migliaia 56 3 2 2 3 3" xfId="12154" xr:uid="{C2005356-2788-4FD6-92E1-87996B57DF92}"/>
    <cellStyle name="Migliaia 56 3 2 2 4" xfId="3926" xr:uid="{E9F77C00-317D-4570-A387-98CB76029B43}"/>
    <cellStyle name="Migliaia 56 3 2 2 4 2" xfId="21624" xr:uid="{252AA159-9D35-4D31-A7E1-FDF876907A5D}"/>
    <cellStyle name="Migliaia 56 3 2 2 4 3" xfId="47905" xr:uid="{6B6CFE81-6A38-4677-A48A-3D0D5A109159}"/>
    <cellStyle name="Migliaia 56 3 2 2 4 4" xfId="50639" xr:uid="{1480A475-A63D-4A95-9E56-00BFBB9DC5ED}"/>
    <cellStyle name="Migliaia 56 3 2 2 4 5" xfId="53655" xr:uid="{B71C6181-82E9-443F-A0D1-3A15D07351B8}"/>
    <cellStyle name="Migliaia 56 3 2 2 4 6" xfId="10989" xr:uid="{C6075D9A-D593-489B-A63B-A6C1612A95D6}"/>
    <cellStyle name="Migliaia 56 3 2 2 5" xfId="21007" xr:uid="{DF8FC36A-8CC1-4FA2-B434-61750D14D96A}"/>
    <cellStyle name="Migliaia 56 3 2 2 6" xfId="25408" xr:uid="{A2F79B5D-62A8-4A47-88C2-888D06C91288}"/>
    <cellStyle name="Migliaia 56 3 2 2 7" xfId="8789" xr:uid="{D76A422E-DE5A-45B0-A572-A3AB222E155E}"/>
    <cellStyle name="Migliaia 56 3 2 3" xfId="5651" xr:uid="{B029BE73-B964-4964-A78A-52466D53A398}"/>
    <cellStyle name="Migliaia 56 3 2 3 2" xfId="11546" xr:uid="{D671C74E-7431-4071-A358-C93042CF4278}"/>
    <cellStyle name="Migliaia 56 3 2 3 2 2" xfId="34611" xr:uid="{6362EB0D-95CF-463B-9963-E46107B02817}"/>
    <cellStyle name="Migliaia 56 3 2 3 3" xfId="12092" xr:uid="{31D902B1-83A7-467F-A462-2B4C66171917}"/>
    <cellStyle name="Migliaia 56 3 2 3 4" xfId="21008" xr:uid="{EA06FC61-316B-4EEA-9A38-F73E5BE80280}"/>
    <cellStyle name="Migliaia 56 3 2 3 5" xfId="25410" xr:uid="{6D62F43F-3254-49B6-A829-FCEB7384777F}"/>
    <cellStyle name="Migliaia 56 3 2 3 6" xfId="16815" xr:uid="{DE9ABB96-638E-492E-98B1-12C4E9BF767C}"/>
    <cellStyle name="Migliaia 56 3 2 3 7" xfId="8029" xr:uid="{3E8ACFFB-4410-45BE-B430-1FCD28AC86E3}"/>
    <cellStyle name="Migliaia 56 3 2 4" xfId="6824" xr:uid="{21C3A369-903F-4679-9B80-D20F4CCC93B5}"/>
    <cellStyle name="Migliaia 56 3 2 4 2" xfId="18108" xr:uid="{F5E42203-3A8E-4A90-A2E2-74386C7FA733}"/>
    <cellStyle name="Migliaia 56 3 2 4 2 2" xfId="34612" xr:uid="{A0492945-52D0-451B-B4BA-CDE517F75C59}"/>
    <cellStyle name="Migliaia 56 3 2 4 3" xfId="25411" xr:uid="{02FE5E93-7579-4604-ABEE-294072859505}"/>
    <cellStyle name="Migliaia 56 3 2 4 4" xfId="17238" xr:uid="{818D255B-023E-45F6-9731-D3518DED82A6}"/>
    <cellStyle name="Migliaia 56 3 2 4 5" xfId="11444" xr:uid="{5C0F4619-04A6-42E1-A4B8-D6DD72C7E23F}"/>
    <cellStyle name="Migliaia 56 3 2 5" xfId="3925" xr:uid="{70E8FD7B-ACB4-4DBC-8769-E07850401820}"/>
    <cellStyle name="Migliaia 56 3 2 5 2" xfId="34613" xr:uid="{8F44C1BF-EB62-491A-974C-1798322B4853}"/>
    <cellStyle name="Migliaia 56 3 2 5 3" xfId="25412" xr:uid="{8CA4C700-5D96-48A1-A600-B8D4B61205AE}"/>
    <cellStyle name="Migliaia 56 3 2 5 4" xfId="17273" xr:uid="{01765071-A6DB-45C1-A35D-C97805771732}"/>
    <cellStyle name="Migliaia 56 3 2 6" xfId="21006" xr:uid="{FBD0E09C-407F-4282-A998-6F0C3576E53C}"/>
    <cellStyle name="Migliaia 56 3 2 6 2" xfId="34614" xr:uid="{E9905D43-EEB8-4597-AD4B-67AFA8EAD9C9}"/>
    <cellStyle name="Migliaia 56 3 2 6 3" xfId="25413" xr:uid="{2840EFF4-D975-41BF-9FA2-75BF7F32D92A}"/>
    <cellStyle name="Migliaia 56 3 2 7" xfId="34608" xr:uid="{91B4A7CD-E213-4DB6-A4E4-178B42B184A0}"/>
    <cellStyle name="Migliaia 56 3 2 8" xfId="25407" xr:uid="{44F5C803-BE56-4F9D-A98F-C77C02C0D1D4}"/>
    <cellStyle name="Migliaia 56 3 2 9" xfId="7599" xr:uid="{B3D7C9C9-27BE-4273-9052-255EE76A6744}"/>
    <cellStyle name="Migliaia 56 3 3" xfId="3927" xr:uid="{F52C3B89-D58E-45C2-80E0-B810378303DF}"/>
    <cellStyle name="Migliaia 56 3 3 2" xfId="5653" xr:uid="{749B7FBA-DAE6-4C10-A29C-37E9F511C6E9}"/>
    <cellStyle name="Migliaia 56 3 3 2 2" xfId="9984" xr:uid="{722BC24E-2AD0-47C5-8297-AD03DD0E0C5B}"/>
    <cellStyle name="Migliaia 56 3 3 2 2 2" xfId="34616" xr:uid="{3DF87D99-E505-4BBD-A811-73191E677F21}"/>
    <cellStyle name="Migliaia 56 3 3 2 3" xfId="18264" xr:uid="{A9F38B55-04AC-45EB-B3C9-1F3BCCB9A5CE}"/>
    <cellStyle name="Migliaia 56 3 3 2 4" xfId="21010" xr:uid="{CB302784-2999-40D6-9BA3-9205D1534C12}"/>
    <cellStyle name="Migliaia 56 3 3 2 5" xfId="25415" xr:uid="{B20F23EF-10AD-445B-B9BB-BD48B0905E43}"/>
    <cellStyle name="Migliaia 56 3 3 2 6" xfId="16817" xr:uid="{8F2D7E4F-6086-4062-807D-85BB11158441}"/>
    <cellStyle name="Migliaia 56 3 3 2 7" xfId="8788" xr:uid="{996B7D6E-255D-47EE-8487-2147A5DDE294}"/>
    <cellStyle name="Migliaia 56 3 3 3" xfId="6826" xr:uid="{B04EFE3F-79EE-428D-9800-E8097A6F73E5}"/>
    <cellStyle name="Migliaia 56 3 3 3 2" xfId="34617" xr:uid="{0782CEB8-2F47-4E66-839A-B24AAF73B681}"/>
    <cellStyle name="Migliaia 56 3 3 3 3" xfId="25416" xr:uid="{C8186634-86BB-4F42-A968-495052A6F455}"/>
    <cellStyle name="Migliaia 56 3 3 3 4" xfId="9747" xr:uid="{34A4ED37-E06F-47FF-94E2-0FF5357796E7}"/>
    <cellStyle name="Migliaia 56 3 3 4" xfId="21009" xr:uid="{D3447E67-209B-4336-83E7-43A8B3604302}"/>
    <cellStyle name="Migliaia 56 3 3 4 2" xfId="34618" xr:uid="{C40E36B2-DEC4-4738-89DA-3449E5C56196}"/>
    <cellStyle name="Migliaia 56 3 3 4 3" xfId="25417" xr:uid="{8756E98D-1425-4628-ACC0-939F3986F370}"/>
    <cellStyle name="Migliaia 56 3 3 4 4" xfId="48881" xr:uid="{83F4560F-6DEE-45D4-8F85-EB7CB60999B0}"/>
    <cellStyle name="Migliaia 56 3 3 5" xfId="25418" xr:uid="{B5A041BC-DE22-4932-8B7F-090F17D74489}"/>
    <cellStyle name="Migliaia 56 3 3 5 2" xfId="34619" xr:uid="{D21E3C32-B70D-4570-B3CF-5EBC193DFECD}"/>
    <cellStyle name="Migliaia 56 3 3 5 3" xfId="48882" xr:uid="{E18F51AD-557B-49D7-9A1A-7BE5003DF6E3}"/>
    <cellStyle name="Migliaia 56 3 3 6" xfId="34615" xr:uid="{D167AAE7-A488-4F5A-B7F3-A7E3770B120F}"/>
    <cellStyle name="Migliaia 56 3 3 7" xfId="25414" xr:uid="{562EC96E-6DA6-435E-9685-824D7E959446}"/>
    <cellStyle name="Migliaia 56 3 3 8" xfId="16816" xr:uid="{C534954E-DDD2-4D70-90B1-3500E38E042A}"/>
    <cellStyle name="Migliaia 56 3 3 9" xfId="7598" xr:uid="{C70696E1-2E10-4F3C-BEB6-936B618E3E25}"/>
    <cellStyle name="Migliaia 56 3 4" xfId="3928" xr:uid="{6F1F2548-4C7A-4DF9-A13A-B27F07E034E3}"/>
    <cellStyle name="Migliaia 56 3 4 2" xfId="5654" xr:uid="{B4417D29-F0C2-464C-B376-E5607649A165}"/>
    <cellStyle name="Migliaia 56 3 4 2 2" xfId="14474" xr:uid="{8E4F0D43-7BE2-46E0-AE01-E96DAF99B0AD}"/>
    <cellStyle name="Migliaia 56 3 4 2 3" xfId="18136" xr:uid="{4DB92283-EB79-42CE-8BA4-9A529F80662D}"/>
    <cellStyle name="Migliaia 56 3 4 2 4" xfId="21012" xr:uid="{62382275-DAB2-4598-AC14-159732E5A3FB}"/>
    <cellStyle name="Migliaia 56 3 4 2 5" xfId="32477" xr:uid="{45DB43A1-919A-4394-925F-0C20D29D851B}"/>
    <cellStyle name="Migliaia 56 3 4 2 6" xfId="16819" xr:uid="{12503698-052B-4B9B-9DCD-1F5F4D8A42C6}"/>
    <cellStyle name="Migliaia 56 3 4 2 7" xfId="8897" xr:uid="{EE33F04A-6EE9-4290-8753-E9A918DA7BF6}"/>
    <cellStyle name="Migliaia 56 3 4 3" xfId="6827" xr:uid="{0E899DFF-6D70-462F-B758-72EE34AF912D}"/>
    <cellStyle name="Migliaia 56 3 4 3 2" xfId="35482" xr:uid="{EC711E09-FDE3-41B0-B5EC-53F6CD7FECC0}"/>
    <cellStyle name="Migliaia 56 3 4 3 2 2" xfId="40642" xr:uid="{F8897008-E830-4ACF-B596-EA54C2C6B351}"/>
    <cellStyle name="Migliaia 56 3 4 3 2 3" xfId="45944" xr:uid="{B8266972-7AF6-43CF-8ADF-F7AD0B199C8D}"/>
    <cellStyle name="Migliaia 56 3 4 3 3" xfId="37991" xr:uid="{BC5146AC-8293-4BB2-AEAE-2E0FEF298829}"/>
    <cellStyle name="Migliaia 56 3 4 3 4" xfId="43293" xr:uid="{0F8D1981-338D-41E3-ACE1-028ABBF8B28B}"/>
    <cellStyle name="Migliaia 56 3 4 3 5" xfId="13722" xr:uid="{D634E500-76F5-4573-A4C5-9546DA99C975}"/>
    <cellStyle name="Migliaia 56 3 4 4" xfId="21011" xr:uid="{D5CA63A3-DF78-4D2B-B63E-25CB93893CDF}"/>
    <cellStyle name="Migliaia 56 3 4 4 2" xfId="34620" xr:uid="{04859529-0F8F-475D-98F0-68243C5AC091}"/>
    <cellStyle name="Migliaia 56 3 4 5" xfId="25419" xr:uid="{A24F1235-AAC5-4C7A-A33E-D5F5D39137CC}"/>
    <cellStyle name="Migliaia 56 3 4 6" xfId="16818" xr:uid="{198F8504-DF9B-4837-98E1-1B8561162E56}"/>
    <cellStyle name="Migliaia 56 3 4 7" xfId="7707" xr:uid="{F0F367A8-B5A4-479B-9EF8-AE3C86943D87}"/>
    <cellStyle name="Migliaia 56 3 5" xfId="3929" xr:uid="{52C8CA67-BC2C-4E60-B758-B27F75781DC9}"/>
    <cellStyle name="Migliaia 56 3 5 2" xfId="5655" xr:uid="{422E643C-F1A4-4CCE-A219-A30A895F5D90}"/>
    <cellStyle name="Migliaia 56 3 5 2 2" xfId="35483" xr:uid="{4B976DDD-402A-456A-92E6-92A3B8B3F817}"/>
    <cellStyle name="Migliaia 56 3 5 2 2 2" xfId="40643" xr:uid="{5BB1774F-B667-4407-A33D-D0564FFF0D41}"/>
    <cellStyle name="Migliaia 56 3 5 2 2 3" xfId="45945" xr:uid="{E4F8EE60-8A97-4379-9BE2-B80968AD0551}"/>
    <cellStyle name="Migliaia 56 3 5 2 3" xfId="37992" xr:uid="{6E0BB51A-2C7D-4131-A6B5-4198E79BF31C}"/>
    <cellStyle name="Migliaia 56 3 5 2 4" xfId="43294" xr:uid="{381FAB51-66BA-499B-BFA4-B3BDB90F60D0}"/>
    <cellStyle name="Migliaia 56 3 5 2 5" xfId="14334" xr:uid="{D837F3B5-F490-450F-90EC-A8CDA6689F0F}"/>
    <cellStyle name="Migliaia 56 3 5 3" xfId="6828" xr:uid="{04B65902-1F4D-41B4-8B8A-737831198C5A}"/>
    <cellStyle name="Migliaia 56 3 5 3 2" xfId="34621" xr:uid="{5CBEA1D8-29CC-404A-B772-2AD136E8DFBF}"/>
    <cellStyle name="Migliaia 56 3 5 3 3" xfId="21013" xr:uid="{ACD9C0F3-1979-4097-81A7-3DDD8B1D62C4}"/>
    <cellStyle name="Migliaia 56 3 5 4" xfId="25420" xr:uid="{63852A4A-8CA7-4D78-8C27-8959CB2013A2}"/>
    <cellStyle name="Migliaia 56 3 5 5" xfId="16820" xr:uid="{2F885496-477D-44BD-A896-441CAC682BDF}"/>
    <cellStyle name="Migliaia 56 3 5 6" xfId="8396" xr:uid="{0B32A2EC-4488-41B7-9C86-A0FDF5D3F14F}"/>
    <cellStyle name="Migliaia 56 3 6" xfId="5650" xr:uid="{C6A68D28-EC7F-4F07-A74D-AC1B756557C0}"/>
    <cellStyle name="Migliaia 56 3 6 2" xfId="14039" xr:uid="{E54412FB-2CC4-464A-8E18-EE7937D96178}"/>
    <cellStyle name="Migliaia 56 3 6 2 2" xfId="34622" xr:uid="{BF20BE70-342E-406F-9020-748F30BAE232}"/>
    <cellStyle name="Migliaia 56 3 6 3" xfId="18038" xr:uid="{1D21B6BA-81DB-4FC7-90D7-838334D02A32}"/>
    <cellStyle name="Migliaia 56 3 6 4" xfId="21014" xr:uid="{76001AA4-5EFE-4EA8-9648-FEADD2201A8C}"/>
    <cellStyle name="Migliaia 56 3 6 5" xfId="25421" xr:uid="{D830D695-1C18-403E-A91C-9CD3AEA269EA}"/>
    <cellStyle name="Migliaia 56 3 6 6" xfId="16821" xr:uid="{C02BF20B-972A-4BF2-95EA-6D8CFB294C20}"/>
    <cellStyle name="Migliaia 56 3 6 7" xfId="8028" xr:uid="{7E8CBE4D-67FE-4F37-8B70-72FF3A10CEB7}"/>
    <cellStyle name="Migliaia 56 3 7" xfId="6823" xr:uid="{6AB6FEC5-8357-49BC-9262-503A211AE607}"/>
    <cellStyle name="Migliaia 56 3 7 2" xfId="34623" xr:uid="{6406ECBD-AD3F-4CD2-8C89-B4918C987E16}"/>
    <cellStyle name="Migliaia 56 3 7 3" xfId="25422" xr:uid="{A4A9EF2E-BECB-4C6B-8974-5785E9D2838B}"/>
    <cellStyle name="Migliaia 56 3 7 4" xfId="11094" xr:uid="{867B1FB8-FD18-43DE-BF82-FB4E68A8A766}"/>
    <cellStyle name="Migliaia 56 3 8" xfId="3924" xr:uid="{19CFA78E-1034-4266-9FD8-BB7B8819262F}"/>
    <cellStyle name="Migliaia 56 3 8 2" xfId="34624" xr:uid="{7E5F53D0-6EE0-441D-B51F-0CCD04CE2F5B}"/>
    <cellStyle name="Migliaia 56 3 8 3" xfId="25423" xr:uid="{2D64BEC1-33A6-48EA-ADDF-C9A76C7B40BA}"/>
    <cellStyle name="Migliaia 56 3 8 4" xfId="17274" xr:uid="{A6F8A898-900A-466E-9FD8-E46251C7CF16}"/>
    <cellStyle name="Migliaia 56 3 9" xfId="21005" xr:uid="{738C9F3B-BA06-4575-9627-DA1D7C1992CF}"/>
    <cellStyle name="Migliaia 56 3 9 2" xfId="34607" xr:uid="{102B5201-4142-4719-95A3-FD601AEF8B9A}"/>
    <cellStyle name="Migliaia 56 4" xfId="1913" xr:uid="{00000000-0005-0000-0000-000090040000}"/>
    <cellStyle name="Migliaia 56 4 10" xfId="7600" xr:uid="{E17D7564-25A3-4338-A02E-A6645B4CDB18}"/>
    <cellStyle name="Migliaia 56 4 2" xfId="1914" xr:uid="{00000000-0005-0000-0000-000091040000}"/>
    <cellStyle name="Migliaia 56 4 2 2" xfId="5657" xr:uid="{A8A97463-5354-4766-8004-EE79AF967DDE}"/>
    <cellStyle name="Migliaia 56 4 2 2 2" xfId="34627" xr:uid="{09721606-30A3-492A-A5CD-7285A916E43E}"/>
    <cellStyle name="Migliaia 56 4 2 2 3" xfId="25426" xr:uid="{22159FA2-7377-4225-92BC-A9148875615B}"/>
    <cellStyle name="Migliaia 56 4 2 2 4" xfId="9210" xr:uid="{015D1089-BFBC-4343-8171-6BE01B2763EB}"/>
    <cellStyle name="Migliaia 56 4 2 3" xfId="3931" xr:uid="{63DA9050-030A-4F0B-A01F-E2B0332E52BE}"/>
    <cellStyle name="Migliaia 56 4 2 3 2" xfId="34628" xr:uid="{18CABEBD-E54F-4280-B644-C2F46ECE9947}"/>
    <cellStyle name="Migliaia 56 4 2 3 3" xfId="25427" xr:uid="{302236B2-3E0C-4688-BD42-DFE0BD36FA1A}"/>
    <cellStyle name="Migliaia 56 4 2 3 4" xfId="12093" xr:uid="{E2B736F9-93D7-45C9-AAF4-FB25768780A3}"/>
    <cellStyle name="Migliaia 56 4 2 4" xfId="11446" xr:uid="{C79A123A-1789-4E09-8CFE-B962BD58A26C}"/>
    <cellStyle name="Migliaia 56 4 2 4 2" xfId="34626" xr:uid="{948B7848-3AAB-47CF-BC34-5F78F6CF075B}"/>
    <cellStyle name="Migliaia 56 4 2 5" xfId="10991" xr:uid="{3BCAA596-EA90-4F33-9537-397BB151EB92}"/>
    <cellStyle name="Migliaia 56 4 2 5 2" xfId="21626" xr:uid="{810C2C9B-E86E-4F97-8F66-C7389C7B171E}"/>
    <cellStyle name="Migliaia 56 4 2 5 3" xfId="25184" xr:uid="{8DA9A535-BF8B-4CBB-897E-F208E0978EE9}"/>
    <cellStyle name="Migliaia 56 4 2 5 4" xfId="50641" xr:uid="{7867C53D-FAD9-4C47-8176-FDBEA066EB1C}"/>
    <cellStyle name="Migliaia 56 4 2 5 5" xfId="53657" xr:uid="{A1A83E49-2E4C-459A-A69D-C7DE8B777ADA}"/>
    <cellStyle name="Migliaia 56 4 2 6" xfId="21016" xr:uid="{1B8B50D4-AA6D-41FA-9BD2-03FBE3F29E81}"/>
    <cellStyle name="Migliaia 56 4 2 7" xfId="25425" xr:uid="{856B50EC-85A0-4DB6-914F-50CCC66BCFE6}"/>
    <cellStyle name="Migliaia 56 4 2 8" xfId="8790" xr:uid="{2CE70262-9C9B-4883-A43F-E1A566F8E251}"/>
    <cellStyle name="Migliaia 56 4 3" xfId="5656" xr:uid="{3E393823-581A-467F-A5EC-89F606FB253B}"/>
    <cellStyle name="Migliaia 56 4 3 2" xfId="18265" xr:uid="{EAEB170C-8A88-4E52-AD25-4657023CDACE}"/>
    <cellStyle name="Migliaia 56 4 3 2 2" xfId="34629" xr:uid="{2FC5E745-D52D-4999-8923-264498C807B6}"/>
    <cellStyle name="Migliaia 56 4 3 3" xfId="25428" xr:uid="{D013A6B1-491C-49E3-9890-5E37ADA26FB1}"/>
    <cellStyle name="Migliaia 56 4 3 4" xfId="17272" xr:uid="{D7194C91-43F2-454B-9E08-9C528F71AD36}"/>
    <cellStyle name="Migliaia 56 4 3 5" xfId="9211" xr:uid="{95C0CC28-C3E0-4777-AF55-0A6BB0B42F67}"/>
    <cellStyle name="Migliaia 56 4 4" xfId="6829" xr:uid="{75BD60C2-CB7B-4E9E-AA6E-D94F8A76C9C0}"/>
    <cellStyle name="Migliaia 56 4 4 2" xfId="34630" xr:uid="{EC349ED8-9973-4BCC-AE93-4C2AF7D8E13A}"/>
    <cellStyle name="Migliaia 56 4 4 3" xfId="25429" xr:uid="{A3E495D9-65F9-4D63-8795-7FECEDB5898D}"/>
    <cellStyle name="Migliaia 56 4 4 4" xfId="12094" xr:uid="{69E82EF4-6E67-46DE-B11E-663A66E176EB}"/>
    <cellStyle name="Migliaia 56 4 5" xfId="3930" xr:uid="{6A125E69-73AA-47C3-85F3-6EA3F106C8F5}"/>
    <cellStyle name="Migliaia 56 4 5 2" xfId="34631" xr:uid="{078D189B-8736-4845-ADB7-B2AF2EE9D9F6}"/>
    <cellStyle name="Migliaia 56 4 5 3" xfId="25430" xr:uid="{6C10DFEF-B959-4255-97B0-6014ABAE4E80}"/>
    <cellStyle name="Migliaia 56 4 5 4" xfId="11445" xr:uid="{4C68CEBD-9B9A-4B34-AB11-CC6F02815F48}"/>
    <cellStyle name="Migliaia 56 4 6" xfId="10990" xr:uid="{5793C17A-CF73-4AF3-813B-51A3427AD67B}"/>
    <cellStyle name="Migliaia 56 4 6 2" xfId="21625" xr:uid="{EBAB3CE5-1154-48F2-A17B-32A1C96E8647}"/>
    <cellStyle name="Migliaia 56 4 6 2 2" xfId="34632" xr:uid="{4B409C4E-D1E6-42B4-BBB6-12AF659354C9}"/>
    <cellStyle name="Migliaia 56 4 6 3" xfId="25431" xr:uid="{D241F1AF-D085-46A4-9107-15F00B1E1DD1}"/>
    <cellStyle name="Migliaia 56 4 6 4" xfId="47122" xr:uid="{E15E630B-3CA7-4950-B386-746835BE247D}"/>
    <cellStyle name="Migliaia 56 4 6 5" xfId="48883" xr:uid="{2842E22A-891B-4E47-8817-6D2FA5894B09}"/>
    <cellStyle name="Migliaia 56 4 6 6" xfId="50640" xr:uid="{C0CAE542-F672-4211-A706-B6563BF12600}"/>
    <cellStyle name="Migliaia 56 4 6 7" xfId="53656" xr:uid="{437DA487-7745-405C-8A69-BA282C3D0C84}"/>
    <cellStyle name="Migliaia 56 4 7" xfId="21015" xr:uid="{5A9E27B2-9C62-4423-94C7-39103AC26038}"/>
    <cellStyle name="Migliaia 56 4 7 2" xfId="34633" xr:uid="{85AE873F-ECB2-4555-85A3-28562F341F7E}"/>
    <cellStyle name="Migliaia 56 4 7 3" xfId="25432" xr:uid="{30BAA7DB-6161-434C-AB52-4A9530758CD7}"/>
    <cellStyle name="Migliaia 56 4 8" xfId="34625" xr:uid="{8EBA590F-9385-4BB3-B330-C308DE5746B1}"/>
    <cellStyle name="Migliaia 56 4 9" xfId="25424" xr:uid="{E4727F0F-CB72-4C42-9693-BA88B5F8A464}"/>
    <cellStyle name="Migliaia 56 5" xfId="1915" xr:uid="{00000000-0005-0000-0000-000092040000}"/>
    <cellStyle name="Migliaia 56 5 2" xfId="5658" xr:uid="{48095C67-20EA-40D1-B5BE-A0851C125E71}"/>
    <cellStyle name="Migliaia 56 5 2 2" xfId="18517" xr:uid="{FDE40644-A584-4762-85F9-3F805D88FAE7}"/>
    <cellStyle name="Migliaia 56 5 2 2 2" xfId="34635" xr:uid="{6C07DDB6-D66F-429C-ABDB-C38D01D34AA1}"/>
    <cellStyle name="Migliaia 56 5 2 3" xfId="21018" xr:uid="{BE550EB0-DF22-4C6B-9B16-D44A307CCC28}"/>
    <cellStyle name="Migliaia 56 5 2 4" xfId="25434" xr:uid="{E6560472-F82D-494C-A916-E7B2DAC57F0B}"/>
    <cellStyle name="Migliaia 56 5 2 5" xfId="16822" xr:uid="{021BD6F7-7FFC-4336-BEB5-B9154D002E77}"/>
    <cellStyle name="Migliaia 56 5 2 6" xfId="8791" xr:uid="{BB250489-27F4-4A36-9DC1-657D3A2CBE26}"/>
    <cellStyle name="Migliaia 56 5 3" xfId="6830" xr:uid="{B5077DDD-6FA5-4800-A6E2-E52FA1B78F14}"/>
    <cellStyle name="Migliaia 56 5 3 2" xfId="34636" xr:uid="{8B1BD818-3A09-4FE7-B94C-07C01192F513}"/>
    <cellStyle name="Migliaia 56 5 3 3" xfId="25435" xr:uid="{5317E8E7-BD17-4C91-B6DD-4882C416D145}"/>
    <cellStyle name="Migliaia 56 5 3 4" xfId="11447" xr:uid="{7FDF1DAF-6385-4A7A-B52E-B2D135C4964E}"/>
    <cellStyle name="Migliaia 56 5 4" xfId="3932" xr:uid="{AE09B1E3-7C6B-40A9-ADFA-6020A359E012}"/>
    <cellStyle name="Migliaia 56 5 4 2" xfId="21627" xr:uid="{8F667A7D-95D5-480C-8D47-EFF8DD9310E4}"/>
    <cellStyle name="Migliaia 56 5 4 2 2" xfId="34637" xr:uid="{92B7303E-AA60-481F-BDDD-AB512D6DF1DB}"/>
    <cellStyle name="Migliaia 56 5 4 3" xfId="25436" xr:uid="{DC30048E-E449-44F9-8E9C-8945956700AA}"/>
    <cellStyle name="Migliaia 56 5 4 4" xfId="48098" xr:uid="{F882F345-7DF8-47A5-A58E-391B59C2C6F3}"/>
    <cellStyle name="Migliaia 56 5 4 5" xfId="48884" xr:uid="{6CA29599-3D64-42F8-8295-10A056B5FE13}"/>
    <cellStyle name="Migliaia 56 5 4 6" xfId="50642" xr:uid="{00BE1D02-CE0F-4EC9-B9AA-6FC5A710EFEB}"/>
    <cellStyle name="Migliaia 56 5 4 7" xfId="53658" xr:uid="{E074150E-D489-441D-981B-98F7B53592FA}"/>
    <cellStyle name="Migliaia 56 5 4 8" xfId="10992" xr:uid="{83E05B08-AD2D-4BFE-BC89-CB96DF488886}"/>
    <cellStyle name="Migliaia 56 5 5" xfId="21017" xr:uid="{3A9A99B4-01BF-46C9-932F-18E429153F26}"/>
    <cellStyle name="Migliaia 56 5 5 2" xfId="34638" xr:uid="{32EC4B75-7D10-4581-9102-756F9E511470}"/>
    <cellStyle name="Migliaia 56 5 5 3" xfId="25437" xr:uid="{6438B605-FAE9-4FDD-8F2A-1910E1C46E71}"/>
    <cellStyle name="Migliaia 56 5 5 4" xfId="48885" xr:uid="{5208213F-031C-40E4-A0D3-1A3507AAF4E7}"/>
    <cellStyle name="Migliaia 56 5 6" xfId="25438" xr:uid="{01EDBF04-8259-4966-913D-CB345B149C9B}"/>
    <cellStyle name="Migliaia 56 5 6 2" xfId="34639" xr:uid="{7E0D0439-8100-4455-865D-9C1434E7C7C6}"/>
    <cellStyle name="Migliaia 56 5 7" xfId="34634" xr:uid="{B94261DE-55C8-425B-9672-F12B227650D0}"/>
    <cellStyle name="Migliaia 56 5 8" xfId="25433" xr:uid="{706D6172-6222-46A8-B937-AA0710299814}"/>
    <cellStyle name="Migliaia 56 5 9" xfId="7601" xr:uid="{46A49361-995B-4863-8840-E07C85AA3A08}"/>
    <cellStyle name="Migliaia 56 6" xfId="3933" xr:uid="{B041CAF5-79E4-4C40-AF37-1EFF835A1A14}"/>
    <cellStyle name="Migliaia 56 6 2" xfId="5659" xr:uid="{313DD077-D8AF-4DB6-8E8F-5E81B25ACA03}"/>
    <cellStyle name="Migliaia 56 6 2 2" xfId="9983" xr:uid="{D06B1151-35CD-44BF-AF80-97272EEC7729}"/>
    <cellStyle name="Migliaia 56 6 2 3" xfId="18597" xr:uid="{2C511821-99CD-4F63-9E39-26634A9886A6}"/>
    <cellStyle name="Migliaia 56 6 2 4" xfId="21020" xr:uid="{A9A98EF3-4FA9-433D-94B1-E374FC064C0A}"/>
    <cellStyle name="Migliaia 56 6 2 5" xfId="32478" xr:uid="{141514C4-D270-4659-A53E-8E19B7AAEB2C}"/>
    <cellStyle name="Migliaia 56 6 2 6" xfId="16824" xr:uid="{DB549CE9-102F-4481-A0B7-8E65EFFB9614}"/>
    <cellStyle name="Migliaia 56 6 2 7" xfId="8786" xr:uid="{00C358FD-3071-4168-B1A6-A59C1C4423B8}"/>
    <cellStyle name="Migliaia 56 6 3" xfId="6831" xr:uid="{EEA92A1F-3532-4F3C-8E5C-BC97C2A2E2D4}"/>
    <cellStyle name="Migliaia 56 6 3 2" xfId="35484" xr:uid="{E769CF35-86B5-4736-A94D-5FDB0F54E302}"/>
    <cellStyle name="Migliaia 56 6 3 2 2" xfId="40644" xr:uid="{F55918C4-CC92-454D-9962-8126A533F200}"/>
    <cellStyle name="Migliaia 56 6 3 2 3" xfId="45946" xr:uid="{7167E8AF-1CE6-483B-8D08-95D5DFCF6868}"/>
    <cellStyle name="Migliaia 56 6 3 3" xfId="37993" xr:uid="{C46A4CFB-4F93-40D9-AE91-B41433303E6D}"/>
    <cellStyle name="Migliaia 56 6 3 4" xfId="43295" xr:uid="{51BFDE2A-5297-42BA-A529-1BBAA50115F4}"/>
    <cellStyle name="Migliaia 56 6 3 5" xfId="9746" xr:uid="{4C304DAD-D623-4D9B-B7D5-98E28827CF67}"/>
    <cellStyle name="Migliaia 56 6 4" xfId="21019" xr:uid="{D8847057-5591-4431-8545-CA4A81D861EB}"/>
    <cellStyle name="Migliaia 56 6 4 2" xfId="34640" xr:uid="{5D2D2543-A050-4EC7-9CCD-8777A3E1AF3B}"/>
    <cellStyle name="Migliaia 56 6 5" xfId="25439" xr:uid="{24E328FD-956B-4505-9E54-B8FEE68BA05B}"/>
    <cellStyle name="Migliaia 56 6 6" xfId="16823" xr:uid="{0DE45EF5-0CF5-4447-9B61-650496EEBE49}"/>
    <cellStyle name="Migliaia 56 6 7" xfId="7596" xr:uid="{7FB8AAD5-01D4-4386-A562-D7822AC0CF34}"/>
    <cellStyle name="Migliaia 56 7" xfId="3934" xr:uid="{0061D3CF-4F2F-4EEA-9157-395A6D91E819}"/>
    <cellStyle name="Migliaia 56 7 2" xfId="5660" xr:uid="{2BBD2C37-B3CF-4164-A539-DB80FF1E9737}"/>
    <cellStyle name="Migliaia 56 7 2 2" xfId="35485" xr:uid="{19B60564-B0FA-40E0-9C91-5D382AAF46E8}"/>
    <cellStyle name="Migliaia 56 7 2 2 2" xfId="40645" xr:uid="{AFB4D4BA-EFF9-4293-8270-91A9D8E76670}"/>
    <cellStyle name="Migliaia 56 7 2 2 3" xfId="45947" xr:uid="{D910F033-DF69-411E-BBC1-52ED10D51B14}"/>
    <cellStyle name="Migliaia 56 7 2 3" xfId="37994" xr:uid="{706EE4C6-A770-457E-AB42-028EF995BA08}"/>
    <cellStyle name="Migliaia 56 7 2 4" xfId="43296" xr:uid="{104FAA5D-6C08-4D1E-B77E-35C8AE0E87EC}"/>
    <cellStyle name="Migliaia 56 7 2 5" xfId="14332" xr:uid="{25F9A2D8-9675-4F00-8CEB-F2DA9D733762}"/>
    <cellStyle name="Migliaia 56 7 3" xfId="6832" xr:uid="{CB42C656-21FB-4F76-90D6-A1E514BFCDB1}"/>
    <cellStyle name="Migliaia 56 7 3 2" xfId="34641" xr:uid="{4E9179A1-BBDA-419B-AC0A-7C2868A20F6B}"/>
    <cellStyle name="Migliaia 56 7 3 3" xfId="21021" xr:uid="{71CA0BDF-8A7C-46ED-91EA-9E571406646A}"/>
    <cellStyle name="Migliaia 56 7 4" xfId="25440" xr:uid="{82CF2D6E-A832-4325-ADBD-506F24E42F9D}"/>
    <cellStyle name="Migliaia 56 7 5" xfId="16825" xr:uid="{43DE8800-5168-4A8F-985B-2F0E8AE0234F}"/>
    <cellStyle name="Migliaia 56 7 6" xfId="8394" xr:uid="{ABC2BFFE-76B0-4D76-978C-E4AD603EDCDB}"/>
    <cellStyle name="Migliaia 56 8" xfId="3935" xr:uid="{F7E9E5FA-6142-40A6-B5D3-AA016D6BED87}"/>
    <cellStyle name="Migliaia 56 8 2" xfId="5661" xr:uid="{C1E7168A-AB92-4EED-BBFB-F5F6B9D4A487}"/>
    <cellStyle name="Migliaia 56 8 2 2" xfId="35486" xr:uid="{0236AE24-26D8-4BAB-B548-FF9FF627B2AE}"/>
    <cellStyle name="Migliaia 56 8 2 2 2" xfId="40646" xr:uid="{E1BAF61D-9AEE-4252-92D5-DC7F59D77EA1}"/>
    <cellStyle name="Migliaia 56 8 2 2 3" xfId="45948" xr:uid="{785F89AA-3332-4585-AEFD-E91BD835911B}"/>
    <cellStyle name="Migliaia 56 8 2 3" xfId="37995" xr:uid="{12616BAA-3EF2-4B1F-9DDC-FBD2794870BC}"/>
    <cellStyle name="Migliaia 56 8 2 4" xfId="43297" xr:uid="{F3C29DD8-F259-4A1A-9E5E-62B513B424E6}"/>
    <cellStyle name="Migliaia 56 8 2 5" xfId="14037" xr:uid="{AB1B1C17-B3FF-4BD5-A077-A34070553DCD}"/>
    <cellStyle name="Migliaia 56 8 3" xfId="6833" xr:uid="{B8B83507-9E10-4F61-8763-D53533D27157}"/>
    <cellStyle name="Migliaia 56 8 3 2" xfId="34642" xr:uid="{A6F97471-A7C3-430C-BBFD-E0062E77D8E9}"/>
    <cellStyle name="Migliaia 56 8 3 3" xfId="21022" xr:uid="{CE79C05B-9D45-4000-A384-45E1ABF88E53}"/>
    <cellStyle name="Migliaia 56 8 4" xfId="25441" xr:uid="{5A5EAAA4-278C-4A15-BC39-D399DF4E2C07}"/>
    <cellStyle name="Migliaia 56 8 5" xfId="16826" xr:uid="{35FA27B4-FEB7-423E-967A-1628111C6D92}"/>
    <cellStyle name="Migliaia 56 8 6" xfId="8026" xr:uid="{9D839F1C-F7FE-42BA-B1CF-DC32EE4F15CE}"/>
    <cellStyle name="Migliaia 56 9" xfId="5646" xr:uid="{82ED4B79-C498-4E90-932A-AC5885DEFD78}"/>
    <cellStyle name="Migliaia 56 9 2" xfId="34643" xr:uid="{8615C76A-87C6-4959-9CF1-5EBFF6BDF1D2}"/>
    <cellStyle name="Migliaia 56 9 3" xfId="25442" xr:uid="{82F8EA1D-BE61-43CA-9B76-89876D4D5ABD}"/>
    <cellStyle name="Migliaia 56 9 4" xfId="17237" xr:uid="{65D7DDC6-9184-481E-9A35-1FBB6A4997FF}"/>
    <cellStyle name="Migliaia 57" xfId="509" xr:uid="{00000000-0005-0000-0000-000093040000}"/>
    <cellStyle name="Migliaia 57 10" xfId="6834" xr:uid="{E898081A-4834-4DE0-A219-4446A09BC029}"/>
    <cellStyle name="Migliaia 57 10 2" xfId="34644" xr:uid="{F925FF70-04DB-4340-8511-ECEDC0C3F6F6}"/>
    <cellStyle name="Migliaia 57 10 3" xfId="21023" xr:uid="{EB02D242-E3BD-428C-B978-C5EADB1D7257}"/>
    <cellStyle name="Migliaia 57 11" xfId="3936" xr:uid="{9BF00671-8E7C-417F-B22F-566C81EDAFBB}"/>
    <cellStyle name="Migliaia 57 11 2" xfId="25443" xr:uid="{97C19897-78E7-45BD-845E-8F3E5D774B05}"/>
    <cellStyle name="Migliaia 57 12" xfId="7198" xr:uid="{0F8F3552-BE7E-422E-9974-3359C00D5508}"/>
    <cellStyle name="Migliaia 57 2" xfId="510" xr:uid="{00000000-0005-0000-0000-000094040000}"/>
    <cellStyle name="Migliaia 57 2 2" xfId="1916" xr:uid="{00000000-0005-0000-0000-000095040000}"/>
    <cellStyle name="Migliaia 57 2 2 2" xfId="5664" xr:uid="{D77FABF2-3F95-4DE2-9819-B255D6D2CB99}"/>
    <cellStyle name="Migliaia 57 2 2 2 2" xfId="14415" xr:uid="{EC25DD13-D2B4-460E-B11D-E8BE71362B5F}"/>
    <cellStyle name="Migliaia 57 2 2 2 2 2" xfId="34647" xr:uid="{ED6710DC-4431-4AD9-B0D1-CF5F1D9CA40C}"/>
    <cellStyle name="Migliaia 57 2 2 2 3" xfId="18518" xr:uid="{718E1BBD-5694-4DB1-AFFC-54EE5793DA24}"/>
    <cellStyle name="Migliaia 57 2 2 2 4" xfId="21026" xr:uid="{7D5FA5FC-30E8-4652-817B-947F2565A07C}"/>
    <cellStyle name="Migliaia 57 2 2 2 5" xfId="25446" xr:uid="{9BAE4AC2-FF92-4DD2-8EF2-714D898B8BED}"/>
    <cellStyle name="Migliaia 57 2 2 2 6" xfId="16827" xr:uid="{BA602CB2-0FCA-4647-ACAF-E71878F7E2EA}"/>
    <cellStyle name="Migliaia 57 2 2 2 7" xfId="8793" xr:uid="{45C25ABE-6DAE-461D-8779-14991178F5DE}"/>
    <cellStyle name="Migliaia 57 2 2 3" xfId="6836" xr:uid="{92012A35-829F-43C0-934B-4FBE290B143F}"/>
    <cellStyle name="Migliaia 57 2 2 3 2" xfId="35487" xr:uid="{5901A308-9740-4678-BFA1-003A7BB39F37}"/>
    <cellStyle name="Migliaia 57 2 2 3 2 2" xfId="40647" xr:uid="{68AB57AC-EFDF-43B1-AFB0-1868301CC87E}"/>
    <cellStyle name="Migliaia 57 2 2 3 2 3" xfId="45949" xr:uid="{DAB57F3D-A273-4885-A658-6D06B77801B8}"/>
    <cellStyle name="Migliaia 57 2 2 3 3" xfId="37996" xr:uid="{3F3BFBFE-8F04-4459-8BCC-3D118491C69F}"/>
    <cellStyle name="Migliaia 57 2 2 3 4" xfId="43298" xr:uid="{30B8D0BE-E512-4D8A-B1EC-747EAC5E15DB}"/>
    <cellStyle name="Migliaia 57 2 2 3 5" xfId="11642" xr:uid="{6183C22F-48BE-4776-B1C8-787E91517E9C}"/>
    <cellStyle name="Migliaia 57 2 2 4" xfId="3938" xr:uid="{190A57A3-BFCA-4526-8F9D-1686C6593331}"/>
    <cellStyle name="Migliaia 57 2 2 4 2" xfId="21628" xr:uid="{75325775-0802-49F5-86E8-703CD6445791}"/>
    <cellStyle name="Migliaia 57 2 2 4 3" xfId="34646" xr:uid="{F3327092-E75F-4E58-AD90-74312C68186B}"/>
    <cellStyle name="Migliaia 57 2 2 4 4" xfId="46708" xr:uid="{F2613A95-AFF6-4603-B82D-3BBE76E5E98E}"/>
    <cellStyle name="Migliaia 57 2 2 4 5" xfId="50643" xr:uid="{CA30AADE-95B4-454B-945B-E4FA1D00952C}"/>
    <cellStyle name="Migliaia 57 2 2 4 6" xfId="53659" xr:uid="{CCE20F47-33CE-4F71-8F07-22DAC10E1947}"/>
    <cellStyle name="Migliaia 57 2 2 4 7" xfId="10993" xr:uid="{AF4238B9-793B-466E-8B44-4D64D01BE806}"/>
    <cellStyle name="Migliaia 57 2 2 5" xfId="21025" xr:uid="{1D865DC0-DBE0-4AE2-BDB1-6C096977BF90}"/>
    <cellStyle name="Migliaia 57 2 2 6" xfId="25445" xr:uid="{4844A2DF-B519-4739-A9BF-44C26A1785E3}"/>
    <cellStyle name="Migliaia 57 2 2 7" xfId="7603" xr:uid="{E16F61F9-1EB1-45EB-8985-3EB19B18762A}"/>
    <cellStyle name="Migliaia 57 2 3" xfId="3939" xr:uid="{84A857F6-AC1D-4113-8D18-266D8B13A41A}"/>
    <cellStyle name="Migliaia 57 2 3 2" xfId="5665" xr:uid="{3D6E92E3-8240-4AB4-B0EC-7E0965F6A0A3}"/>
    <cellStyle name="Migliaia 57 2 3 2 2" xfId="35488" xr:uid="{91060D32-12F6-48A2-81F0-87D6C175B59A}"/>
    <cellStyle name="Migliaia 57 2 3 2 2 2" xfId="40648" xr:uid="{5A94B853-C59D-429D-8022-1643881400BB}"/>
    <cellStyle name="Migliaia 57 2 3 2 2 3" xfId="45950" xr:uid="{C7F2EDF4-C40A-45A0-8FB3-4014135170FE}"/>
    <cellStyle name="Migliaia 57 2 3 2 3" xfId="37997" xr:uid="{6CECE9F4-B3DF-48D5-A204-6EE317E578D2}"/>
    <cellStyle name="Migliaia 57 2 3 2 4" xfId="43299" xr:uid="{9B9293E5-6DF2-4F19-B7C4-F7C7F7CC53CC}"/>
    <cellStyle name="Migliaia 57 2 3 2 5" xfId="14336" xr:uid="{459A5CCE-4CC9-4FCA-98FC-923C1BA92B83}"/>
    <cellStyle name="Migliaia 57 2 3 3" xfId="6837" xr:uid="{9A4DE322-7430-4274-8F95-933A7FDBB532}"/>
    <cellStyle name="Migliaia 57 2 3 3 2" xfId="34648" xr:uid="{0FD176F7-7F21-46A9-9910-E2F05CBE0326}"/>
    <cellStyle name="Migliaia 57 2 3 3 3" xfId="21027" xr:uid="{682C3B69-587B-4237-B783-4769CCAA51CE}"/>
    <cellStyle name="Migliaia 57 2 3 4" xfId="25447" xr:uid="{6D639D4E-155E-45F1-9A80-5930354FA312}"/>
    <cellStyle name="Migliaia 57 2 3 5" xfId="16828" xr:uid="{A12986BD-38E3-4E7B-9CF3-7EC8998BC096}"/>
    <cellStyle name="Migliaia 57 2 3 6" xfId="8398" xr:uid="{85EEBB6B-A242-408F-A83C-7B8F159B6E68}"/>
    <cellStyle name="Migliaia 57 2 4" xfId="5663" xr:uid="{B83BFDAE-4557-4600-BDEB-4CBFA33A9926}"/>
    <cellStyle name="Migliaia 57 2 4 2" xfId="14041" xr:uid="{0BA92C18-4BEE-4E94-B54C-A67092A72A12}"/>
    <cellStyle name="Migliaia 57 2 4 2 2" xfId="34649" xr:uid="{798FC279-B357-46D5-9840-13C4620406D6}"/>
    <cellStyle name="Migliaia 57 2 4 3" xfId="18688" xr:uid="{77E778E2-B2D6-4AB2-ADE6-EE9E19D6F40A}"/>
    <cellStyle name="Migliaia 57 2 4 4" xfId="21028" xr:uid="{52661B0F-180F-4C01-88DE-04C83FD1EFCE}"/>
    <cellStyle name="Migliaia 57 2 4 5" xfId="25448" xr:uid="{35038C8A-473F-444D-8EB0-7841A33772C7}"/>
    <cellStyle name="Migliaia 57 2 4 6" xfId="16829" xr:uid="{C4910F49-5304-41C4-B303-8D315A9285F0}"/>
    <cellStyle name="Migliaia 57 2 4 7" xfId="8031" xr:uid="{BBC06808-DC7C-4672-86E6-C04EED5D8251}"/>
    <cellStyle name="Migliaia 57 2 5" xfId="6835" xr:uid="{5D0B3699-2729-4E40-9B9B-56C39B03C29B}"/>
    <cellStyle name="Migliaia 57 2 5 2" xfId="34650" xr:uid="{B7C50139-74E7-44CC-8CBD-CA05D45F88F3}"/>
    <cellStyle name="Migliaia 57 2 5 3" xfId="25449" xr:uid="{777F8751-9130-4333-A1E5-43E7879BD209}"/>
    <cellStyle name="Migliaia 57 2 5 4" xfId="13155" xr:uid="{56CACF99-29E8-4063-8300-7A8B158CCD98}"/>
    <cellStyle name="Migliaia 57 2 6" xfId="3937" xr:uid="{16B11CBC-9F5F-45E5-ACF9-FC4BE515167E}"/>
    <cellStyle name="Migliaia 57 2 6 2" xfId="34651" xr:uid="{4E084DD9-6F91-4822-A955-7837808EC8FF}"/>
    <cellStyle name="Migliaia 57 2 6 3" xfId="25450" xr:uid="{79DFF9D9-E11B-4CC7-9EC3-335B10BE277D}"/>
    <cellStyle name="Migliaia 57 2 6 4" xfId="21024" xr:uid="{CD619292-F0D5-43E8-A4C5-FF7D070BC916}"/>
    <cellStyle name="Migliaia 57 2 7" xfId="34645" xr:uid="{E164F44D-155A-400F-8244-DA54554D8B2B}"/>
    <cellStyle name="Migliaia 57 2 8" xfId="25444" xr:uid="{D228260E-9644-4AC7-B1E7-92F2CD6A39F1}"/>
    <cellStyle name="Migliaia 57 2 9" xfId="7199" xr:uid="{9971E98B-C7A0-4F59-9137-76DB07D6B263}"/>
    <cellStyle name="Migliaia 57 3" xfId="511" xr:uid="{00000000-0005-0000-0000-000096040000}"/>
    <cellStyle name="Migliaia 57 3 10" xfId="25451" xr:uid="{E85D59B9-30D1-4923-A813-6BE5BAF06B28}"/>
    <cellStyle name="Migliaia 57 3 11" xfId="16830" xr:uid="{E92674C3-6F65-4795-8BF0-D067EDF190BF}"/>
    <cellStyle name="Migliaia 57 3 12" xfId="7200" xr:uid="{2A1EC7AE-98AE-4D1F-8CF9-792905FB3A44}"/>
    <cellStyle name="Migliaia 57 3 2" xfId="512" xr:uid="{00000000-0005-0000-0000-000097040000}"/>
    <cellStyle name="Migliaia 57 3 2 2" xfId="1917" xr:uid="{00000000-0005-0000-0000-000098040000}"/>
    <cellStyle name="Migliaia 57 3 2 2 2" xfId="5668" xr:uid="{4A9D6CAF-5817-4BF3-BC81-51E01E477CC2}"/>
    <cellStyle name="Migliaia 57 3 2 2 2 2" xfId="18519" xr:uid="{BD3CB6D8-FBDF-48F4-8928-66C1DBF0B19C}"/>
    <cellStyle name="Migliaia 57 3 2 2 2 2 2" xfId="21893" xr:uid="{A2FC17FF-E43B-43E6-A9A2-A6CA12E40784}"/>
    <cellStyle name="Migliaia 57 3 2 2 2 2 3" xfId="34655" xr:uid="{B58A04F3-5A0B-4B3D-AA1E-BB845FBC638C}"/>
    <cellStyle name="Migliaia 57 3 2 2 2 3" xfId="25454" xr:uid="{1219F686-40CE-402C-981B-E5B34F23B883}"/>
    <cellStyle name="Migliaia 57 3 2 2 2 4" xfId="47521" xr:uid="{9BDACD2F-6806-4C19-9682-D579A3084853}"/>
    <cellStyle name="Migliaia 57 3 2 2 2 5" xfId="50921" xr:uid="{0025B228-8414-4571-9BDC-6DE9019D37F9}"/>
    <cellStyle name="Migliaia 57 3 2 2 2 6" xfId="53937" xr:uid="{097059BB-4114-422B-BE20-51AA4BA67EC7}"/>
    <cellStyle name="Migliaia 57 3 2 2 2 7" xfId="17692" xr:uid="{941CE019-7AD8-4A53-BE66-8F099F62F527}"/>
    <cellStyle name="Migliaia 57 3 2 2 2 8" xfId="12095" xr:uid="{38D46E56-8D95-4D32-8920-B96D205603B7}"/>
    <cellStyle name="Migliaia 57 3 2 2 3" xfId="6840" xr:uid="{B3674FF5-1D58-4E10-B4D9-ABA2AD756ED5}"/>
    <cellStyle name="Migliaia 57 3 2 2 3 2" xfId="34654" xr:uid="{3943FCB1-95BE-4CFB-BC5F-320EBC9BC764}"/>
    <cellStyle name="Migliaia 57 3 2 2 3 3" xfId="12203" xr:uid="{80239826-4600-4FFB-8D9A-5B3B3405262F}"/>
    <cellStyle name="Migliaia 57 3 2 2 4" xfId="3942" xr:uid="{4C064C4A-7591-4FF1-A47A-6C7D0BB691B4}"/>
    <cellStyle name="Migliaia 57 3 2 2 4 2" xfId="21629" xr:uid="{6369FB09-41C7-4EFE-AA45-FE2A5A032B5B}"/>
    <cellStyle name="Migliaia 57 3 2 2 4 3" xfId="48039" xr:uid="{52035214-2A74-41FB-BBBA-0EA3795A375B}"/>
    <cellStyle name="Migliaia 57 3 2 2 4 4" xfId="50644" xr:uid="{3ADB39FF-0BB9-4AB4-A1F5-4749D65AE574}"/>
    <cellStyle name="Migliaia 57 3 2 2 4 5" xfId="53660" xr:uid="{A71B4C40-0E79-4866-AFC9-B7869098F794}"/>
    <cellStyle name="Migliaia 57 3 2 2 4 6" xfId="10994" xr:uid="{AD8C34DF-F735-4179-A090-6630B37A7BF3}"/>
    <cellStyle name="Migliaia 57 3 2 2 5" xfId="21031" xr:uid="{6041F847-C7B6-4C67-866A-9ACAD72D047B}"/>
    <cellStyle name="Migliaia 57 3 2 2 6" xfId="25453" xr:uid="{7D58EC84-D421-4988-A774-975820F5E397}"/>
    <cellStyle name="Migliaia 57 3 2 2 7" xfId="8795" xr:uid="{6F8B5950-D1D7-4E09-A4BA-D6F1A27DEA27}"/>
    <cellStyle name="Migliaia 57 3 2 3" xfId="5667" xr:uid="{09A10AC8-B0C1-4A30-A43C-F32FE9E49DDF}"/>
    <cellStyle name="Migliaia 57 3 2 3 2" xfId="12396" xr:uid="{4DCAA788-9672-4275-AD3F-7361C95F0FAB}"/>
    <cellStyle name="Migliaia 57 3 2 3 2 2" xfId="34656" xr:uid="{E0910861-12BB-4D87-B83B-82A08BC21C1C}"/>
    <cellStyle name="Migliaia 57 3 2 3 3" xfId="12096" xr:uid="{ACB07EEE-2C4A-4119-8C22-5A7CD9678C35}"/>
    <cellStyle name="Migliaia 57 3 2 3 4" xfId="21032" xr:uid="{DA208C88-3BA1-4430-9A80-A413E6986B35}"/>
    <cellStyle name="Migliaia 57 3 2 3 5" xfId="25455" xr:uid="{72CF2800-F257-43C2-A946-50EC4DA23982}"/>
    <cellStyle name="Migliaia 57 3 2 3 6" xfId="16831" xr:uid="{40181EF9-A3CD-42F9-913F-902A476F8F45}"/>
    <cellStyle name="Migliaia 57 3 2 3 7" xfId="8033" xr:uid="{7B7B71DC-C84F-497E-8512-283A443830E7}"/>
    <cellStyle name="Migliaia 57 3 2 4" xfId="6839" xr:uid="{4A058FBC-706D-4461-BF39-B23587F29F16}"/>
    <cellStyle name="Migliaia 57 3 2 4 2" xfId="18109" xr:uid="{0837D862-EDA2-4EBF-93B6-F5AFBB025FA7}"/>
    <cellStyle name="Migliaia 57 3 2 4 2 2" xfId="34657" xr:uid="{1A94A89F-A1A6-4558-AAD3-8CEC972312DA}"/>
    <cellStyle name="Migliaia 57 3 2 4 3" xfId="25456" xr:uid="{73E309BB-7020-439B-B175-0362A89EB02A}"/>
    <cellStyle name="Migliaia 57 3 2 4 4" xfId="17240" xr:uid="{77C3A3A1-2ABC-4C15-8107-6F4CF36671BF}"/>
    <cellStyle name="Migliaia 57 3 2 4 5" xfId="11448" xr:uid="{4F464FD2-93AC-4D31-B8B7-656F3DB56D40}"/>
    <cellStyle name="Migliaia 57 3 2 5" xfId="3941" xr:uid="{68184B42-55C8-489E-A416-8C5EE303A1BD}"/>
    <cellStyle name="Migliaia 57 3 2 5 2" xfId="34658" xr:uid="{9D514358-6115-487F-9622-2C0B1C790511}"/>
    <cellStyle name="Migliaia 57 3 2 5 3" xfId="25457" xr:uid="{ECCF3360-B466-43EA-AECC-6C9152527559}"/>
    <cellStyle name="Migliaia 57 3 2 5 4" xfId="17270" xr:uid="{58FE85B1-E369-4425-95BA-819663B8AC9E}"/>
    <cellStyle name="Migliaia 57 3 2 6" xfId="21030" xr:uid="{22B34744-A822-4560-9FB0-E00A8B7128B3}"/>
    <cellStyle name="Migliaia 57 3 2 6 2" xfId="34659" xr:uid="{838C053B-3F52-4C4B-9439-9D054073C012}"/>
    <cellStyle name="Migliaia 57 3 2 6 3" xfId="25458" xr:uid="{6A148829-E6EB-4501-B9FE-296CCFBF9F73}"/>
    <cellStyle name="Migliaia 57 3 2 7" xfId="34653" xr:uid="{B04D245B-6028-4006-8B8E-CDE30C777DC8}"/>
    <cellStyle name="Migliaia 57 3 2 8" xfId="25452" xr:uid="{4DAFDCB1-FC7D-4070-8633-F3218FCC11BE}"/>
    <cellStyle name="Migliaia 57 3 2 9" xfId="7605" xr:uid="{BF4355AD-6BFE-458A-B6C8-EA9E03B62F42}"/>
    <cellStyle name="Migliaia 57 3 3" xfId="3943" xr:uid="{5FA081B1-B12E-41AF-B85B-126F43D38E39}"/>
    <cellStyle name="Migliaia 57 3 3 2" xfId="5669" xr:uid="{57F86EA8-9873-45C5-8173-FCEE4CB06B07}"/>
    <cellStyle name="Migliaia 57 3 3 2 2" xfId="9986" xr:uid="{ECEE7950-A65E-436B-87DC-5EB33C7D9CCF}"/>
    <cellStyle name="Migliaia 57 3 3 2 2 2" xfId="34661" xr:uid="{C8E58E1F-BB91-4417-9F68-CE9E2FB740DE}"/>
    <cellStyle name="Migliaia 57 3 3 2 3" xfId="18266" xr:uid="{38E9C2F2-415D-4270-B71A-B5E14724C5EE}"/>
    <cellStyle name="Migliaia 57 3 3 2 4" xfId="21034" xr:uid="{51AAB5FB-A31A-4B0E-90C0-17053F21ABB6}"/>
    <cellStyle name="Migliaia 57 3 3 2 5" xfId="25460" xr:uid="{1CD4C75F-095F-4DB5-BEEB-833F82598047}"/>
    <cellStyle name="Migliaia 57 3 3 2 6" xfId="16833" xr:uid="{6557F068-0CFD-4E51-AF27-33092CB84BEA}"/>
    <cellStyle name="Migliaia 57 3 3 2 7" xfId="8794" xr:uid="{C96D8F87-1746-4EE7-A2B7-DF8CE173F229}"/>
    <cellStyle name="Migliaia 57 3 3 3" xfId="6841" xr:uid="{9E283155-F271-4676-BCF0-E2512DBAD974}"/>
    <cellStyle name="Migliaia 57 3 3 3 2" xfId="34662" xr:uid="{9781EB8C-796A-4422-8951-B14869E5507A}"/>
    <cellStyle name="Migliaia 57 3 3 3 3" xfId="25461" xr:uid="{D1039AC7-4C6C-4DB0-9D97-55E97FE35673}"/>
    <cellStyle name="Migliaia 57 3 3 3 4" xfId="9749" xr:uid="{479F1A12-921F-4AE6-B3EB-96294BC6E38C}"/>
    <cellStyle name="Migliaia 57 3 3 4" xfId="21033" xr:uid="{E3BEA668-3A2D-4CA7-A289-CFC5C28EC5A5}"/>
    <cellStyle name="Migliaia 57 3 3 4 2" xfId="34663" xr:uid="{4686C9D1-4B83-43FA-BFEA-3A6F50BCAFC2}"/>
    <cellStyle name="Migliaia 57 3 3 4 3" xfId="25462" xr:uid="{E63BFA90-AB26-4B9E-A813-76E3F3F0237D}"/>
    <cellStyle name="Migliaia 57 3 3 4 4" xfId="48886" xr:uid="{76B5782A-CF22-4262-AB49-C05865960585}"/>
    <cellStyle name="Migliaia 57 3 3 5" xfId="25463" xr:uid="{044E7493-37C8-4760-89FD-CBB87229D775}"/>
    <cellStyle name="Migliaia 57 3 3 5 2" xfId="34664" xr:uid="{B28B50CE-E885-4C10-BDB0-B561292F54DF}"/>
    <cellStyle name="Migliaia 57 3 3 5 3" xfId="48887" xr:uid="{AFDB0CA2-AEBF-4E69-A93E-7BB735F05D1C}"/>
    <cellStyle name="Migliaia 57 3 3 6" xfId="34660" xr:uid="{4BB7662B-2E6C-4909-8431-AF2D2634CFED}"/>
    <cellStyle name="Migliaia 57 3 3 7" xfId="25459" xr:uid="{D3674E58-A736-4E9D-9015-0ED9F1B5273E}"/>
    <cellStyle name="Migliaia 57 3 3 8" xfId="16832" xr:uid="{ADA1EA0D-F684-4F21-AD4A-CB0E56A52B5B}"/>
    <cellStyle name="Migliaia 57 3 3 9" xfId="7604" xr:uid="{9F0B82C8-2393-445E-B675-CE57072FBA69}"/>
    <cellStyle name="Migliaia 57 3 4" xfId="3944" xr:uid="{B953C0B9-822F-4B0F-9661-60C746437117}"/>
    <cellStyle name="Migliaia 57 3 4 2" xfId="5670" xr:uid="{DA48DE7B-63A1-4041-A834-FDF9CCAC7C8C}"/>
    <cellStyle name="Migliaia 57 3 4 2 2" xfId="14475" xr:uid="{E42E1454-3D24-4F14-9483-AF5B5F5CB3D1}"/>
    <cellStyle name="Migliaia 57 3 4 2 3" xfId="18560" xr:uid="{A75F128A-D315-4378-B7B5-FD9BE03EFA62}"/>
    <cellStyle name="Migliaia 57 3 4 2 4" xfId="21036" xr:uid="{69D62B95-6A00-4D1A-A154-E402672B42D3}"/>
    <cellStyle name="Migliaia 57 3 4 2 5" xfId="32479" xr:uid="{D92B6802-63D6-449A-8AE2-32B4029B8EA2}"/>
    <cellStyle name="Migliaia 57 3 4 2 6" xfId="16835" xr:uid="{81917B93-C5CB-47C3-99EF-55DDABED9A6F}"/>
    <cellStyle name="Migliaia 57 3 4 2 7" xfId="8898" xr:uid="{BB91B594-CCF1-46AD-91F0-AD3AD4B97FCD}"/>
    <cellStyle name="Migliaia 57 3 4 3" xfId="6842" xr:uid="{61DD9EFB-2738-4F11-9294-E4BF87A6A5B8}"/>
    <cellStyle name="Migliaia 57 3 4 3 2" xfId="35489" xr:uid="{BCF57C9B-FE57-4810-9AD0-EB98756CF4DD}"/>
    <cellStyle name="Migliaia 57 3 4 3 2 2" xfId="40649" xr:uid="{356A86A8-F6F0-4AF3-A762-E75EEF71EC47}"/>
    <cellStyle name="Migliaia 57 3 4 3 2 3" xfId="45951" xr:uid="{9B06D001-91F4-4C24-AA76-EE58B2B0C345}"/>
    <cellStyle name="Migliaia 57 3 4 3 3" xfId="37998" xr:uid="{541F6E24-3A42-4860-ADD7-7EDF5D82D355}"/>
    <cellStyle name="Migliaia 57 3 4 3 4" xfId="43300" xr:uid="{36CA876C-BC00-4878-B04B-9EB84151BAD2}"/>
    <cellStyle name="Migliaia 57 3 4 3 5" xfId="13723" xr:uid="{83E0F659-9498-420E-B876-B0B9A8DB3800}"/>
    <cellStyle name="Migliaia 57 3 4 4" xfId="21035" xr:uid="{8162EFA1-7359-416B-8616-F9DC00B8370E}"/>
    <cellStyle name="Migliaia 57 3 4 4 2" xfId="34665" xr:uid="{F0F1340F-F131-48E6-AA3A-6FD1CF621F6A}"/>
    <cellStyle name="Migliaia 57 3 4 5" xfId="25464" xr:uid="{C8201764-904A-49AF-A0D5-8644BEBE35BC}"/>
    <cellStyle name="Migliaia 57 3 4 6" xfId="16834" xr:uid="{77F85E75-1245-4857-9ABA-9EC3669ACC49}"/>
    <cellStyle name="Migliaia 57 3 4 7" xfId="7708" xr:uid="{1B05E8F9-D756-4DD4-8161-EA1665BB6897}"/>
    <cellStyle name="Migliaia 57 3 5" xfId="3945" xr:uid="{4F0F4F44-F663-4BD9-8FD7-693748D3A300}"/>
    <cellStyle name="Migliaia 57 3 5 2" xfId="5671" xr:uid="{15717F24-AEC1-4B88-B331-FE4A3B4D8BD8}"/>
    <cellStyle name="Migliaia 57 3 5 2 2" xfId="35490" xr:uid="{9D88A49D-4F45-41C3-AA9C-AFC7AB8121CD}"/>
    <cellStyle name="Migliaia 57 3 5 2 2 2" xfId="40650" xr:uid="{6A9D4844-FC43-4D75-8EF8-1569E2BDB3F0}"/>
    <cellStyle name="Migliaia 57 3 5 2 2 3" xfId="45952" xr:uid="{B342ACC6-D72D-49D1-8B25-6393A480F733}"/>
    <cellStyle name="Migliaia 57 3 5 2 3" xfId="37999" xr:uid="{F22FDCE7-F3EE-4E28-8C79-D0D8354A76A5}"/>
    <cellStyle name="Migliaia 57 3 5 2 4" xfId="43301" xr:uid="{DD9163C5-8E0E-4788-B6AB-B576EFFEF998}"/>
    <cellStyle name="Migliaia 57 3 5 2 5" xfId="14337" xr:uid="{58617892-A29B-4A4C-826E-A29152ADFCA2}"/>
    <cellStyle name="Migliaia 57 3 5 3" xfId="6843" xr:uid="{DF6E40F6-C64B-4735-8B43-C36157638802}"/>
    <cellStyle name="Migliaia 57 3 5 3 2" xfId="34666" xr:uid="{590DF40A-1E25-4F78-ADAF-04BE6643D213}"/>
    <cellStyle name="Migliaia 57 3 5 3 3" xfId="21037" xr:uid="{02B01A6C-70F3-440A-B86A-89A856AE37CD}"/>
    <cellStyle name="Migliaia 57 3 5 4" xfId="25465" xr:uid="{26854BF3-5A6C-41CD-BF99-433854ADBE2D}"/>
    <cellStyle name="Migliaia 57 3 5 5" xfId="16836" xr:uid="{B2ECBD55-43C4-421B-91F6-382C5C001C58}"/>
    <cellStyle name="Migliaia 57 3 5 6" xfId="8399" xr:uid="{39CFF6DA-AA3E-43E8-A2CE-11DA299895F7}"/>
    <cellStyle name="Migliaia 57 3 6" xfId="5666" xr:uid="{044439EB-466C-4A6F-9D56-46FDB557CF26}"/>
    <cellStyle name="Migliaia 57 3 6 2" xfId="14042" xr:uid="{DA43DE51-AFEA-4EE2-8F76-530312135B88}"/>
    <cellStyle name="Migliaia 57 3 6 2 2" xfId="34667" xr:uid="{031DC148-B184-443F-B442-C691E7B1EB55}"/>
    <cellStyle name="Migliaia 57 3 6 3" xfId="18294" xr:uid="{A9D54C51-7722-406D-AE22-28086FF7DA73}"/>
    <cellStyle name="Migliaia 57 3 6 4" xfId="21038" xr:uid="{281492C6-CA67-4210-8076-81194FCE83F7}"/>
    <cellStyle name="Migliaia 57 3 6 5" xfId="25466" xr:uid="{FCB7C2E2-3E07-4DC9-89CE-C452DDDE5F89}"/>
    <cellStyle name="Migliaia 57 3 6 6" xfId="16837" xr:uid="{9FF240AF-37BF-431C-A242-854B43EA0F54}"/>
    <cellStyle name="Migliaia 57 3 6 7" xfId="8032" xr:uid="{D62E2DEB-1072-4043-B5CB-1FDCEF4F6DF8}"/>
    <cellStyle name="Migliaia 57 3 7" xfId="6838" xr:uid="{E78AFEA2-AA83-4901-BA8C-20AD1E7F94BA}"/>
    <cellStyle name="Migliaia 57 3 7 2" xfId="34668" xr:uid="{6B23380A-E791-4163-9C94-482BA466F6EA}"/>
    <cellStyle name="Migliaia 57 3 7 3" xfId="25467" xr:uid="{159945BE-BCFA-4AAD-827F-B0D5DF4293BF}"/>
    <cellStyle name="Migliaia 57 3 7 4" xfId="12251" xr:uid="{9FBA8393-C4C7-45AC-BA67-9E677843A23E}"/>
    <cellStyle name="Migliaia 57 3 8" xfId="3940" xr:uid="{EAEA1F35-B3A6-45A0-974D-5956FF85DBEA}"/>
    <cellStyle name="Migliaia 57 3 8 2" xfId="34669" xr:uid="{47C126BF-2941-457C-9DD7-F575C2A2B551}"/>
    <cellStyle name="Migliaia 57 3 8 3" xfId="25468" xr:uid="{43074129-4221-4970-8822-2354EED5013A}"/>
    <cellStyle name="Migliaia 57 3 8 4" xfId="17271" xr:uid="{DE0ED4AC-8FF8-4B73-95CB-E4FD36566EBB}"/>
    <cellStyle name="Migliaia 57 3 9" xfId="21029" xr:uid="{DFD730C1-FA99-41F5-AF96-81F396323EEE}"/>
    <cellStyle name="Migliaia 57 3 9 2" xfId="34652" xr:uid="{E54E54A6-A937-4C97-AF47-929D42C9F9CC}"/>
    <cellStyle name="Migliaia 57 4" xfId="1918" xr:uid="{00000000-0005-0000-0000-000099040000}"/>
    <cellStyle name="Migliaia 57 4 10" xfId="7606" xr:uid="{8949452B-2A79-4061-8266-68A862587F2F}"/>
    <cellStyle name="Migliaia 57 4 2" xfId="1919" xr:uid="{00000000-0005-0000-0000-00009A040000}"/>
    <cellStyle name="Migliaia 57 4 2 2" xfId="5673" xr:uid="{CB9A9E64-AC50-4996-B6F5-F4553A7CBFA1}"/>
    <cellStyle name="Migliaia 57 4 2 2 2" xfId="34672" xr:uid="{5F2B9D7F-847F-41B7-8B82-4DEB294E7201}"/>
    <cellStyle name="Migliaia 57 4 2 2 3" xfId="25471" xr:uid="{5078FB87-493F-406B-8FFB-4255B2D9DD64}"/>
    <cellStyle name="Migliaia 57 4 2 2 4" xfId="9212" xr:uid="{6AC7EF0F-65C3-4D46-8847-B9EA55022BF9}"/>
    <cellStyle name="Migliaia 57 4 2 3" xfId="3947" xr:uid="{BED36A13-4821-4761-8E60-AE11002CB1B7}"/>
    <cellStyle name="Migliaia 57 4 2 3 2" xfId="34673" xr:uid="{9A4CD581-4926-447C-86E6-030CF6BFC4AE}"/>
    <cellStyle name="Migliaia 57 4 2 3 3" xfId="25472" xr:uid="{323DF595-2A67-4FEE-BE90-1BDDD744BE25}"/>
    <cellStyle name="Migliaia 57 4 2 3 4" xfId="12097" xr:uid="{41B0E601-32EF-4712-9B5C-0B34EC0BD9F4}"/>
    <cellStyle name="Migliaia 57 4 2 4" xfId="11450" xr:uid="{E958AEFB-40B6-4063-8C70-3118FAECC1D2}"/>
    <cellStyle name="Migliaia 57 4 2 4 2" xfId="34671" xr:uid="{A1E84ACA-A6FF-4591-B602-503E2FE61DFC}"/>
    <cellStyle name="Migliaia 57 4 2 5" xfId="10996" xr:uid="{E4410BCD-6A72-4E32-BEA7-4A82FC051A65}"/>
    <cellStyle name="Migliaia 57 4 2 5 2" xfId="21631" xr:uid="{1B7B9718-C132-4585-B3E0-2D467AE8D01C}"/>
    <cellStyle name="Migliaia 57 4 2 5 3" xfId="47429" xr:uid="{D7470CC0-F670-42DC-AB4D-6D574723F0CD}"/>
    <cellStyle name="Migliaia 57 4 2 5 4" xfId="50646" xr:uid="{B7228BB7-B7DD-42C4-AABD-B5EBEC9842BA}"/>
    <cellStyle name="Migliaia 57 4 2 5 5" xfId="53662" xr:uid="{31AFDDB8-197B-4266-AE25-899566E1CBB8}"/>
    <cellStyle name="Migliaia 57 4 2 6" xfId="21040" xr:uid="{01BCF113-8B8F-44EA-A49A-5255659EDC77}"/>
    <cellStyle name="Migliaia 57 4 2 7" xfId="25470" xr:uid="{5F0D4745-E651-46E7-8785-E0DE680C69EE}"/>
    <cellStyle name="Migliaia 57 4 2 8" xfId="8796" xr:uid="{1BB59FC8-C4DB-48CB-99CC-CC649ADF1861}"/>
    <cellStyle name="Migliaia 57 4 3" xfId="5672" xr:uid="{AAF1B4C7-16CC-46C9-9153-B6D9FB46470B}"/>
    <cellStyle name="Migliaia 57 4 3 2" xfId="18267" xr:uid="{E30B7350-3580-4532-AD4B-49CBF806225E}"/>
    <cellStyle name="Migliaia 57 4 3 2 2" xfId="34674" xr:uid="{730C4737-B544-4B50-83AE-CFECB1E28363}"/>
    <cellStyle name="Migliaia 57 4 3 3" xfId="25473" xr:uid="{B8F2E010-DF19-4391-BD16-94A26803033D}"/>
    <cellStyle name="Migliaia 57 4 3 4" xfId="17269" xr:uid="{AE165398-ABD8-41D0-BD07-30D4A99AFBA1}"/>
    <cellStyle name="Migliaia 57 4 3 5" xfId="9213" xr:uid="{E8964FE3-5F98-4E3C-B815-598F764FA1E9}"/>
    <cellStyle name="Migliaia 57 4 4" xfId="6844" xr:uid="{89A826A3-7CC6-444B-A75D-5B992B9033D1}"/>
    <cellStyle name="Migliaia 57 4 4 2" xfId="34675" xr:uid="{6035B2C9-BFAD-491F-AC7A-C958B140FA2E}"/>
    <cellStyle name="Migliaia 57 4 4 3" xfId="25474" xr:uid="{C5299C11-4098-4057-8ECF-9A5436392167}"/>
    <cellStyle name="Migliaia 57 4 4 4" xfId="12098" xr:uid="{ADFCEBA2-758A-4CB1-8772-174BD5AF2C1C}"/>
    <cellStyle name="Migliaia 57 4 5" xfId="3946" xr:uid="{E5DC2196-567D-4139-B059-4D0A3045E553}"/>
    <cellStyle name="Migliaia 57 4 5 2" xfId="34676" xr:uid="{E89FD007-2FF4-42D8-BECA-A00CD7E7E9AC}"/>
    <cellStyle name="Migliaia 57 4 5 3" xfId="25475" xr:uid="{2602799B-C51A-4750-9ED7-C74F77EE4F44}"/>
    <cellStyle name="Migliaia 57 4 5 4" xfId="11449" xr:uid="{41559AAA-2A0C-4EA3-93D9-94BF730B500A}"/>
    <cellStyle name="Migliaia 57 4 6" xfId="10995" xr:uid="{95147DD5-43F3-44E1-A292-33770F3F6FB0}"/>
    <cellStyle name="Migliaia 57 4 6 2" xfId="21630" xr:uid="{637AF503-DA46-40A6-B44D-8C4144417A37}"/>
    <cellStyle name="Migliaia 57 4 6 2 2" xfId="34677" xr:uid="{C9067E35-1117-426D-B710-4D9A1E7B515B}"/>
    <cellStyle name="Migliaia 57 4 6 3" xfId="25476" xr:uid="{93A7E5C4-26FA-427B-9EC8-C4CF167375D5}"/>
    <cellStyle name="Migliaia 57 4 6 4" xfId="48479" xr:uid="{DECF8E3D-E959-4021-A755-C386E551527D}"/>
    <cellStyle name="Migliaia 57 4 6 5" xfId="48888" xr:uid="{5A6C8245-C2DC-41B1-9B17-C8667CFD8B2A}"/>
    <cellStyle name="Migliaia 57 4 6 6" xfId="50645" xr:uid="{188D1229-EBA1-485B-81C8-21E6A89CB562}"/>
    <cellStyle name="Migliaia 57 4 6 7" xfId="53661" xr:uid="{FF0F13AF-B0D1-4406-9704-9957E5B33263}"/>
    <cellStyle name="Migliaia 57 4 7" xfId="21039" xr:uid="{66AB1E9E-44DE-4D85-985C-AB1309297DB0}"/>
    <cellStyle name="Migliaia 57 4 7 2" xfId="34678" xr:uid="{00B175AD-D409-4455-8F87-EC00A5FDB4D5}"/>
    <cellStyle name="Migliaia 57 4 7 3" xfId="25477" xr:uid="{ABD73C11-1D3E-46B5-85B4-3860A5AD3335}"/>
    <cellStyle name="Migliaia 57 4 8" xfId="34670" xr:uid="{515FCF5A-E9AE-427E-BCCE-7A6EDED56367}"/>
    <cellStyle name="Migliaia 57 4 9" xfId="25469" xr:uid="{A7E88111-490B-49E6-94AA-2CF827ED6065}"/>
    <cellStyle name="Migliaia 57 5" xfId="1920" xr:uid="{00000000-0005-0000-0000-00009B040000}"/>
    <cellStyle name="Migliaia 57 5 2" xfId="5674" xr:uid="{4FB3D0E9-EA40-4CC5-B5AB-B8DA7D59064A}"/>
    <cellStyle name="Migliaia 57 5 2 2" xfId="18520" xr:uid="{C64774F7-D929-4177-A3EA-C601B0FDE625}"/>
    <cellStyle name="Migliaia 57 5 2 2 2" xfId="34680" xr:uid="{B15BE2AD-0396-4107-80AC-96BEADF680FE}"/>
    <cellStyle name="Migliaia 57 5 2 3" xfId="21042" xr:uid="{793FB750-7142-4ED6-A7AA-D40DCCF9A131}"/>
    <cellStyle name="Migliaia 57 5 2 4" xfId="25479" xr:uid="{0A691459-8047-4D31-B6B1-7D8DD03B1007}"/>
    <cellStyle name="Migliaia 57 5 2 5" xfId="16838" xr:uid="{15F9AE07-9C43-48C2-9810-6EED12C33C13}"/>
    <cellStyle name="Migliaia 57 5 2 6" xfId="8797" xr:uid="{7CDF1D0D-D2FC-435E-B481-D2E27E1098A1}"/>
    <cellStyle name="Migliaia 57 5 3" xfId="6845" xr:uid="{ABC01282-D23B-42F9-B713-AD60225FD30F}"/>
    <cellStyle name="Migliaia 57 5 3 2" xfId="34681" xr:uid="{E872B236-5507-4962-9C09-E39A3ECB8151}"/>
    <cellStyle name="Migliaia 57 5 3 3" xfId="25480" xr:uid="{58976EF0-2B8C-45F8-80C2-6D13945243E6}"/>
    <cellStyle name="Migliaia 57 5 3 4" xfId="11451" xr:uid="{20ED5F23-9869-4BCA-9384-D322F327C821}"/>
    <cellStyle name="Migliaia 57 5 4" xfId="3948" xr:uid="{38CDFE54-0F48-40A7-A4E0-1A222AEB9EBC}"/>
    <cellStyle name="Migliaia 57 5 4 2" xfId="21632" xr:uid="{B4CA8EFF-8F5D-4089-AAF4-452488AAC305}"/>
    <cellStyle name="Migliaia 57 5 4 2 2" xfId="34682" xr:uid="{0B0D6363-A3FF-4DB1-9BD8-02E754CA242F}"/>
    <cellStyle name="Migliaia 57 5 4 3" xfId="25481" xr:uid="{0DB7A976-53C7-43EC-AE73-A642349188A6}"/>
    <cellStyle name="Migliaia 57 5 4 4" xfId="46263" xr:uid="{25396E83-81AC-44CE-9A6A-79038A030D02}"/>
    <cellStyle name="Migliaia 57 5 4 5" xfId="48889" xr:uid="{8FDF03C0-C9E0-46F7-92BC-C9E8D5DA9504}"/>
    <cellStyle name="Migliaia 57 5 4 6" xfId="50647" xr:uid="{8FFB7111-2451-48C4-B572-FBE09F3BAFBF}"/>
    <cellStyle name="Migliaia 57 5 4 7" xfId="53663" xr:uid="{5E04B4F0-5E4A-4189-85C9-52730BBE9A02}"/>
    <cellStyle name="Migliaia 57 5 4 8" xfId="10997" xr:uid="{4DF25493-BA95-49CE-BDC0-8259B75323EF}"/>
    <cellStyle name="Migliaia 57 5 5" xfId="21041" xr:uid="{350AFEDF-E568-4D9A-9D8F-836FD1A7B5B2}"/>
    <cellStyle name="Migliaia 57 5 5 2" xfId="34683" xr:uid="{4915C850-8D61-40A9-AA54-532A1EB93A44}"/>
    <cellStyle name="Migliaia 57 5 5 3" xfId="25482" xr:uid="{5D0141F8-3168-4B1D-B4CC-B78B568A5229}"/>
    <cellStyle name="Migliaia 57 5 5 4" xfId="48890" xr:uid="{DDA5E150-81F2-4C18-8DBF-A0538A762083}"/>
    <cellStyle name="Migliaia 57 5 6" xfId="25483" xr:uid="{0580F102-3505-44D3-8E0D-2F49DCEE2A7E}"/>
    <cellStyle name="Migliaia 57 5 6 2" xfId="34684" xr:uid="{A987C658-DAA7-45ED-BF51-70C323C1A6BB}"/>
    <cellStyle name="Migliaia 57 5 7" xfId="34679" xr:uid="{4B392CA5-C0B0-4C64-B8B5-E509E7712740}"/>
    <cellStyle name="Migliaia 57 5 8" xfId="25478" xr:uid="{21A4D17A-E2B4-4E20-B555-F6CEE38B38E9}"/>
    <cellStyle name="Migliaia 57 5 9" xfId="7607" xr:uid="{36031A93-74DE-416A-93EC-D5B2EFB8C84D}"/>
    <cellStyle name="Migliaia 57 6" xfId="3949" xr:uid="{F55036AE-C563-405E-A0BA-EEEB31E5B7EC}"/>
    <cellStyle name="Migliaia 57 6 2" xfId="5675" xr:uid="{600AA8AE-3BBC-4EB2-B58A-45DE04C1A931}"/>
    <cellStyle name="Migliaia 57 6 2 2" xfId="9985" xr:uid="{293D6E87-BF0D-474C-8035-9FCF12F1ACAC}"/>
    <cellStyle name="Migliaia 57 6 2 3" xfId="18562" xr:uid="{9216C1D3-CAD5-4180-91F5-68823FAC7B31}"/>
    <cellStyle name="Migliaia 57 6 2 4" xfId="21044" xr:uid="{A465B84C-981C-403A-85F3-7B26E9428792}"/>
    <cellStyle name="Migliaia 57 6 2 5" xfId="32480" xr:uid="{24D3A27D-7102-4F68-BD3B-CE1BC753B5E2}"/>
    <cellStyle name="Migliaia 57 6 2 6" xfId="16840" xr:uid="{85DA2266-C439-4D10-93AE-4308D3D9035C}"/>
    <cellStyle name="Migliaia 57 6 2 7" xfId="8792" xr:uid="{D74D3A1E-10BF-42E4-A7DC-1D19FC228129}"/>
    <cellStyle name="Migliaia 57 6 3" xfId="6846" xr:uid="{9A57E806-AAEE-4C40-81EE-BE1681B2718C}"/>
    <cellStyle name="Migliaia 57 6 3 2" xfId="35491" xr:uid="{4258F7F5-912D-44FC-A3F4-641580C6AC13}"/>
    <cellStyle name="Migliaia 57 6 3 2 2" xfId="40651" xr:uid="{B946C738-8272-4296-8C12-B4C7DB891AAB}"/>
    <cellStyle name="Migliaia 57 6 3 2 3" xfId="45953" xr:uid="{075156BF-033E-4914-992D-C09AEEFB4C4C}"/>
    <cellStyle name="Migliaia 57 6 3 3" xfId="38000" xr:uid="{8CBEDFF2-775E-4A09-B8B4-4FA49235BE69}"/>
    <cellStyle name="Migliaia 57 6 3 4" xfId="43302" xr:uid="{80A7111F-7763-4CB6-939B-319261180DC9}"/>
    <cellStyle name="Migliaia 57 6 3 5" xfId="9748" xr:uid="{B15C69E8-8E94-4CB3-B0E0-EA52483DF4A3}"/>
    <cellStyle name="Migliaia 57 6 4" xfId="21043" xr:uid="{3F41F886-A974-4876-AAEA-30B104254F10}"/>
    <cellStyle name="Migliaia 57 6 4 2" xfId="34685" xr:uid="{0BA684BC-183F-4406-9B9D-60779D8E0A6D}"/>
    <cellStyle name="Migliaia 57 6 5" xfId="25484" xr:uid="{4082AC42-8CDC-45A4-A82E-EA2A2582B47C}"/>
    <cellStyle name="Migliaia 57 6 6" xfId="16839" xr:uid="{7553129C-E91A-46DB-A4A2-61C53BEE8C72}"/>
    <cellStyle name="Migliaia 57 6 7" xfId="7602" xr:uid="{3D6F4A93-FB41-44F5-84F4-A02BD57B8841}"/>
    <cellStyle name="Migliaia 57 7" xfId="3950" xr:uid="{763D5F6A-60D5-433D-8836-7AF14A6AAAF1}"/>
    <cellStyle name="Migliaia 57 7 2" xfId="5676" xr:uid="{F08C7BFC-D74B-4F9F-947C-333B1C7D29E1}"/>
    <cellStyle name="Migliaia 57 7 2 2" xfId="35492" xr:uid="{6FCE9668-4A0A-49A4-AD09-98DAD1472348}"/>
    <cellStyle name="Migliaia 57 7 2 2 2" xfId="40652" xr:uid="{3F81A9F9-11B2-404F-A81C-692E146071F9}"/>
    <cellStyle name="Migliaia 57 7 2 2 3" xfId="45954" xr:uid="{AC689D06-E7CC-4CA2-B5BB-2BC0AE55505C}"/>
    <cellStyle name="Migliaia 57 7 2 3" xfId="38001" xr:uid="{A10F5A5B-7C05-4A5E-AAF9-B64DC86019F6}"/>
    <cellStyle name="Migliaia 57 7 2 4" xfId="43303" xr:uid="{A063D4DA-4CBF-4580-92F7-A2574B531FD3}"/>
    <cellStyle name="Migliaia 57 7 2 5" xfId="14335" xr:uid="{0A25BB99-21FF-4087-98E6-87516D7FC88E}"/>
    <cellStyle name="Migliaia 57 7 3" xfId="6847" xr:uid="{B4D8D6C0-3945-43E9-9741-E445A4C5769C}"/>
    <cellStyle name="Migliaia 57 7 3 2" xfId="34686" xr:uid="{0443CE04-F2BF-47A7-9912-428594EDA251}"/>
    <cellStyle name="Migliaia 57 7 3 3" xfId="21045" xr:uid="{F81E9015-D62A-4FAB-AE16-B02F36F2D6E3}"/>
    <cellStyle name="Migliaia 57 7 4" xfId="25485" xr:uid="{17EBC0DC-A725-4C2F-A6C1-EF977B0E1203}"/>
    <cellStyle name="Migliaia 57 7 5" xfId="16841" xr:uid="{3CBBB5E4-BB61-4733-92D8-32D3091E7F79}"/>
    <cellStyle name="Migliaia 57 7 6" xfId="8397" xr:uid="{2695E89A-3044-4DD8-8075-A9D8CC4CFD76}"/>
    <cellStyle name="Migliaia 57 8" xfId="3951" xr:uid="{65594BF0-C179-4302-9D2E-A55FF220BC91}"/>
    <cellStyle name="Migliaia 57 8 2" xfId="5677" xr:uid="{276204BD-A7CE-4F51-A29C-77BB3CB5DAC2}"/>
    <cellStyle name="Migliaia 57 8 2 2" xfId="35493" xr:uid="{F48C775A-8556-477B-B56C-30FB1FDD1015}"/>
    <cellStyle name="Migliaia 57 8 2 2 2" xfId="40653" xr:uid="{BDA2420D-7F78-4F9E-835E-C550832B7C60}"/>
    <cellStyle name="Migliaia 57 8 2 2 3" xfId="45955" xr:uid="{8D66BC30-5582-4BD6-A03A-BA289EB4265B}"/>
    <cellStyle name="Migliaia 57 8 2 3" xfId="38002" xr:uid="{8E68B6CF-AAAF-49D1-8847-EE0C7C787D33}"/>
    <cellStyle name="Migliaia 57 8 2 4" xfId="43304" xr:uid="{DD02C086-9C1F-43A4-B662-16D560890DA8}"/>
    <cellStyle name="Migliaia 57 8 2 5" xfId="14040" xr:uid="{20487CA8-DC2D-40FD-B402-6B42122C95B9}"/>
    <cellStyle name="Migliaia 57 8 3" xfId="6848" xr:uid="{D89D6693-DD1E-4D1E-B6A3-EEBCAB329441}"/>
    <cellStyle name="Migliaia 57 8 3 2" xfId="34687" xr:uid="{D28B3589-E77C-483A-9199-0308555251E2}"/>
    <cellStyle name="Migliaia 57 8 3 3" xfId="21046" xr:uid="{4A0A0EBD-FE29-48FB-B419-2E7B4B13A8D3}"/>
    <cellStyle name="Migliaia 57 8 4" xfId="25486" xr:uid="{57BBA0EA-1DCD-426E-8531-CF6D93228D33}"/>
    <cellStyle name="Migliaia 57 8 5" xfId="16842" xr:uid="{89677FB0-DAF6-4DEC-AE39-D906FE623F2F}"/>
    <cellStyle name="Migliaia 57 8 6" xfId="8030" xr:uid="{E1E1D171-9C57-47C2-9B8B-1B86A41D9E17}"/>
    <cellStyle name="Migliaia 57 9" xfId="5662" xr:uid="{546AFB26-0AE7-4018-A13C-89AACB18E933}"/>
    <cellStyle name="Migliaia 57 9 2" xfId="34688" xr:uid="{07067C89-0B12-4221-AAC8-141A20A40776}"/>
    <cellStyle name="Migliaia 57 9 3" xfId="25487" xr:uid="{433269F5-DF41-49A9-8404-53408D21A8A1}"/>
    <cellStyle name="Migliaia 57 9 4" xfId="17239" xr:uid="{4431C6E9-0E60-494C-9F91-5506F3A0745F}"/>
    <cellStyle name="Migliaia 58" xfId="513" xr:uid="{00000000-0005-0000-0000-00009C040000}"/>
    <cellStyle name="Migliaia 58 10" xfId="6849" xr:uid="{3394535C-1CB2-4BFE-B6F2-24F5B1D688E3}"/>
    <cellStyle name="Migliaia 58 10 2" xfId="34689" xr:uid="{C30C6F7A-0A03-4AA1-9001-0ED1D1F41DA0}"/>
    <cellStyle name="Migliaia 58 10 3" xfId="21047" xr:uid="{EA660202-D321-4021-9810-5E3A80C88366}"/>
    <cellStyle name="Migliaia 58 11" xfId="3952" xr:uid="{DAACC7DD-B9E1-41BF-B219-D8D4A8E6532B}"/>
    <cellStyle name="Migliaia 58 11 2" xfId="25488" xr:uid="{A46B19E7-8D2C-4903-B69D-2ECFCCBCCA4C}"/>
    <cellStyle name="Migliaia 58 12" xfId="7201" xr:uid="{28066BF9-9E4C-47A5-ABD9-274A099DF200}"/>
    <cellStyle name="Migliaia 58 2" xfId="514" xr:uid="{00000000-0005-0000-0000-00009D040000}"/>
    <cellStyle name="Migliaia 58 2 2" xfId="1921" xr:uid="{00000000-0005-0000-0000-00009E040000}"/>
    <cellStyle name="Migliaia 58 2 2 2" xfId="5680" xr:uid="{29566949-368E-4B10-9449-8F432DC0C969}"/>
    <cellStyle name="Migliaia 58 2 2 2 2" xfId="14416" xr:uid="{B770E717-A594-4E41-BA15-E2F04011EA12}"/>
    <cellStyle name="Migliaia 58 2 2 2 2 2" xfId="34692" xr:uid="{C15917B1-8E0E-414B-8323-F67667E89969}"/>
    <cellStyle name="Migliaia 58 2 2 2 3" xfId="18521" xr:uid="{36CD0A3F-FF3D-4139-ACDB-58B30F47D500}"/>
    <cellStyle name="Migliaia 58 2 2 2 4" xfId="21050" xr:uid="{B2A4ACA2-55B8-4919-B53E-B50BB8C54890}"/>
    <cellStyle name="Migliaia 58 2 2 2 5" xfId="25491" xr:uid="{375A33E1-5814-4CE0-912D-9BA3BBAF4546}"/>
    <cellStyle name="Migliaia 58 2 2 2 6" xfId="16843" xr:uid="{271334B7-6576-4897-85B5-3A4C1EEE30FC}"/>
    <cellStyle name="Migliaia 58 2 2 2 7" xfId="8799" xr:uid="{8258010C-02D5-4318-8BA9-783D881AE90E}"/>
    <cellStyle name="Migliaia 58 2 2 3" xfId="6851" xr:uid="{73FB7CEE-1C4A-48C8-9351-8DA6E2C90C03}"/>
    <cellStyle name="Migliaia 58 2 2 3 2" xfId="35494" xr:uid="{C530332F-8759-4609-8BA0-F8D297558DE7}"/>
    <cellStyle name="Migliaia 58 2 2 3 2 2" xfId="40654" xr:uid="{592BB7CB-8642-49D8-9FB2-F5BDB701EB7F}"/>
    <cellStyle name="Migliaia 58 2 2 3 2 3" xfId="45956" xr:uid="{321CF002-B957-4569-BC35-6B87CEBD84E9}"/>
    <cellStyle name="Migliaia 58 2 2 3 3" xfId="38003" xr:uid="{1AAAAA6A-4D1C-43E9-A3BA-2B67C62B8547}"/>
    <cellStyle name="Migliaia 58 2 2 3 4" xfId="43305" xr:uid="{E2E18517-112C-4B1E-8F53-02A82FB98AF8}"/>
    <cellStyle name="Migliaia 58 2 2 3 5" xfId="11643" xr:uid="{5E072C23-1E4D-4D25-BCF2-9D33B6764CB6}"/>
    <cellStyle name="Migliaia 58 2 2 4" xfId="3954" xr:uid="{17E814A8-10A2-4826-BDBE-FB4BA9392572}"/>
    <cellStyle name="Migliaia 58 2 2 4 2" xfId="21633" xr:uid="{E19D6392-1A2C-4D2A-8CD4-C8997A281E36}"/>
    <cellStyle name="Migliaia 58 2 2 4 3" xfId="34691" xr:uid="{AEA27B4C-1DF2-4F1F-BAEE-B652B66B9502}"/>
    <cellStyle name="Migliaia 58 2 2 4 4" xfId="32448" xr:uid="{E33C213A-8105-474B-9594-24D91F5C60E2}"/>
    <cellStyle name="Migliaia 58 2 2 4 5" xfId="50648" xr:uid="{2A395AF5-A2F0-4137-94F8-C2579E46C1CB}"/>
    <cellStyle name="Migliaia 58 2 2 4 6" xfId="53664" xr:uid="{376DF1B9-46C8-4972-B53A-82FAD43B9C4D}"/>
    <cellStyle name="Migliaia 58 2 2 4 7" xfId="10998" xr:uid="{CE9D39B0-FAF2-4FAC-88D6-C5C83644B449}"/>
    <cellStyle name="Migliaia 58 2 2 5" xfId="21049" xr:uid="{19FA8052-DB18-48A7-8755-57BA62246F3E}"/>
    <cellStyle name="Migliaia 58 2 2 6" xfId="25490" xr:uid="{C0784EF8-0DE3-4EDC-AD63-7891C6AA049F}"/>
    <cellStyle name="Migliaia 58 2 2 7" xfId="7609" xr:uid="{1E5B036F-F17C-4FA4-852C-93BE789A67F8}"/>
    <cellStyle name="Migliaia 58 2 3" xfId="3955" xr:uid="{6D2EBAA9-5EC3-49BD-AAE5-20F7DEB0371E}"/>
    <cellStyle name="Migliaia 58 2 3 2" xfId="5681" xr:uid="{49428E3B-AA08-41F1-A900-E89D01088AF9}"/>
    <cellStyle name="Migliaia 58 2 3 2 2" xfId="35495" xr:uid="{51ECEAF2-61BB-4A68-80E9-0A823A1E8D36}"/>
    <cellStyle name="Migliaia 58 2 3 2 2 2" xfId="40655" xr:uid="{52BB75C7-E415-441F-ACAA-E885E1612155}"/>
    <cellStyle name="Migliaia 58 2 3 2 2 3" xfId="45957" xr:uid="{47A9AC33-3056-4E11-ACC3-4CE99835D174}"/>
    <cellStyle name="Migliaia 58 2 3 2 3" xfId="38004" xr:uid="{D3120B25-75FE-4DF1-BFA8-CC6169ED4061}"/>
    <cellStyle name="Migliaia 58 2 3 2 4" xfId="43306" xr:uid="{5FED8DAD-981A-4B6B-9883-68753AF2C7CC}"/>
    <cellStyle name="Migliaia 58 2 3 2 5" xfId="14339" xr:uid="{A7FE86A0-6266-4836-B3B5-DE286D0420F2}"/>
    <cellStyle name="Migliaia 58 2 3 3" xfId="6852" xr:uid="{C3478680-EB6A-4E0E-90EC-BAA01B56E7C6}"/>
    <cellStyle name="Migliaia 58 2 3 3 2" xfId="34693" xr:uid="{F50F80F8-17EE-4C3F-8993-C069A868E097}"/>
    <cellStyle name="Migliaia 58 2 3 3 3" xfId="21051" xr:uid="{01B3B1C6-0589-46D9-B7EA-1ED3E3D04F07}"/>
    <cellStyle name="Migliaia 58 2 3 4" xfId="25492" xr:uid="{1C1E57CB-27BF-4B57-912E-BD68A4BD58C5}"/>
    <cellStyle name="Migliaia 58 2 3 5" xfId="16844" xr:uid="{2DDE4E19-7C9C-4732-A8ED-3A6066712D1E}"/>
    <cellStyle name="Migliaia 58 2 3 6" xfId="8401" xr:uid="{5A354B5C-2EBC-4279-8B6D-CC846EB65CA3}"/>
    <cellStyle name="Migliaia 58 2 4" xfId="5679" xr:uid="{9F9B2B0A-2710-4889-861A-EEF6E9DA9587}"/>
    <cellStyle name="Migliaia 58 2 4 2" xfId="14044" xr:uid="{DF7EBB7E-6DDF-4C3A-A924-E856CBD36A76}"/>
    <cellStyle name="Migliaia 58 2 4 2 2" xfId="34694" xr:uid="{0758C85B-C596-4AA0-A00D-FB5AD81D3D7A}"/>
    <cellStyle name="Migliaia 58 2 4 3" xfId="18687" xr:uid="{CE48705E-EA15-4C02-ACEE-3F298474E0E8}"/>
    <cellStyle name="Migliaia 58 2 4 4" xfId="21052" xr:uid="{198EEC1A-DBDE-4288-97F7-E08C4186B314}"/>
    <cellStyle name="Migliaia 58 2 4 5" xfId="25493" xr:uid="{BC744E27-D1AA-48AE-955F-44D9BDE7FC99}"/>
    <cellStyle name="Migliaia 58 2 4 6" xfId="16845" xr:uid="{32DE9713-F2C8-4C4E-B1D1-93FEA4B6DF51}"/>
    <cellStyle name="Migliaia 58 2 4 7" xfId="8035" xr:uid="{FA5F500B-5B2F-4348-B913-188C902E2062}"/>
    <cellStyle name="Migliaia 58 2 5" xfId="6850" xr:uid="{24353817-5494-4E8D-8DE3-2949C852C3FE}"/>
    <cellStyle name="Migliaia 58 2 5 2" xfId="34695" xr:uid="{F2E50A63-15E3-430A-B87F-7E8219AFC207}"/>
    <cellStyle name="Migliaia 58 2 5 3" xfId="25494" xr:uid="{A116839E-BAEF-46AD-9151-3F2E582F8EB2}"/>
    <cellStyle name="Migliaia 58 2 5 4" xfId="13156" xr:uid="{5006C0F9-91BC-4A96-A558-99E4A14018DD}"/>
    <cellStyle name="Migliaia 58 2 6" xfId="3953" xr:uid="{54002C39-CC75-48B4-A8FA-47DD64A73B87}"/>
    <cellStyle name="Migliaia 58 2 6 2" xfId="34696" xr:uid="{FADAE430-6E6D-42EE-A59E-8D1B436F7549}"/>
    <cellStyle name="Migliaia 58 2 6 3" xfId="25495" xr:uid="{C1FA7009-606F-4A6F-9F63-09E360808F7B}"/>
    <cellStyle name="Migliaia 58 2 6 4" xfId="21048" xr:uid="{510A6152-9F1A-4591-91EF-EE76A6569CB8}"/>
    <cellStyle name="Migliaia 58 2 7" xfId="34690" xr:uid="{68692DF4-BB70-43F5-A64D-5F0F11F55A52}"/>
    <cellStyle name="Migliaia 58 2 8" xfId="25489" xr:uid="{580628C9-BE1B-48D9-A1E2-8D8105624F45}"/>
    <cellStyle name="Migliaia 58 2 9" xfId="7202" xr:uid="{F906F785-D7F9-480C-B4DA-91E051FA88E0}"/>
    <cellStyle name="Migliaia 58 3" xfId="515" xr:uid="{00000000-0005-0000-0000-00009F040000}"/>
    <cellStyle name="Migliaia 58 3 10" xfId="25496" xr:uid="{56CCAEA2-E242-4E4B-AE9E-63E50E2EAAB0}"/>
    <cellStyle name="Migliaia 58 3 11" xfId="16846" xr:uid="{B5E2B1BE-A8D5-45F5-A941-CC374E3AE02E}"/>
    <cellStyle name="Migliaia 58 3 12" xfId="7203" xr:uid="{01BD1817-C42D-4BA6-A999-0BF37A3A4D1A}"/>
    <cellStyle name="Migliaia 58 3 2" xfId="516" xr:uid="{00000000-0005-0000-0000-0000A0040000}"/>
    <cellStyle name="Migliaia 58 3 2 2" xfId="1922" xr:uid="{00000000-0005-0000-0000-0000A1040000}"/>
    <cellStyle name="Migliaia 58 3 2 2 2" xfId="5684" xr:uid="{88CCF012-DA0E-4341-8E34-E28A03BCBB27}"/>
    <cellStyle name="Migliaia 58 3 2 2 2 2" xfId="18522" xr:uid="{83E1CB2C-800C-4F28-9DD3-62C8E2EE9B29}"/>
    <cellStyle name="Migliaia 58 3 2 2 2 2 2" xfId="21894" xr:uid="{FAF5AE26-C76B-46C6-92C0-9D03A0248902}"/>
    <cellStyle name="Migliaia 58 3 2 2 2 2 3" xfId="34700" xr:uid="{03DE6C23-DF77-449E-92F0-83C54A932119}"/>
    <cellStyle name="Migliaia 58 3 2 2 2 3" xfId="25499" xr:uid="{7F5796FF-26FE-418A-80E2-1D53F18BFD34}"/>
    <cellStyle name="Migliaia 58 3 2 2 2 4" xfId="46304" xr:uid="{0D3C9A40-58EA-4D67-AC11-FF8DB834C12C}"/>
    <cellStyle name="Migliaia 58 3 2 2 2 5" xfId="50922" xr:uid="{FD363E63-6A5A-450E-A1DE-42DC99512664}"/>
    <cellStyle name="Migliaia 58 3 2 2 2 6" xfId="53938" xr:uid="{D67D1FD3-89E1-4384-BB61-1CA7E93C2475}"/>
    <cellStyle name="Migliaia 58 3 2 2 2 7" xfId="17693" xr:uid="{51DD3135-6902-4B2F-892B-7EF466C244BD}"/>
    <cellStyle name="Migliaia 58 3 2 2 2 8" xfId="12099" xr:uid="{1C9A076B-9899-4235-8D76-31FF2565AC4E}"/>
    <cellStyle name="Migliaia 58 3 2 2 3" xfId="6855" xr:uid="{502DF71D-D22F-41DC-8B7D-A2FEC6E40DC0}"/>
    <cellStyle name="Migliaia 58 3 2 2 3 2" xfId="34699" xr:uid="{0ACB5976-10D2-4261-AEBC-0C1C2E998634}"/>
    <cellStyle name="Migliaia 58 3 2 2 3 3" xfId="11161" xr:uid="{C9AA9A95-B184-4F05-930C-8CBCD13D6034}"/>
    <cellStyle name="Migliaia 58 3 2 2 4" xfId="3958" xr:uid="{6E6ACAA6-BC33-428D-AECE-53001542183D}"/>
    <cellStyle name="Migliaia 58 3 2 2 4 2" xfId="21634" xr:uid="{1C3053C1-EDF2-4AF9-866B-F86FF1C7533A}"/>
    <cellStyle name="Migliaia 58 3 2 2 4 3" xfId="24508" xr:uid="{7974B216-7A2A-449C-8D46-82B616D13475}"/>
    <cellStyle name="Migliaia 58 3 2 2 4 4" xfId="50649" xr:uid="{421F9746-1F4A-4370-ABDD-A89116CA4290}"/>
    <cellStyle name="Migliaia 58 3 2 2 4 5" xfId="53665" xr:uid="{B3E95B73-6C00-48FB-9910-92725AB2AF4B}"/>
    <cellStyle name="Migliaia 58 3 2 2 4 6" xfId="10999" xr:uid="{E3BC5290-D0B3-4992-8047-832671198396}"/>
    <cellStyle name="Migliaia 58 3 2 2 5" xfId="21055" xr:uid="{A38AA777-D385-4419-B45C-274A083C88CF}"/>
    <cellStyle name="Migliaia 58 3 2 2 6" xfId="25498" xr:uid="{B1F3FD36-1CF6-415B-B13D-9BB4CD5DCD2E}"/>
    <cellStyle name="Migliaia 58 3 2 2 7" xfId="8801" xr:uid="{354039DF-8C58-438B-9C74-AE1552D85634}"/>
    <cellStyle name="Migliaia 58 3 2 3" xfId="5683" xr:uid="{A99B2CEF-CA46-4F1E-B604-881213E7D00B}"/>
    <cellStyle name="Migliaia 58 3 2 3 2" xfId="11108" xr:uid="{7B7AABFC-5518-48FB-AD6E-E4EEB30DF544}"/>
    <cellStyle name="Migliaia 58 3 2 3 2 2" xfId="34701" xr:uid="{A7BD0096-0493-4193-92DF-268250823289}"/>
    <cellStyle name="Migliaia 58 3 2 3 3" xfId="12100" xr:uid="{7B95FBD2-0E47-4B12-883A-B34223F73AD0}"/>
    <cellStyle name="Migliaia 58 3 2 3 4" xfId="21056" xr:uid="{3F5BA734-92E5-4D59-85A7-8FA6AC1CCD6E}"/>
    <cellStyle name="Migliaia 58 3 2 3 5" xfId="25500" xr:uid="{BC1CA05C-0B42-4B64-9457-1F09EFCB9E2D}"/>
    <cellStyle name="Migliaia 58 3 2 3 6" xfId="16847" xr:uid="{FDD43721-0CD8-440F-8AFF-358E813ACFA4}"/>
    <cellStyle name="Migliaia 58 3 2 3 7" xfId="8037" xr:uid="{929406DF-53A3-4C33-825D-4DEADFF014DA}"/>
    <cellStyle name="Migliaia 58 3 2 4" xfId="6854" xr:uid="{F52E4555-6FF1-46B4-ADD6-E35E4CAC7DF0}"/>
    <cellStyle name="Migliaia 58 3 2 4 2" xfId="18110" xr:uid="{98814C31-4EE7-4C9A-8130-4E56486EC903}"/>
    <cellStyle name="Migliaia 58 3 2 4 2 2" xfId="34702" xr:uid="{6EC8F5DB-5162-49B3-90E7-2CB840737B11}"/>
    <cellStyle name="Migliaia 58 3 2 4 3" xfId="25501" xr:uid="{421DF865-9365-40EE-8F7E-915C82D07232}"/>
    <cellStyle name="Migliaia 58 3 2 4 4" xfId="17242" xr:uid="{36EF94A1-997E-47DB-958C-CDE36066A1C2}"/>
    <cellStyle name="Migliaia 58 3 2 4 5" xfId="11452" xr:uid="{63D9CCF4-46E3-4A09-B6FE-29C5BF65E614}"/>
    <cellStyle name="Migliaia 58 3 2 5" xfId="3957" xr:uid="{8885D4AA-B1E4-4FD7-A0A8-5E4D7F3184EF}"/>
    <cellStyle name="Migliaia 58 3 2 5 2" xfId="34703" xr:uid="{98B0E436-ECD1-4852-92B0-8F6E64743984}"/>
    <cellStyle name="Migliaia 58 3 2 5 3" xfId="25502" xr:uid="{3BF2C191-24EB-460C-B3DF-DF28FC1702AE}"/>
    <cellStyle name="Migliaia 58 3 2 5 4" xfId="17267" xr:uid="{50BD9FAF-E2D3-4887-9F39-C56A2DDF353B}"/>
    <cellStyle name="Migliaia 58 3 2 6" xfId="21054" xr:uid="{165379EB-1325-4A59-B6D8-A181262A8627}"/>
    <cellStyle name="Migliaia 58 3 2 6 2" xfId="34704" xr:uid="{45CC7E54-A8FE-4D5E-BDB9-79055E61B1A4}"/>
    <cellStyle name="Migliaia 58 3 2 6 3" xfId="25503" xr:uid="{1DA09CE1-1082-4BAB-939F-89C624A3E7BD}"/>
    <cellStyle name="Migliaia 58 3 2 7" xfId="34698" xr:uid="{DA9F9E2E-B1A0-4791-855F-4F2992B9569A}"/>
    <cellStyle name="Migliaia 58 3 2 8" xfId="25497" xr:uid="{2382DE29-E899-4B74-A29C-E435DF1FE6C2}"/>
    <cellStyle name="Migliaia 58 3 2 9" xfId="7611" xr:uid="{FF05A5F9-4EC2-4142-AD1A-A3F752971EB1}"/>
    <cellStyle name="Migliaia 58 3 3" xfId="3959" xr:uid="{9C65F5C0-E73B-41A6-9E1C-73D8C2A07F63}"/>
    <cellStyle name="Migliaia 58 3 3 2" xfId="5685" xr:uid="{5FE8F284-F0B7-4446-A352-F211CC31A8C3}"/>
    <cellStyle name="Migliaia 58 3 3 2 2" xfId="9988" xr:uid="{E9BF7AC4-5222-41D7-A14A-BEB973127B82}"/>
    <cellStyle name="Migliaia 58 3 3 2 2 2" xfId="34706" xr:uid="{A60A5F57-7CE7-49D0-B03A-F4CFF7C8A9A9}"/>
    <cellStyle name="Migliaia 58 3 3 2 3" xfId="18268" xr:uid="{728F2280-56B6-4C4D-B057-3BDE0BAEF18D}"/>
    <cellStyle name="Migliaia 58 3 3 2 4" xfId="21058" xr:uid="{756E879A-C756-4DD5-A45B-6D070386FFA1}"/>
    <cellStyle name="Migliaia 58 3 3 2 5" xfId="25505" xr:uid="{508DDB2E-13BC-41B4-ACAB-DDE2B5EAD95B}"/>
    <cellStyle name="Migliaia 58 3 3 2 6" xfId="16849" xr:uid="{BD1926FC-5DD1-43EF-BE3B-14072DB2B3AC}"/>
    <cellStyle name="Migliaia 58 3 3 2 7" xfId="8800" xr:uid="{5DF565EE-1E85-46E5-85F6-33BC0769AEB9}"/>
    <cellStyle name="Migliaia 58 3 3 3" xfId="6856" xr:uid="{7069E256-9DAA-4E43-8FF3-90038EF3164B}"/>
    <cellStyle name="Migliaia 58 3 3 3 2" xfId="34707" xr:uid="{05F805F8-14C9-4F56-958C-6A44ADEA1DA2}"/>
    <cellStyle name="Migliaia 58 3 3 3 3" xfId="25506" xr:uid="{CB302C7E-15DC-4E0F-972A-27407D58FF0F}"/>
    <cellStyle name="Migliaia 58 3 3 3 4" xfId="9751" xr:uid="{76CFC0A7-EE3B-478A-B31E-D571655B0EEF}"/>
    <cellStyle name="Migliaia 58 3 3 4" xfId="21057" xr:uid="{6FB9FF16-2E30-4203-A9C9-0FE052CDB414}"/>
    <cellStyle name="Migliaia 58 3 3 4 2" xfId="34708" xr:uid="{B6648BBD-863C-4E44-AA77-2F2445F2E1BE}"/>
    <cellStyle name="Migliaia 58 3 3 4 3" xfId="25507" xr:uid="{19F20ABD-AE0C-49AD-87E7-E1D8DB50688E}"/>
    <cellStyle name="Migliaia 58 3 3 4 4" xfId="48891" xr:uid="{95F8437C-9D05-4960-BC98-63F21A05897F}"/>
    <cellStyle name="Migliaia 58 3 3 5" xfId="25508" xr:uid="{CCC7DCBD-4082-45E4-8F57-DCA6F456F9E4}"/>
    <cellStyle name="Migliaia 58 3 3 5 2" xfId="34709" xr:uid="{91D23575-4799-4F0A-9297-8377891FB058}"/>
    <cellStyle name="Migliaia 58 3 3 5 3" xfId="48892" xr:uid="{9C552F32-3D54-4384-919F-0095759CD7D4}"/>
    <cellStyle name="Migliaia 58 3 3 6" xfId="34705" xr:uid="{66F62B3B-600A-43AF-BDAE-A62761D6F7D2}"/>
    <cellStyle name="Migliaia 58 3 3 7" xfId="25504" xr:uid="{E0AB10DE-6702-43FE-9045-2C4D8F58FB42}"/>
    <cellStyle name="Migliaia 58 3 3 8" xfId="16848" xr:uid="{5249C7A1-C7B5-414E-95DA-F8B8B018EC1F}"/>
    <cellStyle name="Migliaia 58 3 3 9" xfId="7610" xr:uid="{FBF1204D-C068-4599-AE46-F26605CE8AF0}"/>
    <cellStyle name="Migliaia 58 3 4" xfId="3960" xr:uid="{0873867C-06F0-4126-B3E6-280B637497A5}"/>
    <cellStyle name="Migliaia 58 3 4 2" xfId="5686" xr:uid="{AC63979C-4AD7-4A70-B623-C419105C60AF}"/>
    <cellStyle name="Migliaia 58 3 4 2 2" xfId="14476" xr:uid="{A9CC8F6E-5801-47A2-891C-CC8A763D394A}"/>
    <cellStyle name="Migliaia 58 3 4 2 3" xfId="18574" xr:uid="{A41A450D-6786-492D-BB33-38DB7BD48A36}"/>
    <cellStyle name="Migliaia 58 3 4 2 4" xfId="21060" xr:uid="{E0250EE4-1913-4049-A00D-EB143CA596CF}"/>
    <cellStyle name="Migliaia 58 3 4 2 5" xfId="32481" xr:uid="{B1426996-F99B-440C-8B31-6C8416D69846}"/>
    <cellStyle name="Migliaia 58 3 4 2 6" xfId="16851" xr:uid="{17504C1B-36AE-4D38-BCAC-2D9ADA4FAC7F}"/>
    <cellStyle name="Migliaia 58 3 4 2 7" xfId="8899" xr:uid="{C27C204A-5902-4B56-8068-A9F2A5871C23}"/>
    <cellStyle name="Migliaia 58 3 4 3" xfId="6857" xr:uid="{C8C59EDE-50E8-41B4-9CF0-A051BB32A133}"/>
    <cellStyle name="Migliaia 58 3 4 3 2" xfId="35496" xr:uid="{C64CF157-2CFD-4AB8-A6C5-10790E379EB5}"/>
    <cellStyle name="Migliaia 58 3 4 3 2 2" xfId="40656" xr:uid="{07B50EE1-DF2C-4355-8F1D-53894D7D6DD4}"/>
    <cellStyle name="Migliaia 58 3 4 3 2 3" xfId="45958" xr:uid="{31A62619-5E72-4DD1-AF5D-9E073E655511}"/>
    <cellStyle name="Migliaia 58 3 4 3 3" xfId="38005" xr:uid="{F0896D82-0848-4473-A752-A5E541814FE9}"/>
    <cellStyle name="Migliaia 58 3 4 3 4" xfId="43307" xr:uid="{9829A1AA-9C21-45BD-811C-EEBFCC4C4CE6}"/>
    <cellStyle name="Migliaia 58 3 4 3 5" xfId="13724" xr:uid="{DA5BC403-9AA6-45F1-B707-BC0DBF190FAA}"/>
    <cellStyle name="Migliaia 58 3 4 4" xfId="21059" xr:uid="{BBFF9EFF-841A-4C7A-B7F7-59699206AFCB}"/>
    <cellStyle name="Migliaia 58 3 4 4 2" xfId="34710" xr:uid="{ECEFB811-BFAB-4A63-86DE-D5D4C19780ED}"/>
    <cellStyle name="Migliaia 58 3 4 5" xfId="25509" xr:uid="{D3B57B58-4A17-45F3-B5C8-9CAB686D2327}"/>
    <cellStyle name="Migliaia 58 3 4 6" xfId="16850" xr:uid="{84B6F523-7A63-4F53-A9CB-033871753F2E}"/>
    <cellStyle name="Migliaia 58 3 4 7" xfId="7709" xr:uid="{9B94FA72-50C6-4CF6-8C11-6D18F0033675}"/>
    <cellStyle name="Migliaia 58 3 5" xfId="3961" xr:uid="{673AC2F7-0288-4BDE-939C-7DC41A3CC1D9}"/>
    <cellStyle name="Migliaia 58 3 5 2" xfId="5687" xr:uid="{67EBEB48-932C-46D8-9673-064B11673F8C}"/>
    <cellStyle name="Migliaia 58 3 5 2 2" xfId="35497" xr:uid="{6E14BCD2-AA49-42A6-BF08-BE2F81B046E5}"/>
    <cellStyle name="Migliaia 58 3 5 2 2 2" xfId="40657" xr:uid="{E8DFC80C-07DE-4801-9A64-F90EAB07C7B6}"/>
    <cellStyle name="Migliaia 58 3 5 2 2 3" xfId="45959" xr:uid="{2E5647F1-9354-48DC-8EA2-CA8B09F99E1F}"/>
    <cellStyle name="Migliaia 58 3 5 2 3" xfId="38006" xr:uid="{D6A0AF2A-7653-43B1-9D35-4188933C8237}"/>
    <cellStyle name="Migliaia 58 3 5 2 4" xfId="43308" xr:uid="{3E3A05E3-B0CE-43BA-BAD8-311E6A9C66E2}"/>
    <cellStyle name="Migliaia 58 3 5 2 5" xfId="14340" xr:uid="{19D25580-1818-4FD6-92F0-67A4475F6DB2}"/>
    <cellStyle name="Migliaia 58 3 5 3" xfId="6858" xr:uid="{02DD3391-4FDD-4EFC-BDAA-8666902EC72E}"/>
    <cellStyle name="Migliaia 58 3 5 3 2" xfId="34711" xr:uid="{CE52769D-B806-4868-B8D1-BF60C85775E5}"/>
    <cellStyle name="Migliaia 58 3 5 3 3" xfId="21061" xr:uid="{FC60533D-341F-4341-B05D-2500184159BC}"/>
    <cellStyle name="Migliaia 58 3 5 4" xfId="25510" xr:uid="{81A9E553-723F-4B04-98CC-D0A3DC2EF734}"/>
    <cellStyle name="Migliaia 58 3 5 5" xfId="16852" xr:uid="{3FA0E994-0B42-465B-B0B5-38E447FF8471}"/>
    <cellStyle name="Migliaia 58 3 5 6" xfId="8402" xr:uid="{21E7AA59-844B-4DD3-AD6E-2DB8243EB5C1}"/>
    <cellStyle name="Migliaia 58 3 6" xfId="5682" xr:uid="{97276CE5-AE1C-49D2-9A6B-CE6DC41CBD8F}"/>
    <cellStyle name="Migliaia 58 3 6 2" xfId="14045" xr:uid="{B64A44FC-8153-485F-9DD5-FE654FA77614}"/>
    <cellStyle name="Migliaia 58 3 6 2 2" xfId="34712" xr:uid="{D9C9094B-F91C-4097-9171-942B566940C6}"/>
    <cellStyle name="Migliaia 58 3 6 3" xfId="18601" xr:uid="{5F577D99-7769-4460-B0EF-2EA7F074CBC5}"/>
    <cellStyle name="Migliaia 58 3 6 4" xfId="21062" xr:uid="{67482847-FCFC-4180-8A9E-CEAEA227C3FB}"/>
    <cellStyle name="Migliaia 58 3 6 5" xfId="25511" xr:uid="{F17565F5-138B-450A-B707-43F35C452EEE}"/>
    <cellStyle name="Migliaia 58 3 6 6" xfId="16853" xr:uid="{9A4098C6-8027-497F-BDED-433D175874DC}"/>
    <cellStyle name="Migliaia 58 3 6 7" xfId="8036" xr:uid="{F55A0E6F-0CD1-427B-B77C-974F74C73B36}"/>
    <cellStyle name="Migliaia 58 3 7" xfId="6853" xr:uid="{8BE22587-4071-4872-B1A5-BB87E70B31C7}"/>
    <cellStyle name="Migliaia 58 3 7 2" xfId="34713" xr:uid="{79F35CB4-E452-4C74-B04B-6DBE8C2CFFB4}"/>
    <cellStyle name="Migliaia 58 3 7 3" xfId="25512" xr:uid="{6BE80452-8B09-4F7A-A570-1EBD71EF76FE}"/>
    <cellStyle name="Migliaia 58 3 7 4" xfId="12287" xr:uid="{72714BCE-FF80-43CA-A47D-00D6D9D58D45}"/>
    <cellStyle name="Migliaia 58 3 8" xfId="3956" xr:uid="{AC7BB67C-8D71-4F8B-AB06-29A03543AE85}"/>
    <cellStyle name="Migliaia 58 3 8 2" xfId="34714" xr:uid="{5CE71F4B-8F76-4A2B-BA9E-4264AED7C364}"/>
    <cellStyle name="Migliaia 58 3 8 3" xfId="25513" xr:uid="{87E1ABC8-01E9-46DA-A2F0-BC4F8D0DBF8F}"/>
    <cellStyle name="Migliaia 58 3 8 4" xfId="17268" xr:uid="{A1F36B96-9520-49B9-8266-AD3D12FB4E11}"/>
    <cellStyle name="Migliaia 58 3 9" xfId="21053" xr:uid="{B9B17CAF-645E-4B51-949F-96566166C15C}"/>
    <cellStyle name="Migliaia 58 3 9 2" xfId="34697" xr:uid="{B677EC7F-20FB-4C96-9813-00D088847EF5}"/>
    <cellStyle name="Migliaia 58 4" xfId="1923" xr:uid="{00000000-0005-0000-0000-0000A2040000}"/>
    <cellStyle name="Migliaia 58 4 10" xfId="7612" xr:uid="{E50F2B40-112D-4301-BB65-0C4D74C3B543}"/>
    <cellStyle name="Migliaia 58 4 2" xfId="1924" xr:uid="{00000000-0005-0000-0000-0000A3040000}"/>
    <cellStyle name="Migliaia 58 4 2 2" xfId="5689" xr:uid="{EAF163EB-0403-4D97-A391-4CA28B2EAE35}"/>
    <cellStyle name="Migliaia 58 4 2 2 2" xfId="34717" xr:uid="{4E3D8CBF-0EC5-41AB-A4ED-C45F6BD6C2FC}"/>
    <cellStyle name="Migliaia 58 4 2 2 3" xfId="25516" xr:uid="{12E94D53-2E2B-4680-AF94-AA042341B9E6}"/>
    <cellStyle name="Migliaia 58 4 2 2 4" xfId="9214" xr:uid="{4BA23CA5-DC28-4C75-9EAE-4BAF78CD50F1}"/>
    <cellStyle name="Migliaia 58 4 2 3" xfId="3963" xr:uid="{435F6472-BF40-4E18-9878-58E4E1175C7A}"/>
    <cellStyle name="Migliaia 58 4 2 3 2" xfId="34718" xr:uid="{912CF596-66B2-4D73-AA0F-573671343A94}"/>
    <cellStyle name="Migliaia 58 4 2 3 3" xfId="25517" xr:uid="{7DD8A1A1-C72C-411E-A0A5-07A83F11BC72}"/>
    <cellStyle name="Migliaia 58 4 2 3 4" xfId="12101" xr:uid="{4CAAB47E-163C-4A6E-807A-D8D7D80120E0}"/>
    <cellStyle name="Migliaia 58 4 2 4" xfId="11454" xr:uid="{66B3F0CA-166A-45A7-B378-74EDA87E0FCE}"/>
    <cellStyle name="Migliaia 58 4 2 4 2" xfId="34716" xr:uid="{93C2AC55-0B36-439B-87E0-6BA30B86E3B0}"/>
    <cellStyle name="Migliaia 58 4 2 5" xfId="11001" xr:uid="{133723E0-BD3D-459F-94DE-7E3F1C1B2318}"/>
    <cellStyle name="Migliaia 58 4 2 5 2" xfId="21636" xr:uid="{B7B3E89C-0B5C-475C-A899-33AD8EAC1811}"/>
    <cellStyle name="Migliaia 58 4 2 5 3" xfId="32372" xr:uid="{D5A24B1F-8FF0-4B22-A521-F6BAE428AA7B}"/>
    <cellStyle name="Migliaia 58 4 2 5 4" xfId="50651" xr:uid="{DF71F563-F30F-4122-A02D-C7EB9D894BE3}"/>
    <cellStyle name="Migliaia 58 4 2 5 5" xfId="53667" xr:uid="{6EE97B30-6953-47DA-B01D-691671B737FC}"/>
    <cellStyle name="Migliaia 58 4 2 6" xfId="21064" xr:uid="{7EBB71A8-EB60-418D-A388-21A1710CBB6C}"/>
    <cellStyle name="Migliaia 58 4 2 7" xfId="25515" xr:uid="{48B581A4-8652-436F-BA64-B5096F81204B}"/>
    <cellStyle name="Migliaia 58 4 2 8" xfId="8802" xr:uid="{D4A7DDA7-A45A-4C3B-A281-876CBE62153E}"/>
    <cellStyle name="Migliaia 58 4 3" xfId="5688" xr:uid="{A2634E24-023F-463E-8603-447F43A4AC36}"/>
    <cellStyle name="Migliaia 58 4 3 2" xfId="18269" xr:uid="{3C9F6ABC-4D82-4D0F-B2E9-4FF6192A6F8A}"/>
    <cellStyle name="Migliaia 58 4 3 2 2" xfId="34719" xr:uid="{DF3524A5-2E4D-4A51-BA87-5DDC97C2F468}"/>
    <cellStyle name="Migliaia 58 4 3 3" xfId="25518" xr:uid="{14740242-C56B-43B2-A7AD-BA03E1C3DABB}"/>
    <cellStyle name="Migliaia 58 4 3 4" xfId="17266" xr:uid="{0110E107-6FD2-4E5F-8AFE-7026A763D60A}"/>
    <cellStyle name="Migliaia 58 4 3 5" xfId="9215" xr:uid="{A454B5BD-B4A2-4FFC-AFCB-183885A36BA7}"/>
    <cellStyle name="Migliaia 58 4 4" xfId="6859" xr:uid="{BFE92F11-FD4A-4F61-BE6D-329D609609D8}"/>
    <cellStyle name="Migliaia 58 4 4 2" xfId="34720" xr:uid="{26B45012-58AF-4F1A-9634-6B6F4E892AF4}"/>
    <cellStyle name="Migliaia 58 4 4 3" xfId="25519" xr:uid="{BA094935-D1B4-4AEA-B218-15CD0DEE7C55}"/>
    <cellStyle name="Migliaia 58 4 4 4" xfId="12102" xr:uid="{D8A6C399-AB7E-4D6A-AE3D-F7B125ED296C}"/>
    <cellStyle name="Migliaia 58 4 5" xfId="3962" xr:uid="{9BAB619A-8227-4476-9024-8BA43B0ED0AB}"/>
    <cellStyle name="Migliaia 58 4 5 2" xfId="34721" xr:uid="{D89DBAE2-E998-4845-88D7-084FF1D8C964}"/>
    <cellStyle name="Migliaia 58 4 5 3" xfId="25520" xr:uid="{5AFEE60A-DB74-4411-A8AB-9E4780173F9F}"/>
    <cellStyle name="Migliaia 58 4 5 4" xfId="11453" xr:uid="{6B874341-C455-43EA-B5C2-D8AA02B08E9C}"/>
    <cellStyle name="Migliaia 58 4 6" xfId="11000" xr:uid="{FE6F9CEB-99A1-4CF4-83BB-5C667492E306}"/>
    <cellStyle name="Migliaia 58 4 6 2" xfId="21635" xr:uid="{DF669928-FEF0-4DD9-9F16-E5A39B797A6C}"/>
    <cellStyle name="Migliaia 58 4 6 2 2" xfId="34722" xr:uid="{4E98750E-072B-421C-8EFF-B93FDAA04F5E}"/>
    <cellStyle name="Migliaia 58 4 6 3" xfId="25521" xr:uid="{47EA7809-2440-44EB-B0DF-B1202305E13D}"/>
    <cellStyle name="Migliaia 58 4 6 4" xfId="46709" xr:uid="{53BFAC33-7CAF-444A-B4EB-C2C90AABFA03}"/>
    <cellStyle name="Migliaia 58 4 6 5" xfId="48893" xr:uid="{B1CE3563-936B-4B5E-8D2E-13A1FC623946}"/>
    <cellStyle name="Migliaia 58 4 6 6" xfId="50650" xr:uid="{1FF941BF-E528-467E-828F-87DB212FAB31}"/>
    <cellStyle name="Migliaia 58 4 6 7" xfId="53666" xr:uid="{6A8540FA-A05E-4AE6-AF67-C724DA1F0D0A}"/>
    <cellStyle name="Migliaia 58 4 7" xfId="21063" xr:uid="{AE874AE1-C657-4DDB-ACA6-43CB9F42181E}"/>
    <cellStyle name="Migliaia 58 4 7 2" xfId="34723" xr:uid="{1C8591D5-CEF7-4B65-9077-37E4FFC861A8}"/>
    <cellStyle name="Migliaia 58 4 7 3" xfId="25522" xr:uid="{0BF45E5C-ADD6-4886-9130-9D36CA0C3768}"/>
    <cellStyle name="Migliaia 58 4 8" xfId="34715" xr:uid="{80763498-CF72-4E17-AAF9-C4E857F791E7}"/>
    <cellStyle name="Migliaia 58 4 9" xfId="25514" xr:uid="{2CB8B32F-9532-4771-B046-B2D9BDB1B1E3}"/>
    <cellStyle name="Migliaia 58 5" xfId="1925" xr:uid="{00000000-0005-0000-0000-0000A4040000}"/>
    <cellStyle name="Migliaia 58 5 2" xfId="5690" xr:uid="{B9E56DF8-AE4F-47A5-A55A-3C477068E13A}"/>
    <cellStyle name="Migliaia 58 5 2 2" xfId="18523" xr:uid="{0F1E37D7-6CE7-459A-8DAD-52B4C44695ED}"/>
    <cellStyle name="Migliaia 58 5 2 2 2" xfId="34725" xr:uid="{3914DCAD-53A2-4584-8468-5DDD991FEBC2}"/>
    <cellStyle name="Migliaia 58 5 2 3" xfId="21066" xr:uid="{CECD4ED7-4BC8-40C2-9F40-0CC3538DD577}"/>
    <cellStyle name="Migliaia 58 5 2 4" xfId="25524" xr:uid="{8A28BAE1-A027-4CBC-9622-279BEE68EA4E}"/>
    <cellStyle name="Migliaia 58 5 2 5" xfId="16854" xr:uid="{DBEE7279-2836-44F4-99AC-3779D6636816}"/>
    <cellStyle name="Migliaia 58 5 2 6" xfId="8803" xr:uid="{9DD12CFE-7945-4595-961B-EBC15FD8E4F4}"/>
    <cellStyle name="Migliaia 58 5 3" xfId="6860" xr:uid="{A3A956BB-F4C0-42DC-919D-5EA429379891}"/>
    <cellStyle name="Migliaia 58 5 3 2" xfId="34726" xr:uid="{D92543F3-C212-4402-AFC4-E4BABA639FAD}"/>
    <cellStyle name="Migliaia 58 5 3 3" xfId="25525" xr:uid="{73A166E5-F9F6-4CB8-8ABC-FA4E4B603CA4}"/>
    <cellStyle name="Migliaia 58 5 3 4" xfId="11455" xr:uid="{BA6DEEB8-5395-41D1-A5C2-D670690C7D76}"/>
    <cellStyle name="Migliaia 58 5 4" xfId="3964" xr:uid="{F5C704B9-A9D2-41F9-9C99-869DF209C58D}"/>
    <cellStyle name="Migliaia 58 5 4 2" xfId="21637" xr:uid="{812B9FCC-1C60-433F-9D7C-BCBCC25FFA45}"/>
    <cellStyle name="Migliaia 58 5 4 2 2" xfId="34727" xr:uid="{D09887B4-1535-4D60-AF6E-1C8059A9AC67}"/>
    <cellStyle name="Migliaia 58 5 4 3" xfId="25526" xr:uid="{26DCA959-6759-46AE-91DF-19E9F211304D}"/>
    <cellStyle name="Migliaia 58 5 4 4" xfId="47606" xr:uid="{519C887C-60CC-4C8C-87AD-DB6936537088}"/>
    <cellStyle name="Migliaia 58 5 4 5" xfId="48894" xr:uid="{87FA49D2-3882-4ECD-A65C-16D3DAC0BB14}"/>
    <cellStyle name="Migliaia 58 5 4 6" xfId="50652" xr:uid="{494C84C6-ECE7-4325-AA59-49B7985DB682}"/>
    <cellStyle name="Migliaia 58 5 4 7" xfId="53668" xr:uid="{480EE45B-BDB3-44E1-9AE5-CE7C5A9A68D8}"/>
    <cellStyle name="Migliaia 58 5 4 8" xfId="11002" xr:uid="{7337E1E2-9290-464A-9650-469B3774251E}"/>
    <cellStyle name="Migliaia 58 5 5" xfId="21065" xr:uid="{02103940-FE15-4585-A317-E9BC34AA1EE2}"/>
    <cellStyle name="Migliaia 58 5 5 2" xfId="34728" xr:uid="{BAA1D0EF-1666-4D84-86E6-95B38ADB0793}"/>
    <cellStyle name="Migliaia 58 5 5 3" xfId="25527" xr:uid="{DB1B5111-E946-449B-AD23-0D9F4646236A}"/>
    <cellStyle name="Migliaia 58 5 5 4" xfId="48895" xr:uid="{9084BCC4-E38F-4CA1-884A-629F7B4C9B58}"/>
    <cellStyle name="Migliaia 58 5 6" xfId="25528" xr:uid="{271F20B9-82EE-4B9E-AF8A-0DB6A69C470B}"/>
    <cellStyle name="Migliaia 58 5 6 2" xfId="34729" xr:uid="{913BF523-6DCF-477F-A31F-88871DD4AF4E}"/>
    <cellStyle name="Migliaia 58 5 7" xfId="34724" xr:uid="{EF826340-2360-42B2-B24F-6067C330135C}"/>
    <cellStyle name="Migliaia 58 5 8" xfId="25523" xr:uid="{75D2E5EA-50BF-428A-AB0A-9D7C75EE8363}"/>
    <cellStyle name="Migliaia 58 5 9" xfId="7613" xr:uid="{F000602D-B983-4406-8EBE-7B7A8ADCD38C}"/>
    <cellStyle name="Migliaia 58 6" xfId="3965" xr:uid="{BD17C660-E4C7-494F-B59A-0E20DCCD2D90}"/>
    <cellStyle name="Migliaia 58 6 2" xfId="5691" xr:uid="{3F9874D6-224D-42A5-8CE8-A572E24B63BE}"/>
    <cellStyle name="Migliaia 58 6 2 2" xfId="9987" xr:uid="{F282F8BF-E8F4-47C6-9BFE-1966A903C829}"/>
    <cellStyle name="Migliaia 58 6 2 3" xfId="18032" xr:uid="{924291B1-81AB-47CA-AC3B-039A7BF8B070}"/>
    <cellStyle name="Migliaia 58 6 2 4" xfId="21068" xr:uid="{423245AB-1285-4A78-9047-C4F091B2D8B4}"/>
    <cellStyle name="Migliaia 58 6 2 5" xfId="32482" xr:uid="{FA25B739-2267-4DDB-9AAA-F970F44C63C6}"/>
    <cellStyle name="Migliaia 58 6 2 6" xfId="16856" xr:uid="{47A27F53-4C24-438B-A7BA-BFC48BF9031D}"/>
    <cellStyle name="Migliaia 58 6 2 7" xfId="8798" xr:uid="{D4A4F261-7537-4FC4-9E3A-43A3F16DD167}"/>
    <cellStyle name="Migliaia 58 6 3" xfId="6861" xr:uid="{E5ADC67B-E1A7-4B20-8EEF-091596DAC3EC}"/>
    <cellStyle name="Migliaia 58 6 3 2" xfId="35498" xr:uid="{CA1B43FA-A7F8-4BF3-8947-6D6722FD13A8}"/>
    <cellStyle name="Migliaia 58 6 3 2 2" xfId="40658" xr:uid="{61C7F243-17F1-46BE-B0E1-BDE4A8359841}"/>
    <cellStyle name="Migliaia 58 6 3 2 3" xfId="45960" xr:uid="{3757FF6A-EEF7-4DB2-AAEC-1A89DEE0D53D}"/>
    <cellStyle name="Migliaia 58 6 3 3" xfId="38007" xr:uid="{F236F9C0-238F-4869-9444-FE05E698A15D}"/>
    <cellStyle name="Migliaia 58 6 3 4" xfId="43309" xr:uid="{DFF5EA86-EF8E-412D-BFC2-7DCB344ED098}"/>
    <cellStyle name="Migliaia 58 6 3 5" xfId="9750" xr:uid="{EFA9D80D-69FE-4F24-98A3-3013CA78C73B}"/>
    <cellStyle name="Migliaia 58 6 4" xfId="21067" xr:uid="{DFF1554D-117A-4B74-ACEC-440D144FD743}"/>
    <cellStyle name="Migliaia 58 6 4 2" xfId="34730" xr:uid="{7DA71057-397C-4114-B470-3729F54891E2}"/>
    <cellStyle name="Migliaia 58 6 5" xfId="25529" xr:uid="{FE5B376D-386A-46A6-A3A7-56BA738E432C}"/>
    <cellStyle name="Migliaia 58 6 6" xfId="16855" xr:uid="{547189E5-3643-4BD2-8EEA-C33ED1923EF8}"/>
    <cellStyle name="Migliaia 58 6 7" xfId="7608" xr:uid="{15225380-6D25-4488-A482-A37269B7E195}"/>
    <cellStyle name="Migliaia 58 7" xfId="3966" xr:uid="{F9978227-2727-44BC-B9FD-FDC5A13EE1EA}"/>
    <cellStyle name="Migliaia 58 7 2" xfId="5692" xr:uid="{CD04C17F-6D48-459A-88CA-EE16136E8E59}"/>
    <cellStyle name="Migliaia 58 7 2 2" xfId="35499" xr:uid="{537FC506-3903-4921-B4A4-D5EB3CE98B45}"/>
    <cellStyle name="Migliaia 58 7 2 2 2" xfId="40659" xr:uid="{6667203E-F38E-4665-B8F9-C395D0EFEA9E}"/>
    <cellStyle name="Migliaia 58 7 2 2 3" xfId="45961" xr:uid="{7966466C-B16B-4E28-83B0-7958BA66E99D}"/>
    <cellStyle name="Migliaia 58 7 2 3" xfId="38008" xr:uid="{DEA64AC9-CEC8-4937-B7BB-3FB4A57F9865}"/>
    <cellStyle name="Migliaia 58 7 2 4" xfId="43310" xr:uid="{84F3C37E-7886-4B3D-A363-97CBB1D29C17}"/>
    <cellStyle name="Migliaia 58 7 2 5" xfId="14338" xr:uid="{0D48AF52-CFD6-488B-A3F5-3D7637E22D6E}"/>
    <cellStyle name="Migliaia 58 7 3" xfId="6862" xr:uid="{58805836-6D15-455D-88A7-1E8320359481}"/>
    <cellStyle name="Migliaia 58 7 3 2" xfId="34731" xr:uid="{DD4F59A5-DF4D-4C7D-BC76-4901A7A10ABC}"/>
    <cellStyle name="Migliaia 58 7 3 3" xfId="21069" xr:uid="{9C1B026E-8CC4-4281-A7CC-C5A28E427190}"/>
    <cellStyle name="Migliaia 58 7 4" xfId="25530" xr:uid="{E1E0630C-918F-4559-86E3-D330E719C6D7}"/>
    <cellStyle name="Migliaia 58 7 5" xfId="16857" xr:uid="{55102864-A8CF-42F7-900A-ACB6D720A96A}"/>
    <cellStyle name="Migliaia 58 7 6" xfId="8400" xr:uid="{FDB03274-B8EE-4391-A778-306DF219B517}"/>
    <cellStyle name="Migliaia 58 8" xfId="3967" xr:uid="{528C1CAA-AB00-4D79-A225-ABECA78028AD}"/>
    <cellStyle name="Migliaia 58 8 2" xfId="5693" xr:uid="{117FE1EE-F589-452E-9B5D-1FFA0BE33BE1}"/>
    <cellStyle name="Migliaia 58 8 2 2" xfId="35500" xr:uid="{01752ADF-DC29-4EC6-8C1E-AF7B58CC581F}"/>
    <cellStyle name="Migliaia 58 8 2 2 2" xfId="40660" xr:uid="{9E9BD2DF-8F14-4F65-BE43-1314A5B2F7C6}"/>
    <cellStyle name="Migliaia 58 8 2 2 3" xfId="45962" xr:uid="{5A58C7F6-A2B9-4823-8388-2D4D6F5D60DE}"/>
    <cellStyle name="Migliaia 58 8 2 3" xfId="38009" xr:uid="{31A698AD-D7F2-4FCC-9D8C-5403B8827284}"/>
    <cellStyle name="Migliaia 58 8 2 4" xfId="43311" xr:uid="{07FB7883-CB3C-4195-8D9E-12F9D82CCE94}"/>
    <cellStyle name="Migliaia 58 8 2 5" xfId="14043" xr:uid="{2BBA999D-487E-4136-88D3-94765BD7B20C}"/>
    <cellStyle name="Migliaia 58 8 3" xfId="6863" xr:uid="{0DDA52FA-71AB-404B-BA41-AFB94EB58E5A}"/>
    <cellStyle name="Migliaia 58 8 3 2" xfId="34732" xr:uid="{0BA79D35-E210-4D92-B6D0-45B74FDB00E7}"/>
    <cellStyle name="Migliaia 58 8 3 3" xfId="21070" xr:uid="{177690D4-0C82-4C58-96E9-AB6FAFECE6D1}"/>
    <cellStyle name="Migliaia 58 8 4" xfId="25531" xr:uid="{CB117E2F-2826-42FD-A267-ECBCA3163317}"/>
    <cellStyle name="Migliaia 58 8 5" xfId="16858" xr:uid="{F7D8F5EB-836E-4AFC-869A-4A1C6616E3AA}"/>
    <cellStyle name="Migliaia 58 8 6" xfId="8034" xr:uid="{B8F5625E-8AC2-4246-9BE3-4EAEFD8481D0}"/>
    <cellStyle name="Migliaia 58 9" xfId="5678" xr:uid="{E9E51658-06D7-4D8D-AA58-9049D704E8AF}"/>
    <cellStyle name="Migliaia 58 9 2" xfId="34733" xr:uid="{313861EA-46A3-4B3F-9372-536C36D0F823}"/>
    <cellStyle name="Migliaia 58 9 3" xfId="25532" xr:uid="{69580BE9-075F-48EC-B73B-E5ED0DBF96BE}"/>
    <cellStyle name="Migliaia 58 9 4" xfId="17241" xr:uid="{CC586548-BCF2-4251-BD07-7E6363AFC44F}"/>
    <cellStyle name="Migliaia 59" xfId="517" xr:uid="{00000000-0005-0000-0000-0000A5040000}"/>
    <cellStyle name="Migliaia 59 10" xfId="6864" xr:uid="{05C71309-C703-44CD-99F3-B85D15E903B8}"/>
    <cellStyle name="Migliaia 59 10 2" xfId="34734" xr:uid="{E72AE967-8054-4D2D-A83C-B4928AD602E1}"/>
    <cellStyle name="Migliaia 59 10 3" xfId="21071" xr:uid="{854F0299-080B-40C4-8EF8-9FAC6061E7BE}"/>
    <cellStyle name="Migliaia 59 11" xfId="3968" xr:uid="{7E1BCFA6-1942-451F-AE8D-51DC3B421CFA}"/>
    <cellStyle name="Migliaia 59 11 2" xfId="25533" xr:uid="{1D20CFDF-3C98-49B1-B57C-89555BB24BCE}"/>
    <cellStyle name="Migliaia 59 12" xfId="7204" xr:uid="{23B0933E-88EF-45D4-82E2-5B32B683595D}"/>
    <cellStyle name="Migliaia 59 2" xfId="518" xr:uid="{00000000-0005-0000-0000-0000A6040000}"/>
    <cellStyle name="Migliaia 59 2 2" xfId="1926" xr:uid="{00000000-0005-0000-0000-0000A7040000}"/>
    <cellStyle name="Migliaia 59 2 2 2" xfId="5696" xr:uid="{62940791-FC1B-4C34-972E-FCCC77E17FC6}"/>
    <cellStyle name="Migliaia 59 2 2 2 2" xfId="14417" xr:uid="{4F29C003-86D3-4DB6-BB54-502EB96BE4FC}"/>
    <cellStyle name="Migliaia 59 2 2 2 2 2" xfId="34737" xr:uid="{4CADAB9C-FC13-4431-8B47-6F2E9DB70421}"/>
    <cellStyle name="Migliaia 59 2 2 2 3" xfId="18524" xr:uid="{DB5329B3-88D1-43D9-B0F0-FABA91CB8168}"/>
    <cellStyle name="Migliaia 59 2 2 2 4" xfId="21074" xr:uid="{BB2FC4A4-4AE4-45DF-9EAB-8A95E10A73F0}"/>
    <cellStyle name="Migliaia 59 2 2 2 5" xfId="25536" xr:uid="{573E283C-C4A9-4119-A791-18850583B55E}"/>
    <cellStyle name="Migliaia 59 2 2 2 6" xfId="16859" xr:uid="{B556C8E8-00CC-4D34-9312-9E982871CBAF}"/>
    <cellStyle name="Migliaia 59 2 2 2 7" xfId="8805" xr:uid="{00B89B9A-B55E-4EEC-B4A1-1CECF00BC88A}"/>
    <cellStyle name="Migliaia 59 2 2 3" xfId="6866" xr:uid="{30515DBB-08B4-4142-A5B8-6990347A2470}"/>
    <cellStyle name="Migliaia 59 2 2 3 2" xfId="35501" xr:uid="{D8727B85-6517-44D7-AB21-3BD35752C9BF}"/>
    <cellStyle name="Migliaia 59 2 2 3 2 2" xfId="40661" xr:uid="{AEB0FECB-EBEB-4EF4-8503-8608FB085FD3}"/>
    <cellStyle name="Migliaia 59 2 2 3 2 3" xfId="45963" xr:uid="{74F7DE8E-7D0A-4E1F-83F0-3325CB149200}"/>
    <cellStyle name="Migliaia 59 2 2 3 3" xfId="38010" xr:uid="{95884C1E-C296-44CE-94E9-9609109004E3}"/>
    <cellStyle name="Migliaia 59 2 2 3 4" xfId="43312" xr:uid="{E1109154-986E-426C-9AC2-3B5B3EA722CB}"/>
    <cellStyle name="Migliaia 59 2 2 3 5" xfId="11644" xr:uid="{43980503-5BA4-423E-9CB9-66BFF76A01E6}"/>
    <cellStyle name="Migliaia 59 2 2 4" xfId="3970" xr:uid="{FCF536A5-5C22-4EEC-9302-B366A1E40A4D}"/>
    <cellStyle name="Migliaia 59 2 2 4 2" xfId="21638" xr:uid="{DE9E35AC-2B97-43CC-96E5-D43B75B83C18}"/>
    <cellStyle name="Migliaia 59 2 2 4 3" xfId="34736" xr:uid="{42E2FA61-A0F7-4EE0-8951-17422F228F21}"/>
    <cellStyle name="Migliaia 59 2 2 4 4" xfId="47123" xr:uid="{847BBC0B-3E22-43FF-B483-4640788D31BD}"/>
    <cellStyle name="Migliaia 59 2 2 4 5" xfId="50653" xr:uid="{40172939-9C6A-41D4-AD0A-5F8433709B16}"/>
    <cellStyle name="Migliaia 59 2 2 4 6" xfId="53669" xr:uid="{EE6C728B-9EDC-4BFE-94FB-7E13B8427645}"/>
    <cellStyle name="Migliaia 59 2 2 4 7" xfId="11003" xr:uid="{D5937122-D151-4D7E-BC72-B8A4532DC36F}"/>
    <cellStyle name="Migliaia 59 2 2 5" xfId="21073" xr:uid="{CE824B94-557F-44DC-AD52-CBE96B715888}"/>
    <cellStyle name="Migliaia 59 2 2 6" xfId="25535" xr:uid="{CF79C21C-285C-4EDF-99BA-CD461E279A88}"/>
    <cellStyle name="Migliaia 59 2 2 7" xfId="7615" xr:uid="{0312DD6C-87DD-4A28-A80E-467ABB6E8DC3}"/>
    <cellStyle name="Migliaia 59 2 3" xfId="3971" xr:uid="{19961814-DD21-495A-87D6-B1D0C0771451}"/>
    <cellStyle name="Migliaia 59 2 3 2" xfId="5697" xr:uid="{624BDB64-A7ED-4B6D-9F03-08FA24EC6177}"/>
    <cellStyle name="Migliaia 59 2 3 2 2" xfId="35502" xr:uid="{AEFC9286-E3D1-43C6-B90E-8091275239A3}"/>
    <cellStyle name="Migliaia 59 2 3 2 2 2" xfId="40662" xr:uid="{787649A9-5CB9-45F4-8100-FBD30F6EE756}"/>
    <cellStyle name="Migliaia 59 2 3 2 2 3" xfId="45964" xr:uid="{94F98A04-B7A6-4577-BE17-37592FDBA85D}"/>
    <cellStyle name="Migliaia 59 2 3 2 3" xfId="38011" xr:uid="{D762248D-0EB9-42CC-8435-A16AD85F45F3}"/>
    <cellStyle name="Migliaia 59 2 3 2 4" xfId="43313" xr:uid="{A8F20058-A67F-477F-BDED-5ADBE1DBC8CC}"/>
    <cellStyle name="Migliaia 59 2 3 2 5" xfId="14342" xr:uid="{6AAA2B0A-ACA5-4FBC-B1A6-10706DEA9929}"/>
    <cellStyle name="Migliaia 59 2 3 3" xfId="6867" xr:uid="{112A2AAD-6FEE-4B78-8593-23883F73081E}"/>
    <cellStyle name="Migliaia 59 2 3 3 2" xfId="34738" xr:uid="{A23BD02E-9F89-43E0-B0DB-D07BD78D029B}"/>
    <cellStyle name="Migliaia 59 2 3 3 3" xfId="21075" xr:uid="{AF563BC5-34E4-40D9-9706-AFCAA12DCBD9}"/>
    <cellStyle name="Migliaia 59 2 3 4" xfId="25537" xr:uid="{97D363E2-29E3-49A5-B5AB-4D6AF51EEC6E}"/>
    <cellStyle name="Migliaia 59 2 3 5" xfId="16860" xr:uid="{E5B7E5C2-1201-4652-91B6-A85596951F0B}"/>
    <cellStyle name="Migliaia 59 2 3 6" xfId="8404" xr:uid="{A4B2A9ED-795A-4FBD-8418-03B53534D557}"/>
    <cellStyle name="Migliaia 59 2 4" xfId="5695" xr:uid="{463D1497-2C96-4022-933E-533D26C6D4B0}"/>
    <cellStyle name="Migliaia 59 2 4 2" xfId="14047" xr:uid="{FDB2D748-3E72-4352-A905-E26207697D5D}"/>
    <cellStyle name="Migliaia 59 2 4 2 2" xfId="34739" xr:uid="{AF2AB22B-E6FD-4619-908C-49DD8676871C}"/>
    <cellStyle name="Migliaia 59 2 4 3" xfId="18686" xr:uid="{D9BFEF0E-5AB7-4B64-B724-343F83FC2587}"/>
    <cellStyle name="Migliaia 59 2 4 4" xfId="21076" xr:uid="{E36145D9-081B-412E-90D2-CDC53AAC0B11}"/>
    <cellStyle name="Migliaia 59 2 4 5" xfId="25538" xr:uid="{3AF4C960-44C8-4413-8723-BB8039C14BEB}"/>
    <cellStyle name="Migliaia 59 2 4 6" xfId="16861" xr:uid="{A8362972-3915-4445-B265-1633F40BDD7F}"/>
    <cellStyle name="Migliaia 59 2 4 7" xfId="8039" xr:uid="{19A39C03-57CD-498B-97AC-594B7C1250BA}"/>
    <cellStyle name="Migliaia 59 2 5" xfId="6865" xr:uid="{D8E9447B-45FB-4574-8CE4-0C2B98182208}"/>
    <cellStyle name="Migliaia 59 2 5 2" xfId="34740" xr:uid="{46A939B7-D32B-4FCF-9A30-3EA33420B264}"/>
    <cellStyle name="Migliaia 59 2 5 3" xfId="25539" xr:uid="{3594AB5A-6FC5-4FE6-842D-C2B11F0DE982}"/>
    <cellStyle name="Migliaia 59 2 5 4" xfId="13157" xr:uid="{5E7E2648-DEEA-4229-AB41-9AA376D0262F}"/>
    <cellStyle name="Migliaia 59 2 6" xfId="3969" xr:uid="{17DCF0A0-2785-4164-A982-BEE0FA0580B5}"/>
    <cellStyle name="Migliaia 59 2 6 2" xfId="34741" xr:uid="{20C0DC3C-274F-40CE-A78B-AE081CBC5427}"/>
    <cellStyle name="Migliaia 59 2 6 3" xfId="25540" xr:uid="{15997920-C447-4911-8A9A-3A0D236C3EBF}"/>
    <cellStyle name="Migliaia 59 2 6 4" xfId="21072" xr:uid="{AE3980F5-0A85-4B89-A80B-FAB0DC81385A}"/>
    <cellStyle name="Migliaia 59 2 7" xfId="34735" xr:uid="{57C8B458-10F6-4531-A905-B3DF6E7DA470}"/>
    <cellStyle name="Migliaia 59 2 8" xfId="25534" xr:uid="{8B407349-EF5B-4379-9DFC-143C71622411}"/>
    <cellStyle name="Migliaia 59 2 9" xfId="7205" xr:uid="{3F02E6E4-33BA-4F61-B8D7-FBCB46F7A995}"/>
    <cellStyle name="Migliaia 59 3" xfId="519" xr:uid="{00000000-0005-0000-0000-0000A8040000}"/>
    <cellStyle name="Migliaia 59 3 10" xfId="25541" xr:uid="{0E1CA05E-81EC-439B-A3CF-4089C161830D}"/>
    <cellStyle name="Migliaia 59 3 11" xfId="16862" xr:uid="{6BA6A39D-491C-4724-A4FC-9C1CB4F4F4A8}"/>
    <cellStyle name="Migliaia 59 3 12" xfId="7206" xr:uid="{69978404-4CD5-4713-BAC2-3F9D9BF1575D}"/>
    <cellStyle name="Migliaia 59 3 2" xfId="520" xr:uid="{00000000-0005-0000-0000-0000A9040000}"/>
    <cellStyle name="Migliaia 59 3 2 2" xfId="1927" xr:uid="{00000000-0005-0000-0000-0000AA040000}"/>
    <cellStyle name="Migliaia 59 3 2 2 2" xfId="5700" xr:uid="{92E8663A-D553-4F37-950F-BBBE85F92F31}"/>
    <cellStyle name="Migliaia 59 3 2 2 2 2" xfId="18525" xr:uid="{D62F3241-25BC-42EA-93C7-C230A6133317}"/>
    <cellStyle name="Migliaia 59 3 2 2 2 2 2" xfId="21895" xr:uid="{8D9F9E75-F36A-481A-AB4B-DE7750D39700}"/>
    <cellStyle name="Migliaia 59 3 2 2 2 2 3" xfId="34745" xr:uid="{FE158BC7-7D49-4AC7-B1DF-3F766E9EB65A}"/>
    <cellStyle name="Migliaia 59 3 2 2 2 3" xfId="25544" xr:uid="{42CA5567-098A-4E26-B31F-9DB48A98D51D}"/>
    <cellStyle name="Migliaia 59 3 2 2 2 4" xfId="47162" xr:uid="{C7819046-4E74-42EA-9A9D-A36B2F3B338D}"/>
    <cellStyle name="Migliaia 59 3 2 2 2 5" xfId="50923" xr:uid="{C0D603A3-31F8-4E75-BCDF-D33DC04C49CD}"/>
    <cellStyle name="Migliaia 59 3 2 2 2 6" xfId="53939" xr:uid="{0FAE021E-BA39-4F5F-8427-1FD7BEBA323D}"/>
    <cellStyle name="Migliaia 59 3 2 2 2 7" xfId="17694" xr:uid="{0333FF77-E13E-49FB-BDF2-75C72C608949}"/>
    <cellStyle name="Migliaia 59 3 2 2 2 8" xfId="12103" xr:uid="{57E9E4FF-3C2E-4BF1-8715-0B9AAB11AE1B}"/>
    <cellStyle name="Migliaia 59 3 2 2 3" xfId="6870" xr:uid="{342355E0-FB30-4330-A676-95949EA33997}"/>
    <cellStyle name="Migliaia 59 3 2 2 3 2" xfId="34744" xr:uid="{8D1A4CF8-78A9-4B02-AED5-A90309B3DE56}"/>
    <cellStyle name="Migliaia 59 3 2 2 3 3" xfId="11574" xr:uid="{7F4F170B-10CD-4F2A-8280-747C94E8C33C}"/>
    <cellStyle name="Migliaia 59 3 2 2 4" xfId="3974" xr:uid="{52AB5E2A-47D2-4DD4-AD12-9E8F1525D9FB}"/>
    <cellStyle name="Migliaia 59 3 2 2 4 2" xfId="21639" xr:uid="{9FCFB646-F108-44C4-B797-9A2970999C86}"/>
    <cellStyle name="Migliaia 59 3 2 2 4 3" xfId="25183" xr:uid="{1B50F894-F4AF-47D6-B68B-055A420AA723}"/>
    <cellStyle name="Migliaia 59 3 2 2 4 4" xfId="50654" xr:uid="{388EBFA1-F954-459B-9BA2-81399A20F554}"/>
    <cellStyle name="Migliaia 59 3 2 2 4 5" xfId="53670" xr:uid="{D6152F96-8030-45D4-9029-5BC1BE8E254C}"/>
    <cellStyle name="Migliaia 59 3 2 2 4 6" xfId="11004" xr:uid="{9E76A932-DF49-4996-A996-6A5ACC263FFC}"/>
    <cellStyle name="Migliaia 59 3 2 2 5" xfId="21079" xr:uid="{318FF9A2-B81D-421C-8D63-AF9E35DA64F1}"/>
    <cellStyle name="Migliaia 59 3 2 2 6" xfId="25543" xr:uid="{2BC0DB3D-7A1D-43B7-BE82-2CCE33C9E8B7}"/>
    <cellStyle name="Migliaia 59 3 2 2 7" xfId="8807" xr:uid="{82245509-A9F9-4A15-95FD-0A552D16C530}"/>
    <cellStyle name="Migliaia 59 3 2 3" xfId="5699" xr:uid="{68793C65-A3A2-4B10-A914-3B1470F8C98E}"/>
    <cellStyle name="Migliaia 59 3 2 3 2" xfId="12220" xr:uid="{78C74E16-5B1B-4D25-A2A1-8E3F4234562B}"/>
    <cellStyle name="Migliaia 59 3 2 3 2 2" xfId="34746" xr:uid="{6FD36953-9707-44E6-A324-544A59090626}"/>
    <cellStyle name="Migliaia 59 3 2 3 3" xfId="12104" xr:uid="{7741254A-E62E-4C0A-B3C3-BAC5164B77F4}"/>
    <cellStyle name="Migliaia 59 3 2 3 4" xfId="21080" xr:uid="{328F6FFA-69CF-4780-AC33-CCACF2CEA91C}"/>
    <cellStyle name="Migliaia 59 3 2 3 5" xfId="25545" xr:uid="{34AEAAD5-5229-4490-8C49-E35B96623DB9}"/>
    <cellStyle name="Migliaia 59 3 2 3 6" xfId="16863" xr:uid="{EA3A8688-24A8-4576-AB08-B5AF9872C42C}"/>
    <cellStyle name="Migliaia 59 3 2 3 7" xfId="8041" xr:uid="{8295F2E0-12DA-464E-B312-1ABDCC8926AC}"/>
    <cellStyle name="Migliaia 59 3 2 4" xfId="6869" xr:uid="{24B6FDB7-B8D4-4B20-90CE-505931E428EE}"/>
    <cellStyle name="Migliaia 59 3 2 4 2" xfId="18111" xr:uid="{54D19323-7309-4AA1-8086-67D01506108B}"/>
    <cellStyle name="Migliaia 59 3 2 4 2 2" xfId="34747" xr:uid="{F2B3124A-0625-4212-80B8-AB9E2C16871F}"/>
    <cellStyle name="Migliaia 59 3 2 4 3" xfId="25546" xr:uid="{00960D1F-97AA-42B7-A548-0163AC7E471B}"/>
    <cellStyle name="Migliaia 59 3 2 4 4" xfId="17244" xr:uid="{6A8BCA49-A9B0-458B-8F77-79CB17F96210}"/>
    <cellStyle name="Migliaia 59 3 2 4 5" xfId="11456" xr:uid="{8AC04724-2A8A-449F-BF31-4AD55E7F18B0}"/>
    <cellStyle name="Migliaia 59 3 2 5" xfId="3973" xr:uid="{398FDF36-589A-418D-BB43-25ACC5B8F9CD}"/>
    <cellStyle name="Migliaia 59 3 2 5 2" xfId="34748" xr:uid="{3314DE75-CB37-4432-B615-B6B13F56E15E}"/>
    <cellStyle name="Migliaia 59 3 2 5 3" xfId="25547" xr:uid="{B284BED0-119E-4202-9D42-3B6B18E1109D}"/>
    <cellStyle name="Migliaia 59 3 2 5 4" xfId="17264" xr:uid="{AB17305E-777B-4A0D-BF9E-7669C87EF659}"/>
    <cellStyle name="Migliaia 59 3 2 6" xfId="21078" xr:uid="{2EA72201-5273-4CDE-973A-81773034E5BE}"/>
    <cellStyle name="Migliaia 59 3 2 6 2" xfId="34749" xr:uid="{BCC1C8A3-8DCF-40D7-820B-246E616CFC6A}"/>
    <cellStyle name="Migliaia 59 3 2 6 3" xfId="25548" xr:uid="{5ED6BBEC-9FD8-4830-BDFC-DDC110561683}"/>
    <cellStyle name="Migliaia 59 3 2 7" xfId="34743" xr:uid="{04E9A7C4-8AC5-40F5-8501-72443D026F47}"/>
    <cellStyle name="Migliaia 59 3 2 8" xfId="25542" xr:uid="{2B23779D-4A4D-4DE5-99B1-02F4075A4ACE}"/>
    <cellStyle name="Migliaia 59 3 2 9" xfId="7617" xr:uid="{52F6DE15-FA4A-4588-97D6-25FE2C582BFC}"/>
    <cellStyle name="Migliaia 59 3 3" xfId="3975" xr:uid="{4625AA40-09DF-45F3-8795-F7ED6769B6AA}"/>
    <cellStyle name="Migliaia 59 3 3 2" xfId="5701" xr:uid="{768748BF-3882-47E3-B1F2-5F2DEBA9144A}"/>
    <cellStyle name="Migliaia 59 3 3 2 2" xfId="9990" xr:uid="{B0FF5AED-A91B-42BC-A37B-A26749B9FBF4}"/>
    <cellStyle name="Migliaia 59 3 3 2 2 2" xfId="34751" xr:uid="{C2865A6D-B32A-4A71-B934-5685B4921A1F}"/>
    <cellStyle name="Migliaia 59 3 3 2 3" xfId="18270" xr:uid="{4932E979-72B0-40AA-8A5C-8A1EF0D049E3}"/>
    <cellStyle name="Migliaia 59 3 3 2 4" xfId="21082" xr:uid="{80036B3F-26D9-4B9A-B429-883CABC56923}"/>
    <cellStyle name="Migliaia 59 3 3 2 5" xfId="25550" xr:uid="{F597F60F-7A04-4E99-B239-60DAD8103555}"/>
    <cellStyle name="Migliaia 59 3 3 2 6" xfId="16865" xr:uid="{02BBC7DE-E820-47F3-B23A-8E639BCFAEAC}"/>
    <cellStyle name="Migliaia 59 3 3 2 7" xfId="8806" xr:uid="{7670A52A-827C-4ADE-8260-95BAF2B9EFF8}"/>
    <cellStyle name="Migliaia 59 3 3 3" xfId="6871" xr:uid="{1CF6A832-5738-4727-8ACC-CC68843EFE45}"/>
    <cellStyle name="Migliaia 59 3 3 3 2" xfId="34752" xr:uid="{D986138A-1284-42EF-91BC-7DD3A83A177C}"/>
    <cellStyle name="Migliaia 59 3 3 3 3" xfId="25551" xr:uid="{C8FA7689-B7EC-4199-B326-175E46844BF4}"/>
    <cellStyle name="Migliaia 59 3 3 3 4" xfId="9753" xr:uid="{022C5767-4AF3-4B61-946B-88CA8FF59C48}"/>
    <cellStyle name="Migliaia 59 3 3 4" xfId="21081" xr:uid="{0EB0C9F8-63E7-4205-807F-9AB9F81EAEC4}"/>
    <cellStyle name="Migliaia 59 3 3 4 2" xfId="34753" xr:uid="{40A2D06D-A35A-48FC-A1AA-1BF6E1E33B19}"/>
    <cellStyle name="Migliaia 59 3 3 4 3" xfId="25552" xr:uid="{2B0FD7A2-98B2-491E-9276-25820F6D9FF1}"/>
    <cellStyle name="Migliaia 59 3 3 4 4" xfId="48896" xr:uid="{71046324-C357-47C9-B0EC-993128412505}"/>
    <cellStyle name="Migliaia 59 3 3 5" xfId="25553" xr:uid="{48046FE8-A018-4567-8317-8777B698C514}"/>
    <cellStyle name="Migliaia 59 3 3 5 2" xfId="34754" xr:uid="{A9A974C9-B436-40EA-8F25-24B7BC2D3358}"/>
    <cellStyle name="Migliaia 59 3 3 5 3" xfId="48897" xr:uid="{58886714-A684-41E3-9321-28A7F47117A5}"/>
    <cellStyle name="Migliaia 59 3 3 6" xfId="34750" xr:uid="{1089E21F-54C9-4E58-A25B-4EA0CB9612BD}"/>
    <cellStyle name="Migliaia 59 3 3 7" xfId="25549" xr:uid="{7A2C60D1-BDCD-4CF5-A7C5-7953BB90A90B}"/>
    <cellStyle name="Migliaia 59 3 3 8" xfId="16864" xr:uid="{BC2B284F-B86A-4D61-BD0B-A85A55262FBE}"/>
    <cellStyle name="Migliaia 59 3 3 9" xfId="7616" xr:uid="{737E2C7E-A1DA-4591-A221-7E276F35FE97}"/>
    <cellStyle name="Migliaia 59 3 4" xfId="3976" xr:uid="{08D5E87A-8A05-42CB-82C5-F65B0689DE5A}"/>
    <cellStyle name="Migliaia 59 3 4 2" xfId="5702" xr:uid="{0BD71147-08C3-444D-8CE9-E77B8B1D9009}"/>
    <cellStyle name="Migliaia 59 3 4 2 2" xfId="14477" xr:uid="{2876B83A-A264-4D27-A56E-ADC1E16AB72A}"/>
    <cellStyle name="Migliaia 59 3 4 2 3" xfId="18146" xr:uid="{6962F4FE-0002-4AE1-90C6-67F69E955C8A}"/>
    <cellStyle name="Migliaia 59 3 4 2 4" xfId="21084" xr:uid="{5D9D4D62-895C-46F6-8C7E-931F578C375B}"/>
    <cellStyle name="Migliaia 59 3 4 2 5" xfId="32483" xr:uid="{8DE75A46-CC69-465A-BA90-7B77F1605D99}"/>
    <cellStyle name="Migliaia 59 3 4 2 6" xfId="16867" xr:uid="{582776ED-2E57-4A2C-A8BC-8F632DF4D02C}"/>
    <cellStyle name="Migliaia 59 3 4 2 7" xfId="8900" xr:uid="{C078EE79-C6BF-464C-97E9-0F5CBF5F40C8}"/>
    <cellStyle name="Migliaia 59 3 4 3" xfId="6872" xr:uid="{E2162269-1CA9-4CF4-AB4C-D8135E6C3009}"/>
    <cellStyle name="Migliaia 59 3 4 3 2" xfId="35503" xr:uid="{8B667C70-61C6-489F-AA98-EF47A12DDFCC}"/>
    <cellStyle name="Migliaia 59 3 4 3 2 2" xfId="40663" xr:uid="{9D1C7B45-4A89-4F46-AFD7-1EF5387E9A17}"/>
    <cellStyle name="Migliaia 59 3 4 3 2 3" xfId="45965" xr:uid="{3619791A-C778-4F0E-9BC1-4D05A94C16EE}"/>
    <cellStyle name="Migliaia 59 3 4 3 3" xfId="38012" xr:uid="{08C960ED-D425-4314-B943-8044E6C41C37}"/>
    <cellStyle name="Migliaia 59 3 4 3 4" xfId="43314" xr:uid="{05A70753-67DA-4E7A-8EE9-3C66502D5866}"/>
    <cellStyle name="Migliaia 59 3 4 3 5" xfId="13725" xr:uid="{727602D4-67F5-42C0-B633-E7344747AAB8}"/>
    <cellStyle name="Migliaia 59 3 4 4" xfId="21083" xr:uid="{D28ACF4D-C75E-474A-9E3D-219A1925AC5A}"/>
    <cellStyle name="Migliaia 59 3 4 4 2" xfId="34755" xr:uid="{A61580FB-66B8-48ED-A2CF-F6FDDC91EAD7}"/>
    <cellStyle name="Migliaia 59 3 4 5" xfId="25554" xr:uid="{F4D480D4-BC85-4B1E-9437-CDB816A2587F}"/>
    <cellStyle name="Migliaia 59 3 4 6" xfId="16866" xr:uid="{200A1E9C-2CFD-4810-9F60-C3B82D074D48}"/>
    <cellStyle name="Migliaia 59 3 4 7" xfId="7710" xr:uid="{A2737947-F711-46BC-A163-6E539ED45081}"/>
    <cellStyle name="Migliaia 59 3 5" xfId="3977" xr:uid="{180CE4AE-5577-4EEC-8C20-EB63DD9A6F90}"/>
    <cellStyle name="Migliaia 59 3 5 2" xfId="5703" xr:uid="{C3DB03DF-A2FF-44BB-96B7-8B5AC90F08F0}"/>
    <cellStyle name="Migliaia 59 3 5 2 2" xfId="35504" xr:uid="{B22B2CCA-B519-403E-B1D6-F8BCC402825F}"/>
    <cellStyle name="Migliaia 59 3 5 2 2 2" xfId="40664" xr:uid="{7C0CC19F-31A4-41FA-9B13-F40A53B76D8F}"/>
    <cellStyle name="Migliaia 59 3 5 2 2 3" xfId="45966" xr:uid="{AB6281AE-590B-4DE7-ACEC-2D26A82A7417}"/>
    <cellStyle name="Migliaia 59 3 5 2 3" xfId="38013" xr:uid="{828551EF-2498-4A3C-BF1B-4E81471F7EB0}"/>
    <cellStyle name="Migliaia 59 3 5 2 4" xfId="43315" xr:uid="{36580944-23F2-42FD-99BE-FEF9C28EFB81}"/>
    <cellStyle name="Migliaia 59 3 5 2 5" xfId="14343" xr:uid="{877FB93F-351F-4EB1-8465-C90AEA7FF725}"/>
    <cellStyle name="Migliaia 59 3 5 3" xfId="6873" xr:uid="{BD3A0EFF-2F98-497C-95D2-CFD402E7BA71}"/>
    <cellStyle name="Migliaia 59 3 5 3 2" xfId="34756" xr:uid="{2231C3F2-BBAF-48FB-92E7-0EC15E1997F6}"/>
    <cellStyle name="Migliaia 59 3 5 3 3" xfId="21085" xr:uid="{22A19213-0652-4B4D-9AF3-0438D01D3CF7}"/>
    <cellStyle name="Migliaia 59 3 5 4" xfId="25555" xr:uid="{4AC34506-7FEF-4B3B-9CA2-801CE938ED84}"/>
    <cellStyle name="Migliaia 59 3 5 5" xfId="16868" xr:uid="{831F72C9-9420-404E-B7B8-E4E5469B7CFD}"/>
    <cellStyle name="Migliaia 59 3 5 6" xfId="8405" xr:uid="{82BF376D-566E-4740-9B9D-82067CBB6DFC}"/>
    <cellStyle name="Migliaia 59 3 6" xfId="5698" xr:uid="{E22542AF-051A-4C04-93E6-EB2E70A465F8}"/>
    <cellStyle name="Migliaia 59 3 6 2" xfId="14048" xr:uid="{4D3440CD-780B-4DAC-9A61-D89A284792A0}"/>
    <cellStyle name="Migliaia 59 3 6 2 2" xfId="34757" xr:uid="{21EA1F2F-69A3-466F-B12C-89D162E5EECB}"/>
    <cellStyle name="Migliaia 59 3 6 3" xfId="18600" xr:uid="{ADBB3064-248D-4531-9DBC-E87C908F9797}"/>
    <cellStyle name="Migliaia 59 3 6 4" xfId="21086" xr:uid="{9615EB28-03B4-47D0-A1CE-E9658ED9601D}"/>
    <cellStyle name="Migliaia 59 3 6 5" xfId="25556" xr:uid="{EA1C3646-9688-4F19-B31B-42544EF4A8A3}"/>
    <cellStyle name="Migliaia 59 3 6 6" xfId="16869" xr:uid="{5AD72796-030C-4B67-8277-6CE4707D8F8C}"/>
    <cellStyle name="Migliaia 59 3 6 7" xfId="8040" xr:uid="{5FD20C1E-5399-45EA-9A51-EE74FAC126D9}"/>
    <cellStyle name="Migliaia 59 3 7" xfId="6868" xr:uid="{7EC32BAE-D2B3-46E7-91CD-66AD26415B1F}"/>
    <cellStyle name="Migliaia 59 3 7 2" xfId="34758" xr:uid="{447A1EE5-0943-419A-9163-881A9074E006}"/>
    <cellStyle name="Migliaia 59 3 7 3" xfId="25557" xr:uid="{971DC905-E9E6-4B06-A343-2C61A0FB5BAC}"/>
    <cellStyle name="Migliaia 59 3 7 4" xfId="12286" xr:uid="{753D349B-8879-4FD4-BA3A-78F87FED4E1A}"/>
    <cellStyle name="Migliaia 59 3 8" xfId="3972" xr:uid="{1177A450-7BEA-4C8F-8600-CA25E211D92C}"/>
    <cellStyle name="Migliaia 59 3 8 2" xfId="34759" xr:uid="{491F4102-2568-4ECD-97F4-15AA6470F2EE}"/>
    <cellStyle name="Migliaia 59 3 8 3" xfId="25558" xr:uid="{630A602C-101C-4498-B43E-6D5DDB2B9C27}"/>
    <cellStyle name="Migliaia 59 3 8 4" xfId="17265" xr:uid="{8DB9EF5C-3980-4CC1-A448-F3BB4D67084E}"/>
    <cellStyle name="Migliaia 59 3 9" xfId="21077" xr:uid="{695EA473-EE78-4478-BA9D-697EA242F3D5}"/>
    <cellStyle name="Migliaia 59 3 9 2" xfId="34742" xr:uid="{1F4CB95E-AA9E-4F48-98BF-C3DFC6CF7D3B}"/>
    <cellStyle name="Migliaia 59 4" xfId="1928" xr:uid="{00000000-0005-0000-0000-0000AB040000}"/>
    <cellStyle name="Migliaia 59 4 10" xfId="7618" xr:uid="{1C6C56EC-5BEF-4951-B6DC-7635C4822CFF}"/>
    <cellStyle name="Migliaia 59 4 2" xfId="1929" xr:uid="{00000000-0005-0000-0000-0000AC040000}"/>
    <cellStyle name="Migliaia 59 4 2 2" xfId="5705" xr:uid="{662E79CB-951C-4229-B6FE-A5C313F4F09D}"/>
    <cellStyle name="Migliaia 59 4 2 2 2" xfId="34762" xr:uid="{A462BAE8-0479-4061-8A24-1DDD9238BB3B}"/>
    <cellStyle name="Migliaia 59 4 2 2 3" xfId="25561" xr:uid="{A1945897-A820-427F-B9DD-5665AC15FDD3}"/>
    <cellStyle name="Migliaia 59 4 2 2 4" xfId="9216" xr:uid="{06431222-7DC2-4F62-B9A7-E833F6D02E04}"/>
    <cellStyle name="Migliaia 59 4 2 3" xfId="3979" xr:uid="{D23AD6A4-D431-43B1-B282-4292F65938A4}"/>
    <cellStyle name="Migliaia 59 4 2 3 2" xfId="34763" xr:uid="{9265F4E1-83F3-4672-80FD-40FA9FDF8F03}"/>
    <cellStyle name="Migliaia 59 4 2 3 3" xfId="25562" xr:uid="{7901C5C7-3276-4D0E-801C-B0A73164D06C}"/>
    <cellStyle name="Migliaia 59 4 2 3 4" xfId="12105" xr:uid="{4541F0AF-E21F-4808-8D8A-CE1D34E908C0}"/>
    <cellStyle name="Migliaia 59 4 2 4" xfId="11458" xr:uid="{FAAEABB7-D94E-4486-89B2-35FD810D2371}"/>
    <cellStyle name="Migliaia 59 4 2 4 2" xfId="34761" xr:uid="{3885504B-522F-4E70-B105-0240583CA90D}"/>
    <cellStyle name="Migliaia 59 4 2 5" xfId="11006" xr:uid="{D642B96F-70FC-4C62-953F-8CE4443E274A}"/>
    <cellStyle name="Migliaia 59 4 2 5 2" xfId="21641" xr:uid="{7C14FBFC-F99D-4762-8DBD-D040DB86B82D}"/>
    <cellStyle name="Migliaia 59 4 2 5 3" xfId="46710" xr:uid="{663233E2-D443-46DE-9851-CD6B34AA5FA4}"/>
    <cellStyle name="Migliaia 59 4 2 5 4" xfId="50656" xr:uid="{C0A38478-18A7-4336-A46D-C127CE3C0B66}"/>
    <cellStyle name="Migliaia 59 4 2 5 5" xfId="53672" xr:uid="{F5BF1785-2C4E-4BC8-9969-5EB9A5BC2F8C}"/>
    <cellStyle name="Migliaia 59 4 2 6" xfId="21088" xr:uid="{3781432A-2AE5-4366-A630-258F092F5017}"/>
    <cellStyle name="Migliaia 59 4 2 7" xfId="25560" xr:uid="{2B7A79F0-766A-4301-8F46-1E259AB73685}"/>
    <cellStyle name="Migliaia 59 4 2 8" xfId="8808" xr:uid="{0FFD6928-B1B6-4EF5-ABEA-D01E08D9F553}"/>
    <cellStyle name="Migliaia 59 4 3" xfId="5704" xr:uid="{9C815720-B59F-4F77-B72F-23DF3E0A9947}"/>
    <cellStyle name="Migliaia 59 4 3 2" xfId="18271" xr:uid="{F09E39DE-1487-4D0E-ACC5-6E96E954A345}"/>
    <cellStyle name="Migliaia 59 4 3 2 2" xfId="34764" xr:uid="{A8462604-AAA3-42EE-94E9-511C6214FDE6}"/>
    <cellStyle name="Migliaia 59 4 3 3" xfId="25563" xr:uid="{EDF2D0A6-7657-40B3-B7E2-C383AF2DD751}"/>
    <cellStyle name="Migliaia 59 4 3 4" xfId="17263" xr:uid="{EAC5A98C-8D38-4674-86C8-5D3C8C1A9F47}"/>
    <cellStyle name="Migliaia 59 4 3 5" xfId="9217" xr:uid="{F24DA519-AF3E-460F-88DD-3B7D649FB675}"/>
    <cellStyle name="Migliaia 59 4 4" xfId="6874" xr:uid="{25D4A860-4165-47FC-8ECC-3F5621BE761F}"/>
    <cellStyle name="Migliaia 59 4 4 2" xfId="34765" xr:uid="{A3B07DC6-D306-4D71-A608-A26CB60F4727}"/>
    <cellStyle name="Migliaia 59 4 4 3" xfId="25564" xr:uid="{DA94A2FD-06B6-4219-9D0B-0E70616574A3}"/>
    <cellStyle name="Migliaia 59 4 4 4" xfId="12106" xr:uid="{4FF9A8FC-DB25-4F7E-B903-C5129A5358A6}"/>
    <cellStyle name="Migliaia 59 4 5" xfId="3978" xr:uid="{BAC42A76-1D67-419A-8DAD-646E3C8130CF}"/>
    <cellStyle name="Migliaia 59 4 5 2" xfId="34766" xr:uid="{E05C2E5D-65EC-44FA-98C5-8ABB644CD317}"/>
    <cellStyle name="Migliaia 59 4 5 3" xfId="25565" xr:uid="{163201E0-7D98-4A48-811E-76F56849630B}"/>
    <cellStyle name="Migliaia 59 4 5 4" xfId="11457" xr:uid="{C3F774CA-4BCA-4CC2-8DCA-C87A2061B737}"/>
    <cellStyle name="Migliaia 59 4 6" xfId="11005" xr:uid="{E9C7D4B3-20E2-43C9-B377-AF788FBB5B6C}"/>
    <cellStyle name="Migliaia 59 4 6 2" xfId="21640" xr:uid="{DCAD4FC8-928A-4123-B152-B967A0915563}"/>
    <cellStyle name="Migliaia 59 4 6 2 2" xfId="34767" xr:uid="{83DC7640-2AEA-42F0-913B-170D3A503591}"/>
    <cellStyle name="Migliaia 59 4 6 3" xfId="25566" xr:uid="{C33E4066-5323-4962-9E3E-F96EF728046D}"/>
    <cellStyle name="Migliaia 59 4 6 4" xfId="32340" xr:uid="{9604BF9F-32D9-4986-B643-C369581EB49E}"/>
    <cellStyle name="Migliaia 59 4 6 5" xfId="48898" xr:uid="{3EE25145-5192-464D-814C-EB265425525C}"/>
    <cellStyle name="Migliaia 59 4 6 6" xfId="50655" xr:uid="{C94A1416-57F1-4706-B7C8-E49008817925}"/>
    <cellStyle name="Migliaia 59 4 6 7" xfId="53671" xr:uid="{DED049D5-7147-4CF2-8321-330DBA75D48F}"/>
    <cellStyle name="Migliaia 59 4 7" xfId="21087" xr:uid="{D0546396-F449-46ED-B872-B0918A72F733}"/>
    <cellStyle name="Migliaia 59 4 7 2" xfId="34768" xr:uid="{614DC12C-0397-4950-A963-7AAC596A1A4E}"/>
    <cellStyle name="Migliaia 59 4 7 3" xfId="25567" xr:uid="{EEDA5D9B-896A-4A0B-B9B5-BA3CE8D26685}"/>
    <cellStyle name="Migliaia 59 4 8" xfId="34760" xr:uid="{A9530F58-551B-45B9-999A-FD00C24ED4EA}"/>
    <cellStyle name="Migliaia 59 4 9" xfId="25559" xr:uid="{8AD26496-ACA8-43EA-8ADC-E0703EAA3A5C}"/>
    <cellStyle name="Migliaia 59 5" xfId="1930" xr:uid="{00000000-0005-0000-0000-0000AD040000}"/>
    <cellStyle name="Migliaia 59 5 2" xfId="5706" xr:uid="{C90EB476-1402-426C-BD9A-9ABE73BAC860}"/>
    <cellStyle name="Migliaia 59 5 2 2" xfId="18526" xr:uid="{A72927F3-2E3C-44E4-A301-14855CE33F58}"/>
    <cellStyle name="Migliaia 59 5 2 2 2" xfId="34770" xr:uid="{5AE54508-E5DE-4399-979F-9AD39F881230}"/>
    <cellStyle name="Migliaia 59 5 2 3" xfId="21090" xr:uid="{BAF24A4C-F9D9-4F55-84BC-2B2642B27077}"/>
    <cellStyle name="Migliaia 59 5 2 4" xfId="25569" xr:uid="{2B4EF7F7-6F12-42DB-90AE-29F00EB33AB3}"/>
    <cellStyle name="Migliaia 59 5 2 5" xfId="16870" xr:uid="{64409585-947A-4C9B-83CE-D2386772578F}"/>
    <cellStyle name="Migliaia 59 5 2 6" xfId="8809" xr:uid="{A16D871B-45CB-46DA-B74E-3684C6EA2858}"/>
    <cellStyle name="Migliaia 59 5 3" xfId="6875" xr:uid="{C29CDFA8-F6E7-4CA7-A011-41D89C4B4975}"/>
    <cellStyle name="Migliaia 59 5 3 2" xfId="34771" xr:uid="{9F679E42-EF8C-4A37-99B5-C2BF32E015BB}"/>
    <cellStyle name="Migliaia 59 5 3 3" xfId="25570" xr:uid="{BA2FDE03-9358-4DA3-852A-83D3A997FFBE}"/>
    <cellStyle name="Migliaia 59 5 3 4" xfId="11459" xr:uid="{FB8AE5C9-73AF-48E2-89A8-504EBEB96937}"/>
    <cellStyle name="Migliaia 59 5 4" xfId="3980" xr:uid="{10BB5540-6CFA-4F54-859F-C0B2F9F6A061}"/>
    <cellStyle name="Migliaia 59 5 4 2" xfId="21642" xr:uid="{F546929C-8E74-4EC0-826C-F4AB00818415}"/>
    <cellStyle name="Migliaia 59 5 4 2 2" xfId="34772" xr:uid="{78C8AE70-ECF1-48FA-BCA6-498713BCEAF9}"/>
    <cellStyle name="Migliaia 59 5 4 3" xfId="25571" xr:uid="{3BACDCB3-D091-409A-A42C-E9E51292B095}"/>
    <cellStyle name="Migliaia 59 5 4 4" xfId="47034" xr:uid="{95A3DF9B-2A03-4450-81E3-B036FDAD9DF4}"/>
    <cellStyle name="Migliaia 59 5 4 5" xfId="48899" xr:uid="{E0EC76B9-394C-4E96-A2F5-036E515D70A6}"/>
    <cellStyle name="Migliaia 59 5 4 6" xfId="50657" xr:uid="{62E34E18-6490-4733-ABAE-4C7229CEF7CF}"/>
    <cellStyle name="Migliaia 59 5 4 7" xfId="53673" xr:uid="{6E15A9B8-8553-4355-BF1A-BFF989A76C68}"/>
    <cellStyle name="Migliaia 59 5 4 8" xfId="11007" xr:uid="{D463884F-0139-4DC5-942E-2358C02370DC}"/>
    <cellStyle name="Migliaia 59 5 5" xfId="21089" xr:uid="{AA6C6D43-9608-4825-877E-A0945132FE32}"/>
    <cellStyle name="Migliaia 59 5 5 2" xfId="34773" xr:uid="{CAB4AE65-7A11-4CBE-BD2D-4E102F9EF4AE}"/>
    <cellStyle name="Migliaia 59 5 5 3" xfId="25572" xr:uid="{484EA2E4-95B1-4B68-8F9D-2F010CFB1E30}"/>
    <cellStyle name="Migliaia 59 5 5 4" xfId="48900" xr:uid="{3C1B571C-AFCB-4BDD-ADC4-6BA459FC7393}"/>
    <cellStyle name="Migliaia 59 5 6" xfId="25573" xr:uid="{EA6822FD-A395-4686-A23B-7ED504BC131B}"/>
    <cellStyle name="Migliaia 59 5 6 2" xfId="34774" xr:uid="{18850269-A3D4-4F45-BE0C-3135BE41A58A}"/>
    <cellStyle name="Migliaia 59 5 7" xfId="34769" xr:uid="{7A7C52F3-72F2-4465-B23E-CAE2B4BBDC4E}"/>
    <cellStyle name="Migliaia 59 5 8" xfId="25568" xr:uid="{E2C7D484-C530-4DED-9EB9-A6FD8A6A8480}"/>
    <cellStyle name="Migliaia 59 5 9" xfId="7619" xr:uid="{B846E27A-B5DB-46A0-BB2B-A9E874840136}"/>
    <cellStyle name="Migliaia 59 6" xfId="3981" xr:uid="{B0ABC0F7-5AD6-4B68-9306-A51D0EA67613}"/>
    <cellStyle name="Migliaia 59 6 2" xfId="5707" xr:uid="{5C892C50-02F7-482B-A90B-11A765B6E67D}"/>
    <cellStyle name="Migliaia 59 6 2 2" xfId="9989" xr:uid="{A2FA39C9-64FB-40F8-B971-E8EE128C7124}"/>
    <cellStyle name="Migliaia 59 6 2 3" xfId="18119" xr:uid="{7F3AEEC6-B658-47A8-9A4D-C0968CD8E37E}"/>
    <cellStyle name="Migliaia 59 6 2 4" xfId="21092" xr:uid="{3D5B4A7F-C935-458F-A1B1-660BF6282CF9}"/>
    <cellStyle name="Migliaia 59 6 2 5" xfId="32484" xr:uid="{44544E96-0E0D-4764-893A-6596328D7FC9}"/>
    <cellStyle name="Migliaia 59 6 2 6" xfId="16872" xr:uid="{3E04857B-2587-4C39-9738-E33237FAD4D0}"/>
    <cellStyle name="Migliaia 59 6 2 7" xfId="8804" xr:uid="{41036C99-40C4-4ADE-A6C7-F67D09481496}"/>
    <cellStyle name="Migliaia 59 6 3" xfId="6876" xr:uid="{8AAF8921-C6BB-43C2-80CA-2BA034A89896}"/>
    <cellStyle name="Migliaia 59 6 3 2" xfId="35505" xr:uid="{989E32F7-9078-422B-9C70-FF37513A31CF}"/>
    <cellStyle name="Migliaia 59 6 3 2 2" xfId="40665" xr:uid="{B60AA45C-8946-44A8-8591-412D8CDF7173}"/>
    <cellStyle name="Migliaia 59 6 3 2 3" xfId="45967" xr:uid="{9CEFEDA5-979B-433A-BAC0-6F8E55737557}"/>
    <cellStyle name="Migliaia 59 6 3 3" xfId="38014" xr:uid="{F82F3211-7B07-4B5E-A77E-6D150A58681A}"/>
    <cellStyle name="Migliaia 59 6 3 4" xfId="43316" xr:uid="{23F2E980-9C84-4665-87F6-A8BB6A602D51}"/>
    <cellStyle name="Migliaia 59 6 3 5" xfId="9752" xr:uid="{2CD43957-19A3-4695-861A-2606AA9F47C5}"/>
    <cellStyle name="Migliaia 59 6 4" xfId="21091" xr:uid="{6A2DEC2B-95F4-4242-A983-E1A0B61CAFA2}"/>
    <cellStyle name="Migliaia 59 6 4 2" xfId="34775" xr:uid="{80C9FB4E-BBB1-41F4-A8EF-15FA6BEBFFFA}"/>
    <cellStyle name="Migliaia 59 6 5" xfId="25574" xr:uid="{F2260A9A-32DB-43C4-AEC6-479B18E9A177}"/>
    <cellStyle name="Migliaia 59 6 6" xfId="16871" xr:uid="{B878AFAC-22C5-4B7E-8BDF-4CEA36C87B3A}"/>
    <cellStyle name="Migliaia 59 6 7" xfId="7614" xr:uid="{7BA2A023-7820-4854-8BF1-2C3AAB4EB437}"/>
    <cellStyle name="Migliaia 59 7" xfId="3982" xr:uid="{531DD226-7E94-421D-8AEF-FA6F6AB22B57}"/>
    <cellStyle name="Migliaia 59 7 2" xfId="5708" xr:uid="{6BA661C8-9962-4EEA-ADE5-12DB2789D107}"/>
    <cellStyle name="Migliaia 59 7 2 2" xfId="35506" xr:uid="{5241BCD1-BF61-4F14-9475-C2DEE11E5479}"/>
    <cellStyle name="Migliaia 59 7 2 2 2" xfId="40666" xr:uid="{B9A2D60C-9ADE-45E8-A835-285281E42BEF}"/>
    <cellStyle name="Migliaia 59 7 2 2 3" xfId="45968" xr:uid="{84CD4C08-8A42-4AC1-B083-9A1BBA45CEDF}"/>
    <cellStyle name="Migliaia 59 7 2 3" xfId="38015" xr:uid="{621F636F-8504-46D3-A5DD-A6B329292807}"/>
    <cellStyle name="Migliaia 59 7 2 4" xfId="43317" xr:uid="{771DCC85-03D9-49C6-903A-FE2B36B9740E}"/>
    <cellStyle name="Migliaia 59 7 2 5" xfId="14341" xr:uid="{22D17FF5-7797-468C-A78C-3097CEB5C04F}"/>
    <cellStyle name="Migliaia 59 7 3" xfId="6877" xr:uid="{074FBB88-0FBD-4304-B6E7-224A599185BE}"/>
    <cellStyle name="Migliaia 59 7 3 2" xfId="34776" xr:uid="{2B5C8992-4456-4EAC-B76F-A86FF822161E}"/>
    <cellStyle name="Migliaia 59 7 3 3" xfId="21093" xr:uid="{420C05A0-062B-4545-A6FE-B8A70CEF20FA}"/>
    <cellStyle name="Migliaia 59 7 4" xfId="25575" xr:uid="{0233F7D7-8EBF-4510-90B6-E919B96C2834}"/>
    <cellStyle name="Migliaia 59 7 5" xfId="16873" xr:uid="{3FB300D2-DDBD-4469-84BC-1DEDBFE39C75}"/>
    <cellStyle name="Migliaia 59 7 6" xfId="8403" xr:uid="{1F1FED92-96F5-45FA-9870-53487C535A9A}"/>
    <cellStyle name="Migliaia 59 8" xfId="3983" xr:uid="{133E183A-45E2-47B2-AF7C-589F9AEB6EAA}"/>
    <cellStyle name="Migliaia 59 8 2" xfId="5709" xr:uid="{C02CDA08-3CC9-46C2-B452-4F470D43E808}"/>
    <cellStyle name="Migliaia 59 8 2 2" xfId="35507" xr:uid="{54D53FE0-DCA5-4B41-9725-EE5332F7FBFD}"/>
    <cellStyle name="Migliaia 59 8 2 2 2" xfId="40667" xr:uid="{F1E1B507-184A-4D2E-92EF-BD312033A058}"/>
    <cellStyle name="Migliaia 59 8 2 2 3" xfId="45969" xr:uid="{535AA6A0-2A1C-4E7B-A211-F17DC617F623}"/>
    <cellStyle name="Migliaia 59 8 2 3" xfId="38016" xr:uid="{91A344AF-5B41-4DC8-9445-3161FF236671}"/>
    <cellStyle name="Migliaia 59 8 2 4" xfId="43318" xr:uid="{2070050C-D341-42F7-A325-D6C2478038E1}"/>
    <cellStyle name="Migliaia 59 8 2 5" xfId="14046" xr:uid="{99FB4661-8490-42D3-A34A-EB8B7CE1858A}"/>
    <cellStyle name="Migliaia 59 8 3" xfId="6878" xr:uid="{05CA00B1-4C40-4CF3-B184-934067E5CA9F}"/>
    <cellStyle name="Migliaia 59 8 3 2" xfId="34777" xr:uid="{AE781CD0-2582-4859-B485-983415DC571C}"/>
    <cellStyle name="Migliaia 59 8 3 3" xfId="21094" xr:uid="{009A90A6-2CBA-4BD3-92EB-605E5EA0135B}"/>
    <cellStyle name="Migliaia 59 8 4" xfId="25576" xr:uid="{D91143E2-F32F-41A6-9603-F78E671EC8A8}"/>
    <cellStyle name="Migliaia 59 8 5" xfId="16874" xr:uid="{65821E08-CDC7-4277-9220-75DBA6A24630}"/>
    <cellStyle name="Migliaia 59 8 6" xfId="8038" xr:uid="{D179043F-D17E-4E8F-8F33-6EDBE2F1FD4C}"/>
    <cellStyle name="Migliaia 59 9" xfId="5694" xr:uid="{8C920DCD-05B7-413F-ACE9-AEA14321E67F}"/>
    <cellStyle name="Migliaia 59 9 2" xfId="34778" xr:uid="{747BF9C0-2770-42A6-A921-0419AF5FF6E5}"/>
    <cellStyle name="Migliaia 59 9 3" xfId="25577" xr:uid="{1871E2FA-204E-495C-BAE4-1EC39CE4F280}"/>
    <cellStyle name="Migliaia 59 9 4" xfId="17243" xr:uid="{2237F074-81BD-4FA2-972F-73093D9795AF}"/>
    <cellStyle name="Migliaia 6" xfId="521" xr:uid="{00000000-0005-0000-0000-0000AE040000}"/>
    <cellStyle name="Migliaia 6 10" xfId="6879" xr:uid="{6FF015D3-8F7A-40F4-B864-D55219DA374E}"/>
    <cellStyle name="Migliaia 6 10 2" xfId="34779" xr:uid="{17EF1B9C-4D93-4277-B486-390BD25F1DC5}"/>
    <cellStyle name="Migliaia 6 10 3" xfId="21095" xr:uid="{ED283AF8-9DA7-43D7-ADA0-5DAD0F3A379B}"/>
    <cellStyle name="Migliaia 6 11" xfId="3984" xr:uid="{6B02B19B-A35D-4A57-AB0D-19F091249173}"/>
    <cellStyle name="Migliaia 6 11 2" xfId="25578" xr:uid="{E11C2564-E56A-43CA-BC16-81D622ACD452}"/>
    <cellStyle name="Migliaia 6 12" xfId="7207" xr:uid="{63B3921B-4A67-4136-80B8-BA7A8FCAE545}"/>
    <cellStyle name="Migliaia 6 2" xfId="522" xr:uid="{00000000-0005-0000-0000-0000AF040000}"/>
    <cellStyle name="Migliaia 6 2 2" xfId="1931" xr:uid="{00000000-0005-0000-0000-0000B0040000}"/>
    <cellStyle name="Migliaia 6 2 2 2" xfId="5712" xr:uid="{F0CB9972-2878-4969-8C7A-9968094A41FE}"/>
    <cellStyle name="Migliaia 6 2 2 2 2" xfId="14418" xr:uid="{44D593EE-274C-4286-8325-24016605A6AC}"/>
    <cellStyle name="Migliaia 6 2 2 2 2 2" xfId="34782" xr:uid="{ACD4D862-A1D4-4452-9732-67BEAFCACF25}"/>
    <cellStyle name="Migliaia 6 2 2 2 3" xfId="18527" xr:uid="{5A4F39B5-FB01-4EF5-BB42-A5BE6951A188}"/>
    <cellStyle name="Migliaia 6 2 2 2 4" xfId="21098" xr:uid="{9E5A45D9-60DB-4987-9D04-5EACDAA6F1FA}"/>
    <cellStyle name="Migliaia 6 2 2 2 5" xfId="25581" xr:uid="{6DB8B8FD-7E9A-4ED9-BA51-D0BA97456C0B}"/>
    <cellStyle name="Migliaia 6 2 2 2 6" xfId="16875" xr:uid="{48885681-3EAF-4B11-9C7A-A6D1F025EB3A}"/>
    <cellStyle name="Migliaia 6 2 2 2 7" xfId="8811" xr:uid="{650AC8FF-A0C7-41CD-87F7-A88B942BA83D}"/>
    <cellStyle name="Migliaia 6 2 2 3" xfId="6881" xr:uid="{0DD95619-07B9-449F-9528-63A5D06B02D6}"/>
    <cellStyle name="Migliaia 6 2 2 3 2" xfId="35508" xr:uid="{76A71859-676C-44BE-96DE-A6EEB549C069}"/>
    <cellStyle name="Migliaia 6 2 2 3 2 2" xfId="40668" xr:uid="{AB784BC8-3D3E-4E0F-AE2A-13B9630A3AEF}"/>
    <cellStyle name="Migliaia 6 2 2 3 2 3" xfId="45970" xr:uid="{126C0D3E-D277-4730-9989-241E9D78DADB}"/>
    <cellStyle name="Migliaia 6 2 2 3 3" xfId="38017" xr:uid="{30949997-A3D2-428F-A7C5-B1CB07219CF4}"/>
    <cellStyle name="Migliaia 6 2 2 3 4" xfId="43319" xr:uid="{47B7950F-FAE2-4E7F-99EA-B1D8354D21A8}"/>
    <cellStyle name="Migliaia 6 2 2 3 5" xfId="11645" xr:uid="{DAF268F4-6F25-4DAB-B4B6-970129F5219F}"/>
    <cellStyle name="Migliaia 6 2 2 4" xfId="3986" xr:uid="{1B1F52FC-005D-4298-8702-F68D1E653F4B}"/>
    <cellStyle name="Migliaia 6 2 2 4 2" xfId="21643" xr:uid="{54930A2A-B404-44A5-AB58-D62E18E8E0EA}"/>
    <cellStyle name="Migliaia 6 2 2 4 3" xfId="34781" xr:uid="{41369F8C-9B85-4896-83EF-47A237992DF9}"/>
    <cellStyle name="Migliaia 6 2 2 4 4" xfId="48183" xr:uid="{544F6337-076A-4C35-8E48-A0A4D2EBAA9A}"/>
    <cellStyle name="Migliaia 6 2 2 4 5" xfId="50658" xr:uid="{9753F854-C271-4E71-AFC2-5B74C45E6906}"/>
    <cellStyle name="Migliaia 6 2 2 4 6" xfId="53674" xr:uid="{4A5D0B25-11A9-48A4-A52E-8298F7DB8646}"/>
    <cellStyle name="Migliaia 6 2 2 4 7" xfId="11008" xr:uid="{098EEC89-D3F4-4A66-81BC-805240091375}"/>
    <cellStyle name="Migliaia 6 2 2 5" xfId="21097" xr:uid="{63C7A762-0296-4A94-8245-4AA24F6C65F2}"/>
    <cellStyle name="Migliaia 6 2 2 6" xfId="25580" xr:uid="{A3809AFB-F386-43EC-91C1-3A9A88276167}"/>
    <cellStyle name="Migliaia 6 2 2 7" xfId="7621" xr:uid="{E94E0A44-C212-4CC1-B0EB-947613CCAE03}"/>
    <cellStyle name="Migliaia 6 2 3" xfId="3987" xr:uid="{4584618F-4FC8-42A5-AC42-D0573505E831}"/>
    <cellStyle name="Migliaia 6 2 3 2" xfId="5713" xr:uid="{67F87C38-AC7B-46AB-A738-43C8AB854E27}"/>
    <cellStyle name="Migliaia 6 2 3 2 2" xfId="35509" xr:uid="{63436F8A-D9D7-459E-BB89-A9911D704CFD}"/>
    <cellStyle name="Migliaia 6 2 3 2 2 2" xfId="40669" xr:uid="{A65A8ED4-2D9D-421D-B061-ACDEFDCEC310}"/>
    <cellStyle name="Migliaia 6 2 3 2 2 3" xfId="45971" xr:uid="{5E30B77B-9944-4DBE-BBCA-1397C30DFCFC}"/>
    <cellStyle name="Migliaia 6 2 3 2 3" xfId="38018" xr:uid="{8F32AE5C-25EF-4F03-91C6-F1A4E3E0667F}"/>
    <cellStyle name="Migliaia 6 2 3 2 4" xfId="43320" xr:uid="{242554F9-F817-4F6D-8146-CE8E61FE08B1}"/>
    <cellStyle name="Migliaia 6 2 3 2 5" xfId="14345" xr:uid="{51C8E342-83FA-4BAF-BE64-D290A2177FEC}"/>
    <cellStyle name="Migliaia 6 2 3 3" xfId="6882" xr:uid="{C652D428-3914-4EEE-918A-066AE13E8C37}"/>
    <cellStyle name="Migliaia 6 2 3 3 2" xfId="34783" xr:uid="{49C2021A-5D04-417E-9543-1248D1B8EC1B}"/>
    <cellStyle name="Migliaia 6 2 3 3 3" xfId="21099" xr:uid="{B8816699-ACAC-48BA-B393-EBE1083F9B6A}"/>
    <cellStyle name="Migliaia 6 2 3 4" xfId="25582" xr:uid="{84A62230-60E3-415D-B80A-AA542FF6A824}"/>
    <cellStyle name="Migliaia 6 2 3 5" xfId="16876" xr:uid="{B599C404-D79C-4359-A6EA-E64339C3F554}"/>
    <cellStyle name="Migliaia 6 2 3 6" xfId="8407" xr:uid="{B461F541-EB8D-4269-A56B-4347C44D8C91}"/>
    <cellStyle name="Migliaia 6 2 4" xfId="5711" xr:uid="{C9B27D02-8CA4-491A-8DE2-F30EB3BC0FB9}"/>
    <cellStyle name="Migliaia 6 2 4 2" xfId="14050" xr:uid="{9088384F-43BD-4154-95DA-61C1CAFF6558}"/>
    <cellStyle name="Migliaia 6 2 4 2 2" xfId="34784" xr:uid="{29F4FB4D-D8BA-4B1C-87D3-4E745EF667ED}"/>
    <cellStyle name="Migliaia 6 2 4 3" xfId="18685" xr:uid="{AE491E51-94BF-4438-A864-0B5FAFAD3DBA}"/>
    <cellStyle name="Migliaia 6 2 4 4" xfId="21100" xr:uid="{1863AFF9-7EF3-4E9A-B5DD-CE9E7D726DF7}"/>
    <cellStyle name="Migliaia 6 2 4 5" xfId="25583" xr:uid="{485C0A02-E93A-4E80-AD52-C48A76DE2675}"/>
    <cellStyle name="Migliaia 6 2 4 6" xfId="16877" xr:uid="{D1723D5E-BBAE-420B-89FF-A2F049BF6C68}"/>
    <cellStyle name="Migliaia 6 2 4 7" xfId="8043" xr:uid="{386FE8E9-8C14-4010-B64E-DDB1D7A1EDC0}"/>
    <cellStyle name="Migliaia 6 2 5" xfId="6880" xr:uid="{421F14A9-BDDC-4A26-94E4-F9B5DA554F86}"/>
    <cellStyle name="Migliaia 6 2 5 2" xfId="34785" xr:uid="{1A75E687-3021-468D-9E9A-5A33AC92F1D4}"/>
    <cellStyle name="Migliaia 6 2 5 3" xfId="25584" xr:uid="{8A5BE4C8-DA6E-44E2-9B29-BB7AE5052E96}"/>
    <cellStyle name="Migliaia 6 2 5 4" xfId="13158" xr:uid="{9BA02BAE-2420-4F4C-AB76-7206EC2B8A21}"/>
    <cellStyle name="Migliaia 6 2 6" xfId="3985" xr:uid="{74A8D4F2-B69F-4E7D-8A6C-30153657A013}"/>
    <cellStyle name="Migliaia 6 2 6 2" xfId="34786" xr:uid="{58639D22-A45A-4004-922B-BA70A7021D01}"/>
    <cellStyle name="Migliaia 6 2 6 3" xfId="25585" xr:uid="{BD4FE814-C3BF-45FB-B5CF-031844BA18D9}"/>
    <cellStyle name="Migliaia 6 2 6 4" xfId="21096" xr:uid="{53A77489-8F8D-4B65-9653-58125709E139}"/>
    <cellStyle name="Migliaia 6 2 7" xfId="34780" xr:uid="{A4A5F17F-DC66-4242-A713-628BD553D8D4}"/>
    <cellStyle name="Migliaia 6 2 8" xfId="25579" xr:uid="{8E74A254-F602-41A3-8754-DFE4B3BC0E4F}"/>
    <cellStyle name="Migliaia 6 2 9" xfId="7208" xr:uid="{2A838D62-E60D-41B0-9DD2-AB31D453C396}"/>
    <cellStyle name="Migliaia 6 3" xfId="523" xr:uid="{00000000-0005-0000-0000-0000B1040000}"/>
    <cellStyle name="Migliaia 6 3 10" xfId="25586" xr:uid="{79E674A8-45F7-401B-8127-878DA90FEA62}"/>
    <cellStyle name="Migliaia 6 3 11" xfId="16878" xr:uid="{EF987527-BB1C-43B5-8438-5CE2CDE755EC}"/>
    <cellStyle name="Migliaia 6 3 12" xfId="7209" xr:uid="{A255D1A3-F4B2-48F3-B4AC-4C67866C60B3}"/>
    <cellStyle name="Migliaia 6 3 2" xfId="524" xr:uid="{00000000-0005-0000-0000-0000B2040000}"/>
    <cellStyle name="Migliaia 6 3 2 2" xfId="1932" xr:uid="{00000000-0005-0000-0000-0000B3040000}"/>
    <cellStyle name="Migliaia 6 3 2 2 2" xfId="5716" xr:uid="{55DFB909-3E5D-4035-B7BB-718588E2F705}"/>
    <cellStyle name="Migliaia 6 3 2 2 2 2" xfId="18528" xr:uid="{5694979B-6CB3-484C-84F4-361FBA3F57C2}"/>
    <cellStyle name="Migliaia 6 3 2 2 2 2 2" xfId="21896" xr:uid="{301F44AE-4560-460C-B22B-3B60AB21C17E}"/>
    <cellStyle name="Migliaia 6 3 2 2 2 2 3" xfId="34790" xr:uid="{BA44389D-FF79-4FC6-89A9-0D30E0253218}"/>
    <cellStyle name="Migliaia 6 3 2 2 2 3" xfId="25589" xr:uid="{34F3C0D4-DAE4-4993-A54B-3968EB586F1D}"/>
    <cellStyle name="Migliaia 6 3 2 2 2 4" xfId="46613" xr:uid="{95F33BB2-DFFF-43F9-ADF8-A0A4E9C8666D}"/>
    <cellStyle name="Migliaia 6 3 2 2 2 5" xfId="50924" xr:uid="{E5927FC8-F5D1-4138-96C6-3655B4E58722}"/>
    <cellStyle name="Migliaia 6 3 2 2 2 6" xfId="53940" xr:uid="{966B2DD1-BD8A-4810-96C6-414B3ADF419D}"/>
    <cellStyle name="Migliaia 6 3 2 2 2 7" xfId="17695" xr:uid="{C5272C32-1804-4E82-8ADA-5276C377BE42}"/>
    <cellStyle name="Migliaia 6 3 2 2 2 8" xfId="12107" xr:uid="{E04887D2-AF70-43C8-803E-8E5AD46C8640}"/>
    <cellStyle name="Migliaia 6 3 2 2 3" xfId="6885" xr:uid="{42FF2B44-2FE0-4DCB-A5F1-CEDB0C7D20F1}"/>
    <cellStyle name="Migliaia 6 3 2 2 3 2" xfId="34789" xr:uid="{75F7B575-5834-4B9B-B46D-AAF25510AAB0}"/>
    <cellStyle name="Migliaia 6 3 2 2 3 3" xfId="12202" xr:uid="{01EFC9E0-6B8B-4DED-A4FA-06D84C4C9617}"/>
    <cellStyle name="Migliaia 6 3 2 2 4" xfId="3990" xr:uid="{F7D749BB-DA14-4C79-BEC6-3277E7119227}"/>
    <cellStyle name="Migliaia 6 3 2 2 4 2" xfId="21644" xr:uid="{C35705A5-73D2-4D26-89DC-CF8700333CAC}"/>
    <cellStyle name="Migliaia 6 3 2 2 4 3" xfId="47430" xr:uid="{A99748BA-6C1D-41D7-9764-83839300DB7F}"/>
    <cellStyle name="Migliaia 6 3 2 2 4 4" xfId="50659" xr:uid="{47902AC6-63D5-43D6-89A2-456855F25152}"/>
    <cellStyle name="Migliaia 6 3 2 2 4 5" xfId="53675" xr:uid="{D0136FFD-9D6C-4795-81DF-E1E69DB049DD}"/>
    <cellStyle name="Migliaia 6 3 2 2 4 6" xfId="11009" xr:uid="{2F130DFA-E3EA-487E-B84A-193621446914}"/>
    <cellStyle name="Migliaia 6 3 2 2 5" xfId="21103" xr:uid="{731F30D3-79AD-4E19-B011-8FCAC907DC6B}"/>
    <cellStyle name="Migliaia 6 3 2 2 6" xfId="25588" xr:uid="{EB0701F8-3B10-4A0D-87BC-1B89D1BDBE35}"/>
    <cellStyle name="Migliaia 6 3 2 2 7" xfId="8813" xr:uid="{F94AE993-C97C-4B5E-91CC-B7C324636BAA}"/>
    <cellStyle name="Migliaia 6 3 2 3" xfId="5715" xr:uid="{7764E4F6-B036-43D0-818E-78D576BCFC51}"/>
    <cellStyle name="Migliaia 6 3 2 3 2" xfId="11660" xr:uid="{3257A7BF-4084-4EBA-8467-D664C3412A03}"/>
    <cellStyle name="Migliaia 6 3 2 3 2 2" xfId="34791" xr:uid="{920040AB-F812-463A-A893-0C63EB9C3C67}"/>
    <cellStyle name="Migliaia 6 3 2 3 3" xfId="12108" xr:uid="{5DBF4EBD-4235-46A2-92CC-B6DD39932C94}"/>
    <cellStyle name="Migliaia 6 3 2 3 4" xfId="21104" xr:uid="{518EAD13-8C74-456F-AA4E-A9D945ADE112}"/>
    <cellStyle name="Migliaia 6 3 2 3 5" xfId="25590" xr:uid="{3D35FAE7-88CA-4D2D-AF89-7200F2EA1B5E}"/>
    <cellStyle name="Migliaia 6 3 2 3 6" xfId="16879" xr:uid="{FFA8E00D-D5A4-4BD5-AE27-2436118F1E61}"/>
    <cellStyle name="Migliaia 6 3 2 3 7" xfId="8045" xr:uid="{8C898807-AF93-4067-AEDC-C5D1EE5DD08C}"/>
    <cellStyle name="Migliaia 6 3 2 4" xfId="6884" xr:uid="{E83D24DC-09BE-4F48-A4CB-FF04B3B128CF}"/>
    <cellStyle name="Migliaia 6 3 2 4 2" xfId="18112" xr:uid="{BA725553-EFAC-4565-A827-F33AC92BF0BC}"/>
    <cellStyle name="Migliaia 6 3 2 4 2 2" xfId="34792" xr:uid="{3BD5C929-CD57-4777-A013-CB6527F37102}"/>
    <cellStyle name="Migliaia 6 3 2 4 3" xfId="25591" xr:uid="{AA4D6ECF-5397-408F-B994-B5E8FCADA732}"/>
    <cellStyle name="Migliaia 6 3 2 4 4" xfId="17246" xr:uid="{88AD9922-2813-4EFC-83D9-BD77A7971878}"/>
    <cellStyle name="Migliaia 6 3 2 4 5" xfId="11460" xr:uid="{EFF4B24C-C78B-4B37-BA04-6DC385D2E369}"/>
    <cellStyle name="Migliaia 6 3 2 5" xfId="3989" xr:uid="{D5237CE1-7032-432B-A742-00324ED5D853}"/>
    <cellStyle name="Migliaia 6 3 2 5 2" xfId="34793" xr:uid="{3CA4DE33-513E-461B-B362-C5EA4DC29F35}"/>
    <cellStyle name="Migliaia 6 3 2 5 3" xfId="25592" xr:uid="{51AE3D61-39B1-4E98-BFD9-1057045CDC02}"/>
    <cellStyle name="Migliaia 6 3 2 5 4" xfId="17261" xr:uid="{C304F749-2856-4432-81CF-90C9316E43D4}"/>
    <cellStyle name="Migliaia 6 3 2 6" xfId="21102" xr:uid="{B9C90EE6-4CBD-462E-A623-D111462641EB}"/>
    <cellStyle name="Migliaia 6 3 2 6 2" xfId="34794" xr:uid="{E97E84DD-9F66-4996-B970-D0085B9133B6}"/>
    <cellStyle name="Migliaia 6 3 2 6 3" xfId="25593" xr:uid="{82A2E08F-ADAC-454A-B745-981562F4701F}"/>
    <cellStyle name="Migliaia 6 3 2 7" xfId="34788" xr:uid="{F831C30C-93F5-4BCD-89D1-88AE33205C13}"/>
    <cellStyle name="Migliaia 6 3 2 8" xfId="25587" xr:uid="{DA6153B4-ABD1-4E73-8436-44D412217043}"/>
    <cellStyle name="Migliaia 6 3 2 9" xfId="7623" xr:uid="{E8C89963-358B-4695-9F2D-4F1024A65876}"/>
    <cellStyle name="Migliaia 6 3 3" xfId="3991" xr:uid="{4375E1AD-63F8-46C0-9A15-29840F8042FF}"/>
    <cellStyle name="Migliaia 6 3 3 2" xfId="5717" xr:uid="{48889843-A9E5-4493-9FEE-D567708D5555}"/>
    <cellStyle name="Migliaia 6 3 3 2 2" xfId="9992" xr:uid="{125C8787-BEDA-4131-B247-26EE6A9F1AE3}"/>
    <cellStyle name="Migliaia 6 3 3 2 2 2" xfId="34796" xr:uid="{22322755-BA76-46D9-A034-BE3F10A6AD22}"/>
    <cellStyle name="Migliaia 6 3 3 2 3" xfId="18272" xr:uid="{C6F7F9C7-9BAE-4360-9761-11B40901497C}"/>
    <cellStyle name="Migliaia 6 3 3 2 4" xfId="21106" xr:uid="{A69372AB-E199-411B-BBD7-705AE34C6140}"/>
    <cellStyle name="Migliaia 6 3 3 2 5" xfId="25595" xr:uid="{77F21E09-F5C1-4EB2-BEF4-A31298FB2345}"/>
    <cellStyle name="Migliaia 6 3 3 2 6" xfId="16881" xr:uid="{89D2382F-DD58-45F2-86B6-0C6090246800}"/>
    <cellStyle name="Migliaia 6 3 3 2 7" xfId="8812" xr:uid="{A32EE702-5E2A-477C-A6F0-0EA8ED417B97}"/>
    <cellStyle name="Migliaia 6 3 3 3" xfId="6886" xr:uid="{CA980769-F128-4C12-81AA-CB93BB3BCCEC}"/>
    <cellStyle name="Migliaia 6 3 3 3 2" xfId="34797" xr:uid="{9338F5A7-E838-41E3-99BE-EB7C04D034D3}"/>
    <cellStyle name="Migliaia 6 3 3 3 3" xfId="25596" xr:uid="{328CB5CE-4F39-4118-AC95-C4A2BCF8585F}"/>
    <cellStyle name="Migliaia 6 3 3 3 4" xfId="9755" xr:uid="{D0BDFAC1-7D3C-4CD8-9744-2F3BEE6FB436}"/>
    <cellStyle name="Migliaia 6 3 3 4" xfId="21105" xr:uid="{A4A699DA-2AB4-4736-808D-E1DDD1678B1D}"/>
    <cellStyle name="Migliaia 6 3 3 4 2" xfId="34798" xr:uid="{69ED187E-BD39-4A95-8687-ADB0135CAB6A}"/>
    <cellStyle name="Migliaia 6 3 3 4 3" xfId="25597" xr:uid="{9F9313FF-CA1B-4ADE-999E-7DCAE984CEF8}"/>
    <cellStyle name="Migliaia 6 3 3 4 4" xfId="48901" xr:uid="{E7084076-AA10-48BA-B01C-4AE321DAD698}"/>
    <cellStyle name="Migliaia 6 3 3 5" xfId="25598" xr:uid="{CD81D9B5-B33F-472C-B567-1AE71C2E0407}"/>
    <cellStyle name="Migliaia 6 3 3 5 2" xfId="34799" xr:uid="{02A91CC6-9A53-4778-AA80-60E7E11982BE}"/>
    <cellStyle name="Migliaia 6 3 3 5 3" xfId="48902" xr:uid="{42D7557A-47B7-4AB9-A572-D075B17C7B70}"/>
    <cellStyle name="Migliaia 6 3 3 6" xfId="34795" xr:uid="{5BCE498C-94F7-47B2-AA37-7B69D456FD0A}"/>
    <cellStyle name="Migliaia 6 3 3 7" xfId="25594" xr:uid="{6B635711-FB2C-4F6F-B68B-83DEC43383BD}"/>
    <cellStyle name="Migliaia 6 3 3 8" xfId="16880" xr:uid="{FEAC4067-E7E3-455D-8041-F2FC8BBF6146}"/>
    <cellStyle name="Migliaia 6 3 3 9" xfId="7622" xr:uid="{C956483E-C934-43CD-AAA6-FF1455EA20F9}"/>
    <cellStyle name="Migliaia 6 3 4" xfId="3992" xr:uid="{D15491D4-9DC5-463C-9D34-6E9869B2EC0E}"/>
    <cellStyle name="Migliaia 6 3 4 2" xfId="5718" xr:uid="{2F9A4EE6-1E69-4773-84E8-3486C6015EEC}"/>
    <cellStyle name="Migliaia 6 3 4 2 2" xfId="14478" xr:uid="{9041D9DF-B32B-4374-8A60-79226D7C14ED}"/>
    <cellStyle name="Migliaia 6 3 4 2 3" xfId="18564" xr:uid="{3FBC8DF8-D796-450C-8696-C2B04DE9C57E}"/>
    <cellStyle name="Migliaia 6 3 4 2 4" xfId="21108" xr:uid="{423A6331-F409-46A2-B2D8-6FFCD8DA9027}"/>
    <cellStyle name="Migliaia 6 3 4 2 5" xfId="32485" xr:uid="{8C0474A8-1B27-427A-BF3C-9D2D0EC8AC30}"/>
    <cellStyle name="Migliaia 6 3 4 2 6" xfId="16883" xr:uid="{D0A47142-B9B0-458E-97D8-958F5821709F}"/>
    <cellStyle name="Migliaia 6 3 4 2 7" xfId="8901" xr:uid="{5D9A6DAA-07BE-43A4-9E40-771C311491FF}"/>
    <cellStyle name="Migliaia 6 3 4 3" xfId="6887" xr:uid="{595F4018-E261-4CD0-8AFA-75AFE1EEE35D}"/>
    <cellStyle name="Migliaia 6 3 4 3 2" xfId="35510" xr:uid="{D9E46A36-CB66-4FC0-B03D-9A77CCA656D9}"/>
    <cellStyle name="Migliaia 6 3 4 3 2 2" xfId="40670" xr:uid="{C470D2C4-8550-4ECA-8EB3-328C345387A5}"/>
    <cellStyle name="Migliaia 6 3 4 3 2 3" xfId="45972" xr:uid="{BC5A151C-3F15-4B2F-85F8-EF518183C782}"/>
    <cellStyle name="Migliaia 6 3 4 3 3" xfId="38019" xr:uid="{19901743-20CF-4572-953E-EE132013E336}"/>
    <cellStyle name="Migliaia 6 3 4 3 4" xfId="43321" xr:uid="{DE724FBB-966D-41CD-B404-59B117056F63}"/>
    <cellStyle name="Migliaia 6 3 4 3 5" xfId="13726" xr:uid="{09ED8DB4-9168-48D6-A637-43EEED7D6447}"/>
    <cellStyle name="Migliaia 6 3 4 4" xfId="21107" xr:uid="{88A4162F-BFFD-4AA2-840D-1FFE94B88444}"/>
    <cellStyle name="Migliaia 6 3 4 4 2" xfId="34800" xr:uid="{D1C02141-24C4-427A-B108-C1ECB087B5DD}"/>
    <cellStyle name="Migliaia 6 3 4 5" xfId="25599" xr:uid="{D5A3472F-DBEB-4ABF-840F-26ECFC506098}"/>
    <cellStyle name="Migliaia 6 3 4 6" xfId="16882" xr:uid="{4311A9BD-E01D-4326-84A0-E497CF625784}"/>
    <cellStyle name="Migliaia 6 3 4 7" xfId="7711" xr:uid="{A60DB15A-86C5-4E0F-9235-2A2309465448}"/>
    <cellStyle name="Migliaia 6 3 5" xfId="3993" xr:uid="{555D6B7E-D4C7-49CD-AA27-4C4BD7D40316}"/>
    <cellStyle name="Migliaia 6 3 5 2" xfId="5719" xr:uid="{D0D8A614-E196-4622-B081-F734ADB0A9B6}"/>
    <cellStyle name="Migliaia 6 3 5 2 2" xfId="35511" xr:uid="{D748C78F-A2DE-410C-9889-CF61CDDDBFE1}"/>
    <cellStyle name="Migliaia 6 3 5 2 2 2" xfId="40671" xr:uid="{BDD68A0C-F319-4DB5-A81A-FFCB9A17B631}"/>
    <cellStyle name="Migliaia 6 3 5 2 2 3" xfId="45973" xr:uid="{4EC56336-A623-47E3-87DE-F8784E93EED5}"/>
    <cellStyle name="Migliaia 6 3 5 2 3" xfId="38020" xr:uid="{0BA3DCDA-35A3-4637-A7BB-020CACD3682F}"/>
    <cellStyle name="Migliaia 6 3 5 2 4" xfId="43322" xr:uid="{7DE5E2DB-5FC0-4F72-914B-61099797EC3B}"/>
    <cellStyle name="Migliaia 6 3 5 2 5" xfId="14346" xr:uid="{17A978D2-A8C6-4E59-AB8A-8EA6842B5132}"/>
    <cellStyle name="Migliaia 6 3 5 3" xfId="6888" xr:uid="{A8D124A1-51A0-4215-86AF-2F06F4343EC8}"/>
    <cellStyle name="Migliaia 6 3 5 3 2" xfId="34801" xr:uid="{E8E9C4D6-02A2-4E84-95B6-062F6D3EB128}"/>
    <cellStyle name="Migliaia 6 3 5 3 3" xfId="21109" xr:uid="{39272B06-91C6-48B8-8C74-65E1FE31760E}"/>
    <cellStyle name="Migliaia 6 3 5 4" xfId="25600" xr:uid="{D96E6FCF-AEA5-431F-9DB7-6939F67204B7}"/>
    <cellStyle name="Migliaia 6 3 5 5" xfId="16884" xr:uid="{86658397-0971-44B5-876B-D7B8D0A3DF5F}"/>
    <cellStyle name="Migliaia 6 3 5 6" xfId="8408" xr:uid="{E976882A-98E2-41DD-9397-0EEB39916C47}"/>
    <cellStyle name="Migliaia 6 3 6" xfId="5714" xr:uid="{9F3B3942-DC6C-4222-8F55-996956E1DEBE}"/>
    <cellStyle name="Migliaia 6 3 6 2" xfId="14051" xr:uid="{F6E9925D-C8DE-4564-A96E-FB340D0E24A9}"/>
    <cellStyle name="Migliaia 6 3 6 2 2" xfId="34802" xr:uid="{8F6E4633-9CCC-4CCF-B46A-1B32FEC1FD09}"/>
    <cellStyle name="Migliaia 6 3 6 3" xfId="18684" xr:uid="{28C589B3-85E7-43E3-8519-2A7142DFC6C9}"/>
    <cellStyle name="Migliaia 6 3 6 4" xfId="21110" xr:uid="{D6D369A2-43CD-45EE-9055-E8B0801150CA}"/>
    <cellStyle name="Migliaia 6 3 6 5" xfId="25601" xr:uid="{7E38587D-C9F7-4403-9013-21995AD392F8}"/>
    <cellStyle name="Migliaia 6 3 6 6" xfId="16885" xr:uid="{A22962F8-C17D-4ECA-9DEB-6872D5B7A6F8}"/>
    <cellStyle name="Migliaia 6 3 6 7" xfId="8044" xr:uid="{EABC02DC-2090-41FF-8E95-E82E546D1EB1}"/>
    <cellStyle name="Migliaia 6 3 7" xfId="6883" xr:uid="{0ECE495E-084A-46E0-A01A-FC5E85625367}"/>
    <cellStyle name="Migliaia 6 3 7 2" xfId="34803" xr:uid="{1AB25658-F9FB-4AFC-9B88-5B2250A5A1BE}"/>
    <cellStyle name="Migliaia 6 3 7 3" xfId="25602" xr:uid="{70E0E0A3-DAD6-4339-B85D-AAFDB1911746}"/>
    <cellStyle name="Migliaia 6 3 7 4" xfId="12252" xr:uid="{DC44116C-F2F9-421B-A5BE-205DE2375495}"/>
    <cellStyle name="Migliaia 6 3 8" xfId="3988" xr:uid="{8359E085-2CE7-4883-80F5-C06CFFF2E583}"/>
    <cellStyle name="Migliaia 6 3 8 2" xfId="34804" xr:uid="{DF34D73C-3A4E-4E1E-8F09-D41C5F7DB186}"/>
    <cellStyle name="Migliaia 6 3 8 3" xfId="25603" xr:uid="{FE5BF965-2FEC-40BC-AEA1-D049C07AD754}"/>
    <cellStyle name="Migliaia 6 3 8 4" xfId="17262" xr:uid="{A2ABF5DD-2303-4999-A4C7-36C3F977E0FF}"/>
    <cellStyle name="Migliaia 6 3 9" xfId="21101" xr:uid="{1362900F-AEB2-41A2-AFAA-165A0EFF5D7E}"/>
    <cellStyle name="Migliaia 6 3 9 2" xfId="34787" xr:uid="{B091CB41-6695-476A-878A-33D89B1E1BB5}"/>
    <cellStyle name="Migliaia 6 4" xfId="1933" xr:uid="{00000000-0005-0000-0000-0000B4040000}"/>
    <cellStyle name="Migliaia 6 4 10" xfId="7624" xr:uid="{395D0F8B-5183-4394-ABCD-53E8E267EF14}"/>
    <cellStyle name="Migliaia 6 4 2" xfId="1934" xr:uid="{00000000-0005-0000-0000-0000B5040000}"/>
    <cellStyle name="Migliaia 6 4 2 2" xfId="5721" xr:uid="{159DE8BB-1FDD-45CF-9C4F-F1CA3114CA6D}"/>
    <cellStyle name="Migliaia 6 4 2 2 2" xfId="34807" xr:uid="{CDCC0275-BD62-4CB0-AE7F-9B4D5094D84F}"/>
    <cellStyle name="Migliaia 6 4 2 2 3" xfId="25606" xr:uid="{0697078A-D7AB-4DD1-AD4B-CB7DF9904789}"/>
    <cellStyle name="Migliaia 6 4 2 2 4" xfId="9218" xr:uid="{9984923C-B825-4938-BF02-2B668A496D83}"/>
    <cellStyle name="Migliaia 6 4 2 3" xfId="3995" xr:uid="{8D91E353-ED47-4478-A89A-F018C5CCBFB3}"/>
    <cellStyle name="Migliaia 6 4 2 3 2" xfId="34808" xr:uid="{84622427-C629-40C5-B8FE-CFA826996E40}"/>
    <cellStyle name="Migliaia 6 4 2 3 3" xfId="25607" xr:uid="{85F5BBE0-BFC9-4B5D-9E61-AD79B1E2E49A}"/>
    <cellStyle name="Migliaia 6 4 2 3 4" xfId="12109" xr:uid="{9BD6E289-B30A-4172-906F-2562E10B6C5E}"/>
    <cellStyle name="Migliaia 6 4 2 4" xfId="11462" xr:uid="{ECA54885-3A6E-46E5-8B6A-545CE9DF5CFC}"/>
    <cellStyle name="Migliaia 6 4 2 4 2" xfId="34806" xr:uid="{5FFBFAD1-63AD-4436-A18B-1F70D12F86D0}"/>
    <cellStyle name="Migliaia 6 4 2 5" xfId="11011" xr:uid="{513A893D-6FC5-46DE-AFAC-EAA8E800BBA6}"/>
    <cellStyle name="Migliaia 6 4 2 5 2" xfId="21646" xr:uid="{5E264222-CE49-4282-9AAA-69983588D02D}"/>
    <cellStyle name="Migliaia 6 4 2 5 3" xfId="24507" xr:uid="{4AD3A2A0-446E-4A3E-89B0-0FBADE0303BB}"/>
    <cellStyle name="Migliaia 6 4 2 5 4" xfId="50661" xr:uid="{04536D42-CA68-4328-BF55-96818F4FACE1}"/>
    <cellStyle name="Migliaia 6 4 2 5 5" xfId="53677" xr:uid="{EAEF443C-44D6-45AF-BD0E-FACEDBE38309}"/>
    <cellStyle name="Migliaia 6 4 2 6" xfId="21112" xr:uid="{B4CC05BA-86A1-4F12-9C5D-FE7A17949283}"/>
    <cellStyle name="Migliaia 6 4 2 7" xfId="25605" xr:uid="{855C02A3-E657-432C-BC6A-4A67DD7EBF2E}"/>
    <cellStyle name="Migliaia 6 4 2 8" xfId="8814" xr:uid="{EEB718AF-408B-4B15-BB3F-399B914C42E0}"/>
    <cellStyle name="Migliaia 6 4 3" xfId="5720" xr:uid="{A25F62C1-9D94-450E-A177-5DD255752869}"/>
    <cellStyle name="Migliaia 6 4 3 2" xfId="18273" xr:uid="{FC86829F-065D-414D-BB4B-F556FF203E62}"/>
    <cellStyle name="Migliaia 6 4 3 2 2" xfId="34809" xr:uid="{039B0CA6-3925-4037-8AA3-AB3C213B6ABF}"/>
    <cellStyle name="Migliaia 6 4 3 3" xfId="25608" xr:uid="{B2DCF2BE-00D4-497B-8FE5-2804453586E6}"/>
    <cellStyle name="Migliaia 6 4 3 4" xfId="17260" xr:uid="{51506A0C-96BD-4A18-BCD9-4B14AC4D1BD1}"/>
    <cellStyle name="Migliaia 6 4 3 5" xfId="9219" xr:uid="{5F319418-EF63-4791-90C8-273F6CC6F1D9}"/>
    <cellStyle name="Migliaia 6 4 4" xfId="6889" xr:uid="{99A02547-A92D-4271-B98F-88DDFABEFE91}"/>
    <cellStyle name="Migliaia 6 4 4 2" xfId="34810" xr:uid="{A9AB3E8B-274E-466C-97B8-7C21CA633B9C}"/>
    <cellStyle name="Migliaia 6 4 4 3" xfId="25609" xr:uid="{51091A54-3A56-43D2-86BF-3E97AF9C4CBC}"/>
    <cellStyle name="Migliaia 6 4 4 4" xfId="12110" xr:uid="{1B498E3A-7CD9-4C84-B0C8-EA178B68DC96}"/>
    <cellStyle name="Migliaia 6 4 5" xfId="3994" xr:uid="{E6EC6B55-1A16-4FF1-926F-7EF06CB7ACCA}"/>
    <cellStyle name="Migliaia 6 4 5 2" xfId="34811" xr:uid="{36C3B0DE-AC81-4401-BAB6-CE09ACCA740C}"/>
    <cellStyle name="Migliaia 6 4 5 3" xfId="25610" xr:uid="{4188A0FF-B94B-4DF9-9158-2C7E4E5E55D3}"/>
    <cellStyle name="Migliaia 6 4 5 4" xfId="11461" xr:uid="{497DD042-B6DF-4DD8-AA77-9E9E2CED4360}"/>
    <cellStyle name="Migliaia 6 4 6" xfId="11010" xr:uid="{DBF00640-0950-40C7-8E77-403EA555960F}"/>
    <cellStyle name="Migliaia 6 4 6 2" xfId="21645" xr:uid="{E2057FDA-BD9B-4E8F-8CF0-14A4BD43F56C}"/>
    <cellStyle name="Migliaia 6 4 6 2 2" xfId="34812" xr:uid="{49593CF1-C2F1-482B-A33B-F0E0C84A5906}"/>
    <cellStyle name="Migliaia 6 4 6 3" xfId="25611" xr:uid="{A81C355E-B84D-4936-BCA1-F897677A5308}"/>
    <cellStyle name="Migliaia 6 4 6 4" xfId="32447" xr:uid="{84492B48-2866-4D85-BE1F-B56A7A22BD31}"/>
    <cellStyle name="Migliaia 6 4 6 5" xfId="48903" xr:uid="{D3697856-F843-4B12-907A-B3A2F877A24A}"/>
    <cellStyle name="Migliaia 6 4 6 6" xfId="50660" xr:uid="{5BE52C59-AE3E-4B20-B437-171B296C8090}"/>
    <cellStyle name="Migliaia 6 4 6 7" xfId="53676" xr:uid="{4EF129E6-5A01-4ABE-9EAF-DCFFADF00645}"/>
    <cellStyle name="Migliaia 6 4 7" xfId="21111" xr:uid="{1E7EA9B8-ED6D-43AF-902D-24E7B8200B1D}"/>
    <cellStyle name="Migliaia 6 4 7 2" xfId="34813" xr:uid="{4DB4D323-E189-494E-AD1E-818AEDB95F51}"/>
    <cellStyle name="Migliaia 6 4 7 3" xfId="25612" xr:uid="{3C25ED08-DB08-413F-BF31-156C22E7047B}"/>
    <cellStyle name="Migliaia 6 4 8" xfId="34805" xr:uid="{85796A3A-54E4-48D6-B6BD-43F94FA95744}"/>
    <cellStyle name="Migliaia 6 4 9" xfId="25604" xr:uid="{18EF00C8-7E99-4867-B5D5-7DD7312397AB}"/>
    <cellStyle name="Migliaia 6 5" xfId="1935" xr:uid="{00000000-0005-0000-0000-0000B6040000}"/>
    <cellStyle name="Migliaia 6 5 2" xfId="5722" xr:uid="{E9452114-3106-42A3-9F0B-E9519DD3B81D}"/>
    <cellStyle name="Migliaia 6 5 2 2" xfId="18529" xr:uid="{BDDD60A8-310C-4DD4-80AA-21CBD2E6F7EB}"/>
    <cellStyle name="Migliaia 6 5 2 2 2" xfId="34815" xr:uid="{56BF6147-F63A-4D53-B777-E6BFB5CF9DC6}"/>
    <cellStyle name="Migliaia 6 5 2 3" xfId="21114" xr:uid="{86018674-44EF-417C-8FE0-58B07EF1EF07}"/>
    <cellStyle name="Migliaia 6 5 2 4" xfId="25614" xr:uid="{978568EE-4F96-4C4B-957E-B51DE87E8303}"/>
    <cellStyle name="Migliaia 6 5 2 5" xfId="16886" xr:uid="{2161BF59-6E06-40D8-B20A-16B43EC97652}"/>
    <cellStyle name="Migliaia 6 5 2 6" xfId="8815" xr:uid="{7020040E-2383-4076-8142-BE990021EB16}"/>
    <cellStyle name="Migliaia 6 5 3" xfId="6890" xr:uid="{1E1A828A-717A-4CAE-90EE-50792B070CD6}"/>
    <cellStyle name="Migliaia 6 5 3 2" xfId="34816" xr:uid="{A54925E7-0CE6-4AB6-92A5-1BC81DE4D9DE}"/>
    <cellStyle name="Migliaia 6 5 3 3" xfId="25615" xr:uid="{798CE335-B71F-43D3-A959-DA130C241860}"/>
    <cellStyle name="Migliaia 6 5 3 4" xfId="11463" xr:uid="{2BBAE771-DC85-44D9-829F-2E9E955F85DA}"/>
    <cellStyle name="Migliaia 6 5 4" xfId="3996" xr:uid="{63388B25-521D-456C-AFA3-3B13A6B435F2}"/>
    <cellStyle name="Migliaia 6 5 4 2" xfId="21647" xr:uid="{1C0CF035-8804-4A89-A467-171B67B8108A}"/>
    <cellStyle name="Migliaia 6 5 4 2 2" xfId="34817" xr:uid="{F44F6F33-8738-436B-AB59-B2FAC5718B46}"/>
    <cellStyle name="Migliaia 6 5 4 3" xfId="25616" xr:uid="{300E2C1E-343F-4AD7-B929-B77755C31C81}"/>
    <cellStyle name="Migliaia 6 5 4 4" xfId="46711" xr:uid="{A80D6677-8E06-4005-8863-171CDC20750A}"/>
    <cellStyle name="Migliaia 6 5 4 5" xfId="48904" xr:uid="{4D8CB3E5-FFC0-42EB-82B9-7DBCAF9A73D9}"/>
    <cellStyle name="Migliaia 6 5 4 6" xfId="50662" xr:uid="{CF3A1C01-9B31-43B6-99D8-B17CABB0C9C2}"/>
    <cellStyle name="Migliaia 6 5 4 7" xfId="53678" xr:uid="{4B9F1501-6995-4088-851E-D90EE8629CE1}"/>
    <cellStyle name="Migliaia 6 5 4 8" xfId="11012" xr:uid="{0E1A2C6C-9978-4AA8-A933-1EECFA2C0C34}"/>
    <cellStyle name="Migliaia 6 5 5" xfId="21113" xr:uid="{D88282EE-D6A9-4AED-B3E2-8EEB55C2BBB7}"/>
    <cellStyle name="Migliaia 6 5 5 2" xfId="34818" xr:uid="{90EB626B-D9CC-4ACE-8511-93C49A229E89}"/>
    <cellStyle name="Migliaia 6 5 5 3" xfId="25617" xr:uid="{CBCF73B0-EBB9-4BEC-97C9-0CDD8D91F35E}"/>
    <cellStyle name="Migliaia 6 5 5 4" xfId="48905" xr:uid="{F130CCE4-A6C4-443A-97EC-A57F06C23E3C}"/>
    <cellStyle name="Migliaia 6 5 6" xfId="25618" xr:uid="{9F938F49-5C5E-47EA-BC9A-D2B0DF22D6BE}"/>
    <cellStyle name="Migliaia 6 5 6 2" xfId="34819" xr:uid="{3CE372D9-1118-4657-89CE-92AED4F99000}"/>
    <cellStyle name="Migliaia 6 5 7" xfId="34814" xr:uid="{9E317B2E-2A68-4264-B9C2-50F80727564E}"/>
    <cellStyle name="Migliaia 6 5 8" xfId="25613" xr:uid="{B1E4AB5E-88A4-4C8F-BB84-2C72904D8569}"/>
    <cellStyle name="Migliaia 6 5 9" xfId="7625" xr:uid="{AA73E9A3-A3A1-4D09-BCD9-A5AC00897E27}"/>
    <cellStyle name="Migliaia 6 6" xfId="3997" xr:uid="{71A25357-8FAB-4752-A9AB-25498CEBFB33}"/>
    <cellStyle name="Migliaia 6 6 2" xfId="5723" xr:uid="{3E5C83BC-A4DB-42C8-82FB-48822C24C948}"/>
    <cellStyle name="Migliaia 6 6 2 2" xfId="9991" xr:uid="{FC7D08AE-6BAE-4CB7-B1DC-40786FED06A9}"/>
    <cellStyle name="Migliaia 6 6 2 3" xfId="18596" xr:uid="{BD7129D0-DE92-45EC-B7F4-53F76801E9F3}"/>
    <cellStyle name="Migliaia 6 6 2 4" xfId="21116" xr:uid="{41567711-652F-4FD5-AF39-4A021CCE7614}"/>
    <cellStyle name="Migliaia 6 6 2 5" xfId="32486" xr:uid="{F6EEFC4E-0E53-486A-9FB7-1C8B7C378C1B}"/>
    <cellStyle name="Migliaia 6 6 2 6" xfId="16888" xr:uid="{E7BEA91A-63CF-4403-B714-BAAFDC0CE80D}"/>
    <cellStyle name="Migliaia 6 6 2 7" xfId="8810" xr:uid="{63D2AEF0-6777-41C7-A684-5F39E84362BF}"/>
    <cellStyle name="Migliaia 6 6 3" xfId="6891" xr:uid="{AC7B38C9-F4B3-43C9-BAD9-0FA9926DF3D1}"/>
    <cellStyle name="Migliaia 6 6 3 2" xfId="35512" xr:uid="{005F44F1-3861-4475-A613-E5FB24888FDC}"/>
    <cellStyle name="Migliaia 6 6 3 2 2" xfId="40672" xr:uid="{A271CD0A-E471-4C02-8FAF-73BF828E9C82}"/>
    <cellStyle name="Migliaia 6 6 3 2 3" xfId="45974" xr:uid="{6C642BD6-4162-4E1F-83BA-898B8BBD8B69}"/>
    <cellStyle name="Migliaia 6 6 3 3" xfId="38021" xr:uid="{43A80AAA-9BB1-4E80-9112-FF6994D7F89A}"/>
    <cellStyle name="Migliaia 6 6 3 4" xfId="43323" xr:uid="{B57DDCBD-D871-4828-AF96-108D7EA1BF32}"/>
    <cellStyle name="Migliaia 6 6 3 5" xfId="9754" xr:uid="{77FED1E2-DF45-4C91-AF47-287C833606C3}"/>
    <cellStyle name="Migliaia 6 6 4" xfId="21115" xr:uid="{877C79B1-39F2-4A50-A693-0614386183FB}"/>
    <cellStyle name="Migliaia 6 6 4 2" xfId="34820" xr:uid="{FAD5CD42-E305-4B41-9735-D61BA8E6EE7C}"/>
    <cellStyle name="Migliaia 6 6 5" xfId="25619" xr:uid="{BC9C22D9-E4AC-43DF-B279-FC20C25FEA00}"/>
    <cellStyle name="Migliaia 6 6 6" xfId="16887" xr:uid="{B75758F4-6915-4E39-A067-0D1A77261491}"/>
    <cellStyle name="Migliaia 6 6 7" xfId="7620" xr:uid="{A2DAD6CE-E00C-41B3-AA02-3267D401EBEA}"/>
    <cellStyle name="Migliaia 6 7" xfId="3998" xr:uid="{640196F7-83F3-43AE-8089-7E55E0BBB1A1}"/>
    <cellStyle name="Migliaia 6 7 2" xfId="5724" xr:uid="{ECFE4E75-15C7-4891-B4B8-AABBBE8DC4D1}"/>
    <cellStyle name="Migliaia 6 7 2 2" xfId="35513" xr:uid="{091C7AA4-8226-47F6-8CAB-3575F2C14C7A}"/>
    <cellStyle name="Migliaia 6 7 2 2 2" xfId="40673" xr:uid="{0EBFE693-8C69-4F01-BF07-ABF8640F4AFD}"/>
    <cellStyle name="Migliaia 6 7 2 2 3" xfId="45975" xr:uid="{782E4037-E2C4-42F1-A49A-C76DAAB83793}"/>
    <cellStyle name="Migliaia 6 7 2 3" xfId="38022" xr:uid="{8F5C6404-67B4-4F38-803C-6DDDA2DA9555}"/>
    <cellStyle name="Migliaia 6 7 2 4" xfId="43324" xr:uid="{8BB69CF4-9093-4F66-AEA1-58FE0E1DBD6F}"/>
    <cellStyle name="Migliaia 6 7 2 5" xfId="14344" xr:uid="{7895D403-28CA-4FEB-80AC-C38498A52793}"/>
    <cellStyle name="Migliaia 6 7 3" xfId="6892" xr:uid="{DAA68D4A-5EE0-4FFE-A25B-6754111481EF}"/>
    <cellStyle name="Migliaia 6 7 3 2" xfId="34821" xr:uid="{5644D2F1-EDF1-463A-BA94-6710F2A6F8F5}"/>
    <cellStyle name="Migliaia 6 7 3 3" xfId="21117" xr:uid="{EE4CEB99-4639-44B1-AD1F-79EE1D44CD74}"/>
    <cellStyle name="Migliaia 6 7 4" xfId="25620" xr:uid="{13C3AF6D-A0E5-4ADE-9E4D-A7E7861AFFF4}"/>
    <cellStyle name="Migliaia 6 7 5" xfId="16889" xr:uid="{AAC4C1E9-0E85-44CD-B30D-FA5505EFDBCB}"/>
    <cellStyle name="Migliaia 6 7 6" xfId="8406" xr:uid="{3BA7BBEF-54D3-4E86-83E0-2D224FBEDAA7}"/>
    <cellStyle name="Migliaia 6 8" xfId="3999" xr:uid="{8AA67740-0DD2-471F-9D0C-6D342C97ADEA}"/>
    <cellStyle name="Migliaia 6 8 2" xfId="5725" xr:uid="{64F3445A-06EC-4286-8CCA-D24FEE836B7C}"/>
    <cellStyle name="Migliaia 6 8 2 2" xfId="35514" xr:uid="{3D39E433-8653-4DDD-9E4C-6463CE69C87F}"/>
    <cellStyle name="Migliaia 6 8 2 2 2" xfId="40674" xr:uid="{E29F9245-8998-46EA-B2F1-6FE1BFB80200}"/>
    <cellStyle name="Migliaia 6 8 2 2 3" xfId="45976" xr:uid="{823E4F50-20F2-497D-A5A5-89ABFAE54203}"/>
    <cellStyle name="Migliaia 6 8 2 3" xfId="38023" xr:uid="{99554982-EC8E-47A9-B126-C456138072B1}"/>
    <cellStyle name="Migliaia 6 8 2 4" xfId="43325" xr:uid="{3A9322A5-A3F9-4686-8FDD-669740A4D7AB}"/>
    <cellStyle name="Migliaia 6 8 2 5" xfId="14049" xr:uid="{2A210DE9-1FF6-4226-B097-5FBB1D5716E1}"/>
    <cellStyle name="Migliaia 6 8 3" xfId="6893" xr:uid="{D072380F-86C2-4190-839B-B1B3DADB0D5F}"/>
    <cellStyle name="Migliaia 6 8 3 2" xfId="34822" xr:uid="{1079CD4D-3217-4A8D-B847-360B11AB58C9}"/>
    <cellStyle name="Migliaia 6 8 3 3" xfId="21118" xr:uid="{3F8B9630-A9AF-485D-B895-7DDDDD675BB1}"/>
    <cellStyle name="Migliaia 6 8 4" xfId="25621" xr:uid="{531F6B79-C278-4085-B906-E44E537DA1FF}"/>
    <cellStyle name="Migliaia 6 8 5" xfId="16890" xr:uid="{9DB7547F-60A4-48A2-8A48-6B727DC25FA1}"/>
    <cellStyle name="Migliaia 6 8 6" xfId="8042" xr:uid="{1EB4DDA0-B6B7-4B1D-8292-AFA4AF16E68E}"/>
    <cellStyle name="Migliaia 6 9" xfId="5710" xr:uid="{90CB8623-CDE7-4A82-8259-E06609741E91}"/>
    <cellStyle name="Migliaia 6 9 2" xfId="34823" xr:uid="{8798B9B6-641D-46E8-825A-BC42BD9AFDE8}"/>
    <cellStyle name="Migliaia 6 9 3" xfId="25622" xr:uid="{DC9B49D1-26E0-49D4-96E3-99DB44EDBA8F}"/>
    <cellStyle name="Migliaia 6 9 4" xfId="17245" xr:uid="{94E5F19A-B086-41BE-9ED6-08A022CA19ED}"/>
    <cellStyle name="Migliaia 60" xfId="525" xr:uid="{00000000-0005-0000-0000-0000B7040000}"/>
    <cellStyle name="Migliaia 60 10" xfId="6894" xr:uid="{B9BC1757-6C28-43DB-94D2-258B7312A454}"/>
    <cellStyle name="Migliaia 60 10 2" xfId="34824" xr:uid="{67E7A54F-F35A-4D34-820A-03E0B2BD1C7E}"/>
    <cellStyle name="Migliaia 60 10 3" xfId="21119" xr:uid="{F786AEA2-D4F6-43B4-A171-900108D2F3B8}"/>
    <cellStyle name="Migliaia 60 11" xfId="4000" xr:uid="{01271245-E097-4E07-9C57-AD227ADFBFE9}"/>
    <cellStyle name="Migliaia 60 11 2" xfId="25623" xr:uid="{B0087D10-9B83-4C0F-AB56-35F3385D47C1}"/>
    <cellStyle name="Migliaia 60 12" xfId="7210" xr:uid="{997FDB78-C30B-430B-84A5-7CC4D84D1F73}"/>
    <cellStyle name="Migliaia 60 2" xfId="526" xr:uid="{00000000-0005-0000-0000-0000B8040000}"/>
    <cellStyle name="Migliaia 60 2 2" xfId="1936" xr:uid="{00000000-0005-0000-0000-0000B9040000}"/>
    <cellStyle name="Migliaia 60 2 2 2" xfId="5728" xr:uid="{E8E90049-B7E1-4B1F-BE1A-8AEAE8F5E2B0}"/>
    <cellStyle name="Migliaia 60 2 2 2 2" xfId="14419" xr:uid="{E46C030A-16CF-44B9-8958-D7B963550816}"/>
    <cellStyle name="Migliaia 60 2 2 2 2 2" xfId="34827" xr:uid="{7CEF95E3-5AD0-4BEF-9289-9C71F9448DA9}"/>
    <cellStyle name="Migliaia 60 2 2 2 3" xfId="18530" xr:uid="{FCFF4159-F0B3-4BBF-9A35-4DFC0E172FDF}"/>
    <cellStyle name="Migliaia 60 2 2 2 4" xfId="21122" xr:uid="{C2FA1883-425C-4513-9C3A-A8017F6378FF}"/>
    <cellStyle name="Migliaia 60 2 2 2 5" xfId="25626" xr:uid="{56835684-E6E4-4787-8571-EF7F62D047DB}"/>
    <cellStyle name="Migliaia 60 2 2 2 6" xfId="16891" xr:uid="{75AE8D15-FBBC-490F-8667-FC4F37F64FF4}"/>
    <cellStyle name="Migliaia 60 2 2 2 7" xfId="8817" xr:uid="{BC90859F-3D08-4D5E-BF4E-79F917F40AF8}"/>
    <cellStyle name="Migliaia 60 2 2 3" xfId="6896" xr:uid="{7A662D1B-B423-4AC6-830C-D6522F084461}"/>
    <cellStyle name="Migliaia 60 2 2 3 2" xfId="35515" xr:uid="{4CD2ED2E-C970-4884-9382-4942FB040337}"/>
    <cellStyle name="Migliaia 60 2 2 3 2 2" xfId="40675" xr:uid="{656701AA-94A0-4154-86B0-798D87E9AB1D}"/>
    <cellStyle name="Migliaia 60 2 2 3 2 3" xfId="45977" xr:uid="{1DE71701-C2B0-4EFC-8D43-C1AEC98B4098}"/>
    <cellStyle name="Migliaia 60 2 2 3 3" xfId="38024" xr:uid="{4C12C4F7-DF8F-41BB-B332-E3A61F2D8CCD}"/>
    <cellStyle name="Migliaia 60 2 2 3 4" xfId="43326" xr:uid="{2FDF1843-B543-4EA4-942A-A070D4C0DF77}"/>
    <cellStyle name="Migliaia 60 2 2 3 5" xfId="11646" xr:uid="{289F32E6-A8C1-4367-835D-0FDDEA6D0B56}"/>
    <cellStyle name="Migliaia 60 2 2 4" xfId="4002" xr:uid="{B33F874A-D2E5-459C-8CBC-BBCFA5659CB8}"/>
    <cellStyle name="Migliaia 60 2 2 4 2" xfId="21648" xr:uid="{E30EACFB-398C-4D48-8AAD-D96780A79A0A}"/>
    <cellStyle name="Migliaia 60 2 2 4 3" xfId="34826" xr:uid="{B4AF1322-B906-40B9-886E-30FBA62D68E0}"/>
    <cellStyle name="Migliaia 60 2 2 4 4" xfId="47388" xr:uid="{E630E165-F783-4DDC-A820-B0DFAC286DD9}"/>
    <cellStyle name="Migliaia 60 2 2 4 5" xfId="50663" xr:uid="{50622E17-B467-4C17-901E-600C796D9CD5}"/>
    <cellStyle name="Migliaia 60 2 2 4 6" xfId="53679" xr:uid="{6D4E1CA5-B597-479B-8C75-4AB91741A9B4}"/>
    <cellStyle name="Migliaia 60 2 2 4 7" xfId="11013" xr:uid="{642A8FA3-EF34-46AB-9AAF-75A2ADCDE3B7}"/>
    <cellStyle name="Migliaia 60 2 2 5" xfId="21121" xr:uid="{93BA6E81-7CDC-4C21-A0F8-72FBBC26244F}"/>
    <cellStyle name="Migliaia 60 2 2 6" xfId="25625" xr:uid="{E40E2496-B421-4323-B653-8080663F21C4}"/>
    <cellStyle name="Migliaia 60 2 2 7" xfId="7627" xr:uid="{F0946935-C03B-4C48-9DCB-BDD59AE1C9D6}"/>
    <cellStyle name="Migliaia 60 2 3" xfId="4003" xr:uid="{9E09FCA5-168F-46C7-AEB9-E40DA8254710}"/>
    <cellStyle name="Migliaia 60 2 3 2" xfId="5729" xr:uid="{CB821AB2-4F81-4609-B47B-1D4788BDA8B6}"/>
    <cellStyle name="Migliaia 60 2 3 2 2" xfId="35516" xr:uid="{65D4460A-17E0-4F18-9FCC-81B3DD626BD5}"/>
    <cellStyle name="Migliaia 60 2 3 2 2 2" xfId="40676" xr:uid="{39B7FC4E-04BB-4E6A-BBBE-998B06FFB1BD}"/>
    <cellStyle name="Migliaia 60 2 3 2 2 3" xfId="45978" xr:uid="{001155A8-1515-4CD3-B705-C54278AE79A1}"/>
    <cellStyle name="Migliaia 60 2 3 2 3" xfId="38025" xr:uid="{3DCD2611-740C-42AD-945C-2DC598D1F25C}"/>
    <cellStyle name="Migliaia 60 2 3 2 4" xfId="43327" xr:uid="{52BFC30E-A51D-471E-A531-FC3191E434CC}"/>
    <cellStyle name="Migliaia 60 2 3 2 5" xfId="14348" xr:uid="{972FC79D-9955-489F-840B-90866E6314CB}"/>
    <cellStyle name="Migliaia 60 2 3 3" xfId="6897" xr:uid="{A0A20921-5323-4BC0-A00E-5879CDCBF050}"/>
    <cellStyle name="Migliaia 60 2 3 3 2" xfId="34828" xr:uid="{47A4A045-45EE-4FF3-A22D-75D2ACFD5924}"/>
    <cellStyle name="Migliaia 60 2 3 3 3" xfId="21123" xr:uid="{5662BC24-CEA2-4586-9B54-A0CBD83D8D9C}"/>
    <cellStyle name="Migliaia 60 2 3 4" xfId="25627" xr:uid="{36A8218F-CC22-4061-99C3-3D68F4F5DEF1}"/>
    <cellStyle name="Migliaia 60 2 3 5" xfId="16892" xr:uid="{16394299-E2ED-436D-9A9C-37C2A8603671}"/>
    <cellStyle name="Migliaia 60 2 3 6" xfId="8410" xr:uid="{FC4D7169-2C14-49AF-8700-FDA9CE0071BE}"/>
    <cellStyle name="Migliaia 60 2 4" xfId="5727" xr:uid="{02C2B89A-C30A-45D6-BAEE-9D7ACCE35542}"/>
    <cellStyle name="Migliaia 60 2 4 2" xfId="14053" xr:uid="{317A7B0F-48AE-40D1-92AE-D31F0058864A}"/>
    <cellStyle name="Migliaia 60 2 4 2 2" xfId="34829" xr:uid="{76D7DB75-8AD7-4A36-83AC-420BCB017663}"/>
    <cellStyle name="Migliaia 60 2 4 3" xfId="18683" xr:uid="{E3579C84-F947-4D14-ACA2-158D14B2E7CB}"/>
    <cellStyle name="Migliaia 60 2 4 4" xfId="21124" xr:uid="{61D8BDB0-D8F0-4966-AB2C-894C5619C28D}"/>
    <cellStyle name="Migliaia 60 2 4 5" xfId="25628" xr:uid="{9FD3226E-5D06-4005-951A-A65CEFF279ED}"/>
    <cellStyle name="Migliaia 60 2 4 6" xfId="16893" xr:uid="{F3A71664-A8FF-40B0-8101-20BFCC58AF5B}"/>
    <cellStyle name="Migliaia 60 2 4 7" xfId="8047" xr:uid="{6F4C05F3-3F74-42E6-9ED9-407BD6512380}"/>
    <cellStyle name="Migliaia 60 2 5" xfId="6895" xr:uid="{071117BE-EA62-485D-8268-DB432E4DB7EF}"/>
    <cellStyle name="Migliaia 60 2 5 2" xfId="34830" xr:uid="{B8C71280-D4AF-4EBB-91CD-B4443CABCD42}"/>
    <cellStyle name="Migliaia 60 2 5 3" xfId="25629" xr:uid="{C798074C-FC5C-45C7-8347-8DFADE68797D}"/>
    <cellStyle name="Migliaia 60 2 5 4" xfId="13159" xr:uid="{8D3122FE-4370-4A16-8DAF-D0508D6D46B9}"/>
    <cellStyle name="Migliaia 60 2 6" xfId="4001" xr:uid="{B571F1DE-CD08-4992-A2E6-BA66CF7EBBDB}"/>
    <cellStyle name="Migliaia 60 2 6 2" xfId="34831" xr:uid="{B3C0F04B-DDD8-4110-B6DA-A9DD3C503B6D}"/>
    <cellStyle name="Migliaia 60 2 6 3" xfId="25630" xr:uid="{0E65DB54-6E04-4BD1-B8E9-4CD52E31CE58}"/>
    <cellStyle name="Migliaia 60 2 6 4" xfId="21120" xr:uid="{F6C496F5-34A2-4467-B549-C521C8A6E198}"/>
    <cellStyle name="Migliaia 60 2 7" xfId="34825" xr:uid="{A418DDC8-AC95-4250-B2A5-A7B7CC11AFBD}"/>
    <cellStyle name="Migliaia 60 2 8" xfId="25624" xr:uid="{7466E294-31C2-49B4-87E0-6659A40D72F2}"/>
    <cellStyle name="Migliaia 60 2 9" xfId="7211" xr:uid="{07F92585-FFFE-40D0-BFC8-F9F89CFD7F10}"/>
    <cellStyle name="Migliaia 60 3" xfId="527" xr:uid="{00000000-0005-0000-0000-0000BA040000}"/>
    <cellStyle name="Migliaia 60 3 10" xfId="25631" xr:uid="{EF4C7264-CA50-4AAF-86D0-5B6943577BA2}"/>
    <cellStyle name="Migliaia 60 3 11" xfId="16894" xr:uid="{14F67867-D648-48D6-954C-B465D7FB3808}"/>
    <cellStyle name="Migliaia 60 3 12" xfId="7212" xr:uid="{03334771-8856-49E2-B169-29DFD0B37F9E}"/>
    <cellStyle name="Migliaia 60 3 2" xfId="528" xr:uid="{00000000-0005-0000-0000-0000BB040000}"/>
    <cellStyle name="Migliaia 60 3 2 2" xfId="1937" xr:uid="{00000000-0005-0000-0000-0000BC040000}"/>
    <cellStyle name="Migliaia 60 3 2 2 2" xfId="5732" xr:uid="{E48901DD-7636-4631-92DD-82F268962BA0}"/>
    <cellStyle name="Migliaia 60 3 2 2 2 2" xfId="18531" xr:uid="{E7FB255A-F50A-4C2D-902C-C170DAFD31C4}"/>
    <cellStyle name="Migliaia 60 3 2 2 2 2 2" xfId="21897" xr:uid="{88B4C254-FDFA-41DE-9463-8BD2B317C757}"/>
    <cellStyle name="Migliaia 60 3 2 2 2 2 3" xfId="34835" xr:uid="{3E4C1B02-FE94-4052-9144-DEFB371A0670}"/>
    <cellStyle name="Migliaia 60 3 2 2 2 3" xfId="25634" xr:uid="{AF9D9BB0-9B54-4886-AFA8-597007A21609}"/>
    <cellStyle name="Migliaia 60 3 2 2 2 4" xfId="46753" xr:uid="{3913300A-8315-4C9C-BADE-A91202AD3667}"/>
    <cellStyle name="Migliaia 60 3 2 2 2 5" xfId="50925" xr:uid="{DFB77ACB-2010-4D75-B24D-7591E0688151}"/>
    <cellStyle name="Migliaia 60 3 2 2 2 6" xfId="53941" xr:uid="{8D03A078-D52A-4A13-96DE-F9249B930F0D}"/>
    <cellStyle name="Migliaia 60 3 2 2 2 7" xfId="17696" xr:uid="{FC8ECFE2-D299-45F9-95CA-EEF1F4DAAE54}"/>
    <cellStyle name="Migliaia 60 3 2 2 2 8" xfId="12111" xr:uid="{3CAA9DEC-6E3B-4E91-93FE-798F3BE46125}"/>
    <cellStyle name="Migliaia 60 3 2 2 3" xfId="6900" xr:uid="{D9311C87-8566-4886-B993-CA3C54EDEC7C}"/>
    <cellStyle name="Migliaia 60 3 2 2 3 2" xfId="34834" xr:uid="{469ADCCD-68AE-4273-B38C-95BD721F9CBB}"/>
    <cellStyle name="Migliaia 60 3 2 2 3 3" xfId="12201" xr:uid="{C9B826D7-C564-4966-96C9-56009975FFD0}"/>
    <cellStyle name="Migliaia 60 3 2 2 4" xfId="4006" xr:uid="{464AC856-3A1D-4100-BA53-BE6A9D8D2CD7}"/>
    <cellStyle name="Migliaia 60 3 2 2 4 2" xfId="21649" xr:uid="{C477A76F-63B6-4239-AAD9-FCAEFBA80FED}"/>
    <cellStyle name="Migliaia 60 3 2 2 4 3" xfId="24239" xr:uid="{A0FD20C2-72F2-42DD-9B35-A8779E5CCD3B}"/>
    <cellStyle name="Migliaia 60 3 2 2 4 4" xfId="50664" xr:uid="{35E88E8C-CCC5-408B-A3BC-13F146F2D52E}"/>
    <cellStyle name="Migliaia 60 3 2 2 4 5" xfId="53680" xr:uid="{AF8E30FB-35FE-45FC-987B-3F783406DF2B}"/>
    <cellStyle name="Migliaia 60 3 2 2 4 6" xfId="11014" xr:uid="{07E26C10-C516-4D40-AC28-104F6CEAB6EB}"/>
    <cellStyle name="Migliaia 60 3 2 2 5" xfId="21127" xr:uid="{0EC07E55-EF1A-484A-8920-DBCF984A60DF}"/>
    <cellStyle name="Migliaia 60 3 2 2 6" xfId="25633" xr:uid="{22C96A3B-DE26-4B4F-9946-B14C3D31E2E8}"/>
    <cellStyle name="Migliaia 60 3 2 2 7" xfId="8819" xr:uid="{D261A8EE-AD31-4F8F-852C-CB45AF699629}"/>
    <cellStyle name="Migliaia 60 3 2 3" xfId="5731" xr:uid="{6E69AE47-27DE-4953-8D16-5F88EAECC4A6}"/>
    <cellStyle name="Migliaia 60 3 2 3 2" xfId="12219" xr:uid="{507E7281-5663-46B1-A5C1-2003BB5B7F51}"/>
    <cellStyle name="Migliaia 60 3 2 3 2 2" xfId="34836" xr:uid="{985D9ED9-D521-4896-8ECA-D35481C04ADD}"/>
    <cellStyle name="Migliaia 60 3 2 3 3" xfId="12112" xr:uid="{28D7D73E-BF7A-4A14-8E8C-4316B27ABEDD}"/>
    <cellStyle name="Migliaia 60 3 2 3 4" xfId="21128" xr:uid="{A1A954DF-CD45-4BFF-AEF6-A85EBED4BE6E}"/>
    <cellStyle name="Migliaia 60 3 2 3 5" xfId="25635" xr:uid="{8C7636C0-531F-44B9-AC89-AA7710BA2B82}"/>
    <cellStyle name="Migliaia 60 3 2 3 6" xfId="16895" xr:uid="{83205585-2F72-49FE-8AA8-4A0427B07D23}"/>
    <cellStyle name="Migliaia 60 3 2 3 7" xfId="8049" xr:uid="{2D2C5528-2100-4CFA-9593-5D826ACD7CC8}"/>
    <cellStyle name="Migliaia 60 3 2 4" xfId="6899" xr:uid="{2B741818-763D-4849-8FB7-2A4428D8C4F3}"/>
    <cellStyle name="Migliaia 60 3 2 4 2" xfId="18113" xr:uid="{133A257E-F088-4D02-BA51-371889F60C48}"/>
    <cellStyle name="Migliaia 60 3 2 4 2 2" xfId="34837" xr:uid="{33A5336E-6440-45C4-8D9C-3655393F3C85}"/>
    <cellStyle name="Migliaia 60 3 2 4 3" xfId="25636" xr:uid="{BCB20724-76BF-435D-8C2D-F89B7FA69277}"/>
    <cellStyle name="Migliaia 60 3 2 4 4" xfId="17248" xr:uid="{E84B35E2-5B67-447D-A4C5-303B36A312E4}"/>
    <cellStyle name="Migliaia 60 3 2 4 5" xfId="11464" xr:uid="{A88A82BD-262F-4D2C-A023-5C2810A2399A}"/>
    <cellStyle name="Migliaia 60 3 2 5" xfId="4005" xr:uid="{9DF76BB5-32EE-463E-95DC-AFDD4B9387D9}"/>
    <cellStyle name="Migliaia 60 3 2 5 2" xfId="34838" xr:uid="{039FA886-FC9A-41E6-8763-E07FD5C09CD2}"/>
    <cellStyle name="Migliaia 60 3 2 5 3" xfId="25637" xr:uid="{CC497A38-B40E-460F-B397-F9A80930EF23}"/>
    <cellStyle name="Migliaia 60 3 2 5 4" xfId="17258" xr:uid="{EE5F5B10-3C4A-4862-8E76-016D47FB21E9}"/>
    <cellStyle name="Migliaia 60 3 2 6" xfId="21126" xr:uid="{4183C71A-CF2A-4E25-A074-C1F930F89F9D}"/>
    <cellStyle name="Migliaia 60 3 2 6 2" xfId="34839" xr:uid="{3C214B16-256C-4AF4-BD5E-833E6039EB86}"/>
    <cellStyle name="Migliaia 60 3 2 6 3" xfId="25638" xr:uid="{1669AD2C-AB76-4653-8BB5-49F1FE563DBC}"/>
    <cellStyle name="Migliaia 60 3 2 7" xfId="34833" xr:uid="{28E2DFDA-93B6-4BD4-9208-2FFF57C33D1C}"/>
    <cellStyle name="Migliaia 60 3 2 8" xfId="25632" xr:uid="{BEC153C4-71E8-4B3A-B91D-BF2CD4562058}"/>
    <cellStyle name="Migliaia 60 3 2 9" xfId="7629" xr:uid="{D67C0361-EBE0-4B87-9B39-451B7EC1FB87}"/>
    <cellStyle name="Migliaia 60 3 3" xfId="4007" xr:uid="{B88B0314-4626-49A4-A6EF-7EC04089FE98}"/>
    <cellStyle name="Migliaia 60 3 3 2" xfId="5733" xr:uid="{08FB6EE2-7D97-4734-9678-838D2B1E92FB}"/>
    <cellStyle name="Migliaia 60 3 3 2 2" xfId="9994" xr:uid="{E8FE569A-956B-4802-9548-3274A0A8546D}"/>
    <cellStyle name="Migliaia 60 3 3 2 2 2" xfId="34841" xr:uid="{B8C8CAE7-73F4-44A1-8698-2472AEFCB027}"/>
    <cellStyle name="Migliaia 60 3 3 2 3" xfId="18274" xr:uid="{1AB8FD89-7A54-4562-9807-7687FCA84286}"/>
    <cellStyle name="Migliaia 60 3 3 2 4" xfId="21130" xr:uid="{7FBF85F7-C917-4AB6-A97C-5700379B0504}"/>
    <cellStyle name="Migliaia 60 3 3 2 5" xfId="25640" xr:uid="{BA10CA02-0138-49B8-A6AF-746C68AC22B1}"/>
    <cellStyle name="Migliaia 60 3 3 2 6" xfId="16897" xr:uid="{F7CAB839-F9C4-454B-9A3D-16D35716FC91}"/>
    <cellStyle name="Migliaia 60 3 3 2 7" xfId="8818" xr:uid="{FF1E4FC7-918A-42F7-95AA-2C7E9C68BB4B}"/>
    <cellStyle name="Migliaia 60 3 3 3" xfId="6901" xr:uid="{D371E093-E284-49B4-B3EE-A42DB7F2566F}"/>
    <cellStyle name="Migliaia 60 3 3 3 2" xfId="34842" xr:uid="{D11E37F2-AAF0-4F13-9380-17A3E35E9D53}"/>
    <cellStyle name="Migliaia 60 3 3 3 3" xfId="25641" xr:uid="{18E5964A-2127-493E-AD87-817C66F7F1AB}"/>
    <cellStyle name="Migliaia 60 3 3 3 4" xfId="9757" xr:uid="{87548E13-F53A-4FC6-B9F6-69B3C5FAEE61}"/>
    <cellStyle name="Migliaia 60 3 3 4" xfId="21129" xr:uid="{8A3911B9-7B40-4382-AB46-97FE812B4AB5}"/>
    <cellStyle name="Migliaia 60 3 3 4 2" xfId="34843" xr:uid="{6307682A-A040-4B09-94CD-72988C74056D}"/>
    <cellStyle name="Migliaia 60 3 3 4 3" xfId="25642" xr:uid="{ECF071C2-FCCF-476E-9BF5-51C9E4E14447}"/>
    <cellStyle name="Migliaia 60 3 3 4 4" xfId="48906" xr:uid="{32F59147-AA29-4F1A-BC2F-E66E09475FD3}"/>
    <cellStyle name="Migliaia 60 3 3 5" xfId="25643" xr:uid="{8A9CCFF9-E25F-4D34-BDD3-AD238DAE5157}"/>
    <cellStyle name="Migliaia 60 3 3 5 2" xfId="34844" xr:uid="{8BE4A7FD-9AC7-4531-8421-76ECD31A11B6}"/>
    <cellStyle name="Migliaia 60 3 3 5 3" xfId="48907" xr:uid="{CF561DF8-8F76-4717-BC90-4A85D1728256}"/>
    <cellStyle name="Migliaia 60 3 3 6" xfId="34840" xr:uid="{5D3605A4-292A-4B77-8E01-12E8E6107007}"/>
    <cellStyle name="Migliaia 60 3 3 7" xfId="25639" xr:uid="{EC03A99B-3A88-4D15-B167-1C524BA0AC3F}"/>
    <cellStyle name="Migliaia 60 3 3 8" xfId="16896" xr:uid="{DA5F8A19-D0DA-4C1B-BCCE-6D9F89A2A3C4}"/>
    <cellStyle name="Migliaia 60 3 3 9" xfId="7628" xr:uid="{F7021454-B949-45F9-844B-48FA0DB1A70F}"/>
    <cellStyle name="Migliaia 60 3 4" xfId="4008" xr:uid="{AA60A637-919D-4D1F-9A0A-C78697BAE7B2}"/>
    <cellStyle name="Migliaia 60 3 4 2" xfId="5734" xr:uid="{06ABAEB4-95B8-4140-B147-AFA2FA315057}"/>
    <cellStyle name="Migliaia 60 3 4 2 2" xfId="14479" xr:uid="{6DF6B5BD-7A6C-46A8-B6AE-6B61E448379E}"/>
    <cellStyle name="Migliaia 60 3 4 2 3" xfId="18137" xr:uid="{216557AF-B5D6-4BAB-8AC2-2F5DEA393158}"/>
    <cellStyle name="Migliaia 60 3 4 2 4" xfId="21132" xr:uid="{D974F19C-1A0C-4E5A-B447-4535912A96C1}"/>
    <cellStyle name="Migliaia 60 3 4 2 5" xfId="32487" xr:uid="{D3D9F6DA-6BCA-47E6-BC7E-A0F5CE70C7CE}"/>
    <cellStyle name="Migliaia 60 3 4 2 6" xfId="16899" xr:uid="{A25F92EF-8C69-462F-94E1-EBF214D2EB2F}"/>
    <cellStyle name="Migliaia 60 3 4 2 7" xfId="8902" xr:uid="{F44126E0-8334-4C82-9489-86A00083CF2E}"/>
    <cellStyle name="Migliaia 60 3 4 3" xfId="6902" xr:uid="{063CFC75-FE31-4C53-8868-69CE6950C5AF}"/>
    <cellStyle name="Migliaia 60 3 4 3 2" xfId="35517" xr:uid="{CC617D12-5CA8-4686-A4E8-F34A9C4E7068}"/>
    <cellStyle name="Migliaia 60 3 4 3 2 2" xfId="40677" xr:uid="{CC3F577C-8991-49D0-887C-A038FBE00977}"/>
    <cellStyle name="Migliaia 60 3 4 3 2 3" xfId="45979" xr:uid="{5B9388B8-DF10-4331-B8E3-6B56941D07ED}"/>
    <cellStyle name="Migliaia 60 3 4 3 3" xfId="38026" xr:uid="{D4EE5400-F03E-4C88-914A-E5854729464B}"/>
    <cellStyle name="Migliaia 60 3 4 3 4" xfId="43328" xr:uid="{437603B9-9C83-4EE3-B1A6-7375B4E2DC18}"/>
    <cellStyle name="Migliaia 60 3 4 3 5" xfId="13727" xr:uid="{076C0AFD-B8E6-402B-A20C-0900603990C9}"/>
    <cellStyle name="Migliaia 60 3 4 4" xfId="21131" xr:uid="{36B76F95-501F-4FD1-963E-8348205D09DB}"/>
    <cellStyle name="Migliaia 60 3 4 4 2" xfId="34845" xr:uid="{5E21949B-211D-4725-80FC-F4AE788FBED8}"/>
    <cellStyle name="Migliaia 60 3 4 5" xfId="25644" xr:uid="{9022996A-B4BC-454D-BE78-5D4C6FD5308A}"/>
    <cellStyle name="Migliaia 60 3 4 6" xfId="16898" xr:uid="{909E30EA-683F-4A40-9FBE-0D211B0E0290}"/>
    <cellStyle name="Migliaia 60 3 4 7" xfId="7712" xr:uid="{33205B5E-DCD4-48DB-99DD-EFC5AF47112C}"/>
    <cellStyle name="Migliaia 60 3 5" xfId="4009" xr:uid="{C48E4ECE-2A4D-41A7-B64B-D234CEE0C308}"/>
    <cellStyle name="Migliaia 60 3 5 2" xfId="5735" xr:uid="{DA1AAEBE-6432-4801-A049-F282B9B35673}"/>
    <cellStyle name="Migliaia 60 3 5 2 2" xfId="35518" xr:uid="{D96A23E6-9419-4255-9C14-1BA07F0ED6A8}"/>
    <cellStyle name="Migliaia 60 3 5 2 2 2" xfId="40678" xr:uid="{5A16FAD1-08AA-43C4-94CC-3A17ACA0D8E9}"/>
    <cellStyle name="Migliaia 60 3 5 2 2 3" xfId="45980" xr:uid="{A831518D-C7A2-470F-B1BA-30C79BA49B83}"/>
    <cellStyle name="Migliaia 60 3 5 2 3" xfId="38027" xr:uid="{374AA49A-76E9-4428-8118-DB7B245C1FF0}"/>
    <cellStyle name="Migliaia 60 3 5 2 4" xfId="43329" xr:uid="{D5897B3C-C55C-4AC7-956E-8D346793E4C5}"/>
    <cellStyle name="Migliaia 60 3 5 2 5" xfId="14349" xr:uid="{A5576A56-64A7-4A31-8547-231AEB6E6894}"/>
    <cellStyle name="Migliaia 60 3 5 3" xfId="6903" xr:uid="{405A201B-82E3-43F9-93A9-BF6790FA0F60}"/>
    <cellStyle name="Migliaia 60 3 5 3 2" xfId="34846" xr:uid="{DC0F01DF-4F94-4748-A07D-7FFD6660AFFE}"/>
    <cellStyle name="Migliaia 60 3 5 3 3" xfId="21133" xr:uid="{271E87FC-A47B-42C7-8D06-2067239978E0}"/>
    <cellStyle name="Migliaia 60 3 5 4" xfId="25645" xr:uid="{0C725AB4-4EF2-40A4-8D41-338C7697DAD8}"/>
    <cellStyle name="Migliaia 60 3 5 5" xfId="16900" xr:uid="{835F5BE9-B56E-49E2-AB5A-5ACCC0EFB649}"/>
    <cellStyle name="Migliaia 60 3 5 6" xfId="8411" xr:uid="{2128DEF7-1A93-41F5-9D38-7CC53FBB1CE6}"/>
    <cellStyle name="Migliaia 60 3 6" xfId="5730" xr:uid="{72BE31CA-5C90-478D-9E97-2F5357207F69}"/>
    <cellStyle name="Migliaia 60 3 6 2" xfId="14054" xr:uid="{880EC04F-DB17-40C5-A952-68A1789296A4}"/>
    <cellStyle name="Migliaia 60 3 6 2 2" xfId="34847" xr:uid="{A6FD7701-71EE-4A61-8820-C1C373C45CA6}"/>
    <cellStyle name="Migliaia 60 3 6 3" xfId="18682" xr:uid="{67327489-BFB6-4718-904D-0AA5E27A1C08}"/>
    <cellStyle name="Migliaia 60 3 6 4" xfId="21134" xr:uid="{A1F9BCF5-7932-452D-ABDF-A462F57BF60B}"/>
    <cellStyle name="Migliaia 60 3 6 5" xfId="25646" xr:uid="{CB918F62-860B-4C52-AC8A-CC5265632C2B}"/>
    <cellStyle name="Migliaia 60 3 6 6" xfId="16901" xr:uid="{08B7A4FE-68D7-4190-8EFC-A5DF040776A5}"/>
    <cellStyle name="Migliaia 60 3 6 7" xfId="8048" xr:uid="{3E8B0A45-6D7E-439C-B773-BBD7E998ECC3}"/>
    <cellStyle name="Migliaia 60 3 7" xfId="6898" xr:uid="{D0A361DC-1E0F-4413-9F05-3266F01B2E54}"/>
    <cellStyle name="Migliaia 60 3 7 2" xfId="34848" xr:uid="{25A9E28F-CF26-483D-85AE-70C38F4286A4}"/>
    <cellStyle name="Migliaia 60 3 7 3" xfId="25647" xr:uid="{1D4585A2-9C97-43F2-9C6F-FDB0282F203B}"/>
    <cellStyle name="Migliaia 60 3 7 4" xfId="11216" xr:uid="{10C140C7-3559-4E13-9C7B-9C0C2F7F315A}"/>
    <cellStyle name="Migliaia 60 3 8" xfId="4004" xr:uid="{3CAEBF58-AFF2-4E51-9F4B-1E5D4E84335B}"/>
    <cellStyle name="Migliaia 60 3 8 2" xfId="34849" xr:uid="{3AD03FC3-A720-4751-903F-EB1A617CFE53}"/>
    <cellStyle name="Migliaia 60 3 8 3" xfId="25648" xr:uid="{A24DE9E7-7F5F-4DE2-8840-401C56E64419}"/>
    <cellStyle name="Migliaia 60 3 8 4" xfId="17259" xr:uid="{11725F20-487D-4499-A951-4E619D91ABE6}"/>
    <cellStyle name="Migliaia 60 3 9" xfId="21125" xr:uid="{47857A7C-596E-410D-B79A-666908AB6534}"/>
    <cellStyle name="Migliaia 60 3 9 2" xfId="34832" xr:uid="{A8776877-4C7B-4F15-A590-28B0703E2928}"/>
    <cellStyle name="Migliaia 60 4" xfId="1938" xr:uid="{00000000-0005-0000-0000-0000BD040000}"/>
    <cellStyle name="Migliaia 60 4 10" xfId="7630" xr:uid="{85417A3D-B678-49C6-9EDB-D2538F29C763}"/>
    <cellStyle name="Migliaia 60 4 2" xfId="1939" xr:uid="{00000000-0005-0000-0000-0000BE040000}"/>
    <cellStyle name="Migliaia 60 4 2 2" xfId="5737" xr:uid="{6FA717F5-2FAF-4F42-9C70-8D7551DBA312}"/>
    <cellStyle name="Migliaia 60 4 2 2 2" xfId="34852" xr:uid="{7F2CE01A-741B-4A0B-8FA5-7A8989B75DF6}"/>
    <cellStyle name="Migliaia 60 4 2 2 3" xfId="25651" xr:uid="{5D52D723-9B10-44E1-A869-4FDBA1F663EE}"/>
    <cellStyle name="Migliaia 60 4 2 2 4" xfId="9220" xr:uid="{9D25BD1D-CCBF-47C9-A8A9-4FD7A2DCC938}"/>
    <cellStyle name="Migliaia 60 4 2 3" xfId="4011" xr:uid="{F1AC3A86-90B7-41BE-A358-C1EB138FA038}"/>
    <cellStyle name="Migliaia 60 4 2 3 2" xfId="34853" xr:uid="{BD0681EB-886D-480C-9B83-9314E14D46E9}"/>
    <cellStyle name="Migliaia 60 4 2 3 3" xfId="25652" xr:uid="{308C7F9F-0D9E-4570-8BEB-9A65EBD81828}"/>
    <cellStyle name="Migliaia 60 4 2 3 4" xfId="12113" xr:uid="{D2B762BE-4844-42D6-8F7A-27FE9A97D69B}"/>
    <cellStyle name="Migliaia 60 4 2 4" xfId="11466" xr:uid="{7FBC69CE-7F70-4102-B945-5B0606625E44}"/>
    <cellStyle name="Migliaia 60 4 2 4 2" xfId="34851" xr:uid="{E87E0F1F-DD70-4B63-8351-A2B0871E92D9}"/>
    <cellStyle name="Migliaia 60 4 2 5" xfId="11016" xr:uid="{A3F056F4-059C-4956-8200-116E205441F6}"/>
    <cellStyle name="Migliaia 60 4 2 5 2" xfId="21651" xr:uid="{2262CC88-ECF3-48E1-8677-F19746AB5C28}"/>
    <cellStyle name="Migliaia 60 4 2 5 3" xfId="25182" xr:uid="{D8F25D9B-A870-4D8B-95E2-A19D3DB42A92}"/>
    <cellStyle name="Migliaia 60 4 2 5 4" xfId="50666" xr:uid="{6B6B31BB-1B7E-4DBB-89D3-E7CC2D3F632F}"/>
    <cellStyle name="Migliaia 60 4 2 5 5" xfId="53682" xr:uid="{8957DDD5-86DF-4DEE-B9B1-D218757C4DCF}"/>
    <cellStyle name="Migliaia 60 4 2 6" xfId="21136" xr:uid="{4EEE9278-EB78-40CE-B590-F1F987C0F0CF}"/>
    <cellStyle name="Migliaia 60 4 2 7" xfId="25650" xr:uid="{9CBC27AC-E75B-404C-A905-CB976CC8E14E}"/>
    <cellStyle name="Migliaia 60 4 2 8" xfId="8820" xr:uid="{9F0DA758-D8E3-40BD-91BD-31386D4B3E08}"/>
    <cellStyle name="Migliaia 60 4 3" xfId="5736" xr:uid="{46E40743-CED9-4BB0-8F45-BF3AD632E03A}"/>
    <cellStyle name="Migliaia 60 4 3 2" xfId="18275" xr:uid="{DFF691B9-8F6F-4CE6-B748-AE744C5C604D}"/>
    <cellStyle name="Migliaia 60 4 3 2 2" xfId="34854" xr:uid="{F23B7E35-2C76-4192-8098-FEB8B591A053}"/>
    <cellStyle name="Migliaia 60 4 3 3" xfId="25653" xr:uid="{97F1CA19-3A94-415C-8A3E-B6944B736E44}"/>
    <cellStyle name="Migliaia 60 4 3 4" xfId="17257" xr:uid="{05202BA7-49C8-449D-8549-3CA07FC9CA89}"/>
    <cellStyle name="Migliaia 60 4 3 5" xfId="9221" xr:uid="{2BE40F6F-7E8A-4EF6-B447-2C48AEA9B19F}"/>
    <cellStyle name="Migliaia 60 4 4" xfId="6904" xr:uid="{04EB69FA-DF80-4050-8B00-9006751E6441}"/>
    <cellStyle name="Migliaia 60 4 4 2" xfId="34855" xr:uid="{A5C5BED3-047D-4791-AFD0-66E1D804924B}"/>
    <cellStyle name="Migliaia 60 4 4 3" xfId="25654" xr:uid="{19B7AA92-59B6-4C92-B513-E514AE1C290B}"/>
    <cellStyle name="Migliaia 60 4 4 4" xfId="12114" xr:uid="{CECDFBC0-E094-48A6-8268-B1D9DAC2F262}"/>
    <cellStyle name="Migliaia 60 4 5" xfId="4010" xr:uid="{4EAE7764-ADEF-451E-99DD-4F8CD5E91DAF}"/>
    <cellStyle name="Migliaia 60 4 5 2" xfId="34856" xr:uid="{A33719AD-7E33-4D66-9E0F-171BC5D62D76}"/>
    <cellStyle name="Migliaia 60 4 5 3" xfId="25655" xr:uid="{11855AE7-CE85-49DB-ADF4-268D8AB7148B}"/>
    <cellStyle name="Migliaia 60 4 5 4" xfId="11465" xr:uid="{AE6793BF-68F8-45D1-AB2E-B8142E955EBF}"/>
    <cellStyle name="Migliaia 60 4 6" xfId="11015" xr:uid="{A7A9C0B9-7D75-4D80-AD67-36AB162FFEBE}"/>
    <cellStyle name="Migliaia 60 4 6 2" xfId="21650" xr:uid="{BE357CC5-BB13-422D-A315-B31C13616714}"/>
    <cellStyle name="Migliaia 60 4 6 2 2" xfId="34857" xr:uid="{9F988635-65DA-4CF6-B346-5FBBA1C4784F}"/>
    <cellStyle name="Migliaia 60 4 6 3" xfId="25656" xr:uid="{1666EB64-F638-4140-81A4-701F270BB628}"/>
    <cellStyle name="Migliaia 60 4 6 4" xfId="47124" xr:uid="{F3845C8B-5967-4141-AAB5-3D3E6E27F86F}"/>
    <cellStyle name="Migliaia 60 4 6 5" xfId="48908" xr:uid="{BEB98916-2989-440B-9AD6-3D91F7E9B6D7}"/>
    <cellStyle name="Migliaia 60 4 6 6" xfId="50665" xr:uid="{5B9204F3-4724-41BC-AD97-E947EE4D1725}"/>
    <cellStyle name="Migliaia 60 4 6 7" xfId="53681" xr:uid="{8881DF05-CBB9-4F69-A7EF-E960818755FA}"/>
    <cellStyle name="Migliaia 60 4 7" xfId="21135" xr:uid="{143CCBA2-F9CA-46DB-B4A7-5E9892D2B74C}"/>
    <cellStyle name="Migliaia 60 4 7 2" xfId="34858" xr:uid="{845EB87B-C460-4140-A166-E2708EF4F5F3}"/>
    <cellStyle name="Migliaia 60 4 7 3" xfId="25657" xr:uid="{D47F8420-7CF3-4695-ADF0-DF7CB5AF305A}"/>
    <cellStyle name="Migliaia 60 4 8" xfId="34850" xr:uid="{D52DEC98-EB13-4ECE-AE02-64A30E41043A}"/>
    <cellStyle name="Migliaia 60 4 9" xfId="25649" xr:uid="{2D392A67-B045-470C-9C70-BEFE6A7FE118}"/>
    <cellStyle name="Migliaia 60 5" xfId="1940" xr:uid="{00000000-0005-0000-0000-0000BF040000}"/>
    <cellStyle name="Migliaia 60 5 2" xfId="5738" xr:uid="{E38962C9-A1AA-40F7-8F66-3194A4D277F1}"/>
    <cellStyle name="Migliaia 60 5 2 2" xfId="18532" xr:uid="{B21141B7-B012-4AC1-A7CA-BB13BA82AA93}"/>
    <cellStyle name="Migliaia 60 5 2 2 2" xfId="34860" xr:uid="{158DA2A3-F84F-46A2-B4EE-328E6C5E234E}"/>
    <cellStyle name="Migliaia 60 5 2 3" xfId="21138" xr:uid="{ADDCDFF1-35FC-40E4-98CA-7631054D1A03}"/>
    <cellStyle name="Migliaia 60 5 2 4" xfId="25659" xr:uid="{5D65B1E4-6D0B-4F64-96D8-A7C76433399D}"/>
    <cellStyle name="Migliaia 60 5 2 5" xfId="16902" xr:uid="{2F6ED71A-5E16-4BCA-9030-3CE4BF357371}"/>
    <cellStyle name="Migliaia 60 5 2 6" xfId="8821" xr:uid="{F4250125-A8CE-4BF7-A5E3-2FC0D8FB3B45}"/>
    <cellStyle name="Migliaia 60 5 3" xfId="6905" xr:uid="{45B0DF2F-BC78-425F-81CA-C95247B1D9AB}"/>
    <cellStyle name="Migliaia 60 5 3 2" xfId="34861" xr:uid="{878DEA1D-891B-4875-8284-460AC8AED89E}"/>
    <cellStyle name="Migliaia 60 5 3 3" xfId="25660" xr:uid="{CE2D6C3E-3F31-44C1-BE2A-FA1E333AE5A2}"/>
    <cellStyle name="Migliaia 60 5 3 4" xfId="11467" xr:uid="{6C51C937-D393-4652-9905-B9FCA61A66D9}"/>
    <cellStyle name="Migliaia 60 5 4" xfId="4012" xr:uid="{C8D9AF4B-81DF-450A-BA59-28BB253A7C59}"/>
    <cellStyle name="Migliaia 60 5 4 2" xfId="21652" xr:uid="{08622885-AC34-4B73-A674-E4ADFB16D618}"/>
    <cellStyle name="Migliaia 60 5 4 2 2" xfId="34862" xr:uid="{9B697C13-885C-41E3-B688-9FE9A454C1D7}"/>
    <cellStyle name="Migliaia 60 5 4 3" xfId="25661" xr:uid="{2BE39A58-8058-43E0-BCB5-5E8584F726AD}"/>
    <cellStyle name="Migliaia 60 5 4 4" xfId="47220" xr:uid="{2527523B-EC27-43F5-A052-81409F07F9C3}"/>
    <cellStyle name="Migliaia 60 5 4 5" xfId="48909" xr:uid="{265DF81D-0419-42D9-8EDA-097778C8EE79}"/>
    <cellStyle name="Migliaia 60 5 4 6" xfId="50667" xr:uid="{4C6517F2-78A6-4148-AAA5-535F112F6800}"/>
    <cellStyle name="Migliaia 60 5 4 7" xfId="53683" xr:uid="{9346D495-F834-48A3-9030-DE378B17A10D}"/>
    <cellStyle name="Migliaia 60 5 4 8" xfId="11017" xr:uid="{FB8EC844-46F2-427E-8B49-C9D257A46473}"/>
    <cellStyle name="Migliaia 60 5 5" xfId="21137" xr:uid="{B3441E5A-F687-4975-892B-89734A528862}"/>
    <cellStyle name="Migliaia 60 5 5 2" xfId="34863" xr:uid="{634B0640-1937-48D7-AB87-F4039706B411}"/>
    <cellStyle name="Migliaia 60 5 5 3" xfId="25662" xr:uid="{E2AC4E88-6E37-4BFD-81A0-748E455FFF58}"/>
    <cellStyle name="Migliaia 60 5 5 4" xfId="48910" xr:uid="{F8747EAD-F828-4F97-B262-BD8EDD4DEBF3}"/>
    <cellStyle name="Migliaia 60 5 6" xfId="25663" xr:uid="{B7CC3284-86D6-4DEE-9C7B-65A4BC8D1126}"/>
    <cellStyle name="Migliaia 60 5 6 2" xfId="34864" xr:uid="{5512B76F-4F07-47A5-AE84-9C1CB84B7010}"/>
    <cellStyle name="Migliaia 60 5 7" xfId="34859" xr:uid="{4A001F82-385B-4F35-9919-B7EB81038444}"/>
    <cellStyle name="Migliaia 60 5 8" xfId="25658" xr:uid="{97DB1EDD-B2DE-40B0-A003-89A0E367602B}"/>
    <cellStyle name="Migliaia 60 5 9" xfId="7631" xr:uid="{82A70D45-13D5-446D-927A-A501F4968D59}"/>
    <cellStyle name="Migliaia 60 6" xfId="4013" xr:uid="{A4C9FF9A-E82B-4B1C-9162-B4E8FF9261E2}"/>
    <cellStyle name="Migliaia 60 6 2" xfId="5739" xr:uid="{74FB8CC8-0B0B-4663-B1BD-C0A8154AE315}"/>
    <cellStyle name="Migliaia 60 6 2 2" xfId="9993" xr:uid="{18B64D58-B031-414D-930E-C7EEE97A761D}"/>
    <cellStyle name="Migliaia 60 6 2 3" xfId="18632" xr:uid="{B61E68AD-7678-4C0C-B675-7D1942B1B001}"/>
    <cellStyle name="Migliaia 60 6 2 4" xfId="21140" xr:uid="{6BBC80A6-D245-4A2D-AA38-55F0D714874A}"/>
    <cellStyle name="Migliaia 60 6 2 5" xfId="32488" xr:uid="{17E068AE-BBBF-4110-BC5E-99FFBB4359A4}"/>
    <cellStyle name="Migliaia 60 6 2 6" xfId="16904" xr:uid="{8CA6BD4E-6FA4-42E6-A738-D94A9224EF05}"/>
    <cellStyle name="Migliaia 60 6 2 7" xfId="8816" xr:uid="{32BBEFEF-3C7A-4CDC-8468-06D95B4FD8CD}"/>
    <cellStyle name="Migliaia 60 6 3" xfId="6906" xr:uid="{76448804-D996-469D-8EE7-12B4922071FC}"/>
    <cellStyle name="Migliaia 60 6 3 2" xfId="35519" xr:uid="{6ED26C66-0B46-4128-8C20-DAA49F547D39}"/>
    <cellStyle name="Migliaia 60 6 3 2 2" xfId="40679" xr:uid="{9D374663-1977-4E16-A161-D598CD00FB99}"/>
    <cellStyle name="Migliaia 60 6 3 2 3" xfId="45981" xr:uid="{9E885CA9-54DF-4816-B596-7F5DCDCBF1DA}"/>
    <cellStyle name="Migliaia 60 6 3 3" xfId="38028" xr:uid="{E759E703-CA5B-4A0D-99C0-7C6127DC9B67}"/>
    <cellStyle name="Migliaia 60 6 3 4" xfId="43330" xr:uid="{414D056F-9824-428B-9CD6-FA1CDDFCC3BB}"/>
    <cellStyle name="Migliaia 60 6 3 5" xfId="9756" xr:uid="{3E424250-2ECF-4962-9945-D3495C06360A}"/>
    <cellStyle name="Migliaia 60 6 4" xfId="21139" xr:uid="{F2955B28-AB60-4EE7-B7E3-26D247DE01A7}"/>
    <cellStyle name="Migliaia 60 6 4 2" xfId="34865" xr:uid="{092E445C-BD9D-4DA4-8C78-9BAFC9BA4B53}"/>
    <cellStyle name="Migliaia 60 6 5" xfId="25664" xr:uid="{731BC6A0-62D8-473E-B04E-146E30D49F45}"/>
    <cellStyle name="Migliaia 60 6 6" xfId="16903" xr:uid="{47BBCFDD-7C33-4A83-8928-5BC46567616B}"/>
    <cellStyle name="Migliaia 60 6 7" xfId="7626" xr:uid="{F4837B70-9E9A-476A-A3A1-FBB0279D710C}"/>
    <cellStyle name="Migliaia 60 7" xfId="4014" xr:uid="{E9392378-1A6E-4B87-B7DF-411B98CC9D8C}"/>
    <cellStyle name="Migliaia 60 7 2" xfId="5740" xr:uid="{F1933EF3-34DB-4B5F-A96C-D8FB58DD540B}"/>
    <cellStyle name="Migliaia 60 7 2 2" xfId="35520" xr:uid="{3B4AA3BD-DEE5-4B0C-A773-C9684A25A761}"/>
    <cellStyle name="Migliaia 60 7 2 2 2" xfId="40680" xr:uid="{30E04BC8-E5A5-49B7-9B82-92A5DD33A334}"/>
    <cellStyle name="Migliaia 60 7 2 2 3" xfId="45982" xr:uid="{80F681BE-26FA-4A34-9BEA-559572959AEB}"/>
    <cellStyle name="Migliaia 60 7 2 3" xfId="38029" xr:uid="{847C24D2-E809-40B0-8920-49605165E177}"/>
    <cellStyle name="Migliaia 60 7 2 4" xfId="43331" xr:uid="{ADDE33FB-B1F4-4BF3-8FC7-4D1A3BBF8D37}"/>
    <cellStyle name="Migliaia 60 7 2 5" xfId="14347" xr:uid="{5A65BC52-6811-4389-A14D-52D3A8CF8DF4}"/>
    <cellStyle name="Migliaia 60 7 3" xfId="6907" xr:uid="{5D8E54D9-1876-41D4-9615-43E137FF27AE}"/>
    <cellStyle name="Migliaia 60 7 3 2" xfId="34866" xr:uid="{E4C838F5-CB13-48F5-AFD3-DDF9DF0D35AF}"/>
    <cellStyle name="Migliaia 60 7 3 3" xfId="21141" xr:uid="{9DF28F43-276A-427F-9D4C-2E58E20EA98B}"/>
    <cellStyle name="Migliaia 60 7 4" xfId="25665" xr:uid="{0CB03E77-F5C6-4A9D-8308-D5F29A12437C}"/>
    <cellStyle name="Migliaia 60 7 5" xfId="16905" xr:uid="{B328A6C0-FEBA-495E-96BE-0965B6C20554}"/>
    <cellStyle name="Migliaia 60 7 6" xfId="8409" xr:uid="{74C445D9-CEB4-4DA8-8423-1E8892A6FCE6}"/>
    <cellStyle name="Migliaia 60 8" xfId="4015" xr:uid="{D66217FA-D2E3-4FE0-89D1-2C0262EABC8A}"/>
    <cellStyle name="Migliaia 60 8 2" xfId="5741" xr:uid="{B1DB4880-F796-4E33-B39E-81D870CC7E9D}"/>
    <cellStyle name="Migliaia 60 8 2 2" xfId="35521" xr:uid="{37BD01F9-F6CE-4E1A-A667-364B833306F3}"/>
    <cellStyle name="Migliaia 60 8 2 2 2" xfId="40681" xr:uid="{C6756AFD-DCE2-4DFF-A11D-D6A03F77F397}"/>
    <cellStyle name="Migliaia 60 8 2 2 3" xfId="45983" xr:uid="{016E4D90-751A-47CF-9EED-4B3E35A03DA1}"/>
    <cellStyle name="Migliaia 60 8 2 3" xfId="38030" xr:uid="{FB27F800-B0A4-4C01-8CF8-CC119134BF88}"/>
    <cellStyle name="Migliaia 60 8 2 4" xfId="43332" xr:uid="{99A7F509-4DAE-44A4-966E-3563B598F155}"/>
    <cellStyle name="Migliaia 60 8 2 5" xfId="14052" xr:uid="{75241079-020E-453A-AC3D-4AF6C487B9B5}"/>
    <cellStyle name="Migliaia 60 8 3" xfId="6908" xr:uid="{72310718-219B-40C1-80A8-E4D1B54B195A}"/>
    <cellStyle name="Migliaia 60 8 3 2" xfId="34867" xr:uid="{DDB6D993-0ABC-4F33-8675-47ED1B41CDE7}"/>
    <cellStyle name="Migliaia 60 8 3 3" xfId="21142" xr:uid="{4EF0EE3A-7E43-4849-99BA-497E1C826AD7}"/>
    <cellStyle name="Migliaia 60 8 4" xfId="25666" xr:uid="{1033F379-AFD7-440F-BC26-EB933CB266D6}"/>
    <cellStyle name="Migliaia 60 8 5" xfId="16906" xr:uid="{4E13D6DC-5158-4107-9536-72F74D1D7206}"/>
    <cellStyle name="Migliaia 60 8 6" xfId="8046" xr:uid="{4EA60261-4EDC-4AC1-9E65-DD468FE63C8A}"/>
    <cellStyle name="Migliaia 60 9" xfId="5726" xr:uid="{51375491-4BFA-41A3-AA1D-A3FE3E051978}"/>
    <cellStyle name="Migliaia 60 9 2" xfId="34868" xr:uid="{203BE643-0C48-47CB-AAC1-68B6EC8DF5E4}"/>
    <cellStyle name="Migliaia 60 9 3" xfId="25667" xr:uid="{07DF66EA-0665-45BD-BDF1-CD3D4FA4A632}"/>
    <cellStyle name="Migliaia 60 9 4" xfId="17247" xr:uid="{14BF2977-9F0F-4C6F-8E98-9B24AF9A62AA}"/>
    <cellStyle name="Migliaia 61" xfId="529" xr:uid="{00000000-0005-0000-0000-0000C0040000}"/>
    <cellStyle name="Migliaia 61 10" xfId="6909" xr:uid="{CCBB74EF-B743-4EA6-A9BA-187DB221C7B2}"/>
    <cellStyle name="Migliaia 61 10 2" xfId="34869" xr:uid="{383A9716-5FD9-46C1-9A30-56B3DDD476AE}"/>
    <cellStyle name="Migliaia 61 10 3" xfId="21143" xr:uid="{4592A592-86CA-4E14-A536-40A56983A765}"/>
    <cellStyle name="Migliaia 61 11" xfId="4016" xr:uid="{F69AFA85-74FD-4ECB-8A89-D7BC10BE4841}"/>
    <cellStyle name="Migliaia 61 11 2" xfId="25668" xr:uid="{2E89BF30-BA7C-41C3-96E0-02D96B53A7B6}"/>
    <cellStyle name="Migliaia 61 12" xfId="7213" xr:uid="{13883D98-5E92-434D-8D6B-864965E299F3}"/>
    <cellStyle name="Migliaia 61 2" xfId="530" xr:uid="{00000000-0005-0000-0000-0000C1040000}"/>
    <cellStyle name="Migliaia 61 2 2" xfId="1941" xr:uid="{00000000-0005-0000-0000-0000C2040000}"/>
    <cellStyle name="Migliaia 61 2 2 2" xfId="5744" xr:uid="{8252E4F2-869E-4FA0-AC07-68F58025B115}"/>
    <cellStyle name="Migliaia 61 2 2 2 2" xfId="14420" xr:uid="{B6F85FD9-0EDE-4C94-BB32-14092CC31846}"/>
    <cellStyle name="Migliaia 61 2 2 2 2 2" xfId="34872" xr:uid="{C41F4710-84D5-456E-8788-401FF3C4994A}"/>
    <cellStyle name="Migliaia 61 2 2 2 3" xfId="18533" xr:uid="{1250AA3F-4977-4CD3-A425-58D8F407E558}"/>
    <cellStyle name="Migliaia 61 2 2 2 4" xfId="21146" xr:uid="{6797B40E-9A1E-464D-8E7D-CA9F22438EEE}"/>
    <cellStyle name="Migliaia 61 2 2 2 5" xfId="25671" xr:uid="{CBD5D5C6-300B-43E4-BA1A-7C694C245AEB}"/>
    <cellStyle name="Migliaia 61 2 2 2 6" xfId="16907" xr:uid="{9E3A9F73-E74A-4AE0-A5DE-20BE6DAC197A}"/>
    <cellStyle name="Migliaia 61 2 2 2 7" xfId="8823" xr:uid="{98DF9E6F-DE06-4E51-B28A-5F3C85101A24}"/>
    <cellStyle name="Migliaia 61 2 2 3" xfId="6911" xr:uid="{ED7855B8-ECBF-4BE3-A268-48A30308F794}"/>
    <cellStyle name="Migliaia 61 2 2 3 2" xfId="35522" xr:uid="{51B4BCF6-1F01-4AFC-AD9B-140649E4B153}"/>
    <cellStyle name="Migliaia 61 2 2 3 2 2" xfId="40682" xr:uid="{7234086B-42DF-4136-9612-3A4875AEDAF7}"/>
    <cellStyle name="Migliaia 61 2 2 3 2 3" xfId="45984" xr:uid="{F93E1F4F-0B9A-46F3-97F2-755D55DA6621}"/>
    <cellStyle name="Migliaia 61 2 2 3 3" xfId="38031" xr:uid="{FA8E8B05-2C04-401D-A1D8-B3D504AF028B}"/>
    <cellStyle name="Migliaia 61 2 2 3 4" xfId="43333" xr:uid="{1D8E0137-6FCD-4BF6-A8DB-ED9582761A13}"/>
    <cellStyle name="Migliaia 61 2 2 3 5" xfId="11647" xr:uid="{88D825F7-4A43-4DA5-A1DD-A1D93EB9F4AD}"/>
    <cellStyle name="Migliaia 61 2 2 4" xfId="4018" xr:uid="{F69A2CF5-5543-41EB-B28F-914BE4665B76}"/>
    <cellStyle name="Migliaia 61 2 2 4 2" xfId="21653" xr:uid="{FCCF6493-69D4-4B48-BF0A-EF270686CCED}"/>
    <cellStyle name="Migliaia 61 2 2 4 3" xfId="34871" xr:uid="{3109FBDA-DAF1-44AF-86CE-564E224B676F}"/>
    <cellStyle name="Migliaia 61 2 2 4 4" xfId="46712" xr:uid="{E888FCFD-7F13-45D4-A412-89691CE30FE8}"/>
    <cellStyle name="Migliaia 61 2 2 4 5" xfId="50668" xr:uid="{BD4B454A-1E20-48DA-80FE-0BED496FEFC8}"/>
    <cellStyle name="Migliaia 61 2 2 4 6" xfId="53684" xr:uid="{19F6EEF2-A5E6-4270-AD99-F5FF03F49CC2}"/>
    <cellStyle name="Migliaia 61 2 2 4 7" xfId="11018" xr:uid="{A1E29DCD-893B-4367-B813-3B1E1B569849}"/>
    <cellStyle name="Migliaia 61 2 2 5" xfId="21145" xr:uid="{EF0E37A2-0DB3-4CBE-B3A9-055B94BE777D}"/>
    <cellStyle name="Migliaia 61 2 2 6" xfId="25670" xr:uid="{9917970F-9308-4A35-B61B-AFE7A77D1C41}"/>
    <cellStyle name="Migliaia 61 2 2 7" xfId="7633" xr:uid="{1C81666C-321B-4277-9AC5-FD621211F4E4}"/>
    <cellStyle name="Migliaia 61 2 3" xfId="4019" xr:uid="{C5CDB313-8AFE-4F4F-995D-00ACB9C0DE35}"/>
    <cellStyle name="Migliaia 61 2 3 2" xfId="5745" xr:uid="{4BF3182E-AA8D-4128-A969-F8AD7353AF3F}"/>
    <cellStyle name="Migliaia 61 2 3 2 2" xfId="35523" xr:uid="{AB435704-620A-4FBD-A2B8-8D2085C65FEC}"/>
    <cellStyle name="Migliaia 61 2 3 2 2 2" xfId="40683" xr:uid="{9CAB26C7-F12E-490D-B26C-A6CE3CA46295}"/>
    <cellStyle name="Migliaia 61 2 3 2 2 3" xfId="45985" xr:uid="{BE6A44C6-6D76-4A64-BA9D-6C338000AA66}"/>
    <cellStyle name="Migliaia 61 2 3 2 3" xfId="38032" xr:uid="{BA490708-5D6C-4D0F-AC9C-D44F06B15BA8}"/>
    <cellStyle name="Migliaia 61 2 3 2 4" xfId="43334" xr:uid="{87AAD327-9E02-43C5-8FAF-6604420D375E}"/>
    <cellStyle name="Migliaia 61 2 3 2 5" xfId="14351" xr:uid="{19BA23FA-DE30-46C1-9A6E-9C8609843DD8}"/>
    <cellStyle name="Migliaia 61 2 3 3" xfId="6912" xr:uid="{4D105EC7-D0E6-4F3F-A169-A80418ECFD45}"/>
    <cellStyle name="Migliaia 61 2 3 3 2" xfId="34873" xr:uid="{1A6B545F-91C5-48B3-9C10-B6C09E5E28A9}"/>
    <cellStyle name="Migliaia 61 2 3 3 3" xfId="21147" xr:uid="{27EE77BD-3BAA-4392-9FA9-6E099673B933}"/>
    <cellStyle name="Migliaia 61 2 3 4" xfId="25672" xr:uid="{A7C1E9EE-D701-4E50-A66D-57FD709CA399}"/>
    <cellStyle name="Migliaia 61 2 3 5" xfId="16908" xr:uid="{DC14BACD-2256-43B7-A3BD-1D74BAB654A4}"/>
    <cellStyle name="Migliaia 61 2 3 6" xfId="8413" xr:uid="{C4961B3C-2A10-464D-9D4A-245FB62D2653}"/>
    <cellStyle name="Migliaia 61 2 4" xfId="5743" xr:uid="{1E234216-21A3-4F18-99C8-948B8733735A}"/>
    <cellStyle name="Migliaia 61 2 4 2" xfId="14056" xr:uid="{0A2D3DBA-3137-4194-980E-7186B15ACC83}"/>
    <cellStyle name="Migliaia 61 2 4 2 2" xfId="34874" xr:uid="{2162B818-DA8B-4325-88FD-BDBFD063BA42}"/>
    <cellStyle name="Migliaia 61 2 4 3" xfId="18155" xr:uid="{C165D60F-FC93-4814-8329-7C71FE3D5DEF}"/>
    <cellStyle name="Migliaia 61 2 4 4" xfId="21148" xr:uid="{273D23AC-43A1-43E2-8E4C-008B84F7BBD9}"/>
    <cellStyle name="Migliaia 61 2 4 5" xfId="25673" xr:uid="{6333EB2C-0AFA-4EB1-B49D-5713792C6651}"/>
    <cellStyle name="Migliaia 61 2 4 6" xfId="16909" xr:uid="{3BE15F94-21C4-419E-B20C-64412C5FEC97}"/>
    <cellStyle name="Migliaia 61 2 4 7" xfId="8051" xr:uid="{A118DA34-7D7A-4756-9679-4F20EDD283CF}"/>
    <cellStyle name="Migliaia 61 2 5" xfId="6910" xr:uid="{319FF08B-4146-4A70-961C-974FBCCEA648}"/>
    <cellStyle name="Migliaia 61 2 5 2" xfId="34875" xr:uid="{F4C45852-2AB2-48AD-A5BB-FA7520A76A02}"/>
    <cellStyle name="Migliaia 61 2 5 3" xfId="25674" xr:uid="{55E6CBA6-F949-4B2A-8582-EB958EACF98C}"/>
    <cellStyle name="Migliaia 61 2 5 4" xfId="13160" xr:uid="{A78389CC-827E-4FAA-8016-439F7D00C338}"/>
    <cellStyle name="Migliaia 61 2 6" xfId="4017" xr:uid="{1B93B1C6-8910-44C7-B27C-1B16D079A8D8}"/>
    <cellStyle name="Migliaia 61 2 6 2" xfId="34876" xr:uid="{1B9BD114-FED4-4D1E-8982-012731E721A7}"/>
    <cellStyle name="Migliaia 61 2 6 3" xfId="25675" xr:uid="{8EC4EE39-04A0-4924-83CE-07AF5B450B76}"/>
    <cellStyle name="Migliaia 61 2 6 4" xfId="21144" xr:uid="{02B38591-4E16-40C1-8908-B0BC141B0D01}"/>
    <cellStyle name="Migliaia 61 2 7" xfId="34870" xr:uid="{A3950A21-1427-4707-AF8A-334DC82989B6}"/>
    <cellStyle name="Migliaia 61 2 8" xfId="25669" xr:uid="{0275C9EE-D6A1-4209-8ED5-FCE40F071E57}"/>
    <cellStyle name="Migliaia 61 2 9" xfId="7214" xr:uid="{FFD94175-7243-4A52-B7DB-E4DD174F126F}"/>
    <cellStyle name="Migliaia 61 3" xfId="531" xr:uid="{00000000-0005-0000-0000-0000C3040000}"/>
    <cellStyle name="Migliaia 61 3 10" xfId="25676" xr:uid="{4072A014-3DCC-4DA8-B7BC-54C77B8BAC32}"/>
    <cellStyle name="Migliaia 61 3 11" xfId="16910" xr:uid="{4635EB62-58BD-42F8-A14E-8BA2688BCF1A}"/>
    <cellStyle name="Migliaia 61 3 12" xfId="7215" xr:uid="{1F680827-B23D-4CBA-AB88-224FD427D474}"/>
    <cellStyle name="Migliaia 61 3 2" xfId="532" xr:uid="{00000000-0005-0000-0000-0000C4040000}"/>
    <cellStyle name="Migliaia 61 3 2 2" xfId="1942" xr:uid="{00000000-0005-0000-0000-0000C5040000}"/>
    <cellStyle name="Migliaia 61 3 2 2 2" xfId="5748" xr:uid="{10B71D0F-63DF-4164-BBAD-B356F0444C12}"/>
    <cellStyle name="Migliaia 61 3 2 2 2 2" xfId="18534" xr:uid="{00B910CA-7692-40FA-A2F7-D7BFD6834C43}"/>
    <cellStyle name="Migliaia 61 3 2 2 2 2 2" xfId="21898" xr:uid="{ADEF9779-8BD1-44DD-A499-A730799B8135}"/>
    <cellStyle name="Migliaia 61 3 2 2 2 2 3" xfId="34880" xr:uid="{CC0F51B6-0EE2-4119-B362-D4D78F79102D}"/>
    <cellStyle name="Migliaia 61 3 2 2 2 3" xfId="25679" xr:uid="{F703472C-F215-4E93-972A-748E7FACF4C8}"/>
    <cellStyle name="Migliaia 61 3 2 2 2 4" xfId="25110" xr:uid="{4AD4D8BC-57EA-4302-A1EC-7C28DE315CB5}"/>
    <cellStyle name="Migliaia 61 3 2 2 2 5" xfId="50926" xr:uid="{F72BE477-FFCA-438A-960A-5F8700BFD8F8}"/>
    <cellStyle name="Migliaia 61 3 2 2 2 6" xfId="53942" xr:uid="{8B9FA046-E41C-4D6A-91C7-CE04F24635F0}"/>
    <cellStyle name="Migliaia 61 3 2 2 2 7" xfId="17697" xr:uid="{E8D0DDF4-9CD3-4616-8C45-D56055B71E8A}"/>
    <cellStyle name="Migliaia 61 3 2 2 2 8" xfId="12115" xr:uid="{C375ADBE-7BC9-41AC-9BEE-67F6884C4C36}"/>
    <cellStyle name="Migliaia 61 3 2 2 3" xfId="6915" xr:uid="{A4763AFD-B718-4F15-B675-4EBA05ABAF90}"/>
    <cellStyle name="Migliaia 61 3 2 2 3 2" xfId="34879" xr:uid="{B1FDD816-064B-4761-99DC-ACEB67B5FD30}"/>
    <cellStyle name="Migliaia 61 3 2 2 3 3" xfId="11490" xr:uid="{C1053B64-C88F-43F1-9627-A9872A8A0AF0}"/>
    <cellStyle name="Migliaia 61 3 2 2 4" xfId="4022" xr:uid="{9AC3E9FC-1E27-48A5-9591-F09BAA5A1316}"/>
    <cellStyle name="Migliaia 61 3 2 2 4 2" xfId="21654" xr:uid="{91419587-B76C-4AE6-9E13-4FD7CD111BB4}"/>
    <cellStyle name="Migliaia 61 3 2 2 4 3" xfId="47978" xr:uid="{C545BA4C-222B-48EE-862B-D7A1AE444EDB}"/>
    <cellStyle name="Migliaia 61 3 2 2 4 4" xfId="50669" xr:uid="{9B588713-7874-4F9F-8080-3A4A3C5A8CF5}"/>
    <cellStyle name="Migliaia 61 3 2 2 4 5" xfId="53685" xr:uid="{7EDF9BDB-E019-4D5A-9068-3C650FD81940}"/>
    <cellStyle name="Migliaia 61 3 2 2 4 6" xfId="11019" xr:uid="{E09A0324-2C3E-4585-8251-7169503D2ABF}"/>
    <cellStyle name="Migliaia 61 3 2 2 5" xfId="21151" xr:uid="{D131F202-5CF9-4015-B512-341BACA8C963}"/>
    <cellStyle name="Migliaia 61 3 2 2 6" xfId="25678" xr:uid="{45CF328B-4606-4803-94E3-89C82E82AAFC}"/>
    <cellStyle name="Migliaia 61 3 2 2 7" xfId="8825" xr:uid="{30EA71E2-94F6-4F81-A534-210BAA91CB2E}"/>
    <cellStyle name="Migliaia 61 3 2 3" xfId="5747" xr:uid="{3D1B12C4-9717-4CAF-88CB-BDB70B143DD4}"/>
    <cellStyle name="Migliaia 61 3 2 3 2" xfId="12395" xr:uid="{289C216E-C26B-401F-BDEF-3DFF4B1DC3AC}"/>
    <cellStyle name="Migliaia 61 3 2 3 2 2" xfId="34881" xr:uid="{9E38E52D-328A-4A3A-AE52-6B9CCE991D18}"/>
    <cellStyle name="Migliaia 61 3 2 3 3" xfId="12116" xr:uid="{205FFA80-72B0-498C-87BF-73D3F46D09CF}"/>
    <cellStyle name="Migliaia 61 3 2 3 4" xfId="21152" xr:uid="{3D22980E-8919-46B7-B005-9515E5EC54E9}"/>
    <cellStyle name="Migliaia 61 3 2 3 5" xfId="25680" xr:uid="{0788C578-7522-49A7-A0C0-A1AB0270958C}"/>
    <cellStyle name="Migliaia 61 3 2 3 6" xfId="16911" xr:uid="{98DF3EC7-1651-49B7-917E-26ADDC8B47F0}"/>
    <cellStyle name="Migliaia 61 3 2 3 7" xfId="8053" xr:uid="{C04BD828-A138-45F5-8566-D32591C217D1}"/>
    <cellStyle name="Migliaia 61 3 2 4" xfId="6914" xr:uid="{FAA1537C-B1DA-470B-92CF-EB18D0691F8A}"/>
    <cellStyle name="Migliaia 61 3 2 4 2" xfId="18114" xr:uid="{F74731A5-A888-400E-AB3C-E24C4A3CB33D}"/>
    <cellStyle name="Migliaia 61 3 2 4 2 2" xfId="34882" xr:uid="{4F307494-DD2D-4814-B5B4-913A73FF8817}"/>
    <cellStyle name="Migliaia 61 3 2 4 3" xfId="25681" xr:uid="{5A6E3777-1C8E-4CDE-A83A-8ACF9ECCFDF5}"/>
    <cellStyle name="Migliaia 61 3 2 4 4" xfId="17250" xr:uid="{41FC0342-D341-4361-A726-36144E3DC22E}"/>
    <cellStyle name="Migliaia 61 3 2 4 5" xfId="11468" xr:uid="{3325F499-3FB6-4B8A-9B1E-1FC9AAE2CF6F}"/>
    <cellStyle name="Migliaia 61 3 2 5" xfId="4021" xr:uid="{28F86807-3BB5-47E0-9FA2-1F5D75B1EFB4}"/>
    <cellStyle name="Migliaia 61 3 2 5 2" xfId="34883" xr:uid="{A7E45F57-E899-4921-A3BA-C7060C96D29D}"/>
    <cellStyle name="Migliaia 61 3 2 5 3" xfId="25682" xr:uid="{BA4003CE-9FF2-4E71-ABFE-701A5CE83370}"/>
    <cellStyle name="Migliaia 61 3 2 5 4" xfId="17077" xr:uid="{2298AD5B-4C11-4AAA-B759-20E08D6636E8}"/>
    <cellStyle name="Migliaia 61 3 2 6" xfId="21150" xr:uid="{13FD4622-8AF1-4A48-B110-2A96EF760CF8}"/>
    <cellStyle name="Migliaia 61 3 2 6 2" xfId="34884" xr:uid="{11337849-D7A7-4EC3-9CC9-00F0A1EFEE5B}"/>
    <cellStyle name="Migliaia 61 3 2 6 3" xfId="25683" xr:uid="{442EB72C-D815-4F30-93D6-2A519B0CA3AD}"/>
    <cellStyle name="Migliaia 61 3 2 7" xfId="34878" xr:uid="{E85B36BC-8A90-49C7-8E7B-5723E7C0E683}"/>
    <cellStyle name="Migliaia 61 3 2 8" xfId="25677" xr:uid="{5305B38F-E6E0-4313-AA3D-C6C10FD7F020}"/>
    <cellStyle name="Migliaia 61 3 2 9" xfId="7635" xr:uid="{1E8A3609-3C9E-4958-AF0F-32921B41298E}"/>
    <cellStyle name="Migliaia 61 3 3" xfId="4023" xr:uid="{F2083E75-8C8B-4F9E-8E22-B1A4E67BD821}"/>
    <cellStyle name="Migliaia 61 3 3 2" xfId="5749" xr:uid="{5BBB10B1-1B57-42E0-8845-E6B96F07E206}"/>
    <cellStyle name="Migliaia 61 3 3 2 2" xfId="9996" xr:uid="{C61D88A8-D7E5-41CD-9C20-4E21E1D71A0A}"/>
    <cellStyle name="Migliaia 61 3 3 2 2 2" xfId="34886" xr:uid="{1F673B8D-2847-4BAC-B1AA-3B622AD257E4}"/>
    <cellStyle name="Migliaia 61 3 3 2 3" xfId="18276" xr:uid="{E3D3A853-A12C-43B4-86B6-FDC869434BC1}"/>
    <cellStyle name="Migliaia 61 3 3 2 4" xfId="21154" xr:uid="{A6703CF3-A17B-4F1B-836A-59D9BA59993C}"/>
    <cellStyle name="Migliaia 61 3 3 2 5" xfId="25685" xr:uid="{55FB51E8-2BDA-4E64-8A4F-C75CF6CD78BE}"/>
    <cellStyle name="Migliaia 61 3 3 2 6" xfId="16913" xr:uid="{0AD0A0C8-B61E-4FA3-9728-BBF389D17A0F}"/>
    <cellStyle name="Migliaia 61 3 3 2 7" xfId="8824" xr:uid="{BEE8F0F0-C95A-410C-8969-6DA5038336C8}"/>
    <cellStyle name="Migliaia 61 3 3 3" xfId="6916" xr:uid="{B252B2DC-62E3-4F3F-AFC2-DC7BB35B608A}"/>
    <cellStyle name="Migliaia 61 3 3 3 2" xfId="34887" xr:uid="{E63C3589-693E-4A00-A920-A45FA977079A}"/>
    <cellStyle name="Migliaia 61 3 3 3 3" xfId="25686" xr:uid="{26916ADA-CCC2-4CED-B80E-7304D0768393}"/>
    <cellStyle name="Migliaia 61 3 3 3 4" xfId="9759" xr:uid="{F0191FC2-4315-490C-AD92-43CD28DACEAD}"/>
    <cellStyle name="Migliaia 61 3 3 4" xfId="21153" xr:uid="{BA951971-18D8-4ABC-B59D-8681E0A0D517}"/>
    <cellStyle name="Migliaia 61 3 3 4 2" xfId="34888" xr:uid="{30607BAE-137E-4E11-B228-6357BFF82797}"/>
    <cellStyle name="Migliaia 61 3 3 4 3" xfId="25687" xr:uid="{2D1A9359-D959-496C-93D8-0798D053FA28}"/>
    <cellStyle name="Migliaia 61 3 3 4 4" xfId="48911" xr:uid="{087B9250-521A-4385-9B4C-B6195D360385}"/>
    <cellStyle name="Migliaia 61 3 3 5" xfId="25688" xr:uid="{3D3E6382-BFDE-475D-8AB4-84125990C5D0}"/>
    <cellStyle name="Migliaia 61 3 3 5 2" xfId="34889" xr:uid="{BE29B7B0-D217-4F19-8057-35B69759C7D3}"/>
    <cellStyle name="Migliaia 61 3 3 5 3" xfId="48912" xr:uid="{EEBA8C89-89A3-4A23-88AF-45828169C351}"/>
    <cellStyle name="Migliaia 61 3 3 6" xfId="34885" xr:uid="{78C07001-B7A3-4186-AE7F-189C51EE5EBF}"/>
    <cellStyle name="Migliaia 61 3 3 7" xfId="25684" xr:uid="{CE296B40-734C-4EA2-A9D1-BC29D042F747}"/>
    <cellStyle name="Migliaia 61 3 3 8" xfId="16912" xr:uid="{029CC494-FBE3-494D-8D53-62AD3E648471}"/>
    <cellStyle name="Migliaia 61 3 3 9" xfId="7634" xr:uid="{D295EFFF-7490-47DD-B0CA-C13869EDB3E1}"/>
    <cellStyle name="Migliaia 61 3 4" xfId="4024" xr:uid="{FC13DC0E-42E6-4E59-9AD2-83CA28653081}"/>
    <cellStyle name="Migliaia 61 3 4 2" xfId="5750" xr:uid="{AF40E1E8-27EB-4228-9FB8-25261046D3FE}"/>
    <cellStyle name="Migliaia 61 3 4 2 2" xfId="14480" xr:uid="{148A3C6B-271D-4290-ABFC-B01BE7876EBF}"/>
    <cellStyle name="Migliaia 61 3 4 2 3" xfId="18572" xr:uid="{2D9FF43A-4560-422B-91A5-6CD0471EA9F7}"/>
    <cellStyle name="Migliaia 61 3 4 2 4" xfId="21156" xr:uid="{7CD38E4D-0A0C-4198-9702-48F2B4CDDEA5}"/>
    <cellStyle name="Migliaia 61 3 4 2 5" xfId="32489" xr:uid="{9BB9997D-C455-409B-8BF9-EDCCD788EB26}"/>
    <cellStyle name="Migliaia 61 3 4 2 6" xfId="16915" xr:uid="{A8048EE9-F0D7-47D0-9DEE-1CC9472B0A89}"/>
    <cellStyle name="Migliaia 61 3 4 2 7" xfId="8903" xr:uid="{A5AB6FB9-7883-443D-9D5E-ACBC964680BC}"/>
    <cellStyle name="Migliaia 61 3 4 3" xfId="6917" xr:uid="{D8266C25-03F6-4922-AF56-6F993D234BFE}"/>
    <cellStyle name="Migliaia 61 3 4 3 2" xfId="35524" xr:uid="{E4F0CAA5-BCB8-4DE8-813D-81F681CD387F}"/>
    <cellStyle name="Migliaia 61 3 4 3 2 2" xfId="40684" xr:uid="{4265EA33-81D1-4AFD-831D-04818D1CD1FD}"/>
    <cellStyle name="Migliaia 61 3 4 3 2 3" xfId="45986" xr:uid="{98774452-A028-43FD-B613-A8016F389435}"/>
    <cellStyle name="Migliaia 61 3 4 3 3" xfId="38033" xr:uid="{CDCAAF5A-E1E0-4B95-A601-32E8B88E3B9A}"/>
    <cellStyle name="Migliaia 61 3 4 3 4" xfId="43335" xr:uid="{B13FD01C-C39C-440F-8A13-D58CA675546A}"/>
    <cellStyle name="Migliaia 61 3 4 3 5" xfId="13728" xr:uid="{4BF5E5BF-E6C0-4DF1-8E14-F136B7571EF6}"/>
    <cellStyle name="Migliaia 61 3 4 4" xfId="21155" xr:uid="{224E73C9-ABFE-4510-9F4A-F083BCA3E58D}"/>
    <cellStyle name="Migliaia 61 3 4 4 2" xfId="34890" xr:uid="{64486001-B67C-49E1-B66A-A035A22BB3A3}"/>
    <cellStyle name="Migliaia 61 3 4 5" xfId="25689" xr:uid="{28D56A75-DB04-4076-863E-61DFED3D8804}"/>
    <cellStyle name="Migliaia 61 3 4 6" xfId="16914" xr:uid="{95759727-5046-4489-8977-887F5FB6F734}"/>
    <cellStyle name="Migliaia 61 3 4 7" xfId="7713" xr:uid="{E9917383-3CB2-40CC-B9A5-E11DCA73B2BB}"/>
    <cellStyle name="Migliaia 61 3 5" xfId="4025" xr:uid="{3DE8B424-DBDF-4B02-B2D6-84FC6BB790CF}"/>
    <cellStyle name="Migliaia 61 3 5 2" xfId="5751" xr:uid="{74763CE4-8521-42F7-9F26-F6E7C2D3A27E}"/>
    <cellStyle name="Migliaia 61 3 5 2 2" xfId="35525" xr:uid="{80A03962-DB33-45FB-BD8D-9E28E1190101}"/>
    <cellStyle name="Migliaia 61 3 5 2 2 2" xfId="40685" xr:uid="{C81CD42F-1BE0-4F45-8158-DA0E6FFC65BE}"/>
    <cellStyle name="Migliaia 61 3 5 2 2 3" xfId="45987" xr:uid="{A5572BE2-1F67-47B1-8619-B73D03AF13FA}"/>
    <cellStyle name="Migliaia 61 3 5 2 3" xfId="38034" xr:uid="{2ACFE3FD-8F37-4F01-B9E3-172F0FAD1969}"/>
    <cellStyle name="Migliaia 61 3 5 2 4" xfId="43336" xr:uid="{E49778CE-8AAB-4DB2-AD37-0D0EADF22DE4}"/>
    <cellStyle name="Migliaia 61 3 5 2 5" xfId="14352" xr:uid="{1B2C8224-703A-4A8C-8D15-38681D34BA63}"/>
    <cellStyle name="Migliaia 61 3 5 3" xfId="6918" xr:uid="{3D574DF4-2297-46C1-AC01-27749EB1E3AF}"/>
    <cellStyle name="Migliaia 61 3 5 3 2" xfId="34891" xr:uid="{3573E954-F181-4890-A3CB-D6F6FE06E6CA}"/>
    <cellStyle name="Migliaia 61 3 5 3 3" xfId="21157" xr:uid="{6AEC81C2-F4AB-4847-A4F4-8E2CE14C4979}"/>
    <cellStyle name="Migliaia 61 3 5 4" xfId="25690" xr:uid="{5EF42E49-A881-4A05-B432-3F3F85A050C6}"/>
    <cellStyle name="Migliaia 61 3 5 5" xfId="16916" xr:uid="{1A38F7DD-DD9B-4C25-B376-0CED9FD17FE9}"/>
    <cellStyle name="Migliaia 61 3 5 6" xfId="8414" xr:uid="{467F3E24-02DB-4B7E-9B6C-DB9437E6B8F5}"/>
    <cellStyle name="Migliaia 61 3 6" xfId="5746" xr:uid="{91B8830D-68B8-4611-993B-2BF637C35280}"/>
    <cellStyle name="Migliaia 61 3 6 2" xfId="14057" xr:uid="{9EDE1A00-E014-405C-953C-062C233A3936}"/>
    <cellStyle name="Migliaia 61 3 6 2 2" xfId="34892" xr:uid="{5CB04B86-1C17-44B7-836F-204A70A2F1A9}"/>
    <cellStyle name="Migliaia 61 3 6 3" xfId="18681" xr:uid="{AFC61C46-4CB2-4E2B-9AFA-F40A201D3177}"/>
    <cellStyle name="Migliaia 61 3 6 4" xfId="21158" xr:uid="{BCB6570C-AC3F-4625-9E40-D653ECBF8FF6}"/>
    <cellStyle name="Migliaia 61 3 6 5" xfId="25691" xr:uid="{C9D0D281-14A7-4D43-8BA5-828CE32DE5AB}"/>
    <cellStyle name="Migliaia 61 3 6 6" xfId="16917" xr:uid="{EF1920FF-C885-4DFA-B0E0-212C85E9D003}"/>
    <cellStyle name="Migliaia 61 3 6 7" xfId="8052" xr:uid="{FD9A1A53-7BB3-428A-A96D-F8483188021E}"/>
    <cellStyle name="Migliaia 61 3 7" xfId="6913" xr:uid="{86604F9A-465F-48A6-A7B6-2EB1CC263B37}"/>
    <cellStyle name="Migliaia 61 3 7 2" xfId="34893" xr:uid="{C82A458E-70F2-486F-B45B-BB90643A532A}"/>
    <cellStyle name="Migliaia 61 3 7 3" xfId="25692" xr:uid="{667F6BEA-7F57-4D09-9E15-A67C393AB0DD}"/>
    <cellStyle name="Migliaia 61 3 7 4" xfId="12250" xr:uid="{F274A41B-3097-41E4-B9A3-86CDB2163E4C}"/>
    <cellStyle name="Migliaia 61 3 8" xfId="4020" xr:uid="{4E8EADA5-BAB0-45D3-8370-2CC07EDB714F}"/>
    <cellStyle name="Migliaia 61 3 8 2" xfId="34894" xr:uid="{445E7AB0-815B-4954-80DC-7C64D3AB54FA}"/>
    <cellStyle name="Migliaia 61 3 8 3" xfId="25693" xr:uid="{5DE89656-9CAD-4504-ABAF-831B84BA83B6}"/>
    <cellStyle name="Migliaia 61 3 8 4" xfId="17078" xr:uid="{DEACE924-DA35-437C-B619-D5EFF6990435}"/>
    <cellStyle name="Migliaia 61 3 9" xfId="21149" xr:uid="{95718B73-6944-4F3D-97DF-6F528100E0BE}"/>
    <cellStyle name="Migliaia 61 3 9 2" xfId="34877" xr:uid="{7514BCF8-6F30-439E-A27F-ED3B09710909}"/>
    <cellStyle name="Migliaia 61 4" xfId="1943" xr:uid="{00000000-0005-0000-0000-0000C6040000}"/>
    <cellStyle name="Migliaia 61 4 10" xfId="7636" xr:uid="{BEA7F90F-E10B-4DCD-A191-473D2CBBD591}"/>
    <cellStyle name="Migliaia 61 4 2" xfId="1944" xr:uid="{00000000-0005-0000-0000-0000C7040000}"/>
    <cellStyle name="Migliaia 61 4 2 2" xfId="5753" xr:uid="{AA9FB46E-D174-42DE-A46F-6F297BAA0346}"/>
    <cellStyle name="Migliaia 61 4 2 2 2" xfId="34897" xr:uid="{D49800F2-51A3-42FE-844D-F849565B8048}"/>
    <cellStyle name="Migliaia 61 4 2 2 3" xfId="25696" xr:uid="{BD5831F8-B397-481B-9BBB-F472A57E7010}"/>
    <cellStyle name="Migliaia 61 4 2 2 4" xfId="9222" xr:uid="{DDE766B0-5ED5-45BE-84E9-2747F812FF28}"/>
    <cellStyle name="Migliaia 61 4 2 3" xfId="4027" xr:uid="{71549CE8-B4DC-4BCB-8C1F-E57321EC9B59}"/>
    <cellStyle name="Migliaia 61 4 2 3 2" xfId="34898" xr:uid="{93CFF8A9-FEF9-4689-936A-05EA3AC0BD54}"/>
    <cellStyle name="Migliaia 61 4 2 3 3" xfId="25697" xr:uid="{C5245329-9F50-453F-8521-6C136D1A2704}"/>
    <cellStyle name="Migliaia 61 4 2 3 4" xfId="12117" xr:uid="{BE198A74-3F15-421C-84BF-4BF08FDEBC99}"/>
    <cellStyle name="Migliaia 61 4 2 4" xfId="11470" xr:uid="{429E91BB-9696-4F83-AB3D-F9F89D116F7C}"/>
    <cellStyle name="Migliaia 61 4 2 4 2" xfId="34896" xr:uid="{BAB8AD44-EB74-4583-B2DE-6DCAF62214D8}"/>
    <cellStyle name="Migliaia 61 4 2 5" xfId="11021" xr:uid="{2EF64B1E-C966-495C-BD0D-DD79F36A6A88}"/>
    <cellStyle name="Migliaia 61 4 2 5 2" xfId="21656" xr:uid="{4234B3C0-1243-4FA5-9794-8B774F9A9FA5}"/>
    <cellStyle name="Migliaia 61 4 2 5 3" xfId="47431" xr:uid="{72BB2873-852A-495F-9AD9-A7CA6131629D}"/>
    <cellStyle name="Migliaia 61 4 2 5 4" xfId="50671" xr:uid="{6A1A3E4A-353B-44B9-B751-676251D36DED}"/>
    <cellStyle name="Migliaia 61 4 2 5 5" xfId="53687" xr:uid="{14252872-0314-481F-A7CC-605987A047E9}"/>
    <cellStyle name="Migliaia 61 4 2 6" xfId="21160" xr:uid="{3B1EFB70-36F1-4B1C-87DA-DDBA9E457099}"/>
    <cellStyle name="Migliaia 61 4 2 7" xfId="25695" xr:uid="{3A63EEA1-FD05-4766-820B-69190A31881F}"/>
    <cellStyle name="Migliaia 61 4 2 8" xfId="8826" xr:uid="{50D536F4-265F-4597-9541-DB8C929C8DD3}"/>
    <cellStyle name="Migliaia 61 4 3" xfId="5752" xr:uid="{932B2A33-4B64-48BB-9B19-35D6ED26253D}"/>
    <cellStyle name="Migliaia 61 4 3 2" xfId="18277" xr:uid="{E15487D5-922C-4460-9011-B83C239F0580}"/>
    <cellStyle name="Migliaia 61 4 3 2 2" xfId="34899" xr:uid="{8025AE81-1600-4292-A4DB-F0A62F0006F3}"/>
    <cellStyle name="Migliaia 61 4 3 3" xfId="25698" xr:uid="{5D6DF8C4-0EB0-41A7-8028-1CF18DFCB3CD}"/>
    <cellStyle name="Migliaia 61 4 3 4" xfId="17076" xr:uid="{17102EBC-10AB-4BDB-AD07-51FC928F972E}"/>
    <cellStyle name="Migliaia 61 4 3 5" xfId="9223" xr:uid="{026CA8A0-D81E-4B61-8462-442F0FBEB6C8}"/>
    <cellStyle name="Migliaia 61 4 4" xfId="6919" xr:uid="{EE779C50-69CD-428F-8121-A84115AC7295}"/>
    <cellStyle name="Migliaia 61 4 4 2" xfId="34900" xr:uid="{06BA78BE-F3B2-428F-85DA-AC4B505EFECF}"/>
    <cellStyle name="Migliaia 61 4 4 3" xfId="25699" xr:uid="{EE5BE713-0CC4-4CE7-84B5-1E5D31924313}"/>
    <cellStyle name="Migliaia 61 4 4 4" xfId="12118" xr:uid="{85B0CCF9-A32C-4FDA-AD9A-9B0CDCC81E12}"/>
    <cellStyle name="Migliaia 61 4 5" xfId="4026" xr:uid="{BD7FB8F1-43C3-48EA-925E-D7764F22C5BB}"/>
    <cellStyle name="Migliaia 61 4 5 2" xfId="34901" xr:uid="{1A8BA501-8503-4B2E-B61B-504F986634AD}"/>
    <cellStyle name="Migliaia 61 4 5 3" xfId="25700" xr:uid="{64CEB4E0-6640-4DF4-AB85-9DBC8C87E0D8}"/>
    <cellStyle name="Migliaia 61 4 5 4" xfId="11469" xr:uid="{9B830643-4611-4F0B-BCC0-22F15C205EFE}"/>
    <cellStyle name="Migliaia 61 4 6" xfId="11020" xr:uid="{FDEB7CF9-A612-45E9-A181-3808BAFAEDEA}"/>
    <cellStyle name="Migliaia 61 4 6 2" xfId="21655" xr:uid="{6C3BB55F-DBD9-4D25-B119-85970F46D179}"/>
    <cellStyle name="Migliaia 61 4 6 2 2" xfId="34902" xr:uid="{FE2CE63E-D387-4322-9215-C4DC450668A8}"/>
    <cellStyle name="Migliaia 61 4 6 3" xfId="25701" xr:uid="{4225C9D0-B976-49E2-B124-ACF77D91EFAC}"/>
    <cellStyle name="Migliaia 61 4 6 4" xfId="47312" xr:uid="{C24C39A5-D342-4CF2-9A8B-772B8CB4B1C1}"/>
    <cellStyle name="Migliaia 61 4 6 5" xfId="48913" xr:uid="{59B0235F-7C21-4A58-A8A5-24CF278E2244}"/>
    <cellStyle name="Migliaia 61 4 6 6" xfId="50670" xr:uid="{E587896D-23ED-4A72-AE64-AF1DF62F9FD4}"/>
    <cellStyle name="Migliaia 61 4 6 7" xfId="53686" xr:uid="{F683D691-E856-4F97-9AD4-75309C2430AB}"/>
    <cellStyle name="Migliaia 61 4 7" xfId="21159" xr:uid="{81CBEBE4-3493-4CB7-99AB-4ABC3C68FCF4}"/>
    <cellStyle name="Migliaia 61 4 7 2" xfId="34903" xr:uid="{24B5A627-220F-4D89-8B30-EF9616C2856A}"/>
    <cellStyle name="Migliaia 61 4 7 3" xfId="25702" xr:uid="{448AACE3-AA1D-40C4-9E7F-65B29D6CBF61}"/>
    <cellStyle name="Migliaia 61 4 8" xfId="34895" xr:uid="{19D74327-6AC7-41B4-921C-22F9DB817EAF}"/>
    <cellStyle name="Migliaia 61 4 9" xfId="25694" xr:uid="{C3DEC3EB-73D1-4838-92FE-A1FDCB397949}"/>
    <cellStyle name="Migliaia 61 5" xfId="1945" xr:uid="{00000000-0005-0000-0000-0000C8040000}"/>
    <cellStyle name="Migliaia 61 5 2" xfId="5754" xr:uid="{A3AD802E-F763-48E5-9F38-1C0E0AA74F7F}"/>
    <cellStyle name="Migliaia 61 5 2 2" xfId="18535" xr:uid="{A6021013-0BA4-4E29-B480-04DF52703CFC}"/>
    <cellStyle name="Migliaia 61 5 2 2 2" xfId="34905" xr:uid="{A4E74281-271E-493B-B1B2-24258EB70699}"/>
    <cellStyle name="Migliaia 61 5 2 3" xfId="21162" xr:uid="{B76C8D21-B378-4518-872F-AC6D5AF6E29C}"/>
    <cellStyle name="Migliaia 61 5 2 4" xfId="25704" xr:uid="{CE713634-4E67-41BA-A7BF-ABA300F52D3F}"/>
    <cellStyle name="Migliaia 61 5 2 5" xfId="16918" xr:uid="{1C3A7EFD-7B2E-448E-BF8E-4C425D0BEBB2}"/>
    <cellStyle name="Migliaia 61 5 2 6" xfId="8827" xr:uid="{882036B2-B0E1-4496-B25A-8A4AFFC644F1}"/>
    <cellStyle name="Migliaia 61 5 3" xfId="6920" xr:uid="{13DCA814-3617-4045-AD42-C7E91851F58F}"/>
    <cellStyle name="Migliaia 61 5 3 2" xfId="34906" xr:uid="{F7AA57BF-3EF1-4C7C-B3E2-2C820E14BC78}"/>
    <cellStyle name="Migliaia 61 5 3 3" xfId="25705" xr:uid="{17AF6A38-5D34-4D01-A1C7-9627A35DB34D}"/>
    <cellStyle name="Migliaia 61 5 3 4" xfId="11471" xr:uid="{100FD005-C653-4E94-9832-B6CB5F820317}"/>
    <cellStyle name="Migliaia 61 5 4" xfId="4028" xr:uid="{59BDD42F-F781-4454-8255-513BB77C07C5}"/>
    <cellStyle name="Migliaia 61 5 4 2" xfId="21657" xr:uid="{4B5FEAB9-874E-4556-8E03-1759D6062BDD}"/>
    <cellStyle name="Migliaia 61 5 4 2 2" xfId="34907" xr:uid="{EBBB591E-F88B-416A-84A4-A314827BB16B}"/>
    <cellStyle name="Migliaia 61 5 4 3" xfId="25706" xr:uid="{824A011F-9756-40BB-AFE4-6FD9978EB4AC}"/>
    <cellStyle name="Migliaia 61 5 4 4" xfId="32446" xr:uid="{06FB3FCF-DA6D-4F35-9B07-D9B10D6CC791}"/>
    <cellStyle name="Migliaia 61 5 4 5" xfId="48914" xr:uid="{D3730D6D-C3F0-40F3-B64E-B1F6E979D581}"/>
    <cellStyle name="Migliaia 61 5 4 6" xfId="50672" xr:uid="{1A1585A3-1AD8-43E7-B790-CA9E994123AB}"/>
    <cellStyle name="Migliaia 61 5 4 7" xfId="53688" xr:uid="{27D6BDFE-42B1-4D5B-B8D0-27803B0D297B}"/>
    <cellStyle name="Migliaia 61 5 4 8" xfId="11022" xr:uid="{D3600769-F52B-4789-823D-F0EEB9419250}"/>
    <cellStyle name="Migliaia 61 5 5" xfId="21161" xr:uid="{CEBFEBEE-3ED2-48A9-922E-6D68016BE61C}"/>
    <cellStyle name="Migliaia 61 5 5 2" xfId="34908" xr:uid="{BF4B3E32-E968-4403-AAB8-7C8206186DF3}"/>
    <cellStyle name="Migliaia 61 5 5 3" xfId="25707" xr:uid="{E771C8ED-CFE2-4492-8241-5714AA5089A5}"/>
    <cellStyle name="Migliaia 61 5 5 4" xfId="48915" xr:uid="{CDA3EC42-30B5-4F56-98E0-4C772F0902B6}"/>
    <cellStyle name="Migliaia 61 5 6" xfId="25708" xr:uid="{E7A37CE3-C923-4102-A0B2-834D5ADED750}"/>
    <cellStyle name="Migliaia 61 5 6 2" xfId="34909" xr:uid="{8D642170-905C-45D2-97CF-8003EA67CA3D}"/>
    <cellStyle name="Migliaia 61 5 7" xfId="34904" xr:uid="{49BAD9DB-CC1D-4F65-8AD0-A117B1EA021D}"/>
    <cellStyle name="Migliaia 61 5 8" xfId="25703" xr:uid="{B3181FC1-1F8A-4F33-A801-7CF73DC21014}"/>
    <cellStyle name="Migliaia 61 5 9" xfId="7637" xr:uid="{2FC052EA-1997-45F3-96CA-514ED9B0DCEF}"/>
    <cellStyle name="Migliaia 61 6" xfId="4029" xr:uid="{7843036D-5F9C-4B94-9673-F3D09FDFDC3A}"/>
    <cellStyle name="Migliaia 61 6 2" xfId="5755" xr:uid="{528A52E9-CB1C-4509-910B-0DCA97586AB6}"/>
    <cellStyle name="Migliaia 61 6 2 2" xfId="9995" xr:uid="{C5787F49-8B0F-4457-A22D-E1B813AEA941}"/>
    <cellStyle name="Migliaia 61 6 2 3" xfId="18120" xr:uid="{AF938DEB-7A05-452A-A809-42DDB3135A49}"/>
    <cellStyle name="Migliaia 61 6 2 4" xfId="21164" xr:uid="{24C520BA-335E-4E7A-B1C3-EF0FD3D89B65}"/>
    <cellStyle name="Migliaia 61 6 2 5" xfId="32490" xr:uid="{338C16A2-CAAA-458B-B161-678B2E3AE321}"/>
    <cellStyle name="Migliaia 61 6 2 6" xfId="16920" xr:uid="{5CFC8612-F4D7-428A-AAB7-AF7A49EA2B3D}"/>
    <cellStyle name="Migliaia 61 6 2 7" xfId="8822" xr:uid="{270B075D-51F2-4194-9B4F-AFC46893BFEF}"/>
    <cellStyle name="Migliaia 61 6 3" xfId="6921" xr:uid="{CFCDAB9B-8FD6-42EA-9778-2D578AA6385B}"/>
    <cellStyle name="Migliaia 61 6 3 2" xfId="35526" xr:uid="{EF0961F7-8F4C-4960-A7E8-CBB30D01A5CD}"/>
    <cellStyle name="Migliaia 61 6 3 2 2" xfId="40686" xr:uid="{00F13485-E727-4B1C-BF6E-58383B1CEE00}"/>
    <cellStyle name="Migliaia 61 6 3 2 3" xfId="45988" xr:uid="{174ED551-51B0-463E-AD6A-C01A05EBC464}"/>
    <cellStyle name="Migliaia 61 6 3 3" xfId="38035" xr:uid="{24E92506-4F7E-41CA-B6D5-1B799EF562FC}"/>
    <cellStyle name="Migliaia 61 6 3 4" xfId="43337" xr:uid="{4DC3C268-05FB-4790-8D3C-98804E937EAF}"/>
    <cellStyle name="Migliaia 61 6 3 5" xfId="9758" xr:uid="{01228820-5708-4FCA-BFED-9D4DF2EF0201}"/>
    <cellStyle name="Migliaia 61 6 4" xfId="21163" xr:uid="{F638DEA2-56C3-4E8F-9019-86A52E99F704}"/>
    <cellStyle name="Migliaia 61 6 4 2" xfId="34910" xr:uid="{911B879B-FF38-4060-B8AA-58B1D78B5608}"/>
    <cellStyle name="Migliaia 61 6 5" xfId="25709" xr:uid="{243832E8-FF7A-4A6E-83C1-F81F1D73C57F}"/>
    <cellStyle name="Migliaia 61 6 6" xfId="16919" xr:uid="{705669A9-F7B4-44D4-A8DD-29048D668C89}"/>
    <cellStyle name="Migliaia 61 6 7" xfId="7632" xr:uid="{C15AEB96-1D73-433E-830B-C3454E98636F}"/>
    <cellStyle name="Migliaia 61 7" xfId="4030" xr:uid="{923371A1-25D8-4D4A-A8EC-638D0638642C}"/>
    <cellStyle name="Migliaia 61 7 2" xfId="5756" xr:uid="{4F84D7A4-E967-463D-ADCB-70B0C70A4B53}"/>
    <cellStyle name="Migliaia 61 7 2 2" xfId="35527" xr:uid="{F0FC1F3F-BCF9-49D1-A515-90537134019B}"/>
    <cellStyle name="Migliaia 61 7 2 2 2" xfId="40687" xr:uid="{D6EDE895-312D-4CCA-83AB-53D97CB969CF}"/>
    <cellStyle name="Migliaia 61 7 2 2 3" xfId="45989" xr:uid="{00CC4F6B-308F-48E2-80E4-1049AA7D3C72}"/>
    <cellStyle name="Migliaia 61 7 2 3" xfId="38036" xr:uid="{99BCAA4C-343C-4767-899D-00AD05E57F94}"/>
    <cellStyle name="Migliaia 61 7 2 4" xfId="43338" xr:uid="{EC58482B-79EB-46F7-81B5-BA40DF13413E}"/>
    <cellStyle name="Migliaia 61 7 2 5" xfId="14350" xr:uid="{687FEAAC-214E-499D-9AE9-98BEEA8C760B}"/>
    <cellStyle name="Migliaia 61 7 3" xfId="6922" xr:uid="{99527448-33E1-424D-B900-5DC1597A49C2}"/>
    <cellStyle name="Migliaia 61 7 3 2" xfId="34911" xr:uid="{95887614-1277-49A4-8212-0CA3F6B6063B}"/>
    <cellStyle name="Migliaia 61 7 3 3" xfId="21165" xr:uid="{4A32058A-0177-42B9-9199-3071F4C47AF1}"/>
    <cellStyle name="Migliaia 61 7 4" xfId="25710" xr:uid="{56AD57FC-4925-423D-8819-35CAE435C3AD}"/>
    <cellStyle name="Migliaia 61 7 5" xfId="16921" xr:uid="{9D377FD8-51AA-4DE1-87AE-BDA43C107BB4}"/>
    <cellStyle name="Migliaia 61 7 6" xfId="8412" xr:uid="{DED0172F-6CD8-4D35-9279-1617C48D84AC}"/>
    <cellStyle name="Migliaia 61 8" xfId="4031" xr:uid="{4EB147DB-DDB2-4B0E-9BC3-DA5723F9928A}"/>
    <cellStyle name="Migliaia 61 8 2" xfId="5757" xr:uid="{F265A75F-DAAB-4E08-82F4-E77F7E7BB5EA}"/>
    <cellStyle name="Migliaia 61 8 2 2" xfId="35528" xr:uid="{3709D478-86D5-4332-ADDB-2E9933F77AC1}"/>
    <cellStyle name="Migliaia 61 8 2 2 2" xfId="40688" xr:uid="{5E8159E4-4583-46EC-83E1-238F22457C7C}"/>
    <cellStyle name="Migliaia 61 8 2 2 3" xfId="45990" xr:uid="{4C655FE7-3E35-4A4D-93A7-89B023CDD14A}"/>
    <cellStyle name="Migliaia 61 8 2 3" xfId="38037" xr:uid="{568B7109-B0B2-42A7-A2A5-E16D53E834A0}"/>
    <cellStyle name="Migliaia 61 8 2 4" xfId="43339" xr:uid="{28EDA2B4-2772-43FA-9D6C-879F990386D2}"/>
    <cellStyle name="Migliaia 61 8 2 5" xfId="14055" xr:uid="{7B1FC17B-4E12-4CC4-B6EB-A0DE5BA652D8}"/>
    <cellStyle name="Migliaia 61 8 3" xfId="6923" xr:uid="{93063E19-0A7F-4104-B41F-BFAF1351EA44}"/>
    <cellStyle name="Migliaia 61 8 3 2" xfId="34912" xr:uid="{E2274AA0-2D05-42A2-A345-49432008F1CA}"/>
    <cellStyle name="Migliaia 61 8 3 3" xfId="21166" xr:uid="{7846F36E-1D1D-4B71-9316-DC2227CB1367}"/>
    <cellStyle name="Migliaia 61 8 4" xfId="25711" xr:uid="{D0982C3A-89B7-489C-85C0-C440EE3FBC6C}"/>
    <cellStyle name="Migliaia 61 8 5" xfId="16922" xr:uid="{719B1348-34E8-4E03-8312-95FA16BD93AD}"/>
    <cellStyle name="Migliaia 61 8 6" xfId="8050" xr:uid="{4D27D3E2-1DDE-41E9-B67C-F187CF6E434D}"/>
    <cellStyle name="Migliaia 61 9" xfId="5742" xr:uid="{728D6198-5EC1-4445-9BEA-D67D8DAB3D1B}"/>
    <cellStyle name="Migliaia 61 9 2" xfId="34913" xr:uid="{B0939679-488D-4A55-953E-BB95251CEF84}"/>
    <cellStyle name="Migliaia 61 9 3" xfId="25712" xr:uid="{73CCF1B6-74F4-43E1-A883-01AC536EFA80}"/>
    <cellStyle name="Migliaia 61 9 4" xfId="17249" xr:uid="{3BB2D77D-06DF-4C41-B464-D075549DBEC4}"/>
    <cellStyle name="Migliaia 7" xfId="533" xr:uid="{00000000-0005-0000-0000-0000C9040000}"/>
    <cellStyle name="Migliaia 7 10" xfId="6924" xr:uid="{61B092CD-C41F-4B75-AC8B-CF7BC56C95F1}"/>
    <cellStyle name="Migliaia 7 10 2" xfId="34914" xr:uid="{F9C903D2-C941-4F32-9392-6A4BFC9F8291}"/>
    <cellStyle name="Migliaia 7 10 3" xfId="21167" xr:uid="{232AA0B6-0C94-4C20-85D0-94D33320AA6A}"/>
    <cellStyle name="Migliaia 7 11" xfId="4032" xr:uid="{03C07C10-7A73-4C43-8427-9F8DBACF9983}"/>
    <cellStyle name="Migliaia 7 11 2" xfId="25713" xr:uid="{E0C69586-F4F8-4BC1-953A-D79805FB893D}"/>
    <cellStyle name="Migliaia 7 12" xfId="7216" xr:uid="{230482AD-AFCF-4A24-AAEF-ECC0894F5821}"/>
    <cellStyle name="Migliaia 7 2" xfId="534" xr:uid="{00000000-0005-0000-0000-0000CA040000}"/>
    <cellStyle name="Migliaia 7 2 2" xfId="1946" xr:uid="{00000000-0005-0000-0000-0000CB040000}"/>
    <cellStyle name="Migliaia 7 2 2 2" xfId="5760" xr:uid="{3EF6181B-5B38-4CF6-A716-674262451153}"/>
    <cellStyle name="Migliaia 7 2 2 2 2" xfId="14421" xr:uid="{F2207600-1B8E-4ACA-9FFE-049BAF3BC9D0}"/>
    <cellStyle name="Migliaia 7 2 2 2 2 2" xfId="34917" xr:uid="{7696E196-1B85-453F-B749-97BA3B916F31}"/>
    <cellStyle name="Migliaia 7 2 2 2 3" xfId="18536" xr:uid="{5C7B91C4-CFBD-4958-AFAC-2BEB78542103}"/>
    <cellStyle name="Migliaia 7 2 2 2 4" xfId="21170" xr:uid="{EB0C5FC0-1174-4D25-A9A2-DEA43B0E2D46}"/>
    <cellStyle name="Migliaia 7 2 2 2 5" xfId="25716" xr:uid="{3F4685DA-5346-485D-87FE-BD058BF88A6D}"/>
    <cellStyle name="Migliaia 7 2 2 2 6" xfId="16923" xr:uid="{B834BFFA-E836-4338-A2C9-6850C7087C8C}"/>
    <cellStyle name="Migliaia 7 2 2 2 7" xfId="8829" xr:uid="{D1354021-FE2A-4131-99C3-3F9C1B8891B1}"/>
    <cellStyle name="Migliaia 7 2 2 3" xfId="6926" xr:uid="{20F55CC5-373D-4830-9120-15967E423B31}"/>
    <cellStyle name="Migliaia 7 2 2 3 2" xfId="35529" xr:uid="{38644B84-711D-49FF-B731-0394AD5C2091}"/>
    <cellStyle name="Migliaia 7 2 2 3 2 2" xfId="40689" xr:uid="{19108427-C0AB-432E-B609-16AF4DB8676F}"/>
    <cellStyle name="Migliaia 7 2 2 3 2 3" xfId="45991" xr:uid="{3E9F1638-A1C2-460C-B4E4-D9A169E6127C}"/>
    <cellStyle name="Migliaia 7 2 2 3 3" xfId="38038" xr:uid="{567DFE16-D86F-4F09-A222-8C05F463530F}"/>
    <cellStyle name="Migliaia 7 2 2 3 4" xfId="43340" xr:uid="{217BA644-F869-4CD7-B529-908FF4695AD2}"/>
    <cellStyle name="Migliaia 7 2 2 3 5" xfId="11648" xr:uid="{B91AFF78-A598-4FAF-BC54-2021B2AC833B}"/>
    <cellStyle name="Migliaia 7 2 2 4" xfId="4034" xr:uid="{328666BE-35AF-4130-A4C6-D36F2D5E3CA5}"/>
    <cellStyle name="Migliaia 7 2 2 4 2" xfId="21658" xr:uid="{EA5084DA-8144-4757-95B6-63ED22938136}"/>
    <cellStyle name="Migliaia 7 2 2 4 3" xfId="34916" xr:uid="{4216E3CE-217E-42DF-8EC6-5BC351E47A46}"/>
    <cellStyle name="Migliaia 7 2 2 4 4" xfId="47810" xr:uid="{BC5D0E42-E1B2-408F-929E-C520DCABC2DB}"/>
    <cellStyle name="Migliaia 7 2 2 4 5" xfId="50673" xr:uid="{AB88E030-1CFC-42C2-A98A-CAB7BF674B73}"/>
    <cellStyle name="Migliaia 7 2 2 4 6" xfId="53689" xr:uid="{F08A00AF-293E-4F82-B743-E2D74ECBB4C1}"/>
    <cellStyle name="Migliaia 7 2 2 4 7" xfId="11023" xr:uid="{9FD596E8-4523-4194-99F8-9C780A0B72B9}"/>
    <cellStyle name="Migliaia 7 2 2 5" xfId="21169" xr:uid="{EE587102-70CF-47CA-B4C6-F9CE7DB50892}"/>
    <cellStyle name="Migliaia 7 2 2 6" xfId="25715" xr:uid="{9D6201EF-5A46-46F7-9F31-1E8F0DD17B58}"/>
    <cellStyle name="Migliaia 7 2 2 7" xfId="7639" xr:uid="{E12B7ECD-C115-44FF-BA07-5B7D904114B2}"/>
    <cellStyle name="Migliaia 7 2 3" xfId="4035" xr:uid="{305EA2A1-8664-486C-9C60-5E43DE78BB7C}"/>
    <cellStyle name="Migliaia 7 2 3 2" xfId="5761" xr:uid="{DF455734-61CE-46AB-8D2D-70937A6FCE33}"/>
    <cellStyle name="Migliaia 7 2 3 2 2" xfId="35530" xr:uid="{B597BBCF-C52D-47C9-AE0D-F03170317C93}"/>
    <cellStyle name="Migliaia 7 2 3 2 2 2" xfId="40690" xr:uid="{0A0751E4-AA6E-4B7D-8F42-D7504E0DB9D1}"/>
    <cellStyle name="Migliaia 7 2 3 2 2 3" xfId="45992" xr:uid="{9F987A29-4661-4730-B27F-46BA37EE44A5}"/>
    <cellStyle name="Migliaia 7 2 3 2 3" xfId="38039" xr:uid="{4D2F0B96-F062-4840-B5CC-6B6E8C9A5D69}"/>
    <cellStyle name="Migliaia 7 2 3 2 4" xfId="43341" xr:uid="{DF8D672B-8BB3-4B65-A4B0-F18A85C5EDF6}"/>
    <cellStyle name="Migliaia 7 2 3 2 5" xfId="14354" xr:uid="{2EDA849A-D506-46EB-8BDA-C2BD602D72DC}"/>
    <cellStyle name="Migliaia 7 2 3 3" xfId="6927" xr:uid="{0098B76F-FC61-47B4-A884-068F15403A62}"/>
    <cellStyle name="Migliaia 7 2 3 3 2" xfId="34918" xr:uid="{8DC3D0E1-2139-41FF-814F-725EF1C83432}"/>
    <cellStyle name="Migliaia 7 2 3 3 3" xfId="21171" xr:uid="{847E21F6-F5BF-4CD3-BB97-EEF0348E6B97}"/>
    <cellStyle name="Migliaia 7 2 3 4" xfId="25717" xr:uid="{EB254CD7-1A59-487F-962D-211174759FAB}"/>
    <cellStyle name="Migliaia 7 2 3 5" xfId="16924" xr:uid="{AB334332-F294-4D6B-8B0B-B3B69CEA3353}"/>
    <cellStyle name="Migliaia 7 2 3 6" xfId="8416" xr:uid="{77C34BE6-5CBF-4312-BDB9-028A81C3BE0F}"/>
    <cellStyle name="Migliaia 7 2 4" xfId="5759" xr:uid="{98E6110F-DCCB-4E8F-ACCD-92F873333EDC}"/>
    <cellStyle name="Migliaia 7 2 4 2" xfId="14059" xr:uid="{5649E5FC-9752-4ADC-8421-823A086507B4}"/>
    <cellStyle name="Migliaia 7 2 4 2 2" xfId="34919" xr:uid="{125E609A-BB0F-4600-8C0B-EEAD7C932D9D}"/>
    <cellStyle name="Migliaia 7 2 4 3" xfId="18680" xr:uid="{02DA4B1E-027F-4B44-9F79-1C83FB22D5B3}"/>
    <cellStyle name="Migliaia 7 2 4 4" xfId="21172" xr:uid="{09127FEF-F0E2-4747-B509-02B4490D0014}"/>
    <cellStyle name="Migliaia 7 2 4 5" xfId="25718" xr:uid="{FBEDF00D-D5D7-47A3-85CC-3615C2C28401}"/>
    <cellStyle name="Migliaia 7 2 4 6" xfId="16925" xr:uid="{BA1AC372-2C04-4640-8A35-6348DA146331}"/>
    <cellStyle name="Migliaia 7 2 4 7" xfId="8055" xr:uid="{3E8E3EB8-AB9A-4819-8147-966127DCAF4B}"/>
    <cellStyle name="Migliaia 7 2 5" xfId="6925" xr:uid="{DB5C0626-FFB8-4613-9035-8BD2ED2634C2}"/>
    <cellStyle name="Migliaia 7 2 5 2" xfId="34920" xr:uid="{4A895034-02B2-4D00-9625-C68D82C6ADF7}"/>
    <cellStyle name="Migliaia 7 2 5 3" xfId="25719" xr:uid="{40B59021-D6F4-42F5-B459-C91109A928B0}"/>
    <cellStyle name="Migliaia 7 2 5 4" xfId="13161" xr:uid="{ED0D5928-6759-4D42-9BB7-FEAA47B4F0A6}"/>
    <cellStyle name="Migliaia 7 2 6" xfId="4033" xr:uid="{B562C66B-87E0-4845-90E8-4EC9B12C5C3A}"/>
    <cellStyle name="Migliaia 7 2 6 2" xfId="34921" xr:uid="{04B2B15F-50B9-4637-827B-C2D2DF967CB7}"/>
    <cellStyle name="Migliaia 7 2 6 3" xfId="25720" xr:uid="{59C6A803-8EC4-4DF3-B0BF-546A7F6CEE2F}"/>
    <cellStyle name="Migliaia 7 2 6 4" xfId="21168" xr:uid="{ABC6E3AC-9F0E-4063-B382-E2EEC4BDD650}"/>
    <cellStyle name="Migliaia 7 2 7" xfId="34915" xr:uid="{84A899E4-FB01-4DEC-8739-CBDED18DCB9E}"/>
    <cellStyle name="Migliaia 7 2 8" xfId="25714" xr:uid="{25B91A4E-EBE8-4FE7-911F-A4C8DC5553FE}"/>
    <cellStyle name="Migliaia 7 2 9" xfId="7217" xr:uid="{2EB49AAD-82D2-40C7-B25D-192B5920AFE2}"/>
    <cellStyle name="Migliaia 7 3" xfId="535" xr:uid="{00000000-0005-0000-0000-0000CC040000}"/>
    <cellStyle name="Migliaia 7 3 10" xfId="25721" xr:uid="{016C1DEC-6B50-4A86-8382-B58BDA1581BE}"/>
    <cellStyle name="Migliaia 7 3 11" xfId="16926" xr:uid="{CE677D82-1BCF-4656-9055-F6FEE1BBC251}"/>
    <cellStyle name="Migliaia 7 3 12" xfId="7218" xr:uid="{C1E59D67-2B5F-48BD-8117-D4819C37237B}"/>
    <cellStyle name="Migliaia 7 3 2" xfId="536" xr:uid="{00000000-0005-0000-0000-0000CD040000}"/>
    <cellStyle name="Migliaia 7 3 2 2" xfId="1947" xr:uid="{00000000-0005-0000-0000-0000CE040000}"/>
    <cellStyle name="Migliaia 7 3 2 2 2" xfId="5764" xr:uid="{D4E3C42F-282F-418F-B05D-EFAAA261656A}"/>
    <cellStyle name="Migliaia 7 3 2 2 2 2" xfId="18537" xr:uid="{B6CC7C17-EE50-4325-BE80-05CA88C7AE38}"/>
    <cellStyle name="Migliaia 7 3 2 2 2 2 2" xfId="21899" xr:uid="{5EBF9394-95F2-4DA2-9D84-F6A3235EE0C6}"/>
    <cellStyle name="Migliaia 7 3 2 2 2 2 3" xfId="34925" xr:uid="{1447BEBD-BFEF-486E-88AA-DDE8BDF1A595}"/>
    <cellStyle name="Migliaia 7 3 2 2 2 3" xfId="25724" xr:uid="{9C5DD779-119A-45B1-91FF-6066E36DAFE7}"/>
    <cellStyle name="Migliaia 7 3 2 2 2 4" xfId="48486" xr:uid="{E50B8E0D-2B33-48E3-8B47-B9117DFBA1F5}"/>
    <cellStyle name="Migliaia 7 3 2 2 2 5" xfId="50927" xr:uid="{75B7DACC-659B-4210-ADBD-B428952B08AC}"/>
    <cellStyle name="Migliaia 7 3 2 2 2 6" xfId="53943" xr:uid="{70B5C883-BE57-4512-8EFF-0B69C37F05F1}"/>
    <cellStyle name="Migliaia 7 3 2 2 2 7" xfId="17698" xr:uid="{C7638CB5-036A-4C03-A08E-A5823D20981B}"/>
    <cellStyle name="Migliaia 7 3 2 2 2 8" xfId="12119" xr:uid="{C1ECF8D3-0619-4D1E-BF40-99A6C9CAA123}"/>
    <cellStyle name="Migliaia 7 3 2 2 3" xfId="6930" xr:uid="{86AD5B28-3C98-4473-AE49-406656A02C2F}"/>
    <cellStyle name="Migliaia 7 3 2 2 3 2" xfId="34924" xr:uid="{362E7226-9AC5-4299-BE2A-25D24DF5636B}"/>
    <cellStyle name="Migliaia 7 3 2 2 3 3" xfId="11491" xr:uid="{2A4527D3-0C94-4AF4-9081-107ADD7B35E9}"/>
    <cellStyle name="Migliaia 7 3 2 2 4" xfId="4038" xr:uid="{C4D1A235-C67C-43B2-B135-FF454A9D4086}"/>
    <cellStyle name="Migliaia 7 3 2 2 4 2" xfId="21659" xr:uid="{042A3EB6-9312-49BC-851D-0E760D8DE69B}"/>
    <cellStyle name="Migliaia 7 3 2 2 4 3" xfId="46713" xr:uid="{BC473B6E-D122-41E5-A2C2-7AEA604BCB55}"/>
    <cellStyle name="Migliaia 7 3 2 2 4 4" xfId="50674" xr:uid="{DF990489-A703-4F09-9906-4C5AEC7E7278}"/>
    <cellStyle name="Migliaia 7 3 2 2 4 5" xfId="53690" xr:uid="{B041DCD5-B686-4B39-9A8F-EFC4EB506F96}"/>
    <cellStyle name="Migliaia 7 3 2 2 4 6" xfId="11024" xr:uid="{15E25158-A61F-48C4-8025-67655553BF21}"/>
    <cellStyle name="Migliaia 7 3 2 2 5" xfId="21175" xr:uid="{B76D01AF-2FE0-46E4-B006-29DBA89AE0F1}"/>
    <cellStyle name="Migliaia 7 3 2 2 6" xfId="25723" xr:uid="{E7E9979B-AA86-4720-996E-0A5477CD1F85}"/>
    <cellStyle name="Migliaia 7 3 2 2 7" xfId="8831" xr:uid="{60430BCD-63F5-4346-A76B-54513E4C18F7}"/>
    <cellStyle name="Migliaia 7 3 2 3" xfId="5763" xr:uid="{BB3B9352-54B1-4188-AF29-84609E44CCA3}"/>
    <cellStyle name="Migliaia 7 3 2 3 2" xfId="12394" xr:uid="{74440ED3-2043-4932-BC85-D4A28CE5CE84}"/>
    <cellStyle name="Migliaia 7 3 2 3 2 2" xfId="34926" xr:uid="{096EEB5E-8646-415D-A9F8-6F3B1FC7F185}"/>
    <cellStyle name="Migliaia 7 3 2 3 3" xfId="12120" xr:uid="{FADACBE6-2D6E-43F2-BA43-904A52E35440}"/>
    <cellStyle name="Migliaia 7 3 2 3 4" xfId="21176" xr:uid="{06CF5E60-AC2F-4EAE-A5A5-889B7D0D5F07}"/>
    <cellStyle name="Migliaia 7 3 2 3 5" xfId="25725" xr:uid="{567FB5E5-2E5F-4889-A641-B9BF62A40245}"/>
    <cellStyle name="Migliaia 7 3 2 3 6" xfId="16927" xr:uid="{A046EB57-70E0-46F3-8E11-BB2B3BE7C4F2}"/>
    <cellStyle name="Migliaia 7 3 2 3 7" xfId="8057" xr:uid="{434BA227-4E81-411B-B244-B65AA565C136}"/>
    <cellStyle name="Migliaia 7 3 2 4" xfId="6929" xr:uid="{FA97F6C9-5E93-45DF-A565-B2F6889E2A60}"/>
    <cellStyle name="Migliaia 7 3 2 4 2" xfId="18115" xr:uid="{134D47BF-81BB-4357-87E7-A02211D27679}"/>
    <cellStyle name="Migliaia 7 3 2 4 2 2" xfId="34927" xr:uid="{70063C56-F881-4D22-9533-2352319641DE}"/>
    <cellStyle name="Migliaia 7 3 2 4 3" xfId="25726" xr:uid="{81B4A76E-6A4B-4B74-9B84-91BF2E5E3497}"/>
    <cellStyle name="Migliaia 7 3 2 4 4" xfId="17252" xr:uid="{A6549061-8A07-420B-A9C7-905319C15174}"/>
    <cellStyle name="Migliaia 7 3 2 4 5" xfId="11472" xr:uid="{EEA0078B-7C80-41BE-80F1-D6AF42524B19}"/>
    <cellStyle name="Migliaia 7 3 2 5" xfId="4037" xr:uid="{863F0336-2742-473E-AA34-4F5748070AC0}"/>
    <cellStyle name="Migliaia 7 3 2 5 2" xfId="34928" xr:uid="{376CFBEF-1454-422F-8A87-02AE5F9A21FA}"/>
    <cellStyle name="Migliaia 7 3 2 5 3" xfId="25727" xr:uid="{CED4EC04-A58C-4E71-AB1A-AF4D70506EF7}"/>
    <cellStyle name="Migliaia 7 3 2 5 4" xfId="17074" xr:uid="{65A7FA58-20DB-428F-AF92-956E1F6C9144}"/>
    <cellStyle name="Migliaia 7 3 2 6" xfId="21174" xr:uid="{98169906-953A-4B8E-B73B-FAC99E8514CD}"/>
    <cellStyle name="Migliaia 7 3 2 6 2" xfId="34929" xr:uid="{B49A1273-4904-40E9-A0DE-1533A1A8257D}"/>
    <cellStyle name="Migliaia 7 3 2 6 3" xfId="25728" xr:uid="{3EDA23A4-0F7B-4C0C-8F14-5F6E05195D78}"/>
    <cellStyle name="Migliaia 7 3 2 7" xfId="34923" xr:uid="{831C050F-0333-42ED-A588-BAE6B43D161A}"/>
    <cellStyle name="Migliaia 7 3 2 8" xfId="25722" xr:uid="{E2E906EC-8F47-4910-8846-F82C92B0FE83}"/>
    <cellStyle name="Migliaia 7 3 2 9" xfId="7641" xr:uid="{F968551E-B36E-459E-9503-1E9B3BEABA72}"/>
    <cellStyle name="Migliaia 7 3 3" xfId="4039" xr:uid="{4E100DFE-81D4-4D91-90A0-4F3B02A793FB}"/>
    <cellStyle name="Migliaia 7 3 3 2" xfId="5765" xr:uid="{CD575548-72E2-49CB-8034-C5BDBB5C835A}"/>
    <cellStyle name="Migliaia 7 3 3 2 2" xfId="9998" xr:uid="{500B2439-83B3-47BF-B7D1-A2C0FFC9867B}"/>
    <cellStyle name="Migliaia 7 3 3 2 2 2" xfId="34931" xr:uid="{4C9AA774-1B89-4613-B309-63DBDAAFF26C}"/>
    <cellStyle name="Migliaia 7 3 3 2 3" xfId="18278" xr:uid="{DC68FD8B-8543-4B71-BAD2-5D30774F4929}"/>
    <cellStyle name="Migliaia 7 3 3 2 4" xfId="21178" xr:uid="{B85F0E44-2EDA-4219-A41A-E20FD189712C}"/>
    <cellStyle name="Migliaia 7 3 3 2 5" xfId="25730" xr:uid="{234A9E0D-3CD6-4572-A50C-38D3DEE5F591}"/>
    <cellStyle name="Migliaia 7 3 3 2 6" xfId="16929" xr:uid="{2FEBD18B-D26C-4519-8670-2F623DCEEE87}"/>
    <cellStyle name="Migliaia 7 3 3 2 7" xfId="8830" xr:uid="{DB521E82-D4D3-42E3-A7C1-9234BE8B6594}"/>
    <cellStyle name="Migliaia 7 3 3 3" xfId="6931" xr:uid="{1428600E-24D1-4A85-BEE5-D0A7EC1096BA}"/>
    <cellStyle name="Migliaia 7 3 3 3 2" xfId="34932" xr:uid="{BAA4EB81-E757-4B42-B94B-1A0EC07342C6}"/>
    <cellStyle name="Migliaia 7 3 3 3 3" xfId="25731" xr:uid="{1C6D0B49-98CC-4609-BD74-66420AD42C58}"/>
    <cellStyle name="Migliaia 7 3 3 3 4" xfId="9761" xr:uid="{FC072D74-701C-4024-8480-5757A28EB4CE}"/>
    <cellStyle name="Migliaia 7 3 3 4" xfId="21177" xr:uid="{641F9CF6-0200-46E3-B8DA-54042C09BE81}"/>
    <cellStyle name="Migliaia 7 3 3 4 2" xfId="34933" xr:uid="{5E0AA3A0-4905-45F5-843B-7F04894F2A0F}"/>
    <cellStyle name="Migliaia 7 3 3 4 3" xfId="25732" xr:uid="{A6BCAF6F-683A-4E7C-8212-4316A9358C00}"/>
    <cellStyle name="Migliaia 7 3 3 4 4" xfId="48916" xr:uid="{FC008CDF-5E04-4552-9358-B504C44D416B}"/>
    <cellStyle name="Migliaia 7 3 3 5" xfId="25733" xr:uid="{F7B02EE2-9B81-4836-A554-CA6B97F772F3}"/>
    <cellStyle name="Migliaia 7 3 3 5 2" xfId="34934" xr:uid="{C05ACDFB-C198-48D7-B25C-688253F41A2A}"/>
    <cellStyle name="Migliaia 7 3 3 5 3" xfId="48917" xr:uid="{04821ABD-71F2-4066-9D65-B32EB02EDF3F}"/>
    <cellStyle name="Migliaia 7 3 3 6" xfId="34930" xr:uid="{0340F727-B03D-4520-8E76-4C70A4AE94DD}"/>
    <cellStyle name="Migliaia 7 3 3 7" xfId="25729" xr:uid="{AE714692-4DF2-4BDA-BE57-9D971F52632F}"/>
    <cellStyle name="Migliaia 7 3 3 8" xfId="16928" xr:uid="{E06D9F81-473C-4B1C-97B0-4CE9DDE77B57}"/>
    <cellStyle name="Migliaia 7 3 3 9" xfId="7640" xr:uid="{AF123FBA-F4AB-469A-8823-587F3C41B0A9}"/>
    <cellStyle name="Migliaia 7 3 4" xfId="4040" xr:uid="{333A6446-58D5-428E-B4C0-4469AC20C007}"/>
    <cellStyle name="Migliaia 7 3 4 2" xfId="5766" xr:uid="{E1BD2161-8F9E-4993-A555-19F8AD9A7D29}"/>
    <cellStyle name="Migliaia 7 3 4 2 2" xfId="14481" xr:uid="{77473D01-E2F8-436E-B505-F4ED9931A4F0}"/>
    <cellStyle name="Migliaia 7 3 4 2 3" xfId="18573" xr:uid="{7A3134D0-6484-402B-BA40-243D07293125}"/>
    <cellStyle name="Migliaia 7 3 4 2 4" xfId="21180" xr:uid="{8DEC51B5-0B8F-4CF8-9CC5-E7D92063BCED}"/>
    <cellStyle name="Migliaia 7 3 4 2 5" xfId="32491" xr:uid="{B735E686-C52A-4C1C-B894-41E4CDC9F416}"/>
    <cellStyle name="Migliaia 7 3 4 2 6" xfId="16931" xr:uid="{1E179349-2182-4965-B82A-FCF7D59E0E8B}"/>
    <cellStyle name="Migliaia 7 3 4 2 7" xfId="8904" xr:uid="{12D2854A-3B7F-42C2-9837-DD62434C0D47}"/>
    <cellStyle name="Migliaia 7 3 4 3" xfId="6932" xr:uid="{A08F6748-4D51-446C-94C3-6D6B7E0EB054}"/>
    <cellStyle name="Migliaia 7 3 4 3 2" xfId="35531" xr:uid="{9889D086-6D1A-4B32-922C-78794C8AE359}"/>
    <cellStyle name="Migliaia 7 3 4 3 2 2" xfId="40691" xr:uid="{F8DFF7FE-02D7-409B-A254-932283DBF55E}"/>
    <cellStyle name="Migliaia 7 3 4 3 2 3" xfId="45993" xr:uid="{671D08D4-0D3E-43E5-9667-93BA7E101D8E}"/>
    <cellStyle name="Migliaia 7 3 4 3 3" xfId="38040" xr:uid="{B0A49DCD-F892-4F54-9B82-47A274F8E2CD}"/>
    <cellStyle name="Migliaia 7 3 4 3 4" xfId="43342" xr:uid="{C159BC6E-83BA-4A67-AC06-8015AC840BC6}"/>
    <cellStyle name="Migliaia 7 3 4 3 5" xfId="13729" xr:uid="{5358D2FD-16D6-4730-B7EF-B0DB26207016}"/>
    <cellStyle name="Migliaia 7 3 4 4" xfId="21179" xr:uid="{18E3FE86-8C0C-473D-9078-5ED056BF0F3B}"/>
    <cellStyle name="Migliaia 7 3 4 4 2" xfId="34935" xr:uid="{74AAE4EF-9CD6-4EEA-A843-47F3FC757B7A}"/>
    <cellStyle name="Migliaia 7 3 4 5" xfId="25734" xr:uid="{FF922706-B093-429B-9D57-1A66D91B6F3D}"/>
    <cellStyle name="Migliaia 7 3 4 6" xfId="16930" xr:uid="{542DA04C-734F-4135-8190-1DDECD2CDA00}"/>
    <cellStyle name="Migliaia 7 3 4 7" xfId="7714" xr:uid="{5F2C1F4C-CA46-4F47-BAB7-96FC03B5E5DA}"/>
    <cellStyle name="Migliaia 7 3 5" xfId="4041" xr:uid="{8AFF810F-FF20-48D0-9403-B4C4BD1B873E}"/>
    <cellStyle name="Migliaia 7 3 5 2" xfId="5767" xr:uid="{9B8F1404-B125-41F3-8C79-BF58551CEA0C}"/>
    <cellStyle name="Migliaia 7 3 5 2 2" xfId="35532" xr:uid="{8AB7F7C4-10CF-4EC6-8C96-6C88FBC826AE}"/>
    <cellStyle name="Migliaia 7 3 5 2 2 2" xfId="40692" xr:uid="{A4C21D09-CAF3-4602-91FB-4C69B3B1919E}"/>
    <cellStyle name="Migliaia 7 3 5 2 2 3" xfId="45994" xr:uid="{D5EE4060-ADFB-43E6-9F60-48B9FD02CECC}"/>
    <cellStyle name="Migliaia 7 3 5 2 3" xfId="38041" xr:uid="{D24C5A5D-D7F6-4E74-8D59-DD325ED4FE5B}"/>
    <cellStyle name="Migliaia 7 3 5 2 4" xfId="43343" xr:uid="{604B0F48-EE26-4DB4-A735-DC1AE2A22842}"/>
    <cellStyle name="Migliaia 7 3 5 2 5" xfId="14355" xr:uid="{0BAB9655-9E72-44CF-8899-566D0A35F98D}"/>
    <cellStyle name="Migliaia 7 3 5 3" xfId="6933" xr:uid="{9D989CE6-4BD3-41ED-B5D0-3C3B96A43034}"/>
    <cellStyle name="Migliaia 7 3 5 3 2" xfId="34936" xr:uid="{F979A7B7-5EF3-4A82-A766-71F64BFD334F}"/>
    <cellStyle name="Migliaia 7 3 5 3 3" xfId="21181" xr:uid="{47261A4D-8045-4159-90CF-C02E382EC933}"/>
    <cellStyle name="Migliaia 7 3 5 4" xfId="25735" xr:uid="{F65B540E-88FF-4352-ABA8-A4729D3D4263}"/>
    <cellStyle name="Migliaia 7 3 5 5" xfId="16932" xr:uid="{7286EE64-0545-4882-BC94-DE58CAA562C0}"/>
    <cellStyle name="Migliaia 7 3 5 6" xfId="8417" xr:uid="{DF484419-54B5-4B2D-AD1A-FB850ED279DE}"/>
    <cellStyle name="Migliaia 7 3 6" xfId="5762" xr:uid="{C437E233-4560-4CFE-A604-096AE3089A83}"/>
    <cellStyle name="Migliaia 7 3 6 2" xfId="14060" xr:uid="{1D07E5C2-BB00-4728-B308-6B680BE7B667}"/>
    <cellStyle name="Migliaia 7 3 6 2 2" xfId="34937" xr:uid="{2FFFC310-F243-42C7-806F-E0BE5EFB626D}"/>
    <cellStyle name="Migliaia 7 3 6 3" xfId="18599" xr:uid="{ACB9E28A-A7B3-4580-9E2C-F2909A630F55}"/>
    <cellStyle name="Migliaia 7 3 6 4" xfId="21182" xr:uid="{3ED80A40-9F06-43A2-B25D-B3F688153929}"/>
    <cellStyle name="Migliaia 7 3 6 5" xfId="25736" xr:uid="{732626AC-A86B-463F-AC48-AE2238B34A57}"/>
    <cellStyle name="Migliaia 7 3 6 6" xfId="16933" xr:uid="{B284ECE5-26BD-429F-9896-F132CD493E44}"/>
    <cellStyle name="Migliaia 7 3 6 7" xfId="8056" xr:uid="{265032EB-3DDC-4BAE-8316-84A5AA5A449B}"/>
    <cellStyle name="Migliaia 7 3 7" xfId="6928" xr:uid="{D6053B9C-72F6-4438-8894-97705D338C55}"/>
    <cellStyle name="Migliaia 7 3 7 2" xfId="34938" xr:uid="{C40536E3-C5EB-4C1D-8DC0-7AB4ED8FA353}"/>
    <cellStyle name="Migliaia 7 3 7 3" xfId="25737" xr:uid="{EB8306FC-212E-4B14-987F-1CE84C5CD2F0}"/>
    <cellStyle name="Migliaia 7 3 7 4" xfId="11215" xr:uid="{F4AE3AF8-6746-421D-AAB5-A362B84859C0}"/>
    <cellStyle name="Migliaia 7 3 8" xfId="4036" xr:uid="{D7676ACD-2BE0-4B74-95B3-F2F384CED63A}"/>
    <cellStyle name="Migliaia 7 3 8 2" xfId="34939" xr:uid="{36C0576D-9293-4343-8B42-5965193BE881}"/>
    <cellStyle name="Migliaia 7 3 8 3" xfId="25738" xr:uid="{A74ACDE5-AFB7-4DD0-AD3D-7C10CA8C2F99}"/>
    <cellStyle name="Migliaia 7 3 8 4" xfId="17075" xr:uid="{7E5CFBA7-E653-4B6D-A471-8445142D907B}"/>
    <cellStyle name="Migliaia 7 3 9" xfId="21173" xr:uid="{F1DF6389-1175-4487-B06C-CE7DA86C599C}"/>
    <cellStyle name="Migliaia 7 3 9 2" xfId="34922" xr:uid="{9B70D1FC-DA35-48E4-9424-ABDD1949DF34}"/>
    <cellStyle name="Migliaia 7 4" xfId="1948" xr:uid="{00000000-0005-0000-0000-0000CF040000}"/>
    <cellStyle name="Migliaia 7 4 10" xfId="7642" xr:uid="{284967FE-0B41-4D4A-B1C2-56B833070650}"/>
    <cellStyle name="Migliaia 7 4 2" xfId="1949" xr:uid="{00000000-0005-0000-0000-0000D0040000}"/>
    <cellStyle name="Migliaia 7 4 2 2" xfId="5769" xr:uid="{BCC4ADDC-E696-4619-9C43-5BEF7B9B1A5C}"/>
    <cellStyle name="Migliaia 7 4 2 2 2" xfId="34942" xr:uid="{24A19BAA-0F0B-44A8-B1E3-BD388C38FD9F}"/>
    <cellStyle name="Migliaia 7 4 2 2 3" xfId="25741" xr:uid="{00F8939D-4D52-442A-941F-1F311B439070}"/>
    <cellStyle name="Migliaia 7 4 2 2 4" xfId="9224" xr:uid="{E0D91B60-6609-4275-9876-DE8D46B21805}"/>
    <cellStyle name="Migliaia 7 4 2 3" xfId="4043" xr:uid="{45C78FEA-24A0-4636-B85D-9D9682CD9342}"/>
    <cellStyle name="Migliaia 7 4 2 3 2" xfId="34943" xr:uid="{FD327BFA-FBCC-49CF-9907-9D9FCBA09AEF}"/>
    <cellStyle name="Migliaia 7 4 2 3 3" xfId="25742" xr:uid="{66273B2F-C2EC-4D2A-B186-B838A3E47B33}"/>
    <cellStyle name="Migliaia 7 4 2 3 4" xfId="12121" xr:uid="{4A44E759-3680-4FB1-AD71-1A18A63FB42A}"/>
    <cellStyle name="Migliaia 7 4 2 4" xfId="11474" xr:uid="{44091CC9-3356-414E-9EE5-5805FB802B1D}"/>
    <cellStyle name="Migliaia 7 4 2 4 2" xfId="34941" xr:uid="{71E2EFD0-A01C-4738-BB9D-0F39B7607823}"/>
    <cellStyle name="Migliaia 7 4 2 5" xfId="11026" xr:uid="{7F30082E-B710-4294-8F4A-F165C0AB2CD8}"/>
    <cellStyle name="Migliaia 7 4 2 5 2" xfId="21661" xr:uid="{A8713343-CF08-43BB-8DC4-E7C0E41C586B}"/>
    <cellStyle name="Migliaia 7 4 2 5 3" xfId="47906" xr:uid="{6935B14C-E0A5-458B-BFF3-3AAA574E2782}"/>
    <cellStyle name="Migliaia 7 4 2 5 4" xfId="50676" xr:uid="{341016E2-309D-4741-94DD-439775693639}"/>
    <cellStyle name="Migliaia 7 4 2 5 5" xfId="53692" xr:uid="{01761FC6-AD14-45BE-BE68-5E764F467EA6}"/>
    <cellStyle name="Migliaia 7 4 2 6" xfId="21184" xr:uid="{C1563589-507A-444D-B015-23C04AE28118}"/>
    <cellStyle name="Migliaia 7 4 2 7" xfId="25740" xr:uid="{09CB849A-A4EB-4046-902E-EF02E1070207}"/>
    <cellStyle name="Migliaia 7 4 2 8" xfId="8832" xr:uid="{CA0200E7-161F-4309-8673-A6D16D9404DE}"/>
    <cellStyle name="Migliaia 7 4 3" xfId="5768" xr:uid="{835577E3-A207-477A-8D61-CDF29FE2CF12}"/>
    <cellStyle name="Migliaia 7 4 3 2" xfId="18279" xr:uid="{3919C56D-05D8-4D8C-9056-56D65E2A9B82}"/>
    <cellStyle name="Migliaia 7 4 3 2 2" xfId="34944" xr:uid="{BD630D7A-79E0-4CB9-8B60-F54BCEFEF6AF}"/>
    <cellStyle name="Migliaia 7 4 3 3" xfId="25743" xr:uid="{382B86CB-EB01-451A-B2D0-872D8AEFCC6E}"/>
    <cellStyle name="Migliaia 7 4 3 4" xfId="17073" xr:uid="{30857EB3-17F6-47C5-AADA-930ABF2E6BE6}"/>
    <cellStyle name="Migliaia 7 4 3 5" xfId="9225" xr:uid="{2FB9A5FE-A2BD-48D4-9AC2-F2BFFC35F869}"/>
    <cellStyle name="Migliaia 7 4 4" xfId="6934" xr:uid="{4736DBD1-8E8B-4099-BBBA-7F65146D4C5A}"/>
    <cellStyle name="Migliaia 7 4 4 2" xfId="34945" xr:uid="{B66D6F01-CCF9-40B3-BC9B-9D10A94AFE7A}"/>
    <cellStyle name="Migliaia 7 4 4 3" xfId="25744" xr:uid="{72D6DCA4-79C7-4F41-BB16-382D40323FDA}"/>
    <cellStyle name="Migliaia 7 4 4 4" xfId="12122" xr:uid="{36EC17CA-E8DA-42C7-962D-B501FF63D8BF}"/>
    <cellStyle name="Migliaia 7 4 5" xfId="4042" xr:uid="{A0FB0745-B555-42F7-9AC1-EF73EB14644A}"/>
    <cellStyle name="Migliaia 7 4 5 2" xfId="34946" xr:uid="{6184CCE0-8887-421F-A1D7-AAD1CD1155B9}"/>
    <cellStyle name="Migliaia 7 4 5 3" xfId="25745" xr:uid="{4A791A04-8413-4C2A-96B0-7477894E610D}"/>
    <cellStyle name="Migliaia 7 4 5 4" xfId="11473" xr:uid="{B48AF800-BF15-479C-BBAB-D569F07A0813}"/>
    <cellStyle name="Migliaia 7 4 6" xfId="11025" xr:uid="{3FF9851A-2570-4765-B21D-6CC5C4D282EF}"/>
    <cellStyle name="Migliaia 7 4 6 2" xfId="21660" xr:uid="{BE55732C-FE70-44B1-9CCC-9754B8BA345C}"/>
    <cellStyle name="Migliaia 7 4 6 2 2" xfId="34947" xr:uid="{C95C3BFA-7057-478F-832A-7DC8ECC80F6A}"/>
    <cellStyle name="Migliaia 7 4 6 3" xfId="25746" xr:uid="{615CBBC9-7310-4D53-B0D2-4479D5284AC0}"/>
    <cellStyle name="Migliaia 7 4 6 4" xfId="48548" xr:uid="{DF142C3C-7347-4F66-A5DE-D11554943DFC}"/>
    <cellStyle name="Migliaia 7 4 6 5" xfId="48918" xr:uid="{A17D265A-909F-4F80-9975-CE0D277E0D5E}"/>
    <cellStyle name="Migliaia 7 4 6 6" xfId="50675" xr:uid="{A90BB730-DDD1-4F17-A225-9DBCB2555F45}"/>
    <cellStyle name="Migliaia 7 4 6 7" xfId="53691" xr:uid="{1FFBEC8D-0123-4BAF-8922-9A9C26721AFE}"/>
    <cellStyle name="Migliaia 7 4 7" xfId="21183" xr:uid="{6DF9D8E7-B1F9-4647-BA1C-D168040BFE45}"/>
    <cellStyle name="Migliaia 7 4 7 2" xfId="34948" xr:uid="{5AF1FFBA-600D-4CB9-ACC8-B09D3BB0B6E5}"/>
    <cellStyle name="Migliaia 7 4 7 3" xfId="25747" xr:uid="{5BD4A82C-F5B7-44C7-807D-533711C881C6}"/>
    <cellStyle name="Migliaia 7 4 8" xfId="34940" xr:uid="{CC5DB62B-5A21-48AB-8B14-3550B9827287}"/>
    <cellStyle name="Migliaia 7 4 9" xfId="25739" xr:uid="{924E559B-857D-4D43-932F-5AC33F3B9DA4}"/>
    <cellStyle name="Migliaia 7 5" xfId="1950" xr:uid="{00000000-0005-0000-0000-0000D1040000}"/>
    <cellStyle name="Migliaia 7 5 2" xfId="5770" xr:uid="{002632B1-AB3C-4763-9AAF-83AA2D4BEB81}"/>
    <cellStyle name="Migliaia 7 5 2 2" xfId="18538" xr:uid="{DA575B2F-5F7A-4240-AF6E-AA6D316B2F61}"/>
    <cellStyle name="Migliaia 7 5 2 2 2" xfId="34950" xr:uid="{CE367DD4-8EF1-4308-A4FE-7AD69CC2F5BF}"/>
    <cellStyle name="Migliaia 7 5 2 3" xfId="21186" xr:uid="{84546DF0-23A7-426F-ABD8-56BE641DCD71}"/>
    <cellStyle name="Migliaia 7 5 2 4" xfId="25749" xr:uid="{69159985-0868-4659-B986-FC193B2E950D}"/>
    <cellStyle name="Migliaia 7 5 2 5" xfId="16934" xr:uid="{E896F8FB-FC1C-4BD3-9344-517F1DCDCB20}"/>
    <cellStyle name="Migliaia 7 5 2 6" xfId="8833" xr:uid="{E7092D9C-9F64-4E2F-B624-016CC0937387}"/>
    <cellStyle name="Migliaia 7 5 3" xfId="6935" xr:uid="{E1918868-936D-42BD-ADC3-E03688033D38}"/>
    <cellStyle name="Migliaia 7 5 3 2" xfId="34951" xr:uid="{BC16B10C-3593-49B2-84C7-B52FA1470FAB}"/>
    <cellStyle name="Migliaia 7 5 3 3" xfId="25750" xr:uid="{AFB8E326-B577-41C5-9B35-9AEA0B919216}"/>
    <cellStyle name="Migliaia 7 5 3 4" xfId="11475" xr:uid="{43CC46CF-0AF2-4AC5-A6CA-B9DE8F51EF09}"/>
    <cellStyle name="Migliaia 7 5 4" xfId="4044" xr:uid="{21AAB6AF-FB95-48C8-B2DC-F45D4F66FDFC}"/>
    <cellStyle name="Migliaia 7 5 4 2" xfId="21662" xr:uid="{6E0E003C-E758-4D57-9A18-5D9E63DC274F}"/>
    <cellStyle name="Migliaia 7 5 4 2 2" xfId="34952" xr:uid="{03E0FBF9-BE62-4E9E-B424-825126A8D3EC}"/>
    <cellStyle name="Migliaia 7 5 4 3" xfId="25751" xr:uid="{74C6DC52-C657-4A7B-A317-1C4E97388D41}"/>
    <cellStyle name="Migliaia 7 5 4 4" xfId="46264" xr:uid="{14574FD1-34C2-41EC-BDFC-4C5B9638BFF7}"/>
    <cellStyle name="Migliaia 7 5 4 5" xfId="48919" xr:uid="{22740228-D9A4-4734-8294-7B9E9C598C4A}"/>
    <cellStyle name="Migliaia 7 5 4 6" xfId="50677" xr:uid="{4DF1BFF5-2DF8-4A39-AE8D-29117C45CCCA}"/>
    <cellStyle name="Migliaia 7 5 4 7" xfId="53693" xr:uid="{0EFD0C76-6F65-4813-9D55-62744F98EF79}"/>
    <cellStyle name="Migliaia 7 5 4 8" xfId="11027" xr:uid="{009AB03B-D2A2-4355-83BE-4DBFFE75C5B8}"/>
    <cellStyle name="Migliaia 7 5 5" xfId="21185" xr:uid="{453A0D02-D55B-4B9F-80C9-E8A42AF9691C}"/>
    <cellStyle name="Migliaia 7 5 5 2" xfId="34953" xr:uid="{F005D585-9805-4CB1-947E-8ECF8029C2FE}"/>
    <cellStyle name="Migliaia 7 5 5 3" xfId="25752" xr:uid="{8AEED573-F762-4F96-B1A1-C8C8C808A048}"/>
    <cellStyle name="Migliaia 7 5 5 4" xfId="48920" xr:uid="{6ADE10FD-F72F-4EA5-871B-E3C953DC9896}"/>
    <cellStyle name="Migliaia 7 5 6" xfId="25753" xr:uid="{C1CDD871-87C2-4980-B9FA-8587C4A405D1}"/>
    <cellStyle name="Migliaia 7 5 6 2" xfId="34954" xr:uid="{600B85E5-304A-4749-998F-5AC2B3AA7945}"/>
    <cellStyle name="Migliaia 7 5 7" xfId="34949" xr:uid="{D515311B-4708-411D-BB27-D9CADE3DA4DD}"/>
    <cellStyle name="Migliaia 7 5 8" xfId="25748" xr:uid="{17E8AC3B-69CF-40B0-AADC-ACEC150D9D46}"/>
    <cellStyle name="Migliaia 7 5 9" xfId="7643" xr:uid="{3C254E8D-60D2-40B1-9A9B-4ADA5FD707E9}"/>
    <cellStyle name="Migliaia 7 6" xfId="4045" xr:uid="{45BB8103-A4D4-4395-A6DB-7E049D78584A}"/>
    <cellStyle name="Migliaia 7 6 2" xfId="5771" xr:uid="{4BD32CA3-F614-465A-B6B3-B55EEE94ABF5}"/>
    <cellStyle name="Migliaia 7 6 2 2" xfId="9997" xr:uid="{5E7C17FA-765A-459A-8C57-FF3727870481}"/>
    <cellStyle name="Migliaia 7 6 2 3" xfId="18595" xr:uid="{B599FE21-6715-4D97-AB6C-18EA81DA7013}"/>
    <cellStyle name="Migliaia 7 6 2 4" xfId="21188" xr:uid="{AFD70CFF-C79E-48DF-B8CB-E4B6318CF35F}"/>
    <cellStyle name="Migliaia 7 6 2 5" xfId="32492" xr:uid="{5D7CA130-0BEE-46EE-925C-126864B1BB3B}"/>
    <cellStyle name="Migliaia 7 6 2 6" xfId="16936" xr:uid="{B6E23629-2D5C-46B2-AEB5-139AF4179221}"/>
    <cellStyle name="Migliaia 7 6 2 7" xfId="8828" xr:uid="{6198FC9B-B19F-4CA5-BC49-50D20102BF3A}"/>
    <cellStyle name="Migliaia 7 6 3" xfId="6936" xr:uid="{0BA02215-AA6A-4C63-A68E-AD1425C93165}"/>
    <cellStyle name="Migliaia 7 6 3 2" xfId="35533" xr:uid="{86E12278-0EB6-4E79-954B-B0AECE035711}"/>
    <cellStyle name="Migliaia 7 6 3 2 2" xfId="40693" xr:uid="{A7474291-6CEF-4122-823C-F5EAF1ED428E}"/>
    <cellStyle name="Migliaia 7 6 3 2 3" xfId="45995" xr:uid="{244610C2-2D01-43DD-88B3-BBABF2B2AE6F}"/>
    <cellStyle name="Migliaia 7 6 3 3" xfId="38042" xr:uid="{A1076FC8-2347-486E-A2A3-6632D0E15748}"/>
    <cellStyle name="Migliaia 7 6 3 4" xfId="43344" xr:uid="{EAE472A8-8864-40E1-A58B-AF33716BE2ED}"/>
    <cellStyle name="Migliaia 7 6 3 5" xfId="9760" xr:uid="{CF0FFDDB-8C89-4660-A3F4-5B5E215A84E0}"/>
    <cellStyle name="Migliaia 7 6 4" xfId="21187" xr:uid="{F0190793-A242-4EC5-9678-E2394A3A5E15}"/>
    <cellStyle name="Migliaia 7 6 4 2" xfId="34955" xr:uid="{911B7BF8-4663-48A5-A3C9-BF7010250663}"/>
    <cellStyle name="Migliaia 7 6 5" xfId="25754" xr:uid="{1499B7D7-45D5-4E79-87C0-D36789E71B95}"/>
    <cellStyle name="Migliaia 7 6 6" xfId="16935" xr:uid="{2D7D882C-FF51-42E1-A6CF-2E1DEAC1F851}"/>
    <cellStyle name="Migliaia 7 6 7" xfId="7638" xr:uid="{258A1440-E529-4DAB-B0E9-1D4603F7DC00}"/>
    <cellStyle name="Migliaia 7 7" xfId="4046" xr:uid="{058B7C75-986B-4938-B9E1-BE8704A6BE63}"/>
    <cellStyle name="Migliaia 7 7 2" xfId="5772" xr:uid="{6C317DA2-D567-416A-99E9-5FF5B1EE2107}"/>
    <cellStyle name="Migliaia 7 7 2 2" xfId="35534" xr:uid="{28155C86-2A9E-486F-8077-B4BD662DB4E0}"/>
    <cellStyle name="Migliaia 7 7 2 2 2" xfId="40694" xr:uid="{029FC0A9-5D4C-4DEF-9068-D1D3E02F25AE}"/>
    <cellStyle name="Migliaia 7 7 2 2 3" xfId="45996" xr:uid="{3312E757-DECB-4A01-A357-7CC368A908D8}"/>
    <cellStyle name="Migliaia 7 7 2 3" xfId="38043" xr:uid="{54A65956-BA24-41C1-AAF7-25BBB4AB129D}"/>
    <cellStyle name="Migliaia 7 7 2 4" xfId="43345" xr:uid="{9569C81E-C5A2-412A-8E75-5C25DB459EB7}"/>
    <cellStyle name="Migliaia 7 7 2 5" xfId="14353" xr:uid="{06A2E369-68E3-429F-B839-C87BAD92C42B}"/>
    <cellStyle name="Migliaia 7 7 3" xfId="6937" xr:uid="{CD139268-3FE5-4F21-9C06-770ED01198AA}"/>
    <cellStyle name="Migliaia 7 7 3 2" xfId="34956" xr:uid="{DF56AF27-A215-4FB7-B018-DDA4BB585F70}"/>
    <cellStyle name="Migliaia 7 7 3 3" xfId="21189" xr:uid="{4C885129-53E6-4108-8BBC-E3C8B2344961}"/>
    <cellStyle name="Migliaia 7 7 4" xfId="25755" xr:uid="{0BCCB46E-BC69-4BF4-9DD7-74A6847CB45A}"/>
    <cellStyle name="Migliaia 7 7 5" xfId="16937" xr:uid="{F0821808-1FA4-464E-9D62-25C2DEBF8AFB}"/>
    <cellStyle name="Migliaia 7 7 6" xfId="8415" xr:uid="{9FB96027-CE29-4AF2-84F4-3C5399D1035A}"/>
    <cellStyle name="Migliaia 7 8" xfId="4047" xr:uid="{F291C5A0-E741-4085-896E-912335925A81}"/>
    <cellStyle name="Migliaia 7 8 2" xfId="5773" xr:uid="{004F08B0-91AA-44ED-8854-E2372DEC676E}"/>
    <cellStyle name="Migliaia 7 8 2 2" xfId="35535" xr:uid="{24C76989-F0D7-41A1-B1FB-FA705A65931C}"/>
    <cellStyle name="Migliaia 7 8 2 2 2" xfId="40695" xr:uid="{17E352E7-AD7D-4B9C-9E99-B44CA8E3BB7F}"/>
    <cellStyle name="Migliaia 7 8 2 2 3" xfId="45997" xr:uid="{1BE283D3-4C76-45B4-A161-5BF4E6476105}"/>
    <cellStyle name="Migliaia 7 8 2 3" xfId="38044" xr:uid="{8D4F9F3A-1D40-4DE6-944C-12F88AFD8382}"/>
    <cellStyle name="Migliaia 7 8 2 4" xfId="43346" xr:uid="{395FF946-4E21-4594-A3C1-1AB21939C2C9}"/>
    <cellStyle name="Migliaia 7 8 2 5" xfId="14058" xr:uid="{FFA990BE-07D1-4DDA-8881-71C29DDB791D}"/>
    <cellStyle name="Migliaia 7 8 3" xfId="6938" xr:uid="{2753721D-0928-4BF5-BD70-305E454C310F}"/>
    <cellStyle name="Migliaia 7 8 3 2" xfId="34957" xr:uid="{ABA3F3E6-35C9-4E5F-A82B-7E19F9DF8171}"/>
    <cellStyle name="Migliaia 7 8 3 3" xfId="21190" xr:uid="{70E8B24A-76F9-4BD1-AC28-409631F7F1DF}"/>
    <cellStyle name="Migliaia 7 8 4" xfId="25756" xr:uid="{EB367DC2-954B-4C2B-8E84-409AC2EA5EFA}"/>
    <cellStyle name="Migliaia 7 8 5" xfId="16938" xr:uid="{5F0F7160-27BD-4683-944C-A297426CB7B2}"/>
    <cellStyle name="Migliaia 7 8 6" xfId="8054" xr:uid="{0C4F2ED1-9B18-4B0A-85CF-747FA6AAA39E}"/>
    <cellStyle name="Migliaia 7 9" xfId="5758" xr:uid="{9AF9A528-99A9-4B7B-B9D0-CC06B09BAFA3}"/>
    <cellStyle name="Migliaia 7 9 2" xfId="34958" xr:uid="{FF9C768C-3D40-4CF8-859D-2E3D17C0A253}"/>
    <cellStyle name="Migliaia 7 9 3" xfId="25757" xr:uid="{152AE709-4FB2-45BC-94BD-CFC6268431B4}"/>
    <cellStyle name="Migliaia 7 9 4" xfId="17251" xr:uid="{7AC3B4D5-7E2B-4A73-A0E5-6D4BA410962A}"/>
    <cellStyle name="Migliaia 8" xfId="537" xr:uid="{00000000-0005-0000-0000-0000D2040000}"/>
    <cellStyle name="Migliaia 8 10" xfId="6939" xr:uid="{42732290-0D34-4357-9908-9669684615F5}"/>
    <cellStyle name="Migliaia 8 10 2" xfId="34959" xr:uid="{97FF1AD0-1DEE-48DE-A923-F0945546FE65}"/>
    <cellStyle name="Migliaia 8 10 3" xfId="21191" xr:uid="{EA2926A8-C077-4B08-8B95-5EB000440649}"/>
    <cellStyle name="Migliaia 8 11" xfId="4048" xr:uid="{EA5BE971-B2A5-4A9F-B3AD-9A906962C9A3}"/>
    <cellStyle name="Migliaia 8 11 2" xfId="25758" xr:uid="{40796EEC-28B1-49F6-B71B-0060EAD5195C}"/>
    <cellStyle name="Migliaia 8 12" xfId="7219" xr:uid="{D7CE8AD6-921F-4827-82C0-F01608A57CB6}"/>
    <cellStyle name="Migliaia 8 2" xfId="538" xr:uid="{00000000-0005-0000-0000-0000D3040000}"/>
    <cellStyle name="Migliaia 8 2 2" xfId="1951" xr:uid="{00000000-0005-0000-0000-0000D4040000}"/>
    <cellStyle name="Migliaia 8 2 2 2" xfId="5776" xr:uid="{198B8A53-891D-4DDE-8E39-BB5502252E55}"/>
    <cellStyle name="Migliaia 8 2 2 2 2" xfId="14422" xr:uid="{12CF2505-BF82-44C8-BA47-C8517906CE16}"/>
    <cellStyle name="Migliaia 8 2 2 2 2 2" xfId="34962" xr:uid="{07DA104F-9186-45F0-B44F-9E6F5385A15F}"/>
    <cellStyle name="Migliaia 8 2 2 2 3" xfId="18539" xr:uid="{E1BBE52F-F986-4B6D-9367-53AF1390E367}"/>
    <cellStyle name="Migliaia 8 2 2 2 4" xfId="21194" xr:uid="{FD7CCBE3-68D6-41B9-AF29-418E9BDD6FD3}"/>
    <cellStyle name="Migliaia 8 2 2 2 5" xfId="25761" xr:uid="{7B7CFC36-90C9-43F6-BC3E-B5F420ED3C0A}"/>
    <cellStyle name="Migliaia 8 2 2 2 6" xfId="16939" xr:uid="{1F431CE6-C7CD-490D-86F6-C0BF2AF118CB}"/>
    <cellStyle name="Migliaia 8 2 2 2 7" xfId="8835" xr:uid="{FBBBA0CB-DBFE-4CA2-A6A4-23934874F94C}"/>
    <cellStyle name="Migliaia 8 2 2 3" xfId="6941" xr:uid="{FF03437A-E241-474D-812F-59A357D88991}"/>
    <cellStyle name="Migliaia 8 2 2 3 2" xfId="35536" xr:uid="{2F982680-DB82-46CD-8BE5-2983F30CC054}"/>
    <cellStyle name="Migliaia 8 2 2 3 2 2" xfId="40696" xr:uid="{6F4A6449-8D41-4527-B760-828F8B5D50EB}"/>
    <cellStyle name="Migliaia 8 2 2 3 2 3" xfId="45998" xr:uid="{01804738-BAE4-42F2-9436-AE6F18AB04FA}"/>
    <cellStyle name="Migliaia 8 2 2 3 3" xfId="38045" xr:uid="{7BC83EA9-BE9B-4B64-8893-05715BC82644}"/>
    <cellStyle name="Migliaia 8 2 2 3 4" xfId="43347" xr:uid="{D7B37A79-3D5A-46AD-A26F-48F95B6F32F5}"/>
    <cellStyle name="Migliaia 8 2 2 3 5" xfId="11649" xr:uid="{D76FD867-4E42-4D25-9EE9-1C0FA63A858E}"/>
    <cellStyle name="Migliaia 8 2 2 4" xfId="4050" xr:uid="{C2966A30-CD7C-456B-8769-64314EC554C8}"/>
    <cellStyle name="Migliaia 8 2 2 4 2" xfId="21663" xr:uid="{05A6A728-AA0B-4A4D-89D2-24B725A94988}"/>
    <cellStyle name="Migliaia 8 2 2 4 3" xfId="34961" xr:uid="{BB947804-C4C3-4FB3-8DA4-ADEAFD67178C}"/>
    <cellStyle name="Migliaia 8 2 2 4 4" xfId="47005" xr:uid="{AE484FE4-737A-44DB-8285-0EA18C8CCDB6}"/>
    <cellStyle name="Migliaia 8 2 2 4 5" xfId="50678" xr:uid="{707290C9-A8D5-4F4E-B3CD-A96FD53A2CB2}"/>
    <cellStyle name="Migliaia 8 2 2 4 6" xfId="53694" xr:uid="{D03216C8-59DF-40D3-9666-915B83B1642D}"/>
    <cellStyle name="Migliaia 8 2 2 4 7" xfId="11028" xr:uid="{5B9FCB7A-A04C-44C0-BAE3-26BD264CC325}"/>
    <cellStyle name="Migliaia 8 2 2 5" xfId="21193" xr:uid="{D7C1AB24-293A-4C3E-9A76-7F48C922DC45}"/>
    <cellStyle name="Migliaia 8 2 2 6" xfId="25760" xr:uid="{63BF5A05-7A34-4A9A-99E2-AC285A8A5A6E}"/>
    <cellStyle name="Migliaia 8 2 2 7" xfId="7645" xr:uid="{AA767F48-493E-4C6A-87F3-6B8A750E6737}"/>
    <cellStyle name="Migliaia 8 2 3" xfId="4051" xr:uid="{19546196-290B-454C-BC62-71CA7E0989AE}"/>
    <cellStyle name="Migliaia 8 2 3 2" xfId="5777" xr:uid="{64BF85C6-DEB6-4A51-82CF-EDD32F712F22}"/>
    <cellStyle name="Migliaia 8 2 3 2 2" xfId="35537" xr:uid="{0929C6B6-953F-40A7-90DB-352209843457}"/>
    <cellStyle name="Migliaia 8 2 3 2 2 2" xfId="40697" xr:uid="{FDF9D135-E20E-4633-9F90-E247EE1FCC9B}"/>
    <cellStyle name="Migliaia 8 2 3 2 2 3" xfId="45999" xr:uid="{240456D9-A8EC-4FF5-A965-68C4F7476228}"/>
    <cellStyle name="Migliaia 8 2 3 2 3" xfId="38046" xr:uid="{188CA09B-8CEC-46C9-9159-EC85BD5D9230}"/>
    <cellStyle name="Migliaia 8 2 3 2 4" xfId="43348" xr:uid="{5D8F6450-C253-49A4-8705-6C4E75EB950C}"/>
    <cellStyle name="Migliaia 8 2 3 2 5" xfId="14357" xr:uid="{E2A45D1B-7411-4DC9-B3E5-30129F61D35A}"/>
    <cellStyle name="Migliaia 8 2 3 3" xfId="6942" xr:uid="{6976F27C-3C6B-41B5-939D-016EC96E0C2F}"/>
    <cellStyle name="Migliaia 8 2 3 3 2" xfId="34963" xr:uid="{62A4533D-E8F3-436E-AE46-8366096C6460}"/>
    <cellStyle name="Migliaia 8 2 3 3 3" xfId="21195" xr:uid="{394D8066-A88F-422D-8780-4093C55FC656}"/>
    <cellStyle name="Migliaia 8 2 3 4" xfId="25762" xr:uid="{625BD244-2EEB-4216-931E-0811D2754835}"/>
    <cellStyle name="Migliaia 8 2 3 5" xfId="16940" xr:uid="{0593F4FF-32A1-44A3-ACEE-EA6D5D0CD5E7}"/>
    <cellStyle name="Migliaia 8 2 3 6" xfId="8419" xr:uid="{E62DF4EB-C590-48B6-9108-6D0EE3917EEB}"/>
    <cellStyle name="Migliaia 8 2 4" xfId="5775" xr:uid="{A4B6968D-67E5-4C3E-B48F-38F3188C867D}"/>
    <cellStyle name="Migliaia 8 2 4 2" xfId="14062" xr:uid="{85017906-7861-491D-B9D6-334D309A4C01}"/>
    <cellStyle name="Migliaia 8 2 4 2 2" xfId="34964" xr:uid="{8DE16B60-B52F-4578-96AA-4B95EC6EADDE}"/>
    <cellStyle name="Migliaia 8 2 4 3" xfId="18029" xr:uid="{8A828822-E85C-459A-9C63-BDAFC85567CA}"/>
    <cellStyle name="Migliaia 8 2 4 4" xfId="21196" xr:uid="{A6B6B66E-EAA4-456C-B336-DCC7D8E4B952}"/>
    <cellStyle name="Migliaia 8 2 4 5" xfId="25763" xr:uid="{B170C743-1362-445D-8A35-82A54DEBE15B}"/>
    <cellStyle name="Migliaia 8 2 4 6" xfId="16941" xr:uid="{9590949A-A1F9-42C6-A6EC-2F31E552C71E}"/>
    <cellStyle name="Migliaia 8 2 4 7" xfId="8059" xr:uid="{559063F2-C089-4B0C-8666-3BC1F6A49341}"/>
    <cellStyle name="Migliaia 8 2 5" xfId="6940" xr:uid="{3CB1A946-BB27-429D-8F93-4F0C709B34FE}"/>
    <cellStyle name="Migliaia 8 2 5 2" xfId="34965" xr:uid="{F6EBFDA8-D477-4A06-BD73-BECFD2110F49}"/>
    <cellStyle name="Migliaia 8 2 5 3" xfId="25764" xr:uid="{7FF3C799-B044-4124-BDF8-C4C8BBEE99A5}"/>
    <cellStyle name="Migliaia 8 2 5 4" xfId="13162" xr:uid="{74BEBB57-1656-4A27-B31C-4611A9108068}"/>
    <cellStyle name="Migliaia 8 2 6" xfId="4049" xr:uid="{2412CB90-CD2D-470C-B126-6D85C0B70FA8}"/>
    <cellStyle name="Migliaia 8 2 6 2" xfId="34966" xr:uid="{D26DBAB2-6094-4E76-911D-620F1CB913BD}"/>
    <cellStyle name="Migliaia 8 2 6 3" xfId="25765" xr:uid="{C4F29345-5659-4862-A1B9-B1CF9E2C5F20}"/>
    <cellStyle name="Migliaia 8 2 6 4" xfId="21192" xr:uid="{4047F0C5-5D77-48D0-85A9-757F55FA5914}"/>
    <cellStyle name="Migliaia 8 2 7" xfId="34960" xr:uid="{9CB62C5F-F38E-4BE5-BA3E-2F2367F7AC36}"/>
    <cellStyle name="Migliaia 8 2 8" xfId="25759" xr:uid="{78F643CA-8339-41F3-A8D6-D2060F0213B8}"/>
    <cellStyle name="Migliaia 8 2 9" xfId="7220" xr:uid="{2FFC127C-AA39-4ECF-9D88-4E116260E83D}"/>
    <cellStyle name="Migliaia 8 3" xfId="539" xr:uid="{00000000-0005-0000-0000-0000D5040000}"/>
    <cellStyle name="Migliaia 8 3 10" xfId="25766" xr:uid="{2EF97081-129A-415A-928D-987CD9E85904}"/>
    <cellStyle name="Migliaia 8 3 11" xfId="16942" xr:uid="{BE2ED227-A80D-49F5-A246-8D285FB63088}"/>
    <cellStyle name="Migliaia 8 3 12" xfId="7221" xr:uid="{9A7D0293-8212-40DF-B3EC-30CC41466FE8}"/>
    <cellStyle name="Migliaia 8 3 2" xfId="540" xr:uid="{00000000-0005-0000-0000-0000D6040000}"/>
    <cellStyle name="Migliaia 8 3 2 2" xfId="1952" xr:uid="{00000000-0005-0000-0000-0000D7040000}"/>
    <cellStyle name="Migliaia 8 3 2 2 2" xfId="5780" xr:uid="{55476D72-608F-4B23-A911-953C4EE76FA3}"/>
    <cellStyle name="Migliaia 8 3 2 2 2 2" xfId="18540" xr:uid="{EC502423-BE99-4EB2-81A7-45D12B118235}"/>
    <cellStyle name="Migliaia 8 3 2 2 2 2 2" xfId="21900" xr:uid="{A9419A82-E706-4CD9-99DC-3DD10CB0A08E}"/>
    <cellStyle name="Migliaia 8 3 2 2 2 2 3" xfId="34970" xr:uid="{114C4623-C07E-47C4-ABBF-B31D7EC9AD30}"/>
    <cellStyle name="Migliaia 8 3 2 2 2 3" xfId="25769" xr:uid="{BF716321-83EF-469A-8112-BD849E73B193}"/>
    <cellStyle name="Migliaia 8 3 2 2 2 4" xfId="46754" xr:uid="{B918F143-9605-42E1-8FBF-CA1A95512203}"/>
    <cellStyle name="Migliaia 8 3 2 2 2 5" xfId="50928" xr:uid="{DE1A4E04-AE1B-4B9F-9E11-11B217C933F3}"/>
    <cellStyle name="Migliaia 8 3 2 2 2 6" xfId="53944" xr:uid="{722778E7-6EB5-4069-9FD4-A0BB69E940AF}"/>
    <cellStyle name="Migliaia 8 3 2 2 2 7" xfId="17699" xr:uid="{74EDFE5F-E900-48F9-98BE-2A56E9CC9AF2}"/>
    <cellStyle name="Migliaia 8 3 2 2 2 8" xfId="12123" xr:uid="{EF79F590-9474-40B4-8365-3B8711BC8CEF}"/>
    <cellStyle name="Migliaia 8 3 2 2 3" xfId="6945" xr:uid="{5BF4C390-7D92-48D5-AC2B-D0AF5D51F4DC}"/>
    <cellStyle name="Migliaia 8 3 2 2 3 2" xfId="34969" xr:uid="{2E7692BE-EE3E-4BE5-A952-1E382153A5D5}"/>
    <cellStyle name="Migliaia 8 3 2 2 3 3" xfId="11121" xr:uid="{ED5BBA2F-0FAA-4F64-AD3B-A54F65E185F3}"/>
    <cellStyle name="Migliaia 8 3 2 2 4" xfId="4054" xr:uid="{CC33838A-0484-4FD2-B4CB-4A04BC99661E}"/>
    <cellStyle name="Migliaia 8 3 2 2 4 2" xfId="21664" xr:uid="{FA907329-8A2D-44B6-A364-A9C7CCCCBE19}"/>
    <cellStyle name="Migliaia 8 3 2 2 4 3" xfId="48387" xr:uid="{C2F6CD7E-5341-4F59-9A62-D6CEE6B7BFCD}"/>
    <cellStyle name="Migliaia 8 3 2 2 4 4" xfId="50679" xr:uid="{28FD5CBB-E81B-46FA-A6AF-2F271BE0441B}"/>
    <cellStyle name="Migliaia 8 3 2 2 4 5" xfId="53695" xr:uid="{45B60E8C-6397-48CF-A6A0-8B9E7D2A9C0A}"/>
    <cellStyle name="Migliaia 8 3 2 2 4 6" xfId="11029" xr:uid="{BA78FF93-E190-41BA-A21E-0B6107B1F0C8}"/>
    <cellStyle name="Migliaia 8 3 2 2 5" xfId="21199" xr:uid="{13DFBE96-B202-4899-833A-F7666073DD14}"/>
    <cellStyle name="Migliaia 8 3 2 2 6" xfId="25768" xr:uid="{0A9E11F9-E0AB-48FB-BE46-9EC0370C15FA}"/>
    <cellStyle name="Migliaia 8 3 2 2 7" xfId="8837" xr:uid="{CE4167BD-C60A-4C17-961C-E85C9FEC7798}"/>
    <cellStyle name="Migliaia 8 3 2 3" xfId="5779" xr:uid="{240C5528-6D90-41D5-9DAB-AD2EC0A5B3A6}"/>
    <cellStyle name="Migliaia 8 3 2 3 2" xfId="12393" xr:uid="{EE39173D-793C-4AA0-9CF4-52456E917F6E}"/>
    <cellStyle name="Migliaia 8 3 2 3 2 2" xfId="34971" xr:uid="{5649EFCD-CFD0-4FDE-9A7F-EECC392EB63D}"/>
    <cellStyle name="Migliaia 8 3 2 3 3" xfId="12124" xr:uid="{AE7B153A-C1B4-4252-B501-41CD5B054726}"/>
    <cellStyle name="Migliaia 8 3 2 3 4" xfId="21200" xr:uid="{18746D50-84BA-4919-A3E8-0979C8C086CB}"/>
    <cellStyle name="Migliaia 8 3 2 3 5" xfId="25770" xr:uid="{73A37B0D-96E9-4E26-A2D7-29BBAABC0D6A}"/>
    <cellStyle name="Migliaia 8 3 2 3 6" xfId="16943" xr:uid="{5764B5F7-4A6D-4955-9EE9-16A0BA6629A9}"/>
    <cellStyle name="Migliaia 8 3 2 3 7" xfId="8061" xr:uid="{ADD52887-1EB0-4403-9DB0-E47D8E1DAEAD}"/>
    <cellStyle name="Migliaia 8 3 2 4" xfId="6944" xr:uid="{FE8F7CF1-3510-44EC-94E4-6A6F3D91E842}"/>
    <cellStyle name="Migliaia 8 3 2 4 2" xfId="18116" xr:uid="{1B466C25-86AE-47B1-80C8-412FD81D22C9}"/>
    <cellStyle name="Migliaia 8 3 2 4 2 2" xfId="34972" xr:uid="{CA218FD1-C8A8-423F-ADFE-23EE41B6276E}"/>
    <cellStyle name="Migliaia 8 3 2 4 3" xfId="25771" xr:uid="{35DD6FFA-6EF2-4358-BE40-2CA6FBF5C7ED}"/>
    <cellStyle name="Migliaia 8 3 2 4 4" xfId="17254" xr:uid="{2BC06D13-2117-4672-82EB-450B819974DD}"/>
    <cellStyle name="Migliaia 8 3 2 4 5" xfId="11476" xr:uid="{932DBEC3-EB41-4C04-86E5-4C760E3270DD}"/>
    <cellStyle name="Migliaia 8 3 2 5" xfId="4053" xr:uid="{63748CD9-23B2-458A-9389-288A13E7C255}"/>
    <cellStyle name="Migliaia 8 3 2 5 2" xfId="34973" xr:uid="{188A2232-FD0F-406C-A3C8-E98D9B72B3FE}"/>
    <cellStyle name="Migliaia 8 3 2 5 3" xfId="25772" xr:uid="{807E4555-652E-43E9-9F15-CF9AFDFE9B38}"/>
    <cellStyle name="Migliaia 8 3 2 5 4" xfId="17071" xr:uid="{6F646775-557C-4C21-9E12-D6EF412A7082}"/>
    <cellStyle name="Migliaia 8 3 2 6" xfId="21198" xr:uid="{CDD6C387-04ED-42BD-9A21-B29CEEA1A531}"/>
    <cellStyle name="Migliaia 8 3 2 6 2" xfId="34974" xr:uid="{786BC00E-DFE2-435F-AA46-ED5E30D1000F}"/>
    <cellStyle name="Migliaia 8 3 2 6 3" xfId="25773" xr:uid="{D41AD211-A96A-472C-87F2-1635C2C323E9}"/>
    <cellStyle name="Migliaia 8 3 2 7" xfId="34968" xr:uid="{2105843C-1F7C-464E-9A52-D32AABC3BEB2}"/>
    <cellStyle name="Migliaia 8 3 2 8" xfId="25767" xr:uid="{78B4A58E-C1DA-490D-815D-26FB5BB13F97}"/>
    <cellStyle name="Migliaia 8 3 2 9" xfId="7647" xr:uid="{BF4BF363-2575-42FF-9D8C-B4907C0AFC51}"/>
    <cellStyle name="Migliaia 8 3 3" xfId="4055" xr:uid="{4A2B5E83-2908-449A-86C4-CBCE3F3E554F}"/>
    <cellStyle name="Migliaia 8 3 3 2" xfId="5781" xr:uid="{5D9E08E2-8696-4AC9-B8A2-6311B65A2238}"/>
    <cellStyle name="Migliaia 8 3 3 2 2" xfId="10000" xr:uid="{EED4E24B-B97E-4F4F-A923-4E536E304070}"/>
    <cellStyle name="Migliaia 8 3 3 2 2 2" xfId="34976" xr:uid="{AD10F3A9-4B62-419D-88DA-5A28FC08DAD7}"/>
    <cellStyle name="Migliaia 8 3 3 2 3" xfId="18280" xr:uid="{0CC75BCE-9ABB-48EC-85F7-0D5EDB58993E}"/>
    <cellStyle name="Migliaia 8 3 3 2 4" xfId="21202" xr:uid="{A47960AB-1799-4E8F-A523-0E451FD67DD9}"/>
    <cellStyle name="Migliaia 8 3 3 2 5" xfId="25775" xr:uid="{6DAADA17-E34D-4B20-98D2-15AAA0DCD9AA}"/>
    <cellStyle name="Migliaia 8 3 3 2 6" xfId="16945" xr:uid="{9D62A238-74CA-400B-8305-2029C13E37DD}"/>
    <cellStyle name="Migliaia 8 3 3 2 7" xfId="8836" xr:uid="{75D64D0A-8009-4992-8DE1-605EECAD77E2}"/>
    <cellStyle name="Migliaia 8 3 3 3" xfId="6946" xr:uid="{9AC01286-4764-4805-B81A-9AB1788CD0CE}"/>
    <cellStyle name="Migliaia 8 3 3 3 2" xfId="34977" xr:uid="{999B3522-CDBA-494B-9EBB-E2C1654146B3}"/>
    <cellStyle name="Migliaia 8 3 3 3 3" xfId="25776" xr:uid="{9FA9A2EC-FA7E-4F09-BBCA-94765E29B235}"/>
    <cellStyle name="Migliaia 8 3 3 3 4" xfId="9763" xr:uid="{A3E33163-E962-4004-988B-3B51EC3ADC4F}"/>
    <cellStyle name="Migliaia 8 3 3 4" xfId="21201" xr:uid="{425D97D5-9FB9-4265-8C69-D278C3E5E394}"/>
    <cellStyle name="Migliaia 8 3 3 4 2" xfId="34978" xr:uid="{6066AC38-072C-4B2F-8327-5BD3C60F1C75}"/>
    <cellStyle name="Migliaia 8 3 3 4 3" xfId="25777" xr:uid="{4A258D42-19B1-48A2-869F-4C45686BE2AE}"/>
    <cellStyle name="Migliaia 8 3 3 4 4" xfId="48921" xr:uid="{2C271326-02BF-4379-8827-10431400FC28}"/>
    <cellStyle name="Migliaia 8 3 3 5" xfId="25778" xr:uid="{7927EA8C-67EB-4619-9709-905C969A748E}"/>
    <cellStyle name="Migliaia 8 3 3 5 2" xfId="34979" xr:uid="{21498A75-9D3A-449C-9FED-A7B2CD42A74E}"/>
    <cellStyle name="Migliaia 8 3 3 5 3" xfId="48922" xr:uid="{DDAE9DDC-25D4-4E8A-96EF-CF76A1DAC777}"/>
    <cellStyle name="Migliaia 8 3 3 6" xfId="34975" xr:uid="{F3F2B406-7344-451F-A377-2D3838D7F088}"/>
    <cellStyle name="Migliaia 8 3 3 7" xfId="25774" xr:uid="{110774A3-64B0-41CE-8AD8-AF3124BB69E1}"/>
    <cellStyle name="Migliaia 8 3 3 8" xfId="16944" xr:uid="{A5911C09-4D57-455C-BA7C-5BFD20FC20BB}"/>
    <cellStyle name="Migliaia 8 3 3 9" xfId="7646" xr:uid="{376E067D-68C9-4BAB-BA67-E80328FE7311}"/>
    <cellStyle name="Migliaia 8 3 4" xfId="4056" xr:uid="{D43ED737-AD63-48C3-9372-CD9B2B78B19D}"/>
    <cellStyle name="Migliaia 8 3 4 2" xfId="5782" xr:uid="{1F4BE67C-E4D0-4909-8759-788E90A4323F}"/>
    <cellStyle name="Migliaia 8 3 4 2 2" xfId="14482" xr:uid="{3083664A-CD49-4262-A481-50BAA1EA5227}"/>
    <cellStyle name="Migliaia 8 3 4 2 3" xfId="18138" xr:uid="{F0D15D7C-5706-410E-8F61-667EB57C0E13}"/>
    <cellStyle name="Migliaia 8 3 4 2 4" xfId="21204" xr:uid="{5147103E-A1A1-43F9-BEAE-DC5CC833082B}"/>
    <cellStyle name="Migliaia 8 3 4 2 5" xfId="32493" xr:uid="{CA1AD4E3-2E6A-4D93-980C-97EE590CB6FF}"/>
    <cellStyle name="Migliaia 8 3 4 2 6" xfId="16947" xr:uid="{57D07224-0F97-4B15-81BC-12ADDF15A87D}"/>
    <cellStyle name="Migliaia 8 3 4 2 7" xfId="8905" xr:uid="{FCC984D9-CA77-4B96-B8C5-62CBA26BAC68}"/>
    <cellStyle name="Migliaia 8 3 4 3" xfId="6947" xr:uid="{251EA692-6DCD-4682-8AD1-2D2D91A53C08}"/>
    <cellStyle name="Migliaia 8 3 4 3 2" xfId="35538" xr:uid="{B0417D94-77C6-466F-A8EB-FD14F40D129D}"/>
    <cellStyle name="Migliaia 8 3 4 3 2 2" xfId="40698" xr:uid="{AC504118-18B2-4658-AC53-58334D661708}"/>
    <cellStyle name="Migliaia 8 3 4 3 2 3" xfId="46000" xr:uid="{4DA24A22-25C5-4E74-89A8-9A9AD681CF39}"/>
    <cellStyle name="Migliaia 8 3 4 3 3" xfId="38047" xr:uid="{73F1FDBF-0E65-46B1-B7C0-7A259B93E6AB}"/>
    <cellStyle name="Migliaia 8 3 4 3 4" xfId="43349" xr:uid="{EC182E30-DC0A-4FC9-8D6C-80570F3FCDD4}"/>
    <cellStyle name="Migliaia 8 3 4 3 5" xfId="13730" xr:uid="{83FCEB35-8453-4428-84C2-FF9BDF3DD8D2}"/>
    <cellStyle name="Migliaia 8 3 4 4" xfId="21203" xr:uid="{61922515-71C3-497F-A915-B01744E58525}"/>
    <cellStyle name="Migliaia 8 3 4 4 2" xfId="34980" xr:uid="{A6144BB0-42B4-4468-8973-7AFC224CBFC2}"/>
    <cellStyle name="Migliaia 8 3 4 5" xfId="25779" xr:uid="{8021B574-64AC-49F8-9F60-E40FAFB7327E}"/>
    <cellStyle name="Migliaia 8 3 4 6" xfId="16946" xr:uid="{A64D83DB-B6F9-4FC6-82CD-E5D24789C574}"/>
    <cellStyle name="Migliaia 8 3 4 7" xfId="7715" xr:uid="{91E37383-FADE-4284-BC98-13F3BA1CD9B5}"/>
    <cellStyle name="Migliaia 8 3 5" xfId="4057" xr:uid="{3A2541F0-E259-4353-8C0F-7EC23A1265E5}"/>
    <cellStyle name="Migliaia 8 3 5 2" xfId="5783" xr:uid="{6F6E0E86-BA57-492E-8F0E-54BB2C166D42}"/>
    <cellStyle name="Migliaia 8 3 5 2 2" xfId="35539" xr:uid="{491863A6-C623-4FEA-B6C6-6A97193B71D9}"/>
    <cellStyle name="Migliaia 8 3 5 2 2 2" xfId="40699" xr:uid="{F3CD34B0-27FB-4EBA-A249-2C86EF3F969F}"/>
    <cellStyle name="Migliaia 8 3 5 2 2 3" xfId="46001" xr:uid="{3DA69BCA-F6EC-4EDD-91CA-B4593DB3C703}"/>
    <cellStyle name="Migliaia 8 3 5 2 3" xfId="38048" xr:uid="{FB8D2539-52F8-4982-BF16-3A5BC05E7A8F}"/>
    <cellStyle name="Migliaia 8 3 5 2 4" xfId="43350" xr:uid="{43F2DE22-A4CF-4C13-AA2E-0D4CF3B22A7C}"/>
    <cellStyle name="Migliaia 8 3 5 2 5" xfId="14358" xr:uid="{8AA36850-FADA-4F8B-A508-EBBA8EC74B72}"/>
    <cellStyle name="Migliaia 8 3 5 3" xfId="6948" xr:uid="{8B71E9BF-52E2-435E-8602-C73DF0DE60FD}"/>
    <cellStyle name="Migliaia 8 3 5 3 2" xfId="34981" xr:uid="{3894AFE9-8D09-4624-AEDC-C520828C1814}"/>
    <cellStyle name="Migliaia 8 3 5 3 3" xfId="21205" xr:uid="{FAFE60AD-DD84-44EA-B0A5-598EF01CC4CD}"/>
    <cellStyle name="Migliaia 8 3 5 4" xfId="25780" xr:uid="{DCB7DC6A-3EA7-4D7B-B1E5-01BA2467C34B}"/>
    <cellStyle name="Migliaia 8 3 5 5" xfId="16948" xr:uid="{B0321ED4-BEC5-462E-B3EC-05F24D8D798A}"/>
    <cellStyle name="Migliaia 8 3 5 6" xfId="8420" xr:uid="{BFCFA197-2ACD-4636-8D84-4DB42A653AC7}"/>
    <cellStyle name="Migliaia 8 3 6" xfId="5778" xr:uid="{638CC610-A0CF-423C-BC53-4E019F5F7ADD}"/>
    <cellStyle name="Migliaia 8 3 6 2" xfId="14063" xr:uid="{CD91F5AB-6D4D-45A7-BC36-5948BF5475E1}"/>
    <cellStyle name="Migliaia 8 3 6 2 2" xfId="34982" xr:uid="{34472D3B-0164-442F-B218-925299D94A5F}"/>
    <cellStyle name="Migliaia 8 3 6 3" xfId="18295" xr:uid="{CE3C8FBA-D8E0-4BFC-9CE1-B9D0DBE4B65E}"/>
    <cellStyle name="Migliaia 8 3 6 4" xfId="21206" xr:uid="{28A23009-CAEC-4FD3-81FA-C90D8E3AC05E}"/>
    <cellStyle name="Migliaia 8 3 6 5" xfId="25781" xr:uid="{87757FD7-2DA6-4190-B7C4-AF8EE227F8AF}"/>
    <cellStyle name="Migliaia 8 3 6 6" xfId="16949" xr:uid="{4DB432C5-57FE-4F73-86E8-92BFCAFC8335}"/>
    <cellStyle name="Migliaia 8 3 6 7" xfId="8060" xr:uid="{ECA13006-1D3B-4010-9B9A-FA2DD66F3508}"/>
    <cellStyle name="Migliaia 8 3 7" xfId="6943" xr:uid="{7C753410-109D-4320-A6D1-F7F5A111A278}"/>
    <cellStyle name="Migliaia 8 3 7 2" xfId="34983" xr:uid="{FE2ADB63-C011-4BAB-B46F-8D8131C28534}"/>
    <cellStyle name="Migliaia 8 3 7 3" xfId="25782" xr:uid="{45708F92-ECA1-4212-A6DE-3DC94EFE164A}"/>
    <cellStyle name="Migliaia 8 3 7 4" xfId="11528" xr:uid="{FF947D9A-04FB-41B2-9D53-5CBFE1280BB4}"/>
    <cellStyle name="Migliaia 8 3 8" xfId="4052" xr:uid="{625D4832-045F-4D5B-81E6-D0F7D30F88B0}"/>
    <cellStyle name="Migliaia 8 3 8 2" xfId="34984" xr:uid="{AC8A2C25-2908-470F-B75C-4E88BA266483}"/>
    <cellStyle name="Migliaia 8 3 8 3" xfId="25783" xr:uid="{D2C88710-5B06-4033-9108-4A0133DDEEDE}"/>
    <cellStyle name="Migliaia 8 3 8 4" xfId="17072" xr:uid="{2CAA3F20-2491-4864-B3B8-01E97A7EF1B4}"/>
    <cellStyle name="Migliaia 8 3 9" xfId="21197" xr:uid="{5AE3AF0A-F306-451F-8C26-096C85E5B1F4}"/>
    <cellStyle name="Migliaia 8 3 9 2" xfId="34967" xr:uid="{31F0CCB1-2117-47FE-9120-E544A224CAC9}"/>
    <cellStyle name="Migliaia 8 4" xfId="1953" xr:uid="{00000000-0005-0000-0000-0000D8040000}"/>
    <cellStyle name="Migliaia 8 4 10" xfId="7648" xr:uid="{ABB272F9-F28A-40D1-8D51-CA198B2570F9}"/>
    <cellStyle name="Migliaia 8 4 2" xfId="1954" xr:uid="{00000000-0005-0000-0000-0000D9040000}"/>
    <cellStyle name="Migliaia 8 4 2 2" xfId="5785" xr:uid="{28D47832-F7D1-4D5E-939F-7A316EDDD151}"/>
    <cellStyle name="Migliaia 8 4 2 2 2" xfId="34987" xr:uid="{10D71D22-D281-4C5F-A68F-8B08D2C5B0B7}"/>
    <cellStyle name="Migliaia 8 4 2 2 3" xfId="25786" xr:uid="{5097F723-5F07-42C7-A4BA-535B2FEC5144}"/>
    <cellStyle name="Migliaia 8 4 2 2 4" xfId="9226" xr:uid="{9E0FCA8D-FBD0-4B92-B694-4AFBE893FD50}"/>
    <cellStyle name="Migliaia 8 4 2 3" xfId="4059" xr:uid="{65C915E7-A5E6-4EBF-B3EE-CA36378182FE}"/>
    <cellStyle name="Migliaia 8 4 2 3 2" xfId="34988" xr:uid="{3F13A995-FDD5-415A-91B6-B0AB317068A8}"/>
    <cellStyle name="Migliaia 8 4 2 3 3" xfId="25787" xr:uid="{9FF7D592-D27A-4258-A0C4-7FD246C72BD4}"/>
    <cellStyle name="Migliaia 8 4 2 3 4" xfId="12125" xr:uid="{D543CB77-E8EC-4878-AFF3-93AF71187FD8}"/>
    <cellStyle name="Migliaia 8 4 2 4" xfId="11478" xr:uid="{D5C60B8F-EDF0-4B73-8101-2A81F0A9B45D}"/>
    <cellStyle name="Migliaia 8 4 2 4 2" xfId="34986" xr:uid="{15E4B1BB-9F59-4F3E-B9B8-E9EF7746D30E}"/>
    <cellStyle name="Migliaia 8 4 2 5" xfId="11031" xr:uid="{7F3AD5DF-D2BC-4341-ADFF-3C027709BB39}"/>
    <cellStyle name="Migliaia 8 4 2 5 2" xfId="21666" xr:uid="{19D92D1F-1C80-403A-9C27-52930119C96E}"/>
    <cellStyle name="Migliaia 8 4 2 5 3" xfId="47679" xr:uid="{6348B76F-129F-4AC2-8CBB-5D248BE7556F}"/>
    <cellStyle name="Migliaia 8 4 2 5 4" xfId="50681" xr:uid="{2A1BA575-E56B-489B-88C8-F546366C9C67}"/>
    <cellStyle name="Migliaia 8 4 2 5 5" xfId="53697" xr:uid="{F9B180E9-65BE-4645-BA1E-7BC7FC7900E6}"/>
    <cellStyle name="Migliaia 8 4 2 6" xfId="21208" xr:uid="{A1C96CC6-5F70-496F-8A5E-E515112CFE5A}"/>
    <cellStyle name="Migliaia 8 4 2 7" xfId="25785" xr:uid="{A0B522A5-2484-4F04-8035-8388A381844D}"/>
    <cellStyle name="Migliaia 8 4 2 8" xfId="8838" xr:uid="{BCA9FA97-DFDB-4AAC-BB4C-BBB7562B50A2}"/>
    <cellStyle name="Migliaia 8 4 3" xfId="5784" xr:uid="{70B376AC-BFF8-46B7-B59C-4D1BD74A381B}"/>
    <cellStyle name="Migliaia 8 4 3 2" xfId="18281" xr:uid="{F90D423A-E80D-4A38-9ECD-40D6F85F7312}"/>
    <cellStyle name="Migliaia 8 4 3 2 2" xfId="34989" xr:uid="{139623DB-7430-49FC-A5DB-500FB76693A4}"/>
    <cellStyle name="Migliaia 8 4 3 3" xfId="25788" xr:uid="{DD58A32D-B35D-4F8B-83EC-69EFABB95588}"/>
    <cellStyle name="Migliaia 8 4 3 4" xfId="17070" xr:uid="{0A11BB28-AADD-4773-9E1C-79B134AD62D3}"/>
    <cellStyle name="Migliaia 8 4 3 5" xfId="9227" xr:uid="{8E95F46E-BA01-4DA9-85A0-ADDAF6C96C78}"/>
    <cellStyle name="Migliaia 8 4 4" xfId="6949" xr:uid="{D16315A8-76E1-4735-A853-04F49591CE47}"/>
    <cellStyle name="Migliaia 8 4 4 2" xfId="34990" xr:uid="{BC1924EC-96DD-4133-9942-CD0A19570EBA}"/>
    <cellStyle name="Migliaia 8 4 4 3" xfId="25789" xr:uid="{91ECE1D7-0E03-4A2D-8D5B-31B790B226CD}"/>
    <cellStyle name="Migliaia 8 4 4 4" xfId="12126" xr:uid="{1D68E090-C3DE-4545-9A16-B5027557F5DE}"/>
    <cellStyle name="Migliaia 8 4 5" xfId="4058" xr:uid="{4730F66D-B654-44CF-B7BC-91EECFBF4C68}"/>
    <cellStyle name="Migliaia 8 4 5 2" xfId="34991" xr:uid="{2908A872-19D1-447D-9192-2E02A352145C}"/>
    <cellStyle name="Migliaia 8 4 5 3" xfId="25790" xr:uid="{C1666164-AA52-4EDE-9EA6-39480C29276D}"/>
    <cellStyle name="Migliaia 8 4 5 4" xfId="11477" xr:uid="{EA4DC004-C43D-4B90-AD7C-D9F115073703}"/>
    <cellStyle name="Migliaia 8 4 6" xfId="11030" xr:uid="{807D6B5B-2BC1-4775-AED7-DF5891AAF23E}"/>
    <cellStyle name="Migliaia 8 4 6 2" xfId="21665" xr:uid="{14FE3B6F-4CEF-4219-B478-7DF27C2FF882}"/>
    <cellStyle name="Migliaia 8 4 6 2 2" xfId="34992" xr:uid="{E17648DE-BB54-42BF-8A24-3D6A20D045C9}"/>
    <cellStyle name="Migliaia 8 4 6 3" xfId="25791" xr:uid="{C5AD1F45-86B9-4710-887E-EFB8AE953B95}"/>
    <cellStyle name="Migliaia 8 4 6 4" xfId="46714" xr:uid="{4BCFD92E-D1C0-46CF-A940-60A7B1FD22C4}"/>
    <cellStyle name="Migliaia 8 4 6 5" xfId="48923" xr:uid="{94AD1F9E-E83E-4593-AFB7-D04EE2B4DB70}"/>
    <cellStyle name="Migliaia 8 4 6 6" xfId="50680" xr:uid="{22090831-2DB2-4D9B-A568-2828F8A3D538}"/>
    <cellStyle name="Migliaia 8 4 6 7" xfId="53696" xr:uid="{A6C50489-F17D-416E-8252-EED98FA78BF1}"/>
    <cellStyle name="Migliaia 8 4 7" xfId="21207" xr:uid="{AC7B3EDB-145B-4673-BCD6-0571F9232F86}"/>
    <cellStyle name="Migliaia 8 4 7 2" xfId="34993" xr:uid="{C3D66CE0-CFFF-4B83-B17E-B8EC9A33D7F5}"/>
    <cellStyle name="Migliaia 8 4 7 3" xfId="25792" xr:uid="{8A07FC9C-77EF-4300-A8EA-9F95DB7D203D}"/>
    <cellStyle name="Migliaia 8 4 8" xfId="34985" xr:uid="{B339C7D7-102D-4DE8-8716-E6E549CD2A06}"/>
    <cellStyle name="Migliaia 8 4 9" xfId="25784" xr:uid="{8A9B3B72-BB59-4B10-AE7D-B2B91A7D67DA}"/>
    <cellStyle name="Migliaia 8 5" xfId="1955" xr:uid="{00000000-0005-0000-0000-0000DA040000}"/>
    <cellStyle name="Migliaia 8 5 2" xfId="5786" xr:uid="{3B4C5BEE-C3E6-4765-B446-ECC3C23FA290}"/>
    <cellStyle name="Migliaia 8 5 2 2" xfId="18541" xr:uid="{147D4634-C31A-4DC6-86DE-40CAC86251BB}"/>
    <cellStyle name="Migliaia 8 5 2 2 2" xfId="34995" xr:uid="{13EEE7CF-49A3-4B2F-9B62-5713CCC62375}"/>
    <cellStyle name="Migliaia 8 5 2 3" xfId="21210" xr:uid="{2CFE8F77-717A-4E7E-A2D6-CB8FB5C36326}"/>
    <cellStyle name="Migliaia 8 5 2 4" xfId="25794" xr:uid="{9F08236A-8148-4864-B6E4-34A404398F5C}"/>
    <cellStyle name="Migliaia 8 5 2 5" xfId="16950" xr:uid="{50E3FC8F-EB5D-42FF-BC33-AFFEA9AD1272}"/>
    <cellStyle name="Migliaia 8 5 2 6" xfId="8839" xr:uid="{D54E05FB-1816-41C1-8FBB-4F0DC867D971}"/>
    <cellStyle name="Migliaia 8 5 3" xfId="6950" xr:uid="{3B42F455-DB57-44A1-A34D-995449AC071B}"/>
    <cellStyle name="Migliaia 8 5 3 2" xfId="34996" xr:uid="{3B5BC207-4640-4FAC-886C-299DB4D2878D}"/>
    <cellStyle name="Migliaia 8 5 3 3" xfId="25795" xr:uid="{B3C23EA3-1531-4172-9705-AA2B24BB569C}"/>
    <cellStyle name="Migliaia 8 5 3 4" xfId="11479" xr:uid="{5C46E573-09F4-4DFF-AAF7-7CB81C532254}"/>
    <cellStyle name="Migliaia 8 5 4" xfId="4060" xr:uid="{C9B8C833-2DD0-43F3-B948-2D65B4D6F71D}"/>
    <cellStyle name="Migliaia 8 5 4 2" xfId="21667" xr:uid="{1F752105-E72A-4CEB-983C-B50F047C0822}"/>
    <cellStyle name="Migliaia 8 5 4 2 2" xfId="34997" xr:uid="{B3D09992-431B-4B40-9BE5-FBECB9D6CEB4}"/>
    <cellStyle name="Migliaia 8 5 4 3" xfId="25796" xr:uid="{CA9C1FAB-9BF1-4275-B6E5-8FF7FA7456E3}"/>
    <cellStyle name="Migliaia 8 5 4 4" xfId="48480" xr:uid="{28C86657-1C28-42BD-90EF-E8CADA5220E0}"/>
    <cellStyle name="Migliaia 8 5 4 5" xfId="48924" xr:uid="{B8CB55D6-CCEB-488B-BADA-72AE4F4E6450}"/>
    <cellStyle name="Migliaia 8 5 4 6" xfId="50682" xr:uid="{9C7F221E-9922-46D5-A5BD-00497931F9B2}"/>
    <cellStyle name="Migliaia 8 5 4 7" xfId="53698" xr:uid="{E86C177F-57E3-47CD-A0B9-AB6E66B527F0}"/>
    <cellStyle name="Migliaia 8 5 4 8" xfId="11032" xr:uid="{4195EE89-EDE9-44BC-A1EC-B3FFCBD5F85F}"/>
    <cellStyle name="Migliaia 8 5 5" xfId="21209" xr:uid="{F1E69CC8-48D0-4324-A6E4-4C79683FB9CB}"/>
    <cellStyle name="Migliaia 8 5 5 2" xfId="34998" xr:uid="{89D00C8D-E30A-4941-B797-B012CB104B17}"/>
    <cellStyle name="Migliaia 8 5 5 3" xfId="25797" xr:uid="{02BBD466-7D27-4B07-8ACF-F98E15F9B876}"/>
    <cellStyle name="Migliaia 8 5 5 4" xfId="48925" xr:uid="{C83737E0-A129-4F9B-ADB6-919F2B5EACA2}"/>
    <cellStyle name="Migliaia 8 5 6" xfId="25798" xr:uid="{4D6E1198-18F2-46F7-A6EA-D373EEB038E3}"/>
    <cellStyle name="Migliaia 8 5 6 2" xfId="34999" xr:uid="{7F88EE9C-DF22-4C1A-8D48-1CBEDC266D12}"/>
    <cellStyle name="Migliaia 8 5 7" xfId="34994" xr:uid="{0A1E8DC4-BAEA-4836-8476-3B1D47436067}"/>
    <cellStyle name="Migliaia 8 5 8" xfId="25793" xr:uid="{BB048E3E-0024-4CB0-9BA2-4F0E6F82FA9E}"/>
    <cellStyle name="Migliaia 8 5 9" xfId="7649" xr:uid="{607DC9C2-D629-4110-BE1A-660F6FA94335}"/>
    <cellStyle name="Migliaia 8 6" xfId="4061" xr:uid="{8A638CAF-47FB-4EFE-B908-A171043B8A32}"/>
    <cellStyle name="Migliaia 8 6 2" xfId="5787" xr:uid="{ABB338E6-8C8C-4772-9C6E-BE1099AAE38F}"/>
    <cellStyle name="Migliaia 8 6 2 2" xfId="9999" xr:uid="{3F87CB59-9E45-4AFF-8046-95C7364F5BC8}"/>
    <cellStyle name="Migliaia 8 6 2 3" xfId="18144" xr:uid="{CCC2BD5A-ADF6-4DBD-B9D5-F04DBC8A01F0}"/>
    <cellStyle name="Migliaia 8 6 2 4" xfId="21212" xr:uid="{4EAE7858-BC2D-4625-B82C-B9C68AE0E335}"/>
    <cellStyle name="Migliaia 8 6 2 5" xfId="32494" xr:uid="{72F46D16-A2A5-4084-B31F-91AF959C193E}"/>
    <cellStyle name="Migliaia 8 6 2 6" xfId="16952" xr:uid="{C2CAF8D0-F5FE-4F79-89B5-77D585C851E1}"/>
    <cellStyle name="Migliaia 8 6 2 7" xfId="8834" xr:uid="{FA3BE688-2923-42CD-9E44-E2DACB1D4A99}"/>
    <cellStyle name="Migliaia 8 6 3" xfId="6951" xr:uid="{86094E8F-8854-4E9F-95F5-5BF9F7A5201D}"/>
    <cellStyle name="Migliaia 8 6 3 2" xfId="35540" xr:uid="{1FD081A1-A8A3-4C7D-91DC-35B61D3798A1}"/>
    <cellStyle name="Migliaia 8 6 3 2 2" xfId="40700" xr:uid="{D3393BEC-24FF-4D4A-8AB0-297023B2E349}"/>
    <cellStyle name="Migliaia 8 6 3 2 3" xfId="46002" xr:uid="{730B2ECD-97E6-4B81-96AF-9ED87EADB3E3}"/>
    <cellStyle name="Migliaia 8 6 3 3" xfId="38049" xr:uid="{AD710B21-B9D0-4EE5-8C7A-3F05A2B359DD}"/>
    <cellStyle name="Migliaia 8 6 3 4" xfId="43351" xr:uid="{10F84E14-3837-434F-BBEC-FB1514016234}"/>
    <cellStyle name="Migliaia 8 6 3 5" xfId="9762" xr:uid="{A124A3A4-3828-4088-9CEC-DD5F2D016335}"/>
    <cellStyle name="Migliaia 8 6 4" xfId="21211" xr:uid="{DE3A05CA-23DF-4D0B-847F-4E98604072B7}"/>
    <cellStyle name="Migliaia 8 6 4 2" xfId="35000" xr:uid="{65652D2A-8E96-4589-B509-96333677545C}"/>
    <cellStyle name="Migliaia 8 6 5" xfId="25799" xr:uid="{9716E372-F2D8-40D5-B86B-7B6F58E59BF3}"/>
    <cellStyle name="Migliaia 8 6 6" xfId="16951" xr:uid="{0E831529-0CA7-42FC-87B9-3DC600E73D7E}"/>
    <cellStyle name="Migliaia 8 6 7" xfId="7644" xr:uid="{E0EC0EB2-55C1-4D45-A41C-8920F1B85B57}"/>
    <cellStyle name="Migliaia 8 7" xfId="4062" xr:uid="{600A349C-40BC-4971-A0D3-DC370A847046}"/>
    <cellStyle name="Migliaia 8 7 2" xfId="5788" xr:uid="{12577BCA-A006-4E2E-BE2E-AA46DADBBCB4}"/>
    <cellStyle name="Migliaia 8 7 2 2" xfId="35541" xr:uid="{41150B1A-EA80-42DA-B2EE-C4E942F05113}"/>
    <cellStyle name="Migliaia 8 7 2 2 2" xfId="40701" xr:uid="{ABC0AB2E-BA46-4DE6-9EE0-C19591D12BDE}"/>
    <cellStyle name="Migliaia 8 7 2 2 3" xfId="46003" xr:uid="{F76E6C21-8FDA-447C-AE7A-FED1753496CD}"/>
    <cellStyle name="Migliaia 8 7 2 3" xfId="38050" xr:uid="{40B248F1-4B1F-471E-BAA6-F691DC0FCC17}"/>
    <cellStyle name="Migliaia 8 7 2 4" xfId="43352" xr:uid="{4851BF2C-511A-42B5-8D43-112149FF8C0B}"/>
    <cellStyle name="Migliaia 8 7 2 5" xfId="14356" xr:uid="{C7C44FD9-F4C4-4451-8DF0-7F3A0752B537}"/>
    <cellStyle name="Migliaia 8 7 3" xfId="6952" xr:uid="{1BCEEC43-4416-4A33-8C78-E5A5EEA3BE56}"/>
    <cellStyle name="Migliaia 8 7 3 2" xfId="35001" xr:uid="{24C19B53-7B1F-4AAE-8245-C9493F965646}"/>
    <cellStyle name="Migliaia 8 7 3 3" xfId="21213" xr:uid="{60D82829-579A-4F27-9A35-4F5DC3DA8D44}"/>
    <cellStyle name="Migliaia 8 7 4" xfId="25800" xr:uid="{B8879FE7-8959-43AB-A1C9-7D1E15067E35}"/>
    <cellStyle name="Migliaia 8 7 5" xfId="16953" xr:uid="{C3B1383F-F395-45BA-AD8B-13A90961CE33}"/>
    <cellStyle name="Migliaia 8 7 6" xfId="8418" xr:uid="{0E1F9FFD-92B6-4133-84C1-914847E42C59}"/>
    <cellStyle name="Migliaia 8 8" xfId="4063" xr:uid="{A11AF05E-045B-4E5C-8375-FEA30196341A}"/>
    <cellStyle name="Migliaia 8 8 2" xfId="5789" xr:uid="{13CEB729-B818-4F86-A7EF-15FAAD3E43A2}"/>
    <cellStyle name="Migliaia 8 8 2 2" xfId="35542" xr:uid="{A99A463F-74B2-473B-9248-26CA16CD4A25}"/>
    <cellStyle name="Migliaia 8 8 2 2 2" xfId="40702" xr:uid="{DB1FBCB9-26FF-4DD2-B247-CC48AA0CC9E3}"/>
    <cellStyle name="Migliaia 8 8 2 2 3" xfId="46004" xr:uid="{89913422-3FFF-4D21-B748-DDDB3A69A727}"/>
    <cellStyle name="Migliaia 8 8 2 3" xfId="38051" xr:uid="{5E2C3E1B-8C02-4F1B-BEB5-1F363F692AA3}"/>
    <cellStyle name="Migliaia 8 8 2 4" xfId="43353" xr:uid="{8C9AA405-5393-465E-935A-DE252E6A27DC}"/>
    <cellStyle name="Migliaia 8 8 2 5" xfId="14061" xr:uid="{12ED683A-14B3-4371-A14C-ECBF76295D7B}"/>
    <cellStyle name="Migliaia 8 8 3" xfId="6953" xr:uid="{9D9FB119-9772-4BC0-A045-13AA2CDF0527}"/>
    <cellStyle name="Migliaia 8 8 3 2" xfId="35002" xr:uid="{342FDAE4-B1FE-459E-81FF-8D1D2AB34CDD}"/>
    <cellStyle name="Migliaia 8 8 3 3" xfId="21214" xr:uid="{4DA0D42A-E674-477E-8733-67EE273D908C}"/>
    <cellStyle name="Migliaia 8 8 4" xfId="25801" xr:uid="{9351ED71-CF51-4AC5-9D99-675608FAE76A}"/>
    <cellStyle name="Migliaia 8 8 5" xfId="16954" xr:uid="{624F8449-871F-4C5A-992B-3041F16E03BC}"/>
    <cellStyle name="Migliaia 8 8 6" xfId="8058" xr:uid="{37021BCD-010F-4697-AE66-2B569AB249C7}"/>
    <cellStyle name="Migliaia 8 9" xfId="5774" xr:uid="{3238EFD4-53D7-4188-823C-A2F7716EF350}"/>
    <cellStyle name="Migliaia 8 9 2" xfId="35003" xr:uid="{800FF788-91C4-47EE-8F52-21E8AE58C915}"/>
    <cellStyle name="Migliaia 8 9 3" xfId="25802" xr:uid="{CFFA3992-5B28-4DE3-AB5E-6B48AA3B5523}"/>
    <cellStyle name="Migliaia 8 9 4" xfId="17253" xr:uid="{E57B314C-0F44-4A5A-8CC5-18650B3D94DE}"/>
    <cellStyle name="Migliaia 9" xfId="541" xr:uid="{00000000-0005-0000-0000-0000DB040000}"/>
    <cellStyle name="Migliaia 9 10" xfId="6954" xr:uid="{9422089C-F3C7-4638-8D57-69992F6DA309}"/>
    <cellStyle name="Migliaia 9 10 2" xfId="35004" xr:uid="{FB7BBD44-E837-4E34-B311-2BD879879487}"/>
    <cellStyle name="Migliaia 9 10 3" xfId="21215" xr:uid="{42B815A0-7693-417A-B0B9-B7A7019DCA72}"/>
    <cellStyle name="Migliaia 9 11" xfId="4064" xr:uid="{5735C708-8682-4ABB-9B37-3CA1A8DAC16E}"/>
    <cellStyle name="Migliaia 9 11 2" xfId="25803" xr:uid="{25F172D0-A7A1-45A4-BCFB-B0C32406C38E}"/>
    <cellStyle name="Migliaia 9 12" xfId="7222" xr:uid="{BC7119AB-AFD6-4078-854E-EB12CA155F16}"/>
    <cellStyle name="Migliaia 9 2" xfId="542" xr:uid="{00000000-0005-0000-0000-0000DC040000}"/>
    <cellStyle name="Migliaia 9 2 2" xfId="1956" xr:uid="{00000000-0005-0000-0000-0000DD040000}"/>
    <cellStyle name="Migliaia 9 2 2 2" xfId="5792" xr:uid="{BFBFA100-FEB9-44C2-A459-B6BB61CB1B42}"/>
    <cellStyle name="Migliaia 9 2 2 2 2" xfId="14423" xr:uid="{B0BFA00D-C1FC-40A4-8244-A0424749F5FB}"/>
    <cellStyle name="Migliaia 9 2 2 2 2 2" xfId="35007" xr:uid="{AC3FE6A2-F222-43ED-BED0-6CBCB74FB50E}"/>
    <cellStyle name="Migliaia 9 2 2 2 3" xfId="18542" xr:uid="{88060C41-3F31-4DFD-BD45-7E22C772A760}"/>
    <cellStyle name="Migliaia 9 2 2 2 4" xfId="21218" xr:uid="{827A884F-2297-4927-AC98-1394BD57E0BA}"/>
    <cellStyle name="Migliaia 9 2 2 2 5" xfId="25806" xr:uid="{13C8F7EF-47CF-4AA4-B77B-0A3F3114722C}"/>
    <cellStyle name="Migliaia 9 2 2 2 6" xfId="16955" xr:uid="{3C52D432-37A0-40B9-A252-616280003333}"/>
    <cellStyle name="Migliaia 9 2 2 2 7" xfId="8841" xr:uid="{2BF70959-E540-4643-AEDA-4D8B69BDE9CA}"/>
    <cellStyle name="Migliaia 9 2 2 3" xfId="6956" xr:uid="{44D855AE-E350-4944-9A25-F268D33B01A0}"/>
    <cellStyle name="Migliaia 9 2 2 3 2" xfId="35543" xr:uid="{D58A5DFC-4847-4913-A39B-EB1580BF5B16}"/>
    <cellStyle name="Migliaia 9 2 2 3 2 2" xfId="40703" xr:uid="{F6797B22-9281-461B-8168-E9E3B87F37D6}"/>
    <cellStyle name="Migliaia 9 2 2 3 2 3" xfId="46005" xr:uid="{912214E5-A8CC-4DB6-BF7B-EA727514AE91}"/>
    <cellStyle name="Migliaia 9 2 2 3 3" xfId="38052" xr:uid="{7322B97F-31A9-4115-A3C0-64BF9600E8C8}"/>
    <cellStyle name="Migliaia 9 2 2 3 4" xfId="43354" xr:uid="{042AEE9C-7099-460F-83F7-9C0A2262130F}"/>
    <cellStyle name="Migliaia 9 2 2 3 5" xfId="11650" xr:uid="{5E7786CB-1BE5-4EE3-88E0-2BE010DCE88F}"/>
    <cellStyle name="Migliaia 9 2 2 4" xfId="4066" xr:uid="{EE74782A-71E4-437A-8373-E0D5CF5FF489}"/>
    <cellStyle name="Migliaia 9 2 2 4 2" xfId="21668" xr:uid="{489372CE-3DCA-4271-AA2B-B7DD10E29669}"/>
    <cellStyle name="Migliaia 9 2 2 4 3" xfId="35006" xr:uid="{1091D017-75F8-453E-B6F7-31467AEC38D9}"/>
    <cellStyle name="Migliaia 9 2 2 4 4" xfId="46265" xr:uid="{426D3242-2489-455E-AF44-8E5FE0510014}"/>
    <cellStyle name="Migliaia 9 2 2 4 5" xfId="50683" xr:uid="{5A3C253E-BBC5-4EB0-8D58-F5FE124CD56E}"/>
    <cellStyle name="Migliaia 9 2 2 4 6" xfId="53699" xr:uid="{779EBA15-D160-4626-A0C5-15B0150EB70D}"/>
    <cellStyle name="Migliaia 9 2 2 4 7" xfId="11033" xr:uid="{745BED47-C9A1-4AB7-812E-F46524A5525F}"/>
    <cellStyle name="Migliaia 9 2 2 5" xfId="21217" xr:uid="{A973D641-9C24-43E0-9B77-8E6DBA165D37}"/>
    <cellStyle name="Migliaia 9 2 2 6" xfId="25805" xr:uid="{5FA4BD26-484B-4E96-A5C4-3B092FC59014}"/>
    <cellStyle name="Migliaia 9 2 2 7" xfId="7651" xr:uid="{0A615E37-5462-4424-B951-38A1469AEA2C}"/>
    <cellStyle name="Migliaia 9 2 3" xfId="4067" xr:uid="{9E22674B-5FF0-441B-83AD-475A9E6778D4}"/>
    <cellStyle name="Migliaia 9 2 3 2" xfId="5793" xr:uid="{363E7D07-71C9-45DC-95CB-58BAE52DF23C}"/>
    <cellStyle name="Migliaia 9 2 3 2 2" xfId="35544" xr:uid="{9D8AEEF0-FA8B-45AE-B1A7-D50486DA4ADB}"/>
    <cellStyle name="Migliaia 9 2 3 2 2 2" xfId="40704" xr:uid="{C5DFF0E2-9D0E-4D5E-A210-6AE7FF1C0171}"/>
    <cellStyle name="Migliaia 9 2 3 2 2 3" xfId="46006" xr:uid="{7B9F585C-CE32-4E2D-B56D-8FA5C1448EEF}"/>
    <cellStyle name="Migliaia 9 2 3 2 3" xfId="38053" xr:uid="{4DB3D8F2-BDF9-4476-B9CE-92490160EFDE}"/>
    <cellStyle name="Migliaia 9 2 3 2 4" xfId="43355" xr:uid="{E6EE990B-FB8F-4CAE-82E9-9C6740947554}"/>
    <cellStyle name="Migliaia 9 2 3 2 5" xfId="14360" xr:uid="{3139646C-B71E-4962-91F7-41EF9F414FDE}"/>
    <cellStyle name="Migliaia 9 2 3 3" xfId="6957" xr:uid="{9B95BC2F-78B0-4070-A6C3-E57062AA2922}"/>
    <cellStyle name="Migliaia 9 2 3 3 2" xfId="35008" xr:uid="{F91BE782-0C85-47E1-A697-97F0C743BA3B}"/>
    <cellStyle name="Migliaia 9 2 3 3 3" xfId="21219" xr:uid="{D1D6EFF4-D32F-4314-ACF1-7302989C2CA7}"/>
    <cellStyle name="Migliaia 9 2 3 4" xfId="25807" xr:uid="{8AE75178-C814-4FAA-9144-C18AB37AA229}"/>
    <cellStyle name="Migliaia 9 2 3 5" xfId="16956" xr:uid="{01E7B165-386D-4C93-A219-BD62662E7AF4}"/>
    <cellStyle name="Migliaia 9 2 3 6" xfId="8422" xr:uid="{4194D04D-48CE-456A-8804-1B83897A8079}"/>
    <cellStyle name="Migliaia 9 2 4" xfId="5791" xr:uid="{A2FBE208-FC9C-4E2E-B897-66FEE0A66828}"/>
    <cellStyle name="Migliaia 9 2 4 2" xfId="14065" xr:uid="{133450F3-1E35-445F-B691-28ED4CF22AAF}"/>
    <cellStyle name="Migliaia 9 2 4 2 2" xfId="35009" xr:uid="{EFBBEE48-EF7E-4870-8480-5BC0D56F2680}"/>
    <cellStyle name="Migliaia 9 2 4 3" xfId="18598" xr:uid="{03D0C6D5-E80F-445F-95CF-8BCC7B640BB8}"/>
    <cellStyle name="Migliaia 9 2 4 4" xfId="21220" xr:uid="{D0F4CE51-21F4-4D3F-8E8B-9D8DBF13E4E2}"/>
    <cellStyle name="Migliaia 9 2 4 5" xfId="25808" xr:uid="{9C599DD5-70E0-462A-8165-3B1C2E4E48AF}"/>
    <cellStyle name="Migliaia 9 2 4 6" xfId="16957" xr:uid="{C303E8F6-F057-451B-9D4D-CA13AFFCAD84}"/>
    <cellStyle name="Migliaia 9 2 4 7" xfId="8063" xr:uid="{50EC7600-790B-4EDD-AE03-C0E247852BAA}"/>
    <cellStyle name="Migliaia 9 2 5" xfId="6955" xr:uid="{9DFCFE63-43AD-4B0B-9DF2-77553895702E}"/>
    <cellStyle name="Migliaia 9 2 5 2" xfId="35010" xr:uid="{323C26B2-8E18-43B9-B7EE-E624600F7C0D}"/>
    <cellStyle name="Migliaia 9 2 5 3" xfId="25809" xr:uid="{497484A1-8F29-4993-A26F-44DEBE046432}"/>
    <cellStyle name="Migliaia 9 2 5 4" xfId="13163" xr:uid="{61822D79-D1D9-40EC-BADF-B0C59D13FF3C}"/>
    <cellStyle name="Migliaia 9 2 6" xfId="4065" xr:uid="{9F46BD22-C030-415A-9919-4371D66019F8}"/>
    <cellStyle name="Migliaia 9 2 6 2" xfId="35011" xr:uid="{08405742-5BE4-4E6B-9485-739D146465D3}"/>
    <cellStyle name="Migliaia 9 2 6 3" xfId="25810" xr:uid="{501FFD06-E074-439C-A800-2428728A3874}"/>
    <cellStyle name="Migliaia 9 2 6 4" xfId="21216" xr:uid="{C042833D-07DC-4FF5-B5D9-9E0BF1F740B3}"/>
    <cellStyle name="Migliaia 9 2 7" xfId="35005" xr:uid="{D5A3AE35-E6A4-41C5-AAAA-B69FBCEB490E}"/>
    <cellStyle name="Migliaia 9 2 8" xfId="25804" xr:uid="{C310895E-96C6-4FAF-914C-AEFF5926A788}"/>
    <cellStyle name="Migliaia 9 2 9" xfId="7223" xr:uid="{B9888257-752F-42B5-8BEB-22652EB82BF4}"/>
    <cellStyle name="Migliaia 9 3" xfId="543" xr:uid="{00000000-0005-0000-0000-0000DE040000}"/>
    <cellStyle name="Migliaia 9 3 10" xfId="25811" xr:uid="{84B07822-CF42-4D46-9BE8-EFE065CF031C}"/>
    <cellStyle name="Migliaia 9 3 11" xfId="16958" xr:uid="{4817DEE2-38D2-4927-B822-4D72F4CE2225}"/>
    <cellStyle name="Migliaia 9 3 12" xfId="7224" xr:uid="{524E75A8-5333-4010-9601-48638774EF6D}"/>
    <cellStyle name="Migliaia 9 3 2" xfId="544" xr:uid="{00000000-0005-0000-0000-0000DF040000}"/>
    <cellStyle name="Migliaia 9 3 2 2" xfId="1957" xr:uid="{00000000-0005-0000-0000-0000E0040000}"/>
    <cellStyle name="Migliaia 9 3 2 2 2" xfId="5796" xr:uid="{CDDC0203-C21C-4A10-87F1-0F7AFE69FF84}"/>
    <cellStyle name="Migliaia 9 3 2 2 2 2" xfId="18543" xr:uid="{51EF434D-5979-46B4-86FA-E188850EEEBA}"/>
    <cellStyle name="Migliaia 9 3 2 2 2 2 2" xfId="21901" xr:uid="{BBECBCE8-9721-41ED-9CE9-E3E5148E5009}"/>
    <cellStyle name="Migliaia 9 3 2 2 2 2 3" xfId="35015" xr:uid="{77FE19C7-F144-4075-9C2A-D8C7F080C4C1}"/>
    <cellStyle name="Migliaia 9 3 2 2 2 3" xfId="25814" xr:uid="{84554CA1-42C2-47A6-8047-9C828F30999E}"/>
    <cellStyle name="Migliaia 9 3 2 2 2 4" xfId="25109" xr:uid="{426A5D12-126F-47FD-B8C5-0647E9C57BE9}"/>
    <cellStyle name="Migliaia 9 3 2 2 2 5" xfId="50929" xr:uid="{BC945CDD-3E6A-41EC-B1F3-6A9D65E258E7}"/>
    <cellStyle name="Migliaia 9 3 2 2 2 6" xfId="53945" xr:uid="{AEAE58E0-2ED5-42DF-B026-031EAC03A45B}"/>
    <cellStyle name="Migliaia 9 3 2 2 2 7" xfId="17700" xr:uid="{397391AB-CBE8-41F8-9C81-B2F6901FD152}"/>
    <cellStyle name="Migliaia 9 3 2 2 2 8" xfId="12127" xr:uid="{9830FBF7-8E85-434B-A5D8-F6DA775A6FAD}"/>
    <cellStyle name="Migliaia 9 3 2 2 3" xfId="6960" xr:uid="{321D3ECC-A31A-4337-85B1-97A8A40BE080}"/>
    <cellStyle name="Migliaia 9 3 2 2 3 2" xfId="35014" xr:uid="{1A29D507-E9AD-4862-A999-2F50052A6285}"/>
    <cellStyle name="Migliaia 9 3 2 2 3 3" xfId="12155" xr:uid="{64240603-F188-4651-9818-BC788C94A1CC}"/>
    <cellStyle name="Migliaia 9 3 2 2 4" xfId="4070" xr:uid="{F22EC6BA-7458-449F-80B0-06285C780B46}"/>
    <cellStyle name="Migliaia 9 3 2 2 4 2" xfId="21669" xr:uid="{10F74BB1-B9F0-44D1-AC4A-CAB8C547EB1A}"/>
    <cellStyle name="Migliaia 9 3 2 2 4 3" xfId="47006" xr:uid="{72574C5B-7C88-4285-876A-EEF81307C3F5}"/>
    <cellStyle name="Migliaia 9 3 2 2 4 4" xfId="50684" xr:uid="{076B6966-3EA0-4640-8BE1-3F57CEB354BD}"/>
    <cellStyle name="Migliaia 9 3 2 2 4 5" xfId="53700" xr:uid="{7F25C22D-DB00-4D09-90EA-D1E0A1C25451}"/>
    <cellStyle name="Migliaia 9 3 2 2 4 6" xfId="11034" xr:uid="{46D77535-3F8E-43FD-A388-77BB1CE786E6}"/>
    <cellStyle name="Migliaia 9 3 2 2 5" xfId="21223" xr:uid="{DFE29F63-C970-4CA7-BE2D-F23C18C7B736}"/>
    <cellStyle name="Migliaia 9 3 2 2 6" xfId="25813" xr:uid="{019C9F68-D5E2-4B2A-A909-2348ED4C5AC2}"/>
    <cellStyle name="Migliaia 9 3 2 2 7" xfId="8843" xr:uid="{BB507055-10A9-4793-8A3D-01830495F607}"/>
    <cellStyle name="Migliaia 9 3 2 3" xfId="5795" xr:uid="{6E8A4527-E654-499A-A49A-25D0CCB6B7C3}"/>
    <cellStyle name="Migliaia 9 3 2 3 2" xfId="12392" xr:uid="{D957121B-F2B6-4E03-B5BE-62C8D50E092B}"/>
    <cellStyle name="Migliaia 9 3 2 3 2 2" xfId="35016" xr:uid="{B0C87E26-0EE2-4FAF-B348-5704E7A680A6}"/>
    <cellStyle name="Migliaia 9 3 2 3 3" xfId="12128" xr:uid="{BAA94122-E8C7-4C80-A745-381D0461B546}"/>
    <cellStyle name="Migliaia 9 3 2 3 4" xfId="21224" xr:uid="{35226F61-C209-4632-AFC9-F713B0D69720}"/>
    <cellStyle name="Migliaia 9 3 2 3 5" xfId="25815" xr:uid="{85E9E823-388A-4B71-93C1-7A5AB415CDE0}"/>
    <cellStyle name="Migliaia 9 3 2 3 6" xfId="16959" xr:uid="{04464BE4-D2D2-49D5-924F-CFD89AA1C3D7}"/>
    <cellStyle name="Migliaia 9 3 2 3 7" xfId="8065" xr:uid="{ED40EE81-66F4-4DDC-84F4-F2481B3F6710}"/>
    <cellStyle name="Migliaia 9 3 2 4" xfId="6959" xr:uid="{52FD9F32-6FDE-4CC3-9498-4A84EDCE2A08}"/>
    <cellStyle name="Migliaia 9 3 2 4 2" xfId="18117" xr:uid="{DD07F4E7-8CAB-4692-B726-DDBB9D83A6EB}"/>
    <cellStyle name="Migliaia 9 3 2 4 2 2" xfId="35017" xr:uid="{187ED11E-2D68-45A1-BFCB-505B0228B8C1}"/>
    <cellStyle name="Migliaia 9 3 2 4 3" xfId="25816" xr:uid="{949C76A0-F05F-4200-8988-8CBF5B487B14}"/>
    <cellStyle name="Migliaia 9 3 2 4 4" xfId="17256" xr:uid="{83F7924C-51D0-47B8-8403-116E4BEB4FDB}"/>
    <cellStyle name="Migliaia 9 3 2 4 5" xfId="11480" xr:uid="{5BA2D00A-E0F5-4CE4-A481-9716CC750F43}"/>
    <cellStyle name="Migliaia 9 3 2 5" xfId="4069" xr:uid="{94EA7D00-2BD0-463C-B332-1F8FECCED5D0}"/>
    <cellStyle name="Migliaia 9 3 2 5 2" xfId="35018" xr:uid="{3C47FABB-3A38-48B8-AD90-B7BFFCCE67CF}"/>
    <cellStyle name="Migliaia 9 3 2 5 3" xfId="25817" xr:uid="{56D17547-0149-4D17-A1CF-E2C7FCB93280}"/>
    <cellStyle name="Migliaia 9 3 2 5 4" xfId="17068" xr:uid="{FBD1D2D5-E375-489A-B915-DAC93D605C79}"/>
    <cellStyle name="Migliaia 9 3 2 6" xfId="21222" xr:uid="{1D36E54B-7641-4A8C-9B2E-E5BE4BD2AFC1}"/>
    <cellStyle name="Migliaia 9 3 2 6 2" xfId="35019" xr:uid="{09FB56E1-BB63-48AD-9BAC-FA0139278360}"/>
    <cellStyle name="Migliaia 9 3 2 6 3" xfId="25818" xr:uid="{05A0C721-58A0-46BB-AA5D-B08792D50161}"/>
    <cellStyle name="Migliaia 9 3 2 7" xfId="35013" xr:uid="{6CF623DE-1FC1-4AB6-861F-7FF7DEFF6891}"/>
    <cellStyle name="Migliaia 9 3 2 8" xfId="25812" xr:uid="{3EBF86C8-4EE5-4F67-86CC-1E683193619D}"/>
    <cellStyle name="Migliaia 9 3 2 9" xfId="7653" xr:uid="{F32E78E6-2FAD-44B8-BD25-705187320D2D}"/>
    <cellStyle name="Migliaia 9 3 3" xfId="4071" xr:uid="{ACCBB988-B4CC-4E81-8161-8B8CC9D214CB}"/>
    <cellStyle name="Migliaia 9 3 3 2" xfId="5797" xr:uid="{5CC1DB42-7175-4C9A-BF4E-CE88C1FD1985}"/>
    <cellStyle name="Migliaia 9 3 3 2 2" xfId="10002" xr:uid="{E546449D-63E7-4A5B-A7E9-339A1B49C0E1}"/>
    <cellStyle name="Migliaia 9 3 3 2 2 2" xfId="35021" xr:uid="{626D95A4-8D79-4C61-8034-C909E415C944}"/>
    <cellStyle name="Migliaia 9 3 3 2 3" xfId="18282" xr:uid="{8905C512-4C70-4D01-A855-7A0CE70C6632}"/>
    <cellStyle name="Migliaia 9 3 3 2 4" xfId="21226" xr:uid="{2BD9055C-7BB5-49E9-898E-A3C1FD1BC9B9}"/>
    <cellStyle name="Migliaia 9 3 3 2 5" xfId="25820" xr:uid="{167F5678-2251-4271-80D1-2DCB9360DD91}"/>
    <cellStyle name="Migliaia 9 3 3 2 6" xfId="16961" xr:uid="{B1D6547E-791B-4C1F-9EFF-55C766EDE981}"/>
    <cellStyle name="Migliaia 9 3 3 2 7" xfId="8842" xr:uid="{D026CB18-7562-4771-8AF2-AE0566520233}"/>
    <cellStyle name="Migliaia 9 3 3 3" xfId="6961" xr:uid="{56A598A3-9B07-42EC-AA28-9AF25CBD90DE}"/>
    <cellStyle name="Migliaia 9 3 3 3 2" xfId="35022" xr:uid="{CD713A11-C175-48E7-8DF6-85F522F9BA60}"/>
    <cellStyle name="Migliaia 9 3 3 3 3" xfId="25821" xr:uid="{ECB85467-33C1-44CE-A165-56B0CDA1688D}"/>
    <cellStyle name="Migliaia 9 3 3 3 4" xfId="9765" xr:uid="{589573EA-9127-43C1-A1A4-DD54C8A65D0F}"/>
    <cellStyle name="Migliaia 9 3 3 4" xfId="21225" xr:uid="{89BC17DB-8A0C-489E-BCCA-1932767D3FFB}"/>
    <cellStyle name="Migliaia 9 3 3 4 2" xfId="35023" xr:uid="{A527CB08-7C9F-4F9E-B4FD-ED52507A431D}"/>
    <cellStyle name="Migliaia 9 3 3 4 3" xfId="25822" xr:uid="{7CDD60D7-AD26-40FF-9182-A40020CBE179}"/>
    <cellStyle name="Migliaia 9 3 3 4 4" xfId="48926" xr:uid="{6FAE8750-E170-45EB-821D-96AD40169D4A}"/>
    <cellStyle name="Migliaia 9 3 3 5" xfId="25823" xr:uid="{1621BB3E-8463-4BA9-82C8-F8D1363D92DB}"/>
    <cellStyle name="Migliaia 9 3 3 5 2" xfId="35024" xr:uid="{6BE8F888-735A-43BE-99AB-453218E87C58}"/>
    <cellStyle name="Migliaia 9 3 3 5 3" xfId="48927" xr:uid="{8A8C7BEA-954B-4D30-AB75-B13DE399F939}"/>
    <cellStyle name="Migliaia 9 3 3 6" xfId="35020" xr:uid="{2553E789-6FD0-4352-8A92-AAB986E64DA4}"/>
    <cellStyle name="Migliaia 9 3 3 7" xfId="25819" xr:uid="{155ECBD0-931F-4D60-81DE-CD0DDA2ED0F1}"/>
    <cellStyle name="Migliaia 9 3 3 8" xfId="16960" xr:uid="{1761E77F-4F05-4562-8D05-238E77C44AF7}"/>
    <cellStyle name="Migliaia 9 3 3 9" xfId="7652" xr:uid="{0A3B3DB9-8270-4987-A46C-3D29BF82A03D}"/>
    <cellStyle name="Migliaia 9 3 4" xfId="4072" xr:uid="{28EB31A9-0C2D-4A8A-8F64-C871DBEFFD12}"/>
    <cellStyle name="Migliaia 9 3 4 2" xfId="5798" xr:uid="{748AF8FE-108D-402E-BFF6-8EAC4EFFC186}"/>
    <cellStyle name="Migliaia 9 3 4 2 2" xfId="14483" xr:uid="{1CCDF4A9-74FA-4BC6-B96F-91715FE9A2CD}"/>
    <cellStyle name="Migliaia 9 3 4 2 3" xfId="18139" xr:uid="{6729FE85-F76D-425A-A56B-CADDDE510F69}"/>
    <cellStyle name="Migliaia 9 3 4 2 4" xfId="21228" xr:uid="{BCFB046D-EC41-4D68-939A-2511680F3C3A}"/>
    <cellStyle name="Migliaia 9 3 4 2 5" xfId="32495" xr:uid="{7AAC43D7-167A-44BB-A593-E98FE2BF31E7}"/>
    <cellStyle name="Migliaia 9 3 4 2 6" xfId="16963" xr:uid="{5A0FD6C4-EB28-43EC-BF2C-97733CD4C01A}"/>
    <cellStyle name="Migliaia 9 3 4 2 7" xfId="8906" xr:uid="{AA1F1B02-49F4-426E-944B-9A534B834FAB}"/>
    <cellStyle name="Migliaia 9 3 4 3" xfId="6962" xr:uid="{55D4BD7E-3B72-4671-B2A5-71BB2B8C1078}"/>
    <cellStyle name="Migliaia 9 3 4 3 2" xfId="35545" xr:uid="{B141E22B-4536-4689-AB85-43EE169E2A13}"/>
    <cellStyle name="Migliaia 9 3 4 3 2 2" xfId="40705" xr:uid="{515756AC-1409-4784-AA54-818BD013EA64}"/>
    <cellStyle name="Migliaia 9 3 4 3 2 3" xfId="46007" xr:uid="{89024393-EDFB-4696-A1F7-62D54493DF50}"/>
    <cellStyle name="Migliaia 9 3 4 3 3" xfId="38054" xr:uid="{29425DF4-7DD6-40F2-BD0E-8C36EC2560FC}"/>
    <cellStyle name="Migliaia 9 3 4 3 4" xfId="43356" xr:uid="{BD82AF49-D81C-4180-A647-715C52680A69}"/>
    <cellStyle name="Migliaia 9 3 4 3 5" xfId="13731" xr:uid="{CEBD1B28-3EEC-453E-B63E-07691DBC809C}"/>
    <cellStyle name="Migliaia 9 3 4 4" xfId="21227" xr:uid="{582EFDB7-6110-4FFF-9ED7-C1A229F183CE}"/>
    <cellStyle name="Migliaia 9 3 4 4 2" xfId="35025" xr:uid="{1E2613F1-D171-4894-A6C4-647C78155357}"/>
    <cellStyle name="Migliaia 9 3 4 5" xfId="25824" xr:uid="{B5AF64DD-67F8-4396-A9C4-D49D7B7B7929}"/>
    <cellStyle name="Migliaia 9 3 4 6" xfId="16962" xr:uid="{5B84465C-9CA7-4971-A8B2-6497B8474B93}"/>
    <cellStyle name="Migliaia 9 3 4 7" xfId="7716" xr:uid="{3816E0F3-06B8-4001-94F4-69D22D668A6B}"/>
    <cellStyle name="Migliaia 9 3 5" xfId="4073" xr:uid="{FE7CB2C8-0CE2-4DF1-BAD3-427B3D8C5331}"/>
    <cellStyle name="Migliaia 9 3 5 2" xfId="5799" xr:uid="{870833B1-1FE1-44F1-AD59-B76F4DCF9663}"/>
    <cellStyle name="Migliaia 9 3 5 2 2" xfId="35546" xr:uid="{E3F25165-05FF-45BF-9A43-1EE949FD8F67}"/>
    <cellStyle name="Migliaia 9 3 5 2 2 2" xfId="40706" xr:uid="{7378D3A8-597E-4C46-89BE-FDE29ACD06B8}"/>
    <cellStyle name="Migliaia 9 3 5 2 2 3" xfId="46008" xr:uid="{10F73268-0930-44A4-BF45-3B8326BAE18E}"/>
    <cellStyle name="Migliaia 9 3 5 2 3" xfId="38055" xr:uid="{C69EE27A-BFB4-4A68-84F7-ADF9EB93C7D6}"/>
    <cellStyle name="Migliaia 9 3 5 2 4" xfId="43357" xr:uid="{E690FB4D-B16D-4C24-9DAF-0990A8711B3C}"/>
    <cellStyle name="Migliaia 9 3 5 2 5" xfId="14361" xr:uid="{B2375B97-A58C-44C7-B274-6E970E248B31}"/>
    <cellStyle name="Migliaia 9 3 5 3" xfId="6963" xr:uid="{E6B56958-97E7-4BA1-8C07-B4634415B666}"/>
    <cellStyle name="Migliaia 9 3 5 3 2" xfId="35026" xr:uid="{88E5DD48-1837-4A08-AFEC-7F4C134D50CA}"/>
    <cellStyle name="Migliaia 9 3 5 3 3" xfId="21229" xr:uid="{6AB63477-581F-4580-BEB3-649273A4E382}"/>
    <cellStyle name="Migliaia 9 3 5 4" xfId="25825" xr:uid="{62947019-BFFB-4C39-9E0A-AE16BD854A50}"/>
    <cellStyle name="Migliaia 9 3 5 5" xfId="16964" xr:uid="{ED65BCF2-DD61-4054-B024-77BC770CBA95}"/>
    <cellStyle name="Migliaia 9 3 5 6" xfId="8423" xr:uid="{0A9D807C-1C14-4E13-9771-F3CB9F0906E7}"/>
    <cellStyle name="Migliaia 9 3 6" xfId="5794" xr:uid="{7A860B01-E80A-4046-89AE-ECBD52ACEE64}"/>
    <cellStyle name="Migliaia 9 3 6 2" xfId="14066" xr:uid="{ED9E5710-8C68-4B7E-A703-1A9C14E630BC}"/>
    <cellStyle name="Migliaia 9 3 6 2 2" xfId="35027" xr:uid="{FCCBA6D5-91DF-4B1B-9F22-31C5E8BDB9A5}"/>
    <cellStyle name="Migliaia 9 3 6 3" xfId="18030" xr:uid="{6EEEDB2A-EE48-4325-9CDB-C3BB5E5A78B8}"/>
    <cellStyle name="Migliaia 9 3 6 4" xfId="21230" xr:uid="{9DEA2B95-2DA2-4164-9BC1-FD952606BF10}"/>
    <cellStyle name="Migliaia 9 3 6 5" xfId="25826" xr:uid="{99B9F7CA-6ED7-487E-AC6A-4DFECE141FB3}"/>
    <cellStyle name="Migliaia 9 3 6 6" xfId="16965" xr:uid="{94FC6A7A-87E3-49C4-87E6-934AEE963555}"/>
    <cellStyle name="Migliaia 9 3 6 7" xfId="8064" xr:uid="{11D65983-3339-485D-8EFF-D20BF1637781}"/>
    <cellStyle name="Migliaia 9 3 7" xfId="6958" xr:uid="{CB9DC3F6-A8F6-487A-A899-FF20B6FEB8CA}"/>
    <cellStyle name="Migliaia 9 3 7 2" xfId="35028" xr:uid="{61263095-70BD-4B9F-B03E-EF8EEF75CC01}"/>
    <cellStyle name="Migliaia 9 3 7 3" xfId="25827" xr:uid="{3A0FB1B0-8662-481C-8101-392465449D05}"/>
    <cellStyle name="Migliaia 9 3 7 4" xfId="12289" xr:uid="{72C74E1F-0622-48EC-AF55-A55E67563EA6}"/>
    <cellStyle name="Migliaia 9 3 8" xfId="4068" xr:uid="{FE2D2938-20C8-44E3-839F-05F5401798B3}"/>
    <cellStyle name="Migliaia 9 3 8 2" xfId="35029" xr:uid="{C198B50B-0896-4075-A968-7C854C646B5D}"/>
    <cellStyle name="Migliaia 9 3 8 3" xfId="25828" xr:uid="{5A371847-2FBA-4791-B654-4617FA649A97}"/>
    <cellStyle name="Migliaia 9 3 8 4" xfId="17069" xr:uid="{971C2EE1-41BA-41C0-B463-603DE7D744AF}"/>
    <cellStyle name="Migliaia 9 3 9" xfId="21221" xr:uid="{B551B788-FD22-4059-AC7F-06F3441603E0}"/>
    <cellStyle name="Migliaia 9 3 9 2" xfId="35012" xr:uid="{5F2E0199-F5D9-49FB-BEFA-83FEDC5A1990}"/>
    <cellStyle name="Migliaia 9 4" xfId="1958" xr:uid="{00000000-0005-0000-0000-0000E1040000}"/>
    <cellStyle name="Migliaia 9 4 10" xfId="7654" xr:uid="{043134D7-C236-4A3E-AE70-9DEDCC922EEF}"/>
    <cellStyle name="Migliaia 9 4 2" xfId="1959" xr:uid="{00000000-0005-0000-0000-0000E2040000}"/>
    <cellStyle name="Migliaia 9 4 2 2" xfId="5801" xr:uid="{4441B9B0-3F93-4E61-8ADA-3E3A56CCF627}"/>
    <cellStyle name="Migliaia 9 4 2 2 2" xfId="35032" xr:uid="{647093B1-32B9-4775-8F8C-61191642D400}"/>
    <cellStyle name="Migliaia 9 4 2 2 3" xfId="25831" xr:uid="{1C958E6F-0FEC-420A-9811-5B063D33045A}"/>
    <cellStyle name="Migliaia 9 4 2 2 4" xfId="9228" xr:uid="{2BDC43E0-04EA-4071-8D6D-A6F036FC65D3}"/>
    <cellStyle name="Migliaia 9 4 2 3" xfId="4075" xr:uid="{CB3B3AF3-0326-470A-A417-3CE8AC3F69A0}"/>
    <cellStyle name="Migliaia 9 4 2 3 2" xfId="35033" xr:uid="{4DFBC43B-4DA9-4C68-8576-B0A523656056}"/>
    <cellStyle name="Migliaia 9 4 2 3 3" xfId="25832" xr:uid="{8A39FB0A-82A9-4B26-905B-5D3FE9201A0A}"/>
    <cellStyle name="Migliaia 9 4 2 3 4" xfId="12129" xr:uid="{7F59A072-FA73-4604-BE65-8F6F0258CCB9}"/>
    <cellStyle name="Migliaia 9 4 2 4" xfId="11482" xr:uid="{6840BFE6-BBF2-4B52-A5A9-5A3186EEDB7C}"/>
    <cellStyle name="Migliaia 9 4 2 4 2" xfId="35031" xr:uid="{E14CDE76-89CC-40CC-B152-D68713EA4109}"/>
    <cellStyle name="Migliaia 9 4 2 5" xfId="11036" xr:uid="{8047A570-A2A0-436D-863F-9EDB4D0B5247}"/>
    <cellStyle name="Migliaia 9 4 2 5 2" xfId="21671" xr:uid="{1985E927-F96E-4F5B-953A-D2313763F50D}"/>
    <cellStyle name="Migliaia 9 4 2 5 3" xfId="46715" xr:uid="{27747C98-2D0E-4D2D-B3DF-C4D4331868C1}"/>
    <cellStyle name="Migliaia 9 4 2 5 4" xfId="50686" xr:uid="{DDA31782-16E5-4BE5-B127-A96D92940065}"/>
    <cellStyle name="Migliaia 9 4 2 5 5" xfId="53702" xr:uid="{A00FA59A-438A-4067-B21C-F8B76F5C2479}"/>
    <cellStyle name="Migliaia 9 4 2 6" xfId="21232" xr:uid="{930506EB-EB37-49C8-8299-B6C397B877E8}"/>
    <cellStyle name="Migliaia 9 4 2 7" xfId="25830" xr:uid="{4CDE14C8-F52B-47CD-85EF-3E3C3139EF1F}"/>
    <cellStyle name="Migliaia 9 4 2 8" xfId="8844" xr:uid="{A17F92AE-2743-4BA0-BAA6-82EEBFC7800A}"/>
    <cellStyle name="Migliaia 9 4 3" xfId="5800" xr:uid="{B800EBF7-E588-4B1B-954C-B1D3D115C02F}"/>
    <cellStyle name="Migliaia 9 4 3 2" xfId="18283" xr:uid="{CB3CAB25-B73F-483A-83D7-B62439D42E5D}"/>
    <cellStyle name="Migliaia 9 4 3 2 2" xfId="35034" xr:uid="{4B2A86E2-8E52-4BAC-A393-C5E4E3D3BB52}"/>
    <cellStyle name="Migliaia 9 4 3 3" xfId="25833" xr:uid="{D39DEB47-77B2-4A21-9F9B-992710B1D636}"/>
    <cellStyle name="Migliaia 9 4 3 4" xfId="17067" xr:uid="{DF20BD73-6167-4D1A-BF10-09462E911910}"/>
    <cellStyle name="Migliaia 9 4 3 5" xfId="9229" xr:uid="{41517645-1E9C-4A03-821F-06A1EFF1AF9C}"/>
    <cellStyle name="Migliaia 9 4 4" xfId="6964" xr:uid="{E1A24F35-522C-490D-B37D-684CD12704B9}"/>
    <cellStyle name="Migliaia 9 4 4 2" xfId="35035" xr:uid="{6C6D3944-2D1D-4B75-A306-EA9BD1904EB1}"/>
    <cellStyle name="Migliaia 9 4 4 3" xfId="25834" xr:uid="{DD23E1A7-A0DC-40A6-9DF6-7F7E206F5B09}"/>
    <cellStyle name="Migliaia 9 4 4 4" xfId="12130" xr:uid="{01E695F9-B3AE-41E3-B853-B234E4E22ECC}"/>
    <cellStyle name="Migliaia 9 4 5" xfId="4074" xr:uid="{13735715-4017-443A-BD7A-B70E08B12325}"/>
    <cellStyle name="Migliaia 9 4 5 2" xfId="35036" xr:uid="{6DD36D7E-0607-4D0D-A540-1B62B9FBF65A}"/>
    <cellStyle name="Migliaia 9 4 5 3" xfId="25835" xr:uid="{E4DC3EFE-BF89-4A2F-AAB8-479E051D359F}"/>
    <cellStyle name="Migliaia 9 4 5 4" xfId="11481" xr:uid="{F8DF6D6B-ED86-4A86-A923-1DA29EC9E1F3}"/>
    <cellStyle name="Migliaia 9 4 6" xfId="11035" xr:uid="{749467CD-139F-4FDB-B0E8-35DB1AEE3B8C}"/>
    <cellStyle name="Migliaia 9 4 6 2" xfId="21670" xr:uid="{5E7582CB-500B-4C06-BFB3-F1CF9C6EC797}"/>
    <cellStyle name="Migliaia 9 4 6 2 2" xfId="35037" xr:uid="{1A1000BA-1F21-47DE-8144-253DE00DD929}"/>
    <cellStyle name="Migliaia 9 4 6 3" xfId="25836" xr:uid="{80F59D56-76CB-462F-88A5-97C49B303066}"/>
    <cellStyle name="Migliaia 9 4 6 4" xfId="47516" xr:uid="{FB401D88-5B0C-446D-8B19-7F3A43E68E30}"/>
    <cellStyle name="Migliaia 9 4 6 5" xfId="48928" xr:uid="{A5744524-52E8-44BA-90BA-7F76CB4973C2}"/>
    <cellStyle name="Migliaia 9 4 6 6" xfId="50685" xr:uid="{04CBB422-8A27-44E7-ADBB-5A7BB1AE5E91}"/>
    <cellStyle name="Migliaia 9 4 6 7" xfId="53701" xr:uid="{52E8C7F1-D695-40B0-A671-C249DD6870F8}"/>
    <cellStyle name="Migliaia 9 4 7" xfId="21231" xr:uid="{D505C79F-F378-4DFF-AF2F-92C341F2F4FC}"/>
    <cellStyle name="Migliaia 9 4 7 2" xfId="35038" xr:uid="{A34FF172-2B55-4E5C-B460-A58D4234F11B}"/>
    <cellStyle name="Migliaia 9 4 7 3" xfId="25837" xr:uid="{6C3C600F-0347-4A26-B164-EFE9542CA8C4}"/>
    <cellStyle name="Migliaia 9 4 8" xfId="35030" xr:uid="{55994591-D9B6-4E7F-A76E-E0D07BE52C21}"/>
    <cellStyle name="Migliaia 9 4 9" xfId="25829" xr:uid="{8F1F5023-3582-4A07-9689-9868571CD4B2}"/>
    <cellStyle name="Migliaia 9 5" xfId="1960" xr:uid="{00000000-0005-0000-0000-0000E3040000}"/>
    <cellStyle name="Migliaia 9 5 2" xfId="5802" xr:uid="{FB2698D1-A43A-4FAD-8626-45CACFE46F64}"/>
    <cellStyle name="Migliaia 9 5 2 2" xfId="18544" xr:uid="{479193F4-2BF8-4F81-9792-4998F1BF9FCB}"/>
    <cellStyle name="Migliaia 9 5 2 2 2" xfId="35040" xr:uid="{A2B81643-CD1D-4CBD-BCAC-9A85C092612E}"/>
    <cellStyle name="Migliaia 9 5 2 3" xfId="21234" xr:uid="{34DA00D1-C8FA-4C54-B72C-3457C3F98E06}"/>
    <cellStyle name="Migliaia 9 5 2 4" xfId="25839" xr:uid="{1FD3E17A-F09C-4A55-B3F8-C822998E76A3}"/>
    <cellStyle name="Migliaia 9 5 2 5" xfId="16966" xr:uid="{B5BDC54D-C439-41B3-AD99-91DFDA1E5147}"/>
    <cellStyle name="Migliaia 9 5 2 6" xfId="8845" xr:uid="{073D3E82-5982-4E3F-B608-6628B548B1CB}"/>
    <cellStyle name="Migliaia 9 5 3" xfId="6965" xr:uid="{4C01C900-B544-4381-B041-EE5DA3CF58F4}"/>
    <cellStyle name="Migliaia 9 5 3 2" xfId="35041" xr:uid="{DA2A1BCA-199A-4682-AD58-9985B4142F23}"/>
    <cellStyle name="Migliaia 9 5 3 3" xfId="25840" xr:uid="{BBF12B61-310E-4F1F-9781-C30282889546}"/>
    <cellStyle name="Migliaia 9 5 3 4" xfId="11483" xr:uid="{E9423140-03D3-47E3-BF17-334519C59A41}"/>
    <cellStyle name="Migliaia 9 5 4" xfId="4076" xr:uid="{C892A0DE-2216-424B-9103-E03B3A83A33C}"/>
    <cellStyle name="Migliaia 9 5 4 2" xfId="21672" xr:uid="{25E7D16B-A3F4-4956-BC18-468C973D4791}"/>
    <cellStyle name="Migliaia 9 5 4 2 2" xfId="35042" xr:uid="{C062FEEE-45EA-44A9-AA6F-07888A458220}"/>
    <cellStyle name="Migliaia 9 5 4 3" xfId="25841" xr:uid="{4101C909-EA74-477C-9F26-92150C11ECB0}"/>
    <cellStyle name="Migliaia 9 5 4 4" xfId="48260" xr:uid="{7FE9664C-F454-4F3D-A76A-EE42226F5766}"/>
    <cellStyle name="Migliaia 9 5 4 5" xfId="48929" xr:uid="{6428BB1A-BD27-45D8-97B3-E1F19F1ADA6E}"/>
    <cellStyle name="Migliaia 9 5 4 6" xfId="50687" xr:uid="{634F156D-500C-4CA4-A83E-7F82466023CD}"/>
    <cellStyle name="Migliaia 9 5 4 7" xfId="53703" xr:uid="{31C4F6B3-706B-4E93-8A8A-C57345E8E38C}"/>
    <cellStyle name="Migliaia 9 5 4 8" xfId="11037" xr:uid="{77AB1AE4-0526-4120-80DC-03D90B01FC97}"/>
    <cellStyle name="Migliaia 9 5 5" xfId="21233" xr:uid="{85BF6354-BE2F-4109-A104-CCC807C65F6C}"/>
    <cellStyle name="Migliaia 9 5 5 2" xfId="35043" xr:uid="{A69D6063-2B8B-4D93-8068-1FA9F2F5EB76}"/>
    <cellStyle name="Migliaia 9 5 5 3" xfId="25842" xr:uid="{1C2A0D31-5467-49A4-94B0-BD6B75816027}"/>
    <cellStyle name="Migliaia 9 5 5 4" xfId="48930" xr:uid="{56A0D999-7628-4E1D-8A1A-814153694534}"/>
    <cellStyle name="Migliaia 9 5 6" xfId="25843" xr:uid="{77665FD0-5E96-4D53-9BA3-973DD7825280}"/>
    <cellStyle name="Migliaia 9 5 6 2" xfId="35044" xr:uid="{4453CA8B-3D97-4AC8-AA23-FE8B18BF78E6}"/>
    <cellStyle name="Migliaia 9 5 7" xfId="35039" xr:uid="{C405E3FF-D5C0-433E-AD95-ADDE40E5789E}"/>
    <cellStyle name="Migliaia 9 5 8" xfId="25838" xr:uid="{9D52287A-41C3-41F3-A508-95FF60DB4BE3}"/>
    <cellStyle name="Migliaia 9 5 9" xfId="7655" xr:uid="{8E7CC24B-EA7A-4058-8136-3A4EF795D4E3}"/>
    <cellStyle name="Migliaia 9 6" xfId="4077" xr:uid="{AC151E29-A1AF-4C68-924F-815A5E009242}"/>
    <cellStyle name="Migliaia 9 6 2" xfId="5803" xr:uid="{54886909-D92F-4806-9016-78D7081B275C}"/>
    <cellStyle name="Migliaia 9 6 2 2" xfId="10001" xr:uid="{6C1F5EE2-12C7-4B10-A55A-F649B7B16990}"/>
    <cellStyle name="Migliaia 9 6 2 3" xfId="18594" xr:uid="{226C846D-EB80-4FB5-9202-61B45F9D9BA5}"/>
    <cellStyle name="Migliaia 9 6 2 4" xfId="21236" xr:uid="{1C98370E-5C32-4FC8-8BC6-8FFA0F7C6DF3}"/>
    <cellStyle name="Migliaia 9 6 2 5" xfId="32496" xr:uid="{781403E7-79FB-45D2-9E7E-75181173B1C4}"/>
    <cellStyle name="Migliaia 9 6 2 6" xfId="16968" xr:uid="{5BD6572D-3903-43CF-9276-18F592EA52E7}"/>
    <cellStyle name="Migliaia 9 6 2 7" xfId="8840" xr:uid="{B347AB4E-D4FF-40E5-AA13-EEA36B1A4F0E}"/>
    <cellStyle name="Migliaia 9 6 3" xfId="6966" xr:uid="{870C5297-9DCE-4C76-B85E-63B612C18B9A}"/>
    <cellStyle name="Migliaia 9 6 3 2" xfId="35547" xr:uid="{70426EC2-80D0-4D2D-9EA8-9601B4E57D8A}"/>
    <cellStyle name="Migliaia 9 6 3 2 2" xfId="40707" xr:uid="{18D61EAA-B53E-4A5A-955C-C0F5CA58581D}"/>
    <cellStyle name="Migliaia 9 6 3 2 3" xfId="46009" xr:uid="{F0D91B48-9C0B-4440-9C61-BF1B920687F5}"/>
    <cellStyle name="Migliaia 9 6 3 3" xfId="38056" xr:uid="{085C8F58-99DB-4848-B34E-AC7FDBAF01F9}"/>
    <cellStyle name="Migliaia 9 6 3 4" xfId="43358" xr:uid="{44710E45-88B0-44E3-B799-9910B57105F7}"/>
    <cellStyle name="Migliaia 9 6 3 5" xfId="9764" xr:uid="{0127F633-0C84-4362-BECE-26FEEC9611A7}"/>
    <cellStyle name="Migliaia 9 6 4" xfId="21235" xr:uid="{14AA7376-5557-449C-BF06-9D5C6F81A53F}"/>
    <cellStyle name="Migliaia 9 6 4 2" xfId="35045" xr:uid="{FE9FF43D-EED3-4F5C-9BC4-3235B157B6AC}"/>
    <cellStyle name="Migliaia 9 6 5" xfId="25844" xr:uid="{C7C635FA-D2CC-44A3-8C3F-73A8CFBADB2C}"/>
    <cellStyle name="Migliaia 9 6 6" xfId="16967" xr:uid="{9CBB6869-172F-4CA1-819C-D9703A234C39}"/>
    <cellStyle name="Migliaia 9 6 7" xfId="7650" xr:uid="{6EC0F1AF-457C-4E02-9168-5DAEAF1C6021}"/>
    <cellStyle name="Migliaia 9 7" xfId="4078" xr:uid="{992C413C-790E-4247-9C76-33C89B0CC7B1}"/>
    <cellStyle name="Migliaia 9 7 2" xfId="5804" xr:uid="{4F74F1E8-EE86-4F77-8E1B-31C5D8529E11}"/>
    <cellStyle name="Migliaia 9 7 2 2" xfId="35548" xr:uid="{016AAEAA-28B2-4E49-924F-3A5DB3233250}"/>
    <cellStyle name="Migliaia 9 7 2 2 2" xfId="40708" xr:uid="{14B7CD83-6818-47F6-A0DB-2C476AEBE747}"/>
    <cellStyle name="Migliaia 9 7 2 2 3" xfId="46010" xr:uid="{A324A435-FB0B-435E-A1F8-A18C9A6D4FC2}"/>
    <cellStyle name="Migliaia 9 7 2 3" xfId="38057" xr:uid="{935482EF-B838-4467-9BC2-ED04CD108E8C}"/>
    <cellStyle name="Migliaia 9 7 2 4" xfId="43359" xr:uid="{F2080A7A-71BE-4428-801C-969819B002EC}"/>
    <cellStyle name="Migliaia 9 7 2 5" xfId="14359" xr:uid="{404B528D-1429-40DF-A547-0CFDCC66FEA9}"/>
    <cellStyle name="Migliaia 9 7 3" xfId="6967" xr:uid="{9F1D38D3-D47E-44EB-8ABD-EC9889845EB0}"/>
    <cellStyle name="Migliaia 9 7 3 2" xfId="35046" xr:uid="{C1001A7D-278C-42AD-AEA8-DF861FC2C870}"/>
    <cellStyle name="Migliaia 9 7 3 3" xfId="21237" xr:uid="{8FD002C9-CB02-4815-BB91-2E7BCF7AC271}"/>
    <cellStyle name="Migliaia 9 7 4" xfId="25845" xr:uid="{B52BD695-4F62-422F-A945-BE046F681C6D}"/>
    <cellStyle name="Migliaia 9 7 5" xfId="16969" xr:uid="{504B94DE-32E6-46FE-8A45-7AC4B4A37A22}"/>
    <cellStyle name="Migliaia 9 7 6" xfId="8421" xr:uid="{A4DCB5AA-20C3-4E61-B570-9D97B91E44C4}"/>
    <cellStyle name="Migliaia 9 8" xfId="4079" xr:uid="{20B4D4BC-F145-4805-A6B0-84C6DA625243}"/>
    <cellStyle name="Migliaia 9 8 2" xfId="5805" xr:uid="{DD4C9894-6954-438B-957F-8A07AE879E66}"/>
    <cellStyle name="Migliaia 9 8 2 2" xfId="35549" xr:uid="{3C75C1D4-B5D2-4B28-8BB4-69BF5A133FA8}"/>
    <cellStyle name="Migliaia 9 8 2 2 2" xfId="40709" xr:uid="{635E5D68-5DD6-464E-80E1-0E316FC2EBF6}"/>
    <cellStyle name="Migliaia 9 8 2 2 3" xfId="46011" xr:uid="{32A10C0B-FBC6-4699-A5E1-9DED9F91DDD0}"/>
    <cellStyle name="Migliaia 9 8 2 3" xfId="38058" xr:uid="{C7A50851-4ABF-4255-94FE-429C59F15E42}"/>
    <cellStyle name="Migliaia 9 8 2 4" xfId="43360" xr:uid="{4D716847-50EC-46D3-9F55-D3118C2E9FCF}"/>
    <cellStyle name="Migliaia 9 8 2 5" xfId="14064" xr:uid="{16584684-89D4-41F7-8048-BB2764055A0B}"/>
    <cellStyle name="Migliaia 9 8 3" xfId="6968" xr:uid="{C71300A4-7314-4365-B508-262A5D358FB4}"/>
    <cellStyle name="Migliaia 9 8 3 2" xfId="35047" xr:uid="{A9FBE340-2204-4BC9-A9E7-9A8847150223}"/>
    <cellStyle name="Migliaia 9 8 3 3" xfId="21238" xr:uid="{A20CAA5A-E53E-4F7B-94C5-BC449FDDDD1E}"/>
    <cellStyle name="Migliaia 9 8 4" xfId="25846" xr:uid="{B1CCC46D-CC3B-4399-8750-ED6D662B5D19}"/>
    <cellStyle name="Migliaia 9 8 5" xfId="16970" xr:uid="{5A35876C-8A6E-4A4A-BD67-FEEE28635902}"/>
    <cellStyle name="Migliaia 9 8 6" xfId="8062" xr:uid="{ADA43F90-BA53-45A2-BB77-DBD185BECFD1}"/>
    <cellStyle name="Migliaia 9 9" xfId="5790" xr:uid="{69CC92EF-BF99-4C81-822E-6FF38615C59E}"/>
    <cellStyle name="Migliaia 9 9 2" xfId="35048" xr:uid="{CAF3A3BC-A10C-4FB4-82E5-3E501843C5B9}"/>
    <cellStyle name="Migliaia 9 9 3" xfId="25847" xr:uid="{F6FECE83-43F6-4EA8-9A96-102B4E1C8E6E}"/>
    <cellStyle name="Migliaia 9 9 4" xfId="17255" xr:uid="{299F2705-40D9-4655-A6D6-56F98384D707}"/>
    <cellStyle name="Neutral 2" xfId="1961" xr:uid="{00000000-0005-0000-0000-0000E4040000}"/>
    <cellStyle name="Neutral 2 2" xfId="12131" xr:uid="{C899570C-600D-4F6C-8939-A03F56BF4FFF}"/>
    <cellStyle name="Neutral 2 2 2" xfId="35050" xr:uid="{52B7C439-5DFB-4EA3-9A34-5C0D5AD01D08}"/>
    <cellStyle name="Neutral 2 2 3" xfId="25849" xr:uid="{A81A9AB3-E5D8-48BF-B653-931E3BEF8F40}"/>
    <cellStyle name="Neutral 2 3" xfId="11146" xr:uid="{744A3589-8C13-4F86-828A-5D898C77BD9D}"/>
    <cellStyle name="Neutral 2 3 2" xfId="35049" xr:uid="{4A3305C7-95BA-4CA0-B961-DDB4372857F2}"/>
    <cellStyle name="Neutral 2 4" xfId="25848" xr:uid="{CDAC301B-C671-490F-9DD2-19C1E16AEF8D}"/>
    <cellStyle name="Neutrale" xfId="545" xr:uid="{00000000-0005-0000-0000-0000E5040000}"/>
    <cellStyle name="Neutrale 2" xfId="35051" xr:uid="{13782016-4AA8-4263-B83B-488F0A145C86}"/>
    <cellStyle name="Neutrale 3" xfId="25850" xr:uid="{4882C3BE-1793-4667-BC74-5BD2B37607F4}"/>
    <cellStyle name="Normal" xfId="0" builtinId="0"/>
    <cellStyle name="Normal 10" xfId="546" xr:uid="{00000000-0005-0000-0000-0000E7040000}"/>
    <cellStyle name="Normal 10 2" xfId="547" xr:uid="{00000000-0005-0000-0000-0000E8040000}"/>
    <cellStyle name="Normal 10 2 2" xfId="13426" xr:uid="{ED16485E-6A34-461E-9D86-44D12FAFBDDE}"/>
    <cellStyle name="Normal 10 2 2 2" xfId="25854" xr:uid="{92D6837F-86F5-45FB-8CDA-2E941F3957E5}"/>
    <cellStyle name="Normal 10 2 2 3" xfId="25853" xr:uid="{377C935E-BD98-4390-99C3-F74794C10766}"/>
    <cellStyle name="Normal 10 2 3" xfId="25855" xr:uid="{4A727725-E9C3-4E0F-AAF8-979EFB5D38FE}"/>
    <cellStyle name="Normal 10 2 3 2" xfId="25856" xr:uid="{09BC3F57-5286-4672-8D7B-1482329C6C48}"/>
    <cellStyle name="Normal 10 2 4" xfId="25857" xr:uid="{EA9FAC10-C759-4383-8502-41C878A3C7AC}"/>
    <cellStyle name="Normal 10 2 5" xfId="25858" xr:uid="{F9B6C59B-D48A-4E96-89E1-C5F43AF401BD}"/>
    <cellStyle name="Normal 10 2 6" xfId="25852" xr:uid="{4940E4A1-BD78-4059-8E92-B52DFB49B63A}"/>
    <cellStyle name="Normal 10 3" xfId="13164" xr:uid="{30C8662A-8C44-44E3-AF3B-BDE83AA1B9E7}"/>
    <cellStyle name="Normal 10 3 2" xfId="25860" xr:uid="{15975EDF-3DCD-4AC9-976C-944EE02158CE}"/>
    <cellStyle name="Normal 10 3 3" xfId="25861" xr:uid="{C544083C-9CAA-436B-92A3-4EBA861B8E0A}"/>
    <cellStyle name="Normal 10 3 4" xfId="25859" xr:uid="{698DDAB6-AB14-481F-829D-62E1C80D0A6A}"/>
    <cellStyle name="Normal 10 3 5" xfId="48931" xr:uid="{802F1A7D-C47A-45EA-BDBD-52482F8FC287}"/>
    <cellStyle name="Normal 10 4" xfId="25862" xr:uid="{2948B177-5CE7-4576-8C58-A20D454A0558}"/>
    <cellStyle name="Normal 10 4 2" xfId="25863" xr:uid="{74044C66-629A-4017-AFE5-6B8F784973C1}"/>
    <cellStyle name="Normal 10 5" xfId="25864" xr:uid="{107EBD8A-1D43-4EA0-8338-A2DE2FAE44FF}"/>
    <cellStyle name="Normal 10 5 2" xfId="25865" xr:uid="{601B1830-485F-451E-9384-475658541BAB}"/>
    <cellStyle name="Normal 10 6" xfId="25866" xr:uid="{679A8AA2-C5CD-4D44-8CF2-288E7FFFD06D}"/>
    <cellStyle name="Normal 10 7" xfId="25867" xr:uid="{2A56D88B-755C-4AA5-AF22-D216DA85D015}"/>
    <cellStyle name="Normal 10 8" xfId="30228" xr:uid="{09619C9C-172B-42C3-8BC8-68ECD4D45236}"/>
    <cellStyle name="Normal 10 9" xfId="25851" xr:uid="{8AFA136F-B9D0-4985-958F-D1675FDCE046}"/>
    <cellStyle name="Normal 11" xfId="548" xr:uid="{00000000-0005-0000-0000-0000E9040000}"/>
    <cellStyle name="Normal 11 2" xfId="8908" xr:uid="{E3AAC0B1-47A8-477B-91AD-3C8E3FD3C0EF}"/>
    <cellStyle name="Normal 11 2 2" xfId="10005" xr:uid="{04FB841B-3F5F-47CD-8E74-8CF8A5E98596}"/>
    <cellStyle name="Normal 11 2 2 2" xfId="10313" xr:uid="{E59A7D61-26EE-4B2F-B756-DC1A0F1A8261}"/>
    <cellStyle name="Normal 11 2 2 2 2" xfId="12766" xr:uid="{ED1316D3-38BD-46F2-B859-A20D2ED29641}"/>
    <cellStyle name="Normal 11 2 2 2 2 2" xfId="46350" xr:uid="{D44A011F-666E-4862-96EE-0740FA56036C}"/>
    <cellStyle name="Normal 11 2 2 2 3" xfId="18895" xr:uid="{F6BE6463-78EC-499F-A05C-5681EDF03748}"/>
    <cellStyle name="Normal 11 2 2 3" xfId="12465" xr:uid="{EA39FB85-7A9D-4C1E-BC66-F8076B0B9619}"/>
    <cellStyle name="Normal 11 2 2 3 2" xfId="25868" xr:uid="{3F094415-55E1-45E7-85B0-8B194828078D}"/>
    <cellStyle name="Normal 11 2 2 4" xfId="18746" xr:uid="{A1D45337-812B-422D-A5B0-9F3B8A7817E3}"/>
    <cellStyle name="Normal 11 2 3" xfId="10079" xr:uid="{099887CE-B612-488B-9F67-407A0E13B576}"/>
    <cellStyle name="Normal 11 2 3 2" xfId="10392" xr:uid="{2A8CADFC-0A0B-4AED-814C-C81F0B2A3573}"/>
    <cellStyle name="Normal 11 2 3 2 2" xfId="12845" xr:uid="{432761A7-435D-4BE2-99B2-1D4D9497EBA3}"/>
    <cellStyle name="Normal 11 2 3 2 2 2" xfId="24690" xr:uid="{A20777B1-28F8-42C3-AB55-543803AF9E14}"/>
    <cellStyle name="Normal 11 2 3 2 3" xfId="18936" xr:uid="{7A1BFD2C-2E3D-4ABD-ADFE-DA5CC50D5A01}"/>
    <cellStyle name="Normal 11 2 3 3" xfId="12536" xr:uid="{B75E8823-2FB2-4A73-8FDD-13EB40211070}"/>
    <cellStyle name="Normal 11 2 3 3 2" xfId="32428" xr:uid="{88A9E4E2-C17C-410A-9D5F-AE6E1F39E99E}"/>
    <cellStyle name="Normal 11 2 3 4" xfId="18779" xr:uid="{859ADA94-BEDA-49FD-AA6C-50A5DA47885D}"/>
    <cellStyle name="Normal 11 2 4" xfId="10158" xr:uid="{A13575A4-7FE2-4BEA-920D-315BD90881F6}"/>
    <cellStyle name="Normal 11 2 4 2" xfId="10472" xr:uid="{666A1568-27D0-43A6-AC85-5BF6BEA546C7}"/>
    <cellStyle name="Normal 11 2 4 2 2" xfId="12925" xr:uid="{4DC447BC-9B03-48F5-ABD7-26E4DD9B8AF7}"/>
    <cellStyle name="Normal 11 2 4 2 2 2" xfId="47622" xr:uid="{0D01D32F-8309-47AE-9433-A287CD8A50F0}"/>
    <cellStyle name="Normal 11 2 4 2 3" xfId="18978" xr:uid="{ABC794F0-5C1D-4297-AD9D-544278CCF722}"/>
    <cellStyle name="Normal 11 2 4 3" xfId="12612" xr:uid="{180CA8A5-54F8-45D8-8973-F374214D4BDE}"/>
    <cellStyle name="Normal 11 2 4 3 2" xfId="46773" xr:uid="{99461D95-989E-41F7-9875-693D1C0C65F6}"/>
    <cellStyle name="Normal 11 2 4 4" xfId="18817" xr:uid="{7CC4B8DD-C940-4A8B-8615-51C0BAAB61F0}"/>
    <cellStyle name="Normal 11 2 5" xfId="10238" xr:uid="{036DD976-3430-4A7E-8D37-6E3D8231D839}"/>
    <cellStyle name="Normal 11 2 5 2" xfId="12691" xr:uid="{04915A62-CEE7-4568-97D8-015D7D636447}"/>
    <cellStyle name="Normal 11 2 5 2 2" xfId="47663" xr:uid="{FF6168FA-9772-4782-8E57-9F6B6B30C47E}"/>
    <cellStyle name="Normal 11 2 5 3" xfId="18858" xr:uid="{C5867C41-9578-4FE0-BD63-82D81889D717}"/>
    <cellStyle name="Normal 11 2 6" xfId="10552" xr:uid="{3CE1FF23-0C59-4967-AB6D-50416CFCE578}"/>
    <cellStyle name="Normal 11 2 6 2" xfId="13005" xr:uid="{C3939D86-FC95-4F46-A429-8B8550CF6C87}"/>
    <cellStyle name="Normal 11 2 6 2 2" xfId="32551" xr:uid="{4C96EE07-C3E1-453E-8D06-48F45FBD0211}"/>
    <cellStyle name="Normal 11 2 6 3" xfId="19020" xr:uid="{A3CADAD4-477E-41DE-9B18-71022A197905}"/>
    <cellStyle name="Normal 11 2 7" xfId="11676" xr:uid="{86D25780-0543-4DB1-BF22-7C6A98B62AAA}"/>
    <cellStyle name="Normal 11 2 7 2" xfId="48040" xr:uid="{3C311F0E-A003-431D-98D1-707BB215BC46}"/>
    <cellStyle name="Normal 11 2 8" xfId="17714" xr:uid="{623A42D8-876C-458A-92E5-A7FE3879F721}"/>
    <cellStyle name="Normal 11 3" xfId="6969" xr:uid="{19879A5A-36C3-4CBB-9C55-BD1705E3F3FB}"/>
    <cellStyle name="Normal 11 3 2" xfId="25870" xr:uid="{B16FD14C-AEF8-4581-8800-97058B016DB3}"/>
    <cellStyle name="Normal 11 3 2 2" xfId="25871" xr:uid="{60465B5E-D1A7-4A9C-8C39-DAB6E4241F15}"/>
    <cellStyle name="Normal 11 3 3" xfId="25872" xr:uid="{3D50152C-EC04-4376-823A-E2FCA6B5F07B}"/>
    <cellStyle name="Normal 11 3 3 2" xfId="25873" xr:uid="{2CB5C3C2-AB10-4F10-A58A-4B3ECB154D61}"/>
    <cellStyle name="Normal 11 3 4" xfId="25874" xr:uid="{A515B0E4-B1AD-4211-A845-CD0BD054CE84}"/>
    <cellStyle name="Normal 11 3 5" xfId="25875" xr:uid="{888E1E22-3E1D-4301-8725-E7A5A23694A0}"/>
    <cellStyle name="Normal 11 3 6" xfId="25869" xr:uid="{A9A0CE4C-AD85-4A26-858F-8E855054C0FA}"/>
    <cellStyle name="Normal 11 4" xfId="11578" xr:uid="{5B167E7E-BC69-4FE5-98D2-2322DF78161F}"/>
    <cellStyle name="Normal 11 4 2" xfId="25876" xr:uid="{EACFFD14-730C-4DC3-9224-92E9C8EC0ACF}"/>
    <cellStyle name="Normal 11 4 3" xfId="18158" xr:uid="{038F2501-6AD7-45BB-A44B-AE88F3EBC28A}"/>
    <cellStyle name="Normal 11 5" xfId="25877" xr:uid="{DA6847B2-B9EA-4FEA-98E2-F709F6745DE6}"/>
    <cellStyle name="Normal 11 5 2" xfId="25878" xr:uid="{60E531A7-6017-4219-B0F1-EDE20CACCC12}"/>
    <cellStyle name="Normal 11 6" xfId="25879" xr:uid="{733B8CC3-E986-4D84-9439-88370FFA0613}"/>
    <cellStyle name="Normal 11 6 2" xfId="25880" xr:uid="{FA701BF1-118D-452A-AD9B-D862F5F8315D}"/>
    <cellStyle name="Normal 11 7" xfId="25881" xr:uid="{F73167AE-C5B0-452B-A81E-05CE46E89E56}"/>
    <cellStyle name="Normal 11 8" xfId="25882" xr:uid="{BF1B6D55-955C-4CC4-ADB0-812CE6E37B94}"/>
    <cellStyle name="Normal 11 9" xfId="25883" xr:uid="{5815AE43-5610-41DD-8D96-D11A7F7B5E09}"/>
    <cellStyle name="Normal 11 9 2" xfId="30227" xr:uid="{1566F0D5-620F-4B55-BD3A-08F4C8F60D3A}"/>
    <cellStyle name="Normal 12" xfId="549" xr:uid="{00000000-0005-0000-0000-0000EA040000}"/>
    <cellStyle name="Normal 12 2" xfId="1962" xr:uid="{00000000-0005-0000-0000-0000EB040000}"/>
    <cellStyle name="Normal 12 2 2" xfId="14067" xr:uid="{C85D0616-4990-4D89-99E0-1BB7FEB95FA8}"/>
    <cellStyle name="Normal 12 2 2 2" xfId="25885" xr:uid="{DE88613E-F93F-46F1-AC66-F58E99229103}"/>
    <cellStyle name="Normal 12 2 2 3" xfId="25884" xr:uid="{40FF8891-40F1-4FDD-81FF-85C8007D0D49}"/>
    <cellStyle name="Normal 12 2 3" xfId="25886" xr:uid="{E692D5D0-575A-40BA-BB2F-B70A32DA17D5}"/>
    <cellStyle name="Normal 12 2 3 2" xfId="25887" xr:uid="{D7CFF064-805D-40EF-9822-C81883E008BD}"/>
    <cellStyle name="Normal 12 2 4" xfId="25888" xr:uid="{4154A3CA-6DC2-4335-8853-DA799FF0EEE6}"/>
    <cellStyle name="Normal 12 2 5" xfId="17790" xr:uid="{BE30F136-79AE-4163-B005-0B1108866E0E}"/>
    <cellStyle name="Normal 12 3" xfId="12132" xr:uid="{62FE28A8-A81D-46E5-BDB5-A2697A28CE70}"/>
    <cellStyle name="Normal 12 3 2" xfId="25890" xr:uid="{3787D45E-EF34-4973-8AA9-F4113C70D30D}"/>
    <cellStyle name="Normal 12 3 3" xfId="25889" xr:uid="{BE651B28-D39A-482A-AC58-97373A9EA0FE}"/>
    <cellStyle name="Normal 12 4" xfId="25891" xr:uid="{F2DEB5D2-42F7-4FC7-84D4-D7361E502A93}"/>
    <cellStyle name="Normal 12 4 2" xfId="25892" xr:uid="{6339C7A5-1621-4262-9C03-0D4D58E00802}"/>
    <cellStyle name="Normal 12 5" xfId="25893" xr:uid="{B64A0529-AF2C-4EA5-B4F5-6AA49FB043C5}"/>
    <cellStyle name="Normal 12 5 2" xfId="25894" xr:uid="{F80B3665-F025-4132-8B77-F700B030351B}"/>
    <cellStyle name="Normal 12 6" xfId="25895" xr:uid="{E13184D6-57D8-4258-AE89-77E87F93C48D}"/>
    <cellStyle name="Normal 12 7" xfId="25896" xr:uid="{DDD9E8B4-5498-4E5B-8778-B5CB2B9A521F}"/>
    <cellStyle name="Normal 12 8" xfId="25897" xr:uid="{10C470D2-36D6-4C97-B561-484B39BB4F4E}"/>
    <cellStyle name="Normal 13" xfId="1251" xr:uid="{00000000-0005-0000-0000-0000EC040000}"/>
    <cellStyle name="Normal 13 2" xfId="4080" xr:uid="{A5158115-D314-454E-8DC8-A75CAB1A8815}"/>
    <cellStyle name="Normal 13 2 2" xfId="18568" xr:uid="{96BDA1A6-79A9-4B86-93EC-88848E6939A6}"/>
    <cellStyle name="Normal 13 2 2 2" xfId="25901" xr:uid="{814D7447-147A-498A-95F2-A822CA516375}"/>
    <cellStyle name="Normal 13 2 2 3" xfId="25900" xr:uid="{FEA97028-883A-4A6D-A399-6B57D8CD18FE}"/>
    <cellStyle name="Normal 13 2 3" xfId="25902" xr:uid="{B9EB7D34-36A7-49DF-A894-3AC1DC848E6C}"/>
    <cellStyle name="Normal 13 2 3 2" xfId="25903" xr:uid="{002F5AE7-3AE9-4313-B2C1-20AEAFE7D207}"/>
    <cellStyle name="Normal 13 2 4" xfId="25904" xr:uid="{A8E0CA92-FF03-4AD8-AB1A-C17087391367}"/>
    <cellStyle name="Normal 13 2 5" xfId="25899" xr:uid="{54530EF4-CC40-4B89-BD0B-F9B9AD92868F}"/>
    <cellStyle name="Normal 13 3" xfId="11179" xr:uid="{37F75737-775C-4724-A963-164CE06AB033}"/>
    <cellStyle name="Normal 13 3 2" xfId="25906" xr:uid="{9145E8A6-95CE-49B7-863B-B30CA4F2D836}"/>
    <cellStyle name="Normal 13 3 3" xfId="25905" xr:uid="{F3044CFE-7601-4CA8-9755-3066590598D3}"/>
    <cellStyle name="Normal 13 4" xfId="25907" xr:uid="{FF02DF7A-5754-45CC-BB80-6B7F2966ADB7}"/>
    <cellStyle name="Normal 13 4 2" xfId="25908" xr:uid="{7DE84DFF-23C1-4B0D-A03F-3732F72B1A76}"/>
    <cellStyle name="Normal 13 5" xfId="25909" xr:uid="{9B36FF78-F0C5-4CB8-A141-BDCA62B03EA8}"/>
    <cellStyle name="Normal 13 5 2" xfId="25910" xr:uid="{32A9098C-6DD1-42CF-A395-5101967A578D}"/>
    <cellStyle name="Normal 13 6" xfId="25911" xr:uid="{9F696ADD-F42E-4CA5-9465-621E577B341C}"/>
    <cellStyle name="Normal 13 7" xfId="25912" xr:uid="{9C57606C-1C6D-4A70-8C05-69241C3A1515}"/>
    <cellStyle name="Normal 13 8" xfId="25913" xr:uid="{180004AA-83D1-42DA-9CD2-48C3E057AE66}"/>
    <cellStyle name="Normal 13 9" xfId="25898" xr:uid="{4E6A0F3E-4CF4-4287-87BE-F174C3D85A3F}"/>
    <cellStyle name="Normal 14" xfId="1963" xr:uid="{00000000-0005-0000-0000-0000ED040000}"/>
    <cellStyle name="Normal 14 10" xfId="7717" xr:uid="{FB84CD53-3E0C-463B-AF32-3F1B7937F5FF}"/>
    <cellStyle name="Normal 14 2" xfId="9875" xr:uid="{A1897E28-D80A-4629-9DB8-0A7123A2CE8D}"/>
    <cellStyle name="Normal 14 2 2" xfId="10298" xr:uid="{8DE30AC6-5559-43EE-85B8-330EACD9C3A1}"/>
    <cellStyle name="Normal 14 2 2 2" xfId="12751" xr:uid="{808B4025-91E0-48DB-A13F-000B7C942291}"/>
    <cellStyle name="Normal 14 2 2 2 2" xfId="46788" xr:uid="{9B35E8FF-8462-4BE3-A171-920D36239D76}"/>
    <cellStyle name="Normal 14 2 2 3" xfId="18881" xr:uid="{DFD8E134-7578-42B0-881B-03546243FB71}"/>
    <cellStyle name="Normal 14 2 3" xfId="12454" xr:uid="{02FE65F0-913E-4F71-833F-2491A1D6852A}"/>
    <cellStyle name="Normal 14 2 3 2" xfId="48487" xr:uid="{ADE9A540-D01B-400C-B0FB-93839D3F475D}"/>
    <cellStyle name="Normal 14 2 4" xfId="48932" xr:uid="{1C96FF1C-9B70-41FB-A3B3-49372C1C00E2}"/>
    <cellStyle name="Normal 14 2 5" xfId="18736" xr:uid="{FC4060D7-2160-4D4E-8247-935212671EDA}"/>
    <cellStyle name="Normal 14 3" xfId="10064" xr:uid="{78D4EDA8-C8BF-4C07-8E5B-39EFA029EAB8}"/>
    <cellStyle name="Normal 14 3 2" xfId="10373" xr:uid="{39E456B4-D638-4F91-91DC-ABC31E5352FB}"/>
    <cellStyle name="Normal 14 3 2 2" xfId="12826" xr:uid="{AE7E469C-F737-41D3-A325-9FC65689E7FB}"/>
    <cellStyle name="Normal 14 3 2 2 2" xfId="32535" xr:uid="{0A260DAB-8C16-4900-830E-CA5209A09156}"/>
    <cellStyle name="Normal 14 3 2 3" xfId="18918" xr:uid="{0E75A49E-83AC-4153-A5BD-DC360299706D}"/>
    <cellStyle name="Normal 14 3 3" xfId="12523" xr:uid="{F8207222-ED8F-42AF-9E73-F1CAD1B6A8E7}"/>
    <cellStyle name="Normal 14 3 3 2" xfId="46318" xr:uid="{C853FA77-DAAF-4865-8516-6E155C28AB14}"/>
    <cellStyle name="Normal 14 3 4" xfId="18767" xr:uid="{E95FEA04-A989-49C0-A43C-9F24124719CA}"/>
    <cellStyle name="Normal 14 4" xfId="10139" xr:uid="{9F85A2CA-0474-4EAF-858D-AF341261A811}"/>
    <cellStyle name="Normal 14 4 2" xfId="10453" xr:uid="{82CCEF86-012B-416B-BFA1-D3A43134292D}"/>
    <cellStyle name="Normal 14 4 2 2" xfId="12906" xr:uid="{75AD52C9-5824-4965-B392-DA4DE1E7A9DE}"/>
    <cellStyle name="Normal 14 4 2 2 2" xfId="47766" xr:uid="{47D4CAB4-5AA2-40C1-9B7B-6DD83BBED294}"/>
    <cellStyle name="Normal 14 4 2 3" xfId="18960" xr:uid="{494BCE03-3698-426E-A250-CA414761A8F7}"/>
    <cellStyle name="Normal 14 4 3" xfId="12595" xr:uid="{3BC5333C-1508-449B-99E4-1D43E60F3627}"/>
    <cellStyle name="Normal 14 4 3 2" xfId="46775" xr:uid="{65DFDB99-ECD3-4239-B31E-F05B411B2FF5}"/>
    <cellStyle name="Normal 14 4 4" xfId="18801" xr:uid="{8F2837C4-1864-4C35-B357-472D5CC9E42C}"/>
    <cellStyle name="Normal 14 5" xfId="10219" xr:uid="{7B3DF198-7AE6-45D2-921E-E95541EA3EA5}"/>
    <cellStyle name="Normal 14 5 2" xfId="12672" xr:uid="{FA5A68B8-B685-43FE-8CB5-DAED6E8988EE}"/>
    <cellStyle name="Normal 14 5 2 2" xfId="47320" xr:uid="{464BCDA2-B489-496F-90C0-75981F6A4203}"/>
    <cellStyle name="Normal 14 5 3" xfId="18840" xr:uid="{C896C38F-7121-4207-84C5-AE60F3B9505C}"/>
    <cellStyle name="Normal 14 6" xfId="10533" xr:uid="{9B0D05AA-2B3E-4F4C-ADB5-FCC78E1DAF44}"/>
    <cellStyle name="Normal 14 6 2" xfId="12986" xr:uid="{81156C90-5293-4561-B6C8-DCE340BC990B}"/>
    <cellStyle name="Normal 14 6 2 2" xfId="47025" xr:uid="{CA163365-4A79-4C0C-8034-0F902F85F63A}"/>
    <cellStyle name="Normal 14 6 3" xfId="19002" xr:uid="{7C0E6F31-97D1-4869-8258-2416DC2441EE}"/>
    <cellStyle name="Normal 14 7" xfId="11544" xr:uid="{79D12C48-E118-40F9-9420-9A45EA5F0EF9}"/>
    <cellStyle name="Normal 14 7 2" xfId="18150" xr:uid="{2AF2779F-1979-46A7-B58A-976765089A5D}"/>
    <cellStyle name="Normal 14 8" xfId="11038" xr:uid="{74B528EC-87F5-4172-BBCE-006D831A46CE}"/>
    <cellStyle name="Normal 14 9" xfId="16971" xr:uid="{06A3761E-45AA-4384-8730-CBBDD8CA0AE3}"/>
    <cellStyle name="Normal 15" xfId="1964" xr:uid="{00000000-0005-0000-0000-0000EE040000}"/>
    <cellStyle name="Normal 15 2" xfId="10003" xr:uid="{4664C86B-C6EF-422E-9800-46EA5CD70BF2}"/>
    <cellStyle name="Normal 15 2 2" xfId="10311" xr:uid="{526B75E3-11D7-40B7-9AB7-E631050584E8}"/>
    <cellStyle name="Normal 15 2 2 2" xfId="12764" xr:uid="{C4D1F214-1376-4C9D-9D3F-84B8207BC4D1}"/>
    <cellStyle name="Normal 15 2 2 2 2" xfId="25915" xr:uid="{5C4FB269-DAA7-48EC-81C6-CFF4FD3FC366}"/>
    <cellStyle name="Normal 15 2 2 2 3" xfId="25914" xr:uid="{6CF48F68-3867-4717-8088-0F463C2A3224}"/>
    <cellStyle name="Normal 15 2 2 3" xfId="25916" xr:uid="{95DC8ACD-83A0-4081-84BF-CFD091D217D6}"/>
    <cellStyle name="Normal 15 2 2 3 2" xfId="25917" xr:uid="{EA3F7113-205A-4EE0-B64D-F4567F066712}"/>
    <cellStyle name="Normal 15 2 2 4" xfId="25918" xr:uid="{7DC54709-B4C9-436B-B2EB-DFA60CE14312}"/>
    <cellStyle name="Normal 15 2 2 4 2" xfId="25919" xr:uid="{14F5E516-C5F6-4C04-8651-031B778B9F38}"/>
    <cellStyle name="Normal 15 2 2 5" xfId="25920" xr:uid="{CE1AAE5F-D68E-4850-8BF9-538B3DA85E67}"/>
    <cellStyle name="Normal 15 2 2 6" xfId="18893" xr:uid="{5BB3007F-C0E4-4152-B91E-D77C56B13AAB}"/>
    <cellStyle name="Normal 15 2 3" xfId="12463" xr:uid="{DA8AFE74-52E7-47D7-A98E-A9937ECE140C}"/>
    <cellStyle name="Normal 15 2 3 2" xfId="25922" xr:uid="{DDA569F3-96B0-48CA-A5AD-87CA7B72B9F0}"/>
    <cellStyle name="Normal 15 2 3 2 2" xfId="25923" xr:uid="{7CDF06DC-2F80-448C-8DAC-FE3776A9A4E6}"/>
    <cellStyle name="Normal 15 2 3 3" xfId="25924" xr:uid="{4689DAE7-576C-4CC1-AAC2-6774DA3E6A91}"/>
    <cellStyle name="Normal 15 2 3 3 2" xfId="25925" xr:uid="{7B031B0E-DC03-4047-BFF2-FFD56AFCDC20}"/>
    <cellStyle name="Normal 15 2 3 4" xfId="25926" xr:uid="{FC661C76-EB41-4BC0-A9E9-F547B61BA371}"/>
    <cellStyle name="Normal 15 2 3 4 2" xfId="25927" xr:uid="{23C918B5-1AB3-48BE-9D8E-11BA7F2A1881}"/>
    <cellStyle name="Normal 15 2 3 5" xfId="25928" xr:uid="{432E5D7D-08FC-4251-88C3-E31B2980F358}"/>
    <cellStyle name="Normal 15 2 3 6" xfId="25921" xr:uid="{A93E14E8-FB88-4DBC-8CFD-903331682BEB}"/>
    <cellStyle name="Normal 15 2 4" xfId="48933" xr:uid="{3A3ADBC0-E948-47C1-986C-B6AD9E79FA9B}"/>
    <cellStyle name="Normal 15 2 5" xfId="18744" xr:uid="{102BA565-79B2-49E0-8105-11328A5A6205}"/>
    <cellStyle name="Normal 15 3" xfId="10078" xr:uid="{FFE970CC-6C00-4E6A-A93C-D84E9B737E0B}"/>
    <cellStyle name="Normal 15 3 2" xfId="10390" xr:uid="{01411272-07DB-4B19-AF44-6CB872673FC5}"/>
    <cellStyle name="Normal 15 3 2 2" xfId="12843" xr:uid="{0086168D-1413-4412-AE3A-B14F4019D848}"/>
    <cellStyle name="Normal 15 3 2 2 2" xfId="32335" xr:uid="{54602AEB-7D53-4D09-8518-8DD6215551BA}"/>
    <cellStyle name="Normal 15 3 2 3" xfId="18934" xr:uid="{166C0EF1-82A2-4284-B869-A40ED5F74379}"/>
    <cellStyle name="Normal 15 3 3" xfId="12535" xr:uid="{215D0CEE-5402-4ADC-8278-3A5D343F0E57}"/>
    <cellStyle name="Normal 15 3 3 2" xfId="46320" xr:uid="{3D80B73A-25B9-4697-B622-80A9CD31E926}"/>
    <cellStyle name="Normal 15 3 4" xfId="48934" xr:uid="{5BC98056-C9ED-459C-B925-FEE83377E7F0}"/>
    <cellStyle name="Normal 15 3 5" xfId="18778" xr:uid="{B8CF2619-A109-4C50-96EC-0420EDC3EE34}"/>
    <cellStyle name="Normal 15 4" xfId="10156" xr:uid="{C412007C-E79F-42C5-B014-716C24700CBC}"/>
    <cellStyle name="Normal 15 4 2" xfId="10470" xr:uid="{6DE24923-DC10-4A0E-BE37-28013375CEDF}"/>
    <cellStyle name="Normal 15 4 2 2" xfId="12923" xr:uid="{D260FA33-EABF-476C-B644-5E629887FE51}"/>
    <cellStyle name="Normal 15 4 2 2 2" xfId="46812" xr:uid="{B871D421-74DF-471A-80C1-3643E4D2BE5F}"/>
    <cellStyle name="Normal 15 4 2 3" xfId="18976" xr:uid="{71EBA9AC-EDDE-46FA-983C-DEADE34F17BF}"/>
    <cellStyle name="Normal 15 4 3" xfId="12610" xr:uid="{1CF66200-3F5E-4675-8D13-05C2E56F0073}"/>
    <cellStyle name="Normal 15 4 3 2" xfId="34174" xr:uid="{7209509D-4509-4566-B845-9B0922435F35}"/>
    <cellStyle name="Normal 15 4 4" xfId="18815" xr:uid="{BC06F374-68AC-45A1-AA89-39CC9A36E699}"/>
    <cellStyle name="Normal 15 5" xfId="10236" xr:uid="{A591BB13-8220-4D8D-80DE-515E2B5D7072}"/>
    <cellStyle name="Normal 15 5 2" xfId="12689" xr:uid="{325F8D7D-AB08-4524-9E87-477EE86C775D}"/>
    <cellStyle name="Normal 15 5 2 2" xfId="25929" xr:uid="{2212EEAE-CA3B-4876-AE31-3FC9893E4815}"/>
    <cellStyle name="Normal 15 5 3" xfId="18856" xr:uid="{804FDC2E-15A0-416E-B01C-581CCACEF056}"/>
    <cellStyle name="Normal 15 6" xfId="10550" xr:uid="{90D8997A-37EE-4D64-8CDF-CF5DDACB8876}"/>
    <cellStyle name="Normal 15 6 2" xfId="13003" xr:uid="{0E94B98E-2C51-4505-92CE-B846C9C1D1E2}"/>
    <cellStyle name="Normal 15 6 2 2" xfId="25322" xr:uid="{3D4511D7-3B15-4640-A3BC-FA46A6F34E86}"/>
    <cellStyle name="Normal 15 6 3" xfId="19018" xr:uid="{CD1F67D3-8F16-4702-8A4C-85A651049E30}"/>
    <cellStyle name="Normal 15 7" xfId="12317" xr:uid="{A470DC12-F190-4855-94F8-38EC2F0895F9}"/>
    <cellStyle name="Normal 15 7 2" xfId="18626" xr:uid="{7C658FF7-C387-426A-99E9-2A030D726E7B}"/>
    <cellStyle name="Normal 15 8" xfId="11039" xr:uid="{17EF56D7-D4E9-4B51-A968-E609CF5695D9}"/>
    <cellStyle name="Normal 15 9" xfId="8907" xr:uid="{CE6BC9E3-BC26-412D-BE21-B0F1BB0238D7}"/>
    <cellStyle name="Normal 15_Trends fuels" xfId="25930" xr:uid="{DFE6332B-C5DC-4216-82E1-3392786AA97B}"/>
    <cellStyle name="Normal 16" xfId="1965" xr:uid="{00000000-0005-0000-0000-0000EF040000}"/>
    <cellStyle name="Normal 16 2" xfId="1966" xr:uid="{00000000-0005-0000-0000-0000F0040000}"/>
    <cellStyle name="Normal 16 2 2" xfId="10312" xr:uid="{4F47A049-7449-4EB2-9BBD-1636B406FF2D}"/>
    <cellStyle name="Normal 16 2 2 2" xfId="12765" xr:uid="{D6114FB9-6DA0-4DD0-AB07-E145A8F983FD}"/>
    <cellStyle name="Normal 16 2 2 2 2" xfId="48199" xr:uid="{45900CB6-BDE9-425B-979E-0812A81E25E9}"/>
    <cellStyle name="Normal 16 2 2 3" xfId="18894" xr:uid="{9C33D38D-DD44-4B1C-B8D9-560B41F7903F}"/>
    <cellStyle name="Normal 16 2 3" xfId="12464" xr:uid="{427042E3-B17D-46A5-9A07-29F46A5BF65E}"/>
    <cellStyle name="Normal 16 2 3 2" xfId="18745" xr:uid="{2EC926BB-38C1-480F-AC42-5655CDFBE532}"/>
    <cellStyle name="Normal 16 2 4" xfId="11041" xr:uid="{B6E41DE1-E386-44BF-862F-52DA1146EE6D}"/>
    <cellStyle name="Normal 16 2 5" xfId="10004" xr:uid="{1CB39161-76F0-4272-9F69-06695C001312}"/>
    <cellStyle name="Normal 16 3" xfId="1967" xr:uid="{00000000-0005-0000-0000-0000F1040000}"/>
    <cellStyle name="Normal 16 3 2" xfId="10391" xr:uid="{0A83CE65-260D-4D8C-AD84-B6DFA517568E}"/>
    <cellStyle name="Normal 16 3 2 2" xfId="12844" xr:uid="{0B6177A2-61CF-402E-AFDC-9F888B93393E}"/>
    <cellStyle name="Normal 16 3 2 2 2" xfId="46801" xr:uid="{B9D1DA2F-BF77-459C-BEE8-315D5A108F55}"/>
    <cellStyle name="Normal 16 3 2 3" xfId="18935" xr:uid="{BBB8E1A7-3EEF-4981-9745-CA2F39508A8D}"/>
    <cellStyle name="Normal 16 3 3" xfId="11042" xr:uid="{EDE06C8E-2D50-488B-B826-CAEB797C107C}"/>
    <cellStyle name="Normal 16 3 3 2" xfId="46716" xr:uid="{DFD77FC4-5039-4C8B-A8A2-51E852D165B2}"/>
    <cellStyle name="Normal 16 3 4" xfId="17792" xr:uid="{BE77ACE7-B595-4D25-AA09-8F0D3D6BF445}"/>
    <cellStyle name="Normal 16 4" xfId="6979" xr:uid="{376A5363-B223-4165-BD91-BD43E11122DF}"/>
    <cellStyle name="Normal 16 4 2" xfId="10471" xr:uid="{C44D4EC8-F14E-478E-A77E-3A7CE46E8738}"/>
    <cellStyle name="Normal 16 4 2 2" xfId="12924" xr:uid="{EB27161A-84AB-49C5-BD4B-8149AC5D6F15}"/>
    <cellStyle name="Normal 16 4 2 2 2" xfId="48056" xr:uid="{FB170481-E094-43E8-8136-B62E2CB109EB}"/>
    <cellStyle name="Normal 16 4 2 3" xfId="18977" xr:uid="{1DA5BA42-DD01-452D-813B-CACFEF85773D}"/>
    <cellStyle name="Normal 16 4 3" xfId="12611" xr:uid="{FA252D98-A344-488C-A143-4379FB6D1DDA}"/>
    <cellStyle name="Normal 16 4 3 2" xfId="47524" xr:uid="{B71AE72D-BF51-4FBB-B1DD-537A7992B0D1}"/>
    <cellStyle name="Normal 16 4 4" xfId="18816" xr:uid="{07967C5A-E1D1-4568-B7FB-AC3D71CF4005}"/>
    <cellStyle name="Normal 16 4 5" xfId="10157" xr:uid="{4C28333F-91CF-45E2-B867-DA62BAA1F4C1}"/>
    <cellStyle name="Normal 16 5" xfId="10237" xr:uid="{A85541D3-4879-4418-80B8-AF53099DF563}"/>
    <cellStyle name="Normal 16 5 2" xfId="12690" xr:uid="{4250DE48-6537-41A8-8024-A5D15D504A10}"/>
    <cellStyle name="Normal 16 5 2 2" xfId="24324" xr:uid="{15EEC67A-2CCC-4E0D-983C-396EDF0E9CAE}"/>
    <cellStyle name="Normal 16 5 3" xfId="18857" xr:uid="{55E74B8F-D836-4E40-876F-026B97F01382}"/>
    <cellStyle name="Normal 16 6" xfId="10551" xr:uid="{9B155FE7-8C78-4AFF-A532-6DB13A7CAACC}"/>
    <cellStyle name="Normal 16 6 2" xfId="13004" xr:uid="{C0ED4C61-0AF9-4A15-B11E-41447A9147A9}"/>
    <cellStyle name="Normal 16 6 2 2" xfId="47806" xr:uid="{537755C3-1CFD-479F-A40C-327A693806AD}"/>
    <cellStyle name="Normal 16 6 3" xfId="19019" xr:uid="{C1528B29-920C-47A2-BE9A-5AE7A57DE723}"/>
    <cellStyle name="Normal 16 7" xfId="11040" xr:uid="{D8112F0C-5AF9-4436-B7B5-17DB52B414DF}"/>
    <cellStyle name="Normal 16 7 2" xfId="25181" xr:uid="{1512B106-C7CC-4B9A-86AE-A9358538F2C5}"/>
    <cellStyle name="Normal 16 8" xfId="17791" xr:uid="{20254C31-0541-4D8A-BEB4-054C3E535481}"/>
    <cellStyle name="Normal 17" xfId="1968" xr:uid="{00000000-0005-0000-0000-0000F2040000}"/>
    <cellStyle name="Normal 17 2" xfId="1969" xr:uid="{00000000-0005-0000-0000-0000F3040000}"/>
    <cellStyle name="Normal 17 2 2" xfId="25933" xr:uid="{758BCACE-8BB2-426D-81F6-94E246D1AC36}"/>
    <cellStyle name="Normal 17 2 3" xfId="25934" xr:uid="{0E8695DF-DBD3-45CB-941A-85B964407EFD}"/>
    <cellStyle name="Normal 17 2 4" xfId="25932" xr:uid="{71FA2D9D-211B-4355-BC67-813DA4142611}"/>
    <cellStyle name="Normal 17 3" xfId="25935" xr:uid="{AB124E28-D9BA-41A6-9D8F-F4AE43E46322}"/>
    <cellStyle name="Normal 17 3 2" xfId="25936" xr:uid="{5D9C47CF-EA1F-4D39-B337-DB2960BF63C8}"/>
    <cellStyle name="Normal 17 4" xfId="25937" xr:uid="{93EF165B-98F2-4BC9-A1DE-5E496099FDEC}"/>
    <cellStyle name="Normal 17 4 2" xfId="25938" xr:uid="{D46160CE-A407-47B9-B1A0-A7F3700ED9E3}"/>
    <cellStyle name="Normal 17 5" xfId="25939" xr:uid="{A9E4216A-7F1D-4F26-9DE7-6ADC1ED164E0}"/>
    <cellStyle name="Normal 17 6" xfId="25940" xr:uid="{0E0CFE76-BB83-40BB-BBCF-5E963A8824D2}"/>
    <cellStyle name="Normal 17 7" xfId="25931" xr:uid="{5B7BB7AC-7FFB-4334-B239-397DE228005D}"/>
    <cellStyle name="Normal 18" xfId="1970" xr:uid="{00000000-0005-0000-0000-0000F4040000}"/>
    <cellStyle name="Normal 18 2" xfId="1971" xr:uid="{00000000-0005-0000-0000-0000F5040000}"/>
    <cellStyle name="Normal 18 2 2" xfId="25943" xr:uid="{FE64E695-4344-43EC-BAEF-74ED9949ACA0}"/>
    <cellStyle name="Normal 18 2 3" xfId="25944" xr:uid="{AF5CB2EA-7CC2-4A39-AEF1-EC73EC2BDC33}"/>
    <cellStyle name="Normal 18 2 4" xfId="25942" xr:uid="{02D6E8BA-B92A-4AB8-BFE3-CAA01A74551F}"/>
    <cellStyle name="Normal 18 3" xfId="25945" xr:uid="{1568298F-7101-4437-B116-26453687B0DF}"/>
    <cellStyle name="Normal 18 3 2" xfId="25946" xr:uid="{9739F7B1-17DA-45AC-A0BA-A5FA8A7785E2}"/>
    <cellStyle name="Normal 18 4" xfId="25947" xr:uid="{5C8A381F-A652-4C8B-826C-05386C2AA231}"/>
    <cellStyle name="Normal 18 4 2" xfId="25948" xr:uid="{A8C1F0FA-F397-4C78-A28A-47A695DF02F7}"/>
    <cellStyle name="Normal 18 5" xfId="25949" xr:uid="{B984410D-6CD1-4276-97DB-0B55D3C88AA1}"/>
    <cellStyle name="Normal 18 6" xfId="25950" xr:uid="{18886414-0524-4658-B0B7-76F5286A86E8}"/>
    <cellStyle name="Normal 18 7" xfId="25941" xr:uid="{E2CCB704-ADFE-412C-9EF9-DEEDFC969144}"/>
    <cellStyle name="Normal 19" xfId="1972" xr:uid="{00000000-0005-0000-0000-0000F6040000}"/>
    <cellStyle name="Normal 19 2" xfId="1973" xr:uid="{00000000-0005-0000-0000-0000F7040000}"/>
    <cellStyle name="Normal 19 2 2" xfId="25952" xr:uid="{27AC6C80-11A5-4E2F-84B5-E891083F7661}"/>
    <cellStyle name="Normal 19 2 3" xfId="25953" xr:uid="{89422BAB-D954-420B-8027-85861A203D6E}"/>
    <cellStyle name="Normal 19 2 4" xfId="25951" xr:uid="{C8A944B1-A093-4907-ABE7-71E2E0A46615}"/>
    <cellStyle name="Normal 19 3" xfId="1974" xr:uid="{00000000-0005-0000-0000-0000F8040000}"/>
    <cellStyle name="Normal 19 3 2" xfId="17794" xr:uid="{F5242784-B960-4EB7-A231-07A6F5EA1A8D}"/>
    <cellStyle name="Normal 19 4" xfId="17793" xr:uid="{C78111D5-5D60-43FA-A148-D8B4342CFE27}"/>
    <cellStyle name="Normal 2" xfId="550" xr:uid="{00000000-0005-0000-0000-0000F9040000}"/>
    <cellStyle name="Normal 2 10" xfId="6973" xr:uid="{B548D4D1-5A67-4899-8F1F-05782A70F1CE}"/>
    <cellStyle name="Normal 2 10 2" xfId="48935" xr:uid="{7B3015B3-F8C2-4A15-A1AF-CFAB835A47CA}"/>
    <cellStyle name="Normal 2 11" xfId="25954" xr:uid="{4E455E6C-6576-40E9-A603-A06D4E3C6A07}"/>
    <cellStyle name="Normal 2 11 2" xfId="25955" xr:uid="{E5F748DB-9DFF-45DA-9679-BE7B6BD72400}"/>
    <cellStyle name="Normal 2 11 2 2" xfId="25956" xr:uid="{66FFF264-F2AA-499B-B0AA-8F8980ACD10F}"/>
    <cellStyle name="Normal 2 11 3" xfId="25957" xr:uid="{A07412E7-2965-4BDC-9D82-E0303220F7CF}"/>
    <cellStyle name="Normal 2 12" xfId="25958" xr:uid="{C5048E45-C903-49D3-AAC1-81FDFD937311}"/>
    <cellStyle name="Normal 2 12 2" xfId="25959" xr:uid="{21D374B4-9600-4A94-BD47-496C96DEF535}"/>
    <cellStyle name="Normal 2 13" xfId="25960" xr:uid="{12EBADAA-11DA-49CC-AF80-9B0F1C3A92A3}"/>
    <cellStyle name="Normal 2 13 2" xfId="25961" xr:uid="{DB4BEE7B-BC48-4CFE-BF65-D6943C4A7ABE}"/>
    <cellStyle name="Normal 2 14" xfId="25962" xr:uid="{CFBB0187-21C5-489E-88A6-49718D84058C}"/>
    <cellStyle name="Normal 2 14 2" xfId="25963" xr:uid="{AC229BC2-E265-4AC8-B531-1185571B2E21}"/>
    <cellStyle name="Normal 2 15" xfId="25964" xr:uid="{F5D7F272-E4D4-46A7-8B97-146BC0F0F858}"/>
    <cellStyle name="Normal 2 15 2" xfId="48936" xr:uid="{D1F0B726-5DD7-4A82-A757-17A9E672B4F7}"/>
    <cellStyle name="Normal 2 2" xfId="551" xr:uid="{00000000-0005-0000-0000-0000FA040000}"/>
    <cellStyle name="Normal 2 2 2" xfId="552" xr:uid="{00000000-0005-0000-0000-0000FB040000}"/>
    <cellStyle name="Normal 2 2 2 2" xfId="1975" xr:uid="{00000000-0005-0000-0000-0000FC040000}"/>
    <cellStyle name="Normal 2 2 2 2 2" xfId="1976" xr:uid="{00000000-0005-0000-0000-0000FD040000}"/>
    <cellStyle name="Normal 2 2 2 2 2 2" xfId="1977" xr:uid="{00000000-0005-0000-0000-0000FE040000}"/>
    <cellStyle name="Normal 2 2 2 2 2 2 2" xfId="17797" xr:uid="{6177551A-495A-4BF3-B128-F7E12FDF920E}"/>
    <cellStyle name="Normal 2 2 2 2 2 3" xfId="14484" xr:uid="{8D5F3B70-9FC4-494F-8ACC-3B9FF55B7266}"/>
    <cellStyle name="Normal 2 2 2 2 2 4" xfId="17796" xr:uid="{46B98ABA-3CDA-41D9-BF09-790AE79F34F1}"/>
    <cellStyle name="Normal 2 2 2 2 3" xfId="1978" xr:uid="{00000000-0005-0000-0000-0000FF040000}"/>
    <cellStyle name="Normal 2 2 2 2 3 2" xfId="17798" xr:uid="{333F04AB-2873-4450-8F7A-A373FC007908}"/>
    <cellStyle name="Normal 2 2 2 2 4" xfId="4082" xr:uid="{9AA9FFB5-EF86-4C98-9A4F-85A1B6A4AB37}"/>
    <cellStyle name="Normal 2 2 2 2 4 2" xfId="25965" xr:uid="{0CA2E63F-5B9A-4170-B3CE-A80F75F25E89}"/>
    <cellStyle name="Normal 2 2 2 2 4 3" xfId="12133" xr:uid="{2D1DB450-5C49-4FE8-9848-CA1ABC3D19F4}"/>
    <cellStyle name="Normal 2 2 2 2 5" xfId="11485" xr:uid="{9E483A50-5802-4B72-A568-9CADAE7A63C4}"/>
    <cellStyle name="Normal 2 2 2 2 5 2" xfId="25966" xr:uid="{FE87A635-139E-4E32-BAAB-C03C573F1C04}"/>
    <cellStyle name="Normal 2 2 2 2 6" xfId="12199" xr:uid="{2B1F706B-7A3F-46F6-BDD4-D9F2E7FD9139}"/>
    <cellStyle name="Normal 2 2 2 2 7" xfId="11043" xr:uid="{487BCA6F-9CF6-4E2E-82BF-4DBED75BF30E}"/>
    <cellStyle name="Normal 2 2 2 2 7 2" xfId="17795" xr:uid="{E942BCF2-AE6C-4641-B020-CA5F1FD9AA03}"/>
    <cellStyle name="Normal 2 2 2 3" xfId="8066" xr:uid="{406264BF-5ACD-4756-98B7-554732035292}"/>
    <cellStyle name="Normal 2 2 2 3 2" xfId="11109" xr:uid="{02246D06-03F4-4540-9DC5-F91FA546D35A}"/>
    <cellStyle name="Normal 2 2 2 3 2 2" xfId="25969" xr:uid="{00D26139-2BAC-46C9-99CB-0A73E67C6B6C}"/>
    <cellStyle name="Normal 2 2 2 3 2 3" xfId="25968" xr:uid="{D6710EDA-83BC-41A6-96C6-93469F0A95A1}"/>
    <cellStyle name="Normal 2 2 2 3 3" xfId="11651" xr:uid="{81A224DD-FE31-433B-A1DF-649EC675E1E9}"/>
    <cellStyle name="Normal 2 2 2 3 3 2" xfId="25970" xr:uid="{5AC59EDF-8719-43BB-B8BD-9272443797C3}"/>
    <cellStyle name="Normal 2 2 2 3 4" xfId="25971" xr:uid="{9C9A5D48-0FCF-48FC-9441-8ED871334AA5}"/>
    <cellStyle name="Normal 2 2 2 3 5" xfId="25967" xr:uid="{0BCB8D8F-E6F4-4185-8A18-D845E6A6BFA3}"/>
    <cellStyle name="Normal 2 2 2 4" xfId="12134" xr:uid="{755D33AC-2D98-4791-A62C-8EA34455E81A}"/>
    <cellStyle name="Normal 2 2 2 4 2" xfId="25973" xr:uid="{13D2826B-0BCC-439D-99D7-A179C6D92CB5}"/>
    <cellStyle name="Normal 2 2 2 4 3" xfId="25974" xr:uid="{2005B056-D906-413E-A743-8D4A573F88F9}"/>
    <cellStyle name="Normal 2 2 2 4 4" xfId="25972" xr:uid="{4E08F3E6-9877-40BA-8819-EDF942371815}"/>
    <cellStyle name="Normal 2 2 2 5" xfId="11484" xr:uid="{760E8829-4339-43DA-A7B6-F8BE82D99CF1}"/>
    <cellStyle name="Normal 2 2 2 5 2" xfId="25976" xr:uid="{7CAC42D9-B5CF-4C1E-AAEF-C328AF6FC41D}"/>
    <cellStyle name="Normal 2 2 2 5 3" xfId="25975" xr:uid="{F526F61A-0A9E-48DB-A4FA-3DCB4A9ACA6A}"/>
    <cellStyle name="Normal 2 2 2 6" xfId="25977" xr:uid="{3937FC7C-3A26-4771-8671-F560FE54D73F}"/>
    <cellStyle name="Normal 2 2 2 7" xfId="25978" xr:uid="{E0A1AE21-9E0F-40A5-A6C2-96A1F5B0328B}"/>
    <cellStyle name="Normal 2 2 2 8" xfId="25979" xr:uid="{75A4D4E8-37FB-4830-9754-C2D685C44781}"/>
    <cellStyle name="Normal 2 2 2 8 2" xfId="48937" xr:uid="{4003BCF8-19CD-46A2-88C1-0D99BD363971}"/>
    <cellStyle name="Normal 2 2 3" xfId="553" xr:uid="{00000000-0005-0000-0000-000000050000}"/>
    <cellStyle name="Normal 2 2 3 2" xfId="1979" xr:uid="{00000000-0005-0000-0000-000001050000}"/>
    <cellStyle name="Normal 2 2 3 2 2" xfId="1980" xr:uid="{00000000-0005-0000-0000-000002050000}"/>
    <cellStyle name="Normal 2 2 3 2 2 2" xfId="11045" xr:uid="{5340040D-BAF6-4B78-A32F-C041E1024B70}"/>
    <cellStyle name="Normal 2 2 3 2 2 2 2" xfId="48327" xr:uid="{6054394D-617F-4CF7-A5DC-4175D2B0CC13}"/>
    <cellStyle name="Normal 2 2 3 2 2 3" xfId="17800" xr:uid="{E69BFCC8-8A19-4706-A962-0F373C8404BA}"/>
    <cellStyle name="Normal 2 2 3 2 3" xfId="11044" xr:uid="{1BE0C8AF-74C1-4850-9AAC-1680775A141E}"/>
    <cellStyle name="Normal 2 2 3 2 3 2" xfId="46717" xr:uid="{12F05AB4-D281-4804-A565-CC74805D1258}"/>
    <cellStyle name="Normal 2 2 3 2 4" xfId="17799" xr:uid="{5CCF37DC-7927-4064-8F4C-A1793517AB00}"/>
    <cellStyle name="Normal 2 2 3 3" xfId="1981" xr:uid="{00000000-0005-0000-0000-000003050000}"/>
    <cellStyle name="Normal 2 2 3 3 2" xfId="10376" xr:uid="{D359C4F9-0A7A-4819-8B95-F2A803A6D5AC}"/>
    <cellStyle name="Normal 2 2 3 3 2 2" xfId="12829" xr:uid="{21A2F6D4-6D09-42D9-8FD4-513C7357FA9D}"/>
    <cellStyle name="Normal 2 2 3 3 2 2 2" xfId="46360" xr:uid="{E50203EA-4BF8-47BA-9B66-18297ED910DE}"/>
    <cellStyle name="Normal 2 2 3 3 2 3" xfId="18921" xr:uid="{015B61D4-1310-4F60-AE8A-50875C862DA4}"/>
    <cellStyle name="Normal 2 2 3 3 3" xfId="11046" xr:uid="{210E3FF1-42F2-4E40-81F5-3C9A63AA9398}"/>
    <cellStyle name="Normal 2 2 3 3 3 2" xfId="47902" xr:uid="{CEEAE20F-2F6D-445E-A20F-205EDE0C71B4}"/>
    <cellStyle name="Normal 2 2 3 3 4" xfId="17801" xr:uid="{C0B1EDF3-5365-44C2-8576-85ECA7158EFF}"/>
    <cellStyle name="Normal 2 2 3 4" xfId="10142" xr:uid="{7C59EF78-2ECD-40F3-8098-05F45BA6D6F1}"/>
    <cellStyle name="Normal 2 2 3 4 2" xfId="10456" xr:uid="{06EC7F92-F44A-4E66-8F8F-E5F2986ECC90}"/>
    <cellStyle name="Normal 2 2 3 4 2 2" xfId="12909" xr:uid="{9FE85F37-7157-42EA-8491-674594D9E0E5}"/>
    <cellStyle name="Normal 2 2 3 4 2 2 2" xfId="32422" xr:uid="{781BFCB8-E168-486E-9798-8972AE41ACA3}"/>
    <cellStyle name="Normal 2 2 3 4 2 3" xfId="18963" xr:uid="{4DE9C2EE-B8DA-4B9B-A240-15D9C3EAB11D}"/>
    <cellStyle name="Normal 2 2 3 4 3" xfId="12598" xr:uid="{AF5B0A66-CF30-4C3E-ACF8-9FB203D14748}"/>
    <cellStyle name="Normal 2 2 3 4 3 2" xfId="47015" xr:uid="{316C5399-740C-4622-B89D-C1758B33589F}"/>
    <cellStyle name="Normal 2 2 3 4 4" xfId="18804" xr:uid="{CC673A2B-08EE-4222-964B-4BD44EE6AB8F}"/>
    <cellStyle name="Normal 2 2 3 5" xfId="10222" xr:uid="{D9F09BF0-EE8C-4FCA-B58C-F06C9B9BA52C}"/>
    <cellStyle name="Normal 2 2 3 5 2" xfId="12675" xr:uid="{325E3A74-5B28-4EC3-9330-A89F96B9F428}"/>
    <cellStyle name="Normal 2 2 3 5 2 2" xfId="48396" xr:uid="{E22B00D9-A058-43EA-9952-9259337CF95F}"/>
    <cellStyle name="Normal 2 2 3 5 3" xfId="18843" xr:uid="{7E4A82F8-9B9F-4DE1-9C50-6FC777808E79}"/>
    <cellStyle name="Normal 2 2 3 6" xfId="10536" xr:uid="{A0E0AF6D-8E78-478E-86C1-B828C9E98B61}"/>
    <cellStyle name="Normal 2 2 3 6 2" xfId="12989" xr:uid="{169BBD4F-743E-4C4A-AC28-B3507D91F494}"/>
    <cellStyle name="Normal 2 2 3 6 2 2" xfId="47763" xr:uid="{E0656424-6A6D-4CBD-B2C3-9CFEC26ECCD6}"/>
    <cellStyle name="Normal 2 2 3 6 3" xfId="19005" xr:uid="{5E689DB2-A767-4695-9D06-641BBDC5A111}"/>
    <cellStyle name="Normal 2 2 3 7" xfId="10604" xr:uid="{EE2C5754-2455-453F-B6B9-F44E9150516A}"/>
    <cellStyle name="Normal 2 2 3 7 2" xfId="47655" xr:uid="{C3C06811-680B-4EA5-BE1F-A5B2D0374755}"/>
    <cellStyle name="Normal 2 2 3 8" xfId="48938" xr:uid="{04E859D0-925C-4755-9485-6C1E89807737}"/>
    <cellStyle name="Normal 2 2 3 9" xfId="16972" xr:uid="{5006D756-0EB1-4BAF-8994-DCF158A87916}"/>
    <cellStyle name="Normal 2 2 4" xfId="1982" xr:uid="{00000000-0005-0000-0000-000004050000}"/>
    <cellStyle name="Normal 2 2 4 2" xfId="1983" xr:uid="{00000000-0005-0000-0000-000005050000}"/>
    <cellStyle name="Normal 2 2 4 2 2" xfId="25980" xr:uid="{6AE1DEF7-CFCA-48F4-800F-75904C3962F7}"/>
    <cellStyle name="Normal 2 2 4 2 3" xfId="17803" xr:uid="{86A8EFB8-6B31-497F-815F-C31E460330FC}"/>
    <cellStyle name="Normal 2 2 4 3" xfId="25981" xr:uid="{4E04E72B-CF2E-4C86-A7E5-174EE99C92A7}"/>
    <cellStyle name="Normal 2 2 4 4" xfId="17802" xr:uid="{9997C71F-4ABE-4980-88F4-7C8155C0F30F}"/>
    <cellStyle name="Normal 2 2 5" xfId="1984" xr:uid="{00000000-0005-0000-0000-000006050000}"/>
    <cellStyle name="Normal 2 2 5 2" xfId="25982" xr:uid="{5ACE6574-683D-4439-AF95-44A9B14AA6A3}"/>
    <cellStyle name="Normal 2 2 5 3" xfId="17804" xr:uid="{0D9D9CFD-AA9C-4CC3-B9DD-1D57B06E9B68}"/>
    <cellStyle name="Normal 2 2 6" xfId="4081" xr:uid="{5FF66FF3-7BC3-4D2F-9C86-3405FF7C5FD2}"/>
    <cellStyle name="Normal 2 2 6 2" xfId="25984" xr:uid="{31C82569-F8D6-484E-B8C7-0F6BAD4D0BFC}"/>
    <cellStyle name="Normal 2 2 6 3" xfId="25983" xr:uid="{46411090-80BC-484C-941D-C97C823CE288}"/>
    <cellStyle name="Normal 2 2 7" xfId="25985" xr:uid="{873E6B5E-F0D8-49B3-ACC9-219E27634749}"/>
    <cellStyle name="Normal 2 2 7 2" xfId="48939" xr:uid="{BC967B5A-BAE6-45EF-ABC1-63171D473FD7}"/>
    <cellStyle name="Normal 2 2 8" xfId="25986" xr:uid="{C4F7AEAA-4E93-487F-BF5D-6F81D2668768}"/>
    <cellStyle name="Normal 2 2 9" xfId="25987" xr:uid="{92E8545D-D3B3-421B-83D0-60C17220CAA6}"/>
    <cellStyle name="Normal 2 3" xfId="554" xr:uid="{00000000-0005-0000-0000-000007050000}"/>
    <cellStyle name="Normal 2 3 10" xfId="25989" xr:uid="{67A1DF85-1C74-4B2C-B5EF-C0BDD3488646}"/>
    <cellStyle name="Normal 2 3 11" xfId="30254" xr:uid="{CDADF718-2B30-49C5-9BF9-A80E78B0A56F}"/>
    <cellStyle name="Normal 2 3 12" xfId="25988" xr:uid="{1BF06E64-C126-4223-9523-068A8C96CDB6}"/>
    <cellStyle name="Normal 2 3 2" xfId="4083" xr:uid="{CE812BEB-0B05-48F1-B85D-DA6489CC357A}"/>
    <cellStyle name="Normal 2 3 2 2" xfId="25991" xr:uid="{ADEA2092-022E-4B15-A1F6-4A7E6109EE9B}"/>
    <cellStyle name="Normal 2 3 2 2 2" xfId="25992" xr:uid="{CAF5952A-0132-41B9-BA87-8AFDF1961766}"/>
    <cellStyle name="Normal 2 3 2 3" xfId="25993" xr:uid="{5EE113DD-F1CB-4111-8729-AD8FC33A5988}"/>
    <cellStyle name="Normal 2 3 2 3 2" xfId="25994" xr:uid="{C0BBC9C7-A995-4E6A-AEA3-144D9ADE3F76}"/>
    <cellStyle name="Normal 2 3 2 4" xfId="25995" xr:uid="{3B13B07B-3363-45AF-854D-89E03D6CCAEF}"/>
    <cellStyle name="Normal 2 3 2 5" xfId="25990" xr:uid="{772BEAD4-E241-4183-BF74-CDD6594F6D82}"/>
    <cellStyle name="Normal 2 3 3" xfId="4084" xr:uid="{D7D085DD-B1AB-4CE5-8D7A-31645E4285A1}"/>
    <cellStyle name="Normal 2 3 3 2" xfId="13427" xr:uid="{98158BF1-6CCB-4B09-86D2-F6248FDB48E2}"/>
    <cellStyle name="Normal 2 3 3 2 2" xfId="25997" xr:uid="{FD299A94-ED3C-4E0A-A53A-FF8F1A75D557}"/>
    <cellStyle name="Normal 2 3 3 3" xfId="18118" xr:uid="{C2E9792A-054F-452F-B561-84D9013DCD40}"/>
    <cellStyle name="Normal 2 3 3 4" xfId="25996" xr:uid="{8CEEA139-C1E6-499E-BBAE-036A5C7E0232}"/>
    <cellStyle name="Normal 2 3 3 5" xfId="11486" xr:uid="{A6AB8E3A-5686-4443-A265-D8B2781E7F9B}"/>
    <cellStyle name="Normal 2 3 4" xfId="25998" xr:uid="{4AA8527F-C4FE-4DAD-97D8-5399B401DE69}"/>
    <cellStyle name="Normal 2 3 4 2" xfId="25999" xr:uid="{642C894A-B37C-472B-8062-52DAC1B3F9A6}"/>
    <cellStyle name="Normal 2 3 5" xfId="26000" xr:uid="{DC089020-0012-42E5-B8E3-6A91DE12ADA4}"/>
    <cellStyle name="Normal 2 3 5 2" xfId="26001" xr:uid="{7D0D9B92-C802-4380-8CDA-A1082FDE7E6D}"/>
    <cellStyle name="Normal 2 3 6" xfId="26002" xr:uid="{F9DECC90-7CDC-4651-9E12-AF4A2E40F8A1}"/>
    <cellStyle name="Normal 2 3 6 2" xfId="26003" xr:uid="{6EB5872D-D7A6-4984-9CDF-4D584A005E08}"/>
    <cellStyle name="Normal 2 3 7" xfId="26004" xr:uid="{067EB478-9EFF-4CA3-9191-1AE297CCE443}"/>
    <cellStyle name="Normal 2 3 7 2" xfId="26005" xr:uid="{2DE1E3F5-CB64-4FA4-A046-0596E9CAB737}"/>
    <cellStyle name="Normal 2 3 8" xfId="26006" xr:uid="{67755135-496A-4D62-8022-335EB740ED42}"/>
    <cellStyle name="Normal 2 3 8 2" xfId="48940" xr:uid="{54C27EA9-684B-4419-B792-6A434532F325}"/>
    <cellStyle name="Normal 2 3 9" xfId="26007" xr:uid="{FD7E849E-97A2-4C4A-888A-6AE7BCC9A19E}"/>
    <cellStyle name="Normal 2 3 9 2" xfId="48941" xr:uid="{907A3753-22E0-4D7F-B23D-B42821DD2360}"/>
    <cellStyle name="Normal 2 4" xfId="555" xr:uid="{00000000-0005-0000-0000-000008050000}"/>
    <cellStyle name="Normal 2 4 2" xfId="1985" xr:uid="{00000000-0005-0000-0000-000009050000}"/>
    <cellStyle name="Normal 2 4 2 2" xfId="1986" xr:uid="{00000000-0005-0000-0000-00000A050000}"/>
    <cellStyle name="Normal 2 4 2 2 2" xfId="26008" xr:uid="{C7747BCB-E01A-4EBA-95E7-1A4BB63D9AC2}"/>
    <cellStyle name="Normal 2 4 2 2 3" xfId="17806" xr:uid="{63A3E9A6-E78F-43C3-AEBA-A230F7807F9C}"/>
    <cellStyle name="Normal 2 4 2 3" xfId="12135" xr:uid="{991CF921-EFE7-4A2B-AE49-EC1856999C67}"/>
    <cellStyle name="Normal 2 4 2 3 2" xfId="26010" xr:uid="{3CD747CA-A7E8-4C92-A212-A168BB1B0CFB}"/>
    <cellStyle name="Normal 2 4 2 3 3" xfId="26009" xr:uid="{29139BFD-D2AD-4FCD-80BB-6A6E2B658A97}"/>
    <cellStyle name="Normal 2 4 2 4" xfId="11652" xr:uid="{E5C8CC66-F4D4-41E3-BC3A-F4F2EF5CCC78}"/>
    <cellStyle name="Normal 2 4 2 4 2" xfId="26011" xr:uid="{C6E6DADA-54AA-4F23-BDB5-3B7BCB91595C}"/>
    <cellStyle name="Normal 2 4 2 5" xfId="11047" xr:uid="{6A3BB9DF-F2DE-4E2B-A07F-98994FF168BF}"/>
    <cellStyle name="Normal 2 4 2 5 2" xfId="26012" xr:uid="{E4739F95-5DE2-45F1-B801-852F59AB41C3}"/>
    <cellStyle name="Normal 2 4 2 6" xfId="26013" xr:uid="{7E9508BB-497A-46B3-B1BA-3DA34CAE2AB5}"/>
    <cellStyle name="Normal 2 4 2 7" xfId="17805" xr:uid="{092EA9CC-DE07-4669-91A3-7CFD57318BB8}"/>
    <cellStyle name="Normal 2 4 2 8" xfId="9230" xr:uid="{2DBA7BA7-8EEF-47D1-9D37-91839F511EBA}"/>
    <cellStyle name="Normal 2 4 3" xfId="1987" xr:uid="{00000000-0005-0000-0000-00000B050000}"/>
    <cellStyle name="Normal 2 4 3 2" xfId="26014" xr:uid="{2B0D404A-4121-451C-8A27-A17B8707670C}"/>
    <cellStyle name="Normal 2 4 3 3" xfId="17807" xr:uid="{98A64F62-51D9-4DCF-B41F-7B2B578AA75B}"/>
    <cellStyle name="Normal 2 4 4" xfId="12136" xr:uid="{F2E46824-49A4-41C4-9A2A-D22B48D38697}"/>
    <cellStyle name="Normal 2 4 4 2" xfId="26016" xr:uid="{EE66411F-5E1D-44BB-A8AB-FABC8540B013}"/>
    <cellStyle name="Normal 2 4 4 3" xfId="26015" xr:uid="{4207EB4D-8B29-490F-9C70-AA2507804D25}"/>
    <cellStyle name="Normal 2 4 5" xfId="26017" xr:uid="{27F28F2F-8A21-4412-8F24-3442F50B9691}"/>
    <cellStyle name="Normal 2 4 5 2" xfId="26018" xr:uid="{B20D9811-78FA-4032-B226-F43DDCEAC2D2}"/>
    <cellStyle name="Normal 2 4 6" xfId="26019" xr:uid="{5590BAB7-C03B-4E65-9DDA-761DAAA6F6F8}"/>
    <cellStyle name="Normal 2 4 6 2" xfId="26020" xr:uid="{34969C06-FA0C-4FA8-9F57-3D99D1DDE42D}"/>
    <cellStyle name="Normal 2 4 7" xfId="26021" xr:uid="{E574CB89-0DB3-44ED-849D-447983BBAC3D}"/>
    <cellStyle name="Normal 2 4 7 2" xfId="26022" xr:uid="{1C09A6B1-9DDE-4B90-80A1-B9D4798C19C6}"/>
    <cellStyle name="Normal 2 4 8" xfId="26023" xr:uid="{0188285F-D1C0-476A-AC94-53D0D8396279}"/>
    <cellStyle name="Normal 2 4 8 2" xfId="48942" xr:uid="{BA1EC366-A556-4563-B618-1A1A2F351764}"/>
    <cellStyle name="Normal 2 4 9" xfId="26024" xr:uid="{6893BEB8-0F63-453A-B8E6-3A6379E77034}"/>
    <cellStyle name="Normal 2 5" xfId="1988" xr:uid="{00000000-0005-0000-0000-00000C050000}"/>
    <cellStyle name="Normal 2 5 10" xfId="26025" xr:uid="{64CEA76E-E188-4296-BEC7-532935CC326A}"/>
    <cellStyle name="Normal 2 5 11" xfId="48943" xr:uid="{4E6F6B81-3633-49B5-9337-6DC238605601}"/>
    <cellStyle name="Normal 2 5 2" xfId="26026" xr:uid="{DEE0193F-6DE4-4D29-A5B5-2CA302366216}"/>
    <cellStyle name="Normal 2 5 2 2" xfId="26027" xr:uid="{442918E7-C9BA-47F2-ADC0-E1E153EFA80F}"/>
    <cellStyle name="Normal 2 5 2 2 2" xfId="26028" xr:uid="{89A647BF-61B6-49B9-A039-4A8A545AC1EF}"/>
    <cellStyle name="Normal 2 5 2 3" xfId="26029" xr:uid="{5AC786D3-E109-4DA4-A76D-C3840EAAC9F6}"/>
    <cellStyle name="Normal 2 5 2 3 2" xfId="26030" xr:uid="{1682CEFA-9DC7-47FE-9B29-87FDF39F831B}"/>
    <cellStyle name="Normal 2 5 2 4" xfId="26031" xr:uid="{CFA0A103-EB14-44B7-9886-D3D3648E2C5B}"/>
    <cellStyle name="Normal 2 5 3" xfId="26032" xr:uid="{5D36008F-E0C8-4C8F-B9FC-1531C0A48E5A}"/>
    <cellStyle name="Normal 2 5 3 2" xfId="26033" xr:uid="{AEE75CE0-3C93-4D70-A24C-2A6A83F207D7}"/>
    <cellStyle name="Normal 2 5 4" xfId="26034" xr:uid="{73673140-FC5A-4803-9A4D-360F754AEF11}"/>
    <cellStyle name="Normal 2 5 4 2" xfId="26035" xr:uid="{62FC8F9F-67E0-4890-9DBF-6B43FF6474CB}"/>
    <cellStyle name="Normal 2 5 5" xfId="26036" xr:uid="{634A8158-42B7-4D1B-AC03-711F4E1B1EEF}"/>
    <cellStyle name="Normal 2 5 5 2" xfId="26037" xr:uid="{A09565EC-DA60-4F5C-A077-5E39E31F9226}"/>
    <cellStyle name="Normal 2 5 6" xfId="26038" xr:uid="{D5AD8542-129A-498A-AEA7-C06436E66FAC}"/>
    <cellStyle name="Normal 2 5 6 2" xfId="26039" xr:uid="{E4EE9A77-A3AF-445F-A614-07F1C080B56F}"/>
    <cellStyle name="Normal 2 5 7" xfId="26040" xr:uid="{C3947C20-D269-43BD-832D-FFC6A08687A7}"/>
    <cellStyle name="Normal 2 5 7 2" xfId="48944" xr:uid="{0738BB52-5FD1-4DDB-BFDA-9223A3ADADA7}"/>
    <cellStyle name="Normal 2 5 8" xfId="26041" xr:uid="{D5FB66C6-0C06-48F4-8458-28DA2983901C}"/>
    <cellStyle name="Normal 2 5 8 2" xfId="48945" xr:uid="{6CB50DAC-7ABD-4ADA-92CD-9AE50BC627EC}"/>
    <cellStyle name="Normal 2 5 9" xfId="26042" xr:uid="{20E8148E-3E93-41A6-9AED-3FC1309A62BE}"/>
    <cellStyle name="Normal 2 6" xfId="26043" xr:uid="{340B750A-ED53-4DD0-86D1-1A7AAFBE2E87}"/>
    <cellStyle name="Normal 2 6 2" xfId="26044" xr:uid="{28BC664B-603D-48F4-91FE-53302B361D3A}"/>
    <cellStyle name="Normal 2 6 2 2" xfId="26045" xr:uid="{47CE0404-E7C6-4E64-878E-C221DA3A12B4}"/>
    <cellStyle name="Normal 2 6 2 2 2" xfId="26046" xr:uid="{3891D583-5021-4D3A-B9BB-2CDC2323B448}"/>
    <cellStyle name="Normal 2 6 2 3" xfId="26047" xr:uid="{434718F8-96EC-45C1-AFD6-9B95F1E6EAFE}"/>
    <cellStyle name="Normal 2 6 2 3 2" xfId="26048" xr:uid="{8B476A28-5C49-4198-8967-3BDF28D4A8CD}"/>
    <cellStyle name="Normal 2 6 2 4" xfId="26049" xr:uid="{E69DDEF5-D081-40AE-B548-C72101B823BE}"/>
    <cellStyle name="Normal 2 6 3" xfId="26050" xr:uid="{FE778A85-1EEE-404C-B6A5-2C323BF76B4F}"/>
    <cellStyle name="Normal 2 6 3 2" xfId="26051" xr:uid="{8A99DB48-23CF-43F3-9793-47E8785BC354}"/>
    <cellStyle name="Normal 2 6 4" xfId="26052" xr:uid="{3052A629-D98D-4A10-B7FC-E94550880021}"/>
    <cellStyle name="Normal 2 6 4 2" xfId="26053" xr:uid="{356E1B8B-82F8-41C2-B218-11CCF3A6AACB}"/>
    <cellStyle name="Normal 2 6 5" xfId="26054" xr:uid="{73DA08F9-3F21-4A9F-BA71-23172A851B5A}"/>
    <cellStyle name="Normal 2 6 5 2" xfId="26055" xr:uid="{24A2DB09-0421-4B1E-98BF-C41284C37494}"/>
    <cellStyle name="Normal 2 6 6" xfId="26056" xr:uid="{EFBFFB47-1411-49E2-A2D6-9316263FADA2}"/>
    <cellStyle name="Normal 2 6 6 2" xfId="26057" xr:uid="{5A1B7310-577B-4FBB-8D89-CEAB212D3FA6}"/>
    <cellStyle name="Normal 2 6 7" xfId="48946" xr:uid="{360798C8-9116-479F-B41A-FB4D957646E4}"/>
    <cellStyle name="Normal 2 7" xfId="26058" xr:uid="{0F55875A-DD73-4703-89C7-B55EF670BFBC}"/>
    <cellStyle name="Normal 2 7 2" xfId="26059" xr:uid="{70E15297-A8CD-4626-924E-7238DC8EC9B3}"/>
    <cellStyle name="Normal 2 7 2 2" xfId="26060" xr:uid="{E0A43B54-6AC2-4947-90EB-615D7DD044D7}"/>
    <cellStyle name="Normal 2 7 2 2 2" xfId="26061" xr:uid="{1346773B-F252-4A4E-9C8F-F3E1AE3EB187}"/>
    <cellStyle name="Normal 2 7 2 3" xfId="26062" xr:uid="{9052ABA2-7C99-45C9-A813-26A21FBECD7F}"/>
    <cellStyle name="Normal 2 7 2 3 2" xfId="26063" xr:uid="{DAE1855D-250A-46A6-A683-442EF17D6AD2}"/>
    <cellStyle name="Normal 2 7 2 4" xfId="26064" xr:uid="{274791D3-1CB9-4D64-8736-5ED87C4FA9A3}"/>
    <cellStyle name="Normal 2 7 3" xfId="26065" xr:uid="{FE4B02AF-7439-4DCA-B661-F088944D352C}"/>
    <cellStyle name="Normal 2 7 3 2" xfId="26066" xr:uid="{84632C96-75AE-4F18-8D20-EA4D0C62B008}"/>
    <cellStyle name="Normal 2 7 4" xfId="26067" xr:uid="{B9201B52-5125-4463-BF35-D1D420C3280B}"/>
    <cellStyle name="Normal 2 7 4 2" xfId="26068" xr:uid="{4F936754-32F5-4897-B7C6-B1BC442D49F9}"/>
    <cellStyle name="Normal 2 7 5" xfId="26069" xr:uid="{AF6E041C-1B75-4092-816D-63F27D128645}"/>
    <cellStyle name="Normal 2 7 5 2" xfId="26070" xr:uid="{455AFAA7-99C2-443B-BAC6-947E9B2861E0}"/>
    <cellStyle name="Normal 2 7 6" xfId="26071" xr:uid="{AF66AD4F-26D8-4515-B8BE-7D892E8407AF}"/>
    <cellStyle name="Normal 2 8" xfId="26072" xr:uid="{2A31173D-6808-4061-A961-32FFACDA3538}"/>
    <cellStyle name="Normal 2 8 2" xfId="26073" xr:uid="{503A469C-78FA-47E2-A743-88A1CFF97F14}"/>
    <cellStyle name="Normal 2 8 2 2" xfId="26074" xr:uid="{04A301DA-8ADB-4186-9D74-0762D647F888}"/>
    <cellStyle name="Normal 2 8 2 2 2" xfId="26075" xr:uid="{7C61FADD-9292-4ABA-A913-E3814626F474}"/>
    <cellStyle name="Normal 2 8 2 3" xfId="26076" xr:uid="{19E51D8B-6EE3-4A7A-BE75-B6114D1D3A50}"/>
    <cellStyle name="Normal 2 8 2 3 2" xfId="26077" xr:uid="{F8196CAE-3425-4D0F-88E7-79C4DBEE14ED}"/>
    <cellStyle name="Normal 2 8 2 4" xfId="26078" xr:uid="{0AC2FE7A-10AF-4E38-8150-8E2EA2F62361}"/>
    <cellStyle name="Normal 2 8 3" xfId="26079" xr:uid="{7CE01C13-F18D-4918-A2BE-527112C81A99}"/>
    <cellStyle name="Normal 2 8 3 2" xfId="26080" xr:uid="{DBD499B2-DD3B-43AC-80F4-F318D63D3F24}"/>
    <cellStyle name="Normal 2 8 4" xfId="26081" xr:uid="{221E8F1D-2788-4F2E-A732-17CE8606B67B}"/>
    <cellStyle name="Normal 2 8 4 2" xfId="26082" xr:uid="{BF222C33-2692-478E-91DB-61F53B1344CC}"/>
    <cellStyle name="Normal 2 8 5" xfId="26083" xr:uid="{9E34F5F7-31FD-4520-84FB-7FA3654E0861}"/>
    <cellStyle name="Normal 2 8 5 2" xfId="26084" xr:uid="{472185FF-F297-45B4-97BD-8C59FAE0BDE4}"/>
    <cellStyle name="Normal 2 8 6" xfId="26085" xr:uid="{7398CE4D-4ADA-4E2B-9938-80761A023040}"/>
    <cellStyle name="Normal 2 9" xfId="26086" xr:uid="{48C4C14B-6DD5-4333-BAA1-408481DB4940}"/>
    <cellStyle name="Normal 2 9 2" xfId="26087" xr:uid="{559DAC64-32D8-406A-AFE1-8C407B2BA389}"/>
    <cellStyle name="Normal 2 9 2 2" xfId="26088" xr:uid="{DB2603C3-D16C-43F3-876E-4E00B32B060D}"/>
    <cellStyle name="Normal 2 9 2 2 2" xfId="26089" xr:uid="{B7815A8C-E674-41CA-9CFA-63E1C5A47701}"/>
    <cellStyle name="Normal 2 9 2 3" xfId="26090" xr:uid="{047140B3-17F7-442C-9EAD-0FDD76FFDFC4}"/>
    <cellStyle name="Normal 2 9 2 3 2" xfId="26091" xr:uid="{0B24C816-2515-402B-8191-45284C68F863}"/>
    <cellStyle name="Normal 2 9 2 4" xfId="26092" xr:uid="{3E46BF7B-9560-4DC0-A5D9-8AEABE1BF510}"/>
    <cellStyle name="Normal 2 9 3" xfId="26093" xr:uid="{38829973-3567-4C0A-B0E0-96B11D7D4B2F}"/>
    <cellStyle name="Normal 2 9 3 2" xfId="26094" xr:uid="{6045CB2A-994A-4528-B483-F7889FEFC2BD}"/>
    <cellStyle name="Normal 2 9 4" xfId="26095" xr:uid="{BBA5644B-D314-421B-B094-5EFD0FFE8836}"/>
    <cellStyle name="Normal 2 9 4 2" xfId="26096" xr:uid="{E61F07F2-8ADA-42A5-A3C6-65435AAA455E}"/>
    <cellStyle name="Normal 2 9 5" xfId="26097" xr:uid="{B68AD298-10F4-4912-8B9C-3DC8343A9B91}"/>
    <cellStyle name="Normal 2_Plants" xfId="1989" xr:uid="{00000000-0005-0000-0000-00000D050000}"/>
    <cellStyle name="Normal 20" xfId="1990" xr:uid="{00000000-0005-0000-0000-00000E050000}"/>
    <cellStyle name="Normal 20 2" xfId="26099" xr:uid="{7DAD4F89-7828-4077-A27F-C9DF273B4B1A}"/>
    <cellStyle name="Normal 20 3" xfId="26100" xr:uid="{6AAFDE01-538E-45C6-80DA-5CAABDC385D9}"/>
    <cellStyle name="Normal 20 4" xfId="26098" xr:uid="{B1A09895-80F2-4E72-912F-A1AFC793CC7C}"/>
    <cellStyle name="Normal 21" xfId="1991" xr:uid="{00000000-0005-0000-0000-00000F050000}"/>
    <cellStyle name="Normal 21 2" xfId="26102" xr:uid="{2DE83324-6114-4ABF-AAB8-BFDBF2DFDE1D}"/>
    <cellStyle name="Normal 21 3" xfId="26103" xr:uid="{32E77219-CCDC-4D27-8B35-CBF583B075B7}"/>
    <cellStyle name="Normal 21 4" xfId="26101" xr:uid="{B5C5B7A7-ECA1-47AA-832A-13270CA09764}"/>
    <cellStyle name="Normal 22" xfId="1992" xr:uid="{00000000-0005-0000-0000-000010050000}"/>
    <cellStyle name="Normal 22 2" xfId="26105" xr:uid="{8BFA613A-F53A-4658-BFDF-7BA5171DEF6C}"/>
    <cellStyle name="Normal 22 3" xfId="26106" xr:uid="{5A8A9220-9760-4062-BBE2-610BC6063976}"/>
    <cellStyle name="Normal 22 4" xfId="26104" xr:uid="{FB2B9904-809D-4DA8-A99D-FA016E02FD52}"/>
    <cellStyle name="Normal 23" xfId="1993" xr:uid="{00000000-0005-0000-0000-000011050000}"/>
    <cellStyle name="Normal 23 2" xfId="26108" xr:uid="{49549CFF-0D7D-443E-A419-72B520196363}"/>
    <cellStyle name="Normal 23 3" xfId="26109" xr:uid="{9F097735-9F0D-4CDE-A116-C4B29D133384}"/>
    <cellStyle name="Normal 23 4" xfId="26107" xr:uid="{3615E7CD-78D9-47AB-8C68-DC9A4273A8B6}"/>
    <cellStyle name="Normal 24" xfId="1994" xr:uid="{00000000-0005-0000-0000-000012050000}"/>
    <cellStyle name="Normal 24 2" xfId="26111" xr:uid="{72FC3CEE-E588-40BB-8F27-DF4DF6963571}"/>
    <cellStyle name="Normal 24 3" xfId="26110" xr:uid="{47F1950F-5A16-4D92-8FAF-F499157DAB17}"/>
    <cellStyle name="Normal 24 4" xfId="48947" xr:uid="{8EE6DDF0-BD63-44E3-BB8A-F32CBE25882F}"/>
    <cellStyle name="Normal 25" xfId="1995" xr:uid="{00000000-0005-0000-0000-000013050000}"/>
    <cellStyle name="Normal 25 2" xfId="26113" xr:uid="{1AA6E246-B68E-44CD-9518-48A984A2D1ED}"/>
    <cellStyle name="Normal 25 3" xfId="26112" xr:uid="{47654DE6-AE74-4C39-B3F1-932A91CF4B22}"/>
    <cellStyle name="Normal 25 4" xfId="48948" xr:uid="{A2E26FD0-F89A-4E26-AC81-7984A6EA89FC}"/>
    <cellStyle name="Normal 26" xfId="1996" xr:uid="{00000000-0005-0000-0000-000014050000}"/>
    <cellStyle name="Normal 26 2" xfId="26115" xr:uid="{8EF6F8E0-50BF-4524-9328-C8BB4FD560A2}"/>
    <cellStyle name="Normal 26 3" xfId="26114" xr:uid="{AB7AC8C4-6198-45E3-998D-DAFB70D8FAAE}"/>
    <cellStyle name="Normal 26 4" xfId="48949" xr:uid="{EFF6C202-D407-480A-B0C1-33A7FCD3123F}"/>
    <cellStyle name="Normal 27" xfId="1997" xr:uid="{00000000-0005-0000-0000-000015050000}"/>
    <cellStyle name="Normal 27 2" xfId="26117" xr:uid="{F4F8FD33-7A99-4A04-B9BB-EB378E930646}"/>
    <cellStyle name="Normal 27 3" xfId="26116" xr:uid="{44B8E0F7-16CC-4A1F-8293-390DD17302E3}"/>
    <cellStyle name="Normal 27 4" xfId="48950" xr:uid="{7B06B54B-C9CF-449A-8547-F26E4A3E079C}"/>
    <cellStyle name="Normal 28" xfId="1998" xr:uid="{00000000-0005-0000-0000-000016050000}"/>
    <cellStyle name="Normal 28 2" xfId="26119" xr:uid="{7D72CD25-B0A3-406D-AE92-C69AE5E07D4E}"/>
    <cellStyle name="Normal 28 3" xfId="26118" xr:uid="{77F762D9-B064-4EAC-9B46-F3F8F41BD873}"/>
    <cellStyle name="Normal 28 4" xfId="48951" xr:uid="{BA575035-D3ED-4E3F-969B-AA821232FD04}"/>
    <cellStyle name="Normal 29" xfId="1999" xr:uid="{00000000-0005-0000-0000-000017050000}"/>
    <cellStyle name="Normal 29 2" xfId="2000" xr:uid="{00000000-0005-0000-0000-000018050000}"/>
    <cellStyle name="Normal 29 2 2" xfId="17809" xr:uid="{D8ED0CC1-ED96-4FC7-A383-CBC11E54F242}"/>
    <cellStyle name="Normal 29 3" xfId="26120" xr:uid="{6C6AAF8E-33A8-47D8-8B6D-8438A687D024}"/>
    <cellStyle name="Normal 29 4" xfId="48952" xr:uid="{53A13280-1074-4701-97DF-A707FE842019}"/>
    <cellStyle name="Normal 29 5" xfId="17808" xr:uid="{1BAE3121-0A18-4382-8488-672FB576C753}"/>
    <cellStyle name="Normal 3" xfId="556" xr:uid="{00000000-0005-0000-0000-000019050000}"/>
    <cellStyle name="Normal 3 10" xfId="2001" xr:uid="{00000000-0005-0000-0000-00001A050000}"/>
    <cellStyle name="Normal 3 10 2" xfId="12660" xr:uid="{04441DE3-9016-4CB4-AB7D-C8EA31BE87B1}"/>
    <cellStyle name="Normal 3 10 2 2" xfId="26121" xr:uid="{E3B80F01-F35C-454D-AF42-17EA80FE55E8}"/>
    <cellStyle name="Normal 3 10 2 3" xfId="18833" xr:uid="{7609301A-A385-4FCA-9856-E63D5374D4A6}"/>
    <cellStyle name="Normal 3 10 3" xfId="11048" xr:uid="{2483506D-07B3-411D-AA9C-9F23DC54E47A}"/>
    <cellStyle name="Normal 3 10 3 2" xfId="37518" xr:uid="{46ED8552-3A56-4E26-9F53-3B16385D0728}"/>
    <cellStyle name="Normal 3 10 3 3" xfId="26122" xr:uid="{EF85DE27-6B47-4486-A60A-A3C10BE72B1A}"/>
    <cellStyle name="Normal 3 10 4" xfId="26123" xr:uid="{EAA9913F-FABD-45CD-93EC-1A40291F91C4}"/>
    <cellStyle name="Normal 3 10 5" xfId="10207" xr:uid="{43E65694-37F5-4B19-9AB6-A0BD2F09B1B0}"/>
    <cellStyle name="Normal 3 11" xfId="2002" xr:uid="{00000000-0005-0000-0000-00001B050000}"/>
    <cellStyle name="Normal 3 11 2" xfId="12974" xr:uid="{29E2F27F-42B0-49BD-8E60-69A7057540F6}"/>
    <cellStyle name="Normal 3 11 2 2" xfId="18995" xr:uid="{0478C803-1793-46B0-AAB4-2A7FDAFC31C8}"/>
    <cellStyle name="Normal 3 11 3" xfId="11049" xr:uid="{86591EE1-BFB7-4666-A385-BCED4A36E93A}"/>
    <cellStyle name="Normal 3 11 3 2" xfId="48092" xr:uid="{B9BC2659-251C-486A-B489-DAE0F1B3F55D}"/>
    <cellStyle name="Normal 3 11 3 3" xfId="26124" xr:uid="{C848C920-A3FD-4D49-9779-73623CC34E09}"/>
    <cellStyle name="Normal 3 11 4" xfId="10521" xr:uid="{62EAE520-58D1-4789-8E1A-E1D039C6F0BF}"/>
    <cellStyle name="Normal 3 12" xfId="2003" xr:uid="{00000000-0005-0000-0000-00001C050000}"/>
    <cellStyle name="Normal 3 12 2" xfId="26126" xr:uid="{666B767D-DC19-4925-9B1F-623D0E10472B}"/>
    <cellStyle name="Normal 3 12 3" xfId="26127" xr:uid="{BA6EF3D4-B56D-409E-AC72-44635D06B2CC}"/>
    <cellStyle name="Normal 3 12 4" xfId="26125" xr:uid="{795EFC74-09E5-4B3D-9FD7-A83114032C6B}"/>
    <cellStyle name="Normal 3 13" xfId="2004" xr:uid="{00000000-0005-0000-0000-00001D050000}"/>
    <cellStyle name="Normal 3 13 2" xfId="26129" xr:uid="{35D92CD5-75F8-480E-BF0E-A8F934A1699D}"/>
    <cellStyle name="Normal 3 13 3" xfId="26130" xr:uid="{8DE988D7-5743-4ED9-B545-7904BEC9B260}"/>
    <cellStyle name="Normal 3 13 4" xfId="26128" xr:uid="{F512C8D0-5CFA-42A6-AE54-30D5936FC880}"/>
    <cellStyle name="Normal 3 14" xfId="2005" xr:uid="{00000000-0005-0000-0000-00001E050000}"/>
    <cellStyle name="Normal 3 14 2" xfId="26132" xr:uid="{F9C6EF2C-EA5D-45B0-945D-B9BE930FAB37}"/>
    <cellStyle name="Normal 3 14 3" xfId="26133" xr:uid="{33B940BF-C50E-4B6E-8CEB-38033FACC52A}"/>
    <cellStyle name="Normal 3 14 4" xfId="26131" xr:uid="{9853AD6F-AFF3-424F-9C55-B4D0C56AB956}"/>
    <cellStyle name="Normal 3 15" xfId="2006" xr:uid="{00000000-0005-0000-0000-00001F050000}"/>
    <cellStyle name="Normal 3 15 2" xfId="26135" xr:uid="{FE0AE2CB-D626-4FE6-80BE-DF4B1A485A82}"/>
    <cellStyle name="Normal 3 15 3" xfId="26134" xr:uid="{16F7872C-FE7A-4382-AE51-766383C0D1C2}"/>
    <cellStyle name="Normal 3 15 4" xfId="48953" xr:uid="{C997B44B-A72A-44A5-8A42-B1872A758FFD}"/>
    <cellStyle name="Normal 3 16" xfId="2007" xr:uid="{00000000-0005-0000-0000-000020050000}"/>
    <cellStyle name="Normal 3 16 2" xfId="26136" xr:uid="{5266C609-1BE6-4785-BCB4-0F40F03F2D1D}"/>
    <cellStyle name="Normal 3 16 3" xfId="48954" xr:uid="{E791E01B-1883-44CB-8137-F1124BC79BDF}"/>
    <cellStyle name="Normal 3 16 4" xfId="17810" xr:uid="{71A080E3-29E1-4033-9653-34316683CE58}"/>
    <cellStyle name="Normal 3 17" xfId="10605" xr:uid="{ACF6057F-FC24-40DD-B093-A275D02C7222}"/>
    <cellStyle name="Normal 3 17 2" xfId="46158" xr:uid="{A847BDCF-C006-4C21-890A-71423908245C}"/>
    <cellStyle name="Normal 3 18" xfId="16973" xr:uid="{35B24204-008E-4E44-BC7B-57019416F3AF}"/>
    <cellStyle name="Normal 3 2" xfId="557" xr:uid="{00000000-0005-0000-0000-000021050000}"/>
    <cellStyle name="Normal 3 2 10" xfId="10606" xr:uid="{6EB48CD1-6488-4BEB-B76E-BC1F0FE91E00}"/>
    <cellStyle name="Normal 3 2 10 2" xfId="47295" xr:uid="{7D67BA51-BB66-4DBD-8BBA-44551B4BD656}"/>
    <cellStyle name="Normal 3 2 11" xfId="16974" xr:uid="{93D4542A-56C2-4916-A40D-1D4883A8C181}"/>
    <cellStyle name="Normal 3 2 2" xfId="558" xr:uid="{00000000-0005-0000-0000-000022050000}"/>
    <cellStyle name="Normal 3 2 2 2" xfId="2008" xr:uid="{00000000-0005-0000-0000-000023050000}"/>
    <cellStyle name="Normal 3 2 2 2 2" xfId="4085" xr:uid="{20EFB8C9-9949-4054-98E5-B71FE73FB663}"/>
    <cellStyle name="Normal 3 2 2 2 2 2" xfId="10309" xr:uid="{97079813-CA6F-4D52-B25D-54C3F8818E5B}"/>
    <cellStyle name="Normal 3 2 2 2 2 2 2" xfId="12762" xr:uid="{4B87800D-3687-46B4-B3E0-C25E8933A727}"/>
    <cellStyle name="Normal 3 2 2 2 2 2 2 2" xfId="48273" xr:uid="{381EDA03-26A1-464B-A2C4-22C1456E8F2B}"/>
    <cellStyle name="Normal 3 2 2 2 2 2 3" xfId="18891" xr:uid="{FFE6792C-B1D1-4FDA-BEB5-74A633BADD87}"/>
    <cellStyle name="Normal 3 2 2 2 2 3" xfId="12461" xr:uid="{4AA39EAA-F9C9-47FE-A99E-14E1E838C054}"/>
    <cellStyle name="Normal 3 2 2 2 2 3 2" xfId="46309" xr:uid="{D545C542-3FB2-433E-9C7A-A9619DEE0798}"/>
    <cellStyle name="Normal 3 2 2 2 2 4" xfId="18742" xr:uid="{AB7E0D20-1E08-4C72-A6FA-A0EAD2460628}"/>
    <cellStyle name="Normal 3 2 2 2 3" xfId="10076" xr:uid="{21982FB5-F980-4039-B82E-6737687A3317}"/>
    <cellStyle name="Normal 3 2 2 2 3 2" xfId="10388" xr:uid="{306AC40D-F6D3-4D6E-8518-2FE7C2680F0A}"/>
    <cellStyle name="Normal 3 2 2 2 3 2 2" xfId="12841" xr:uid="{6F447464-87F4-428D-9967-D02B54FA5C98}"/>
    <cellStyle name="Normal 3 2 2 2 3 2 2 2" xfId="46362" xr:uid="{CDBB03F2-ACAD-468E-91AC-197726C1CD18}"/>
    <cellStyle name="Normal 3 2 2 2 3 2 3" xfId="18932" xr:uid="{2E260D67-E698-442E-AA83-F0B4EEC4C9DE}"/>
    <cellStyle name="Normal 3 2 2 2 3 3" xfId="12533" xr:uid="{3E7D13F5-B41D-4ADE-B202-510A158513E2}"/>
    <cellStyle name="Normal 3 2 2 2 3 3 2" xfId="48335" xr:uid="{DC70115C-2939-426F-BDE6-E3A35EDEB5AB}"/>
    <cellStyle name="Normal 3 2 2 2 3 4" xfId="18776" xr:uid="{CD7C024D-81AA-48FA-BCBB-7F9BB30CC54D}"/>
    <cellStyle name="Normal 3 2 2 2 4" xfId="10154" xr:uid="{5FE54D2D-47E2-4A6F-9AC3-E60B69EAE1FA}"/>
    <cellStyle name="Normal 3 2 2 2 4 2" xfId="10468" xr:uid="{2640CB69-50E8-4D5C-8BE7-BF7047CB40BA}"/>
    <cellStyle name="Normal 3 2 2 2 4 2 2" xfId="12921" xr:uid="{1A734615-A55D-4116-8400-C955242F8C37}"/>
    <cellStyle name="Normal 3 2 2 2 4 2 2 2" xfId="32421" xr:uid="{53B9F37C-52C2-4546-A4FD-A93FAFC7D179}"/>
    <cellStyle name="Normal 3 2 2 2 4 2 3" xfId="18974" xr:uid="{1A1F3C58-10D4-4CD0-AD08-D720A6574023}"/>
    <cellStyle name="Normal 3 2 2 2 4 3" xfId="12608" xr:uid="{B6D02529-1A55-41AE-B4E2-FD180E9E6F8D}"/>
    <cellStyle name="Normal 3 2 2 2 4 3 2" xfId="47916" xr:uid="{05107D5D-BF27-4CA5-8424-25C6B120FE75}"/>
    <cellStyle name="Normal 3 2 2 2 4 4" xfId="18813" xr:uid="{8DCE3C07-33F0-4BA9-B43E-390462187CEA}"/>
    <cellStyle name="Normal 3 2 2 2 5" xfId="10234" xr:uid="{33D15470-8665-4DEB-A840-5E71DA9824F9}"/>
    <cellStyle name="Normal 3 2 2 2 5 2" xfId="12687" xr:uid="{6CA69017-288C-421C-9D6E-329F87EA2534}"/>
    <cellStyle name="Normal 3 2 2 2 5 2 2" xfId="48093" xr:uid="{011543A7-641C-46CA-B219-9B8F911719F8}"/>
    <cellStyle name="Normal 3 2 2 2 5 3" xfId="18854" xr:uid="{0AFC4699-7CA1-48E0-AB0A-8A0D4351B49F}"/>
    <cellStyle name="Normal 3 2 2 2 6" xfId="10548" xr:uid="{9BF4E79A-29B5-45DA-9655-65EDC9627DDC}"/>
    <cellStyle name="Normal 3 2 2 2 6 2" xfId="13001" xr:uid="{8640394B-EB45-4E29-9E79-A8544342FAE5}"/>
    <cellStyle name="Normal 3 2 2 2 6 2 2" xfId="48341" xr:uid="{6EB24D71-2023-4BD3-A6A3-F9D6513B7CC7}"/>
    <cellStyle name="Normal 3 2 2 2 6 3" xfId="19016" xr:uid="{EAC6F4A9-100F-4B61-8959-8EB46069682A}"/>
    <cellStyle name="Normal 3 2 2 2 7" xfId="12318" xr:uid="{E2CFD978-B662-40DB-B49A-2800C4C2FACE}"/>
    <cellStyle name="Normal 3 2 2 2 7 2" xfId="18631" xr:uid="{E9ED9127-F197-41B8-A8AF-BBDEBEB77ABC}"/>
    <cellStyle name="Normal 3 2 2 2 8" xfId="11050" xr:uid="{2915DC79-E216-4085-90A5-0912E62B3652}"/>
    <cellStyle name="Normal 3 2 2 2 9" xfId="16976" xr:uid="{0E2D17F0-87BA-4B00-83B8-4708C9E51E2A}"/>
    <cellStyle name="Normal 3 2 2 3" xfId="2009" xr:uid="{00000000-0005-0000-0000-000024050000}"/>
    <cellStyle name="Normal 3 2 2 3 2" xfId="2010" xr:uid="{00000000-0005-0000-0000-000025050000}"/>
    <cellStyle name="Normal 3 2 2 3 2 2" xfId="14068" xr:uid="{A0CFA564-A352-4D66-9CE1-CC883C84E94B}"/>
    <cellStyle name="Normal 3 2 2 3 2 3" xfId="17812" xr:uid="{50036E50-CD3B-42B3-8E2C-B662CEB3A820}"/>
    <cellStyle name="Normal 3 2 2 3 3" xfId="11132" xr:uid="{6A89020C-3FEE-4112-BC4C-37A9023BAF33}"/>
    <cellStyle name="Normal 3 2 2 3 3 2" xfId="26137" xr:uid="{161850D8-AD52-4BAE-823A-A2F997270BB0}"/>
    <cellStyle name="Normal 3 2 2 3 4" xfId="11051" xr:uid="{DBD9F86C-9475-4B33-98B8-B981A4E80B03}"/>
    <cellStyle name="Normal 3 2 2 3 4 2" xfId="17811" xr:uid="{2CEEE4E3-8CAD-4B8B-874E-09A5F46AB4A4}"/>
    <cellStyle name="Normal 3 2 2 3 5" xfId="8067" xr:uid="{2B3B3DF3-3A7D-44FF-A4CF-5E717423559B}"/>
    <cellStyle name="Normal 3 2 2 4" xfId="2011" xr:uid="{00000000-0005-0000-0000-000026050000}"/>
    <cellStyle name="Normal 3 2 2 4 2" xfId="10295" xr:uid="{F74B0D49-92A1-4610-9B87-CCEBBA805736}"/>
    <cellStyle name="Normal 3 2 2 4 2 2" xfId="12748" xr:uid="{5279744D-03AE-4C23-8B3E-DF2BE83982EA}"/>
    <cellStyle name="Normal 3 2 2 4 2 2 2" xfId="46348" xr:uid="{9313C41D-1C3B-4A20-86D0-22C50A091019}"/>
    <cellStyle name="Normal 3 2 2 4 2 3" xfId="18879" xr:uid="{24FFDE9E-D52E-4679-B695-3CCC46AF5044}"/>
    <cellStyle name="Normal 3 2 2 4 3" xfId="11052" xr:uid="{A18650FD-E249-4C0F-BD1A-DFAF5BD0CE26}"/>
    <cellStyle name="Normal 3 2 2 4 3 2" xfId="32540" xr:uid="{10C5E935-BCA3-4E28-B962-757D3B154E06}"/>
    <cellStyle name="Normal 3 2 2 4 4" xfId="17813" xr:uid="{14B12029-1008-4267-AE83-B3C66093FC3A}"/>
    <cellStyle name="Normal 3 2 2 5" xfId="10061" xr:uid="{C59533FC-1B5D-4389-BF22-D5A5048A9525}"/>
    <cellStyle name="Normal 3 2 2 5 2" xfId="10369" xr:uid="{79EF18AC-A864-45B8-AC49-02072EEC5857}"/>
    <cellStyle name="Normal 3 2 2 5 2 2" xfId="12822" xr:uid="{98C19FD8-6326-439A-A73A-7073065DB7CD}"/>
    <cellStyle name="Normal 3 2 2 5 2 2 2" xfId="46358" xr:uid="{BEAB1A32-2020-43AD-A66B-05A3092F39A9}"/>
    <cellStyle name="Normal 3 2 2 5 2 3" xfId="18915" xr:uid="{9023FED3-F09C-4CDC-B5BB-F71041E5602B}"/>
    <cellStyle name="Normal 3 2 2 5 3" xfId="12520" xr:uid="{BA1356DD-8D0F-472C-8C05-110737685AAD}"/>
    <cellStyle name="Normal 3 2 2 5 3 2" xfId="46763" xr:uid="{4B33AACA-1D2D-46F9-9CCB-6E0909FF8F4F}"/>
    <cellStyle name="Normal 3 2 2 5 4" xfId="18765" xr:uid="{AE55F90C-7D0B-4D0B-9935-470E5AC93167}"/>
    <cellStyle name="Normal 3 2 2 6" xfId="10135" xr:uid="{04DC7B54-A4E7-4DDC-BD8F-38204D79F8A2}"/>
    <cellStyle name="Normal 3 2 2 6 2" xfId="10449" xr:uid="{4B6EF139-920B-48AF-8276-A316725A6028}"/>
    <cellStyle name="Normal 3 2 2 6 2 2" xfId="12902" xr:uid="{5B13C51A-C56C-4CC8-BC77-C2F34CE35B52}"/>
    <cellStyle name="Normal 3 2 2 6 2 2 2" xfId="46367" xr:uid="{C7A80337-506C-4DDB-89E2-4202808A287F}"/>
    <cellStyle name="Normal 3 2 2 6 2 3" xfId="18957" xr:uid="{4F03C8B7-64AA-40DE-AFD5-D29448F1B691}"/>
    <cellStyle name="Normal 3 2 2 6 3" xfId="12592" xr:uid="{2F87AE5D-0FD4-4E77-9400-F1AACCC4CE8D}"/>
    <cellStyle name="Normal 3 2 2 6 3 2" xfId="46327" xr:uid="{F393D580-A550-406E-87B8-A8A5BEE319B3}"/>
    <cellStyle name="Normal 3 2 2 6 4" xfId="18799" xr:uid="{5A5986EA-2A73-4AB8-8F1E-DE077B454E75}"/>
    <cellStyle name="Normal 3 2 2 7" xfId="10215" xr:uid="{AAC45652-BFAA-415D-B988-602A89A2B12B}"/>
    <cellStyle name="Normal 3 2 2 7 2" xfId="12668" xr:uid="{83392A4A-CF46-489E-BB2F-60B941F0F671}"/>
    <cellStyle name="Normal 3 2 2 7 2 2" xfId="25065" xr:uid="{43C37D24-0FBB-4A14-A8F0-A2201F22DD31}"/>
    <cellStyle name="Normal 3 2 2 7 3" xfId="18837" xr:uid="{9D754360-CE2F-40DC-BE3F-8B3C97141A9E}"/>
    <cellStyle name="Normal 3 2 2 8" xfId="10529" xr:uid="{6188F8EF-3C19-48E9-B09E-AF34E629D1BC}"/>
    <cellStyle name="Normal 3 2 2 8 2" xfId="12982" xr:uid="{AA4AA0D9-A840-432D-A588-88F750B71E3F}"/>
    <cellStyle name="Normal 3 2 2 8 2 2" xfId="46818" xr:uid="{286AF498-3BBB-4AA7-AEA9-87E0982AB098}"/>
    <cellStyle name="Normal 3 2 2 8 3" xfId="18999" xr:uid="{5C212349-1DC7-4FE0-990E-2C73B8F0B923}"/>
    <cellStyle name="Normal 3 2 2 9" xfId="16975" xr:uid="{59F3C6DD-5A81-45A1-A95F-BF29D070957F}"/>
    <cellStyle name="Normal 3 2 3" xfId="559" xr:uid="{00000000-0005-0000-0000-000027050000}"/>
    <cellStyle name="Normal 3 2 3 2" xfId="2012" xr:uid="{00000000-0005-0000-0000-000028050000}"/>
    <cellStyle name="Normal 3 2 3 2 2" xfId="2013" xr:uid="{00000000-0005-0000-0000-000029050000}"/>
    <cellStyle name="Normal 3 2 3 2 2 2" xfId="11054" xr:uid="{C6422F01-33F0-4D40-9B26-4ED6FE94A0E5}"/>
    <cellStyle name="Normal 3 2 3 2 2 2 2" xfId="47413" xr:uid="{D61A08B1-4B02-43ED-8D79-63A5983087A1}"/>
    <cellStyle name="Normal 3 2 3 2 2 3" xfId="17815" xr:uid="{35B191F3-91CC-44B0-93E0-427B83FB83B8}"/>
    <cellStyle name="Normal 3 2 3 2 3" xfId="11053" xr:uid="{A91562C1-5BA0-47B8-A93A-86705DCD682C}"/>
    <cellStyle name="Normal 3 2 3 2 3 2" xfId="47459" xr:uid="{EE3CEF5E-5103-4A63-9338-1F04669CD2C6}"/>
    <cellStyle name="Normal 3 2 3 2 4" xfId="17814" xr:uid="{29833302-D880-4259-B07F-F2214280CF8D}"/>
    <cellStyle name="Normal 3 2 3 3" xfId="2014" xr:uid="{00000000-0005-0000-0000-00002A050000}"/>
    <cellStyle name="Normal 3 2 3 3 2" xfId="10379" xr:uid="{4CE29ECE-506F-44C2-9BBD-BF3AF5A93B31}"/>
    <cellStyle name="Normal 3 2 3 3 2 2" xfId="12832" xr:uid="{5CED1565-C79B-428C-A7B7-09D7EA0C3E01}"/>
    <cellStyle name="Normal 3 2 3 3 2 2 2" xfId="46800" xr:uid="{3A2B08D3-13BE-47D7-8A4B-763EC7FDEE32}"/>
    <cellStyle name="Normal 3 2 3 3 2 3" xfId="18924" xr:uid="{D4D1A545-5292-418A-8DA9-4C63B95C2F2E}"/>
    <cellStyle name="Normal 3 2 3 3 3" xfId="11055" xr:uid="{B3CB2F14-91C9-4254-B226-46E3301ECB09}"/>
    <cellStyle name="Normal 3 2 3 3 3 2" xfId="25174" xr:uid="{FCE2E93F-51E2-4533-8CF0-508BA7BFAA80}"/>
    <cellStyle name="Normal 3 2 3 3 4" xfId="17816" xr:uid="{C0927E91-9B2B-446E-A55A-0D9336838E87}"/>
    <cellStyle name="Normal 3 2 3 4" xfId="10145" xr:uid="{F82806DA-E80B-4FF2-AD94-DCFC52C119A5}"/>
    <cellStyle name="Normal 3 2 3 4 2" xfId="10459" xr:uid="{E7F73BC9-0D21-43B4-9BEC-CA8E08456B5D}"/>
    <cellStyle name="Normal 3 2 3 4 2 2" xfId="12912" xr:uid="{0B81CBDC-F0EE-41CB-84C2-C8B9D3063C90}"/>
    <cellStyle name="Normal 3 2 3 4 2 2 2" xfId="48344" xr:uid="{0E8513C6-942A-492F-AF2D-63556630EC64}"/>
    <cellStyle name="Normal 3 2 3 4 2 3" xfId="18966" xr:uid="{28885040-83C9-420D-9BDA-BDAB75EFB67A}"/>
    <cellStyle name="Normal 3 2 3 4 3" xfId="12137" xr:uid="{994FF669-B81C-4C8C-B396-E32B1B1BFF78}"/>
    <cellStyle name="Normal 3 2 3 4 3 2" xfId="48012" xr:uid="{5EDF6345-6271-4738-B01E-48691AEA5056}"/>
    <cellStyle name="Normal 3 2 3 4 4" xfId="18545" xr:uid="{173EC239-AC9E-4EBF-9AD4-59EB65018170}"/>
    <cellStyle name="Normal 3 2 3 5" xfId="10225" xr:uid="{CEF81111-7B72-4E84-A467-BB84BCA49C4C}"/>
    <cellStyle name="Normal 3 2 3 5 2" xfId="12678" xr:uid="{0A477308-3314-4C58-A200-E9798BC1823D}"/>
    <cellStyle name="Normal 3 2 3 5 2 2" xfId="47918" xr:uid="{97304F9B-B302-44D8-87E1-2A0EDF2BECB2}"/>
    <cellStyle name="Normal 3 2 3 5 3" xfId="18846" xr:uid="{F4C02379-EA55-4221-978C-48BC41BB7EC7}"/>
    <cellStyle name="Normal 3 2 3 6" xfId="10539" xr:uid="{158C5B28-CBD7-446A-BFA0-AAC55D8823C9}"/>
    <cellStyle name="Normal 3 2 3 6 2" xfId="12992" xr:uid="{45577E25-D364-4D9F-BFCF-9AD99BD3922D}"/>
    <cellStyle name="Normal 3 2 3 6 2 2" xfId="47215" xr:uid="{F0916E8E-8D30-4DAA-9628-157F6AD0DE57}"/>
    <cellStyle name="Normal 3 2 3 6 3" xfId="19008" xr:uid="{53B4E278-E80B-406E-9AEC-9B9870EB870A}"/>
    <cellStyle name="Normal 3 2 3 7" xfId="10607" xr:uid="{3EA83C3A-E8E7-4511-96CE-392030CF60EC}"/>
    <cellStyle name="Normal 3 2 3 7 2" xfId="47410" xr:uid="{41AEE0B2-CDBF-4D8E-AE8D-93ADC87891ED}"/>
    <cellStyle name="Normal 3 2 3 8" xfId="16977" xr:uid="{7BA72C5E-A6F8-400D-85B4-0366B4746B8D}"/>
    <cellStyle name="Normal 3 2 4" xfId="2015" xr:uid="{00000000-0005-0000-0000-00002B050000}"/>
    <cellStyle name="Normal 3 2 4 2" xfId="2016" xr:uid="{00000000-0005-0000-0000-00002C050000}"/>
    <cellStyle name="Normal 3 2 4 2 2" xfId="10302" xr:uid="{54D44F06-0F0A-4F79-8068-DA29FED3FF03}"/>
    <cellStyle name="Normal 3 2 4 2 2 2" xfId="12755" xr:uid="{02D34694-2892-485F-BE62-B5CCC4B85945}"/>
    <cellStyle name="Normal 3 2 4 2 2 2 2" xfId="25059" xr:uid="{B0F7C8B2-19AF-4652-9E67-44B535483C93}"/>
    <cellStyle name="Normal 3 2 4 2 2 3" xfId="18885" xr:uid="{ED59A7F5-72C4-49AA-BB84-EC818E40E34B}"/>
    <cellStyle name="Normal 3 2 4 2 3" xfId="11057" xr:uid="{E0FBFB23-164B-4D1B-9E4D-C080A32664F5}"/>
    <cellStyle name="Normal 3 2 4 2 3 2" xfId="46718" xr:uid="{8C68F667-9156-4C44-A401-BCD3FCB167BD}"/>
    <cellStyle name="Normal 3 2 4 2 4" xfId="17817" xr:uid="{5BE9E6F1-CD63-4F99-89AF-E507A3E864D6}"/>
    <cellStyle name="Normal 3 2 4 3" xfId="10068" xr:uid="{3427040F-1CDB-4FFC-88D2-469D2841E0CF}"/>
    <cellStyle name="Normal 3 2 4 3 2" xfId="10378" xr:uid="{B4041505-FE23-4688-9BD9-78639EDC18F6}"/>
    <cellStyle name="Normal 3 2 4 3 2 2" xfId="12831" xr:uid="{686904FD-8F7A-4299-B082-1ECA200B4BD5}"/>
    <cellStyle name="Normal 3 2 4 3 2 2 2" xfId="48108" xr:uid="{6B750345-E736-44FB-B153-FEFD6FBEF568}"/>
    <cellStyle name="Normal 3 2 4 3 2 3" xfId="18923" xr:uid="{70E740C7-14EE-433E-9F43-BEE689EFE5A3}"/>
    <cellStyle name="Normal 3 2 4 3 3" xfId="12527" xr:uid="{07647A0D-B236-4C84-ACD9-7190131B6519}"/>
    <cellStyle name="Normal 3 2 4 3 3 2" xfId="47757" xr:uid="{ED1D5BE3-D7C7-4D34-9A85-A997AC605593}"/>
    <cellStyle name="Normal 3 2 4 3 4" xfId="18771" xr:uid="{5D159D1B-8C23-41B5-AFCD-298CB71558BF}"/>
    <cellStyle name="Normal 3 2 4 4" xfId="10144" xr:uid="{22ED4862-37C2-4A1F-AC80-214C2936F665}"/>
    <cellStyle name="Normal 3 2 4 4 2" xfId="10458" xr:uid="{4FC736F8-5BB8-4409-B5B7-9AC4A0BB7812}"/>
    <cellStyle name="Normal 3 2 4 4 2 2" xfId="12911" xr:uid="{C2B88CF5-E779-40F9-8084-670CDFE570E7}"/>
    <cellStyle name="Normal 3 2 4 4 2 2 2" xfId="46810" xr:uid="{ED745C6D-4483-480E-9692-CE153F94CC67}"/>
    <cellStyle name="Normal 3 2 4 4 2 3" xfId="18965" xr:uid="{D912F64B-5981-44B4-A688-7B6006636D4A}"/>
    <cellStyle name="Normal 3 2 4 4 3" xfId="12600" xr:uid="{F800B506-7A1B-4E99-A8F2-11E1F1BA6A11}"/>
    <cellStyle name="Normal 3 2 4 4 3 2" xfId="46771" xr:uid="{05BB1907-AB30-436E-BB14-85781C1DC03D}"/>
    <cellStyle name="Normal 3 2 4 4 4" xfId="18806" xr:uid="{4911EB8A-9436-4A84-9BAD-0CD3704D230A}"/>
    <cellStyle name="Normal 3 2 4 5" xfId="10224" xr:uid="{51D5C71D-B838-458F-8383-293A14FC776F}"/>
    <cellStyle name="Normal 3 2 4 5 2" xfId="12677" xr:uid="{170E3560-1161-4A69-BBFE-0AEFCCDAD4E7}"/>
    <cellStyle name="Normal 3 2 4 5 2 2" xfId="48338" xr:uid="{C422F38A-E1A9-4DFC-9608-D9591C24C326}"/>
    <cellStyle name="Normal 3 2 4 5 3" xfId="18845" xr:uid="{01A0838F-9F8C-4B5E-806E-09C2C1342872}"/>
    <cellStyle name="Normal 3 2 4 6" xfId="10538" xr:uid="{70094AAF-5501-4F0A-8B7E-13A5A99DE90C}"/>
    <cellStyle name="Normal 3 2 4 6 2" xfId="12991" xr:uid="{7B2768B6-0083-435D-9788-938333EC5C88}"/>
    <cellStyle name="Normal 3 2 4 6 2 2" xfId="32464" xr:uid="{CD924B37-5E33-49EF-8D56-A35D878C1FA6}"/>
    <cellStyle name="Normal 3 2 4 6 3" xfId="19007" xr:uid="{E3063396-EC96-43DE-90CC-0C35184E6B83}"/>
    <cellStyle name="Normal 3 2 4 7" xfId="11056" xr:uid="{AC257383-14A1-4FE6-B5BE-E87B660D0758}"/>
    <cellStyle name="Normal 3 2 4 7 2" xfId="47688" xr:uid="{5F555792-EE12-45EB-9E3C-CE4A52CE1AAF}"/>
    <cellStyle name="Normal 3 2 4 8" xfId="16978" xr:uid="{5FA44F41-1529-4D76-84F4-FA8F8D016197}"/>
    <cellStyle name="Normal 3 2 5" xfId="2017" xr:uid="{00000000-0005-0000-0000-00002D050000}"/>
    <cellStyle name="Normal 3 2 5 2" xfId="10288" xr:uid="{E4A64D2A-8653-4C6C-90C5-99EA77BD416D}"/>
    <cellStyle name="Normal 3 2 5 2 2" xfId="12741" xr:uid="{94A807F3-9AEF-4A23-8FE3-A6DEDB727660}"/>
    <cellStyle name="Normal 3 2 5 2 2 2" xfId="25324" xr:uid="{A16E4384-2652-492A-9527-E5034DA334BD}"/>
    <cellStyle name="Normal 3 2 5 2 3" xfId="18876" xr:uid="{99FC5848-125C-4B58-9D3A-E3794C84F7CE}"/>
    <cellStyle name="Normal 3 2 5 3" xfId="11058" xr:uid="{0C6335F5-4BD3-445C-858F-238826B017DA}"/>
    <cellStyle name="Normal 3 2 5 3 2" xfId="26138" xr:uid="{F2F01B62-BAA8-421A-93C8-76D6DEFAD4A2}"/>
    <cellStyle name="Normal 3 2 5 4" xfId="17818" xr:uid="{7239B199-6728-4523-8E1E-BBBD12EBEB22}"/>
    <cellStyle name="Normal 3 2 6" xfId="10054" xr:uid="{21C6132E-2393-4238-B5D0-14D7B04852A2}"/>
    <cellStyle name="Normal 3 2 6 2" xfId="10362" xr:uid="{1BC3CF14-C617-4315-9AD8-B28E612449B4}"/>
    <cellStyle name="Normal 3 2 6 2 2" xfId="12815" xr:uid="{ECE69015-CE5E-412D-9FAB-248640CF67FF}"/>
    <cellStyle name="Normal 3 2 6 2 2 2" xfId="46357" xr:uid="{13BD3EE1-CD52-4347-9C90-0BE7021ED0FC}"/>
    <cellStyle name="Normal 3 2 6 2 3" xfId="18912" xr:uid="{8DB01723-E88F-4C7F-B596-4AE316BB7217}"/>
    <cellStyle name="Normal 3 2 6 3" xfId="12138" xr:uid="{2B6BE014-5F48-4DE3-B8B4-2FF6F5B842B5}"/>
    <cellStyle name="Normal 3 2 6 3 2" xfId="47088" xr:uid="{0B5DA8E4-DE14-4DB7-AE74-ADC9DDD5B1D5}"/>
    <cellStyle name="Normal 3 2 6 4" xfId="18546" xr:uid="{050F3ACE-48AA-4712-B4F0-82A50D26AB08}"/>
    <cellStyle name="Normal 3 2 7" xfId="10128" xr:uid="{02F08D3B-5787-4B88-85D0-F90167A565E8}"/>
    <cellStyle name="Normal 3 2 7 2" xfId="10442" xr:uid="{164AE200-F138-4632-A632-41356F1C45C3}"/>
    <cellStyle name="Normal 3 2 7 2 2" xfId="12895" xr:uid="{B5C9CCF5-9DCD-4ABD-A693-9FE2AF408DE4}"/>
    <cellStyle name="Normal 3 2 7 2 2 2" xfId="46366" xr:uid="{5F1FE77F-1943-4F69-8838-7AFFD2542215}"/>
    <cellStyle name="Normal 3 2 7 2 3" xfId="18954" xr:uid="{D959D8F8-B73F-4CD7-846F-2E59D5EA4971}"/>
    <cellStyle name="Normal 3 2 7 3" xfId="12585" xr:uid="{45E6C338-10CE-48E5-9618-9514B71D7EF1}"/>
    <cellStyle name="Normal 3 2 7 3 2" xfId="25330" xr:uid="{21C45FD1-4192-476A-8760-5AE199B61D0F}"/>
    <cellStyle name="Normal 3 2 7 4" xfId="18796" xr:uid="{EE4CB540-C5ED-429A-838F-2AA5FF01717C}"/>
    <cellStyle name="Normal 3 2 8" xfId="10208" xr:uid="{49D3050D-1C9C-43A1-AE04-9B910AB21C02}"/>
    <cellStyle name="Normal 3 2 8 2" xfId="12661" xr:uid="{A2F1DD4A-F00A-4E51-A19F-485F7C55A9A8}"/>
    <cellStyle name="Normal 3 2 8 2 2" xfId="47094" xr:uid="{4E13E985-3EB2-4064-8C26-E824E1D9D111}"/>
    <cellStyle name="Normal 3 2 8 3" xfId="48955" xr:uid="{9F6F426E-7D2B-47FD-8CB4-FFB457BDBB26}"/>
    <cellStyle name="Normal 3 2 8 4" xfId="18834" xr:uid="{1F226EA0-3159-4568-A177-9FC401A3B8CC}"/>
    <cellStyle name="Normal 3 2 9" xfId="10522" xr:uid="{4A4B5765-0F52-4C4B-AB28-9EA060995F42}"/>
    <cellStyle name="Normal 3 2 9 2" xfId="12975" xr:uid="{DEA67BE3-6C0B-4372-841F-862810066460}"/>
    <cellStyle name="Normal 3 2 9 2 2" xfId="48561" xr:uid="{8405B6FD-A0F3-4F74-8805-0581CA8C0FFC}"/>
    <cellStyle name="Normal 3 2 9 3" xfId="18996" xr:uid="{E46801CB-705C-4D43-A49F-3BD87F79B720}"/>
    <cellStyle name="Normal 3 3" xfId="560" xr:uid="{00000000-0005-0000-0000-00002E050000}"/>
    <cellStyle name="Normal 3 3 2" xfId="2018" xr:uid="{00000000-0005-0000-0000-00002F050000}"/>
    <cellStyle name="Normal 3 3 2 2" xfId="2019" xr:uid="{00000000-0005-0000-0000-000030050000}"/>
    <cellStyle name="Normal 3 3 2 2 2" xfId="2020" xr:uid="{00000000-0005-0000-0000-000031050000}"/>
    <cellStyle name="Normal 3 3 2 2 2 2" xfId="11061" xr:uid="{8A4ABD6D-0C14-4B20-91A2-4274D592ED4F}"/>
    <cellStyle name="Normal 3 3 2 2 2 2 2" xfId="47007" xr:uid="{76F50B4F-13A7-40BB-9DC0-54C4898108FF}"/>
    <cellStyle name="Normal 3 3 2 2 2 3" xfId="17820" xr:uid="{F55A21E8-CBE8-46E4-AB14-95FF951F0363}"/>
    <cellStyle name="Normal 3 3 2 2 3" xfId="11060" xr:uid="{FD676D40-43B8-488B-B670-768859643336}"/>
    <cellStyle name="Normal 3 3 2 2 3 2" xfId="26139" xr:uid="{8D978203-DA79-47BB-B27F-E318D2DF41D6}"/>
    <cellStyle name="Normal 3 3 2 2 4" xfId="17819" xr:uid="{AA74505C-D3DE-4F4D-AF86-AAFFFE34232C}"/>
    <cellStyle name="Normal 3 3 2 3" xfId="2021" xr:uid="{00000000-0005-0000-0000-000032050000}"/>
    <cellStyle name="Normal 3 3 2 3 2" xfId="10380" xr:uid="{3307ECC6-B609-42E1-8275-18E3651F8975}"/>
    <cellStyle name="Normal 3 3 2 3 2 2" xfId="12833" xr:uid="{D74DB17A-4F8F-419C-ACE6-3C57477E1304}"/>
    <cellStyle name="Normal 3 3 2 3 2 2 2" xfId="47473" xr:uid="{A3CF96E7-599F-4217-93A9-F35C4FFF0ADC}"/>
    <cellStyle name="Normal 3 3 2 3 2 3" xfId="18925" xr:uid="{671DCC0C-3D8F-4CF6-8282-55CE7AAAA237}"/>
    <cellStyle name="Normal 3 3 2 3 3" xfId="11062" xr:uid="{B419E045-FF3A-459A-9E0B-38719EA2DB0C}"/>
    <cellStyle name="Normal 3 3 2 3 3 2" xfId="48269" xr:uid="{4629FBE4-CBA5-4E3D-A454-F5275D4BDCBA}"/>
    <cellStyle name="Normal 3 3 2 3 4" xfId="17821" xr:uid="{B650CAE3-35D2-4D9C-AF0F-943C05F9F59C}"/>
    <cellStyle name="Normal 3 3 2 4" xfId="10146" xr:uid="{6E658A4A-C2AA-4BD8-91C4-DFA4D3263DA9}"/>
    <cellStyle name="Normal 3 3 2 4 2" xfId="10460" xr:uid="{91C6E2DA-0846-43DB-968F-D2AF3E0AFBF6}"/>
    <cellStyle name="Normal 3 3 2 4 2 2" xfId="12913" xr:uid="{7DEA705A-D581-4B8C-9313-9B7E291CF6F8}"/>
    <cellStyle name="Normal 3 3 2 4 2 2 2" xfId="47923" xr:uid="{BEC22676-5575-4D03-842A-EACEAC70E3CB}"/>
    <cellStyle name="Normal 3 3 2 4 2 3" xfId="18967" xr:uid="{C192569D-E9BF-4D6E-A763-C0E1A732B2AE}"/>
    <cellStyle name="Normal 3 3 2 4 3" xfId="12139" xr:uid="{2A0252CB-7F13-49AD-A53C-E4893D1A6341}"/>
    <cellStyle name="Normal 3 3 2 4 3 2" xfId="32467" xr:uid="{9A971025-7E86-4ED0-BF82-52CA24632688}"/>
    <cellStyle name="Normal 3 3 2 4 4" xfId="18547" xr:uid="{48AD91B9-9DDB-48B2-99D8-947609DA75CC}"/>
    <cellStyle name="Normal 3 3 2 5" xfId="10226" xr:uid="{14E04B5F-DB54-4BF0-B955-9316BD2EAE86}"/>
    <cellStyle name="Normal 3 3 2 5 2" xfId="12679" xr:uid="{949E858C-7CC9-42FC-B807-54CD8AD419D5}"/>
    <cellStyle name="Normal 3 3 2 5 2 2" xfId="25329" xr:uid="{FB7E9E4B-1A6D-49F8-9D68-266DA9674176}"/>
    <cellStyle name="Normal 3 3 2 5 3" xfId="18847" xr:uid="{22088A59-85CC-4C64-9AB1-8B185E388555}"/>
    <cellStyle name="Normal 3 3 2 6" xfId="10540" xr:uid="{71A8A5A2-975B-4295-8F94-0CA81CE0B3EB}"/>
    <cellStyle name="Normal 3 3 2 6 2" xfId="12993" xr:uid="{F22A8B87-92DC-4D6C-A029-F1FABE778E54}"/>
    <cellStyle name="Normal 3 3 2 6 2 2" xfId="46674" xr:uid="{1FFAC18B-D0BE-4499-B4A4-C9CE1E6F9F93}"/>
    <cellStyle name="Normal 3 3 2 6 3" xfId="19009" xr:uid="{331662FA-1DAC-498D-ACEB-9ACCAB837C57}"/>
    <cellStyle name="Normal 3 3 2 7" xfId="11059" xr:uid="{19D28FA9-914C-49BE-96AB-EC0822E5B2C4}"/>
    <cellStyle name="Normal 3 3 2 7 2" xfId="48180" xr:uid="{E722C68F-CADE-4680-BB2A-F48D97100DD2}"/>
    <cellStyle name="Normal 3 3 2 8" xfId="16980" xr:uid="{1E654AED-B58E-4E1E-B487-C18CBEB96637}"/>
    <cellStyle name="Normal 3 3 3" xfId="2022" xr:uid="{00000000-0005-0000-0000-000033050000}"/>
    <cellStyle name="Normal 3 3 3 2" xfId="2023" xr:uid="{00000000-0005-0000-0000-000034050000}"/>
    <cellStyle name="Normal 3 3 3 2 2" xfId="11064" xr:uid="{8F4A6B30-87F6-4F6A-8EF8-EE806FC11C94}"/>
    <cellStyle name="Normal 3 3 3 2 2 2" xfId="47156" xr:uid="{5B7AD9D6-B28A-4B3A-BB55-025BBEEC851F}"/>
    <cellStyle name="Normal 3 3 3 2 3" xfId="17823" xr:uid="{588798CB-8EBD-4AF2-9FED-9055803973A6}"/>
    <cellStyle name="Normal 3 3 3 3" xfId="11063" xr:uid="{5E78B465-7275-46A5-A499-9E92683AA57C}"/>
    <cellStyle name="Normal 3 3 3 3 2" xfId="26140" xr:uid="{7475B5DD-2C94-47D9-8E2D-20B34058E7E8}"/>
    <cellStyle name="Normal 3 3 3 4" xfId="17822" xr:uid="{56A12C50-982B-417B-9BD7-5E5918036EEC}"/>
    <cellStyle name="Normal 3 3 4" xfId="2024" xr:uid="{00000000-0005-0000-0000-000035050000}"/>
    <cellStyle name="Normal 3 3 4 2" xfId="10370" xr:uid="{EFD716B1-A43C-4116-ADFA-7B7441B082AF}"/>
    <cellStyle name="Normal 3 3 4 2 2" xfId="12823" xr:uid="{3F8265C1-C86F-49DA-BEBB-CF935DD85423}"/>
    <cellStyle name="Normal 3 3 4 2 2 2" xfId="46359" xr:uid="{092B0CDF-6A51-4BEB-A475-0267660F2B37}"/>
    <cellStyle name="Normal 3 3 4 2 3" xfId="18916" xr:uid="{91C51D28-E7EA-4E33-966D-1E0410A57DDC}"/>
    <cellStyle name="Normal 3 3 4 3" xfId="11065" xr:uid="{41E7FCBF-FAE3-45B6-B92F-9B22EB82DE00}"/>
    <cellStyle name="Normal 3 3 4 3 2" xfId="26141" xr:uid="{533A8FA8-3596-4E09-AAC4-52941B6E3CF5}"/>
    <cellStyle name="Normal 3 3 4 4" xfId="17824" xr:uid="{3675B459-0D12-43FF-850D-A02B404852FD}"/>
    <cellStyle name="Normal 3 3 5" xfId="6972" xr:uid="{A63F98B2-E092-4EBD-8D68-52731810AA8E}"/>
    <cellStyle name="Normal 3 3 5 2" xfId="10450" xr:uid="{E4D183F6-D50F-44E5-A0F7-CAD28FC1DD23}"/>
    <cellStyle name="Normal 3 3 5 2 2" xfId="12903" xr:uid="{E6EC10CF-5670-4B4A-85B5-ADBED117F6DF}"/>
    <cellStyle name="Normal 3 3 5 2 2 2" xfId="25042" xr:uid="{D98DCB5C-8F63-406C-8BA2-0F321B4C9704}"/>
    <cellStyle name="Normal 3 3 5 2 3" xfId="18958" xr:uid="{6ED179D0-ED2B-435F-8090-B0EE5F923035}"/>
    <cellStyle name="Normal 3 3 5 3" xfId="12141" xr:uid="{F98947DA-960B-40D6-BDC6-B0903722EA2A}"/>
    <cellStyle name="Normal 3 3 5 3 2" xfId="46660" xr:uid="{28B2F1A5-9150-4A23-80C7-5FD65BB3D93A}"/>
    <cellStyle name="Normal 3 3 5 4" xfId="18548" xr:uid="{EBC06D00-1FD9-437C-B30A-B1A2943F1C35}"/>
    <cellStyle name="Normal 3 3 5 5" xfId="10136" xr:uid="{E8D789BF-E14D-4BBA-890B-24F37A247B5B}"/>
    <cellStyle name="Normal 3 3 6" xfId="10216" xr:uid="{32C08230-EC63-45E3-A880-CBEC8C6C768C}"/>
    <cellStyle name="Normal 3 3 6 2" xfId="12669" xr:uid="{28B1C55D-11E7-4856-81BD-D0106E5069D0}"/>
    <cellStyle name="Normal 3 3 6 2 2" xfId="26142" xr:uid="{8F8355F0-71BB-4A56-862A-298CFB5DD4D1}"/>
    <cellStyle name="Normal 3 3 6 3" xfId="18838" xr:uid="{F1DDB537-BCB5-4978-8763-E849E3F55AF0}"/>
    <cellStyle name="Normal 3 3 7" xfId="10530" xr:uid="{C8BDA6D2-BF86-4AF7-8C6D-8DF5E187A324}"/>
    <cellStyle name="Normal 3 3 7 2" xfId="12983" xr:uid="{98BA8C2C-D9BE-48CF-8ED1-BD37371AACF0}"/>
    <cellStyle name="Normal 3 3 7 2 2" xfId="47170" xr:uid="{C0D590CC-952A-4EF0-9EE7-71292925575F}"/>
    <cellStyle name="Normal 3 3 7 3" xfId="19000" xr:uid="{8F3AA57C-BC5B-4B56-A4E0-B0B2053D5FCF}"/>
    <cellStyle name="Normal 3 3 8" xfId="10608" xr:uid="{85B51ABF-10AD-440D-8EC9-185D1430271B}"/>
    <cellStyle name="Normal 3 3 8 2" xfId="26143" xr:uid="{F2063373-6200-4B28-9216-D56F0D03026B}"/>
    <cellStyle name="Normal 3 3 9" xfId="16979" xr:uid="{455024A0-5163-44E1-8822-957FBB636131}"/>
    <cellStyle name="Normal 3 4" xfId="561" xr:uid="{00000000-0005-0000-0000-000036050000}"/>
    <cellStyle name="Normal 3 4 10" xfId="16981" xr:uid="{C604B1A7-1CFB-4375-B9DD-1DA971C87E97}"/>
    <cellStyle name="Normal 3 4 2" xfId="2025" xr:uid="{00000000-0005-0000-0000-000037050000}"/>
    <cellStyle name="Normal 3 4 2 2" xfId="4086" xr:uid="{982A97FA-4A6D-48BC-BB6D-A5B7619499EB}"/>
    <cellStyle name="Normal 3 4 2 2 2" xfId="10308" xr:uid="{A829F642-6C4E-4CCF-8951-A7F810E8578F}"/>
    <cellStyle name="Normal 3 4 2 2 2 2" xfId="12761" xr:uid="{3FC46C51-C77C-4ADD-96EE-15774FE7D12A}"/>
    <cellStyle name="Normal 3 4 2 2 2 2 2" xfId="25057" xr:uid="{D0F46D73-1E77-45D2-9AAF-7DCA44A5185E}"/>
    <cellStyle name="Normal 3 4 2 2 2 3" xfId="18890" xr:uid="{1322A6E3-D458-4C60-9069-BC86F32128FD}"/>
    <cellStyle name="Normal 3 4 2 2 3" xfId="12460" xr:uid="{125F3050-E868-46F0-A357-A64EE4EC56AE}"/>
    <cellStyle name="Normal 3 4 2 2 3 2" xfId="48013" xr:uid="{7196B7A3-C2B3-429B-B098-C8B71DE078A3}"/>
    <cellStyle name="Normal 3 4 2 2 4" xfId="18741" xr:uid="{9A12EC44-28F5-475B-9637-11AB20D535B6}"/>
    <cellStyle name="Normal 3 4 2 3" xfId="10075" xr:uid="{4226AAC1-5969-425E-8D5B-84129A42CA70}"/>
    <cellStyle name="Normal 3 4 2 3 2" xfId="10387" xr:uid="{2C74D0E8-B1F2-46F2-9F5C-F7307B6F09FE}"/>
    <cellStyle name="Normal 3 4 2 3 2 2" xfId="12840" xr:uid="{96496C4E-E97B-4149-8ED9-771DFAFC9311}"/>
    <cellStyle name="Normal 3 4 2 3 2 2 2" xfId="47621" xr:uid="{E4E52E2C-2031-4108-A4B6-FFF63BF48216}"/>
    <cellStyle name="Normal 3 4 2 3 2 3" xfId="18931" xr:uid="{73671A91-2468-4B6A-B8C2-C8E0C2DB5622}"/>
    <cellStyle name="Normal 3 4 2 3 3" xfId="12532" xr:uid="{B311FEB9-BE65-45E0-9C5C-6FBBE10D12A5}"/>
    <cellStyle name="Normal 3 4 2 3 3 2" xfId="46765" xr:uid="{F726D0F5-FC44-454D-91AA-F9F9CCD96898}"/>
    <cellStyle name="Normal 3 4 2 3 4" xfId="18775" xr:uid="{1F8DB5B5-A6C7-461A-ABF5-0C3743357B9A}"/>
    <cellStyle name="Normal 3 4 2 4" xfId="10153" xr:uid="{A242BF8A-C7F0-4673-AC64-171799D2E9D6}"/>
    <cellStyle name="Normal 3 4 2 4 2" xfId="10467" xr:uid="{74EAD9A6-A7F7-4D65-9204-05693361C721}"/>
    <cellStyle name="Normal 3 4 2 4 2 2" xfId="12920" xr:uid="{5569E045-B211-4E7F-9558-060B5DDA4C4A}"/>
    <cellStyle name="Normal 3 4 2 4 2 2 2" xfId="46370" xr:uid="{E18CCDDE-9A36-4340-9CE4-8DEB0BE6436C}"/>
    <cellStyle name="Normal 3 4 2 4 2 3" xfId="18973" xr:uid="{2024D201-EC07-49B5-8A1A-EF29392B630D}"/>
    <cellStyle name="Normal 3 4 2 4 3" xfId="12607" xr:uid="{714E647E-54EB-454F-A936-C47A405FD274}"/>
    <cellStyle name="Normal 3 4 2 4 3 2" xfId="48336" xr:uid="{69703FEB-BC0D-4BB1-B1E5-A6C621BB8F94}"/>
    <cellStyle name="Normal 3 4 2 4 4" xfId="18812" xr:uid="{F5BB4133-F7EB-4C99-90DA-21DD7CA4E108}"/>
    <cellStyle name="Normal 3 4 2 5" xfId="10233" xr:uid="{77589AED-98A9-4460-9A51-150D56A86229}"/>
    <cellStyle name="Normal 3 4 2 5 2" xfId="12686" xr:uid="{90C72FF9-B51D-4843-8CE5-46405BB765A8}"/>
    <cellStyle name="Normal 3 4 2 5 2 2" xfId="25325" xr:uid="{943CFC2A-A8F6-41C8-9BCC-06DD121829E4}"/>
    <cellStyle name="Normal 3 4 2 5 3" xfId="18853" xr:uid="{0A521745-B407-4C5B-9865-6CBA7956AE54}"/>
    <cellStyle name="Normal 3 4 2 6" xfId="10547" xr:uid="{BD516B81-D860-45C2-BAFA-333C96597CC3}"/>
    <cellStyle name="Normal 3 4 2 6 2" xfId="13000" xr:uid="{32C1B685-CD9A-4D8E-8117-98E88C00938D}"/>
    <cellStyle name="Normal 3 4 2 6 2 2" xfId="46820" xr:uid="{1EC0A7E2-23E6-4B28-ABAD-1D9FEFE2681F}"/>
    <cellStyle name="Normal 3 4 2 6 3" xfId="19015" xr:uid="{C1754B61-BE41-4953-83B2-8831A6A3999C}"/>
    <cellStyle name="Normal 3 4 2 7" xfId="11492" xr:uid="{06C4F2F1-63DA-4D8D-BA03-4E7EC26172F7}"/>
    <cellStyle name="Normal 3 4 2 7 2" xfId="18121" xr:uid="{9DFB13B7-557D-4D11-913F-119D140BB699}"/>
    <cellStyle name="Normal 3 4 2 8" xfId="11066" xr:uid="{A1542CA1-CF74-40F5-90F3-9636D68EA2D4}"/>
    <cellStyle name="Normal 3 4 2 9" xfId="16982" xr:uid="{C21144CC-96BE-4B6F-A043-62C8E645011B}"/>
    <cellStyle name="Normal 3 4 3" xfId="8068" xr:uid="{5629B4EE-DD19-404C-995D-F156322B7CF9}"/>
    <cellStyle name="Normal 3 4 3 2" xfId="11661" xr:uid="{2D983834-7BDC-408B-948C-B4D01911366C}"/>
    <cellStyle name="Normal 3 4 3 2 2" xfId="26145" xr:uid="{F421AD24-1D49-4B53-8DA9-D6531E66D0DD}"/>
    <cellStyle name="Normal 3 4 3 3" xfId="11487" xr:uid="{55A547B1-6C57-40AA-ABF5-F89DB94D7927}"/>
    <cellStyle name="Normal 3 4 3 4" xfId="26144" xr:uid="{9829F2CA-C384-4C2F-8FF2-9730389D62C1}"/>
    <cellStyle name="Normal 3 4 4" xfId="9766" xr:uid="{89841084-E306-41E1-8969-11C83DF6C645}"/>
    <cellStyle name="Normal 3 4 4 2" xfId="10294" xr:uid="{CB8C576E-7A22-42FC-AB27-3B33726E18A4}"/>
    <cellStyle name="Normal 3 4 4 2 2" xfId="12747" xr:uid="{7E842B8A-3FD7-47B1-911D-5A83752DFC64}"/>
    <cellStyle name="Normal 3 4 4 2 2 2" xfId="47962" xr:uid="{C17407C9-A3A5-429D-9BA2-71B662D89D21}"/>
    <cellStyle name="Normal 3 4 4 2 3" xfId="18878" xr:uid="{572D6CB7-4DD2-4D03-8A7C-003AA83062D7}"/>
    <cellStyle name="Normal 3 4 4 3" xfId="12452" xr:uid="{364C1ED4-E4BE-4967-B5BE-0A8B7460CCB4}"/>
    <cellStyle name="Normal 3 4 4 3 2" xfId="46756" xr:uid="{F0E816A0-8CA2-4A40-889F-7265FFF62431}"/>
    <cellStyle name="Normal 3 4 4 4" xfId="18734" xr:uid="{7F8A54BD-7A5A-43D2-BEF0-56959CABF4CF}"/>
    <cellStyle name="Normal 3 4 5" xfId="10060" xr:uid="{DD45D6FD-4102-4DEF-B99E-01B4F0C846BB}"/>
    <cellStyle name="Normal 3 4 5 2" xfId="10368" xr:uid="{0B58E21C-A08A-4357-AA6C-4CE7C8F5BE91}"/>
    <cellStyle name="Normal 3 4 5 2 2" xfId="12821" xr:uid="{7A128275-E30D-40B9-9E36-D0553A7BB1E2}"/>
    <cellStyle name="Normal 3 4 5 2 2 2" xfId="47098" xr:uid="{0C7A9C01-A3DA-4273-B55F-EF52542E3D59}"/>
    <cellStyle name="Normal 3 4 5 2 3" xfId="18914" xr:uid="{8DA9866B-DB1C-430D-AB9D-8CC41C7B1F6A}"/>
    <cellStyle name="Normal 3 4 5 3" xfId="12519" xr:uid="{80648298-A2CD-48A4-A8C5-41B7E75E7923}"/>
    <cellStyle name="Normal 3 4 5 3 2" xfId="48104" xr:uid="{3CEA7BEC-84AC-4C97-975C-278AD07322D4}"/>
    <cellStyle name="Normal 3 4 5 4" xfId="18764" xr:uid="{17754154-FEAC-41C8-BCCB-D05DF85158EC}"/>
    <cellStyle name="Normal 3 4 6" xfId="10134" xr:uid="{ECCF33F1-2ABA-4436-9C0E-40BA4238CFE4}"/>
    <cellStyle name="Normal 3 4 6 2" xfId="10448" xr:uid="{39C98205-0BFD-4393-A3AE-04678889ECEC}"/>
    <cellStyle name="Normal 3 4 6 2 2" xfId="12901" xr:uid="{37C10A97-45F2-45D8-9032-73AA7F4964E6}"/>
    <cellStyle name="Normal 3 4 6 2 2 2" xfId="32289" xr:uid="{35026EB0-7C92-4053-8C1E-3A83490B6A6C}"/>
    <cellStyle name="Normal 3 4 6 2 3" xfId="18956" xr:uid="{94CA15E6-BCB6-4369-B078-CC5A08E3D942}"/>
    <cellStyle name="Normal 3 4 6 3" xfId="12591" xr:uid="{AA3CDA29-B905-4711-8C94-C371E89531CA}"/>
    <cellStyle name="Normal 3 4 6 3 2" xfId="47961" xr:uid="{D75DB446-6DC7-4034-9850-9F5F56E405C1}"/>
    <cellStyle name="Normal 3 4 6 4" xfId="18798" xr:uid="{0C3D6A4B-314C-48A8-ACB8-FFBD4EE4E481}"/>
    <cellStyle name="Normal 3 4 7" xfId="10214" xr:uid="{7F17FB2E-30D6-4A42-A50E-242C390CC632}"/>
    <cellStyle name="Normal 3 4 7 2" xfId="12667" xr:uid="{F6DEDA23-521B-480C-8076-A6A0A72A76B1}"/>
    <cellStyle name="Normal 3 4 7 2 2" xfId="46339" xr:uid="{A94B4896-7E51-4EFF-ACDD-ED90AF9A9D26}"/>
    <cellStyle name="Normal 3 4 7 3" xfId="18836" xr:uid="{512ECA1E-46A9-4D15-97B4-BE68705D754F}"/>
    <cellStyle name="Normal 3 4 8" xfId="10528" xr:uid="{A1192634-8AA3-49CE-A047-94114E74415F}"/>
    <cellStyle name="Normal 3 4 8 2" xfId="12981" xr:uid="{DC1D680E-5C64-4D1A-83D2-0B18E6D6DA1F}"/>
    <cellStyle name="Normal 3 4 8 2 2" xfId="47694" xr:uid="{7F1CE5E1-B713-4758-AD27-11817A5F83BD}"/>
    <cellStyle name="Normal 3 4 8 3" xfId="18998" xr:uid="{973DFEA2-3696-40D4-8166-147D5AB3BD7C}"/>
    <cellStyle name="Normal 3 4 9" xfId="12267" xr:uid="{1670B404-4DF1-4435-B883-5159A1F11F06}"/>
    <cellStyle name="Normal 3 4 9 2" xfId="18624" xr:uid="{54BBAEB0-367A-417D-BED4-E9DC29655768}"/>
    <cellStyle name="Normal 3 5" xfId="562" xr:uid="{00000000-0005-0000-0000-000038050000}"/>
    <cellStyle name="Normal 3 5 10" xfId="48956" xr:uid="{53F50C19-4920-4F33-8DEA-558ADC978472}"/>
    <cellStyle name="Normal 3 5 2" xfId="4087" xr:uid="{D50390D2-3E3E-43F5-8220-10DC2BBCACB8}"/>
    <cellStyle name="Normal 3 5 2 2" xfId="26148" xr:uid="{72E55F7D-33AA-424D-A64A-3AF104D8C4D1}"/>
    <cellStyle name="Normal 3 5 2 2 2" xfId="26149" xr:uid="{4A0CBA7A-690A-495A-AD48-7305A61BD7EA}"/>
    <cellStyle name="Normal 3 5 2 3" xfId="26150" xr:uid="{38F89E72-9B89-4278-B790-02F2B47E779B}"/>
    <cellStyle name="Normal 3 5 2 3 2" xfId="26151" xr:uid="{855CE5F6-CEEC-4E59-89B8-8DF0A29B4BFB}"/>
    <cellStyle name="Normal 3 5 2 4" xfId="26152" xr:uid="{2490173E-8867-424A-8B15-CC319242EA13}"/>
    <cellStyle name="Normal 3 5 2 5" xfId="26147" xr:uid="{0922B9AB-0F2E-43F6-9FFC-A4AD07ED9CFC}"/>
    <cellStyle name="Normal 3 5 3" xfId="8069" xr:uid="{31C77FFB-D94E-402D-B347-03BE6375886C}"/>
    <cellStyle name="Normal 3 5 3 2" xfId="26154" xr:uid="{2BA2E33D-9CA9-409C-9919-8E9B6B28CC62}"/>
    <cellStyle name="Normal 3 5 3 3" xfId="26153" xr:uid="{7F6E1363-74A6-4B6C-95B9-A4B93DB02CEA}"/>
    <cellStyle name="Normal 3 5 4" xfId="12161" xr:uid="{DD165294-7C12-4B0C-872D-67CFD66ED538}"/>
    <cellStyle name="Normal 3 5 4 2" xfId="26156" xr:uid="{B3267777-3D8C-4BA4-8261-7F094E0CEC69}"/>
    <cellStyle name="Normal 3 5 4 3" xfId="26155" xr:uid="{521EFD84-6249-45A3-B2B3-DCCCBB16B806}"/>
    <cellStyle name="Normal 3 5 5" xfId="26157" xr:uid="{81CC1442-77FC-454B-9C6F-72ACDD7EDF59}"/>
    <cellStyle name="Normal 3 5 5 2" xfId="26158" xr:uid="{08E520F3-FA13-4A9A-8053-287DD1DF2AA7}"/>
    <cellStyle name="Normal 3 5 6" xfId="26159" xr:uid="{A0806662-D658-4A75-A37D-0961D365667C}"/>
    <cellStyle name="Normal 3 5 7" xfId="26160" xr:uid="{328E01C4-6311-4CE9-9BEA-41BE4D45E0D0}"/>
    <cellStyle name="Normal 3 5 8" xfId="26161" xr:uid="{58C8159E-3847-4116-B697-211BC8D49B2C}"/>
    <cellStyle name="Normal 3 5 9" xfId="26146" xr:uid="{10586F55-6CFA-4D3C-AA6E-01C133D41B56}"/>
    <cellStyle name="Normal 3 6" xfId="2026" xr:uid="{00000000-0005-0000-0000-000039050000}"/>
    <cellStyle name="Normal 3 6 10" xfId="16983" xr:uid="{2452EC57-91C4-4AD7-B8A2-1B7F60589CDE}"/>
    <cellStyle name="Normal 3 6 2" xfId="2027" xr:uid="{00000000-0005-0000-0000-00003A050000}"/>
    <cellStyle name="Normal 3 6 2 2" xfId="10301" xr:uid="{51C998F9-AF0E-4D3F-9602-D38571B18BF3}"/>
    <cellStyle name="Normal 3 6 2 2 2" xfId="12754" xr:uid="{0F3F700D-3297-4140-B924-F73F545BB8A8}"/>
    <cellStyle name="Normal 3 6 2 2 2 2" xfId="26162" xr:uid="{0CA467FB-77C2-4C6E-A850-3C275EC9517B}"/>
    <cellStyle name="Normal 3 6 2 2 3" xfId="18884" xr:uid="{136C29BC-1DC9-4322-887A-38DBA8629E9A}"/>
    <cellStyle name="Normal 3 6 2 3" xfId="11068" xr:uid="{04109416-18AD-4218-89F0-0AE7F342C42A}"/>
    <cellStyle name="Normal 3 6 2 3 2" xfId="26164" xr:uid="{ACBFC6A1-584A-4421-B12A-945BFCF1B65B}"/>
    <cellStyle name="Normal 3 6 2 3 3" xfId="26163" xr:uid="{DD6291F8-05F8-4786-8B6C-A18D5954B3CE}"/>
    <cellStyle name="Normal 3 6 2 4" xfId="26165" xr:uid="{B8B5CF62-D4DA-4D8D-B3F0-120612BEE1CA}"/>
    <cellStyle name="Normal 3 6 2 5" xfId="17825" xr:uid="{8EAAA564-0161-41F7-8200-86695A4A6345}"/>
    <cellStyle name="Normal 3 6 3" xfId="10067" xr:uid="{65DE7A3B-3429-410A-A304-6B866A358FE1}"/>
    <cellStyle name="Normal 3 6 3 2" xfId="10377" xr:uid="{23E5B567-313A-48BC-AC09-E4E134D1CC0E}"/>
    <cellStyle name="Normal 3 6 3 2 2" xfId="12830" xr:uid="{71FCFF28-C92F-41DD-8A8E-6BFEDEB1F38F}"/>
    <cellStyle name="Normal 3 6 3 2 2 2" xfId="32424" xr:uid="{B4AD5C7F-7052-4A4E-AA63-2D32130563A3}"/>
    <cellStyle name="Normal 3 6 3 2 3" xfId="18922" xr:uid="{C6E3328A-FA98-4B0D-9B30-E214D0409158}"/>
    <cellStyle name="Normal 3 6 3 3" xfId="12526" xr:uid="{D6C80F7C-33E5-474E-9943-9C2757F40FBE}"/>
    <cellStyle name="Normal 3 6 3 3 2" xfId="46764" xr:uid="{9985495A-4207-45DB-BA09-1A91D3981C50}"/>
    <cellStyle name="Normal 3 6 3 4" xfId="18770" xr:uid="{06DB7F1F-8BDB-4E82-8729-3FE5652EDCC9}"/>
    <cellStyle name="Normal 3 6 4" xfId="10143" xr:uid="{FE5C4048-12DB-4F41-AE73-5137CBE61378}"/>
    <cellStyle name="Normal 3 6 4 2" xfId="10457" xr:uid="{000CC181-4FF5-48BC-B050-D84DAB99C095}"/>
    <cellStyle name="Normal 3 6 4 2 2" xfId="12910" xr:uid="{95C1090E-E2E8-4081-A902-09CF601D0A6C}"/>
    <cellStyle name="Normal 3 6 4 2 2 2" xfId="47528" xr:uid="{EF8E565B-C7B2-43E2-98CB-788BC5523E65}"/>
    <cellStyle name="Normal 3 6 4 2 3" xfId="18964" xr:uid="{7A2B7516-7336-4380-A372-318C271E03F1}"/>
    <cellStyle name="Normal 3 6 4 3" xfId="12599" xr:uid="{69ACA978-9067-4359-9483-9855BBF6D29A}"/>
    <cellStyle name="Normal 3 6 4 3 2" xfId="47820" xr:uid="{2630D599-54C7-4666-BDB0-F3E0E8D5FD91}"/>
    <cellStyle name="Normal 3 6 4 4" xfId="18805" xr:uid="{16CD8C56-DA89-4517-BC97-5B2BA539CC30}"/>
    <cellStyle name="Normal 3 6 5" xfId="10223" xr:uid="{0EF1880A-78E2-4AD7-B7D5-08F14F2388EF}"/>
    <cellStyle name="Normal 3 6 5 2" xfId="12676" xr:uid="{3DF9BF87-8A52-4251-B31E-DE61A4F78E60}"/>
    <cellStyle name="Normal 3 6 5 2 2" xfId="26166" xr:uid="{0B397C39-34E1-4764-90AD-79F01AF862E0}"/>
    <cellStyle name="Normal 3 6 5 3" xfId="18844" xr:uid="{F94C2DE7-F7EE-473C-955C-B97D867E7769}"/>
    <cellStyle name="Normal 3 6 6" xfId="10537" xr:uid="{787C8CAC-DCB2-439B-9486-EBF488136C8B}"/>
    <cellStyle name="Normal 3 6 6 2" xfId="12990" xr:uid="{336FE612-AEEC-4463-89BE-E6ECBFFB8816}"/>
    <cellStyle name="Normal 3 6 6 2 2" xfId="47078" xr:uid="{AA66CECA-4A77-4095-AC11-C4A8BF19821D}"/>
    <cellStyle name="Normal 3 6 6 3" xfId="19006" xr:uid="{D525BC79-1BFB-4BB6-8780-2E6698963F3F}"/>
    <cellStyle name="Normal 3 6 7" xfId="11067" xr:uid="{4B7A7AD0-1473-4174-A8E7-CF05CD30248D}"/>
    <cellStyle name="Normal 3 6 7 2" xfId="26167" xr:uid="{CCC69704-3A76-470D-A7C0-6718AE9F28C0}"/>
    <cellStyle name="Normal 3 6 8" xfId="26168" xr:uid="{1C3C3F18-4B97-471A-80E5-0B8F87EC8883}"/>
    <cellStyle name="Normal 3 6 9" xfId="48957" xr:uid="{D07BEB68-AB94-4436-B91A-42589FDCDDBA}"/>
    <cellStyle name="Normal 3 7" xfId="2028" xr:uid="{00000000-0005-0000-0000-00003B050000}"/>
    <cellStyle name="Normal 3 7 2" xfId="10287" xr:uid="{00DD26A2-5952-4039-9397-45E392F7209B}"/>
    <cellStyle name="Normal 3 7 2 2" xfId="12740" xr:uid="{BA2570EC-6F56-4AD8-8CC0-EF820728C05A}"/>
    <cellStyle name="Normal 3 7 2 2 2" xfId="26170" xr:uid="{38DDC089-849E-4C50-91D1-625C9242B786}"/>
    <cellStyle name="Normal 3 7 2 2 3" xfId="26169" xr:uid="{5B488BBF-8AA4-4B8A-A192-EDBA2DBDD1A9}"/>
    <cellStyle name="Normal 3 7 2 3" xfId="26171" xr:uid="{E821CE5C-8707-4E46-9D39-D996557D16EC}"/>
    <cellStyle name="Normal 3 7 2 3 2" xfId="26172" xr:uid="{DC428333-74C9-4A6C-B2D6-7245DE04203E}"/>
    <cellStyle name="Normal 3 7 2 4" xfId="26173" xr:uid="{05D1F44C-E1BF-4C10-810A-DC105FA5A53B}"/>
    <cellStyle name="Normal 3 7 2 5" xfId="18875" xr:uid="{5F8B2335-A0CD-4A7E-90B6-269DE4108B38}"/>
    <cellStyle name="Normal 3 7 3" xfId="12448" xr:uid="{FCEBAF92-FF86-4841-B7B9-A83DCF86121E}"/>
    <cellStyle name="Normal 3 7 3 2" xfId="26174" xr:uid="{E555909D-B63B-4FC0-86B1-952CE2F9A21D}"/>
    <cellStyle name="Normal 3 7 3 3" xfId="18733" xr:uid="{2AD2F008-A73B-44BA-B8BF-5AB97898A8A2}"/>
    <cellStyle name="Normal 3 7 4" xfId="11069" xr:uid="{E21B2B3F-0A1D-493F-B5F7-3A1F74DADB13}"/>
    <cellStyle name="Normal 3 7 4 2" xfId="26176" xr:uid="{FB955EDC-2E2D-4B17-82A6-A4CE137BE1E6}"/>
    <cellStyle name="Normal 3 7 4 3" xfId="46719" xr:uid="{9322FE1A-5874-4F6F-A5ED-2005DEBE010C}"/>
    <cellStyle name="Normal 3 7 4 4" xfId="26175" xr:uid="{6F523392-FD9D-451A-BC4F-71ACB24A2050}"/>
    <cellStyle name="Normal 3 7 5" xfId="26177" xr:uid="{3EBCAA6E-2B47-4345-8E5A-69C0438FEC0A}"/>
    <cellStyle name="Normal 3 7 5 2" xfId="26178" xr:uid="{E2270388-B05F-44BC-8B3B-4F76AEBF8C19}"/>
    <cellStyle name="Normal 3 7 6" xfId="26179" xr:uid="{F0CF014E-A284-4652-937E-1A9F30057764}"/>
    <cellStyle name="Normal 3 7 7" xfId="26180" xr:uid="{458ECE91-C8E9-4D76-BA3E-BFE2BF314174}"/>
    <cellStyle name="Normal 3 7 8" xfId="9595" xr:uid="{53122765-ABA1-4418-A35B-EDD440CB1095}"/>
    <cellStyle name="Normal 3 8" xfId="2029" xr:uid="{00000000-0005-0000-0000-00003C050000}"/>
    <cellStyle name="Normal 3 8 2" xfId="10361" xr:uid="{072C4DAE-5E7A-4F7D-BFDD-4A251D7D6ACB}"/>
    <cellStyle name="Normal 3 8 2 2" xfId="12814" xr:uid="{329682CF-E4E2-4268-BE59-977F960BAC13}"/>
    <cellStyle name="Normal 3 8 2 2 2" xfId="26182" xr:uid="{5FD82C94-C19A-4D10-A7F4-7092EE8B61E5}"/>
    <cellStyle name="Normal 3 8 2 2 3" xfId="26181" xr:uid="{34DFC214-53C2-4E6C-A228-8E8EA8FAAF29}"/>
    <cellStyle name="Normal 3 8 2 3" xfId="26183" xr:uid="{99138770-46D8-4D76-BE3D-2BA6195B261C}"/>
    <cellStyle name="Normal 3 8 2 3 2" xfId="26184" xr:uid="{8E7EA34D-20A8-40ED-B8C6-034E2A61CECF}"/>
    <cellStyle name="Normal 3 8 2 4" xfId="26185" xr:uid="{DF510C69-E4AB-4D61-8705-98B7827E667A}"/>
    <cellStyle name="Normal 3 8 2 5" xfId="18911" xr:uid="{7972704C-F519-4CA1-85A9-9CCFB1A932D8}"/>
    <cellStyle name="Normal 3 8 3" xfId="12513" xr:uid="{17BA11A4-07BF-4FD1-9F71-884E576CE098}"/>
    <cellStyle name="Normal 3 8 3 2" xfId="26186" xr:uid="{FB5DCCFD-64FF-43A6-BE7A-F3C62AE296FA}"/>
    <cellStyle name="Normal 3 8 3 3" xfId="18762" xr:uid="{C7A3EAF6-C0FC-46D0-A11F-CFF889C4F646}"/>
    <cellStyle name="Normal 3 8 4" xfId="11070" xr:uid="{7B1A2E0F-4D29-4D6F-A6A3-8E03A8FD257B}"/>
    <cellStyle name="Normal 3 8 4 2" xfId="26188" xr:uid="{582733BD-4776-4198-AF84-33D16FBCF62F}"/>
    <cellStyle name="Normal 3 8 4 3" xfId="47749" xr:uid="{3DBF1DE5-580B-4669-A464-9ED8B5497E40}"/>
    <cellStyle name="Normal 3 8 4 4" xfId="26187" xr:uid="{116FF335-F4DA-4BBE-8C19-589387A4C638}"/>
    <cellStyle name="Normal 3 8 5" xfId="26189" xr:uid="{DDAE4C33-AF3D-4DEB-9C94-770BE748A486}"/>
    <cellStyle name="Normal 3 8 5 2" xfId="26190" xr:uid="{0E489BA5-3F2C-490A-B947-8A1BDA974701}"/>
    <cellStyle name="Normal 3 8 6" xfId="26191" xr:uid="{24E93ACE-8AA6-4926-B1F8-328A15A55158}"/>
    <cellStyle name="Normal 3 8 7" xfId="26192" xr:uid="{2DC4ECA2-0273-4D45-B063-E0B370447816}"/>
    <cellStyle name="Normal 3 8 8" xfId="10053" xr:uid="{C8242F87-BE94-4573-9649-796C328B3A5A}"/>
    <cellStyle name="Normal 3 9" xfId="2030" xr:uid="{00000000-0005-0000-0000-00003D050000}"/>
    <cellStyle name="Normal 3 9 2" xfId="10441" xr:uid="{85FF29B7-7F3C-4402-8F7D-CB3030660282}"/>
    <cellStyle name="Normal 3 9 2 2" xfId="12894" xr:uid="{FA8641DE-CFC8-41C8-BE11-AA612A5EAAC7}"/>
    <cellStyle name="Normal 3 9 2 2 2" xfId="26193" xr:uid="{5C0B06CC-DEC5-40A9-B604-05D4B2ABFD1D}"/>
    <cellStyle name="Normal 3 9 2 3" xfId="18953" xr:uid="{1A1FC2F8-0398-42EA-B079-0FD3C0674352}"/>
    <cellStyle name="Normal 3 9 3" xfId="12584" xr:uid="{F5DA07F7-4679-4BA6-90A4-6AA2AF4006C0}"/>
    <cellStyle name="Normal 3 9 3 2" xfId="26194" xr:uid="{0D376E36-2F60-4774-899F-8107DD3E6CA7}"/>
    <cellStyle name="Normal 3 9 3 3" xfId="18795" xr:uid="{FD424412-13AC-4559-B746-99A92403CAAF}"/>
    <cellStyle name="Normal 3 9 4" xfId="11071" xr:uid="{92F9207A-1B0B-45D8-9D51-3B2F66CA77D8}"/>
    <cellStyle name="Normal 3 9 4 2" xfId="47073" xr:uid="{E3993960-841E-4AFD-8D75-199EA66A1C28}"/>
    <cellStyle name="Normal 3 9 4 3" xfId="26195" xr:uid="{95FBC2A3-2D85-4367-96F6-1C6E28E44564}"/>
    <cellStyle name="Normal 3 9 5" xfId="26196" xr:uid="{F116705D-81B5-485F-9EE4-8C6C2AEC1168}"/>
    <cellStyle name="Normal 3 9 6" xfId="10127" xr:uid="{2E53637E-F7BF-455C-8216-810097A4947C}"/>
    <cellStyle name="Normal 30" xfId="6970" xr:uid="{DDE9929B-9114-4C93-83CE-163391D71162}"/>
    <cellStyle name="Normal 30 2" xfId="26197" xr:uid="{4FA0161A-2F6D-417C-B049-C8F2C004C8CD}"/>
    <cellStyle name="Normal 30 3" xfId="48958" xr:uid="{19584C80-D0BC-44E6-8E6F-573D8B05E629}"/>
    <cellStyle name="Normal 30 4" xfId="18549" xr:uid="{06AC6D4D-AD3F-4C9B-A58A-F14A740B0AA5}"/>
    <cellStyle name="Normal 30 5" xfId="12142" xr:uid="{FFDE2A04-6EC2-4409-BBE0-7E781B116DC1}"/>
    <cellStyle name="Normal 31" xfId="2031" xr:uid="{00000000-0005-0000-0000-00003E050000}"/>
    <cellStyle name="Normal 31 2" xfId="26199" xr:uid="{3575A1B8-5F12-4CB9-99CA-C0710850BF7C}"/>
    <cellStyle name="Normal 31 3" xfId="26198" xr:uid="{BCE97F7F-33C7-4AEA-AF6B-A49444DAFD73}"/>
    <cellStyle name="Normal 31 4" xfId="48959" xr:uid="{1EFE0EC4-6557-45E6-B205-971423B54A49}"/>
    <cellStyle name="Normal 32" xfId="2032" xr:uid="{00000000-0005-0000-0000-00003F050000}"/>
    <cellStyle name="Normal 32 2" xfId="26201" xr:uid="{7F1FF435-4A74-4230-8918-F8B81221A457}"/>
    <cellStyle name="Normal 32 3" xfId="26200" xr:uid="{523AE943-F955-4615-A5B0-DA41920C856A}"/>
    <cellStyle name="Normal 32 4" xfId="48960" xr:uid="{F7F326A2-2B0A-4BC0-8A73-3AFF150BA595}"/>
    <cellStyle name="Normal 33" xfId="2033" xr:uid="{00000000-0005-0000-0000-000040050000}"/>
    <cellStyle name="Normal 33 2" xfId="26203" xr:uid="{F62C9027-1EE4-4E9A-A821-C1B56B6CE2A1}"/>
    <cellStyle name="Normal 33 3" xfId="26202" xr:uid="{7F235298-953A-47E6-B64C-317956F0F7BE}"/>
    <cellStyle name="Normal 33 4" xfId="48961" xr:uid="{58430EB5-AE46-4B05-A823-BE5A98F9009A}"/>
    <cellStyle name="Normal 34" xfId="2034" xr:uid="{00000000-0005-0000-0000-000041050000}"/>
    <cellStyle name="Normal 34 2" xfId="26204" xr:uid="{92FB3DC9-6B80-4FB1-A621-B4EDAFA73443}"/>
    <cellStyle name="Normal 35" xfId="6974" xr:uid="{61E3DF63-488D-4424-8D6F-7278F25B36BD}"/>
    <cellStyle name="Normal 35 2" xfId="30229" xr:uid="{40570083-4441-4AED-A2D7-3938C10AA2B1}"/>
    <cellStyle name="Normal 35 3" xfId="18731" xr:uid="{ABA01B6D-45FF-4154-ABD9-CC246EF08FD8}"/>
    <cellStyle name="Normal 35 4" xfId="12445" xr:uid="{9138A7C9-A537-4140-A6BC-308DD13C424B}"/>
    <cellStyle name="Normal 36" xfId="14485" xr:uid="{A2C7C234-B336-42BA-BF14-C7050AA5FB05}"/>
    <cellStyle name="Normal 36 2" xfId="35053" xr:uid="{017F5CDA-0E2B-431B-90EF-69C1D0E7ACF8}"/>
    <cellStyle name="Normal 36 3" xfId="30240" xr:uid="{C5898641-DA7B-4C42-A8F8-98B712007BF9}"/>
    <cellStyle name="Normal 36 4" xfId="19039" xr:uid="{F4C0C16B-6548-437D-B7AE-AF8582F99DA1}"/>
    <cellStyle name="Normal 37" xfId="14963" xr:uid="{3E781280-C7D7-438A-8A7D-D7D3059F5BE1}"/>
    <cellStyle name="Normal 37 2" xfId="19175" xr:uid="{53CA7C2B-941C-4F2E-9B7E-B73FFC734E76}"/>
    <cellStyle name="Normal 38" xfId="14965" xr:uid="{960CAE37-57EB-4C1E-BE97-88B7A3DF8B87}"/>
    <cellStyle name="Normal 38 2" xfId="19177" xr:uid="{99F3020E-C4BE-41B9-8E15-018C7E084286}"/>
    <cellStyle name="Normal 39" xfId="14970" xr:uid="{B1832F46-6084-409D-95D0-D705F0F702E1}"/>
    <cellStyle name="Normal 39 2" xfId="19178" xr:uid="{0997A15B-7983-4627-B66A-D582E60FFC95}"/>
    <cellStyle name="Normal 4" xfId="563" xr:uid="{00000000-0005-0000-0000-000042050000}"/>
    <cellStyle name="Normal 4 10" xfId="2035" xr:uid="{00000000-0005-0000-0000-000043050000}"/>
    <cellStyle name="Normal 4 10 2" xfId="26206" xr:uid="{4765D7AC-F7D1-41BD-960A-42290B03AD37}"/>
    <cellStyle name="Normal 4 11" xfId="2036" xr:uid="{00000000-0005-0000-0000-000044050000}"/>
    <cellStyle name="Normal 4 11 2" xfId="26207" xr:uid="{A66FFEE4-D876-4312-9BB0-74851E4D1E3E}"/>
    <cellStyle name="Normal 4 12" xfId="2037" xr:uid="{00000000-0005-0000-0000-000045050000}"/>
    <cellStyle name="Normal 4 12 2" xfId="26208" xr:uid="{CBE8B420-5D46-411B-84C8-0DC95D72C98B}"/>
    <cellStyle name="Normal 4 13" xfId="2038" xr:uid="{00000000-0005-0000-0000-000046050000}"/>
    <cellStyle name="Normal 4 13 2" xfId="26209" xr:uid="{DDC18EF2-509D-48D1-9758-014B4E4E4ABE}"/>
    <cellStyle name="Normal 4 14" xfId="2039" xr:uid="{00000000-0005-0000-0000-000047050000}"/>
    <cellStyle name="Normal 4 14 2" xfId="26210" xr:uid="{E3B01482-7F73-4662-96C1-0322AE43F2AC}"/>
    <cellStyle name="Normal 4 15" xfId="2040" xr:uid="{00000000-0005-0000-0000-000048050000}"/>
    <cellStyle name="Normal 4 15 2" xfId="26211" xr:uid="{45E695AD-F4CA-4E1B-AE56-BA0E1C21869C}"/>
    <cellStyle name="Normal 4 16" xfId="6977" xr:uid="{F6311D08-4CDB-4E16-B683-74129D6E834B}"/>
    <cellStyle name="Normal 4 17" xfId="26205" xr:uid="{3D035143-A0C6-4050-939D-CD07AB6CF5F0}"/>
    <cellStyle name="Normal 4 2" xfId="564" xr:uid="{00000000-0005-0000-0000-000049050000}"/>
    <cellStyle name="Normal 4 2 2" xfId="6976" xr:uid="{68268B91-3FBB-47FE-A29D-3196BE23EECF}"/>
    <cellStyle name="Normal 4 2 2 2" xfId="26213" xr:uid="{90D0E8CA-5642-4A2E-B32F-08AE1C82E4DE}"/>
    <cellStyle name="Normal 4 2 2 3" xfId="9231" xr:uid="{3277EE4B-B63D-478A-BB3B-B95498D6FC51}"/>
    <cellStyle name="Normal 4 2 3" xfId="26214" xr:uid="{3A496885-46BD-429E-B5C1-E4AF774DF5F2}"/>
    <cellStyle name="Normal 4 2 3 2" xfId="48962" xr:uid="{D6750E53-A079-47DC-9216-2C429A16A000}"/>
    <cellStyle name="Normal 4 2 4" xfId="26215" xr:uid="{C514DC07-9844-4C35-A462-8C2BF59737E6}"/>
    <cellStyle name="Normal 4 2 4 2" xfId="48963" xr:uid="{0D909273-85DA-4A81-A23F-35FAD528F6F0}"/>
    <cellStyle name="Normal 4 2 5" xfId="26212" xr:uid="{D7FC0F05-1E3E-42DD-A7EE-A5679C831877}"/>
    <cellStyle name="Normal 4 3" xfId="565" xr:uid="{00000000-0005-0000-0000-00004A050000}"/>
    <cellStyle name="Normal 4 3 2" xfId="26217" xr:uid="{D84DF192-4FBB-4899-AE5C-2491C235973F}"/>
    <cellStyle name="Normal 4 3 2 2" xfId="26218" xr:uid="{B73ADA63-93CD-4C0A-AFC3-F620285BF425}"/>
    <cellStyle name="Normal 4 3 3" xfId="26219" xr:uid="{978E391A-4B4D-4F0E-BBFF-70791CF601D5}"/>
    <cellStyle name="Normal 4 3 3 2" xfId="26220" xr:uid="{84C346B6-2B39-42EA-ADFF-3A2EBEF0D190}"/>
    <cellStyle name="Normal 4 3 4" xfId="26221" xr:uid="{4F61A8C5-3294-4DBE-A65A-5406FF3090E2}"/>
    <cellStyle name="Normal 4 3 4 2" xfId="48965" xr:uid="{1AB04E86-A7CB-4B60-ADA4-7E4D71E8D6A0}"/>
    <cellStyle name="Normal 4 3 5" xfId="26222" xr:uid="{BE274B72-0F55-403B-8837-3118120D33A9}"/>
    <cellStyle name="Normal 4 3 6" xfId="26223" xr:uid="{4735D3E5-A420-47E0-BE7E-DCCA1011D0EC}"/>
    <cellStyle name="Normal 4 3 7" xfId="26224" xr:uid="{D8F2E8FF-BE8D-4D55-804F-3FAA79CA98DC}"/>
    <cellStyle name="Normal 4 3 8" xfId="26216" xr:uid="{19AA330F-D72A-4C91-A941-E16BAD4A1AE9}"/>
    <cellStyle name="Normal 4 3 9" xfId="48964" xr:uid="{1E8363B4-8B4C-47A3-A814-796B1194C303}"/>
    <cellStyle name="Normal 4 4" xfId="566" xr:uid="{00000000-0005-0000-0000-00004B050000}"/>
    <cellStyle name="Normal 4 4 2" xfId="12144" xr:uid="{579F263B-944E-4446-BF19-E28875F07733}"/>
    <cellStyle name="Normal 4 4 2 2" xfId="26226" xr:uid="{99E1C4A3-B0F1-4F3C-AE67-357B0828B5E8}"/>
    <cellStyle name="Normal 4 4 3" xfId="26227" xr:uid="{0F0FAD41-DFCB-4738-AB74-4346036C09E0}"/>
    <cellStyle name="Normal 4 4 4" xfId="26225" xr:uid="{C5851707-9F73-47FD-BE48-56AF2CFD97EF}"/>
    <cellStyle name="Normal 4 5" xfId="2041" xr:uid="{00000000-0005-0000-0000-00004C050000}"/>
    <cellStyle name="Normal 4 5 2" xfId="14069" xr:uid="{5A1DC99C-BE5B-47F4-A73B-6C7C4AA48089}"/>
    <cellStyle name="Normal 4 5 2 2" xfId="26229" xr:uid="{7006E006-AE89-4F71-B840-A2A56EC9C3A4}"/>
    <cellStyle name="Normal 4 5 3" xfId="26230" xr:uid="{4ACA1189-01B0-4101-9A18-00660504E16A}"/>
    <cellStyle name="Normal 4 5 4" xfId="26228" xr:uid="{B996CBC4-20ED-4B94-9AE0-4740489259B4}"/>
    <cellStyle name="Normal 4 6" xfId="2042" xr:uid="{00000000-0005-0000-0000-00004D050000}"/>
    <cellStyle name="Normal 4 6 2" xfId="26231" xr:uid="{A9DBD876-E4DE-448F-B924-4FFB4E2D521E}"/>
    <cellStyle name="Normal 4 7" xfId="2043" xr:uid="{00000000-0005-0000-0000-00004E050000}"/>
    <cellStyle name="Normal 4 7 2" xfId="26233" xr:uid="{86C12B79-28CC-4AF9-9032-2770B2AD82D6}"/>
    <cellStyle name="Normal 4 7 3" xfId="26232" xr:uid="{5F727EAC-7589-44F1-BB63-587D538C5C36}"/>
    <cellStyle name="Normal 4 8" xfId="2044" xr:uid="{00000000-0005-0000-0000-00004F050000}"/>
    <cellStyle name="Normal 4 8 2" xfId="26235" xr:uid="{AA60170C-208F-4153-8B87-D959C9790DE1}"/>
    <cellStyle name="Normal 4 8 3" xfId="26234" xr:uid="{066759D0-3C5F-4D57-B056-1F3A1D89B4EA}"/>
    <cellStyle name="Normal 4 9" xfId="2045" xr:uid="{00000000-0005-0000-0000-000050050000}"/>
    <cellStyle name="Normal 4 9 2" xfId="26236" xr:uid="{F44FDFFA-D307-4151-AEC1-A9232471C8D8}"/>
    <cellStyle name="Normal 40" xfId="14964" xr:uid="{4F3AD861-3F3F-4D83-93EE-293878E7F982}"/>
    <cellStyle name="Normal 40 2" xfId="19176" xr:uid="{A69B0833-F2E7-459D-8065-079CB06BE7EB}"/>
    <cellStyle name="Normal 41" xfId="14971" xr:uid="{900838C4-802C-4F77-AF6A-186F3E99B72C}"/>
    <cellStyle name="Normal 41 2" xfId="19179" xr:uid="{6711411C-020E-4BA8-823E-2A71D7DD6EFF}"/>
    <cellStyle name="Normal 42" xfId="15076" xr:uid="{B5EA68C3-EEEA-41BC-B59C-324FDEFC71FC}"/>
    <cellStyle name="Normal 42 2" xfId="19212" xr:uid="{F1942FE4-2FA2-45F0-9CE4-10ECD6D6082C}"/>
    <cellStyle name="Normal 43" xfId="14975" xr:uid="{DD14D125-F022-4E67-9B34-F8FEEE575103}"/>
    <cellStyle name="Normal 43 2" xfId="19182" xr:uid="{1D3AE33A-1676-4881-8AB4-368E6A935925}"/>
    <cellStyle name="Normal 44" xfId="14977" xr:uid="{C1D91347-7954-4D7D-87D3-8030E4D40B70}"/>
    <cellStyle name="Normal 44 2" xfId="19183" xr:uid="{8B128D5A-5333-41D5-9A52-00893F0A8CD4}"/>
    <cellStyle name="Normal 45" xfId="15448" xr:uid="{912F9288-5177-4C38-8E55-B83CFD8E7017}"/>
    <cellStyle name="Normal 45 2" xfId="19318" xr:uid="{9B3963B9-BA0A-47B8-9D45-2D2E32168F51}"/>
    <cellStyle name="Normal 46" xfId="15451" xr:uid="{1293A573-FFAA-45EE-A4D6-6153411D57E2}"/>
    <cellStyle name="Normal 46 2" xfId="19321" xr:uid="{F708DE25-8E8D-4AE4-A52A-B775BA2211E6}"/>
    <cellStyle name="Normal 47" xfId="15456" xr:uid="{C0050DE5-40A1-45C3-AD40-65816DCE1FAE}"/>
    <cellStyle name="Normal 47 2" xfId="19322" xr:uid="{F1A050AF-F0C1-4A09-A995-96B9FEE33BA0}"/>
    <cellStyle name="Normal 48" xfId="15450" xr:uid="{F6ADAD53-7B55-454D-A1D8-13F6A9662126}"/>
    <cellStyle name="Normal 48 2" xfId="19320" xr:uid="{A234AFC5-D645-442E-A2AF-8D91D9AFD5F4}"/>
    <cellStyle name="Normal 49" xfId="15457" xr:uid="{2318E72D-DF3C-491E-8C15-463C555B9CE7}"/>
    <cellStyle name="Normal 49 2" xfId="19323" xr:uid="{01779194-6120-4C5E-959F-BB6B7CCE9E15}"/>
    <cellStyle name="Normal 5" xfId="567" xr:uid="{00000000-0005-0000-0000-000051050000}"/>
    <cellStyle name="Normal 5 10" xfId="26238" xr:uid="{6E1EA525-5FA4-44B8-9404-BDE53F7100FF}"/>
    <cellStyle name="Normal 5 10 2" xfId="26239" xr:uid="{03245E41-8AA4-4E40-8DE1-E8DD7DBF1A6B}"/>
    <cellStyle name="Normal 5 11" xfId="26240" xr:uid="{30763912-CD09-4A12-8080-EF677E9BBF3E}"/>
    <cellStyle name="Normal 5 11 2" xfId="26241" xr:uid="{28785CAF-0EEA-4C0C-B98A-EE5AFC4E3FA5}"/>
    <cellStyle name="Normal 5 12" xfId="26242" xr:uid="{77E42813-3479-4EB2-87FF-BA431F106E13}"/>
    <cellStyle name="Normal 5 12 2" xfId="26243" xr:uid="{2FB35BDB-5B6D-436C-A996-EAD59DF142E6}"/>
    <cellStyle name="Normal 5 13" xfId="26244" xr:uid="{1749EA97-A6C3-484C-B267-20EBF03C326D}"/>
    <cellStyle name="Normal 5 13 2" xfId="26245" xr:uid="{CFFEB22C-4BFB-41E2-885C-FA69C4E928E2}"/>
    <cellStyle name="Normal 5 14" xfId="26246" xr:uid="{D7D0F12A-1DA9-4349-84E3-CBF37FC9B4CE}"/>
    <cellStyle name="Normal 5 14 2" xfId="48966" xr:uid="{D9E40CDF-1C64-4D33-A5CF-65864F980B1A}"/>
    <cellStyle name="Normal 5 15" xfId="26247" xr:uid="{64EDA396-A88E-4F68-AA85-0FB4681EEEF7}"/>
    <cellStyle name="Normal 5 15 2" xfId="48967" xr:uid="{0D350CF0-CB49-4E82-ABF6-5643FEFD60BF}"/>
    <cellStyle name="Normal 5 16" xfId="26237" xr:uid="{864B46B1-5AE1-4A2D-86DA-A7929E941F17}"/>
    <cellStyle name="Normal 5 2" xfId="568" xr:uid="{00000000-0005-0000-0000-000052050000}"/>
    <cellStyle name="Normal 5 2 10" xfId="26248" xr:uid="{4EA74DC4-7A96-4F10-A40A-1CC44971FB65}"/>
    <cellStyle name="Normal 5 2 2" xfId="569" xr:uid="{00000000-0005-0000-0000-000053050000}"/>
    <cellStyle name="Normal 5 2 2 2" xfId="570" xr:uid="{00000000-0005-0000-0000-000054050000}"/>
    <cellStyle name="Normal 5 2 2 2 2" xfId="26251" xr:uid="{DBB825F0-A3A5-42A2-B0B6-B939ACE4B9C0}"/>
    <cellStyle name="Normal 5 2 2 2 3" xfId="26252" xr:uid="{33E9196B-C93C-4754-A017-D418C35C50CE}"/>
    <cellStyle name="Normal 5 2 2 2 4" xfId="26250" xr:uid="{036FB0A7-1CA4-415F-94B1-4A4A39D3672D}"/>
    <cellStyle name="Normal 5 2 2 3" xfId="2046" xr:uid="{00000000-0005-0000-0000-000055050000}"/>
    <cellStyle name="Normal 5 2 2 3 2" xfId="26254" xr:uid="{C322D886-C93A-4888-93E7-C3BAF9B41F01}"/>
    <cellStyle name="Normal 5 2 2 3 3" xfId="26255" xr:uid="{4FFBDC05-DB2E-48D3-BF0F-470D5BA1DAAC}"/>
    <cellStyle name="Normal 5 2 2 3 4" xfId="26253" xr:uid="{085C300F-6EB5-46AB-8A9F-25EC641E3912}"/>
    <cellStyle name="Normal 5 2 2 4" xfId="26256" xr:uid="{169DDAFE-AD64-473B-8711-35B17D307A67}"/>
    <cellStyle name="Normal 5 2 2 5" xfId="26257" xr:uid="{E7646EF8-4A01-4ED0-98A5-59ABACE0C332}"/>
    <cellStyle name="Normal 5 2 2 6" xfId="26249" xr:uid="{64E86DEC-5B7D-46E5-8950-6033AF741AE1}"/>
    <cellStyle name="Normal 5 2 3" xfId="2047" xr:uid="{00000000-0005-0000-0000-000056050000}"/>
    <cellStyle name="Normal 5 2 3 2" xfId="2048" xr:uid="{00000000-0005-0000-0000-000057050000}"/>
    <cellStyle name="Normal 5 2 3 2 2" xfId="26260" xr:uid="{8FB6ABAB-7EF7-47FC-9A88-AD6B0A7FDE28}"/>
    <cellStyle name="Normal 5 2 3 2 3" xfId="26259" xr:uid="{EA8DE149-86D7-4A1C-A2AC-C568D18B030A}"/>
    <cellStyle name="Normal 5 2 3 3" xfId="26261" xr:uid="{64941242-771F-4FE2-95E0-675A80892AA3}"/>
    <cellStyle name="Normal 5 2 3 4" xfId="26258" xr:uid="{B91A6BB0-3118-4421-896A-C8B7C23F13B6}"/>
    <cellStyle name="Normal 5 2 4" xfId="26262" xr:uid="{4CDD19F8-DA49-461B-B0E4-11EBC2D97754}"/>
    <cellStyle name="Normal 5 2 4 2" xfId="26263" xr:uid="{A3ADF8DB-0E6B-4469-8C05-974D67EC1C1F}"/>
    <cellStyle name="Normal 5 2 5" xfId="26264" xr:uid="{2C2B0AF3-EE65-44CA-A67B-7FAB4075A506}"/>
    <cellStyle name="Normal 5 2 5 2" xfId="26265" xr:uid="{57A66AFA-C584-4808-8758-58C954A7B270}"/>
    <cellStyle name="Normal 5 2 6" xfId="26266" xr:uid="{66420660-D274-48B3-9456-F3C6596E05A8}"/>
    <cellStyle name="Normal 5 2 6 2" xfId="26267" xr:uid="{594ADB93-F417-4F95-B270-21F93A2E965B}"/>
    <cellStyle name="Normal 5 2 7" xfId="26268" xr:uid="{4687A1A7-C4D8-4D9C-8B4D-782EC3554738}"/>
    <cellStyle name="Normal 5 2 7 2" xfId="26269" xr:uid="{9334C8AA-F2EC-457C-9BA3-2077E1593952}"/>
    <cellStyle name="Normal 5 2 8" xfId="26270" xr:uid="{7EDEA3CF-D277-4196-B069-BC54B122A991}"/>
    <cellStyle name="Normal 5 2 8 2" xfId="48968" xr:uid="{382D1140-618D-443A-BCDD-606074E69526}"/>
    <cellStyle name="Normal 5 2 9" xfId="26271" xr:uid="{3EFDB36B-7449-44A9-A73D-89DABAB1D697}"/>
    <cellStyle name="Normal 5 2 9 2" xfId="48969" xr:uid="{1FF56289-64FA-414F-BD9E-2B19FFC53B85}"/>
    <cellStyle name="Normal 5 3" xfId="2049" xr:uid="{00000000-0005-0000-0000-000058050000}"/>
    <cellStyle name="Normal 5 3 10" xfId="26272" xr:uid="{76035AAD-9476-42A0-B1FC-183B420F4792}"/>
    <cellStyle name="Normal 5 3 11" xfId="48970" xr:uid="{AAD28A2B-AEEB-4A73-8ADB-B0CB52BE31CA}"/>
    <cellStyle name="Normal 5 3 2" xfId="26273" xr:uid="{E3860411-2F76-4A2C-B322-59EB5D1B151F}"/>
    <cellStyle name="Normal 5 3 2 2" xfId="26274" xr:uid="{9A336E04-9A13-42B2-A13E-61B9684E53DC}"/>
    <cellStyle name="Normal 5 3 2 2 2" xfId="26275" xr:uid="{0BC52C49-F69F-4A4F-B5A1-6990DF556BD4}"/>
    <cellStyle name="Normal 5 3 2 3" xfId="26276" xr:uid="{F3E70D7A-8081-41F5-8ECA-46349EC5E076}"/>
    <cellStyle name="Normal 5 3 2 3 2" xfId="26277" xr:uid="{918300BB-C156-41BA-9015-85040381C5D8}"/>
    <cellStyle name="Normal 5 3 2 4" xfId="26278" xr:uid="{C70F6F45-53A4-4FE8-A965-54B44A229C33}"/>
    <cellStyle name="Normal 5 3 3" xfId="26279" xr:uid="{89CA4812-2F99-46EC-BEF9-5437AD5D67E5}"/>
    <cellStyle name="Normal 5 3 3 2" xfId="26280" xr:uid="{6FD3E08D-8EFA-4C62-AB55-3E0B9218DE85}"/>
    <cellStyle name="Normal 5 3 4" xfId="26281" xr:uid="{B5A2A17C-AB10-48F7-9742-79DD63145CF9}"/>
    <cellStyle name="Normal 5 3 4 2" xfId="26282" xr:uid="{862599BC-2866-4776-976A-BCE62D7E1E7A}"/>
    <cellStyle name="Normal 5 3 5" xfId="26283" xr:uid="{85D64586-D534-4024-917F-96A02F25AD30}"/>
    <cellStyle name="Normal 5 3 5 2" xfId="26284" xr:uid="{A9147402-CF5D-412B-ABB1-DF02CDD2A4C4}"/>
    <cellStyle name="Normal 5 3 6" xfId="26285" xr:uid="{BEBA495E-FD16-49A5-8E8D-50CFF388948B}"/>
    <cellStyle name="Normal 5 3 6 2" xfId="26286" xr:uid="{D50AD1B8-BAF0-4B74-B2FF-926CCD895891}"/>
    <cellStyle name="Normal 5 3 7" xfId="26287" xr:uid="{20D686DE-20D5-4E3F-A7FC-A6570E8133B3}"/>
    <cellStyle name="Normal 5 3 8" xfId="26288" xr:uid="{6B8B35A3-8D27-41BF-A789-333EA0FC0B14}"/>
    <cellStyle name="Normal 5 3 9" xfId="26289" xr:uid="{7999E148-C081-43B7-AF89-425BFD479161}"/>
    <cellStyle name="Normal 5 4" xfId="26290" xr:uid="{F0E32636-D19B-4198-A73E-1BE2285D1438}"/>
    <cellStyle name="Normal 5 4 2" xfId="26291" xr:uid="{02C3D07F-E04C-4A04-A0FD-97D01EB7A6F6}"/>
    <cellStyle name="Normal 5 4 2 2" xfId="26292" xr:uid="{19840EAA-17BC-444D-B74D-58AD0BE5D3AB}"/>
    <cellStyle name="Normal 5 4 2 2 2" xfId="26293" xr:uid="{CB0FDC83-34B9-4991-A3D9-BECF500B9778}"/>
    <cellStyle name="Normal 5 4 2 3" xfId="26294" xr:uid="{66CD1C24-0455-4CB2-8C87-2C60A42A7943}"/>
    <cellStyle name="Normal 5 4 2 3 2" xfId="26295" xr:uid="{C184C129-BFA3-4D6B-B1EA-62AEC68DEAB2}"/>
    <cellStyle name="Normal 5 4 2 4" xfId="26296" xr:uid="{3A5DEF3A-CBF7-4E07-8E97-C92FCDF1C813}"/>
    <cellStyle name="Normal 5 4 3" xfId="26297" xr:uid="{97FEDD41-7B91-41F8-B782-F1375BE7ABFF}"/>
    <cellStyle name="Normal 5 4 3 2" xfId="26298" xr:uid="{7D013A4A-AA5B-460D-918E-B8A30368E456}"/>
    <cellStyle name="Normal 5 4 4" xfId="26299" xr:uid="{6B711529-5DC9-4826-ADF2-9D17C0A9118F}"/>
    <cellStyle name="Normal 5 4 4 2" xfId="26300" xr:uid="{51EB0342-AC5F-48CB-80D3-7839D87ED9BB}"/>
    <cellStyle name="Normal 5 4 5" xfId="26301" xr:uid="{2E71DE11-D178-46EF-B068-0D934BEB98BD}"/>
    <cellStyle name="Normal 5 4 5 2" xfId="26302" xr:uid="{A60EECFA-9E8E-4521-87F7-CF472917618D}"/>
    <cellStyle name="Normal 5 4 6" xfId="26303" xr:uid="{F973F083-581C-4F8F-902C-AE2F2006BD69}"/>
    <cellStyle name="Normal 5 5" xfId="26304" xr:uid="{7884412B-3C27-48E0-B545-EE7587066676}"/>
    <cellStyle name="Normal 5 5 2" xfId="26305" xr:uid="{ED3F05ED-AA75-4213-929D-F25E1F1DDC5D}"/>
    <cellStyle name="Normal 5 5 2 2" xfId="26306" xr:uid="{52679342-43E5-4632-AE15-7E64B78E11D7}"/>
    <cellStyle name="Normal 5 5 2 2 2" xfId="26307" xr:uid="{AA5CADED-C313-4751-9E1B-7CD206B9EC59}"/>
    <cellStyle name="Normal 5 5 2 3" xfId="26308" xr:uid="{EBA4795C-FE2F-4BD7-B67D-BD98E2C7CE86}"/>
    <cellStyle name="Normal 5 5 2 3 2" xfId="26309" xr:uid="{5D791DF4-E64D-4855-8CAC-61CF5D6CEC71}"/>
    <cellStyle name="Normal 5 5 2 4" xfId="26310" xr:uid="{DC289FFD-D0AE-4F89-92A1-3F7516236A66}"/>
    <cellStyle name="Normal 5 5 3" xfId="26311" xr:uid="{E161AA34-A2AE-4753-A779-2D6731B88B1F}"/>
    <cellStyle name="Normal 5 5 3 2" xfId="26312" xr:uid="{F7EAC9A6-8A04-4776-874C-44F1124079BD}"/>
    <cellStyle name="Normal 5 5 4" xfId="26313" xr:uid="{70FDEE04-BB9D-4FD9-80F0-D8E62B673EE1}"/>
    <cellStyle name="Normal 5 5 4 2" xfId="26314" xr:uid="{6250D197-998A-4873-9284-3ED86B52D560}"/>
    <cellStyle name="Normal 5 5 5" xfId="26315" xr:uid="{AECB6C8C-FE17-4CE6-AEA9-66BB878E59BB}"/>
    <cellStyle name="Normal 5 5 5 2" xfId="26316" xr:uid="{A326A580-9543-417A-9CB8-DF8A470B73F8}"/>
    <cellStyle name="Normal 5 5 6" xfId="26317" xr:uid="{5E24069C-DA95-4860-AAE0-99801BD60A68}"/>
    <cellStyle name="Normal 5 6" xfId="26318" xr:uid="{9D4B2A21-C09D-4911-9112-3D042AEE5991}"/>
    <cellStyle name="Normal 5 6 2" xfId="26319" xr:uid="{9D201994-93AB-4E29-8B9D-2533092B924F}"/>
    <cellStyle name="Normal 5 6 2 2" xfId="26320" xr:uid="{0DA478B0-B504-4518-BBD4-E0176A313115}"/>
    <cellStyle name="Normal 5 6 2 2 2" xfId="26321" xr:uid="{33B52B06-61B0-43F6-8A60-774CB046CB58}"/>
    <cellStyle name="Normal 5 6 2 3" xfId="26322" xr:uid="{F588AD04-87BC-48AB-9EAC-8DFFFF2623C2}"/>
    <cellStyle name="Normal 5 6 2 3 2" xfId="26323" xr:uid="{9110817E-9E74-4024-A50A-6F015F77C76D}"/>
    <cellStyle name="Normal 5 6 2 4" xfId="26324" xr:uid="{946278A4-A10D-471A-8140-AE9DA6DFFB68}"/>
    <cellStyle name="Normal 5 6 3" xfId="26325" xr:uid="{44BA34CE-021C-4D35-9B8D-E43891B083AF}"/>
    <cellStyle name="Normal 5 6 3 2" xfId="26326" xr:uid="{4A868DB7-7671-4C35-98F8-9DE58774D7AE}"/>
    <cellStyle name="Normal 5 6 4" xfId="26327" xr:uid="{0CD9DBEF-3BE5-45B4-B7DE-C1E579B3DB93}"/>
    <cellStyle name="Normal 5 6 4 2" xfId="26328" xr:uid="{FD510D97-AC44-4401-B60F-ADC596A9DEAE}"/>
    <cellStyle name="Normal 5 6 5" xfId="26329" xr:uid="{F4EEE548-3CB9-4AE4-90B4-ECD392C74E3D}"/>
    <cellStyle name="Normal 5 6 5 2" xfId="26330" xr:uid="{759121B3-D978-4337-B433-E5CA79EA066A}"/>
    <cellStyle name="Normal 5 6 6" xfId="26331" xr:uid="{CE8BDCAB-BEB2-42AA-943F-74EBCBF854D9}"/>
    <cellStyle name="Normal 5 7" xfId="26332" xr:uid="{F51B4660-BD19-4FBB-A2DE-42FD13FEB5F5}"/>
    <cellStyle name="Normal 5 7 2" xfId="26333" xr:uid="{FB90D1CF-E71B-42E1-A822-7C8BBFF4B7A2}"/>
    <cellStyle name="Normal 5 7 2 2" xfId="26334" xr:uid="{EF4055C5-1B27-45BF-A748-3ACD021456A6}"/>
    <cellStyle name="Normal 5 7 2 2 2" xfId="26335" xr:uid="{F287068C-66A2-4051-B677-F240186191FA}"/>
    <cellStyle name="Normal 5 7 2 3" xfId="26336" xr:uid="{54D9556D-E867-4471-B1F2-8FC1E78AECEA}"/>
    <cellStyle name="Normal 5 7 2 3 2" xfId="26337" xr:uid="{4080845C-DA2C-4898-9884-F0C971139D35}"/>
    <cellStyle name="Normal 5 7 2 4" xfId="26338" xr:uid="{24A8E32F-E2ED-4AE5-B0D2-96956589ACE9}"/>
    <cellStyle name="Normal 5 7 3" xfId="26339" xr:uid="{6138244D-FF1C-4CE6-AC43-73A9FF561C79}"/>
    <cellStyle name="Normal 5 7 3 2" xfId="26340" xr:uid="{24146285-D80F-4F14-9A01-699A0F0B081F}"/>
    <cellStyle name="Normal 5 7 4" xfId="26341" xr:uid="{B98D8903-2B43-401E-9BF1-75D4A56C90CF}"/>
    <cellStyle name="Normal 5 7 4 2" xfId="26342" xr:uid="{8D7488B2-493A-410D-B4E7-6744531547D6}"/>
    <cellStyle name="Normal 5 7 5" xfId="26343" xr:uid="{008ECD04-71A3-4C04-9EE4-BA118232E8AD}"/>
    <cellStyle name="Normal 5 7 5 2" xfId="26344" xr:uid="{2B2A4763-3F94-4000-91CA-3AB3256FBA39}"/>
    <cellStyle name="Normal 5 7 6" xfId="26345" xr:uid="{3D63B4D8-4B8B-4927-BF71-DBFC8D8704B4}"/>
    <cellStyle name="Normal 5 8" xfId="26346" xr:uid="{7D7DDDCD-1674-4F38-ABA5-BB7165135439}"/>
    <cellStyle name="Normal 5 8 2" xfId="26347" xr:uid="{E299573A-70D3-4EBF-A381-B35C35C2FF78}"/>
    <cellStyle name="Normal 5 8 2 2" xfId="26348" xr:uid="{8EE8BCF0-F1D7-41B3-8E6A-A8C85CC9FB4D}"/>
    <cellStyle name="Normal 5 8 3" xfId="26349" xr:uid="{3CB5385E-99BF-4B6C-AF3E-6C806F125AF7}"/>
    <cellStyle name="Normal 5 8 3 2" xfId="26350" xr:uid="{4ACE2183-17B0-4D84-A7CE-DEE9097FA50D}"/>
    <cellStyle name="Normal 5 8 4" xfId="26351" xr:uid="{CA199265-9113-4718-BA75-9F224206A9A4}"/>
    <cellStyle name="Normal 5 9" xfId="26352" xr:uid="{FE0E0D18-A396-473F-AE2F-BA710F848020}"/>
    <cellStyle name="Normal 5 9 2" xfId="26353" xr:uid="{E8A63647-BDF9-4FA1-BD0E-1F88409D8681}"/>
    <cellStyle name="Normal 5 9 2 2" xfId="26354" xr:uid="{6ECD4B1C-C6AE-4BF3-A214-40CBC86AF645}"/>
    <cellStyle name="Normal 5 9 3" xfId="26355" xr:uid="{F63E7C38-98EF-43C9-8A06-2EDBBB75A90C}"/>
    <cellStyle name="Normal 50" xfId="15563" xr:uid="{5DCD23B2-F215-4CB1-97FB-14DEEA29C464}"/>
    <cellStyle name="Normal 50 2" xfId="19357" xr:uid="{8ED4985F-BF8D-4ABD-96B5-E30F5EEC49DB}"/>
    <cellStyle name="Normal 51" xfId="15462" xr:uid="{4315286A-5345-479E-AD49-C5431AAEBC6F}"/>
    <cellStyle name="Normal 51 2" xfId="19327" xr:uid="{6DD4432E-2593-4CAF-AC9F-824ECFDECE1D}"/>
    <cellStyle name="Normal 52" xfId="15464" xr:uid="{916E0E3C-DF36-4A74-B321-1EAF520C89B0}"/>
    <cellStyle name="Normal 52 2" xfId="19328" xr:uid="{04163A9E-36B3-480E-976B-67442CC5A4E3}"/>
    <cellStyle name="Normal 53" xfId="15449" xr:uid="{5B0ECCDD-D560-4085-9972-6081D4302797}"/>
    <cellStyle name="Normal 53 2" xfId="19319" xr:uid="{5321A1BB-C9C6-44BB-B499-CAD41B6002E6}"/>
    <cellStyle name="Normal 54" xfId="15458" xr:uid="{2714B744-F764-4378-AAAB-6AAE7838F4A5}"/>
    <cellStyle name="Normal 54 2" xfId="19324" xr:uid="{F52AB8CA-4362-4E19-907A-CFA2B8CB1383}"/>
    <cellStyle name="Normal 55" xfId="15886" xr:uid="{DECF5C4D-959A-4743-9084-C954409E7A1E}"/>
    <cellStyle name="Normal 55 2" xfId="19448" xr:uid="{FEFCB092-BE7C-4191-8A02-F2D5555CAD41}"/>
    <cellStyle name="Normal 56" xfId="15937" xr:uid="{1996EF94-0A35-441D-ADA0-69EDCBC416ED}"/>
    <cellStyle name="Normal 56 2" xfId="19465" xr:uid="{90C111CB-C9F7-47E9-88B0-E5D1822BC2ED}"/>
    <cellStyle name="Normal 57" xfId="15936" xr:uid="{4B69DC09-5956-41C5-BE25-EDC1CDBF7C3C}"/>
    <cellStyle name="Normal 57 2" xfId="19464" xr:uid="{31B6B1C6-20A8-47E5-BC7C-D37665866B79}"/>
    <cellStyle name="Normal 58" xfId="10601" xr:uid="{6EAE8DFA-CCA6-4EBA-829D-75374FEC1592}"/>
    <cellStyle name="Normal 58 2" xfId="47735" xr:uid="{09691AD0-FF16-4FD9-B7A0-BADE2DC9BF61}"/>
    <cellStyle name="Normal 59" xfId="48250" xr:uid="{77C0ABAF-DF0F-4A16-8B91-EB36DA9913D8}"/>
    <cellStyle name="Normal 6" xfId="571" xr:uid="{00000000-0005-0000-0000-000059050000}"/>
    <cellStyle name="Normal 6 10" xfId="10609" xr:uid="{02C30CED-C610-40DF-BA3A-58CE6CBC772D}"/>
    <cellStyle name="Normal 6 10 2" xfId="26357" xr:uid="{07D8E242-3CD1-4F42-A6B8-48DC3AFAA484}"/>
    <cellStyle name="Normal 6 10 3" xfId="26356" xr:uid="{94644688-9BCC-4A0A-9E0D-4BBD8A751BF6}"/>
    <cellStyle name="Normal 6 11" xfId="26358" xr:uid="{F82A1944-49EA-4D6A-89A0-F9FBEB1A1A67}"/>
    <cellStyle name="Normal 6 11 2" xfId="26359" xr:uid="{2BBA9B37-ECB1-4295-8584-89BF56DE6729}"/>
    <cellStyle name="Normal 6 12" xfId="26360" xr:uid="{E6913783-1C9B-42ED-B0CE-6408671D58B9}"/>
    <cellStyle name="Normal 6 12 2" xfId="26361" xr:uid="{7F4B0BC3-E83E-40BA-AB54-0D053267A524}"/>
    <cellStyle name="Normal 6 13" xfId="26362" xr:uid="{E40A0EFA-F000-46A4-8CBC-F671B3256A57}"/>
    <cellStyle name="Normal 6 13 2" xfId="26363" xr:uid="{6878FB9F-3F84-4895-9FFC-8D8CF1732D35}"/>
    <cellStyle name="Normal 6 14" xfId="26364" xr:uid="{171FFB99-83D4-4ACD-8792-66B65FFB1899}"/>
    <cellStyle name="Normal 6 15" xfId="26365" xr:uid="{97ACF207-F2E1-46A7-80A2-DF639F4DF011}"/>
    <cellStyle name="Normal 6 16" xfId="16984" xr:uid="{225B633C-CD6C-4EDA-8A11-ADB2ACCCA9E3}"/>
    <cellStyle name="Normal 6 2" xfId="572" xr:uid="{00000000-0005-0000-0000-00005A050000}"/>
    <cellStyle name="Normal 6 2 10" xfId="26366" xr:uid="{9ABB9C0B-DE45-48E0-9556-966A79C592BD}"/>
    <cellStyle name="Normal 6 2 10 2" xfId="48971" xr:uid="{37D1B535-2825-4924-A3ED-C33970507572}"/>
    <cellStyle name="Normal 6 2 11" xfId="16985" xr:uid="{A2A1A7A6-171B-4464-AFF2-2DC4DF1D7555}"/>
    <cellStyle name="Normal 6 2 2" xfId="2050" xr:uid="{00000000-0005-0000-0000-00005B050000}"/>
    <cellStyle name="Normal 6 2 2 2" xfId="4088" xr:uid="{60083ED1-180F-4F02-BB0F-6635A2563F18}"/>
    <cellStyle name="Normal 6 2 2 2 2" xfId="10310" xr:uid="{02A2C0EE-20CC-42A7-A149-76C002ABE55A}"/>
    <cellStyle name="Normal 6 2 2 2 2 2" xfId="12763" xr:uid="{14D7F4EC-35C0-44F1-AB07-01C1ADD6D63B}"/>
    <cellStyle name="Normal 6 2 2 2 2 2 2" xfId="46790" xr:uid="{03FE353B-F98A-49D7-A64A-0851B223E06F}"/>
    <cellStyle name="Normal 6 2 2 2 2 3" xfId="18892" xr:uid="{1B454EF4-C1F9-48DA-9D01-CC38ADFDE66D}"/>
    <cellStyle name="Normal 6 2 2 2 3" xfId="12462" xr:uid="{5E38A481-AB6E-4F6F-A784-FB4B3CB4675D}"/>
    <cellStyle name="Normal 6 2 2 2 3 2" xfId="32431" xr:uid="{373B5F4C-115B-4BA3-9B60-6978E3096B26}"/>
    <cellStyle name="Normal 6 2 2 2 4" xfId="18743" xr:uid="{6B9C8128-E67D-400A-A7FC-CA9A3C72706E}"/>
    <cellStyle name="Normal 6 2 2 3" xfId="10077" xr:uid="{AF88B393-8D68-47E8-AD17-D0C93986EB2C}"/>
    <cellStyle name="Normal 6 2 2 3 2" xfId="10389" xr:uid="{55EC623E-8EC1-472F-A6B8-41A231756863}"/>
    <cellStyle name="Normal 6 2 2 3 2 2" xfId="12842" xr:uid="{B299605A-9226-4340-BDDF-33F6A1FD22BF}"/>
    <cellStyle name="Normal 6 2 2 3 2 2 2" xfId="47022" xr:uid="{687398E3-6B44-4F79-8C86-D5D409355781}"/>
    <cellStyle name="Normal 6 2 2 3 2 3" xfId="18933" xr:uid="{002EC377-DA55-4BC7-8022-1898FC6111BF}"/>
    <cellStyle name="Normal 6 2 2 3 3" xfId="12534" xr:uid="{CB8135EE-57C5-4F90-A7EF-F1C848C0B26F}"/>
    <cellStyle name="Normal 6 2 2 3 3 2" xfId="32291" xr:uid="{7E7F5E2F-14A8-4916-9DA2-78D1E5F597E2}"/>
    <cellStyle name="Normal 6 2 2 3 4" xfId="18777" xr:uid="{7723B284-0282-45AF-9B90-73E9C2A76594}"/>
    <cellStyle name="Normal 6 2 2 4" xfId="10155" xr:uid="{6FDEA96A-177A-480F-B1BE-2739B0AE92E4}"/>
    <cellStyle name="Normal 6 2 2 4 2" xfId="10469" xr:uid="{EED58D87-26EA-40D3-812D-C1915C697A75}"/>
    <cellStyle name="Normal 6 2 2 4 2 2" xfId="12922" xr:uid="{494ECBB7-A69F-4FB4-80BD-78C3D7007029}"/>
    <cellStyle name="Normal 6 2 2 4 2 2 2" xfId="24478" xr:uid="{3C2F495C-2DE1-4492-A9CE-5840A1774C1A}"/>
    <cellStyle name="Normal 6 2 2 4 2 3" xfId="18975" xr:uid="{F8E48DB4-6DFD-4812-8B90-94212277B367}"/>
    <cellStyle name="Normal 6 2 2 4 3" xfId="12609" xr:uid="{3D4DE4CD-43B7-4876-B527-03E520C17922}"/>
    <cellStyle name="Normal 6 2 2 4 3 2" xfId="46329" xr:uid="{AD8392F9-FC04-4EE7-A388-129C7135DB08}"/>
    <cellStyle name="Normal 6 2 2 4 4" xfId="18814" xr:uid="{D4783D55-87F8-4853-B1DA-D9B114129BB3}"/>
    <cellStyle name="Normal 6 2 2 5" xfId="10235" xr:uid="{2A1DD66D-6373-4840-9AF9-DA2ACE19F203}"/>
    <cellStyle name="Normal 6 2 2 5 2" xfId="12688" xr:uid="{3A964658-51D0-49BE-912E-F5DD8410D9DC}"/>
    <cellStyle name="Normal 6 2 2 5 2 2" xfId="46666" xr:uid="{0EF4EF00-FA08-4ECA-8CD3-D175ACFAC4A2}"/>
    <cellStyle name="Normal 6 2 2 5 3" xfId="18855" xr:uid="{2BA88494-4798-4751-825A-8DF971B366A5}"/>
    <cellStyle name="Normal 6 2 2 6" xfId="10549" xr:uid="{71D533F3-5DD9-4FDB-984D-8FDC88FE6AC9}"/>
    <cellStyle name="Normal 6 2 2 6 2" xfId="13002" xr:uid="{3FD5F73D-A49B-485E-B954-1119B2A5F504}"/>
    <cellStyle name="Normal 6 2 2 6 2 2" xfId="47079" xr:uid="{3079F85F-2B22-4188-A2B3-9C99995C6055}"/>
    <cellStyle name="Normal 6 2 2 6 3" xfId="19017" xr:uid="{E1BC9A4C-3E94-4B09-8D35-7C7C16CDAB6B}"/>
    <cellStyle name="Normal 6 2 2 7" xfId="11493" xr:uid="{35BB2119-4B49-4847-B1F5-D661BEE3C131}"/>
    <cellStyle name="Normal 6 2 2 7 2" xfId="18122" xr:uid="{CD9DF533-4125-462A-95D0-079E151AD93A}"/>
    <cellStyle name="Normal 6 2 2 8" xfId="11072" xr:uid="{18438AC8-E498-4B3D-AB50-E672643D74A0}"/>
    <cellStyle name="Normal 6 2 2 9" xfId="16986" xr:uid="{66A12BE4-F7E9-4303-BF56-76E7965D3FF9}"/>
    <cellStyle name="Normal 6 2 3" xfId="2051" xr:uid="{00000000-0005-0000-0000-00005C050000}"/>
    <cellStyle name="Normal 6 2 3 2" xfId="2052" xr:uid="{00000000-0005-0000-0000-00005D050000}"/>
    <cellStyle name="Normal 6 2 3 2 2" xfId="14070" xr:uid="{2424B98D-EB6E-446E-90ED-23AE433944F4}"/>
    <cellStyle name="Normal 6 2 3 2 2 2" xfId="26367" xr:uid="{F40A7D20-09CB-4CC7-BEB2-2AE552D1A39E}"/>
    <cellStyle name="Normal 6 2 3 2 3" xfId="17827" xr:uid="{43ECE267-AD5A-48FE-BA14-BEE8C588E583}"/>
    <cellStyle name="Normal 6 2 3 3" xfId="11110" xr:uid="{7752FDBC-2021-47C0-9142-68A5D8560E3E}"/>
    <cellStyle name="Normal 6 2 3 3 2" xfId="26368" xr:uid="{92D944FE-DF38-46F6-84C4-02097DC7B6E0}"/>
    <cellStyle name="Normal 6 2 3 4" xfId="11073" xr:uid="{3D0DEDD2-82B0-40E1-B8F8-BAC90DA1F22B}"/>
    <cellStyle name="Normal 6 2 3 4 2" xfId="17826" xr:uid="{384D3E07-17A1-48DA-B038-E6F4463CA386}"/>
    <cellStyle name="Normal 6 2 3 5" xfId="8070" xr:uid="{1EC41DA4-3548-4779-8ACA-68D760C0349B}"/>
    <cellStyle name="Normal 6 2 4" xfId="2053" xr:uid="{00000000-0005-0000-0000-00005E050000}"/>
    <cellStyle name="Normal 6 2 4 2" xfId="10296" xr:uid="{AB24E985-BCD1-4996-B551-96930159F456}"/>
    <cellStyle name="Normal 6 2 4 2 2" xfId="12749" xr:uid="{E4739E04-BAA9-46FA-9F70-DF47B32F28E1}"/>
    <cellStyle name="Normal 6 2 4 2 2 2" xfId="25060" xr:uid="{74250D35-E25E-404E-B7C4-2C2138C41033}"/>
    <cellStyle name="Normal 6 2 4 2 3" xfId="18880" xr:uid="{18D36F6B-D6C4-4345-B30A-0135A59483CA}"/>
    <cellStyle name="Normal 6 2 4 3" xfId="11074" xr:uid="{2ACD1806-6D19-46A9-86E6-B749CE196867}"/>
    <cellStyle name="Normal 6 2 4 3 2" xfId="47689" xr:uid="{7B9F6DD4-46AA-48E6-BE2B-8E6E6DB40862}"/>
    <cellStyle name="Normal 6 2 4 4" xfId="17828" xr:uid="{764B910F-E8B2-4410-887E-95D19BC4302E}"/>
    <cellStyle name="Normal 6 2 5" xfId="10062" xr:uid="{40E9C109-96B1-410C-A909-F02281BACC46}"/>
    <cellStyle name="Normal 6 2 5 2" xfId="10371" xr:uid="{3E96248A-4B7E-49DF-A951-CA775398114C}"/>
    <cellStyle name="Normal 6 2 5 2 2" xfId="12824" xr:uid="{EABE3A47-8AA0-4E78-8B02-83C39BEF872C}"/>
    <cellStyle name="Normal 6 2 5 2 2 2" xfId="25048" xr:uid="{7FEDCFFF-4810-4FE3-B176-5DA4A43190C6}"/>
    <cellStyle name="Normal 6 2 5 2 3" xfId="18917" xr:uid="{B1568EBE-A39F-4213-9287-3238915266B9}"/>
    <cellStyle name="Normal 6 2 5 3" xfId="12521" xr:uid="{FAF3BA2B-FD21-46E3-A994-6306B2599CB1}"/>
    <cellStyle name="Normal 6 2 5 3 2" xfId="47164" xr:uid="{9F5897A8-F30C-4007-8073-18027E57B64C}"/>
    <cellStyle name="Normal 6 2 5 4" xfId="18766" xr:uid="{C9D3C138-49BC-4369-B0CD-4234CACB5942}"/>
    <cellStyle name="Normal 6 2 6" xfId="10137" xr:uid="{55AECC5B-C051-445D-8CFA-9B0741C66067}"/>
    <cellStyle name="Normal 6 2 6 2" xfId="10451" xr:uid="{9783613E-B10F-4C2E-8567-67A401A5BD1A}"/>
    <cellStyle name="Normal 6 2 6 2 2" xfId="12904" xr:uid="{778546F2-4B7D-40DF-BFC7-352D2E017579}"/>
    <cellStyle name="Normal 6 2 6 2 2 2" xfId="48399" xr:uid="{2B1153A4-C9CD-498E-B5B7-EBF8696745DB}"/>
    <cellStyle name="Normal 6 2 6 2 3" xfId="18959" xr:uid="{713090A2-853B-4C74-B934-03AAC03913F2}"/>
    <cellStyle name="Normal 6 2 6 3" xfId="12593" xr:uid="{37CC4A4D-9590-4221-8B72-6BC3E47BD7A5}"/>
    <cellStyle name="Normal 6 2 6 3 2" xfId="25072" xr:uid="{C7B27CC2-0120-4C23-BBD1-AEA3B8D74B70}"/>
    <cellStyle name="Normal 6 2 6 4" xfId="18800" xr:uid="{A6FA8DE5-C047-49F9-8899-26043F51B7B3}"/>
    <cellStyle name="Normal 6 2 7" xfId="10217" xr:uid="{C9A54947-227D-44A8-81BB-E8446F5AA722}"/>
    <cellStyle name="Normal 6 2 7 2" xfId="12670" xr:uid="{7A9F96F6-6F7E-4457-9E14-D24058194936}"/>
    <cellStyle name="Normal 6 2 7 2 2" xfId="26369" xr:uid="{42602055-88A8-4A40-8F5B-5588A28275D5}"/>
    <cellStyle name="Normal 6 2 7 3" xfId="18839" xr:uid="{27B36202-1770-426C-BC02-1846C5E9B351}"/>
    <cellStyle name="Normal 6 2 8" xfId="10531" xr:uid="{82A74E40-AA8E-412E-8B97-A53D28ABFDE4}"/>
    <cellStyle name="Normal 6 2 8 2" xfId="12984" xr:uid="{21B47E0A-F7FA-436D-B902-2BAEF64B3CA7}"/>
    <cellStyle name="Normal 6 2 8 2 2" xfId="24211" xr:uid="{103C0A93-C27E-4931-B9F3-388811261325}"/>
    <cellStyle name="Normal 6 2 8 3" xfId="19001" xr:uid="{656CE997-FB7F-4B0E-9F23-C638EAB3BCF9}"/>
    <cellStyle name="Normal 6 2 9" xfId="26370" xr:uid="{438E1D79-6D89-45DA-BD96-CCB31F7253C8}"/>
    <cellStyle name="Normal 6 3" xfId="573" xr:uid="{00000000-0005-0000-0000-00005F050000}"/>
    <cellStyle name="Normal 6 3 10" xfId="16987" xr:uid="{82EFB4A7-10A2-4F4C-8CBD-49AA5604F47E}"/>
    <cellStyle name="Normal 6 3 2" xfId="2054" xr:uid="{00000000-0005-0000-0000-000060050000}"/>
    <cellStyle name="Normal 6 3 2 2" xfId="2055" xr:uid="{00000000-0005-0000-0000-000061050000}"/>
    <cellStyle name="Normal 6 3 2 2 2" xfId="2056" xr:uid="{00000000-0005-0000-0000-000062050000}"/>
    <cellStyle name="Normal 6 3 2 2 2 2" xfId="17831" xr:uid="{69A48F6C-1A82-4ADD-A1BC-5C24B6489015}"/>
    <cellStyle name="Normal 6 3 2 2 3" xfId="11076" xr:uid="{95E519DE-9DE3-490E-87B8-9524C532B6DD}"/>
    <cellStyle name="Normal 6 3 2 2 3 2" xfId="47747" xr:uid="{59D32853-0E74-4FB1-AEDE-704F09FE4119}"/>
    <cellStyle name="Normal 6 3 2 2 4" xfId="17830" xr:uid="{8A820FE8-0D5E-4E7F-9D8D-8BE29DE75492}"/>
    <cellStyle name="Normal 6 3 2 3" xfId="2057" xr:uid="{00000000-0005-0000-0000-000063050000}"/>
    <cellStyle name="Normal 6 3 2 3 2" xfId="26371" xr:uid="{9E8BCCCD-816B-43BF-B27B-C80C69AEC92A}"/>
    <cellStyle name="Normal 6 3 2 3 3" xfId="17832" xr:uid="{4E0A2E98-8945-4492-9153-FF85DCC3F5DC}"/>
    <cellStyle name="Normal 6 3 2 4" xfId="11075" xr:uid="{63401A67-F0EE-4D95-9A41-ED8E0596C39A}"/>
    <cellStyle name="Normal 6 3 2 4 2" xfId="26372" xr:uid="{B305B268-8265-4164-8E36-1177806E9859}"/>
    <cellStyle name="Normal 6 3 2 5" xfId="26373" xr:uid="{BECCF119-89A3-4D09-98A6-DE1CD1613830}"/>
    <cellStyle name="Normal 6 3 2 6" xfId="17829" xr:uid="{E93AF44F-F1CA-4398-BEAD-45C6DCE6C7A1}"/>
    <cellStyle name="Normal 6 3 3" xfId="10070" xr:uid="{9C475D89-F04F-405B-B2D4-A63624070335}"/>
    <cellStyle name="Normal 6 3 3 2" xfId="10382" xr:uid="{B8DB2697-7780-454A-BF54-5C80B56E1579}"/>
    <cellStyle name="Normal 6 3 3 2 2" xfId="12835" xr:uid="{59A42511-FB05-4A4C-B512-400A32030B85}"/>
    <cellStyle name="Normal 6 3 3 2 2 2" xfId="46361" xr:uid="{95F5FBED-4FD8-45C5-84DC-DB578A6FA5A0}"/>
    <cellStyle name="Normal 6 3 3 2 3" xfId="18927" xr:uid="{8397FF70-710E-4F3B-A7AF-997A1358F36E}"/>
    <cellStyle name="Normal 6 3 3 3" xfId="12145" xr:uid="{1085D662-D079-48AB-94DA-E40D447F35EE}"/>
    <cellStyle name="Normal 6 3 3 3 2" xfId="25105" xr:uid="{149B04BE-CD1E-4B90-BB4A-1DE62A3C45FC}"/>
    <cellStyle name="Normal 6 3 3 4" xfId="18550" xr:uid="{C28C2977-55C9-4095-9C20-2928C8FACB77}"/>
    <cellStyle name="Normal 6 3 4" xfId="10148" xr:uid="{379612C7-6C9D-4D18-9C29-22834E36D7D8}"/>
    <cellStyle name="Normal 6 3 4 2" xfId="10462" xr:uid="{63C08EBD-BD97-4707-87D7-29AC99D6F520}"/>
    <cellStyle name="Normal 6 3 4 2 2" xfId="12915" xr:uid="{3F5A5B75-441C-436B-A4B4-601C1D0ED8FD}"/>
    <cellStyle name="Normal 6 3 4 2 2 2" xfId="25041" xr:uid="{47BD88CD-44E2-44E2-A2CC-F513D3F7359A}"/>
    <cellStyle name="Normal 6 3 4 2 3" xfId="18969" xr:uid="{88FAD949-EC4E-48EF-A042-FECCFECEB43E}"/>
    <cellStyle name="Normal 6 3 4 3" xfId="12602" xr:uid="{C117E380-46FF-4392-9084-44B404E8B320}"/>
    <cellStyle name="Normal 6 3 4 3 2" xfId="47318" xr:uid="{07206F6A-851D-405A-96F6-312EE645372A}"/>
    <cellStyle name="Normal 6 3 4 4" xfId="18808" xr:uid="{E5BAAC09-0246-4BCE-A1F8-3BC8E42D4936}"/>
    <cellStyle name="Normal 6 3 5" xfId="10228" xr:uid="{70FF8ED0-5543-46D6-883B-978A693F8433}"/>
    <cellStyle name="Normal 6 3 5 2" xfId="12681" xr:uid="{D794CF9A-2F72-4A2F-82B5-BD10866AAC02}"/>
    <cellStyle name="Normal 6 3 5 2 2" xfId="26374" xr:uid="{5A1A46DD-A197-4D59-AF3E-CCA734C86062}"/>
    <cellStyle name="Normal 6 3 5 3" xfId="18849" xr:uid="{005ABF8A-407F-4801-92B8-1A2E18D2E040}"/>
    <cellStyle name="Normal 6 3 6" xfId="10542" xr:uid="{4902B039-B411-4AB3-BEC1-09A558B7F8F2}"/>
    <cellStyle name="Normal 6 3 6 2" xfId="12995" xr:uid="{1EE5C68A-5EA2-4A06-B427-52D1CA119A22}"/>
    <cellStyle name="Normal 6 3 6 2 2" xfId="26375" xr:uid="{DA3E9F0F-4A9D-433F-B510-093D765C42BE}"/>
    <cellStyle name="Normal 6 3 6 3" xfId="19011" xr:uid="{A0B40885-1F69-474C-B844-E207C575D009}"/>
    <cellStyle name="Normal 6 3 7" xfId="10610" xr:uid="{DEFE9A28-D569-4D64-A9CD-FBE3B85FFCF8}"/>
    <cellStyle name="Normal 6 3 7 2" xfId="26377" xr:uid="{50CFA442-3443-4A21-B131-29BE71A2863F}"/>
    <cellStyle name="Normal 6 3 7 3" xfId="26376" xr:uid="{C07332AA-3467-45F0-A138-515C9B9B15E4}"/>
    <cellStyle name="Normal 6 3 8" xfId="26378" xr:uid="{B9184DC7-8BC2-4113-BF56-CB11ADE90864}"/>
    <cellStyle name="Normal 6 3 9" xfId="26379" xr:uid="{034B3FE6-7E7C-45DE-880E-2A79325020B3}"/>
    <cellStyle name="Normal 6 4" xfId="2058" xr:uid="{00000000-0005-0000-0000-000064050000}"/>
    <cellStyle name="Normal 6 4 2" xfId="2059" xr:uid="{00000000-0005-0000-0000-000065050000}"/>
    <cellStyle name="Normal 6 4 2 2" xfId="10303" xr:uid="{8E1DDB58-E4E6-4BB7-9692-53873CF68BCE}"/>
    <cellStyle name="Normal 6 4 2 2 2" xfId="12756" xr:uid="{75A26AFC-77FA-4F7F-802A-6533FAA9D412}"/>
    <cellStyle name="Normal 6 4 2 2 2 2" xfId="26380" xr:uid="{2677EB2A-FE3E-4917-8DED-EB071223AAC0}"/>
    <cellStyle name="Normal 6 4 2 2 3" xfId="18886" xr:uid="{61E8405F-2FBE-4E68-B088-48D43A7BE319}"/>
    <cellStyle name="Normal 6 4 2 3" xfId="11078" xr:uid="{F0BA996F-2080-400E-8EDE-311A5155A06C}"/>
    <cellStyle name="Normal 6 4 2 3 2" xfId="26382" xr:uid="{B3A46E5A-1E4B-4915-A5EC-76332BF8D44F}"/>
    <cellStyle name="Normal 6 4 2 3 3" xfId="26381" xr:uid="{B6501462-323A-44EB-818E-15114F456DFF}"/>
    <cellStyle name="Normal 6 4 2 4" xfId="26383" xr:uid="{2114D988-20E7-4C9C-B58D-92CFB6681F8E}"/>
    <cellStyle name="Normal 6 4 2 5" xfId="17833" xr:uid="{D23E21A8-9C6B-4912-A547-152C44844AD8}"/>
    <cellStyle name="Normal 6 4 3" xfId="10069" xr:uid="{E54C84B3-8A60-4E31-8EC5-A3015DB600B2}"/>
    <cellStyle name="Normal 6 4 3 2" xfId="10381" xr:uid="{BEA7B2A0-6B60-4D13-BB6B-CB5168300F7C}"/>
    <cellStyle name="Normal 6 4 3 2 2" xfId="12834" xr:uid="{C5DC0C63-E065-46E8-A985-09881C32EADB}"/>
    <cellStyle name="Normal 6 4 3 2 2 2" xfId="48496" xr:uid="{5E59A3FB-9249-479F-8A1D-AC8AE64AD9CC}"/>
    <cellStyle name="Normal 6 4 3 2 3" xfId="18926" xr:uid="{FE9C42DC-4ABF-44F7-9456-76C030B9D4E9}"/>
    <cellStyle name="Normal 6 4 3 3" xfId="12146" xr:uid="{CCEF2DD4-DE2B-440F-81B7-67B1C371E6C5}"/>
    <cellStyle name="Normal 6 4 3 3 2" xfId="47522" xr:uid="{826E092B-5A1C-4F64-998A-0AAE6279164F}"/>
    <cellStyle name="Normal 6 4 3 4" xfId="18551" xr:uid="{63FD1A32-077C-42A2-AA30-6F034DFF13E3}"/>
    <cellStyle name="Normal 6 4 4" xfId="10147" xr:uid="{2B7D382F-581B-45D9-90CA-1A54886E186B}"/>
    <cellStyle name="Normal 6 4 4 2" xfId="10461" xr:uid="{75C5A3D3-3283-478A-A65B-14DF981DC0A0}"/>
    <cellStyle name="Normal 6 4 4 2 2" xfId="12914" xr:uid="{5850B6CB-56EF-402D-8594-76B80A8C96B8}"/>
    <cellStyle name="Normal 6 4 4 2 2 2" xfId="46369" xr:uid="{A771FBF4-33D4-4A80-A2B7-17C372D08FB6}"/>
    <cellStyle name="Normal 6 4 4 2 3" xfId="18968" xr:uid="{F313E93F-B335-4D1F-9E39-C491BB0D2547}"/>
    <cellStyle name="Normal 6 4 4 3" xfId="12601" xr:uid="{C0548005-C6CA-4CBF-A8D9-B03B47B64B97}"/>
    <cellStyle name="Normal 6 4 4 3 2" xfId="47758" xr:uid="{3080CF5C-34E3-45E5-ADCC-44346804B591}"/>
    <cellStyle name="Normal 6 4 4 4" xfId="18807" xr:uid="{3860A266-AAE4-4DA4-BE0F-A1631FABB721}"/>
    <cellStyle name="Normal 6 4 5" xfId="10227" xr:uid="{18C5A83C-FE51-4E6F-895E-2EDBBE6FA1A6}"/>
    <cellStyle name="Normal 6 4 5 2" xfId="12680" xr:uid="{576A0A46-AECB-4A48-83B3-FE79F4C73CC9}"/>
    <cellStyle name="Normal 6 4 5 2 2" xfId="26384" xr:uid="{7E02840C-DB11-4C89-A6E6-6B076D8DF276}"/>
    <cellStyle name="Normal 6 4 5 3" xfId="18848" xr:uid="{896A32CD-2262-4DE1-BA70-C048E351CDB4}"/>
    <cellStyle name="Normal 6 4 6" xfId="10541" xr:uid="{32E2F1BB-824A-4FA4-8741-E8D783451A0A}"/>
    <cellStyle name="Normal 6 4 6 2" xfId="12994" xr:uid="{DC528CE5-28A1-4139-B197-49FB0EC3A096}"/>
    <cellStyle name="Normal 6 4 6 2 2" xfId="26385" xr:uid="{9FFA5DBD-C6F0-4EBE-AF59-B138C3F5872A}"/>
    <cellStyle name="Normal 6 4 6 3" xfId="19010" xr:uid="{1F8B6F25-11AB-4081-8292-D28AD811564A}"/>
    <cellStyle name="Normal 6 4 7" xfId="11077" xr:uid="{79B20DCF-9365-4056-B398-A0DB65404188}"/>
    <cellStyle name="Normal 6 4 7 2" xfId="26386" xr:uid="{CE61761B-AB3A-4C3F-BEC5-685A7457C4A8}"/>
    <cellStyle name="Normal 6 4 8" xfId="26387" xr:uid="{54524788-8F24-4AE9-A1B6-359A8014DC6B}"/>
    <cellStyle name="Normal 6 4 9" xfId="16988" xr:uid="{A168CE59-B2CA-4B67-AA3C-D54D8EAAC31F}"/>
    <cellStyle name="Normal 6 5" xfId="2060" xr:uid="{00000000-0005-0000-0000-000066050000}"/>
    <cellStyle name="Normal 6 5 2" xfId="10289" xr:uid="{8FA67956-864D-4DED-95C5-B1C7E51F2CB3}"/>
    <cellStyle name="Normal 6 5 2 2" xfId="12742" xr:uid="{56CBE741-026D-41F6-81B6-FEC9225DE227}"/>
    <cellStyle name="Normal 6 5 2 2 2" xfId="26389" xr:uid="{14CFAFAD-A486-49FE-B2EA-DB0B04E644DB}"/>
    <cellStyle name="Normal 6 5 2 2 3" xfId="26388" xr:uid="{83D09A6B-53E6-4321-82DD-DECE4D2B1322}"/>
    <cellStyle name="Normal 6 5 2 3" xfId="26390" xr:uid="{A7C89D78-09FB-4179-8EEC-9EF2C14F2BE7}"/>
    <cellStyle name="Normal 6 5 2 3 2" xfId="26391" xr:uid="{DFF13529-0F78-48C9-8A70-B8676855C84E}"/>
    <cellStyle name="Normal 6 5 2 4" xfId="26392" xr:uid="{F60D5B1C-107E-4346-B5F6-0A7AF895FC46}"/>
    <cellStyle name="Normal 6 5 2 5" xfId="18877" xr:uid="{7C97A051-FE7C-4A3B-A085-ACA3FEDFFA6F}"/>
    <cellStyle name="Normal 6 5 3" xfId="11079" xr:uid="{563EA0D8-378B-4FC8-A1EA-15EF640D7FE6}"/>
    <cellStyle name="Normal 6 5 3 2" xfId="26394" xr:uid="{9E0DE7A6-5A74-4B5E-BD67-E6F216EBCD13}"/>
    <cellStyle name="Normal 6 5 3 3" xfId="26393" xr:uid="{30605F59-61AD-4748-920C-824A47B22D2A}"/>
    <cellStyle name="Normal 6 5 4" xfId="26395" xr:uid="{FD41804A-74AB-4189-BF7D-5A97B815CC63}"/>
    <cellStyle name="Normal 6 5 4 2" xfId="26396" xr:uid="{C3787F2D-4D23-4650-BFA9-266E942CE5D7}"/>
    <cellStyle name="Normal 6 5 5" xfId="26397" xr:uid="{AD805A88-ECBA-4156-99CA-22DFA1D007DC}"/>
    <cellStyle name="Normal 6 5 5 2" xfId="26398" xr:uid="{80F5F740-ABD3-4AD6-B798-9A122A374A75}"/>
    <cellStyle name="Normal 6 5 6" xfId="26399" xr:uid="{A617F684-E86E-4DFE-9725-70AD7A8A70FF}"/>
    <cellStyle name="Normal 6 5 7" xfId="26400" xr:uid="{A3336C83-962B-4285-84D5-D6F489B619DA}"/>
    <cellStyle name="Normal 6 5 8" xfId="17834" xr:uid="{1C6F0C99-778D-4742-AB70-3DF9ACB17860}"/>
    <cellStyle name="Normal 6 6" xfId="6971" xr:uid="{8B4346A7-17DA-465F-BCDC-6962E3534189}"/>
    <cellStyle name="Normal 6 6 2" xfId="10363" xr:uid="{0EF0D14F-B331-47C8-8E09-0B29983B9A3C}"/>
    <cellStyle name="Normal 6 6 2 2" xfId="12816" xr:uid="{768BB3AA-9F4C-4A1C-A444-4AE894EE91B4}"/>
    <cellStyle name="Normal 6 6 2 2 2" xfId="26402" xr:uid="{E4B8E7BE-2D96-4E63-912B-085D46E2AE9F}"/>
    <cellStyle name="Normal 6 6 2 2 3" xfId="26401" xr:uid="{13436F56-6D28-4DF0-BDCE-C934027DBB31}"/>
    <cellStyle name="Normal 6 6 2 3" xfId="26403" xr:uid="{AB1B95C7-04F8-4574-8FE8-8168C0EB6ADE}"/>
    <cellStyle name="Normal 6 6 2 3 2" xfId="26404" xr:uid="{F51D148D-9517-4A0E-A1B8-8004318C836B}"/>
    <cellStyle name="Normal 6 6 2 4" xfId="26405" xr:uid="{82375810-0F28-427A-8B76-A736D340C1E4}"/>
    <cellStyle name="Normal 6 6 2 5" xfId="18913" xr:uid="{971EC556-BD3C-467E-ACF8-9F770B688765}"/>
    <cellStyle name="Normal 6 6 3" xfId="12514" xr:uid="{E94E0211-84D9-4A72-B44B-1354910CFE83}"/>
    <cellStyle name="Normal 6 6 3 2" xfId="26407" xr:uid="{F8A391C9-DC04-48E4-A8D7-A91C0C0BE954}"/>
    <cellStyle name="Normal 6 6 3 3" xfId="26406" xr:uid="{3A2B67D5-B608-4A90-A584-FB56AB82E2D1}"/>
    <cellStyle name="Normal 6 6 4" xfId="26408" xr:uid="{71D76A10-CB35-4500-B5B7-5563C07A2C92}"/>
    <cellStyle name="Normal 6 6 4 2" xfId="26409" xr:uid="{68228758-28C3-417B-8697-5668645A43A9}"/>
    <cellStyle name="Normal 6 6 5" xfId="26410" xr:uid="{AF9E2812-24D8-4609-9F82-37ED7234FA19}"/>
    <cellStyle name="Normal 6 6 5 2" xfId="26411" xr:uid="{3E7A12F8-D0A8-49AD-8840-21757F2E7BED}"/>
    <cellStyle name="Normal 6 6 6" xfId="26412" xr:uid="{686F323E-2938-46D5-A531-14B9E13C001A}"/>
    <cellStyle name="Normal 6 6 7" xfId="18763" xr:uid="{691202EE-E9AF-4A53-A46E-ED599FB7FCC5}"/>
    <cellStyle name="Normal 6 6 8" xfId="10055" xr:uid="{8948630A-4AC9-491A-B7B7-000C6E50727E}"/>
    <cellStyle name="Normal 6 7" xfId="10129" xr:uid="{BDD2A34F-E3DA-42EF-AC0C-8DA02CA709E6}"/>
    <cellStyle name="Normal 6 7 2" xfId="10443" xr:uid="{4AD616B7-D134-4439-80FF-F098326A4303}"/>
    <cellStyle name="Normal 6 7 2 2" xfId="12896" xr:uid="{FEF5855E-6C13-4D98-A8AA-94CCAF9283EC}"/>
    <cellStyle name="Normal 6 7 2 2 2" xfId="26414" xr:uid="{3465426A-6E83-4584-B27A-5E8496E9A7A0}"/>
    <cellStyle name="Normal 6 7 2 2 3" xfId="26413" xr:uid="{D7BC1A91-74B6-4A36-A2A0-B0771E24BA68}"/>
    <cellStyle name="Normal 6 7 2 3" xfId="26415" xr:uid="{9D495409-7965-4D2F-ADFB-83A93F3958C5}"/>
    <cellStyle name="Normal 6 7 2 3 2" xfId="26416" xr:uid="{C19CAC34-FD7C-4E7E-B5FA-4565884D65E0}"/>
    <cellStyle name="Normal 6 7 2 4" xfId="26417" xr:uid="{65265849-C2AA-4141-8BDB-1FA6490E0208}"/>
    <cellStyle name="Normal 6 7 2 5" xfId="18955" xr:uid="{FF86B0F8-21D0-4555-96A6-B654A5DA6B0C}"/>
    <cellStyle name="Normal 6 7 3" xfId="12586" xr:uid="{96EB0ABF-3F59-415C-85A7-983ED2242C94}"/>
    <cellStyle name="Normal 6 7 3 2" xfId="26419" xr:uid="{36B27C1A-7121-4076-8FB8-A03BACF15C55}"/>
    <cellStyle name="Normal 6 7 3 3" xfId="26418" xr:uid="{8152E69B-A70C-4356-8F2E-2DDCE39E2DDB}"/>
    <cellStyle name="Normal 6 7 4" xfId="26420" xr:uid="{61879B0F-B9A3-4F2C-B653-1111BE2792D4}"/>
    <cellStyle name="Normal 6 7 4 2" xfId="26421" xr:uid="{61A93638-9266-47F9-9EFD-44CAF8C9D017}"/>
    <cellStyle name="Normal 6 7 5" xfId="26422" xr:uid="{975616A6-94EA-45D1-BACD-0D3CCE8ADE6D}"/>
    <cellStyle name="Normal 6 7 5 2" xfId="26423" xr:uid="{383C0101-5A9B-4D2D-A91A-8A1E2D20DB9E}"/>
    <cellStyle name="Normal 6 7 6" xfId="26424" xr:uid="{DF4E975F-7013-403A-AF22-DD5CD0CF69A9}"/>
    <cellStyle name="Normal 6 7 7" xfId="18797" xr:uid="{D94BEC1D-DA57-48FA-9522-81ABF501A583}"/>
    <cellStyle name="Normal 6 8" xfId="10209" xr:uid="{48D2E025-C2B7-4E88-9D70-68C20FDEC7FA}"/>
    <cellStyle name="Normal 6 8 2" xfId="12662" xr:uid="{C822F596-33EE-4867-8863-CD90012BAE90}"/>
    <cellStyle name="Normal 6 8 2 2" xfId="26426" xr:uid="{0E1E89F3-C76C-457F-BE58-FAD069FC93D9}"/>
    <cellStyle name="Normal 6 8 2 3" xfId="26425" xr:uid="{9424A334-990A-47B4-B6C4-68921FA44C57}"/>
    <cellStyle name="Normal 6 8 3" xfId="26427" xr:uid="{55D2E8C9-CAC9-4CE5-8184-3136265D58DE}"/>
    <cellStyle name="Normal 6 8 3 2" xfId="26428" xr:uid="{71EF1CEA-956C-4F2B-BA66-95CD2E6A1D38}"/>
    <cellStyle name="Normal 6 8 4" xfId="26429" xr:uid="{5556CD0E-2F32-472D-AED9-28B679843923}"/>
    <cellStyle name="Normal 6 8 5" xfId="18835" xr:uid="{20C51072-6B69-40C9-871A-A9E1395C9BC0}"/>
    <cellStyle name="Normal 6 9" xfId="10523" xr:uid="{813A251D-D6BF-432D-8A47-F74BDE5D2E04}"/>
    <cellStyle name="Normal 6 9 2" xfId="12976" xr:uid="{54324D75-33E5-4E94-9FA3-75DC5F60A187}"/>
    <cellStyle name="Normal 6 9 2 2" xfId="26431" xr:uid="{06747E47-4D17-48F2-A019-65B9801E850B}"/>
    <cellStyle name="Normal 6 9 2 3" xfId="26430" xr:uid="{F911045E-07B7-45B8-B83B-9A1E86BFAF01}"/>
    <cellStyle name="Normal 6 9 3" xfId="26432" xr:uid="{006029F3-AE81-40A6-86DE-E419D4A46E6E}"/>
    <cellStyle name="Normal 6 9 4" xfId="18997" xr:uid="{CA24DEAC-B6B4-4574-BD41-2E64456AF45D}"/>
    <cellStyle name="Normal 60" xfId="47377" xr:uid="{DF2D57BF-BC59-45F1-BAF7-2703EA455FDC}"/>
    <cellStyle name="Normal 61" xfId="48251" xr:uid="{282DCB4B-FF59-48E6-AD68-023D913938FE}"/>
    <cellStyle name="Normal 62" xfId="46659" xr:uid="{864DD4AC-6158-4164-9CDC-89583BE19741}"/>
    <cellStyle name="Normal 63" xfId="47086" xr:uid="{2955FC5A-D292-4C29-A612-8D44416F0072}"/>
    <cellStyle name="Normal 64" xfId="47420" xr:uid="{60D62603-170C-4F9E-B31B-87B0ED52BF26}"/>
    <cellStyle name="Normal 65" xfId="49787" xr:uid="{8967BE25-767B-4C3F-AD09-DCA8A64B5159}"/>
    <cellStyle name="Normal 66" xfId="52802" xr:uid="{456E5176-DF68-4EE0-B2E9-91CB75ED3596}"/>
    <cellStyle name="Normal 67" xfId="52856" xr:uid="{6B60E35B-9A1B-4769-A2E4-FA886956D044}"/>
    <cellStyle name="Normal 68" xfId="15938" xr:uid="{5DECD1E5-7A00-4393-9A67-B06FF4EA45AA}"/>
    <cellStyle name="Normal 69" xfId="55818" xr:uid="{D931C62E-F484-4422-9861-063264948975}"/>
    <cellStyle name="Normal 7" xfId="574" xr:uid="{00000000-0005-0000-0000-000067050000}"/>
    <cellStyle name="Normal 7 10" xfId="26433" xr:uid="{0A60B9F6-7B5A-4E05-ADD6-1D8B5F4E8339}"/>
    <cellStyle name="Normal 7 2" xfId="575" xr:uid="{00000000-0005-0000-0000-000068050000}"/>
    <cellStyle name="Normal 7 2 2" xfId="12147" xr:uid="{48EAB45B-F868-4BE2-BC8F-8DE573F274F3}"/>
    <cellStyle name="Normal 7 2 2 2" xfId="26436" xr:uid="{9D97A880-7519-4552-9791-E4FB2E2C4CB5}"/>
    <cellStyle name="Normal 7 2 2 2 2" xfId="48973" xr:uid="{53F4BB7C-BB78-41B4-8516-B0E73631109C}"/>
    <cellStyle name="Normal 7 2 2 3" xfId="26437" xr:uid="{B3141F78-D837-4A5B-9BCD-9D738777EE41}"/>
    <cellStyle name="Normal 7 2 2 4" xfId="26438" xr:uid="{EDFB468B-E565-4C76-BA9B-F752AD150077}"/>
    <cellStyle name="Normal 7 2 2 5" xfId="26435" xr:uid="{286638B5-A80F-4801-9163-099023772AB0}"/>
    <cellStyle name="Normal 7 2 2 6" xfId="48972" xr:uid="{126638AD-534E-4545-99E5-08324F65E010}"/>
    <cellStyle name="Normal 7 2 3" xfId="11488" xr:uid="{089021D9-763A-44C4-BB4F-01F7B4EDDB0E}"/>
    <cellStyle name="Normal 7 2 3 2" xfId="26440" xr:uid="{9B651D8F-9156-4BDD-986D-60411744607C}"/>
    <cellStyle name="Normal 7 2 3 2 2" xfId="26441" xr:uid="{54892DF3-9DF9-4966-B1A2-A9A2E9D51E1D}"/>
    <cellStyle name="Normal 7 2 3 3" xfId="26442" xr:uid="{DD48B2E4-DE69-40A2-826E-1DFF9A4BADFF}"/>
    <cellStyle name="Normal 7 2 3 4" xfId="26439" xr:uid="{E8E2575C-AA44-43F3-8B2A-BC58B4BC0448}"/>
    <cellStyle name="Normal 7 2 4" xfId="26443" xr:uid="{A0BF5C59-C39C-4F92-BC95-70B4481AA48E}"/>
    <cellStyle name="Normal 7 2 4 2" xfId="48974" xr:uid="{A65D60A6-F1CD-4429-8129-2704C03DD292}"/>
    <cellStyle name="Normal 7 2 5" xfId="26444" xr:uid="{BD1D00C9-257F-4B9E-93EB-85EDEA78155A}"/>
    <cellStyle name="Normal 7 2 6" xfId="26445" xr:uid="{F39C00CF-23A3-4DB4-93B8-A8A9888B229D}"/>
    <cellStyle name="Normal 7 2 7" xfId="26434" xr:uid="{F9536466-B65F-4A1B-90AD-C41294DC48B5}"/>
    <cellStyle name="Normal 7 3" xfId="576" xr:uid="{00000000-0005-0000-0000-000069050000}"/>
    <cellStyle name="Normal 7 3 2" xfId="2061" xr:uid="{00000000-0005-0000-0000-00006A050000}"/>
    <cellStyle name="Normal 7 3 2 2" xfId="2062" xr:uid="{00000000-0005-0000-0000-00006B050000}"/>
    <cellStyle name="Normal 7 3 2 2 2" xfId="17836" xr:uid="{1A23F4CE-D8B6-4281-ABFA-40A879D56E98}"/>
    <cellStyle name="Normal 7 3 2 3" xfId="17835" xr:uid="{21D69EE0-BF65-4438-A9C3-7EE9FD042D58}"/>
    <cellStyle name="Normal 7 3 3" xfId="2063" xr:uid="{00000000-0005-0000-0000-00006C050000}"/>
    <cellStyle name="Normal 7 3 3 2" xfId="26446" xr:uid="{22636D6D-B1E8-4C45-A4E1-788CE1F0D943}"/>
    <cellStyle name="Normal 7 3 3 3" xfId="17837" xr:uid="{6BCCD087-2D98-4178-B7A1-82CD743635A5}"/>
    <cellStyle name="Normal 7 3 4" xfId="26447" xr:uid="{63D9695A-153D-47DF-91CE-060A9DFC90E7}"/>
    <cellStyle name="Normal 7 3 4 2" xfId="26448" xr:uid="{B4DA271A-FCDE-4C1A-BF8A-9430179A39A9}"/>
    <cellStyle name="Normal 7 3 5" xfId="26449" xr:uid="{0A77C418-99C6-4890-A172-0BC4598B8D5A}"/>
    <cellStyle name="Normal 7 4" xfId="4089" xr:uid="{29E4B45E-5ECC-409A-A027-13BD41D9D817}"/>
    <cellStyle name="Normal 7 4 2" xfId="26451" xr:uid="{030DC6D0-839C-44C7-A5D1-1ED444B8D9F7}"/>
    <cellStyle name="Normal 7 4 2 2" xfId="26452" xr:uid="{27197995-0510-4343-A0B7-FD1794220897}"/>
    <cellStyle name="Normal 7 4 3" xfId="26453" xr:uid="{CDA3FD78-746B-4FE8-9958-F0C40938683D}"/>
    <cellStyle name="Normal 7 4 3 2" xfId="26454" xr:uid="{2B953990-0EA6-4942-B31A-BE9A7F773032}"/>
    <cellStyle name="Normal 7 4 4" xfId="26455" xr:uid="{80D90590-CE09-4A7F-8B5A-8CD141CD1A96}"/>
    <cellStyle name="Normal 7 4 5" xfId="26450" xr:uid="{1BA0485F-995A-46FE-912B-40C8E2E8CC46}"/>
    <cellStyle name="Normal 7 5" xfId="26456" xr:uid="{4D4DB772-FCA6-4363-B627-D4365EF07CD6}"/>
    <cellStyle name="Normal 7 5 2" xfId="26457" xr:uid="{85A7C645-FDED-4BE0-8CD7-69F418C8679E}"/>
    <cellStyle name="Normal 7 6" xfId="26458" xr:uid="{1A41C6FC-EC9B-4E5B-871B-5EEFC4FF8EC0}"/>
    <cellStyle name="Normal 7 6 2" xfId="26459" xr:uid="{7E8A52A5-C87B-424F-8B33-81BA6D235A38}"/>
    <cellStyle name="Normal 7 7" xfId="26460" xr:uid="{6962534F-5ECA-4282-A82C-7CFBD5A05371}"/>
    <cellStyle name="Normal 7 7 2" xfId="26461" xr:uid="{4713DDB2-824B-4837-B45D-4C966B529FAF}"/>
    <cellStyle name="Normal 7 8" xfId="26462" xr:uid="{E292AE8C-0188-494F-888F-6A4B05176325}"/>
    <cellStyle name="Normal 7 8 2" xfId="26463" xr:uid="{13A7D4D7-EE91-4801-8B1A-A4546AFBE8E1}"/>
    <cellStyle name="Normal 7 9" xfId="26464" xr:uid="{260EEADE-AAC5-4020-8521-3FB345D846B5}"/>
    <cellStyle name="Normal 70" xfId="6980" xr:uid="{A0BB5359-37AC-431F-A43B-5A746E9EE210}"/>
    <cellStyle name="Normal 72" xfId="55821" xr:uid="{690D8D4A-6C7D-4CB1-B8AC-A2DBD7C6B101}"/>
    <cellStyle name="Normal 8" xfId="577" xr:uid="{00000000-0005-0000-0000-00006D050000}"/>
    <cellStyle name="Normal 8 2" xfId="578" xr:uid="{00000000-0005-0000-0000-00006E050000}"/>
    <cellStyle name="Normal 8 2 2" xfId="2064" xr:uid="{00000000-0005-0000-0000-00006F050000}"/>
    <cellStyle name="Normal 8 2 2 2" xfId="2065" xr:uid="{00000000-0005-0000-0000-000070050000}"/>
    <cellStyle name="Normal 8 2 2 2 2" xfId="2066" xr:uid="{00000000-0005-0000-0000-000071050000}"/>
    <cellStyle name="Normal 8 2 2 2 2 2" xfId="11082" xr:uid="{CB1B1BA2-7ACF-410E-9681-D855CE1DCF52}"/>
    <cellStyle name="Normal 8 2 2 2 2 2 2" xfId="46720" xr:uid="{F7D78A7E-9E13-4A6B-A0AB-7C81E42A64E7}"/>
    <cellStyle name="Normal 8 2 2 2 2 3" xfId="17840" xr:uid="{417993D1-1791-4DE1-ABE0-074F2A769826}"/>
    <cellStyle name="Normal 8 2 2 2 3" xfId="11081" xr:uid="{2F986DD7-BB98-4E11-B650-2395B5483DE0}"/>
    <cellStyle name="Normal 8 2 2 2 3 2" xfId="47221" xr:uid="{FEB3699E-3849-4D4F-AD1D-C971D5F9CFBD}"/>
    <cellStyle name="Normal 8 2 2 2 4" xfId="17839" xr:uid="{747511E6-044B-49DC-ADBC-3DC64CDA1DE5}"/>
    <cellStyle name="Normal 8 2 2 3" xfId="2067" xr:uid="{00000000-0005-0000-0000-000072050000}"/>
    <cellStyle name="Normal 8 2 2 3 2" xfId="10438" xr:uid="{3ECFF2DA-B5FE-41A1-ADEE-21F314A570B6}"/>
    <cellStyle name="Normal 8 2 2 3 2 2" xfId="12891" xr:uid="{99CAD355-9A8B-4CD0-B91E-366420F7F9E7}"/>
    <cellStyle name="Normal 8 2 2 3 2 2 2" xfId="48110" xr:uid="{ABEF63A4-C443-4830-A67A-CD257F3626FC}"/>
    <cellStyle name="Normal 8 2 2 3 2 3" xfId="18950" xr:uid="{6A01524C-4D29-41A9-B9B4-772A9DBD0828}"/>
    <cellStyle name="Normal 8 2 2 3 3" xfId="11083" xr:uid="{886A7AAE-F399-40BD-8C2E-5C59A99211A2}"/>
    <cellStyle name="Normal 8 2 2 3 3 2" xfId="47457" xr:uid="{9A95FB72-8C7C-4A24-A7EE-CC1F085556B6}"/>
    <cellStyle name="Normal 8 2 2 3 4" xfId="17841" xr:uid="{7600C262-86E0-4CEA-9EA8-3ED44604D075}"/>
    <cellStyle name="Normal 8 2 2 4" xfId="10204" xr:uid="{D95A78DB-C421-4F61-B554-F715C8BA2476}"/>
    <cellStyle name="Normal 8 2 2 4 2" xfId="10518" xr:uid="{BEF6C333-FF98-42BF-AF29-2B2AB8AF9E43}"/>
    <cellStyle name="Normal 8 2 2 4 2 2" xfId="12971" xr:uid="{19DF8EE1-B132-4249-893F-FE6427ED08D7}"/>
    <cellStyle name="Normal 8 2 2 4 2 2 2" xfId="46378" xr:uid="{6200E318-F82D-497E-B0D6-59CED374A715}"/>
    <cellStyle name="Normal 8 2 2 4 2 3" xfId="18992" xr:uid="{52C0E963-51C2-4D98-958B-2EA80B40551C}"/>
    <cellStyle name="Normal 8 2 2 4 3" xfId="12148" xr:uid="{D260ACC9-52DC-4B19-8B05-CD6322DEFACF}"/>
    <cellStyle name="Normal 8 2 2 4 3 2" xfId="47161" xr:uid="{1A0B4350-7CB7-47B3-8118-AA62C9EBE931}"/>
    <cellStyle name="Normal 8 2 2 4 4" xfId="18552" xr:uid="{D4ED6C5C-84D2-4DB7-930F-9C468891882A}"/>
    <cellStyle name="Normal 8 2 2 5" xfId="10284" xr:uid="{DCB99F5D-3E67-470E-B6DB-159D7ACCD8B9}"/>
    <cellStyle name="Normal 8 2 2 5 2" xfId="12737" xr:uid="{B61F9311-3ABE-47C0-88AF-7198C495047C}"/>
    <cellStyle name="Normal 8 2 2 5 2 2" xfId="47989" xr:uid="{4988269A-43CA-4A21-BAF8-258C1FD84370}"/>
    <cellStyle name="Normal 8 2 2 5 3" xfId="18872" xr:uid="{DEDF9B36-8837-4212-BB5F-E7A9B168979B}"/>
    <cellStyle name="Normal 8 2 2 6" xfId="10598" xr:uid="{4F594B56-2146-4779-B323-B1C37C157C23}"/>
    <cellStyle name="Normal 8 2 2 6 2" xfId="13051" xr:uid="{FF185220-A97B-4E22-A15B-EB5D290FC610}"/>
    <cellStyle name="Normal 8 2 2 6 2 2" xfId="47327" xr:uid="{77A88CC1-AFFA-4220-9026-9443B5FDC18F}"/>
    <cellStyle name="Normal 8 2 2 6 3" xfId="19034" xr:uid="{C084F1E8-6067-4C45-B250-4CD1C92832B1}"/>
    <cellStyle name="Normal 8 2 2 7" xfId="11080" xr:uid="{DB4C0ED5-F7E0-434A-B2EF-C2BADDE2983B}"/>
    <cellStyle name="Normal 8 2 2 7 2" xfId="25170" xr:uid="{B24ABF8B-1CF9-435D-8154-634BDA525A34}"/>
    <cellStyle name="Normal 8 2 2 8" xfId="17838" xr:uid="{D318347C-B4A6-47FE-A975-EA13B2E6DF5F}"/>
    <cellStyle name="Normal 8 2 3" xfId="9879" xr:uid="{BE3E7035-B716-4EF3-8755-9470C9457CFC}"/>
    <cellStyle name="Normal 8 2 3 2" xfId="10305" xr:uid="{190BE5E1-846E-4E96-8561-62FBBBE8F5E9}"/>
    <cellStyle name="Normal 8 2 3 2 2" xfId="12758" xr:uid="{4BBDEDE3-BF4B-43F4-A701-009C0FB8B985}"/>
    <cellStyle name="Normal 8 2 3 2 2 2" xfId="48051" xr:uid="{AF619FC9-576B-4625-B7CD-1D0B49C1B2D9}"/>
    <cellStyle name="Normal 8 2 3 2 3" xfId="18888" xr:uid="{73A9E24F-74CD-4256-A477-DCA22956483F}"/>
    <cellStyle name="Normal 8 2 3 3" xfId="12149" xr:uid="{2AB76305-B645-4660-BC21-7E6911FC194D}"/>
    <cellStyle name="Normal 8 2 3 3 2" xfId="26465" xr:uid="{F02E2129-C793-4017-9566-B4C5278A37F5}"/>
    <cellStyle name="Normal 8 2 3 4" xfId="18553" xr:uid="{7FEFE07B-0B75-4BD5-B98A-7A979A532D1F}"/>
    <cellStyle name="Normal 8 2 4" xfId="10072" xr:uid="{6B922791-70F3-4860-BCD4-0A96616BCF39}"/>
    <cellStyle name="Normal 8 2 4 2" xfId="10384" xr:uid="{EE7D9FEF-6C3A-4364-8181-50A6AB94ED52}"/>
    <cellStyle name="Normal 8 2 4 2 2" xfId="12837" xr:uid="{BDE9DCB7-0458-45ED-BC61-7DB6E438B778}"/>
    <cellStyle name="Normal 8 2 4 2 2 2" xfId="24479" xr:uid="{9603E27C-9046-4E4F-AEF6-A974DF6E9601}"/>
    <cellStyle name="Normal 8 2 4 2 3" xfId="18929" xr:uid="{AB9BEC53-EBB0-41CF-A335-7EFFF55B5AF0}"/>
    <cellStyle name="Normal 8 2 4 3" xfId="12529" xr:uid="{C3D04978-607C-41E9-A9CB-45C13580829E}"/>
    <cellStyle name="Normal 8 2 4 3 2" xfId="46319" xr:uid="{3B89B05D-611B-4EA8-8325-D609563EFEF3}"/>
    <cellStyle name="Normal 8 2 4 4" xfId="18773" xr:uid="{D53D7925-CACC-4518-86CA-05884EFA1ADE}"/>
    <cellStyle name="Normal 8 2 5" xfId="10150" xr:uid="{BAE3663F-D168-47B9-9435-123997C4792E}"/>
    <cellStyle name="Normal 8 2 5 2" xfId="10464" xr:uid="{9D80DFFA-7BED-45D9-A3CD-2B6A88261904}"/>
    <cellStyle name="Normal 8 2 5 2 2" xfId="12917" xr:uid="{C589C281-0F5B-48CC-A4EF-6FAADB92BB7F}"/>
    <cellStyle name="Normal 8 2 5 2 2 2" xfId="46811" xr:uid="{06979C03-69FB-4AE9-850D-3F639516382B}"/>
    <cellStyle name="Normal 8 2 5 2 3" xfId="18971" xr:uid="{959144B5-3A62-4ADF-93E4-FB3B66239233}"/>
    <cellStyle name="Normal 8 2 5 3" xfId="12604" xr:uid="{8500877E-EA07-40C9-B7BC-B89EF90500BD}"/>
    <cellStyle name="Normal 8 2 5 3 2" xfId="47016" xr:uid="{89F61657-9484-4D39-8F13-2D8032F9B368}"/>
    <cellStyle name="Normal 8 2 5 4" xfId="18810" xr:uid="{BCD1D9FE-DAD2-4514-BFA7-3A2188A2DA0F}"/>
    <cellStyle name="Normal 8 2 6" xfId="10230" xr:uid="{5F1598C3-905D-419A-BC98-F3B9DDDE2A90}"/>
    <cellStyle name="Normal 8 2 6 2" xfId="12683" xr:uid="{2B45560D-29B6-4770-B96C-228B3C11694A}"/>
    <cellStyle name="Normal 8 2 6 2 2" xfId="48141" xr:uid="{024DAC7E-F0E2-4ADC-BBD3-A1FA379D70DD}"/>
    <cellStyle name="Normal 8 2 6 3" xfId="18851" xr:uid="{17439E58-E06F-4070-A07F-FBD1857AE3C5}"/>
    <cellStyle name="Normal 8 2 7" xfId="10544" xr:uid="{19B905A4-72EF-4D24-ACC2-EDBCC1A57E91}"/>
    <cellStyle name="Normal 8 2 7 2" xfId="12997" xr:uid="{EB600B75-ABE5-4227-B2F7-75EE960369D9}"/>
    <cellStyle name="Normal 8 2 7 2 2" xfId="46381" xr:uid="{A45858F2-9126-4452-81A1-9EAA857E6C0F}"/>
    <cellStyle name="Normal 8 2 7 3" xfId="19013" xr:uid="{A874EBE3-ACDB-43C4-872D-CE5995E22C03}"/>
    <cellStyle name="Normal 8 2 8" xfId="10612" xr:uid="{B52AC69B-6F95-488B-AF97-786B7CA1C6DA}"/>
    <cellStyle name="Normal 8 2 8 2" xfId="46159" xr:uid="{431B0032-7568-4176-9566-C3682F590C8F}"/>
    <cellStyle name="Normal 8 2 9" xfId="16989" xr:uid="{3AEA64ED-E62A-437F-8B88-715B33E980A3}"/>
    <cellStyle name="Normal 8 3" xfId="579" xr:uid="{00000000-0005-0000-0000-000073050000}"/>
    <cellStyle name="Normal 8 3 2" xfId="12150" xr:uid="{17854968-3F09-4A5F-A9BA-B7E09C2CCF74}"/>
    <cellStyle name="Normal 8 3 2 2" xfId="14071" xr:uid="{F1999DFD-6C5B-41AD-99CA-83E58606AB8A}"/>
    <cellStyle name="Normal 8 3 2 2 2" xfId="26468" xr:uid="{3ECDB313-9626-4E84-9A45-0EF07C3AFEA7}"/>
    <cellStyle name="Normal 8 3 2 3" xfId="26467" xr:uid="{FCB94746-CDA0-4083-8CC3-E5263CD214D7}"/>
    <cellStyle name="Normal 8 3 3" xfId="26469" xr:uid="{77811CDB-B2B5-4C64-9659-5A2AAF3CC9B4}"/>
    <cellStyle name="Normal 8 3 3 2" xfId="26470" xr:uid="{1EB8FD36-BE71-44E0-A881-B05E74E86951}"/>
    <cellStyle name="Normal 8 3 4" xfId="26471" xr:uid="{03BBBDEF-2A2D-43C9-9D69-4E66AE1DE678}"/>
    <cellStyle name="Normal 8 3 5" xfId="26472" xr:uid="{A51A18CB-2241-4389-8D3B-47AD2DAA20E3}"/>
    <cellStyle name="Normal 8 3 6" xfId="26473" xr:uid="{6C6F343B-DCF0-41AC-92DB-1DF605D97AF6}"/>
    <cellStyle name="Normal 8 3 7" xfId="26466" xr:uid="{38CF106E-8BA9-4CD9-AA3C-FBDB58A52AD4}"/>
    <cellStyle name="Normal 8 4" xfId="4090" xr:uid="{1C3B8848-506F-4067-8C6C-B7CD2EF24ACC}"/>
    <cellStyle name="Normal 8 4 2" xfId="26475" xr:uid="{A316A215-B2A0-4071-90B3-215468DA9138}"/>
    <cellStyle name="Normal 8 4 3" xfId="26474" xr:uid="{E948F184-9078-4708-AB5A-F76DF2ED3642}"/>
    <cellStyle name="Normal 8 5" xfId="8071" xr:uid="{0ADAD2C6-0344-4189-ADCF-CEBDE01CAB67}"/>
    <cellStyle name="Normal 8 5 2" xfId="9878" xr:uid="{FDBCCF74-5594-4AE9-A6F5-4A71393E6731}"/>
    <cellStyle name="Normal 8 5 2 2" xfId="10304" xr:uid="{8A2BF9BE-B0FE-4B96-94B2-4B28BCD08349}"/>
    <cellStyle name="Normal 8 5 2 2 2" xfId="12757" xr:uid="{9413CF4A-8180-45D5-8D4A-37BB62C70995}"/>
    <cellStyle name="Normal 8 5 2 2 2 2" xfId="46789" xr:uid="{631E1F2E-AED1-4D60-9005-D00D7A517B4D}"/>
    <cellStyle name="Normal 8 5 2 2 3" xfId="18887" xr:uid="{647E9590-9D9B-4BD1-8147-8AE5D4CD7BB8}"/>
    <cellStyle name="Normal 8 5 2 3" xfId="12457" xr:uid="{65D22D6C-8BF3-4C3B-A875-319D9E1B29D7}"/>
    <cellStyle name="Normal 8 5 2 3 2" xfId="46662" xr:uid="{4626EE72-81DD-4B15-8D51-1B8A7610A21F}"/>
    <cellStyle name="Normal 8 5 2 4" xfId="18739" xr:uid="{F6D8E0C0-9B8E-4B89-A6F5-047CE1E25C8E}"/>
    <cellStyle name="Normal 8 5 3" xfId="10071" xr:uid="{5F8DE068-47E4-4BED-9953-D368A74F781D}"/>
    <cellStyle name="Normal 8 5 3 2" xfId="10383" xr:uid="{CDE92345-2F85-49E1-9DD2-717BF19DFEA9}"/>
    <cellStyle name="Normal 8 5 3 2 2" xfId="12836" xr:uid="{5E6040EE-468D-4077-B21C-BFCDBDA04130}"/>
    <cellStyle name="Normal 8 5 3 2 2 2" xfId="47021" xr:uid="{DD1E83BC-47AD-4DD8-96BA-739D71F59068}"/>
    <cellStyle name="Normal 8 5 3 2 3" xfId="18928" xr:uid="{47790DBF-29C3-4DBC-848F-486F5AE38265}"/>
    <cellStyle name="Normal 8 5 3 3" xfId="12528" xr:uid="{E8C99E73-F5BC-4A97-A2ED-E055274481F0}"/>
    <cellStyle name="Normal 8 5 3 3 2" xfId="24219" xr:uid="{168BD876-D34D-4069-9D26-F89D2CBB1FED}"/>
    <cellStyle name="Normal 8 5 3 4" xfId="18772" xr:uid="{4FED5467-BCD7-42FE-8C0C-CEAFB136D907}"/>
    <cellStyle name="Normal 8 5 4" xfId="10149" xr:uid="{D12A06CD-8BE8-46C0-BFB5-F1E28AAA88B5}"/>
    <cellStyle name="Normal 8 5 4 2" xfId="10463" xr:uid="{5F39F319-6810-4667-B7C2-53A3328CA016}"/>
    <cellStyle name="Normal 8 5 4 2 2" xfId="12916" xr:uid="{37168783-089B-421D-AF69-7C801B02EF44}"/>
    <cellStyle name="Normal 8 5 4 2 2 2" xfId="48109" xr:uid="{3EA2C0BC-F277-41AA-B3A3-B5C51897FFD6}"/>
    <cellStyle name="Normal 8 5 4 2 3" xfId="18970" xr:uid="{F0F75265-60D4-4DEA-BD1A-C151E65631B8}"/>
    <cellStyle name="Normal 8 5 4 3" xfId="12603" xr:uid="{091FCEBC-D33E-46F0-96C3-DB11E91A5816}"/>
    <cellStyle name="Normal 8 5 4 3 2" xfId="46328" xr:uid="{4B202ECF-7CB2-4721-9355-C23984B3553D}"/>
    <cellStyle name="Normal 8 5 4 4" xfId="18809" xr:uid="{CC460B56-E975-4D58-BF58-F5E4340154F8}"/>
    <cellStyle name="Normal 8 5 5" xfId="10229" xr:uid="{AA256D91-E6A7-4C63-95E4-5345F99563CF}"/>
    <cellStyle name="Normal 8 5 5 2" xfId="12682" xr:uid="{883AFF74-3F90-493E-97FE-BE4A2713EC03}"/>
    <cellStyle name="Normal 8 5 5 2 2" xfId="47451" xr:uid="{5ADD9018-B84C-4DE4-8372-0BB371311399}"/>
    <cellStyle name="Normal 8 5 5 3" xfId="18850" xr:uid="{321C26E1-9242-4C93-984E-A59DBE2D929A}"/>
    <cellStyle name="Normal 8 5 6" xfId="10543" xr:uid="{7C0D61B3-8EDB-46FD-A406-491C95CF9318}"/>
    <cellStyle name="Normal 8 5 6 2" xfId="12996" xr:uid="{BCF6E3FC-BC28-4DB7-BAB0-7BCEE2D170D9}"/>
    <cellStyle name="Normal 8 5 6 2 2" xfId="47963" xr:uid="{EAB58E3F-6D53-43E2-B5BF-E5F8B390A30F}"/>
    <cellStyle name="Normal 8 5 6 3" xfId="19012" xr:uid="{0EDAB7BF-207B-48D5-89F9-36225A01AAE3}"/>
    <cellStyle name="Normal 8 5 7" xfId="11662" xr:uid="{BBFCA1C6-3528-4EDF-B205-42A017717E18}"/>
    <cellStyle name="Normal 8 5 7 2" xfId="32338" xr:uid="{2938418F-8041-42E8-836A-852BFB19C309}"/>
    <cellStyle name="Normal 8 5 8" xfId="16990" xr:uid="{22993E2E-927D-4683-95BF-F4F9AF18FEF7}"/>
    <cellStyle name="Normal 8 6" xfId="10611" xr:uid="{1B020316-DB53-466B-B8FF-FA374DEE0783}"/>
    <cellStyle name="Normal 8 6 2" xfId="26477" xr:uid="{16526E75-A083-4717-9B44-258E5BE13552}"/>
    <cellStyle name="Normal 8 6 3" xfId="26476" xr:uid="{4F1DD762-2A5D-4090-8800-AEDB7EE42CD0}"/>
    <cellStyle name="Normal 8 7" xfId="26478" xr:uid="{8C9ABA2A-3F57-4B82-B040-9C42B29DF974}"/>
    <cellStyle name="Normal 8 7 2" xfId="26479" xr:uid="{1C3509E8-F6AE-48BA-ADFA-871836E6DCEC}"/>
    <cellStyle name="Normal 8 8" xfId="26480" xr:uid="{4700F530-F0AB-4460-89FC-A0D88B968022}"/>
    <cellStyle name="Normal 8 8 2" xfId="48975" xr:uid="{F4DEDDB3-4447-402A-B2A0-41B19ED95BB6}"/>
    <cellStyle name="Normal 9" xfId="580" xr:uid="{00000000-0005-0000-0000-000074050000}"/>
    <cellStyle name="Normal 9 2" xfId="2068" xr:uid="{00000000-0005-0000-0000-000075050000}"/>
    <cellStyle name="Normal 9 2 2" xfId="2069" xr:uid="{00000000-0005-0000-0000-000076050000}"/>
    <cellStyle name="Normal 9 2 2 2" xfId="26481" xr:uid="{53FCDD5E-0096-48F3-9752-A0D223698512}"/>
    <cellStyle name="Normal 9 2 2 3" xfId="17843" xr:uid="{296352D5-EC86-4936-BCA9-886966DF4B6F}"/>
    <cellStyle name="Normal 9 2 3" xfId="12143" xr:uid="{C71861E1-66C3-4325-857A-35A44634D5A4}"/>
    <cellStyle name="Normal 9 2 3 2" xfId="26483" xr:uid="{ABAC6EA5-09C8-4921-A75F-38094E4383EA}"/>
    <cellStyle name="Normal 9 2 3 3" xfId="26482" xr:uid="{DD54985A-BA7B-4EAD-94FB-0A8A965D43EE}"/>
    <cellStyle name="Normal 9 2 4" xfId="26484" xr:uid="{766DFA55-F55C-44F7-82F8-BEE539765AB8}"/>
    <cellStyle name="Normal 9 2 5" xfId="26485" xr:uid="{18FFE733-1BD6-493F-88F9-8213B2B738AF}"/>
    <cellStyle name="Normal 9 2 6" xfId="26486" xr:uid="{D8754571-5EFA-465F-9076-72F41B26075B}"/>
    <cellStyle name="Normal 9 2 7" xfId="17842" xr:uid="{E3444206-9157-4173-97DC-0001A3D391B2}"/>
    <cellStyle name="Normal 9 3" xfId="12151" xr:uid="{6AAF5E20-941B-40A7-812C-6B0D1E47AB7B}"/>
    <cellStyle name="Normal 9 3 2" xfId="26488" xr:uid="{56872304-334E-45E7-B188-B66639501B17}"/>
    <cellStyle name="Normal 9 3 3" xfId="26487" xr:uid="{8D14E640-8752-42C5-B273-F543564FBF08}"/>
    <cellStyle name="Normal 9 4" xfId="11489" xr:uid="{547DC85F-0157-4315-BB37-97AFAE6F0598}"/>
    <cellStyle name="Normal 9 4 2" xfId="26490" xr:uid="{E515A5A8-7764-4CA0-8DB5-E01D679C8F40}"/>
    <cellStyle name="Normal 9 4 3" xfId="26489" xr:uid="{897790D7-294F-472A-B6C7-3AFF351652BB}"/>
    <cellStyle name="Normal 9 5" xfId="12447" xr:uid="{46287A36-2F0C-40C1-99C8-B4147A89C820}"/>
    <cellStyle name="Normal 9 5 2" xfId="26492" xr:uid="{03EB9533-029F-42C5-94C2-CD44306DFB72}"/>
    <cellStyle name="Normal 9 5 3" xfId="26491" xr:uid="{A4FCBB26-5E68-4BEB-BCF2-80BFD02901CA}"/>
    <cellStyle name="Normal 9 6" xfId="26493" xr:uid="{DB8D255D-18CE-4C4E-ADFB-3F20C3136249}"/>
    <cellStyle name="Normal 9 7" xfId="26494" xr:uid="{988375E0-A9C9-438E-861D-0C4EC9E8F8CA}"/>
    <cellStyle name="Normal 9 8" xfId="26495" xr:uid="{6DB24E8C-601D-4332-AD7C-C0FAC7E95DBA}"/>
    <cellStyle name="Normal 9 8 2" xfId="48976" xr:uid="{E9C5DA2B-B977-4E04-8A7E-2F1F6A3898B4}"/>
    <cellStyle name="Normal GHG Numbers (0.00)" xfId="581" xr:uid="{00000000-0005-0000-0000-000077050000}"/>
    <cellStyle name="Normal GHG Numbers (0.00) 2" xfId="582" xr:uid="{00000000-0005-0000-0000-000078050000}"/>
    <cellStyle name="Normal GHG Numbers (0.00) 2 2" xfId="17445" xr:uid="{BD47A0C5-8A28-4917-A79E-BA9282F1857D}"/>
    <cellStyle name="Normal GHG Numbers (0.00) 2 2 2" xfId="32633" xr:uid="{F3294AA4-BB9B-4366-A1E9-61ACBE217987}"/>
    <cellStyle name="Normal GHG Numbers (0.00) 2 2 2 2" xfId="35585" xr:uid="{2BA6B7DD-CE13-4495-A1CC-2C4D04DFC2FB}"/>
    <cellStyle name="Normal GHG Numbers (0.00) 2 2 3" xfId="26498" xr:uid="{D81E02CA-A8BA-499C-B177-E9BDC69D740F}"/>
    <cellStyle name="Normal GHG Numbers (0.00) 2 3" xfId="26499" xr:uid="{E0BEDF66-72CA-4880-9883-8B9F85687D5D}"/>
    <cellStyle name="Normal GHG Numbers (0.00) 2 3 2" xfId="32634" xr:uid="{E09B3E2E-74EB-401F-9E9D-5531401992E9}"/>
    <cellStyle name="Normal GHG Numbers (0.00) 2 3 2 2" xfId="35586" xr:uid="{F934241E-C138-4DB7-BDC4-FDDD7881F880}"/>
    <cellStyle name="Normal GHG Numbers (0.00) 2 4" xfId="26500" xr:uid="{98C03C01-66E8-4654-860C-D90E484B4A0E}"/>
    <cellStyle name="Normal GHG Numbers (0.00) 2 4 2" xfId="32635" xr:uid="{A53DA7C0-FCAF-4A5B-9A75-37C1A4F9350F}"/>
    <cellStyle name="Normal GHG Numbers (0.00) 2 4 2 2" xfId="35587" xr:uid="{8355F2AB-F990-4E3F-8FE6-FC749B5148B2}"/>
    <cellStyle name="Normal GHG Numbers (0.00) 2 5" xfId="26501" xr:uid="{447E1FCA-2F1A-42EA-B7B5-F8A0A81A0F27}"/>
    <cellStyle name="Normal GHG Numbers (0.00) 2 5 2" xfId="32636" xr:uid="{4F476894-FC06-4E89-8D40-F97181CD3EDB}"/>
    <cellStyle name="Normal GHG Numbers (0.00) 2 5 2 2" xfId="35588" xr:uid="{58332B06-8BC6-45CE-AB9A-D8E4ECEC88E6}"/>
    <cellStyle name="Normal GHG Numbers (0.00) 2 6" xfId="32637" xr:uid="{0BFE0D60-0FE2-4102-BCA1-3152D05DCDB1}"/>
    <cellStyle name="Normal GHG Numbers (0.00) 2 6 2" xfId="35589" xr:uid="{7D921EAC-9A9E-455B-AF22-CF2967367D5E}"/>
    <cellStyle name="Normal GHG Numbers (0.00) 2 7" xfId="26497" xr:uid="{06CF0D8B-2241-4C23-A39B-3C1D862A2862}"/>
    <cellStyle name="Normal GHG Numbers (0.00) 3" xfId="583" xr:uid="{00000000-0005-0000-0000-000079050000}"/>
    <cellStyle name="Normal GHG Numbers (0.00) 3 2" xfId="17446" xr:uid="{37BE8050-0A93-4999-AAB8-58A620B10AC0}"/>
    <cellStyle name="Normal GHG Numbers (0.00) 3 2 2" xfId="35550" xr:uid="{8CFA723A-94B6-4B35-BFFE-AC2A5976E08A}"/>
    <cellStyle name="Normal GHG Numbers (0.00) 3 2 3" xfId="32497" xr:uid="{F90A5AC0-61FE-4BBD-87B8-DB0ECAD5E5CE}"/>
    <cellStyle name="Normal GHG Numbers (0.00) 3 3" xfId="26502" xr:uid="{EF81281A-5340-42AD-BC57-7D1F5B561867}"/>
    <cellStyle name="Normal GHG Numbers (0.00) 4" xfId="4091" xr:uid="{10A23B8A-311A-4A12-A912-77C16296408E}"/>
    <cellStyle name="Normal GHG Numbers (0.00) 4 2" xfId="32638" xr:uid="{55BBC4BE-8815-4F2B-B54B-BE48812E0CBB}"/>
    <cellStyle name="Normal GHG Numbers (0.00) 4 2 2" xfId="35590" xr:uid="{F1985A30-17DC-4C83-ADC7-E25523304496}"/>
    <cellStyle name="Normal GHG Numbers (0.00) 4 3" xfId="26503" xr:uid="{65C2E355-9F9E-4482-8C86-F6BCB8C0FFA5}"/>
    <cellStyle name="Normal GHG Numbers (0.00) 5" xfId="17706" xr:uid="{E7DE17BA-2821-44E7-B27E-AA2BCC452059}"/>
    <cellStyle name="Normal GHG Numbers (0.00) 5 2" xfId="21246" xr:uid="{F4944E17-99C8-4D55-B9EC-F627F1F0996E}"/>
    <cellStyle name="Normal GHG Numbers (0.00) 5 2 2" xfId="35591" xr:uid="{8958DFF7-EAF3-45CE-8035-5716C403BB1E}"/>
    <cellStyle name="Normal GHG Numbers (0.00) 5 2 3" xfId="32639" xr:uid="{7B4CC9E7-AC08-4393-ADC5-135FAC47D884}"/>
    <cellStyle name="Normal GHG Numbers (0.00) 5 3" xfId="26504" xr:uid="{CB57077F-CBC9-4AFA-9F5A-8D7FF449F4EA}"/>
    <cellStyle name="Normal GHG Numbers (0.00) 6" xfId="17685" xr:uid="{0879C2EB-DCD9-419A-AA87-DE6F2673B09B}"/>
    <cellStyle name="Normal GHG Numbers (0.00) 6 2" xfId="21245" xr:uid="{0703DEEF-07DD-4C1B-8209-9B78F66926EC}"/>
    <cellStyle name="Normal GHG Numbers (0.00) 6 2 2" xfId="35592" xr:uid="{7916F402-3370-4BA9-A746-C3E8CC3BEFEC}"/>
    <cellStyle name="Normal GHG Numbers (0.00) 6 2 3" xfId="32640" xr:uid="{92738244-76A2-4CE7-886D-7D95AD40AD8D}"/>
    <cellStyle name="Normal GHG Numbers (0.00) 6 3" xfId="26505" xr:uid="{E0595E94-E489-4356-94CF-AD7A0CAC2056}"/>
    <cellStyle name="Normal GHG Numbers (0.00) 7" xfId="32641" xr:uid="{A12EEFAA-8363-4C99-B537-7EA06C16DB5E}"/>
    <cellStyle name="Normal GHG Numbers (0.00) 7 2" xfId="35593" xr:uid="{5A66DF18-F999-4824-8A4B-CBFC22E653EF}"/>
    <cellStyle name="Normal GHG Numbers (0.00) 8" xfId="26496" xr:uid="{EF068D45-AEED-4372-8948-41797086F7ED}"/>
    <cellStyle name="Normal GHG Textfiels Bold" xfId="584" xr:uid="{00000000-0005-0000-0000-00007A050000}"/>
    <cellStyle name="Normal GHG Textfiels Bold 2" xfId="26506" xr:uid="{69837BAD-6FD6-469D-A305-03990C78BE20}"/>
    <cellStyle name="Normal GHG-Shade" xfId="585" xr:uid="{00000000-0005-0000-0000-00007B050000}"/>
    <cellStyle name="Normal GHG-Shade 2" xfId="4092" xr:uid="{959B814D-7EEC-4E72-8777-A08A97C06CCB}"/>
    <cellStyle name="Normal GHG-Shade 2 2" xfId="13428" xr:uid="{F21440D1-9CFB-40A7-81D2-51CFE2C76985}"/>
    <cellStyle name="Normal GHG-Shade 2 3" xfId="26508" xr:uid="{CFF1B33A-BC84-42D4-8E4E-0B94AC4D384F}"/>
    <cellStyle name="Normal GHG-Shade 3" xfId="13165" xr:uid="{28A6E3DE-4F36-4571-88C4-C9CCBF985E31}"/>
    <cellStyle name="Normal GHG-Shade 4" xfId="26507" xr:uid="{6CC6F1F0-D977-45CE-83F0-301492DA5255}"/>
    <cellStyle name="Normale 10" xfId="586" xr:uid="{00000000-0005-0000-0000-00007C050000}"/>
    <cellStyle name="Normale 10 2" xfId="587" xr:uid="{00000000-0005-0000-0000-00007D050000}"/>
    <cellStyle name="Normale 10 2 2" xfId="588" xr:uid="{00000000-0005-0000-0000-00007E050000}"/>
    <cellStyle name="Normale 10 2 2 2" xfId="13430" xr:uid="{A8F814CE-677F-4DDE-B980-30BFBD464B62}"/>
    <cellStyle name="Normale 10 2 2 3" xfId="26511" xr:uid="{BED1DA27-E3B6-43A1-8C3E-117D92C99B17}"/>
    <cellStyle name="Normale 10 2 3" xfId="13167" xr:uid="{EDA28762-69F2-4E8C-A5A6-776A4A7E0B88}"/>
    <cellStyle name="Normale 10 2 4" xfId="26510" xr:uid="{C2DA16A9-0235-4C3A-B002-4C95EB9C58BC}"/>
    <cellStyle name="Normale 10 3" xfId="589" xr:uid="{00000000-0005-0000-0000-00007F050000}"/>
    <cellStyle name="Normale 10 3 2" xfId="590" xr:uid="{00000000-0005-0000-0000-000080050000}"/>
    <cellStyle name="Normale 10 3 2 2" xfId="13431" xr:uid="{79488E86-4CCC-4E8A-8FA9-D62EDD2BD9F0}"/>
    <cellStyle name="Normale 10 3 2 3" xfId="26513" xr:uid="{C68BC043-813E-4EE5-8AA7-F27CC2E4C94D}"/>
    <cellStyle name="Normale 10 3 3" xfId="13168" xr:uid="{2F4AB1FE-2D79-456B-AC8D-217B75EF554B}"/>
    <cellStyle name="Normale 10 3 4" xfId="26512" xr:uid="{4D823D0B-4979-4718-8CF4-256DA22A9C58}"/>
    <cellStyle name="Normale 10 4" xfId="591" xr:uid="{00000000-0005-0000-0000-000081050000}"/>
    <cellStyle name="Normale 10 4 2" xfId="13429" xr:uid="{449188AD-2286-405C-80BA-9BD53794AB26}"/>
    <cellStyle name="Normale 10 4 3" xfId="26514" xr:uid="{8FA91A47-0B0F-46C5-A0AE-961D1BE5FBC0}"/>
    <cellStyle name="Normale 10 5" xfId="13166" xr:uid="{F05634E0-5124-47A8-92C5-94644FC9B92F}"/>
    <cellStyle name="Normale 10 6" xfId="26509" xr:uid="{5F16C0E1-1000-4414-B21A-A28B45D8C5F6}"/>
    <cellStyle name="Normale 10_EDEN industria 2008 rev" xfId="592" xr:uid="{00000000-0005-0000-0000-000082050000}"/>
    <cellStyle name="Normale 11" xfId="593" xr:uid="{00000000-0005-0000-0000-000083050000}"/>
    <cellStyle name="Normale 11 2" xfId="594" xr:uid="{00000000-0005-0000-0000-000084050000}"/>
    <cellStyle name="Normale 11 2 2" xfId="595" xr:uid="{00000000-0005-0000-0000-000085050000}"/>
    <cellStyle name="Normale 11 2 2 2" xfId="13433" xr:uid="{0F28DB52-3707-4C4C-A7E6-AF2A232A7DFB}"/>
    <cellStyle name="Normale 11 2 2 3" xfId="26517" xr:uid="{BBC5790E-EDCD-4E3B-BFE3-2FE9962DDEB5}"/>
    <cellStyle name="Normale 11 2 3" xfId="13170" xr:uid="{B8C58875-8A14-456B-8CEC-43FCF9B8024E}"/>
    <cellStyle name="Normale 11 2 4" xfId="26516" xr:uid="{ED8FEE1F-FF9D-4BD3-86D1-49F9DD8659E5}"/>
    <cellStyle name="Normale 11 3" xfId="596" xr:uid="{00000000-0005-0000-0000-000086050000}"/>
    <cellStyle name="Normale 11 3 2" xfId="597" xr:uid="{00000000-0005-0000-0000-000087050000}"/>
    <cellStyle name="Normale 11 3 2 2" xfId="13434" xr:uid="{50D54E64-B74E-435C-B8E5-32E91F5E5257}"/>
    <cellStyle name="Normale 11 3 2 3" xfId="26519" xr:uid="{697547EC-C453-44C0-A2B9-37F96253EE83}"/>
    <cellStyle name="Normale 11 3 3" xfId="13171" xr:uid="{0150E4F6-7895-4CC0-93A0-541F965744A0}"/>
    <cellStyle name="Normale 11 3 4" xfId="26518" xr:uid="{C3FE82D5-424F-4D41-9F82-BE6C08F6C3D6}"/>
    <cellStyle name="Normale 11 4" xfId="598" xr:uid="{00000000-0005-0000-0000-000088050000}"/>
    <cellStyle name="Normale 11 4 2" xfId="13432" xr:uid="{4057CC1B-3C43-4F39-8424-54911BA17976}"/>
    <cellStyle name="Normale 11 4 3" xfId="26520" xr:uid="{3BD80AB2-432D-4B43-9B4D-4C85EBC4BC76}"/>
    <cellStyle name="Normale 11 5" xfId="13169" xr:uid="{0BB85EFD-EAA8-46E4-A4D1-82A0FE242CA6}"/>
    <cellStyle name="Normale 11 6" xfId="26515" xr:uid="{FD79BD93-FA36-47DE-889B-F42E7E9815EC}"/>
    <cellStyle name="Normale 11_EDEN industria 2008 rev" xfId="599" xr:uid="{00000000-0005-0000-0000-000089050000}"/>
    <cellStyle name="Normale 12" xfId="600" xr:uid="{00000000-0005-0000-0000-00008A050000}"/>
    <cellStyle name="Normale 12 2" xfId="601" xr:uid="{00000000-0005-0000-0000-00008B050000}"/>
    <cellStyle name="Normale 12 2 2" xfId="602" xr:uid="{00000000-0005-0000-0000-00008C050000}"/>
    <cellStyle name="Normale 12 2 2 2" xfId="13436" xr:uid="{90A134F4-F01B-4202-8EB5-985F4C4DDD8C}"/>
    <cellStyle name="Normale 12 2 2 3" xfId="26523" xr:uid="{64987905-6D46-4AED-BBA5-42B537538F7B}"/>
    <cellStyle name="Normale 12 2 3" xfId="13173" xr:uid="{F0FA5086-254C-4312-97F5-E767C612F93F}"/>
    <cellStyle name="Normale 12 2 4" xfId="26522" xr:uid="{9FBC366A-C47E-4AA3-9FBB-929534B2D99D}"/>
    <cellStyle name="Normale 12 3" xfId="603" xr:uid="{00000000-0005-0000-0000-00008D050000}"/>
    <cellStyle name="Normale 12 3 2" xfId="604" xr:uid="{00000000-0005-0000-0000-00008E050000}"/>
    <cellStyle name="Normale 12 3 2 2" xfId="13437" xr:uid="{E4AA6FF7-14BF-4404-AEF9-F85765563D2C}"/>
    <cellStyle name="Normale 12 3 2 3" xfId="26525" xr:uid="{46E4479D-6EE6-40F0-ACCD-49A69A3FEE04}"/>
    <cellStyle name="Normale 12 3 3" xfId="13174" xr:uid="{B610E0A5-EBA5-43D4-8E86-579C88BFBEBB}"/>
    <cellStyle name="Normale 12 3 4" xfId="26524" xr:uid="{6E974B70-7533-4A47-BE95-7E01059CA4F8}"/>
    <cellStyle name="Normale 12 4" xfId="605" xr:uid="{00000000-0005-0000-0000-00008F050000}"/>
    <cellStyle name="Normale 12 4 2" xfId="13435" xr:uid="{01F07CC9-422C-498E-ADCA-17A05AE414B9}"/>
    <cellStyle name="Normale 12 4 3" xfId="26526" xr:uid="{24A43135-6178-47D8-9D46-8DA648EDA76F}"/>
    <cellStyle name="Normale 12 5" xfId="13172" xr:uid="{0824D37E-DCFF-4EEA-9E49-A8A0E401F3DE}"/>
    <cellStyle name="Normale 12 6" xfId="26521" xr:uid="{BD468766-C76E-4F7F-9642-BA1C35FBE218}"/>
    <cellStyle name="Normale 12_EDEN industria 2008 rev" xfId="606" xr:uid="{00000000-0005-0000-0000-000090050000}"/>
    <cellStyle name="Normale 13" xfId="607" xr:uid="{00000000-0005-0000-0000-000091050000}"/>
    <cellStyle name="Normale 13 2" xfId="608" xr:uid="{00000000-0005-0000-0000-000092050000}"/>
    <cellStyle name="Normale 13 2 2" xfId="609" xr:uid="{00000000-0005-0000-0000-000093050000}"/>
    <cellStyle name="Normale 13 2 2 2" xfId="13439" xr:uid="{1497CA83-6410-4D77-82C4-76EE319FBEC3}"/>
    <cellStyle name="Normale 13 2 2 3" xfId="26529" xr:uid="{46A6329A-B40C-4AE6-B9B8-C221C797260D}"/>
    <cellStyle name="Normale 13 2 3" xfId="13176" xr:uid="{D251ADA3-4F28-47F1-8A28-FBB15FC33FC6}"/>
    <cellStyle name="Normale 13 2 4" xfId="26528" xr:uid="{8A7493FA-1C76-4D92-B2F4-BCA42C7276AA}"/>
    <cellStyle name="Normale 13 3" xfId="610" xr:uid="{00000000-0005-0000-0000-000094050000}"/>
    <cellStyle name="Normale 13 3 2" xfId="611" xr:uid="{00000000-0005-0000-0000-000095050000}"/>
    <cellStyle name="Normale 13 3 2 2" xfId="13440" xr:uid="{4FA898AC-C893-4C1C-A2DD-B1B3A124B788}"/>
    <cellStyle name="Normale 13 3 2 3" xfId="26531" xr:uid="{937F3FDD-19AE-4E84-B0BA-CEBDA3597FBC}"/>
    <cellStyle name="Normale 13 3 3" xfId="13177" xr:uid="{68566AEC-2580-4354-95DB-C2AD26FAB1F8}"/>
    <cellStyle name="Normale 13 3 4" xfId="26530" xr:uid="{A2DF840E-BF99-4D59-AA2B-D0ED7A3BAFA9}"/>
    <cellStyle name="Normale 13 4" xfId="612" xr:uid="{00000000-0005-0000-0000-000096050000}"/>
    <cellStyle name="Normale 13 4 2" xfId="13438" xr:uid="{73572DD7-A7F6-4D6B-BE92-AAA27D9F3F84}"/>
    <cellStyle name="Normale 13 4 3" xfId="26532" xr:uid="{246512EF-EF1F-46A6-B865-07BAFC22E35E}"/>
    <cellStyle name="Normale 13 5" xfId="13175" xr:uid="{709C50D5-CEAD-4688-B0B3-EE2E6D755F7C}"/>
    <cellStyle name="Normale 13 6" xfId="26527" xr:uid="{FAF379F8-8F97-4122-BCF4-10FA4AB50A87}"/>
    <cellStyle name="Normale 13_EDEN industria 2008 rev" xfId="613" xr:uid="{00000000-0005-0000-0000-000097050000}"/>
    <cellStyle name="Normale 14" xfId="614" xr:uid="{00000000-0005-0000-0000-000098050000}"/>
    <cellStyle name="Normale 14 2" xfId="615" xr:uid="{00000000-0005-0000-0000-000099050000}"/>
    <cellStyle name="Normale 14 2 2" xfId="616" xr:uid="{00000000-0005-0000-0000-00009A050000}"/>
    <cellStyle name="Normale 14 2 2 2" xfId="13442" xr:uid="{4B6518FD-65CA-45AF-82FB-8DB7FA4B607A}"/>
    <cellStyle name="Normale 14 2 2 3" xfId="26535" xr:uid="{5FAFF940-F491-49C8-BAE9-6F0CF2D3FF9E}"/>
    <cellStyle name="Normale 14 2 3" xfId="13179" xr:uid="{07112093-510A-4FD5-A62A-F5E5D6FDD2DB}"/>
    <cellStyle name="Normale 14 2 4" xfId="26534" xr:uid="{505F60F3-ECEF-4720-B286-804A51B6E715}"/>
    <cellStyle name="Normale 14 3" xfId="617" xr:uid="{00000000-0005-0000-0000-00009B050000}"/>
    <cellStyle name="Normale 14 3 2" xfId="618" xr:uid="{00000000-0005-0000-0000-00009C050000}"/>
    <cellStyle name="Normale 14 3 2 2" xfId="13443" xr:uid="{43C532F8-571C-4D59-941D-05FB29D968F6}"/>
    <cellStyle name="Normale 14 3 2 3" xfId="26537" xr:uid="{FAF3C4AC-B17E-4C23-8A96-37D6DA8C57DE}"/>
    <cellStyle name="Normale 14 3 3" xfId="13180" xr:uid="{926746C1-1F17-45D5-9FC2-451EB14B1B1A}"/>
    <cellStyle name="Normale 14 3 4" xfId="26536" xr:uid="{2A91D37B-64FF-459A-B493-CDB0B189AA9D}"/>
    <cellStyle name="Normale 14 4" xfId="619" xr:uid="{00000000-0005-0000-0000-00009D050000}"/>
    <cellStyle name="Normale 14 4 2" xfId="13441" xr:uid="{A2C49144-D12C-4D3C-B780-A422F5A5E982}"/>
    <cellStyle name="Normale 14 4 3" xfId="26538" xr:uid="{C2BC9F7F-28D6-46E3-BAB9-16FACB9D9C42}"/>
    <cellStyle name="Normale 14 5" xfId="13178" xr:uid="{7B2DE2E4-1441-4B20-AA31-5A8AC93310C5}"/>
    <cellStyle name="Normale 14 6" xfId="26533" xr:uid="{CC2A1AFB-A9BD-4D59-B1F7-C98DBD3E6527}"/>
    <cellStyle name="Normale 14_EDEN industria 2008 rev" xfId="620" xr:uid="{00000000-0005-0000-0000-00009E050000}"/>
    <cellStyle name="Normale 15" xfId="621" xr:uid="{00000000-0005-0000-0000-00009F050000}"/>
    <cellStyle name="Normale 15 2" xfId="622" xr:uid="{00000000-0005-0000-0000-0000A0050000}"/>
    <cellStyle name="Normale 15 2 2" xfId="623" xr:uid="{00000000-0005-0000-0000-0000A1050000}"/>
    <cellStyle name="Normale 15 2 2 2" xfId="13445" xr:uid="{D2DD63EC-E465-4434-BF3D-5B0AA39A11D5}"/>
    <cellStyle name="Normale 15 2 2 3" xfId="26541" xr:uid="{91818688-A175-4C19-8A72-6C9D10508C7D}"/>
    <cellStyle name="Normale 15 2 3" xfId="13182" xr:uid="{A2957F15-0712-4DF3-830C-1A36047E2240}"/>
    <cellStyle name="Normale 15 2 4" xfId="26540" xr:uid="{AC3C4A84-F2A6-4DE0-AABE-38FD38A1CB9E}"/>
    <cellStyle name="Normale 15 3" xfId="624" xr:uid="{00000000-0005-0000-0000-0000A2050000}"/>
    <cellStyle name="Normale 15 3 2" xfId="625" xr:uid="{00000000-0005-0000-0000-0000A3050000}"/>
    <cellStyle name="Normale 15 3 2 2" xfId="13446" xr:uid="{C898F81D-6D8A-41A1-8065-788AAAB74E36}"/>
    <cellStyle name="Normale 15 3 2 3" xfId="26543" xr:uid="{AEB50399-380B-49D6-B737-982E9D0A2774}"/>
    <cellStyle name="Normale 15 3 3" xfId="13183" xr:uid="{CBB89086-7DFB-425C-830E-0E0BEFAE2FEA}"/>
    <cellStyle name="Normale 15 3 4" xfId="26542" xr:uid="{16E22B8B-A27A-4779-AE65-BAF5E3E54158}"/>
    <cellStyle name="Normale 15 4" xfId="626" xr:uid="{00000000-0005-0000-0000-0000A4050000}"/>
    <cellStyle name="Normale 15 4 2" xfId="13444" xr:uid="{32D117D2-8FD8-4039-8C3D-D0871840B3E1}"/>
    <cellStyle name="Normale 15 4 3" xfId="26544" xr:uid="{60964F35-DE73-4FE4-A4DA-58CB032D2D58}"/>
    <cellStyle name="Normale 15 5" xfId="13181" xr:uid="{FB52FEC8-AE76-45B2-A1C5-4163DA3B7354}"/>
    <cellStyle name="Normale 15 6" xfId="26539" xr:uid="{916935EA-51E7-4B68-9271-2FD314A911A5}"/>
    <cellStyle name="Normale 15_EDEN industria 2008 rev" xfId="627" xr:uid="{00000000-0005-0000-0000-0000A5050000}"/>
    <cellStyle name="Normale 16" xfId="628" xr:uid="{00000000-0005-0000-0000-0000A6050000}"/>
    <cellStyle name="Normale 16 2" xfId="629" xr:uid="{00000000-0005-0000-0000-0000A7050000}"/>
    <cellStyle name="Normale 16 2 2" xfId="13447" xr:uid="{E1B343A3-B255-4F7A-BA5B-B848C61127FF}"/>
    <cellStyle name="Normale 16 2 3" xfId="26546" xr:uid="{3F7262AB-EB56-4CDD-8020-3177E3A16E28}"/>
    <cellStyle name="Normale 16 3" xfId="13184" xr:uid="{E03B9BD5-7899-43D3-88A9-D7BAEAD7DFBE}"/>
    <cellStyle name="Normale 16 4" xfId="26545" xr:uid="{5EE6994D-0BD9-4286-9284-71077A4947C3}"/>
    <cellStyle name="Normale 17" xfId="630" xr:uid="{00000000-0005-0000-0000-0000A8050000}"/>
    <cellStyle name="Normale 17 2" xfId="631" xr:uid="{00000000-0005-0000-0000-0000A9050000}"/>
    <cellStyle name="Normale 17 2 2" xfId="13448" xr:uid="{A2A1FF0A-E339-4EE0-9902-31D33B85BE14}"/>
    <cellStyle name="Normale 17 2 3" xfId="26548" xr:uid="{6C59727B-7798-45DB-B444-89005A33B882}"/>
    <cellStyle name="Normale 17 3" xfId="13185" xr:uid="{BC368B59-2C74-4265-B3DE-09D20A2B155E}"/>
    <cellStyle name="Normale 17 4" xfId="26547" xr:uid="{0F70E433-03C1-4793-BB5A-08C9D54F0734}"/>
    <cellStyle name="Normale 18" xfId="632" xr:uid="{00000000-0005-0000-0000-0000AA050000}"/>
    <cellStyle name="Normale 18 2" xfId="633" xr:uid="{00000000-0005-0000-0000-0000AB050000}"/>
    <cellStyle name="Normale 18 2 2" xfId="26550" xr:uid="{9BA62BD7-AEDC-4C63-A635-6AD9D9795387}"/>
    <cellStyle name="Normale 18 3" xfId="26549" xr:uid="{76569935-51CA-4DF8-8E88-FFBBAC7FE55A}"/>
    <cellStyle name="Normale 19" xfId="634" xr:uid="{00000000-0005-0000-0000-0000AC050000}"/>
    <cellStyle name="Normale 19 2" xfId="635" xr:uid="{00000000-0005-0000-0000-0000AD050000}"/>
    <cellStyle name="Normale 19 2 2" xfId="26552" xr:uid="{7274C602-D9AD-4DC1-B298-BDB8068134D3}"/>
    <cellStyle name="Normale 19 3" xfId="26551" xr:uid="{7653A989-E6B5-48B7-B1A8-D105C40C7B25}"/>
    <cellStyle name="Normale 2" xfId="636" xr:uid="{00000000-0005-0000-0000-0000AE050000}"/>
    <cellStyle name="Normale 2 2" xfId="637" xr:uid="{00000000-0005-0000-0000-0000AF050000}"/>
    <cellStyle name="Normale 2 2 2" xfId="638" xr:uid="{00000000-0005-0000-0000-0000B0050000}"/>
    <cellStyle name="Normale 2 2 2 2" xfId="13450" xr:uid="{A3C9A395-95E5-42E2-B360-973A1256CC0D}"/>
    <cellStyle name="Normale 2 2 2 3" xfId="26555" xr:uid="{37983C18-83C5-49AA-96F0-22D2BD427A4A}"/>
    <cellStyle name="Normale 2 2 3" xfId="13187" xr:uid="{5E24BF66-221C-4205-B79A-02EADCD602B7}"/>
    <cellStyle name="Normale 2 2 4" xfId="26554" xr:uid="{84314B29-E5B5-48E8-A9B8-3543C3CBD564}"/>
    <cellStyle name="Normale 2 3" xfId="639" xr:uid="{00000000-0005-0000-0000-0000B1050000}"/>
    <cellStyle name="Normale 2 3 2" xfId="13449" xr:uid="{9DD5D0CF-F276-4A2F-907F-D9C2DA6485EA}"/>
    <cellStyle name="Normale 2 3 3" xfId="26556" xr:uid="{C8BD1E10-DDB0-484B-BCD6-CC70F329F69F}"/>
    <cellStyle name="Normale 2 4" xfId="13186" xr:uid="{D9A4E2FB-50B6-472E-A4E5-9F7D306C7D4C}"/>
    <cellStyle name="Normale 2 5" xfId="26553" xr:uid="{8DBF76EF-41EB-41D4-9F52-54846C130A05}"/>
    <cellStyle name="Normale 2_EDEN industria 2008 rev" xfId="640" xr:uid="{00000000-0005-0000-0000-0000B2050000}"/>
    <cellStyle name="Normale 20" xfId="641" xr:uid="{00000000-0005-0000-0000-0000B3050000}"/>
    <cellStyle name="Normale 20 2" xfId="642" xr:uid="{00000000-0005-0000-0000-0000B4050000}"/>
    <cellStyle name="Normale 20 2 2" xfId="13451" xr:uid="{4B1D49A2-7BA2-437F-B30C-114FF73F1667}"/>
    <cellStyle name="Normale 20 2 3" xfId="26558" xr:uid="{AB4471DA-18F4-46E1-8D0F-D9C701693A09}"/>
    <cellStyle name="Normale 20 3" xfId="13188" xr:uid="{9BAC3C4D-3A99-4167-B3FD-836F06A872BA}"/>
    <cellStyle name="Normale 20 4" xfId="26557" xr:uid="{B36434F7-028F-468B-98E9-B2BFADDE7C83}"/>
    <cellStyle name="Normale 21" xfId="643" xr:uid="{00000000-0005-0000-0000-0000B5050000}"/>
    <cellStyle name="Normale 21 2" xfId="644" xr:uid="{00000000-0005-0000-0000-0000B6050000}"/>
    <cellStyle name="Normale 21 2 2" xfId="13452" xr:uid="{3DC14ED4-BBF9-43FE-B0DC-8026AC26DC6B}"/>
    <cellStyle name="Normale 21 2 3" xfId="26560" xr:uid="{F3BE4475-8FC4-4B80-9551-1F3D3DF8E8F3}"/>
    <cellStyle name="Normale 21 3" xfId="13189" xr:uid="{7E66DBC6-C94A-4FC1-8046-CED6E75C280F}"/>
    <cellStyle name="Normale 21 4" xfId="26559" xr:uid="{519016B2-42F7-4830-9168-B31054299CB9}"/>
    <cellStyle name="Normale 22" xfId="645" xr:uid="{00000000-0005-0000-0000-0000B7050000}"/>
    <cellStyle name="Normale 22 2" xfId="646" xr:uid="{00000000-0005-0000-0000-0000B8050000}"/>
    <cellStyle name="Normale 22 2 2" xfId="13453" xr:uid="{7D06C3E6-FE28-45A0-91A9-7E9B58F60A41}"/>
    <cellStyle name="Normale 22 2 3" xfId="26562" xr:uid="{92A2C325-7B8B-4B3E-8E9E-C2ED359E3FAB}"/>
    <cellStyle name="Normale 22 3" xfId="13190" xr:uid="{9ABFBB53-E322-4E3B-9E04-D8EC56A5876D}"/>
    <cellStyle name="Normale 22 4" xfId="26561" xr:uid="{C950FA08-7814-4155-961D-CF4FCF603567}"/>
    <cellStyle name="Normale 23" xfId="647" xr:uid="{00000000-0005-0000-0000-0000B9050000}"/>
    <cellStyle name="Normale 23 2" xfId="648" xr:uid="{00000000-0005-0000-0000-0000BA050000}"/>
    <cellStyle name="Normale 23 2 2" xfId="13454" xr:uid="{24E6EA32-9118-4D36-9C41-131A90F7A225}"/>
    <cellStyle name="Normale 23 2 3" xfId="26564" xr:uid="{A3F7A614-8EC7-41D7-8BE3-256F975CAFB9}"/>
    <cellStyle name="Normale 23 3" xfId="13191" xr:uid="{42F3F59B-8DCA-4679-A977-3E8F0894A2F4}"/>
    <cellStyle name="Normale 23 4" xfId="26563" xr:uid="{06F70293-C0CE-48B8-BC08-90ED73428AD6}"/>
    <cellStyle name="Normale 24" xfId="649" xr:uid="{00000000-0005-0000-0000-0000BB050000}"/>
    <cellStyle name="Normale 24 2" xfId="650" xr:uid="{00000000-0005-0000-0000-0000BC050000}"/>
    <cellStyle name="Normale 24 2 2" xfId="13455" xr:uid="{597A6BED-2672-4916-A749-3FB129869431}"/>
    <cellStyle name="Normale 24 2 3" xfId="26566" xr:uid="{0FFDB4A6-8E93-4CC1-B633-436FB4AE0744}"/>
    <cellStyle name="Normale 24 3" xfId="13192" xr:uid="{3AC85107-C59E-4D5B-B02E-5953B9D08746}"/>
    <cellStyle name="Normale 24 4" xfId="26565" xr:uid="{594C8761-F496-445B-BC7F-CEEB319E3600}"/>
    <cellStyle name="Normale 25" xfId="651" xr:uid="{00000000-0005-0000-0000-0000BD050000}"/>
    <cellStyle name="Normale 25 2" xfId="652" xr:uid="{00000000-0005-0000-0000-0000BE050000}"/>
    <cellStyle name="Normale 25 2 2" xfId="13456" xr:uid="{60A12DCF-DF4B-4D68-AC75-7FA0F6A17E0F}"/>
    <cellStyle name="Normale 25 2 3" xfId="26568" xr:uid="{1571B6F9-EA38-43A2-9C57-FDB05291E187}"/>
    <cellStyle name="Normale 25 3" xfId="13193" xr:uid="{FB2689FF-529A-41AB-82A1-3FD3C2E806D3}"/>
    <cellStyle name="Normale 25 4" xfId="26567" xr:uid="{5F01B50B-0E78-46B4-A6D4-DC2796F8A15E}"/>
    <cellStyle name="Normale 26" xfId="653" xr:uid="{00000000-0005-0000-0000-0000BF050000}"/>
    <cellStyle name="Normale 26 2" xfId="654" xr:uid="{00000000-0005-0000-0000-0000C0050000}"/>
    <cellStyle name="Normale 26 2 2" xfId="13457" xr:uid="{4D4085C1-981A-4F7D-8CA1-F8EBEAF78DC1}"/>
    <cellStyle name="Normale 26 2 3" xfId="26570" xr:uid="{ADD0F4FA-A653-4F3B-B23A-4714F709DE13}"/>
    <cellStyle name="Normale 26 3" xfId="13194" xr:uid="{B13ADFA6-824B-440A-A766-8BB30468256D}"/>
    <cellStyle name="Normale 26 4" xfId="26569" xr:uid="{63B05BE0-FA98-4592-86DE-CD9E5C7F22F3}"/>
    <cellStyle name="Normale 27" xfId="655" xr:uid="{00000000-0005-0000-0000-0000C1050000}"/>
    <cellStyle name="Normale 27 2" xfId="656" xr:uid="{00000000-0005-0000-0000-0000C2050000}"/>
    <cellStyle name="Normale 27 2 2" xfId="13458" xr:uid="{E91D0C35-4D1F-4574-A619-A9A503987993}"/>
    <cellStyle name="Normale 27 2 3" xfId="26572" xr:uid="{EE1EE963-F0AD-4954-AA9C-3B37FCE081CF}"/>
    <cellStyle name="Normale 27 3" xfId="13195" xr:uid="{2445B2FE-A74B-4799-B848-087DB7ACDC14}"/>
    <cellStyle name="Normale 27 4" xfId="26571" xr:uid="{E3A0A7B3-93A6-42E4-A5D4-7DB5F155C674}"/>
    <cellStyle name="Normale 28" xfId="657" xr:uid="{00000000-0005-0000-0000-0000C3050000}"/>
    <cellStyle name="Normale 28 2" xfId="658" xr:uid="{00000000-0005-0000-0000-0000C4050000}"/>
    <cellStyle name="Normale 28 2 2" xfId="13459" xr:uid="{FC6FA0DD-DA60-44D4-A5F6-9C9CF60035A3}"/>
    <cellStyle name="Normale 28 2 3" xfId="26574" xr:uid="{3796901C-3072-4908-B77D-6C840AA15E0B}"/>
    <cellStyle name="Normale 28 3" xfId="13196" xr:uid="{C617E7F1-276A-4168-830A-3AACDEF6ED85}"/>
    <cellStyle name="Normale 28 4" xfId="26573" xr:uid="{B0AA0E24-5CF4-4B88-9D3A-99A447156076}"/>
    <cellStyle name="Normale 29" xfId="659" xr:uid="{00000000-0005-0000-0000-0000C5050000}"/>
    <cellStyle name="Normale 29 2" xfId="660" xr:uid="{00000000-0005-0000-0000-0000C6050000}"/>
    <cellStyle name="Normale 29 2 2" xfId="13460" xr:uid="{6D4D0D1B-268A-487C-8EC9-B4438F3A305F}"/>
    <cellStyle name="Normale 29 2 3" xfId="26576" xr:uid="{F6C676C5-94E8-4032-9980-760A7AB7DE04}"/>
    <cellStyle name="Normale 29 3" xfId="13197" xr:uid="{D9CB8B9F-04AB-40A1-9870-B362B65D04CE}"/>
    <cellStyle name="Normale 29 4" xfId="26575" xr:uid="{8DC24EB9-2D4B-48AC-BDED-9C50314D71F6}"/>
    <cellStyle name="Normale 3" xfId="661" xr:uid="{00000000-0005-0000-0000-0000C7050000}"/>
    <cellStyle name="Normale 3 2" xfId="662" xr:uid="{00000000-0005-0000-0000-0000C8050000}"/>
    <cellStyle name="Normale 3 2 2" xfId="663" xr:uid="{00000000-0005-0000-0000-0000C9050000}"/>
    <cellStyle name="Normale 3 2 2 2" xfId="13462" xr:uid="{247AC841-C745-404C-93BC-C2D80AF2F55B}"/>
    <cellStyle name="Normale 3 2 2 3" xfId="26579" xr:uid="{87575125-529A-4223-B134-FC600669B16D}"/>
    <cellStyle name="Normale 3 2 3" xfId="13199" xr:uid="{A773C592-E38D-490F-A091-C51FC4426D3A}"/>
    <cellStyle name="Normale 3 2 4" xfId="26578" xr:uid="{E3108FE4-C323-4413-BA03-32A852CD6BE8}"/>
    <cellStyle name="Normale 3 3" xfId="664" xr:uid="{00000000-0005-0000-0000-0000CA050000}"/>
    <cellStyle name="Normale 3 3 2" xfId="665" xr:uid="{00000000-0005-0000-0000-0000CB050000}"/>
    <cellStyle name="Normale 3 3 2 2" xfId="13463" xr:uid="{F128BF2E-8C9E-4A10-8EFD-0502D1AFBCD9}"/>
    <cellStyle name="Normale 3 3 2 3" xfId="26581" xr:uid="{55AAA1BB-46D6-477F-BE33-6AEB1AF7A46E}"/>
    <cellStyle name="Normale 3 3 3" xfId="13200" xr:uid="{9B5102B5-E738-454B-9803-14320FB0F6B7}"/>
    <cellStyle name="Normale 3 3 4" xfId="26580" xr:uid="{E7B36EC1-63FC-4E27-8333-CA3DC0CED956}"/>
    <cellStyle name="Normale 3 4" xfId="666" xr:uid="{00000000-0005-0000-0000-0000CC050000}"/>
    <cellStyle name="Normale 3 4 2" xfId="13461" xr:uid="{BAC910FA-D0CF-4BC9-BA02-44A640EBE3A2}"/>
    <cellStyle name="Normale 3 4 3" xfId="26582" xr:uid="{92A2007A-1EEA-4BA6-A0F3-10FA2EC1EC5E}"/>
    <cellStyle name="Normale 3 5" xfId="13198" xr:uid="{04464832-00A0-4AA2-96C5-6D351EBDC169}"/>
    <cellStyle name="Normale 3 6" xfId="26577" xr:uid="{FBA0418D-88A0-4AB8-B352-E654092E6694}"/>
    <cellStyle name="Normale 3_EDEN industria 2008 rev" xfId="667" xr:uid="{00000000-0005-0000-0000-0000CD050000}"/>
    <cellStyle name="Normale 30" xfId="668" xr:uid="{00000000-0005-0000-0000-0000CE050000}"/>
    <cellStyle name="Normale 30 2" xfId="669" xr:uid="{00000000-0005-0000-0000-0000CF050000}"/>
    <cellStyle name="Normale 30 2 2" xfId="13464" xr:uid="{6F7D5461-789B-4952-B569-D4373037BDD8}"/>
    <cellStyle name="Normale 30 2 3" xfId="26584" xr:uid="{0D5CBFE0-E662-4598-9418-30F4423C34C4}"/>
    <cellStyle name="Normale 30 3" xfId="13201" xr:uid="{E49AA84F-3D5A-43F2-95FF-527BD98EFD81}"/>
    <cellStyle name="Normale 30 4" xfId="26583" xr:uid="{7421E45F-E05E-403F-846A-2DCCD9583BD5}"/>
    <cellStyle name="Normale 31" xfId="670" xr:uid="{00000000-0005-0000-0000-0000D0050000}"/>
    <cellStyle name="Normale 31 2" xfId="671" xr:uid="{00000000-0005-0000-0000-0000D1050000}"/>
    <cellStyle name="Normale 31 2 2" xfId="13465" xr:uid="{4772882B-9A95-4A37-88C8-2F5AA0AFB942}"/>
    <cellStyle name="Normale 31 2 3" xfId="26586" xr:uid="{925C03BD-3A6B-4675-9B4B-EC388543CDC5}"/>
    <cellStyle name="Normale 31 3" xfId="13202" xr:uid="{95D0A218-9A43-434B-A664-D321CBE01A91}"/>
    <cellStyle name="Normale 31 4" xfId="26585" xr:uid="{DDD315F5-FD86-4B02-A20E-E4EBCE38D3E4}"/>
    <cellStyle name="Normale 32" xfId="672" xr:uid="{00000000-0005-0000-0000-0000D2050000}"/>
    <cellStyle name="Normale 32 2" xfId="673" xr:uid="{00000000-0005-0000-0000-0000D3050000}"/>
    <cellStyle name="Normale 32 2 2" xfId="13466" xr:uid="{2BA985A0-9C66-4DEE-9F10-993EE27C18EE}"/>
    <cellStyle name="Normale 32 2 3" xfId="26588" xr:uid="{BD5AABF2-ECD3-453E-B444-1181453551AB}"/>
    <cellStyle name="Normale 32 3" xfId="13203" xr:uid="{547A135E-C0E2-4F94-88E8-43FAFB204776}"/>
    <cellStyle name="Normale 32 4" xfId="26587" xr:uid="{DE83427D-A242-4C66-808D-78CC8C27E456}"/>
    <cellStyle name="Normale 33" xfId="674" xr:uid="{00000000-0005-0000-0000-0000D4050000}"/>
    <cellStyle name="Normale 33 2" xfId="675" xr:uid="{00000000-0005-0000-0000-0000D5050000}"/>
    <cellStyle name="Normale 33 2 2" xfId="13467" xr:uid="{09C2A5C7-2E9C-41F7-955B-E7715A7C6CB6}"/>
    <cellStyle name="Normale 33 2 3" xfId="26590" xr:uid="{92E4D345-C9FC-4348-8681-B0D815B96E2C}"/>
    <cellStyle name="Normale 33 3" xfId="13204" xr:uid="{D548BC84-DEDA-4F11-850F-989B19868ADE}"/>
    <cellStyle name="Normale 33 4" xfId="26589" xr:uid="{36AB3790-E040-4E39-8C94-1601D4C9E6B9}"/>
    <cellStyle name="Normale 34" xfId="676" xr:uid="{00000000-0005-0000-0000-0000D6050000}"/>
    <cellStyle name="Normale 34 2" xfId="677" xr:uid="{00000000-0005-0000-0000-0000D7050000}"/>
    <cellStyle name="Normale 34 2 2" xfId="13468" xr:uid="{BA69115A-5CC3-44EC-9521-771689369BBC}"/>
    <cellStyle name="Normale 34 2 3" xfId="26592" xr:uid="{AD5EFD83-0C42-4A49-8BEA-94BFAB859344}"/>
    <cellStyle name="Normale 34 3" xfId="13205" xr:uid="{D0A8A2B4-8AF8-4FDA-9162-E6A0883802AB}"/>
    <cellStyle name="Normale 34 4" xfId="26591" xr:uid="{A65E25F2-7EA0-40FE-9DCF-00CB74CC32B0}"/>
    <cellStyle name="Normale 35" xfId="678" xr:uid="{00000000-0005-0000-0000-0000D8050000}"/>
    <cellStyle name="Normale 35 2" xfId="679" xr:uid="{00000000-0005-0000-0000-0000D9050000}"/>
    <cellStyle name="Normale 35 2 2" xfId="13469" xr:uid="{1F38A2AE-AA26-446F-8798-BE36920D8271}"/>
    <cellStyle name="Normale 35 2 3" xfId="26594" xr:uid="{E4DB0D3C-2F90-42CE-B37D-CB5FE87C814B}"/>
    <cellStyle name="Normale 35 3" xfId="13206" xr:uid="{33778B17-EA0E-4511-8728-D1C8EADBF6A9}"/>
    <cellStyle name="Normale 35 4" xfId="26593" xr:uid="{E2582F64-BD84-4945-A6EB-21DBC591F54F}"/>
    <cellStyle name="Normale 36" xfId="680" xr:uid="{00000000-0005-0000-0000-0000DA050000}"/>
    <cellStyle name="Normale 36 2" xfId="681" xr:uid="{00000000-0005-0000-0000-0000DB050000}"/>
    <cellStyle name="Normale 36 2 2" xfId="13470" xr:uid="{B18F6F9E-FA21-4F43-B4D9-6E8D4EF71501}"/>
    <cellStyle name="Normale 36 2 3" xfId="26596" xr:uid="{B3EBE7B9-5BC3-4F0D-A965-4921ED2A5F45}"/>
    <cellStyle name="Normale 36 3" xfId="13207" xr:uid="{F2B72FDC-37BB-4F43-A950-07870BE9CEC5}"/>
    <cellStyle name="Normale 36 4" xfId="26595" xr:uid="{D6CBF05B-29AB-41F6-842B-D10C26B2C01E}"/>
    <cellStyle name="Normale 37" xfId="682" xr:uid="{00000000-0005-0000-0000-0000DC050000}"/>
    <cellStyle name="Normale 37 2" xfId="683" xr:uid="{00000000-0005-0000-0000-0000DD050000}"/>
    <cellStyle name="Normale 37 2 2" xfId="13471" xr:uid="{D41DBB45-8DC4-4F81-824B-59F1F5733D8C}"/>
    <cellStyle name="Normale 37 2 3" xfId="26598" xr:uid="{AC2B8F44-4F90-4FDB-91F2-68548EB65937}"/>
    <cellStyle name="Normale 37 3" xfId="13208" xr:uid="{1B0CF4B2-DA42-4DBB-99C5-27C4626C65EC}"/>
    <cellStyle name="Normale 37 4" xfId="26597" xr:uid="{E9820BF5-1EF1-4EF0-90EB-0F5E1E0CA973}"/>
    <cellStyle name="Normale 38" xfId="684" xr:uid="{00000000-0005-0000-0000-0000DE050000}"/>
    <cellStyle name="Normale 38 2" xfId="685" xr:uid="{00000000-0005-0000-0000-0000DF050000}"/>
    <cellStyle name="Normale 38 2 2" xfId="13472" xr:uid="{A6567DD6-237A-4D16-B24D-19D3ACA329B4}"/>
    <cellStyle name="Normale 38 2 3" xfId="26600" xr:uid="{707A4CBC-46BD-455F-A918-A0CF12602BF6}"/>
    <cellStyle name="Normale 38 3" xfId="13209" xr:uid="{1F8620F4-E287-4365-982B-0B21840D3321}"/>
    <cellStyle name="Normale 38 4" xfId="26599" xr:uid="{EFEB3358-7E0A-4DBB-9A35-911AEB062C08}"/>
    <cellStyle name="Normale 39" xfId="686" xr:uid="{00000000-0005-0000-0000-0000E0050000}"/>
    <cellStyle name="Normale 39 2" xfId="687" xr:uid="{00000000-0005-0000-0000-0000E1050000}"/>
    <cellStyle name="Normale 39 2 2" xfId="13473" xr:uid="{9A8671F2-D800-4723-AAFA-D91C24A3BB1C}"/>
    <cellStyle name="Normale 39 2 3" xfId="26602" xr:uid="{F44DE2D0-C4BF-4D42-A65D-56FCA7468D42}"/>
    <cellStyle name="Normale 39 3" xfId="13210" xr:uid="{74C29E2E-D0C0-4AE3-8008-104904969037}"/>
    <cellStyle name="Normale 39 4" xfId="26601" xr:uid="{B546FA44-627B-4A5B-8E49-D19199274BDD}"/>
    <cellStyle name="Normale 4" xfId="688" xr:uid="{00000000-0005-0000-0000-0000E2050000}"/>
    <cellStyle name="Normale 4 2" xfId="689" xr:uid="{00000000-0005-0000-0000-0000E3050000}"/>
    <cellStyle name="Normale 4 2 2" xfId="690" xr:uid="{00000000-0005-0000-0000-0000E4050000}"/>
    <cellStyle name="Normale 4 2 2 2" xfId="13475" xr:uid="{F590C70F-1272-4F42-BB33-05BC383122C4}"/>
    <cellStyle name="Normale 4 2 2 3" xfId="26605" xr:uid="{D93B1EE2-7296-46EF-ACF5-E2958A3F4373}"/>
    <cellStyle name="Normale 4 2 3" xfId="13212" xr:uid="{46436C78-6CAA-4F93-8702-91091BC5AD92}"/>
    <cellStyle name="Normale 4 2 4" xfId="26604" xr:uid="{CC7AA46C-70ED-4593-B8EF-454875CBCF54}"/>
    <cellStyle name="Normale 4 3" xfId="691" xr:uid="{00000000-0005-0000-0000-0000E5050000}"/>
    <cellStyle name="Normale 4 3 2" xfId="692" xr:uid="{00000000-0005-0000-0000-0000E6050000}"/>
    <cellStyle name="Normale 4 3 2 2" xfId="13476" xr:uid="{CF203EDC-E6D4-46D1-B5FF-95284ECA3F2C}"/>
    <cellStyle name="Normale 4 3 2 3" xfId="26607" xr:uid="{E9D1B159-5FCD-4CC1-A765-F122041E8DEF}"/>
    <cellStyle name="Normale 4 3 3" xfId="13213" xr:uid="{FC2851AA-19C8-4400-BF1F-AB1551683FF2}"/>
    <cellStyle name="Normale 4 3 4" xfId="26606" xr:uid="{421C6C32-C814-42FB-9837-1AE8F1F95BB2}"/>
    <cellStyle name="Normale 4 4" xfId="693" xr:uid="{00000000-0005-0000-0000-0000E7050000}"/>
    <cellStyle name="Normale 4 4 2" xfId="13474" xr:uid="{5E576451-1E28-4DE1-A942-A9CA16E06697}"/>
    <cellStyle name="Normale 4 4 3" xfId="26608" xr:uid="{D016AB1D-8F53-42F9-8BBF-33D5A764804D}"/>
    <cellStyle name="Normale 4 5" xfId="13211" xr:uid="{04AA19F3-F320-401E-9208-D477D91BAA95}"/>
    <cellStyle name="Normale 4 6" xfId="26603" xr:uid="{DCBFD719-E43F-438F-8C94-B884CCD0B241}"/>
    <cellStyle name="Normale 4_EDEN industria 2008 rev" xfId="694" xr:uid="{00000000-0005-0000-0000-0000E8050000}"/>
    <cellStyle name="Normale 40" xfId="695" xr:uid="{00000000-0005-0000-0000-0000E9050000}"/>
    <cellStyle name="Normale 40 2" xfId="696" xr:uid="{00000000-0005-0000-0000-0000EA050000}"/>
    <cellStyle name="Normale 40 2 2" xfId="13477" xr:uid="{7F5C26D0-A35C-44CB-A44A-5A994D0346EA}"/>
    <cellStyle name="Normale 40 2 3" xfId="26610" xr:uid="{F53B8403-D06A-4DEA-9194-3AC9BA912FF0}"/>
    <cellStyle name="Normale 40 3" xfId="13214" xr:uid="{8B7FE2E9-85D5-46D4-A6F0-381E5372D3FA}"/>
    <cellStyle name="Normale 40 4" xfId="26609" xr:uid="{494264C1-60D2-4DBA-B77B-39727AABAE59}"/>
    <cellStyle name="Normale 41" xfId="697" xr:uid="{00000000-0005-0000-0000-0000EB050000}"/>
    <cellStyle name="Normale 41 2" xfId="698" xr:uid="{00000000-0005-0000-0000-0000EC050000}"/>
    <cellStyle name="Normale 41 2 2" xfId="13478" xr:uid="{7B2B4A0D-C9C3-4D91-AFA2-C3499553FCD0}"/>
    <cellStyle name="Normale 41 2 3" xfId="26612" xr:uid="{59402AF0-7CCB-4BB2-B960-F101E87BDA56}"/>
    <cellStyle name="Normale 41 3" xfId="13215" xr:uid="{51556CC9-DD63-4F68-995E-7B361F87E1B9}"/>
    <cellStyle name="Normale 41 4" xfId="26611" xr:uid="{D5504061-5FB6-4A90-9EEB-93F1596C75A3}"/>
    <cellStyle name="Normale 42" xfId="699" xr:uid="{00000000-0005-0000-0000-0000ED050000}"/>
    <cellStyle name="Normale 42 2" xfId="700" xr:uid="{00000000-0005-0000-0000-0000EE050000}"/>
    <cellStyle name="Normale 42 2 2" xfId="13479" xr:uid="{260413BA-CF84-446E-B242-B67A0ED72C09}"/>
    <cellStyle name="Normale 42 2 3" xfId="26614" xr:uid="{B3A0B1DF-8685-404E-8F1C-6A2ED32FECDC}"/>
    <cellStyle name="Normale 42 3" xfId="13216" xr:uid="{447CDD61-8ADF-49C0-8C50-2DA1B2FF409F}"/>
    <cellStyle name="Normale 42 4" xfId="26613" xr:uid="{0A244961-C325-4658-AF3D-C60C1B20D46C}"/>
    <cellStyle name="Normale 43" xfId="701" xr:uid="{00000000-0005-0000-0000-0000EF050000}"/>
    <cellStyle name="Normale 43 2" xfId="702" xr:uid="{00000000-0005-0000-0000-0000F0050000}"/>
    <cellStyle name="Normale 43 2 2" xfId="13480" xr:uid="{FE25C291-52CA-4B9F-A551-A449264CC5BD}"/>
    <cellStyle name="Normale 43 2 3" xfId="26616" xr:uid="{BE24CD83-9101-4016-996B-18015BB0D213}"/>
    <cellStyle name="Normale 43 3" xfId="13217" xr:uid="{D86B0AA1-0358-4887-9312-09F61CB0B690}"/>
    <cellStyle name="Normale 43 4" xfId="26615" xr:uid="{51DA3DD5-C6D7-418D-A2A0-858990C5771E}"/>
    <cellStyle name="Normale 44" xfId="703" xr:uid="{00000000-0005-0000-0000-0000F1050000}"/>
    <cellStyle name="Normale 44 2" xfId="704" xr:uid="{00000000-0005-0000-0000-0000F2050000}"/>
    <cellStyle name="Normale 44 2 2" xfId="13481" xr:uid="{591F5399-43AE-40DE-A54C-37BC48A93159}"/>
    <cellStyle name="Normale 44 2 3" xfId="26618" xr:uid="{0BBA10A7-1F13-4531-B97F-ABA3BB2E8527}"/>
    <cellStyle name="Normale 44 3" xfId="13218" xr:uid="{2F338E19-08AB-43FF-B642-771850C100B8}"/>
    <cellStyle name="Normale 44 4" xfId="26617" xr:uid="{FD379033-34FA-4B2E-A222-36865BDCAC49}"/>
    <cellStyle name="Normale 45" xfId="705" xr:uid="{00000000-0005-0000-0000-0000F3050000}"/>
    <cellStyle name="Normale 45 2" xfId="706" xr:uid="{00000000-0005-0000-0000-0000F4050000}"/>
    <cellStyle name="Normale 45 2 2" xfId="13482" xr:uid="{420A11D4-1D05-4E5B-8B46-AFC41C87CAA7}"/>
    <cellStyle name="Normale 45 2 3" xfId="26620" xr:uid="{6E5DEDE9-8909-42BE-BF42-C6D405A1724A}"/>
    <cellStyle name="Normale 45 3" xfId="13219" xr:uid="{B247D582-9AAD-403E-88A5-DC00FB7460C7}"/>
    <cellStyle name="Normale 45 4" xfId="26619" xr:uid="{5E57785E-CEE1-459F-BF16-2060B73D042F}"/>
    <cellStyle name="Normale 46" xfId="707" xr:uid="{00000000-0005-0000-0000-0000F5050000}"/>
    <cellStyle name="Normale 46 2" xfId="708" xr:uid="{00000000-0005-0000-0000-0000F6050000}"/>
    <cellStyle name="Normale 46 2 2" xfId="13483" xr:uid="{BDEF8E50-3275-4E09-B180-7E89C0514CBF}"/>
    <cellStyle name="Normale 46 2 3" xfId="26622" xr:uid="{F7C5C21F-2D14-4431-956B-D08AC78EF4D4}"/>
    <cellStyle name="Normale 46 3" xfId="13220" xr:uid="{C00EEB14-A10E-498D-8C63-8615B972D92D}"/>
    <cellStyle name="Normale 46 4" xfId="26621" xr:uid="{F2B061E2-F4D2-4981-9595-656CBF83610B}"/>
    <cellStyle name="Normale 47" xfId="709" xr:uid="{00000000-0005-0000-0000-0000F7050000}"/>
    <cellStyle name="Normale 47 2" xfId="710" xr:uid="{00000000-0005-0000-0000-0000F8050000}"/>
    <cellStyle name="Normale 47 2 2" xfId="13484" xr:uid="{2331FB6B-AC39-4E28-9ECF-58862BFBF721}"/>
    <cellStyle name="Normale 47 2 3" xfId="26624" xr:uid="{015EBC96-081C-43CB-A2C5-5D2083A54FC3}"/>
    <cellStyle name="Normale 47 3" xfId="13221" xr:uid="{CB9DDA30-E822-4CD8-B232-C8B834AA8580}"/>
    <cellStyle name="Normale 47 4" xfId="26623" xr:uid="{FC854A77-5616-4776-AE52-9875C3B609DA}"/>
    <cellStyle name="Normale 48" xfId="711" xr:uid="{00000000-0005-0000-0000-0000F9050000}"/>
    <cellStyle name="Normale 48 2" xfId="712" xr:uid="{00000000-0005-0000-0000-0000FA050000}"/>
    <cellStyle name="Normale 48 2 2" xfId="13485" xr:uid="{4E2D3CA8-4636-4FD0-B93C-40338977A4D6}"/>
    <cellStyle name="Normale 48 2 3" xfId="26626" xr:uid="{4C9F14AB-9816-49E1-A4A1-7DEF8484E313}"/>
    <cellStyle name="Normale 48 3" xfId="13222" xr:uid="{D8E67EA3-71B1-41B5-A571-2283C7294099}"/>
    <cellStyle name="Normale 48 4" xfId="26625" xr:uid="{00233539-FE60-4286-B3BF-3C9929C5A429}"/>
    <cellStyle name="Normale 49" xfId="713" xr:uid="{00000000-0005-0000-0000-0000FB050000}"/>
    <cellStyle name="Normale 49 2" xfId="714" xr:uid="{00000000-0005-0000-0000-0000FC050000}"/>
    <cellStyle name="Normale 49 2 2" xfId="13486" xr:uid="{221B7582-5024-47C4-B397-53E9523F04BB}"/>
    <cellStyle name="Normale 49 2 3" xfId="26628" xr:uid="{570F714E-4C12-4498-849D-964F08A35610}"/>
    <cellStyle name="Normale 49 3" xfId="13223" xr:uid="{3223E72B-9C28-4D27-9690-590392A2DC26}"/>
    <cellStyle name="Normale 49 4" xfId="26627" xr:uid="{83F89BEE-EEEB-4EAF-832D-E50A8B70F9EA}"/>
    <cellStyle name="Normale 5" xfId="715" xr:uid="{00000000-0005-0000-0000-0000FD050000}"/>
    <cellStyle name="Normale 5 2" xfId="716" xr:uid="{00000000-0005-0000-0000-0000FE050000}"/>
    <cellStyle name="Normale 5 2 2" xfId="717" xr:uid="{00000000-0005-0000-0000-0000FF050000}"/>
    <cellStyle name="Normale 5 2 2 2" xfId="13488" xr:uid="{8D04A784-10DE-41ED-ACE7-69FF2DCBE52B}"/>
    <cellStyle name="Normale 5 2 2 3" xfId="26631" xr:uid="{CCEC3E95-3FBD-4FDD-B547-D05DD8F1C4DB}"/>
    <cellStyle name="Normale 5 2 3" xfId="13225" xr:uid="{04BEEB42-892A-456B-B0A9-7CF60F5FFBEA}"/>
    <cellStyle name="Normale 5 2 4" xfId="26630" xr:uid="{C571386B-9A81-4C38-89D0-CE5AC587A5D9}"/>
    <cellStyle name="Normale 5 3" xfId="718" xr:uid="{00000000-0005-0000-0000-000000060000}"/>
    <cellStyle name="Normale 5 3 2" xfId="719" xr:uid="{00000000-0005-0000-0000-000001060000}"/>
    <cellStyle name="Normale 5 3 2 2" xfId="13489" xr:uid="{75B5FF28-DC4B-4E1C-B694-9CF85AB5BE42}"/>
    <cellStyle name="Normale 5 3 2 3" xfId="26633" xr:uid="{6E4C05AE-C585-43E9-9902-461892D1F772}"/>
    <cellStyle name="Normale 5 3 3" xfId="13226" xr:uid="{7710BD57-51CE-4CB8-BBC8-B87DFC7DC6E9}"/>
    <cellStyle name="Normale 5 3 4" xfId="26632" xr:uid="{8A6821B3-4895-49E9-9511-9AD566926758}"/>
    <cellStyle name="Normale 5 4" xfId="720" xr:uid="{00000000-0005-0000-0000-000002060000}"/>
    <cellStyle name="Normale 5 4 2" xfId="13487" xr:uid="{403A58D7-8FCF-4A91-B9B2-762D708383EE}"/>
    <cellStyle name="Normale 5 4 3" xfId="26634" xr:uid="{1E0AA705-082C-4844-A626-5CA6EABABE8F}"/>
    <cellStyle name="Normale 5 5" xfId="13224" xr:uid="{C826482C-894C-4020-8801-20598B716A5E}"/>
    <cellStyle name="Normale 5 6" xfId="26629" xr:uid="{1E069F9C-BFF7-405A-AE0F-56CEA4A6128B}"/>
    <cellStyle name="Normale 5_EDEN industria 2008 rev" xfId="721" xr:uid="{00000000-0005-0000-0000-000003060000}"/>
    <cellStyle name="Normale 50" xfId="722" xr:uid="{00000000-0005-0000-0000-000004060000}"/>
    <cellStyle name="Normale 50 2" xfId="723" xr:uid="{00000000-0005-0000-0000-000005060000}"/>
    <cellStyle name="Normale 50 2 2" xfId="13490" xr:uid="{330A4027-4058-46AE-B900-F886C66FC741}"/>
    <cellStyle name="Normale 50 2 3" xfId="26636" xr:uid="{BE276201-9BB5-4612-A086-690212E65F45}"/>
    <cellStyle name="Normale 50 3" xfId="13227" xr:uid="{07A6FE91-0915-4884-B4A1-545DAC3D09EC}"/>
    <cellStyle name="Normale 50 4" xfId="26635" xr:uid="{9305BDBD-9191-4318-9C9A-3CD09EE82925}"/>
    <cellStyle name="Normale 51" xfId="724" xr:uid="{00000000-0005-0000-0000-000006060000}"/>
    <cellStyle name="Normale 51 2" xfId="725" xr:uid="{00000000-0005-0000-0000-000007060000}"/>
    <cellStyle name="Normale 51 2 2" xfId="13491" xr:uid="{DC7FDAD1-EE6B-4637-8362-227352A2CB1E}"/>
    <cellStyle name="Normale 51 2 3" xfId="26638" xr:uid="{00231BC9-835E-4AAB-84D0-4DA15BC35F77}"/>
    <cellStyle name="Normale 51 3" xfId="13228" xr:uid="{4C561223-633A-415F-BD5D-741189D6B129}"/>
    <cellStyle name="Normale 51 4" xfId="26637" xr:uid="{0E4FF3F7-DFBF-43AF-8902-4C33EFC15B98}"/>
    <cellStyle name="Normale 52" xfId="726" xr:uid="{00000000-0005-0000-0000-000008060000}"/>
    <cellStyle name="Normale 52 2" xfId="727" xr:uid="{00000000-0005-0000-0000-000009060000}"/>
    <cellStyle name="Normale 52 2 2" xfId="13492" xr:uid="{EBBCE616-B87D-41E5-B7B3-179CCB59670D}"/>
    <cellStyle name="Normale 52 2 3" xfId="26640" xr:uid="{645A77CA-64B4-472E-94D2-44D100026721}"/>
    <cellStyle name="Normale 52 3" xfId="13229" xr:uid="{B957CE43-648D-4895-8DE6-4ECB8DF15C03}"/>
    <cellStyle name="Normale 52 4" xfId="26639" xr:uid="{A388E880-18E7-4AC8-84D5-8ADA4EA61B2A}"/>
    <cellStyle name="Normale 53" xfId="728" xr:uid="{00000000-0005-0000-0000-00000A060000}"/>
    <cellStyle name="Normale 53 2" xfId="729" xr:uid="{00000000-0005-0000-0000-00000B060000}"/>
    <cellStyle name="Normale 53 2 2" xfId="13493" xr:uid="{8838C5E5-3C24-482E-A2A0-36239DB40844}"/>
    <cellStyle name="Normale 53 2 3" xfId="26642" xr:uid="{14F8EDAE-4B9B-4BBC-A95F-9E60FFEF9202}"/>
    <cellStyle name="Normale 53 3" xfId="13230" xr:uid="{DA7F9812-9AD7-46D1-BF4D-E6BE0F3D868D}"/>
    <cellStyle name="Normale 53 4" xfId="26641" xr:uid="{B4DCA91C-5C3C-4188-8357-463448989F0B}"/>
    <cellStyle name="Normale 54" xfId="730" xr:uid="{00000000-0005-0000-0000-00000C060000}"/>
    <cellStyle name="Normale 54 2" xfId="731" xr:uid="{00000000-0005-0000-0000-00000D060000}"/>
    <cellStyle name="Normale 54 2 2" xfId="13494" xr:uid="{D62A902D-3311-483F-82B6-D3DDC87C5EAF}"/>
    <cellStyle name="Normale 54 2 3" xfId="26644" xr:uid="{3C9D1953-9A02-4314-B7AB-B46B1E3E0E9F}"/>
    <cellStyle name="Normale 54 3" xfId="13231" xr:uid="{03A6CA82-261A-4353-BA38-FBB94BDF92DA}"/>
    <cellStyle name="Normale 54 4" xfId="26643" xr:uid="{D30A2773-21FF-493A-AC64-F27C49FD2867}"/>
    <cellStyle name="Normale 55" xfId="732" xr:uid="{00000000-0005-0000-0000-00000E060000}"/>
    <cellStyle name="Normale 55 2" xfId="733" xr:uid="{00000000-0005-0000-0000-00000F060000}"/>
    <cellStyle name="Normale 55 2 2" xfId="13495" xr:uid="{92AB5C51-BA00-4A0F-879A-262D90239856}"/>
    <cellStyle name="Normale 55 2 3" xfId="26646" xr:uid="{B7968E9B-B8C3-41FC-B15A-75FCEF093D58}"/>
    <cellStyle name="Normale 55 3" xfId="13232" xr:uid="{5D5F3DB1-BEF8-45D4-8AC2-D52D7E0705EF}"/>
    <cellStyle name="Normale 55 4" xfId="26645" xr:uid="{49853305-EA00-45A6-9847-287B605567C1}"/>
    <cellStyle name="Normale 56" xfId="734" xr:uid="{00000000-0005-0000-0000-000010060000}"/>
    <cellStyle name="Normale 56 2" xfId="735" xr:uid="{00000000-0005-0000-0000-000011060000}"/>
    <cellStyle name="Normale 56 2 2" xfId="13496" xr:uid="{D57E23FC-E656-4FC9-AEA3-1BAF420877F8}"/>
    <cellStyle name="Normale 56 2 3" xfId="26648" xr:uid="{5CD9B61F-7239-48E8-A5D0-AD7E703742E9}"/>
    <cellStyle name="Normale 56 3" xfId="13233" xr:uid="{76EBB083-8FEE-48A5-8F27-D82A3B982658}"/>
    <cellStyle name="Normale 56 4" xfId="26647" xr:uid="{5851B607-FCE1-4401-BA91-567778B3DD25}"/>
    <cellStyle name="Normale 57" xfId="736" xr:uid="{00000000-0005-0000-0000-000012060000}"/>
    <cellStyle name="Normale 57 2" xfId="737" xr:uid="{00000000-0005-0000-0000-000013060000}"/>
    <cellStyle name="Normale 57 2 2" xfId="13497" xr:uid="{8100225D-9F66-4197-BB3B-600E1F4050CA}"/>
    <cellStyle name="Normale 57 2 3" xfId="26650" xr:uid="{AA94115A-1F67-439B-B327-401EC7674CEC}"/>
    <cellStyle name="Normale 57 3" xfId="13234" xr:uid="{679841F2-7761-4DE5-954A-A50FDCF05FB0}"/>
    <cellStyle name="Normale 57 4" xfId="26649" xr:uid="{0B87B7F3-63F2-478E-9A43-3F174BD85033}"/>
    <cellStyle name="Normale 58" xfId="738" xr:uid="{00000000-0005-0000-0000-000014060000}"/>
    <cellStyle name="Normale 58 2" xfId="739" xr:uid="{00000000-0005-0000-0000-000015060000}"/>
    <cellStyle name="Normale 58 2 2" xfId="13498" xr:uid="{37F14728-C790-4D2A-ACAC-F0BCC3B9B059}"/>
    <cellStyle name="Normale 58 2 3" xfId="26652" xr:uid="{5C3F5FC6-E2D5-4A78-B8E0-A45A4BBEEE90}"/>
    <cellStyle name="Normale 58 3" xfId="13235" xr:uid="{FAAEE55B-70CD-4FC1-B220-48C5E3A2882F}"/>
    <cellStyle name="Normale 58 4" xfId="26651" xr:uid="{A8085905-1835-46DB-A372-8CA1A5F6B7DE}"/>
    <cellStyle name="Normale 59" xfId="740" xr:uid="{00000000-0005-0000-0000-000016060000}"/>
    <cellStyle name="Normale 59 2" xfId="741" xr:uid="{00000000-0005-0000-0000-000017060000}"/>
    <cellStyle name="Normale 59 2 2" xfId="13499" xr:uid="{7694778A-C900-42FE-B0FF-FC36DA974273}"/>
    <cellStyle name="Normale 59 2 3" xfId="26654" xr:uid="{FDA36CBB-757A-4BAA-BDBE-CA207EB9E1F3}"/>
    <cellStyle name="Normale 59 3" xfId="13236" xr:uid="{9A0FFC13-A8B0-4BD3-955C-B93EC50496D1}"/>
    <cellStyle name="Normale 59 4" xfId="26653" xr:uid="{2618A925-B9D7-4F4C-B2DB-7E1D6F4A3BF5}"/>
    <cellStyle name="Normale 6" xfId="742" xr:uid="{00000000-0005-0000-0000-000018060000}"/>
    <cellStyle name="Normale 6 2" xfId="743" xr:uid="{00000000-0005-0000-0000-000019060000}"/>
    <cellStyle name="Normale 6 2 2" xfId="744" xr:uid="{00000000-0005-0000-0000-00001A060000}"/>
    <cellStyle name="Normale 6 2 2 2" xfId="13501" xr:uid="{23637299-61F3-43A1-A0E3-66814ED5C94C}"/>
    <cellStyle name="Normale 6 2 2 3" xfId="26657" xr:uid="{D75EFE8A-9EEE-4E16-A470-ED4D302387B3}"/>
    <cellStyle name="Normale 6 2 3" xfId="13238" xr:uid="{90D26A6F-4B8E-43D0-B19F-266DF5A24ACC}"/>
    <cellStyle name="Normale 6 2 4" xfId="26656" xr:uid="{DEBCFE88-3D6A-4F30-B542-09983819A368}"/>
    <cellStyle name="Normale 6 3" xfId="745" xr:uid="{00000000-0005-0000-0000-00001B060000}"/>
    <cellStyle name="Normale 6 3 2" xfId="746" xr:uid="{00000000-0005-0000-0000-00001C060000}"/>
    <cellStyle name="Normale 6 3 2 2" xfId="13502" xr:uid="{0A18FCA2-8122-42A1-B040-922F49A22CC5}"/>
    <cellStyle name="Normale 6 3 2 3" xfId="26659" xr:uid="{CB201946-EFDC-461F-BB4E-E8CABA85612A}"/>
    <cellStyle name="Normale 6 3 3" xfId="13239" xr:uid="{53B5C6C1-8392-4CE1-AE92-C7B280B88277}"/>
    <cellStyle name="Normale 6 3 4" xfId="26658" xr:uid="{11F9A046-FB61-49C4-AF29-269CC1B7824E}"/>
    <cellStyle name="Normale 6 4" xfId="747" xr:uid="{00000000-0005-0000-0000-00001D060000}"/>
    <cellStyle name="Normale 6 4 2" xfId="13500" xr:uid="{BC6BE46F-92C9-4D7B-939F-07B8BF5AB7FB}"/>
    <cellStyle name="Normale 6 4 3" xfId="26660" xr:uid="{0E9B995E-C7F1-425A-8C1B-73C73D5C3B52}"/>
    <cellStyle name="Normale 6 5" xfId="13237" xr:uid="{2AEECFC7-B94F-479B-83C7-952ACE8A6023}"/>
    <cellStyle name="Normale 6 6" xfId="26655" xr:uid="{0CC986AF-BC33-421B-8134-59F823881FB5}"/>
    <cellStyle name="Normale 6_EDEN industria 2008 rev" xfId="748" xr:uid="{00000000-0005-0000-0000-00001E060000}"/>
    <cellStyle name="Normale 60" xfId="749" xr:uid="{00000000-0005-0000-0000-00001F060000}"/>
    <cellStyle name="Normale 60 2" xfId="750" xr:uid="{00000000-0005-0000-0000-000020060000}"/>
    <cellStyle name="Normale 60 2 2" xfId="13503" xr:uid="{CD903034-8011-4EED-BAA7-64BEF015DF72}"/>
    <cellStyle name="Normale 60 2 3" xfId="26662" xr:uid="{7A49EFF3-C5E0-421B-A898-29BD09F53726}"/>
    <cellStyle name="Normale 60 3" xfId="13240" xr:uid="{8E49CA04-DCAE-43B4-9A56-25B99A8A8F36}"/>
    <cellStyle name="Normale 60 4" xfId="26661" xr:uid="{93E29BF5-115C-402F-A2AB-9BF1A0F64A24}"/>
    <cellStyle name="Normale 61" xfId="751" xr:uid="{00000000-0005-0000-0000-000021060000}"/>
    <cellStyle name="Normale 61 2" xfId="752" xr:uid="{00000000-0005-0000-0000-000022060000}"/>
    <cellStyle name="Normale 61 2 2" xfId="13504" xr:uid="{3B1D6171-E077-445E-B238-A662014E920B}"/>
    <cellStyle name="Normale 61 2 3" xfId="26664" xr:uid="{050AFDB1-4634-4A69-8FD2-AE7E0BC1A721}"/>
    <cellStyle name="Normale 61 3" xfId="13241" xr:uid="{DF93C380-F5A8-4109-A824-EA874CA0B635}"/>
    <cellStyle name="Normale 61 4" xfId="26663" xr:uid="{B6843D0D-9EC3-480B-BE15-E61885BEEAC3}"/>
    <cellStyle name="Normale 62" xfId="753" xr:uid="{00000000-0005-0000-0000-000023060000}"/>
    <cellStyle name="Normale 62 2" xfId="754" xr:uid="{00000000-0005-0000-0000-000024060000}"/>
    <cellStyle name="Normale 62 2 2" xfId="13505" xr:uid="{8EC4782A-76ED-40D9-B574-EB1745EB52FF}"/>
    <cellStyle name="Normale 62 2 3" xfId="26666" xr:uid="{5616E69A-A4D2-467A-B99B-6BA2D6DF07CA}"/>
    <cellStyle name="Normale 62 3" xfId="13242" xr:uid="{808B16E4-57C0-4231-8CBB-EA7825D69179}"/>
    <cellStyle name="Normale 62 4" xfId="26665" xr:uid="{4688096E-0065-4122-B780-042A08748171}"/>
    <cellStyle name="Normale 63" xfId="755" xr:uid="{00000000-0005-0000-0000-000025060000}"/>
    <cellStyle name="Normale 63 2" xfId="756" xr:uid="{00000000-0005-0000-0000-000026060000}"/>
    <cellStyle name="Normale 63 2 2" xfId="13506" xr:uid="{82F22B25-53BA-4334-9034-3F113A73B044}"/>
    <cellStyle name="Normale 63 2 3" xfId="26668" xr:uid="{1D7B3264-2147-4BC7-BFC5-7939A5B1258B}"/>
    <cellStyle name="Normale 63 3" xfId="13243" xr:uid="{35AD0FB8-8CD3-427E-B3EC-3009FB8E4EE4}"/>
    <cellStyle name="Normale 63 4" xfId="26667" xr:uid="{C8F0C85C-ADBC-489E-A3AF-44BE81F3AB59}"/>
    <cellStyle name="Normale 64" xfId="757" xr:uid="{00000000-0005-0000-0000-000027060000}"/>
    <cellStyle name="Normale 64 2" xfId="758" xr:uid="{00000000-0005-0000-0000-000028060000}"/>
    <cellStyle name="Normale 64 2 2" xfId="13507" xr:uid="{A7E7D7BA-2A2D-41B4-B686-25962F3BB9ED}"/>
    <cellStyle name="Normale 64 2 3" xfId="26670" xr:uid="{FF396A60-8D44-4FA0-8760-614F534B9D65}"/>
    <cellStyle name="Normale 64 3" xfId="13244" xr:uid="{EEDC1192-D15F-46C4-8B5A-605402FE735E}"/>
    <cellStyle name="Normale 64 4" xfId="26669" xr:uid="{767612A6-840B-47FF-A091-000A184F0D2E}"/>
    <cellStyle name="Normale 65" xfId="759" xr:uid="{00000000-0005-0000-0000-000029060000}"/>
    <cellStyle name="Normale 65 2" xfId="760" xr:uid="{00000000-0005-0000-0000-00002A060000}"/>
    <cellStyle name="Normale 65 2 2" xfId="13508" xr:uid="{3E049862-8BA0-44E8-9F42-9CE3228BC978}"/>
    <cellStyle name="Normale 65 2 3" xfId="26672" xr:uid="{4699D664-7761-4BC4-8D95-4563F11FB602}"/>
    <cellStyle name="Normale 65 3" xfId="13245" xr:uid="{30F72BAC-E6C4-443A-A67A-7B19395CCF98}"/>
    <cellStyle name="Normale 65 4" xfId="26671" xr:uid="{90A3B9AC-3637-4DCC-B0BB-C40CCC07887F}"/>
    <cellStyle name="Normale 7" xfId="761" xr:uid="{00000000-0005-0000-0000-00002B060000}"/>
    <cellStyle name="Normale 7 2" xfId="762" xr:uid="{00000000-0005-0000-0000-00002C060000}"/>
    <cellStyle name="Normale 7 2 2" xfId="763" xr:uid="{00000000-0005-0000-0000-00002D060000}"/>
    <cellStyle name="Normale 7 2 2 2" xfId="13510" xr:uid="{4AA6D427-35D4-4C4A-99E7-A56C00887211}"/>
    <cellStyle name="Normale 7 2 2 3" xfId="26675" xr:uid="{FA38BE2A-7973-4C8A-83C4-5AAF02F15842}"/>
    <cellStyle name="Normale 7 2 3" xfId="13247" xr:uid="{63D06842-063F-4A70-9131-C48E31119C5D}"/>
    <cellStyle name="Normale 7 2 4" xfId="26674" xr:uid="{72AC0559-C485-4D9E-B3B9-B5DC2BC7A14B}"/>
    <cellStyle name="Normale 7 3" xfId="764" xr:uid="{00000000-0005-0000-0000-00002E060000}"/>
    <cellStyle name="Normale 7 3 2" xfId="765" xr:uid="{00000000-0005-0000-0000-00002F060000}"/>
    <cellStyle name="Normale 7 3 2 2" xfId="13511" xr:uid="{462257A5-CE34-4319-B1F2-320AE8D4A8DD}"/>
    <cellStyle name="Normale 7 3 2 3" xfId="26677" xr:uid="{07047716-0616-418B-B6EF-51DD46555977}"/>
    <cellStyle name="Normale 7 3 3" xfId="13248" xr:uid="{809CB64F-D444-4D65-A0A0-B1B70160917D}"/>
    <cellStyle name="Normale 7 3 4" xfId="26676" xr:uid="{D76DC9BA-893F-4DAA-955D-780C63AA541A}"/>
    <cellStyle name="Normale 7 4" xfId="766" xr:uid="{00000000-0005-0000-0000-000030060000}"/>
    <cellStyle name="Normale 7 4 2" xfId="13509" xr:uid="{EC5D3C1D-1745-4D1F-8061-5A19772FE9F6}"/>
    <cellStyle name="Normale 7 4 3" xfId="26678" xr:uid="{F60E4C47-C215-4769-8649-79D0CD0D134B}"/>
    <cellStyle name="Normale 7 5" xfId="13246" xr:uid="{5C554234-610C-4FDB-B5EC-1D7B1E926A23}"/>
    <cellStyle name="Normale 7 6" xfId="26673" xr:uid="{E9351115-4E59-4198-A5B7-0C749D4DD1DC}"/>
    <cellStyle name="Normale 7_EDEN industria 2008 rev" xfId="767" xr:uid="{00000000-0005-0000-0000-000031060000}"/>
    <cellStyle name="Normale 8" xfId="768" xr:uid="{00000000-0005-0000-0000-000032060000}"/>
    <cellStyle name="Normale 8 2" xfId="769" xr:uid="{00000000-0005-0000-0000-000033060000}"/>
    <cellStyle name="Normale 8 2 2" xfId="770" xr:uid="{00000000-0005-0000-0000-000034060000}"/>
    <cellStyle name="Normale 8 2 2 2" xfId="13513" xr:uid="{ECDA71A5-010C-48E0-936B-416A85258921}"/>
    <cellStyle name="Normale 8 2 2 3" xfId="26681" xr:uid="{CD16C241-39C5-4995-A566-A7EA67E5E28F}"/>
    <cellStyle name="Normale 8 2 3" xfId="13250" xr:uid="{F6953B84-F527-43FA-BD2B-7E55BDA66F70}"/>
    <cellStyle name="Normale 8 2 4" xfId="26680" xr:uid="{23B5C6D1-6107-4244-BDAF-4AC8AA002A92}"/>
    <cellStyle name="Normale 8 3" xfId="771" xr:uid="{00000000-0005-0000-0000-000035060000}"/>
    <cellStyle name="Normale 8 3 2" xfId="772" xr:uid="{00000000-0005-0000-0000-000036060000}"/>
    <cellStyle name="Normale 8 3 2 2" xfId="13514" xr:uid="{D1FD96E8-CB85-4973-A87D-818B9056CEE4}"/>
    <cellStyle name="Normale 8 3 2 3" xfId="26683" xr:uid="{D74F93A8-5195-4066-A432-00D896C6E0D8}"/>
    <cellStyle name="Normale 8 3 3" xfId="13251" xr:uid="{906E6ADA-8BBA-46CC-9084-4B3D540A4717}"/>
    <cellStyle name="Normale 8 3 4" xfId="26682" xr:uid="{632094EB-D509-435A-9270-6DECB005E4D2}"/>
    <cellStyle name="Normale 8 4" xfId="773" xr:uid="{00000000-0005-0000-0000-000037060000}"/>
    <cellStyle name="Normale 8 4 2" xfId="13512" xr:uid="{FBBE6D52-311E-43D7-8C0A-B2201B60B1B0}"/>
    <cellStyle name="Normale 8 4 3" xfId="26684" xr:uid="{52CBCD97-1ED4-4D7A-AB9C-B363B15E0EB9}"/>
    <cellStyle name="Normale 8 5" xfId="13249" xr:uid="{D945D9A3-1F2C-4638-B96D-BA6EC9CD2269}"/>
    <cellStyle name="Normale 8 6" xfId="26679" xr:uid="{7CE9BC07-1F23-4990-A43D-F59B16E1F266}"/>
    <cellStyle name="Normale 8_EDEN industria 2008 rev" xfId="774" xr:uid="{00000000-0005-0000-0000-000038060000}"/>
    <cellStyle name="Normale 9" xfId="775" xr:uid="{00000000-0005-0000-0000-000039060000}"/>
    <cellStyle name="Normale 9 2" xfId="776" xr:uid="{00000000-0005-0000-0000-00003A060000}"/>
    <cellStyle name="Normale 9 2 2" xfId="777" xr:uid="{00000000-0005-0000-0000-00003B060000}"/>
    <cellStyle name="Normale 9 2 2 2" xfId="13516" xr:uid="{18236570-8E28-425E-95C9-6F37E58357DE}"/>
    <cellStyle name="Normale 9 2 2 3" xfId="26687" xr:uid="{DCE445A9-42BE-4949-80B8-197E158BF5A8}"/>
    <cellStyle name="Normale 9 2 3" xfId="13253" xr:uid="{3F2AEBA2-D101-469D-A155-E419D2A493E2}"/>
    <cellStyle name="Normale 9 2 4" xfId="26686" xr:uid="{2E4BA16B-CD62-4A65-B2A9-9F2E0AEC2856}"/>
    <cellStyle name="Normale 9 3" xfId="778" xr:uid="{00000000-0005-0000-0000-00003C060000}"/>
    <cellStyle name="Normale 9 3 2" xfId="779" xr:uid="{00000000-0005-0000-0000-00003D060000}"/>
    <cellStyle name="Normale 9 3 2 2" xfId="13517" xr:uid="{A4758B9C-1133-4C9F-833E-1C9716CF4B1A}"/>
    <cellStyle name="Normale 9 3 2 3" xfId="26689" xr:uid="{0762319C-789C-444D-A19A-72213EC99B2E}"/>
    <cellStyle name="Normale 9 3 3" xfId="13254" xr:uid="{B6AD9C70-BCDA-4883-A9D6-865F6B23CDAF}"/>
    <cellStyle name="Normale 9 3 4" xfId="26688" xr:uid="{3CCB2BB5-B789-4F76-A5FB-1CE85261139F}"/>
    <cellStyle name="Normale 9 4" xfId="780" xr:uid="{00000000-0005-0000-0000-00003E060000}"/>
    <cellStyle name="Normale 9 4 2" xfId="13515" xr:uid="{96AF77B0-AA0D-47D1-999F-42091EDFC4BD}"/>
    <cellStyle name="Normale 9 4 3" xfId="26690" xr:uid="{3A7AB1E5-72ED-4320-811D-27241223C1B5}"/>
    <cellStyle name="Normale 9 5" xfId="13252" xr:uid="{3EC5706B-2B75-4D6E-9527-97E9D93F88E9}"/>
    <cellStyle name="Normale 9 6" xfId="26685" xr:uid="{51519371-6BBF-4B6E-8569-40ACFD562EFC}"/>
    <cellStyle name="Normale 9_EDEN industria 2008 rev" xfId="781" xr:uid="{00000000-0005-0000-0000-00003F060000}"/>
    <cellStyle name="Normale_B2020" xfId="782" xr:uid="{00000000-0005-0000-0000-000040060000}"/>
    <cellStyle name="Nota" xfId="783" xr:uid="{00000000-0005-0000-0000-000041060000}"/>
    <cellStyle name="Nota 10" xfId="9232" xr:uid="{17604FBB-0533-42AF-8385-274CE8EF9671}"/>
    <cellStyle name="Nota 10 2" xfId="26692" xr:uid="{D1E1B6F1-03D3-4620-9BB4-2AFB92CAF242}"/>
    <cellStyle name="Nota 11" xfId="26691" xr:uid="{952B7A6A-215C-492A-9215-FFFE9DDCFA0B}"/>
    <cellStyle name="Nota 2" xfId="784" xr:uid="{00000000-0005-0000-0000-000042060000}"/>
    <cellStyle name="Nota 2 2" xfId="2070" xr:uid="{00000000-0005-0000-0000-000043060000}"/>
    <cellStyle name="Nota 2 2 2" xfId="13518" xr:uid="{1F71E99E-FDB1-4671-AD7B-0C935F9CD678}"/>
    <cellStyle name="Nota 2 2 2 2" xfId="19037" xr:uid="{71FC2C49-5FA9-4B8B-B04E-6BC8F82B8A83}"/>
    <cellStyle name="Nota 2 2 3" xfId="17710" xr:uid="{A1DC160B-A197-41C0-858C-CC92A5A47BF1}"/>
    <cellStyle name="Nota 2 2 4" xfId="26694" xr:uid="{DA5E8CCE-2E23-4570-8466-C473B01E4337}"/>
    <cellStyle name="Nota 2 3" xfId="9233" xr:uid="{7575769A-D1A9-42DC-AA59-45745CB90D93}"/>
    <cellStyle name="Nota 2 3 2" xfId="18625" xr:uid="{E5801005-2221-4E10-9606-18DF0FEFB912}"/>
    <cellStyle name="Nota 2 3 3" xfId="26695" xr:uid="{719E3BC8-FA75-45A4-9218-98EEED09DE91}"/>
    <cellStyle name="Nota 2 4" xfId="9234" xr:uid="{CA99AD1C-5A50-4D5E-8F68-B652326DA694}"/>
    <cellStyle name="Nota 2 4 2" xfId="26696" xr:uid="{8191615F-E1C9-40C1-B708-3B503A0E0091}"/>
    <cellStyle name="Nota 2 5" xfId="9235" xr:uid="{5A9D2A33-B521-45FB-824F-3369B83D1BFB}"/>
    <cellStyle name="Nota 2 5 2" xfId="26697" xr:uid="{AD2CF813-8DE3-42BF-AEE1-325C431F3004}"/>
    <cellStyle name="Nota 2 6" xfId="9236" xr:uid="{1D167E10-5408-4F68-8D3C-66D64B15804A}"/>
    <cellStyle name="Nota 2 6 2" xfId="26698" xr:uid="{F9CEB985-BEA3-4EF8-86F9-0351CBC83BF0}"/>
    <cellStyle name="Nota 2 7" xfId="26693" xr:uid="{A795E788-9130-45D0-863E-D625FE7A3EF5}"/>
    <cellStyle name="Nota 3" xfId="785" xr:uid="{00000000-0005-0000-0000-000044060000}"/>
    <cellStyle name="Nota 3 2" xfId="786" xr:uid="{00000000-0005-0000-0000-000045060000}"/>
    <cellStyle name="Nota 3 2 2" xfId="2071" xr:uid="{00000000-0005-0000-0000-000046060000}"/>
    <cellStyle name="Nota 3 2 2 2" xfId="2072" xr:uid="{00000000-0005-0000-0000-000047060000}"/>
    <cellStyle name="Nota 3 2 2 2 2" xfId="17844" xr:uid="{7A81B047-270C-4E49-AC07-3CFDBEE31E91}"/>
    <cellStyle name="Nota 3 2 2 2 3" xfId="26702" xr:uid="{76779240-1689-41A6-9A9E-CD9AA7F42E28}"/>
    <cellStyle name="Nota 3 2 2 3" xfId="17712" xr:uid="{F978474E-0BAF-45EE-92D8-71A57A631A5D}"/>
    <cellStyle name="Nota 3 2 2 4" xfId="26701" xr:uid="{C440A37F-1CDD-4309-9890-37C4782494D2}"/>
    <cellStyle name="Nota 3 2 3" xfId="2073" xr:uid="{00000000-0005-0000-0000-000048060000}"/>
    <cellStyle name="Nota 3 2 3 2" xfId="14072" xr:uid="{19E015DD-216D-42D3-89F4-5A7CD0DCEBC0}"/>
    <cellStyle name="Nota 3 2 3 2 2" xfId="26704" xr:uid="{DFD72275-BDD2-450E-80DB-9156A129820F}"/>
    <cellStyle name="Nota 3 2 3 3" xfId="17845" xr:uid="{D70A0E09-CE77-49E9-B475-509B31D730C0}"/>
    <cellStyle name="Nota 3 2 3 4" xfId="26703" xr:uid="{951468D8-B1DE-433D-AACE-1EA984F0D8AE}"/>
    <cellStyle name="Nota 3 2 3 5" xfId="48977" xr:uid="{CAC5C9AB-E216-4797-8FB3-4DD712CDD3B5}"/>
    <cellStyle name="Nota 3 2 4" xfId="9237" xr:uid="{16B53B15-4EB9-49EC-9851-AC74B812650E}"/>
    <cellStyle name="Nota 3 2 4 2" xfId="18149" xr:uid="{06E3589D-D937-4A01-A261-9087664652F8}"/>
    <cellStyle name="Nota 3 2 4 3" xfId="21242" xr:uid="{19E7B223-C810-41CF-B90A-B6CEB987D8AA}"/>
    <cellStyle name="Nota 3 2 4 4" xfId="26705" xr:uid="{F089EE80-1436-4CF2-BF44-B276B9495CE4}"/>
    <cellStyle name="Nota 3 2 4 5" xfId="17468" xr:uid="{80385EB8-B28C-4445-AC91-C2563B8FCF06}"/>
    <cellStyle name="Nota 3 2 5" xfId="9238" xr:uid="{FF665BE5-482D-4B13-AD74-C7BCA3A7AB59}"/>
    <cellStyle name="Nota 3 2 5 2" xfId="18567" xr:uid="{F7D0A4ED-3814-46C8-AE53-D0CDDC34E891}"/>
    <cellStyle name="Nota 3 2 5 3" xfId="26706" xr:uid="{E2846075-349D-4D93-9D6A-865C2743C5A9}"/>
    <cellStyle name="Nota 3 2 5 4" xfId="17462" xr:uid="{5DB7A828-99F6-48AA-A74A-3228593EF56D}"/>
    <cellStyle name="Nota 3 2 6" xfId="9239" xr:uid="{83FCB1D8-A46B-4FFE-B770-3154B56545A1}"/>
    <cellStyle name="Nota 3 2 6 2" xfId="26707" xr:uid="{8B7AF7C2-986F-436B-8DE7-18755A157E19}"/>
    <cellStyle name="Nota 3 2 7" xfId="26700" xr:uid="{EE1488C7-48DF-4B66-A57B-3EFA5294306F}"/>
    <cellStyle name="Nota 3 3" xfId="2074" xr:uid="{00000000-0005-0000-0000-000049060000}"/>
    <cellStyle name="Nota 3 3 2" xfId="9240" xr:uid="{A6528DA4-4FD2-442B-95E3-7557C16125E6}"/>
    <cellStyle name="Nota 3 3 2 2" xfId="18296" xr:uid="{CF1D5370-3246-4BCA-9C14-C78198320995}"/>
    <cellStyle name="Nota 3 3 2 3" xfId="26709" xr:uid="{00F19E2E-CEB8-400F-BC15-97EC7325942C}"/>
    <cellStyle name="Nota 3 3 3" xfId="17711" xr:uid="{2DA72051-3388-4061-9363-1FFF4CA82FFC}"/>
    <cellStyle name="Nota 3 3 4" xfId="26708" xr:uid="{5AA55BB6-F6A4-4A99-9833-2C0CA00DBE33}"/>
    <cellStyle name="Nota 3 4" xfId="4093" xr:uid="{5AAEDC52-1C55-42E7-B8E6-D0223E699AC7}"/>
    <cellStyle name="Nota 3 4 2" xfId="13732" xr:uid="{7B32ADA0-FD7F-41C9-9E52-C8641C5B21EE}"/>
    <cellStyle name="Nota 3 4 2 2" xfId="19038" xr:uid="{E5C77765-DC44-4EB7-9E7A-D0835B6465A4}"/>
    <cellStyle name="Nota 3 4 3" xfId="17713" xr:uid="{5F7DD80F-1591-4FDA-AF53-B42728335F8D}"/>
    <cellStyle name="Nota 3 4 4" xfId="26710" xr:uid="{CE92B5E9-C99D-4C59-87F8-1FEEBC2E707C}"/>
    <cellStyle name="Nota 3 5" xfId="9241" xr:uid="{43053810-B8CA-4486-A66F-D81DF4B5AAD2}"/>
    <cellStyle name="Nota 3 5 2" xfId="18141" xr:uid="{9FE4B626-DA12-4D30-ACE2-DEEA8EC88B84}"/>
    <cellStyle name="Nota 3 5 3" xfId="26711" xr:uid="{1492A781-0580-4AA0-BCF0-AD7A797A0312}"/>
    <cellStyle name="Nota 3 6" xfId="9242" xr:uid="{CFFB3110-1C3A-456D-BE5B-CEAC37110583}"/>
    <cellStyle name="Nota 3 6 2" xfId="26712" xr:uid="{7E7A8CD8-12DE-4EC6-B0A9-A7C7AFB69FCA}"/>
    <cellStyle name="Nota 3 7" xfId="9243" xr:uid="{0EC9B1EA-B60A-4602-931C-FD8612FA430E}"/>
    <cellStyle name="Nota 3 7 2" xfId="26713" xr:uid="{85A69E0D-590F-4A4D-A5CB-574198C9D25E}"/>
    <cellStyle name="Nota 3 8" xfId="26699" xr:uid="{D938E483-79DA-4998-BE83-3281C8E32F26}"/>
    <cellStyle name="Nota 4" xfId="787" xr:uid="{00000000-0005-0000-0000-00004A060000}"/>
    <cellStyle name="Nota 4 2" xfId="2075" xr:uid="{00000000-0005-0000-0000-00004B060000}"/>
    <cellStyle name="Nota 4 2 2" xfId="2076" xr:uid="{00000000-0005-0000-0000-00004C060000}"/>
    <cellStyle name="Nota 4 2 2 2" xfId="26716" xr:uid="{370B8D88-92F6-46E8-A7FE-16B9EBFD3B27}"/>
    <cellStyle name="Nota 4 2 3" xfId="17846" xr:uid="{C326065A-21AC-4244-9747-5D5AF4D25C1E}"/>
    <cellStyle name="Nota 4 2 4" xfId="21239" xr:uid="{B7F2738B-C2BB-4ED1-A1B7-83E02FAC80F4}"/>
    <cellStyle name="Nota 4 2 5" xfId="26715" xr:uid="{87436515-FCBE-442D-8897-85DADEFD6720}"/>
    <cellStyle name="Nota 4 2 6" xfId="17009" xr:uid="{2AFE020A-3A33-4CF1-8497-C80ED43B0727}"/>
    <cellStyle name="Nota 4 3" xfId="2077" xr:uid="{00000000-0005-0000-0000-00004D060000}"/>
    <cellStyle name="Nota 4 3 2" xfId="17847" xr:uid="{3D8AC9A8-EC7B-4DD9-98C9-59B3DCD6ADD6}"/>
    <cellStyle name="Nota 4 3 3" xfId="26717" xr:uid="{8AD539DA-2427-4CE0-A72C-64EFF765F2FB}"/>
    <cellStyle name="Nota 4 4" xfId="9244" xr:uid="{1CD62225-FF8A-4008-A05C-CD2288FA3637}"/>
    <cellStyle name="Nota 4 4 2" xfId="26718" xr:uid="{A3DE78C5-7C5C-4814-B64E-B3AF17361434}"/>
    <cellStyle name="Nota 4 5" xfId="9245" xr:uid="{A870E056-F11E-48AD-B093-C05F76C700AE}"/>
    <cellStyle name="Nota 4 5 2" xfId="26719" xr:uid="{D835BED8-E6B2-4901-A346-157A0C31ACD7}"/>
    <cellStyle name="Nota 4 6" xfId="9246" xr:uid="{FE8106DE-A971-4567-A6B4-88CB2C10EB0F}"/>
    <cellStyle name="Nota 4 6 2" xfId="26720" xr:uid="{1FCB8216-8DA4-4540-8AF9-066E5BFFEC04}"/>
    <cellStyle name="Nota 4 7" xfId="26714" xr:uid="{9457E34D-3801-4864-8A87-CE8EA9C18F95}"/>
    <cellStyle name="Nota 5" xfId="2078" xr:uid="{00000000-0005-0000-0000-00004E060000}"/>
    <cellStyle name="Nota 5 2" xfId="2079" xr:uid="{00000000-0005-0000-0000-00004F060000}"/>
    <cellStyle name="Nota 5 2 2" xfId="17848" xr:uid="{004DEDFB-9831-47A9-A361-AC71165420F9}"/>
    <cellStyle name="Nota 5 2 3" xfId="26722" xr:uid="{451BA248-87EC-43BA-A117-01F750A75346}"/>
    <cellStyle name="Nota 5 3" xfId="9247" xr:uid="{DC476628-7F8B-41BE-B6F3-62E751348284}"/>
    <cellStyle name="Nota 5 3 2" xfId="26723" xr:uid="{E118D133-3AC6-41C7-B66B-6D6330ECB059}"/>
    <cellStyle name="Nota 5 4" xfId="9248" xr:uid="{7EBB9226-B7F2-4FC1-ABA7-E31A413970E1}"/>
    <cellStyle name="Nota 5 4 2" xfId="26724" xr:uid="{CE72DB18-1512-4C63-993C-D1131F0C5B16}"/>
    <cellStyle name="Nota 5 5" xfId="9249" xr:uid="{F6481A90-0286-4633-AEDD-FDF877302B17}"/>
    <cellStyle name="Nota 5 5 2" xfId="26725" xr:uid="{62569D9F-B5DF-44D1-827C-AE36335551C1}"/>
    <cellStyle name="Nota 5 6" xfId="9250" xr:uid="{B461005B-8CDF-4F21-B710-442790950A5A}"/>
    <cellStyle name="Nota 5 6 2" xfId="26726" xr:uid="{E66E7BAB-E553-4FAF-81F0-DC2566D364B8}"/>
    <cellStyle name="Nota 5 7" xfId="26721" xr:uid="{5283CCBD-83DB-4584-993B-5D02FEFCD2A8}"/>
    <cellStyle name="Nota 6" xfId="2080" xr:uid="{00000000-0005-0000-0000-000050060000}"/>
    <cellStyle name="Nota 6 2" xfId="9767" xr:uid="{F8021FA0-C8C3-43A5-B9EA-96B20A84D8B3}"/>
    <cellStyle name="Nota 6 2 2" xfId="18735" xr:uid="{0B9CE564-B019-43DA-905A-C57DE42DB3E4}"/>
    <cellStyle name="Nota 6 3" xfId="17709" xr:uid="{5217F364-F39D-47DE-93B2-451DE1882013}"/>
    <cellStyle name="Nota 6 4" xfId="26727" xr:uid="{6412B124-13FA-4FE2-BAF3-D278C8A6EF74}"/>
    <cellStyle name="Nota 7" xfId="4094" xr:uid="{B8D2523C-DF13-48FA-A53C-8A3604A97DB6}"/>
    <cellStyle name="Nota 7 2" xfId="17515" xr:uid="{E57C4B43-D62F-4324-8C88-C3E4FA9A3AF9}"/>
    <cellStyle name="Nota 7 3" xfId="26728" xr:uid="{768ADD7F-0CBD-46BE-ACDC-661DC2AB3085}"/>
    <cellStyle name="Nota 8" xfId="9251" xr:uid="{75DD9BC4-F3CB-4615-B6DD-3E5904F5275C}"/>
    <cellStyle name="Nota 8 2" xfId="26729" xr:uid="{6CDFC767-6317-446B-950C-9D35DE08AFA3}"/>
    <cellStyle name="Nota 9" xfId="9252" xr:uid="{5DFFDE3E-CB86-4B13-B77C-70189DF1B1BE}"/>
    <cellStyle name="Nota 9 2" xfId="26730" xr:uid="{576FBDFF-8B80-4E88-80B5-10FEF1FFED61}"/>
    <cellStyle name="Note 2" xfId="2081" xr:uid="{00000000-0005-0000-0000-000051060000}"/>
    <cellStyle name="Note 2 2" xfId="2082" xr:uid="{00000000-0005-0000-0000-000052060000}"/>
    <cellStyle name="Note 2 2 2" xfId="2083" xr:uid="{00000000-0005-0000-0000-000053060000}"/>
    <cellStyle name="Note 2 2 2 2" xfId="26733" xr:uid="{B5D38532-EA04-4E3D-900E-9BD0797EEC61}"/>
    <cellStyle name="Note 2 2 2 3" xfId="17851" xr:uid="{728127E1-D783-48D9-8028-370D222C09DF}"/>
    <cellStyle name="Note 2 2 3" xfId="26734" xr:uid="{64349127-6E69-4227-8E11-A6B1CE87DE1F}"/>
    <cellStyle name="Note 2 2 4" xfId="26732" xr:uid="{F2C60866-2989-4D4A-AF3B-1375B12D0C08}"/>
    <cellStyle name="Note 2 2 5" xfId="48979" xr:uid="{F413384D-A0DA-4271-B1CB-1B20C27FEAF3}"/>
    <cellStyle name="Note 2 2 6" xfId="17850" xr:uid="{483E6FA9-DEE5-4883-86B1-4C39AA8B01A0}"/>
    <cellStyle name="Note 2 3" xfId="2084" xr:uid="{00000000-0005-0000-0000-000054060000}"/>
    <cellStyle name="Note 2 3 2" xfId="26735" xr:uid="{51457BD8-B0D6-442A-8E85-C3098DCEEEEE}"/>
    <cellStyle name="Note 2 3 3" xfId="17852" xr:uid="{5DFD9276-F9AD-48F2-BE8E-2283B3278473}"/>
    <cellStyle name="Note 2 4" xfId="26736" xr:uid="{67F3A8EB-F3B6-4AD1-8402-68EDF2C09C60}"/>
    <cellStyle name="Note 2 5" xfId="26731" xr:uid="{11EE935D-4488-4368-AF98-AAF49639AFA2}"/>
    <cellStyle name="Note 2 6" xfId="48978" xr:uid="{61456FD9-A1E5-44EF-B7A4-749E4CE1FC2C}"/>
    <cellStyle name="Note 2 7" xfId="17849" xr:uid="{8C67D7D7-6E5C-4D91-9413-AB9B7AE265F0}"/>
    <cellStyle name="Note 3" xfId="26737" xr:uid="{BE9DDFBE-0C62-4FD4-9B8A-639AD67A94BC}"/>
    <cellStyle name="Note 3 2" xfId="48980" xr:uid="{50D51BF1-1A86-47D4-A41C-1E51E0A22DC9}"/>
    <cellStyle name="Note 4" xfId="26738" xr:uid="{95299712-E502-49D8-B228-6518B8855A4C}"/>
    <cellStyle name="Note 4 2" xfId="48981" xr:uid="{3009F920-F1A1-412B-9073-3E1CCE6D60B4}"/>
    <cellStyle name="Nuovo" xfId="788" xr:uid="{00000000-0005-0000-0000-000055060000}"/>
    <cellStyle name="Nuovo 10" xfId="789" xr:uid="{00000000-0005-0000-0000-000056060000}"/>
    <cellStyle name="Nuovo 10 2" xfId="790" xr:uid="{00000000-0005-0000-0000-000057060000}"/>
    <cellStyle name="Nuovo 10 2 2" xfId="4095" xr:uid="{723A12F6-28DB-44D7-B59B-154C35212950}"/>
    <cellStyle name="Nuovo 10 2 2 2" xfId="13519" xr:uid="{3DDF913E-21EA-494D-ACB5-27AE16723BC0}"/>
    <cellStyle name="Nuovo 10 2 2 3" xfId="26742" xr:uid="{670C7151-4A39-4863-86DF-D5FCA124DCE3}"/>
    <cellStyle name="Nuovo 10 2 3" xfId="13255" xr:uid="{FC9B2A64-AC16-4873-9537-4C80F78CA456}"/>
    <cellStyle name="Nuovo 10 2 4" xfId="26741" xr:uid="{4458848A-5F79-4A25-90AC-864AB900AC1B}"/>
    <cellStyle name="Nuovo 10 3" xfId="791" xr:uid="{00000000-0005-0000-0000-000058060000}"/>
    <cellStyle name="Nuovo 10 3 2" xfId="792" xr:uid="{00000000-0005-0000-0000-000059060000}"/>
    <cellStyle name="Nuovo 10 3 2 2" xfId="2085" xr:uid="{00000000-0005-0000-0000-00005A060000}"/>
    <cellStyle name="Nuovo 10 3 2 2 2" xfId="26745" xr:uid="{061443BB-794F-4D35-93A2-442FF3CBD9C7}"/>
    <cellStyle name="Nuovo 10 3 2 3" xfId="8072" xr:uid="{F570F39B-A7C8-4C67-B54F-3A91C0DB0185}"/>
    <cellStyle name="Nuovo 10 3 2 3 2" xfId="14073" xr:uid="{C486105F-A458-44F7-94B6-D8E201917BE7}"/>
    <cellStyle name="Nuovo 10 3 2 4" xfId="26744" xr:uid="{461A24A3-76C8-4114-B5C6-D310C907E7DE}"/>
    <cellStyle name="Nuovo 10 3 3" xfId="4096" xr:uid="{F075B04C-37FC-401E-BD8C-3E355D86CC7C}"/>
    <cellStyle name="Nuovo 10 3 3 2" xfId="9253" xr:uid="{CFA04913-5CC5-46CB-9533-5586659724D8}"/>
    <cellStyle name="Nuovo 10 3 3 2 2" xfId="26747" xr:uid="{6E0240D3-EEC3-4DE2-B28A-193DF9C0184A}"/>
    <cellStyle name="Nuovo 10 3 3 3" xfId="26746" xr:uid="{8C368F65-4293-4EFC-B737-A8CE112CC546}"/>
    <cellStyle name="Nuovo 10 3 4" xfId="4097" xr:uid="{E024607C-4B24-4063-8375-7852027ADA13}"/>
    <cellStyle name="Nuovo 10 3 4 2" xfId="13733" xr:uid="{06432194-A02B-49F3-B065-FBF7B5DCC179}"/>
    <cellStyle name="Nuovo 10 3 4 3" xfId="26748" xr:uid="{9F2F0693-5771-4DD9-8E77-FD237EBB32C0}"/>
    <cellStyle name="Nuovo 10 3 5" xfId="12288" xr:uid="{24A3CC10-267B-4CD8-9CD8-C05C72D58AEB}"/>
    <cellStyle name="Nuovo 10 3 6" xfId="26743" xr:uid="{F71DCA7D-5CDF-4683-9BF0-053D18337D86}"/>
    <cellStyle name="Nuovo 10 4" xfId="2086" xr:uid="{00000000-0005-0000-0000-00005B060000}"/>
    <cellStyle name="Nuovo 10 4 2" xfId="2087" xr:uid="{00000000-0005-0000-0000-00005C060000}"/>
    <cellStyle name="Nuovo 10 4 2 2" xfId="9254" xr:uid="{36E878D6-CAAE-4DC9-BBB8-676D0F4EA900}"/>
    <cellStyle name="Nuovo 10 4 2 2 2" xfId="26751" xr:uid="{AC0C1D0A-9119-4F5D-A0C7-41C201E25E32}"/>
    <cellStyle name="Nuovo 10 4 2 3" xfId="17853" xr:uid="{D9AE4C95-B27D-45F2-A10F-C7ACF3164BAD}"/>
    <cellStyle name="Nuovo 10 4 2 4" xfId="26750" xr:uid="{3BE9728F-D3DC-4771-9486-510F73150F1B}"/>
    <cellStyle name="Nuovo 10 4 2 5" xfId="17008" xr:uid="{865E42A3-DC86-471C-9297-728CAC097BAC}"/>
    <cellStyle name="Nuovo 10 4 3" xfId="9255" xr:uid="{E82EEBFA-06E0-4310-9617-6CD6F4222BC2}"/>
    <cellStyle name="Nuovo 10 4 3 2" xfId="26752" xr:uid="{7AFF745F-B412-45FD-8400-060DA0324C21}"/>
    <cellStyle name="Nuovo 10 4 4" xfId="26749" xr:uid="{DBBE18D3-2ABD-484A-B127-E5E5A7B212EE}"/>
    <cellStyle name="Nuovo 10 5" xfId="2088" xr:uid="{00000000-0005-0000-0000-00005D060000}"/>
    <cellStyle name="Nuovo 10 5 2" xfId="26753" xr:uid="{B3B2E7E6-B4CB-44D0-86C6-BCC15F5845A6}"/>
    <cellStyle name="Nuovo 10 6" xfId="4098" xr:uid="{3455894D-00B6-4B93-9B16-2A725F420E69}"/>
    <cellStyle name="Nuovo 10 6 2" xfId="9769" xr:uid="{7CE52E3E-7D3B-4751-8967-4F8B654D924F}"/>
    <cellStyle name="Nuovo 10 7" xfId="26740" xr:uid="{75A05192-91BB-4EBB-AAD4-D3907035078C}"/>
    <cellStyle name="Nuovo 11" xfId="793" xr:uid="{00000000-0005-0000-0000-00005E060000}"/>
    <cellStyle name="Nuovo 11 2" xfId="794" xr:uid="{00000000-0005-0000-0000-00005F060000}"/>
    <cellStyle name="Nuovo 11 2 2" xfId="4099" xr:uid="{0A1E126E-5882-483B-9E07-21B2D77FA1AB}"/>
    <cellStyle name="Nuovo 11 2 2 2" xfId="13520" xr:uid="{3CC22825-B816-4D1A-B5B2-A1AA16D97635}"/>
    <cellStyle name="Nuovo 11 2 2 3" xfId="26756" xr:uid="{7DD647E0-7980-4D7A-812C-7D4747703F09}"/>
    <cellStyle name="Nuovo 11 2 3" xfId="13256" xr:uid="{D780665E-4735-409C-B91F-E3D16DD92DF0}"/>
    <cellStyle name="Nuovo 11 2 4" xfId="26755" xr:uid="{094ECED3-5840-4730-8E69-BE199D16E3D6}"/>
    <cellStyle name="Nuovo 11 3" xfId="795" xr:uid="{00000000-0005-0000-0000-000060060000}"/>
    <cellStyle name="Nuovo 11 3 2" xfId="796" xr:uid="{00000000-0005-0000-0000-000061060000}"/>
    <cellStyle name="Nuovo 11 3 2 2" xfId="2089" xr:uid="{00000000-0005-0000-0000-000062060000}"/>
    <cellStyle name="Nuovo 11 3 2 2 2" xfId="26759" xr:uid="{CF619BA6-A031-4BB4-B8CB-1E5EBB5C2361}"/>
    <cellStyle name="Nuovo 11 3 2 3" xfId="8073" xr:uid="{D76B8C5A-4BF3-4491-95C8-039CF6EF2E00}"/>
    <cellStyle name="Nuovo 11 3 2 3 2" xfId="14074" xr:uid="{5B5FBC4F-283F-4734-B14D-0F9F799A304A}"/>
    <cellStyle name="Nuovo 11 3 2 4" xfId="26758" xr:uid="{4BFBA962-E788-4D99-A8F2-8590DCAD9AA8}"/>
    <cellStyle name="Nuovo 11 3 3" xfId="4100" xr:uid="{103F5CDB-A1C1-41D3-9E40-6F0FDD65AABA}"/>
    <cellStyle name="Nuovo 11 3 3 2" xfId="9256" xr:uid="{1B2B4762-5E1C-4DAA-8D32-0F3F1EA98EA7}"/>
    <cellStyle name="Nuovo 11 3 3 2 2" xfId="26761" xr:uid="{44F1DD7A-395F-4F45-AD05-6A6B721476F9}"/>
    <cellStyle name="Nuovo 11 3 3 3" xfId="26760" xr:uid="{45AA8E7A-1FDA-416E-894E-4AF9BFA382D5}"/>
    <cellStyle name="Nuovo 11 3 4" xfId="4101" xr:uid="{C08DC5C1-4605-439C-BBFD-14A18D78FADF}"/>
    <cellStyle name="Nuovo 11 3 4 2" xfId="13734" xr:uid="{52AF50FA-2486-4316-961E-E5FB2403A24D}"/>
    <cellStyle name="Nuovo 11 3 4 3" xfId="26762" xr:uid="{A671DBF7-3A64-4219-A50D-B42A78677F96}"/>
    <cellStyle name="Nuovo 11 3 5" xfId="11527" xr:uid="{394963BF-513C-4F37-A172-62CB25F13A8F}"/>
    <cellStyle name="Nuovo 11 3 6" xfId="26757" xr:uid="{A6B8E787-928A-4A3B-970E-D12114F92EB7}"/>
    <cellStyle name="Nuovo 11 4" xfId="2090" xr:uid="{00000000-0005-0000-0000-000063060000}"/>
    <cellStyle name="Nuovo 11 4 2" xfId="2091" xr:uid="{00000000-0005-0000-0000-000064060000}"/>
    <cellStyle name="Nuovo 11 4 2 2" xfId="9257" xr:uid="{7468D6CF-6013-4412-995A-B8EC0F7E5B46}"/>
    <cellStyle name="Nuovo 11 4 2 2 2" xfId="26765" xr:uid="{4881E6FB-5F48-4346-92A3-D41BA051F285}"/>
    <cellStyle name="Nuovo 11 4 2 3" xfId="17854" xr:uid="{5F0BFFD4-80CC-4194-8716-C1CC41FBD414}"/>
    <cellStyle name="Nuovo 11 4 2 4" xfId="26764" xr:uid="{6527456B-2DE8-4015-86EE-C1A8AD3438FD}"/>
    <cellStyle name="Nuovo 11 4 2 5" xfId="17007" xr:uid="{DC3B97B2-8A7D-4FA0-A6F6-328FEF820980}"/>
    <cellStyle name="Nuovo 11 4 3" xfId="9258" xr:uid="{98561E7A-D31F-4487-A372-BF04E692AB26}"/>
    <cellStyle name="Nuovo 11 4 3 2" xfId="26766" xr:uid="{8F5F2385-1F5C-4D18-8D19-BB6764D77FBC}"/>
    <cellStyle name="Nuovo 11 4 4" xfId="26763" xr:uid="{9584B009-E7A3-48E9-BF2E-FE3C7C2956DF}"/>
    <cellStyle name="Nuovo 11 5" xfId="2092" xr:uid="{00000000-0005-0000-0000-000065060000}"/>
    <cellStyle name="Nuovo 11 5 2" xfId="26767" xr:uid="{F6214029-5E1E-443C-A4E0-6853756B80B0}"/>
    <cellStyle name="Nuovo 11 6" xfId="4102" xr:uid="{7DC4FA71-46B2-4A44-B776-322E5564491C}"/>
    <cellStyle name="Nuovo 11 6 2" xfId="9770" xr:uid="{60915CE5-A156-4137-9E5B-AA33920CC38A}"/>
    <cellStyle name="Nuovo 11 7" xfId="26754" xr:uid="{5D38CA62-2887-41C3-8FAE-05F4ABE719E7}"/>
    <cellStyle name="Nuovo 12" xfId="797" xr:uid="{00000000-0005-0000-0000-000066060000}"/>
    <cellStyle name="Nuovo 12 2" xfId="798" xr:uid="{00000000-0005-0000-0000-000067060000}"/>
    <cellStyle name="Nuovo 12 2 2" xfId="4103" xr:uid="{CE9F6DA8-2307-4B1F-8EE0-D0903E3B7D3F}"/>
    <cellStyle name="Nuovo 12 2 2 2" xfId="13521" xr:uid="{FD97A397-A6F4-4677-A979-AE05CC6CBA8E}"/>
    <cellStyle name="Nuovo 12 2 2 3" xfId="26770" xr:uid="{AB1BC61A-B479-43E4-B74A-5818CBC4995C}"/>
    <cellStyle name="Nuovo 12 2 3" xfId="13257" xr:uid="{91AC9634-50F9-47E1-ADD3-0DDA32EF53BB}"/>
    <cellStyle name="Nuovo 12 2 4" xfId="26769" xr:uid="{B057237E-DC8E-4CF4-A06A-460680346ED1}"/>
    <cellStyle name="Nuovo 12 3" xfId="799" xr:uid="{00000000-0005-0000-0000-000068060000}"/>
    <cellStyle name="Nuovo 12 3 2" xfId="800" xr:uid="{00000000-0005-0000-0000-000069060000}"/>
    <cellStyle name="Nuovo 12 3 2 2" xfId="2093" xr:uid="{00000000-0005-0000-0000-00006A060000}"/>
    <cellStyle name="Nuovo 12 3 2 2 2" xfId="26773" xr:uid="{7F4D5554-EDC8-4C33-94F8-6E00BF34AD59}"/>
    <cellStyle name="Nuovo 12 3 2 3" xfId="8074" xr:uid="{5B238DB2-0828-4CA1-B48B-E2120CC635DB}"/>
    <cellStyle name="Nuovo 12 3 2 3 2" xfId="14075" xr:uid="{800CA528-1DEA-4A7D-AD89-26E81F916C2B}"/>
    <cellStyle name="Nuovo 12 3 2 4" xfId="26772" xr:uid="{3B72E384-AB63-49BA-B16A-9CBD291AC55B}"/>
    <cellStyle name="Nuovo 12 3 3" xfId="4104" xr:uid="{5EE056CA-855F-427E-9B21-25D361241825}"/>
    <cellStyle name="Nuovo 12 3 3 2" xfId="9259" xr:uid="{39836A22-9243-4BB7-B505-8549BF4804A3}"/>
    <cellStyle name="Nuovo 12 3 3 2 2" xfId="26775" xr:uid="{D7706CA5-50D9-4B25-804F-B04DFE3397F1}"/>
    <cellStyle name="Nuovo 12 3 3 3" xfId="26774" xr:uid="{986052D1-833E-409B-ADC8-CEBCB91FEED6}"/>
    <cellStyle name="Nuovo 12 3 4" xfId="4105" xr:uid="{52F7B937-3D51-4B64-96EC-BA61D5C9C092}"/>
    <cellStyle name="Nuovo 12 3 4 2" xfId="13735" xr:uid="{82D5FB87-4DA7-4F7D-9B6F-BFD436CE25C4}"/>
    <cellStyle name="Nuovo 12 3 4 3" xfId="26776" xr:uid="{FCB18BD0-BEC9-42F7-B654-002DCDD9FFF4}"/>
    <cellStyle name="Nuovo 12 3 5" xfId="11214" xr:uid="{077EB9D7-B08D-4A48-B25F-E43206E240D4}"/>
    <cellStyle name="Nuovo 12 3 6" xfId="26771" xr:uid="{EE6CA4C6-ABA6-43FC-A3BC-D34054399F6B}"/>
    <cellStyle name="Nuovo 12 4" xfId="2094" xr:uid="{00000000-0005-0000-0000-00006B060000}"/>
    <cellStyle name="Nuovo 12 4 2" xfId="2095" xr:uid="{00000000-0005-0000-0000-00006C060000}"/>
    <cellStyle name="Nuovo 12 4 2 2" xfId="9260" xr:uid="{B17C5DF4-4A13-46D3-A10B-2E27AFA59D6F}"/>
    <cellStyle name="Nuovo 12 4 2 2 2" xfId="26779" xr:uid="{FA3D81D3-4A42-4BF9-BBF4-FDD510D2B1C0}"/>
    <cellStyle name="Nuovo 12 4 2 3" xfId="17855" xr:uid="{3D9B6291-96FD-4D73-B022-DE6C7F0BB922}"/>
    <cellStyle name="Nuovo 12 4 2 4" xfId="26778" xr:uid="{3FF85937-F612-4798-8662-00EFB6D28D5F}"/>
    <cellStyle name="Nuovo 12 4 2 5" xfId="17006" xr:uid="{540DD186-DEAA-4F0B-8C1E-2E10239D388A}"/>
    <cellStyle name="Nuovo 12 4 3" xfId="9261" xr:uid="{B9C85AB7-B505-4260-BA7F-B88058E831BA}"/>
    <cellStyle name="Nuovo 12 4 3 2" xfId="26780" xr:uid="{5D4BF611-ED69-4F39-954B-1DC8D4D559C8}"/>
    <cellStyle name="Nuovo 12 4 4" xfId="26777" xr:uid="{7057C2FB-ED42-4455-BA68-880FE01CD95F}"/>
    <cellStyle name="Nuovo 12 5" xfId="2096" xr:uid="{00000000-0005-0000-0000-00006D060000}"/>
    <cellStyle name="Nuovo 12 5 2" xfId="26781" xr:uid="{AA1AFE88-DDA1-4373-8580-0D301B7DE326}"/>
    <cellStyle name="Nuovo 12 6" xfId="4106" xr:uid="{3730AC5A-78BB-47C2-9940-80600D3C069C}"/>
    <cellStyle name="Nuovo 12 6 2" xfId="9771" xr:uid="{DF7BDED5-1DBB-4345-8BC2-741752C68838}"/>
    <cellStyle name="Nuovo 12 7" xfId="26768" xr:uid="{55B3D81F-853A-4B15-8E5D-69D0CB4626E3}"/>
    <cellStyle name="Nuovo 13" xfId="801" xr:uid="{00000000-0005-0000-0000-00006E060000}"/>
    <cellStyle name="Nuovo 13 2" xfId="802" xr:uid="{00000000-0005-0000-0000-00006F060000}"/>
    <cellStyle name="Nuovo 13 2 2" xfId="4107" xr:uid="{B3462424-B903-4D82-A94E-BCECF8331C67}"/>
    <cellStyle name="Nuovo 13 2 2 2" xfId="13522" xr:uid="{8FAC9277-9C7E-4BA8-A58C-D4397947D95C}"/>
    <cellStyle name="Nuovo 13 2 2 3" xfId="26784" xr:uid="{F99144CC-9601-4CE1-9030-2E8E6D85D8D3}"/>
    <cellStyle name="Nuovo 13 2 3" xfId="13258" xr:uid="{4DA01CB3-1817-4DE0-804B-957DB3C12410}"/>
    <cellStyle name="Nuovo 13 2 4" xfId="26783" xr:uid="{9DC1F15C-ACDE-4E68-9ADE-C6CF57E1EDC1}"/>
    <cellStyle name="Nuovo 13 3" xfId="803" xr:uid="{00000000-0005-0000-0000-000070060000}"/>
    <cellStyle name="Nuovo 13 3 2" xfId="804" xr:uid="{00000000-0005-0000-0000-000071060000}"/>
    <cellStyle name="Nuovo 13 3 2 2" xfId="2097" xr:uid="{00000000-0005-0000-0000-000072060000}"/>
    <cellStyle name="Nuovo 13 3 2 2 2" xfId="26787" xr:uid="{876B868F-303F-4F2E-9307-2407FC5A9655}"/>
    <cellStyle name="Nuovo 13 3 2 3" xfId="8075" xr:uid="{313A5975-6E81-497D-A0D9-29A4C47EB2EF}"/>
    <cellStyle name="Nuovo 13 3 2 3 2" xfId="14076" xr:uid="{7E800E01-5931-4363-B899-7C6CA386FBFA}"/>
    <cellStyle name="Nuovo 13 3 2 4" xfId="26786" xr:uid="{B74CD543-C158-4CE4-B492-6C3B12597B99}"/>
    <cellStyle name="Nuovo 13 3 3" xfId="4108" xr:uid="{8C85CC36-9D93-48FB-9F67-A21796D5E438}"/>
    <cellStyle name="Nuovo 13 3 3 2" xfId="9262" xr:uid="{435A33B8-648E-4CA1-BFC1-C67A4E013C4F}"/>
    <cellStyle name="Nuovo 13 3 3 2 2" xfId="26789" xr:uid="{AC060B3B-DE0C-4C95-B7B6-6C52CC4D8AE4}"/>
    <cellStyle name="Nuovo 13 3 3 3" xfId="26788" xr:uid="{9BFE8DA2-35B4-4A47-A9C9-C825195D2E83}"/>
    <cellStyle name="Nuovo 13 3 4" xfId="4109" xr:uid="{0EADFF64-4EF5-46E4-B7E2-5C5D69BB536C}"/>
    <cellStyle name="Nuovo 13 3 4 2" xfId="13736" xr:uid="{4E768A53-0479-4F15-B05B-2CD38AEAA32F}"/>
    <cellStyle name="Nuovo 13 3 4 3" xfId="26790" xr:uid="{A947F57C-151D-4E56-89C1-D0100B90F22B}"/>
    <cellStyle name="Nuovo 13 3 5" xfId="12254" xr:uid="{B1808459-2124-4FD0-8245-61EA411F58BA}"/>
    <cellStyle name="Nuovo 13 3 6" xfId="26785" xr:uid="{188194A9-60DA-4B9E-BD3E-C09D9EF52655}"/>
    <cellStyle name="Nuovo 13 4" xfId="2098" xr:uid="{00000000-0005-0000-0000-000073060000}"/>
    <cellStyle name="Nuovo 13 4 2" xfId="2099" xr:uid="{00000000-0005-0000-0000-000074060000}"/>
    <cellStyle name="Nuovo 13 4 2 2" xfId="9263" xr:uid="{04C39DD4-D347-4679-8D4A-075A73C67DE1}"/>
    <cellStyle name="Nuovo 13 4 2 2 2" xfId="26793" xr:uid="{FDBBDB7B-E66F-4860-A9B9-94801E413C1D}"/>
    <cellStyle name="Nuovo 13 4 2 3" xfId="17856" xr:uid="{18C6BCE1-508B-41CE-A240-0DD50F3E9B53}"/>
    <cellStyle name="Nuovo 13 4 2 4" xfId="26792" xr:uid="{5C9DF202-8451-49ED-85C7-AFB45CBB3154}"/>
    <cellStyle name="Nuovo 13 4 2 5" xfId="17005" xr:uid="{3C82AC3C-B550-48B0-B431-9EAEC9ABF5EA}"/>
    <cellStyle name="Nuovo 13 4 3" xfId="9264" xr:uid="{FF42DEC1-6622-47F0-BE8B-2D4101A1F59B}"/>
    <cellStyle name="Nuovo 13 4 3 2" xfId="26794" xr:uid="{97DAFC4C-55BE-49A4-9C87-CF646FDEE778}"/>
    <cellStyle name="Nuovo 13 4 4" xfId="26791" xr:uid="{47CD00BD-3689-4667-A2F2-ED003F072873}"/>
    <cellStyle name="Nuovo 13 5" xfId="2100" xr:uid="{00000000-0005-0000-0000-000075060000}"/>
    <cellStyle name="Nuovo 13 5 2" xfId="26795" xr:uid="{2EFB7276-F1A2-4BF5-AB34-B118DE2AAD58}"/>
    <cellStyle name="Nuovo 13 6" xfId="4110" xr:uid="{A1EA4960-875F-47FA-B5CE-F431BDC81CF2}"/>
    <cellStyle name="Nuovo 13 6 2" xfId="9772" xr:uid="{78BBC712-D163-4802-82B6-F5B64A1DE003}"/>
    <cellStyle name="Nuovo 13 7" xfId="26782" xr:uid="{457F099B-D566-43D8-B53D-0202A3569CCA}"/>
    <cellStyle name="Nuovo 14" xfId="805" xr:uid="{00000000-0005-0000-0000-000076060000}"/>
    <cellStyle name="Nuovo 14 2" xfId="806" xr:uid="{00000000-0005-0000-0000-000077060000}"/>
    <cellStyle name="Nuovo 14 2 2" xfId="4111" xr:uid="{D6A59815-0321-4B32-8EC5-0E679D9B4B50}"/>
    <cellStyle name="Nuovo 14 2 2 2" xfId="13523" xr:uid="{3B99CDEE-6C9E-45E2-855C-55AB00C200B8}"/>
    <cellStyle name="Nuovo 14 2 2 3" xfId="26798" xr:uid="{1B7B0488-2649-4382-AAA1-4FBE66305D9B}"/>
    <cellStyle name="Nuovo 14 2 3" xfId="13259" xr:uid="{A929E4E3-A0A6-465A-AA4C-3DF468D912BF}"/>
    <cellStyle name="Nuovo 14 2 4" xfId="26797" xr:uid="{3ACF895C-0DC0-47E6-AABA-2E29E005CA1F}"/>
    <cellStyle name="Nuovo 14 3" xfId="807" xr:uid="{00000000-0005-0000-0000-000078060000}"/>
    <cellStyle name="Nuovo 14 3 2" xfId="808" xr:uid="{00000000-0005-0000-0000-000079060000}"/>
    <cellStyle name="Nuovo 14 3 2 2" xfId="2101" xr:uid="{00000000-0005-0000-0000-00007A060000}"/>
    <cellStyle name="Nuovo 14 3 2 2 2" xfId="26801" xr:uid="{AF5D2E07-9C4F-469A-9C49-7DD3FAED533C}"/>
    <cellStyle name="Nuovo 14 3 2 3" xfId="8076" xr:uid="{A02A803D-0DE6-477B-9920-03E3CB3A468F}"/>
    <cellStyle name="Nuovo 14 3 2 3 2" xfId="14077" xr:uid="{1935A461-CA2A-4D5C-9A77-7F4DC89825B8}"/>
    <cellStyle name="Nuovo 14 3 2 4" xfId="26800" xr:uid="{912A36F2-CE30-4DA4-BC69-C92EAB5E9D86}"/>
    <cellStyle name="Nuovo 14 3 3" xfId="4112" xr:uid="{297A7DB0-45E5-415E-870B-5D0B90C128A3}"/>
    <cellStyle name="Nuovo 14 3 3 2" xfId="9265" xr:uid="{6FFE195A-EDD2-4817-BE07-F4C93951AA38}"/>
    <cellStyle name="Nuovo 14 3 3 2 2" xfId="26803" xr:uid="{71E554E7-3286-4928-B2D7-F650E97248C2}"/>
    <cellStyle name="Nuovo 14 3 3 3" xfId="26802" xr:uid="{19855C95-E8D5-4ECE-BA26-730F55D99C66}"/>
    <cellStyle name="Nuovo 14 3 4" xfId="4113" xr:uid="{740D2CAD-EB4C-448A-AB31-17E15720012C}"/>
    <cellStyle name="Nuovo 14 3 4 2" xfId="13737" xr:uid="{EDFECB3E-24C9-4760-B8E5-8B81E1DD8981}"/>
    <cellStyle name="Nuovo 14 3 4 3" xfId="26804" xr:uid="{DC49F379-BF69-4000-83F0-E97DC1374C2B}"/>
    <cellStyle name="Nuovo 14 3 5" xfId="12165" xr:uid="{50EA7597-6F8E-4B60-8CDD-D7A35DAD393A}"/>
    <cellStyle name="Nuovo 14 3 6" xfId="26799" xr:uid="{AD1A064F-00B6-4E17-AF72-08FBBB8BD425}"/>
    <cellStyle name="Nuovo 14 4" xfId="2102" xr:uid="{00000000-0005-0000-0000-00007B060000}"/>
    <cellStyle name="Nuovo 14 4 2" xfId="2103" xr:uid="{00000000-0005-0000-0000-00007C060000}"/>
    <cellStyle name="Nuovo 14 4 2 2" xfId="9266" xr:uid="{C6A7768E-72DA-4119-8402-01A7D39F53C4}"/>
    <cellStyle name="Nuovo 14 4 2 2 2" xfId="26807" xr:uid="{C53B601F-2C46-4A13-B62B-C1089E7E2DCC}"/>
    <cellStyle name="Nuovo 14 4 2 3" xfId="17857" xr:uid="{C57F1EF2-442D-4F25-9C35-5D2046677F29}"/>
    <cellStyle name="Nuovo 14 4 2 4" xfId="26806" xr:uid="{6A25BE5A-2F33-4747-A68A-AE9AC4BDEFA6}"/>
    <cellStyle name="Nuovo 14 4 2 5" xfId="17004" xr:uid="{5257A9A7-57EB-4AB7-8110-074A78A7F75D}"/>
    <cellStyle name="Nuovo 14 4 3" xfId="9267" xr:uid="{2EE604C0-3F1D-4230-A041-BFB9640B3647}"/>
    <cellStyle name="Nuovo 14 4 3 2" xfId="26808" xr:uid="{D54C1E61-1AB0-490C-88F6-1823397CBDE3}"/>
    <cellStyle name="Nuovo 14 4 4" xfId="26805" xr:uid="{E8ED559B-D14C-4400-AD16-F706C426C077}"/>
    <cellStyle name="Nuovo 14 5" xfId="2104" xr:uid="{00000000-0005-0000-0000-00007D060000}"/>
    <cellStyle name="Nuovo 14 5 2" xfId="26809" xr:uid="{ECBACA2C-B3DF-4B2E-B189-5C83C5E310B6}"/>
    <cellStyle name="Nuovo 14 6" xfId="4114" xr:uid="{DB155427-2CA2-4D2B-A63C-86F196AD5154}"/>
    <cellStyle name="Nuovo 14 6 2" xfId="9773" xr:uid="{A8670B5D-025B-4595-B2F5-1A0523F845BD}"/>
    <cellStyle name="Nuovo 14 7" xfId="26796" xr:uid="{6FB5CC97-0BFD-4BDB-B4C2-E80A314D9FBE}"/>
    <cellStyle name="Nuovo 15" xfId="809" xr:uid="{00000000-0005-0000-0000-00007E060000}"/>
    <cellStyle name="Nuovo 15 2" xfId="810" xr:uid="{00000000-0005-0000-0000-00007F060000}"/>
    <cellStyle name="Nuovo 15 2 2" xfId="4115" xr:uid="{B6450B25-85C1-410F-94F3-6F3C3EE65A91}"/>
    <cellStyle name="Nuovo 15 2 2 2" xfId="13524" xr:uid="{63ED82C3-0436-4568-AD97-BD1E46D2CDA3}"/>
    <cellStyle name="Nuovo 15 2 2 3" xfId="26812" xr:uid="{215729D3-1ADD-40F2-87D0-9E8B4F955538}"/>
    <cellStyle name="Nuovo 15 2 3" xfId="13260" xr:uid="{D4CE24B7-DA08-4EA6-8436-ECF7379C0553}"/>
    <cellStyle name="Nuovo 15 2 4" xfId="26811" xr:uid="{7CC9756F-E66A-4C51-B61A-9195CC556C37}"/>
    <cellStyle name="Nuovo 15 3" xfId="811" xr:uid="{00000000-0005-0000-0000-000080060000}"/>
    <cellStyle name="Nuovo 15 3 2" xfId="812" xr:uid="{00000000-0005-0000-0000-000081060000}"/>
    <cellStyle name="Nuovo 15 3 2 2" xfId="2105" xr:uid="{00000000-0005-0000-0000-000082060000}"/>
    <cellStyle name="Nuovo 15 3 2 2 2" xfId="26815" xr:uid="{3888F2C6-898B-41CA-8E09-4514944CC2EA}"/>
    <cellStyle name="Nuovo 15 3 2 3" xfId="8077" xr:uid="{E33F15C0-B8EF-4DE3-9972-5D1764918CC8}"/>
    <cellStyle name="Nuovo 15 3 2 3 2" xfId="14078" xr:uid="{DF6BDEE3-2D2A-418F-BC7B-4B8B3A1A32E0}"/>
    <cellStyle name="Nuovo 15 3 2 4" xfId="26814" xr:uid="{F83252AF-F7F5-4139-B5CD-F9B2E3AF004F}"/>
    <cellStyle name="Nuovo 15 3 3" xfId="4116" xr:uid="{D1C30CCD-9832-4582-BED6-A70C5191CA94}"/>
    <cellStyle name="Nuovo 15 3 3 2" xfId="9268" xr:uid="{0E3AD4E6-9F84-48ED-89A8-53257D84B1C8}"/>
    <cellStyle name="Nuovo 15 3 3 2 2" xfId="26817" xr:uid="{1C636180-9805-4C73-B4E4-58A6042BEDFC}"/>
    <cellStyle name="Nuovo 15 3 3 3" xfId="26816" xr:uid="{5D624AF0-6F80-4741-8860-5642A7DDD85F}"/>
    <cellStyle name="Nuovo 15 3 4" xfId="4117" xr:uid="{8AEAE1A3-272A-4158-A711-3BB33F95F417}"/>
    <cellStyle name="Nuovo 15 3 4 2" xfId="13738" xr:uid="{693FA69D-CED0-41EF-B8ED-39913784792E}"/>
    <cellStyle name="Nuovo 15 3 4 3" xfId="26818" xr:uid="{F21AF9A9-5DCD-41F8-9ECD-E0B677D52C6C}"/>
    <cellStyle name="Nuovo 15 3 5" xfId="11526" xr:uid="{B17050D1-8CED-4D4D-9604-E64F69964961}"/>
    <cellStyle name="Nuovo 15 3 6" xfId="26813" xr:uid="{8FD6D04B-0600-4268-B380-BAC4746629EA}"/>
    <cellStyle name="Nuovo 15 4" xfId="2106" xr:uid="{00000000-0005-0000-0000-000083060000}"/>
    <cellStyle name="Nuovo 15 4 2" xfId="2107" xr:uid="{00000000-0005-0000-0000-000084060000}"/>
    <cellStyle name="Nuovo 15 4 2 2" xfId="9269" xr:uid="{2CFBF946-815D-4756-A19A-D7C98599DBDB}"/>
    <cellStyle name="Nuovo 15 4 2 2 2" xfId="26821" xr:uid="{663B764A-EF13-4CE8-B778-11395218367A}"/>
    <cellStyle name="Nuovo 15 4 2 3" xfId="17858" xr:uid="{08D7E112-7585-4976-B0D7-1160780BABFC}"/>
    <cellStyle name="Nuovo 15 4 2 4" xfId="26820" xr:uid="{F1CEAACD-E809-455D-AF69-66926260B027}"/>
    <cellStyle name="Nuovo 15 4 2 5" xfId="17003" xr:uid="{1116C68F-F7F1-4708-B2C3-E58583D37E94}"/>
    <cellStyle name="Nuovo 15 4 3" xfId="9270" xr:uid="{F696F87C-B2FF-464D-8C5D-8C9241FD2963}"/>
    <cellStyle name="Nuovo 15 4 3 2" xfId="26822" xr:uid="{B06D3ED0-A8D5-491F-8E00-B425AB67E897}"/>
    <cellStyle name="Nuovo 15 4 4" xfId="26819" xr:uid="{5D4204A4-ABA8-4DE7-8704-EB9496436DF4}"/>
    <cellStyle name="Nuovo 15 5" xfId="2108" xr:uid="{00000000-0005-0000-0000-000085060000}"/>
    <cellStyle name="Nuovo 15 5 2" xfId="26823" xr:uid="{EE66ADCC-5AE4-42D5-A6E9-93004A1CE1A9}"/>
    <cellStyle name="Nuovo 15 6" xfId="4118" xr:uid="{EAC982BB-9C75-41FB-80A2-09932D31C774}"/>
    <cellStyle name="Nuovo 15 6 2" xfId="9774" xr:uid="{2B860115-CBF0-4D87-956A-02E8FBF80344}"/>
    <cellStyle name="Nuovo 15 7" xfId="26810" xr:uid="{3D4E834E-3F6D-428E-8DB9-EC3D210CC8C0}"/>
    <cellStyle name="Nuovo 16" xfId="813" xr:uid="{00000000-0005-0000-0000-000086060000}"/>
    <cellStyle name="Nuovo 16 2" xfId="814" xr:uid="{00000000-0005-0000-0000-000087060000}"/>
    <cellStyle name="Nuovo 16 2 2" xfId="4119" xr:uid="{674E81C1-15FC-48CE-82A3-C9A86B0EC722}"/>
    <cellStyle name="Nuovo 16 2 2 2" xfId="13525" xr:uid="{0BFA7FE3-6E2E-46F2-84BC-9B3F8F8A390C}"/>
    <cellStyle name="Nuovo 16 2 2 3" xfId="26826" xr:uid="{E826885B-CAC9-4E83-B0CF-B27DB64FCDF3}"/>
    <cellStyle name="Nuovo 16 2 3" xfId="13261" xr:uid="{BD0C9426-3D6B-4B4A-8E81-01F31D6668DF}"/>
    <cellStyle name="Nuovo 16 2 4" xfId="26825" xr:uid="{31062CA0-4CE9-49DE-8961-DAFA0B4A3810}"/>
    <cellStyle name="Nuovo 16 3" xfId="815" xr:uid="{00000000-0005-0000-0000-000088060000}"/>
    <cellStyle name="Nuovo 16 3 2" xfId="816" xr:uid="{00000000-0005-0000-0000-000089060000}"/>
    <cellStyle name="Nuovo 16 3 2 2" xfId="2109" xr:uid="{00000000-0005-0000-0000-00008A060000}"/>
    <cellStyle name="Nuovo 16 3 2 2 2" xfId="26829" xr:uid="{49AADD98-BCE9-453F-9C5F-2972B7C149DF}"/>
    <cellStyle name="Nuovo 16 3 2 3" xfId="8078" xr:uid="{CF5F2C7F-99CE-4926-B34C-539D24E85646}"/>
    <cellStyle name="Nuovo 16 3 2 3 2" xfId="14079" xr:uid="{914D4537-29C0-47F8-BD21-6B2310C99250}"/>
    <cellStyle name="Nuovo 16 3 2 4" xfId="26828" xr:uid="{92B3EF71-987C-4D60-8DAA-30A5862697B5}"/>
    <cellStyle name="Nuovo 16 3 3" xfId="4120" xr:uid="{732E2F74-9831-459D-996F-B14AB6D6AA93}"/>
    <cellStyle name="Nuovo 16 3 3 2" xfId="9271" xr:uid="{A404155A-8959-4121-B33E-8AC1EF9D4F8C}"/>
    <cellStyle name="Nuovo 16 3 3 2 2" xfId="26831" xr:uid="{CCCC3D13-E4ED-4848-8E74-DBC5A3E2248E}"/>
    <cellStyle name="Nuovo 16 3 3 3" xfId="26830" xr:uid="{FAC76E03-198D-4146-9BE4-69B7DFDC66EA}"/>
    <cellStyle name="Nuovo 16 3 4" xfId="4121" xr:uid="{D0C9F8CE-B331-4CEC-BA70-E5E2AF66290F}"/>
    <cellStyle name="Nuovo 16 3 4 2" xfId="13739" xr:uid="{BCD7D23E-15AA-40C3-88BC-F884AE3D2B7E}"/>
    <cellStyle name="Nuovo 16 3 4 3" xfId="26832" xr:uid="{CDEF79EE-FB9D-4A55-B32D-5CE7896FC532}"/>
    <cellStyle name="Nuovo 16 3 5" xfId="11124" xr:uid="{38D30BF8-A156-4DB7-9749-5325AAE2DB84}"/>
    <cellStyle name="Nuovo 16 3 6" xfId="26827" xr:uid="{5466334B-6D0F-4F46-9604-531FEE379345}"/>
    <cellStyle name="Nuovo 16 4" xfId="2110" xr:uid="{00000000-0005-0000-0000-00008B060000}"/>
    <cellStyle name="Nuovo 16 4 2" xfId="2111" xr:uid="{00000000-0005-0000-0000-00008C060000}"/>
    <cellStyle name="Nuovo 16 4 2 2" xfId="9272" xr:uid="{37A7AEC5-4E71-485B-84D7-12BF6BBF592C}"/>
    <cellStyle name="Nuovo 16 4 2 2 2" xfId="26835" xr:uid="{2FB9223B-D8FE-4E06-A2BE-1E8CF1B1C38A}"/>
    <cellStyle name="Nuovo 16 4 2 3" xfId="17859" xr:uid="{E4B0FACB-31B1-408D-90E0-74F628AF3094}"/>
    <cellStyle name="Nuovo 16 4 2 4" xfId="26834" xr:uid="{0D6E15ED-9569-4EAD-8902-4D8476BA1034}"/>
    <cellStyle name="Nuovo 16 4 2 5" xfId="17000" xr:uid="{71E8DCA5-67E5-40EB-BD32-0CD54A94B997}"/>
    <cellStyle name="Nuovo 16 4 3" xfId="9273" xr:uid="{C886ED95-3103-4DC6-9982-51AFC6CEFD2A}"/>
    <cellStyle name="Nuovo 16 4 3 2" xfId="26836" xr:uid="{7D28022C-0AD7-4085-95E8-AC9BA4E6EE28}"/>
    <cellStyle name="Nuovo 16 4 4" xfId="26833" xr:uid="{FC46FC3C-484C-4055-BEB4-C7BE21417500}"/>
    <cellStyle name="Nuovo 16 5" xfId="2112" xr:uid="{00000000-0005-0000-0000-00008D060000}"/>
    <cellStyle name="Nuovo 16 5 2" xfId="26837" xr:uid="{DF1271FD-2234-4C87-A573-46054AAA56EA}"/>
    <cellStyle name="Nuovo 16 6" xfId="4122" xr:uid="{6A3142C1-60C7-4085-8046-8BB8F78E1344}"/>
    <cellStyle name="Nuovo 16 6 2" xfId="9775" xr:uid="{FDB0036C-4369-4CA3-B688-64B2DE287A72}"/>
    <cellStyle name="Nuovo 16 7" xfId="26824" xr:uid="{0E8A1D69-B479-4BE3-B5C7-E7A1B0889293}"/>
    <cellStyle name="Nuovo 17" xfId="817" xr:uid="{00000000-0005-0000-0000-00008E060000}"/>
    <cellStyle name="Nuovo 17 2" xfId="818" xr:uid="{00000000-0005-0000-0000-00008F060000}"/>
    <cellStyle name="Nuovo 17 2 2" xfId="4123" xr:uid="{5680E20D-068A-478C-92E7-F135E9BF847C}"/>
    <cellStyle name="Nuovo 17 2 2 2" xfId="13526" xr:uid="{B9A90D01-2691-4386-BBC2-574AEBB4AB03}"/>
    <cellStyle name="Nuovo 17 2 2 3" xfId="26840" xr:uid="{3DA4EFCF-9789-4852-9D8C-06FD1C73252B}"/>
    <cellStyle name="Nuovo 17 2 3" xfId="13262" xr:uid="{64F3475B-DC25-49DE-A9DE-9DEDEBCF66D9}"/>
    <cellStyle name="Nuovo 17 2 4" xfId="26839" xr:uid="{386A8292-AF3E-4839-BD94-CE458B00352F}"/>
    <cellStyle name="Nuovo 17 3" xfId="819" xr:uid="{00000000-0005-0000-0000-000090060000}"/>
    <cellStyle name="Nuovo 17 3 2" xfId="820" xr:uid="{00000000-0005-0000-0000-000091060000}"/>
    <cellStyle name="Nuovo 17 3 2 2" xfId="2113" xr:uid="{00000000-0005-0000-0000-000092060000}"/>
    <cellStyle name="Nuovo 17 3 2 2 2" xfId="26843" xr:uid="{56E082A9-2329-4B2E-8012-A727DE988668}"/>
    <cellStyle name="Nuovo 17 3 2 3" xfId="8079" xr:uid="{22749D5B-D498-44DE-9DD0-569619B7EE33}"/>
    <cellStyle name="Nuovo 17 3 2 3 2" xfId="14080" xr:uid="{ED25BF14-5C7A-406F-9D3D-B1D5EDB3BBA7}"/>
    <cellStyle name="Nuovo 17 3 2 4" xfId="26842" xr:uid="{9415B1BC-D2CF-4865-908F-CEB36BD187C1}"/>
    <cellStyle name="Nuovo 17 3 3" xfId="4124" xr:uid="{6E633A86-78F0-48E6-A391-B054F0BF6D9A}"/>
    <cellStyle name="Nuovo 17 3 3 2" xfId="9274" xr:uid="{0E562992-A542-445C-94CB-2D3F7B98FDA4}"/>
    <cellStyle name="Nuovo 17 3 3 2 2" xfId="26845" xr:uid="{324D4E74-4DE5-4073-A101-56B0E7D66508}"/>
    <cellStyle name="Nuovo 17 3 3 3" xfId="26844" xr:uid="{25DCA003-27B8-4B81-B549-117447310214}"/>
    <cellStyle name="Nuovo 17 3 4" xfId="4125" xr:uid="{540D7934-7F25-4A18-B460-B6BA43E1E95E}"/>
    <cellStyle name="Nuovo 17 3 4 2" xfId="13740" xr:uid="{9D7B899C-7FA4-42AD-8C14-29E2EBD52C43}"/>
    <cellStyle name="Nuovo 17 3 4 3" xfId="26846" xr:uid="{9DF310C7-50B2-4C17-8864-EB38A63D2CEB}"/>
    <cellStyle name="Nuovo 17 3 5" xfId="12255" xr:uid="{66D6BFDC-4D1A-481C-A0B3-00A568E424BF}"/>
    <cellStyle name="Nuovo 17 3 6" xfId="26841" xr:uid="{D367C54E-DF59-4C72-B0EA-02CD522D50E3}"/>
    <cellStyle name="Nuovo 17 4" xfId="2114" xr:uid="{00000000-0005-0000-0000-000093060000}"/>
    <cellStyle name="Nuovo 17 4 2" xfId="2115" xr:uid="{00000000-0005-0000-0000-000094060000}"/>
    <cellStyle name="Nuovo 17 4 2 2" xfId="9275" xr:uid="{B7D72153-BBDD-4612-884E-B6C25E637A81}"/>
    <cellStyle name="Nuovo 17 4 2 2 2" xfId="26849" xr:uid="{90CAFA27-2605-4743-8440-79F7CF803FBB}"/>
    <cellStyle name="Nuovo 17 4 2 3" xfId="17860" xr:uid="{6C72D77F-20CD-4A69-854C-8B0AED43D0CD}"/>
    <cellStyle name="Nuovo 17 4 2 4" xfId="26848" xr:uid="{6A9181B2-4892-4523-AF14-27C35C16CC65}"/>
    <cellStyle name="Nuovo 17 4 2 5" xfId="16999" xr:uid="{C85BF479-FFE8-4464-9ECE-20071E35EEEB}"/>
    <cellStyle name="Nuovo 17 4 3" xfId="9276" xr:uid="{FC923EB8-9BEC-4EF9-B12D-C011A2EAFDAA}"/>
    <cellStyle name="Nuovo 17 4 3 2" xfId="26850" xr:uid="{896B88F7-E541-41C1-AE56-A67ECDB11B85}"/>
    <cellStyle name="Nuovo 17 4 4" xfId="26847" xr:uid="{93C7EB35-EFF8-4A62-8BA1-476CF484B611}"/>
    <cellStyle name="Nuovo 17 5" xfId="2116" xr:uid="{00000000-0005-0000-0000-000095060000}"/>
    <cellStyle name="Nuovo 17 5 2" xfId="26851" xr:uid="{1EB9EE26-08FA-4304-BA7A-BF0F969D8475}"/>
    <cellStyle name="Nuovo 17 6" xfId="4126" xr:uid="{685BADFE-6FEA-4AF5-852B-24E28B30987F}"/>
    <cellStyle name="Nuovo 17 6 2" xfId="9776" xr:uid="{B106A9A8-3012-452E-95D6-07DF7FEB9FC4}"/>
    <cellStyle name="Nuovo 17 7" xfId="26838" xr:uid="{82D1893F-8EAA-42C9-AA67-CD5381DE10A6}"/>
    <cellStyle name="Nuovo 18" xfId="821" xr:uid="{00000000-0005-0000-0000-000096060000}"/>
    <cellStyle name="Nuovo 18 2" xfId="822" xr:uid="{00000000-0005-0000-0000-000097060000}"/>
    <cellStyle name="Nuovo 18 2 2" xfId="4127" xr:uid="{16C23854-7301-45A9-A809-4071B3DB4052}"/>
    <cellStyle name="Nuovo 18 2 2 2" xfId="13527" xr:uid="{9768A9CE-6474-4FFC-AE6A-294E34508D64}"/>
    <cellStyle name="Nuovo 18 2 2 3" xfId="26854" xr:uid="{D85E5B60-EFB8-4363-A8E2-D2711A47650E}"/>
    <cellStyle name="Nuovo 18 2 3" xfId="13263" xr:uid="{0E7FAC49-7F66-4521-AC23-E3DEE0FD6280}"/>
    <cellStyle name="Nuovo 18 2 4" xfId="26853" xr:uid="{73B1D0CD-E1E2-412C-9815-286335A29032}"/>
    <cellStyle name="Nuovo 18 3" xfId="823" xr:uid="{00000000-0005-0000-0000-000098060000}"/>
    <cellStyle name="Nuovo 18 3 2" xfId="824" xr:uid="{00000000-0005-0000-0000-000099060000}"/>
    <cellStyle name="Nuovo 18 3 2 2" xfId="2117" xr:uid="{00000000-0005-0000-0000-00009A060000}"/>
    <cellStyle name="Nuovo 18 3 2 2 2" xfId="26857" xr:uid="{15A88CE9-3D55-427E-8F77-9DE6419F3A02}"/>
    <cellStyle name="Nuovo 18 3 2 3" xfId="8080" xr:uid="{1F9CCCD2-B19A-41BA-9A17-C6DF2044982A}"/>
    <cellStyle name="Nuovo 18 3 2 3 2" xfId="14081" xr:uid="{66A866B8-195A-48B4-B993-457A25ED944F}"/>
    <cellStyle name="Nuovo 18 3 2 4" xfId="26856" xr:uid="{A5905077-9D5B-4A1F-A2B2-2406AC1B4898}"/>
    <cellStyle name="Nuovo 18 3 3" xfId="4128" xr:uid="{E7417115-6237-478F-BE88-ABFB7AE2A3E1}"/>
    <cellStyle name="Nuovo 18 3 3 2" xfId="9277" xr:uid="{BF06A6A8-2F31-4E0E-BFB2-791EE3A98C6F}"/>
    <cellStyle name="Nuovo 18 3 3 2 2" xfId="26859" xr:uid="{C9808807-8068-4A17-914E-81330856D67B}"/>
    <cellStyle name="Nuovo 18 3 3 3" xfId="26858" xr:uid="{BD8B7010-B6FB-42B4-AE6B-9B6F53F36666}"/>
    <cellStyle name="Nuovo 18 3 4" xfId="4129" xr:uid="{12395711-7F7B-41F0-A4FD-E716E0CD77AD}"/>
    <cellStyle name="Nuovo 18 3 4 2" xfId="13741" xr:uid="{F6369F1C-BAAC-447C-A394-B604C62D95C0}"/>
    <cellStyle name="Nuovo 18 3 4 3" xfId="26860" xr:uid="{C0ABE044-CD93-478D-8F0A-41A9FC4AA8C6}"/>
    <cellStyle name="Nuovo 18 3 5" xfId="12290" xr:uid="{51E97831-DE30-4F67-B249-638A3449A4E8}"/>
    <cellStyle name="Nuovo 18 3 6" xfId="26855" xr:uid="{E738C5C2-9464-421E-BE24-0A8255F4A9A0}"/>
    <cellStyle name="Nuovo 18 4" xfId="2118" xr:uid="{00000000-0005-0000-0000-00009B060000}"/>
    <cellStyle name="Nuovo 18 4 2" xfId="2119" xr:uid="{00000000-0005-0000-0000-00009C060000}"/>
    <cellStyle name="Nuovo 18 4 2 2" xfId="9278" xr:uid="{D967E8D8-5884-439D-BD7F-DD5773323B10}"/>
    <cellStyle name="Nuovo 18 4 2 2 2" xfId="26863" xr:uid="{0703A6D8-6774-4119-8864-05B53A96F8FB}"/>
    <cellStyle name="Nuovo 18 4 2 3" xfId="17861" xr:uid="{56281425-C6F4-4229-A553-044764CC93EC}"/>
    <cellStyle name="Nuovo 18 4 2 4" xfId="26862" xr:uid="{ED5F36BC-EA8D-4E26-B144-EE6990728A4C}"/>
    <cellStyle name="Nuovo 18 4 2 5" xfId="16998" xr:uid="{B51137B3-D72C-4E7E-8341-0AC6CC6D1C87}"/>
    <cellStyle name="Nuovo 18 4 3" xfId="9279" xr:uid="{A4290608-DE32-4FB1-89C0-D213BF4A7FA4}"/>
    <cellStyle name="Nuovo 18 4 3 2" xfId="26864" xr:uid="{93825D5A-812D-4CB1-B778-EC7FF73455CE}"/>
    <cellStyle name="Nuovo 18 4 4" xfId="26861" xr:uid="{4D653D8A-C343-4870-865E-BCB38569F991}"/>
    <cellStyle name="Nuovo 18 5" xfId="2120" xr:uid="{00000000-0005-0000-0000-00009D060000}"/>
    <cellStyle name="Nuovo 18 5 2" xfId="26865" xr:uid="{B07D87C7-FCDE-4F77-82A2-780242742D21}"/>
    <cellStyle name="Nuovo 18 6" xfId="4130" xr:uid="{97BBC2CC-FD9F-4A01-82CE-0168A96D7A4B}"/>
    <cellStyle name="Nuovo 18 6 2" xfId="9777" xr:uid="{F2588A6C-4E2A-42E2-AB5A-3135F836BD23}"/>
    <cellStyle name="Nuovo 18 7" xfId="26852" xr:uid="{9A96B299-920D-4D6E-8A3B-371F13CE1C8B}"/>
    <cellStyle name="Nuovo 19" xfId="825" xr:uid="{00000000-0005-0000-0000-00009E060000}"/>
    <cellStyle name="Nuovo 19 2" xfId="826" xr:uid="{00000000-0005-0000-0000-00009F060000}"/>
    <cellStyle name="Nuovo 19 2 2" xfId="4131" xr:uid="{0469468D-0A85-41AA-881E-0E4239FFFFB2}"/>
    <cellStyle name="Nuovo 19 2 2 2" xfId="13528" xr:uid="{A9383297-0837-4399-A982-21BFFC973597}"/>
    <cellStyle name="Nuovo 19 2 2 3" xfId="26868" xr:uid="{B2754FAB-AA69-4DAE-BD82-5046063B0173}"/>
    <cellStyle name="Nuovo 19 2 3" xfId="13264" xr:uid="{0A66C863-075A-4702-A359-FFF1659E2DFC}"/>
    <cellStyle name="Nuovo 19 2 4" xfId="26867" xr:uid="{AC207970-DCF2-42FD-B586-7042F1ABEEF0}"/>
    <cellStyle name="Nuovo 19 3" xfId="827" xr:uid="{00000000-0005-0000-0000-0000A0060000}"/>
    <cellStyle name="Nuovo 19 3 2" xfId="828" xr:uid="{00000000-0005-0000-0000-0000A1060000}"/>
    <cellStyle name="Nuovo 19 3 2 2" xfId="2121" xr:uid="{00000000-0005-0000-0000-0000A2060000}"/>
    <cellStyle name="Nuovo 19 3 2 2 2" xfId="26871" xr:uid="{6DA514FB-F091-45E7-B4CC-158E6058686C}"/>
    <cellStyle name="Nuovo 19 3 2 3" xfId="8081" xr:uid="{8554760E-C743-41A6-863D-6FA0D653F441}"/>
    <cellStyle name="Nuovo 19 3 2 3 2" xfId="14082" xr:uid="{64E414CB-3AE7-4CD6-8A48-E5DE4811C721}"/>
    <cellStyle name="Nuovo 19 3 2 4" xfId="26870" xr:uid="{8264C23A-BEED-4C4F-B12F-89039CF980C4}"/>
    <cellStyle name="Nuovo 19 3 3" xfId="4132" xr:uid="{3527E782-8BAD-4E82-B406-EAA2BB25A9BC}"/>
    <cellStyle name="Nuovo 19 3 3 2" xfId="9280" xr:uid="{197C0E0F-3E47-4D9F-B92E-DF42AC41BF72}"/>
    <cellStyle name="Nuovo 19 3 3 2 2" xfId="26873" xr:uid="{F8E282C5-5696-4610-8B34-2A8FDA110222}"/>
    <cellStyle name="Nuovo 19 3 3 3" xfId="26872" xr:uid="{002AF38F-B9D6-457D-B8C1-5315DD0F9B76}"/>
    <cellStyle name="Nuovo 19 3 4" xfId="4133" xr:uid="{48E805F6-9715-4CBD-AC54-5C6A713CB2F7}"/>
    <cellStyle name="Nuovo 19 3 4 2" xfId="13742" xr:uid="{028E0C8A-7258-413F-813D-E8B09C237F78}"/>
    <cellStyle name="Nuovo 19 3 4 3" xfId="26874" xr:uid="{785C1D9F-5D28-4E4F-B29D-B0EA91310E65}"/>
    <cellStyle name="Nuovo 19 3 5" xfId="12253" xr:uid="{0A2C0C76-2656-4DD5-B9F3-1400D0805DD6}"/>
    <cellStyle name="Nuovo 19 3 6" xfId="26869" xr:uid="{92464BFB-AE89-48DE-8BE1-D78533CD2558}"/>
    <cellStyle name="Nuovo 19 4" xfId="2122" xr:uid="{00000000-0005-0000-0000-0000A3060000}"/>
    <cellStyle name="Nuovo 19 4 2" xfId="2123" xr:uid="{00000000-0005-0000-0000-0000A4060000}"/>
    <cellStyle name="Nuovo 19 4 2 2" xfId="9281" xr:uid="{4BEAAB3B-E061-493C-99AA-9B65B476AD21}"/>
    <cellStyle name="Nuovo 19 4 2 2 2" xfId="26877" xr:uid="{E7138712-F1DB-49F4-A0F2-9509BCF2F21F}"/>
    <cellStyle name="Nuovo 19 4 2 3" xfId="17862" xr:uid="{E15C583D-4508-43F6-AA2A-4878D49D2FC2}"/>
    <cellStyle name="Nuovo 19 4 2 4" xfId="26876" xr:uid="{0D6FA945-9A3B-4376-86F0-3F5450DF661F}"/>
    <cellStyle name="Nuovo 19 4 2 5" xfId="16997" xr:uid="{CBBBDF0C-FF1E-467C-8431-B0BE9ACC9FD8}"/>
    <cellStyle name="Nuovo 19 4 3" xfId="9282" xr:uid="{CCBA7983-C22F-40B1-81E7-A434A0B0399E}"/>
    <cellStyle name="Nuovo 19 4 3 2" xfId="26878" xr:uid="{66E37BA2-8819-4A09-A2BF-E5D6E3815D85}"/>
    <cellStyle name="Nuovo 19 4 4" xfId="26875" xr:uid="{DB556F40-0D41-4028-8E78-B3CB529FF6BB}"/>
    <cellStyle name="Nuovo 19 5" xfId="2124" xr:uid="{00000000-0005-0000-0000-0000A5060000}"/>
    <cellStyle name="Nuovo 19 5 2" xfId="26879" xr:uid="{2C8BD08C-060D-4C58-9255-3F3AB50D16DF}"/>
    <cellStyle name="Nuovo 19 6" xfId="4134" xr:uid="{2523D6B6-F43D-4715-946F-6ED9B7ED078C}"/>
    <cellStyle name="Nuovo 19 6 2" xfId="9778" xr:uid="{E6E07AF0-555D-4F0B-AB66-0937EF185238}"/>
    <cellStyle name="Nuovo 19 7" xfId="26866" xr:uid="{5351655E-5ADA-481A-B4B2-433AD41D51F0}"/>
    <cellStyle name="Nuovo 2" xfId="829" xr:uid="{00000000-0005-0000-0000-0000A6060000}"/>
    <cellStyle name="Nuovo 2 2" xfId="830" xr:uid="{00000000-0005-0000-0000-0000A7060000}"/>
    <cellStyle name="Nuovo 2 2 2" xfId="4135" xr:uid="{E53EEAB2-42F8-43AC-A993-346B1C133123}"/>
    <cellStyle name="Nuovo 2 2 2 2" xfId="13529" xr:uid="{CF3AACCE-B9B6-47B1-A5F2-CC41BB7EAD18}"/>
    <cellStyle name="Nuovo 2 2 2 3" xfId="26882" xr:uid="{E28B7FDF-C241-46C8-83AD-08B4D5C320B2}"/>
    <cellStyle name="Nuovo 2 2 3" xfId="13265" xr:uid="{C5071D0A-4695-4A4E-9868-FB2197466240}"/>
    <cellStyle name="Nuovo 2 2 4" xfId="26881" xr:uid="{E27EF1DD-8F45-4BA8-9727-909EF930F38F}"/>
    <cellStyle name="Nuovo 2 3" xfId="831" xr:uid="{00000000-0005-0000-0000-0000A8060000}"/>
    <cellStyle name="Nuovo 2 3 2" xfId="832" xr:uid="{00000000-0005-0000-0000-0000A9060000}"/>
    <cellStyle name="Nuovo 2 3 2 2" xfId="2125" xr:uid="{00000000-0005-0000-0000-0000AA060000}"/>
    <cellStyle name="Nuovo 2 3 2 2 2" xfId="26885" xr:uid="{D3CA7663-8E75-4FE8-8381-12B0859E8069}"/>
    <cellStyle name="Nuovo 2 3 2 3" xfId="8082" xr:uid="{83B0C817-DCB3-4FF9-A76E-1D2A582D6FD9}"/>
    <cellStyle name="Nuovo 2 3 2 3 2" xfId="14083" xr:uid="{B217C8EA-5ED2-4824-9010-3C768CED4CCC}"/>
    <cellStyle name="Nuovo 2 3 2 4" xfId="26884" xr:uid="{0AD56391-B97F-411C-A4E8-196209FB4A11}"/>
    <cellStyle name="Nuovo 2 3 3" xfId="4136" xr:uid="{71E8C56B-7BD8-4CA0-A7C2-ABF6955CB7A2}"/>
    <cellStyle name="Nuovo 2 3 3 2" xfId="9283" xr:uid="{8750224F-C0C4-4599-9536-C10AA28672EB}"/>
    <cellStyle name="Nuovo 2 3 3 2 2" xfId="26887" xr:uid="{F82082E3-4BA4-4B74-9ECD-4E0EAED9EFC8}"/>
    <cellStyle name="Nuovo 2 3 3 3" xfId="26886" xr:uid="{5CFDC2CE-D9F7-4588-ADD8-4569503B0561}"/>
    <cellStyle name="Nuovo 2 3 4" xfId="4137" xr:uid="{D5F7A0F4-288E-43E4-AA47-4F708922E956}"/>
    <cellStyle name="Nuovo 2 3 4 2" xfId="13743" xr:uid="{123B02DF-E764-422E-8FA5-04F51B773FFF}"/>
    <cellStyle name="Nuovo 2 3 4 3" xfId="26888" xr:uid="{75E28F60-BDF5-4D5F-9668-A240F7256F71}"/>
    <cellStyle name="Nuovo 2 3 5" xfId="11705" xr:uid="{4A301821-E690-4E74-80BE-47144F62E6F1}"/>
    <cellStyle name="Nuovo 2 3 6" xfId="26883" xr:uid="{9A012426-037C-4DB6-9D95-CD72B0E3E122}"/>
    <cellStyle name="Nuovo 2 4" xfId="2126" xr:uid="{00000000-0005-0000-0000-0000AB060000}"/>
    <cellStyle name="Nuovo 2 4 2" xfId="2127" xr:uid="{00000000-0005-0000-0000-0000AC060000}"/>
    <cellStyle name="Nuovo 2 4 2 2" xfId="9284" xr:uid="{FA05B748-F6D7-4282-9417-4068F646F139}"/>
    <cellStyle name="Nuovo 2 4 2 2 2" xfId="26891" xr:uid="{DDD0B65B-87EA-45F8-9D64-D9929CA99D61}"/>
    <cellStyle name="Nuovo 2 4 2 3" xfId="17863" xr:uid="{9AE4382F-14BC-4335-A131-58090E4F73F8}"/>
    <cellStyle name="Nuovo 2 4 2 4" xfId="26890" xr:uid="{89826831-9964-4BF2-A8F7-FC1ACC6F1FEA}"/>
    <cellStyle name="Nuovo 2 4 2 5" xfId="16996" xr:uid="{88C0F7C6-D9EC-4FA3-AC73-8C14321B5380}"/>
    <cellStyle name="Nuovo 2 4 3" xfId="9285" xr:uid="{E4183768-FDAB-4EF7-AD79-5B4F984A82DE}"/>
    <cellStyle name="Nuovo 2 4 3 2" xfId="26892" xr:uid="{53DD65C1-2657-41F8-A4A3-60CC8DB33E2F}"/>
    <cellStyle name="Nuovo 2 4 4" xfId="26889" xr:uid="{E9D5446B-6F5E-445C-9C70-0439090B9A4D}"/>
    <cellStyle name="Nuovo 2 5" xfId="2128" xr:uid="{00000000-0005-0000-0000-0000AD060000}"/>
    <cellStyle name="Nuovo 2 5 2" xfId="26893" xr:uid="{87D010B8-706E-41A4-B875-2A707925782E}"/>
    <cellStyle name="Nuovo 2 6" xfId="4138" xr:uid="{9DAE8486-7251-47E8-B4DF-8963FA0B0B0F}"/>
    <cellStyle name="Nuovo 2 6 2" xfId="9779" xr:uid="{8700AF4E-9784-4C1E-B031-75C25C430442}"/>
    <cellStyle name="Nuovo 2 7" xfId="26880" xr:uid="{DA15F51C-0E02-4CE8-BBE3-DBFE9E0F5B5C}"/>
    <cellStyle name="Nuovo 20" xfId="833" xr:uid="{00000000-0005-0000-0000-0000AE060000}"/>
    <cellStyle name="Nuovo 20 2" xfId="834" xr:uid="{00000000-0005-0000-0000-0000AF060000}"/>
    <cellStyle name="Nuovo 20 2 2" xfId="4139" xr:uid="{E2D7AAF1-48E6-4223-98C5-DFB33D211CC2}"/>
    <cellStyle name="Nuovo 20 2 2 2" xfId="13530" xr:uid="{8BF1B432-129D-48CF-A50D-5607533991EC}"/>
    <cellStyle name="Nuovo 20 2 2 3" xfId="26896" xr:uid="{F38F6526-C50E-4A76-AE03-E4483014EBD5}"/>
    <cellStyle name="Nuovo 20 2 3" xfId="13266" xr:uid="{0B30220A-1F9E-4E08-8F15-D20E91FAE283}"/>
    <cellStyle name="Nuovo 20 2 4" xfId="26895" xr:uid="{E08AB5F9-2E38-489F-91A2-EE369D784F2A}"/>
    <cellStyle name="Nuovo 20 3" xfId="835" xr:uid="{00000000-0005-0000-0000-0000B0060000}"/>
    <cellStyle name="Nuovo 20 3 2" xfId="836" xr:uid="{00000000-0005-0000-0000-0000B1060000}"/>
    <cellStyle name="Nuovo 20 3 2 2" xfId="2129" xr:uid="{00000000-0005-0000-0000-0000B2060000}"/>
    <cellStyle name="Nuovo 20 3 2 2 2" xfId="26899" xr:uid="{3618DAC7-7F62-47A0-8C54-B88540EA02C2}"/>
    <cellStyle name="Nuovo 20 3 2 3" xfId="8083" xr:uid="{A8ECA68B-3215-4EA5-B83B-2291D676F514}"/>
    <cellStyle name="Nuovo 20 3 2 3 2" xfId="14084" xr:uid="{9959E310-618B-4A5C-B3A9-88C8FC874783}"/>
    <cellStyle name="Nuovo 20 3 2 4" xfId="26898" xr:uid="{6BBB6A8B-5694-4982-9847-13FF85E23600}"/>
    <cellStyle name="Nuovo 20 3 3" xfId="4140" xr:uid="{FA7120B4-F2EA-4B18-8870-925291E037C3}"/>
    <cellStyle name="Nuovo 20 3 3 2" xfId="9286" xr:uid="{FD3C2A68-023C-46C8-8AAD-642351264874}"/>
    <cellStyle name="Nuovo 20 3 3 2 2" xfId="26901" xr:uid="{2D2055F6-487D-423B-9B1B-5CBCB0967270}"/>
    <cellStyle name="Nuovo 20 3 3 3" xfId="26900" xr:uid="{1E0D7019-C07E-46E7-921B-F182AD9E194F}"/>
    <cellStyle name="Nuovo 20 3 4" xfId="4141" xr:uid="{F4742C02-B8A7-4197-A3B4-02427543E0C7}"/>
    <cellStyle name="Nuovo 20 3 4 2" xfId="13744" xr:uid="{CD21DF07-F5DC-4D35-9AE3-12E37CF8CD68}"/>
    <cellStyle name="Nuovo 20 3 4 3" xfId="26902" xr:uid="{32E4E636-CED1-4E71-A661-B2F2D3B1C432}"/>
    <cellStyle name="Nuovo 20 3 5" xfId="11168" xr:uid="{3EE3E568-510F-42D6-9790-C17ADD78C17B}"/>
    <cellStyle name="Nuovo 20 3 6" xfId="26897" xr:uid="{3FE60A8F-DDE9-42FE-9BF7-AB44906ACFFD}"/>
    <cellStyle name="Nuovo 20 4" xfId="2130" xr:uid="{00000000-0005-0000-0000-0000B3060000}"/>
    <cellStyle name="Nuovo 20 4 2" xfId="2131" xr:uid="{00000000-0005-0000-0000-0000B4060000}"/>
    <cellStyle name="Nuovo 20 4 2 2" xfId="9287" xr:uid="{62FC077E-DA6A-47AF-8B2A-E12DEA9C67F2}"/>
    <cellStyle name="Nuovo 20 4 2 2 2" xfId="26905" xr:uid="{DD39E68C-E667-4605-A11A-DCAC649C3DA8}"/>
    <cellStyle name="Nuovo 20 4 2 3" xfId="17864" xr:uid="{0D52ADBE-578F-46BB-8D57-D99C8345F69B}"/>
    <cellStyle name="Nuovo 20 4 2 4" xfId="26904" xr:uid="{543502C6-69B4-48C2-A9F3-8275C97ED810}"/>
    <cellStyle name="Nuovo 20 4 2 5" xfId="16995" xr:uid="{20FE1FC0-9B62-419C-9E4B-ADB49F63BB7E}"/>
    <cellStyle name="Nuovo 20 4 3" xfId="9288" xr:uid="{ECA4473F-0CA1-4471-BA38-F328B4EB9B11}"/>
    <cellStyle name="Nuovo 20 4 3 2" xfId="26906" xr:uid="{11A63F4B-4DA8-47CA-B334-6C8553A4957A}"/>
    <cellStyle name="Nuovo 20 4 4" xfId="26903" xr:uid="{19CFF423-01F7-481A-8FDE-F0AECF6F67A6}"/>
    <cellStyle name="Nuovo 20 5" xfId="2132" xr:uid="{00000000-0005-0000-0000-0000B5060000}"/>
    <cellStyle name="Nuovo 20 5 2" xfId="26907" xr:uid="{E66D1887-23AA-47A1-AAFE-0EF26071BE00}"/>
    <cellStyle name="Nuovo 20 6" xfId="4142" xr:uid="{042B3763-822C-4B3D-ADD5-8D2060976542}"/>
    <cellStyle name="Nuovo 20 6 2" xfId="9780" xr:uid="{8C1202AE-9BA0-43DC-8421-157D25E60532}"/>
    <cellStyle name="Nuovo 20 7" xfId="26894" xr:uid="{AF5E165B-FBC5-4473-8E10-B8A7993C81FB}"/>
    <cellStyle name="Nuovo 21" xfId="837" xr:uid="{00000000-0005-0000-0000-0000B6060000}"/>
    <cellStyle name="Nuovo 21 2" xfId="838" xr:uid="{00000000-0005-0000-0000-0000B7060000}"/>
    <cellStyle name="Nuovo 21 2 2" xfId="4143" xr:uid="{4FCC9E5D-23AC-4097-858A-DEEE69DC2237}"/>
    <cellStyle name="Nuovo 21 2 2 2" xfId="13531" xr:uid="{3835966C-FDB5-4943-BD00-9211BD5AB32E}"/>
    <cellStyle name="Nuovo 21 2 2 3" xfId="26910" xr:uid="{61E02F47-4534-4B55-8BF1-BF4DD57C4213}"/>
    <cellStyle name="Nuovo 21 2 3" xfId="13267" xr:uid="{4C348923-1D27-417F-93DB-27E3F01A6285}"/>
    <cellStyle name="Nuovo 21 2 4" xfId="26909" xr:uid="{9FFB159F-4D4E-4238-A5BB-964D9D6D7ACB}"/>
    <cellStyle name="Nuovo 21 3" xfId="839" xr:uid="{00000000-0005-0000-0000-0000B8060000}"/>
    <cellStyle name="Nuovo 21 3 2" xfId="840" xr:uid="{00000000-0005-0000-0000-0000B9060000}"/>
    <cellStyle name="Nuovo 21 3 2 2" xfId="2133" xr:uid="{00000000-0005-0000-0000-0000BA060000}"/>
    <cellStyle name="Nuovo 21 3 2 2 2" xfId="26913" xr:uid="{3DBCF29A-390A-4D35-9DA1-464543FE763B}"/>
    <cellStyle name="Nuovo 21 3 2 3" xfId="8084" xr:uid="{46DF2E57-C185-40BA-9F13-C4058784610C}"/>
    <cellStyle name="Nuovo 21 3 2 3 2" xfId="14085" xr:uid="{82321EDC-29F2-404D-B662-A5AD67256190}"/>
    <cellStyle name="Nuovo 21 3 2 4" xfId="26912" xr:uid="{D6FE727E-59AC-4F8D-95BD-5A3B960D08F6}"/>
    <cellStyle name="Nuovo 21 3 3" xfId="4144" xr:uid="{E46D2CAC-B7D0-43C9-892D-D9B54741D312}"/>
    <cellStyle name="Nuovo 21 3 3 2" xfId="9289" xr:uid="{E56BD314-6953-433B-8B6C-ECCEB3328936}"/>
    <cellStyle name="Nuovo 21 3 3 2 2" xfId="26915" xr:uid="{DFEC5A0F-A653-4BB7-997E-DDA0127E14A1}"/>
    <cellStyle name="Nuovo 21 3 3 3" xfId="26914" xr:uid="{7DE7B663-308E-4FD2-9BCB-C0A8D95A5859}"/>
    <cellStyle name="Nuovo 21 3 4" xfId="4145" xr:uid="{6FE9A12F-CFE3-4CC9-9C01-DDF910E5B743}"/>
    <cellStyle name="Nuovo 21 3 4 2" xfId="13745" xr:uid="{D9894C71-5ADF-4AC2-8FCE-F5106C77095C}"/>
    <cellStyle name="Nuovo 21 3 4 3" xfId="26916" xr:uid="{2C3C9C46-1B22-492B-A19B-3D88FFF69669}"/>
    <cellStyle name="Nuovo 21 3 5" xfId="11213" xr:uid="{D1017293-AA7A-433E-A7C1-0E300E6135F3}"/>
    <cellStyle name="Nuovo 21 3 6" xfId="26911" xr:uid="{496FBD82-649A-44B5-9AA9-B8353F5BC381}"/>
    <cellStyle name="Nuovo 21 4" xfId="2134" xr:uid="{00000000-0005-0000-0000-0000BB060000}"/>
    <cellStyle name="Nuovo 21 4 2" xfId="2135" xr:uid="{00000000-0005-0000-0000-0000BC060000}"/>
    <cellStyle name="Nuovo 21 4 2 2" xfId="9290" xr:uid="{88541B4E-2E4C-4E7B-8FD9-12E06D4A53F6}"/>
    <cellStyle name="Nuovo 21 4 2 2 2" xfId="26919" xr:uid="{DCAA7E5C-5026-4A6A-8C3B-3740C3B2478C}"/>
    <cellStyle name="Nuovo 21 4 2 3" xfId="17865" xr:uid="{865A2B65-72B9-4F43-B859-046D7D5C1801}"/>
    <cellStyle name="Nuovo 21 4 2 4" xfId="26918" xr:uid="{A7D3E78A-4501-4C4B-B716-9B2839DC5E83}"/>
    <cellStyle name="Nuovo 21 4 2 5" xfId="16994" xr:uid="{4B2E93D3-6DAA-4BAB-99C6-FB8842C9A926}"/>
    <cellStyle name="Nuovo 21 4 3" xfId="9291" xr:uid="{B97FC420-B54C-4D0F-A299-763C7407E88A}"/>
    <cellStyle name="Nuovo 21 4 3 2" xfId="26920" xr:uid="{4E855A64-67C8-4527-B36F-DAC1CF7211D5}"/>
    <cellStyle name="Nuovo 21 4 4" xfId="26917" xr:uid="{8896FAFE-07B8-4783-A3B2-055DB3C698D6}"/>
    <cellStyle name="Nuovo 21 5" xfId="2136" xr:uid="{00000000-0005-0000-0000-0000BD060000}"/>
    <cellStyle name="Nuovo 21 5 2" xfId="26921" xr:uid="{C4117D1C-6A8B-46B4-ACAC-47140F1A7383}"/>
    <cellStyle name="Nuovo 21 6" xfId="4146" xr:uid="{3A3FB840-1EB6-4965-9D89-22B6DB6D0BD6}"/>
    <cellStyle name="Nuovo 21 6 2" xfId="9781" xr:uid="{10DCCE7E-9FE7-4129-9DF0-F8F2516E710D}"/>
    <cellStyle name="Nuovo 21 7" xfId="26908" xr:uid="{A314BAD9-69F3-4976-8115-0D05E8089570}"/>
    <cellStyle name="Nuovo 22" xfId="841" xr:uid="{00000000-0005-0000-0000-0000BE060000}"/>
    <cellStyle name="Nuovo 22 2" xfId="842" xr:uid="{00000000-0005-0000-0000-0000BF060000}"/>
    <cellStyle name="Nuovo 22 2 2" xfId="4147" xr:uid="{190D5F54-5CAE-4DBC-A781-BFE482AAF63F}"/>
    <cellStyle name="Nuovo 22 2 2 2" xfId="13532" xr:uid="{AF42D2DE-DAC3-4CEC-A96C-1A73DBF8F076}"/>
    <cellStyle name="Nuovo 22 2 2 3" xfId="26924" xr:uid="{3EE2EC7F-2CC2-45E0-A74D-633A54A6BC2E}"/>
    <cellStyle name="Nuovo 22 2 3" xfId="13268" xr:uid="{3D651447-71A3-4153-AE09-1BF8F82C1AAF}"/>
    <cellStyle name="Nuovo 22 2 4" xfId="26923" xr:uid="{5F4ACDB5-3114-4A6E-AE62-855145B97412}"/>
    <cellStyle name="Nuovo 22 3" xfId="843" xr:uid="{00000000-0005-0000-0000-0000C0060000}"/>
    <cellStyle name="Nuovo 22 3 2" xfId="844" xr:uid="{00000000-0005-0000-0000-0000C1060000}"/>
    <cellStyle name="Nuovo 22 3 2 2" xfId="2137" xr:uid="{00000000-0005-0000-0000-0000C2060000}"/>
    <cellStyle name="Nuovo 22 3 2 2 2" xfId="26927" xr:uid="{9F64602D-7D66-4BAA-A21C-ADC74727261A}"/>
    <cellStyle name="Nuovo 22 3 2 3" xfId="8085" xr:uid="{4D90E068-A7A7-458D-BE60-D68B9E8953A6}"/>
    <cellStyle name="Nuovo 22 3 2 3 2" xfId="14086" xr:uid="{0F66BCF0-91A4-4352-9943-79FECC0924A4}"/>
    <cellStyle name="Nuovo 22 3 2 4" xfId="26926" xr:uid="{4AAFE26C-1190-4A25-8585-0A7628830735}"/>
    <cellStyle name="Nuovo 22 3 3" xfId="4148" xr:uid="{C98F360E-D3DB-4833-9FCC-FBFA2AB35062}"/>
    <cellStyle name="Nuovo 22 3 3 2" xfId="9292" xr:uid="{DDED313F-0434-41E3-9272-6EC311D80A73}"/>
    <cellStyle name="Nuovo 22 3 3 2 2" xfId="26929" xr:uid="{B236D636-28E3-494D-BC34-A5C3DAE17452}"/>
    <cellStyle name="Nuovo 22 3 3 3" xfId="26928" xr:uid="{8523AE93-D8BA-4286-8DEB-20584BCD25E2}"/>
    <cellStyle name="Nuovo 22 3 4" xfId="4149" xr:uid="{978C556F-C091-4EF3-A925-EB25B90AD6F3}"/>
    <cellStyle name="Nuovo 22 3 4 2" xfId="13746" xr:uid="{0AB1F027-3125-45CC-9446-4C07978D4D14}"/>
    <cellStyle name="Nuovo 22 3 4 3" xfId="26930" xr:uid="{F4EC456B-80DF-4FE3-8E84-D262DC1D0394}"/>
    <cellStyle name="Nuovo 22 3 5" xfId="12441" xr:uid="{DA71808A-93B4-46F5-9A6B-05B2CAC30642}"/>
    <cellStyle name="Nuovo 22 3 6" xfId="26925" xr:uid="{D6FBD180-A1F6-4420-9FCD-404B5942E0CB}"/>
    <cellStyle name="Nuovo 22 4" xfId="2138" xr:uid="{00000000-0005-0000-0000-0000C3060000}"/>
    <cellStyle name="Nuovo 22 4 2" xfId="2139" xr:uid="{00000000-0005-0000-0000-0000C4060000}"/>
    <cellStyle name="Nuovo 22 4 2 2" xfId="9293" xr:uid="{3BEB77F3-B40E-4DBF-9C32-144E1756DD50}"/>
    <cellStyle name="Nuovo 22 4 2 2 2" xfId="26933" xr:uid="{F73D5991-F436-4771-9B41-2C3458285F4C}"/>
    <cellStyle name="Nuovo 22 4 2 3" xfId="17866" xr:uid="{4C74D2E4-6664-48A8-840F-B7B04F438A18}"/>
    <cellStyle name="Nuovo 22 4 2 4" xfId="26932" xr:uid="{99595AE8-085C-4373-A851-98EA2F64CD6B}"/>
    <cellStyle name="Nuovo 22 4 2 5" xfId="16993" xr:uid="{3D3E100A-85C6-4CA9-A5E0-D03F4B7F05A8}"/>
    <cellStyle name="Nuovo 22 4 3" xfId="9294" xr:uid="{1A612FEE-693C-40A0-A36B-69102887DF72}"/>
    <cellStyle name="Nuovo 22 4 3 2" xfId="26934" xr:uid="{4E9CC583-B40A-43F6-82A5-2D032522A11C}"/>
    <cellStyle name="Nuovo 22 4 4" xfId="26931" xr:uid="{73F00FF1-A9B2-449C-A73C-39FBA2D16A75}"/>
    <cellStyle name="Nuovo 22 5" xfId="2140" xr:uid="{00000000-0005-0000-0000-0000C5060000}"/>
    <cellStyle name="Nuovo 22 5 2" xfId="26935" xr:uid="{7FF71506-D332-41BF-BCFC-67BAE9DE9987}"/>
    <cellStyle name="Nuovo 22 6" xfId="4150" xr:uid="{22ED8B9C-7D0C-44A3-B896-1D738241FB86}"/>
    <cellStyle name="Nuovo 22 6 2" xfId="9782" xr:uid="{AC88AF60-74BD-49E4-B7C8-97724859F800}"/>
    <cellStyle name="Nuovo 22 7" xfId="26922" xr:uid="{8C620ABC-984B-4D9D-87E2-2167F64FC60F}"/>
    <cellStyle name="Nuovo 23" xfId="845" xr:uid="{00000000-0005-0000-0000-0000C6060000}"/>
    <cellStyle name="Nuovo 23 2" xfId="846" xr:uid="{00000000-0005-0000-0000-0000C7060000}"/>
    <cellStyle name="Nuovo 23 2 2" xfId="4151" xr:uid="{7157CD31-4BAF-4EF6-839C-1BF23EFCA065}"/>
    <cellStyle name="Nuovo 23 2 2 2" xfId="13533" xr:uid="{427B8CFC-F87B-46D2-AA55-D09ADFC68975}"/>
    <cellStyle name="Nuovo 23 2 2 3" xfId="26938" xr:uid="{3FD1B108-CD1A-4DE2-BF36-31D72573611E}"/>
    <cellStyle name="Nuovo 23 2 3" xfId="13269" xr:uid="{7E809C5C-A02E-46FA-BB0C-C3EFCD1BAD14}"/>
    <cellStyle name="Nuovo 23 2 4" xfId="26937" xr:uid="{E6DCC4F0-B566-4394-9854-95886E56FFC7}"/>
    <cellStyle name="Nuovo 23 3" xfId="847" xr:uid="{00000000-0005-0000-0000-0000C8060000}"/>
    <cellStyle name="Nuovo 23 3 2" xfId="848" xr:uid="{00000000-0005-0000-0000-0000C9060000}"/>
    <cellStyle name="Nuovo 23 3 2 2" xfId="2141" xr:uid="{00000000-0005-0000-0000-0000CA060000}"/>
    <cellStyle name="Nuovo 23 3 2 2 2" xfId="26941" xr:uid="{C23081FC-61C7-4497-8328-045615CC728F}"/>
    <cellStyle name="Nuovo 23 3 2 3" xfId="8086" xr:uid="{532FE1A5-7649-4ADC-ABC9-8C60E9F8EEE6}"/>
    <cellStyle name="Nuovo 23 3 2 3 2" xfId="14087" xr:uid="{36FE240C-B563-49C5-8A61-6630A4B9D235}"/>
    <cellStyle name="Nuovo 23 3 2 4" xfId="26940" xr:uid="{54508881-C1C0-42F6-B055-0964718B9835}"/>
    <cellStyle name="Nuovo 23 3 3" xfId="4152" xr:uid="{14F9BE04-39CB-446F-93DE-2163740E8775}"/>
    <cellStyle name="Nuovo 23 3 3 2" xfId="9295" xr:uid="{AD1592CB-D337-4A8E-A738-874B40F32EA1}"/>
    <cellStyle name="Nuovo 23 3 3 2 2" xfId="26943" xr:uid="{620FECFA-4C72-4E93-BF73-8ACB0F07F12E}"/>
    <cellStyle name="Nuovo 23 3 3 3" xfId="26942" xr:uid="{BF90D167-7ADE-4CE1-8AB8-2B083DB9328B}"/>
    <cellStyle name="Nuovo 23 3 4" xfId="4153" xr:uid="{9DDA326C-DB94-4779-89B3-F731903B993B}"/>
    <cellStyle name="Nuovo 23 3 4 2" xfId="13747" xr:uid="{89D9B1C4-511D-4886-B0C9-BEA4965E9D11}"/>
    <cellStyle name="Nuovo 23 3 4 3" xfId="26944" xr:uid="{83EA0422-BA57-4AF4-ACB6-E940857373CD}"/>
    <cellStyle name="Nuovo 23 3 5" xfId="12257" xr:uid="{CD96B730-31F5-4CC8-9408-319B10E57DEC}"/>
    <cellStyle name="Nuovo 23 3 6" xfId="26939" xr:uid="{758A672E-CC6B-45BE-9042-85735A3062F4}"/>
    <cellStyle name="Nuovo 23 4" xfId="2142" xr:uid="{00000000-0005-0000-0000-0000CB060000}"/>
    <cellStyle name="Nuovo 23 4 2" xfId="2143" xr:uid="{00000000-0005-0000-0000-0000CC060000}"/>
    <cellStyle name="Nuovo 23 4 2 2" xfId="9296" xr:uid="{208A6234-EB87-467E-91D6-FDEDB8A15D78}"/>
    <cellStyle name="Nuovo 23 4 2 2 2" xfId="26947" xr:uid="{A3613FF5-942E-4482-8610-93EA81298BA0}"/>
    <cellStyle name="Nuovo 23 4 2 3" xfId="17867" xr:uid="{726438BD-E924-42F2-904C-E90E8F8743CC}"/>
    <cellStyle name="Nuovo 23 4 2 4" xfId="26946" xr:uid="{85D1FF94-AEB5-4973-85CF-509361A62265}"/>
    <cellStyle name="Nuovo 23 4 2 5" xfId="17479" xr:uid="{D1A88F4F-51F2-42BA-B7E0-208206310B85}"/>
    <cellStyle name="Nuovo 23 4 3" xfId="9297" xr:uid="{A79C7BD6-A2EB-4C6E-97E5-68E7DDF26468}"/>
    <cellStyle name="Nuovo 23 4 3 2" xfId="26948" xr:uid="{091A4766-522A-4997-87FC-7B5E641D71F2}"/>
    <cellStyle name="Nuovo 23 4 4" xfId="26945" xr:uid="{4CBCF245-1CA5-4DA8-9641-B24D824C4FB1}"/>
    <cellStyle name="Nuovo 23 5" xfId="2144" xr:uid="{00000000-0005-0000-0000-0000CD060000}"/>
    <cellStyle name="Nuovo 23 5 2" xfId="26949" xr:uid="{53F1E59F-ABA9-45BC-BF24-058DAB0B2D06}"/>
    <cellStyle name="Nuovo 23 6" xfId="4154" xr:uid="{D23FF2C2-A02C-4783-990C-742974AB7F70}"/>
    <cellStyle name="Nuovo 23 6 2" xfId="9783" xr:uid="{18ADBEE7-2A09-4C08-8F38-F5A7FD24D0D5}"/>
    <cellStyle name="Nuovo 23 7" xfId="26936" xr:uid="{8144A409-EE30-49AF-932A-24EF93D1949F}"/>
    <cellStyle name="Nuovo 24" xfId="849" xr:uid="{00000000-0005-0000-0000-0000CE060000}"/>
    <cellStyle name="Nuovo 24 2" xfId="850" xr:uid="{00000000-0005-0000-0000-0000CF060000}"/>
    <cellStyle name="Nuovo 24 2 2" xfId="4155" xr:uid="{07EF2E84-99D0-417C-8416-17D77CA7FEFD}"/>
    <cellStyle name="Nuovo 24 2 2 2" xfId="13534" xr:uid="{3D19811E-A749-4874-8EA7-176C1B7566DE}"/>
    <cellStyle name="Nuovo 24 2 2 3" xfId="26952" xr:uid="{C556097A-7E58-4C4A-8292-DB10169655BB}"/>
    <cellStyle name="Nuovo 24 2 3" xfId="13270" xr:uid="{3199F6F0-16DC-43F8-BEE6-784D690BFB98}"/>
    <cellStyle name="Nuovo 24 2 4" xfId="26951" xr:uid="{95E1236B-EA71-485D-A9FE-A4800B99BB2B}"/>
    <cellStyle name="Nuovo 24 3" xfId="851" xr:uid="{00000000-0005-0000-0000-0000D0060000}"/>
    <cellStyle name="Nuovo 24 3 2" xfId="852" xr:uid="{00000000-0005-0000-0000-0000D1060000}"/>
    <cellStyle name="Nuovo 24 3 2 2" xfId="2145" xr:uid="{00000000-0005-0000-0000-0000D2060000}"/>
    <cellStyle name="Nuovo 24 3 2 2 2" xfId="26955" xr:uid="{2EC2882D-EC61-4476-B42B-42690D5F8B56}"/>
    <cellStyle name="Nuovo 24 3 2 3" xfId="8087" xr:uid="{1BBBACE9-D904-4197-8444-F3BB646EE5A9}"/>
    <cellStyle name="Nuovo 24 3 2 3 2" xfId="14088" xr:uid="{4A581B01-9885-4DA2-B187-9ACDFC4739FD}"/>
    <cellStyle name="Nuovo 24 3 2 4" xfId="26954" xr:uid="{3C8CD56F-B18B-4D40-BCF3-5CD7BC4BCA3A}"/>
    <cellStyle name="Nuovo 24 3 3" xfId="4156" xr:uid="{56D43F84-2932-4CD3-BA6E-BF4F10A37A82}"/>
    <cellStyle name="Nuovo 24 3 3 2" xfId="9298" xr:uid="{E319618B-EF8F-470E-90C9-74A3F7100A43}"/>
    <cellStyle name="Nuovo 24 3 3 2 2" xfId="26957" xr:uid="{2555E9DC-14DF-4BF0-A90E-15E3065889F8}"/>
    <cellStyle name="Nuovo 24 3 3 3" xfId="26956" xr:uid="{FB91A124-528A-4F70-8824-3D8D01B30646}"/>
    <cellStyle name="Nuovo 24 3 4" xfId="4157" xr:uid="{470A1564-651A-4F1E-8B49-BC23ECDFCF37}"/>
    <cellStyle name="Nuovo 24 3 4 2" xfId="13748" xr:uid="{7252FCA1-AFC4-4B89-847A-334395A576BD}"/>
    <cellStyle name="Nuovo 24 3 4 3" xfId="26958" xr:uid="{1F943625-1B52-43DB-907B-BA3300D7A66C}"/>
    <cellStyle name="Nuovo 24 3 5" xfId="11127" xr:uid="{8FBA518D-FA75-4C37-B3FC-68937CAACC0D}"/>
    <cellStyle name="Nuovo 24 3 6" xfId="26953" xr:uid="{D7857E65-CE03-4CDF-9FE5-B60C11FAF06F}"/>
    <cellStyle name="Nuovo 24 4" xfId="2146" xr:uid="{00000000-0005-0000-0000-0000D3060000}"/>
    <cellStyle name="Nuovo 24 4 2" xfId="2147" xr:uid="{00000000-0005-0000-0000-0000D4060000}"/>
    <cellStyle name="Nuovo 24 4 2 2" xfId="9299" xr:uid="{51F42825-DAAC-46EF-A0B5-26D9C14FB498}"/>
    <cellStyle name="Nuovo 24 4 2 2 2" xfId="26961" xr:uid="{F2F8F5C6-4DEE-4A34-97D8-46DCCFDA7AC0}"/>
    <cellStyle name="Nuovo 24 4 2 3" xfId="17868" xr:uid="{67071843-D935-46FE-A6EF-79FC172B36C3}"/>
    <cellStyle name="Nuovo 24 4 2 4" xfId="26960" xr:uid="{A3B0CFAE-8897-44B9-9D06-0C69F2623849}"/>
    <cellStyle name="Nuovo 24 4 2 5" xfId="17481" xr:uid="{17E735F9-0AAE-40C6-A0D8-74D9930580C5}"/>
    <cellStyle name="Nuovo 24 4 3" xfId="9300" xr:uid="{21C4C983-F336-4523-91F9-01EE8E1A3C54}"/>
    <cellStyle name="Nuovo 24 4 3 2" xfId="26962" xr:uid="{4823D8C7-1344-430F-B66E-F24D7A2A649C}"/>
    <cellStyle name="Nuovo 24 4 4" xfId="26959" xr:uid="{7B237A87-2426-425B-9276-59C40410DF16}"/>
    <cellStyle name="Nuovo 24 5" xfId="2148" xr:uid="{00000000-0005-0000-0000-0000D5060000}"/>
    <cellStyle name="Nuovo 24 5 2" xfId="26963" xr:uid="{2DEACB00-F916-4EEA-819E-FFFE0DEF8255}"/>
    <cellStyle name="Nuovo 24 6" xfId="4158" xr:uid="{0962563C-1A01-4B00-B3AD-1CE8D47F7A08}"/>
    <cellStyle name="Nuovo 24 6 2" xfId="9784" xr:uid="{C16A3C2E-2ADD-4D9C-A467-B653D77E9348}"/>
    <cellStyle name="Nuovo 24 7" xfId="26950" xr:uid="{89225950-EDA2-4B72-BBF1-06B43CF715E7}"/>
    <cellStyle name="Nuovo 25" xfId="853" xr:uid="{00000000-0005-0000-0000-0000D6060000}"/>
    <cellStyle name="Nuovo 25 2" xfId="854" xr:uid="{00000000-0005-0000-0000-0000D7060000}"/>
    <cellStyle name="Nuovo 25 2 2" xfId="4159" xr:uid="{D8170EE6-B489-4C48-990E-0EA828ED6D8B}"/>
    <cellStyle name="Nuovo 25 2 2 2" xfId="13535" xr:uid="{9F5FAB29-339A-485F-91DA-C74F41D0F175}"/>
    <cellStyle name="Nuovo 25 2 2 3" xfId="26966" xr:uid="{017F06E5-A4FE-414D-AE3C-13697F768A5C}"/>
    <cellStyle name="Nuovo 25 2 3" xfId="13271" xr:uid="{3DCCCFC5-0996-4963-909A-C8BCFEBEBEDD}"/>
    <cellStyle name="Nuovo 25 2 4" xfId="26965" xr:uid="{4BAB185A-1348-4D36-8ED6-DF2D9112A9FB}"/>
    <cellStyle name="Nuovo 25 3" xfId="855" xr:uid="{00000000-0005-0000-0000-0000D8060000}"/>
    <cellStyle name="Nuovo 25 3 2" xfId="856" xr:uid="{00000000-0005-0000-0000-0000D9060000}"/>
    <cellStyle name="Nuovo 25 3 2 2" xfId="2149" xr:uid="{00000000-0005-0000-0000-0000DA060000}"/>
    <cellStyle name="Nuovo 25 3 2 2 2" xfId="26969" xr:uid="{EA5FFE06-443E-4A8B-B368-CBD854B77467}"/>
    <cellStyle name="Nuovo 25 3 2 3" xfId="8088" xr:uid="{CE1E4BED-43CE-4C49-8B2A-D01A356EB35E}"/>
    <cellStyle name="Nuovo 25 3 2 3 2" xfId="14089" xr:uid="{92220596-EC5C-4F70-B01B-74DEDE0E8ADF}"/>
    <cellStyle name="Nuovo 25 3 2 4" xfId="26968" xr:uid="{C9E43AD9-5728-4B27-B8A8-5B7AFE41B552}"/>
    <cellStyle name="Nuovo 25 3 3" xfId="4160" xr:uid="{76D5FDE6-7908-477A-B000-AC5DEAA09139}"/>
    <cellStyle name="Nuovo 25 3 3 2" xfId="9301" xr:uid="{C1997639-D819-4441-8F2B-2296D4F0F47B}"/>
    <cellStyle name="Nuovo 25 3 3 2 2" xfId="26971" xr:uid="{BE54E165-90C2-4D5B-991F-5071F315955E}"/>
    <cellStyle name="Nuovo 25 3 3 3" xfId="26970" xr:uid="{BA8552D3-F79E-41B0-86D4-FE3E1881B850}"/>
    <cellStyle name="Nuovo 25 3 4" xfId="4161" xr:uid="{A6A4EB4B-270C-43EE-B8BA-36DEC1EAEC6B}"/>
    <cellStyle name="Nuovo 25 3 4 2" xfId="13749" xr:uid="{D27E7559-59D4-4EA4-AF54-D1170C85BCCD}"/>
    <cellStyle name="Nuovo 25 3 4 3" xfId="26972" xr:uid="{28FCC7F2-3FAE-44E2-BA40-AB909C47C160}"/>
    <cellStyle name="Nuovo 25 3 5" xfId="11212" xr:uid="{37229BE2-A995-4B2A-A638-621B3A42E422}"/>
    <cellStyle name="Nuovo 25 3 6" xfId="26967" xr:uid="{6C0CE3EC-25A3-4675-BCC8-BE3861A5E9A0}"/>
    <cellStyle name="Nuovo 25 4" xfId="2150" xr:uid="{00000000-0005-0000-0000-0000DB060000}"/>
    <cellStyle name="Nuovo 25 4 2" xfId="2151" xr:uid="{00000000-0005-0000-0000-0000DC060000}"/>
    <cellStyle name="Nuovo 25 4 2 2" xfId="9302" xr:uid="{C7DEDADA-7E6C-44AD-BB82-9872BC911F01}"/>
    <cellStyle name="Nuovo 25 4 2 2 2" xfId="26975" xr:uid="{1FFD4884-956D-4D13-A7AB-5D32E23F3271}"/>
    <cellStyle name="Nuovo 25 4 2 3" xfId="17869" xr:uid="{E8247006-6F2E-4563-A2C9-425ED3727F4B}"/>
    <cellStyle name="Nuovo 25 4 2 4" xfId="26974" xr:uid="{821890DF-3CF0-4A0F-B1BC-2F3000802409}"/>
    <cellStyle name="Nuovo 25 4 2 5" xfId="17482" xr:uid="{B0E86E53-D7B5-4B5F-BF16-DB5F83A075EC}"/>
    <cellStyle name="Nuovo 25 4 3" xfId="9303" xr:uid="{DF6A0FA5-0BC6-4C90-A318-B078CF48A6BA}"/>
    <cellStyle name="Nuovo 25 4 3 2" xfId="26976" xr:uid="{EDA163A3-5717-493E-B4C6-D77030A5A4DC}"/>
    <cellStyle name="Nuovo 25 4 4" xfId="26973" xr:uid="{9AB378B0-E4C6-4E40-9A60-8937B8C37E1E}"/>
    <cellStyle name="Nuovo 25 5" xfId="2152" xr:uid="{00000000-0005-0000-0000-0000DD060000}"/>
    <cellStyle name="Nuovo 25 5 2" xfId="26977" xr:uid="{78B82A02-3059-4A38-AEC0-F19EF4F93B47}"/>
    <cellStyle name="Nuovo 25 6" xfId="4162" xr:uid="{74402205-FB7F-4276-8DFE-E6124C7D96FD}"/>
    <cellStyle name="Nuovo 25 6 2" xfId="9785" xr:uid="{26265561-0006-46BB-ABF2-ADBCCF2B0883}"/>
    <cellStyle name="Nuovo 25 7" xfId="26964" xr:uid="{2297E1B2-BF69-43F5-8D7D-F1C6B3747FE6}"/>
    <cellStyle name="Nuovo 26" xfId="857" xr:uid="{00000000-0005-0000-0000-0000DE060000}"/>
    <cellStyle name="Nuovo 26 2" xfId="858" xr:uid="{00000000-0005-0000-0000-0000DF060000}"/>
    <cellStyle name="Nuovo 26 2 2" xfId="4163" xr:uid="{EF14F0FD-8A37-4CE3-A40E-3CE8534B8C5B}"/>
    <cellStyle name="Nuovo 26 2 2 2" xfId="13536" xr:uid="{2217D1C9-EA97-4996-9322-2BD6E797FEFE}"/>
    <cellStyle name="Nuovo 26 2 2 3" xfId="26980" xr:uid="{DFF117F4-1366-45C8-BF2D-EBE80C57BF72}"/>
    <cellStyle name="Nuovo 26 2 3" xfId="13272" xr:uid="{D4156714-7C64-4C2C-8E3A-F7D7D426A896}"/>
    <cellStyle name="Nuovo 26 2 4" xfId="26979" xr:uid="{90798280-258D-498B-A420-EB576C538EE1}"/>
    <cellStyle name="Nuovo 26 3" xfId="859" xr:uid="{00000000-0005-0000-0000-0000E0060000}"/>
    <cellStyle name="Nuovo 26 3 2" xfId="860" xr:uid="{00000000-0005-0000-0000-0000E1060000}"/>
    <cellStyle name="Nuovo 26 3 2 2" xfId="2153" xr:uid="{00000000-0005-0000-0000-0000E2060000}"/>
    <cellStyle name="Nuovo 26 3 2 2 2" xfId="26983" xr:uid="{AABF13E1-B45F-4E4B-A059-B4F8AD127FB0}"/>
    <cellStyle name="Nuovo 26 3 2 3" xfId="8089" xr:uid="{94E36746-D424-467D-A2C1-8F1930F09992}"/>
    <cellStyle name="Nuovo 26 3 2 3 2" xfId="14090" xr:uid="{E0D52043-4D25-4F7F-A00A-D55598B2447B}"/>
    <cellStyle name="Nuovo 26 3 2 3 3" xfId="26984" xr:uid="{8C5F94D3-BE10-459A-BA03-50EDAB9623D0}"/>
    <cellStyle name="Nuovo 26 3 2 4" xfId="26982" xr:uid="{28E170CB-4ADD-4545-8699-4F692FC81332}"/>
    <cellStyle name="Nuovo 26 3 3" xfId="4164" xr:uid="{D276A25C-4144-498C-9A7D-2D275B778B96}"/>
    <cellStyle name="Nuovo 26 3 3 2" xfId="9304" xr:uid="{2A2F734C-D9D5-4D7A-96E3-9C052A0EBB52}"/>
    <cellStyle name="Nuovo 26 3 3 2 2" xfId="26986" xr:uid="{64566191-182C-48FD-9228-FA59C38F1C9E}"/>
    <cellStyle name="Nuovo 26 3 3 3" xfId="26987" xr:uid="{7A2044E9-5CB3-4E1F-9DBD-5257BF253A5A}"/>
    <cellStyle name="Nuovo 26 3 3 3 2" xfId="48982" xr:uid="{1C5B3DCB-C0A0-4D0B-8815-02129E5717A8}"/>
    <cellStyle name="Nuovo 26 3 3 4" xfId="26985" xr:uid="{76903C65-BE79-4711-AC88-2513F2B772A0}"/>
    <cellStyle name="Nuovo 26 3 4" xfId="4165" xr:uid="{6B877239-17AA-4D20-8268-EBA90573F64C}"/>
    <cellStyle name="Nuovo 26 3 4 2" xfId="13750" xr:uid="{D18D1676-DA70-4BCD-8045-2A7FB9680B90}"/>
    <cellStyle name="Nuovo 26 3 4 3" xfId="26988" xr:uid="{4A98CBFB-EC72-423B-AC1A-C643791D1B48}"/>
    <cellStyle name="Nuovo 26 3 5" xfId="11525" xr:uid="{D694070D-B0ED-4A0C-81F8-7E336C4C7110}"/>
    <cellStyle name="Nuovo 26 3 6" xfId="26981" xr:uid="{06D89117-333E-47BA-9FDC-77497AE221FE}"/>
    <cellStyle name="Nuovo 26 4" xfId="2154" xr:uid="{00000000-0005-0000-0000-0000E3060000}"/>
    <cellStyle name="Nuovo 26 4 2" xfId="2155" xr:uid="{00000000-0005-0000-0000-0000E4060000}"/>
    <cellStyle name="Nuovo 26 4 2 2" xfId="9305" xr:uid="{2EFBC1D8-521B-4D92-8BED-05A2E96DD197}"/>
    <cellStyle name="Nuovo 26 4 2 2 2" xfId="26991" xr:uid="{95ADC8BB-BD55-4E72-AE9B-06198DF6F369}"/>
    <cellStyle name="Nuovo 26 4 2 3" xfId="17870" xr:uid="{01A8D4E6-B6B0-4D70-B7D5-E0D948E2E1A7}"/>
    <cellStyle name="Nuovo 26 4 2 3 2" xfId="26992" xr:uid="{F1C808A6-3305-4F8A-8AF6-CB0910926AC6}"/>
    <cellStyle name="Nuovo 26 4 2 4" xfId="26990" xr:uid="{410497B3-B2E5-4245-A106-6B65F46962C7}"/>
    <cellStyle name="Nuovo 26 4 2 5" xfId="17483" xr:uid="{1C3EFE3D-E838-4085-A428-5E081D7FECB9}"/>
    <cellStyle name="Nuovo 26 4 3" xfId="9306" xr:uid="{5C6B8450-F27D-49B8-948B-D0FB2C2C4D31}"/>
    <cellStyle name="Nuovo 26 4 3 2" xfId="26993" xr:uid="{06769474-708F-4B0B-B66C-3FCECFAEC92E}"/>
    <cellStyle name="Nuovo 26 4 4" xfId="26994" xr:uid="{B6A5D8C9-5A39-46B4-8051-DF98D31DBD56}"/>
    <cellStyle name="Nuovo 26 4 4 2" xfId="48983" xr:uid="{EEDD10D2-1B28-4FC2-9050-F2F61054D30E}"/>
    <cellStyle name="Nuovo 26 4 5" xfId="26995" xr:uid="{D28E0155-EED8-4C32-8585-BC3A3EA79288}"/>
    <cellStyle name="Nuovo 26 4 6" xfId="26989" xr:uid="{CD9D3ED0-B880-42ED-9B0A-9EE3EA0D9FCC}"/>
    <cellStyle name="Nuovo 26 5" xfId="2156" xr:uid="{00000000-0005-0000-0000-0000E5060000}"/>
    <cellStyle name="Nuovo 26 5 2" xfId="26997" xr:uid="{90C97666-E77D-4A07-A65A-08ACF63A96D7}"/>
    <cellStyle name="Nuovo 26 5 2 2" xfId="48984" xr:uid="{3675AF6A-7347-4FEC-AD77-C5470B62BF08}"/>
    <cellStyle name="Nuovo 26 5 3" xfId="26998" xr:uid="{42BB239D-EBB1-4562-BFDF-41F5F2D329AB}"/>
    <cellStyle name="Nuovo 26 5 4" xfId="26996" xr:uid="{DD69BD77-B63C-4DC8-BD8F-AA37A0E6CD68}"/>
    <cellStyle name="Nuovo 26 6" xfId="4166" xr:uid="{BFD5F675-45CF-4014-BDC9-8E5281593A98}"/>
    <cellStyle name="Nuovo 26 6 2" xfId="9786" xr:uid="{06822B21-48A3-4B92-BDBC-E68AAE961D52}"/>
    <cellStyle name="Nuovo 26 7" xfId="26978" xr:uid="{73D118E2-7B80-41EE-AA10-8DF3A342FE98}"/>
    <cellStyle name="Nuovo 27" xfId="861" xr:uid="{00000000-0005-0000-0000-0000E6060000}"/>
    <cellStyle name="Nuovo 27 2" xfId="862" xr:uid="{00000000-0005-0000-0000-0000E7060000}"/>
    <cellStyle name="Nuovo 27 2 2" xfId="4167" xr:uid="{1F728945-5824-486B-9260-438B6B452C93}"/>
    <cellStyle name="Nuovo 27 2 2 2" xfId="13537" xr:uid="{ADC6E738-3D29-43C2-8AF6-D9D060A280E5}"/>
    <cellStyle name="Nuovo 27 2 2 3" xfId="27001" xr:uid="{29B249B4-AB44-4ADA-A952-246358690BA8}"/>
    <cellStyle name="Nuovo 27 2 3" xfId="13273" xr:uid="{3B9E0D04-55A2-43A1-94C3-38810649E02D}"/>
    <cellStyle name="Nuovo 27 2 3 2" xfId="27002" xr:uid="{DF7C1C4C-DB32-4505-9A96-2F598154F937}"/>
    <cellStyle name="Nuovo 27 2 4" xfId="27003" xr:uid="{19BD68A2-98C0-4C0E-B74A-FCC35D3C684C}"/>
    <cellStyle name="Nuovo 27 2 5" xfId="27000" xr:uid="{D32CBADF-9E1A-48E4-8DF2-F4FF033B8BFD}"/>
    <cellStyle name="Nuovo 27 3" xfId="863" xr:uid="{00000000-0005-0000-0000-0000E8060000}"/>
    <cellStyle name="Nuovo 27 3 2" xfId="864" xr:uid="{00000000-0005-0000-0000-0000E9060000}"/>
    <cellStyle name="Nuovo 27 3 2 2" xfId="2157" xr:uid="{00000000-0005-0000-0000-0000EA060000}"/>
    <cellStyle name="Nuovo 27 3 2 2 2" xfId="27006" xr:uid="{43A580AF-16BC-4A2B-B87A-27D227A1BA35}"/>
    <cellStyle name="Nuovo 27 3 2 3" xfId="8090" xr:uid="{7E9E3C4F-E111-4718-A1CD-22198948FB71}"/>
    <cellStyle name="Nuovo 27 3 2 3 2" xfId="14091" xr:uid="{AE34A3A1-F6DA-4ACF-B43A-FE1B6FA52A7C}"/>
    <cellStyle name="Nuovo 27 3 2 3 3" xfId="27007" xr:uid="{3C4B8813-F57E-4AE9-9005-51B9B89BF5BD}"/>
    <cellStyle name="Nuovo 27 3 2 4" xfId="27005" xr:uid="{2260AE4F-94E4-457F-9641-96D226346A59}"/>
    <cellStyle name="Nuovo 27 3 3" xfId="4168" xr:uid="{3D8CBF6F-3206-4603-B160-2B5A35715C28}"/>
    <cellStyle name="Nuovo 27 3 3 2" xfId="9307" xr:uid="{C789D64D-E054-48DD-ABC2-8826B9B861E4}"/>
    <cellStyle name="Nuovo 27 3 3 2 2" xfId="27009" xr:uid="{B194616D-5E8E-47C6-9B69-C8B3B98034BE}"/>
    <cellStyle name="Nuovo 27 3 3 3" xfId="27010" xr:uid="{D66AE1AE-8A38-419F-A542-8D54C08D90F1}"/>
    <cellStyle name="Nuovo 27 3 3 3 2" xfId="48985" xr:uid="{E2A5282C-CA1C-441F-8C8B-1C8B73C5AC4E}"/>
    <cellStyle name="Nuovo 27 3 3 4" xfId="27008" xr:uid="{DE7A8F8F-673F-4373-AF41-D921738AEB70}"/>
    <cellStyle name="Nuovo 27 3 4" xfId="4169" xr:uid="{87E1DEC4-2B49-4E49-8D5C-702822A341A5}"/>
    <cellStyle name="Nuovo 27 3 4 2" xfId="13751" xr:uid="{DEE0B21C-87CD-4B55-B4EB-7ACE770698FA}"/>
    <cellStyle name="Nuovo 27 3 4 3" xfId="27011" xr:uid="{10064725-131E-435B-BCB8-456295D14AF0}"/>
    <cellStyle name="Nuovo 27 3 5" xfId="12292" xr:uid="{D36D05FE-8DDF-4F01-8C98-6CFD84875D48}"/>
    <cellStyle name="Nuovo 27 3 5 2" xfId="27012" xr:uid="{C52B07CA-CCE0-4E56-97FE-0256ACE83794}"/>
    <cellStyle name="Nuovo 27 3 6" xfId="27013" xr:uid="{DA4ACAFF-5669-4949-AA49-F32F31FFA7DD}"/>
    <cellStyle name="Nuovo 27 3 7" xfId="27004" xr:uid="{E7B00F36-0258-4EAC-9027-36DF98AEF0E0}"/>
    <cellStyle name="Nuovo 27 4" xfId="2158" xr:uid="{00000000-0005-0000-0000-0000EB060000}"/>
    <cellStyle name="Nuovo 27 4 2" xfId="2159" xr:uid="{00000000-0005-0000-0000-0000EC060000}"/>
    <cellStyle name="Nuovo 27 4 2 2" xfId="9308" xr:uid="{CD1D1EF6-CCDD-45D5-9894-EF4F46638985}"/>
    <cellStyle name="Nuovo 27 4 2 2 2" xfId="27016" xr:uid="{4833EFD1-03DA-4B4C-8362-D221C871D2C8}"/>
    <cellStyle name="Nuovo 27 4 2 3" xfId="17871" xr:uid="{82AA1000-B2A1-42D2-AFA4-E54AE547BE3D}"/>
    <cellStyle name="Nuovo 27 4 2 3 2" xfId="27017" xr:uid="{F3EA65CC-B299-4BD2-8900-8E0C0C60DCA0}"/>
    <cellStyle name="Nuovo 27 4 2 4" xfId="27015" xr:uid="{F6C8BE89-4D81-4D62-8655-2815EF72E4C9}"/>
    <cellStyle name="Nuovo 27 4 2 5" xfId="17484" xr:uid="{CE95577F-FF77-485E-8065-0A4D6691A69D}"/>
    <cellStyle name="Nuovo 27 4 3" xfId="9309" xr:uid="{648FEC54-3B69-4191-882A-7807F0390925}"/>
    <cellStyle name="Nuovo 27 4 3 2" xfId="27018" xr:uid="{EB5BF957-9667-4A41-BFCC-6A41C2C84882}"/>
    <cellStyle name="Nuovo 27 4 4" xfId="27019" xr:uid="{BE3BBB84-825C-4212-8256-3D23E8778705}"/>
    <cellStyle name="Nuovo 27 4 4 2" xfId="48986" xr:uid="{F495EC05-5524-4BAC-B164-1BF72F9BBED2}"/>
    <cellStyle name="Nuovo 27 4 5" xfId="27020" xr:uid="{F1432F30-CBB2-418E-9088-F76ECD6149D7}"/>
    <cellStyle name="Nuovo 27 4 6" xfId="27014" xr:uid="{9E3E4A5D-B36E-4883-9A9F-0611C9BBBF20}"/>
    <cellStyle name="Nuovo 27 5" xfId="2160" xr:uid="{00000000-0005-0000-0000-0000ED060000}"/>
    <cellStyle name="Nuovo 27 5 2" xfId="27022" xr:uid="{98CB5B47-7351-4B1B-B936-6F3F207406B1}"/>
    <cellStyle name="Nuovo 27 5 2 2" xfId="48987" xr:uid="{7F35B425-7281-4465-9480-433ECDC5B41A}"/>
    <cellStyle name="Nuovo 27 5 3" xfId="27023" xr:uid="{76C2F13C-79C8-4F36-A936-B075BD0D61C0}"/>
    <cellStyle name="Nuovo 27 5 4" xfId="27021" xr:uid="{7D6D5053-83E9-466C-B9B4-862B54B6784B}"/>
    <cellStyle name="Nuovo 27 6" xfId="4170" xr:uid="{82E0C6F6-CF92-44FB-A4C7-EA23D3D1C610}"/>
    <cellStyle name="Nuovo 27 6 2" xfId="9787" xr:uid="{2CFC2FD0-10D9-4F6E-A850-ACA13D6FA110}"/>
    <cellStyle name="Nuovo 27 6 3" xfId="27024" xr:uid="{34C42F56-7767-49F2-ACED-B5D3CDFDB34B}"/>
    <cellStyle name="Nuovo 27 7" xfId="26999" xr:uid="{EC3ADD76-CA6D-4CCB-8E44-A6C1BF96ABD1}"/>
    <cellStyle name="Nuovo 28" xfId="865" xr:uid="{00000000-0005-0000-0000-0000EE060000}"/>
    <cellStyle name="Nuovo 28 2" xfId="866" xr:uid="{00000000-0005-0000-0000-0000EF060000}"/>
    <cellStyle name="Nuovo 28 2 2" xfId="4171" xr:uid="{9DE10C6A-FE3D-43FF-946A-165F4E283575}"/>
    <cellStyle name="Nuovo 28 2 2 2" xfId="13538" xr:uid="{EDCE01BA-E4DF-4651-B0F1-26BF1DD3CBB0}"/>
    <cellStyle name="Nuovo 28 2 2 3" xfId="27027" xr:uid="{68CAE817-C56D-48BD-8912-C7B9B16EC53D}"/>
    <cellStyle name="Nuovo 28 2 3" xfId="13274" xr:uid="{A2973573-094F-44BE-BBDA-9D25EABE9D1E}"/>
    <cellStyle name="Nuovo 28 2 3 2" xfId="27028" xr:uid="{1BDE885C-C5DA-47F7-A7A1-C72EC0C36AF6}"/>
    <cellStyle name="Nuovo 28 2 4" xfId="27029" xr:uid="{64B6D246-DFC2-4A32-A73B-9638DB746B25}"/>
    <cellStyle name="Nuovo 28 2 5" xfId="27026" xr:uid="{459FABE7-F54C-4FB2-B271-129DA9D0D736}"/>
    <cellStyle name="Nuovo 28 3" xfId="867" xr:uid="{00000000-0005-0000-0000-0000F0060000}"/>
    <cellStyle name="Nuovo 28 3 2" xfId="868" xr:uid="{00000000-0005-0000-0000-0000F1060000}"/>
    <cellStyle name="Nuovo 28 3 2 2" xfId="2161" xr:uid="{00000000-0005-0000-0000-0000F2060000}"/>
    <cellStyle name="Nuovo 28 3 2 2 2" xfId="27032" xr:uid="{FFD89313-B6FC-4B87-B1A7-B375BAB190CB}"/>
    <cellStyle name="Nuovo 28 3 2 3" xfId="8091" xr:uid="{1F771462-38B1-455D-AE2E-C354033B478A}"/>
    <cellStyle name="Nuovo 28 3 2 3 2" xfId="14092" xr:uid="{01E14D76-B450-40B7-AA77-A613F146F358}"/>
    <cellStyle name="Nuovo 28 3 2 3 3" xfId="27033" xr:uid="{A63EE8C3-B05F-4B54-9F00-70FBE8832751}"/>
    <cellStyle name="Nuovo 28 3 2 4" xfId="27031" xr:uid="{EA6DCFB0-4E23-4AA3-9049-22758FF7D985}"/>
    <cellStyle name="Nuovo 28 3 3" xfId="4172" xr:uid="{3D0B2B9F-C859-40DC-818C-F674FD5D97AC}"/>
    <cellStyle name="Nuovo 28 3 3 2" xfId="9310" xr:uid="{04E1E97C-4D13-4B96-8A05-E3B6D4260140}"/>
    <cellStyle name="Nuovo 28 3 3 2 2" xfId="27035" xr:uid="{0ED43991-74D4-4D44-9807-35F0E07216EC}"/>
    <cellStyle name="Nuovo 28 3 3 3" xfId="27036" xr:uid="{6FD50CA1-7918-45FA-9FE3-23E59E8C4255}"/>
    <cellStyle name="Nuovo 28 3 3 3 2" xfId="48988" xr:uid="{581B5636-19E7-47AC-935B-D826152DC248}"/>
    <cellStyle name="Nuovo 28 3 3 4" xfId="27034" xr:uid="{669272D9-7827-4C11-AAD7-366AF43BAAF8}"/>
    <cellStyle name="Nuovo 28 3 4" xfId="4173" xr:uid="{3E3BC6D1-600C-4056-BFE1-E2376EFB2EBF}"/>
    <cellStyle name="Nuovo 28 3 4 2" xfId="13752" xr:uid="{21A086AD-99BB-4CF1-8E14-9491E4F2BB3C}"/>
    <cellStyle name="Nuovo 28 3 4 3" xfId="27037" xr:uid="{270DF688-092C-4488-A5B4-E2A24B9ADF29}"/>
    <cellStyle name="Nuovo 28 3 5" xfId="12291" xr:uid="{7A77D1A4-DBC3-4942-AC1E-42245EA9035A}"/>
    <cellStyle name="Nuovo 28 3 5 2" xfId="27038" xr:uid="{ED24C9F9-449A-4BBB-AE7C-22D5B67DF35D}"/>
    <cellStyle name="Nuovo 28 3 6" xfId="27039" xr:uid="{2D6CA83D-645A-4F2A-A5DD-575F2A25DC74}"/>
    <cellStyle name="Nuovo 28 3 7" xfId="27030" xr:uid="{B6E15135-F125-435C-AEE4-9FACE4BF58DB}"/>
    <cellStyle name="Nuovo 28 4" xfId="2162" xr:uid="{00000000-0005-0000-0000-0000F3060000}"/>
    <cellStyle name="Nuovo 28 4 2" xfId="2163" xr:uid="{00000000-0005-0000-0000-0000F4060000}"/>
    <cellStyle name="Nuovo 28 4 2 2" xfId="9311" xr:uid="{CB292B8B-67FA-495F-8896-ABC62D287F52}"/>
    <cellStyle name="Nuovo 28 4 2 2 2" xfId="27042" xr:uid="{86E44C93-E077-41D8-8469-7D7E545CDD07}"/>
    <cellStyle name="Nuovo 28 4 2 3" xfId="17872" xr:uid="{29A91B33-18FB-4BEB-9F2D-8EF923DAD7D1}"/>
    <cellStyle name="Nuovo 28 4 2 3 2" xfId="27043" xr:uid="{CBF5F259-7CDF-4B0C-9AAB-5D858F12217A}"/>
    <cellStyle name="Nuovo 28 4 2 4" xfId="27041" xr:uid="{E1444A47-24B7-489F-AF63-EF5D64058008}"/>
    <cellStyle name="Nuovo 28 4 2 5" xfId="17485" xr:uid="{6D551685-EA9E-49BC-A073-422F363DD6B8}"/>
    <cellStyle name="Nuovo 28 4 3" xfId="9312" xr:uid="{5069DDCD-D354-4A47-829C-AEDE85C75C82}"/>
    <cellStyle name="Nuovo 28 4 3 2" xfId="27044" xr:uid="{6E9B80A0-27DC-4109-A70E-3FB2D35ADA35}"/>
    <cellStyle name="Nuovo 28 4 4" xfId="27045" xr:uid="{4B8E075A-EB00-4A1C-B7D9-306211032246}"/>
    <cellStyle name="Nuovo 28 4 4 2" xfId="48989" xr:uid="{70C45A30-7BE2-41A4-9839-70796AA4A29A}"/>
    <cellStyle name="Nuovo 28 4 5" xfId="27046" xr:uid="{8890A385-35A1-48E9-AF58-3F52A23B4453}"/>
    <cellStyle name="Nuovo 28 4 6" xfId="27040" xr:uid="{66084D60-3E47-4041-B4B7-36E8E1DE79CF}"/>
    <cellStyle name="Nuovo 28 5" xfId="2164" xr:uid="{00000000-0005-0000-0000-0000F5060000}"/>
    <cellStyle name="Nuovo 28 5 2" xfId="27048" xr:uid="{80D85BDA-4BD8-466F-A728-687E9A95E43B}"/>
    <cellStyle name="Nuovo 28 5 2 2" xfId="48990" xr:uid="{BE3009F8-D243-4001-A46D-9B77DBA2FB39}"/>
    <cellStyle name="Nuovo 28 5 3" xfId="27049" xr:uid="{4CFD1199-C71F-44D9-AA46-BBE09A4FDF4A}"/>
    <cellStyle name="Nuovo 28 5 4" xfId="27047" xr:uid="{98FAA14E-0A80-4198-96DC-26308CAF7E87}"/>
    <cellStyle name="Nuovo 28 6" xfId="4174" xr:uid="{98B1C2A4-D4FE-41D6-8D83-6ED5CDB8F70C}"/>
    <cellStyle name="Nuovo 28 6 2" xfId="9788" xr:uid="{809C2581-0581-430C-A89B-E14CCA585737}"/>
    <cellStyle name="Nuovo 28 6 3" xfId="27050" xr:uid="{95FE7660-F940-4909-9445-6537E7C363A2}"/>
    <cellStyle name="Nuovo 28 7" xfId="27025" xr:uid="{053DF3EA-3C3A-4CD7-9707-BB12CB2C79AD}"/>
    <cellStyle name="Nuovo 29" xfId="869" xr:uid="{00000000-0005-0000-0000-0000F6060000}"/>
    <cellStyle name="Nuovo 29 2" xfId="870" xr:uid="{00000000-0005-0000-0000-0000F7060000}"/>
    <cellStyle name="Nuovo 29 2 2" xfId="4175" xr:uid="{F435162C-D3E3-4A9E-AA6A-5B0C3198D196}"/>
    <cellStyle name="Nuovo 29 2 2 2" xfId="13539" xr:uid="{12B77F1A-7FF1-4CBD-980A-EABC675C94C1}"/>
    <cellStyle name="Nuovo 29 2 2 3" xfId="27053" xr:uid="{56F2E217-1D85-4889-A1BB-2F59E247C6A4}"/>
    <cellStyle name="Nuovo 29 2 3" xfId="13275" xr:uid="{D2202FDF-7420-4E5B-A95A-BB99CE5F028B}"/>
    <cellStyle name="Nuovo 29 2 3 2" xfId="27054" xr:uid="{D94AEA0E-ECF5-4E4B-BFBE-B711342DD453}"/>
    <cellStyle name="Nuovo 29 2 4" xfId="27055" xr:uid="{AE1510D8-E5E8-4DA2-8254-B63FB2B7A2DD}"/>
    <cellStyle name="Nuovo 29 2 5" xfId="27052" xr:uid="{CA163873-39F8-46C9-A5EA-448543F2B683}"/>
    <cellStyle name="Nuovo 29 3" xfId="871" xr:uid="{00000000-0005-0000-0000-0000F8060000}"/>
    <cellStyle name="Nuovo 29 3 2" xfId="872" xr:uid="{00000000-0005-0000-0000-0000F9060000}"/>
    <cellStyle name="Nuovo 29 3 2 2" xfId="2165" xr:uid="{00000000-0005-0000-0000-0000FA060000}"/>
    <cellStyle name="Nuovo 29 3 2 2 2" xfId="27058" xr:uid="{0780EC9E-09B2-44C8-B1DB-F412C6F66746}"/>
    <cellStyle name="Nuovo 29 3 2 3" xfId="8092" xr:uid="{FAED8526-9FD9-4E37-9F42-8756C64D71E2}"/>
    <cellStyle name="Nuovo 29 3 2 3 2" xfId="14093" xr:uid="{1D00A76A-401B-4A69-9D69-A2F82DA42D76}"/>
    <cellStyle name="Nuovo 29 3 2 3 3" xfId="27059" xr:uid="{8B328D4C-2BE6-4CD6-8DBF-63766DC54725}"/>
    <cellStyle name="Nuovo 29 3 2 4" xfId="27057" xr:uid="{9919B9D8-A1B7-4926-A456-109E39CBBC67}"/>
    <cellStyle name="Nuovo 29 3 3" xfId="4176" xr:uid="{5E205E26-4F26-47BD-A075-68C265ED28E6}"/>
    <cellStyle name="Nuovo 29 3 3 2" xfId="9313" xr:uid="{DCB942EB-66D6-4A3E-819B-F7DB68915B58}"/>
    <cellStyle name="Nuovo 29 3 3 2 2" xfId="27061" xr:uid="{4F72C81A-7B22-4466-B3BD-0D45810D2298}"/>
    <cellStyle name="Nuovo 29 3 3 3" xfId="27062" xr:uid="{6FB506F1-2CC2-4029-A2CA-7EC4A5D3862C}"/>
    <cellStyle name="Nuovo 29 3 3 3 2" xfId="48991" xr:uid="{E6FC0753-6999-4571-B733-35E2240B0EB5}"/>
    <cellStyle name="Nuovo 29 3 3 4" xfId="27060" xr:uid="{1E366760-D3D4-46A1-AD51-F7C17B786138}"/>
    <cellStyle name="Nuovo 29 3 4" xfId="4177" xr:uid="{A702743B-FFF0-4DA4-AE77-ABC8D8146F26}"/>
    <cellStyle name="Nuovo 29 3 4 2" xfId="13753" xr:uid="{2164E247-DA34-41CA-B376-B43769D5DD3F}"/>
    <cellStyle name="Nuovo 29 3 4 3" xfId="27063" xr:uid="{221E72DD-6DD6-49C2-B160-99745C98FBB8}"/>
    <cellStyle name="Nuovo 29 3 5" xfId="11524" xr:uid="{57D55DA6-CD8F-42E4-AF02-F2FC4BF9061B}"/>
    <cellStyle name="Nuovo 29 3 5 2" xfId="27064" xr:uid="{0ED34D48-DE25-44A4-95FF-1B3747337F11}"/>
    <cellStyle name="Nuovo 29 3 6" xfId="27065" xr:uid="{67C01637-9EAB-41E8-98A4-7340D100D8AF}"/>
    <cellStyle name="Nuovo 29 3 7" xfId="27056" xr:uid="{2FDD8740-ED1F-46CB-AE42-FEFCD84E6C13}"/>
    <cellStyle name="Nuovo 29 4" xfId="2166" xr:uid="{00000000-0005-0000-0000-0000FB060000}"/>
    <cellStyle name="Nuovo 29 4 2" xfId="2167" xr:uid="{00000000-0005-0000-0000-0000FC060000}"/>
    <cellStyle name="Nuovo 29 4 2 2" xfId="9314" xr:uid="{6AA47B0A-7018-4255-9330-FBADE8DE6F51}"/>
    <cellStyle name="Nuovo 29 4 2 2 2" xfId="27068" xr:uid="{BA424540-2468-46C9-B27E-8EA482E2EDAF}"/>
    <cellStyle name="Nuovo 29 4 2 3" xfId="17873" xr:uid="{4A0A6548-ECF7-4967-8A95-4D2B41BC4370}"/>
    <cellStyle name="Nuovo 29 4 2 3 2" xfId="27069" xr:uid="{BF20B2F0-F200-4CC8-97F4-8BB3DA1618C0}"/>
    <cellStyle name="Nuovo 29 4 2 4" xfId="27067" xr:uid="{DD0240C9-CB60-41A0-882B-43F891D03106}"/>
    <cellStyle name="Nuovo 29 4 2 5" xfId="17486" xr:uid="{839FA5B3-B92D-4489-BF14-BAC1CE69F644}"/>
    <cellStyle name="Nuovo 29 4 3" xfId="9315" xr:uid="{70ECB1F7-6A6B-4A0A-BF34-122713F3E35C}"/>
    <cellStyle name="Nuovo 29 4 3 2" xfId="27070" xr:uid="{9A182BFC-B220-4B1A-AFE0-CF84539C09C0}"/>
    <cellStyle name="Nuovo 29 4 4" xfId="27071" xr:uid="{BBD6AAE2-4A66-404A-8DAA-CFA2AE61195B}"/>
    <cellStyle name="Nuovo 29 4 4 2" xfId="48992" xr:uid="{8CDF61EB-B64B-4A38-8E1B-FF3C9CD5733B}"/>
    <cellStyle name="Nuovo 29 4 5" xfId="27072" xr:uid="{CDF0B523-65FE-4E2C-B2BA-F7CA4D774720}"/>
    <cellStyle name="Nuovo 29 4 6" xfId="27066" xr:uid="{43EC8547-3EBF-48DC-A2C8-1A5898F49A1A}"/>
    <cellStyle name="Nuovo 29 5" xfId="2168" xr:uid="{00000000-0005-0000-0000-0000FD060000}"/>
    <cellStyle name="Nuovo 29 5 2" xfId="27074" xr:uid="{00699010-7B76-4B83-BEF7-E3694EEE4D30}"/>
    <cellStyle name="Nuovo 29 5 2 2" xfId="48993" xr:uid="{FDE3D809-1BAA-4D00-BFA9-FAA6477DB64F}"/>
    <cellStyle name="Nuovo 29 5 3" xfId="27075" xr:uid="{A64257BC-32D7-47DA-807C-0E50CB8E1913}"/>
    <cellStyle name="Nuovo 29 5 4" xfId="27073" xr:uid="{DB2BEFFB-4B62-46CA-8079-8FAA9E877BD9}"/>
    <cellStyle name="Nuovo 29 6" xfId="4178" xr:uid="{7BD67813-54AA-4A51-803B-115A1461BE48}"/>
    <cellStyle name="Nuovo 29 6 2" xfId="9789" xr:uid="{3387D594-E7A4-485C-831C-41C67CFC3E80}"/>
    <cellStyle name="Nuovo 29 6 3" xfId="27076" xr:uid="{B5B349DA-C672-4EE7-AFD3-2BFA0DD6186C}"/>
    <cellStyle name="Nuovo 29 7" xfId="27051" xr:uid="{D0C24B72-89C7-4AB5-9CD4-C2BDC30CF520}"/>
    <cellStyle name="Nuovo 3" xfId="873" xr:uid="{00000000-0005-0000-0000-0000FE060000}"/>
    <cellStyle name="Nuovo 3 2" xfId="874" xr:uid="{00000000-0005-0000-0000-0000FF060000}"/>
    <cellStyle name="Nuovo 3 2 2" xfId="4179" xr:uid="{B7732E74-5E32-47C5-9255-120C3F735E80}"/>
    <cellStyle name="Nuovo 3 2 2 2" xfId="13540" xr:uid="{8B584F29-6802-4F6C-911A-42AC34E16BAF}"/>
    <cellStyle name="Nuovo 3 2 2 3" xfId="27079" xr:uid="{660B5E1D-4317-4CC1-A2A5-402C6A821E66}"/>
    <cellStyle name="Nuovo 3 2 3" xfId="13276" xr:uid="{81104CD3-5064-497F-B476-92447DC261FD}"/>
    <cellStyle name="Nuovo 3 2 3 2" xfId="27080" xr:uid="{5A873772-086F-4DE5-8415-61EAC4FFA962}"/>
    <cellStyle name="Nuovo 3 2 4" xfId="27081" xr:uid="{DC63CA28-8184-469A-89ED-B600163F027D}"/>
    <cellStyle name="Nuovo 3 2 5" xfId="27078" xr:uid="{9AC86300-9197-4A35-947D-E0A17B08A14F}"/>
    <cellStyle name="Nuovo 3 3" xfId="875" xr:uid="{00000000-0005-0000-0000-000000070000}"/>
    <cellStyle name="Nuovo 3 3 2" xfId="876" xr:uid="{00000000-0005-0000-0000-000001070000}"/>
    <cellStyle name="Nuovo 3 3 2 2" xfId="2169" xr:uid="{00000000-0005-0000-0000-000002070000}"/>
    <cellStyle name="Nuovo 3 3 2 2 2" xfId="27084" xr:uid="{137E65E0-906C-4C27-8E6B-878A2A3BE240}"/>
    <cellStyle name="Nuovo 3 3 2 3" xfId="8093" xr:uid="{A34B6EF5-63C3-40E2-A0FB-6AD732FED9A0}"/>
    <cellStyle name="Nuovo 3 3 2 3 2" xfId="14094" xr:uid="{EA62BB25-E173-4026-A3B9-7AB40AF1BFC4}"/>
    <cellStyle name="Nuovo 3 3 2 3 3" xfId="27085" xr:uid="{79868F73-6D21-44A8-86FF-3A745DCD3ED9}"/>
    <cellStyle name="Nuovo 3 3 2 4" xfId="27083" xr:uid="{FC76A9C0-8F60-4851-B793-4843CFE00538}"/>
    <cellStyle name="Nuovo 3 3 3" xfId="4180" xr:uid="{9744309A-C547-42CE-8175-02E4C23E7535}"/>
    <cellStyle name="Nuovo 3 3 3 2" xfId="9316" xr:uid="{13562002-BF8F-4447-B699-6DD7DB814D71}"/>
    <cellStyle name="Nuovo 3 3 3 2 2" xfId="27087" xr:uid="{8909DE2F-6FB3-4DAF-891C-33C57394DB2B}"/>
    <cellStyle name="Nuovo 3 3 3 3" xfId="27088" xr:uid="{AAF17F9E-001F-40D4-BBBE-E4B7C347389C}"/>
    <cellStyle name="Nuovo 3 3 3 3 2" xfId="48994" xr:uid="{DB6FB91E-F351-49F6-BCDC-71D58E797A4B}"/>
    <cellStyle name="Nuovo 3 3 3 4" xfId="27086" xr:uid="{8C9E9B9F-2A93-41E9-B445-EE25C6FCC0B0}"/>
    <cellStyle name="Nuovo 3 3 4" xfId="4181" xr:uid="{EFAD7141-6CE2-487E-9383-987D46DE267F}"/>
    <cellStyle name="Nuovo 3 3 4 2" xfId="13754" xr:uid="{B0609979-CDF4-47BA-8E3C-D78C1ED7BB99}"/>
    <cellStyle name="Nuovo 3 3 4 3" xfId="27089" xr:uid="{84B36260-F5C0-49BB-93D1-F9AD96F3D2B8}"/>
    <cellStyle name="Nuovo 3 3 5" xfId="11151" xr:uid="{A25707B0-C13F-41EE-B58B-B55F73979D0C}"/>
    <cellStyle name="Nuovo 3 3 5 2" xfId="27090" xr:uid="{D74A6D82-4FB2-4AF1-8BE7-3534D25F30AC}"/>
    <cellStyle name="Nuovo 3 3 6" xfId="27091" xr:uid="{018C7DE8-DD61-48EF-B99F-465858BDEF66}"/>
    <cellStyle name="Nuovo 3 3 7" xfId="27082" xr:uid="{51A35C29-891B-40FE-9636-7D7DF885A1D7}"/>
    <cellStyle name="Nuovo 3 4" xfId="2170" xr:uid="{00000000-0005-0000-0000-000003070000}"/>
    <cellStyle name="Nuovo 3 4 2" xfId="2171" xr:uid="{00000000-0005-0000-0000-000004070000}"/>
    <cellStyle name="Nuovo 3 4 2 2" xfId="9317" xr:uid="{ACBDFD2A-6662-4C88-B4B3-40275280BD07}"/>
    <cellStyle name="Nuovo 3 4 2 2 2" xfId="27094" xr:uid="{FDECEA14-CAFA-4E5F-8324-99C64A40883B}"/>
    <cellStyle name="Nuovo 3 4 2 3" xfId="17874" xr:uid="{1959E11B-B3F9-4BF0-94E8-69BBCDA2B461}"/>
    <cellStyle name="Nuovo 3 4 2 3 2" xfId="27095" xr:uid="{596C7552-E433-4B0C-AD71-B61E2C913868}"/>
    <cellStyle name="Nuovo 3 4 2 4" xfId="27093" xr:uid="{B60BD6C6-838B-49A4-9975-81AB9FB81BF6}"/>
    <cellStyle name="Nuovo 3 4 2 5" xfId="17487" xr:uid="{0229D477-C565-40E4-B4AC-3276FB7B2981}"/>
    <cellStyle name="Nuovo 3 4 3" xfId="9318" xr:uid="{AA6C6428-3ACD-4B2A-9C56-3DDFE4108B41}"/>
    <cellStyle name="Nuovo 3 4 3 2" xfId="27096" xr:uid="{85649D8C-75E6-420B-AFBC-2751B8504C04}"/>
    <cellStyle name="Nuovo 3 4 4" xfId="27097" xr:uid="{C5886140-E960-4745-BD29-6D5888871D5F}"/>
    <cellStyle name="Nuovo 3 4 4 2" xfId="48995" xr:uid="{C074807C-E136-4E38-955C-5E6E1F3439AA}"/>
    <cellStyle name="Nuovo 3 4 5" xfId="27098" xr:uid="{F358EA1A-CF1D-4811-91A8-F6CC3194BAB1}"/>
    <cellStyle name="Nuovo 3 4 6" xfId="27092" xr:uid="{00F38E65-57E9-44FF-AAEC-EC35FFEE1D71}"/>
    <cellStyle name="Nuovo 3 5" xfId="2172" xr:uid="{00000000-0005-0000-0000-000005070000}"/>
    <cellStyle name="Nuovo 3 5 2" xfId="27100" xr:uid="{4FD5FC88-D8E9-4F0F-994B-A893DDB914E1}"/>
    <cellStyle name="Nuovo 3 5 2 2" xfId="48996" xr:uid="{39FE75D6-1562-46ED-A371-F2BF3B6B8A3A}"/>
    <cellStyle name="Nuovo 3 5 3" xfId="27101" xr:uid="{D7132089-BD57-43F7-96D7-786ECAFD6DEA}"/>
    <cellStyle name="Nuovo 3 5 4" xfId="27099" xr:uid="{07D27B1A-5660-4493-B333-F9EB2AB9FB6C}"/>
    <cellStyle name="Nuovo 3 6" xfId="4182" xr:uid="{38791E31-885B-4766-B109-B252BEE0E935}"/>
    <cellStyle name="Nuovo 3 6 2" xfId="9790" xr:uid="{8436F9AD-1ED2-49FE-9B0E-1EF7EAF8CBF4}"/>
    <cellStyle name="Nuovo 3 6 3" xfId="27102" xr:uid="{BBA92BF8-1B8C-4A9F-A89A-94B16125B325}"/>
    <cellStyle name="Nuovo 3 7" xfId="27077" xr:uid="{C3B21BE5-8861-4B6E-BCA4-1AEE49C0D2C4}"/>
    <cellStyle name="Nuovo 30" xfId="877" xr:uid="{00000000-0005-0000-0000-000006070000}"/>
    <cellStyle name="Nuovo 30 2" xfId="878" xr:uid="{00000000-0005-0000-0000-000007070000}"/>
    <cellStyle name="Nuovo 30 2 2" xfId="4183" xr:uid="{FDDDBA86-EDE1-4E4A-BF91-2E8C2901BE3C}"/>
    <cellStyle name="Nuovo 30 2 2 2" xfId="13541" xr:uid="{9785960D-A04C-4154-9CC9-C44A459D52D3}"/>
    <cellStyle name="Nuovo 30 2 2 3" xfId="27105" xr:uid="{F722DC2C-2516-43F5-B1F1-6ADE98D39902}"/>
    <cellStyle name="Nuovo 30 2 3" xfId="13277" xr:uid="{301201DF-0FC5-49CD-BC52-C0355FD082EF}"/>
    <cellStyle name="Nuovo 30 2 3 2" xfId="27106" xr:uid="{B5D35993-FDA5-4CDC-8191-322BD73AA02F}"/>
    <cellStyle name="Nuovo 30 2 4" xfId="27107" xr:uid="{27120E87-5EBC-4506-9264-E47EBAD7091B}"/>
    <cellStyle name="Nuovo 30 2 5" xfId="27104" xr:uid="{6C494895-BBB5-4DB1-A80D-847191BED4E5}"/>
    <cellStyle name="Nuovo 30 3" xfId="879" xr:uid="{00000000-0005-0000-0000-000008070000}"/>
    <cellStyle name="Nuovo 30 3 2" xfId="880" xr:uid="{00000000-0005-0000-0000-000009070000}"/>
    <cellStyle name="Nuovo 30 3 2 2" xfId="2173" xr:uid="{00000000-0005-0000-0000-00000A070000}"/>
    <cellStyle name="Nuovo 30 3 2 2 2" xfId="27110" xr:uid="{58CB00EB-CA3A-4B33-8DF5-331A83925EEA}"/>
    <cellStyle name="Nuovo 30 3 2 3" xfId="8094" xr:uid="{4AC88854-BB0F-44B1-A4A4-E15D072AC66F}"/>
    <cellStyle name="Nuovo 30 3 2 3 2" xfId="14095" xr:uid="{9119FA69-E811-4816-BCAF-FDBE7173EEDF}"/>
    <cellStyle name="Nuovo 30 3 2 3 3" xfId="27111" xr:uid="{56BB9BF1-1498-43D5-898F-9EBA1D43EC40}"/>
    <cellStyle name="Nuovo 30 3 2 4" xfId="27109" xr:uid="{CB3C50CD-C82C-40A0-91D2-D738AD2BC834}"/>
    <cellStyle name="Nuovo 30 3 3" xfId="4184" xr:uid="{465EDB66-FB94-4FF7-8B14-18C1B4E6070A}"/>
    <cellStyle name="Nuovo 30 3 3 2" xfId="9319" xr:uid="{83B6B7F5-BA52-4BB3-BC97-B9A67BFEE564}"/>
    <cellStyle name="Nuovo 30 3 3 2 2" xfId="27113" xr:uid="{9F37583B-9997-496F-9702-53C99D7D524C}"/>
    <cellStyle name="Nuovo 30 3 3 3" xfId="27114" xr:uid="{5D752706-8113-4896-9057-584287ED57BB}"/>
    <cellStyle name="Nuovo 30 3 3 3 2" xfId="48997" xr:uid="{84718A53-3D1C-4098-BAC7-B74AA92DA661}"/>
    <cellStyle name="Nuovo 30 3 3 4" xfId="27112" xr:uid="{E8ABA294-83B0-4BAE-8209-9AF9C21D4A2E}"/>
    <cellStyle name="Nuovo 30 3 4" xfId="4185" xr:uid="{02347DE2-C03F-465F-A55C-73A80116BC11}"/>
    <cellStyle name="Nuovo 30 3 4 2" xfId="13755" xr:uid="{3DF574E3-2694-427F-875D-81A46C531A23}"/>
    <cellStyle name="Nuovo 30 3 4 3" xfId="27115" xr:uid="{6ADC1C3E-24EA-48AD-A7D1-8FDB219D901D}"/>
    <cellStyle name="Nuovo 30 3 5" xfId="12258" xr:uid="{D88614A1-594E-42DA-94D0-02549FB25C11}"/>
    <cellStyle name="Nuovo 30 3 5 2" xfId="27116" xr:uid="{2D9AAA43-067E-40BE-9225-ADE0163D712A}"/>
    <cellStyle name="Nuovo 30 3 6" xfId="27117" xr:uid="{3C07120D-307A-44C2-B500-53CDC07A020C}"/>
    <cellStyle name="Nuovo 30 3 7" xfId="27108" xr:uid="{BF025DD4-7CAA-4AD5-8AC0-9FB02253C973}"/>
    <cellStyle name="Nuovo 30 4" xfId="2174" xr:uid="{00000000-0005-0000-0000-00000B070000}"/>
    <cellStyle name="Nuovo 30 4 2" xfId="2175" xr:uid="{00000000-0005-0000-0000-00000C070000}"/>
    <cellStyle name="Nuovo 30 4 2 2" xfId="9320" xr:uid="{AC721AE7-6732-40B0-8331-93E3091A4439}"/>
    <cellStyle name="Nuovo 30 4 2 2 2" xfId="27120" xr:uid="{AE96A513-5D96-45AA-BB0B-4E412C9EAE80}"/>
    <cellStyle name="Nuovo 30 4 2 3" xfId="17875" xr:uid="{990354C8-F2DB-404A-BEAE-9196DEE3E108}"/>
    <cellStyle name="Nuovo 30 4 2 3 2" xfId="27121" xr:uid="{08958A1D-84AE-4433-B38E-90C7F62F9E5C}"/>
    <cellStyle name="Nuovo 30 4 2 4" xfId="27119" xr:uid="{7973A965-8F83-443E-8CCE-429E8F29273D}"/>
    <cellStyle name="Nuovo 30 4 2 5" xfId="17488" xr:uid="{E8EF0141-1EED-440D-A889-9295C6805654}"/>
    <cellStyle name="Nuovo 30 4 3" xfId="9321" xr:uid="{0474AF8B-223F-430E-AE45-11AFA663A22E}"/>
    <cellStyle name="Nuovo 30 4 3 2" xfId="27122" xr:uid="{64D62BF9-D572-4DF7-AE30-4911CC233906}"/>
    <cellStyle name="Nuovo 30 4 4" xfId="27123" xr:uid="{1B9F00EB-FF20-48F3-8DEF-2978B30A7CDE}"/>
    <cellStyle name="Nuovo 30 4 4 2" xfId="48998" xr:uid="{3E8E7918-C52A-47A5-80B2-209650CF6D3E}"/>
    <cellStyle name="Nuovo 30 4 5" xfId="27124" xr:uid="{3900FEE6-AE1E-4C00-86E2-892A04FFDB47}"/>
    <cellStyle name="Nuovo 30 4 6" xfId="27118" xr:uid="{FECAEC8B-20F6-46DF-A293-49CD60B905AC}"/>
    <cellStyle name="Nuovo 30 5" xfId="2176" xr:uid="{00000000-0005-0000-0000-00000D070000}"/>
    <cellStyle name="Nuovo 30 5 2" xfId="27126" xr:uid="{48B0FCC9-838E-4FF6-817B-B9043D382DB8}"/>
    <cellStyle name="Nuovo 30 5 2 2" xfId="48999" xr:uid="{90B9BC6E-DDBC-48B9-B17B-D385A06A89A4}"/>
    <cellStyle name="Nuovo 30 5 3" xfId="27127" xr:uid="{4B3D0FE6-8E24-4C96-8BBD-9C403BE9589E}"/>
    <cellStyle name="Nuovo 30 5 4" xfId="27125" xr:uid="{DBA9255F-E1DC-41FB-A245-618698CB2403}"/>
    <cellStyle name="Nuovo 30 6" xfId="4186" xr:uid="{E3B22F56-BF24-467E-BF96-5333ECD8B194}"/>
    <cellStyle name="Nuovo 30 6 2" xfId="9791" xr:uid="{2F0D4FAC-6A9F-4F05-9924-899B173D59E2}"/>
    <cellStyle name="Nuovo 30 6 3" xfId="27128" xr:uid="{50F6B7AF-3160-4808-A790-A781283A6689}"/>
    <cellStyle name="Nuovo 30 7" xfId="27103" xr:uid="{A59FDA06-1C8C-47C4-B7ED-52001EC4255D}"/>
    <cellStyle name="Nuovo 31" xfId="881" xr:uid="{00000000-0005-0000-0000-00000E070000}"/>
    <cellStyle name="Nuovo 31 2" xfId="882" xr:uid="{00000000-0005-0000-0000-00000F070000}"/>
    <cellStyle name="Nuovo 31 2 2" xfId="4187" xr:uid="{E9E1DCB1-4C5F-4D84-B38A-F351F78CC572}"/>
    <cellStyle name="Nuovo 31 2 2 2" xfId="13542" xr:uid="{37622C64-1894-4239-8BA1-AE3FF61ECBAE}"/>
    <cellStyle name="Nuovo 31 2 2 3" xfId="27131" xr:uid="{1640E42F-69AB-4272-82A4-8B185A50A1FB}"/>
    <cellStyle name="Nuovo 31 2 3" xfId="13278" xr:uid="{CBE1FC21-7727-4B56-9BEA-B99FE1AF3C6B}"/>
    <cellStyle name="Nuovo 31 2 3 2" xfId="27132" xr:uid="{0147F21C-31F0-4F51-BA31-65A6022FABCB}"/>
    <cellStyle name="Nuovo 31 2 4" xfId="27133" xr:uid="{E7E3B89A-CE69-4DDB-BC43-8D8084FEDE5F}"/>
    <cellStyle name="Nuovo 31 2 5" xfId="27130" xr:uid="{BF3F1BEC-F592-4007-A984-388E149A8AB5}"/>
    <cellStyle name="Nuovo 31 3" xfId="883" xr:uid="{00000000-0005-0000-0000-000010070000}"/>
    <cellStyle name="Nuovo 31 3 2" xfId="884" xr:uid="{00000000-0005-0000-0000-000011070000}"/>
    <cellStyle name="Nuovo 31 3 2 2" xfId="2177" xr:uid="{00000000-0005-0000-0000-000012070000}"/>
    <cellStyle name="Nuovo 31 3 2 2 2" xfId="27136" xr:uid="{5BB90CEB-3047-40FD-9A27-A246F5417454}"/>
    <cellStyle name="Nuovo 31 3 2 3" xfId="8095" xr:uid="{B0F16EDA-58C8-4484-B287-8EC7871D243B}"/>
    <cellStyle name="Nuovo 31 3 2 3 2" xfId="14096" xr:uid="{14D6FD21-0330-48E9-B4F2-D214A29A064B}"/>
    <cellStyle name="Nuovo 31 3 2 3 3" xfId="27137" xr:uid="{36EA4428-E291-4287-932E-6A222C0E1BD5}"/>
    <cellStyle name="Nuovo 31 3 2 4" xfId="27135" xr:uid="{CEABFF9E-0508-47B3-81CF-2C95D2EDBD14}"/>
    <cellStyle name="Nuovo 31 3 3" xfId="4188" xr:uid="{9037ED7C-BA02-401F-845D-0144FB6019FC}"/>
    <cellStyle name="Nuovo 31 3 3 2" xfId="9322" xr:uid="{71754337-5EEC-4331-9342-7BBF3DBE9AB4}"/>
    <cellStyle name="Nuovo 31 3 3 2 2" xfId="27139" xr:uid="{6E5308AD-40DD-431F-9C8C-32C78D584385}"/>
    <cellStyle name="Nuovo 31 3 3 3" xfId="27140" xr:uid="{48075BA7-12DC-4661-8B2D-439AB617C266}"/>
    <cellStyle name="Nuovo 31 3 3 3 2" xfId="49000" xr:uid="{275F38C9-5E03-4A3E-9EDA-441E74CE0536}"/>
    <cellStyle name="Nuovo 31 3 3 4" xfId="27138" xr:uid="{43EF8886-98C9-429D-B59F-B18E05E3CE71}"/>
    <cellStyle name="Nuovo 31 3 4" xfId="4189" xr:uid="{B65D84CB-B22C-4FE3-806F-168847179C1E}"/>
    <cellStyle name="Nuovo 31 3 4 2" xfId="13756" xr:uid="{27381C3C-10B3-4A0F-9C0D-76B160088216}"/>
    <cellStyle name="Nuovo 31 3 4 3" xfId="27141" xr:uid="{05DC2052-8434-45D9-A45C-44D01441D539}"/>
    <cellStyle name="Nuovo 31 3 5" xfId="11093" xr:uid="{387F2B93-D10A-4290-A3F3-2DF721B40726}"/>
    <cellStyle name="Nuovo 31 3 5 2" xfId="27142" xr:uid="{FF412BAD-010B-4D05-A858-75FF78C8F1FF}"/>
    <cellStyle name="Nuovo 31 3 6" xfId="27143" xr:uid="{894C7A40-226D-4969-901A-798874C02D4B}"/>
    <cellStyle name="Nuovo 31 3 7" xfId="27134" xr:uid="{BBB18440-1F08-4DFA-939A-8A740692122D}"/>
    <cellStyle name="Nuovo 31 4" xfId="2178" xr:uid="{00000000-0005-0000-0000-000013070000}"/>
    <cellStyle name="Nuovo 31 4 2" xfId="2179" xr:uid="{00000000-0005-0000-0000-000014070000}"/>
    <cellStyle name="Nuovo 31 4 2 2" xfId="9323" xr:uid="{ECC86338-7718-431A-8064-A6AE81A6AE21}"/>
    <cellStyle name="Nuovo 31 4 2 2 2" xfId="27146" xr:uid="{3F4AB99D-FDB0-4459-82FE-9D3D55403E7C}"/>
    <cellStyle name="Nuovo 31 4 2 3" xfId="17876" xr:uid="{9BD2F7CE-F9EF-49C2-A4C1-5C952BAA359B}"/>
    <cellStyle name="Nuovo 31 4 2 3 2" xfId="27147" xr:uid="{09174108-CFDA-4F9E-8451-7AC90B5757C3}"/>
    <cellStyle name="Nuovo 31 4 2 4" xfId="27145" xr:uid="{57A2112D-4D8A-4094-B6DD-51DE38AA80FF}"/>
    <cellStyle name="Nuovo 31 4 2 5" xfId="17489" xr:uid="{EAFEFA9C-5006-41CD-BB96-8695623A5580}"/>
    <cellStyle name="Nuovo 31 4 3" xfId="9324" xr:uid="{4777369C-21EB-4756-A3E2-CA51F86F560C}"/>
    <cellStyle name="Nuovo 31 4 3 2" xfId="27148" xr:uid="{45DD7763-BECD-4EAB-BB40-D257ACA30547}"/>
    <cellStyle name="Nuovo 31 4 4" xfId="27149" xr:uid="{0F423BA6-93F4-4CED-9CAE-38821B555D40}"/>
    <cellStyle name="Nuovo 31 4 4 2" xfId="49001" xr:uid="{6C486599-C44D-4C61-863B-384D7E8CA082}"/>
    <cellStyle name="Nuovo 31 4 5" xfId="27150" xr:uid="{ACA7AD7E-CB1E-4EB0-BB81-E08B2F2B5112}"/>
    <cellStyle name="Nuovo 31 4 6" xfId="27144" xr:uid="{8137556F-E1E1-4460-A0F2-79B798B6B20D}"/>
    <cellStyle name="Nuovo 31 5" xfId="2180" xr:uid="{00000000-0005-0000-0000-000015070000}"/>
    <cellStyle name="Nuovo 31 5 2" xfId="27152" xr:uid="{58F762C6-0629-4CD3-B283-454C16AE3F07}"/>
    <cellStyle name="Nuovo 31 5 2 2" xfId="49002" xr:uid="{9442B76D-B9D7-4871-8D31-33946B296863}"/>
    <cellStyle name="Nuovo 31 5 3" xfId="27153" xr:uid="{F23CB5C0-A160-415E-9814-939F1BFB1C47}"/>
    <cellStyle name="Nuovo 31 5 4" xfId="27151" xr:uid="{88E49587-CC4B-4317-8D8A-17544A7A758C}"/>
    <cellStyle name="Nuovo 31 6" xfId="4190" xr:uid="{1D018E73-AF8A-407F-873F-7FE11FCAD5A8}"/>
    <cellStyle name="Nuovo 31 6 2" xfId="9792" xr:uid="{84E6DAD2-9C12-4361-B04F-E10BECECF9D1}"/>
    <cellStyle name="Nuovo 31 6 3" xfId="27154" xr:uid="{6A05D25C-95B7-4762-8F7E-6E7FC463D423}"/>
    <cellStyle name="Nuovo 31 7" xfId="27129" xr:uid="{2E6CDBE2-F231-4B24-A555-2525F2238083}"/>
    <cellStyle name="Nuovo 32" xfId="885" xr:uid="{00000000-0005-0000-0000-000016070000}"/>
    <cellStyle name="Nuovo 32 2" xfId="886" xr:uid="{00000000-0005-0000-0000-000017070000}"/>
    <cellStyle name="Nuovo 32 2 2" xfId="4191" xr:uid="{8073B24D-5183-4C64-A33C-1EAB1CCE37F9}"/>
    <cellStyle name="Nuovo 32 2 2 2" xfId="13543" xr:uid="{708F25F9-FE27-4125-A040-A964AFAC6ECC}"/>
    <cellStyle name="Nuovo 32 2 2 3" xfId="27157" xr:uid="{C856EFC0-9799-4983-83B1-714E99E54903}"/>
    <cellStyle name="Nuovo 32 2 3" xfId="13279" xr:uid="{AF0A1A35-DF2E-41E2-83EE-501FDB2CC999}"/>
    <cellStyle name="Nuovo 32 2 3 2" xfId="27158" xr:uid="{515CDF23-1D51-4818-84FD-60B187F44BF1}"/>
    <cellStyle name="Nuovo 32 2 4" xfId="27159" xr:uid="{B65287E0-E631-40DD-920F-4234C2B480D6}"/>
    <cellStyle name="Nuovo 32 2 5" xfId="27156" xr:uid="{F982DA15-D038-4EC9-83C6-15579D0C7622}"/>
    <cellStyle name="Nuovo 32 3" xfId="887" xr:uid="{00000000-0005-0000-0000-000018070000}"/>
    <cellStyle name="Nuovo 32 3 2" xfId="888" xr:uid="{00000000-0005-0000-0000-000019070000}"/>
    <cellStyle name="Nuovo 32 3 2 2" xfId="2181" xr:uid="{00000000-0005-0000-0000-00001A070000}"/>
    <cellStyle name="Nuovo 32 3 2 2 2" xfId="27162" xr:uid="{63D5D95B-BDCE-4F71-93DC-3C50FE7D5C86}"/>
    <cellStyle name="Nuovo 32 3 2 3" xfId="8096" xr:uid="{CE1D831E-4BD3-4D4C-B4E1-362AD3FF6B55}"/>
    <cellStyle name="Nuovo 32 3 2 3 2" xfId="14097" xr:uid="{579F7EF1-BC4F-40AA-9FB1-3F1485C0136B}"/>
    <cellStyle name="Nuovo 32 3 2 3 3" xfId="27163" xr:uid="{CFE364A6-E1A7-481C-9902-B9898ECF9C6D}"/>
    <cellStyle name="Nuovo 32 3 2 4" xfId="27161" xr:uid="{A3F0C5CE-B492-400B-B8BE-2BCDA95791D5}"/>
    <cellStyle name="Nuovo 32 3 3" xfId="4192" xr:uid="{BD37E39D-AB41-4F8B-BF68-5F6FBE80EE1A}"/>
    <cellStyle name="Nuovo 32 3 3 2" xfId="9325" xr:uid="{30462EE7-087D-4E24-8083-8B50BBB8007B}"/>
    <cellStyle name="Nuovo 32 3 3 2 2" xfId="27165" xr:uid="{D825B2F2-31BA-4BEA-8B3B-8798C2136217}"/>
    <cellStyle name="Nuovo 32 3 3 3" xfId="27166" xr:uid="{F53F43F8-611E-432F-AAD8-77C72EA69250}"/>
    <cellStyle name="Nuovo 32 3 3 3 2" xfId="49003" xr:uid="{1A9FFA1E-8E4B-495F-B238-946FFA9A6878}"/>
    <cellStyle name="Nuovo 32 3 3 4" xfId="27164" xr:uid="{0E6CF306-58B8-4565-8323-ADDAE86AFF83}"/>
    <cellStyle name="Nuovo 32 3 4" xfId="4193" xr:uid="{F612A47E-9F57-463F-AFC0-6F060DFC7345}"/>
    <cellStyle name="Nuovo 32 3 4 2" xfId="13757" xr:uid="{93ECAD73-61FB-47A6-985E-A3D7308FB392}"/>
    <cellStyle name="Nuovo 32 3 4 3" xfId="27167" xr:uid="{7969DC61-2A47-41C0-A5BC-8AE9A963DEA6}"/>
    <cellStyle name="Nuovo 32 3 5" xfId="12256" xr:uid="{85C910E9-81D8-45F7-914A-68407EC6B5B8}"/>
    <cellStyle name="Nuovo 32 3 5 2" xfId="27168" xr:uid="{956BB4AF-1AB8-4AF2-A49D-6EE7746472C5}"/>
    <cellStyle name="Nuovo 32 3 6" xfId="27169" xr:uid="{AD1B6D85-B639-4520-B584-8B18C02F2FA2}"/>
    <cellStyle name="Nuovo 32 3 7" xfId="27160" xr:uid="{D216D338-728D-4A02-8967-BC94F30C6A1D}"/>
    <cellStyle name="Nuovo 32 4" xfId="2182" xr:uid="{00000000-0005-0000-0000-00001B070000}"/>
    <cellStyle name="Nuovo 32 4 2" xfId="2183" xr:uid="{00000000-0005-0000-0000-00001C070000}"/>
    <cellStyle name="Nuovo 32 4 2 2" xfId="9326" xr:uid="{EBD2F2DD-0D9D-4320-905F-9D6258FC8FA4}"/>
    <cellStyle name="Nuovo 32 4 2 2 2" xfId="27172" xr:uid="{26B64F80-8D0F-45BE-BDE5-A1C9109B19BE}"/>
    <cellStyle name="Nuovo 32 4 2 3" xfId="17877" xr:uid="{9B8F42FF-A2BE-47CA-A8E3-C54F940A25D8}"/>
    <cellStyle name="Nuovo 32 4 2 3 2" xfId="27173" xr:uid="{B12F05D6-7240-4B51-9A11-FBCFDDC4F7ED}"/>
    <cellStyle name="Nuovo 32 4 2 4" xfId="27171" xr:uid="{B0C4C5CB-A274-4481-97C5-CC6B6E1DEB9C}"/>
    <cellStyle name="Nuovo 32 4 2 5" xfId="17490" xr:uid="{E190F978-AE8C-4E6A-B0BF-E95E21614763}"/>
    <cellStyle name="Nuovo 32 4 3" xfId="9327" xr:uid="{AC99EA2A-9B5F-48FA-BCBB-899C026D8F92}"/>
    <cellStyle name="Nuovo 32 4 3 2" xfId="27174" xr:uid="{3257A2EA-B72A-4A4B-9E8F-F8C1C5FC1B3C}"/>
    <cellStyle name="Nuovo 32 4 4" xfId="27175" xr:uid="{5BFA4F7D-5CC7-4E60-8521-3BB8A3D9917C}"/>
    <cellStyle name="Nuovo 32 4 4 2" xfId="49004" xr:uid="{FC488498-D9C2-4B02-96FC-E2893E81AE7E}"/>
    <cellStyle name="Nuovo 32 4 5" xfId="27176" xr:uid="{09036DCD-EEEB-40FA-A10F-ADF8212FC3CE}"/>
    <cellStyle name="Nuovo 32 4 6" xfId="27170" xr:uid="{66B4F4CC-BAD1-4C8C-A634-80767886E980}"/>
    <cellStyle name="Nuovo 32 5" xfId="2184" xr:uid="{00000000-0005-0000-0000-00001D070000}"/>
    <cellStyle name="Nuovo 32 5 2" xfId="27178" xr:uid="{99B96F78-33F2-455D-A3D6-B3F7293806D6}"/>
    <cellStyle name="Nuovo 32 5 2 2" xfId="49005" xr:uid="{F35F360E-8B3E-4F52-90DD-6F77A872A3A2}"/>
    <cellStyle name="Nuovo 32 5 3" xfId="27179" xr:uid="{259BE631-B074-4C34-9647-098A35FEAB2D}"/>
    <cellStyle name="Nuovo 32 5 4" xfId="27177" xr:uid="{98DFD118-AE84-4099-A663-2E11094F6377}"/>
    <cellStyle name="Nuovo 32 6" xfId="4194" xr:uid="{EE24F8B6-634D-49B3-B532-AEA4C0175AEF}"/>
    <cellStyle name="Nuovo 32 6 2" xfId="9793" xr:uid="{DED478D7-7FD6-4821-8599-5BADD0A862F3}"/>
    <cellStyle name="Nuovo 32 6 3" xfId="27180" xr:uid="{26A4975C-5B0C-4F86-ADCF-7CB40A2DB21C}"/>
    <cellStyle name="Nuovo 32 7" xfId="27155" xr:uid="{954A0EA4-115B-4755-AF5B-35061BECE65E}"/>
    <cellStyle name="Nuovo 33" xfId="889" xr:uid="{00000000-0005-0000-0000-00001E070000}"/>
    <cellStyle name="Nuovo 33 2" xfId="890" xr:uid="{00000000-0005-0000-0000-00001F070000}"/>
    <cellStyle name="Nuovo 33 2 2" xfId="4195" xr:uid="{62ADB340-5E6B-4703-81F7-D70A6E1E35DC}"/>
    <cellStyle name="Nuovo 33 2 2 2" xfId="13544" xr:uid="{50AB1A74-AAB2-4682-94C3-906C8AFAB373}"/>
    <cellStyle name="Nuovo 33 2 2 3" xfId="27183" xr:uid="{3EB330F9-EE70-4FF2-9B28-97487C0CEE01}"/>
    <cellStyle name="Nuovo 33 2 3" xfId="13280" xr:uid="{0ED4FD4D-2DB1-4F96-B31F-E517AF68EDB5}"/>
    <cellStyle name="Nuovo 33 2 3 2" xfId="27184" xr:uid="{B6D2BD3D-28B3-488E-A740-AA9D5D08EE4E}"/>
    <cellStyle name="Nuovo 33 2 4" xfId="27185" xr:uid="{CEBD66E1-6FBB-4C08-95B5-F45E01C05C53}"/>
    <cellStyle name="Nuovo 33 2 5" xfId="27182" xr:uid="{F4E63E77-239F-41FE-AE8F-5E959B3F439E}"/>
    <cellStyle name="Nuovo 33 3" xfId="891" xr:uid="{00000000-0005-0000-0000-000020070000}"/>
    <cellStyle name="Nuovo 33 3 2" xfId="892" xr:uid="{00000000-0005-0000-0000-000021070000}"/>
    <cellStyle name="Nuovo 33 3 2 2" xfId="2185" xr:uid="{00000000-0005-0000-0000-000022070000}"/>
    <cellStyle name="Nuovo 33 3 2 2 2" xfId="27188" xr:uid="{2EE5AE18-774D-455D-A7FD-29FE48EC3529}"/>
    <cellStyle name="Nuovo 33 3 2 3" xfId="8097" xr:uid="{5066487D-A056-4DA8-B9B8-8CA876BC288B}"/>
    <cellStyle name="Nuovo 33 3 2 3 2" xfId="14098" xr:uid="{BE435E32-8C59-4209-97D6-240E5DF52D67}"/>
    <cellStyle name="Nuovo 33 3 2 3 3" xfId="27189" xr:uid="{7C86C599-CAEB-49B5-B622-90DCF51F28D3}"/>
    <cellStyle name="Nuovo 33 3 2 4" xfId="27187" xr:uid="{B92B5FC1-306E-4F00-B07F-87D9EBEC3FA5}"/>
    <cellStyle name="Nuovo 33 3 3" xfId="4196" xr:uid="{9F85EC94-8A08-4689-A3AB-00452B12ECE7}"/>
    <cellStyle name="Nuovo 33 3 3 2" xfId="9328" xr:uid="{64CE5116-176C-468E-8FA6-01AB98C0F993}"/>
    <cellStyle name="Nuovo 33 3 3 2 2" xfId="27191" xr:uid="{2058D5D1-591F-4F33-8C03-9A5FA159377A}"/>
    <cellStyle name="Nuovo 33 3 3 3" xfId="27192" xr:uid="{16C75CFC-F516-4513-ADBC-A7187DE67A2B}"/>
    <cellStyle name="Nuovo 33 3 3 3 2" xfId="49006" xr:uid="{A3676BE7-62D7-4165-812D-12897B82B232}"/>
    <cellStyle name="Nuovo 33 3 3 4" xfId="27190" xr:uid="{DB273DEE-56D1-4660-A6A6-553182B28855}"/>
    <cellStyle name="Nuovo 33 3 4" xfId="4197" xr:uid="{754AD26F-2146-4481-BF38-22CA85809A56}"/>
    <cellStyle name="Nuovo 33 3 4 2" xfId="13758" xr:uid="{7F19D354-C6FA-4C50-B567-1935AACC51B3}"/>
    <cellStyle name="Nuovo 33 3 4 3" xfId="27193" xr:uid="{9B249BD8-5668-4878-9582-E4E3AE91ACB1}"/>
    <cellStyle name="Nuovo 33 3 5" xfId="12294" xr:uid="{A312C3AE-2B69-4089-A545-FC39FCF757CE}"/>
    <cellStyle name="Nuovo 33 3 5 2" xfId="27194" xr:uid="{58561CA9-86FF-4C21-B06F-50AFC32D354D}"/>
    <cellStyle name="Nuovo 33 3 6" xfId="27195" xr:uid="{555CF545-F60B-4EE6-B6ED-87080D63E6EF}"/>
    <cellStyle name="Nuovo 33 3 7" xfId="27186" xr:uid="{14F20FD0-EC4C-437B-AE9D-C608357F643E}"/>
    <cellStyle name="Nuovo 33 4" xfId="2186" xr:uid="{00000000-0005-0000-0000-000023070000}"/>
    <cellStyle name="Nuovo 33 4 2" xfId="2187" xr:uid="{00000000-0005-0000-0000-000024070000}"/>
    <cellStyle name="Nuovo 33 4 2 2" xfId="9329" xr:uid="{F7000AFD-087D-426D-8578-3DC1017F8008}"/>
    <cellStyle name="Nuovo 33 4 2 2 2" xfId="27198" xr:uid="{A1B2F0BB-C321-49B8-ADFC-1D0AB73DB746}"/>
    <cellStyle name="Nuovo 33 4 2 3" xfId="17878" xr:uid="{D9B58261-394B-445A-8346-DE74570AF915}"/>
    <cellStyle name="Nuovo 33 4 2 3 2" xfId="27199" xr:uid="{42EFF72D-FCAC-4E5C-B35E-A9ECF28F65BD}"/>
    <cellStyle name="Nuovo 33 4 2 4" xfId="27197" xr:uid="{F65A87E1-8D7D-45CA-B637-799BD1137587}"/>
    <cellStyle name="Nuovo 33 4 2 5" xfId="17491" xr:uid="{66F51640-F46B-4E22-B921-3C6756ECE9AB}"/>
    <cellStyle name="Nuovo 33 4 3" xfId="9330" xr:uid="{68B102D0-1F83-4117-B3FA-5C5D89621DE3}"/>
    <cellStyle name="Nuovo 33 4 3 2" xfId="27200" xr:uid="{5AEBF1E6-CA1B-4458-B6DB-1AA9B74E7C5D}"/>
    <cellStyle name="Nuovo 33 4 4" xfId="27201" xr:uid="{3B2DD171-B62D-4651-AAA2-9E6047F74279}"/>
    <cellStyle name="Nuovo 33 4 4 2" xfId="49007" xr:uid="{877590C9-FB73-49E4-9A1D-369AA6AD4489}"/>
    <cellStyle name="Nuovo 33 4 5" xfId="27202" xr:uid="{D5FE7A98-A47A-40C1-AEA8-7E6DEB11A978}"/>
    <cellStyle name="Nuovo 33 4 6" xfId="27196" xr:uid="{EA834F2A-E98E-4AE8-9FE0-0AA7AB7FDFAF}"/>
    <cellStyle name="Nuovo 33 5" xfId="2188" xr:uid="{00000000-0005-0000-0000-000025070000}"/>
    <cellStyle name="Nuovo 33 5 2" xfId="27204" xr:uid="{36012286-C7D2-4F08-8AAF-F8D2AB33AEF5}"/>
    <cellStyle name="Nuovo 33 5 2 2" xfId="49008" xr:uid="{FC69466D-41E1-4890-8FF6-909966B78A1A}"/>
    <cellStyle name="Nuovo 33 5 3" xfId="27205" xr:uid="{F8FC96DA-A744-4560-8D11-491A3CB24A68}"/>
    <cellStyle name="Nuovo 33 5 4" xfId="27203" xr:uid="{542A594D-2389-4DCA-8057-D565FD217EFF}"/>
    <cellStyle name="Nuovo 33 6" xfId="4198" xr:uid="{FBED8D55-7227-4078-840F-0D474F8727B7}"/>
    <cellStyle name="Nuovo 33 6 2" xfId="9794" xr:uid="{8C95B018-7B18-463B-9CB0-AAB5CB15E477}"/>
    <cellStyle name="Nuovo 33 6 3" xfId="27206" xr:uid="{4BBBF63F-09B0-40D3-A152-5A1A9246083E}"/>
    <cellStyle name="Nuovo 33 7" xfId="27181" xr:uid="{53614CDA-4915-4972-B974-D6890C6FB978}"/>
    <cellStyle name="Nuovo 34" xfId="893" xr:uid="{00000000-0005-0000-0000-000026070000}"/>
    <cellStyle name="Nuovo 34 2" xfId="894" xr:uid="{00000000-0005-0000-0000-000027070000}"/>
    <cellStyle name="Nuovo 34 2 2" xfId="4199" xr:uid="{4760C67D-B602-4944-B63E-417E03357B6B}"/>
    <cellStyle name="Nuovo 34 2 2 2" xfId="13545" xr:uid="{C44D2FA2-D668-43ED-A5B4-BBF5ADDB3182}"/>
    <cellStyle name="Nuovo 34 2 2 3" xfId="27209" xr:uid="{9F5ABEDF-EC36-403A-9823-7C344A1C26AE}"/>
    <cellStyle name="Nuovo 34 2 3" xfId="13281" xr:uid="{E68759C0-081C-463D-8764-7DDAC910CB20}"/>
    <cellStyle name="Nuovo 34 2 3 2" xfId="27210" xr:uid="{B7549B9E-CFAA-4B63-AA52-25D3D8580156}"/>
    <cellStyle name="Nuovo 34 2 4" xfId="27211" xr:uid="{61A281B4-4C8F-4627-AC07-4B4A6B4A7305}"/>
    <cellStyle name="Nuovo 34 2 5" xfId="27208" xr:uid="{D4DF9D50-24D7-4975-8F89-FD8928F4092C}"/>
    <cellStyle name="Nuovo 34 3" xfId="895" xr:uid="{00000000-0005-0000-0000-000028070000}"/>
    <cellStyle name="Nuovo 34 3 2" xfId="896" xr:uid="{00000000-0005-0000-0000-000029070000}"/>
    <cellStyle name="Nuovo 34 3 2 2" xfId="2189" xr:uid="{00000000-0005-0000-0000-00002A070000}"/>
    <cellStyle name="Nuovo 34 3 2 2 2" xfId="27214" xr:uid="{21DAD0F5-1BB7-4357-B475-1087327BFA0F}"/>
    <cellStyle name="Nuovo 34 3 2 3" xfId="8098" xr:uid="{4F7FA860-F1F6-4C53-9A99-A395FE36FA46}"/>
    <cellStyle name="Nuovo 34 3 2 3 2" xfId="14099" xr:uid="{B67569B9-200C-4C05-8461-1CC17D040097}"/>
    <cellStyle name="Nuovo 34 3 2 3 3" xfId="27215" xr:uid="{4AD66738-49D2-474B-B1DA-496BE59D3C8A}"/>
    <cellStyle name="Nuovo 34 3 2 4" xfId="27213" xr:uid="{B07F219F-EF7E-4183-84F6-DBAB0FF17EAF}"/>
    <cellStyle name="Nuovo 34 3 3" xfId="4200" xr:uid="{D0EF8D5A-0058-465E-BCC6-BFEED23F1AF9}"/>
    <cellStyle name="Nuovo 34 3 3 2" xfId="9331" xr:uid="{AED031EE-BEFC-44A0-BB19-830202603881}"/>
    <cellStyle name="Nuovo 34 3 3 2 2" xfId="27217" xr:uid="{0679097B-32C5-4C19-BBE9-F37594A8B57D}"/>
    <cellStyle name="Nuovo 34 3 3 3" xfId="27218" xr:uid="{B3122453-FF9B-4AFB-9270-8959AA2B4B73}"/>
    <cellStyle name="Nuovo 34 3 3 3 2" xfId="49009" xr:uid="{95A6C1BC-D684-4277-8A53-19472303F7F8}"/>
    <cellStyle name="Nuovo 34 3 3 4" xfId="27216" xr:uid="{845A3798-AE6B-4A3E-AC6F-59685C534423}"/>
    <cellStyle name="Nuovo 34 3 4" xfId="4201" xr:uid="{3F8DD797-F9E4-468E-95F0-FC1E5EE53A73}"/>
    <cellStyle name="Nuovo 34 3 4 2" xfId="13759" xr:uid="{F49E5246-F1F4-4457-A006-682DB7760200}"/>
    <cellStyle name="Nuovo 34 3 4 3" xfId="27219" xr:uid="{9D46EAD2-DC7A-49D1-B156-F7F83E027802}"/>
    <cellStyle name="Nuovo 34 3 5" xfId="11523" xr:uid="{BF0C249E-E8EF-4D40-8C1A-F68B4F857B9E}"/>
    <cellStyle name="Nuovo 34 3 5 2" xfId="27220" xr:uid="{D9ED0A95-41AE-45B0-AA08-C45A0C13BDAC}"/>
    <cellStyle name="Nuovo 34 3 6" xfId="27221" xr:uid="{37F17EA5-380D-42CD-B4D7-B3A50548A2C5}"/>
    <cellStyle name="Nuovo 34 3 7" xfId="27212" xr:uid="{3CA0B4EF-AE5B-46F1-AE40-8D8AF965E545}"/>
    <cellStyle name="Nuovo 34 4" xfId="2190" xr:uid="{00000000-0005-0000-0000-00002B070000}"/>
    <cellStyle name="Nuovo 34 4 2" xfId="2191" xr:uid="{00000000-0005-0000-0000-00002C070000}"/>
    <cellStyle name="Nuovo 34 4 2 2" xfId="9332" xr:uid="{A3208215-197D-4879-BC0B-3DE5D8FD960F}"/>
    <cellStyle name="Nuovo 34 4 2 2 2" xfId="27224" xr:uid="{218A7458-F481-4855-948F-25DED7A1FB05}"/>
    <cellStyle name="Nuovo 34 4 2 3" xfId="17879" xr:uid="{80EB1D46-1C1E-4D10-A6F9-DC87B4835F7D}"/>
    <cellStyle name="Nuovo 34 4 2 3 2" xfId="27225" xr:uid="{D3B8F0A8-91DA-49A2-AFB9-E1229F31CDA4}"/>
    <cellStyle name="Nuovo 34 4 2 4" xfId="27223" xr:uid="{D2FCDD28-C7D2-4725-8038-3D87601EB4BB}"/>
    <cellStyle name="Nuovo 34 4 2 5" xfId="17492" xr:uid="{562B0D64-39BE-4395-9662-2F1595DD6FDD}"/>
    <cellStyle name="Nuovo 34 4 3" xfId="9333" xr:uid="{792E2068-7B49-4B27-83A8-841C8C770348}"/>
    <cellStyle name="Nuovo 34 4 3 2" xfId="27226" xr:uid="{1A2B48CA-5055-48A2-BB02-7AB2AA13A7D8}"/>
    <cellStyle name="Nuovo 34 4 4" xfId="27227" xr:uid="{F3A15C62-1B13-4133-9437-C7D569ADB996}"/>
    <cellStyle name="Nuovo 34 4 4 2" xfId="49010" xr:uid="{80E1A729-BB91-4ADB-B609-57754AFC6A35}"/>
    <cellStyle name="Nuovo 34 4 5" xfId="27228" xr:uid="{AF551834-E82F-416F-91D4-BAA0EF221AA1}"/>
    <cellStyle name="Nuovo 34 4 6" xfId="27222" xr:uid="{733D0E1D-8759-46AF-A422-88CE342DCBFE}"/>
    <cellStyle name="Nuovo 34 5" xfId="2192" xr:uid="{00000000-0005-0000-0000-00002D070000}"/>
    <cellStyle name="Nuovo 34 5 2" xfId="27230" xr:uid="{93B71085-518C-4934-B49B-8719272EF676}"/>
    <cellStyle name="Nuovo 34 5 2 2" xfId="49011" xr:uid="{E31D8145-9F6E-4170-BE91-D6F032F967CF}"/>
    <cellStyle name="Nuovo 34 5 3" xfId="27231" xr:uid="{6BF96C64-37EE-4894-8297-DAB936FCD9C3}"/>
    <cellStyle name="Nuovo 34 5 4" xfId="27229" xr:uid="{34AFEFBF-52B8-4030-965C-2B4A15A5C2C0}"/>
    <cellStyle name="Nuovo 34 6" xfId="4202" xr:uid="{6F1E2B6F-DB7F-49B8-BFCE-7D6C72323D19}"/>
    <cellStyle name="Nuovo 34 6 2" xfId="9795" xr:uid="{76CB15C1-AD00-4DF9-AF38-6CBE77320AAA}"/>
    <cellStyle name="Nuovo 34 6 3" xfId="27232" xr:uid="{95C0648A-B0E5-4428-A8D4-9719AEF4687D}"/>
    <cellStyle name="Nuovo 34 7" xfId="27207" xr:uid="{E03ECC80-CA1F-430B-9806-8299C17875FD}"/>
    <cellStyle name="Nuovo 35" xfId="897" xr:uid="{00000000-0005-0000-0000-00002E070000}"/>
    <cellStyle name="Nuovo 35 2" xfId="898" xr:uid="{00000000-0005-0000-0000-00002F070000}"/>
    <cellStyle name="Nuovo 35 2 2" xfId="4203" xr:uid="{3C68626D-0530-49F3-9A9F-8B05D0D1F455}"/>
    <cellStyle name="Nuovo 35 2 2 2" xfId="13546" xr:uid="{F4FE96F9-C04C-47BC-B6E7-6539BE77FB87}"/>
    <cellStyle name="Nuovo 35 2 2 3" xfId="27235" xr:uid="{833DF92F-FDA7-4F34-9A57-79AD959C0FCD}"/>
    <cellStyle name="Nuovo 35 2 3" xfId="13282" xr:uid="{E56E96C8-643F-41DA-8D28-A9ECA2F6D81C}"/>
    <cellStyle name="Nuovo 35 2 3 2" xfId="27236" xr:uid="{EBA50F5A-5C58-4126-9290-AACE2705BB9F}"/>
    <cellStyle name="Nuovo 35 2 4" xfId="27237" xr:uid="{B9073B77-D877-41C3-A63D-D5AF98415DB4}"/>
    <cellStyle name="Nuovo 35 2 5" xfId="27234" xr:uid="{55B3D2B0-77BB-4D47-9BCB-AAEE9542BFF8}"/>
    <cellStyle name="Nuovo 35 3" xfId="899" xr:uid="{00000000-0005-0000-0000-000030070000}"/>
    <cellStyle name="Nuovo 35 3 2" xfId="900" xr:uid="{00000000-0005-0000-0000-000031070000}"/>
    <cellStyle name="Nuovo 35 3 2 2" xfId="2193" xr:uid="{00000000-0005-0000-0000-000032070000}"/>
    <cellStyle name="Nuovo 35 3 2 2 2" xfId="27240" xr:uid="{2325484B-C178-4DE2-9E5F-9C96832C6ACF}"/>
    <cellStyle name="Nuovo 35 3 2 3" xfId="8099" xr:uid="{A0572E57-CBFA-4DA2-BA5E-5D98696789FD}"/>
    <cellStyle name="Nuovo 35 3 2 3 2" xfId="14100" xr:uid="{BB401603-18B0-4E57-9ECB-840073667616}"/>
    <cellStyle name="Nuovo 35 3 2 3 3" xfId="27241" xr:uid="{02903AF1-33CC-41D6-98B1-019C98492852}"/>
    <cellStyle name="Nuovo 35 3 2 4" xfId="27239" xr:uid="{198D4E41-F6A3-413D-9CE4-2DE6951467AF}"/>
    <cellStyle name="Nuovo 35 3 3" xfId="4204" xr:uid="{D3ABC173-4E1D-4ED0-B63C-0D64734FEE24}"/>
    <cellStyle name="Nuovo 35 3 3 2" xfId="9334" xr:uid="{D187EA62-D9BD-485E-BC18-514FE9131EB4}"/>
    <cellStyle name="Nuovo 35 3 3 2 2" xfId="27243" xr:uid="{C0CF2C0C-AE35-49E1-920F-BCB2E39D8E3D}"/>
    <cellStyle name="Nuovo 35 3 3 3" xfId="27244" xr:uid="{97766AEE-1D8D-47AF-BCBE-D2F08EC6DFA4}"/>
    <cellStyle name="Nuovo 35 3 3 3 2" xfId="49012" xr:uid="{DAB825AD-4423-49F2-8D52-CAAC6C3C90B0}"/>
    <cellStyle name="Nuovo 35 3 3 4" xfId="27242" xr:uid="{10BE030E-5610-4A57-BB09-1DB992382EF5}"/>
    <cellStyle name="Nuovo 35 3 4" xfId="4205" xr:uid="{4D1924AE-1D26-48C5-89BA-E0C03E0815B4}"/>
    <cellStyle name="Nuovo 35 3 4 2" xfId="13760" xr:uid="{DD9989AC-E89D-4E39-B23D-DA8838F2FD5E}"/>
    <cellStyle name="Nuovo 35 3 4 3" xfId="27245" xr:uid="{7A9FDA2A-2114-425E-80CC-C818F5E7AE9F}"/>
    <cellStyle name="Nuovo 35 3 5" xfId="12293" xr:uid="{385DEBF5-8E47-4BD8-971F-478C2399551A}"/>
    <cellStyle name="Nuovo 35 3 5 2" xfId="27246" xr:uid="{C6C435DF-76AF-4EF3-98AC-797AA14C72A5}"/>
    <cellStyle name="Nuovo 35 3 6" xfId="27247" xr:uid="{630C00AB-3761-436B-8A1C-DC1C38C643F2}"/>
    <cellStyle name="Nuovo 35 3 7" xfId="27238" xr:uid="{59D8FF75-E591-41B9-9461-6982995DB784}"/>
    <cellStyle name="Nuovo 35 4" xfId="2194" xr:uid="{00000000-0005-0000-0000-000033070000}"/>
    <cellStyle name="Nuovo 35 4 2" xfId="2195" xr:uid="{00000000-0005-0000-0000-000034070000}"/>
    <cellStyle name="Nuovo 35 4 2 2" xfId="9335" xr:uid="{EBA84BC7-37D3-4AEE-B865-8FC9853D31F3}"/>
    <cellStyle name="Nuovo 35 4 2 2 2" xfId="27250" xr:uid="{8719544B-5D12-4E37-8A37-6EC4D2FF55B9}"/>
    <cellStyle name="Nuovo 35 4 2 3" xfId="17880" xr:uid="{3B328E38-3E27-46DB-9C3C-C34DC60DFC3A}"/>
    <cellStyle name="Nuovo 35 4 2 3 2" xfId="27251" xr:uid="{002330BE-80B0-4351-B9A5-98136BFCD4CD}"/>
    <cellStyle name="Nuovo 35 4 2 4" xfId="27249" xr:uid="{84984614-2027-40D0-97C7-B29589073C79}"/>
    <cellStyle name="Nuovo 35 4 2 5" xfId="17493" xr:uid="{FF85A63D-3256-494E-A7B6-4D11BDFC8A42}"/>
    <cellStyle name="Nuovo 35 4 3" xfId="9336" xr:uid="{ACD4AA53-8D27-4AD3-93DF-C7867EC62402}"/>
    <cellStyle name="Nuovo 35 4 3 2" xfId="27252" xr:uid="{9160050D-D164-42E7-B414-5F0279C22023}"/>
    <cellStyle name="Nuovo 35 4 4" xfId="27253" xr:uid="{BC5F70AF-6370-44E1-A513-BF6F17F2F76F}"/>
    <cellStyle name="Nuovo 35 4 4 2" xfId="49013" xr:uid="{73AE7455-EF64-40AC-BBA5-7CFE441B8D4F}"/>
    <cellStyle name="Nuovo 35 4 5" xfId="27254" xr:uid="{51875896-46B2-4A59-954E-9F6A37BE292A}"/>
    <cellStyle name="Nuovo 35 4 6" xfId="27248" xr:uid="{27B8C873-CD0C-4945-9BC0-785D9B23E7AA}"/>
    <cellStyle name="Nuovo 35 5" xfId="2196" xr:uid="{00000000-0005-0000-0000-000035070000}"/>
    <cellStyle name="Nuovo 35 5 2" xfId="27256" xr:uid="{CF857EBD-B595-47F2-9AFC-BA5825C30305}"/>
    <cellStyle name="Nuovo 35 5 2 2" xfId="49014" xr:uid="{7C923DEF-FA17-41B2-985B-28EB3BE02D94}"/>
    <cellStyle name="Nuovo 35 5 3" xfId="27257" xr:uid="{58D343D5-13A8-4D8E-AFE8-7417DEC797CF}"/>
    <cellStyle name="Nuovo 35 5 4" xfId="27255" xr:uid="{57CB669C-F40E-46CF-AE3C-B0C73C8FD5C6}"/>
    <cellStyle name="Nuovo 35 6" xfId="4206" xr:uid="{A00A477E-7DA4-4521-8B51-E29DF5333F8A}"/>
    <cellStyle name="Nuovo 35 6 2" xfId="9796" xr:uid="{6CCA797E-296E-44F5-919D-77A3936F437D}"/>
    <cellStyle name="Nuovo 35 6 3" xfId="27258" xr:uid="{F9B26A35-6ACD-4222-9678-C452817B53B3}"/>
    <cellStyle name="Nuovo 35 7" xfId="27233" xr:uid="{F80F16F1-EB8B-4A4B-87D9-87EE53E5DBF5}"/>
    <cellStyle name="Nuovo 36" xfId="901" xr:uid="{00000000-0005-0000-0000-000036070000}"/>
    <cellStyle name="Nuovo 36 2" xfId="902" xr:uid="{00000000-0005-0000-0000-000037070000}"/>
    <cellStyle name="Nuovo 36 2 2" xfId="4207" xr:uid="{BAB3A3CA-3D4A-489D-AE94-AA1754033E98}"/>
    <cellStyle name="Nuovo 36 2 2 2" xfId="13547" xr:uid="{68BDEC0F-745C-49A5-97FE-97B58B7260D5}"/>
    <cellStyle name="Nuovo 36 2 2 3" xfId="27261" xr:uid="{5B14F0B3-0E37-44D7-A444-E1BFD3475BF1}"/>
    <cellStyle name="Nuovo 36 2 3" xfId="13283" xr:uid="{66748A89-6206-406D-9191-1854C7E4A55E}"/>
    <cellStyle name="Nuovo 36 2 3 2" xfId="27262" xr:uid="{3C16ABF0-9E4C-4105-9F54-9C3026D5DEA5}"/>
    <cellStyle name="Nuovo 36 2 4" xfId="27263" xr:uid="{1AE642CD-3C56-4A3A-80AB-E4B1098BB351}"/>
    <cellStyle name="Nuovo 36 2 5" xfId="27260" xr:uid="{942C864B-5F9C-4BB8-9C38-328068CA356C}"/>
    <cellStyle name="Nuovo 36 3" xfId="903" xr:uid="{00000000-0005-0000-0000-000038070000}"/>
    <cellStyle name="Nuovo 36 3 2" xfId="904" xr:uid="{00000000-0005-0000-0000-000039070000}"/>
    <cellStyle name="Nuovo 36 3 2 2" xfId="2197" xr:uid="{00000000-0005-0000-0000-00003A070000}"/>
    <cellStyle name="Nuovo 36 3 2 2 2" xfId="27266" xr:uid="{8D001364-04CC-449B-A0DF-0020F8C44CDB}"/>
    <cellStyle name="Nuovo 36 3 2 3" xfId="8100" xr:uid="{6B885DB8-483A-4A4B-8179-87C183F91748}"/>
    <cellStyle name="Nuovo 36 3 2 3 2" xfId="14101" xr:uid="{10B2A099-2DDF-49E9-8E9F-3CFA8928145D}"/>
    <cellStyle name="Nuovo 36 3 2 3 3" xfId="27267" xr:uid="{BE8B8FB5-2C1F-49A3-9904-4D1A2352FB28}"/>
    <cellStyle name="Nuovo 36 3 2 4" xfId="27265" xr:uid="{7BD93DA0-FBC8-45FE-9804-77E0FDC46DB8}"/>
    <cellStyle name="Nuovo 36 3 3" xfId="4208" xr:uid="{1A6BB515-873D-4047-B086-90A7F6DAD89A}"/>
    <cellStyle name="Nuovo 36 3 3 2" xfId="9337" xr:uid="{D92DA56D-7839-4070-A440-3DB93589BF04}"/>
    <cellStyle name="Nuovo 36 3 3 2 2" xfId="27269" xr:uid="{EA70AF1D-365D-4F7E-A4B1-1B0EEF1A305A}"/>
    <cellStyle name="Nuovo 36 3 3 3" xfId="27270" xr:uid="{BC055A74-BFDF-4452-A8B8-0A327E43C95E}"/>
    <cellStyle name="Nuovo 36 3 3 3 2" xfId="49015" xr:uid="{28E4ABFF-1404-4585-AACA-4DA5FE6BA1DE}"/>
    <cellStyle name="Nuovo 36 3 3 4" xfId="27268" xr:uid="{5CCEAF92-3ADF-4775-A04B-21454658042C}"/>
    <cellStyle name="Nuovo 36 3 4" xfId="4209" xr:uid="{348D861D-3051-4B69-A74B-58B7624BB565}"/>
    <cellStyle name="Nuovo 36 3 4 2" xfId="13761" xr:uid="{71A37468-4F6C-4EB0-9217-37F929FCAD78}"/>
    <cellStyle name="Nuovo 36 3 4 3" xfId="27271" xr:uid="{59271178-8E4A-4F4E-A4A4-E510B9389DBD}"/>
    <cellStyle name="Nuovo 36 3 5" xfId="11159" xr:uid="{51FE554E-3909-4EE5-8D39-5EAAA78E8AE9}"/>
    <cellStyle name="Nuovo 36 3 5 2" xfId="27272" xr:uid="{9AA71921-D11F-471C-A6EB-0B08112D2558}"/>
    <cellStyle name="Nuovo 36 3 6" xfId="27273" xr:uid="{AA3AEF3E-4DE2-46E8-93E3-450C01152F52}"/>
    <cellStyle name="Nuovo 36 3 7" xfId="27264" xr:uid="{9C48865C-5A4D-442C-9CA8-12A04AD1586F}"/>
    <cellStyle name="Nuovo 36 4" xfId="2198" xr:uid="{00000000-0005-0000-0000-00003B070000}"/>
    <cellStyle name="Nuovo 36 4 2" xfId="2199" xr:uid="{00000000-0005-0000-0000-00003C070000}"/>
    <cellStyle name="Nuovo 36 4 2 2" xfId="9338" xr:uid="{3584AA7C-FF76-4F52-A05C-FC4F4AC699EA}"/>
    <cellStyle name="Nuovo 36 4 2 2 2" xfId="27276" xr:uid="{11D42E05-3795-425A-8E26-78B040A5E643}"/>
    <cellStyle name="Nuovo 36 4 2 3" xfId="17881" xr:uid="{26CDCDD3-C842-404E-9B89-187CCE8CD2D5}"/>
    <cellStyle name="Nuovo 36 4 2 3 2" xfId="27277" xr:uid="{93AC6444-0834-4D0E-89B0-B0A50FC412F7}"/>
    <cellStyle name="Nuovo 36 4 2 4" xfId="27275" xr:uid="{FD6550FA-0386-42C3-B875-322C734FD08E}"/>
    <cellStyle name="Nuovo 36 4 2 5" xfId="17494" xr:uid="{5843FF36-F4EC-4188-95C5-9D4FCDCF774C}"/>
    <cellStyle name="Nuovo 36 4 3" xfId="9339" xr:uid="{66FFB423-8454-4DFA-8CE8-3391FB109B3A}"/>
    <cellStyle name="Nuovo 36 4 3 2" xfId="27278" xr:uid="{9101A21E-AB0A-4D60-A873-FF86035DC60B}"/>
    <cellStyle name="Nuovo 36 4 4" xfId="27279" xr:uid="{AAD892AB-8627-4AD3-AD1F-7922F3E2387D}"/>
    <cellStyle name="Nuovo 36 4 4 2" xfId="49016" xr:uid="{29A1643B-1430-44DA-9755-7A35118D7540}"/>
    <cellStyle name="Nuovo 36 4 5" xfId="27280" xr:uid="{960C0113-3E7E-43E4-AB7E-C67A9BA8A7F9}"/>
    <cellStyle name="Nuovo 36 4 6" xfId="27274" xr:uid="{8D5DE362-6DC1-4ADF-A218-9775BD6812A8}"/>
    <cellStyle name="Nuovo 36 5" xfId="2200" xr:uid="{00000000-0005-0000-0000-00003D070000}"/>
    <cellStyle name="Nuovo 36 5 2" xfId="27282" xr:uid="{85C24804-1692-492C-997C-0B1F91B9A4CC}"/>
    <cellStyle name="Nuovo 36 5 2 2" xfId="49017" xr:uid="{EA240E77-63FD-4985-A8E4-200C1C271D24}"/>
    <cellStyle name="Nuovo 36 5 3" xfId="27283" xr:uid="{FE0F2D3B-4FB4-44B6-8629-8503203BCE7C}"/>
    <cellStyle name="Nuovo 36 5 4" xfId="27281" xr:uid="{5F2B8A92-8F32-47B4-B73F-6130D5BBE552}"/>
    <cellStyle name="Nuovo 36 6" xfId="4210" xr:uid="{9EB4B771-343D-4179-846D-2C6EB25139AB}"/>
    <cellStyle name="Nuovo 36 6 2" xfId="9797" xr:uid="{D6026942-016B-4B9A-8B65-9F0D1AF2FDF4}"/>
    <cellStyle name="Nuovo 36 6 3" xfId="27284" xr:uid="{237D0C3E-FBDA-4DCC-9841-9521C9DCC51B}"/>
    <cellStyle name="Nuovo 36 7" xfId="27259" xr:uid="{3809480F-D2BC-4AB3-829B-C056122C5920}"/>
    <cellStyle name="Nuovo 37" xfId="905" xr:uid="{00000000-0005-0000-0000-00003E070000}"/>
    <cellStyle name="Nuovo 37 2" xfId="906" xr:uid="{00000000-0005-0000-0000-00003F070000}"/>
    <cellStyle name="Nuovo 37 2 2" xfId="4211" xr:uid="{451C8C83-4265-4C80-897F-9F90B06ACB10}"/>
    <cellStyle name="Nuovo 37 2 2 2" xfId="13548" xr:uid="{8FF510A7-8449-4F2C-A187-CDFDD943F7CA}"/>
    <cellStyle name="Nuovo 37 2 2 3" xfId="27287" xr:uid="{9418FE32-D825-4663-848F-3CB7BE0EDF04}"/>
    <cellStyle name="Nuovo 37 2 3" xfId="13284" xr:uid="{CDE741B1-6954-4F4F-9BE2-7B8A2F76C731}"/>
    <cellStyle name="Nuovo 37 2 3 2" xfId="27288" xr:uid="{211FEE41-F345-4399-989E-CC8E1594F4C5}"/>
    <cellStyle name="Nuovo 37 2 4" xfId="27289" xr:uid="{EA2546FB-7C56-4760-AB30-A7D602F678C1}"/>
    <cellStyle name="Nuovo 37 2 5" xfId="27286" xr:uid="{F3CA66AE-E43B-492D-AB56-6360650718B8}"/>
    <cellStyle name="Nuovo 37 3" xfId="907" xr:uid="{00000000-0005-0000-0000-000040070000}"/>
    <cellStyle name="Nuovo 37 3 2" xfId="908" xr:uid="{00000000-0005-0000-0000-000041070000}"/>
    <cellStyle name="Nuovo 37 3 2 2" xfId="2201" xr:uid="{00000000-0005-0000-0000-000042070000}"/>
    <cellStyle name="Nuovo 37 3 2 2 2" xfId="27292" xr:uid="{4ED65A9B-E4F9-446A-86BC-35EC784D90B6}"/>
    <cellStyle name="Nuovo 37 3 2 3" xfId="8101" xr:uid="{74744676-D7D3-4088-8BF1-E6AE5E150F50}"/>
    <cellStyle name="Nuovo 37 3 2 3 2" xfId="14102" xr:uid="{A63372C9-38E8-43D2-A053-4030A20ECF19}"/>
    <cellStyle name="Nuovo 37 3 2 3 3" xfId="27293" xr:uid="{1C150145-47C5-4C65-848B-5E100A3443CB}"/>
    <cellStyle name="Nuovo 37 3 2 4" xfId="27291" xr:uid="{DD77FE7E-CB94-4714-BD1A-1C6A399EB4D4}"/>
    <cellStyle name="Nuovo 37 3 3" xfId="4212" xr:uid="{709C5631-21BA-463E-ABE6-53AAADF9E01E}"/>
    <cellStyle name="Nuovo 37 3 3 2" xfId="9340" xr:uid="{B78E1A1E-8669-424D-865E-C0F0B351116D}"/>
    <cellStyle name="Nuovo 37 3 3 2 2" xfId="27295" xr:uid="{906B7EC4-4C1C-4BA6-9F48-E9EB0063A09D}"/>
    <cellStyle name="Nuovo 37 3 3 3" xfId="27296" xr:uid="{57D578E5-6C7C-4A5F-8F97-A3816240425E}"/>
    <cellStyle name="Nuovo 37 3 3 3 2" xfId="49018" xr:uid="{D7EA5D61-1D51-4599-BD42-80E3BEBEB135}"/>
    <cellStyle name="Nuovo 37 3 3 4" xfId="27294" xr:uid="{816DA027-8356-4CED-B02D-D54DFBCD2E42}"/>
    <cellStyle name="Nuovo 37 3 4" xfId="4213" xr:uid="{E14B18BF-3A3A-4791-B319-5A5A89AF164F}"/>
    <cellStyle name="Nuovo 37 3 4 2" xfId="13762" xr:uid="{EC0B03A5-41FA-4C95-BA67-756600455CA6}"/>
    <cellStyle name="Nuovo 37 3 4 3" xfId="27297" xr:uid="{E2C54552-5A01-4235-82F0-B59C5C326C37}"/>
    <cellStyle name="Nuovo 37 3 5" xfId="11211" xr:uid="{88701065-F8B7-4254-8D91-DAC47CEAD6A6}"/>
    <cellStyle name="Nuovo 37 3 5 2" xfId="27298" xr:uid="{ED218180-DA8E-4C95-B8C9-0234E056D26C}"/>
    <cellStyle name="Nuovo 37 3 6" xfId="27299" xr:uid="{84044522-4E91-4028-ABF0-86FDA4ACA927}"/>
    <cellStyle name="Nuovo 37 3 7" xfId="27290" xr:uid="{58F32333-1549-40CC-9114-E4D67D226801}"/>
    <cellStyle name="Nuovo 37 4" xfId="2202" xr:uid="{00000000-0005-0000-0000-000043070000}"/>
    <cellStyle name="Nuovo 37 4 2" xfId="2203" xr:uid="{00000000-0005-0000-0000-000044070000}"/>
    <cellStyle name="Nuovo 37 4 2 2" xfId="9341" xr:uid="{C1D6E32C-608B-49EF-9D71-2CD606168399}"/>
    <cellStyle name="Nuovo 37 4 2 2 2" xfId="27302" xr:uid="{B4B46885-9B01-4289-9219-59A22B15E6DC}"/>
    <cellStyle name="Nuovo 37 4 2 3" xfId="17882" xr:uid="{297FA0F4-5AD3-473A-827C-B657B98D0C0D}"/>
    <cellStyle name="Nuovo 37 4 2 3 2" xfId="27303" xr:uid="{9ADAAF37-B8EF-41E5-AFFD-6C81A48A6BD9}"/>
    <cellStyle name="Nuovo 37 4 2 4" xfId="27301" xr:uid="{A73D1DF8-1831-4694-B46E-A04F59B8A983}"/>
    <cellStyle name="Nuovo 37 4 2 5" xfId="17495" xr:uid="{EDB606B6-5318-4A1E-AE25-C7690FC5DC7F}"/>
    <cellStyle name="Nuovo 37 4 3" xfId="9342" xr:uid="{88FB8414-3692-4FA8-AF72-CA71124927BC}"/>
    <cellStyle name="Nuovo 37 4 3 2" xfId="27304" xr:uid="{BCC96947-F6C2-42A9-9844-2FBF31F6A95B}"/>
    <cellStyle name="Nuovo 37 4 4" xfId="27305" xr:uid="{1D0A1468-4536-49B1-A3AC-421535DC015C}"/>
    <cellStyle name="Nuovo 37 4 4 2" xfId="49019" xr:uid="{2EFAC234-D12A-4573-ADEF-5A9A40CB66C5}"/>
    <cellStyle name="Nuovo 37 4 5" xfId="27306" xr:uid="{55838139-EF42-4DE8-804A-5627AD39ADD9}"/>
    <cellStyle name="Nuovo 37 4 6" xfId="27300" xr:uid="{C509B4E1-1CCB-4B25-881B-2E830E2874D5}"/>
    <cellStyle name="Nuovo 37 5" xfId="2204" xr:uid="{00000000-0005-0000-0000-000045070000}"/>
    <cellStyle name="Nuovo 37 5 2" xfId="27308" xr:uid="{11B2EC6C-878E-4582-812E-405DAC955122}"/>
    <cellStyle name="Nuovo 37 5 2 2" xfId="49020" xr:uid="{B22353DA-B4EE-4188-A525-3632D609AC4C}"/>
    <cellStyle name="Nuovo 37 5 3" xfId="27309" xr:uid="{49C9CD0E-6090-41FD-BAD8-E3E1889A8D54}"/>
    <cellStyle name="Nuovo 37 5 4" xfId="27307" xr:uid="{4D4A73CB-F448-441E-A9CA-951626857D6F}"/>
    <cellStyle name="Nuovo 37 6" xfId="4214" xr:uid="{755877FC-1C24-4FEF-A1CD-1F4E95F8A063}"/>
    <cellStyle name="Nuovo 37 6 2" xfId="9798" xr:uid="{0C547E96-0FBA-490C-A298-196EEE77D30A}"/>
    <cellStyle name="Nuovo 37 6 3" xfId="27310" xr:uid="{DD31F1C5-6D9D-476A-B0F4-2388DD487633}"/>
    <cellStyle name="Nuovo 37 7" xfId="27285" xr:uid="{ABC330D2-11D5-414E-9E3D-53853BF03E05}"/>
    <cellStyle name="Nuovo 38" xfId="909" xr:uid="{00000000-0005-0000-0000-000046070000}"/>
    <cellStyle name="Nuovo 38 2" xfId="910" xr:uid="{00000000-0005-0000-0000-000047070000}"/>
    <cellStyle name="Nuovo 38 2 2" xfId="4215" xr:uid="{857CA0DB-A952-4D08-A180-C69C09EBF2FA}"/>
    <cellStyle name="Nuovo 38 2 2 2" xfId="13549" xr:uid="{212EA283-B1E2-4512-A9AD-E0D5B20E8AD4}"/>
    <cellStyle name="Nuovo 38 2 2 3" xfId="27313" xr:uid="{539A2166-0B1F-4802-BCC5-C84D34EFC1C5}"/>
    <cellStyle name="Nuovo 38 2 3" xfId="13285" xr:uid="{86B415F9-3E34-4288-82AF-997214192512}"/>
    <cellStyle name="Nuovo 38 2 3 2" xfId="27314" xr:uid="{EB3ECC36-7FC2-4A7A-B43D-C94C506562D6}"/>
    <cellStyle name="Nuovo 38 2 4" xfId="27315" xr:uid="{328E90C4-687F-44D5-A68C-19C0D447B547}"/>
    <cellStyle name="Nuovo 38 2 5" xfId="27312" xr:uid="{C8CE8A74-EBC9-4D54-9EC2-C7AF8D5A627E}"/>
    <cellStyle name="Nuovo 38 3" xfId="911" xr:uid="{00000000-0005-0000-0000-000048070000}"/>
    <cellStyle name="Nuovo 38 3 2" xfId="912" xr:uid="{00000000-0005-0000-0000-000049070000}"/>
    <cellStyle name="Nuovo 38 3 2 2" xfId="2205" xr:uid="{00000000-0005-0000-0000-00004A070000}"/>
    <cellStyle name="Nuovo 38 3 2 2 2" xfId="27318" xr:uid="{DEDB8531-4C79-4145-B970-EBF407AEAB18}"/>
    <cellStyle name="Nuovo 38 3 2 3" xfId="8102" xr:uid="{4D077069-81DE-4CCF-9A1C-26441F4089ED}"/>
    <cellStyle name="Nuovo 38 3 2 3 2" xfId="14103" xr:uid="{FAB01DAC-51C3-4953-B851-2D011F1266BD}"/>
    <cellStyle name="Nuovo 38 3 2 3 3" xfId="27319" xr:uid="{C88955ED-FED5-4E8B-80AC-1D212F1E9AC9}"/>
    <cellStyle name="Nuovo 38 3 2 4" xfId="27317" xr:uid="{CD803731-0A8A-4C9C-BFC3-9EBFAC7B53F8}"/>
    <cellStyle name="Nuovo 38 3 3" xfId="4216" xr:uid="{8E2433B2-F028-445A-9123-AF98EDF70BD8}"/>
    <cellStyle name="Nuovo 38 3 3 2" xfId="9343" xr:uid="{70FB8AA2-0BEA-4467-8960-58FC820B40F3}"/>
    <cellStyle name="Nuovo 38 3 3 2 2" xfId="27321" xr:uid="{D402D7AE-F280-423D-8104-A9E7FA28AAE9}"/>
    <cellStyle name="Nuovo 38 3 3 3" xfId="27322" xr:uid="{615D1B7C-3597-43D5-9264-9F13DA7C6EB7}"/>
    <cellStyle name="Nuovo 38 3 3 3 2" xfId="49021" xr:uid="{9D6E82D4-80B2-4745-84CE-C1D58EB3FD05}"/>
    <cellStyle name="Nuovo 38 3 3 4" xfId="27320" xr:uid="{DB5E77EC-AE71-4794-8AED-1BB4EA655937}"/>
    <cellStyle name="Nuovo 38 3 4" xfId="4217" xr:uid="{2AB2AD28-91AE-46D4-AF6B-DC30B0D982D8}"/>
    <cellStyle name="Nuovo 38 3 4 2" xfId="13763" xr:uid="{FDBFBF46-C933-4BBD-8DA0-EAC528319EAF}"/>
    <cellStyle name="Nuovo 38 3 4 3" xfId="27323" xr:uid="{13B35CB4-1A62-4175-A1A9-9937AB061E21}"/>
    <cellStyle name="Nuovo 38 3 5" xfId="12166" xr:uid="{3495FD65-535B-43D1-BD94-5C8180DB9AA8}"/>
    <cellStyle name="Nuovo 38 3 5 2" xfId="27324" xr:uid="{F7F70BFA-DAC3-4AE0-8818-8492B880525D}"/>
    <cellStyle name="Nuovo 38 3 6" xfId="27325" xr:uid="{E3F5AAD4-A859-4A69-AA9D-BE682B7F0F10}"/>
    <cellStyle name="Nuovo 38 3 7" xfId="27316" xr:uid="{5A04C8EC-4DDF-439D-AF84-F150BAD69CA6}"/>
    <cellStyle name="Nuovo 38 4" xfId="2206" xr:uid="{00000000-0005-0000-0000-00004B070000}"/>
    <cellStyle name="Nuovo 38 4 2" xfId="2207" xr:uid="{00000000-0005-0000-0000-00004C070000}"/>
    <cellStyle name="Nuovo 38 4 2 2" xfId="9344" xr:uid="{82E2E064-7EA6-4CFB-B2F6-D133DBADDE7C}"/>
    <cellStyle name="Nuovo 38 4 2 2 2" xfId="27328" xr:uid="{78DF7F13-5EED-4059-BD29-8A53758CCD12}"/>
    <cellStyle name="Nuovo 38 4 2 3" xfId="17883" xr:uid="{219C4AA9-C937-491B-9404-257DA9CFDC10}"/>
    <cellStyle name="Nuovo 38 4 2 3 2" xfId="27329" xr:uid="{8052CB63-865D-4589-A917-A86415C45D7D}"/>
    <cellStyle name="Nuovo 38 4 2 4" xfId="27327" xr:uid="{08049F89-5AF9-4B92-BD8A-CFA8EF457B9B}"/>
    <cellStyle name="Nuovo 38 4 2 5" xfId="17496" xr:uid="{4950C5CD-CC6E-40AD-84F0-F6E444A8EA1B}"/>
    <cellStyle name="Nuovo 38 4 3" xfId="9345" xr:uid="{1A269A71-F28A-4AD7-8140-F54F5858D5B2}"/>
    <cellStyle name="Nuovo 38 4 3 2" xfId="27330" xr:uid="{BBD301DF-3267-4D3F-8DEA-13D3432EA64B}"/>
    <cellStyle name="Nuovo 38 4 4" xfId="27331" xr:uid="{97B22414-D356-4F02-84D5-8004DB566752}"/>
    <cellStyle name="Nuovo 38 4 4 2" xfId="49022" xr:uid="{27D0EC1D-EB0C-4DFC-8603-D8F08ABE9B1E}"/>
    <cellStyle name="Nuovo 38 4 5" xfId="27332" xr:uid="{AFCAD945-1D8B-4862-9390-7DE97C29A140}"/>
    <cellStyle name="Nuovo 38 4 6" xfId="27326" xr:uid="{42BF52F5-0008-4484-B6B2-918EEB9DD1D3}"/>
    <cellStyle name="Nuovo 38 5" xfId="2208" xr:uid="{00000000-0005-0000-0000-00004D070000}"/>
    <cellStyle name="Nuovo 38 5 2" xfId="27334" xr:uid="{62CFD9EC-492F-4C60-A851-23A075CCF487}"/>
    <cellStyle name="Nuovo 38 5 2 2" xfId="49023" xr:uid="{D27E00E0-71FF-473F-BA80-12340D262CE4}"/>
    <cellStyle name="Nuovo 38 5 3" xfId="27335" xr:uid="{5C8F73D6-856A-41CC-B8D4-40C1BD7625F9}"/>
    <cellStyle name="Nuovo 38 5 4" xfId="27333" xr:uid="{34DF1E85-FDD2-4C4F-AC2A-316F57F9EB51}"/>
    <cellStyle name="Nuovo 38 6" xfId="4218" xr:uid="{8D70B16F-9F06-48CE-B7E4-B3E2D2BA6946}"/>
    <cellStyle name="Nuovo 38 6 2" xfId="9799" xr:uid="{64EE41C2-8EEC-4C11-B490-39858E53B766}"/>
    <cellStyle name="Nuovo 38 6 3" xfId="27336" xr:uid="{0675A832-8230-4939-8379-978717077623}"/>
    <cellStyle name="Nuovo 38 7" xfId="27311" xr:uid="{F706656D-7672-4831-8314-306650A395EA}"/>
    <cellStyle name="Nuovo 39" xfId="913" xr:uid="{00000000-0005-0000-0000-00004E070000}"/>
    <cellStyle name="Nuovo 39 2" xfId="914" xr:uid="{00000000-0005-0000-0000-00004F070000}"/>
    <cellStyle name="Nuovo 39 2 2" xfId="4219" xr:uid="{BF9C7FF7-BD0C-441F-9DA4-F117A547FE12}"/>
    <cellStyle name="Nuovo 39 2 2 2" xfId="13550" xr:uid="{9F9DBFB2-A7FA-49AD-9C5E-54946DDDA4D3}"/>
    <cellStyle name="Nuovo 39 2 2 3" xfId="27339" xr:uid="{0C524C89-8FC6-496C-BBB2-614FCF056AD6}"/>
    <cellStyle name="Nuovo 39 2 3" xfId="13286" xr:uid="{76E3B4F6-3EE2-4534-9B62-3A9AC5421079}"/>
    <cellStyle name="Nuovo 39 2 3 2" xfId="27340" xr:uid="{B61EDB77-62D0-4605-8641-FD5E3CA89171}"/>
    <cellStyle name="Nuovo 39 2 4" xfId="27341" xr:uid="{92B74338-9F15-47D3-AC74-0A6A1A715944}"/>
    <cellStyle name="Nuovo 39 2 5" xfId="27338" xr:uid="{FA3650C5-3754-41D0-82D0-0357FD063214}"/>
    <cellStyle name="Nuovo 39 3" xfId="915" xr:uid="{00000000-0005-0000-0000-000050070000}"/>
    <cellStyle name="Nuovo 39 3 2" xfId="916" xr:uid="{00000000-0005-0000-0000-000051070000}"/>
    <cellStyle name="Nuovo 39 3 2 2" xfId="2209" xr:uid="{00000000-0005-0000-0000-000052070000}"/>
    <cellStyle name="Nuovo 39 3 2 2 2" xfId="27344" xr:uid="{48225E26-C82C-465A-B9C3-480EBEFDFEBA}"/>
    <cellStyle name="Nuovo 39 3 2 3" xfId="8103" xr:uid="{596C5E91-F4A9-4FAD-BA3C-9884D92EE564}"/>
    <cellStyle name="Nuovo 39 3 2 3 2" xfId="14104" xr:uid="{61E68AF7-9A0D-4130-A60D-C84D86349C28}"/>
    <cellStyle name="Nuovo 39 3 2 3 3" xfId="27345" xr:uid="{66B3CCA7-3BFF-44FA-B2D0-9E869C17D5B7}"/>
    <cellStyle name="Nuovo 39 3 2 4" xfId="27343" xr:uid="{1D514E32-1C3E-4992-9829-FE1E29F5C761}"/>
    <cellStyle name="Nuovo 39 3 3" xfId="4220" xr:uid="{84BD995A-CF21-444C-BEE3-8301AA9C3CB4}"/>
    <cellStyle name="Nuovo 39 3 3 2" xfId="9346" xr:uid="{0DC2E48D-07AA-487D-BF51-597EE3B54941}"/>
    <cellStyle name="Nuovo 39 3 3 2 2" xfId="27347" xr:uid="{47DDC783-2CF7-4A54-B04A-C1418579194F}"/>
    <cellStyle name="Nuovo 39 3 3 3" xfId="27348" xr:uid="{EA130F99-81B6-4E1F-8994-0738F51BCD79}"/>
    <cellStyle name="Nuovo 39 3 3 3 2" xfId="49024" xr:uid="{1538ECC1-4F6C-4850-BEDC-721DC361AB40}"/>
    <cellStyle name="Nuovo 39 3 3 4" xfId="27346" xr:uid="{4EEE07AB-45FA-4FB4-8773-A7BB5483BBFF}"/>
    <cellStyle name="Nuovo 39 3 4" xfId="4221" xr:uid="{06B3BC52-BED8-486D-894F-576CCD3B75FA}"/>
    <cellStyle name="Nuovo 39 3 4 2" xfId="13764" xr:uid="{1473B520-3F3D-4716-A1A0-C5CE5FE6E77D}"/>
    <cellStyle name="Nuovo 39 3 4 3" xfId="27349" xr:uid="{30A07C10-11D4-4035-8D33-FE6A4F0DB50C}"/>
    <cellStyle name="Nuovo 39 3 5" xfId="11517" xr:uid="{83EA8FE6-18CC-4A1E-A33E-43D1BC64DC49}"/>
    <cellStyle name="Nuovo 39 3 5 2" xfId="27350" xr:uid="{2BA2AAD6-3A66-457E-BBDC-5D0193E8CB59}"/>
    <cellStyle name="Nuovo 39 3 6" xfId="27351" xr:uid="{AEA6FD27-AA64-4264-A7BF-81F309E926E2}"/>
    <cellStyle name="Nuovo 39 3 7" xfId="27342" xr:uid="{EB139388-6C43-4955-BEB9-11BEC697A78A}"/>
    <cellStyle name="Nuovo 39 4" xfId="2210" xr:uid="{00000000-0005-0000-0000-000053070000}"/>
    <cellStyle name="Nuovo 39 4 2" xfId="2211" xr:uid="{00000000-0005-0000-0000-000054070000}"/>
    <cellStyle name="Nuovo 39 4 2 2" xfId="9347" xr:uid="{DF0E42F9-576C-47D5-92E0-5F9C03F62513}"/>
    <cellStyle name="Nuovo 39 4 2 2 2" xfId="27354" xr:uid="{BAA68EB5-9ECD-4DA1-8B5F-53CD6AA3F157}"/>
    <cellStyle name="Nuovo 39 4 2 3" xfId="17884" xr:uid="{596D9FD1-7C5B-4D10-87D4-A637BCCAF0C5}"/>
    <cellStyle name="Nuovo 39 4 2 3 2" xfId="27355" xr:uid="{00AAE152-CF37-4924-B3B0-31D06838F153}"/>
    <cellStyle name="Nuovo 39 4 2 4" xfId="27353" xr:uid="{1ED75F13-4DEA-4AF2-9BAC-B5CF49DF7002}"/>
    <cellStyle name="Nuovo 39 4 2 5" xfId="17497" xr:uid="{EBED77DE-40C6-492E-8C34-A1DC4B4BCF6D}"/>
    <cellStyle name="Nuovo 39 4 3" xfId="9348" xr:uid="{6EB26866-CA1F-49BD-A129-887F45E328AF}"/>
    <cellStyle name="Nuovo 39 4 3 2" xfId="27356" xr:uid="{E7892FC2-DBB0-4143-BAC2-7E352502DC5B}"/>
    <cellStyle name="Nuovo 39 4 4" xfId="27357" xr:uid="{3C06FE52-0CAF-4241-AE85-628A7E70A82E}"/>
    <cellStyle name="Nuovo 39 4 4 2" xfId="49025" xr:uid="{79217679-4E68-4A61-B91A-D59ABDCDEE96}"/>
    <cellStyle name="Nuovo 39 4 5" xfId="27358" xr:uid="{6750D8B4-B573-4F54-AFB3-A27797A91DB7}"/>
    <cellStyle name="Nuovo 39 4 6" xfId="27352" xr:uid="{413040E0-C874-4AB7-B917-FAAB6D0F4E93}"/>
    <cellStyle name="Nuovo 39 5" xfId="2212" xr:uid="{00000000-0005-0000-0000-000055070000}"/>
    <cellStyle name="Nuovo 39 5 2" xfId="27360" xr:uid="{670BB942-C5C9-48FC-B1B3-849FE3DDF47C}"/>
    <cellStyle name="Nuovo 39 5 2 2" xfId="49026" xr:uid="{9A241577-2823-493A-90AC-DF36CE6F18C7}"/>
    <cellStyle name="Nuovo 39 5 3" xfId="27361" xr:uid="{1EB36258-BA26-4D64-8D18-28D5FE7B5A70}"/>
    <cellStyle name="Nuovo 39 5 4" xfId="27359" xr:uid="{B057090B-57A5-4E05-B235-B6521CEB8E2F}"/>
    <cellStyle name="Nuovo 39 6" xfId="4222" xr:uid="{983A5BD4-589B-4E00-AFAF-446FEB0DF76C}"/>
    <cellStyle name="Nuovo 39 6 2" xfId="9800" xr:uid="{03A714E9-0030-4266-A524-2F25E8291BB7}"/>
    <cellStyle name="Nuovo 39 6 3" xfId="27362" xr:uid="{6CB410D2-6CF6-43E1-BCD0-5302BC72FF80}"/>
    <cellStyle name="Nuovo 39 7" xfId="27337" xr:uid="{306B3D4F-3480-483C-9A69-59CA3E6549DB}"/>
    <cellStyle name="Nuovo 4" xfId="917" xr:uid="{00000000-0005-0000-0000-000056070000}"/>
    <cellStyle name="Nuovo 4 2" xfId="918" xr:uid="{00000000-0005-0000-0000-000057070000}"/>
    <cellStyle name="Nuovo 4 2 2" xfId="4223" xr:uid="{FCC138C4-366E-47A8-87F8-7E63EDD151A2}"/>
    <cellStyle name="Nuovo 4 2 2 2" xfId="13551" xr:uid="{6989DE48-9085-47CF-B2D9-13D9559C0758}"/>
    <cellStyle name="Nuovo 4 2 2 3" xfId="27365" xr:uid="{5FD48D02-60FC-444C-8AE6-A255BC3C8FC3}"/>
    <cellStyle name="Nuovo 4 2 3" xfId="13287" xr:uid="{C042C07A-34BB-4886-B92B-8A415E6F8CD0}"/>
    <cellStyle name="Nuovo 4 2 3 2" xfId="27366" xr:uid="{9DB79B1B-3F20-421C-B2CC-D4B5643D28E0}"/>
    <cellStyle name="Nuovo 4 2 4" xfId="27367" xr:uid="{6A925CE1-C356-453A-BB32-FAC4E39B08F0}"/>
    <cellStyle name="Nuovo 4 2 5" xfId="27364" xr:uid="{241F2536-4275-4084-8924-F0B68DA94107}"/>
    <cellStyle name="Nuovo 4 3" xfId="919" xr:uid="{00000000-0005-0000-0000-000058070000}"/>
    <cellStyle name="Nuovo 4 3 2" xfId="920" xr:uid="{00000000-0005-0000-0000-000059070000}"/>
    <cellStyle name="Nuovo 4 3 2 2" xfId="2213" xr:uid="{00000000-0005-0000-0000-00005A070000}"/>
    <cellStyle name="Nuovo 4 3 2 2 2" xfId="27370" xr:uid="{2DD331DB-D3CF-4062-A24D-86F935D31330}"/>
    <cellStyle name="Nuovo 4 3 2 3" xfId="8104" xr:uid="{8C1C30B2-ACC7-4465-9416-06BA63FA33D7}"/>
    <cellStyle name="Nuovo 4 3 2 3 2" xfId="14105" xr:uid="{75F21795-BDF1-4453-8DFC-30458AB5B3A5}"/>
    <cellStyle name="Nuovo 4 3 2 3 3" xfId="27371" xr:uid="{3F702709-90AB-4484-939A-CAA8B180A017}"/>
    <cellStyle name="Nuovo 4 3 2 4" xfId="27369" xr:uid="{85D3DC13-1825-4D19-9D46-0F5C46EBED4C}"/>
    <cellStyle name="Nuovo 4 3 3" xfId="4224" xr:uid="{5574D065-638B-4D74-B8E5-18B7E011A848}"/>
    <cellStyle name="Nuovo 4 3 3 2" xfId="9349" xr:uid="{22E1D41A-A102-4519-9C19-A1CFD7702EA7}"/>
    <cellStyle name="Nuovo 4 3 3 2 2" xfId="27373" xr:uid="{88B27AB4-BD5E-4310-8F1F-FA1504F19B6F}"/>
    <cellStyle name="Nuovo 4 3 3 3" xfId="27374" xr:uid="{32DF1EA7-5AC1-428D-8875-3AEA31C4AA2B}"/>
    <cellStyle name="Nuovo 4 3 3 3 2" xfId="49027" xr:uid="{5A412A1A-FB2E-428F-9ADD-A05DC7AB6C9D}"/>
    <cellStyle name="Nuovo 4 3 3 4" xfId="27372" xr:uid="{F4B3FEB7-F2C6-47AE-B20F-795550FD4A34}"/>
    <cellStyle name="Nuovo 4 3 4" xfId="4225" xr:uid="{F8DC0B41-B601-49DC-8830-DFCBEB854319}"/>
    <cellStyle name="Nuovo 4 3 4 2" xfId="13765" xr:uid="{80F7F3D9-E92F-42A1-9A2D-7005F1238A8A}"/>
    <cellStyle name="Nuovo 4 3 4 3" xfId="27375" xr:uid="{15031EA8-E82A-4350-ACB6-600E28C55AE2}"/>
    <cellStyle name="Nuovo 4 3 5" xfId="11125" xr:uid="{625E87B1-E496-4D26-9E3B-809016D040DF}"/>
    <cellStyle name="Nuovo 4 3 5 2" xfId="27376" xr:uid="{5CACAF69-1413-4527-B125-AE8D33AEB4A5}"/>
    <cellStyle name="Nuovo 4 3 6" xfId="27377" xr:uid="{36E9A1E1-4021-4F21-9752-4D8272666CA4}"/>
    <cellStyle name="Nuovo 4 3 7" xfId="27368" xr:uid="{21F630F4-EC82-4982-8D6C-1B822F7E45F3}"/>
    <cellStyle name="Nuovo 4 4" xfId="2214" xr:uid="{00000000-0005-0000-0000-00005B070000}"/>
    <cellStyle name="Nuovo 4 4 2" xfId="2215" xr:uid="{00000000-0005-0000-0000-00005C070000}"/>
    <cellStyle name="Nuovo 4 4 2 2" xfId="9350" xr:uid="{5C308950-2226-4F71-9AB2-83C73093596E}"/>
    <cellStyle name="Nuovo 4 4 2 2 2" xfId="27380" xr:uid="{30D579F7-D724-4703-B9DB-38AF7079A727}"/>
    <cellStyle name="Nuovo 4 4 2 3" xfId="17885" xr:uid="{58B8A53D-7EBE-49DC-8D9E-C39C70DD4D2B}"/>
    <cellStyle name="Nuovo 4 4 2 3 2" xfId="27381" xr:uid="{27446D1F-C032-4FCA-8454-0F18A8BBF5CD}"/>
    <cellStyle name="Nuovo 4 4 2 4" xfId="27379" xr:uid="{301C064A-2854-4EAD-B726-FB939FA1E421}"/>
    <cellStyle name="Nuovo 4 4 2 5" xfId="17498" xr:uid="{392F37BF-BB32-4049-BDA5-9E769657E8EA}"/>
    <cellStyle name="Nuovo 4 4 3" xfId="9351" xr:uid="{EB7D0048-36BB-44F1-B295-451D13F87053}"/>
    <cellStyle name="Nuovo 4 4 3 2" xfId="27382" xr:uid="{FF71786A-05E7-4B77-89CC-22A3755B187A}"/>
    <cellStyle name="Nuovo 4 4 4" xfId="27383" xr:uid="{7489607A-C702-463A-A701-8580DB983F13}"/>
    <cellStyle name="Nuovo 4 4 4 2" xfId="49028" xr:uid="{7F028850-EB7A-461E-9664-B97658F59B85}"/>
    <cellStyle name="Nuovo 4 4 5" xfId="27384" xr:uid="{1A36E2B4-901E-4936-AE5E-A8C26F923DD4}"/>
    <cellStyle name="Nuovo 4 4 6" xfId="27378" xr:uid="{E55E154A-9140-40F9-9942-54D7DB3FBC2B}"/>
    <cellStyle name="Nuovo 4 5" xfId="2216" xr:uid="{00000000-0005-0000-0000-00005D070000}"/>
    <cellStyle name="Nuovo 4 5 2" xfId="27386" xr:uid="{5AAF7EF2-789E-44E1-8649-33A502F5455B}"/>
    <cellStyle name="Nuovo 4 5 2 2" xfId="49029" xr:uid="{BF983976-3173-4463-B3A3-CB8890172176}"/>
    <cellStyle name="Nuovo 4 5 3" xfId="27387" xr:uid="{96B19299-26D0-41A8-9BF9-D6F99B40FC13}"/>
    <cellStyle name="Nuovo 4 5 4" xfId="27385" xr:uid="{D81BEFBD-EC4F-4AC4-BB91-43DEF691DC7A}"/>
    <cellStyle name="Nuovo 4 6" xfId="4226" xr:uid="{C431B80A-2152-4ED3-9A4F-8782E172FAD0}"/>
    <cellStyle name="Nuovo 4 6 2" xfId="9801" xr:uid="{481234EE-22B1-4B81-A0C8-42A442EE1FF2}"/>
    <cellStyle name="Nuovo 4 6 3" xfId="27388" xr:uid="{6F0BC83C-9708-48BD-B613-C30E647C7FF1}"/>
    <cellStyle name="Nuovo 4 7" xfId="27363" xr:uid="{626347A4-2C50-4794-976F-8BCA4597F5AF}"/>
    <cellStyle name="Nuovo 40" xfId="921" xr:uid="{00000000-0005-0000-0000-00005E070000}"/>
    <cellStyle name="Nuovo 40 2" xfId="922" xr:uid="{00000000-0005-0000-0000-00005F070000}"/>
    <cellStyle name="Nuovo 40 2 2" xfId="4227" xr:uid="{F2C6464D-D72D-4FEC-80EE-67679F85F15C}"/>
    <cellStyle name="Nuovo 40 2 2 2" xfId="13552" xr:uid="{641FF729-9083-404C-8293-22F2E47ECFEC}"/>
    <cellStyle name="Nuovo 40 2 2 3" xfId="27391" xr:uid="{8BFE84E9-0269-412C-9BD7-8815B4A7F5FB}"/>
    <cellStyle name="Nuovo 40 2 3" xfId="13288" xr:uid="{28081397-1405-46F7-8929-4FC76BABFBDB}"/>
    <cellStyle name="Nuovo 40 2 3 2" xfId="27392" xr:uid="{D7373CF7-7177-4041-ACAE-12591350268A}"/>
    <cellStyle name="Nuovo 40 2 4" xfId="27393" xr:uid="{D116166A-439A-43A2-99FF-DC159869F775}"/>
    <cellStyle name="Nuovo 40 2 5" xfId="27390" xr:uid="{600FF025-1B0B-4FFB-B02D-8791F7C594AA}"/>
    <cellStyle name="Nuovo 40 3" xfId="923" xr:uid="{00000000-0005-0000-0000-000060070000}"/>
    <cellStyle name="Nuovo 40 3 2" xfId="924" xr:uid="{00000000-0005-0000-0000-000061070000}"/>
    <cellStyle name="Nuovo 40 3 2 2" xfId="2217" xr:uid="{00000000-0005-0000-0000-000062070000}"/>
    <cellStyle name="Nuovo 40 3 2 2 2" xfId="27396" xr:uid="{2A018241-500D-404F-84DB-64F07DC2B4E1}"/>
    <cellStyle name="Nuovo 40 3 2 3" xfId="8105" xr:uid="{644E6713-AEF1-4401-BCC8-BDC2ADC6688B}"/>
    <cellStyle name="Nuovo 40 3 2 3 2" xfId="14106" xr:uid="{4398B1CF-0471-44C1-AB0F-ABACE171D439}"/>
    <cellStyle name="Nuovo 40 3 2 3 3" xfId="27397" xr:uid="{DD7C0C3C-2027-4872-86E3-07F35BB81DE4}"/>
    <cellStyle name="Nuovo 40 3 2 4" xfId="27395" xr:uid="{0CA8AEE9-0F15-4B7C-BD7F-3A923DD5311C}"/>
    <cellStyle name="Nuovo 40 3 3" xfId="4228" xr:uid="{9D55557E-02EB-43F2-8E75-AE93BAEA0100}"/>
    <cellStyle name="Nuovo 40 3 3 2" xfId="9352" xr:uid="{9C4AD7ED-3BAF-48FB-9CA8-A39C65467B21}"/>
    <cellStyle name="Nuovo 40 3 3 2 2" xfId="27399" xr:uid="{3CE32D1A-88B8-4F70-9F2E-73B3063A923B}"/>
    <cellStyle name="Nuovo 40 3 3 3" xfId="27400" xr:uid="{33D3B0D8-125E-45F1-A543-0C3CA79647C7}"/>
    <cellStyle name="Nuovo 40 3 3 3 2" xfId="49030" xr:uid="{9F96F28A-C801-4045-9268-9213969F7E86}"/>
    <cellStyle name="Nuovo 40 3 3 4" xfId="27398" xr:uid="{46B8D835-10E3-4773-BE9F-29D2C9A823F1}"/>
    <cellStyle name="Nuovo 40 3 4" xfId="4229" xr:uid="{B1FDBF2D-E656-426E-97B4-F901BE4B45F3}"/>
    <cellStyle name="Nuovo 40 3 4 2" xfId="13766" xr:uid="{96AF1580-1502-469C-8B41-B935196BD228}"/>
    <cellStyle name="Nuovo 40 3 4 3" xfId="27401" xr:uid="{6298F553-CFC8-49BB-A441-D015AB937868}"/>
    <cellStyle name="Nuovo 40 3 5" xfId="11506" xr:uid="{0EBD3E00-2A0A-48F4-81FE-570ED6D09A5E}"/>
    <cellStyle name="Nuovo 40 3 5 2" xfId="27402" xr:uid="{4CF57DB2-7A94-4698-86C9-5D6BF42D57AC}"/>
    <cellStyle name="Nuovo 40 3 6" xfId="27403" xr:uid="{65321793-F32F-41BB-AB73-BE6D29C839D1}"/>
    <cellStyle name="Nuovo 40 3 7" xfId="27394" xr:uid="{D780DBF1-2945-4B1A-B005-4A18B27AB8BA}"/>
    <cellStyle name="Nuovo 40 4" xfId="2218" xr:uid="{00000000-0005-0000-0000-000063070000}"/>
    <cellStyle name="Nuovo 40 4 2" xfId="2219" xr:uid="{00000000-0005-0000-0000-000064070000}"/>
    <cellStyle name="Nuovo 40 4 2 2" xfId="9353" xr:uid="{5FDC19C4-F9C6-408B-86BA-330176A1943A}"/>
    <cellStyle name="Nuovo 40 4 2 2 2" xfId="27406" xr:uid="{6FB0081A-EE4B-4666-9199-0072038B4210}"/>
    <cellStyle name="Nuovo 40 4 2 3" xfId="17886" xr:uid="{76C6EAA4-B5DE-418D-A2AE-9E89DC0B5A30}"/>
    <cellStyle name="Nuovo 40 4 2 3 2" xfId="27407" xr:uid="{7D32BBD2-C6A7-4BC2-AC59-A5F48E1F4238}"/>
    <cellStyle name="Nuovo 40 4 2 4" xfId="27405" xr:uid="{8A9C3579-0002-466C-902A-DB282C859ACD}"/>
    <cellStyle name="Nuovo 40 4 2 5" xfId="17499" xr:uid="{3361396E-B125-4E8F-9F67-D6DA398C4061}"/>
    <cellStyle name="Nuovo 40 4 3" xfId="9354" xr:uid="{5A96451D-FE77-4EF6-AD19-AC673B8CFE51}"/>
    <cellStyle name="Nuovo 40 4 3 2" xfId="27408" xr:uid="{7112FA63-B991-4C91-AFD4-A38B92B590FD}"/>
    <cellStyle name="Nuovo 40 4 4" xfId="27409" xr:uid="{A45F98B2-6EB8-411C-8D0C-59A13DD14183}"/>
    <cellStyle name="Nuovo 40 4 4 2" xfId="49031" xr:uid="{174B56E4-128B-4AA0-A9EF-74E36A2D98CD}"/>
    <cellStyle name="Nuovo 40 4 5" xfId="27410" xr:uid="{4B16595E-C7C2-46EF-BA87-898971D64972}"/>
    <cellStyle name="Nuovo 40 4 6" xfId="27404" xr:uid="{9B3923D2-301D-4DB3-812E-1F87626D308C}"/>
    <cellStyle name="Nuovo 40 5" xfId="2220" xr:uid="{00000000-0005-0000-0000-000065070000}"/>
    <cellStyle name="Nuovo 40 5 2" xfId="27412" xr:uid="{0AAC9643-2087-4C99-8D82-092EB4B9623E}"/>
    <cellStyle name="Nuovo 40 5 2 2" xfId="49032" xr:uid="{391BB20D-2969-4888-A68B-12EAE4BEFB91}"/>
    <cellStyle name="Nuovo 40 5 3" xfId="27413" xr:uid="{15941032-2F47-4B72-BDDA-9BF28A109E73}"/>
    <cellStyle name="Nuovo 40 5 4" xfId="27411" xr:uid="{D287FDF7-97E6-486B-B4DB-6A9C015F57D3}"/>
    <cellStyle name="Nuovo 40 6" xfId="4230" xr:uid="{B86B75D1-C360-480C-91C7-B9FA73136C2E}"/>
    <cellStyle name="Nuovo 40 6 2" xfId="9802" xr:uid="{A8EB0168-A74C-4590-8624-9D4F637194C3}"/>
    <cellStyle name="Nuovo 40 6 3" xfId="27414" xr:uid="{381972C9-BD9A-4F3E-83C0-41B697150258}"/>
    <cellStyle name="Nuovo 40 7" xfId="27389" xr:uid="{B595D215-CAA8-4ABF-B265-CE9308656E1B}"/>
    <cellStyle name="Nuovo 41" xfId="925" xr:uid="{00000000-0005-0000-0000-000066070000}"/>
    <cellStyle name="Nuovo 41 2" xfId="926" xr:uid="{00000000-0005-0000-0000-000067070000}"/>
    <cellStyle name="Nuovo 41 2 2" xfId="4231" xr:uid="{47F07A4F-570A-42E1-B5AE-FF8155903F97}"/>
    <cellStyle name="Nuovo 41 2 2 2" xfId="13553" xr:uid="{C853AF0B-2642-474A-8ECC-397A8B5AEAAB}"/>
    <cellStyle name="Nuovo 41 2 2 3" xfId="27417" xr:uid="{B28820B4-170B-4F2B-8627-04874A83AB2F}"/>
    <cellStyle name="Nuovo 41 2 3" xfId="13289" xr:uid="{21B4CF05-BA85-44E0-B404-A925686077B7}"/>
    <cellStyle name="Nuovo 41 2 3 2" xfId="27418" xr:uid="{4309EB0A-91DE-473C-91E5-F86A5BBB4552}"/>
    <cellStyle name="Nuovo 41 2 4" xfId="27419" xr:uid="{DE1462F9-126C-41B1-998C-EFE37B7D3DB2}"/>
    <cellStyle name="Nuovo 41 2 5" xfId="27416" xr:uid="{115E62B4-6265-44A5-B0EC-733ACDA71297}"/>
    <cellStyle name="Nuovo 41 3" xfId="927" xr:uid="{00000000-0005-0000-0000-000068070000}"/>
    <cellStyle name="Nuovo 41 3 2" xfId="928" xr:uid="{00000000-0005-0000-0000-000069070000}"/>
    <cellStyle name="Nuovo 41 3 2 2" xfId="2221" xr:uid="{00000000-0005-0000-0000-00006A070000}"/>
    <cellStyle name="Nuovo 41 3 2 2 2" xfId="27422" xr:uid="{7558402F-C6CE-4208-B5BA-ECD6C3710531}"/>
    <cellStyle name="Nuovo 41 3 2 3" xfId="8106" xr:uid="{83451AEA-E4DF-42FE-A94D-6384AD85904E}"/>
    <cellStyle name="Nuovo 41 3 2 3 2" xfId="14107" xr:uid="{B64C4CB0-0400-420C-9B54-A93F342A56DE}"/>
    <cellStyle name="Nuovo 41 3 2 3 3" xfId="27423" xr:uid="{E80C1A22-523C-4140-A688-F7A1A2591BF8}"/>
    <cellStyle name="Nuovo 41 3 2 4" xfId="27421" xr:uid="{71C95623-FD24-41F0-9FAE-922F7F96C690}"/>
    <cellStyle name="Nuovo 41 3 3" xfId="4232" xr:uid="{D662131F-5360-44BD-B5DA-E1DC1C354A71}"/>
    <cellStyle name="Nuovo 41 3 3 2" xfId="9355" xr:uid="{3F0CA7AE-4E26-4519-86CA-4E031824DA2E}"/>
    <cellStyle name="Nuovo 41 3 3 2 2" xfId="27425" xr:uid="{A287A994-3655-4DB6-9DA4-B4D9B8A417F1}"/>
    <cellStyle name="Nuovo 41 3 3 3" xfId="27426" xr:uid="{B6C5576F-91A0-46DA-8F9F-1BE4F0BC3616}"/>
    <cellStyle name="Nuovo 41 3 3 3 2" xfId="49033" xr:uid="{108EB885-3008-4337-8259-4C733523E210}"/>
    <cellStyle name="Nuovo 41 3 3 4" xfId="27424" xr:uid="{A85B5BB7-D7E7-45DE-A65B-1E96919D69D4}"/>
    <cellStyle name="Nuovo 41 3 4" xfId="4233" xr:uid="{1E350850-1D2C-4188-B57A-68067EDA607A}"/>
    <cellStyle name="Nuovo 41 3 4 2" xfId="13767" xr:uid="{8E41E019-9F09-471C-B24A-C02E5CDAB0B9}"/>
    <cellStyle name="Nuovo 41 3 4 3" xfId="27427" xr:uid="{BD3EBB48-6D61-449B-97F8-E7F61E0C36F0}"/>
    <cellStyle name="Nuovo 41 3 5" xfId="12259" xr:uid="{AF51816D-BCAD-4706-AB37-AE7F62B3BABB}"/>
    <cellStyle name="Nuovo 41 3 5 2" xfId="27428" xr:uid="{C0774907-4B5E-4F93-B1A9-D2E8D0A89140}"/>
    <cellStyle name="Nuovo 41 3 6" xfId="27429" xr:uid="{AEC9A3EE-8FC4-4859-B4D0-66FC035F9075}"/>
    <cellStyle name="Nuovo 41 3 7" xfId="27420" xr:uid="{3115FF8C-6E3F-4FB1-8C12-622D7322BBBB}"/>
    <cellStyle name="Nuovo 41 4" xfId="2222" xr:uid="{00000000-0005-0000-0000-00006B070000}"/>
    <cellStyle name="Nuovo 41 4 2" xfId="2223" xr:uid="{00000000-0005-0000-0000-00006C070000}"/>
    <cellStyle name="Nuovo 41 4 2 2" xfId="9356" xr:uid="{DED4A323-089D-4B33-B4E7-A02702D99FD7}"/>
    <cellStyle name="Nuovo 41 4 2 2 2" xfId="27432" xr:uid="{6B3DE1F5-D48A-4D24-A242-642FD0F0ED58}"/>
    <cellStyle name="Nuovo 41 4 2 3" xfId="17887" xr:uid="{092DDAD1-6223-4EF5-BAA7-54DFEA312294}"/>
    <cellStyle name="Nuovo 41 4 2 3 2" xfId="27433" xr:uid="{6EE94C29-5CE0-4F12-96D0-BC813A193CE3}"/>
    <cellStyle name="Nuovo 41 4 2 4" xfId="27431" xr:uid="{B3497F9D-A00E-42DA-9A0F-5518A19E4C4B}"/>
    <cellStyle name="Nuovo 41 4 2 5" xfId="17500" xr:uid="{BB1E8136-4D04-4D3A-8440-DDAD05081416}"/>
    <cellStyle name="Nuovo 41 4 3" xfId="9357" xr:uid="{293282FC-7E3B-4ECB-89E3-4996658B321D}"/>
    <cellStyle name="Nuovo 41 4 3 2" xfId="27434" xr:uid="{59191DD1-00D8-4DCC-B918-FA5F70E6AEAB}"/>
    <cellStyle name="Nuovo 41 4 4" xfId="27435" xr:uid="{FD40547F-8ADE-4387-AA57-6AF2688B8FB3}"/>
    <cellStyle name="Nuovo 41 4 4 2" xfId="49034" xr:uid="{A2D7B7AD-5A02-499E-8D91-01815BBA87CC}"/>
    <cellStyle name="Nuovo 41 4 5" xfId="27436" xr:uid="{531EF71D-DB82-423B-8B0A-FDA9F459E812}"/>
    <cellStyle name="Nuovo 41 4 6" xfId="27430" xr:uid="{1384EB83-3199-4EFD-B00D-2E17C6683525}"/>
    <cellStyle name="Nuovo 41 5" xfId="2224" xr:uid="{00000000-0005-0000-0000-00006D070000}"/>
    <cellStyle name="Nuovo 41 5 2" xfId="27438" xr:uid="{A45ADB5F-127F-428A-B6FE-0DABB271D3F9}"/>
    <cellStyle name="Nuovo 41 5 2 2" xfId="49035" xr:uid="{91A8A6AB-8A82-4258-B425-4871409502F7}"/>
    <cellStyle name="Nuovo 41 5 3" xfId="27439" xr:uid="{BCDC39B3-26E9-4F54-8C0B-572A220FB3B5}"/>
    <cellStyle name="Nuovo 41 5 4" xfId="27437" xr:uid="{8CD44681-4113-44AD-95A6-8596B702E830}"/>
    <cellStyle name="Nuovo 41 6" xfId="4234" xr:uid="{B50168E3-ED89-4D6F-9970-96210F30D562}"/>
    <cellStyle name="Nuovo 41 6 2" xfId="9803" xr:uid="{BBFF2EE1-771F-4D13-B9A4-DFE19BE6E679}"/>
    <cellStyle name="Nuovo 41 6 3" xfId="27440" xr:uid="{C70DF693-3DD2-4425-9B04-1C51AD129502}"/>
    <cellStyle name="Nuovo 41 7" xfId="27415" xr:uid="{0D903C38-07C1-496D-A1DC-30B5ADB231F9}"/>
    <cellStyle name="Nuovo 42" xfId="929" xr:uid="{00000000-0005-0000-0000-00006E070000}"/>
    <cellStyle name="Nuovo 42 2" xfId="930" xr:uid="{00000000-0005-0000-0000-00006F070000}"/>
    <cellStyle name="Nuovo 42 2 2" xfId="4235" xr:uid="{E983E35F-B760-4232-8485-B35E3A0B314F}"/>
    <cellStyle name="Nuovo 42 2 2 2" xfId="13554" xr:uid="{7D5FB86A-512E-4769-B527-EFB032311013}"/>
    <cellStyle name="Nuovo 42 2 2 3" xfId="27443" xr:uid="{0E167F37-5FA6-4503-B1B9-F47188600826}"/>
    <cellStyle name="Nuovo 42 2 3" xfId="13290" xr:uid="{4F39CCC8-1BDE-4B7F-BEC0-5269851E6453}"/>
    <cellStyle name="Nuovo 42 2 3 2" xfId="27444" xr:uid="{2D8D6DAC-27C5-4215-BD16-F292D9D60821}"/>
    <cellStyle name="Nuovo 42 2 4" xfId="27445" xr:uid="{DC2B5CF4-35B3-4AFC-BC14-1CD3BCAA2748}"/>
    <cellStyle name="Nuovo 42 2 5" xfId="27442" xr:uid="{70898D5D-92DD-475D-BC35-FDDDCC391511}"/>
    <cellStyle name="Nuovo 42 3" xfId="931" xr:uid="{00000000-0005-0000-0000-000070070000}"/>
    <cellStyle name="Nuovo 42 3 2" xfId="932" xr:uid="{00000000-0005-0000-0000-000071070000}"/>
    <cellStyle name="Nuovo 42 3 2 2" xfId="2225" xr:uid="{00000000-0005-0000-0000-000072070000}"/>
    <cellStyle name="Nuovo 42 3 2 2 2" xfId="27448" xr:uid="{166BE200-0829-4491-99B0-7EAA7C12E89C}"/>
    <cellStyle name="Nuovo 42 3 2 3" xfId="8107" xr:uid="{DE62A838-4C33-498D-951E-0584D374EF0E}"/>
    <cellStyle name="Nuovo 42 3 2 3 2" xfId="14108" xr:uid="{F4079A6B-6753-4F70-A1D7-77BE75BC1125}"/>
    <cellStyle name="Nuovo 42 3 2 3 3" xfId="27449" xr:uid="{E64296F4-42DB-4669-9FAD-40EF731B3E09}"/>
    <cellStyle name="Nuovo 42 3 2 4" xfId="27447" xr:uid="{C3A22AFE-FDED-4764-A68A-E58717D1E294}"/>
    <cellStyle name="Nuovo 42 3 3" xfId="4236" xr:uid="{E383CD04-E6AC-4A24-9C9C-944607354ADF}"/>
    <cellStyle name="Nuovo 42 3 3 2" xfId="9358" xr:uid="{2FC40068-3828-41E1-8A22-0727CCF89246}"/>
    <cellStyle name="Nuovo 42 3 3 2 2" xfId="27451" xr:uid="{584815B8-90B2-486D-81A7-4CEFB6EED023}"/>
    <cellStyle name="Nuovo 42 3 3 3" xfId="27452" xr:uid="{F33E1D25-32B5-4626-BBB3-E57EC0BB8AA0}"/>
    <cellStyle name="Nuovo 42 3 3 3 2" xfId="49036" xr:uid="{92024D4F-A20A-48BB-B0EE-2C0A70995B6C}"/>
    <cellStyle name="Nuovo 42 3 3 4" xfId="27450" xr:uid="{B9344DC7-251B-42C7-841D-270E725150ED}"/>
    <cellStyle name="Nuovo 42 3 4" xfId="4237" xr:uid="{186D1FFC-3361-4697-A5B2-B054656489ED}"/>
    <cellStyle name="Nuovo 42 3 4 2" xfId="13768" xr:uid="{16CD5B62-2A82-4175-87D0-F5BB843F7DB6}"/>
    <cellStyle name="Nuovo 42 3 4 3" xfId="27453" xr:uid="{74E12FAE-732F-4A39-BBC9-D8FEA56119ED}"/>
    <cellStyle name="Nuovo 42 3 5" xfId="12295" xr:uid="{4D92CF54-9553-4EAA-B5A3-229EDA109AE5}"/>
    <cellStyle name="Nuovo 42 3 5 2" xfId="27454" xr:uid="{163B304D-2A8D-4532-AB94-9D3C41B4CC77}"/>
    <cellStyle name="Nuovo 42 3 6" xfId="27455" xr:uid="{EBC7E1F8-2226-4936-95A2-B2ACC902C589}"/>
    <cellStyle name="Nuovo 42 3 7" xfId="27446" xr:uid="{D08BB18F-0A3C-4D21-8C82-C531FBA99409}"/>
    <cellStyle name="Nuovo 42 4" xfId="2226" xr:uid="{00000000-0005-0000-0000-000073070000}"/>
    <cellStyle name="Nuovo 42 4 2" xfId="2227" xr:uid="{00000000-0005-0000-0000-000074070000}"/>
    <cellStyle name="Nuovo 42 4 2 2" xfId="9359" xr:uid="{FDC3C202-C10A-4AF3-AA96-C93485D76368}"/>
    <cellStyle name="Nuovo 42 4 2 2 2" xfId="27458" xr:uid="{4587DE43-42FE-44AB-9F4D-04AAFA48FB01}"/>
    <cellStyle name="Nuovo 42 4 2 3" xfId="17888" xr:uid="{690F8A2A-C076-4CE7-BE1A-114AC6E80BF5}"/>
    <cellStyle name="Nuovo 42 4 2 3 2" xfId="27459" xr:uid="{09ACE294-5C24-4A51-A1BE-E330A8BB9853}"/>
    <cellStyle name="Nuovo 42 4 2 4" xfId="27457" xr:uid="{76542AD5-FD54-44E5-93EC-F1F109AF0A7C}"/>
    <cellStyle name="Nuovo 42 4 2 5" xfId="17501" xr:uid="{BACBB7F8-6190-4D9E-AC05-47EC0F298641}"/>
    <cellStyle name="Nuovo 42 4 3" xfId="9360" xr:uid="{1F345309-C5AD-4BFE-9C77-3DE7BFA50E1D}"/>
    <cellStyle name="Nuovo 42 4 3 2" xfId="27460" xr:uid="{DD775CE3-2930-4400-989F-7CFC588EEC25}"/>
    <cellStyle name="Nuovo 42 4 4" xfId="27461" xr:uid="{A68B0A32-DA95-4E28-9602-C0AE7F45B093}"/>
    <cellStyle name="Nuovo 42 4 4 2" xfId="49037" xr:uid="{A5B2E487-1A5D-4158-9F04-31125035D89F}"/>
    <cellStyle name="Nuovo 42 4 5" xfId="27462" xr:uid="{B57D27D0-06BA-4E39-B7A4-8D50AFB9DA7B}"/>
    <cellStyle name="Nuovo 42 4 6" xfId="27456" xr:uid="{41C583D3-0CAE-491A-9ACB-0BA232A6C116}"/>
    <cellStyle name="Nuovo 42 5" xfId="2228" xr:uid="{00000000-0005-0000-0000-000075070000}"/>
    <cellStyle name="Nuovo 42 5 2" xfId="27464" xr:uid="{0989BFB6-44F7-4848-8055-BB2C93223E69}"/>
    <cellStyle name="Nuovo 42 5 2 2" xfId="49038" xr:uid="{20376ECA-4A80-4DC7-A9C7-0797BD873803}"/>
    <cellStyle name="Nuovo 42 5 3" xfId="27465" xr:uid="{3F37C983-EE1F-4B3B-80EE-53C91CA136CB}"/>
    <cellStyle name="Nuovo 42 5 4" xfId="27463" xr:uid="{41209F0C-58BE-42B9-A504-B4DBAEEA1888}"/>
    <cellStyle name="Nuovo 42 6" xfId="4238" xr:uid="{FD1B599A-9539-4DB2-96AA-B6E53B61EDBD}"/>
    <cellStyle name="Nuovo 42 6 2" xfId="9804" xr:uid="{E9CCB6CE-3D9D-4310-AEAA-2AD8BFBFC8F6}"/>
    <cellStyle name="Nuovo 42 6 3" xfId="27466" xr:uid="{81096BD0-2126-41F9-9C6F-20D81E28B10C}"/>
    <cellStyle name="Nuovo 42 7" xfId="27441" xr:uid="{82D8D53F-3477-45D2-8830-83BF5BA80788}"/>
    <cellStyle name="Nuovo 43" xfId="933" xr:uid="{00000000-0005-0000-0000-000076070000}"/>
    <cellStyle name="Nuovo 43 2" xfId="934" xr:uid="{00000000-0005-0000-0000-000077070000}"/>
    <cellStyle name="Nuovo 43 2 2" xfId="4239" xr:uid="{F58D121A-CAED-4167-B93F-F720212665F9}"/>
    <cellStyle name="Nuovo 43 2 2 2" xfId="13555" xr:uid="{AE490368-1864-4FE1-A75B-5DF315B3FD1B}"/>
    <cellStyle name="Nuovo 43 2 2 3" xfId="27469" xr:uid="{753E1CA8-507E-4AE8-B15B-C437F5B78490}"/>
    <cellStyle name="Nuovo 43 2 3" xfId="13291" xr:uid="{20B09CE2-78A3-47E7-829C-2C683CF4B4B7}"/>
    <cellStyle name="Nuovo 43 2 3 2" xfId="27470" xr:uid="{997ADE05-B6C7-451A-A2F2-E88D4A6BA76F}"/>
    <cellStyle name="Nuovo 43 2 4" xfId="27471" xr:uid="{4E86F120-EF84-410E-A5C6-AFE7C026F52B}"/>
    <cellStyle name="Nuovo 43 2 5" xfId="27468" xr:uid="{D9E08842-55F3-4093-9F7A-A152EC940D1E}"/>
    <cellStyle name="Nuovo 43 3" xfId="935" xr:uid="{00000000-0005-0000-0000-000078070000}"/>
    <cellStyle name="Nuovo 43 3 2" xfId="936" xr:uid="{00000000-0005-0000-0000-000079070000}"/>
    <cellStyle name="Nuovo 43 3 2 2" xfId="2229" xr:uid="{00000000-0005-0000-0000-00007A070000}"/>
    <cellStyle name="Nuovo 43 3 2 2 2" xfId="27474" xr:uid="{D8F0E5BA-7B1C-4153-B675-42582EA8B63C}"/>
    <cellStyle name="Nuovo 43 3 2 3" xfId="8108" xr:uid="{70D9CF10-C145-4085-803E-B6C61C04C305}"/>
    <cellStyle name="Nuovo 43 3 2 3 2" xfId="14109" xr:uid="{CBD3043A-0F64-4B85-AE33-5A59EFD0D461}"/>
    <cellStyle name="Nuovo 43 3 2 3 3" xfId="27475" xr:uid="{52FEC4AE-B9B0-4035-9B46-055BB6CB1CA1}"/>
    <cellStyle name="Nuovo 43 3 2 4" xfId="27473" xr:uid="{76405459-541F-4576-BD39-48467ACF7F73}"/>
    <cellStyle name="Nuovo 43 3 3" xfId="4240" xr:uid="{60C1BE02-10F5-414A-AD7C-02D87E30FDC6}"/>
    <cellStyle name="Nuovo 43 3 3 2" xfId="9361" xr:uid="{E61EAD8B-F1B1-45E7-A3D4-DBF92215A21B}"/>
    <cellStyle name="Nuovo 43 3 3 2 2" xfId="27477" xr:uid="{3E5C25D7-EB4B-481E-B0A9-CD601CD63361}"/>
    <cellStyle name="Nuovo 43 3 3 3" xfId="27478" xr:uid="{AB37D76D-15AE-404A-A62B-10241409871A}"/>
    <cellStyle name="Nuovo 43 3 3 3 2" xfId="49039" xr:uid="{8B6955BA-C69D-4FC4-8E1A-1165A17C1F68}"/>
    <cellStyle name="Nuovo 43 3 3 4" xfId="27476" xr:uid="{40CDC631-9A4A-4DBD-9516-5424E64BEDC9}"/>
    <cellStyle name="Nuovo 43 3 4" xfId="4241" xr:uid="{1395E531-5F25-4717-A8AD-37407DC09562}"/>
    <cellStyle name="Nuovo 43 3 4 2" xfId="13769" xr:uid="{456DD57F-3372-4B60-89EA-CDB74AB33E92}"/>
    <cellStyle name="Nuovo 43 3 4 3" xfId="27479" xr:uid="{EA997B1F-3059-4E81-8A0F-C40C3FD12895}"/>
    <cellStyle name="Nuovo 43 3 5" xfId="11102" xr:uid="{4677E653-CBA2-4807-A6BB-5FFC1C40B254}"/>
    <cellStyle name="Nuovo 43 3 5 2" xfId="27480" xr:uid="{71DF3EDE-1EA1-45B4-BC7E-EBA8855FFAE7}"/>
    <cellStyle name="Nuovo 43 3 6" xfId="27481" xr:uid="{36A95138-AB1B-4F86-A82F-EE2458636E43}"/>
    <cellStyle name="Nuovo 43 3 7" xfId="27472" xr:uid="{6E9F1C09-9E1E-4C16-A763-80A6929935CF}"/>
    <cellStyle name="Nuovo 43 4" xfId="2230" xr:uid="{00000000-0005-0000-0000-00007B070000}"/>
    <cellStyle name="Nuovo 43 4 2" xfId="2231" xr:uid="{00000000-0005-0000-0000-00007C070000}"/>
    <cellStyle name="Nuovo 43 4 2 2" xfId="9362" xr:uid="{52A84AF0-F21D-4902-ADA8-567321904766}"/>
    <cellStyle name="Nuovo 43 4 2 2 2" xfId="27484" xr:uid="{95268933-A2F7-47DD-AA21-177304E04F69}"/>
    <cellStyle name="Nuovo 43 4 2 3" xfId="17889" xr:uid="{C2F85690-C1F6-420C-AAD7-66A56CDF39E2}"/>
    <cellStyle name="Nuovo 43 4 2 3 2" xfId="27485" xr:uid="{2B007F46-C06B-403F-89C4-D37A7110C8A2}"/>
    <cellStyle name="Nuovo 43 4 2 4" xfId="27483" xr:uid="{D8B44857-973D-4E98-86D4-B1114F75D989}"/>
    <cellStyle name="Nuovo 43 4 2 5" xfId="17502" xr:uid="{E57068BC-9B90-45E1-A2A8-53E76B0BBD25}"/>
    <cellStyle name="Nuovo 43 4 3" xfId="9363" xr:uid="{079E685D-D719-49FC-A122-6B2EC6F39E73}"/>
    <cellStyle name="Nuovo 43 4 3 2" xfId="27486" xr:uid="{0486B805-D3ED-42EE-B4BD-FF671908D776}"/>
    <cellStyle name="Nuovo 43 4 4" xfId="27487" xr:uid="{1988EF15-A932-4972-AE82-21BD77DBA9D7}"/>
    <cellStyle name="Nuovo 43 4 4 2" xfId="49040" xr:uid="{CEA64891-8B8F-4353-94D0-C0874E78D418}"/>
    <cellStyle name="Nuovo 43 4 5" xfId="27488" xr:uid="{73FBC8E5-A076-4840-82C5-4986C959D394}"/>
    <cellStyle name="Nuovo 43 4 6" xfId="27482" xr:uid="{32C7E86C-7F0E-4CC3-BF9F-6E6BC8954FCA}"/>
    <cellStyle name="Nuovo 43 5" xfId="2232" xr:uid="{00000000-0005-0000-0000-00007D070000}"/>
    <cellStyle name="Nuovo 43 5 2" xfId="27490" xr:uid="{83762256-9B0E-4844-90AE-D850B69048FF}"/>
    <cellStyle name="Nuovo 43 5 2 2" xfId="49041" xr:uid="{F991EBFD-B9CC-4A87-BB5B-810D8D0E568E}"/>
    <cellStyle name="Nuovo 43 5 3" xfId="27491" xr:uid="{ED17ECA7-03BD-4012-98F1-372B41AFB70F}"/>
    <cellStyle name="Nuovo 43 5 4" xfId="27489" xr:uid="{19470A84-63C3-44FF-AE60-B62A00E9E3AF}"/>
    <cellStyle name="Nuovo 43 6" xfId="4242" xr:uid="{E49E4BD8-4582-4D5D-8EC1-8DC7BA72CDD2}"/>
    <cellStyle name="Nuovo 43 6 2" xfId="9805" xr:uid="{60896836-9774-4628-9542-BB11C2F82338}"/>
    <cellStyle name="Nuovo 43 6 3" xfId="27492" xr:uid="{40A439D6-BA56-462C-9F19-D5583D9912AE}"/>
    <cellStyle name="Nuovo 43 7" xfId="27467" xr:uid="{A491DA48-F8DB-46D6-8CB3-5BC12CDFE1D9}"/>
    <cellStyle name="Nuovo 44" xfId="937" xr:uid="{00000000-0005-0000-0000-00007E070000}"/>
    <cellStyle name="Nuovo 44 2" xfId="938" xr:uid="{00000000-0005-0000-0000-00007F070000}"/>
    <cellStyle name="Nuovo 44 2 2" xfId="4243" xr:uid="{725E2A75-4E69-4022-A8F2-DC2F4886D07F}"/>
    <cellStyle name="Nuovo 44 2 2 2" xfId="13556" xr:uid="{A6BB7DD5-39E8-4AE6-9D9D-BF650C178D12}"/>
    <cellStyle name="Nuovo 44 2 2 3" xfId="27495" xr:uid="{0C8E9BF5-7336-417A-BCE0-6D5829D89E56}"/>
    <cellStyle name="Nuovo 44 2 3" xfId="13292" xr:uid="{83F2D722-8ACF-4D9B-8DD9-C7795F429F91}"/>
    <cellStyle name="Nuovo 44 2 3 2" xfId="27496" xr:uid="{36C6DD71-BA58-406B-9B86-5DA32789CB1D}"/>
    <cellStyle name="Nuovo 44 2 4" xfId="27497" xr:uid="{D720A89A-A338-424F-8B85-655424650389}"/>
    <cellStyle name="Nuovo 44 2 5" xfId="27494" xr:uid="{488D46FA-B7D6-4974-8BC7-2B14393E5B77}"/>
    <cellStyle name="Nuovo 44 3" xfId="939" xr:uid="{00000000-0005-0000-0000-000080070000}"/>
    <cellStyle name="Nuovo 44 3 2" xfId="940" xr:uid="{00000000-0005-0000-0000-000081070000}"/>
    <cellStyle name="Nuovo 44 3 2 2" xfId="2233" xr:uid="{00000000-0005-0000-0000-000082070000}"/>
    <cellStyle name="Nuovo 44 3 2 2 2" xfId="27500" xr:uid="{5D781ACC-66FF-4AF1-8FB3-76009FD0EC3A}"/>
    <cellStyle name="Nuovo 44 3 2 3" xfId="8109" xr:uid="{35BF3E47-869C-404F-8404-0116363EB7EF}"/>
    <cellStyle name="Nuovo 44 3 2 3 2" xfId="14110" xr:uid="{0957E4E4-6E90-4067-B4A1-2EFB5207A47B}"/>
    <cellStyle name="Nuovo 44 3 2 3 3" xfId="27501" xr:uid="{15D72809-3C6F-4129-BDC2-5A93A2345DDB}"/>
    <cellStyle name="Nuovo 44 3 2 4" xfId="27499" xr:uid="{7461EFC0-A5F0-4B67-BF9A-17012898673D}"/>
    <cellStyle name="Nuovo 44 3 3" xfId="4244" xr:uid="{1442BC76-35CB-4B68-9136-1160ABA90BE2}"/>
    <cellStyle name="Nuovo 44 3 3 2" xfId="9364" xr:uid="{2DC2299A-AD06-474E-985E-271F8E80C913}"/>
    <cellStyle name="Nuovo 44 3 3 2 2" xfId="27503" xr:uid="{0C3DF488-331D-44DB-96AE-14F05D39E6FB}"/>
    <cellStyle name="Nuovo 44 3 3 3" xfId="27504" xr:uid="{0427BE10-E3F6-45E2-9097-AEA59E9C56EA}"/>
    <cellStyle name="Nuovo 44 3 3 3 2" xfId="49042" xr:uid="{9D1985B6-4810-4789-B80D-7F907FFD1594}"/>
    <cellStyle name="Nuovo 44 3 3 4" xfId="27502" xr:uid="{70B8E45E-5644-483D-8479-889566833D64}"/>
    <cellStyle name="Nuovo 44 3 4" xfId="4245" xr:uid="{C416F728-FC04-462E-98EE-9FF7C36164B7}"/>
    <cellStyle name="Nuovo 44 3 4 2" xfId="13770" xr:uid="{B7032E34-3B1A-435F-AFE7-9C37B330F641}"/>
    <cellStyle name="Nuovo 44 3 4 3" xfId="27505" xr:uid="{6A0264AA-F385-4E38-91D8-AE1416820352}"/>
    <cellStyle name="Nuovo 44 3 5" xfId="11210" xr:uid="{E6EB8D2C-5F30-43FC-9F72-B4AF445824F5}"/>
    <cellStyle name="Nuovo 44 3 5 2" xfId="27506" xr:uid="{A771024C-CF25-4449-9930-2583F4812185}"/>
    <cellStyle name="Nuovo 44 3 6" xfId="27507" xr:uid="{53E95EC2-5022-430B-A6EB-1D3E1B89D5DC}"/>
    <cellStyle name="Nuovo 44 3 7" xfId="27498" xr:uid="{64771E2D-E491-4D33-A3E8-4CF8A73B1E20}"/>
    <cellStyle name="Nuovo 44 4" xfId="2234" xr:uid="{00000000-0005-0000-0000-000083070000}"/>
    <cellStyle name="Nuovo 44 4 2" xfId="2235" xr:uid="{00000000-0005-0000-0000-000084070000}"/>
    <cellStyle name="Nuovo 44 4 2 2" xfId="9365" xr:uid="{3F002460-1D34-489E-9018-0BB1E51167FF}"/>
    <cellStyle name="Nuovo 44 4 2 2 2" xfId="27510" xr:uid="{1F85B9E7-13A4-4D2A-9478-FC3E3554266D}"/>
    <cellStyle name="Nuovo 44 4 2 3" xfId="17890" xr:uid="{17FE5F1A-F071-45AD-B66C-1BF6440ED857}"/>
    <cellStyle name="Nuovo 44 4 2 3 2" xfId="27511" xr:uid="{ADAEA5C9-124F-4221-9BC2-446C376D1F04}"/>
    <cellStyle name="Nuovo 44 4 2 4" xfId="27509" xr:uid="{A4655556-0198-48E4-9FD1-4E3917D418A0}"/>
    <cellStyle name="Nuovo 44 4 2 5" xfId="17503" xr:uid="{6E9B35F0-AF9B-41BD-B34C-E1A3A6E021FC}"/>
    <cellStyle name="Nuovo 44 4 3" xfId="9366" xr:uid="{EECE90A9-8685-4C89-A76B-48AD110A9AD4}"/>
    <cellStyle name="Nuovo 44 4 3 2" xfId="27512" xr:uid="{800C5257-B624-43C7-B1D3-9F8B7340FDF8}"/>
    <cellStyle name="Nuovo 44 4 4" xfId="27513" xr:uid="{BE68038C-C321-4593-9177-9394D85DED7F}"/>
    <cellStyle name="Nuovo 44 4 4 2" xfId="49043" xr:uid="{23958D2F-D4A7-41C7-B693-0BDF260DEAD8}"/>
    <cellStyle name="Nuovo 44 4 5" xfId="27514" xr:uid="{CFFD085B-6621-4EB4-94D4-FF4DC79F459E}"/>
    <cellStyle name="Nuovo 44 4 6" xfId="27508" xr:uid="{57CFE911-90DE-4D47-A8C9-A047A0CC3210}"/>
    <cellStyle name="Nuovo 44 5" xfId="2236" xr:uid="{00000000-0005-0000-0000-000085070000}"/>
    <cellStyle name="Nuovo 44 5 2" xfId="27516" xr:uid="{3B20BCF9-C663-4EE9-B156-3C47A87EBBDA}"/>
    <cellStyle name="Nuovo 44 5 2 2" xfId="49044" xr:uid="{756A358E-D020-45C3-9944-5FA7968BF8E9}"/>
    <cellStyle name="Nuovo 44 5 3" xfId="27517" xr:uid="{EAB32B0D-3618-4592-A356-A70BE7B6AF5B}"/>
    <cellStyle name="Nuovo 44 5 4" xfId="27515" xr:uid="{090F1EA8-95C5-4A5B-908B-899A9A855FF5}"/>
    <cellStyle name="Nuovo 44 6" xfId="4246" xr:uid="{551B11CE-2F5D-4A4E-85E5-B9BA6FA0AD87}"/>
    <cellStyle name="Nuovo 44 6 2" xfId="9806" xr:uid="{A13A3F3D-4C4E-4EBA-B3D5-18AE4643C5FA}"/>
    <cellStyle name="Nuovo 44 6 3" xfId="27518" xr:uid="{17D4B1E0-9401-4EBD-855B-CDF7F07CA469}"/>
    <cellStyle name="Nuovo 44 7" xfId="27493" xr:uid="{36314486-03D7-40B0-B1E2-EBCB72420120}"/>
    <cellStyle name="Nuovo 45" xfId="941" xr:uid="{00000000-0005-0000-0000-000086070000}"/>
    <cellStyle name="Nuovo 45 2" xfId="4247" xr:uid="{51B4E3DC-427A-4DD9-8464-9980F714BA31}"/>
    <cellStyle name="Nuovo 45 2 2" xfId="13557" xr:uid="{7BE65B03-CB10-41D8-B07D-33F0E606DF61}"/>
    <cellStyle name="Nuovo 45 2 3" xfId="27520" xr:uid="{668C6937-6AFF-43C3-ADC0-2FF2D7062BB4}"/>
    <cellStyle name="Nuovo 45 3" xfId="13293" xr:uid="{AE0FD160-5D37-486E-A623-3B942587BCE9}"/>
    <cellStyle name="Nuovo 45 3 2" xfId="27521" xr:uid="{BAF08B12-8837-4EA4-AFEA-67A0736A20CE}"/>
    <cellStyle name="Nuovo 45 4" xfId="27522" xr:uid="{89D81CE0-10A5-4376-9465-1A57E982F507}"/>
    <cellStyle name="Nuovo 45 5" xfId="27519" xr:uid="{EF8878F4-8720-478A-813A-313BC825D93D}"/>
    <cellStyle name="Nuovo 46" xfId="942" xr:uid="{00000000-0005-0000-0000-000087070000}"/>
    <cellStyle name="Nuovo 46 2" xfId="943" xr:uid="{00000000-0005-0000-0000-000088070000}"/>
    <cellStyle name="Nuovo 46 2 2" xfId="2237" xr:uid="{00000000-0005-0000-0000-000089070000}"/>
    <cellStyle name="Nuovo 46 2 2 2" xfId="27525" xr:uid="{9BC0BE86-6414-40E3-AA1E-F9486CF569B4}"/>
    <cellStyle name="Nuovo 46 2 3" xfId="8110" xr:uid="{A5DE3B68-B3E9-4B97-9E35-911C22E0F2A4}"/>
    <cellStyle name="Nuovo 46 2 3 2" xfId="14111" xr:uid="{29C7520E-6E27-4968-8AB3-E24163B1A435}"/>
    <cellStyle name="Nuovo 46 2 3 3" xfId="27526" xr:uid="{DBC272F3-EAFD-43B3-B43B-9347E1859E6E}"/>
    <cellStyle name="Nuovo 46 2 4" xfId="27524" xr:uid="{2E47C198-8FBA-43E3-BB96-6DCF9ADF6F7D}"/>
    <cellStyle name="Nuovo 46 3" xfId="4248" xr:uid="{A95D3D39-4DC9-4775-81EB-EDF330EE94AC}"/>
    <cellStyle name="Nuovo 46 3 2" xfId="9367" xr:uid="{BF05284E-C478-49D7-8C50-7DE500BC6DBF}"/>
    <cellStyle name="Nuovo 46 3 2 2" xfId="27528" xr:uid="{93BD987E-974A-407E-8896-A4E96C8770CD}"/>
    <cellStyle name="Nuovo 46 3 3" xfId="27529" xr:uid="{6AB144F1-583A-4FE7-9101-D17CA0129A4C}"/>
    <cellStyle name="Nuovo 46 3 3 2" xfId="49045" xr:uid="{0E3DC7C1-A0C4-4362-B0CE-BA72F6A4D401}"/>
    <cellStyle name="Nuovo 46 3 4" xfId="27527" xr:uid="{64C224F3-B78B-4888-ADC7-BC5A37D1C1D0}"/>
    <cellStyle name="Nuovo 46 4" xfId="4249" xr:uid="{74D4AFBE-8B66-454D-B78A-7016B6B581AA}"/>
    <cellStyle name="Nuovo 46 4 2" xfId="13771" xr:uid="{207D6CFE-BCBA-4919-890F-A4B709774235}"/>
    <cellStyle name="Nuovo 46 4 3" xfId="27530" xr:uid="{694702D6-2718-4518-9EEA-0AE3024C8FE5}"/>
    <cellStyle name="Nuovo 46 5" xfId="11431" xr:uid="{961D22AD-51FB-4DD0-A569-915EEE7E9BB0}"/>
    <cellStyle name="Nuovo 46 5 2" xfId="27531" xr:uid="{DEBC53D1-7B51-4213-BFFF-AAB925634188}"/>
    <cellStyle name="Nuovo 46 6" xfId="27532" xr:uid="{8F764D14-68C7-4BEC-A5A4-AD53CB0454D5}"/>
    <cellStyle name="Nuovo 46 7" xfId="27523" xr:uid="{905E0ECE-9E70-434B-B31B-DEE8E2AFA90F}"/>
    <cellStyle name="Nuovo 47" xfId="2238" xr:uid="{00000000-0005-0000-0000-00008A070000}"/>
    <cellStyle name="Nuovo 47 2" xfId="2239" xr:uid="{00000000-0005-0000-0000-00008B070000}"/>
    <cellStyle name="Nuovo 47 2 2" xfId="9368" xr:uid="{B96EE238-344F-4A65-B40B-E8D42606D229}"/>
    <cellStyle name="Nuovo 47 2 2 2" xfId="27535" xr:uid="{59A34169-96D2-4D9D-8924-161558F550C1}"/>
    <cellStyle name="Nuovo 47 2 3" xfId="17891" xr:uid="{EFE66F63-18B6-49A9-8678-4E465ABECFDF}"/>
    <cellStyle name="Nuovo 47 2 3 2" xfId="27536" xr:uid="{BC2AA4FA-3A20-4996-853A-E4497C08DE3C}"/>
    <cellStyle name="Nuovo 47 2 4" xfId="27534" xr:uid="{791387FF-EB1E-4C7C-9DFD-91A068CE979A}"/>
    <cellStyle name="Nuovo 47 2 5" xfId="17504" xr:uid="{0BDAB4A5-EEBB-4534-B20A-C2EA1516B5FB}"/>
    <cellStyle name="Nuovo 47 3" xfId="9369" xr:uid="{E90871A8-9ADD-49AE-A286-E4B696A3899A}"/>
    <cellStyle name="Nuovo 47 3 2" xfId="27537" xr:uid="{DCC9C453-95ED-4C4F-9DBE-9E8B42F23EAB}"/>
    <cellStyle name="Nuovo 47 4" xfId="27538" xr:uid="{A853EE9D-E419-4BFA-8908-18350E111D90}"/>
    <cellStyle name="Nuovo 47 4 2" xfId="49046" xr:uid="{9A701349-1F3C-494F-BA04-879F1B7E88DE}"/>
    <cellStyle name="Nuovo 47 5" xfId="27539" xr:uid="{81596562-53DB-471D-AE0A-38391DF2CC39}"/>
    <cellStyle name="Nuovo 47 6" xfId="27533" xr:uid="{09535227-7D5F-4378-B243-9D3CADD702DF}"/>
    <cellStyle name="Nuovo 48" xfId="2240" xr:uid="{00000000-0005-0000-0000-00008C070000}"/>
    <cellStyle name="Nuovo 48 2" xfId="27541" xr:uid="{E014B888-6D01-4CFA-A18E-E755BADFE3BF}"/>
    <cellStyle name="Nuovo 48 2 2" xfId="49047" xr:uid="{470BFD08-BFF1-42C8-A7CB-6C9E77459DD3}"/>
    <cellStyle name="Nuovo 48 3" xfId="27542" xr:uid="{8A7BFBE8-F7D6-4718-A20E-5D93CF4EC811}"/>
    <cellStyle name="Nuovo 48 4" xfId="27540" xr:uid="{C206980C-508E-4055-89D1-D3FC8AAC8645}"/>
    <cellStyle name="Nuovo 49" xfId="4250" xr:uid="{D584F898-B09F-4EE0-BA51-80009E1C7D50}"/>
    <cellStyle name="Nuovo 49 2" xfId="9768" xr:uid="{B65EBE59-533F-49E7-BB12-002DB451CF4A}"/>
    <cellStyle name="Nuovo 5" xfId="944" xr:uid="{00000000-0005-0000-0000-00008D070000}"/>
    <cellStyle name="Nuovo 5 2" xfId="945" xr:uid="{00000000-0005-0000-0000-00008E070000}"/>
    <cellStyle name="Nuovo 5 2 2" xfId="4251" xr:uid="{C9D2D1BE-103A-4ABA-BD46-8DB596B4AEBC}"/>
    <cellStyle name="Nuovo 5 2 2 2" xfId="13558" xr:uid="{CE61E862-8304-4592-9CE1-FE857DE7BB11}"/>
    <cellStyle name="Nuovo 5 2 2 3" xfId="27545" xr:uid="{0F128794-D2B9-46A7-86D3-EFF2D1799161}"/>
    <cellStyle name="Nuovo 5 2 3" xfId="13294" xr:uid="{0B9C6A03-6883-4F7E-9ADA-DCC40FC3E9A2}"/>
    <cellStyle name="Nuovo 5 2 3 2" xfId="27546" xr:uid="{CD23A9CA-8195-4841-BD85-55A0394C5907}"/>
    <cellStyle name="Nuovo 5 2 4" xfId="27547" xr:uid="{FB81FE35-E253-47C9-B8EA-242EC3B4C11D}"/>
    <cellStyle name="Nuovo 5 2 5" xfId="27544" xr:uid="{76973505-648B-46A3-8678-D5CB17F2308D}"/>
    <cellStyle name="Nuovo 5 3" xfId="946" xr:uid="{00000000-0005-0000-0000-00008F070000}"/>
    <cellStyle name="Nuovo 5 3 2" xfId="947" xr:uid="{00000000-0005-0000-0000-000090070000}"/>
    <cellStyle name="Nuovo 5 3 2 2" xfId="2241" xr:uid="{00000000-0005-0000-0000-000091070000}"/>
    <cellStyle name="Nuovo 5 3 2 2 2" xfId="27550" xr:uid="{79B27388-C558-4C2A-86D8-A52EB8314802}"/>
    <cellStyle name="Nuovo 5 3 2 3" xfId="8111" xr:uid="{A89EFCB1-7A63-4EC4-B790-B24CB4ECC627}"/>
    <cellStyle name="Nuovo 5 3 2 3 2" xfId="14112" xr:uid="{16D2DB01-703C-4BAA-81A8-A1E48CEB35B8}"/>
    <cellStyle name="Nuovo 5 3 2 3 3" xfId="27551" xr:uid="{446FDB79-98DA-4CD8-A921-51A535A9FD1C}"/>
    <cellStyle name="Nuovo 5 3 2 4" xfId="27549" xr:uid="{2E2D8E5A-3323-4CBD-9CB6-6DF2351AB903}"/>
    <cellStyle name="Nuovo 5 3 3" xfId="4252" xr:uid="{1EBC5A5F-FCDC-4CEA-BC01-804D469B4A94}"/>
    <cellStyle name="Nuovo 5 3 3 2" xfId="9370" xr:uid="{A85F899E-BB67-4AA1-8048-AD18AD0B5206}"/>
    <cellStyle name="Nuovo 5 3 3 2 2" xfId="27553" xr:uid="{36FBD4CB-FE7E-4985-BE3B-AA15B7B7AEDB}"/>
    <cellStyle name="Nuovo 5 3 3 3" xfId="27554" xr:uid="{D72F6C4A-DB62-4E0D-98E0-9EE95D45BD38}"/>
    <cellStyle name="Nuovo 5 3 3 3 2" xfId="49048" xr:uid="{DEAF9AB6-D58B-4191-8B2A-0B0CD969506D}"/>
    <cellStyle name="Nuovo 5 3 3 4" xfId="27552" xr:uid="{31CCA164-4B1F-485D-B541-986D3890710C}"/>
    <cellStyle name="Nuovo 5 3 4" xfId="4253" xr:uid="{646838B4-BA06-47DF-8AA6-417C13BD827C}"/>
    <cellStyle name="Nuovo 5 3 4 2" xfId="13772" xr:uid="{A410DAD1-E9C5-49A6-BFBE-20696A78F8D5}"/>
    <cellStyle name="Nuovo 5 3 4 3" xfId="27555" xr:uid="{08D6F9F0-4F2C-43D7-A41A-5FB9B2ADB667}"/>
    <cellStyle name="Nuovo 5 3 5" xfId="11209" xr:uid="{03E14634-5CC8-4CC5-9304-74D812FFC581}"/>
    <cellStyle name="Nuovo 5 3 5 2" xfId="27556" xr:uid="{8CA150FA-301C-4A73-8BC2-D004F798135D}"/>
    <cellStyle name="Nuovo 5 3 6" xfId="27557" xr:uid="{4C4AF041-9E0B-4956-91A9-6F28404D2E6A}"/>
    <cellStyle name="Nuovo 5 3 7" xfId="27548" xr:uid="{902422A1-6D7E-4674-BD4F-2B3C930D625D}"/>
    <cellStyle name="Nuovo 5 4" xfId="2242" xr:uid="{00000000-0005-0000-0000-000092070000}"/>
    <cellStyle name="Nuovo 5 4 2" xfId="2243" xr:uid="{00000000-0005-0000-0000-000093070000}"/>
    <cellStyle name="Nuovo 5 4 2 2" xfId="9371" xr:uid="{4B4093E6-5E13-43CB-A682-CAE0AC0E9126}"/>
    <cellStyle name="Nuovo 5 4 2 2 2" xfId="27560" xr:uid="{4EBAFC53-2C29-4052-A1F9-3BB1C7D5EA60}"/>
    <cellStyle name="Nuovo 5 4 2 3" xfId="17892" xr:uid="{356E20D0-C182-4B3B-B188-A32CE38C7149}"/>
    <cellStyle name="Nuovo 5 4 2 3 2" xfId="27561" xr:uid="{2C7F3790-7198-43AE-A118-B7B64BAD8D97}"/>
    <cellStyle name="Nuovo 5 4 2 4" xfId="27559" xr:uid="{86DDCC4C-4A33-4F33-A2EF-62C1D1720431}"/>
    <cellStyle name="Nuovo 5 4 2 5" xfId="17505" xr:uid="{323838BC-A503-469D-A9EA-4287B9036DC3}"/>
    <cellStyle name="Nuovo 5 4 3" xfId="9372" xr:uid="{F1928F7E-C99E-4A50-8A63-42D0C846ACA7}"/>
    <cellStyle name="Nuovo 5 4 3 2" xfId="27562" xr:uid="{70B3854A-5020-4F7E-B5A5-A8BB9A094CBC}"/>
    <cellStyle name="Nuovo 5 4 4" xfId="27563" xr:uid="{7ABE1074-434D-4295-8185-C25DD23EBAFD}"/>
    <cellStyle name="Nuovo 5 4 4 2" xfId="49049" xr:uid="{E3C902FE-D9A3-463C-990A-C673BE9B01D7}"/>
    <cellStyle name="Nuovo 5 4 5" xfId="27564" xr:uid="{A4718FF0-FF86-4C4E-BBF2-39C47F5FD496}"/>
    <cellStyle name="Nuovo 5 4 6" xfId="27558" xr:uid="{D2F77BAD-821F-4604-8D6C-C1A26A5ADE37}"/>
    <cellStyle name="Nuovo 5 5" xfId="2244" xr:uid="{00000000-0005-0000-0000-000094070000}"/>
    <cellStyle name="Nuovo 5 5 2" xfId="27566" xr:uid="{2D62E0E2-83FF-4ED4-8263-1F71FE0DA7B6}"/>
    <cellStyle name="Nuovo 5 5 2 2" xfId="49050" xr:uid="{3FBB0A4B-5EEC-498D-8228-B3DE53A8663D}"/>
    <cellStyle name="Nuovo 5 5 3" xfId="27567" xr:uid="{C0E9EFB5-EE3B-4958-9C3E-0594D85E9FD3}"/>
    <cellStyle name="Nuovo 5 5 4" xfId="27565" xr:uid="{F5C3DBCC-A883-4307-BF65-6AADF5B5A5A0}"/>
    <cellStyle name="Nuovo 5 6" xfId="4254" xr:uid="{2B6B3E87-CB89-4B76-A64C-941635A9A278}"/>
    <cellStyle name="Nuovo 5 6 2" xfId="9807" xr:uid="{91F5DE2D-7263-4144-A2EC-FB8976CC0A42}"/>
    <cellStyle name="Nuovo 5 6 3" xfId="27568" xr:uid="{ADF3C345-A0D9-4A9C-8598-BA3569DE914A}"/>
    <cellStyle name="Nuovo 5 7" xfId="27543" xr:uid="{6D72D656-E0F2-4255-A6F9-FF5460C0594D}"/>
    <cellStyle name="Nuovo 50" xfId="26739" xr:uid="{BF661738-37B7-4F6E-80CB-34F8716D60AD}"/>
    <cellStyle name="Nuovo 6" xfId="948" xr:uid="{00000000-0005-0000-0000-000095070000}"/>
    <cellStyle name="Nuovo 6 2" xfId="949" xr:uid="{00000000-0005-0000-0000-000096070000}"/>
    <cellStyle name="Nuovo 6 2 2" xfId="4255" xr:uid="{A16280CF-C1D4-4D43-9678-4CB49D308F39}"/>
    <cellStyle name="Nuovo 6 2 2 2" xfId="13559" xr:uid="{4A00C849-6038-4B7F-9E09-0A6551EEA2AB}"/>
    <cellStyle name="Nuovo 6 2 2 3" xfId="27571" xr:uid="{F1480303-89E6-4431-92E6-CAB859ACF801}"/>
    <cellStyle name="Nuovo 6 2 3" xfId="13295" xr:uid="{23706738-B054-489B-944A-DEE078A9FAD1}"/>
    <cellStyle name="Nuovo 6 2 3 2" xfId="27572" xr:uid="{37EDE959-D3AE-4770-BD4D-61763B15C338}"/>
    <cellStyle name="Nuovo 6 2 4" xfId="27573" xr:uid="{5F54A842-6950-4DD0-B85F-E0B1EFA0E364}"/>
    <cellStyle name="Nuovo 6 2 5" xfId="27570" xr:uid="{D799C99B-98EB-4BD7-8AF8-22D875B16F44}"/>
    <cellStyle name="Nuovo 6 3" xfId="950" xr:uid="{00000000-0005-0000-0000-000097070000}"/>
    <cellStyle name="Nuovo 6 3 2" xfId="951" xr:uid="{00000000-0005-0000-0000-000098070000}"/>
    <cellStyle name="Nuovo 6 3 2 2" xfId="2245" xr:uid="{00000000-0005-0000-0000-000099070000}"/>
    <cellStyle name="Nuovo 6 3 2 2 2" xfId="27576" xr:uid="{BE01D72C-1DF8-4F5D-AB3B-364D90824056}"/>
    <cellStyle name="Nuovo 6 3 2 3" xfId="8112" xr:uid="{D2FB17E4-2953-4130-9C91-49279761E671}"/>
    <cellStyle name="Nuovo 6 3 2 3 2" xfId="14113" xr:uid="{60EB3245-2713-4508-B855-B5A48B120EC6}"/>
    <cellStyle name="Nuovo 6 3 2 3 3" xfId="27577" xr:uid="{C3737989-E023-4DF7-B19A-EE34B37A34AF}"/>
    <cellStyle name="Nuovo 6 3 2 4" xfId="27575" xr:uid="{A1A21810-73C4-4CB3-B1D8-77A6A20EBD47}"/>
    <cellStyle name="Nuovo 6 3 3" xfId="4256" xr:uid="{7EB22C18-A38E-4F93-B665-29C8D5D77733}"/>
    <cellStyle name="Nuovo 6 3 3 2" xfId="9373" xr:uid="{0E0E96BF-EDCC-4D35-B70F-A15490C00BDC}"/>
    <cellStyle name="Nuovo 6 3 3 2 2" xfId="27579" xr:uid="{EA7B6230-6C1A-4336-8A84-8F2009BD0FC2}"/>
    <cellStyle name="Nuovo 6 3 3 3" xfId="27580" xr:uid="{3CE787CF-15F9-42B3-A755-7E11A9B3141A}"/>
    <cellStyle name="Nuovo 6 3 3 3 2" xfId="49051" xr:uid="{C1000D78-746C-4CE2-8D69-64B9E06BEB50}"/>
    <cellStyle name="Nuovo 6 3 3 4" xfId="27578" xr:uid="{A2AF7156-53C5-450C-98A2-02921E6F24D3}"/>
    <cellStyle name="Nuovo 6 3 4" xfId="4257" xr:uid="{9B83DCD6-2BEA-429B-AAED-A8F73C5D282E}"/>
    <cellStyle name="Nuovo 6 3 4 2" xfId="13773" xr:uid="{2CB50CA4-6DE3-4593-A247-0C44269B3054}"/>
    <cellStyle name="Nuovo 6 3 4 3" xfId="27581" xr:uid="{94AF759C-F3B3-433A-9004-D73EDD85DEBD}"/>
    <cellStyle name="Nuovo 6 3 5" xfId="12442" xr:uid="{56F268BC-BCD2-4973-AD13-4DB732345241}"/>
    <cellStyle name="Nuovo 6 3 5 2" xfId="27582" xr:uid="{9443FFE6-0884-4006-9304-72661BA86B56}"/>
    <cellStyle name="Nuovo 6 3 6" xfId="27583" xr:uid="{C6EB6DD6-78CB-4A7C-B1D6-5CB15D5DC333}"/>
    <cellStyle name="Nuovo 6 3 7" xfId="27574" xr:uid="{8A79E714-7705-4B36-B968-25FB34DFBDF2}"/>
    <cellStyle name="Nuovo 6 4" xfId="2246" xr:uid="{00000000-0005-0000-0000-00009A070000}"/>
    <cellStyle name="Nuovo 6 4 2" xfId="2247" xr:uid="{00000000-0005-0000-0000-00009B070000}"/>
    <cellStyle name="Nuovo 6 4 2 2" xfId="9374" xr:uid="{9D913E4B-5449-44E1-926B-7B85A2854643}"/>
    <cellStyle name="Nuovo 6 4 2 2 2" xfId="27586" xr:uid="{1757BCB3-F4A8-4A00-B017-751740FF1994}"/>
    <cellStyle name="Nuovo 6 4 2 3" xfId="17893" xr:uid="{E92D80BC-3FCA-4D8B-AA8E-043E49BA7046}"/>
    <cellStyle name="Nuovo 6 4 2 3 2" xfId="27587" xr:uid="{B31C68BC-9AA7-45F3-B248-9F5DDB51148F}"/>
    <cellStyle name="Nuovo 6 4 2 4" xfId="27585" xr:uid="{042854FC-52C4-49F7-8993-2ACB824AF721}"/>
    <cellStyle name="Nuovo 6 4 2 5" xfId="17506" xr:uid="{9BCF03F5-0F68-4871-8F57-465D91A41CB7}"/>
    <cellStyle name="Nuovo 6 4 3" xfId="9375" xr:uid="{8FF10DC9-B327-4724-901E-3F84F76C50D9}"/>
    <cellStyle name="Nuovo 6 4 3 2" xfId="27588" xr:uid="{9E2494F0-472F-441D-8AAB-623E5F4C1F18}"/>
    <cellStyle name="Nuovo 6 4 4" xfId="27589" xr:uid="{FCF5028C-1E1E-4391-95DD-580F8336F59D}"/>
    <cellStyle name="Nuovo 6 4 4 2" xfId="49052" xr:uid="{AC28C146-BD48-4663-B645-A8733776BDDE}"/>
    <cellStyle name="Nuovo 6 4 5" xfId="27590" xr:uid="{32892D99-8159-4539-96F4-5BAAE760F38B}"/>
    <cellStyle name="Nuovo 6 4 6" xfId="27584" xr:uid="{ADF6FBE8-3220-4F13-8321-7588FD50F2F8}"/>
    <cellStyle name="Nuovo 6 5" xfId="2248" xr:uid="{00000000-0005-0000-0000-00009C070000}"/>
    <cellStyle name="Nuovo 6 5 2" xfId="27592" xr:uid="{71B4BE97-B8AF-4C9E-A807-939883E67F92}"/>
    <cellStyle name="Nuovo 6 5 2 2" xfId="49053" xr:uid="{C313C4D4-B5D6-40AE-BE78-3829ADAD1B1C}"/>
    <cellStyle name="Nuovo 6 5 3" xfId="27593" xr:uid="{0291F871-C95A-4EC6-A87A-47DC88EC83F7}"/>
    <cellStyle name="Nuovo 6 5 4" xfId="27591" xr:uid="{4FA73DF4-8EBA-4A5E-8F58-A035783C2196}"/>
    <cellStyle name="Nuovo 6 6" xfId="4258" xr:uid="{4BFB4BF1-0EB4-4082-BB69-B8A50C280552}"/>
    <cellStyle name="Nuovo 6 6 2" xfId="9808" xr:uid="{C0540513-5A79-4FFB-AA2B-420F95AA1B1D}"/>
    <cellStyle name="Nuovo 6 6 3" xfId="27594" xr:uid="{6E87283A-C77D-4941-B340-425CB749DF4B}"/>
    <cellStyle name="Nuovo 6 7" xfId="27569" xr:uid="{7961D58B-BC39-4C54-BC0D-81632641286C}"/>
    <cellStyle name="Nuovo 7" xfId="952" xr:uid="{00000000-0005-0000-0000-00009D070000}"/>
    <cellStyle name="Nuovo 7 2" xfId="953" xr:uid="{00000000-0005-0000-0000-00009E070000}"/>
    <cellStyle name="Nuovo 7 2 2" xfId="4259" xr:uid="{A18CFF9B-3E30-408B-8959-FC08DDCCC841}"/>
    <cellStyle name="Nuovo 7 2 2 2" xfId="13560" xr:uid="{CE37D472-842E-4D49-9F43-F6383E1E7636}"/>
    <cellStyle name="Nuovo 7 2 2 3" xfId="27597" xr:uid="{F8F9AF36-5458-46F0-8BE2-115707CAD1AB}"/>
    <cellStyle name="Nuovo 7 2 3" xfId="13296" xr:uid="{190A8EDE-694D-4615-AED9-5715B7FAC940}"/>
    <cellStyle name="Nuovo 7 2 3 2" xfId="27598" xr:uid="{FE9785CE-9DC4-490E-948E-C4887A6D6CA1}"/>
    <cellStyle name="Nuovo 7 2 4" xfId="27599" xr:uid="{9E01B1E3-66FF-4F8E-BEAD-3C92684A5AB0}"/>
    <cellStyle name="Nuovo 7 2 5" xfId="27596" xr:uid="{DE8D7E79-9E26-4943-ACB2-5379BFF24196}"/>
    <cellStyle name="Nuovo 7 3" xfId="954" xr:uid="{00000000-0005-0000-0000-00009F070000}"/>
    <cellStyle name="Nuovo 7 3 2" xfId="955" xr:uid="{00000000-0005-0000-0000-0000A0070000}"/>
    <cellStyle name="Nuovo 7 3 2 2" xfId="2249" xr:uid="{00000000-0005-0000-0000-0000A1070000}"/>
    <cellStyle name="Nuovo 7 3 2 2 2" xfId="27602" xr:uid="{3903CC4B-9E9B-4B2D-838F-BA98D49BD944}"/>
    <cellStyle name="Nuovo 7 3 2 3" xfId="8113" xr:uid="{2ADF2B46-3C1A-4235-80CF-A18CEC54E694}"/>
    <cellStyle name="Nuovo 7 3 2 3 2" xfId="14114" xr:uid="{81EE0085-A5D2-496F-92B9-2ECD12F14D43}"/>
    <cellStyle name="Nuovo 7 3 2 3 3" xfId="27603" xr:uid="{A7C54183-0785-4425-8AD9-E3CB64D5BA6B}"/>
    <cellStyle name="Nuovo 7 3 2 4" xfId="27601" xr:uid="{574A491E-6013-46D0-B0A8-0F56C96FA3C0}"/>
    <cellStyle name="Nuovo 7 3 3" xfId="4260" xr:uid="{1D8F7DD5-D19C-49C4-B565-7EA6012AF29A}"/>
    <cellStyle name="Nuovo 7 3 3 2" xfId="9376" xr:uid="{0F719FC5-DFCB-403F-ACC6-30F371E918BF}"/>
    <cellStyle name="Nuovo 7 3 3 2 2" xfId="27605" xr:uid="{46B2AA90-1DBA-482A-AA0F-B03CDE50D476}"/>
    <cellStyle name="Nuovo 7 3 3 3" xfId="27606" xr:uid="{3EFD14C5-0966-40A9-894E-46B67FE61DA8}"/>
    <cellStyle name="Nuovo 7 3 3 3 2" xfId="49054" xr:uid="{9DC0B190-2983-4AC6-912F-38CEFDF0A94D}"/>
    <cellStyle name="Nuovo 7 3 3 4" xfId="27604" xr:uid="{09D6BF25-946C-443D-8677-1CB9BCD61490}"/>
    <cellStyle name="Nuovo 7 3 4" xfId="4261" xr:uid="{BB9B5E1E-25C1-41E7-8460-057039421166}"/>
    <cellStyle name="Nuovo 7 3 4 2" xfId="13774" xr:uid="{40E6B499-74E9-41AF-8885-C128631FD87D}"/>
    <cellStyle name="Nuovo 7 3 4 3" xfId="27607" xr:uid="{F1B191F0-C12F-46A3-B4AF-15A6436F01B4}"/>
    <cellStyle name="Nuovo 7 3 5" xfId="12428" xr:uid="{527CFAD6-F901-405A-8BE0-A0653D78BEE6}"/>
    <cellStyle name="Nuovo 7 3 5 2" xfId="27608" xr:uid="{D5C76E45-89F5-46C3-A0A3-6EC9B75D673E}"/>
    <cellStyle name="Nuovo 7 3 6" xfId="27609" xr:uid="{B88810D6-8374-4B92-BDB8-933BD27BFE51}"/>
    <cellStyle name="Nuovo 7 3 7" xfId="27600" xr:uid="{57658E27-7B81-4151-B2E2-210BE1DF179B}"/>
    <cellStyle name="Nuovo 7 4" xfId="2250" xr:uid="{00000000-0005-0000-0000-0000A2070000}"/>
    <cellStyle name="Nuovo 7 4 2" xfId="2251" xr:uid="{00000000-0005-0000-0000-0000A3070000}"/>
    <cellStyle name="Nuovo 7 4 2 2" xfId="9377" xr:uid="{EF1AD18B-B843-4AC1-95B3-185C4245E187}"/>
    <cellStyle name="Nuovo 7 4 2 2 2" xfId="27612" xr:uid="{DFB3D34B-E155-4D1F-97FB-F11257BBFCBE}"/>
    <cellStyle name="Nuovo 7 4 2 3" xfId="17894" xr:uid="{481E5048-3806-47F0-9BCA-B9C86B5E6317}"/>
    <cellStyle name="Nuovo 7 4 2 3 2" xfId="27613" xr:uid="{EC620163-D22D-48B2-A609-9437B8CA5F55}"/>
    <cellStyle name="Nuovo 7 4 2 4" xfId="27611" xr:uid="{7F1E14BE-F274-414F-80C7-B10BD9A9522B}"/>
    <cellStyle name="Nuovo 7 4 2 5" xfId="17507" xr:uid="{A1C3090C-3298-4FE4-819B-2BE1D4DD0C70}"/>
    <cellStyle name="Nuovo 7 4 3" xfId="9378" xr:uid="{73EEFB6A-7DB4-47DD-AC2B-287B571906F2}"/>
    <cellStyle name="Nuovo 7 4 3 2" xfId="27614" xr:uid="{3C676558-E417-4383-9664-8ABCA747A2A1}"/>
    <cellStyle name="Nuovo 7 4 4" xfId="27615" xr:uid="{190BFF21-3C37-4132-8439-3E335E63175B}"/>
    <cellStyle name="Nuovo 7 4 4 2" xfId="49055" xr:uid="{FB38B2E7-106A-49AA-BC62-4C79FA862269}"/>
    <cellStyle name="Nuovo 7 4 5" xfId="27616" xr:uid="{1E6B95A7-8604-4CE6-8DCF-2A4A6DAF58CF}"/>
    <cellStyle name="Nuovo 7 4 6" xfId="27610" xr:uid="{E5AC8D7C-3DD3-4D8E-9BF7-0EDD0E3BDADC}"/>
    <cellStyle name="Nuovo 7 5" xfId="2252" xr:uid="{00000000-0005-0000-0000-0000A4070000}"/>
    <cellStyle name="Nuovo 7 5 2" xfId="27618" xr:uid="{6B286BF6-E7C8-43BC-83F2-2255C7C019B2}"/>
    <cellStyle name="Nuovo 7 5 2 2" xfId="49056" xr:uid="{4506C8E6-4B4B-453B-BD62-AF6B9CAB055B}"/>
    <cellStyle name="Nuovo 7 5 3" xfId="27619" xr:uid="{BE67BA52-B7F2-4F45-AD7F-B340E0F9A95A}"/>
    <cellStyle name="Nuovo 7 5 4" xfId="27617" xr:uid="{1EADB06A-FB7C-4977-8233-4F4097C11EEC}"/>
    <cellStyle name="Nuovo 7 6" xfId="4262" xr:uid="{48B2D8B1-6E01-43EF-9F92-21446BD5348B}"/>
    <cellStyle name="Nuovo 7 6 2" xfId="9809" xr:uid="{AD0B34CD-5E3F-493F-B5DF-3C719FDF39FD}"/>
    <cellStyle name="Nuovo 7 6 3" xfId="27620" xr:uid="{FE14D476-5B3F-4270-B9A0-835FDB2282D3}"/>
    <cellStyle name="Nuovo 7 7" xfId="27595" xr:uid="{DF00AC14-F2E1-488D-8C1D-97F9E0EDDB59}"/>
    <cellStyle name="Nuovo 8" xfId="956" xr:uid="{00000000-0005-0000-0000-0000A5070000}"/>
    <cellStyle name="Nuovo 8 2" xfId="957" xr:uid="{00000000-0005-0000-0000-0000A6070000}"/>
    <cellStyle name="Nuovo 8 2 2" xfId="4263" xr:uid="{0557C983-A97E-48DB-82E8-9889A9AE4B81}"/>
    <cellStyle name="Nuovo 8 2 2 2" xfId="13561" xr:uid="{82B08641-460A-4130-AEE2-AEBC3CE2523B}"/>
    <cellStyle name="Nuovo 8 2 2 3" xfId="27623" xr:uid="{594391A0-97BC-42F0-9704-873D49F5E31C}"/>
    <cellStyle name="Nuovo 8 2 3" xfId="13297" xr:uid="{74121BB4-D63D-4BA1-8683-7642CEF20E20}"/>
    <cellStyle name="Nuovo 8 2 3 2" xfId="27624" xr:uid="{28EDC50B-CA3A-43B3-93D0-7C415A02194A}"/>
    <cellStyle name="Nuovo 8 2 4" xfId="27625" xr:uid="{15740138-3280-47EE-A937-47D52A1F35E6}"/>
    <cellStyle name="Nuovo 8 2 5" xfId="27622" xr:uid="{4604EC1A-A606-4803-A84B-A5EAD9DF1DC6}"/>
    <cellStyle name="Nuovo 8 3" xfId="958" xr:uid="{00000000-0005-0000-0000-0000A7070000}"/>
    <cellStyle name="Nuovo 8 3 2" xfId="959" xr:uid="{00000000-0005-0000-0000-0000A8070000}"/>
    <cellStyle name="Nuovo 8 3 2 2" xfId="2253" xr:uid="{00000000-0005-0000-0000-0000A9070000}"/>
    <cellStyle name="Nuovo 8 3 2 2 2" xfId="27628" xr:uid="{675D14BC-83F8-4852-B9F8-36864CFAFAAC}"/>
    <cellStyle name="Nuovo 8 3 2 3" xfId="8114" xr:uid="{8ABBE721-0C0E-47D4-AA39-1B585C3350BF}"/>
    <cellStyle name="Nuovo 8 3 2 3 2" xfId="14115" xr:uid="{EE2B4075-85BE-411A-A63F-2D59B2AE0925}"/>
    <cellStyle name="Nuovo 8 3 2 3 3" xfId="27629" xr:uid="{9A270E35-5BFD-4836-B184-F34990E1459C}"/>
    <cellStyle name="Nuovo 8 3 2 4" xfId="27627" xr:uid="{908270EC-49AD-4205-9412-17D1B52B2B48}"/>
    <cellStyle name="Nuovo 8 3 3" xfId="4264" xr:uid="{98EB0646-F80A-4B37-ACE4-F8CA8FD2ABD0}"/>
    <cellStyle name="Nuovo 8 3 3 2" xfId="9379" xr:uid="{156E2F9B-9CBF-413C-BFC1-F64AE6B0B41C}"/>
    <cellStyle name="Nuovo 8 3 3 2 2" xfId="27631" xr:uid="{CB779E07-CBDF-42AE-A88C-511C8709890D}"/>
    <cellStyle name="Nuovo 8 3 3 3" xfId="27632" xr:uid="{8F8D2037-471F-489C-A182-222F894076BD}"/>
    <cellStyle name="Nuovo 8 3 3 3 2" xfId="49057" xr:uid="{ABD93CEB-D32F-4FDB-A39C-4C00E18AD1BA}"/>
    <cellStyle name="Nuovo 8 3 3 4" xfId="27630" xr:uid="{7C04087F-D12F-4952-ACB1-133683F4736E}"/>
    <cellStyle name="Nuovo 8 3 4" xfId="4265" xr:uid="{C6D261C3-4162-4C07-BBEA-2E0CBAEC3DAE}"/>
    <cellStyle name="Nuovo 8 3 4 2" xfId="13775" xr:uid="{FE856675-6991-43F3-9140-8B8A5304545D}"/>
    <cellStyle name="Nuovo 8 3 4 3" xfId="27633" xr:uid="{4CB7D5A3-E502-42CF-AF16-D693143B65D9}"/>
    <cellStyle name="Nuovo 8 3 5" xfId="12426" xr:uid="{9CA6F147-CCF0-4CE4-AEFB-D383642EAACF}"/>
    <cellStyle name="Nuovo 8 3 5 2" xfId="27634" xr:uid="{E7C660EB-D3CA-4BA9-AAB0-B328E54E2A22}"/>
    <cellStyle name="Nuovo 8 3 6" xfId="27635" xr:uid="{0CFCDAEA-CC9D-4D8B-8166-721785ED46E6}"/>
    <cellStyle name="Nuovo 8 3 7" xfId="27626" xr:uid="{F47A47B2-F280-4343-A0F7-527D9285345E}"/>
    <cellStyle name="Nuovo 8 4" xfId="2254" xr:uid="{00000000-0005-0000-0000-0000AA070000}"/>
    <cellStyle name="Nuovo 8 4 2" xfId="2255" xr:uid="{00000000-0005-0000-0000-0000AB070000}"/>
    <cellStyle name="Nuovo 8 4 2 2" xfId="9380" xr:uid="{D5B864CC-95B3-42E6-A838-403A31E46EA5}"/>
    <cellStyle name="Nuovo 8 4 2 2 2" xfId="27638" xr:uid="{1C5CA88A-18B2-40D8-B483-352EF06094C5}"/>
    <cellStyle name="Nuovo 8 4 2 3" xfId="17895" xr:uid="{9073A59E-F619-4168-81AA-B7C844424274}"/>
    <cellStyle name="Nuovo 8 4 2 3 2" xfId="27639" xr:uid="{5055B333-A4ED-4E9D-B169-F2BDA9F10EFE}"/>
    <cellStyle name="Nuovo 8 4 2 4" xfId="27637" xr:uid="{136B2064-87C4-4D87-B6E2-CC894F3D7E3B}"/>
    <cellStyle name="Nuovo 8 4 2 5" xfId="17508" xr:uid="{292F2B7E-4BDF-4857-BBE1-1B2BACF623A6}"/>
    <cellStyle name="Nuovo 8 4 3" xfId="9381" xr:uid="{29199976-D891-4E09-866E-132FBEBD4A9C}"/>
    <cellStyle name="Nuovo 8 4 3 2" xfId="27640" xr:uid="{994FE372-49FE-49E2-B9CC-CBDF6E6151CA}"/>
    <cellStyle name="Nuovo 8 4 4" xfId="27641" xr:uid="{722C908E-8B10-462C-90F2-7A973E20CCE6}"/>
    <cellStyle name="Nuovo 8 4 4 2" xfId="49058" xr:uid="{B152B089-C567-4A30-9378-F34CACF91CDE}"/>
    <cellStyle name="Nuovo 8 4 5" xfId="27642" xr:uid="{E9563F0D-44AD-4428-B9A1-E279C9A5CBE0}"/>
    <cellStyle name="Nuovo 8 4 6" xfId="27636" xr:uid="{1C5A8550-474A-4D53-B642-B67BFFCFBFD2}"/>
    <cellStyle name="Nuovo 8 5" xfId="2256" xr:uid="{00000000-0005-0000-0000-0000AC070000}"/>
    <cellStyle name="Nuovo 8 5 2" xfId="27644" xr:uid="{D2217FDA-D525-458D-BD8D-94F4309FA879}"/>
    <cellStyle name="Nuovo 8 5 2 2" xfId="49059" xr:uid="{C378EE7A-9A5F-41D2-B722-A19DC29F91C5}"/>
    <cellStyle name="Nuovo 8 5 3" xfId="27645" xr:uid="{E52A0A00-799C-408E-AEB8-9C22580D9279}"/>
    <cellStyle name="Nuovo 8 5 4" xfId="27643" xr:uid="{1E664E34-1713-41B1-B4F2-610CA3AED1CE}"/>
    <cellStyle name="Nuovo 8 6" xfId="4266" xr:uid="{62832EDB-E12B-49BA-A4E4-AC88F202EDC6}"/>
    <cellStyle name="Nuovo 8 6 2" xfId="9810" xr:uid="{ACCD1074-D364-478E-B5D4-E261A48081EB}"/>
    <cellStyle name="Nuovo 8 6 3" xfId="27646" xr:uid="{42116B00-A7B7-432F-8903-93E04BE55620}"/>
    <cellStyle name="Nuovo 8 7" xfId="27621" xr:uid="{7F50FF96-19AE-404F-ABAD-0452F5B67D04}"/>
    <cellStyle name="Nuovo 9" xfId="960" xr:uid="{00000000-0005-0000-0000-0000AD070000}"/>
    <cellStyle name="Nuovo 9 2" xfId="961" xr:uid="{00000000-0005-0000-0000-0000AE070000}"/>
    <cellStyle name="Nuovo 9 2 2" xfId="4267" xr:uid="{0515F40D-5790-4E64-9041-F42946477797}"/>
    <cellStyle name="Nuovo 9 2 2 2" xfId="13562" xr:uid="{877393F3-EB5D-4ED0-9062-8F3E9B797E83}"/>
    <cellStyle name="Nuovo 9 2 2 3" xfId="27649" xr:uid="{8C57D5EB-27E5-4BB3-947C-76C174A4B6D1}"/>
    <cellStyle name="Nuovo 9 2 3" xfId="13298" xr:uid="{974524CD-3A10-4DE6-928B-35A0F98074D3}"/>
    <cellStyle name="Nuovo 9 2 3 2" xfId="27650" xr:uid="{CAFFE88B-C50A-4D2D-A7B2-01C3B4F51ABA}"/>
    <cellStyle name="Nuovo 9 2 4" xfId="27651" xr:uid="{27074224-8027-4A65-9BD6-38ABC342D6EA}"/>
    <cellStyle name="Nuovo 9 2 5" xfId="27648" xr:uid="{4D332229-29E8-4D28-86D9-E306CA9151F3}"/>
    <cellStyle name="Nuovo 9 3" xfId="962" xr:uid="{00000000-0005-0000-0000-0000AF070000}"/>
    <cellStyle name="Nuovo 9 3 2" xfId="963" xr:uid="{00000000-0005-0000-0000-0000B0070000}"/>
    <cellStyle name="Nuovo 9 3 2 2" xfId="2257" xr:uid="{00000000-0005-0000-0000-0000B1070000}"/>
    <cellStyle name="Nuovo 9 3 2 2 2" xfId="27654" xr:uid="{395D2E4F-427D-4104-A782-C7DC614881F4}"/>
    <cellStyle name="Nuovo 9 3 2 3" xfId="8115" xr:uid="{BEB9FBE9-1601-4BB3-81D9-FD59494AD35F}"/>
    <cellStyle name="Nuovo 9 3 2 3 2" xfId="14116" xr:uid="{197CA9DF-5291-49F2-8D67-D7D99A880D2D}"/>
    <cellStyle name="Nuovo 9 3 2 3 3" xfId="27655" xr:uid="{76B6B87D-7630-47FC-AEC3-252296397064}"/>
    <cellStyle name="Nuovo 9 3 2 4" xfId="27653" xr:uid="{DC723FC5-0B1B-48BA-B7C8-7069F4ADDA00}"/>
    <cellStyle name="Nuovo 9 3 3" xfId="4268" xr:uid="{07640148-ECD8-4142-8CC5-28D875F382CD}"/>
    <cellStyle name="Nuovo 9 3 3 2" xfId="9382" xr:uid="{75D230FF-D387-4E14-8373-69A9B5B40844}"/>
    <cellStyle name="Nuovo 9 3 3 2 2" xfId="27657" xr:uid="{1F43C410-E7B7-4131-BBF5-11EB05E31656}"/>
    <cellStyle name="Nuovo 9 3 3 3" xfId="27658" xr:uid="{0D125005-F70E-4CD2-84FC-5E8DCB7568D7}"/>
    <cellStyle name="Nuovo 9 3 3 3 2" xfId="49060" xr:uid="{4E60C56C-15F1-4323-B1B5-A05216C14704}"/>
    <cellStyle name="Nuovo 9 3 3 4" xfId="27656" xr:uid="{DD3564F0-DE2D-41CA-BD45-6E2877229CC9}"/>
    <cellStyle name="Nuovo 9 3 4" xfId="4269" xr:uid="{F7A607BC-E8A0-40E4-9A85-0C1205978F47}"/>
    <cellStyle name="Nuovo 9 3 4 2" xfId="13776" xr:uid="{1800BF06-CA0A-4CC3-9E5B-3AF35E3BACCE}"/>
    <cellStyle name="Nuovo 9 3 4 3" xfId="27659" xr:uid="{E4224A23-E464-478C-83AF-9302450CBE66}"/>
    <cellStyle name="Nuovo 9 3 5" xfId="11704" xr:uid="{6A2DF135-10B9-4C7E-B521-C4F25878417F}"/>
    <cellStyle name="Nuovo 9 3 5 2" xfId="27660" xr:uid="{41F0DE39-051D-4F2D-9592-916EC3D6AEAB}"/>
    <cellStyle name="Nuovo 9 3 6" xfId="27661" xr:uid="{4619559F-4414-4921-B469-FDB2C0BFAE27}"/>
    <cellStyle name="Nuovo 9 3 7" xfId="27652" xr:uid="{13F545F3-3DF7-465A-9A30-64A7470C855F}"/>
    <cellStyle name="Nuovo 9 4" xfId="2258" xr:uid="{00000000-0005-0000-0000-0000B2070000}"/>
    <cellStyle name="Nuovo 9 4 2" xfId="2259" xr:uid="{00000000-0005-0000-0000-0000B3070000}"/>
    <cellStyle name="Nuovo 9 4 2 2" xfId="9383" xr:uid="{CA96A9D5-1AB5-4AD7-8DDF-50344E3BAB25}"/>
    <cellStyle name="Nuovo 9 4 2 2 2" xfId="27664" xr:uid="{70BF94BA-6177-4FC6-A1A1-18E5420F8173}"/>
    <cellStyle name="Nuovo 9 4 2 3" xfId="17896" xr:uid="{9D600810-C463-4833-8A30-C3E2A347FB9C}"/>
    <cellStyle name="Nuovo 9 4 2 3 2" xfId="27665" xr:uid="{88F02450-13C5-443C-886D-0B2E250CE01C}"/>
    <cellStyle name="Nuovo 9 4 2 4" xfId="27663" xr:uid="{C42E2B64-03BD-493C-86A5-CD8DB418E1C7}"/>
    <cellStyle name="Nuovo 9 4 2 5" xfId="17509" xr:uid="{85D6197A-3BA3-4D3A-86CC-B530BEE83963}"/>
    <cellStyle name="Nuovo 9 4 3" xfId="9384" xr:uid="{17FC93E2-4433-4334-9790-C955BCC810C8}"/>
    <cellStyle name="Nuovo 9 4 3 2" xfId="27666" xr:uid="{3D53BE0F-D5FF-42CA-8278-94B9156A03CC}"/>
    <cellStyle name="Nuovo 9 4 4" xfId="27667" xr:uid="{BE903DDF-62F1-4DD7-A054-63B493DE1DEE}"/>
    <cellStyle name="Nuovo 9 4 4 2" xfId="49061" xr:uid="{33B61CA9-8F6B-4A2B-A4F4-4803E98CDCF9}"/>
    <cellStyle name="Nuovo 9 4 5" xfId="27668" xr:uid="{BF49F749-5D1E-4DA6-86EB-328CF26A5022}"/>
    <cellStyle name="Nuovo 9 4 6" xfId="27662" xr:uid="{AD935007-C134-4FD9-8755-3434C6CE5DC3}"/>
    <cellStyle name="Nuovo 9 5" xfId="2260" xr:uid="{00000000-0005-0000-0000-0000B4070000}"/>
    <cellStyle name="Nuovo 9 5 2" xfId="27670" xr:uid="{91BF9980-D6B4-47D5-A321-75D480AC808E}"/>
    <cellStyle name="Nuovo 9 5 2 2" xfId="49062" xr:uid="{81376A95-7C74-4FE2-8640-40CF9C5CEEA9}"/>
    <cellStyle name="Nuovo 9 5 3" xfId="27671" xr:uid="{A830C85D-512E-421A-BF11-9F4774ADA09D}"/>
    <cellStyle name="Nuovo 9 5 4" xfId="27669" xr:uid="{920107EA-0EE6-49E4-9401-3140AEC71AC1}"/>
    <cellStyle name="Nuovo 9 6" xfId="4270" xr:uid="{B2F955AB-3A64-4B07-8A37-6CF034E9843C}"/>
    <cellStyle name="Nuovo 9 6 2" xfId="9811" xr:uid="{EEE5CDE6-A5DE-429F-825B-B4F354BFDCCE}"/>
    <cellStyle name="Nuovo 9 6 3" xfId="27672" xr:uid="{092F3D07-5B78-4191-8DF9-662064F7D1F6}"/>
    <cellStyle name="Nuovo 9 7" xfId="27647" xr:uid="{F7A94C74-9947-4B9F-A905-B91477150F94}"/>
    <cellStyle name="Output 2" xfId="964" xr:uid="{00000000-0005-0000-0000-0000B5070000}"/>
    <cellStyle name="Output 2 10" xfId="27673" xr:uid="{B4A5316C-B8EB-4555-8164-0C571BD9D3CC}"/>
    <cellStyle name="Output 2 2" xfId="965" xr:uid="{00000000-0005-0000-0000-0000B6070000}"/>
    <cellStyle name="Output 2 2 2" xfId="2261" xr:uid="{00000000-0005-0000-0000-0000B7070000}"/>
    <cellStyle name="Output 2 2 2 2" xfId="17897" xr:uid="{8B739055-1A53-4099-8163-05127313A930}"/>
    <cellStyle name="Output 2 2 2 3" xfId="27675" xr:uid="{1C1699B2-9D86-42F6-A0C3-508BB537B879}"/>
    <cellStyle name="Output 2 2 3" xfId="17448" xr:uid="{F2069EA7-C603-4499-9D6E-1109C7C7D57A}"/>
    <cellStyle name="Output 2 2 3 2" xfId="27676" xr:uid="{B572F549-F7FC-4988-AD68-D73C030A31B1}"/>
    <cellStyle name="Output 2 2 4" xfId="30246" xr:uid="{00004B08-8F46-4781-B56E-A00A19C09688}"/>
    <cellStyle name="Output 2 2 5" xfId="30247" xr:uid="{712ED15F-3A5F-452D-9181-6E50544F9D6F}"/>
    <cellStyle name="Output 2 2 6" xfId="27674" xr:uid="{D891F4B0-4A13-4E33-AB39-8F16EA9BC7B2}"/>
    <cellStyle name="Output 2 3" xfId="2262" xr:uid="{00000000-0005-0000-0000-0000B8070000}"/>
    <cellStyle name="Output 2 3 2" xfId="17531" xr:uid="{A9AE6497-74AC-4E1A-8C21-EEA68DFEBFFB}"/>
    <cellStyle name="Output 2 3 2 2" xfId="32643" xr:uid="{3B36A3DA-CB4F-4BEE-8112-3308E681B105}"/>
    <cellStyle name="Output 2 3 2 3" xfId="27678" xr:uid="{F03567FE-8D0B-4661-B01E-DEBC713D44BB}"/>
    <cellStyle name="Output 2 3 3" xfId="27679" xr:uid="{A83EA6B0-1456-4F8F-A1CA-DA1B65019619}"/>
    <cellStyle name="Output 2 3 4" xfId="27677" xr:uid="{44825A9C-29C0-4E9C-A166-DB148AE716BC}"/>
    <cellStyle name="Output 2 4" xfId="9385" xr:uid="{93EC471C-D1E6-45C1-A877-D91F4D1625DE}"/>
    <cellStyle name="Output 2 4 2" xfId="27681" xr:uid="{936208DD-2CA2-446B-8EC7-CB8D83440463}"/>
    <cellStyle name="Output 2 4 2 2" xfId="32644" xr:uid="{EE697442-DD93-4789-8A44-B23C1F27BA45}"/>
    <cellStyle name="Output 2 4 3" xfId="27680" xr:uid="{73ED2361-509E-4732-95BF-700A253FB0BF}"/>
    <cellStyle name="Output 2 5" xfId="9386" xr:uid="{3C4B26D0-7F87-45FB-9284-8EC2608F8305}"/>
    <cellStyle name="Output 2 5 2" xfId="27683" xr:uid="{0096DA27-A6E2-4DE9-9E70-3E0EF5149ACA}"/>
    <cellStyle name="Output 2 5 2 2" xfId="32645" xr:uid="{5C6452EB-846E-4130-A77E-2BF50B4173AA}"/>
    <cellStyle name="Output 2 5 3" xfId="27682" xr:uid="{EE5AE400-8C26-492F-9AAC-B09E1F95D8D1}"/>
    <cellStyle name="Output 2 6" xfId="9387" xr:uid="{353B0602-91F9-487E-8DC5-00CBBF45D2B2}"/>
    <cellStyle name="Output 2 6 2" xfId="27685" xr:uid="{76043F6D-7772-40D2-A908-6015FECD941D}"/>
    <cellStyle name="Output 2 6 2 2" xfId="32646" xr:uid="{1F8E50A2-F75F-4D76-801B-7F0D0BE8A497}"/>
    <cellStyle name="Output 2 6 3" xfId="27684" xr:uid="{6B616EA1-5B64-4372-BD0B-07E044C8E332}"/>
    <cellStyle name="Output 2 7" xfId="27686" xr:uid="{EFF44250-009D-488E-871E-33F09165868A}"/>
    <cellStyle name="Output 2 7 2" xfId="27687" xr:uid="{A4F0A6B5-6968-4C95-B51C-6A1979144748}"/>
    <cellStyle name="Output 2 7 2 2" xfId="32647" xr:uid="{45E3FF1E-3389-4FEE-A9B2-5AD3F27BCE59}"/>
    <cellStyle name="Output 2 8" xfId="27688" xr:uid="{6D0E2724-BED5-49D0-90CA-72D597374122}"/>
    <cellStyle name="Output 2 8 2" xfId="32648" xr:uid="{15EFAEC3-15CE-42CF-85DE-E3A092D98E9E}"/>
    <cellStyle name="Output 2 9" xfId="32649" xr:uid="{A17C5775-8FBA-424E-BEF1-925FCC4C2C80}"/>
    <cellStyle name="Output 3" xfId="966" xr:uid="{00000000-0005-0000-0000-0000B9070000}"/>
    <cellStyle name="Output 3 2" xfId="2263" xr:uid="{00000000-0005-0000-0000-0000BA070000}"/>
    <cellStyle name="Output 3 2 2" xfId="4271" xr:uid="{842EFEF2-FB51-42F1-A44C-0AB70BAEADAB}"/>
    <cellStyle name="Output 3 2 2 2" xfId="32650" xr:uid="{C7BF2AC1-11E5-43D2-B1CB-0EC8AFD0C80D}"/>
    <cellStyle name="Output 3 2 2 3" xfId="27691" xr:uid="{BF331789-F34F-4BA1-80CC-3445F1B039C9}"/>
    <cellStyle name="Output 3 2 3" xfId="11084" xr:uid="{F00034A8-0E78-4058-8416-7AF9904162AE}"/>
    <cellStyle name="Output 3 2 3 2" xfId="27692" xr:uid="{778A2C24-1F45-4DF9-BF49-D629A5B494CB}"/>
    <cellStyle name="Output 3 2 4" xfId="27690" xr:uid="{3AF647A0-D093-4CE2-91FD-2732EED7BC7E}"/>
    <cellStyle name="Output 3 3" xfId="8116" xr:uid="{57F1F0CC-4A2D-41D5-8A21-37614D720B26}"/>
    <cellStyle name="Output 3 3 2" xfId="12218" xr:uid="{233153E0-5F2B-4C2B-9E02-B360191477C3}"/>
    <cellStyle name="Output 3 3 2 2" xfId="32651" xr:uid="{AF1AD509-A920-4534-B544-E8628DC50651}"/>
    <cellStyle name="Output 3 3 2 3" xfId="27694" xr:uid="{8050CA66-FEE7-4A38-90E6-0F77201CB0F4}"/>
    <cellStyle name="Output 3 3 3" xfId="12158" xr:uid="{4682F8A9-DEDA-4D2F-8866-694B70FC2959}"/>
    <cellStyle name="Output 3 3 4" xfId="27693" xr:uid="{551981C8-C85F-4F35-B5B4-D0BD992ECB0E}"/>
    <cellStyle name="Output 3 4" xfId="9388" xr:uid="{5393C435-8BFF-495A-B226-0FB8B7AF15BC}"/>
    <cellStyle name="Output 3 4 2" xfId="12446" xr:uid="{11F25D11-02CE-4D4E-8597-1CCFA75CB2CC}"/>
    <cellStyle name="Output 3 4 2 2" xfId="32652" xr:uid="{92F23124-C8A3-4BDB-AEAE-2D158B29937D}"/>
    <cellStyle name="Output 3 4 2 3" xfId="27696" xr:uid="{BE578DF5-6962-4705-BCE4-EF539D01E175}"/>
    <cellStyle name="Output 3 4 3" xfId="11509" xr:uid="{2A2C9D5F-37FB-44B3-B3A9-FB1A54004C1F}"/>
    <cellStyle name="Output 3 4 4" xfId="27695" xr:uid="{89CA48BB-CF99-4724-9534-BE4E71A2ADB8}"/>
    <cellStyle name="Output 3 5" xfId="9389" xr:uid="{615CD562-E0B7-435C-A0F4-14EF804D9A73}"/>
    <cellStyle name="Output 3 5 2" xfId="27698" xr:uid="{B0B0C377-48F1-4EF7-95DB-F269B7997BDB}"/>
    <cellStyle name="Output 3 5 2 2" xfId="32653" xr:uid="{A0D8290C-5F85-486C-B5FA-722B77F933F0}"/>
    <cellStyle name="Output 3 5 3" xfId="27697" xr:uid="{67EA8871-BE16-40BC-BADA-CCBECAA52F73}"/>
    <cellStyle name="Output 3 6" xfId="27699" xr:uid="{C0658130-C138-46C0-B3A0-75EED3963CFC}"/>
    <cellStyle name="Output 3 7" xfId="27700" xr:uid="{478E3B01-99B7-4494-95F6-880D80792769}"/>
    <cellStyle name="Output 3 7 2" xfId="32654" xr:uid="{758893E5-9FBF-48FF-B07A-3C16215768E4}"/>
    <cellStyle name="Output 3 8" xfId="27701" xr:uid="{8EA39E7F-772C-447F-9623-56DA02912085}"/>
    <cellStyle name="Output 3 9" xfId="27689" xr:uid="{DD9CC1DF-EDE7-443E-848E-D2E3760C5F28}"/>
    <cellStyle name="Output 4" xfId="9390" xr:uid="{5098947B-98F9-44DE-8C48-C5F55E8B1A97}"/>
    <cellStyle name="Output 4 2" xfId="18732" xr:uid="{5E17EEC6-B30C-444C-B2E5-88AE9BC758FC}"/>
    <cellStyle name="Output 4 2 2" xfId="32655" xr:uid="{C29B8731-CF5F-49CC-9763-634C50409C1D}"/>
    <cellStyle name="Output 4 2 3" xfId="27703" xr:uid="{01EA4F8F-98BF-4CA3-B485-08C22321CE73}"/>
    <cellStyle name="Output 4 3" xfId="27702" xr:uid="{E8EE22FA-1AAD-4E64-B35E-7B3A097899E0}"/>
    <cellStyle name="Output 5" xfId="27704" xr:uid="{CA9A6EF3-7B7A-48A9-B683-28211D03A5EE}"/>
    <cellStyle name="Output 5 2" xfId="49063" xr:uid="{E3E55C92-4A18-441C-824A-A68587FDBD99}"/>
    <cellStyle name="Overskrift 1 2" xfId="9391" xr:uid="{C4BBF00A-D411-42DF-BECD-E1327E44B242}"/>
    <cellStyle name="Overskrift 1 2 2" xfId="27706" xr:uid="{19B7844E-082F-4954-AA14-6AA0AE3659D2}"/>
    <cellStyle name="Overskrift 1 2 3" xfId="27705" xr:uid="{EB54D256-CA3A-417D-9669-F4F46E0A4335}"/>
    <cellStyle name="Overskrift 2 2" xfId="9392" xr:uid="{7DA990DA-6C0E-47E3-A237-BC989F0E6A4C}"/>
    <cellStyle name="Overskrift 2 2 2" xfId="27708" xr:uid="{1736D9B5-9E89-49D6-A34A-E48FEBDA5512}"/>
    <cellStyle name="Overskrift 2 2 3" xfId="27707" xr:uid="{77FCEB6C-1824-4FFF-97FF-85E4E29F8423}"/>
    <cellStyle name="Overskrift 3 2" xfId="9393" xr:uid="{BCE90DA4-E206-49B4-A21D-A16109281610}"/>
    <cellStyle name="Overskrift 3 2 2" xfId="27710" xr:uid="{42B8B2B4-B36F-47D0-BE4A-4615D3C64FD9}"/>
    <cellStyle name="Overskrift 3 2 3" xfId="27709" xr:uid="{E5882801-6A35-4D01-B2F0-FB355B97EF2F}"/>
    <cellStyle name="Overskrift 4 2" xfId="9394" xr:uid="{6FA85FD2-9FBF-4EA7-ACA8-08920D1C3D4C}"/>
    <cellStyle name="Overskrift 4 2 2" xfId="27712" xr:uid="{64F5D576-0B92-4D6A-9D23-FFE5721ADADA}"/>
    <cellStyle name="Overskrift 4 2 3" xfId="27711" xr:uid="{AD1BAD4F-5A14-4FBA-88FC-ED6FE60CC825}"/>
    <cellStyle name="Percen - Type1" xfId="967" xr:uid="{00000000-0005-0000-0000-0000BB070000}"/>
    <cellStyle name="Percen - Type1 2" xfId="27714" xr:uid="{6D25CB2B-FCC8-411E-833A-AAE1828CE1DE}"/>
    <cellStyle name="Percen - Type1 2 2" xfId="49064" xr:uid="{AB1B82B0-3C6C-4DA4-BFD6-86CC55482383}"/>
    <cellStyle name="Percen - Type1 3" xfId="27713" xr:uid="{470742B4-FE34-4A85-89AE-CDEEB7B912BE}"/>
    <cellStyle name="Percen - Typografi2" xfId="32539" xr:uid="{F9551D31-5599-4D32-B332-931A3D7D29CB}"/>
    <cellStyle name="Percent" xfId="968" builtinId="5"/>
    <cellStyle name="Percent 2" xfId="969" xr:uid="{00000000-0005-0000-0000-0000BD070000}"/>
    <cellStyle name="Percent 2 2" xfId="970" xr:uid="{00000000-0005-0000-0000-0000BE070000}"/>
    <cellStyle name="Percent 2 2 2" xfId="2264" xr:uid="{00000000-0005-0000-0000-0000BF070000}"/>
    <cellStyle name="Percent 2 2 2 2" xfId="27718" xr:uid="{1603782C-3A2A-4BDC-9247-822380EE49F3}"/>
    <cellStyle name="Percent 2 2 2 3" xfId="27717" xr:uid="{47F91B45-7E3E-497F-8101-7D5EC2AFD255}"/>
    <cellStyle name="Percent 2 2 3" xfId="2265" xr:uid="{00000000-0005-0000-0000-0000C0070000}"/>
    <cellStyle name="Percent 2 2 3 2" xfId="2266" xr:uid="{00000000-0005-0000-0000-0000C1070000}"/>
    <cellStyle name="Percent 2 2 3 2 2" xfId="27720" xr:uid="{1D0AF836-6350-45E7-9504-2F6CCA957E6B}"/>
    <cellStyle name="Percent 2 2 3 2 3" xfId="17899" xr:uid="{AB8F17CA-6C93-4042-9B25-84BF339D0A48}"/>
    <cellStyle name="Percent 2 2 3 3" xfId="27721" xr:uid="{363B71D2-693F-4EB6-AFF0-C6C623B18C63}"/>
    <cellStyle name="Percent 2 2 3 4" xfId="27719" xr:uid="{F65E0A3F-242C-479C-8D53-907A457F5961}"/>
    <cellStyle name="Percent 2 2 3 5" xfId="17898" xr:uid="{ED85BF77-1EF0-48E3-93C6-C1E5F957B7CF}"/>
    <cellStyle name="Percent 2 2 4" xfId="2267" xr:uid="{00000000-0005-0000-0000-0000C2070000}"/>
    <cellStyle name="Percent 2 2 4 2" xfId="27723" xr:uid="{7BCD6E89-0CDB-4738-801B-3C3D5596A8B6}"/>
    <cellStyle name="Percent 2 2 4 3" xfId="27722" xr:uid="{9D7A693B-BCE6-4D88-81DE-A2E9618C4422}"/>
    <cellStyle name="Percent 2 2 4 4" xfId="49065" xr:uid="{6F08C67A-66B3-4ED9-83D8-EA32DF848898}"/>
    <cellStyle name="Percent 2 2 4 5" xfId="17900" xr:uid="{C3911246-535A-431A-B406-CFC1A49C56F7}"/>
    <cellStyle name="Percent 2 2 5" xfId="27724" xr:uid="{B2500E94-12C0-4716-B4DF-D8265B8B6E57}"/>
    <cellStyle name="Percent 2 2 6" xfId="27716" xr:uid="{FE653C7B-A903-4CB0-B6BC-12E6BF311AD4}"/>
    <cellStyle name="Percent 2 3" xfId="2268" xr:uid="{00000000-0005-0000-0000-0000C3070000}"/>
    <cellStyle name="Percent 2 3 2" xfId="2269" xr:uid="{00000000-0005-0000-0000-0000C4070000}"/>
    <cellStyle name="Percent 2 3 2 2" xfId="27726" xr:uid="{34CAABEF-675B-45AA-8191-9E1BFDA2B092}"/>
    <cellStyle name="Percent 2 3 2 3" xfId="17902" xr:uid="{42FB0373-5061-4501-9F48-EE764AE13328}"/>
    <cellStyle name="Percent 2 3 3" xfId="13300" xr:uid="{65B07532-9395-4F7D-945E-6591EE0A9D31}"/>
    <cellStyle name="Percent 2 3 3 2" xfId="27727" xr:uid="{4D818168-A6F0-4CE5-BD15-0EE73731EB77}"/>
    <cellStyle name="Percent 2 3 4" xfId="27725" xr:uid="{B630BECD-28D0-4674-B5E5-71DA6C04E1D9}"/>
    <cellStyle name="Percent 2 3 5" xfId="17901" xr:uid="{F3A6FA86-62F0-4C11-8942-5381ED1EF21C}"/>
    <cellStyle name="Percent 2 4" xfId="30248" xr:uid="{046C8E6F-2BB8-4BBD-BBA6-DA88F1C783C1}"/>
    <cellStyle name="Percent 2 5" xfId="27715" xr:uid="{95AFFCEA-9892-4812-B259-CBD52E258C41}"/>
    <cellStyle name="Percent 3" xfId="971" xr:uid="{00000000-0005-0000-0000-0000C5070000}"/>
    <cellStyle name="Percent 3 2" xfId="972" xr:uid="{00000000-0005-0000-0000-0000C6070000}"/>
    <cellStyle name="Percent 3 2 2" xfId="11511" xr:uid="{4E9B57C0-16BA-4FA7-8132-95426D7FD093}"/>
    <cellStyle name="Percent 3 2 2 2" xfId="27730" xr:uid="{B1948FE0-5276-4EFD-9171-6EE1BEC3BFB4}"/>
    <cellStyle name="Percent 3 2 3" xfId="12159" xr:uid="{539880DB-BE06-44B8-801E-695F28F0A134}"/>
    <cellStyle name="Percent 3 2 3 2" xfId="27731" xr:uid="{2565C4BC-F51D-430A-96D1-F261F3966EEB}"/>
    <cellStyle name="Percent 3 2 4" xfId="11164" xr:uid="{883B2242-0597-4AA0-B142-754870636910}"/>
    <cellStyle name="Percent 3 2 5" xfId="27729" xr:uid="{4CED21B9-5A5B-4AB2-9077-CC6E61F9C534}"/>
    <cellStyle name="Percent 3 3" xfId="973" xr:uid="{00000000-0005-0000-0000-0000C7070000}"/>
    <cellStyle name="Percent 3 3 2" xfId="2270" xr:uid="{00000000-0005-0000-0000-0000C8070000}"/>
    <cellStyle name="Percent 3 3 2 2" xfId="2271" xr:uid="{00000000-0005-0000-0000-0000C9070000}"/>
    <cellStyle name="Percent 3 3 2 2 2" xfId="27734" xr:uid="{ADE7378E-B594-42F2-AE54-0C8DDD18A289}"/>
    <cellStyle name="Percent 3 3 2 3" xfId="11085" xr:uid="{31D7D7C9-D507-46AC-86D3-A6147F4F5889}"/>
    <cellStyle name="Percent 3 3 2 3 2" xfId="27735" xr:uid="{C314EF37-7FF5-437B-8508-C51C9CB3F7DC}"/>
    <cellStyle name="Percent 3 3 2 4" xfId="27733" xr:uid="{696D3D40-ECA0-4575-AF90-9533A8D773A5}"/>
    <cellStyle name="Percent 3 3 3" xfId="4272" xr:uid="{D1A584F2-1BB1-4950-830C-9E5C2F5A2B90}"/>
    <cellStyle name="Percent 3 3 3 2" xfId="9395" xr:uid="{D3F580B4-CDD2-49DA-98E2-FA0A441E70CA}"/>
    <cellStyle name="Percent 3 3 3 2 2" xfId="27737" xr:uid="{A6D1DCB7-DB36-4C46-960D-3D02D8E2FFF3}"/>
    <cellStyle name="Percent 3 3 3 3" xfId="27738" xr:uid="{D86D92BF-7EAA-42F4-8FC5-12303AB5B6A6}"/>
    <cellStyle name="Percent 3 3 3 3 2" xfId="49066" xr:uid="{6AE06097-0F67-45AA-B5AA-45D17C0253D9}"/>
    <cellStyle name="Percent 3 3 3 4" xfId="27736" xr:uid="{1FF697A4-4959-44DC-A598-52B8B7FFB1C2}"/>
    <cellStyle name="Percent 3 3 4" xfId="4273" xr:uid="{768DAE1E-6339-4415-87C6-0250EB247B4A}"/>
    <cellStyle name="Percent 3 3 4 2" xfId="13777" xr:uid="{505F4A30-5098-487D-A1EA-8B7255EB0CE6}"/>
    <cellStyle name="Percent 3 3 4 3" xfId="27739" xr:uid="{B051AFB5-A97E-459B-B47B-19E6FB374641}"/>
    <cellStyle name="Percent 3 3 5" xfId="12427" xr:uid="{D13256ED-B215-48E0-BA2C-483C88C2087D}"/>
    <cellStyle name="Percent 3 3 5 2" xfId="27740" xr:uid="{A31D0947-E8BA-4296-A642-A20CCFDA3981}"/>
    <cellStyle name="Percent 3 3 6" xfId="27741" xr:uid="{8EE74358-F664-42BF-9E39-0C38A25B589E}"/>
    <cellStyle name="Percent 3 3 7" xfId="27732" xr:uid="{058D2107-610E-40C7-8F33-DE1F4C1C0313}"/>
    <cellStyle name="Percent 3 4" xfId="2272" xr:uid="{00000000-0005-0000-0000-0000CA070000}"/>
    <cellStyle name="Percent 3 4 2" xfId="2273" xr:uid="{00000000-0005-0000-0000-0000CB070000}"/>
    <cellStyle name="Percent 3 4 2 2" xfId="27743" xr:uid="{A57A18F9-E482-4DFD-B31E-AECB54A39F57}"/>
    <cellStyle name="Percent 3 4 3" xfId="11086" xr:uid="{982F4ADC-D14D-4340-B517-3AF191C029E2}"/>
    <cellStyle name="Percent 3 4 3 2" xfId="27744" xr:uid="{9D023BB5-3EB5-4FCF-A1C4-CCE682CCE2C0}"/>
    <cellStyle name="Percent 3 4 4" xfId="27742" xr:uid="{F5A84958-C06B-4E4F-91CE-A56A7D8C0D32}"/>
    <cellStyle name="Percent 3 5" xfId="9396" xr:uid="{DA934755-0C2A-491D-B492-24B3653942A7}"/>
    <cellStyle name="Percent 3 5 2" xfId="9397" xr:uid="{CE8EDD5D-396F-4C4F-AD6B-16E9C9B0B4D2}"/>
    <cellStyle name="Percent 3 5 2 2" xfId="27746" xr:uid="{D9850FB3-C168-4FAA-B746-99BFE0B9A60E}"/>
    <cellStyle name="Percent 3 5 3" xfId="27745" xr:uid="{5C93AD72-B6E4-4530-9123-2BD16BB263FE}"/>
    <cellStyle name="Percent 3 6" xfId="11510" xr:uid="{1CDA535E-C17E-42AB-BE54-E5D9B9A1019E}"/>
    <cellStyle name="Percent 3 6 2" xfId="27747" xr:uid="{2C500EF3-5FC4-4E1F-8D91-709A64B7E931}"/>
    <cellStyle name="Percent 3 7" xfId="27748" xr:uid="{26C928AB-A142-48C7-82AC-244CD1463365}"/>
    <cellStyle name="Percent 3 8" xfId="27728" xr:uid="{E8E9277F-4DB3-4FA3-808E-2FF0AC4CFD11}"/>
    <cellStyle name="Percent 4" xfId="2274" xr:uid="{00000000-0005-0000-0000-0000CC070000}"/>
    <cellStyle name="Percent 4 2" xfId="9398" xr:uid="{AC448A16-85D5-4B00-B34A-6DE7680CCDC9}"/>
    <cellStyle name="Percent 4 2 2" xfId="9399" xr:uid="{8764FDF8-B970-4560-B4E6-2E6BDC3853F1}"/>
    <cellStyle name="Percent 4 2 2 2" xfId="27751" xr:uid="{0286771D-AB30-4E55-B69A-628C885A5716}"/>
    <cellStyle name="Percent 4 2 3" xfId="27750" xr:uid="{A72CE676-4BE1-4653-BE25-C108E98EC376}"/>
    <cellStyle name="Percent 4 3" xfId="9400" xr:uid="{051E3665-9480-43D9-8A64-289BB58FAE1E}"/>
    <cellStyle name="Percent 4 3 2" xfId="27752" xr:uid="{A4AB53DD-6078-4ADC-9983-CA5C8563BA31}"/>
    <cellStyle name="Percent 4 4" xfId="27753" xr:uid="{8EE0306C-542C-4DE5-9990-570A90999077}"/>
    <cellStyle name="Percent 4 4 2" xfId="49067" xr:uid="{92F09C57-2BD4-46F7-B8D4-CE76FA663F51}"/>
    <cellStyle name="Percent 4 5" xfId="27754" xr:uid="{ADCA7C95-D29F-4606-8389-B16FFF61026D}"/>
    <cellStyle name="Percent 4 6" xfId="27749" xr:uid="{7FF4F6BD-6A2D-499A-AB45-EE5FE64E02E7}"/>
    <cellStyle name="Percent 5" xfId="2275" xr:uid="{00000000-0005-0000-0000-0000CD070000}"/>
    <cellStyle name="Percent 5 2" xfId="27756" xr:uid="{7D72901B-5DF5-4584-9C67-D8066E95518E}"/>
    <cellStyle name="Percent 5 3" xfId="27757" xr:uid="{2454F303-D07A-4223-82BA-6133B189707C}"/>
    <cellStyle name="Percent 5 3 2" xfId="49068" xr:uid="{C61693DD-5BBE-49AB-97E4-E56B94C8557A}"/>
    <cellStyle name="Percent 5 4" xfId="27758" xr:uid="{E4B903F6-2811-434D-B410-08EEEAED0DD6}"/>
    <cellStyle name="Percent 5 5" xfId="27755" xr:uid="{1B308EFA-64B1-4C40-A6C4-44B40FC67E77}"/>
    <cellStyle name="Percent 6" xfId="8117" xr:uid="{C8511529-987B-4BFF-BC10-6510C43BA0D9}"/>
    <cellStyle name="Percent 6 2" xfId="9880" xr:uid="{B37F5C39-5884-452B-A311-1E1899001022}"/>
    <cellStyle name="Percent 6 2 2" xfId="10306" xr:uid="{20321F0F-7AD6-4D34-8F27-D332033E9246}"/>
    <cellStyle name="Percent 6 2 2 2" xfId="12759" xr:uid="{BF31CA1E-55B4-4DBF-886C-247BAFFC7CA9}"/>
    <cellStyle name="Percent 6 2 2 2 2" xfId="47618" xr:uid="{7D2B9A00-1C8A-4B07-A863-CDB044CF4D5B}"/>
    <cellStyle name="Percent 6 2 2 3" xfId="18889" xr:uid="{98C29231-2ED8-4C95-8D14-CAA36A1ED621}"/>
    <cellStyle name="Percent 6 2 3" xfId="12458" xr:uid="{AEB4ED12-B7C4-4FEF-8BC7-94CF52B52238}"/>
    <cellStyle name="Percent 6 2 3 2" xfId="24754" xr:uid="{C7C9A1DE-20A4-40B0-90A1-41A4E84B6082}"/>
    <cellStyle name="Percent 6 2 3 3" xfId="27760" xr:uid="{E9BEC8EE-23B7-4DE6-9396-90D88F7BDD7A}"/>
    <cellStyle name="Percent 6 2 4" xfId="49069" xr:uid="{D5D0D132-E203-4EAA-856A-5DD66E7EC11C}"/>
    <cellStyle name="Percent 6 2 5" xfId="18740" xr:uid="{4B7F6932-A8E8-4531-BFD6-A47D887713E7}"/>
    <cellStyle name="Percent 6 3" xfId="10073" xr:uid="{5DB07C07-C9E6-4DB7-8F66-FD0D93CFCCE1}"/>
    <cellStyle name="Percent 6 3 2" xfId="10385" xr:uid="{847BC0C2-7BDB-4308-99B4-215E89D47194}"/>
    <cellStyle name="Percent 6 3 2 2" xfId="12838" xr:uid="{9E7B7015-5FEC-499E-A56A-9CB816660DF9}"/>
    <cellStyle name="Percent 6 3 2 2 2" xfId="32534" xr:uid="{2BA08635-588B-468A-833F-704DF1981205}"/>
    <cellStyle name="Percent 6 3 2 3" xfId="18930" xr:uid="{F21C418C-760F-4DF2-8CC9-5B3848B0E3E1}"/>
    <cellStyle name="Percent 6 3 3" xfId="12530" xr:uid="{8EAC079D-82F3-4A67-8B96-69B32112514B}"/>
    <cellStyle name="Percent 6 3 3 2" xfId="25085" xr:uid="{DA8130F5-F759-4799-B4CD-F0E99586F0AA}"/>
    <cellStyle name="Percent 6 3 4" xfId="18774" xr:uid="{70809FAF-CDE9-4133-B723-7A973A357202}"/>
    <cellStyle name="Percent 6 4" xfId="10151" xr:uid="{E6208570-B0C8-4687-8EBD-1E44C56C5152}"/>
    <cellStyle name="Percent 6 4 2" xfId="10465" xr:uid="{C4EA1FDD-F7AC-44CD-9DE1-6338AAA0B23F}"/>
    <cellStyle name="Percent 6 4 2 2" xfId="12918" xr:uid="{FADD32D9-8E87-4A5E-91A0-2AF3F5092F97}"/>
    <cellStyle name="Percent 6 4 2 2 2" xfId="47475" xr:uid="{C560D79F-FC40-4411-B15B-048F76C22759}"/>
    <cellStyle name="Percent 6 4 2 3" xfId="18972" xr:uid="{8FE19DE2-DB20-4812-B4AD-16DD9421C3D1}"/>
    <cellStyle name="Percent 6 4 3" xfId="12605" xr:uid="{6D74C599-BBA3-4836-A294-2A5A7E1CADB6}"/>
    <cellStyle name="Percent 6 4 3 2" xfId="48395" xr:uid="{9621765A-1CA3-4087-82F6-7B4BB3F25F1E}"/>
    <cellStyle name="Percent 6 4 4" xfId="18811" xr:uid="{6B020573-BAE7-414E-BDBA-7FADD98A7BAD}"/>
    <cellStyle name="Percent 6 5" xfId="10231" xr:uid="{A0316D6C-EF89-43FE-8110-D49011F8B244}"/>
    <cellStyle name="Percent 6 5 2" xfId="12684" xr:uid="{E78F6429-25DC-47E1-92C1-ADA04D1B6C88}"/>
    <cellStyle name="Percent 6 5 2 2" xfId="48532" xr:uid="{AD1DFC25-B815-4D9C-A76F-2910A9353336}"/>
    <cellStyle name="Percent 6 5 3" xfId="18852" xr:uid="{3CCC7CCB-CC94-4A77-B789-E6909A279C23}"/>
    <cellStyle name="Percent 6 6" xfId="10545" xr:uid="{B324368E-AEF1-4447-AB80-7DC6B6A388E1}"/>
    <cellStyle name="Percent 6 6 2" xfId="12998" xr:uid="{25760ADC-135B-4C85-BB25-537812358825}"/>
    <cellStyle name="Percent 6 6 2 2" xfId="25034" xr:uid="{5D66B2DB-776C-4F46-B03C-2CA44DFBCA25}"/>
    <cellStyle name="Percent 6 6 3" xfId="19014" xr:uid="{6C0649D8-4467-48D2-BD3D-AFB820CE2C46}"/>
    <cellStyle name="Percent 6 7" xfId="12160" xr:uid="{FA0222FA-67A3-4FD1-9C8B-C861F019A9CC}"/>
    <cellStyle name="Percent 6 7 2" xfId="24488" xr:uid="{50FDB580-64B8-4266-8906-4BC4818F2137}"/>
    <cellStyle name="Percent 6 7 3" xfId="27759" xr:uid="{DDB723CB-82C3-4949-A289-22008D35DDDF}"/>
    <cellStyle name="Percent 6 8" xfId="16991" xr:uid="{EFC59F28-4B92-4B62-BE59-F88FBEA9E43F}"/>
    <cellStyle name="Percent 7" xfId="6975" xr:uid="{6E87AF34-1957-459C-884F-8CA50C9A08F1}"/>
    <cellStyle name="Percent 7 2" xfId="27762" xr:uid="{594FDE7B-9537-43D8-B2E5-04AB0EC9D1C3}"/>
    <cellStyle name="Percent 7 2 2" xfId="49070" xr:uid="{567F5ED4-063E-43C9-9391-B0023118E512}"/>
    <cellStyle name="Percent 7 3" xfId="27761" xr:uid="{6863A40A-B750-4A11-92D2-AA52646CE72A}"/>
    <cellStyle name="Percent 7 4" xfId="47706" xr:uid="{BBCB8D8A-AA0E-4352-8A32-F1178074CC8C}"/>
    <cellStyle name="Percent 7 5" xfId="16992" xr:uid="{83157398-91C7-4628-8A39-C0FB60C838EC}"/>
    <cellStyle name="Percent 7 6" xfId="10613" xr:uid="{A0603173-128F-454B-A33A-82A81955209E}"/>
    <cellStyle name="Percent 8" xfId="30230" xr:uid="{FB5291AC-6B2E-475F-A1FF-AFCE66F8721A}"/>
    <cellStyle name="Percent 9" xfId="55820" xr:uid="{36A7D34F-281D-4F5E-8C96-C4B4766581E8}"/>
    <cellStyle name="Percentuale 10" xfId="974" xr:uid="{00000000-0005-0000-0000-0000CE070000}"/>
    <cellStyle name="Percentuale 10 2" xfId="975" xr:uid="{00000000-0005-0000-0000-0000CF070000}"/>
    <cellStyle name="Percentuale 10 2 2" xfId="4274" xr:uid="{39BCB8B2-FCB9-4C82-9A5D-BE1D03B8E592}"/>
    <cellStyle name="Percentuale 10 2 2 2" xfId="13563" xr:uid="{30C8BCBD-A8B1-4179-B95A-1D56504746F4}"/>
    <cellStyle name="Percentuale 10 2 2 3" xfId="27765" xr:uid="{D426330B-20C3-48F1-BDB3-EC44CAF43DB8}"/>
    <cellStyle name="Percentuale 10 2 3" xfId="13301" xr:uid="{494E0E9A-C0E7-48E6-94D7-616CC49FC8E0}"/>
    <cellStyle name="Percentuale 10 2 3 2" xfId="27766" xr:uid="{2ECE37D3-B997-4DA4-A7C4-4BF918A7E61A}"/>
    <cellStyle name="Percentuale 10 2 4" xfId="27767" xr:uid="{4F1D431C-D708-4775-B8BE-E96E43C6A812}"/>
    <cellStyle name="Percentuale 10 2 5" xfId="27764" xr:uid="{1E7C4B00-ADA3-4A5D-890D-64388A005D05}"/>
    <cellStyle name="Percentuale 10 3" xfId="976" xr:uid="{00000000-0005-0000-0000-0000D0070000}"/>
    <cellStyle name="Percentuale 10 3 2" xfId="977" xr:uid="{00000000-0005-0000-0000-0000D1070000}"/>
    <cellStyle name="Percentuale 10 3 2 2" xfId="2276" xr:uid="{00000000-0005-0000-0000-0000D2070000}"/>
    <cellStyle name="Percentuale 10 3 2 2 2" xfId="27770" xr:uid="{E4833DAB-807A-4F52-AA9B-68C2FD56AD72}"/>
    <cellStyle name="Percentuale 10 3 2 3" xfId="8118" xr:uid="{D3715449-5CD2-4B88-A968-735858F9E45A}"/>
    <cellStyle name="Percentuale 10 3 2 3 2" xfId="14117" xr:uid="{920C0097-3945-4921-ACF9-ED1AEA3DEE22}"/>
    <cellStyle name="Percentuale 10 3 2 3 3" xfId="27771" xr:uid="{B786D9E4-A95D-4CC4-9D48-BB3CB7B86897}"/>
    <cellStyle name="Percentuale 10 3 2 4" xfId="27769" xr:uid="{27768C39-304F-4925-A895-A77F1EE768A9}"/>
    <cellStyle name="Percentuale 10 3 3" xfId="4275" xr:uid="{56DC984E-2C46-4C9E-B3FC-C485EF4F5400}"/>
    <cellStyle name="Percentuale 10 3 3 2" xfId="9401" xr:uid="{4F6588F9-5D31-44A3-B5B4-1018422CF6A8}"/>
    <cellStyle name="Percentuale 10 3 3 2 2" xfId="27773" xr:uid="{08459EA5-2D02-47E2-AED3-E73700F2FEF0}"/>
    <cellStyle name="Percentuale 10 3 3 3" xfId="27774" xr:uid="{2F5CAA90-1FA8-431E-9CEA-0BA8C67A34A1}"/>
    <cellStyle name="Percentuale 10 3 3 3 2" xfId="49071" xr:uid="{B088AEA8-6752-40A7-B2EE-B235F41191EE}"/>
    <cellStyle name="Percentuale 10 3 3 4" xfId="27772" xr:uid="{6C54B00A-673D-4915-B16E-B602AD494DAB}"/>
    <cellStyle name="Percentuale 10 3 4" xfId="4276" xr:uid="{764F49AA-8220-4A6F-A3C9-EDBB7EE07980}"/>
    <cellStyle name="Percentuale 10 3 4 2" xfId="13778" xr:uid="{2A69BC9B-57E6-4C7B-9AA9-7575EA413578}"/>
    <cellStyle name="Percentuale 10 3 4 3" xfId="27775" xr:uid="{B2D95A10-3112-4CDD-B318-8EB6046E8901}"/>
    <cellStyle name="Percentuale 10 3 5" xfId="12297" xr:uid="{F6AD2B49-5702-47DB-A7ED-0A061215D432}"/>
    <cellStyle name="Percentuale 10 3 5 2" xfId="27776" xr:uid="{CDE44E16-08CE-4883-AB17-0914A04DF1A0}"/>
    <cellStyle name="Percentuale 10 3 6" xfId="27777" xr:uid="{F2891348-3956-4AAF-8CA2-F1077522A56B}"/>
    <cellStyle name="Percentuale 10 3 7" xfId="27768" xr:uid="{B01ADFD8-D88F-469B-B88E-0B841F31001E}"/>
    <cellStyle name="Percentuale 10 4" xfId="2277" xr:uid="{00000000-0005-0000-0000-0000D3070000}"/>
    <cellStyle name="Percentuale 10 4 2" xfId="2278" xr:uid="{00000000-0005-0000-0000-0000D4070000}"/>
    <cellStyle name="Percentuale 10 4 2 2" xfId="9402" xr:uid="{95AD5EB7-9C57-4DA7-8098-3D575DF2E9C7}"/>
    <cellStyle name="Percentuale 10 4 2 2 2" xfId="27780" xr:uid="{ED4643C2-08C1-4031-AA9E-368E13CE1753}"/>
    <cellStyle name="Percentuale 10 4 2 3" xfId="17903" xr:uid="{06862291-ECF4-4069-8668-898B32947290}"/>
    <cellStyle name="Percentuale 10 4 2 3 2" xfId="27781" xr:uid="{EAA924AB-DBBE-4CC5-B492-96B88B3E3C7A}"/>
    <cellStyle name="Percentuale 10 4 2 4" xfId="27779" xr:uid="{6DDEC687-DB32-4342-AD2A-914BA96523AE}"/>
    <cellStyle name="Percentuale 10 4 2 5" xfId="17510" xr:uid="{8CD40204-7339-4D71-BB6D-87F2709FEBF1}"/>
    <cellStyle name="Percentuale 10 4 3" xfId="9403" xr:uid="{4A1D72D5-3EFF-435D-BC74-60890B719131}"/>
    <cellStyle name="Percentuale 10 4 3 2" xfId="27782" xr:uid="{FF1D2F33-3BEC-4592-BD8E-9B0E96B8FD94}"/>
    <cellStyle name="Percentuale 10 4 4" xfId="27783" xr:uid="{5C91D820-B8A9-4E13-830B-F88B7DBFAE86}"/>
    <cellStyle name="Percentuale 10 4 4 2" xfId="49072" xr:uid="{6A54C59C-EA2C-434F-8B5B-1E2746877D25}"/>
    <cellStyle name="Percentuale 10 4 5" xfId="27784" xr:uid="{D19B35E2-0A4F-47CE-BF08-ABB6DC121294}"/>
    <cellStyle name="Percentuale 10 4 6" xfId="27778" xr:uid="{25BCF4DD-544B-4367-94B9-FBF424ACF5E7}"/>
    <cellStyle name="Percentuale 10 5" xfId="2279" xr:uid="{00000000-0005-0000-0000-0000D5070000}"/>
    <cellStyle name="Percentuale 10 5 2" xfId="27786" xr:uid="{5BF58E12-34C8-475E-A971-60DE3F520D14}"/>
    <cellStyle name="Percentuale 10 5 2 2" xfId="49073" xr:uid="{8F71E999-930D-41E9-A592-4CB02EC9E859}"/>
    <cellStyle name="Percentuale 10 5 3" xfId="27787" xr:uid="{1D25A9C6-5154-4DAC-8EE9-1E30ED2F133B}"/>
    <cellStyle name="Percentuale 10 5 4" xfId="27785" xr:uid="{C6DBF7A6-005D-4760-89F4-E20987738ED9}"/>
    <cellStyle name="Percentuale 10 6" xfId="4277" xr:uid="{A028B1D7-AA1A-466E-9AE8-1E4FB82CCB4B}"/>
    <cellStyle name="Percentuale 10 6 2" xfId="9812" xr:uid="{F31AFCBA-2AE5-45AF-A625-88757E8DDF9B}"/>
    <cellStyle name="Percentuale 10 6 3" xfId="27788" xr:uid="{3C52B29F-3382-4F30-936F-94E7610C2463}"/>
    <cellStyle name="Percentuale 10 7" xfId="27763" xr:uid="{E8B2DD8B-B6BA-40B2-ACE7-70AA8DD77936}"/>
    <cellStyle name="Percentuale 11" xfId="978" xr:uid="{00000000-0005-0000-0000-0000D6070000}"/>
    <cellStyle name="Percentuale 11 2" xfId="979" xr:uid="{00000000-0005-0000-0000-0000D7070000}"/>
    <cellStyle name="Percentuale 11 2 2" xfId="4278" xr:uid="{5D1BD082-A620-4A4A-9176-08B178CC8C13}"/>
    <cellStyle name="Percentuale 11 2 2 2" xfId="13564" xr:uid="{24494623-2C94-491B-AE4C-86BE1913DA26}"/>
    <cellStyle name="Percentuale 11 2 2 3" xfId="27791" xr:uid="{DDCB89CC-0786-4A3E-88A0-45D785488493}"/>
    <cellStyle name="Percentuale 11 2 3" xfId="13302" xr:uid="{B8746BD9-8B84-4C22-AA4A-1602CD1271C6}"/>
    <cellStyle name="Percentuale 11 2 3 2" xfId="27792" xr:uid="{A6F36DB9-58F7-44F4-8D7B-9F9B67942C10}"/>
    <cellStyle name="Percentuale 11 2 4" xfId="27793" xr:uid="{6072DEE9-F840-4F2A-8433-92CE3C6DDA3C}"/>
    <cellStyle name="Percentuale 11 2 5" xfId="27790" xr:uid="{27E1F50A-9AE9-4EFF-ADD6-319287485879}"/>
    <cellStyle name="Percentuale 11 3" xfId="980" xr:uid="{00000000-0005-0000-0000-0000D8070000}"/>
    <cellStyle name="Percentuale 11 3 2" xfId="981" xr:uid="{00000000-0005-0000-0000-0000D9070000}"/>
    <cellStyle name="Percentuale 11 3 2 2" xfId="2280" xr:uid="{00000000-0005-0000-0000-0000DA070000}"/>
    <cellStyle name="Percentuale 11 3 2 2 2" xfId="27796" xr:uid="{25456894-FE2E-4CB2-89F7-C3B9982FED7D}"/>
    <cellStyle name="Percentuale 11 3 2 3" xfId="8119" xr:uid="{533672B1-94FD-4BA3-8347-91518E8C2502}"/>
    <cellStyle name="Percentuale 11 3 2 3 2" xfId="14118" xr:uid="{EEAFEFB5-AA5D-4F7C-A7DA-7B9CED0C7992}"/>
    <cellStyle name="Percentuale 11 3 2 3 3" xfId="27797" xr:uid="{E63A7CD0-5D4C-4D34-A2D3-EA981B95E10F}"/>
    <cellStyle name="Percentuale 11 3 2 4" xfId="27795" xr:uid="{131A634B-7567-4F9D-BFFA-753F80A6F839}"/>
    <cellStyle name="Percentuale 11 3 3" xfId="4279" xr:uid="{6C65DE3F-381D-444B-86BC-9FA9F8266DA0}"/>
    <cellStyle name="Percentuale 11 3 3 2" xfId="9404" xr:uid="{70E5C9B0-F266-4826-B65E-C4B8ABE75FD9}"/>
    <cellStyle name="Percentuale 11 3 3 2 2" xfId="27799" xr:uid="{27F5DB34-2EF4-4310-8269-580FF9AD09F5}"/>
    <cellStyle name="Percentuale 11 3 3 3" xfId="27800" xr:uid="{E39CA28C-9358-4E67-9EB8-83D49D721A03}"/>
    <cellStyle name="Percentuale 11 3 3 3 2" xfId="49074" xr:uid="{94A11AAC-77F1-4D98-B2F7-C0E2AC0C551C}"/>
    <cellStyle name="Percentuale 11 3 3 4" xfId="27798" xr:uid="{BE31B869-FC7A-4CE9-9FF7-456E76A7069B}"/>
    <cellStyle name="Percentuale 11 3 4" xfId="4280" xr:uid="{40615840-9947-4D02-8B04-B0A9B2DD6E0C}"/>
    <cellStyle name="Percentuale 11 3 4 2" xfId="13779" xr:uid="{6ABD97BC-8125-4D7C-A058-EA975B93C5B7}"/>
    <cellStyle name="Percentuale 11 3 4 3" xfId="27801" xr:uid="{E1092948-2B61-4E2B-A6E1-1F5989F765DD}"/>
    <cellStyle name="Percentuale 11 3 5" xfId="12296" xr:uid="{2049CD81-40CA-4947-BFC6-6DFEE0F5AA49}"/>
    <cellStyle name="Percentuale 11 3 5 2" xfId="27802" xr:uid="{24599897-5149-43CF-B969-E9EF039207FB}"/>
    <cellStyle name="Percentuale 11 3 6" xfId="27803" xr:uid="{77928F95-E76B-414A-A4D6-914F483449F9}"/>
    <cellStyle name="Percentuale 11 3 7" xfId="27794" xr:uid="{46D9E6CA-BFC5-4250-B186-A1B01FA92BDB}"/>
    <cellStyle name="Percentuale 11 4" xfId="2281" xr:uid="{00000000-0005-0000-0000-0000DB070000}"/>
    <cellStyle name="Percentuale 11 4 2" xfId="2282" xr:uid="{00000000-0005-0000-0000-0000DC070000}"/>
    <cellStyle name="Percentuale 11 4 2 2" xfId="9405" xr:uid="{C40DBA66-407C-4C30-9DFF-816516C41EC6}"/>
    <cellStyle name="Percentuale 11 4 2 2 2" xfId="27806" xr:uid="{6A45C564-CE19-43C6-9366-5ECAB8162F2E}"/>
    <cellStyle name="Percentuale 11 4 2 3" xfId="17904" xr:uid="{7E90B65C-EE84-4B61-9201-B654986DC171}"/>
    <cellStyle name="Percentuale 11 4 2 3 2" xfId="27807" xr:uid="{92F10991-92B2-410A-8AD1-5AA37CECF115}"/>
    <cellStyle name="Percentuale 11 4 2 4" xfId="27805" xr:uid="{3B1D9F61-4194-4F05-B879-032A30F08DE8}"/>
    <cellStyle name="Percentuale 11 4 2 5" xfId="17511" xr:uid="{DB9463D0-F71D-4128-A05D-B2EA505322A5}"/>
    <cellStyle name="Percentuale 11 4 3" xfId="9406" xr:uid="{E334CCC8-F2C1-4035-BF95-11CFCF77EA61}"/>
    <cellStyle name="Percentuale 11 4 3 2" xfId="27808" xr:uid="{227B8E52-50FD-4EB9-ADAB-D153F7DFBBB2}"/>
    <cellStyle name="Percentuale 11 4 4" xfId="27809" xr:uid="{516A494A-14B6-4912-8FCF-7C52A39DF108}"/>
    <cellStyle name="Percentuale 11 4 4 2" xfId="49075" xr:uid="{9E25C0A5-E9C8-45AC-82F4-5829EAD57D59}"/>
    <cellStyle name="Percentuale 11 4 5" xfId="27810" xr:uid="{6EFF4EA8-EE53-4003-89AA-B7985A4A0C72}"/>
    <cellStyle name="Percentuale 11 4 6" xfId="27804" xr:uid="{2241438B-F924-4714-B250-FE26DDAB0A30}"/>
    <cellStyle name="Percentuale 11 5" xfId="2283" xr:uid="{00000000-0005-0000-0000-0000DD070000}"/>
    <cellStyle name="Percentuale 11 5 2" xfId="27812" xr:uid="{7F1B9469-A053-4566-B508-123BD82C784B}"/>
    <cellStyle name="Percentuale 11 5 2 2" xfId="49076" xr:uid="{9F5FC815-B2CE-405E-97CC-BF71C7F38F2C}"/>
    <cellStyle name="Percentuale 11 5 3" xfId="27813" xr:uid="{D2C7D3A9-8A9A-4B2C-8119-C425705F3173}"/>
    <cellStyle name="Percentuale 11 5 4" xfId="27811" xr:uid="{4C549969-A79A-4BFD-830A-CF7F4A8A20BF}"/>
    <cellStyle name="Percentuale 11 6" xfId="4281" xr:uid="{E4A69DDD-E4A7-47EC-8803-46270AE48339}"/>
    <cellStyle name="Percentuale 11 6 2" xfId="9813" xr:uid="{2334840E-9E35-46EA-A0AC-0AD9625BC37E}"/>
    <cellStyle name="Percentuale 11 6 3" xfId="27814" xr:uid="{1809B92D-CC8C-4CA1-A4C6-E2EFBD9C3095}"/>
    <cellStyle name="Percentuale 11 7" xfId="27789" xr:uid="{7A8DEAC7-C5E0-4463-9534-FF2929412833}"/>
    <cellStyle name="Percentuale 12" xfId="982" xr:uid="{00000000-0005-0000-0000-0000DE070000}"/>
    <cellStyle name="Percentuale 12 2" xfId="983" xr:uid="{00000000-0005-0000-0000-0000DF070000}"/>
    <cellStyle name="Percentuale 12 2 2" xfId="4282" xr:uid="{BE677AFB-96FF-43CD-A658-A16D1E66D8A4}"/>
    <cellStyle name="Percentuale 12 2 2 2" xfId="13565" xr:uid="{FB8E6425-90E6-45C1-A3AC-05CE1AB5554C}"/>
    <cellStyle name="Percentuale 12 2 2 3" xfId="27817" xr:uid="{BA3F9795-F30B-44DA-9951-AE382F0E3FCB}"/>
    <cellStyle name="Percentuale 12 2 3" xfId="13303" xr:uid="{13F6591F-CD04-4466-B684-55930C4D1790}"/>
    <cellStyle name="Percentuale 12 2 3 2" xfId="27818" xr:uid="{D174916F-1671-4520-A58C-560EA2919D6A}"/>
    <cellStyle name="Percentuale 12 2 4" xfId="27819" xr:uid="{D2224E00-74B4-4E5E-B578-35E1719AE94C}"/>
    <cellStyle name="Percentuale 12 2 5" xfId="27816" xr:uid="{DDE6F937-1EA6-448E-BB7A-14BB7A815F0A}"/>
    <cellStyle name="Percentuale 12 3" xfId="984" xr:uid="{00000000-0005-0000-0000-0000E0070000}"/>
    <cellStyle name="Percentuale 12 3 2" xfId="985" xr:uid="{00000000-0005-0000-0000-0000E1070000}"/>
    <cellStyle name="Percentuale 12 3 2 2" xfId="2284" xr:uid="{00000000-0005-0000-0000-0000E2070000}"/>
    <cellStyle name="Percentuale 12 3 2 2 2" xfId="27822" xr:uid="{CE4E6ACB-37E8-47A8-AEAE-1D903E7B0056}"/>
    <cellStyle name="Percentuale 12 3 2 3" xfId="8120" xr:uid="{4C653185-BAC4-4287-B35F-91AD43254D48}"/>
    <cellStyle name="Percentuale 12 3 2 3 2" xfId="14119" xr:uid="{47FF0BED-E3B1-4A69-BF3D-BF698EF004B4}"/>
    <cellStyle name="Percentuale 12 3 2 3 3" xfId="27823" xr:uid="{F306D521-46B5-47C3-8E28-DE38D89B7C89}"/>
    <cellStyle name="Percentuale 12 3 2 4" xfId="27821" xr:uid="{FA8F058E-B6A8-4B39-9D06-C52EEB5D7977}"/>
    <cellStyle name="Percentuale 12 3 3" xfId="4283" xr:uid="{25C4BBA1-F3D0-4E18-B2D8-ACA6D3DED9FF}"/>
    <cellStyle name="Percentuale 12 3 3 2" xfId="9407" xr:uid="{E1B4A489-50CD-49F2-B87E-9202B7655464}"/>
    <cellStyle name="Percentuale 12 3 3 2 2" xfId="27825" xr:uid="{5B88CCE5-D677-43FD-A58C-53F0A49C1855}"/>
    <cellStyle name="Percentuale 12 3 3 3" xfId="27826" xr:uid="{CBEB3298-8523-4EEC-B721-D8DB1A2D2B44}"/>
    <cellStyle name="Percentuale 12 3 3 3 2" xfId="49077" xr:uid="{2113950C-2ED6-43AF-BD41-CC41E83BB70E}"/>
    <cellStyle name="Percentuale 12 3 3 4" xfId="27824" xr:uid="{ABE3C971-8AA4-4BAB-8694-B0A92BC40533}"/>
    <cellStyle name="Percentuale 12 3 4" xfId="4284" xr:uid="{9D075CE4-5150-48DD-846E-109A88DFB1EE}"/>
    <cellStyle name="Percentuale 12 3 4 2" xfId="13780" xr:uid="{ABF28354-D5B9-415A-AC94-63CF92AB1DA1}"/>
    <cellStyle name="Percentuale 12 3 4 3" xfId="27827" xr:uid="{B535F59B-202E-43A1-9A12-8E93769C73F9}"/>
    <cellStyle name="Percentuale 12 3 5" xfId="11158" xr:uid="{06EDD25E-CB6F-47FC-B1DA-A16478C79D54}"/>
    <cellStyle name="Percentuale 12 3 5 2" xfId="27828" xr:uid="{C8E9D625-8F07-473A-B098-41C61A4590CA}"/>
    <cellStyle name="Percentuale 12 3 6" xfId="27829" xr:uid="{BE5E5641-877A-451E-97F3-E8CCACED0592}"/>
    <cellStyle name="Percentuale 12 3 7" xfId="27820" xr:uid="{926E5DF4-CB02-455D-8169-248F752C243B}"/>
    <cellStyle name="Percentuale 12 4" xfId="2285" xr:uid="{00000000-0005-0000-0000-0000E3070000}"/>
    <cellStyle name="Percentuale 12 4 2" xfId="2286" xr:uid="{00000000-0005-0000-0000-0000E4070000}"/>
    <cellStyle name="Percentuale 12 4 2 2" xfId="9408" xr:uid="{626BA2E8-89B5-46D1-BA80-6D3BBC3F7F0E}"/>
    <cellStyle name="Percentuale 12 4 2 2 2" xfId="27832" xr:uid="{869A2B09-44C7-4E1F-9C9D-D294D2A61BF0}"/>
    <cellStyle name="Percentuale 12 4 2 3" xfId="17905" xr:uid="{26F84748-5959-40CC-AFB0-4D485400539C}"/>
    <cellStyle name="Percentuale 12 4 2 3 2" xfId="27833" xr:uid="{BBE06885-655A-4D97-8F63-9493FEA8B069}"/>
    <cellStyle name="Percentuale 12 4 2 4" xfId="27831" xr:uid="{A6E4221C-4E64-4560-AA5C-61AEBBC95718}"/>
    <cellStyle name="Percentuale 12 4 2 5" xfId="17512" xr:uid="{CA927180-1EB7-4194-91D3-4D3E8D8DE46D}"/>
    <cellStyle name="Percentuale 12 4 3" xfId="9409" xr:uid="{10C15755-BD15-4B39-B08C-06F62829AA27}"/>
    <cellStyle name="Percentuale 12 4 3 2" xfId="27834" xr:uid="{9A87954F-F41E-49D8-99B4-2712A592C090}"/>
    <cellStyle name="Percentuale 12 4 4" xfId="27835" xr:uid="{E3ACEDE0-A2D4-41FF-A8A1-C9C48B97DC20}"/>
    <cellStyle name="Percentuale 12 4 4 2" xfId="49078" xr:uid="{12654516-375E-43FE-938F-526339381FF4}"/>
    <cellStyle name="Percentuale 12 4 5" xfId="27836" xr:uid="{3142D3D6-4818-4E18-B1CD-B6C751D24671}"/>
    <cellStyle name="Percentuale 12 4 6" xfId="27830" xr:uid="{E3424B99-5128-423A-910E-56121276BDAE}"/>
    <cellStyle name="Percentuale 12 5" xfId="2287" xr:uid="{00000000-0005-0000-0000-0000E5070000}"/>
    <cellStyle name="Percentuale 12 5 2" xfId="27838" xr:uid="{9017B362-9DCC-49F6-A20F-27C2D5E69E87}"/>
    <cellStyle name="Percentuale 12 5 2 2" xfId="49079" xr:uid="{00E0AAC4-7B75-46A1-A4FD-3E82DA01A657}"/>
    <cellStyle name="Percentuale 12 5 3" xfId="27839" xr:uid="{71CF15F7-2A8B-4D97-9A1F-001820DE6686}"/>
    <cellStyle name="Percentuale 12 5 4" xfId="27837" xr:uid="{A248E922-C066-4980-BF2C-D54CFA8FB02C}"/>
    <cellStyle name="Percentuale 12 6" xfId="4285" xr:uid="{1B474F75-1463-429B-8B6C-3B104A6FF5C8}"/>
    <cellStyle name="Percentuale 12 6 2" xfId="9814" xr:uid="{0307EC3C-527E-4F43-9D14-C745FBF040AE}"/>
    <cellStyle name="Percentuale 12 6 3" xfId="27840" xr:uid="{8E5B82D7-93A5-45B7-A9DC-7DE912A1FC66}"/>
    <cellStyle name="Percentuale 12 7" xfId="27815" xr:uid="{8F20DF87-1B32-4755-9432-7E065A100C21}"/>
    <cellStyle name="Percentuale 13" xfId="986" xr:uid="{00000000-0005-0000-0000-0000E6070000}"/>
    <cellStyle name="Percentuale 13 2" xfId="987" xr:uid="{00000000-0005-0000-0000-0000E7070000}"/>
    <cellStyle name="Percentuale 13 2 2" xfId="4286" xr:uid="{3E81DE9F-9A5D-45BE-A009-1D72EFA31886}"/>
    <cellStyle name="Percentuale 13 2 2 2" xfId="13566" xr:uid="{906FA22C-1597-4C64-B48F-994217FAC562}"/>
    <cellStyle name="Percentuale 13 2 2 3" xfId="27843" xr:uid="{FD3E8396-8B77-4755-AD5B-2459E7B4A9E8}"/>
    <cellStyle name="Percentuale 13 2 3" xfId="13304" xr:uid="{E65FAE8A-CD28-4EB1-BD96-34C99F1DE2DB}"/>
    <cellStyle name="Percentuale 13 2 3 2" xfId="27844" xr:uid="{905AD600-B879-48AA-87D1-2DDF0D8A159E}"/>
    <cellStyle name="Percentuale 13 2 4" xfId="27845" xr:uid="{1C78C61A-47DE-4344-B66A-3608D28B50DF}"/>
    <cellStyle name="Percentuale 13 2 5" xfId="27842" xr:uid="{E1FA0EBE-D4CF-4588-8F72-14D090AEC86E}"/>
    <cellStyle name="Percentuale 13 3" xfId="988" xr:uid="{00000000-0005-0000-0000-0000E8070000}"/>
    <cellStyle name="Percentuale 13 3 2" xfId="989" xr:uid="{00000000-0005-0000-0000-0000E9070000}"/>
    <cellStyle name="Percentuale 13 3 2 2" xfId="2288" xr:uid="{00000000-0005-0000-0000-0000EA070000}"/>
    <cellStyle name="Percentuale 13 3 2 2 2" xfId="27848" xr:uid="{4EEF0090-3B31-405A-84A4-D7231F446FBF}"/>
    <cellStyle name="Percentuale 13 3 2 3" xfId="8121" xr:uid="{E92BF5D8-5F22-4E9B-87BB-6036DCAB0D69}"/>
    <cellStyle name="Percentuale 13 3 2 3 2" xfId="14120" xr:uid="{74A2B885-4DBC-4DD7-97AC-47C12ABF8CA3}"/>
    <cellStyle name="Percentuale 13 3 2 3 3" xfId="27849" xr:uid="{8D39E220-8FD5-4F52-8096-04D4C0CCBF32}"/>
    <cellStyle name="Percentuale 13 3 2 4" xfId="27847" xr:uid="{9CC677A7-0481-4407-B945-316CAFBE14B7}"/>
    <cellStyle name="Percentuale 13 3 3" xfId="4287" xr:uid="{A17B56E9-5C5C-4951-818E-CB71D7811CEB}"/>
    <cellStyle name="Percentuale 13 3 3 2" xfId="9410" xr:uid="{27412237-859C-4637-8E78-8CA22DA4E75D}"/>
    <cellStyle name="Percentuale 13 3 3 2 2" xfId="27851" xr:uid="{839579D1-5E70-4F18-9A03-D607AACB8C74}"/>
    <cellStyle name="Percentuale 13 3 3 3" xfId="27852" xr:uid="{402935D6-E8CF-4AA6-8C17-8BDFFEE5B394}"/>
    <cellStyle name="Percentuale 13 3 3 3 2" xfId="49080" xr:uid="{8D643932-4BE9-4820-A9C6-53D417CC0654}"/>
    <cellStyle name="Percentuale 13 3 3 4" xfId="27850" xr:uid="{6B05FEB0-F8A7-4B6A-B272-111997D1DEF5}"/>
    <cellStyle name="Percentuale 13 3 4" xfId="4288" xr:uid="{AE2DE5A2-130F-4C8F-9F41-64265A15728F}"/>
    <cellStyle name="Percentuale 13 3 4 2" xfId="13781" xr:uid="{7B02A431-4A38-4B4A-B36E-5E07982BCE6B}"/>
    <cellStyle name="Percentuale 13 3 4 3" xfId="27853" xr:uid="{932703DA-C43D-4FAE-B602-7DA6B2EBCD48}"/>
    <cellStyle name="Percentuale 13 3 5" xfId="11208" xr:uid="{78083FCB-DD77-4E95-BA5A-8D4F9FB6103B}"/>
    <cellStyle name="Percentuale 13 3 5 2" xfId="27854" xr:uid="{013F1DC8-1365-43A2-9CA7-95396D358FDE}"/>
    <cellStyle name="Percentuale 13 3 6" xfId="27855" xr:uid="{4CB1E9AD-E349-4CBA-8E90-FDCD411A9851}"/>
    <cellStyle name="Percentuale 13 3 7" xfId="27846" xr:uid="{6544E3CF-1A74-4A23-BCDF-FD3D8CBE8CDF}"/>
    <cellStyle name="Percentuale 13 4" xfId="2289" xr:uid="{00000000-0005-0000-0000-0000EB070000}"/>
    <cellStyle name="Percentuale 13 4 2" xfId="2290" xr:uid="{00000000-0005-0000-0000-0000EC070000}"/>
    <cellStyle name="Percentuale 13 4 2 2" xfId="9411" xr:uid="{B055FC4C-C98F-48EB-BAA8-34F890772D1A}"/>
    <cellStyle name="Percentuale 13 4 2 2 2" xfId="27858" xr:uid="{B14486DD-68A9-4F7C-B11F-0E1E67A1FFA1}"/>
    <cellStyle name="Percentuale 13 4 2 3" xfId="17906" xr:uid="{816CC5A9-FDEC-4759-861C-D34FF6571908}"/>
    <cellStyle name="Percentuale 13 4 2 3 2" xfId="27859" xr:uid="{37786C7B-0371-4BE3-B2A2-9AF180B7BCBB}"/>
    <cellStyle name="Percentuale 13 4 2 4" xfId="27857" xr:uid="{C960B1AA-1C20-460E-8140-C59A4EE95D4B}"/>
    <cellStyle name="Percentuale 13 4 2 5" xfId="17513" xr:uid="{9AC3F0B1-9746-46E7-8275-03CB179EE89B}"/>
    <cellStyle name="Percentuale 13 4 3" xfId="9412" xr:uid="{278C88FA-F27E-42BD-9FEF-CFE76ED14A8B}"/>
    <cellStyle name="Percentuale 13 4 3 2" xfId="27860" xr:uid="{556B4C61-31E1-4D09-897B-F6F3E382C197}"/>
    <cellStyle name="Percentuale 13 4 4" xfId="27861" xr:uid="{175815FA-2868-4AA3-94C5-3E605FE03C56}"/>
    <cellStyle name="Percentuale 13 4 4 2" xfId="49081" xr:uid="{53978606-ABCA-41F2-A409-FAE2786C8DF0}"/>
    <cellStyle name="Percentuale 13 4 5" xfId="27862" xr:uid="{F6BC008A-8A08-4DFA-B626-53E0E6234986}"/>
    <cellStyle name="Percentuale 13 4 6" xfId="27856" xr:uid="{86C56C80-33F3-4D7C-9861-850E307D5AAA}"/>
    <cellStyle name="Percentuale 13 5" xfId="2291" xr:uid="{00000000-0005-0000-0000-0000ED070000}"/>
    <cellStyle name="Percentuale 13 5 2" xfId="27864" xr:uid="{CDDCE284-99E7-47AD-94C0-0F297EAB55D3}"/>
    <cellStyle name="Percentuale 13 5 2 2" xfId="49082" xr:uid="{BA97F691-0DAB-4D85-AC34-3ABBFC7B269D}"/>
    <cellStyle name="Percentuale 13 5 3" xfId="27865" xr:uid="{08705EBB-0317-4C93-9D35-74ADBD43A2F0}"/>
    <cellStyle name="Percentuale 13 5 4" xfId="27863" xr:uid="{90B8FC69-A637-4C21-8EED-80C7C037AAEC}"/>
    <cellStyle name="Percentuale 13 6" xfId="4289" xr:uid="{FE2019E6-7996-4B4D-A9AC-843051272977}"/>
    <cellStyle name="Percentuale 13 6 2" xfId="9815" xr:uid="{5517DBA1-CF48-416E-B267-8F05480B6190}"/>
    <cellStyle name="Percentuale 13 6 3" xfId="27866" xr:uid="{6184B0F8-8E16-4C19-ABF6-FB0EA746D3DC}"/>
    <cellStyle name="Percentuale 13 7" xfId="27841" xr:uid="{7358CF7B-9CC0-46F6-BA64-59C5BB0E649C}"/>
    <cellStyle name="Percentuale 14" xfId="990" xr:uid="{00000000-0005-0000-0000-0000EE070000}"/>
    <cellStyle name="Percentuale 14 2" xfId="991" xr:uid="{00000000-0005-0000-0000-0000EF070000}"/>
    <cellStyle name="Percentuale 14 2 2" xfId="4290" xr:uid="{A24B67C0-A369-45C9-A12B-6B7C0CC4D7B0}"/>
    <cellStyle name="Percentuale 14 2 2 2" xfId="13567" xr:uid="{EDCA675E-30F7-4452-9D1F-43959A454CDB}"/>
    <cellStyle name="Percentuale 14 2 2 3" xfId="27869" xr:uid="{8EE5F8BB-338B-4F71-8F88-96AFEF36F519}"/>
    <cellStyle name="Percentuale 14 2 3" xfId="13305" xr:uid="{550BB53D-8750-4C18-83E7-E7A41392512C}"/>
    <cellStyle name="Percentuale 14 2 3 2" xfId="27870" xr:uid="{4BB6C43C-B0A4-4F4B-9936-7AB7D65B1871}"/>
    <cellStyle name="Percentuale 14 2 4" xfId="27871" xr:uid="{F0BA5B10-0C58-4633-88C9-787854812825}"/>
    <cellStyle name="Percentuale 14 2 5" xfId="27868" xr:uid="{ED3F036E-818A-4C3F-8DB3-7F4A0F7BA29E}"/>
    <cellStyle name="Percentuale 14 3" xfId="992" xr:uid="{00000000-0005-0000-0000-0000F0070000}"/>
    <cellStyle name="Percentuale 14 3 2" xfId="993" xr:uid="{00000000-0005-0000-0000-0000F1070000}"/>
    <cellStyle name="Percentuale 14 3 2 2" xfId="2292" xr:uid="{00000000-0005-0000-0000-0000F2070000}"/>
    <cellStyle name="Percentuale 14 3 2 2 2" xfId="27874" xr:uid="{D26A11F3-AB1C-4196-9158-0D7F6B85FF32}"/>
    <cellStyle name="Percentuale 14 3 2 3" xfId="8122" xr:uid="{FDEEFECC-375B-4775-B668-6DD33D4DC4E1}"/>
    <cellStyle name="Percentuale 14 3 2 3 2" xfId="14121" xr:uid="{11A61642-911C-4345-B9FA-03AB963BC3BF}"/>
    <cellStyle name="Percentuale 14 3 2 3 3" xfId="27875" xr:uid="{DCB65693-02F5-4960-9E8A-28ABB8FC6AC3}"/>
    <cellStyle name="Percentuale 14 3 2 4" xfId="27873" xr:uid="{D8FB3D19-6C14-4F04-B497-99A5D1D86F50}"/>
    <cellStyle name="Percentuale 14 3 3" xfId="4291" xr:uid="{D14B0D05-D337-47D6-8ECE-359B3FC7840F}"/>
    <cellStyle name="Percentuale 14 3 3 2" xfId="9413" xr:uid="{D527A978-A9AB-4368-A26C-63306C57E38C}"/>
    <cellStyle name="Percentuale 14 3 3 2 2" xfId="27877" xr:uid="{CF3B0390-80B6-4A32-8C8F-AFC35F44C7BC}"/>
    <cellStyle name="Percentuale 14 3 3 3" xfId="27878" xr:uid="{22331FAC-AB72-4FB1-83FA-6888682424B4}"/>
    <cellStyle name="Percentuale 14 3 3 3 2" xfId="49083" xr:uid="{8F83E162-9B4C-44BA-BF1B-39DB9E4E7EF7}"/>
    <cellStyle name="Percentuale 14 3 3 4" xfId="27876" xr:uid="{B0D9C1F8-BEB6-4F1C-A98C-E0909B1C6C78}"/>
    <cellStyle name="Percentuale 14 3 4" xfId="4292" xr:uid="{D98BC1E2-DE09-41DC-8329-E29219727C8E}"/>
    <cellStyle name="Percentuale 14 3 4 2" xfId="13782" xr:uid="{82962FD4-0C75-43E0-8906-B485B2F7AB6F}"/>
    <cellStyle name="Percentuale 14 3 4 3" xfId="27879" xr:uid="{7AE490B7-0C7C-4B1E-AEE4-3828FAE1D75D}"/>
    <cellStyle name="Percentuale 14 3 5" xfId="12261" xr:uid="{1D196484-FACD-446A-B91B-0C94A9021F27}"/>
    <cellStyle name="Percentuale 14 3 5 2" xfId="27880" xr:uid="{DCA7DE82-05EB-42A1-A729-2F624954C525}"/>
    <cellStyle name="Percentuale 14 3 6" xfId="27881" xr:uid="{396729D6-15AC-487A-997F-452B333D93C1}"/>
    <cellStyle name="Percentuale 14 3 7" xfId="27872" xr:uid="{7C7E2189-4161-4024-B6F3-6FD68CA46209}"/>
    <cellStyle name="Percentuale 14 4" xfId="2293" xr:uid="{00000000-0005-0000-0000-0000F3070000}"/>
    <cellStyle name="Percentuale 14 4 2" xfId="2294" xr:uid="{00000000-0005-0000-0000-0000F4070000}"/>
    <cellStyle name="Percentuale 14 4 2 2" xfId="9414" xr:uid="{693F9A3D-C8D7-4A29-9120-4ACB9508AC94}"/>
    <cellStyle name="Percentuale 14 4 2 2 2" xfId="27884" xr:uid="{126EF5BE-2FAE-4238-8C3F-89A753CA672D}"/>
    <cellStyle name="Percentuale 14 4 2 3" xfId="17907" xr:uid="{2F8C8D17-E0F0-4B11-A47F-8AA66BB0B7DD}"/>
    <cellStyle name="Percentuale 14 4 2 3 2" xfId="27885" xr:uid="{16D8DCCF-A3AC-4BF7-8E40-DC18D3BE8CB1}"/>
    <cellStyle name="Percentuale 14 4 2 4" xfId="27883" xr:uid="{26134C13-B2D7-414A-A186-CC65E55A6A88}"/>
    <cellStyle name="Percentuale 14 4 2 5" xfId="17514" xr:uid="{F2B445C2-D6EC-46DA-A556-1EDAB2CC1B17}"/>
    <cellStyle name="Percentuale 14 4 3" xfId="9415" xr:uid="{0C004CB8-FA8C-491E-8A87-DEDFEC5AD819}"/>
    <cellStyle name="Percentuale 14 4 3 2" xfId="27886" xr:uid="{B63404EF-2B07-49C7-A2A4-FAD03C1343EF}"/>
    <cellStyle name="Percentuale 14 4 4" xfId="27887" xr:uid="{CB3C6E39-04A9-4505-9415-32C7D9DB0A34}"/>
    <cellStyle name="Percentuale 14 4 4 2" xfId="49084" xr:uid="{E84A9E77-B622-42B8-9624-00D830C05445}"/>
    <cellStyle name="Percentuale 14 4 5" xfId="27888" xr:uid="{A42E41BA-7507-4FCA-B1D4-1D7B7AC365CD}"/>
    <cellStyle name="Percentuale 14 4 6" xfId="27882" xr:uid="{9211B14E-FF8E-434D-936F-2799A1DB3724}"/>
    <cellStyle name="Percentuale 14 5" xfId="2295" xr:uid="{00000000-0005-0000-0000-0000F5070000}"/>
    <cellStyle name="Percentuale 14 5 2" xfId="27890" xr:uid="{16154D8C-697F-43A7-B6FE-68CDB20D77B6}"/>
    <cellStyle name="Percentuale 14 5 2 2" xfId="49085" xr:uid="{2CEF21A7-940E-4539-95EE-5CD604E300A3}"/>
    <cellStyle name="Percentuale 14 5 3" xfId="27891" xr:uid="{2D9D8266-8FBB-4074-B2FB-D80A0F93FF33}"/>
    <cellStyle name="Percentuale 14 5 4" xfId="27889" xr:uid="{0DDABAE0-0605-4830-9B52-7646003DFF12}"/>
    <cellStyle name="Percentuale 14 6" xfId="4293" xr:uid="{9B05C7E9-5E19-4FFA-B096-3EC00D6FD146}"/>
    <cellStyle name="Percentuale 14 6 2" xfId="9816" xr:uid="{DD1295F3-E3B9-4A75-8541-35B676AB5E2B}"/>
    <cellStyle name="Percentuale 14 6 3" xfId="27892" xr:uid="{D2478084-A068-4A8D-ACCC-F2556A61FAB3}"/>
    <cellStyle name="Percentuale 14 7" xfId="27867" xr:uid="{615B0A61-E544-4BA0-9725-A7116D91F60C}"/>
    <cellStyle name="Percentuale 15" xfId="994" xr:uid="{00000000-0005-0000-0000-0000F6070000}"/>
    <cellStyle name="Percentuale 15 2" xfId="995" xr:uid="{00000000-0005-0000-0000-0000F7070000}"/>
    <cellStyle name="Percentuale 15 2 2" xfId="4294" xr:uid="{43242DA0-D136-4308-90A8-F1B031FCC2CC}"/>
    <cellStyle name="Percentuale 15 2 2 2" xfId="13568" xr:uid="{D94A58BD-D7D5-4DEA-85EB-E16CD9E8ABEE}"/>
    <cellStyle name="Percentuale 15 2 2 3" xfId="27895" xr:uid="{15C4912D-0314-4865-B45C-9E07730AB9D2}"/>
    <cellStyle name="Percentuale 15 2 3" xfId="13306" xr:uid="{23D1E852-8830-425E-A13E-66F2C82D0191}"/>
    <cellStyle name="Percentuale 15 2 3 2" xfId="27896" xr:uid="{940B14EE-4C33-431C-A28A-C2A2341235CE}"/>
    <cellStyle name="Percentuale 15 2 4" xfId="27897" xr:uid="{32B3A5EF-F781-4B88-93E6-519AE3D00DAA}"/>
    <cellStyle name="Percentuale 15 2 5" xfId="27894" xr:uid="{441E2077-D3B2-440B-954E-36643B35FB0F}"/>
    <cellStyle name="Percentuale 15 3" xfId="996" xr:uid="{00000000-0005-0000-0000-0000F8070000}"/>
    <cellStyle name="Percentuale 15 3 2" xfId="997" xr:uid="{00000000-0005-0000-0000-0000F9070000}"/>
    <cellStyle name="Percentuale 15 3 2 2" xfId="2296" xr:uid="{00000000-0005-0000-0000-0000FA070000}"/>
    <cellStyle name="Percentuale 15 3 2 2 2" xfId="27900" xr:uid="{CC2BB05B-35F7-41B2-B5DF-0C3986470B92}"/>
    <cellStyle name="Percentuale 15 3 2 3" xfId="8123" xr:uid="{010AE81B-A758-4B44-98C6-43DE3FA10FF7}"/>
    <cellStyle name="Percentuale 15 3 2 3 2" xfId="14122" xr:uid="{C7CF4A22-CDD6-45D2-8D78-005ECBE703AF}"/>
    <cellStyle name="Percentuale 15 3 2 3 3" xfId="27901" xr:uid="{5B88FB07-7AC5-4633-A5D6-7E8AAA63AF34}"/>
    <cellStyle name="Percentuale 15 3 2 4" xfId="27899" xr:uid="{73EE35C8-5B59-4A8F-A4C1-8FDC1EDC9AB1}"/>
    <cellStyle name="Percentuale 15 3 3" xfId="4295" xr:uid="{73C5C2B4-D700-4F4F-A83F-90D827BA0BD0}"/>
    <cellStyle name="Percentuale 15 3 3 2" xfId="9416" xr:uid="{914E8727-485E-4239-97FB-86A281DA9F0D}"/>
    <cellStyle name="Percentuale 15 3 3 2 2" xfId="27903" xr:uid="{DE3259AF-AEC4-4B87-87A1-6E574545EB1E}"/>
    <cellStyle name="Percentuale 15 3 3 3" xfId="27904" xr:uid="{C61DEA6B-A7EE-4828-8C1B-BE284B66B65C}"/>
    <cellStyle name="Percentuale 15 3 3 3 2" xfId="49086" xr:uid="{DC63B69F-2D1B-4CA9-A258-E9FFB1E7F67B}"/>
    <cellStyle name="Percentuale 15 3 3 4" xfId="27902" xr:uid="{9AC80883-F83F-4037-BF00-277C12002A61}"/>
    <cellStyle name="Percentuale 15 3 4" xfId="4296" xr:uid="{7CF19E3B-2E55-4257-BDD1-5D458B11A8BE}"/>
    <cellStyle name="Percentuale 15 3 4 2" xfId="13783" xr:uid="{383850FE-4AF4-4C0F-8BFA-7366624C533E}"/>
    <cellStyle name="Percentuale 15 3 4 3" xfId="27905" xr:uid="{DD743258-AF3A-4700-A040-71D317AF73E6}"/>
    <cellStyle name="Percentuale 15 3 5" xfId="11207" xr:uid="{85BEC888-DFCC-4585-9330-D3F653CDFE54}"/>
    <cellStyle name="Percentuale 15 3 5 2" xfId="27906" xr:uid="{B9FD97C9-2646-4686-B2F7-4B3C4176EC51}"/>
    <cellStyle name="Percentuale 15 3 6" xfId="27907" xr:uid="{AE4A7898-455C-43A7-9098-82CB838D5147}"/>
    <cellStyle name="Percentuale 15 3 7" xfId="27898" xr:uid="{EDFFCA1C-9F64-4888-B886-C80AED2F20BE}"/>
    <cellStyle name="Percentuale 15 4" xfId="2297" xr:uid="{00000000-0005-0000-0000-0000FB070000}"/>
    <cellStyle name="Percentuale 15 4 2" xfId="2298" xr:uid="{00000000-0005-0000-0000-0000FC070000}"/>
    <cellStyle name="Percentuale 15 4 2 2" xfId="9417" xr:uid="{58D8EE9D-E0B8-47E1-AA0D-35CD0F3DEC20}"/>
    <cellStyle name="Percentuale 15 4 2 2 2" xfId="27910" xr:uid="{55EDDF93-6592-495D-9AE9-C00B2C835D05}"/>
    <cellStyle name="Percentuale 15 4 2 3" xfId="17908" xr:uid="{B6AD8E1D-8D45-4ED7-A054-5F4410B1E9AE}"/>
    <cellStyle name="Percentuale 15 4 2 3 2" xfId="27911" xr:uid="{8D911172-589C-417A-8638-7B66A49C3577}"/>
    <cellStyle name="Percentuale 15 4 2 4" xfId="27909" xr:uid="{ED23E0D4-4F87-48F7-A5C3-23C928E807C8}"/>
    <cellStyle name="Percentuale 15 4 2 5" xfId="17516" xr:uid="{5E6C6579-B0E3-493D-966C-F3E79C884AED}"/>
    <cellStyle name="Percentuale 15 4 3" xfId="9418" xr:uid="{6EFFF600-6F5C-485B-90F4-BBECC5A5B360}"/>
    <cellStyle name="Percentuale 15 4 3 2" xfId="27912" xr:uid="{19756776-546C-43DE-8A80-339C9546FC9F}"/>
    <cellStyle name="Percentuale 15 4 4" xfId="27913" xr:uid="{7A6B2E71-6763-467C-A814-7F3012B1672F}"/>
    <cellStyle name="Percentuale 15 4 4 2" xfId="49087" xr:uid="{239EFBF6-1152-44AA-9197-49773DAA0B18}"/>
    <cellStyle name="Percentuale 15 4 5" xfId="27914" xr:uid="{AB184BB0-0B97-456A-99AA-4A4B96BE4771}"/>
    <cellStyle name="Percentuale 15 4 6" xfId="27908" xr:uid="{C4467387-C4CC-4D25-AD88-3D6076F62BD0}"/>
    <cellStyle name="Percentuale 15 5" xfId="2299" xr:uid="{00000000-0005-0000-0000-0000FD070000}"/>
    <cellStyle name="Percentuale 15 5 2" xfId="27916" xr:uid="{106F0B8D-D90B-439F-B9FE-B7EA8FCE3D45}"/>
    <cellStyle name="Percentuale 15 5 2 2" xfId="49088" xr:uid="{A0C681AC-1767-4C05-91DC-6C4187EC200D}"/>
    <cellStyle name="Percentuale 15 5 3" xfId="27917" xr:uid="{F62EB612-A6DC-4225-B037-43F1AE5EF273}"/>
    <cellStyle name="Percentuale 15 5 4" xfId="27915" xr:uid="{7D4B7AD5-FD12-4993-8B61-70727C12188B}"/>
    <cellStyle name="Percentuale 15 6" xfId="4297" xr:uid="{4002C3B1-580B-4A98-B30C-2043FCD3CEF9}"/>
    <cellStyle name="Percentuale 15 6 2" xfId="9817" xr:uid="{3E2D577A-C910-4161-87C6-89A9E9605375}"/>
    <cellStyle name="Percentuale 15 6 3" xfId="27918" xr:uid="{C435E55B-222D-4D05-8577-8DFD2B7DCEF4}"/>
    <cellStyle name="Percentuale 15 7" xfId="27893" xr:uid="{B6414C00-AD53-438D-BEB2-C68DEC1F6706}"/>
    <cellStyle name="Percentuale 16" xfId="998" xr:uid="{00000000-0005-0000-0000-0000FE070000}"/>
    <cellStyle name="Percentuale 16 2" xfId="999" xr:uid="{00000000-0005-0000-0000-0000FF070000}"/>
    <cellStyle name="Percentuale 16 2 2" xfId="4298" xr:uid="{B5746CE2-CE53-4D9B-8202-5892DDA81895}"/>
    <cellStyle name="Percentuale 16 2 2 2" xfId="13569" xr:uid="{5BEEE41E-0BE9-4E45-807E-1BD7246A7211}"/>
    <cellStyle name="Percentuale 16 2 2 3" xfId="27921" xr:uid="{572F78C3-7210-427D-9CE7-5DEB34D14621}"/>
    <cellStyle name="Percentuale 16 2 3" xfId="13307" xr:uid="{23B9B506-6078-4842-90A7-BFD4074C7290}"/>
    <cellStyle name="Percentuale 16 2 3 2" xfId="27922" xr:uid="{3879E7FB-A47F-4344-A3BB-647421F0CA87}"/>
    <cellStyle name="Percentuale 16 2 4" xfId="27923" xr:uid="{0D4ABFF2-6BAE-4673-A918-F5987C4226FF}"/>
    <cellStyle name="Percentuale 16 2 5" xfId="27920" xr:uid="{9946BF0E-90C8-493F-99B4-12E4C9FD5583}"/>
    <cellStyle name="Percentuale 16 3" xfId="1000" xr:uid="{00000000-0005-0000-0000-000000080000}"/>
    <cellStyle name="Percentuale 16 3 2" xfId="1001" xr:uid="{00000000-0005-0000-0000-000001080000}"/>
    <cellStyle name="Percentuale 16 3 2 2" xfId="2300" xr:uid="{00000000-0005-0000-0000-000002080000}"/>
    <cellStyle name="Percentuale 16 3 2 2 2" xfId="27926" xr:uid="{D3B25C55-E626-47DB-B853-F5086AF62713}"/>
    <cellStyle name="Percentuale 16 3 2 3" xfId="8124" xr:uid="{9A97BD65-94D2-492C-8003-6443C82C0A40}"/>
    <cellStyle name="Percentuale 16 3 2 3 2" xfId="14123" xr:uid="{60CC32F6-4573-4FC0-962D-0C5A79636538}"/>
    <cellStyle name="Percentuale 16 3 2 3 3" xfId="27927" xr:uid="{8585FF37-DF64-402A-B688-7FF55C10AE73}"/>
    <cellStyle name="Percentuale 16 3 2 4" xfId="27925" xr:uid="{2600E5EE-744B-406F-BDDB-BF70984E13B8}"/>
    <cellStyle name="Percentuale 16 3 3" xfId="4299" xr:uid="{56F89B6D-57DA-48F9-96E6-0CE47180B1E4}"/>
    <cellStyle name="Percentuale 16 3 3 2" xfId="9419" xr:uid="{95486B42-9245-48D9-B8AB-CF49DC776983}"/>
    <cellStyle name="Percentuale 16 3 3 2 2" xfId="27929" xr:uid="{DC043CC7-3EE5-4F09-90CF-DA507420073A}"/>
    <cellStyle name="Percentuale 16 3 3 3" xfId="27930" xr:uid="{A53BDA6C-FF48-4333-A55F-2A982820F617}"/>
    <cellStyle name="Percentuale 16 3 3 3 2" xfId="49089" xr:uid="{B150DCD3-3ADB-4E33-BE90-EF62AF1CAD95}"/>
    <cellStyle name="Percentuale 16 3 3 4" xfId="27928" xr:uid="{90325A72-D1C9-4088-9894-2AE330ED7A3C}"/>
    <cellStyle name="Percentuale 16 3 4" xfId="4300" xr:uid="{E49952B0-787F-4084-8F94-27158F8BBB59}"/>
    <cellStyle name="Percentuale 16 3 4 2" xfId="13784" xr:uid="{1F3E7F1E-1DD7-40AD-97B4-8EA3A99CA958}"/>
    <cellStyle name="Percentuale 16 3 4 3" xfId="27931" xr:uid="{23F607AC-488F-4BAB-9B3E-1A6C5AD16D63}"/>
    <cellStyle name="Percentuale 16 3 5" xfId="12260" xr:uid="{32011903-216F-40DD-A079-80BC5B649C22}"/>
    <cellStyle name="Percentuale 16 3 5 2" xfId="27932" xr:uid="{11E1578A-0D87-4F61-820F-41CD7DB1F49B}"/>
    <cellStyle name="Percentuale 16 3 6" xfId="27933" xr:uid="{4496BA32-6BAD-4855-9F58-C24158C7759C}"/>
    <cellStyle name="Percentuale 16 3 7" xfId="27924" xr:uid="{F69E1E70-CC86-4375-8064-9453A0EC6C5A}"/>
    <cellStyle name="Percentuale 16 4" xfId="2301" xr:uid="{00000000-0005-0000-0000-000003080000}"/>
    <cellStyle name="Percentuale 16 4 2" xfId="2302" xr:uid="{00000000-0005-0000-0000-000004080000}"/>
    <cellStyle name="Percentuale 16 4 2 2" xfId="9420" xr:uid="{0D580D8B-ED9B-4C5C-B8AE-FECBCD2F0945}"/>
    <cellStyle name="Percentuale 16 4 2 2 2" xfId="27936" xr:uid="{BA0101D5-1FC7-42CE-BB00-6C89BE6BF93E}"/>
    <cellStyle name="Percentuale 16 4 2 3" xfId="17909" xr:uid="{1161CE93-7083-4131-9620-B2F3741C98DA}"/>
    <cellStyle name="Percentuale 16 4 2 3 2" xfId="27937" xr:uid="{AC891104-D2C3-48EC-AAB7-AD0832E82EF0}"/>
    <cellStyle name="Percentuale 16 4 2 4" xfId="27935" xr:uid="{F4830C0F-4ADD-46AA-881A-FDC7628CEB1B}"/>
    <cellStyle name="Percentuale 16 4 2 5" xfId="17517" xr:uid="{D631F44E-2C38-4A61-BD93-71A46683C2C7}"/>
    <cellStyle name="Percentuale 16 4 3" xfId="9421" xr:uid="{F6ED99DE-927C-411C-B0CE-FF91D0FA72EF}"/>
    <cellStyle name="Percentuale 16 4 3 2" xfId="27938" xr:uid="{4A8FAB72-60D2-4EF7-9B16-59EF75D6BF88}"/>
    <cellStyle name="Percentuale 16 4 4" xfId="27939" xr:uid="{FD859A97-A93A-480D-8702-D20104552419}"/>
    <cellStyle name="Percentuale 16 4 4 2" xfId="49090" xr:uid="{D17EE295-59BD-491A-84FF-505601C45EFB}"/>
    <cellStyle name="Percentuale 16 4 5" xfId="27940" xr:uid="{D4EF1AFE-F327-421F-B49A-CD56D6281BB2}"/>
    <cellStyle name="Percentuale 16 4 6" xfId="27934" xr:uid="{2C968BA2-45DE-49AE-BC1C-8747666F0F7D}"/>
    <cellStyle name="Percentuale 16 5" xfId="2303" xr:uid="{00000000-0005-0000-0000-000005080000}"/>
    <cellStyle name="Percentuale 16 5 2" xfId="27942" xr:uid="{9C50C987-A50B-48E7-95E3-CD115069518A}"/>
    <cellStyle name="Percentuale 16 5 2 2" xfId="49091" xr:uid="{2B8773C9-A721-443C-A90D-373D4B74F261}"/>
    <cellStyle name="Percentuale 16 5 3" xfId="27943" xr:uid="{ED1AD29B-5BB8-4D0D-9BD1-9185CB2AED08}"/>
    <cellStyle name="Percentuale 16 5 4" xfId="27941" xr:uid="{A7F2B694-7734-4671-9D26-0294F3A37362}"/>
    <cellStyle name="Percentuale 16 6" xfId="4301" xr:uid="{D91E1423-E155-4228-9F4E-E18DC6732DEC}"/>
    <cellStyle name="Percentuale 16 6 2" xfId="9818" xr:uid="{05276BEC-C2FE-4907-ADE1-BDD11D3D7590}"/>
    <cellStyle name="Percentuale 16 6 3" xfId="27944" xr:uid="{F542F694-A7D0-49F0-9AFD-6019F04E4B6F}"/>
    <cellStyle name="Percentuale 16 7" xfId="27919" xr:uid="{8AA04DB8-0E58-4838-B065-14B35B493FEE}"/>
    <cellStyle name="Percentuale 17" xfId="1002" xr:uid="{00000000-0005-0000-0000-000006080000}"/>
    <cellStyle name="Percentuale 17 2" xfId="1003" xr:uid="{00000000-0005-0000-0000-000007080000}"/>
    <cellStyle name="Percentuale 17 2 2" xfId="4302" xr:uid="{3A37A5AB-7F0C-44EC-8E58-74B5AC118992}"/>
    <cellStyle name="Percentuale 17 2 2 2" xfId="13570" xr:uid="{D46FE7DF-3B75-49C6-BA04-6FF338B4EA18}"/>
    <cellStyle name="Percentuale 17 2 2 3" xfId="27947" xr:uid="{C145E701-F701-4598-9D4D-508583C4090A}"/>
    <cellStyle name="Percentuale 17 2 3" xfId="13308" xr:uid="{3C93D5E6-3900-4A5F-BF76-5E12E0C1B704}"/>
    <cellStyle name="Percentuale 17 2 3 2" xfId="27948" xr:uid="{37606765-DEC1-459C-B39A-FF4CB3E5E79F}"/>
    <cellStyle name="Percentuale 17 2 4" xfId="27949" xr:uid="{2AA8799D-F591-48A3-BACA-65101BDC1538}"/>
    <cellStyle name="Percentuale 17 2 5" xfId="27946" xr:uid="{95E62E4A-05C2-486C-9821-7CDFEB9C5035}"/>
    <cellStyle name="Percentuale 17 3" xfId="1004" xr:uid="{00000000-0005-0000-0000-000008080000}"/>
    <cellStyle name="Percentuale 17 3 2" xfId="1005" xr:uid="{00000000-0005-0000-0000-000009080000}"/>
    <cellStyle name="Percentuale 17 3 2 2" xfId="2304" xr:uid="{00000000-0005-0000-0000-00000A080000}"/>
    <cellStyle name="Percentuale 17 3 2 2 2" xfId="27952" xr:uid="{0FAB59E2-0EE2-43DB-8E40-600552D2D9E8}"/>
    <cellStyle name="Percentuale 17 3 2 3" xfId="8125" xr:uid="{3B7575F9-2BDA-42BC-8D60-D66E4D4684E4}"/>
    <cellStyle name="Percentuale 17 3 2 3 2" xfId="14124" xr:uid="{43EDC218-23AC-4E7F-BDC8-25F9AA09A0B4}"/>
    <cellStyle name="Percentuale 17 3 2 3 3" xfId="27953" xr:uid="{D007932C-8FC2-4864-8BA4-75A40952F713}"/>
    <cellStyle name="Percentuale 17 3 2 4" xfId="27951" xr:uid="{00F97F12-B223-40D4-A645-9060A885EC3E}"/>
    <cellStyle name="Percentuale 17 3 3" xfId="4303" xr:uid="{50C6E437-C6D1-488B-A064-64FAA92F4946}"/>
    <cellStyle name="Percentuale 17 3 3 2" xfId="9422" xr:uid="{A5A7C82E-A567-4866-A970-F4563652D5B9}"/>
    <cellStyle name="Percentuale 17 3 3 2 2" xfId="27955" xr:uid="{2CA8F7AC-C3B0-422E-9E11-022D984E0C63}"/>
    <cellStyle name="Percentuale 17 3 3 3" xfId="27956" xr:uid="{7C40C532-41F1-466A-8CF4-EA1552442377}"/>
    <cellStyle name="Percentuale 17 3 3 3 2" xfId="49092" xr:uid="{91568A42-07D9-40A1-B772-3C9057D5C396}"/>
    <cellStyle name="Percentuale 17 3 3 4" xfId="27954" xr:uid="{E17EF6A1-DF71-4261-8073-A681885EC0FA}"/>
    <cellStyle name="Percentuale 17 3 4" xfId="4304" xr:uid="{FF0A1BD1-E9C3-412F-9B1B-427E542BAAA3}"/>
    <cellStyle name="Percentuale 17 3 4 2" xfId="13785" xr:uid="{503B1966-DF4D-41A0-8CA4-ED2FA8C94EF6}"/>
    <cellStyle name="Percentuale 17 3 4 3" xfId="27957" xr:uid="{D16097F8-4A07-4E27-AA84-FB3D5407BF09}"/>
    <cellStyle name="Percentuale 17 3 5" xfId="12299" xr:uid="{CC09DE40-0403-40C5-AF59-6FB0353E8AE9}"/>
    <cellStyle name="Percentuale 17 3 5 2" xfId="27958" xr:uid="{BBE91F7B-56FA-4A76-ABD1-8F07A28D70A7}"/>
    <cellStyle name="Percentuale 17 3 6" xfId="27959" xr:uid="{DD44BB6F-5297-42A5-AF84-7D0F773FB114}"/>
    <cellStyle name="Percentuale 17 3 7" xfId="27950" xr:uid="{5BC57FEE-B5E0-40B1-9EA1-50DB19B240B6}"/>
    <cellStyle name="Percentuale 17 4" xfId="2305" xr:uid="{00000000-0005-0000-0000-00000B080000}"/>
    <cellStyle name="Percentuale 17 4 2" xfId="2306" xr:uid="{00000000-0005-0000-0000-00000C080000}"/>
    <cellStyle name="Percentuale 17 4 2 2" xfId="9423" xr:uid="{DF9F8067-170A-496C-AA8C-1ACE77866176}"/>
    <cellStyle name="Percentuale 17 4 2 2 2" xfId="27962" xr:uid="{AFB89EC3-9B32-4F96-9AD2-190B2633ED01}"/>
    <cellStyle name="Percentuale 17 4 2 3" xfId="17910" xr:uid="{E4CA6A11-B58A-4F41-9DAD-0DCCA52F86F6}"/>
    <cellStyle name="Percentuale 17 4 2 3 2" xfId="27963" xr:uid="{D0F20E4A-BC31-4281-B157-EF2D51EDCF5B}"/>
    <cellStyle name="Percentuale 17 4 2 4" xfId="27961" xr:uid="{FFDD52A6-61C3-4CE9-96C3-303759CA8C6B}"/>
    <cellStyle name="Percentuale 17 4 2 5" xfId="17518" xr:uid="{8F07C88F-C989-4E32-958A-2E46D824399D}"/>
    <cellStyle name="Percentuale 17 4 3" xfId="9424" xr:uid="{F6884BE3-E4B3-46A7-BA7D-980DA92EFA20}"/>
    <cellStyle name="Percentuale 17 4 3 2" xfId="27964" xr:uid="{F2A19517-5100-400B-928D-AFA8876F1444}"/>
    <cellStyle name="Percentuale 17 4 4" xfId="27965" xr:uid="{1872964E-1E05-4C8C-AF9D-4972C7FF6EC0}"/>
    <cellStyle name="Percentuale 17 4 5" xfId="27966" xr:uid="{EF5C9561-8544-4313-8BC5-ABF86F59B2D8}"/>
    <cellStyle name="Percentuale 17 4 5 2" xfId="49093" xr:uid="{B8566430-7DA2-43FB-84E5-78F11B3B6929}"/>
    <cellStyle name="Percentuale 17 4 6" xfId="27967" xr:uid="{90E14F7A-2C2B-4547-8D2E-D6277EFE3FC7}"/>
    <cellStyle name="Percentuale 17 4 7" xfId="27960" xr:uid="{D77E69C0-E9BF-42EC-B81D-78543062896A}"/>
    <cellStyle name="Percentuale 17 5" xfId="2307" xr:uid="{00000000-0005-0000-0000-00000D080000}"/>
    <cellStyle name="Percentuale 17 5 2" xfId="27969" xr:uid="{3B761011-8FA1-4B9E-AD4B-0DF554102BF2}"/>
    <cellStyle name="Percentuale 17 5 3" xfId="27970" xr:uid="{CB29401C-CD6D-4D8E-980B-26BEA0F5820E}"/>
    <cellStyle name="Percentuale 17 5 3 2" xfId="49094" xr:uid="{E627001E-C431-4787-9C1B-6BDD6C85A7C2}"/>
    <cellStyle name="Percentuale 17 5 4" xfId="27971" xr:uid="{D44F1E9E-A700-439F-ADDA-FD9EAA646037}"/>
    <cellStyle name="Percentuale 17 5 5" xfId="27968" xr:uid="{1979A724-5532-41CD-B6EF-C4C427C15D1B}"/>
    <cellStyle name="Percentuale 17 6" xfId="4305" xr:uid="{27178EE9-8489-4826-9C90-E8DA6D9B7D3D}"/>
    <cellStyle name="Percentuale 17 6 2" xfId="9819" xr:uid="{55604129-56C1-4CDD-8A50-2DD6BD733884}"/>
    <cellStyle name="Percentuale 17 6 3" xfId="27972" xr:uid="{F94D4250-328E-4AF5-A512-9D6494E53263}"/>
    <cellStyle name="Percentuale 17 7" xfId="27945" xr:uid="{21705239-4F54-46E2-A49C-10E2A9B79CE7}"/>
    <cellStyle name="Percentuale 18" xfId="1006" xr:uid="{00000000-0005-0000-0000-00000E080000}"/>
    <cellStyle name="Percentuale 18 2" xfId="1007" xr:uid="{00000000-0005-0000-0000-00000F080000}"/>
    <cellStyle name="Percentuale 18 2 2" xfId="4306" xr:uid="{A8658E94-A5F4-4F98-835C-AA0F367502F2}"/>
    <cellStyle name="Percentuale 18 2 2 2" xfId="13571" xr:uid="{F29C9E61-0789-4EBB-B0CF-97869DEB7A62}"/>
    <cellStyle name="Percentuale 18 2 2 3" xfId="27975" xr:uid="{BE524B72-2E0B-4CEC-B011-3B081BE1D852}"/>
    <cellStyle name="Percentuale 18 2 3" xfId="13309" xr:uid="{B780561A-F0FF-4288-B597-A7E5EB307643}"/>
    <cellStyle name="Percentuale 18 2 3 2" xfId="27976" xr:uid="{E576D8F9-A0E2-40E3-8950-F3EF9F925C08}"/>
    <cellStyle name="Percentuale 18 2 4" xfId="27977" xr:uid="{DA87BBE2-E0FB-41B1-8912-55C7ACDF845F}"/>
    <cellStyle name="Percentuale 18 2 4 2" xfId="49095" xr:uid="{32DFD350-0816-4B1D-A32D-7D54B2C4152F}"/>
    <cellStyle name="Percentuale 18 2 5" xfId="27978" xr:uid="{C3EC857B-7A61-4633-B2B4-A26F39793A40}"/>
    <cellStyle name="Percentuale 18 2 6" xfId="27974" xr:uid="{BC2ED648-05D1-46E9-8553-86C875FD7A49}"/>
    <cellStyle name="Percentuale 18 3" xfId="1008" xr:uid="{00000000-0005-0000-0000-000010080000}"/>
    <cellStyle name="Percentuale 18 3 2" xfId="1009" xr:uid="{00000000-0005-0000-0000-000011080000}"/>
    <cellStyle name="Percentuale 18 3 2 2" xfId="2308" xr:uid="{00000000-0005-0000-0000-000012080000}"/>
    <cellStyle name="Percentuale 18 3 2 2 2" xfId="27982" xr:uid="{67AA7979-9D1A-4504-A580-82A4032EE1C2}"/>
    <cellStyle name="Percentuale 18 3 2 2 3" xfId="27981" xr:uid="{F77D10E1-2804-4645-820A-F3077862B365}"/>
    <cellStyle name="Percentuale 18 3 2 3" xfId="8126" xr:uid="{9F7D25DD-08DE-4921-A405-7E33E435D5D7}"/>
    <cellStyle name="Percentuale 18 3 2 3 2" xfId="14125" xr:uid="{51D41FCB-3C49-42D4-9ACF-772A1714AF56}"/>
    <cellStyle name="Percentuale 18 3 2 3 3" xfId="27983" xr:uid="{99F849D6-BE80-44A6-8B54-017B2CB5A0EB}"/>
    <cellStyle name="Percentuale 18 3 2 3 4" xfId="49096" xr:uid="{FAA63CD0-F812-4F16-8B26-AD90B6B61E9C}"/>
    <cellStyle name="Percentuale 18 3 2 4" xfId="27984" xr:uid="{B39AB08F-7579-4A4D-98BE-59C1CD099864}"/>
    <cellStyle name="Percentuale 18 3 2 5" xfId="27980" xr:uid="{016FEF7E-DBE9-49F2-B8DA-21A5E718C525}"/>
    <cellStyle name="Percentuale 18 3 3" xfId="4307" xr:uid="{7EEA995A-CC7D-4ADF-B806-9FE64361B0AA}"/>
    <cellStyle name="Percentuale 18 3 3 2" xfId="9425" xr:uid="{24A7B3B2-BCE0-4C4F-A80B-F75A1445F5E6}"/>
    <cellStyle name="Percentuale 18 3 3 2 2" xfId="27986" xr:uid="{8FB8DFEA-5B34-4209-A2BE-1062320D4B18}"/>
    <cellStyle name="Percentuale 18 3 3 3" xfId="27987" xr:uid="{4CBE36DD-B9DC-4E72-BEE1-A395E14FD657}"/>
    <cellStyle name="Percentuale 18 3 3 4" xfId="27988" xr:uid="{F976AB8A-7E53-40C7-9B76-AFE3A6907D4E}"/>
    <cellStyle name="Percentuale 18 3 3 4 2" xfId="49097" xr:uid="{4DB80551-C3DE-47FD-9303-E8D3E6950B4D}"/>
    <cellStyle name="Percentuale 18 3 3 5" xfId="27985" xr:uid="{189ED5B6-7754-4C68-A36E-B5DA0F4CCC32}"/>
    <cellStyle name="Percentuale 18 3 4" xfId="4308" xr:uid="{64C40F14-9F40-45ED-A191-7869D8C182BD}"/>
    <cellStyle name="Percentuale 18 3 4 2" xfId="13786" xr:uid="{E38A7B8A-7881-43BE-A244-E0ED9143F5D7}"/>
    <cellStyle name="Percentuale 18 3 4 3" xfId="27989" xr:uid="{7B85A6BF-38A4-487C-B21E-049FD6391B25}"/>
    <cellStyle name="Percentuale 18 3 5" xfId="11101" xr:uid="{B3C531C2-F504-4346-9120-99BB7E3F65A3}"/>
    <cellStyle name="Percentuale 18 3 5 2" xfId="27990" xr:uid="{F8DE770E-D640-41FE-A443-2A35868E3E4D}"/>
    <cellStyle name="Percentuale 18 3 6" xfId="27991" xr:uid="{E1E8A192-68BD-4215-8254-AFB7B3200A02}"/>
    <cellStyle name="Percentuale 18 3 6 2" xfId="49098" xr:uid="{CB91DC7F-33D0-4493-A318-03F4BC2BF950}"/>
    <cellStyle name="Percentuale 18 3 7" xfId="27992" xr:uid="{A79E5A99-E79D-4099-91D6-1A9772D34452}"/>
    <cellStyle name="Percentuale 18 3 8" xfId="27979" xr:uid="{3C0D8DED-2EBC-4A82-9AD4-F6CB58B52E88}"/>
    <cellStyle name="Percentuale 18 4" xfId="2309" xr:uid="{00000000-0005-0000-0000-000013080000}"/>
    <cellStyle name="Percentuale 18 4 2" xfId="2310" xr:uid="{00000000-0005-0000-0000-000014080000}"/>
    <cellStyle name="Percentuale 18 4 2 2" xfId="9426" xr:uid="{C4CFCF7B-8A4D-4F0B-B60E-5D560673175E}"/>
    <cellStyle name="Percentuale 18 4 2 2 2" xfId="27995" xr:uid="{A1C38068-895D-4E16-AC1E-9E066BC16B46}"/>
    <cellStyle name="Percentuale 18 4 2 3" xfId="17911" xr:uid="{EC84373E-9C71-42F2-A60D-8BC8B6FBD209}"/>
    <cellStyle name="Percentuale 18 4 2 3 2" xfId="27996" xr:uid="{98F084FC-E157-4B34-8317-D650DF891B40}"/>
    <cellStyle name="Percentuale 18 4 2 4" xfId="27994" xr:uid="{A30E7A9E-B7E6-4F41-8570-3BE84EF31BCC}"/>
    <cellStyle name="Percentuale 18 4 2 5" xfId="17519" xr:uid="{E536DDF1-1CF0-478B-9F3B-A6602CB86D80}"/>
    <cellStyle name="Percentuale 18 4 3" xfId="9427" xr:uid="{C1544B3C-E6A0-4EC1-94BF-7401D829B939}"/>
    <cellStyle name="Percentuale 18 4 3 2" xfId="27997" xr:uid="{EE4C0FC4-8F62-4889-900C-0292D7B8CAE3}"/>
    <cellStyle name="Percentuale 18 4 4" xfId="27998" xr:uid="{33A5B565-049E-423C-B583-78870AE92A95}"/>
    <cellStyle name="Percentuale 18 4 5" xfId="27999" xr:uid="{B3F6BE89-7947-43D0-9B00-54CEA95FCEA2}"/>
    <cellStyle name="Percentuale 18 4 5 2" xfId="49099" xr:uid="{62DEA3E8-6D28-4802-9EB4-81ADDA4B272C}"/>
    <cellStyle name="Percentuale 18 4 6" xfId="28000" xr:uid="{A9AD8A0C-17C6-4702-B300-E1F014327095}"/>
    <cellStyle name="Percentuale 18 4 7" xfId="27993" xr:uid="{1699D636-D153-41CF-820A-1ED23D404909}"/>
    <cellStyle name="Percentuale 18 5" xfId="2311" xr:uid="{00000000-0005-0000-0000-000015080000}"/>
    <cellStyle name="Percentuale 18 5 2" xfId="28002" xr:uid="{EE86BED3-4718-4C4A-8321-24090C18B211}"/>
    <cellStyle name="Percentuale 18 5 3" xfId="28003" xr:uid="{630D21DB-7E43-4EE4-9A69-0E8FFBAAFDE6}"/>
    <cellStyle name="Percentuale 18 5 3 2" xfId="49100" xr:uid="{3C1B9011-260C-45C9-B124-D2F850EF2F1D}"/>
    <cellStyle name="Percentuale 18 5 4" xfId="28004" xr:uid="{EB0F9B63-EE60-4730-8EB8-F7AEE017C0C2}"/>
    <cellStyle name="Percentuale 18 5 5" xfId="28001" xr:uid="{F685E6CE-B828-497C-A54E-46BA66B90934}"/>
    <cellStyle name="Percentuale 18 6" xfId="4309" xr:uid="{87F10369-CB61-4986-95AF-149A6D0610C4}"/>
    <cellStyle name="Percentuale 18 6 2" xfId="9820" xr:uid="{813F539D-601B-42B6-B63B-2FB0B66F2D21}"/>
    <cellStyle name="Percentuale 18 6 3" xfId="28005" xr:uid="{FEB3CE7A-AF3C-4DDE-A309-A1F35E940954}"/>
    <cellStyle name="Percentuale 18 7" xfId="28006" xr:uid="{F637FD17-9446-4E29-A2AD-C23331E63576}"/>
    <cellStyle name="Percentuale 18 7 2" xfId="49101" xr:uid="{A79B415C-EBB4-42EB-A579-FAAB8C6DBACC}"/>
    <cellStyle name="Percentuale 18 8" xfId="27973" xr:uid="{B73549F2-29B5-4F3C-A387-2161A94EC752}"/>
    <cellStyle name="Percentuale 19" xfId="1010" xr:uid="{00000000-0005-0000-0000-000016080000}"/>
    <cellStyle name="Percentuale 19 2" xfId="1011" xr:uid="{00000000-0005-0000-0000-000017080000}"/>
    <cellStyle name="Percentuale 19 2 2" xfId="4310" xr:uid="{BA9D46D7-7A0C-42F2-B2D2-8010FC9DD4AB}"/>
    <cellStyle name="Percentuale 19 2 2 2" xfId="13572" xr:uid="{E4BC1A85-6CC7-4514-977B-0195494C36B8}"/>
    <cellStyle name="Percentuale 19 2 2 3" xfId="28009" xr:uid="{54BFB8B7-4809-4F5D-999F-1BA3D0115C15}"/>
    <cellStyle name="Percentuale 19 2 3" xfId="13310" xr:uid="{0B7F5D34-F3DB-4209-A72A-7404D633071A}"/>
    <cellStyle name="Percentuale 19 2 3 2" xfId="28010" xr:uid="{5F500C4C-3582-440A-9E0E-D69A1EA83B20}"/>
    <cellStyle name="Percentuale 19 2 4" xfId="28011" xr:uid="{438212C7-90E4-483C-AF8B-50AA9332F5E6}"/>
    <cellStyle name="Percentuale 19 2 4 2" xfId="49102" xr:uid="{F1779898-130C-4CA7-83F0-73B8FD67FE46}"/>
    <cellStyle name="Percentuale 19 2 5" xfId="28012" xr:uid="{80E18BDA-EFAF-4257-8078-24BB5BA11DC2}"/>
    <cellStyle name="Percentuale 19 2 6" xfId="28008" xr:uid="{78BB4BF1-DAF2-47FD-AE79-A20F583DA0EF}"/>
    <cellStyle name="Percentuale 19 3" xfId="1012" xr:uid="{00000000-0005-0000-0000-000018080000}"/>
    <cellStyle name="Percentuale 19 3 2" xfId="1013" xr:uid="{00000000-0005-0000-0000-000019080000}"/>
    <cellStyle name="Percentuale 19 3 2 2" xfId="2312" xr:uid="{00000000-0005-0000-0000-00001A080000}"/>
    <cellStyle name="Percentuale 19 3 2 2 2" xfId="28016" xr:uid="{76BA7D03-7AF3-4A5F-93B2-10A2BDC306DB}"/>
    <cellStyle name="Percentuale 19 3 2 2 3" xfId="28015" xr:uid="{2147D432-9136-40FD-9376-33C18739F351}"/>
    <cellStyle name="Percentuale 19 3 2 3" xfId="8127" xr:uid="{81DFE220-EF80-46CB-B2D1-33D23F6479BC}"/>
    <cellStyle name="Percentuale 19 3 2 3 2" xfId="14126" xr:uid="{BC4234CD-1756-46A4-934A-56283795E220}"/>
    <cellStyle name="Percentuale 19 3 2 3 3" xfId="28017" xr:uid="{D8E8B71B-ADE4-43C3-817E-A23861970CA3}"/>
    <cellStyle name="Percentuale 19 3 2 3 4" xfId="49103" xr:uid="{8F8F6F00-FE5E-4201-B6F7-6A3F262A493B}"/>
    <cellStyle name="Percentuale 19 3 2 4" xfId="28018" xr:uid="{F621DB0A-8B58-4DF2-AAFB-32B31335ABE8}"/>
    <cellStyle name="Percentuale 19 3 2 5" xfId="28014" xr:uid="{1ACEA159-B7BA-466E-BD5C-49F1D1285C8E}"/>
    <cellStyle name="Percentuale 19 3 3" xfId="4311" xr:uid="{6F703134-6C21-4517-A20B-161786AA7ABC}"/>
    <cellStyle name="Percentuale 19 3 3 2" xfId="9428" xr:uid="{EA1476FF-6ABE-4157-A586-C8A32F95EBFB}"/>
    <cellStyle name="Percentuale 19 3 3 2 2" xfId="28020" xr:uid="{ECC83FEC-7C40-4722-BAD4-6D7768CAD009}"/>
    <cellStyle name="Percentuale 19 3 3 3" xfId="28021" xr:uid="{D3EF2BB8-BD77-41CF-8ECE-EA34BCD45D4A}"/>
    <cellStyle name="Percentuale 19 3 3 4" xfId="28022" xr:uid="{2A136EB4-C9CB-4E7F-A26B-983429B5953F}"/>
    <cellStyle name="Percentuale 19 3 3 4 2" xfId="49104" xr:uid="{3E81832C-6FFD-49D5-A3B0-F231D7195490}"/>
    <cellStyle name="Percentuale 19 3 3 5" xfId="28019" xr:uid="{F519020F-8BCF-4FC9-94F3-7FEE91C5E9FC}"/>
    <cellStyle name="Percentuale 19 3 4" xfId="4312" xr:uid="{A8FDC91B-88E8-47D5-9884-E5A60997680F}"/>
    <cellStyle name="Percentuale 19 3 4 2" xfId="13787" xr:uid="{B84E236E-C73E-4698-A1C8-7929793DB863}"/>
    <cellStyle name="Percentuale 19 3 4 3" xfId="28023" xr:uid="{F7933117-E6DF-4A55-8D3A-429479AA2F62}"/>
    <cellStyle name="Percentuale 19 3 5" xfId="12298" xr:uid="{F1249EB1-4645-4872-9DD4-EE9EBCED3CF9}"/>
    <cellStyle name="Percentuale 19 3 5 2" xfId="28024" xr:uid="{7C27B8C1-61CF-478F-8E45-4EA0BB7144D5}"/>
    <cellStyle name="Percentuale 19 3 6" xfId="28025" xr:uid="{A5FBE952-C0CB-4FFA-B4CF-4EF012B82F39}"/>
    <cellStyle name="Percentuale 19 3 6 2" xfId="49105" xr:uid="{5FA9D709-6CF4-42CE-ADA3-E3371B370397}"/>
    <cellStyle name="Percentuale 19 3 7" xfId="28026" xr:uid="{7EFFDC18-0211-4789-AEF3-22CC386AF628}"/>
    <cellStyle name="Percentuale 19 3 8" xfId="28013" xr:uid="{418CC356-F714-4965-85C0-F0FB9B7A3A8F}"/>
    <cellStyle name="Percentuale 19 4" xfId="2313" xr:uid="{00000000-0005-0000-0000-00001B080000}"/>
    <cellStyle name="Percentuale 19 4 2" xfId="2314" xr:uid="{00000000-0005-0000-0000-00001C080000}"/>
    <cellStyle name="Percentuale 19 4 2 2" xfId="9429" xr:uid="{2421E4C1-A5C9-41E3-86ED-012ABE6D44D2}"/>
    <cellStyle name="Percentuale 19 4 2 2 2" xfId="28029" xr:uid="{B5BA1BB5-C547-438B-889A-1E971D021458}"/>
    <cellStyle name="Percentuale 19 4 2 3" xfId="17912" xr:uid="{BD46F863-5452-4A63-9476-FE65B62EB3B4}"/>
    <cellStyle name="Percentuale 19 4 2 3 2" xfId="28030" xr:uid="{D6DB4561-9679-48A7-B608-91E19CF1BBE9}"/>
    <cellStyle name="Percentuale 19 4 2 4" xfId="28028" xr:uid="{920D53BD-A4A2-4231-BCD6-CFFCF59CA580}"/>
    <cellStyle name="Percentuale 19 4 2 5" xfId="17520" xr:uid="{2F4F1288-B7E9-4758-8CFD-C9A4CEBEEC81}"/>
    <cellStyle name="Percentuale 19 4 3" xfId="9430" xr:uid="{25597BD5-F75A-40E0-965B-76B61BD1E4B7}"/>
    <cellStyle name="Percentuale 19 4 3 2" xfId="28031" xr:uid="{FD1EDAD1-8DA8-4601-AB2D-D73C336FEF47}"/>
    <cellStyle name="Percentuale 19 4 4" xfId="28032" xr:uid="{212ACC38-DA0A-4DAE-8D0D-9DA4DEBBBE58}"/>
    <cellStyle name="Percentuale 19 4 5" xfId="28033" xr:uid="{370F5CD4-6BBC-4289-B180-9C70FFCB972B}"/>
    <cellStyle name="Percentuale 19 4 5 2" xfId="49106" xr:uid="{BE6EC96E-5C14-4BC4-B865-D37167C6A27C}"/>
    <cellStyle name="Percentuale 19 4 6" xfId="28034" xr:uid="{7B02E7F8-08EF-424A-8AF6-BD88FD26ACFB}"/>
    <cellStyle name="Percentuale 19 4 7" xfId="28027" xr:uid="{FFC0D691-6546-4DB3-AD9F-BF431463EE7A}"/>
    <cellStyle name="Percentuale 19 5" xfId="2315" xr:uid="{00000000-0005-0000-0000-00001D080000}"/>
    <cellStyle name="Percentuale 19 5 2" xfId="28036" xr:uid="{0C110F0F-D796-4D1E-A858-6D751807DB70}"/>
    <cellStyle name="Percentuale 19 5 3" xfId="28037" xr:uid="{20DFAB30-6197-44A8-904F-F7938227D561}"/>
    <cellStyle name="Percentuale 19 5 3 2" xfId="49107" xr:uid="{372AF272-568D-4721-99E1-B9905105853A}"/>
    <cellStyle name="Percentuale 19 5 4" xfId="28038" xr:uid="{8A89E720-8F41-4516-8847-61C3194FF382}"/>
    <cellStyle name="Percentuale 19 5 5" xfId="28035" xr:uid="{D5258FD6-FF2E-493A-A06C-20DF10926BFB}"/>
    <cellStyle name="Percentuale 19 6" xfId="4313" xr:uid="{52CEBB85-B015-4CAF-A5B6-B5BDE12EA177}"/>
    <cellStyle name="Percentuale 19 6 2" xfId="9821" xr:uid="{6BA8B178-0BA8-4F60-A30D-C4645B8D9E40}"/>
    <cellStyle name="Percentuale 19 6 3" xfId="28039" xr:uid="{DF4566A7-3ACC-4612-9A4F-F1719DC20950}"/>
    <cellStyle name="Percentuale 19 7" xfId="28040" xr:uid="{3343C255-5D13-4A16-A4F4-D3ADA8899F8C}"/>
    <cellStyle name="Percentuale 19 7 2" xfId="49108" xr:uid="{78D5DE14-A967-499B-8261-C1201CE967A2}"/>
    <cellStyle name="Percentuale 19 8" xfId="28007" xr:uid="{01EECB37-6B65-4268-BDCC-5E53E58A11F4}"/>
    <cellStyle name="Percentuale 2" xfId="1014" xr:uid="{00000000-0005-0000-0000-00001E080000}"/>
    <cellStyle name="Percentuale 2 2" xfId="1015" xr:uid="{00000000-0005-0000-0000-00001F080000}"/>
    <cellStyle name="Percentuale 2 2 2" xfId="4314" xr:uid="{9C7650BE-CB76-4641-B9C2-ABEA3134E183}"/>
    <cellStyle name="Percentuale 2 2 2 2" xfId="13573" xr:uid="{75061E15-B3F8-4FFE-9466-EBFC7EF6523D}"/>
    <cellStyle name="Percentuale 2 2 2 3" xfId="28043" xr:uid="{AA9CE906-AB34-4062-B86B-1A14FCD7B4B9}"/>
    <cellStyle name="Percentuale 2 2 3" xfId="13311" xr:uid="{E9C6B907-FAE7-4161-A722-5D78F53E9929}"/>
    <cellStyle name="Percentuale 2 2 3 2" xfId="28044" xr:uid="{5A952F5E-B678-4E70-A724-F20896DADCA0}"/>
    <cellStyle name="Percentuale 2 2 4" xfId="28045" xr:uid="{A51095C2-3C19-42C0-9949-AF5AA90FF4C4}"/>
    <cellStyle name="Percentuale 2 2 4 2" xfId="49109" xr:uid="{53DFD6F2-28D1-41E6-AB79-4BA079C0B3BD}"/>
    <cellStyle name="Percentuale 2 2 5" xfId="28046" xr:uid="{B53B1C44-CDF0-46F6-BE3F-34947AC356D6}"/>
    <cellStyle name="Percentuale 2 2 6" xfId="28042" xr:uid="{8099FBE1-6120-42A5-A3F2-80FA72980827}"/>
    <cellStyle name="Percentuale 2 3" xfId="1016" xr:uid="{00000000-0005-0000-0000-000020080000}"/>
    <cellStyle name="Percentuale 2 3 2" xfId="1017" xr:uid="{00000000-0005-0000-0000-000021080000}"/>
    <cellStyle name="Percentuale 2 3 2 2" xfId="2316" xr:uid="{00000000-0005-0000-0000-000022080000}"/>
    <cellStyle name="Percentuale 2 3 2 2 2" xfId="28050" xr:uid="{89591D8A-2BB2-4928-BBB7-E56A11900C72}"/>
    <cellStyle name="Percentuale 2 3 2 2 3" xfId="28049" xr:uid="{24962862-A2FD-4EF5-A004-C67D7D965DE3}"/>
    <cellStyle name="Percentuale 2 3 2 3" xfId="8128" xr:uid="{7DD8146C-EF56-473A-A933-29A46AD32197}"/>
    <cellStyle name="Percentuale 2 3 2 3 2" xfId="14127" xr:uid="{191A4B67-EB60-4B55-AFE6-B9D5BAD72902}"/>
    <cellStyle name="Percentuale 2 3 2 3 3" xfId="28051" xr:uid="{42532835-70FE-480B-AEFF-63E9627A414C}"/>
    <cellStyle name="Percentuale 2 3 2 3 4" xfId="49110" xr:uid="{9633BC9E-5CDE-461C-90E0-262EC8EDA131}"/>
    <cellStyle name="Percentuale 2 3 2 4" xfId="28052" xr:uid="{3FB0D159-EE5A-48C4-B050-2926C757899C}"/>
    <cellStyle name="Percentuale 2 3 2 5" xfId="28048" xr:uid="{FD6FD634-CD44-45F8-A8EC-29E04CFDCBEE}"/>
    <cellStyle name="Percentuale 2 3 3" xfId="4315" xr:uid="{F3BF4111-45C3-4091-A992-0CE1048F3883}"/>
    <cellStyle name="Percentuale 2 3 3 2" xfId="9431" xr:uid="{226E7F96-B62C-4A35-8949-1BFB05D8F9BD}"/>
    <cellStyle name="Percentuale 2 3 3 2 2" xfId="28054" xr:uid="{4138AE03-0E0F-4ED9-BEAB-D12DCBB3BC78}"/>
    <cellStyle name="Percentuale 2 3 3 3" xfId="28055" xr:uid="{F57056E5-0B07-413C-A79F-EF0AE8E525CF}"/>
    <cellStyle name="Percentuale 2 3 3 4" xfId="28056" xr:uid="{7ED95358-7AD2-494D-9AF1-7A23A62FCEA9}"/>
    <cellStyle name="Percentuale 2 3 3 4 2" xfId="49111" xr:uid="{87802AC8-6E5C-42A8-9A1D-CBAA37A88BCB}"/>
    <cellStyle name="Percentuale 2 3 3 5" xfId="28053" xr:uid="{4FBD2FC6-C75B-4161-ACE1-8CA2CD3F5380}"/>
    <cellStyle name="Percentuale 2 3 4" xfId="4316" xr:uid="{940DADBD-F47C-48C6-893B-1055CEF95CF5}"/>
    <cellStyle name="Percentuale 2 3 4 2" xfId="13788" xr:uid="{BE6674CA-739B-4A1C-8057-F58EC49D1A2F}"/>
    <cellStyle name="Percentuale 2 3 4 3" xfId="28057" xr:uid="{85A52A3D-859B-472F-A327-5F8674F5DC6D}"/>
    <cellStyle name="Percentuale 2 3 5" xfId="11426" xr:uid="{AB61224F-6535-4AC4-8011-DAAB6E44CB09}"/>
    <cellStyle name="Percentuale 2 3 5 2" xfId="28058" xr:uid="{929A1CCD-78A2-42EB-B935-7FD504C42CF8}"/>
    <cellStyle name="Percentuale 2 3 6" xfId="28059" xr:uid="{767C8944-A0C1-4084-8511-EEF164E3B6E8}"/>
    <cellStyle name="Percentuale 2 3 6 2" xfId="49112" xr:uid="{412254D5-2331-42CA-927D-6B43BB36B60D}"/>
    <cellStyle name="Percentuale 2 3 7" xfId="28060" xr:uid="{81439764-B00E-4908-A7B0-747D36581F52}"/>
    <cellStyle name="Percentuale 2 3 8" xfId="28047" xr:uid="{3BE11D91-BC9C-4BEA-A3EC-8646EB434F20}"/>
    <cellStyle name="Percentuale 2 4" xfId="2317" xr:uid="{00000000-0005-0000-0000-000023080000}"/>
    <cellStyle name="Percentuale 2 4 2" xfId="2318" xr:uid="{00000000-0005-0000-0000-000024080000}"/>
    <cellStyle name="Percentuale 2 4 2 2" xfId="9432" xr:uid="{7E03A4EF-8748-4E76-90C6-871C8D37B6A4}"/>
    <cellStyle name="Percentuale 2 4 2 2 2" xfId="28063" xr:uid="{7AF0ABEE-A3BD-4343-AAC2-0F73A39F0735}"/>
    <cellStyle name="Percentuale 2 4 2 3" xfId="17913" xr:uid="{CA166B83-61C9-4C0C-BC2D-B23581A57197}"/>
    <cellStyle name="Percentuale 2 4 2 3 2" xfId="28064" xr:uid="{0E04BB00-C95F-44F7-B632-7D781E43D92A}"/>
    <cellStyle name="Percentuale 2 4 2 4" xfId="28062" xr:uid="{7B1B30F3-3351-4707-A310-9545BEB9B827}"/>
    <cellStyle name="Percentuale 2 4 2 5" xfId="17521" xr:uid="{171C3AEB-9E45-4C06-87D9-74EB41196A81}"/>
    <cellStyle name="Percentuale 2 4 3" xfId="9433" xr:uid="{540A69B8-3794-46D5-990E-C258C434A610}"/>
    <cellStyle name="Percentuale 2 4 3 2" xfId="28065" xr:uid="{1C6100E6-C597-49D3-99D3-EFEF970F51EC}"/>
    <cellStyle name="Percentuale 2 4 4" xfId="28066" xr:uid="{2D05D0AC-3660-4354-8272-A952DE0F6F5C}"/>
    <cellStyle name="Percentuale 2 4 5" xfId="28067" xr:uid="{1BE1181F-568E-4B62-B07D-3031E27CF3B1}"/>
    <cellStyle name="Percentuale 2 4 5 2" xfId="49113" xr:uid="{600019EC-5B6A-4433-BAB9-61854C6367AE}"/>
    <cellStyle name="Percentuale 2 4 6" xfId="28068" xr:uid="{0D749EB6-49D5-4ADC-94FA-D0595374AB82}"/>
    <cellStyle name="Percentuale 2 4 7" xfId="28061" xr:uid="{45E7BBB7-2CF4-43D0-99A8-C5F4D681BF87}"/>
    <cellStyle name="Percentuale 2 5" xfId="2319" xr:uid="{00000000-0005-0000-0000-000025080000}"/>
    <cellStyle name="Percentuale 2 5 2" xfId="28070" xr:uid="{EA13FEE2-A245-4204-AA95-BA503797C898}"/>
    <cellStyle name="Percentuale 2 5 3" xfId="28071" xr:uid="{61C8DA5C-FC7C-4571-8AB1-00215A770289}"/>
    <cellStyle name="Percentuale 2 5 3 2" xfId="49114" xr:uid="{58AE756F-B69A-4717-98CE-4F0F12B89938}"/>
    <cellStyle name="Percentuale 2 5 4" xfId="28072" xr:uid="{2E74DC0F-AD52-4C4E-BFC8-977958883107}"/>
    <cellStyle name="Percentuale 2 5 5" xfId="28069" xr:uid="{9C8D4202-762D-4001-81EB-11A6ABCDF7FC}"/>
    <cellStyle name="Percentuale 2 6" xfId="4317" xr:uid="{9DDDDF3B-A0B4-46A9-9634-0A29D3852675}"/>
    <cellStyle name="Percentuale 2 6 2" xfId="9822" xr:uid="{F6EDAAB9-D5A6-4CAA-B5FF-BDD6CF884DB1}"/>
    <cellStyle name="Percentuale 2 6 3" xfId="28073" xr:uid="{708E9CAE-5A77-4671-8D90-91E38BA38E31}"/>
    <cellStyle name="Percentuale 2 7" xfId="28074" xr:uid="{4C78CA0D-9E41-4571-A6C3-8B858AC948AD}"/>
    <cellStyle name="Percentuale 2 7 2" xfId="49115" xr:uid="{F6C415E3-0FF8-4EDF-8EEA-F15860BC86AF}"/>
    <cellStyle name="Percentuale 2 8" xfId="28041" xr:uid="{F127F1DF-057F-4E37-84FE-A490ED631073}"/>
    <cellStyle name="Percentuale 20" xfId="1018" xr:uid="{00000000-0005-0000-0000-000026080000}"/>
    <cellStyle name="Percentuale 20 2" xfId="1019" xr:uid="{00000000-0005-0000-0000-000027080000}"/>
    <cellStyle name="Percentuale 20 2 2" xfId="4318" xr:uid="{303484B0-2F85-447D-B322-6BEBD1E44FE3}"/>
    <cellStyle name="Percentuale 20 2 2 2" xfId="13574" xr:uid="{D926B681-0FC2-4DD7-AEFB-86CA826F2EB7}"/>
    <cellStyle name="Percentuale 20 2 2 3" xfId="28077" xr:uid="{42A2D0EF-FA17-4DEA-A12E-7F98CF2A116A}"/>
    <cellStyle name="Percentuale 20 2 3" xfId="13312" xr:uid="{0EBEC46E-4BCF-4D46-973E-7454892F1ACD}"/>
    <cellStyle name="Percentuale 20 2 3 2" xfId="28078" xr:uid="{B9B5DA13-5F27-4D48-B656-C99F1892E1DA}"/>
    <cellStyle name="Percentuale 20 2 4" xfId="28079" xr:uid="{D4B33205-A44C-4FCD-91BF-ACDDA0734B95}"/>
    <cellStyle name="Percentuale 20 2 4 2" xfId="49116" xr:uid="{6BF3B86B-B69F-4A94-945A-8C05CF92F006}"/>
    <cellStyle name="Percentuale 20 2 5" xfId="28080" xr:uid="{9E2858EA-2D65-4EB2-8499-59C7C35B07F0}"/>
    <cellStyle name="Percentuale 20 2 6" xfId="28076" xr:uid="{AAEFC67B-52D5-434A-957B-5FB6DC71B188}"/>
    <cellStyle name="Percentuale 20 3" xfId="1020" xr:uid="{00000000-0005-0000-0000-000028080000}"/>
    <cellStyle name="Percentuale 20 3 2" xfId="1021" xr:uid="{00000000-0005-0000-0000-000029080000}"/>
    <cellStyle name="Percentuale 20 3 2 2" xfId="2320" xr:uid="{00000000-0005-0000-0000-00002A080000}"/>
    <cellStyle name="Percentuale 20 3 2 2 2" xfId="28084" xr:uid="{1CAD9C0C-E7B2-432A-B5B7-E6BB8CE361CE}"/>
    <cellStyle name="Percentuale 20 3 2 2 3" xfId="28083" xr:uid="{7994D69E-5DB9-48F0-A440-0E09CCC52460}"/>
    <cellStyle name="Percentuale 20 3 2 3" xfId="8129" xr:uid="{62F50A8A-0C63-49F6-AD96-C0C3DDCC4002}"/>
    <cellStyle name="Percentuale 20 3 2 3 2" xfId="14128" xr:uid="{D14FE29F-EFED-4A07-B3C5-57F13036C971}"/>
    <cellStyle name="Percentuale 20 3 2 3 3" xfId="28085" xr:uid="{2B94C0C4-7D57-4017-ADF8-2899B80C58F4}"/>
    <cellStyle name="Percentuale 20 3 2 3 4" xfId="49117" xr:uid="{2CB1162C-2511-4E86-B7CE-2FEC8803F7A2}"/>
    <cellStyle name="Percentuale 20 3 2 4" xfId="28086" xr:uid="{3F88D219-636E-4DB5-8D4F-57611A6F75F2}"/>
    <cellStyle name="Percentuale 20 3 2 5" xfId="28082" xr:uid="{E9287065-2320-41D7-943D-6947BCDBB44E}"/>
    <cellStyle name="Percentuale 20 3 3" xfId="4319" xr:uid="{8A14543A-0246-477E-8897-44A04252041F}"/>
    <cellStyle name="Percentuale 20 3 3 2" xfId="9434" xr:uid="{BBF76138-0A79-4F9E-B3AE-13C1FB94EEE2}"/>
    <cellStyle name="Percentuale 20 3 3 2 2" xfId="28088" xr:uid="{CF62CF09-8946-49C9-8923-352C18C7A16B}"/>
    <cellStyle name="Percentuale 20 3 3 3" xfId="28089" xr:uid="{009DBBF9-C501-477C-AADF-BCBADCAA2E7D}"/>
    <cellStyle name="Percentuale 20 3 3 4" xfId="28090" xr:uid="{C1E6D718-4410-4A6C-91DC-7051C22B1ED6}"/>
    <cellStyle name="Percentuale 20 3 3 4 2" xfId="49118" xr:uid="{99294D1E-D1D0-4FE4-9201-F031B1DDEBCC}"/>
    <cellStyle name="Percentuale 20 3 3 5" xfId="28087" xr:uid="{A530B74D-7384-40B5-B173-699D8F39421D}"/>
    <cellStyle name="Percentuale 20 3 4" xfId="4320" xr:uid="{69A0211B-5FA7-40B5-A334-5A4B9BD7DEB8}"/>
    <cellStyle name="Percentuale 20 3 4 2" xfId="13789" xr:uid="{CC19D1C6-D69B-45CA-8E02-AAED141FB30F}"/>
    <cellStyle name="Percentuale 20 3 4 3" xfId="28091" xr:uid="{BF652347-B5F6-441C-91D5-4743E668237A}"/>
    <cellStyle name="Percentuale 20 3 5" xfId="11150" xr:uid="{C53CA60F-263C-44AD-9A80-F1B4E093D6EE}"/>
    <cellStyle name="Percentuale 20 3 5 2" xfId="28092" xr:uid="{E53019F6-FC13-4DC2-A1C0-19235EA59C1B}"/>
    <cellStyle name="Percentuale 20 3 6" xfId="28093" xr:uid="{3DEDBC5B-6F48-4ADD-955D-4987D8F4041F}"/>
    <cellStyle name="Percentuale 20 3 6 2" xfId="49119" xr:uid="{D36CBAA4-082A-4A6B-84FE-9F0C5B1ABBD2}"/>
    <cellStyle name="Percentuale 20 3 7" xfId="28094" xr:uid="{64FA8498-D14A-4B0E-B821-94EBCF5E5448}"/>
    <cellStyle name="Percentuale 20 3 8" xfId="28081" xr:uid="{0437E3C4-7B5E-4AFC-9436-E45CA9F51C91}"/>
    <cellStyle name="Percentuale 20 4" xfId="2321" xr:uid="{00000000-0005-0000-0000-00002B080000}"/>
    <cellStyle name="Percentuale 20 4 2" xfId="2322" xr:uid="{00000000-0005-0000-0000-00002C080000}"/>
    <cellStyle name="Percentuale 20 4 2 2" xfId="9435" xr:uid="{F12F8D56-75B5-4E4E-9C45-B2462A47C12E}"/>
    <cellStyle name="Percentuale 20 4 2 2 2" xfId="28097" xr:uid="{821819BB-4262-442A-BBA2-4D2E0C775E58}"/>
    <cellStyle name="Percentuale 20 4 2 3" xfId="17914" xr:uid="{0A0B9040-BAD8-414F-B17C-EBEAC7E1A299}"/>
    <cellStyle name="Percentuale 20 4 2 3 2" xfId="28098" xr:uid="{F4606ABA-438E-4A3C-9BCA-C6B9954AFC7A}"/>
    <cellStyle name="Percentuale 20 4 2 4" xfId="28096" xr:uid="{C86FD435-FFDF-4D0A-A03B-EBE461D65891}"/>
    <cellStyle name="Percentuale 20 4 2 5" xfId="17522" xr:uid="{7B0BA764-0F5A-4CCA-9964-0A43993773D9}"/>
    <cellStyle name="Percentuale 20 4 3" xfId="9436" xr:uid="{DFE06711-2CAD-40FE-8656-08CE0F7DC7E0}"/>
    <cellStyle name="Percentuale 20 4 3 2" xfId="28099" xr:uid="{596D5B4D-A097-47CC-825F-46A6B1A4B789}"/>
    <cellStyle name="Percentuale 20 4 4" xfId="28100" xr:uid="{8F5920B6-EEC3-467E-87DA-822FE071362B}"/>
    <cellStyle name="Percentuale 20 4 5" xfId="28101" xr:uid="{F9284474-3AC4-429A-B6C4-85D05A1708D9}"/>
    <cellStyle name="Percentuale 20 4 5 2" xfId="49120" xr:uid="{3136A3CD-E707-43F7-8792-FD3D7A6DD4DD}"/>
    <cellStyle name="Percentuale 20 4 6" xfId="28102" xr:uid="{3CB7EFE9-9251-4FE1-93B3-B3472F4620C4}"/>
    <cellStyle name="Percentuale 20 4 7" xfId="28095" xr:uid="{029B9BAC-034C-4B78-9451-1960482B8D7E}"/>
    <cellStyle name="Percentuale 20 5" xfId="2323" xr:uid="{00000000-0005-0000-0000-00002D080000}"/>
    <cellStyle name="Percentuale 20 5 2" xfId="28104" xr:uid="{D800A957-5A7C-4DBA-9D98-852B19C007D8}"/>
    <cellStyle name="Percentuale 20 5 3" xfId="28105" xr:uid="{B1F6E0F9-13C3-464D-8FF2-18A649116EBE}"/>
    <cellStyle name="Percentuale 20 5 3 2" xfId="49121" xr:uid="{2F93C9D8-7454-48AC-B0A7-F5686FB5D0A0}"/>
    <cellStyle name="Percentuale 20 5 4" xfId="28106" xr:uid="{DF4EC12B-E1BD-4735-B52B-ACDCC7FDC34F}"/>
    <cellStyle name="Percentuale 20 5 5" xfId="28103" xr:uid="{B513E957-DB15-4ACE-A746-ADC3901C9F7E}"/>
    <cellStyle name="Percentuale 20 6" xfId="4321" xr:uid="{95A6154F-01F0-4BAB-BEE1-FF3F97AA0F46}"/>
    <cellStyle name="Percentuale 20 6 2" xfId="9823" xr:uid="{BB8B17D9-C8A9-4E81-9EE2-D7F3A8536D98}"/>
    <cellStyle name="Percentuale 20 6 3" xfId="28107" xr:uid="{F27F4A61-9927-4176-83BF-2DC2EA21E195}"/>
    <cellStyle name="Percentuale 20 7" xfId="28108" xr:uid="{CC894AE4-9567-41BC-92FA-533D694F40D4}"/>
    <cellStyle name="Percentuale 20 7 2" xfId="49122" xr:uid="{262E03B8-677F-46F7-A4D4-AA82CDBCF1CC}"/>
    <cellStyle name="Percentuale 20 8" xfId="28075" xr:uid="{2F1B69BC-45A1-4A54-B646-9F48E109D17B}"/>
    <cellStyle name="Percentuale 21" xfId="1022" xr:uid="{00000000-0005-0000-0000-00002E080000}"/>
    <cellStyle name="Percentuale 21 2" xfId="1023" xr:uid="{00000000-0005-0000-0000-00002F080000}"/>
    <cellStyle name="Percentuale 21 2 2" xfId="4322" xr:uid="{411AFDE7-1BA9-453D-997F-735EBF12A0E7}"/>
    <cellStyle name="Percentuale 21 2 2 2" xfId="13575" xr:uid="{A88AF90B-67C5-4627-9588-469015399B43}"/>
    <cellStyle name="Percentuale 21 2 2 3" xfId="28111" xr:uid="{D95B935B-9DFD-4C83-B9CE-78F62CDB6EDE}"/>
    <cellStyle name="Percentuale 21 2 3" xfId="13313" xr:uid="{A073935D-5F24-4333-97B5-2F69151A21DE}"/>
    <cellStyle name="Percentuale 21 2 3 2" xfId="28112" xr:uid="{F88785C1-FEDB-42CA-B4A5-784ED64CA250}"/>
    <cellStyle name="Percentuale 21 2 4" xfId="28113" xr:uid="{86C3CAB9-2C13-4EE0-A43A-80C025CC5664}"/>
    <cellStyle name="Percentuale 21 2 4 2" xfId="49123" xr:uid="{A4AE4592-7C75-42AB-82DA-337C81DFDB06}"/>
    <cellStyle name="Percentuale 21 2 5" xfId="28114" xr:uid="{1A0506B4-F057-45C3-93A9-3A7BB9B7B7D0}"/>
    <cellStyle name="Percentuale 21 2 6" xfId="28110" xr:uid="{40F69E0A-4E97-4886-AAC9-3EBB1198669A}"/>
    <cellStyle name="Percentuale 21 3" xfId="1024" xr:uid="{00000000-0005-0000-0000-000030080000}"/>
    <cellStyle name="Percentuale 21 3 2" xfId="1025" xr:uid="{00000000-0005-0000-0000-000031080000}"/>
    <cellStyle name="Percentuale 21 3 2 2" xfId="2324" xr:uid="{00000000-0005-0000-0000-000032080000}"/>
    <cellStyle name="Percentuale 21 3 2 2 2" xfId="28118" xr:uid="{71687389-46F3-4EB7-BAC4-E1E30C84D2CD}"/>
    <cellStyle name="Percentuale 21 3 2 2 3" xfId="28117" xr:uid="{16B737DC-E0CA-4DF5-AE9D-6C89DC9DF07C}"/>
    <cellStyle name="Percentuale 21 3 2 3" xfId="8130" xr:uid="{3E21A8B9-7CF8-43EB-861F-9A7FE22A6399}"/>
    <cellStyle name="Percentuale 21 3 2 3 2" xfId="14129" xr:uid="{B02EBE45-1255-41B2-AFB6-4D65CBC2682C}"/>
    <cellStyle name="Percentuale 21 3 2 3 3" xfId="28119" xr:uid="{D2469135-6F82-44EF-99F1-9AB0E7820919}"/>
    <cellStyle name="Percentuale 21 3 2 3 4" xfId="49124" xr:uid="{02488529-BBBE-4BC5-9D73-7AFA82BC366F}"/>
    <cellStyle name="Percentuale 21 3 2 4" xfId="28120" xr:uid="{9F2F897C-B872-4491-8272-E363D8651BE5}"/>
    <cellStyle name="Percentuale 21 3 2 5" xfId="28116" xr:uid="{6031EE95-C9D9-41A5-B3BA-7D7DA649AA85}"/>
    <cellStyle name="Percentuale 21 3 3" xfId="4323" xr:uid="{B19CC735-7D8F-4506-857A-79A19285F46E}"/>
    <cellStyle name="Percentuale 21 3 3 2" xfId="9437" xr:uid="{D557741A-EBDF-4C31-8305-B06AB111A0EA}"/>
    <cellStyle name="Percentuale 21 3 3 2 2" xfId="28122" xr:uid="{2FD14E47-C268-4FE3-9670-8EA06DFD420C}"/>
    <cellStyle name="Percentuale 21 3 3 3" xfId="28123" xr:uid="{2CE9E813-683F-49DF-AE89-CE3B6E50E2AA}"/>
    <cellStyle name="Percentuale 21 3 3 4" xfId="28124" xr:uid="{F886866C-80C2-4EC0-AAEB-994C975CB638}"/>
    <cellStyle name="Percentuale 21 3 3 4 2" xfId="49125" xr:uid="{E809BD45-8EF2-4015-88AC-72AA6FFFFB66}"/>
    <cellStyle name="Percentuale 21 3 3 5" xfId="28121" xr:uid="{9D85911F-C8DE-40C8-B21D-BA74FC218AFC}"/>
    <cellStyle name="Percentuale 21 3 4" xfId="4324" xr:uid="{266EAE50-6CB0-4462-A3BC-909FF3B48C3E}"/>
    <cellStyle name="Percentuale 21 3 4 2" xfId="13790" xr:uid="{BAF7263B-F8A8-4A7C-92A2-6958DA67BB38}"/>
    <cellStyle name="Percentuale 21 3 4 3" xfId="28125" xr:uid="{218CDCA3-AE81-4345-B877-7C1CF8678034}"/>
    <cellStyle name="Percentuale 21 3 5" xfId="12263" xr:uid="{5D917B83-9C8C-4D82-91EE-32332865765B}"/>
    <cellStyle name="Percentuale 21 3 5 2" xfId="28126" xr:uid="{3D466229-EE06-4F2B-8FA1-9B6B00B500F1}"/>
    <cellStyle name="Percentuale 21 3 6" xfId="28127" xr:uid="{FAB1AE93-16D4-4612-8EED-4AB78AD5F7A6}"/>
    <cellStyle name="Percentuale 21 3 6 2" xfId="49126" xr:uid="{A6E74978-59B3-4645-9C83-4DC50354D62E}"/>
    <cellStyle name="Percentuale 21 3 7" xfId="28128" xr:uid="{4BA15E97-70D5-43D6-B77E-0560F2A31135}"/>
    <cellStyle name="Percentuale 21 3 8" xfId="28115" xr:uid="{AB38FEC5-9551-4E8E-9847-E74C94B215AD}"/>
    <cellStyle name="Percentuale 21 4" xfId="2325" xr:uid="{00000000-0005-0000-0000-000033080000}"/>
    <cellStyle name="Percentuale 21 4 2" xfId="2326" xr:uid="{00000000-0005-0000-0000-000034080000}"/>
    <cellStyle name="Percentuale 21 4 2 2" xfId="9438" xr:uid="{09598009-819E-4DB3-8397-9A54CD1959BC}"/>
    <cellStyle name="Percentuale 21 4 2 2 2" xfId="28131" xr:uid="{70A39651-66F2-4E9D-A972-DB85993B80C5}"/>
    <cellStyle name="Percentuale 21 4 2 3" xfId="17915" xr:uid="{2C6DE4E3-D2CF-408D-BD91-1F41DA19D8E6}"/>
    <cellStyle name="Percentuale 21 4 2 3 2" xfId="28132" xr:uid="{73DD17FD-671D-4932-888D-63ADFB3CFB5A}"/>
    <cellStyle name="Percentuale 21 4 2 4" xfId="28130" xr:uid="{C4DCF052-D07E-4A9A-B66F-43BE62D29847}"/>
    <cellStyle name="Percentuale 21 4 2 5" xfId="17523" xr:uid="{12C2BD33-84A7-41B0-AAC0-F613143B2210}"/>
    <cellStyle name="Percentuale 21 4 3" xfId="9439" xr:uid="{068C0136-8802-481E-BD68-11B1885C9486}"/>
    <cellStyle name="Percentuale 21 4 3 2" xfId="28133" xr:uid="{C861F004-B448-4EB9-B660-F44C832A3CC1}"/>
    <cellStyle name="Percentuale 21 4 4" xfId="28134" xr:uid="{4C2A28EF-71CE-43E2-B739-794D3D643228}"/>
    <cellStyle name="Percentuale 21 4 5" xfId="28135" xr:uid="{32C70316-CE8E-4278-AB84-5601F406EDDE}"/>
    <cellStyle name="Percentuale 21 4 5 2" xfId="49127" xr:uid="{FDD8F6B1-C366-43A9-9898-99F73D9AFBB2}"/>
    <cellStyle name="Percentuale 21 4 6" xfId="28136" xr:uid="{F0FA6F69-F0C0-4612-9A42-168A3B017958}"/>
    <cellStyle name="Percentuale 21 4 7" xfId="28129" xr:uid="{A4EA570D-4C80-40F9-B68B-5719D66A3398}"/>
    <cellStyle name="Percentuale 21 5" xfId="2327" xr:uid="{00000000-0005-0000-0000-000035080000}"/>
    <cellStyle name="Percentuale 21 5 2" xfId="28138" xr:uid="{39AC9682-E3C8-4DB6-B01C-E8DDE908B019}"/>
    <cellStyle name="Percentuale 21 5 3" xfId="28139" xr:uid="{F21D404E-1494-4FA9-88F4-966C63765C0A}"/>
    <cellStyle name="Percentuale 21 5 3 2" xfId="49128" xr:uid="{558B5B7F-2717-4DB8-9C86-7964A1B85125}"/>
    <cellStyle name="Percentuale 21 5 4" xfId="28140" xr:uid="{2C5A38EC-3398-4474-BC59-816180C6FFDB}"/>
    <cellStyle name="Percentuale 21 5 5" xfId="28137" xr:uid="{2D5D7465-DB3F-44AC-99EA-B651CD72EF97}"/>
    <cellStyle name="Percentuale 21 6" xfId="4325" xr:uid="{535C5308-7322-421C-B59C-EF8D14E1D787}"/>
    <cellStyle name="Percentuale 21 6 2" xfId="9824" xr:uid="{8919C317-2AEB-40C6-AD5B-C876BF8F23ED}"/>
    <cellStyle name="Percentuale 21 6 3" xfId="28141" xr:uid="{7E51460B-2A50-4793-A52A-398045124583}"/>
    <cellStyle name="Percentuale 21 7" xfId="28142" xr:uid="{DD0A43E8-1C9D-41CB-B9F6-2530FF862B7F}"/>
    <cellStyle name="Percentuale 21 7 2" xfId="49129" xr:uid="{395F0237-9B2A-44CD-9F85-1AA57B26B3EA}"/>
    <cellStyle name="Percentuale 21 8" xfId="28109" xr:uid="{EE409AFC-3564-4C52-BF4D-8318E7001354}"/>
    <cellStyle name="Percentuale 22" xfId="1026" xr:uid="{00000000-0005-0000-0000-000036080000}"/>
    <cellStyle name="Percentuale 22 2" xfId="1027" xr:uid="{00000000-0005-0000-0000-000037080000}"/>
    <cellStyle name="Percentuale 22 2 2" xfId="4326" xr:uid="{E2E6DF2D-0955-4ACC-A969-83E6192D94A8}"/>
    <cellStyle name="Percentuale 22 2 2 2" xfId="13576" xr:uid="{5F78CB34-B90D-4855-B482-A514F8D4FABD}"/>
    <cellStyle name="Percentuale 22 2 2 3" xfId="28145" xr:uid="{F543EC8B-275B-4BDB-972A-05CF14DD8987}"/>
    <cellStyle name="Percentuale 22 2 3" xfId="13314" xr:uid="{2F337C45-C3EA-4DE2-81BB-E31A3DC23BF5}"/>
    <cellStyle name="Percentuale 22 2 3 2" xfId="28146" xr:uid="{11409267-B125-4D8B-9F33-0DD79CBC5C54}"/>
    <cellStyle name="Percentuale 22 2 4" xfId="28147" xr:uid="{F9FBD0E2-C007-4A23-8411-CC84D7374A41}"/>
    <cellStyle name="Percentuale 22 2 4 2" xfId="49130" xr:uid="{8F54D939-6B7B-4632-AD36-E98C49063F55}"/>
    <cellStyle name="Percentuale 22 2 5" xfId="28148" xr:uid="{FD168486-EF71-48AA-97D0-3BECF8E5397A}"/>
    <cellStyle name="Percentuale 22 2 6" xfId="28144" xr:uid="{3FC38FF0-DF15-487D-A78E-558EF68EC30D}"/>
    <cellStyle name="Percentuale 22 3" xfId="1028" xr:uid="{00000000-0005-0000-0000-000038080000}"/>
    <cellStyle name="Percentuale 22 3 2" xfId="1029" xr:uid="{00000000-0005-0000-0000-000039080000}"/>
    <cellStyle name="Percentuale 22 3 2 2" xfId="2328" xr:uid="{00000000-0005-0000-0000-00003A080000}"/>
    <cellStyle name="Percentuale 22 3 2 2 2" xfId="28152" xr:uid="{C8F320A5-B0AB-4DFC-9388-65A49F2780AB}"/>
    <cellStyle name="Percentuale 22 3 2 2 3" xfId="28151" xr:uid="{8F9DF8E6-8BAE-4E44-BB6C-6EC7B1DEAB1D}"/>
    <cellStyle name="Percentuale 22 3 2 3" xfId="8131" xr:uid="{77E6D6E6-D98C-4889-A66F-586F96D6C4C3}"/>
    <cellStyle name="Percentuale 22 3 2 3 2" xfId="14130" xr:uid="{F1E2A7F5-74B3-4C98-9C37-A07CA3E93AE6}"/>
    <cellStyle name="Percentuale 22 3 2 3 3" xfId="28153" xr:uid="{DEF90223-E55B-48ED-BF8F-57250E61E46B}"/>
    <cellStyle name="Percentuale 22 3 2 3 4" xfId="49131" xr:uid="{4DC5C756-7B50-494C-8E70-2C1764A40599}"/>
    <cellStyle name="Percentuale 22 3 2 4" xfId="28154" xr:uid="{DACFADAB-F472-4298-BAEA-241F529101A0}"/>
    <cellStyle name="Percentuale 22 3 2 5" xfId="28150" xr:uid="{0011F9DB-29A9-4C2E-8633-001DD7F81099}"/>
    <cellStyle name="Percentuale 22 3 3" xfId="4327" xr:uid="{9FB22EE6-38EC-4DBE-B920-91B04C4AB4C4}"/>
    <cellStyle name="Percentuale 22 3 3 2" xfId="9440" xr:uid="{94306DC1-5E32-4BC0-88E5-F20D0CEFDD62}"/>
    <cellStyle name="Percentuale 22 3 3 2 2" xfId="28156" xr:uid="{6CEDF8FE-67D7-43A9-9EC0-9A44FFEE31CB}"/>
    <cellStyle name="Percentuale 22 3 3 3" xfId="28157" xr:uid="{FE1E96FE-A552-431E-84D5-A74C0C70A76C}"/>
    <cellStyle name="Percentuale 22 3 3 4" xfId="28158" xr:uid="{A406A0FF-9A93-470F-AF62-A287B7908C1E}"/>
    <cellStyle name="Percentuale 22 3 3 4 2" xfId="49132" xr:uid="{5D8B1F47-A570-4A0C-93C4-16139853CDC0}"/>
    <cellStyle name="Percentuale 22 3 3 5" xfId="28155" xr:uid="{8B496A40-9888-4C8A-B1CC-0AC46F5527BB}"/>
    <cellStyle name="Percentuale 22 3 4" xfId="4328" xr:uid="{B2E6B3A1-F0E1-460E-B1A4-8FF717DF202E}"/>
    <cellStyle name="Percentuale 22 3 4 2" xfId="13791" xr:uid="{A66A060D-2F15-4CC4-A0B7-262788E738CC}"/>
    <cellStyle name="Percentuale 22 3 4 3" xfId="28159" xr:uid="{A75EA63C-0DA5-4F7B-8026-880507732C6A}"/>
    <cellStyle name="Percentuale 22 3 5" xfId="11516" xr:uid="{280E1328-83AC-43C0-A191-9CE9E30E2E1D}"/>
    <cellStyle name="Percentuale 22 3 5 2" xfId="28160" xr:uid="{89577E0B-DC9A-4FCC-BFC0-33F0E6C5EC6B}"/>
    <cellStyle name="Percentuale 22 3 6" xfId="28161" xr:uid="{415F02EF-EFB1-4E63-B763-840C074D9734}"/>
    <cellStyle name="Percentuale 22 3 6 2" xfId="49133" xr:uid="{773CC908-C63F-4400-B891-CF8F676B961A}"/>
    <cellStyle name="Percentuale 22 3 7" xfId="28162" xr:uid="{73A67F42-626E-470B-AEB0-44C8B5E1023F}"/>
    <cellStyle name="Percentuale 22 3 8" xfId="28149" xr:uid="{161A51DF-3409-4B3E-A3A7-60E5BA7E57D7}"/>
    <cellStyle name="Percentuale 22 4" xfId="2329" xr:uid="{00000000-0005-0000-0000-00003B080000}"/>
    <cellStyle name="Percentuale 22 4 2" xfId="2330" xr:uid="{00000000-0005-0000-0000-00003C080000}"/>
    <cellStyle name="Percentuale 22 4 2 2" xfId="9441" xr:uid="{F4C57FDC-923A-4BA7-B518-40F522E45AC3}"/>
    <cellStyle name="Percentuale 22 4 2 2 2" xfId="28165" xr:uid="{8D4CC688-5784-425C-8829-7AD884C1B5F6}"/>
    <cellStyle name="Percentuale 22 4 2 3" xfId="17916" xr:uid="{4373C240-6185-4CB0-8A17-0986681003B4}"/>
    <cellStyle name="Percentuale 22 4 2 3 2" xfId="28166" xr:uid="{80266299-8F82-4E6A-8ECD-5CCDD85F65D5}"/>
    <cellStyle name="Percentuale 22 4 2 4" xfId="28164" xr:uid="{1080E63E-6762-43C1-9BE5-FFC00084BF4B}"/>
    <cellStyle name="Percentuale 22 4 2 5" xfId="17524" xr:uid="{4CBE5612-ECBC-4C5D-8C7F-A3FAA90876DE}"/>
    <cellStyle name="Percentuale 22 4 3" xfId="9442" xr:uid="{4322666D-4BE7-4219-B42A-D16C4376FB07}"/>
    <cellStyle name="Percentuale 22 4 3 2" xfId="28167" xr:uid="{23167533-F408-4865-9981-0BE263A1741B}"/>
    <cellStyle name="Percentuale 22 4 4" xfId="28168" xr:uid="{AB441F3E-7483-4F90-90BE-99731BB0D9C7}"/>
    <cellStyle name="Percentuale 22 4 5" xfId="28169" xr:uid="{188FDC48-CA11-4139-A8EB-144C00F73DED}"/>
    <cellStyle name="Percentuale 22 4 5 2" xfId="49134" xr:uid="{39CA5008-B4CA-4CB7-B617-D5ACE2789584}"/>
    <cellStyle name="Percentuale 22 4 6" xfId="28170" xr:uid="{0650B38F-F28C-4CC6-AD73-5DDBA2680AA9}"/>
    <cellStyle name="Percentuale 22 4 7" xfId="28163" xr:uid="{7768FD3B-8701-4DB6-92A3-6C6EAF188145}"/>
    <cellStyle name="Percentuale 22 5" xfId="2331" xr:uid="{00000000-0005-0000-0000-00003D080000}"/>
    <cellStyle name="Percentuale 22 5 2" xfId="28172" xr:uid="{0E65833C-955B-4974-85FA-25D65482F561}"/>
    <cellStyle name="Percentuale 22 5 3" xfId="28173" xr:uid="{89678A7D-84DD-49A8-A94B-8ED9345B932F}"/>
    <cellStyle name="Percentuale 22 5 3 2" xfId="49135" xr:uid="{E0D4BEDF-D9DE-4580-A19D-729CE44C3E7B}"/>
    <cellStyle name="Percentuale 22 5 4" xfId="28174" xr:uid="{99696CEA-8EC0-4333-850B-917390EB7790}"/>
    <cellStyle name="Percentuale 22 5 5" xfId="28171" xr:uid="{95F0E64C-CFA7-40DF-BA41-2A5377327311}"/>
    <cellStyle name="Percentuale 22 6" xfId="4329" xr:uid="{15AD8ACB-4DAF-4765-A05B-25FF1B4F81E2}"/>
    <cellStyle name="Percentuale 22 6 2" xfId="9825" xr:uid="{BB339665-A2C3-452A-B85B-42D73A0A18DE}"/>
    <cellStyle name="Percentuale 22 6 3" xfId="28175" xr:uid="{8DDA53E0-C056-4725-B79F-13376BCBBADA}"/>
    <cellStyle name="Percentuale 22 7" xfId="28176" xr:uid="{0EBC0583-D1AC-4229-9CA6-030D417AE072}"/>
    <cellStyle name="Percentuale 22 7 2" xfId="49136" xr:uid="{8FB4369C-177E-46F8-9EEA-15C1B190BA13}"/>
    <cellStyle name="Percentuale 22 8" xfId="28143" xr:uid="{3499C497-9431-4462-B973-5F56085E0B52}"/>
    <cellStyle name="Percentuale 23" xfId="1030" xr:uid="{00000000-0005-0000-0000-00003E080000}"/>
    <cellStyle name="Percentuale 23 2" xfId="1031" xr:uid="{00000000-0005-0000-0000-00003F080000}"/>
    <cellStyle name="Percentuale 23 2 2" xfId="4330" xr:uid="{EA5C1A5B-C5FB-4876-AE9E-A13BB4F6FCAC}"/>
    <cellStyle name="Percentuale 23 2 2 2" xfId="13577" xr:uid="{4BE59AA6-881A-460D-81D8-D75535655C6D}"/>
    <cellStyle name="Percentuale 23 2 2 3" xfId="28179" xr:uid="{EAE1C925-468C-473F-9816-4FDBD635368B}"/>
    <cellStyle name="Percentuale 23 2 3" xfId="13315" xr:uid="{23E80BC0-9EC2-4B9C-85DB-330EBFE1CDE6}"/>
    <cellStyle name="Percentuale 23 2 3 2" xfId="28180" xr:uid="{77500DCC-56D6-4E93-8451-540494FF84C6}"/>
    <cellStyle name="Percentuale 23 2 4" xfId="28181" xr:uid="{D43533CA-BDA3-49EB-A55E-24BE2476112C}"/>
    <cellStyle name="Percentuale 23 2 4 2" xfId="49137" xr:uid="{FE604292-7A26-4188-A730-AE319714F55A}"/>
    <cellStyle name="Percentuale 23 2 5" xfId="28182" xr:uid="{2C9F372B-2190-476E-BF92-0B0391AD0954}"/>
    <cellStyle name="Percentuale 23 2 6" xfId="28178" xr:uid="{7BC71D7F-6C1E-44D3-ABB4-005579BD96B7}"/>
    <cellStyle name="Percentuale 23 3" xfId="1032" xr:uid="{00000000-0005-0000-0000-000040080000}"/>
    <cellStyle name="Percentuale 23 3 2" xfId="1033" xr:uid="{00000000-0005-0000-0000-000041080000}"/>
    <cellStyle name="Percentuale 23 3 2 2" xfId="2332" xr:uid="{00000000-0005-0000-0000-000042080000}"/>
    <cellStyle name="Percentuale 23 3 2 2 2" xfId="28186" xr:uid="{D67084E3-775E-4ED4-A6F2-48A1FC9C5DBE}"/>
    <cellStyle name="Percentuale 23 3 2 2 3" xfId="28185" xr:uid="{7F98FFA8-3B59-48D1-9946-0FE8C57BAC96}"/>
    <cellStyle name="Percentuale 23 3 2 3" xfId="8132" xr:uid="{204CFE57-3661-4CBA-9181-61A38421C1B8}"/>
    <cellStyle name="Percentuale 23 3 2 3 2" xfId="14131" xr:uid="{38714B34-A8E2-4B73-B872-A62C7CD97E34}"/>
    <cellStyle name="Percentuale 23 3 2 3 3" xfId="28187" xr:uid="{9E2A95C5-446C-4F57-805C-634B6F24DE3D}"/>
    <cellStyle name="Percentuale 23 3 2 3 4" xfId="49138" xr:uid="{67CC730D-5403-43BB-AC85-4EAA4F0F110B}"/>
    <cellStyle name="Percentuale 23 3 2 4" xfId="28188" xr:uid="{1822639E-4427-4507-9E16-91CF1D1EF480}"/>
    <cellStyle name="Percentuale 23 3 2 5" xfId="28184" xr:uid="{1BBB3162-2E16-431F-B949-5DA375871D35}"/>
    <cellStyle name="Percentuale 23 3 3" xfId="4331" xr:uid="{F874927C-7A57-4E01-BC96-C52FB8260D43}"/>
    <cellStyle name="Percentuale 23 3 3 2" xfId="9443" xr:uid="{CF381FBD-8D45-4340-8506-22101A44F71A}"/>
    <cellStyle name="Percentuale 23 3 3 2 2" xfId="28190" xr:uid="{61E58FBC-66EA-4EC4-A265-256C2670B564}"/>
    <cellStyle name="Percentuale 23 3 3 3" xfId="28191" xr:uid="{AAF6E8FC-C6FD-43DD-8235-FF0ADA77E445}"/>
    <cellStyle name="Percentuale 23 3 3 4" xfId="28192" xr:uid="{5ED6613D-51CB-4CBE-A6AA-07949F9214FC}"/>
    <cellStyle name="Percentuale 23 3 3 4 2" xfId="49139" xr:uid="{235D511E-9B9C-4B8B-BCEF-F4F71564DF70}"/>
    <cellStyle name="Percentuale 23 3 3 5" xfId="28189" xr:uid="{D570D591-5CF4-48AB-A7F1-D40F80BE10F6}"/>
    <cellStyle name="Percentuale 23 3 4" xfId="4332" xr:uid="{B11250AF-04B5-4181-B427-3D0D2B26089F}"/>
    <cellStyle name="Percentuale 23 3 4 2" xfId="13792" xr:uid="{C4DDEEFA-AE12-48FF-9590-D3EE9C9E3C1E}"/>
    <cellStyle name="Percentuale 23 3 4 3" xfId="28193" xr:uid="{193ACD70-4E49-4D83-9A95-8DB6B1DFE296}"/>
    <cellStyle name="Percentuale 23 3 5" xfId="12262" xr:uid="{3E3C8F2E-303F-4269-9B0D-95C21F150A79}"/>
    <cellStyle name="Percentuale 23 3 5 2" xfId="28194" xr:uid="{5D30DC28-08E0-4A50-8E9D-8F7E92861DBF}"/>
    <cellStyle name="Percentuale 23 3 6" xfId="28195" xr:uid="{3428D626-4DD8-4433-9C26-19BFC76497A8}"/>
    <cellStyle name="Percentuale 23 3 6 2" xfId="49140" xr:uid="{DD9E044C-4239-4F27-9AF7-5B7EE8723F98}"/>
    <cellStyle name="Percentuale 23 3 7" xfId="28196" xr:uid="{052EBDA8-B2EC-4F99-918E-633E2F2F217D}"/>
    <cellStyle name="Percentuale 23 3 8" xfId="28183" xr:uid="{68574E7D-FCE6-4B85-A01D-BB54188422FF}"/>
    <cellStyle name="Percentuale 23 4" xfId="2333" xr:uid="{00000000-0005-0000-0000-000043080000}"/>
    <cellStyle name="Percentuale 23 4 2" xfId="2334" xr:uid="{00000000-0005-0000-0000-000044080000}"/>
    <cellStyle name="Percentuale 23 4 2 2" xfId="9444" xr:uid="{969738AF-1394-4BCC-A0C5-6C10BF0B96EE}"/>
    <cellStyle name="Percentuale 23 4 2 2 2" xfId="28199" xr:uid="{1896899C-5D99-4C9C-B973-D36551AF25EF}"/>
    <cellStyle name="Percentuale 23 4 2 3" xfId="17917" xr:uid="{CAC90337-3538-4E28-9398-D633DA727565}"/>
    <cellStyle name="Percentuale 23 4 2 3 2" xfId="28200" xr:uid="{912BF4A1-8F24-4117-95DF-C61902213A09}"/>
    <cellStyle name="Percentuale 23 4 2 4" xfId="28198" xr:uid="{5F1974FE-414D-4A51-90E3-2CD22AD88FA7}"/>
    <cellStyle name="Percentuale 23 4 2 5" xfId="17525" xr:uid="{FDCFAEF1-3D08-4026-B6AA-08C5896CE284}"/>
    <cellStyle name="Percentuale 23 4 3" xfId="9445" xr:uid="{E85D7431-571F-4E3A-B612-0AF29D660AEE}"/>
    <cellStyle name="Percentuale 23 4 3 2" xfId="28201" xr:uid="{4C988DFA-6EEA-4161-9236-FC0FCBB41680}"/>
    <cellStyle name="Percentuale 23 4 4" xfId="28202" xr:uid="{8FFA43BD-2BD5-4A49-ABF9-628C86D8D48D}"/>
    <cellStyle name="Percentuale 23 4 5" xfId="28203" xr:uid="{3A5E972A-EC01-4629-B911-2D39D58B29C3}"/>
    <cellStyle name="Percentuale 23 4 5 2" xfId="49141" xr:uid="{0E046957-465F-4B46-9210-34FF0731D7A6}"/>
    <cellStyle name="Percentuale 23 4 6" xfId="28204" xr:uid="{D19551D6-B83D-40AA-9644-6A6D85151F63}"/>
    <cellStyle name="Percentuale 23 4 7" xfId="28197" xr:uid="{A7EC0BFF-A204-4EBB-8F5D-250AE9CC815B}"/>
    <cellStyle name="Percentuale 23 5" xfId="2335" xr:uid="{00000000-0005-0000-0000-000045080000}"/>
    <cellStyle name="Percentuale 23 5 2" xfId="28206" xr:uid="{AFB34C3C-1908-4928-9F5C-99B7EF2C02A5}"/>
    <cellStyle name="Percentuale 23 5 3" xfId="28207" xr:uid="{B72283BB-99C6-4E4A-A346-1AF78A3FC9C3}"/>
    <cellStyle name="Percentuale 23 5 3 2" xfId="49142" xr:uid="{52D5CC27-53CE-491D-9DFF-432E74CBBA2F}"/>
    <cellStyle name="Percentuale 23 5 4" xfId="28208" xr:uid="{B3593DCD-BB0F-4C14-85D2-CE93FFF246FA}"/>
    <cellStyle name="Percentuale 23 5 5" xfId="28205" xr:uid="{902E0989-EA93-4E09-8074-53953CEE865D}"/>
    <cellStyle name="Percentuale 23 6" xfId="4333" xr:uid="{8B582DA5-B09C-49DD-9BDF-C33F5690D056}"/>
    <cellStyle name="Percentuale 23 6 2" xfId="9826" xr:uid="{C6C1537B-745E-4E67-A3BF-2F9FA799A101}"/>
    <cellStyle name="Percentuale 23 6 3" xfId="28209" xr:uid="{2FDA0A08-0C98-46F3-B508-7AF7CCA4D2A9}"/>
    <cellStyle name="Percentuale 23 7" xfId="28210" xr:uid="{27DE0A60-5445-4AAD-AA70-737C17F86A41}"/>
    <cellStyle name="Percentuale 23 7 2" xfId="49143" xr:uid="{1C270B1E-4F57-436F-A88A-8B7404C90D96}"/>
    <cellStyle name="Percentuale 23 8" xfId="28177" xr:uid="{8266EF75-BFBD-4843-9AE2-4E13035D4F76}"/>
    <cellStyle name="Percentuale 24" xfId="1034" xr:uid="{00000000-0005-0000-0000-000046080000}"/>
    <cellStyle name="Percentuale 24 2" xfId="1035" xr:uid="{00000000-0005-0000-0000-000047080000}"/>
    <cellStyle name="Percentuale 24 2 2" xfId="4334" xr:uid="{80AB36F7-E95B-42F2-9E36-2D8AE21EE450}"/>
    <cellStyle name="Percentuale 24 2 2 2" xfId="13578" xr:uid="{D638F76F-4644-4CED-BE8D-83F5D59253CF}"/>
    <cellStyle name="Percentuale 24 2 2 3" xfId="28213" xr:uid="{EF6DAACD-270F-40E8-AEE8-E170E1E814FC}"/>
    <cellStyle name="Percentuale 24 2 3" xfId="13316" xr:uid="{656E87A9-DCA1-42E1-93AC-4B71668E7293}"/>
    <cellStyle name="Percentuale 24 2 3 2" xfId="28214" xr:uid="{FE014AC8-154F-48E2-ABA4-C26A2604F3F0}"/>
    <cellStyle name="Percentuale 24 2 4" xfId="28215" xr:uid="{DA437C29-ED3A-48AA-A38A-F96E26447739}"/>
    <cellStyle name="Percentuale 24 2 4 2" xfId="49144" xr:uid="{D6B76C1C-B127-4B36-B5E0-A3B20C2BA14A}"/>
    <cellStyle name="Percentuale 24 2 5" xfId="28216" xr:uid="{F004E12B-7E8D-4F49-B9AB-71A952030CF8}"/>
    <cellStyle name="Percentuale 24 2 6" xfId="28212" xr:uid="{0BF218AC-9E68-4B93-8416-19707AE8C35F}"/>
    <cellStyle name="Percentuale 24 3" xfId="1036" xr:uid="{00000000-0005-0000-0000-000048080000}"/>
    <cellStyle name="Percentuale 24 3 2" xfId="1037" xr:uid="{00000000-0005-0000-0000-000049080000}"/>
    <cellStyle name="Percentuale 24 3 2 2" xfId="2336" xr:uid="{00000000-0005-0000-0000-00004A080000}"/>
    <cellStyle name="Percentuale 24 3 2 2 2" xfId="28220" xr:uid="{561EFE2C-9221-44DF-BC61-062D612C0022}"/>
    <cellStyle name="Percentuale 24 3 2 2 3" xfId="28219" xr:uid="{3B0948C1-3134-48B5-8FCD-439063271888}"/>
    <cellStyle name="Percentuale 24 3 2 3" xfId="8133" xr:uid="{B0C51059-F573-4D86-9374-769F8CBCADF1}"/>
    <cellStyle name="Percentuale 24 3 2 3 2" xfId="14132" xr:uid="{03DCFBB9-8042-4762-893C-325B48E9F919}"/>
    <cellStyle name="Percentuale 24 3 2 3 3" xfId="28221" xr:uid="{1FCC2CDD-91D2-4E0D-91FA-E3D4FC2FDF4E}"/>
    <cellStyle name="Percentuale 24 3 2 3 4" xfId="49145" xr:uid="{C924F7AB-CF65-4CEB-9CA7-8964D36E5CC2}"/>
    <cellStyle name="Percentuale 24 3 2 4" xfId="28222" xr:uid="{07A9D1E0-50F6-4040-B86D-BA57D77038A5}"/>
    <cellStyle name="Percentuale 24 3 2 5" xfId="28218" xr:uid="{8D5B1645-5A4A-4B2C-A10B-7D0EBBD1DA8E}"/>
    <cellStyle name="Percentuale 24 3 3" xfId="4335" xr:uid="{68423A94-4291-4BC1-98E6-2B168F91C377}"/>
    <cellStyle name="Percentuale 24 3 3 2" xfId="9446" xr:uid="{8E9EC9C0-2594-4509-AB95-30527AF17498}"/>
    <cellStyle name="Percentuale 24 3 3 2 2" xfId="28224" xr:uid="{F73E2FD9-CFEA-4956-836E-34DF8F592CE3}"/>
    <cellStyle name="Percentuale 24 3 3 3" xfId="28225" xr:uid="{B5581BD4-EA8A-4865-BC59-976B89D08FF8}"/>
    <cellStyle name="Percentuale 24 3 3 4" xfId="28226" xr:uid="{59D5A832-6CFD-42C2-B3D1-4CA7B34DA491}"/>
    <cellStyle name="Percentuale 24 3 3 4 2" xfId="49146" xr:uid="{76A2BB13-DE03-4A76-B684-96E6696275D2}"/>
    <cellStyle name="Percentuale 24 3 3 5" xfId="28223" xr:uid="{243D85BA-A70B-4448-B542-783A85F4A550}"/>
    <cellStyle name="Percentuale 24 3 4" xfId="4336" xr:uid="{E4E5BED4-62EA-4707-B05B-82F24A38A5D8}"/>
    <cellStyle name="Percentuale 24 3 4 2" xfId="13793" xr:uid="{4E7BB2D4-D3AF-4C00-961D-A97E910C1079}"/>
    <cellStyle name="Percentuale 24 3 4 3" xfId="28227" xr:uid="{ECF0C729-4D97-46EC-A322-ED3405855E7A}"/>
    <cellStyle name="Percentuale 24 3 5" xfId="11505" xr:uid="{2722335A-9697-4984-BC1C-5D6160840B08}"/>
    <cellStyle name="Percentuale 24 3 5 2" xfId="28228" xr:uid="{1174ED91-84F6-4CD5-B3C1-223F6248D8A5}"/>
    <cellStyle name="Percentuale 24 3 6" xfId="28229" xr:uid="{0D940E5B-B4A4-4341-8CCB-B2014D307C0D}"/>
    <cellStyle name="Percentuale 24 3 6 2" xfId="49147" xr:uid="{D605857B-4C8E-48AF-B127-00CA3AA0D65B}"/>
    <cellStyle name="Percentuale 24 3 7" xfId="28230" xr:uid="{37052193-8ECB-4AF3-9A89-9738F4EDB522}"/>
    <cellStyle name="Percentuale 24 3 8" xfId="28217" xr:uid="{7D4ED1A7-DDAD-4FBC-A1AE-F6EB67C1BFAA}"/>
    <cellStyle name="Percentuale 24 4" xfId="2337" xr:uid="{00000000-0005-0000-0000-00004B080000}"/>
    <cellStyle name="Percentuale 24 4 2" xfId="2338" xr:uid="{00000000-0005-0000-0000-00004C080000}"/>
    <cellStyle name="Percentuale 24 4 2 2" xfId="9447" xr:uid="{B03C79A9-331F-4C56-BB54-9A8A8415EBFE}"/>
    <cellStyle name="Percentuale 24 4 2 2 2" xfId="28233" xr:uid="{90058BAA-8E7A-4EFD-87A1-097BFF70664D}"/>
    <cellStyle name="Percentuale 24 4 2 3" xfId="17918" xr:uid="{D1385522-BBBD-4AF5-B009-02710FF5EEB1}"/>
    <cellStyle name="Percentuale 24 4 2 3 2" xfId="28234" xr:uid="{50B04F3D-7255-47E5-90D7-965E7369EC36}"/>
    <cellStyle name="Percentuale 24 4 2 4" xfId="28232" xr:uid="{B337AEB3-3102-48E3-BD56-111E199B9F97}"/>
    <cellStyle name="Percentuale 24 4 2 5" xfId="17526" xr:uid="{E5BDFAFD-4B8E-4EE1-A41F-DEABE91240FC}"/>
    <cellStyle name="Percentuale 24 4 3" xfId="9448" xr:uid="{CB1DC3EB-759F-4334-8957-AAE9BC590DE4}"/>
    <cellStyle name="Percentuale 24 4 3 2" xfId="28235" xr:uid="{07C3E89A-6DE5-400A-AF18-54DFCA4947C2}"/>
    <cellStyle name="Percentuale 24 4 4" xfId="28236" xr:uid="{B2E11980-F757-4605-92BC-4865A76383D9}"/>
    <cellStyle name="Percentuale 24 4 5" xfId="28237" xr:uid="{0612DF7E-AA7F-45F5-987E-DB9007EAA22F}"/>
    <cellStyle name="Percentuale 24 4 5 2" xfId="49148" xr:uid="{4B3145A2-3D33-4548-B820-D8285D8980DB}"/>
    <cellStyle name="Percentuale 24 4 6" xfId="28238" xr:uid="{5E8DFFEE-F91E-4A6E-ADD9-5CDB49C3D824}"/>
    <cellStyle name="Percentuale 24 4 7" xfId="28231" xr:uid="{CC492767-5778-4EDE-AF2C-C38763DEE1FC}"/>
    <cellStyle name="Percentuale 24 5" xfId="2339" xr:uid="{00000000-0005-0000-0000-00004D080000}"/>
    <cellStyle name="Percentuale 24 5 2" xfId="28240" xr:uid="{26A0AD9E-7F6D-4CF7-BF54-38270E6236AD}"/>
    <cellStyle name="Percentuale 24 5 3" xfId="28241" xr:uid="{4222C95E-33A6-427F-AB0B-D4F7485251E0}"/>
    <cellStyle name="Percentuale 24 5 3 2" xfId="49149" xr:uid="{45E072E9-5D9D-4093-B6CE-78201D101351}"/>
    <cellStyle name="Percentuale 24 5 4" xfId="28242" xr:uid="{D055763F-EF1F-4534-BC69-65C00B1B0205}"/>
    <cellStyle name="Percentuale 24 5 5" xfId="28239" xr:uid="{E7AF6D3F-28AA-4A2D-BB9D-3197554F4819}"/>
    <cellStyle name="Percentuale 24 6" xfId="4337" xr:uid="{DE1861B5-E275-4951-AE40-99028ED65DE1}"/>
    <cellStyle name="Percentuale 24 6 2" xfId="9827" xr:uid="{A1F7006F-41E0-47C2-8EBA-82261F162BDF}"/>
    <cellStyle name="Percentuale 24 6 3" xfId="28243" xr:uid="{A7DCF847-2284-46F3-8616-E08388F432D8}"/>
    <cellStyle name="Percentuale 24 7" xfId="28244" xr:uid="{24B89000-DCE3-414F-9570-F681BD579B7A}"/>
    <cellStyle name="Percentuale 24 7 2" xfId="49150" xr:uid="{8DD823C4-03DB-450E-BFF3-57FD77B093DF}"/>
    <cellStyle name="Percentuale 24 8" xfId="28211" xr:uid="{51A8E7EF-E32A-4A1F-8EDF-EEE407E89F8D}"/>
    <cellStyle name="Percentuale 25" xfId="1038" xr:uid="{00000000-0005-0000-0000-00004E080000}"/>
    <cellStyle name="Percentuale 25 2" xfId="1039" xr:uid="{00000000-0005-0000-0000-00004F080000}"/>
    <cellStyle name="Percentuale 25 2 2" xfId="4338" xr:uid="{D75FEB61-2635-4A05-BC35-447C92348384}"/>
    <cellStyle name="Percentuale 25 2 2 2" xfId="13579" xr:uid="{A63306F5-643F-4C7E-873F-CED18AE6DAB5}"/>
    <cellStyle name="Percentuale 25 2 2 3" xfId="28247" xr:uid="{6ADAD562-DC3B-41E0-9B5A-0BEC8B516F8D}"/>
    <cellStyle name="Percentuale 25 2 3" xfId="13317" xr:uid="{B4B72E71-9A88-402B-A57C-2498ADD8B67D}"/>
    <cellStyle name="Percentuale 25 2 3 2" xfId="28248" xr:uid="{C854D29C-EBC3-4218-B0B3-D17DBEC6CA38}"/>
    <cellStyle name="Percentuale 25 2 4" xfId="28249" xr:uid="{51C29859-3D7D-491D-86B6-29BDE27183E0}"/>
    <cellStyle name="Percentuale 25 2 4 2" xfId="49151" xr:uid="{6D6A9877-D4FC-4620-9853-CEBD4A462FFC}"/>
    <cellStyle name="Percentuale 25 2 5" xfId="28250" xr:uid="{E3809499-D2B6-4643-9574-7392972A5933}"/>
    <cellStyle name="Percentuale 25 2 6" xfId="28246" xr:uid="{5678BEF6-9DA5-4E90-AE50-103A96F0FAFF}"/>
    <cellStyle name="Percentuale 25 3" xfId="1040" xr:uid="{00000000-0005-0000-0000-000050080000}"/>
    <cellStyle name="Percentuale 25 3 2" xfId="1041" xr:uid="{00000000-0005-0000-0000-000051080000}"/>
    <cellStyle name="Percentuale 25 3 2 2" xfId="2340" xr:uid="{00000000-0005-0000-0000-000052080000}"/>
    <cellStyle name="Percentuale 25 3 2 2 2" xfId="28254" xr:uid="{3F8A2843-B579-4083-B3EA-1E8C2521B108}"/>
    <cellStyle name="Percentuale 25 3 2 2 3" xfId="28253" xr:uid="{81269624-4104-48DD-A395-42004139E274}"/>
    <cellStyle name="Percentuale 25 3 2 3" xfId="8134" xr:uid="{35F5E39F-8085-4DB6-9E4E-D601130487B4}"/>
    <cellStyle name="Percentuale 25 3 2 3 2" xfId="14133" xr:uid="{4249E8C2-583F-439C-A7B8-C264606DC473}"/>
    <cellStyle name="Percentuale 25 3 2 3 3" xfId="28255" xr:uid="{C56E7916-903F-4215-A929-2666F0C86609}"/>
    <cellStyle name="Percentuale 25 3 2 3 4" xfId="49152" xr:uid="{4B5B892D-1AC7-4064-A5BA-60B9A02EE5C0}"/>
    <cellStyle name="Percentuale 25 3 2 4" xfId="28256" xr:uid="{C53D9EF9-2FB4-4240-97FF-8B37FB1AEF6B}"/>
    <cellStyle name="Percentuale 25 3 2 5" xfId="28252" xr:uid="{8BE031BB-3C61-47BB-9DA5-D82D0CD1C905}"/>
    <cellStyle name="Percentuale 25 3 3" xfId="4339" xr:uid="{C6C9AA98-5DA7-4219-AFB3-CE9712F908C6}"/>
    <cellStyle name="Percentuale 25 3 3 2" xfId="9449" xr:uid="{92EFB05F-E0C1-46F7-80AB-7565850C3C92}"/>
    <cellStyle name="Percentuale 25 3 3 2 2" xfId="28258" xr:uid="{02F52DD2-02C9-48D7-8158-FCCFE98EBB7A}"/>
    <cellStyle name="Percentuale 25 3 3 3" xfId="28259" xr:uid="{FDC9BB7F-2E01-47A8-BF3C-161051199935}"/>
    <cellStyle name="Percentuale 25 3 3 4" xfId="28260" xr:uid="{80A31559-6EAE-4C06-A61C-9644A6607008}"/>
    <cellStyle name="Percentuale 25 3 3 4 2" xfId="49153" xr:uid="{B7F55B5D-416F-44AC-8F7D-F653FCF870AD}"/>
    <cellStyle name="Percentuale 25 3 3 5" xfId="28257" xr:uid="{20B72442-886F-4D14-9EEA-C4A28A63E8E3}"/>
    <cellStyle name="Percentuale 25 3 4" xfId="4340" xr:uid="{401DD4ED-D35E-4359-95C5-4B760AFA836C}"/>
    <cellStyle name="Percentuale 25 3 4 2" xfId="13794" xr:uid="{5C8C3C77-A454-442D-8660-C0C33AFC2D84}"/>
    <cellStyle name="Percentuale 25 3 4 3" xfId="28261" xr:uid="{3F21B45A-ABA8-4844-A89D-301732429EF1}"/>
    <cellStyle name="Percentuale 25 3 5" xfId="11157" xr:uid="{B17B76E7-149F-44E6-8F1D-01B9E01C3C43}"/>
    <cellStyle name="Percentuale 25 3 5 2" xfId="28262" xr:uid="{88DB0F42-CA52-49F9-9867-3598180EC251}"/>
    <cellStyle name="Percentuale 25 3 6" xfId="28263" xr:uid="{945653AF-9897-49BA-B264-FA3D0B212836}"/>
    <cellStyle name="Percentuale 25 3 6 2" xfId="49154" xr:uid="{23183EC2-F336-46D2-8AB7-55A61AC5E418}"/>
    <cellStyle name="Percentuale 25 3 7" xfId="28264" xr:uid="{36131222-3FD6-41BB-B410-2831ADA3F693}"/>
    <cellStyle name="Percentuale 25 3 8" xfId="28251" xr:uid="{810C9322-12DF-469C-A86C-07C608D3B5BE}"/>
    <cellStyle name="Percentuale 25 4" xfId="2341" xr:uid="{00000000-0005-0000-0000-000053080000}"/>
    <cellStyle name="Percentuale 25 4 2" xfId="2342" xr:uid="{00000000-0005-0000-0000-000054080000}"/>
    <cellStyle name="Percentuale 25 4 2 2" xfId="9450" xr:uid="{5D978EBD-52ED-433C-BCF3-FBF8B7AAFDA5}"/>
    <cellStyle name="Percentuale 25 4 2 2 2" xfId="28267" xr:uid="{2CE101CC-77BC-46EC-A4FD-7F7BF013205E}"/>
    <cellStyle name="Percentuale 25 4 2 3" xfId="17919" xr:uid="{D9E81688-9D36-4A3B-A3FD-4EA362306D49}"/>
    <cellStyle name="Percentuale 25 4 2 3 2" xfId="28268" xr:uid="{E4D65040-58FC-440F-89F9-DFB601508374}"/>
    <cellStyle name="Percentuale 25 4 2 4" xfId="28266" xr:uid="{FFEF3116-432E-4AE0-BAD6-7FB414FE33F6}"/>
    <cellStyle name="Percentuale 25 4 2 5" xfId="17527" xr:uid="{51EA9CF5-AFEB-4E4E-AEA5-F2A6C3BF1FE7}"/>
    <cellStyle name="Percentuale 25 4 3" xfId="9451" xr:uid="{7FC96DF9-64D8-4104-A418-DACB57AD4A9B}"/>
    <cellStyle name="Percentuale 25 4 3 2" xfId="28269" xr:uid="{E7E4667B-3164-49B1-911A-D224F1ABB537}"/>
    <cellStyle name="Percentuale 25 4 4" xfId="28270" xr:uid="{7E0C3122-48B3-4F3C-B179-4CA08B2F60E6}"/>
    <cellStyle name="Percentuale 25 4 5" xfId="28271" xr:uid="{B0228B8B-70B1-42EF-83DA-E473FA59EFC6}"/>
    <cellStyle name="Percentuale 25 4 5 2" xfId="49155" xr:uid="{BE92AE46-4C30-432D-810A-FCF6BD01F750}"/>
    <cellStyle name="Percentuale 25 4 6" xfId="28272" xr:uid="{54FE9224-ECEB-459B-B1E0-02B1F0CD5118}"/>
    <cellStyle name="Percentuale 25 4 7" xfId="28265" xr:uid="{C719E1B5-862D-408F-98D3-B91EA317322A}"/>
    <cellStyle name="Percentuale 25 5" xfId="2343" xr:uid="{00000000-0005-0000-0000-000055080000}"/>
    <cellStyle name="Percentuale 25 5 2" xfId="28274" xr:uid="{A9AE43C2-833B-4187-BDB6-D4651A0D7DE0}"/>
    <cellStyle name="Percentuale 25 5 3" xfId="28275" xr:uid="{67349E4D-0277-4152-86D2-249FB999649F}"/>
    <cellStyle name="Percentuale 25 5 3 2" xfId="49156" xr:uid="{A4568716-0390-4349-A984-950C5995B685}"/>
    <cellStyle name="Percentuale 25 5 4" xfId="28276" xr:uid="{4C2BBF6D-B72C-4724-8298-DE1DD063B916}"/>
    <cellStyle name="Percentuale 25 5 5" xfId="28273" xr:uid="{9BF7B80E-41C5-4605-B746-126BFEE9C645}"/>
    <cellStyle name="Percentuale 25 6" xfId="4341" xr:uid="{0344AB72-D7EE-4F5C-A1DA-12D7E804C5E1}"/>
    <cellStyle name="Percentuale 25 6 2" xfId="9828" xr:uid="{F506BF5E-88C7-412E-A578-6931A594C5CB}"/>
    <cellStyle name="Percentuale 25 6 3" xfId="28277" xr:uid="{7F6BF741-8A5C-4172-A62F-77FF85DB2C11}"/>
    <cellStyle name="Percentuale 25 7" xfId="28278" xr:uid="{298A0BFD-B4D0-462B-88F4-A8A72C450DB8}"/>
    <cellStyle name="Percentuale 25 7 2" xfId="49157" xr:uid="{324A49B0-5BB1-4303-9AF2-68B737C4A2D7}"/>
    <cellStyle name="Percentuale 25 8" xfId="28245" xr:uid="{976C9B23-57B2-4269-80D4-D006FF3756BF}"/>
    <cellStyle name="Percentuale 26" xfId="1042" xr:uid="{00000000-0005-0000-0000-000056080000}"/>
    <cellStyle name="Percentuale 26 2" xfId="1043" xr:uid="{00000000-0005-0000-0000-000057080000}"/>
    <cellStyle name="Percentuale 26 2 2" xfId="4342" xr:uid="{72C4A156-A104-4DFD-A6AC-816EAE1B456F}"/>
    <cellStyle name="Percentuale 26 2 2 2" xfId="13580" xr:uid="{4C83D47E-7B38-4C52-AB1D-BCC4C33967FF}"/>
    <cellStyle name="Percentuale 26 2 2 3" xfId="28281" xr:uid="{9D56AE67-88EB-4EC1-94FD-0FD76C46C70B}"/>
    <cellStyle name="Percentuale 26 2 3" xfId="13318" xr:uid="{9CC43FB0-6D4D-4366-9129-B13ADF097B19}"/>
    <cellStyle name="Percentuale 26 2 3 2" xfId="28282" xr:uid="{3DE94C26-84C4-4929-A28B-5DA7FE363461}"/>
    <cellStyle name="Percentuale 26 2 4" xfId="28283" xr:uid="{760EE331-9BE6-462C-8E56-0C7AF1535A10}"/>
    <cellStyle name="Percentuale 26 2 4 2" xfId="49158" xr:uid="{8510B83F-E044-4D42-A275-965D7C384F2A}"/>
    <cellStyle name="Percentuale 26 2 5" xfId="28284" xr:uid="{C83E61F6-CCE4-43C8-8D7E-187DC9C3EC13}"/>
    <cellStyle name="Percentuale 26 2 6" xfId="28280" xr:uid="{422E93DF-1B3F-4378-ACCB-5259D11C1EFC}"/>
    <cellStyle name="Percentuale 26 3" xfId="1044" xr:uid="{00000000-0005-0000-0000-000058080000}"/>
    <cellStyle name="Percentuale 26 3 2" xfId="1045" xr:uid="{00000000-0005-0000-0000-000059080000}"/>
    <cellStyle name="Percentuale 26 3 2 2" xfId="2344" xr:uid="{00000000-0005-0000-0000-00005A080000}"/>
    <cellStyle name="Percentuale 26 3 2 2 2" xfId="28288" xr:uid="{FA09C231-0A61-418B-9EE0-A1FCEEAEAB40}"/>
    <cellStyle name="Percentuale 26 3 2 2 3" xfId="28287" xr:uid="{AECA11FD-8629-428D-826D-D89E9DA85441}"/>
    <cellStyle name="Percentuale 26 3 2 3" xfId="8135" xr:uid="{7BA32D7E-3F6E-4E1F-90C7-AB95FDBC0965}"/>
    <cellStyle name="Percentuale 26 3 2 3 2" xfId="14134" xr:uid="{E7507010-BA48-4133-82CD-E31AC9353C33}"/>
    <cellStyle name="Percentuale 26 3 2 3 3" xfId="28289" xr:uid="{B6C1127A-DA7C-4A6D-A7E8-E0C2B217690A}"/>
    <cellStyle name="Percentuale 26 3 2 3 4" xfId="49159" xr:uid="{98510169-8CDD-495C-AFEF-F69533906F7B}"/>
    <cellStyle name="Percentuale 26 3 2 4" xfId="28290" xr:uid="{77160C9B-2A52-4BFA-8EC5-6DA2778B3F6B}"/>
    <cellStyle name="Percentuale 26 3 2 5" xfId="28286" xr:uid="{7DC3CFC7-9830-4515-8053-A7A93110E789}"/>
    <cellStyle name="Percentuale 26 3 3" xfId="4343" xr:uid="{20F20252-975D-46B3-9784-EFF3FCF71703}"/>
    <cellStyle name="Percentuale 26 3 3 2" xfId="9452" xr:uid="{9729CCF8-03E5-4C42-AD10-43824C2F8355}"/>
    <cellStyle name="Percentuale 26 3 3 2 2" xfId="28292" xr:uid="{AE44E28C-011A-480B-A48E-21232EDF88C0}"/>
    <cellStyle name="Percentuale 26 3 3 3" xfId="28293" xr:uid="{DA572942-CC3C-490A-ACC0-27E3EF1AB4A0}"/>
    <cellStyle name="Percentuale 26 3 3 4" xfId="28294" xr:uid="{A76D4244-EAEB-4A3F-9C03-3BDE6B511CAC}"/>
    <cellStyle name="Percentuale 26 3 3 4 2" xfId="49160" xr:uid="{41291A6F-0451-4B28-B5DB-D58D47742913}"/>
    <cellStyle name="Percentuale 26 3 3 5" xfId="28291" xr:uid="{4994514C-B373-4E36-9FFA-BB547E63AE65}"/>
    <cellStyle name="Percentuale 26 3 4" xfId="4344" xr:uid="{42E27C82-5218-408B-9D6F-B44AC517E865}"/>
    <cellStyle name="Percentuale 26 3 4 2" xfId="13795" xr:uid="{A45911F0-E2E8-44AE-A5DE-3653C56C52D5}"/>
    <cellStyle name="Percentuale 26 3 4 3" xfId="28295" xr:uid="{188AAB2C-9C9C-48D8-9DC9-3940CD5D82E9}"/>
    <cellStyle name="Percentuale 26 3 5" xfId="12300" xr:uid="{B7C65E33-81C6-43CC-9A44-B8DFBE905A0D}"/>
    <cellStyle name="Percentuale 26 3 5 2" xfId="28296" xr:uid="{F0BA092B-9F65-4108-B2ED-474EA59CC5B7}"/>
    <cellStyle name="Percentuale 26 3 6" xfId="28297" xr:uid="{84B35071-07A2-4FFA-BABE-9E495B2A80BF}"/>
    <cellStyle name="Percentuale 26 3 6 2" xfId="49161" xr:uid="{06338D2E-6FBB-4B50-B4A0-C3C8938DC4B1}"/>
    <cellStyle name="Percentuale 26 3 7" xfId="28298" xr:uid="{75D08562-149D-47E5-8FDB-A8E4A4E52257}"/>
    <cellStyle name="Percentuale 26 3 8" xfId="28285" xr:uid="{D3675C67-B4CF-41A1-8CD6-D4703F3F37A2}"/>
    <cellStyle name="Percentuale 26 4" xfId="2345" xr:uid="{00000000-0005-0000-0000-00005B080000}"/>
    <cellStyle name="Percentuale 26 4 2" xfId="2346" xr:uid="{00000000-0005-0000-0000-00005C080000}"/>
    <cellStyle name="Percentuale 26 4 2 2" xfId="9453" xr:uid="{F9743091-8262-45D2-8E0A-35B65D130A71}"/>
    <cellStyle name="Percentuale 26 4 2 2 2" xfId="28301" xr:uid="{E1299068-72CE-44E4-ADEC-9D3693FB5F25}"/>
    <cellStyle name="Percentuale 26 4 2 3" xfId="17920" xr:uid="{012AF79C-CA19-47E2-849C-37C5CFEDB81C}"/>
    <cellStyle name="Percentuale 26 4 2 3 2" xfId="28302" xr:uid="{284D240A-99F2-47EB-960C-CF8178C31CE2}"/>
    <cellStyle name="Percentuale 26 4 2 4" xfId="28300" xr:uid="{C2CB640E-D934-41A6-861B-6B2216B7B8C5}"/>
    <cellStyle name="Percentuale 26 4 2 5" xfId="17528" xr:uid="{60811ABF-5B96-4AC7-9834-96AD28341419}"/>
    <cellStyle name="Percentuale 26 4 3" xfId="9454" xr:uid="{7790E3EA-21ED-439D-BA1F-C79A65E2CEDF}"/>
    <cellStyle name="Percentuale 26 4 3 2" xfId="28303" xr:uid="{205A1363-0BF8-4D86-B098-E5FE3C0FA823}"/>
    <cellStyle name="Percentuale 26 4 4" xfId="28304" xr:uid="{B17C1F72-3DEB-427B-B74C-C0CBA35A2CEB}"/>
    <cellStyle name="Percentuale 26 4 5" xfId="28305" xr:uid="{BA5FB993-CE12-44A7-9FF8-F9E792B8D107}"/>
    <cellStyle name="Percentuale 26 4 5 2" xfId="49162" xr:uid="{171305EE-939B-49E3-B383-FBC7FE2800EB}"/>
    <cellStyle name="Percentuale 26 4 6" xfId="28306" xr:uid="{FEE3F6C1-37A7-45B5-8E76-3866E6F45BA8}"/>
    <cellStyle name="Percentuale 26 4 7" xfId="28299" xr:uid="{72AC5CC6-F2FC-4D70-AD81-A98A7BEB8DCB}"/>
    <cellStyle name="Percentuale 26 5" xfId="2347" xr:uid="{00000000-0005-0000-0000-00005D080000}"/>
    <cellStyle name="Percentuale 26 5 2" xfId="28308" xr:uid="{E629D19A-19E5-436A-ACAF-5447B59F4DCC}"/>
    <cellStyle name="Percentuale 26 5 3" xfId="28309" xr:uid="{4317D436-A704-417F-986A-9EC583843B07}"/>
    <cellStyle name="Percentuale 26 5 3 2" xfId="49163" xr:uid="{57B1B5A5-A1BF-4302-B099-B95251FE89F2}"/>
    <cellStyle name="Percentuale 26 5 4" xfId="28310" xr:uid="{B9328A7B-A758-4194-BD4C-3A0C970F6682}"/>
    <cellStyle name="Percentuale 26 5 5" xfId="28307" xr:uid="{3D3717AE-3EEE-4E72-ABF8-ADE58285E7AD}"/>
    <cellStyle name="Percentuale 26 6" xfId="4345" xr:uid="{6F3222A7-5539-4DA3-B5ED-41D2B52F9043}"/>
    <cellStyle name="Percentuale 26 6 2" xfId="9829" xr:uid="{564A19B8-79BF-424C-87D1-DC84BF15FEF0}"/>
    <cellStyle name="Percentuale 26 6 3" xfId="28311" xr:uid="{118DEE2D-AFEA-434A-9784-CA0B47E1D6D2}"/>
    <cellStyle name="Percentuale 26 7" xfId="28312" xr:uid="{10998950-E9BC-4DC4-9E26-86C5FB1C28E4}"/>
    <cellStyle name="Percentuale 26 7 2" xfId="49164" xr:uid="{C5176A30-C07D-4702-8F73-520E7BBEAD39}"/>
    <cellStyle name="Percentuale 26 8" xfId="28279" xr:uid="{F74818D0-B19C-4F52-A516-B5A9C31F6B72}"/>
    <cellStyle name="Percentuale 27" xfId="1046" xr:uid="{00000000-0005-0000-0000-00005E080000}"/>
    <cellStyle name="Percentuale 27 2" xfId="1047" xr:uid="{00000000-0005-0000-0000-00005F080000}"/>
    <cellStyle name="Percentuale 27 2 2" xfId="4346" xr:uid="{A9465755-FDE7-48E6-BA08-A512809C0D88}"/>
    <cellStyle name="Percentuale 27 2 2 2" xfId="13581" xr:uid="{29FE7C62-EC2F-4AA9-B721-85B5C4F37140}"/>
    <cellStyle name="Percentuale 27 2 2 3" xfId="28315" xr:uid="{9B6921FE-6882-4E3F-B14E-E3E207D11E54}"/>
    <cellStyle name="Percentuale 27 2 3" xfId="13319" xr:uid="{3895229F-4786-4E7C-883B-A5C4B763EB12}"/>
    <cellStyle name="Percentuale 27 2 3 2" xfId="28316" xr:uid="{08866C81-11BC-45BF-8D3B-B267C8588AFB}"/>
    <cellStyle name="Percentuale 27 2 4" xfId="28317" xr:uid="{E77E47F0-0A90-43DD-B73F-6372BBAE916E}"/>
    <cellStyle name="Percentuale 27 2 4 2" xfId="49165" xr:uid="{F970F641-4EDF-4174-A370-D7623A8E4135}"/>
    <cellStyle name="Percentuale 27 2 5" xfId="28318" xr:uid="{7BB7FC41-E847-4CBB-AE39-C60D5EC6CF78}"/>
    <cellStyle name="Percentuale 27 2 6" xfId="28314" xr:uid="{F04AC45A-7888-43CB-A74D-09B230DE43D2}"/>
    <cellStyle name="Percentuale 27 3" xfId="1048" xr:uid="{00000000-0005-0000-0000-000060080000}"/>
    <cellStyle name="Percentuale 27 3 2" xfId="1049" xr:uid="{00000000-0005-0000-0000-000061080000}"/>
    <cellStyle name="Percentuale 27 3 2 2" xfId="2348" xr:uid="{00000000-0005-0000-0000-000062080000}"/>
    <cellStyle name="Percentuale 27 3 2 2 2" xfId="28322" xr:uid="{9B26FEF2-9CDF-4ADD-BE15-521D3C1C59D8}"/>
    <cellStyle name="Percentuale 27 3 2 2 3" xfId="28321" xr:uid="{AD737A98-08D1-4B32-B13A-5E7181B333B6}"/>
    <cellStyle name="Percentuale 27 3 2 3" xfId="8136" xr:uid="{64C55CE8-A450-427D-957C-60AC3EEDCE14}"/>
    <cellStyle name="Percentuale 27 3 2 3 2" xfId="14135" xr:uid="{D6BB2A91-4363-4B6B-98E8-B9DD71CE0EC6}"/>
    <cellStyle name="Percentuale 27 3 2 3 3" xfId="28323" xr:uid="{716A2B5E-EE3B-43EB-BE4C-45AAD8FF09FB}"/>
    <cellStyle name="Percentuale 27 3 2 3 4" xfId="49166" xr:uid="{6F1D2001-8FB4-4C01-B200-5636676F8C82}"/>
    <cellStyle name="Percentuale 27 3 2 4" xfId="28324" xr:uid="{79547A01-4A50-4FD3-8AFE-B6CA6EC31B9C}"/>
    <cellStyle name="Percentuale 27 3 2 5" xfId="28320" xr:uid="{35348ABA-9E01-4006-9240-212B7FB1656E}"/>
    <cellStyle name="Percentuale 27 3 3" xfId="4347" xr:uid="{8CF57C26-C15C-424F-9D5E-CD265DC0E123}"/>
    <cellStyle name="Percentuale 27 3 3 2" xfId="9455" xr:uid="{884B199F-DE7C-44B6-867C-56AD9771E456}"/>
    <cellStyle name="Percentuale 27 3 3 2 2" xfId="28326" xr:uid="{D63645B6-2F94-41AD-B545-346ACB9EE06F}"/>
    <cellStyle name="Percentuale 27 3 3 3" xfId="28327" xr:uid="{7FF6ACB8-591D-4C01-8173-6F4509CEC177}"/>
    <cellStyle name="Percentuale 27 3 3 4" xfId="28328" xr:uid="{DF9C4CE2-0F4D-4748-BC29-3B18873DADD4}"/>
    <cellStyle name="Percentuale 27 3 3 4 2" xfId="49167" xr:uid="{DBEC013A-2EE4-4532-A7BB-E0AEE4B66F83}"/>
    <cellStyle name="Percentuale 27 3 3 5" xfId="28325" xr:uid="{792FABE0-0A30-4C3B-A4A4-5A3454B0A0C1}"/>
    <cellStyle name="Percentuale 27 3 4" xfId="4348" xr:uid="{204A3C27-331E-4B02-A048-0679E2E2A764}"/>
    <cellStyle name="Percentuale 27 3 4 2" xfId="13796" xr:uid="{4253A2D8-AD11-43E9-8D6D-8BAF1F76BD50}"/>
    <cellStyle name="Percentuale 27 3 4 3" xfId="28329" xr:uid="{52D49CF1-F4FA-4C91-89E6-654918FBD26B}"/>
    <cellStyle name="Percentuale 27 3 5" xfId="12429" xr:uid="{9938AD14-A639-4674-886B-5EC5D059C5CD}"/>
    <cellStyle name="Percentuale 27 3 5 2" xfId="28330" xr:uid="{C487F888-2BE8-416D-93F2-417977456FB5}"/>
    <cellStyle name="Percentuale 27 3 6" xfId="28331" xr:uid="{84BF66A2-F418-4EF0-B5EF-5AC0D9185A86}"/>
    <cellStyle name="Percentuale 27 3 6 2" xfId="49168" xr:uid="{7B90BCE4-2AE6-4C57-985F-18B8905AA27A}"/>
    <cellStyle name="Percentuale 27 3 7" xfId="28332" xr:uid="{F269F8E1-13EF-4942-940E-882DF6640864}"/>
    <cellStyle name="Percentuale 27 3 8" xfId="28319" xr:uid="{0DD19C0B-DA39-49B7-BBC1-2496D31CA280}"/>
    <cellStyle name="Percentuale 27 4" xfId="2349" xr:uid="{00000000-0005-0000-0000-000063080000}"/>
    <cellStyle name="Percentuale 27 4 2" xfId="2350" xr:uid="{00000000-0005-0000-0000-000064080000}"/>
    <cellStyle name="Percentuale 27 4 2 2" xfId="9456" xr:uid="{6D901602-467C-4A52-AB13-2987C441027A}"/>
    <cellStyle name="Percentuale 27 4 2 2 2" xfId="28335" xr:uid="{D308CD35-0C57-4F58-BB3D-9D3B375CF161}"/>
    <cellStyle name="Percentuale 27 4 2 3" xfId="17921" xr:uid="{A0AB9D83-ACFA-4513-B0FE-A9FD8BC3FDDD}"/>
    <cellStyle name="Percentuale 27 4 2 3 2" xfId="28336" xr:uid="{D7453957-EBF9-45C6-BE8D-0610413F52D2}"/>
    <cellStyle name="Percentuale 27 4 2 4" xfId="28334" xr:uid="{9A7CDF75-C991-4942-B892-07ED486250E7}"/>
    <cellStyle name="Percentuale 27 4 2 5" xfId="17529" xr:uid="{4DFEAA94-A4B8-4710-91DF-B4E9A579AB7D}"/>
    <cellStyle name="Percentuale 27 4 3" xfId="9457" xr:uid="{C1DAC2DE-C59B-42FA-8A7E-5F91DFEFE711}"/>
    <cellStyle name="Percentuale 27 4 3 2" xfId="28337" xr:uid="{AC9E0967-BA00-400A-BA53-053CFDACB85B}"/>
    <cellStyle name="Percentuale 27 4 4" xfId="28338" xr:uid="{C3305EEC-7A90-4B66-A329-0B2D8A7CDEBE}"/>
    <cellStyle name="Percentuale 27 4 5" xfId="28339" xr:uid="{B48D87B3-5B24-4F61-8BEC-0CCD64AADE06}"/>
    <cellStyle name="Percentuale 27 4 5 2" xfId="49169" xr:uid="{F5D2A31C-15BE-46A0-8C34-1B3F34E7A569}"/>
    <cellStyle name="Percentuale 27 4 6" xfId="28340" xr:uid="{9D4CAE02-3F7B-4FFF-B0C7-CC6070810197}"/>
    <cellStyle name="Percentuale 27 4 7" xfId="28333" xr:uid="{B4B77B15-744C-4057-8A43-6AE110990154}"/>
    <cellStyle name="Percentuale 27 5" xfId="2351" xr:uid="{00000000-0005-0000-0000-000065080000}"/>
    <cellStyle name="Percentuale 27 5 2" xfId="28342" xr:uid="{D8E500C1-2A59-44F6-A2D1-6481378E1A4C}"/>
    <cellStyle name="Percentuale 27 5 3" xfId="28343" xr:uid="{721303AA-92FD-4343-BEF0-AC4AEB6A83AD}"/>
    <cellStyle name="Percentuale 27 5 3 2" xfId="49170" xr:uid="{0267DEDD-75C9-413D-829F-3C76B07F8E85}"/>
    <cellStyle name="Percentuale 27 5 4" xfId="28344" xr:uid="{4A8623FD-A612-49D1-8D40-DF1E09E24024}"/>
    <cellStyle name="Percentuale 27 5 5" xfId="28341" xr:uid="{7BF93991-0C6E-400C-B274-0A013DAD940F}"/>
    <cellStyle name="Percentuale 27 6" xfId="4349" xr:uid="{A15516B8-342A-443C-8DD4-67589E27CD21}"/>
    <cellStyle name="Percentuale 27 6 2" xfId="9830" xr:uid="{A53EEBE5-F1AC-4232-BD57-47967AEF756E}"/>
    <cellStyle name="Percentuale 27 6 3" xfId="28345" xr:uid="{1D7A8A1B-6384-45C8-8C21-7EE77E7DF3BF}"/>
    <cellStyle name="Percentuale 27 7" xfId="28346" xr:uid="{30D778A0-AED3-4ACA-96CF-4A9787E3D825}"/>
    <cellStyle name="Percentuale 27 7 2" xfId="49171" xr:uid="{4FAC363B-C581-416A-8089-9B7AA309166A}"/>
    <cellStyle name="Percentuale 27 8" xfId="28313" xr:uid="{092853D5-FAC9-448D-93F2-6EECB4BE8546}"/>
    <cellStyle name="Percentuale 28" xfId="1050" xr:uid="{00000000-0005-0000-0000-000066080000}"/>
    <cellStyle name="Percentuale 28 2" xfId="1051" xr:uid="{00000000-0005-0000-0000-000067080000}"/>
    <cellStyle name="Percentuale 28 2 2" xfId="4350" xr:uid="{E94A0CCE-3B7B-4A45-B100-91C9C783C72B}"/>
    <cellStyle name="Percentuale 28 2 2 2" xfId="13582" xr:uid="{CA04B7DF-627A-4A7E-851F-52D5BCD8F40E}"/>
    <cellStyle name="Percentuale 28 2 2 3" xfId="28349" xr:uid="{18B06009-D2D1-4340-9929-D35C39BC7403}"/>
    <cellStyle name="Percentuale 28 2 3" xfId="13320" xr:uid="{5915AED0-A125-4068-A033-3F9FD62285DD}"/>
    <cellStyle name="Percentuale 28 2 3 2" xfId="28350" xr:uid="{DE1F674F-B0FF-4234-97DB-9B79F27DD03F}"/>
    <cellStyle name="Percentuale 28 2 4" xfId="28351" xr:uid="{F5968861-6E35-4858-ABDB-00DB1ACB55B7}"/>
    <cellStyle name="Percentuale 28 2 4 2" xfId="49172" xr:uid="{F30A1AD1-2CD8-4383-A310-637060E1DAAA}"/>
    <cellStyle name="Percentuale 28 2 5" xfId="28352" xr:uid="{71588ADA-49FB-4930-887D-FBDA2A40CC56}"/>
    <cellStyle name="Percentuale 28 2 6" xfId="28348" xr:uid="{C4CF9FF0-1530-461B-B7C2-741A8115ED2F}"/>
    <cellStyle name="Percentuale 28 3" xfId="1052" xr:uid="{00000000-0005-0000-0000-000068080000}"/>
    <cellStyle name="Percentuale 28 3 2" xfId="1053" xr:uid="{00000000-0005-0000-0000-000069080000}"/>
    <cellStyle name="Percentuale 28 3 2 2" xfId="2352" xr:uid="{00000000-0005-0000-0000-00006A080000}"/>
    <cellStyle name="Percentuale 28 3 2 2 2" xfId="28356" xr:uid="{8A5537EB-916C-40BE-BAC4-BBFE008C851B}"/>
    <cellStyle name="Percentuale 28 3 2 2 3" xfId="28355" xr:uid="{B2EBD44D-ED2A-4F62-AF02-E66B5F27DC1C}"/>
    <cellStyle name="Percentuale 28 3 2 3" xfId="8137" xr:uid="{0B12ADF7-8DA2-4DA0-8B53-CA19578C9459}"/>
    <cellStyle name="Percentuale 28 3 2 3 2" xfId="14136" xr:uid="{30FFF422-E9B6-4849-942A-1C347CBEAED2}"/>
    <cellStyle name="Percentuale 28 3 2 3 3" xfId="28357" xr:uid="{AF477C69-C573-463F-A0E0-B27E0CA631B6}"/>
    <cellStyle name="Percentuale 28 3 2 3 4" xfId="49173" xr:uid="{E9E7D993-0DB4-4CA9-BCF4-A4970E1F5040}"/>
    <cellStyle name="Percentuale 28 3 2 4" xfId="28358" xr:uid="{61993FE1-807E-46D9-AD68-4AF27C941485}"/>
    <cellStyle name="Percentuale 28 3 2 5" xfId="28354" xr:uid="{B7BD8434-C952-4531-BA52-9F199B4F36C4}"/>
    <cellStyle name="Percentuale 28 3 3" xfId="4351" xr:uid="{48C8B1D7-D9C3-4C76-A0E1-46B7433FA24F}"/>
    <cellStyle name="Percentuale 28 3 3 2" xfId="9458" xr:uid="{4A875647-5D63-4EB0-90D9-97BF4BDB4AD6}"/>
    <cellStyle name="Percentuale 28 3 3 2 2" xfId="28360" xr:uid="{50031FBC-FEBB-4917-846D-18F60095B1CA}"/>
    <cellStyle name="Percentuale 28 3 3 3" xfId="28361" xr:uid="{4B9643D1-8DF0-4B48-A837-81E7AA70BA48}"/>
    <cellStyle name="Percentuale 28 3 3 4" xfId="28362" xr:uid="{60CE397E-62C5-4FD6-B036-4E3AD06E697D}"/>
    <cellStyle name="Percentuale 28 3 3 4 2" xfId="49174" xr:uid="{864A2D28-0EA6-4516-8319-C2B42436B3CB}"/>
    <cellStyle name="Percentuale 28 3 3 5" xfId="28359" xr:uid="{613F72A3-8283-4700-88DE-66108B8DA263}"/>
    <cellStyle name="Percentuale 28 3 4" xfId="4352" xr:uid="{40E4C095-936D-4B7D-BB59-6B14F94B1C52}"/>
    <cellStyle name="Percentuale 28 3 4 2" xfId="13797" xr:uid="{3E419890-AC10-4453-8571-8CDDCB228721}"/>
    <cellStyle name="Percentuale 28 3 4 3" xfId="28363" xr:uid="{80D70D61-438E-4A9D-83B4-E7D4B4E6E5AA}"/>
    <cellStyle name="Percentuale 28 3 5" xfId="11092" xr:uid="{C855FDC7-C2C8-44C8-BB01-36518306D702}"/>
    <cellStyle name="Percentuale 28 3 5 2" xfId="28364" xr:uid="{7345A311-EBEC-4B51-9576-A145221F527E}"/>
    <cellStyle name="Percentuale 28 3 6" xfId="28365" xr:uid="{51A403C2-68F7-4F10-B284-97B1F70D6493}"/>
    <cellStyle name="Percentuale 28 3 6 2" xfId="49175" xr:uid="{A816C038-1B00-4B8F-BABC-C64D4ED9535F}"/>
    <cellStyle name="Percentuale 28 3 7" xfId="28366" xr:uid="{E27B7E93-37ED-481E-A43B-1E5EA7FDD601}"/>
    <cellStyle name="Percentuale 28 3 8" xfId="28353" xr:uid="{15B15530-C20F-4E56-82D4-9C52B5C1F223}"/>
    <cellStyle name="Percentuale 28 4" xfId="2353" xr:uid="{00000000-0005-0000-0000-00006B080000}"/>
    <cellStyle name="Percentuale 28 4 2" xfId="2354" xr:uid="{00000000-0005-0000-0000-00006C080000}"/>
    <cellStyle name="Percentuale 28 4 2 2" xfId="9459" xr:uid="{76FD393F-828F-4C3F-8F5A-274CBA6F556B}"/>
    <cellStyle name="Percentuale 28 4 2 2 2" xfId="28369" xr:uid="{96606CE5-6FE1-400B-999C-8D86FD38FAD7}"/>
    <cellStyle name="Percentuale 28 4 2 3" xfId="17922" xr:uid="{0915A73D-2B76-4E56-BEA2-594628EDB46B}"/>
    <cellStyle name="Percentuale 28 4 2 3 2" xfId="28370" xr:uid="{D63601EA-E5A7-4B8B-9D0E-698BBFE0DAF8}"/>
    <cellStyle name="Percentuale 28 4 2 4" xfId="28368" xr:uid="{870A6FB8-FC52-42A6-8AC4-ECF89447C957}"/>
    <cellStyle name="Percentuale 28 4 2 5" xfId="17530" xr:uid="{C77B49D4-F3D2-43E9-81F8-261E7DCC424B}"/>
    <cellStyle name="Percentuale 28 4 3" xfId="9460" xr:uid="{3853C105-7917-4EAC-9D59-46FED15F158E}"/>
    <cellStyle name="Percentuale 28 4 3 2" xfId="28371" xr:uid="{5E16BC05-DEC5-44D7-95EF-CE737272071F}"/>
    <cellStyle name="Percentuale 28 4 4" xfId="28372" xr:uid="{D507E37A-8A1E-4E61-B3C3-097564EA9A49}"/>
    <cellStyle name="Percentuale 28 4 5" xfId="28373" xr:uid="{B3BF45ED-2D93-42B3-9726-DFE9757D8571}"/>
    <cellStyle name="Percentuale 28 4 5 2" xfId="49176" xr:uid="{E1A8DB1B-5C99-4335-AD2D-E0C75B0BE27A}"/>
    <cellStyle name="Percentuale 28 4 6" xfId="28374" xr:uid="{A2FF8232-5252-4B10-BC76-09822F6D01AC}"/>
    <cellStyle name="Percentuale 28 4 7" xfId="28367" xr:uid="{A2B77EAD-AAEE-417D-B841-5EA6420EEC6D}"/>
    <cellStyle name="Percentuale 28 5" xfId="2355" xr:uid="{00000000-0005-0000-0000-00006D080000}"/>
    <cellStyle name="Percentuale 28 5 2" xfId="28376" xr:uid="{38A6A527-258A-459F-8E55-772F91BCE981}"/>
    <cellStyle name="Percentuale 28 5 3" xfId="28377" xr:uid="{B8DE6767-720C-4172-8258-F10F281BACCA}"/>
    <cellStyle name="Percentuale 28 5 3 2" xfId="49177" xr:uid="{CD50C7DC-963B-4B04-9142-CDBDB2576D11}"/>
    <cellStyle name="Percentuale 28 5 4" xfId="28378" xr:uid="{BBA3EBE8-5387-4085-9551-CE280A02C3AC}"/>
    <cellStyle name="Percentuale 28 5 5" xfId="28375" xr:uid="{A8F49C53-7124-4E5B-ADBC-4A002482AB42}"/>
    <cellStyle name="Percentuale 28 6" xfId="4353" xr:uid="{C095D96B-78CF-44E2-99C3-707D738A998B}"/>
    <cellStyle name="Percentuale 28 6 2" xfId="9831" xr:uid="{0011BEBC-4127-4A26-AA69-DEACD507DD3C}"/>
    <cellStyle name="Percentuale 28 6 3" xfId="28379" xr:uid="{145CDEF4-8A5E-44C3-BAEE-C7D8A43156E7}"/>
    <cellStyle name="Percentuale 28 7" xfId="28380" xr:uid="{5123A414-5323-44B3-84C8-35D5BE93B4D5}"/>
    <cellStyle name="Percentuale 28 7 2" xfId="49178" xr:uid="{B444D3A4-7516-44B0-8A86-7C4B3A0D3151}"/>
    <cellStyle name="Percentuale 28 8" xfId="28347" xr:uid="{CA930227-CF90-4F10-B56C-C3F74BB31DC8}"/>
    <cellStyle name="Percentuale 29" xfId="1054" xr:uid="{00000000-0005-0000-0000-00006E080000}"/>
    <cellStyle name="Percentuale 29 2" xfId="1055" xr:uid="{00000000-0005-0000-0000-00006F080000}"/>
    <cellStyle name="Percentuale 29 2 2" xfId="4354" xr:uid="{9A96BE77-A48A-48C9-8028-6B0698D48C4E}"/>
    <cellStyle name="Percentuale 29 2 2 2" xfId="13583" xr:uid="{5D5097C3-3D9E-42F7-B8C7-349D33F6B36C}"/>
    <cellStyle name="Percentuale 29 2 2 3" xfId="28383" xr:uid="{EE62C665-540B-4003-9950-39784B670B58}"/>
    <cellStyle name="Percentuale 29 2 3" xfId="13321" xr:uid="{4CA6D476-7D0D-41D9-9E73-C67D28A427B1}"/>
    <cellStyle name="Percentuale 29 2 3 2" xfId="28384" xr:uid="{75C0DBFA-C924-4687-AA82-FB39BC088224}"/>
    <cellStyle name="Percentuale 29 2 4" xfId="28385" xr:uid="{BCD8A403-65E9-4B72-8B96-79C2113C7D3F}"/>
    <cellStyle name="Percentuale 29 2 4 2" xfId="49179" xr:uid="{DC0F79A6-9F70-43CF-AE8E-811378C82A0B}"/>
    <cellStyle name="Percentuale 29 2 5" xfId="28386" xr:uid="{7552268B-4E73-443A-88F3-E09B93C36BF9}"/>
    <cellStyle name="Percentuale 29 2 6" xfId="28382" xr:uid="{9F3FD18A-14F7-468B-A4F2-91D4C8178BB5}"/>
    <cellStyle name="Percentuale 29 3" xfId="1056" xr:uid="{00000000-0005-0000-0000-000070080000}"/>
    <cellStyle name="Percentuale 29 3 2" xfId="1057" xr:uid="{00000000-0005-0000-0000-000071080000}"/>
    <cellStyle name="Percentuale 29 3 2 2" xfId="2356" xr:uid="{00000000-0005-0000-0000-000072080000}"/>
    <cellStyle name="Percentuale 29 3 2 2 2" xfId="28390" xr:uid="{8860DBBA-AF6C-4B4F-AE59-DFDD998601FA}"/>
    <cellStyle name="Percentuale 29 3 2 2 3" xfId="28389" xr:uid="{907618F4-D087-42F1-985A-30D51E9013D8}"/>
    <cellStyle name="Percentuale 29 3 2 3" xfId="8138" xr:uid="{4EF64AAB-0053-44C1-8832-CDC06F4313A5}"/>
    <cellStyle name="Percentuale 29 3 2 3 2" xfId="14137" xr:uid="{9E4D6999-0F21-41CD-B7DC-45E905E8C124}"/>
    <cellStyle name="Percentuale 29 3 2 3 3" xfId="28391" xr:uid="{A0C8DC62-FBC7-4F1B-A3BC-0427D54426C1}"/>
    <cellStyle name="Percentuale 29 3 2 3 4" xfId="49180" xr:uid="{A909562E-B788-4976-9A8C-FFDEECD47E0C}"/>
    <cellStyle name="Percentuale 29 3 2 4" xfId="28392" xr:uid="{27262882-F3B9-4CD3-9E9E-BED659329EC3}"/>
    <cellStyle name="Percentuale 29 3 2 5" xfId="28388" xr:uid="{DC1D7CF4-5CDD-46A6-9293-180EE192861A}"/>
    <cellStyle name="Percentuale 29 3 3" xfId="4355" xr:uid="{7D1B6FC9-B054-4450-B3D9-7BE1A94D78C9}"/>
    <cellStyle name="Percentuale 29 3 3 2" xfId="9461" xr:uid="{1E1E4A10-DC7A-4EBE-8B19-05D2DA288BE5}"/>
    <cellStyle name="Percentuale 29 3 3 2 2" xfId="28394" xr:uid="{F0F9904A-D66D-40A2-BB3C-F8C24FCFDDF6}"/>
    <cellStyle name="Percentuale 29 3 3 3" xfId="28395" xr:uid="{5C65EA2A-A633-47AF-A47C-E15B83595DD1}"/>
    <cellStyle name="Percentuale 29 3 3 4" xfId="28396" xr:uid="{A16A8EAE-BCB3-405F-A04A-7EA88CE18B96}"/>
    <cellStyle name="Percentuale 29 3 3 4 2" xfId="49181" xr:uid="{90BFAA27-9B1C-4808-B632-BBDA7D5A899F}"/>
    <cellStyle name="Percentuale 29 3 3 5" xfId="28393" xr:uid="{0E9DF70C-E591-4B03-BE2C-533E3DEE807C}"/>
    <cellStyle name="Percentuale 29 3 4" xfId="4356" xr:uid="{D98C8AEB-4BDA-4712-AFCE-5BA535BF5B9E}"/>
    <cellStyle name="Percentuale 29 3 4 2" xfId="13798" xr:uid="{FF6EB5DD-742E-4256-910A-5CDC191BA71F}"/>
    <cellStyle name="Percentuale 29 3 4 3" xfId="28397" xr:uid="{EF98D55C-05D6-4502-B74A-0DB28330B65F}"/>
    <cellStyle name="Percentuale 29 3 5" xfId="12430" xr:uid="{C4206510-1BED-4903-8332-775CAA027F38}"/>
    <cellStyle name="Percentuale 29 3 5 2" xfId="28398" xr:uid="{5C5EA155-C3E4-43F4-8942-FB55998D0E57}"/>
    <cellStyle name="Percentuale 29 3 6" xfId="28399" xr:uid="{AE0FA5A0-22D2-4A8F-A97A-42138F4039C5}"/>
    <cellStyle name="Percentuale 29 3 6 2" xfId="49182" xr:uid="{241C9DB1-9B3B-4980-B71C-0591B0FDC6D9}"/>
    <cellStyle name="Percentuale 29 3 7" xfId="28400" xr:uid="{FBB758E0-0841-4A2D-8749-41C1D47306BD}"/>
    <cellStyle name="Percentuale 29 3 8" xfId="28387" xr:uid="{272D7617-660E-488C-ADAF-3C3826C82246}"/>
    <cellStyle name="Percentuale 29 4" xfId="2357" xr:uid="{00000000-0005-0000-0000-000073080000}"/>
    <cellStyle name="Percentuale 29 4 2" xfId="2358" xr:uid="{00000000-0005-0000-0000-000074080000}"/>
    <cellStyle name="Percentuale 29 4 2 2" xfId="9462" xr:uid="{E6DF9381-086B-4C93-9E49-ADEE0D8F3655}"/>
    <cellStyle name="Percentuale 29 4 2 2 2" xfId="28403" xr:uid="{0A25CC21-1BC5-47F9-BAFC-35DCA6CCF889}"/>
    <cellStyle name="Percentuale 29 4 2 3" xfId="17923" xr:uid="{1C80BBB5-2EAA-4B09-8EEB-51D5D220AB9B}"/>
    <cellStyle name="Percentuale 29 4 2 3 2" xfId="28404" xr:uid="{A06D0962-7BA2-4C90-BD94-54DD88D7C1F2}"/>
    <cellStyle name="Percentuale 29 4 2 4" xfId="28402" xr:uid="{9A3E4761-5D28-4FF9-B308-1E76A1E9BAC0}"/>
    <cellStyle name="Percentuale 29 4 2 5" xfId="17532" xr:uid="{937A0A37-D9BA-470E-A8F1-B8B0572B1ACF}"/>
    <cellStyle name="Percentuale 29 4 3" xfId="9463" xr:uid="{AFA6BD5C-FC50-475F-8D71-B62BFB6851C8}"/>
    <cellStyle name="Percentuale 29 4 3 2" xfId="28405" xr:uid="{F3EEEF2D-ACA3-4033-A15A-0BCA280F1E36}"/>
    <cellStyle name="Percentuale 29 4 4" xfId="28406" xr:uid="{8200527C-9563-4C4D-8F5F-E51970D8A709}"/>
    <cellStyle name="Percentuale 29 4 5" xfId="28407" xr:uid="{052373D8-2E17-4E92-BE8A-4DB5B13B71D7}"/>
    <cellStyle name="Percentuale 29 4 5 2" xfId="49183" xr:uid="{1BE1F76D-7309-40CB-B944-B148C3DFB7EA}"/>
    <cellStyle name="Percentuale 29 4 6" xfId="28408" xr:uid="{D021D2FA-A7C5-42A2-8E6E-72DDFBD1D3B7}"/>
    <cellStyle name="Percentuale 29 4 7" xfId="28401" xr:uid="{BA5FA66E-1A74-43AC-AF6B-9EC79F3D5478}"/>
    <cellStyle name="Percentuale 29 5" xfId="2359" xr:uid="{00000000-0005-0000-0000-000075080000}"/>
    <cellStyle name="Percentuale 29 5 2" xfId="28410" xr:uid="{9315E354-A1B0-4C8C-BB12-05350241521F}"/>
    <cellStyle name="Percentuale 29 5 3" xfId="28411" xr:uid="{2FFFD2DE-F0F3-45C8-AF33-0CC8244327F2}"/>
    <cellStyle name="Percentuale 29 5 3 2" xfId="49184" xr:uid="{01B3C1E9-8070-4FD5-8A76-4470440FBE8A}"/>
    <cellStyle name="Percentuale 29 5 4" xfId="28412" xr:uid="{84FBAB15-91A7-4826-8DA8-D4601EB1BA49}"/>
    <cellStyle name="Percentuale 29 5 5" xfId="28409" xr:uid="{FA62B526-4A07-4D98-BB67-4DF252E99ACF}"/>
    <cellStyle name="Percentuale 29 6" xfId="4357" xr:uid="{F2E99350-E75A-40DA-839E-15F890049C73}"/>
    <cellStyle name="Percentuale 29 6 2" xfId="9832" xr:uid="{A5F20FA6-7E9D-471C-9D89-63C211B5FD8F}"/>
    <cellStyle name="Percentuale 29 6 3" xfId="28413" xr:uid="{D081052B-F036-4989-B0B9-C22F45E8C120}"/>
    <cellStyle name="Percentuale 29 7" xfId="28414" xr:uid="{7A35FA39-1173-4196-9EAB-27DDBFBB9726}"/>
    <cellStyle name="Percentuale 29 7 2" xfId="49185" xr:uid="{159C0947-19E5-4369-A4C0-1B9C589790DD}"/>
    <cellStyle name="Percentuale 29 8" xfId="28381" xr:uid="{2765B8AF-BBB5-4531-A1EE-EA071F874577}"/>
    <cellStyle name="Percentuale 3" xfId="1058" xr:uid="{00000000-0005-0000-0000-000076080000}"/>
    <cellStyle name="Percentuale 3 2" xfId="1059" xr:uid="{00000000-0005-0000-0000-000077080000}"/>
    <cellStyle name="Percentuale 3 2 2" xfId="4358" xr:uid="{87BDB526-EE27-4DE7-B4EF-30473D1AFE44}"/>
    <cellStyle name="Percentuale 3 2 2 2" xfId="13584" xr:uid="{A18A0702-200F-469E-9D7B-F13A04C3176D}"/>
    <cellStyle name="Percentuale 3 2 2 3" xfId="28417" xr:uid="{D5E2751D-614F-4405-8DF0-A288422233A4}"/>
    <cellStyle name="Percentuale 3 2 3" xfId="13322" xr:uid="{FA16D052-19F2-4CFD-886F-8ADE831CB521}"/>
    <cellStyle name="Percentuale 3 2 3 2" xfId="28418" xr:uid="{0FCC5574-A464-4328-87C1-19BF424EEC58}"/>
    <cellStyle name="Percentuale 3 2 4" xfId="28419" xr:uid="{3FD252CC-3401-413E-BB55-CCE61B41509D}"/>
    <cellStyle name="Percentuale 3 2 4 2" xfId="49186" xr:uid="{ED343F10-3F22-4DD1-8CB7-4DF4242327C2}"/>
    <cellStyle name="Percentuale 3 2 5" xfId="28420" xr:uid="{71D426AF-C851-4CC4-8E9A-DDF9C27F29AC}"/>
    <cellStyle name="Percentuale 3 2 6" xfId="28416" xr:uid="{13B1B260-A265-4D74-ADD5-9DE878EB09D6}"/>
    <cellStyle name="Percentuale 3 3" xfId="1060" xr:uid="{00000000-0005-0000-0000-000078080000}"/>
    <cellStyle name="Percentuale 3 3 2" xfId="1061" xr:uid="{00000000-0005-0000-0000-000079080000}"/>
    <cellStyle name="Percentuale 3 3 2 2" xfId="2360" xr:uid="{00000000-0005-0000-0000-00007A080000}"/>
    <cellStyle name="Percentuale 3 3 2 2 2" xfId="28424" xr:uid="{B992DE43-DF69-4A70-90E5-63BC87FEB870}"/>
    <cellStyle name="Percentuale 3 3 2 2 3" xfId="28423" xr:uid="{46581F1E-4594-4102-A400-B1F5DDD8092F}"/>
    <cellStyle name="Percentuale 3 3 2 3" xfId="8139" xr:uid="{A10DD045-9EAB-4845-BB31-C8E0F097C41F}"/>
    <cellStyle name="Percentuale 3 3 2 3 2" xfId="14138" xr:uid="{8961EAE7-2F07-4CDB-AF74-E9E0E24CEE4F}"/>
    <cellStyle name="Percentuale 3 3 2 3 3" xfId="28425" xr:uid="{6542B85D-8022-4183-93B8-B93FF7167B5A}"/>
    <cellStyle name="Percentuale 3 3 2 3 4" xfId="49187" xr:uid="{C3AF26A9-0E03-42D2-91E3-18B1B3C9D64C}"/>
    <cellStyle name="Percentuale 3 3 2 4" xfId="28426" xr:uid="{71E62007-7C97-493C-A7FC-40670B44D464}"/>
    <cellStyle name="Percentuale 3 3 2 5" xfId="28422" xr:uid="{2ABD0A78-A2E3-40EA-BFB3-D874CFB9C838}"/>
    <cellStyle name="Percentuale 3 3 3" xfId="4359" xr:uid="{52A21AE1-C3B1-46C1-8C0E-C8C3A3AB28B6}"/>
    <cellStyle name="Percentuale 3 3 3 2" xfId="9464" xr:uid="{5959963D-F6EE-4B76-AFA5-4F7E69C134BF}"/>
    <cellStyle name="Percentuale 3 3 3 2 2" xfId="28428" xr:uid="{7BC8303F-7336-4FF6-A77A-EE773F894918}"/>
    <cellStyle name="Percentuale 3 3 3 3" xfId="28429" xr:uid="{6E325C07-EBA9-4FF6-8B43-7B7BEA219489}"/>
    <cellStyle name="Percentuale 3 3 3 4" xfId="28430" xr:uid="{1598D521-57A8-40D6-8FB9-8BC67115CF0A}"/>
    <cellStyle name="Percentuale 3 3 3 4 2" xfId="49188" xr:uid="{8ED2C694-C59F-485A-9B36-2A6EB599A011}"/>
    <cellStyle name="Percentuale 3 3 3 5" xfId="28427" xr:uid="{DBF3156F-29DC-48A9-BCD5-7FDBEE9F34E3}"/>
    <cellStyle name="Percentuale 3 3 4" xfId="4360" xr:uid="{F7B45F65-47C9-4AFF-A02D-8DC3F9659A02}"/>
    <cellStyle name="Percentuale 3 3 4 2" xfId="13799" xr:uid="{CC2C71C3-4D8E-4440-AA37-301077F1A591}"/>
    <cellStyle name="Percentuale 3 3 4 3" xfId="28431" xr:uid="{8BC0A7FD-FFF5-462E-AB34-CFCAA28D50ED}"/>
    <cellStyle name="Percentuale 3 3 5" xfId="11206" xr:uid="{A7B4154C-C7C3-481D-8BFD-3738BFED400B}"/>
    <cellStyle name="Percentuale 3 3 5 2" xfId="28432" xr:uid="{C5D49874-F8F5-4466-BCBA-F15A0DE28BC5}"/>
    <cellStyle name="Percentuale 3 3 6" xfId="28433" xr:uid="{FFABE8D8-170E-447F-B34D-D80CBF43C156}"/>
    <cellStyle name="Percentuale 3 3 6 2" xfId="49189" xr:uid="{50971D53-A615-4362-8BC8-E1F1043D2897}"/>
    <cellStyle name="Percentuale 3 3 7" xfId="28434" xr:uid="{A01A3BB6-93E0-4E48-AFC3-C7DDFE4AB881}"/>
    <cellStyle name="Percentuale 3 3 8" xfId="28421" xr:uid="{8C9D3DDF-FA48-40CF-B200-8F085702850F}"/>
    <cellStyle name="Percentuale 3 4" xfId="2361" xr:uid="{00000000-0005-0000-0000-00007B080000}"/>
    <cellStyle name="Percentuale 3 4 2" xfId="2362" xr:uid="{00000000-0005-0000-0000-00007C080000}"/>
    <cellStyle name="Percentuale 3 4 2 2" xfId="9465" xr:uid="{AA616DD9-4A2F-4CF7-A64E-F2183CE917B8}"/>
    <cellStyle name="Percentuale 3 4 2 2 2" xfId="28437" xr:uid="{22339BC0-C78E-4B8E-8675-89E6328A63CB}"/>
    <cellStyle name="Percentuale 3 4 2 3" xfId="17924" xr:uid="{C53DD244-448E-4B57-A335-6957FF9BB250}"/>
    <cellStyle name="Percentuale 3 4 2 3 2" xfId="28438" xr:uid="{7AE3A7CB-856B-42D3-9BCD-30E6C60E20A6}"/>
    <cellStyle name="Percentuale 3 4 2 4" xfId="28436" xr:uid="{DB7B25A4-9262-4461-BAF8-9C3056BC3D37}"/>
    <cellStyle name="Percentuale 3 4 2 5" xfId="17533" xr:uid="{366EFA3B-F82F-4B02-9C4B-8A347347F762}"/>
    <cellStyle name="Percentuale 3 4 3" xfId="9466" xr:uid="{E5CE59C3-143B-4834-A944-BC368B430130}"/>
    <cellStyle name="Percentuale 3 4 3 2" xfId="28439" xr:uid="{D61BE6C9-5A89-4547-9D48-F1FF9716765A}"/>
    <cellStyle name="Percentuale 3 4 4" xfId="28440" xr:uid="{95CB501A-9971-4AC1-8A49-39A1E7F9558B}"/>
    <cellStyle name="Percentuale 3 4 5" xfId="28441" xr:uid="{0B4A545A-1E16-477C-85F2-2CF03D83B016}"/>
    <cellStyle name="Percentuale 3 4 5 2" xfId="49190" xr:uid="{EEF106EF-799F-4480-945D-4C2E7F3E5382}"/>
    <cellStyle name="Percentuale 3 4 6" xfId="28442" xr:uid="{3E880D0F-A19B-4CC5-B7DF-D41CD061EEBE}"/>
    <cellStyle name="Percentuale 3 4 7" xfId="28435" xr:uid="{8671213B-44E0-4208-BAB6-C1A13B25BCF3}"/>
    <cellStyle name="Percentuale 3 5" xfId="2363" xr:uid="{00000000-0005-0000-0000-00007D080000}"/>
    <cellStyle name="Percentuale 3 5 2" xfId="28444" xr:uid="{720B7FB5-80C6-4542-B7A4-3DC2713CCD92}"/>
    <cellStyle name="Percentuale 3 5 3" xfId="28445" xr:uid="{B7BE7A4D-7344-4CD7-A0C9-928427AC718E}"/>
    <cellStyle name="Percentuale 3 5 3 2" xfId="49191" xr:uid="{D3CCCE0B-20B3-4981-97C9-A6AB5CEC735D}"/>
    <cellStyle name="Percentuale 3 5 4" xfId="28446" xr:uid="{B0879786-A3E1-4451-BF3C-4A83010ABCF1}"/>
    <cellStyle name="Percentuale 3 5 5" xfId="28443" xr:uid="{2A76A1FA-3A54-40F9-B70D-15430EA40CB0}"/>
    <cellStyle name="Percentuale 3 6" xfId="4361" xr:uid="{147E2013-FEE0-4908-9E35-1410EBD24C68}"/>
    <cellStyle name="Percentuale 3 6 2" xfId="9833" xr:uid="{E7628B54-A40E-42BD-BE2A-758AB09539F5}"/>
    <cellStyle name="Percentuale 3 6 3" xfId="28447" xr:uid="{CF6AA166-38B7-44F0-B43F-7B1191BF1C9F}"/>
    <cellStyle name="Percentuale 3 7" xfId="28448" xr:uid="{387D7D84-E207-46CA-9EB1-9FA72F74660E}"/>
    <cellStyle name="Percentuale 3 7 2" xfId="49192" xr:uid="{937CA04E-A20C-4F8B-BCA5-D18AF0D02F3C}"/>
    <cellStyle name="Percentuale 3 8" xfId="28415" xr:uid="{E545B892-EC16-47D0-97E4-FB05037F53D6}"/>
    <cellStyle name="Percentuale 30" xfId="1062" xr:uid="{00000000-0005-0000-0000-00007E080000}"/>
    <cellStyle name="Percentuale 30 2" xfId="1063" xr:uid="{00000000-0005-0000-0000-00007F080000}"/>
    <cellStyle name="Percentuale 30 2 2" xfId="4362" xr:uid="{4A96FD9D-B74A-41B9-9AEB-40865818B422}"/>
    <cellStyle name="Percentuale 30 2 2 2" xfId="13585" xr:uid="{8777D320-4B1C-4F22-88C8-F30008975E1E}"/>
    <cellStyle name="Percentuale 30 2 2 3" xfId="28451" xr:uid="{756FA0F3-B7CE-44E8-9ACF-D0FB8B1559A0}"/>
    <cellStyle name="Percentuale 30 2 3" xfId="13323" xr:uid="{F99E142A-47CE-4DCE-9E41-964EE795C562}"/>
    <cellStyle name="Percentuale 30 2 3 2" xfId="28452" xr:uid="{7E6F9366-5260-4DEF-80D3-6A5B14A5AC57}"/>
    <cellStyle name="Percentuale 30 2 4" xfId="28453" xr:uid="{F7EDCB0D-23DF-46D3-9A2D-931E1FA3DA40}"/>
    <cellStyle name="Percentuale 30 2 4 2" xfId="49193" xr:uid="{D40B6E60-7724-49DA-85CF-5D5B41718187}"/>
    <cellStyle name="Percentuale 30 2 5" xfId="28454" xr:uid="{0EC4204B-9CF9-41AD-B2C3-20ED5702CD04}"/>
    <cellStyle name="Percentuale 30 2 6" xfId="28450" xr:uid="{9125CDCB-7F18-4E13-A952-76B296615AB7}"/>
    <cellStyle name="Percentuale 30 3" xfId="1064" xr:uid="{00000000-0005-0000-0000-000080080000}"/>
    <cellStyle name="Percentuale 30 3 2" xfId="1065" xr:uid="{00000000-0005-0000-0000-000081080000}"/>
    <cellStyle name="Percentuale 30 3 2 2" xfId="2364" xr:uid="{00000000-0005-0000-0000-000082080000}"/>
    <cellStyle name="Percentuale 30 3 2 2 2" xfId="28458" xr:uid="{B121723B-A11F-41E6-BD6E-48DCAFC6EE20}"/>
    <cellStyle name="Percentuale 30 3 2 2 3" xfId="28457" xr:uid="{0544130E-DD81-45A3-9EF0-30EA9B869588}"/>
    <cellStyle name="Percentuale 30 3 2 3" xfId="8140" xr:uid="{AA460686-5655-471D-9FFF-4D138506F31D}"/>
    <cellStyle name="Percentuale 30 3 2 3 2" xfId="14139" xr:uid="{407DCD9D-5E9A-4458-9E1B-3A49E24A12A0}"/>
    <cellStyle name="Percentuale 30 3 2 3 3" xfId="28459" xr:uid="{35103A39-0976-49CE-9DF8-0D0AF0F94F7E}"/>
    <cellStyle name="Percentuale 30 3 2 3 4" xfId="49194" xr:uid="{A79ED3BA-CC8F-4C76-8431-82ED4A551131}"/>
    <cellStyle name="Percentuale 30 3 2 4" xfId="28460" xr:uid="{524D2C2A-A999-4505-80AE-BDB7C8293154}"/>
    <cellStyle name="Percentuale 30 3 2 5" xfId="28456" xr:uid="{4B7FA7D6-6348-451A-95C8-FA7D41465FB3}"/>
    <cellStyle name="Percentuale 30 3 3" xfId="4363" xr:uid="{41731041-6718-47B5-8C1E-3F4C4C8EBE75}"/>
    <cellStyle name="Percentuale 30 3 3 2" xfId="9467" xr:uid="{86FBEBC7-95B0-46EC-9295-3CC7B8AFC5BD}"/>
    <cellStyle name="Percentuale 30 3 3 2 2" xfId="28462" xr:uid="{1E5927BC-117E-4931-B928-B0445F2C6E01}"/>
    <cellStyle name="Percentuale 30 3 3 3" xfId="28463" xr:uid="{BF6C3095-A576-4213-88FB-73CB6922C583}"/>
    <cellStyle name="Percentuale 30 3 3 4" xfId="28464" xr:uid="{F89AC475-2652-4BF1-AEA3-77A07F59AAE4}"/>
    <cellStyle name="Percentuale 30 3 3 4 2" xfId="49195" xr:uid="{ECC38077-6D81-45D8-8674-4669EF3B1B4C}"/>
    <cellStyle name="Percentuale 30 3 3 5" xfId="28461" xr:uid="{88D334C2-2829-43AC-86DB-9D1EC189DC43}"/>
    <cellStyle name="Percentuale 30 3 4" xfId="4364" xr:uid="{B8B1D075-DD58-44DE-8C89-260F994EEE8B}"/>
    <cellStyle name="Percentuale 30 3 4 2" xfId="13800" xr:uid="{5253F940-E7B0-4448-81A7-78961C9A9416}"/>
    <cellStyle name="Percentuale 30 3 4 3" xfId="28465" xr:uid="{0D7952D9-1F94-4C83-B1B1-C8E1AB2DB7CD}"/>
    <cellStyle name="Percentuale 30 3 5" xfId="12443" xr:uid="{6DA72288-1CBE-4058-B1EB-B17B0BC58861}"/>
    <cellStyle name="Percentuale 30 3 5 2" xfId="28466" xr:uid="{FA9F26BE-A260-4249-BBD5-FFFD6530F44A}"/>
    <cellStyle name="Percentuale 30 3 6" xfId="28467" xr:uid="{BFF1498F-6353-49FD-B5EB-C6B4EAA45B8E}"/>
    <cellStyle name="Percentuale 30 3 6 2" xfId="49196" xr:uid="{0D5099C5-C7CE-448B-87FD-8089FE8F3E40}"/>
    <cellStyle name="Percentuale 30 3 7" xfId="28468" xr:uid="{36B5E956-BA70-4B95-975B-7C2F08B4E2CD}"/>
    <cellStyle name="Percentuale 30 3 8" xfId="28455" xr:uid="{222610AA-08E8-49A9-8BF8-942ABD37A2AF}"/>
    <cellStyle name="Percentuale 30 4" xfId="2365" xr:uid="{00000000-0005-0000-0000-000083080000}"/>
    <cellStyle name="Percentuale 30 4 2" xfId="2366" xr:uid="{00000000-0005-0000-0000-000084080000}"/>
    <cellStyle name="Percentuale 30 4 2 2" xfId="9468" xr:uid="{6A43E807-1D2E-4CC1-81A4-BA3EC77B63CD}"/>
    <cellStyle name="Percentuale 30 4 2 2 2" xfId="28471" xr:uid="{0DA90EA7-E31A-4D3F-BA2D-BE61E27002B4}"/>
    <cellStyle name="Percentuale 30 4 2 3" xfId="17925" xr:uid="{8C2A9178-D02A-48B7-B652-11B3602308AC}"/>
    <cellStyle name="Percentuale 30 4 2 3 2" xfId="28472" xr:uid="{CA40C3CB-F8CB-4B49-991C-DA7DD6A493BA}"/>
    <cellStyle name="Percentuale 30 4 2 4" xfId="28470" xr:uid="{78EBC4C0-E1C3-4D24-BE81-FE50D206F0BF}"/>
    <cellStyle name="Percentuale 30 4 2 5" xfId="17534" xr:uid="{75EEAE6F-B428-4B5E-BA35-608D0D4E2829}"/>
    <cellStyle name="Percentuale 30 4 3" xfId="9469" xr:uid="{F690F64F-F02B-4E60-B30A-8FC198D8D1EE}"/>
    <cellStyle name="Percentuale 30 4 3 2" xfId="28473" xr:uid="{DBACE614-1069-4039-8BFE-9B2608C0EA0B}"/>
    <cellStyle name="Percentuale 30 4 4" xfId="28474" xr:uid="{4330DC60-25A0-4208-A995-533FBD727A42}"/>
    <cellStyle name="Percentuale 30 4 5" xfId="28475" xr:uid="{D4B731A9-2224-4ED5-88E9-C70EF657AF39}"/>
    <cellStyle name="Percentuale 30 4 5 2" xfId="49197" xr:uid="{C29DFAEA-86C5-4783-8604-FFCBE766CC8A}"/>
    <cellStyle name="Percentuale 30 4 6" xfId="28476" xr:uid="{26E781F2-6B1F-4054-A515-4255C1A8AC79}"/>
    <cellStyle name="Percentuale 30 4 7" xfId="28469" xr:uid="{66215A68-CA39-417E-B539-277FB5F74BB1}"/>
    <cellStyle name="Percentuale 30 5" xfId="2367" xr:uid="{00000000-0005-0000-0000-000085080000}"/>
    <cellStyle name="Percentuale 30 5 2" xfId="28478" xr:uid="{14FBBF4F-2B48-436D-A409-53712E46CF3C}"/>
    <cellStyle name="Percentuale 30 5 3" xfId="28479" xr:uid="{2B0020FB-192E-4EA5-A902-A40AB2BAD3F4}"/>
    <cellStyle name="Percentuale 30 5 3 2" xfId="49198" xr:uid="{260BC417-17F4-4970-9281-801619C66E8F}"/>
    <cellStyle name="Percentuale 30 5 4" xfId="28480" xr:uid="{C6CC0E5F-710F-42AC-AF62-DA1958DA4C1E}"/>
    <cellStyle name="Percentuale 30 5 5" xfId="28477" xr:uid="{8B32C6F3-FF2D-404C-9056-CF01D7015D23}"/>
    <cellStyle name="Percentuale 30 6" xfId="4365" xr:uid="{032C8BCC-3DE9-47EE-86BD-DDE5EE211E75}"/>
    <cellStyle name="Percentuale 30 6 2" xfId="9834" xr:uid="{BB6F2C5E-8FC2-4ABA-8B07-57900C8AF53F}"/>
    <cellStyle name="Percentuale 30 6 3" xfId="28481" xr:uid="{2713AB62-0B99-4147-BD29-9A238891F3C5}"/>
    <cellStyle name="Percentuale 30 7" xfId="28482" xr:uid="{5237BE92-402F-4570-B2FF-5C45FC5DE9AA}"/>
    <cellStyle name="Percentuale 30 7 2" xfId="49199" xr:uid="{47181011-D8BA-44FF-81FE-B8ECD732B7B8}"/>
    <cellStyle name="Percentuale 30 8" xfId="28449" xr:uid="{6EFEE047-11F4-4669-9D14-B81F29AF5BAD}"/>
    <cellStyle name="Percentuale 31" xfId="1066" xr:uid="{00000000-0005-0000-0000-000086080000}"/>
    <cellStyle name="Percentuale 31 2" xfId="1067" xr:uid="{00000000-0005-0000-0000-000087080000}"/>
    <cellStyle name="Percentuale 31 2 2" xfId="4366" xr:uid="{E757F239-085D-4419-91ED-7E8211346AFA}"/>
    <cellStyle name="Percentuale 31 2 2 2" xfId="13586" xr:uid="{75B0A0AC-1D2E-455B-8CF7-A13A9FF0B6B1}"/>
    <cellStyle name="Percentuale 31 2 2 3" xfId="28485" xr:uid="{2E8D353C-408C-43C2-8C0E-9BBEF3805A3A}"/>
    <cellStyle name="Percentuale 31 2 3" xfId="13324" xr:uid="{B420D7C3-8EC8-4992-94E4-6255A85E6632}"/>
    <cellStyle name="Percentuale 31 2 3 2" xfId="28486" xr:uid="{BEE8F009-CE4C-41B3-8B0D-5B1B1885982F}"/>
    <cellStyle name="Percentuale 31 2 4" xfId="28487" xr:uid="{2670ACBA-3C42-4213-907E-C8F71A55FD77}"/>
    <cellStyle name="Percentuale 31 2 4 2" xfId="49200" xr:uid="{4B374EC0-9942-4361-B78D-21CAFD208105}"/>
    <cellStyle name="Percentuale 31 2 5" xfId="28488" xr:uid="{B90AB0A9-55EB-4F93-99D6-3043BF0F2859}"/>
    <cellStyle name="Percentuale 31 2 6" xfId="28484" xr:uid="{234FB8A3-DCB4-4F8E-9B23-D4A7E270F058}"/>
    <cellStyle name="Percentuale 31 3" xfId="1068" xr:uid="{00000000-0005-0000-0000-000088080000}"/>
    <cellStyle name="Percentuale 31 3 2" xfId="1069" xr:uid="{00000000-0005-0000-0000-000089080000}"/>
    <cellStyle name="Percentuale 31 3 2 2" xfId="2368" xr:uid="{00000000-0005-0000-0000-00008A080000}"/>
    <cellStyle name="Percentuale 31 3 2 2 2" xfId="28492" xr:uid="{A9280E05-A18F-4EE6-88D0-CF4A4DA183AC}"/>
    <cellStyle name="Percentuale 31 3 2 2 3" xfId="28491" xr:uid="{4AEA9059-6DBB-4AB4-8B6B-19627C3B31D3}"/>
    <cellStyle name="Percentuale 31 3 2 3" xfId="8141" xr:uid="{5A997076-4E50-4FF6-B31B-76D2C846A62C}"/>
    <cellStyle name="Percentuale 31 3 2 3 2" xfId="14140" xr:uid="{0D8BC4F2-46A3-451C-9114-5B4756D87E38}"/>
    <cellStyle name="Percentuale 31 3 2 3 3" xfId="28493" xr:uid="{FFDA757D-334D-4A27-A1C6-2D3E3BC81106}"/>
    <cellStyle name="Percentuale 31 3 2 3 4" xfId="49201" xr:uid="{EA25C183-3EC7-41EC-8FF0-C3C12DCE422F}"/>
    <cellStyle name="Percentuale 31 3 2 4" xfId="28494" xr:uid="{23DC14DE-6F34-4D03-BF1E-70B908999CB1}"/>
    <cellStyle name="Percentuale 31 3 2 5" xfId="28490" xr:uid="{92B71160-AE95-4E12-A7A4-3078FC72BBD4}"/>
    <cellStyle name="Percentuale 31 3 3" xfId="4367" xr:uid="{3152029B-4C06-48B6-8DDF-E41516C1377F}"/>
    <cellStyle name="Percentuale 31 3 3 2" xfId="9470" xr:uid="{3732F0CA-DE27-4020-A2AC-42E778F8F597}"/>
    <cellStyle name="Percentuale 31 3 3 2 2" xfId="28496" xr:uid="{3A2C7260-C398-4FB4-9DF1-425F035A3358}"/>
    <cellStyle name="Percentuale 31 3 3 3" xfId="28497" xr:uid="{312FFB1E-F7EB-4379-81E5-26ED3182D3D2}"/>
    <cellStyle name="Percentuale 31 3 3 4" xfId="28498" xr:uid="{31B6240B-333B-46AB-944C-0B09C7B61378}"/>
    <cellStyle name="Percentuale 31 3 3 4 2" xfId="49202" xr:uid="{CB1C5044-BD75-479D-BF93-1DA949151EDC}"/>
    <cellStyle name="Percentuale 31 3 3 5" xfId="28495" xr:uid="{DC4F37FE-D509-4411-9104-7CDA77DEF050}"/>
    <cellStyle name="Percentuale 31 3 4" xfId="4368" xr:uid="{1683807F-A0FF-494B-8420-1877978F524A}"/>
    <cellStyle name="Percentuale 31 3 4 2" xfId="13801" xr:uid="{B2D80B2E-9371-406F-A1C4-700C4AB64AF5}"/>
    <cellStyle name="Percentuale 31 3 4 3" xfId="28499" xr:uid="{B781D674-0A32-4E90-91CE-08E84B52229D}"/>
    <cellStyle name="Percentuale 31 3 5" xfId="12432" xr:uid="{36F20430-27BD-4CAC-B30D-7295E9B6633E}"/>
    <cellStyle name="Percentuale 31 3 5 2" xfId="28500" xr:uid="{57EA8155-72AD-41DA-BB0B-E268A4C561B7}"/>
    <cellStyle name="Percentuale 31 3 6" xfId="28501" xr:uid="{AA3DA431-F733-48D5-8E82-14F98C0BD57F}"/>
    <cellStyle name="Percentuale 31 3 6 2" xfId="49203" xr:uid="{501809D9-68CC-4D25-9808-BD8AE18710AB}"/>
    <cellStyle name="Percentuale 31 3 7" xfId="28502" xr:uid="{2D35B636-6237-423D-B67D-DB77462A78D9}"/>
    <cellStyle name="Percentuale 31 3 8" xfId="28489" xr:uid="{85D6F2DB-DBBF-422B-A17E-50CD1F95C136}"/>
    <cellStyle name="Percentuale 31 4" xfId="2369" xr:uid="{00000000-0005-0000-0000-00008B080000}"/>
    <cellStyle name="Percentuale 31 4 2" xfId="2370" xr:uid="{00000000-0005-0000-0000-00008C080000}"/>
    <cellStyle name="Percentuale 31 4 2 2" xfId="9471" xr:uid="{06FEC9D7-1A07-4DD1-B4EA-6CCCA5B3DD9C}"/>
    <cellStyle name="Percentuale 31 4 2 2 2" xfId="28505" xr:uid="{62671135-3AB5-49D8-8202-CBCACA983A39}"/>
    <cellStyle name="Percentuale 31 4 2 3" xfId="17926" xr:uid="{42DFBFC1-59F6-443E-9AED-2715684B3EE6}"/>
    <cellStyle name="Percentuale 31 4 2 3 2" xfId="28506" xr:uid="{E571FA0F-151B-48D8-93F4-65B5E36EE27F}"/>
    <cellStyle name="Percentuale 31 4 2 4" xfId="28504" xr:uid="{87EA133A-DD3D-4F39-9A89-4FD61179EA30}"/>
    <cellStyle name="Percentuale 31 4 2 5" xfId="17535" xr:uid="{CD4D7499-49ED-4A0E-BC4D-760BD22B500C}"/>
    <cellStyle name="Percentuale 31 4 3" xfId="9472" xr:uid="{6F4E3031-35EF-453D-82D5-0465141DD13E}"/>
    <cellStyle name="Percentuale 31 4 3 2" xfId="28507" xr:uid="{9AB4FDD9-DEFB-4CD9-B03B-F2C3149B445A}"/>
    <cellStyle name="Percentuale 31 4 4" xfId="28508" xr:uid="{90C90684-FD28-4383-B8C1-854213539178}"/>
    <cellStyle name="Percentuale 31 4 5" xfId="28509" xr:uid="{B233013F-64A3-4EA2-96C7-A735860CBA4E}"/>
    <cellStyle name="Percentuale 31 4 5 2" xfId="49204" xr:uid="{76B18284-72BF-4205-B055-0DAD850351DC}"/>
    <cellStyle name="Percentuale 31 4 6" xfId="28510" xr:uid="{88F4417D-ECF1-4E85-B0B3-D8D2D2FD509E}"/>
    <cellStyle name="Percentuale 31 4 7" xfId="28503" xr:uid="{1D508CD1-52E2-4550-B0BB-CDEA215694F2}"/>
    <cellStyle name="Percentuale 31 5" xfId="2371" xr:uid="{00000000-0005-0000-0000-00008D080000}"/>
    <cellStyle name="Percentuale 31 5 2" xfId="28512" xr:uid="{185FD8A8-A20F-49CC-83CE-4D6203CB0299}"/>
    <cellStyle name="Percentuale 31 5 3" xfId="28513" xr:uid="{F3849FA1-5681-4815-B99E-87459BF840E2}"/>
    <cellStyle name="Percentuale 31 5 3 2" xfId="49205" xr:uid="{34064754-7F2D-4081-866B-7141C6C63EC2}"/>
    <cellStyle name="Percentuale 31 5 4" xfId="28514" xr:uid="{878EE23C-1A16-40CA-BE6C-AA16B7518C40}"/>
    <cellStyle name="Percentuale 31 5 5" xfId="28511" xr:uid="{1A7B5AC5-E28D-4850-91B6-04496CF0E6A0}"/>
    <cellStyle name="Percentuale 31 6" xfId="4369" xr:uid="{B3CAEE8F-14AA-446C-83B0-6B094B9A3273}"/>
    <cellStyle name="Percentuale 31 6 2" xfId="9835" xr:uid="{A4F589F7-542A-466E-836D-E49BF906E177}"/>
    <cellStyle name="Percentuale 31 6 3" xfId="28515" xr:uid="{194F410E-B87F-4F86-8D7A-FD8AD41EAA59}"/>
    <cellStyle name="Percentuale 31 7" xfId="28516" xr:uid="{E94449D4-5557-42E1-AA99-FB77CDA34565}"/>
    <cellStyle name="Percentuale 31 7 2" xfId="49206" xr:uid="{CACA949D-5F17-4A06-90EF-66EF387E4934}"/>
    <cellStyle name="Percentuale 31 8" xfId="28483" xr:uid="{F0278063-FD03-4F02-B3C7-45B7F82B0B71}"/>
    <cellStyle name="Percentuale 32" xfId="1070" xr:uid="{00000000-0005-0000-0000-00008E080000}"/>
    <cellStyle name="Percentuale 32 2" xfId="1071" xr:uid="{00000000-0005-0000-0000-00008F080000}"/>
    <cellStyle name="Percentuale 32 2 2" xfId="4370" xr:uid="{A3B7BC30-FAF3-4192-9677-C4BEB14DC741}"/>
    <cellStyle name="Percentuale 32 2 2 2" xfId="13587" xr:uid="{1A293DB4-A0D9-4F18-83C8-07EFB3F637CF}"/>
    <cellStyle name="Percentuale 32 2 2 3" xfId="28519" xr:uid="{62DE4ADB-3E3F-4AE3-9360-B01E1CE2B550}"/>
    <cellStyle name="Percentuale 32 2 3" xfId="13325" xr:uid="{C4A8AE53-9FBC-484D-90DB-97410CDC02BB}"/>
    <cellStyle name="Percentuale 32 2 3 2" xfId="28520" xr:uid="{E829DCC3-55FA-41B4-86C8-2813A5E7A985}"/>
    <cellStyle name="Percentuale 32 2 4" xfId="28521" xr:uid="{BBE0F5FD-828A-41F3-9220-BC2C07B1CC59}"/>
    <cellStyle name="Percentuale 32 2 4 2" xfId="49207" xr:uid="{7B534FD5-F755-4F08-B9B6-8CD1710CB4D0}"/>
    <cellStyle name="Percentuale 32 2 5" xfId="28522" xr:uid="{2901B34B-73E0-464B-8328-CE6A96614DFC}"/>
    <cellStyle name="Percentuale 32 2 6" xfId="28518" xr:uid="{A5FAC709-469D-443D-B730-4FBEF7A278B5}"/>
    <cellStyle name="Percentuale 32 3" xfId="1072" xr:uid="{00000000-0005-0000-0000-000090080000}"/>
    <cellStyle name="Percentuale 32 3 2" xfId="1073" xr:uid="{00000000-0005-0000-0000-000091080000}"/>
    <cellStyle name="Percentuale 32 3 2 2" xfId="2372" xr:uid="{00000000-0005-0000-0000-000092080000}"/>
    <cellStyle name="Percentuale 32 3 2 2 2" xfId="28526" xr:uid="{9457FE37-6966-4350-95F5-FFD593951117}"/>
    <cellStyle name="Percentuale 32 3 2 2 3" xfId="28525" xr:uid="{CD281002-EEE1-4B95-99EA-FB0AD0842339}"/>
    <cellStyle name="Percentuale 32 3 2 3" xfId="8142" xr:uid="{B3A19F76-B997-4666-8B3E-C648B105ACB1}"/>
    <cellStyle name="Percentuale 32 3 2 3 2" xfId="14141" xr:uid="{626B6A30-139A-49C8-AA6B-3F1DCA0C6D14}"/>
    <cellStyle name="Percentuale 32 3 2 3 3" xfId="28527" xr:uid="{A5AC3BA2-0A2F-45BD-8BCB-61C41B8A9875}"/>
    <cellStyle name="Percentuale 32 3 2 3 4" xfId="49208" xr:uid="{3CBEEECF-600F-4137-A4FC-C813676063FA}"/>
    <cellStyle name="Percentuale 32 3 2 4" xfId="28528" xr:uid="{482985C2-DE8F-4D22-A48D-4CE9B0EF11CA}"/>
    <cellStyle name="Percentuale 32 3 2 5" xfId="28524" xr:uid="{8D110953-1647-4743-A68E-6901000A4012}"/>
    <cellStyle name="Percentuale 32 3 3" xfId="4371" xr:uid="{A9575134-9B60-458E-931C-C09BB7570058}"/>
    <cellStyle name="Percentuale 32 3 3 2" xfId="9473" xr:uid="{1A4D99EA-C580-4545-8D4F-45A33AFDFB31}"/>
    <cellStyle name="Percentuale 32 3 3 2 2" xfId="28530" xr:uid="{687A7CAF-2DB8-454F-A432-80DED7ED4679}"/>
    <cellStyle name="Percentuale 32 3 3 3" xfId="28531" xr:uid="{EB95F3EB-C34A-4B04-94ED-1CFE16ADCBA5}"/>
    <cellStyle name="Percentuale 32 3 3 4" xfId="28532" xr:uid="{97BBA399-EF39-4FF1-B2E4-99B7EAC9A936}"/>
    <cellStyle name="Percentuale 32 3 3 4 2" xfId="49209" xr:uid="{8FD8053F-CC50-44A6-AEA4-B34B8F60026A}"/>
    <cellStyle name="Percentuale 32 3 3 5" xfId="28529" xr:uid="{578F7D6E-1D35-477B-AA40-6CFA4AF3622A}"/>
    <cellStyle name="Percentuale 32 3 4" xfId="4372" xr:uid="{638DC675-51EF-4741-B5BE-1BBE38623FDA}"/>
    <cellStyle name="Percentuale 32 3 4 2" xfId="13802" xr:uid="{EDC77161-0BBB-4873-B6C5-8ECF2136C457}"/>
    <cellStyle name="Percentuale 32 3 4 3" xfId="28533" xr:uid="{2EA77BB5-372D-4168-B7A6-FFEBE50576FF}"/>
    <cellStyle name="Percentuale 32 3 5" xfId="12431" xr:uid="{518A4988-2AB9-4E43-BBC8-D2A0F60B953E}"/>
    <cellStyle name="Percentuale 32 3 5 2" xfId="28534" xr:uid="{A6C5C22C-62DF-4CEE-AD3B-04F0D924245E}"/>
    <cellStyle name="Percentuale 32 3 6" xfId="28535" xr:uid="{DA109570-04A1-4DF4-93E9-9F79791F0D1E}"/>
    <cellStyle name="Percentuale 32 3 6 2" xfId="49210" xr:uid="{7DB87D78-AE6E-46C7-865E-F1282ED0099B}"/>
    <cellStyle name="Percentuale 32 3 7" xfId="28536" xr:uid="{E47B12C4-4780-4ED5-A3E5-2009B66C43EF}"/>
    <cellStyle name="Percentuale 32 3 8" xfId="28523" xr:uid="{964866DC-B620-4DFE-AD82-245371D4B9F0}"/>
    <cellStyle name="Percentuale 32 4" xfId="2373" xr:uid="{00000000-0005-0000-0000-000093080000}"/>
    <cellStyle name="Percentuale 32 4 2" xfId="2374" xr:uid="{00000000-0005-0000-0000-000094080000}"/>
    <cellStyle name="Percentuale 32 4 2 2" xfId="9474" xr:uid="{CC3244C0-FFAE-4B8C-94DC-5926FB9C68DF}"/>
    <cellStyle name="Percentuale 32 4 2 2 2" xfId="28539" xr:uid="{3D40F173-9146-4FA1-A0AA-CE84F1EB0D64}"/>
    <cellStyle name="Percentuale 32 4 2 3" xfId="17927" xr:uid="{21968A04-54CB-449C-9722-611B90DE6D46}"/>
    <cellStyle name="Percentuale 32 4 2 3 2" xfId="28540" xr:uid="{3130894B-8864-4EBE-B578-F72443B55AF1}"/>
    <cellStyle name="Percentuale 32 4 2 4" xfId="28538" xr:uid="{2940634E-8B40-4DB4-A9EF-DB2A3BC8EA14}"/>
    <cellStyle name="Percentuale 32 4 2 5" xfId="17536" xr:uid="{F405B1F2-9B2A-481F-8D3F-B573CE6F603C}"/>
    <cellStyle name="Percentuale 32 4 3" xfId="9475" xr:uid="{8AEB4808-5CE7-4EBC-A37A-C8B3DD7155A1}"/>
    <cellStyle name="Percentuale 32 4 3 2" xfId="28541" xr:uid="{AC188B6B-18FF-4BFF-827C-F362AE7CC978}"/>
    <cellStyle name="Percentuale 32 4 4" xfId="28542" xr:uid="{3BD72678-B0A2-4938-8743-7FDB796B0057}"/>
    <cellStyle name="Percentuale 32 4 5" xfId="28543" xr:uid="{0F4BCF7A-D754-42D8-9349-F3A4C0487649}"/>
    <cellStyle name="Percentuale 32 4 5 2" xfId="49211" xr:uid="{4C36AD7B-5FB4-4654-95A7-409B77DCEED1}"/>
    <cellStyle name="Percentuale 32 4 6" xfId="28544" xr:uid="{7DA64982-7C09-405B-8093-F26038DCAC92}"/>
    <cellStyle name="Percentuale 32 4 7" xfId="28537" xr:uid="{000C5C1F-1DDE-4E17-B276-6B0C8622D822}"/>
    <cellStyle name="Percentuale 32 5" xfId="2375" xr:uid="{00000000-0005-0000-0000-000095080000}"/>
    <cellStyle name="Percentuale 32 5 2" xfId="28546" xr:uid="{5F32F78D-5F53-4E56-BB7D-1AB05838AEA4}"/>
    <cellStyle name="Percentuale 32 5 3" xfId="28547" xr:uid="{AD1FFABF-15A5-477C-A088-DDD152B381C6}"/>
    <cellStyle name="Percentuale 32 5 3 2" xfId="49212" xr:uid="{6E94894B-7804-4A36-82E7-4C1D56B35466}"/>
    <cellStyle name="Percentuale 32 5 4" xfId="28548" xr:uid="{5EEA66B3-1511-4DC8-A8E3-F6A2C2252C5F}"/>
    <cellStyle name="Percentuale 32 5 5" xfId="28545" xr:uid="{1F0C7A0C-0CDD-4D98-BB01-E430D1661B8A}"/>
    <cellStyle name="Percentuale 32 6" xfId="4373" xr:uid="{8E742EB3-A264-4367-B1FA-35E31BE2DDBD}"/>
    <cellStyle name="Percentuale 32 6 2" xfId="9836" xr:uid="{78BA5EBA-DB8B-4EE7-8515-8ACDD29F4C9D}"/>
    <cellStyle name="Percentuale 32 6 3" xfId="28549" xr:uid="{058EB5F3-7503-49C0-9E91-0EB6C1701CC2}"/>
    <cellStyle name="Percentuale 32 7" xfId="28550" xr:uid="{D97E9649-891B-4C7D-BFDB-9E616CDD05A7}"/>
    <cellStyle name="Percentuale 32 7 2" xfId="49213" xr:uid="{0D98DA83-D3A3-4EDA-B4EC-EBE6A9729619}"/>
    <cellStyle name="Percentuale 32 8" xfId="28517" xr:uid="{8CE41B56-5DE8-4EA1-9F14-35B5A11F9E42}"/>
    <cellStyle name="Percentuale 33" xfId="1074" xr:uid="{00000000-0005-0000-0000-000096080000}"/>
    <cellStyle name="Percentuale 33 2" xfId="1075" xr:uid="{00000000-0005-0000-0000-000097080000}"/>
    <cellStyle name="Percentuale 33 2 2" xfId="4374" xr:uid="{8A000B55-869B-4A48-B19D-EF0A407A85A7}"/>
    <cellStyle name="Percentuale 33 2 2 2" xfId="13588" xr:uid="{38FEAEE3-2E21-40E7-B532-68DC9CCAD1F7}"/>
    <cellStyle name="Percentuale 33 2 2 3" xfId="28553" xr:uid="{9CE2F20E-A19D-4E5E-8DA4-200DE61F7DEB}"/>
    <cellStyle name="Percentuale 33 2 3" xfId="13326" xr:uid="{77DE3075-FC5A-41F5-8351-FD290226F375}"/>
    <cellStyle name="Percentuale 33 2 3 2" xfId="28554" xr:uid="{F0214C5B-F857-4B0C-A7D8-F28201E16D7B}"/>
    <cellStyle name="Percentuale 33 2 4" xfId="28555" xr:uid="{EE262FAE-498A-4D12-96E2-2DCA6B0EDFB7}"/>
    <cellStyle name="Percentuale 33 2 4 2" xfId="49214" xr:uid="{186C77EB-E10F-4309-B655-4B798FCC26D7}"/>
    <cellStyle name="Percentuale 33 2 5" xfId="28556" xr:uid="{A0272890-9847-41DE-8C72-212EAED1B624}"/>
    <cellStyle name="Percentuale 33 2 6" xfId="28552" xr:uid="{89DB08E3-4EE3-4EAA-9AA8-E4999AE4B4BE}"/>
    <cellStyle name="Percentuale 33 3" xfId="1076" xr:uid="{00000000-0005-0000-0000-000098080000}"/>
    <cellStyle name="Percentuale 33 3 2" xfId="1077" xr:uid="{00000000-0005-0000-0000-000099080000}"/>
    <cellStyle name="Percentuale 33 3 2 2" xfId="2376" xr:uid="{00000000-0005-0000-0000-00009A080000}"/>
    <cellStyle name="Percentuale 33 3 2 2 2" xfId="28560" xr:uid="{F6484C19-D604-46B9-A1E1-D159CAEA2101}"/>
    <cellStyle name="Percentuale 33 3 2 2 3" xfId="28559" xr:uid="{D20C4289-A5EE-4083-A2B0-9A9AC75EB78B}"/>
    <cellStyle name="Percentuale 33 3 2 3" xfId="8143" xr:uid="{5550EA0C-CE76-4770-92CA-0F6B8AC57845}"/>
    <cellStyle name="Percentuale 33 3 2 3 2" xfId="14142" xr:uid="{AAB7A54E-B76C-4916-9773-3AF652F47E30}"/>
    <cellStyle name="Percentuale 33 3 2 3 3" xfId="28561" xr:uid="{D4886C4B-22A1-479F-91D9-D559973506D5}"/>
    <cellStyle name="Percentuale 33 3 2 3 4" xfId="49215" xr:uid="{496FD652-9C90-40C9-BC92-09D5F24BF28C}"/>
    <cellStyle name="Percentuale 33 3 2 4" xfId="28562" xr:uid="{274ADF67-2D07-4F2C-AB9C-07B960CD224A}"/>
    <cellStyle name="Percentuale 33 3 2 5" xfId="28558" xr:uid="{8416138D-9233-440F-BB1B-F9F254E23327}"/>
    <cellStyle name="Percentuale 33 3 3" xfId="4375" xr:uid="{E54E9F58-1394-4090-8EAE-F1A446B846BB}"/>
    <cellStyle name="Percentuale 33 3 3 2" xfId="9476" xr:uid="{F332C4E9-0517-4755-A1AF-A287F534916A}"/>
    <cellStyle name="Percentuale 33 3 3 2 2" xfId="28564" xr:uid="{206E81D0-122B-4EF2-B528-85DCEC38BE2C}"/>
    <cellStyle name="Percentuale 33 3 3 3" xfId="28565" xr:uid="{03862684-3487-47B5-88CE-FF0B0FFB869B}"/>
    <cellStyle name="Percentuale 33 3 3 4" xfId="28566" xr:uid="{CA58A0EC-0420-4352-9E5D-6D28E339718B}"/>
    <cellStyle name="Percentuale 33 3 3 4 2" xfId="49216" xr:uid="{E3B75447-46E4-43E6-B92D-DED78B62CC9B}"/>
    <cellStyle name="Percentuale 33 3 3 5" xfId="28563" xr:uid="{63999568-8298-462A-8559-234893EE4E80}"/>
    <cellStyle name="Percentuale 33 3 4" xfId="4376" xr:uid="{C5469DA0-5670-4F86-AECC-813651A7E08C}"/>
    <cellStyle name="Percentuale 33 3 4 2" xfId="13803" xr:uid="{F5746824-B166-4F2D-948A-49E29CBF9A55}"/>
    <cellStyle name="Percentuale 33 3 4 3" xfId="28567" xr:uid="{535EE6EF-D466-41C8-B1B4-046E492212C6}"/>
    <cellStyle name="Percentuale 33 3 5" xfId="11205" xr:uid="{051F5578-333C-4106-BA80-881E059D41D8}"/>
    <cellStyle name="Percentuale 33 3 5 2" xfId="28568" xr:uid="{FB17569D-796A-4529-B7A5-8E37B52736A7}"/>
    <cellStyle name="Percentuale 33 3 6" xfId="28569" xr:uid="{24A8F4CB-72BA-4811-B4B0-1AFB63E8FFE3}"/>
    <cellStyle name="Percentuale 33 3 6 2" xfId="49217" xr:uid="{CF795A40-C067-4674-9F03-8C19E9FB6E05}"/>
    <cellStyle name="Percentuale 33 3 7" xfId="28570" xr:uid="{3BFF3968-9CB0-4AAE-AFB9-742BD2930958}"/>
    <cellStyle name="Percentuale 33 3 8" xfId="28557" xr:uid="{F1B415E0-0BFE-4068-994A-8DF8B3ED0AC8}"/>
    <cellStyle name="Percentuale 33 4" xfId="2377" xr:uid="{00000000-0005-0000-0000-00009B080000}"/>
    <cellStyle name="Percentuale 33 4 2" xfId="2378" xr:uid="{00000000-0005-0000-0000-00009C080000}"/>
    <cellStyle name="Percentuale 33 4 2 2" xfId="9477" xr:uid="{24A5A99E-275E-4E8F-8E21-FF2D6B067634}"/>
    <cellStyle name="Percentuale 33 4 2 2 2" xfId="28573" xr:uid="{C51EFF9D-A49C-4855-8C82-46DCA4C8CA93}"/>
    <cellStyle name="Percentuale 33 4 2 3" xfId="17928" xr:uid="{69CD175A-41D1-49EA-A68E-8AFD1E22C6E2}"/>
    <cellStyle name="Percentuale 33 4 2 3 2" xfId="28574" xr:uid="{C85DF904-E2CF-4ACA-BDF7-4EFC230A8ECB}"/>
    <cellStyle name="Percentuale 33 4 2 4" xfId="28572" xr:uid="{73A0E386-8DE9-4F48-9842-9DBE3A0865A2}"/>
    <cellStyle name="Percentuale 33 4 2 5" xfId="17537" xr:uid="{619A73B1-7FDC-4314-BD54-59948EF054D4}"/>
    <cellStyle name="Percentuale 33 4 3" xfId="9478" xr:uid="{EC6F129C-B1E1-4F8B-BBCE-9C300CFFD685}"/>
    <cellStyle name="Percentuale 33 4 3 2" xfId="28575" xr:uid="{3D3EC22C-82CF-4E83-8279-9EF9A0877277}"/>
    <cellStyle name="Percentuale 33 4 4" xfId="28576" xr:uid="{241462F8-DB74-4E27-B3D6-E44A295C9B27}"/>
    <cellStyle name="Percentuale 33 4 5" xfId="28577" xr:uid="{1A133D7A-6A25-41AB-9282-28911D0C3015}"/>
    <cellStyle name="Percentuale 33 4 5 2" xfId="49218" xr:uid="{0B95435E-A758-4B66-81A6-DE242F276BF4}"/>
    <cellStyle name="Percentuale 33 4 6" xfId="28578" xr:uid="{1EC6FFF9-4C3A-4E83-B216-0266340B722F}"/>
    <cellStyle name="Percentuale 33 4 7" xfId="28571" xr:uid="{623F4F23-810F-42CF-9731-732B2C1E3AA1}"/>
    <cellStyle name="Percentuale 33 5" xfId="2379" xr:uid="{00000000-0005-0000-0000-00009D080000}"/>
    <cellStyle name="Percentuale 33 5 2" xfId="28580" xr:uid="{8029B63D-FF06-4567-B9D3-1BFF7B9D92A2}"/>
    <cellStyle name="Percentuale 33 5 3" xfId="28581" xr:uid="{B3490503-439F-49F1-92DD-EE5377A5A55D}"/>
    <cellStyle name="Percentuale 33 5 3 2" xfId="49219" xr:uid="{964236DB-1330-4051-BB95-1986418E5193}"/>
    <cellStyle name="Percentuale 33 5 4" xfId="28582" xr:uid="{2B61034E-3DE4-429F-9E63-D033C93014EB}"/>
    <cellStyle name="Percentuale 33 5 5" xfId="28579" xr:uid="{3F8365B9-914D-45C9-94B6-708058345F36}"/>
    <cellStyle name="Percentuale 33 6" xfId="4377" xr:uid="{A8E30811-84FF-4B67-BF4F-958F62A5100F}"/>
    <cellStyle name="Percentuale 33 6 2" xfId="9837" xr:uid="{6A4DDC0A-D626-44F5-A323-F902768273A3}"/>
    <cellStyle name="Percentuale 33 6 3" xfId="28583" xr:uid="{6FA2215E-75F1-4F6D-9703-ACD605EBB51F}"/>
    <cellStyle name="Percentuale 33 7" xfId="28584" xr:uid="{90561345-C8F3-47FC-922D-A3246ACD4478}"/>
    <cellStyle name="Percentuale 33 7 2" xfId="49220" xr:uid="{DC0EBAAC-FCC4-4EFF-A4BA-8BAF393526EC}"/>
    <cellStyle name="Percentuale 33 8" xfId="28551" xr:uid="{DB83C25E-F3C5-47D2-8932-7652BFD7BCC1}"/>
    <cellStyle name="Percentuale 34" xfId="1078" xr:uid="{00000000-0005-0000-0000-00009E080000}"/>
    <cellStyle name="Percentuale 34 2" xfId="1079" xr:uid="{00000000-0005-0000-0000-00009F080000}"/>
    <cellStyle name="Percentuale 34 2 2" xfId="4378" xr:uid="{3121E7CF-396E-4238-A79D-B12E07E631B2}"/>
    <cellStyle name="Percentuale 34 2 2 2" xfId="13589" xr:uid="{237F7B9E-6985-4D57-B4D5-31BBE83AC587}"/>
    <cellStyle name="Percentuale 34 2 2 3" xfId="28587" xr:uid="{52969D6B-385C-4804-AD1D-3BB2FD6E5EB8}"/>
    <cellStyle name="Percentuale 34 2 3" xfId="13327" xr:uid="{AB11343E-4045-4835-9A6A-DD57A393104D}"/>
    <cellStyle name="Percentuale 34 2 3 2" xfId="28588" xr:uid="{4D81B5E1-5CA1-4B3E-BC3D-E16EB078B143}"/>
    <cellStyle name="Percentuale 34 2 4" xfId="28589" xr:uid="{9C9F2344-446E-4F72-A77C-88A6B12BC683}"/>
    <cellStyle name="Percentuale 34 2 4 2" xfId="49221" xr:uid="{A23CA175-4A85-4FFE-BB34-F04DE6770270}"/>
    <cellStyle name="Percentuale 34 2 5" xfId="28590" xr:uid="{29D5E1CA-7284-46C5-8EE3-0A7A16F4EE86}"/>
    <cellStyle name="Percentuale 34 2 6" xfId="28586" xr:uid="{9B212636-39C3-4748-9B48-1154794ED4F3}"/>
    <cellStyle name="Percentuale 34 3" xfId="1080" xr:uid="{00000000-0005-0000-0000-0000A0080000}"/>
    <cellStyle name="Percentuale 34 3 2" xfId="1081" xr:uid="{00000000-0005-0000-0000-0000A1080000}"/>
    <cellStyle name="Percentuale 34 3 2 2" xfId="2380" xr:uid="{00000000-0005-0000-0000-0000A2080000}"/>
    <cellStyle name="Percentuale 34 3 2 2 2" xfId="28594" xr:uid="{F536C2A8-7F02-44DD-9AB1-0189807EAFCE}"/>
    <cellStyle name="Percentuale 34 3 2 2 3" xfId="28593" xr:uid="{54DBBE4A-B436-4647-B359-8F44F3756732}"/>
    <cellStyle name="Percentuale 34 3 2 3" xfId="8144" xr:uid="{561CF779-331A-418A-9769-5EF9FA6F7A47}"/>
    <cellStyle name="Percentuale 34 3 2 3 2" xfId="14143" xr:uid="{26569F8A-0026-43B9-99FE-01FE7D94FF7A}"/>
    <cellStyle name="Percentuale 34 3 2 3 3" xfId="28595" xr:uid="{812B0C69-A215-4602-BCD5-0EDC8D013F9C}"/>
    <cellStyle name="Percentuale 34 3 2 3 4" xfId="49222" xr:uid="{1E130AC6-8CD9-4C41-890F-5FB18E78E72F}"/>
    <cellStyle name="Percentuale 34 3 2 4" xfId="28596" xr:uid="{25BD47DB-E540-47BD-943B-7C53A8D94519}"/>
    <cellStyle name="Percentuale 34 3 2 5" xfId="28592" xr:uid="{431B9593-BE88-4985-A803-820D043BB7A4}"/>
    <cellStyle name="Percentuale 34 3 3" xfId="4379" xr:uid="{AEF09BDD-A55F-4918-B253-242BC10696FA}"/>
    <cellStyle name="Percentuale 34 3 3 2" xfId="9479" xr:uid="{B366B857-2C8F-4B17-9CAB-CA85E24E8797}"/>
    <cellStyle name="Percentuale 34 3 3 2 2" xfId="28598" xr:uid="{3031F969-14EA-4D52-A8BB-EA177B719B1A}"/>
    <cellStyle name="Percentuale 34 3 3 3" xfId="28599" xr:uid="{3D5D8281-9FFE-4C05-87BF-82565DE584E3}"/>
    <cellStyle name="Percentuale 34 3 3 4" xfId="28600" xr:uid="{6C20A512-A400-4A59-A66D-F793FDBE478E}"/>
    <cellStyle name="Percentuale 34 3 3 4 2" xfId="49223" xr:uid="{523D7013-1432-4D96-84D9-582A74B76C73}"/>
    <cellStyle name="Percentuale 34 3 3 5" xfId="28597" xr:uid="{EA9F6CF6-83DF-4A26-8EEE-4C95ECCDB97E}"/>
    <cellStyle name="Percentuale 34 3 4" xfId="4380" xr:uid="{F4EB1C1C-B38D-46BD-9C75-5A6EDAEB1E54}"/>
    <cellStyle name="Percentuale 34 3 4 2" xfId="13804" xr:uid="{CE44AF57-E597-4CD9-9DB9-08DFB7EED9A4}"/>
    <cellStyle name="Percentuale 34 3 4 3" xfId="28601" xr:uid="{978D63B2-BC4A-481A-8876-486D08FF9FFE}"/>
    <cellStyle name="Percentuale 34 3 5" xfId="12302" xr:uid="{EF9FFFEF-A3B0-47FD-A4B4-D041627F3AD4}"/>
    <cellStyle name="Percentuale 34 3 5 2" xfId="28602" xr:uid="{965AFC17-FCFE-4F29-AB64-2D704617A894}"/>
    <cellStyle name="Percentuale 34 3 6" xfId="28603" xr:uid="{4F1CF576-0FF5-4B5C-9513-3ABE68397CA6}"/>
    <cellStyle name="Percentuale 34 3 6 2" xfId="49224" xr:uid="{5A794771-9329-40A7-85E0-08D851BA0DF7}"/>
    <cellStyle name="Percentuale 34 3 7" xfId="28604" xr:uid="{82D088A9-A117-498A-9531-5EFC84A79123}"/>
    <cellStyle name="Percentuale 34 3 8" xfId="28591" xr:uid="{E61541D6-DAA8-498E-A674-292CBD55D2E5}"/>
    <cellStyle name="Percentuale 34 4" xfId="2381" xr:uid="{00000000-0005-0000-0000-0000A3080000}"/>
    <cellStyle name="Percentuale 34 4 2" xfId="2382" xr:uid="{00000000-0005-0000-0000-0000A4080000}"/>
    <cellStyle name="Percentuale 34 4 2 2" xfId="9480" xr:uid="{34474228-2327-469B-9D64-67721372C551}"/>
    <cellStyle name="Percentuale 34 4 2 2 2" xfId="28607" xr:uid="{43DDD0F4-9A08-461B-ADBC-02973635A0F2}"/>
    <cellStyle name="Percentuale 34 4 2 3" xfId="17929" xr:uid="{C3367A61-AC37-4C16-87C4-0B917184F67A}"/>
    <cellStyle name="Percentuale 34 4 2 3 2" xfId="28608" xr:uid="{28F4825F-DC29-43D1-A719-3A13C00321AF}"/>
    <cellStyle name="Percentuale 34 4 2 4" xfId="28606" xr:uid="{E808FCD3-068D-4295-B526-41DB9AECBBEB}"/>
    <cellStyle name="Percentuale 34 4 2 5" xfId="17538" xr:uid="{0A65941F-6277-4284-81A3-4F1E52C7B71F}"/>
    <cellStyle name="Percentuale 34 4 3" xfId="9481" xr:uid="{082112EC-7DB8-473C-87E6-613C80F24F9B}"/>
    <cellStyle name="Percentuale 34 4 3 2" xfId="28609" xr:uid="{73C6A51C-60BC-46A7-9598-5223C25FF9AE}"/>
    <cellStyle name="Percentuale 34 4 4" xfId="28610" xr:uid="{6E8B0C5C-DDFA-45A4-BE45-F603135F93BF}"/>
    <cellStyle name="Percentuale 34 4 5" xfId="28611" xr:uid="{8F102033-89B3-41DF-B670-C41CD3783ABF}"/>
    <cellStyle name="Percentuale 34 4 5 2" xfId="49225" xr:uid="{6D8C2D4E-6D8C-43A8-9AB2-034FB8E5E9AD}"/>
    <cellStyle name="Percentuale 34 4 6" xfId="28612" xr:uid="{2D597E02-E5C6-45A3-BEA1-AA3F50400B6B}"/>
    <cellStyle name="Percentuale 34 4 7" xfId="28605" xr:uid="{DB49AFD3-59B5-4B10-B225-1F0E0D6F5215}"/>
    <cellStyle name="Percentuale 34 5" xfId="2383" xr:uid="{00000000-0005-0000-0000-0000A5080000}"/>
    <cellStyle name="Percentuale 34 5 2" xfId="28614" xr:uid="{16B67B7F-CF4C-4545-8F16-9F38E4DAACE2}"/>
    <cellStyle name="Percentuale 34 5 3" xfId="28615" xr:uid="{3C9902F7-D3B4-46FE-A79C-00494883E018}"/>
    <cellStyle name="Percentuale 34 5 3 2" xfId="49226" xr:uid="{0443C101-54FB-4D9D-997C-1C11B3B7F4DA}"/>
    <cellStyle name="Percentuale 34 5 4" xfId="28616" xr:uid="{EEBF1ABB-9177-43C2-B5A6-FD28F0789457}"/>
    <cellStyle name="Percentuale 34 5 5" xfId="28613" xr:uid="{220E639F-D3DE-4DF0-925C-C9162EBB2A1F}"/>
    <cellStyle name="Percentuale 34 6" xfId="4381" xr:uid="{5767F785-9A81-4681-A86B-4D18C808E931}"/>
    <cellStyle name="Percentuale 34 6 2" xfId="9838" xr:uid="{79BF5150-979B-4AFE-B9D3-910F0C458962}"/>
    <cellStyle name="Percentuale 34 6 3" xfId="28617" xr:uid="{676C724A-E380-4266-8DAE-7482EC106564}"/>
    <cellStyle name="Percentuale 34 7" xfId="28618" xr:uid="{5585C969-BAFD-4B1E-8CE6-4BE4842FE9D3}"/>
    <cellStyle name="Percentuale 34 7 2" xfId="49227" xr:uid="{57BA924C-C535-4BD9-9CC6-A488889C5ECB}"/>
    <cellStyle name="Percentuale 34 8" xfId="28585" xr:uid="{699EFF69-78CA-4068-81D6-98A7E1089A63}"/>
    <cellStyle name="Percentuale 35" xfId="1082" xr:uid="{00000000-0005-0000-0000-0000A6080000}"/>
    <cellStyle name="Percentuale 35 2" xfId="1083" xr:uid="{00000000-0005-0000-0000-0000A7080000}"/>
    <cellStyle name="Percentuale 35 2 2" xfId="4382" xr:uid="{6AEFA0E4-83AF-4909-A181-7C011A9C6E7F}"/>
    <cellStyle name="Percentuale 35 2 2 2" xfId="13590" xr:uid="{CD4051F0-122F-499C-AB37-980A36D3388B}"/>
    <cellStyle name="Percentuale 35 2 2 3" xfId="28621" xr:uid="{CF740935-E43F-4D67-93CA-02850ED6E024}"/>
    <cellStyle name="Percentuale 35 2 3" xfId="13328" xr:uid="{8CBCC41A-3BDE-45FD-8781-F5408D9CFB08}"/>
    <cellStyle name="Percentuale 35 2 3 2" xfId="28622" xr:uid="{41E5413D-5ADE-4E4A-9655-E3391275E685}"/>
    <cellStyle name="Percentuale 35 2 4" xfId="28623" xr:uid="{0732BDC3-A473-4441-BAD4-E8418ED8469C}"/>
    <cellStyle name="Percentuale 35 2 4 2" xfId="49228" xr:uid="{7C31A25D-4A7E-4751-B8A7-33E9A08DC339}"/>
    <cellStyle name="Percentuale 35 2 5" xfId="28624" xr:uid="{A21E6A9F-8EF1-494E-8D0A-241E8FACA093}"/>
    <cellStyle name="Percentuale 35 2 6" xfId="28620" xr:uid="{613561C8-9176-4168-AEC9-3E69192210CE}"/>
    <cellStyle name="Percentuale 35 3" xfId="1084" xr:uid="{00000000-0005-0000-0000-0000A8080000}"/>
    <cellStyle name="Percentuale 35 3 2" xfId="1085" xr:uid="{00000000-0005-0000-0000-0000A9080000}"/>
    <cellStyle name="Percentuale 35 3 2 2" xfId="2384" xr:uid="{00000000-0005-0000-0000-0000AA080000}"/>
    <cellStyle name="Percentuale 35 3 2 2 2" xfId="28628" xr:uid="{9FB9EC0E-8E04-4367-AE35-E3B6C7AF06B4}"/>
    <cellStyle name="Percentuale 35 3 2 2 3" xfId="28627" xr:uid="{84BA3513-385E-453B-B087-43411666D7B5}"/>
    <cellStyle name="Percentuale 35 3 2 3" xfId="8145" xr:uid="{7F59F4AE-7D87-4379-B4A4-78AB84DA436B}"/>
    <cellStyle name="Percentuale 35 3 2 3 2" xfId="14144" xr:uid="{0172659F-3668-4455-8C0B-B7EC455FC1C1}"/>
    <cellStyle name="Percentuale 35 3 2 3 3" xfId="28629" xr:uid="{5DDC163B-76DC-4131-9B28-5B3CC23945DF}"/>
    <cellStyle name="Percentuale 35 3 2 3 4" xfId="49229" xr:uid="{3434FA9F-E25E-4D4D-986A-F3F0D238BBF7}"/>
    <cellStyle name="Percentuale 35 3 2 4" xfId="28630" xr:uid="{33B7030B-840E-4DD0-BEAD-D177CF65BB2A}"/>
    <cellStyle name="Percentuale 35 3 2 5" xfId="28626" xr:uid="{096D9F7A-68F2-4AC8-8237-EE9C31E9A505}"/>
    <cellStyle name="Percentuale 35 3 3" xfId="4383" xr:uid="{3510A725-8D8D-4ED8-B92A-60EEF437E04D}"/>
    <cellStyle name="Percentuale 35 3 3 2" xfId="9482" xr:uid="{19E2741A-28AF-437A-A5EE-0946ED1B0D53}"/>
    <cellStyle name="Percentuale 35 3 3 2 2" xfId="28632" xr:uid="{DAB204A5-CAE2-4CED-9E6E-9AB30D107091}"/>
    <cellStyle name="Percentuale 35 3 3 3" xfId="28633" xr:uid="{EF42A24D-5B38-4865-9384-62E0ADFB9BC0}"/>
    <cellStyle name="Percentuale 35 3 3 4" xfId="28634" xr:uid="{479D47A0-0682-477A-AF9E-C8AD3C8A4F71}"/>
    <cellStyle name="Percentuale 35 3 3 4 2" xfId="49230" xr:uid="{17AE63FB-2876-492B-BF6C-5390A95BD5BA}"/>
    <cellStyle name="Percentuale 35 3 3 5" xfId="28631" xr:uid="{ACFAEE69-C81C-4C0E-BBBA-A79DED6704AB}"/>
    <cellStyle name="Percentuale 35 3 4" xfId="4384" xr:uid="{810744D7-314D-4497-B8DE-492FBE42E039}"/>
    <cellStyle name="Percentuale 35 3 4 2" xfId="13805" xr:uid="{E17D456C-8B89-474F-A855-FC4FB8F64793}"/>
    <cellStyle name="Percentuale 35 3 4 3" xfId="28635" xr:uid="{1430A915-2B12-4EFB-82EF-02DD00CC8542}"/>
    <cellStyle name="Percentuale 35 3 5" xfId="12390" xr:uid="{C8B86605-BC9E-4AF8-AB8B-788F76559091}"/>
    <cellStyle name="Percentuale 35 3 5 2" xfId="28636" xr:uid="{2995287D-152E-4A86-A710-869E5C18732C}"/>
    <cellStyle name="Percentuale 35 3 6" xfId="28637" xr:uid="{BFAD2DA5-4206-4BC4-A77B-194DECDC46FB}"/>
    <cellStyle name="Percentuale 35 3 6 2" xfId="49231" xr:uid="{9F9ACF77-8C1B-41A5-8454-757C2CF7573D}"/>
    <cellStyle name="Percentuale 35 3 7" xfId="28638" xr:uid="{D97347C7-2F1E-42D5-8D01-1CD7AC67A4B1}"/>
    <cellStyle name="Percentuale 35 3 8" xfId="28625" xr:uid="{AE20671B-97C6-4810-93F0-547BFD027A19}"/>
    <cellStyle name="Percentuale 35 4" xfId="2385" xr:uid="{00000000-0005-0000-0000-0000AB080000}"/>
    <cellStyle name="Percentuale 35 4 2" xfId="2386" xr:uid="{00000000-0005-0000-0000-0000AC080000}"/>
    <cellStyle name="Percentuale 35 4 2 2" xfId="9483" xr:uid="{A3C96D3A-F43A-460C-92FC-F43D3E2A967B}"/>
    <cellStyle name="Percentuale 35 4 2 2 2" xfId="28641" xr:uid="{6C263A39-389A-4215-8971-878EA4B6BD5A}"/>
    <cellStyle name="Percentuale 35 4 2 3" xfId="17930" xr:uid="{974524C3-ED5F-4DE6-B1CC-F109C52DFC42}"/>
    <cellStyle name="Percentuale 35 4 2 3 2" xfId="28642" xr:uid="{8467C34A-68F2-42C0-8395-52A248CC4F88}"/>
    <cellStyle name="Percentuale 35 4 2 4" xfId="28640" xr:uid="{88BCBFC6-9883-450D-9DBE-ECBD67434B1B}"/>
    <cellStyle name="Percentuale 35 4 2 5" xfId="17539" xr:uid="{441B0A4B-153C-4F51-AA65-235091652865}"/>
    <cellStyle name="Percentuale 35 4 3" xfId="9484" xr:uid="{8EC07C2A-57FC-498B-B85F-9BC147E994E7}"/>
    <cellStyle name="Percentuale 35 4 3 2" xfId="28643" xr:uid="{FD7E3868-3F8B-416B-A1FA-BD598C097CBA}"/>
    <cellStyle name="Percentuale 35 4 4" xfId="28644" xr:uid="{1D245B2B-4DD4-4E37-881A-935043A8E116}"/>
    <cellStyle name="Percentuale 35 4 5" xfId="28645" xr:uid="{69E81F30-74C2-4FF7-B6D0-5C7E8D75AB96}"/>
    <cellStyle name="Percentuale 35 4 5 2" xfId="49232" xr:uid="{AFA72177-EEF4-44C7-A232-83A3B2475972}"/>
    <cellStyle name="Percentuale 35 4 6" xfId="28646" xr:uid="{83255081-276D-4841-8A2F-B5DE92E49130}"/>
    <cellStyle name="Percentuale 35 4 7" xfId="28639" xr:uid="{B2DF197B-6A9A-41C8-BC83-167207B6A3D8}"/>
    <cellStyle name="Percentuale 35 5" xfId="2387" xr:uid="{00000000-0005-0000-0000-0000AD080000}"/>
    <cellStyle name="Percentuale 35 5 2" xfId="28648" xr:uid="{4B8217CF-A3B4-458F-9E2E-C129258B5EC8}"/>
    <cellStyle name="Percentuale 35 5 3" xfId="28649" xr:uid="{320200E7-DD9F-485B-BF06-42F12E7DDB46}"/>
    <cellStyle name="Percentuale 35 5 3 2" xfId="49233" xr:uid="{796F0D29-103A-44C9-A3E6-76FEF03BC057}"/>
    <cellStyle name="Percentuale 35 5 4" xfId="28650" xr:uid="{D38D19D0-BD31-40E6-BF47-AA39A7CA1077}"/>
    <cellStyle name="Percentuale 35 5 5" xfId="28647" xr:uid="{1227110E-CAC3-40FF-B24C-C8765F17B86A}"/>
    <cellStyle name="Percentuale 35 6" xfId="4385" xr:uid="{A9FADC21-0FCC-4BF3-93F6-BF612F134C5D}"/>
    <cellStyle name="Percentuale 35 6 2" xfId="9839" xr:uid="{C98EB045-C156-4536-AACF-47A7620B2982}"/>
    <cellStyle name="Percentuale 35 6 3" xfId="28651" xr:uid="{8B507DEB-537B-4DC8-9513-47C657608234}"/>
    <cellStyle name="Percentuale 35 7" xfId="28652" xr:uid="{B84A25B3-A59D-4DED-B298-1DDEF06A96C5}"/>
    <cellStyle name="Percentuale 35 7 2" xfId="49234" xr:uid="{693787C1-C3E4-493F-90BF-AE3ADFFA171C}"/>
    <cellStyle name="Percentuale 35 8" xfId="28619" xr:uid="{FD4C12D4-E49A-4B96-86A0-712A5FB14FD9}"/>
    <cellStyle name="Percentuale 36" xfId="1086" xr:uid="{00000000-0005-0000-0000-0000AE080000}"/>
    <cellStyle name="Percentuale 36 2" xfId="1087" xr:uid="{00000000-0005-0000-0000-0000AF080000}"/>
    <cellStyle name="Percentuale 36 2 2" xfId="4386" xr:uid="{70B91778-C724-43C7-84B1-3F1841C8145C}"/>
    <cellStyle name="Percentuale 36 2 2 2" xfId="13591" xr:uid="{C5C04A67-1934-4355-8633-63CB34406B62}"/>
    <cellStyle name="Percentuale 36 2 2 3" xfId="28655" xr:uid="{9FC855B5-75F4-4C14-B550-E226DA728104}"/>
    <cellStyle name="Percentuale 36 2 3" xfId="13329" xr:uid="{23FA2C59-B27B-43D2-B711-50C7BB9FA2E7}"/>
    <cellStyle name="Percentuale 36 2 3 2" xfId="28656" xr:uid="{529D4FC9-B350-4103-86B4-6DF4362A5D96}"/>
    <cellStyle name="Percentuale 36 2 4" xfId="28657" xr:uid="{9036021E-4ECB-4AF7-B8C7-60CA6B278F36}"/>
    <cellStyle name="Percentuale 36 2 4 2" xfId="49235" xr:uid="{F5F52AA5-A100-45EE-89F5-0192F5F3C4C9}"/>
    <cellStyle name="Percentuale 36 2 5" xfId="28658" xr:uid="{DA376AA3-C16D-4153-8326-B40152941BFA}"/>
    <cellStyle name="Percentuale 36 2 6" xfId="28654" xr:uid="{163E961C-556E-49F3-8677-08CD449D50C7}"/>
    <cellStyle name="Percentuale 36 3" xfId="1088" xr:uid="{00000000-0005-0000-0000-0000B0080000}"/>
    <cellStyle name="Percentuale 36 3 2" xfId="1089" xr:uid="{00000000-0005-0000-0000-0000B1080000}"/>
    <cellStyle name="Percentuale 36 3 2 2" xfId="2388" xr:uid="{00000000-0005-0000-0000-0000B2080000}"/>
    <cellStyle name="Percentuale 36 3 2 2 2" xfId="28662" xr:uid="{DFA64128-F648-4562-9CF4-E549B7FA7CF8}"/>
    <cellStyle name="Percentuale 36 3 2 2 3" xfId="28661" xr:uid="{E010F192-EE44-4018-8AC4-F9FBD121E3A8}"/>
    <cellStyle name="Percentuale 36 3 2 3" xfId="8146" xr:uid="{96543D2B-9C1C-4EA4-99B6-4DEFEC2DFEC0}"/>
    <cellStyle name="Percentuale 36 3 2 3 2" xfId="14145" xr:uid="{8419F6DB-754C-49D3-A2ED-C3DC1B110E5B}"/>
    <cellStyle name="Percentuale 36 3 2 3 3" xfId="28663" xr:uid="{8F41F102-7B0F-4DE6-A5D0-F852EEAAF3D7}"/>
    <cellStyle name="Percentuale 36 3 2 3 4" xfId="49236" xr:uid="{393D87A9-2CE7-4A28-BF29-832134A77EAC}"/>
    <cellStyle name="Percentuale 36 3 2 4" xfId="28664" xr:uid="{A3AD8063-7858-4E8E-8808-EDC90D66C76C}"/>
    <cellStyle name="Percentuale 36 3 2 5" xfId="28660" xr:uid="{C1864954-6DE7-4986-9569-12A306009040}"/>
    <cellStyle name="Percentuale 36 3 3" xfId="4387" xr:uid="{6D50C532-C90E-4914-8CE4-EE8708174B29}"/>
    <cellStyle name="Percentuale 36 3 3 2" xfId="9485" xr:uid="{27C7C0CF-1B01-46E7-B877-934563B164F2}"/>
    <cellStyle name="Percentuale 36 3 3 2 2" xfId="28666" xr:uid="{97F9E625-7614-43C6-A466-EE9570A3A17F}"/>
    <cellStyle name="Percentuale 36 3 3 3" xfId="28667" xr:uid="{30AD6A42-C78A-42C8-A58A-A8D16A9B6A8E}"/>
    <cellStyle name="Percentuale 36 3 3 4" xfId="28668" xr:uid="{6FBC0C96-359C-45AF-84E6-8062B52BB4A9}"/>
    <cellStyle name="Percentuale 36 3 3 4 2" xfId="49237" xr:uid="{9F6D5A92-525B-400C-AEBC-098EA7EAE1AA}"/>
    <cellStyle name="Percentuale 36 3 3 5" xfId="28665" xr:uid="{FD7714EF-6C56-44FE-82FB-B1B198B708A8}"/>
    <cellStyle name="Percentuale 36 3 4" xfId="4388" xr:uid="{5D8C4EF4-BA4C-457B-8A87-D0B4761765C9}"/>
    <cellStyle name="Percentuale 36 3 4 2" xfId="13806" xr:uid="{468F3F50-CE09-4750-9677-233E1FF29312}"/>
    <cellStyle name="Percentuale 36 3 4 3" xfId="28669" xr:uid="{6AE88B64-5E24-4392-9D2E-5B525BDFFB9E}"/>
    <cellStyle name="Percentuale 36 3 5" xfId="12301" xr:uid="{87029902-0BAF-4C72-A09D-AA6C3B1F6F59}"/>
    <cellStyle name="Percentuale 36 3 5 2" xfId="28670" xr:uid="{1DD6466A-1EDB-479B-9796-CBD3EC81C3FA}"/>
    <cellStyle name="Percentuale 36 3 6" xfId="28671" xr:uid="{0264D0EC-555C-48C6-8770-13A86EEDB8B8}"/>
    <cellStyle name="Percentuale 36 3 6 2" xfId="49238" xr:uid="{2B04AF2F-29D9-4667-ACB5-649343022C78}"/>
    <cellStyle name="Percentuale 36 3 7" xfId="28672" xr:uid="{14352CBD-0FDA-4FE3-8C11-2B7F27A4D639}"/>
    <cellStyle name="Percentuale 36 3 8" xfId="28659" xr:uid="{EE2B66D1-E5DC-4112-B549-844B4F293546}"/>
    <cellStyle name="Percentuale 36 4" xfId="2389" xr:uid="{00000000-0005-0000-0000-0000B3080000}"/>
    <cellStyle name="Percentuale 36 4 2" xfId="2390" xr:uid="{00000000-0005-0000-0000-0000B4080000}"/>
    <cellStyle name="Percentuale 36 4 2 2" xfId="9486" xr:uid="{183723CB-2E3E-46B5-B24B-FA59F905421F}"/>
    <cellStyle name="Percentuale 36 4 2 2 2" xfId="28675" xr:uid="{07F1D85A-D833-45DF-BFB1-F6EB866DBB71}"/>
    <cellStyle name="Percentuale 36 4 2 3" xfId="17931" xr:uid="{20DB63A9-8D83-42B9-A96D-83D9225ABB4D}"/>
    <cellStyle name="Percentuale 36 4 2 3 2" xfId="28676" xr:uid="{8D8B0F85-373C-4C2C-AE7E-5FACA1071BA9}"/>
    <cellStyle name="Percentuale 36 4 2 4" xfId="28674" xr:uid="{14EC9530-214B-419F-9FFD-9445E95EE1BA}"/>
    <cellStyle name="Percentuale 36 4 2 5" xfId="17540" xr:uid="{0175F529-B833-4402-97A3-E937D87AFEEB}"/>
    <cellStyle name="Percentuale 36 4 3" xfId="9487" xr:uid="{2532429B-0884-42EE-845A-1567F0B10C51}"/>
    <cellStyle name="Percentuale 36 4 3 2" xfId="28677" xr:uid="{3B575079-1A2A-4AB2-B3BD-0632681C08A6}"/>
    <cellStyle name="Percentuale 36 4 4" xfId="28678" xr:uid="{5EDBC131-C383-47B3-8C80-7673B9CB10A4}"/>
    <cellStyle name="Percentuale 36 4 5" xfId="28679" xr:uid="{A8D64B41-0854-45C4-B08D-71000D287402}"/>
    <cellStyle name="Percentuale 36 4 5 2" xfId="49239" xr:uid="{4B6FACBC-DEE9-4274-9146-F531ABF3E77F}"/>
    <cellStyle name="Percentuale 36 4 6" xfId="28680" xr:uid="{C055E48B-53ED-4941-84D9-6BD372ECFC3D}"/>
    <cellStyle name="Percentuale 36 4 7" xfId="28673" xr:uid="{7B3CEF99-2AFF-4D1C-A803-39018A577769}"/>
    <cellStyle name="Percentuale 36 5" xfId="2391" xr:uid="{00000000-0005-0000-0000-0000B5080000}"/>
    <cellStyle name="Percentuale 36 5 2" xfId="28682" xr:uid="{60F384B0-29AD-4EBD-B9ED-F857148E6A3A}"/>
    <cellStyle name="Percentuale 36 5 3" xfId="28683" xr:uid="{CFD609B2-6D94-470A-95BB-0CB27156FE5D}"/>
    <cellStyle name="Percentuale 36 5 3 2" xfId="49240" xr:uid="{819BEE71-1401-41B3-B50C-B5263372854C}"/>
    <cellStyle name="Percentuale 36 5 4" xfId="28684" xr:uid="{EC959AD2-3C95-4A2F-B04C-1DB43352FF91}"/>
    <cellStyle name="Percentuale 36 5 5" xfId="28681" xr:uid="{F6027F70-CC85-42F5-B7A1-542B8279346E}"/>
    <cellStyle name="Percentuale 36 6" xfId="4389" xr:uid="{E4506130-EDE4-4ECD-BABF-66DC99F01C22}"/>
    <cellStyle name="Percentuale 36 6 2" xfId="9840" xr:uid="{CBC32C35-0A32-4F83-B421-5B3546DCA389}"/>
    <cellStyle name="Percentuale 36 6 3" xfId="28685" xr:uid="{8D24BAB1-672A-4DCF-A1A2-A45474CA6F55}"/>
    <cellStyle name="Percentuale 36 7" xfId="28686" xr:uid="{A1CAEFB8-A711-4361-91E9-2E88C949443D}"/>
    <cellStyle name="Percentuale 36 7 2" xfId="49241" xr:uid="{451B1573-F692-420B-95F1-907F00DA0A4A}"/>
    <cellStyle name="Percentuale 36 8" xfId="28653" xr:uid="{D246E601-6CB4-4C4D-917D-961E764AE7D8}"/>
    <cellStyle name="Percentuale 37" xfId="1090" xr:uid="{00000000-0005-0000-0000-0000B6080000}"/>
    <cellStyle name="Percentuale 37 2" xfId="1091" xr:uid="{00000000-0005-0000-0000-0000B7080000}"/>
    <cellStyle name="Percentuale 37 2 2" xfId="4390" xr:uid="{D2267C83-6C59-46FC-8EDD-24D78926DA0D}"/>
    <cellStyle name="Percentuale 37 2 2 2" xfId="13592" xr:uid="{D2DD8A1D-9856-4C9F-A54E-2CEF1CFC0BAF}"/>
    <cellStyle name="Percentuale 37 2 2 3" xfId="28689" xr:uid="{BFED7749-E0C7-4ED1-B139-337BFC83FEF2}"/>
    <cellStyle name="Percentuale 37 2 3" xfId="13330" xr:uid="{3AF23834-04DC-464B-9E30-2924D9A0E502}"/>
    <cellStyle name="Percentuale 37 2 3 2" xfId="28690" xr:uid="{DF848955-7BEA-4973-95B0-5AFDBBF4A9BA}"/>
    <cellStyle name="Percentuale 37 2 4" xfId="28691" xr:uid="{5C470377-9F8C-49F8-9A41-89A99CE16F5C}"/>
    <cellStyle name="Percentuale 37 2 4 2" xfId="49242" xr:uid="{B98E9E79-FAAF-4C61-AC52-06FD5FB8AA88}"/>
    <cellStyle name="Percentuale 37 2 5" xfId="28692" xr:uid="{3A1EA14E-CA84-45EC-9732-0EB3DBE4BAF4}"/>
    <cellStyle name="Percentuale 37 2 6" xfId="28688" xr:uid="{93C48F0D-F57B-4A54-86D1-786E227D4316}"/>
    <cellStyle name="Percentuale 37 3" xfId="1092" xr:uid="{00000000-0005-0000-0000-0000B8080000}"/>
    <cellStyle name="Percentuale 37 3 2" xfId="1093" xr:uid="{00000000-0005-0000-0000-0000B9080000}"/>
    <cellStyle name="Percentuale 37 3 2 2" xfId="2392" xr:uid="{00000000-0005-0000-0000-0000BA080000}"/>
    <cellStyle name="Percentuale 37 3 2 2 2" xfId="28696" xr:uid="{8CC15F55-15E6-4ED3-8EAF-C52F3B23873C}"/>
    <cellStyle name="Percentuale 37 3 2 2 3" xfId="28695" xr:uid="{845E5923-F377-4AE4-8238-FC63693311EB}"/>
    <cellStyle name="Percentuale 37 3 2 3" xfId="8147" xr:uid="{5775F767-4F5C-4DC1-B3C1-B5C4DB043C51}"/>
    <cellStyle name="Percentuale 37 3 2 3 2" xfId="14146" xr:uid="{D7ACD550-080D-4A9C-BC08-C7A5078C2AFC}"/>
    <cellStyle name="Percentuale 37 3 2 3 3" xfId="28697" xr:uid="{3A21471E-AF2E-44B0-B870-1B4CEFEC55FC}"/>
    <cellStyle name="Percentuale 37 3 2 3 4" xfId="49243" xr:uid="{5D99679D-551D-4B7B-8EC3-76AD8606F946}"/>
    <cellStyle name="Percentuale 37 3 2 4" xfId="28698" xr:uid="{3547862A-6B67-4FD0-93BA-97D3B9AEF251}"/>
    <cellStyle name="Percentuale 37 3 2 5" xfId="28694" xr:uid="{D4DCD519-4BFC-4580-8483-ED9DC67A4968}"/>
    <cellStyle name="Percentuale 37 3 3" xfId="4391" xr:uid="{2D2207B3-3FBC-471C-BBD0-428E7C0B37F4}"/>
    <cellStyle name="Percentuale 37 3 3 2" xfId="9488" xr:uid="{902E5A06-FC08-4FEF-B0BC-14C3453E4EC2}"/>
    <cellStyle name="Percentuale 37 3 3 2 2" xfId="28700" xr:uid="{46D4FC8A-790B-4DF2-8074-C4C7D5023592}"/>
    <cellStyle name="Percentuale 37 3 3 3" xfId="28701" xr:uid="{56436AA5-FCE7-4365-A6D0-B7DDC21AAB9B}"/>
    <cellStyle name="Percentuale 37 3 3 4" xfId="28702" xr:uid="{CAE2E32B-82C6-410E-A4B9-2395DDACA1B9}"/>
    <cellStyle name="Percentuale 37 3 3 4 2" xfId="49244" xr:uid="{E3E74F52-5B22-4A01-AEBC-04D564960F7F}"/>
    <cellStyle name="Percentuale 37 3 3 5" xfId="28699" xr:uid="{2E63D680-BB87-482D-AD43-6B63349F11E5}"/>
    <cellStyle name="Percentuale 37 3 4" xfId="4392" xr:uid="{74EBADBB-ACA1-4334-AD14-9FED7F524FB1}"/>
    <cellStyle name="Percentuale 37 3 4 2" xfId="13807" xr:uid="{8CD66FFA-D131-430C-B1DF-169DB3C2DA96}"/>
    <cellStyle name="Percentuale 37 3 4 3" xfId="28703" xr:uid="{29A0D958-F834-4A5E-9E73-ACF7120F4CAE}"/>
    <cellStyle name="Percentuale 37 3 5" xfId="12391" xr:uid="{AE15D2E6-15D2-4A10-9E5B-0C2CA7C372A1}"/>
    <cellStyle name="Percentuale 37 3 5 2" xfId="28704" xr:uid="{10BE9C03-1473-4E13-A743-DA1A594FB198}"/>
    <cellStyle name="Percentuale 37 3 6" xfId="28705" xr:uid="{259671BC-85FF-471F-A622-957DA353CDF1}"/>
    <cellStyle name="Percentuale 37 3 6 2" xfId="49245" xr:uid="{29982EEF-6AB1-4407-89AB-80807B528E42}"/>
    <cellStyle name="Percentuale 37 3 7" xfId="28706" xr:uid="{048BA87C-A5D3-4917-9BAF-7E262D3491DC}"/>
    <cellStyle name="Percentuale 37 3 8" xfId="28693" xr:uid="{D5C5AC46-4744-4DDE-BA4D-AB92311D4183}"/>
    <cellStyle name="Percentuale 37 4" xfId="2393" xr:uid="{00000000-0005-0000-0000-0000BB080000}"/>
    <cellStyle name="Percentuale 37 4 2" xfId="2394" xr:uid="{00000000-0005-0000-0000-0000BC080000}"/>
    <cellStyle name="Percentuale 37 4 2 2" xfId="9489" xr:uid="{F6119C40-CA0C-4BFE-A3ED-08EAB9085C0A}"/>
    <cellStyle name="Percentuale 37 4 2 2 2" xfId="28709" xr:uid="{707EAEB4-4248-4810-8B9F-DFF7AF9A9252}"/>
    <cellStyle name="Percentuale 37 4 2 3" xfId="17932" xr:uid="{BF99D205-9B58-483F-94C9-63D272392B40}"/>
    <cellStyle name="Percentuale 37 4 2 3 2" xfId="28710" xr:uid="{0CED5C15-CD9B-4104-A1B7-7B0DF5F86884}"/>
    <cellStyle name="Percentuale 37 4 2 4" xfId="28708" xr:uid="{E3C1ADEE-F43B-457E-832F-1EF89340DD8E}"/>
    <cellStyle name="Percentuale 37 4 2 5" xfId="17541" xr:uid="{6058BD4A-3CC0-4318-A88D-83F141AC2E54}"/>
    <cellStyle name="Percentuale 37 4 3" xfId="9490" xr:uid="{B22BEDFC-487C-4702-BD85-8B168B3A23D7}"/>
    <cellStyle name="Percentuale 37 4 3 2" xfId="28711" xr:uid="{ABF420BE-874D-4FE1-B35C-7E9561B54B9D}"/>
    <cellStyle name="Percentuale 37 4 4" xfId="28712" xr:uid="{A12E911B-45A8-4548-A8A4-C88AE7DE7102}"/>
    <cellStyle name="Percentuale 37 4 5" xfId="28713" xr:uid="{11114118-60D7-4F58-B641-192687FE9156}"/>
    <cellStyle name="Percentuale 37 4 5 2" xfId="49246" xr:uid="{7CEA2689-1CC8-46DD-A481-F1EE119E08C0}"/>
    <cellStyle name="Percentuale 37 4 6" xfId="28714" xr:uid="{206E4EE4-37A3-4BF6-9312-C4C532170F92}"/>
    <cellStyle name="Percentuale 37 4 7" xfId="28707" xr:uid="{F48B5009-8883-4928-974B-73CE9E13A388}"/>
    <cellStyle name="Percentuale 37 5" xfId="2395" xr:uid="{00000000-0005-0000-0000-0000BD080000}"/>
    <cellStyle name="Percentuale 37 5 2" xfId="28716" xr:uid="{A4BF28B5-AB1A-4F01-AFC1-A6418432004B}"/>
    <cellStyle name="Percentuale 37 5 3" xfId="28717" xr:uid="{E9174347-CA45-432E-B816-18B45ADB5405}"/>
    <cellStyle name="Percentuale 37 5 3 2" xfId="49247" xr:uid="{CE92E188-6B50-4009-8B5D-35100BC7318F}"/>
    <cellStyle name="Percentuale 37 5 4" xfId="28718" xr:uid="{88AF35EC-485D-47BD-9506-6A58FF97FD7A}"/>
    <cellStyle name="Percentuale 37 5 5" xfId="28715" xr:uid="{1074D8BA-E13E-4A73-96A2-F2A7F01FF5D0}"/>
    <cellStyle name="Percentuale 37 6" xfId="4393" xr:uid="{8F855EFA-EFE3-420F-B98A-7BEC1498299F}"/>
    <cellStyle name="Percentuale 37 6 2" xfId="9841" xr:uid="{FBF2934E-F299-4687-900B-9096C85B1E70}"/>
    <cellStyle name="Percentuale 37 6 3" xfId="28719" xr:uid="{DBCA755F-7864-4AC6-9B6A-8668775FF932}"/>
    <cellStyle name="Percentuale 37 7" xfId="28720" xr:uid="{CF805D68-C87B-485A-9B3C-45CB001C970C}"/>
    <cellStyle name="Percentuale 37 7 2" xfId="49248" xr:uid="{D3E93A81-6A8A-410C-AA9B-2AE913D53D55}"/>
    <cellStyle name="Percentuale 37 8" xfId="28687" xr:uid="{14AD145D-3590-4AF8-B330-20E401E81299}"/>
    <cellStyle name="Percentuale 38" xfId="1094" xr:uid="{00000000-0005-0000-0000-0000BE080000}"/>
    <cellStyle name="Percentuale 38 2" xfId="1095" xr:uid="{00000000-0005-0000-0000-0000BF080000}"/>
    <cellStyle name="Percentuale 38 2 2" xfId="4394" xr:uid="{396F2188-4485-43D0-B02F-F2911C9FD288}"/>
    <cellStyle name="Percentuale 38 2 2 2" xfId="13593" xr:uid="{3385AFB0-3590-4F77-8C49-A96D0A9C5E1C}"/>
    <cellStyle name="Percentuale 38 2 2 3" xfId="28723" xr:uid="{89EAD6F7-5860-4C57-B765-B87E85B93658}"/>
    <cellStyle name="Percentuale 38 2 3" xfId="13331" xr:uid="{DF115ED1-0CAA-48D7-AFCA-DFAC549DCBFB}"/>
    <cellStyle name="Percentuale 38 2 3 2" xfId="28724" xr:uid="{E4F6042E-3CBC-45E2-B835-859C63D3056D}"/>
    <cellStyle name="Percentuale 38 2 4" xfId="28725" xr:uid="{F7152403-4857-4149-84E7-68A41D602239}"/>
    <cellStyle name="Percentuale 38 2 4 2" xfId="49249" xr:uid="{DB2BFF8C-E0BF-45C3-8525-A14A2829F39A}"/>
    <cellStyle name="Percentuale 38 2 5" xfId="28726" xr:uid="{436E9B7B-B069-45EF-848C-9FDB95448A30}"/>
    <cellStyle name="Percentuale 38 2 6" xfId="28722" xr:uid="{E2EBC870-9090-46D9-A5B3-07E42D5D7615}"/>
    <cellStyle name="Percentuale 38 3" xfId="1096" xr:uid="{00000000-0005-0000-0000-0000C0080000}"/>
    <cellStyle name="Percentuale 38 3 2" xfId="1097" xr:uid="{00000000-0005-0000-0000-0000C1080000}"/>
    <cellStyle name="Percentuale 38 3 2 2" xfId="2396" xr:uid="{00000000-0005-0000-0000-0000C2080000}"/>
    <cellStyle name="Percentuale 38 3 2 2 2" xfId="28730" xr:uid="{7D5BF675-9937-4869-AB53-74466D61757A}"/>
    <cellStyle name="Percentuale 38 3 2 2 3" xfId="28729" xr:uid="{FBE45390-9F2A-4891-BEAC-EC762EA48D66}"/>
    <cellStyle name="Percentuale 38 3 2 3" xfId="8148" xr:uid="{FD6AF449-C81A-4B5E-A57F-CAFF40080312}"/>
    <cellStyle name="Percentuale 38 3 2 3 2" xfId="14147" xr:uid="{2F7A633E-A646-4B63-9A29-0CA9F6D22113}"/>
    <cellStyle name="Percentuale 38 3 2 3 3" xfId="28731" xr:uid="{12916314-DD91-412E-B632-4E2B599C336C}"/>
    <cellStyle name="Percentuale 38 3 2 3 4" xfId="49250" xr:uid="{1037E07C-61FB-45EB-86C2-3F09F5D88986}"/>
    <cellStyle name="Percentuale 38 3 2 4" xfId="28732" xr:uid="{5318FA1D-094B-4FAA-B900-B7760415B7E7}"/>
    <cellStyle name="Percentuale 38 3 2 5" xfId="28728" xr:uid="{415E0AA5-FB3F-48F9-9A95-A1F505C0DD43}"/>
    <cellStyle name="Percentuale 38 3 3" xfId="4395" xr:uid="{B5AF9D39-FE22-4ADE-9AFF-F1B22B221539}"/>
    <cellStyle name="Percentuale 38 3 3 2" xfId="9491" xr:uid="{89130B1D-15B7-4433-AE5A-3E9514EA1A82}"/>
    <cellStyle name="Percentuale 38 3 3 2 2" xfId="28734" xr:uid="{8CFB044B-371F-4C7F-9DD1-4B8EF454D8AB}"/>
    <cellStyle name="Percentuale 38 3 3 3" xfId="28735" xr:uid="{8A085F29-99D1-43A5-87EA-297C5CC0F8D5}"/>
    <cellStyle name="Percentuale 38 3 3 4" xfId="28736" xr:uid="{49296E34-3A89-40F5-A9C3-E13225A196FC}"/>
    <cellStyle name="Percentuale 38 3 3 4 2" xfId="49251" xr:uid="{501E84FC-E706-4CED-8DD1-95C3C6823AF2}"/>
    <cellStyle name="Percentuale 38 3 3 5" xfId="28733" xr:uid="{2A66A915-CF67-4F07-B131-D9A8BA59D235}"/>
    <cellStyle name="Percentuale 38 3 4" xfId="4396" xr:uid="{ACE69057-A42C-41D3-A999-C6A09B03E23D}"/>
    <cellStyle name="Percentuale 38 3 4 2" xfId="13808" xr:uid="{0BCBD749-2B16-41F3-9591-DBC16C531B5A}"/>
    <cellStyle name="Percentuale 38 3 4 3" xfId="28737" xr:uid="{0BFC5ABA-5231-4CE1-B666-955A0EA9B416}"/>
    <cellStyle name="Percentuale 38 3 5" xfId="11204" xr:uid="{98363CF9-A539-43AE-B0E1-E3A4320116BA}"/>
    <cellStyle name="Percentuale 38 3 5 2" xfId="28738" xr:uid="{E2D19006-7D9C-489C-9801-AD7123276FDA}"/>
    <cellStyle name="Percentuale 38 3 6" xfId="28739" xr:uid="{B75ADAAB-7E8E-4C73-BDD0-8A41FFE54AEA}"/>
    <cellStyle name="Percentuale 38 3 6 2" xfId="49252" xr:uid="{58865933-5678-4651-8A87-8D087542CF19}"/>
    <cellStyle name="Percentuale 38 3 7" xfId="28740" xr:uid="{2288B168-F4E4-49F7-8EEE-96C195F2868B}"/>
    <cellStyle name="Percentuale 38 3 8" xfId="28727" xr:uid="{B8C92A9C-0520-4E3B-A1A5-EACCEB316ABF}"/>
    <cellStyle name="Percentuale 38 4" xfId="2397" xr:uid="{00000000-0005-0000-0000-0000C3080000}"/>
    <cellStyle name="Percentuale 38 4 2" xfId="2398" xr:uid="{00000000-0005-0000-0000-0000C4080000}"/>
    <cellStyle name="Percentuale 38 4 2 2" xfId="9492" xr:uid="{AE2EBC64-C209-4F8D-870F-EEAAAEFBF8D2}"/>
    <cellStyle name="Percentuale 38 4 2 2 2" xfId="28743" xr:uid="{1CE6844B-D655-4A83-9FE4-9A2632F6A01C}"/>
    <cellStyle name="Percentuale 38 4 2 3" xfId="17933" xr:uid="{24062E93-3F27-4F92-93D6-0A4EF1DB7839}"/>
    <cellStyle name="Percentuale 38 4 2 3 2" xfId="28744" xr:uid="{30F2E1F1-0D87-4625-A0BC-8E8AB07ABC4B}"/>
    <cellStyle name="Percentuale 38 4 2 4" xfId="28742" xr:uid="{2819C042-BB1B-4D3C-A8B8-633E5D6AB68C}"/>
    <cellStyle name="Percentuale 38 4 2 5" xfId="17543" xr:uid="{169BAE21-5D70-4A89-8F94-7E953977A7DB}"/>
    <cellStyle name="Percentuale 38 4 3" xfId="9493" xr:uid="{C55E8FC6-89D4-4A0C-AB99-286018FCEC29}"/>
    <cellStyle name="Percentuale 38 4 3 2" xfId="28745" xr:uid="{05154D22-F71F-415B-A148-4B2A89F59DDA}"/>
    <cellStyle name="Percentuale 38 4 4" xfId="28746" xr:uid="{E5F45AD1-5716-46FD-AFFC-35169D67A368}"/>
    <cellStyle name="Percentuale 38 4 5" xfId="28747" xr:uid="{2C3FDFAC-2BE9-4A65-BF37-9E188A6165CE}"/>
    <cellStyle name="Percentuale 38 4 5 2" xfId="49253" xr:uid="{EA82AE21-9707-4E76-9D9B-FCEC0F27D6E5}"/>
    <cellStyle name="Percentuale 38 4 6" xfId="28748" xr:uid="{59733EE4-7999-42F1-8BD9-F74F12DE29AA}"/>
    <cellStyle name="Percentuale 38 4 7" xfId="28741" xr:uid="{7561FE7B-8A46-4337-9EF2-06D9DCAFA7BF}"/>
    <cellStyle name="Percentuale 38 5" xfId="2399" xr:uid="{00000000-0005-0000-0000-0000C5080000}"/>
    <cellStyle name="Percentuale 38 5 2" xfId="28750" xr:uid="{578A58B3-ED86-41D8-B471-A69E016EC077}"/>
    <cellStyle name="Percentuale 38 5 3" xfId="28751" xr:uid="{E90A75D6-BC54-4CCF-96A5-53B9E8A9412B}"/>
    <cellStyle name="Percentuale 38 5 3 2" xfId="49254" xr:uid="{3ED1A4DF-FC4D-4E03-A4E7-2455D750FA06}"/>
    <cellStyle name="Percentuale 38 5 4" xfId="28752" xr:uid="{3C7D3512-8BD1-4A80-96B2-14BE4A346FBF}"/>
    <cellStyle name="Percentuale 38 5 5" xfId="28749" xr:uid="{4B3E4567-552F-4206-B199-4B79998D33E9}"/>
    <cellStyle name="Percentuale 38 6" xfId="4397" xr:uid="{F4023244-3A9B-407E-88F5-7AB5EC288220}"/>
    <cellStyle name="Percentuale 38 6 2" xfId="9842" xr:uid="{EDCDC74C-6194-4CF7-B13E-61AF66A7F8EE}"/>
    <cellStyle name="Percentuale 38 6 3" xfId="28753" xr:uid="{BAF8B407-7E9C-495D-8ED3-DF3FE756A751}"/>
    <cellStyle name="Percentuale 38 7" xfId="28754" xr:uid="{76397DCF-EC38-4A33-A1AD-D9F83B96284D}"/>
    <cellStyle name="Percentuale 38 7 2" xfId="49255" xr:uid="{976FE87F-D5BF-459A-8665-4B9F88E318FA}"/>
    <cellStyle name="Percentuale 38 8" xfId="28721" xr:uid="{581B0834-495F-46E4-A29E-290736A0CC13}"/>
    <cellStyle name="Percentuale 39" xfId="1098" xr:uid="{00000000-0005-0000-0000-0000C6080000}"/>
    <cellStyle name="Percentuale 39 2" xfId="1099" xr:uid="{00000000-0005-0000-0000-0000C7080000}"/>
    <cellStyle name="Percentuale 39 2 2" xfId="4398" xr:uid="{D35F51B9-941B-4266-9744-C731D95920A7}"/>
    <cellStyle name="Percentuale 39 2 2 2" xfId="13594" xr:uid="{1B14E001-DDDB-4254-AF9A-21DD97E74F86}"/>
    <cellStyle name="Percentuale 39 2 2 3" xfId="28757" xr:uid="{1E7B5874-F00C-4FB5-8C7B-877D7D840E3F}"/>
    <cellStyle name="Percentuale 39 2 3" xfId="13332" xr:uid="{775D4D8F-6B2D-4E7C-B4FB-33F03D01A243}"/>
    <cellStyle name="Percentuale 39 2 3 2" xfId="28758" xr:uid="{BAF0817B-A0E1-4AF1-9C4C-7096DF2BFB8B}"/>
    <cellStyle name="Percentuale 39 2 4" xfId="28759" xr:uid="{AE13D45A-D0A0-4688-88F1-FDACF2E64019}"/>
    <cellStyle name="Percentuale 39 2 4 2" xfId="49256" xr:uid="{1280F50F-C9EA-4DDE-A5DF-512B7B35FD25}"/>
    <cellStyle name="Percentuale 39 2 5" xfId="28760" xr:uid="{262A21D7-584E-4D91-8AA7-6DA10D5ECA8D}"/>
    <cellStyle name="Percentuale 39 2 6" xfId="28756" xr:uid="{88D40A12-B620-40B1-ABB3-8AE05FCF07EF}"/>
    <cellStyle name="Percentuale 39 3" xfId="1100" xr:uid="{00000000-0005-0000-0000-0000C8080000}"/>
    <cellStyle name="Percentuale 39 3 2" xfId="1101" xr:uid="{00000000-0005-0000-0000-0000C9080000}"/>
    <cellStyle name="Percentuale 39 3 2 2" xfId="2400" xr:uid="{00000000-0005-0000-0000-0000CA080000}"/>
    <cellStyle name="Percentuale 39 3 2 2 2" xfId="28764" xr:uid="{777651EF-C960-431C-B024-96F0C6BE058B}"/>
    <cellStyle name="Percentuale 39 3 2 2 3" xfId="28763" xr:uid="{F1C9EFBE-2E0D-4B32-AC3A-2FF9AC449357}"/>
    <cellStyle name="Percentuale 39 3 2 3" xfId="8149" xr:uid="{4E7C838D-2758-4D12-AF8D-E0755F652044}"/>
    <cellStyle name="Percentuale 39 3 2 3 2" xfId="14148" xr:uid="{C6FEC9DE-3CA9-4F6E-8D6C-D326D69789AA}"/>
    <cellStyle name="Percentuale 39 3 2 3 3" xfId="28765" xr:uid="{3D7B7699-0C55-4DB7-807A-B989F8F601C0}"/>
    <cellStyle name="Percentuale 39 3 2 3 4" xfId="49257" xr:uid="{BBA1E785-95AF-4C5A-9590-0DA9535E0D20}"/>
    <cellStyle name="Percentuale 39 3 2 4" xfId="28766" xr:uid="{E86D4305-7FAE-479C-AD90-4DEEAA41CBCB}"/>
    <cellStyle name="Percentuale 39 3 2 5" xfId="28762" xr:uid="{3BEE58ED-E477-4327-8A7C-F685812DDCD7}"/>
    <cellStyle name="Percentuale 39 3 3" xfId="4399" xr:uid="{B5140186-3D85-4826-B4F4-35A67F833FFE}"/>
    <cellStyle name="Percentuale 39 3 3 2" xfId="9494" xr:uid="{63F74407-E34E-4CC1-AF3B-B63012A0BD15}"/>
    <cellStyle name="Percentuale 39 3 3 2 2" xfId="28768" xr:uid="{AB476376-1407-4F40-B68E-80B7EE8DC4EC}"/>
    <cellStyle name="Percentuale 39 3 3 3" xfId="28769" xr:uid="{7786C774-0CEF-4548-99B5-3A1AD3DA4469}"/>
    <cellStyle name="Percentuale 39 3 3 4" xfId="28770" xr:uid="{6F1BDDB2-257A-4623-B8E4-67162353BAB9}"/>
    <cellStyle name="Percentuale 39 3 3 4 2" xfId="49258" xr:uid="{5D55F883-6538-4A9F-B801-8C0AA036999E}"/>
    <cellStyle name="Percentuale 39 3 3 5" xfId="28767" xr:uid="{32EEAE2B-BE68-4539-98D6-E9936001003A}"/>
    <cellStyle name="Percentuale 39 3 4" xfId="4400" xr:uid="{8B72E063-125E-4F2D-9EB1-531FBD5A20C3}"/>
    <cellStyle name="Percentuale 39 3 4 2" xfId="13809" xr:uid="{30829EE3-AD4B-4CBE-B959-0ED83A79785C}"/>
    <cellStyle name="Percentuale 39 3 4 3" xfId="28771" xr:uid="{1DF6F76E-DCE4-454C-804A-C6970A40BE47}"/>
    <cellStyle name="Percentuale 39 3 5" xfId="12433" xr:uid="{C99C912F-7713-4C58-9436-F037B99915BE}"/>
    <cellStyle name="Percentuale 39 3 5 2" xfId="28772" xr:uid="{F7DBD896-C485-45D2-81BC-FAF3CF44B9E1}"/>
    <cellStyle name="Percentuale 39 3 6" xfId="28773" xr:uid="{9EBD619A-5049-4403-A145-F8CD307427A3}"/>
    <cellStyle name="Percentuale 39 3 6 2" xfId="49259" xr:uid="{AF12A750-D192-47B6-8786-2C8AB59FD86B}"/>
    <cellStyle name="Percentuale 39 3 7" xfId="28774" xr:uid="{A0C87269-6F5E-4B8E-A8E0-DDB3F88C3046}"/>
    <cellStyle name="Percentuale 39 3 8" xfId="28761" xr:uid="{E1BC27CC-8DA5-4AE1-A11A-15DB6CF25BAE}"/>
    <cellStyle name="Percentuale 39 4" xfId="2401" xr:uid="{00000000-0005-0000-0000-0000CB080000}"/>
    <cellStyle name="Percentuale 39 4 2" xfId="2402" xr:uid="{00000000-0005-0000-0000-0000CC080000}"/>
    <cellStyle name="Percentuale 39 4 2 2" xfId="9495" xr:uid="{65DD5DE5-DEED-440E-932A-D1E6F841C198}"/>
    <cellStyle name="Percentuale 39 4 2 2 2" xfId="28777" xr:uid="{8F97A9CF-259C-40DF-BE20-A6FECADA1A2A}"/>
    <cellStyle name="Percentuale 39 4 2 3" xfId="17934" xr:uid="{1753A463-D503-47F2-BB35-D0B2CE58296D}"/>
    <cellStyle name="Percentuale 39 4 2 3 2" xfId="28778" xr:uid="{5EA49B10-ED2B-408C-B4F6-C2F9DEE753F9}"/>
    <cellStyle name="Percentuale 39 4 2 4" xfId="28776" xr:uid="{FBE2C75E-305D-409F-9332-4FEAB104FF44}"/>
    <cellStyle name="Percentuale 39 4 2 5" xfId="17544" xr:uid="{13B0C22E-9576-456A-AA63-6C25CA4E12B9}"/>
    <cellStyle name="Percentuale 39 4 3" xfId="9496" xr:uid="{E41AA6C2-59D7-4C18-AA93-FF8B54F25360}"/>
    <cellStyle name="Percentuale 39 4 3 2" xfId="28779" xr:uid="{1127492F-2FF7-4A61-A3D5-41B283AB4FDD}"/>
    <cellStyle name="Percentuale 39 4 4" xfId="28780" xr:uid="{B7B682FD-7766-44AB-A01C-EB5DFBF3DE21}"/>
    <cellStyle name="Percentuale 39 4 5" xfId="28781" xr:uid="{556148C1-1C2D-4F5B-BB8D-7ADC8B5D1506}"/>
    <cellStyle name="Percentuale 39 4 5 2" xfId="49260" xr:uid="{3D779C51-7228-4150-8696-9BC0168E7541}"/>
    <cellStyle name="Percentuale 39 4 6" xfId="28782" xr:uid="{EB73A92C-7FE6-4F98-977C-E15DC38FF75E}"/>
    <cellStyle name="Percentuale 39 4 7" xfId="28775" xr:uid="{7986C69B-0CDD-4899-9FA1-7716DEF07580}"/>
    <cellStyle name="Percentuale 39 5" xfId="2403" xr:uid="{00000000-0005-0000-0000-0000CD080000}"/>
    <cellStyle name="Percentuale 39 5 2" xfId="28784" xr:uid="{83BF12A2-CF67-4A37-9A8E-5980EDD6C73B}"/>
    <cellStyle name="Percentuale 39 5 3" xfId="28785" xr:uid="{353A4882-804B-4EEE-AAE4-00759EB1EA37}"/>
    <cellStyle name="Percentuale 39 5 3 2" xfId="49261" xr:uid="{1993E08D-B0D9-4A4A-B03D-AE5F66310BB7}"/>
    <cellStyle name="Percentuale 39 5 4" xfId="28786" xr:uid="{AFDFFA8C-CF04-4479-B435-E226218874F0}"/>
    <cellStyle name="Percentuale 39 5 5" xfId="28783" xr:uid="{59D035EA-CB28-4340-919F-4F4950BBA50D}"/>
    <cellStyle name="Percentuale 39 6" xfId="4401" xr:uid="{96EA2831-37F3-4B29-A5F1-8E29208E2D28}"/>
    <cellStyle name="Percentuale 39 6 2" xfId="9843" xr:uid="{3B09D1AF-52E8-465C-9BAE-AFA8CD52FD62}"/>
    <cellStyle name="Percentuale 39 6 3" xfId="28787" xr:uid="{3570BBF5-C997-4476-9C4D-E5BD37FBD5EE}"/>
    <cellStyle name="Percentuale 39 7" xfId="28788" xr:uid="{E2894312-92CE-4F38-9A75-C06F9BD2ED73}"/>
    <cellStyle name="Percentuale 39 7 2" xfId="49262" xr:uid="{B4F3394E-8EFA-4E5A-A4BA-8710B7B9B12A}"/>
    <cellStyle name="Percentuale 39 8" xfId="28755" xr:uid="{3CF8B39A-987A-4556-B894-3617D00F725C}"/>
    <cellStyle name="Percentuale 4" xfId="1102" xr:uid="{00000000-0005-0000-0000-0000CE080000}"/>
    <cellStyle name="Percentuale 4 2" xfId="1103" xr:uid="{00000000-0005-0000-0000-0000CF080000}"/>
    <cellStyle name="Percentuale 4 2 2" xfId="4402" xr:uid="{C607B04C-5B02-4D4B-851B-047F76622570}"/>
    <cellStyle name="Percentuale 4 2 2 2" xfId="13595" xr:uid="{8373CFE5-B930-4AE3-BA93-1B71163846AC}"/>
    <cellStyle name="Percentuale 4 2 2 3" xfId="28791" xr:uid="{AFB92D0F-DB57-4E65-8AD4-25C0092DB110}"/>
    <cellStyle name="Percentuale 4 2 3" xfId="13333" xr:uid="{9770E0A0-B468-4772-8735-3FB4D4CCE8E4}"/>
    <cellStyle name="Percentuale 4 2 3 2" xfId="28792" xr:uid="{1AEAF7DF-5936-4444-81C6-6D5C773981FE}"/>
    <cellStyle name="Percentuale 4 2 4" xfId="28793" xr:uid="{D8DF2088-5F47-4361-B555-8B2D982A0B12}"/>
    <cellStyle name="Percentuale 4 2 4 2" xfId="49263" xr:uid="{4A8F1D2D-515C-4F85-A47A-9EDBCC2A313A}"/>
    <cellStyle name="Percentuale 4 2 5" xfId="28794" xr:uid="{BEA62FAB-F0E4-4C39-B121-F8058CF0439B}"/>
    <cellStyle name="Percentuale 4 2 6" xfId="28790" xr:uid="{F4BF30DB-35AD-4937-8FC6-E4270AA015DC}"/>
    <cellStyle name="Percentuale 4 3" xfId="1104" xr:uid="{00000000-0005-0000-0000-0000D0080000}"/>
    <cellStyle name="Percentuale 4 3 2" xfId="1105" xr:uid="{00000000-0005-0000-0000-0000D1080000}"/>
    <cellStyle name="Percentuale 4 3 2 2" xfId="2404" xr:uid="{00000000-0005-0000-0000-0000D2080000}"/>
    <cellStyle name="Percentuale 4 3 2 2 2" xfId="28798" xr:uid="{51862E6B-9D8F-44DB-AADD-89FA3952865A}"/>
    <cellStyle name="Percentuale 4 3 2 2 3" xfId="28797" xr:uid="{D5FC8060-CCA0-4B1C-9052-DC13807C6619}"/>
    <cellStyle name="Percentuale 4 3 2 3" xfId="8150" xr:uid="{196E6918-633C-40CB-A9A5-20BBEA3AE2F7}"/>
    <cellStyle name="Percentuale 4 3 2 3 2" xfId="14149" xr:uid="{38BD7456-68BF-4E8B-A0F4-59C6A0AFE55B}"/>
    <cellStyle name="Percentuale 4 3 2 3 3" xfId="28799" xr:uid="{4E30D36C-64CA-4CAD-A635-6B71E09619E2}"/>
    <cellStyle name="Percentuale 4 3 2 3 4" xfId="49264" xr:uid="{542BB48B-809A-4E50-A907-108C3FF1F475}"/>
    <cellStyle name="Percentuale 4 3 2 4" xfId="28800" xr:uid="{68F47378-5AF4-4E9B-B9CE-429B2D0481F4}"/>
    <cellStyle name="Percentuale 4 3 2 5" xfId="28796" xr:uid="{D3DF91CC-F66C-47FD-9B96-E061994B4841}"/>
    <cellStyle name="Percentuale 4 3 3" xfId="4403" xr:uid="{40187590-EDE3-4AA4-838B-9ED785322267}"/>
    <cellStyle name="Percentuale 4 3 3 2" xfId="9497" xr:uid="{A2530E75-C1B5-4B2C-B6CA-E70753A8E5DD}"/>
    <cellStyle name="Percentuale 4 3 3 2 2" xfId="28802" xr:uid="{EDDD6C0E-9DAD-437E-9959-83F2AB0324FF}"/>
    <cellStyle name="Percentuale 4 3 3 3" xfId="28803" xr:uid="{C9BDA37E-08C0-4806-AD25-033CB871EF02}"/>
    <cellStyle name="Percentuale 4 3 3 4" xfId="28804" xr:uid="{FB0C7F7E-F1B7-4A42-BAC2-B94447676ABE}"/>
    <cellStyle name="Percentuale 4 3 3 4 2" xfId="49265" xr:uid="{DFF0CC06-46CC-4FEC-B9EB-99D328380D11}"/>
    <cellStyle name="Percentuale 4 3 3 5" xfId="28801" xr:uid="{D6BC7CD7-BC57-480D-B4DE-95D2A1F3A20B}"/>
    <cellStyle name="Percentuale 4 3 4" xfId="4404" xr:uid="{2B91E132-9674-47F5-9B27-128BD0C1FA24}"/>
    <cellStyle name="Percentuale 4 3 4 2" xfId="13810" xr:uid="{798DA3F7-6D97-45A2-96AD-BE71B8A45DFC}"/>
    <cellStyle name="Percentuale 4 3 4 3" xfId="28805" xr:uid="{315A1659-C61B-4450-BA34-81A6625DB3E2}"/>
    <cellStyle name="Percentuale 4 3 5" xfId="11703" xr:uid="{7B63BB3B-4B7D-4452-9C1E-3579D7E2D481}"/>
    <cellStyle name="Percentuale 4 3 5 2" xfId="28806" xr:uid="{43E55E42-425A-49D4-977E-0142F3D09DC9}"/>
    <cellStyle name="Percentuale 4 3 6" xfId="28807" xr:uid="{A6491587-EDBE-4A24-84A5-53E9ACD9187A}"/>
    <cellStyle name="Percentuale 4 3 6 2" xfId="49266" xr:uid="{A8F4124A-7464-42A4-A943-A7436ACEFB60}"/>
    <cellStyle name="Percentuale 4 3 7" xfId="28808" xr:uid="{566A22A6-4B6E-464B-826E-0DE2E97F4207}"/>
    <cellStyle name="Percentuale 4 3 8" xfId="28795" xr:uid="{146D3AAD-4AF4-4B85-88B9-89E66338B3EB}"/>
    <cellStyle name="Percentuale 4 4" xfId="2405" xr:uid="{00000000-0005-0000-0000-0000D3080000}"/>
    <cellStyle name="Percentuale 4 4 2" xfId="2406" xr:uid="{00000000-0005-0000-0000-0000D4080000}"/>
    <cellStyle name="Percentuale 4 4 2 2" xfId="9498" xr:uid="{F7019CA6-CAC8-4492-8BE4-453D5CFB2991}"/>
    <cellStyle name="Percentuale 4 4 2 2 2" xfId="28811" xr:uid="{B53AE789-B32A-4C65-BC91-BBD33FAB6F40}"/>
    <cellStyle name="Percentuale 4 4 2 3" xfId="17935" xr:uid="{2C09E2B4-F61B-4BDE-AAAA-E5AE332BDBE6}"/>
    <cellStyle name="Percentuale 4 4 2 3 2" xfId="28812" xr:uid="{24A19859-14AC-4BBF-A2F7-ABEFEFEB5894}"/>
    <cellStyle name="Percentuale 4 4 2 4" xfId="28810" xr:uid="{5357A6D3-EEE4-4B0E-B00F-B60382D555A8}"/>
    <cellStyle name="Percentuale 4 4 2 5" xfId="17545" xr:uid="{AD0D0AFC-D7C7-4610-9863-4AB09153A1EF}"/>
    <cellStyle name="Percentuale 4 4 3" xfId="9499" xr:uid="{66DC708A-0EE8-4779-ACA7-3DA27E3368CF}"/>
    <cellStyle name="Percentuale 4 4 3 2" xfId="28813" xr:uid="{CE56F648-42A1-4419-8214-98C1330BA90C}"/>
    <cellStyle name="Percentuale 4 4 4" xfId="28814" xr:uid="{B1570ADD-2047-4968-A9B9-9C975D1BDDF1}"/>
    <cellStyle name="Percentuale 4 4 5" xfId="28815" xr:uid="{86BBECA4-A79D-4378-9FB4-735202A55A36}"/>
    <cellStyle name="Percentuale 4 4 5 2" xfId="49267" xr:uid="{60FE14DA-0FCA-4F26-A131-9029565C7FA6}"/>
    <cellStyle name="Percentuale 4 4 6" xfId="28816" xr:uid="{78F72AAB-5D8D-4363-A340-D1D90779E3B1}"/>
    <cellStyle name="Percentuale 4 4 7" xfId="28809" xr:uid="{885FA4DE-F6E8-4326-97DD-4F092F4BFF07}"/>
    <cellStyle name="Percentuale 4 5" xfId="2407" xr:uid="{00000000-0005-0000-0000-0000D5080000}"/>
    <cellStyle name="Percentuale 4 5 2" xfId="28818" xr:uid="{EC077968-5FB7-4BE7-8018-2A5FC6F70C57}"/>
    <cellStyle name="Percentuale 4 5 3" xfId="28819" xr:uid="{FCC26F79-1A54-40A9-A02A-287B26485B2D}"/>
    <cellStyle name="Percentuale 4 5 3 2" xfId="49268" xr:uid="{9E892B8F-2497-4B85-88E5-169FF5172D29}"/>
    <cellStyle name="Percentuale 4 5 4" xfId="28820" xr:uid="{F656240F-44AC-4F7E-BCE8-7B5130C4589A}"/>
    <cellStyle name="Percentuale 4 5 5" xfId="28817" xr:uid="{02E7C1A7-3D27-4468-8B2E-191C693FCECA}"/>
    <cellStyle name="Percentuale 4 6" xfId="4405" xr:uid="{4D3EA76B-CFB6-4FC9-B12D-5E9C4B52F92B}"/>
    <cellStyle name="Percentuale 4 6 2" xfId="9844" xr:uid="{1F25C5A2-AD93-436A-B07E-81A9956CDD9F}"/>
    <cellStyle name="Percentuale 4 6 3" xfId="28821" xr:uid="{7A10C6D5-77F6-4EB7-94FD-78FBBC7E934D}"/>
    <cellStyle name="Percentuale 4 7" xfId="28822" xr:uid="{322A11BD-4D90-4750-9869-6892739AAB55}"/>
    <cellStyle name="Percentuale 4 7 2" xfId="49269" xr:uid="{F174A50A-7362-4555-B755-E927554AB2C3}"/>
    <cellStyle name="Percentuale 4 8" xfId="28789" xr:uid="{17C47274-FEDD-4E65-A892-CF20312AE1FC}"/>
    <cellStyle name="Percentuale 40" xfId="1106" xr:uid="{00000000-0005-0000-0000-0000D6080000}"/>
    <cellStyle name="Percentuale 40 2" xfId="1107" xr:uid="{00000000-0005-0000-0000-0000D7080000}"/>
    <cellStyle name="Percentuale 40 2 2" xfId="4406" xr:uid="{23833A70-AD97-41B9-9877-FAAC31951EBE}"/>
    <cellStyle name="Percentuale 40 2 2 2" xfId="13596" xr:uid="{43D8EF1C-80D7-4F73-88A2-BD80A72BCB4B}"/>
    <cellStyle name="Percentuale 40 2 2 3" xfId="28825" xr:uid="{9318E7B4-0E42-4539-B089-25893E1771B6}"/>
    <cellStyle name="Percentuale 40 2 3" xfId="13334" xr:uid="{8E88C1AB-8125-4658-AA8D-D94AC1FEE9CB}"/>
    <cellStyle name="Percentuale 40 2 3 2" xfId="28826" xr:uid="{CB009E44-70CD-49A5-AEA5-AB32ADC66995}"/>
    <cellStyle name="Percentuale 40 2 4" xfId="28827" xr:uid="{C88723B1-8B15-4370-84FE-7F31422DB014}"/>
    <cellStyle name="Percentuale 40 2 4 2" xfId="49270" xr:uid="{950152DD-6613-4D16-B4C6-3955926D23C2}"/>
    <cellStyle name="Percentuale 40 2 5" xfId="28828" xr:uid="{EBF8F8A7-8673-4245-A025-4B879C1EE10C}"/>
    <cellStyle name="Percentuale 40 2 6" xfId="28824" xr:uid="{C314AEBC-9AC5-4898-8F38-4E99A5014C8B}"/>
    <cellStyle name="Percentuale 40 3" xfId="1108" xr:uid="{00000000-0005-0000-0000-0000D8080000}"/>
    <cellStyle name="Percentuale 40 3 2" xfId="1109" xr:uid="{00000000-0005-0000-0000-0000D9080000}"/>
    <cellStyle name="Percentuale 40 3 2 2" xfId="2408" xr:uid="{00000000-0005-0000-0000-0000DA080000}"/>
    <cellStyle name="Percentuale 40 3 2 2 2" xfId="28832" xr:uid="{F87A96F1-DB33-459D-BB30-728EF46BB283}"/>
    <cellStyle name="Percentuale 40 3 2 2 3" xfId="28831" xr:uid="{DDF4A0B6-6EF0-41C7-851D-6ACE0244EC75}"/>
    <cellStyle name="Percentuale 40 3 2 3" xfId="8151" xr:uid="{562BE235-09C2-4879-8550-C0BFD14C5E93}"/>
    <cellStyle name="Percentuale 40 3 2 3 2" xfId="14150" xr:uid="{8BF2C8AF-BA47-41C6-AEAD-215FC53AB050}"/>
    <cellStyle name="Percentuale 40 3 2 3 3" xfId="28833" xr:uid="{0349CD4B-3091-45C2-A6CC-624C1ABBE097}"/>
    <cellStyle name="Percentuale 40 3 2 3 4" xfId="49271" xr:uid="{C600190F-9862-4FE9-831E-95BF738CD19C}"/>
    <cellStyle name="Percentuale 40 3 2 4" xfId="28834" xr:uid="{19D4B624-39D2-43EB-8843-37A48ECC13ED}"/>
    <cellStyle name="Percentuale 40 3 2 5" xfId="28830" xr:uid="{C9B11019-F68D-402F-A2E1-96A3DA9E38C8}"/>
    <cellStyle name="Percentuale 40 3 3" xfId="4407" xr:uid="{2BC6CAB1-CE2C-4E5B-BC7F-8BD719E0A4EA}"/>
    <cellStyle name="Percentuale 40 3 3 2" xfId="9500" xr:uid="{6BC17B06-2414-4253-919C-005272DA1486}"/>
    <cellStyle name="Percentuale 40 3 3 2 2" xfId="28836" xr:uid="{12773B2D-A4FA-4455-A0E1-6B0D2A38194B}"/>
    <cellStyle name="Percentuale 40 3 3 3" xfId="28837" xr:uid="{3A715B9A-FA46-4554-8925-77E6220F6D93}"/>
    <cellStyle name="Percentuale 40 3 3 4" xfId="28838" xr:uid="{D0B99CDE-7F3D-4472-83D0-36762F016720}"/>
    <cellStyle name="Percentuale 40 3 3 4 2" xfId="49272" xr:uid="{6DAED6D7-E1D3-4445-BD64-0A60BD5BA1AE}"/>
    <cellStyle name="Percentuale 40 3 3 5" xfId="28835" xr:uid="{BD71539E-0FA8-49EA-8615-7C6B2DAD7460}"/>
    <cellStyle name="Percentuale 40 3 4" xfId="4408" xr:uid="{E9C044D8-0645-4A91-A4A4-B8FC934611D7}"/>
    <cellStyle name="Percentuale 40 3 4 2" xfId="13811" xr:uid="{5C9E06B3-74DE-4C91-BA34-CCFFA48A6E8C}"/>
    <cellStyle name="Percentuale 40 3 4 3" xfId="28839" xr:uid="{F5D1AB2C-23CE-4362-B292-C1BFB02B1800}"/>
    <cellStyle name="Percentuale 40 3 5" xfId="12434" xr:uid="{6F671AAB-F3C4-4E10-BD92-6B2C51260BF1}"/>
    <cellStyle name="Percentuale 40 3 5 2" xfId="28840" xr:uid="{77D5EF1B-9277-4C2A-9D97-3F6C8CD6ECD0}"/>
    <cellStyle name="Percentuale 40 3 6" xfId="28841" xr:uid="{B42D989A-C3DD-4534-8DC8-EF8776D2796D}"/>
    <cellStyle name="Percentuale 40 3 6 2" xfId="49273" xr:uid="{6C316DD2-03EE-4342-87F2-785C08F212BC}"/>
    <cellStyle name="Percentuale 40 3 7" xfId="28842" xr:uid="{56682ECA-AAB4-4988-BE9B-0ACA8F73915F}"/>
    <cellStyle name="Percentuale 40 3 8" xfId="28829" xr:uid="{2D444386-CD3B-4058-9987-B8A96E10C321}"/>
    <cellStyle name="Percentuale 40 4" xfId="2409" xr:uid="{00000000-0005-0000-0000-0000DB080000}"/>
    <cellStyle name="Percentuale 40 4 2" xfId="2410" xr:uid="{00000000-0005-0000-0000-0000DC080000}"/>
    <cellStyle name="Percentuale 40 4 2 2" xfId="9501" xr:uid="{2E96CAE3-50A5-42B0-8219-7C0AD3790B33}"/>
    <cellStyle name="Percentuale 40 4 2 2 2" xfId="28845" xr:uid="{02958D22-5E5E-4BFA-84CB-7CA4A24AE341}"/>
    <cellStyle name="Percentuale 40 4 2 3" xfId="17936" xr:uid="{BA2CA698-3961-487A-B24C-63557D8226FF}"/>
    <cellStyle name="Percentuale 40 4 2 3 2" xfId="28846" xr:uid="{C18EBE57-3088-441B-890C-88815997CC38}"/>
    <cellStyle name="Percentuale 40 4 2 4" xfId="28844" xr:uid="{96901600-83CB-4549-882E-8410996D21DA}"/>
    <cellStyle name="Percentuale 40 4 2 5" xfId="17546" xr:uid="{6D6908F3-B942-4529-8B2F-2BD505EB0463}"/>
    <cellStyle name="Percentuale 40 4 3" xfId="9502" xr:uid="{6B00A3E5-9467-4EFC-A366-8510AC184720}"/>
    <cellStyle name="Percentuale 40 4 3 2" xfId="28847" xr:uid="{68CF109F-CFA5-47C0-BF51-C33324DD8C71}"/>
    <cellStyle name="Percentuale 40 4 4" xfId="28848" xr:uid="{F34BF75D-DD6C-4208-8D4E-1DDF8EEDF445}"/>
    <cellStyle name="Percentuale 40 4 5" xfId="28849" xr:uid="{7EC6F0D8-28B5-455E-B6D0-A69EDC71188F}"/>
    <cellStyle name="Percentuale 40 4 5 2" xfId="49274" xr:uid="{2DB6F8D9-F249-4EB5-9980-38D2F06B8FBB}"/>
    <cellStyle name="Percentuale 40 4 6" xfId="28850" xr:uid="{4FC1BB37-C54E-4E6C-B39E-3EC2A1200524}"/>
    <cellStyle name="Percentuale 40 4 7" xfId="28843" xr:uid="{93FCF155-6892-4E43-9052-4F51BE9D5238}"/>
    <cellStyle name="Percentuale 40 5" xfId="2411" xr:uid="{00000000-0005-0000-0000-0000DD080000}"/>
    <cellStyle name="Percentuale 40 5 2" xfId="28852" xr:uid="{E1CD5EDA-AF6A-45D9-86EE-A7743180EF8B}"/>
    <cellStyle name="Percentuale 40 5 3" xfId="28853" xr:uid="{3141F272-4899-4207-BE37-E6438B2B65FA}"/>
    <cellStyle name="Percentuale 40 5 3 2" xfId="49275" xr:uid="{1F25D5C1-78C4-4DD6-9169-0F66A385B164}"/>
    <cellStyle name="Percentuale 40 5 4" xfId="28854" xr:uid="{C995F886-BE9A-40A7-ADDB-D3618AB24E67}"/>
    <cellStyle name="Percentuale 40 5 5" xfId="28851" xr:uid="{5D2A1CB0-1EBB-45D0-8FD0-BD429AD8AD6F}"/>
    <cellStyle name="Percentuale 40 6" xfId="4409" xr:uid="{7C828DBF-AD70-4BB6-8CBA-09163EE6D6E5}"/>
    <cellStyle name="Percentuale 40 6 2" xfId="9845" xr:uid="{AE9C298B-73B7-44A2-84ED-F7E79FDFF9E0}"/>
    <cellStyle name="Percentuale 40 6 3" xfId="28855" xr:uid="{BECEE62D-25FD-456D-9484-10A909CAC364}"/>
    <cellStyle name="Percentuale 40 7" xfId="28856" xr:uid="{7B8B1363-9799-49EC-8BBE-7C97A1C82665}"/>
    <cellStyle name="Percentuale 40 7 2" xfId="49276" xr:uid="{32206C4F-4FF4-4575-8B28-D4148519C442}"/>
    <cellStyle name="Percentuale 40 8" xfId="28823" xr:uid="{F0F3BA4F-6114-4751-AD55-F337614F5ECE}"/>
    <cellStyle name="Percentuale 41" xfId="1110" xr:uid="{00000000-0005-0000-0000-0000DE080000}"/>
    <cellStyle name="Percentuale 41 2" xfId="1111" xr:uid="{00000000-0005-0000-0000-0000DF080000}"/>
    <cellStyle name="Percentuale 41 2 2" xfId="4410" xr:uid="{3114E41D-E641-4194-B1D8-72F6F3BB5571}"/>
    <cellStyle name="Percentuale 41 2 2 2" xfId="13597" xr:uid="{8325907B-5138-4D1F-82AF-BC4C3F3AD139}"/>
    <cellStyle name="Percentuale 41 2 2 3" xfId="28859" xr:uid="{324D0E66-1F73-4D6E-811D-BBC0F48B835E}"/>
    <cellStyle name="Percentuale 41 2 3" xfId="13335" xr:uid="{B58EE913-A6A4-43C6-9CFA-910F347DBD41}"/>
    <cellStyle name="Percentuale 41 2 3 2" xfId="28860" xr:uid="{79083BAC-69B5-4D8F-AF50-82F8878DA9FC}"/>
    <cellStyle name="Percentuale 41 2 4" xfId="28861" xr:uid="{4EEE1E77-167C-4449-B5C1-CBB224657593}"/>
    <cellStyle name="Percentuale 41 2 4 2" xfId="49277" xr:uid="{85CCBEED-ED4F-4FE6-8C9A-C3FB855EDA27}"/>
    <cellStyle name="Percentuale 41 2 5" xfId="28862" xr:uid="{C63F3944-6300-406C-9DB6-6E2EC394214E}"/>
    <cellStyle name="Percentuale 41 2 6" xfId="28858" xr:uid="{29942605-6021-4BA5-8C28-4ED0B3DB9A76}"/>
    <cellStyle name="Percentuale 41 3" xfId="1112" xr:uid="{00000000-0005-0000-0000-0000E0080000}"/>
    <cellStyle name="Percentuale 41 3 2" xfId="1113" xr:uid="{00000000-0005-0000-0000-0000E1080000}"/>
    <cellStyle name="Percentuale 41 3 2 2" xfId="2412" xr:uid="{00000000-0005-0000-0000-0000E2080000}"/>
    <cellStyle name="Percentuale 41 3 2 2 2" xfId="28866" xr:uid="{2D8BD1FE-79B2-4960-804F-A625D45CFF4B}"/>
    <cellStyle name="Percentuale 41 3 2 2 3" xfId="28865" xr:uid="{4B868902-0CC8-44F7-AB54-3FA93428CFEB}"/>
    <cellStyle name="Percentuale 41 3 2 3" xfId="8152" xr:uid="{EE99BAD0-C582-48E9-B379-42DBA48D9CBB}"/>
    <cellStyle name="Percentuale 41 3 2 3 2" xfId="14151" xr:uid="{CFD50103-1424-4189-ABB1-E1994A5045FA}"/>
    <cellStyle name="Percentuale 41 3 2 3 3" xfId="28867" xr:uid="{5B9E07DA-E256-4358-9220-8B96AA60281D}"/>
    <cellStyle name="Percentuale 41 3 2 3 4" xfId="49278" xr:uid="{3D0AE855-6D1D-4071-B62A-4D0B849A303B}"/>
    <cellStyle name="Percentuale 41 3 2 4" xfId="28868" xr:uid="{6204A567-0CBE-4810-9A8C-7DA7D5D157FF}"/>
    <cellStyle name="Percentuale 41 3 2 5" xfId="28864" xr:uid="{0A418E6B-72B2-4DE7-BAF9-ECB55C81F29A}"/>
    <cellStyle name="Percentuale 41 3 3" xfId="4411" xr:uid="{2FBE0850-9EF0-4AA2-8791-F53CD3615AF5}"/>
    <cellStyle name="Percentuale 41 3 3 2" xfId="9503" xr:uid="{2F1EF8AB-587E-4176-A750-7F5D3C2DBA92}"/>
    <cellStyle name="Percentuale 41 3 3 2 2" xfId="28870" xr:uid="{392901ED-3DFF-400E-9540-347725DB27B7}"/>
    <cellStyle name="Percentuale 41 3 3 3" xfId="28871" xr:uid="{B7149A38-7124-4464-AC76-7963388A6C33}"/>
    <cellStyle name="Percentuale 41 3 3 4" xfId="28872" xr:uid="{A7FEF265-949E-452A-9576-B1EF3D3E6B5B}"/>
    <cellStyle name="Percentuale 41 3 3 4 2" xfId="49279" xr:uid="{2BE910B2-21DA-4595-B7CD-AB9A9A8C44EE}"/>
    <cellStyle name="Percentuale 41 3 3 5" xfId="28869" xr:uid="{CE85CCF3-42CA-478B-91F9-0A05ED86BB8E}"/>
    <cellStyle name="Percentuale 41 3 4" xfId="4412" xr:uid="{720CE512-E5B5-4C2F-8D01-E94FE21D5193}"/>
    <cellStyle name="Percentuale 41 3 4 2" xfId="13812" xr:uid="{7F860898-F84F-4CBF-9375-A093D0A6101C}"/>
    <cellStyle name="Percentuale 41 3 4 3" xfId="28873" xr:uid="{281D4B26-F415-4D68-969C-908D6DB75381}"/>
    <cellStyle name="Percentuale 41 3 5" xfId="12304" xr:uid="{895CB7E2-ADE3-4E47-BBCF-E0E7FC4561B0}"/>
    <cellStyle name="Percentuale 41 3 5 2" xfId="28874" xr:uid="{254BE4A0-E2B1-476B-AA54-2ADB58AFBE77}"/>
    <cellStyle name="Percentuale 41 3 6" xfId="28875" xr:uid="{63BEC473-1A1D-4C0C-A7C9-B4A1F7EE30E4}"/>
    <cellStyle name="Percentuale 41 3 6 2" xfId="49280" xr:uid="{80F69CF7-E82E-4AFC-9F02-BBE4EAF8B564}"/>
    <cellStyle name="Percentuale 41 3 7" xfId="28876" xr:uid="{A180F4C0-1CAF-4806-B429-1F9684D7D52A}"/>
    <cellStyle name="Percentuale 41 3 8" xfId="28863" xr:uid="{AAAEF4C0-DE3C-4A4F-B65F-3926437E16F3}"/>
    <cellStyle name="Percentuale 41 4" xfId="2413" xr:uid="{00000000-0005-0000-0000-0000E3080000}"/>
    <cellStyle name="Percentuale 41 4 2" xfId="2414" xr:uid="{00000000-0005-0000-0000-0000E4080000}"/>
    <cellStyle name="Percentuale 41 4 2 2" xfId="9504" xr:uid="{EC4DFDB7-3B95-4588-B4A3-2ECBC32A0F96}"/>
    <cellStyle name="Percentuale 41 4 2 2 2" xfId="28879" xr:uid="{641FE4B7-0C8F-4E57-9CED-73D64A9F55D4}"/>
    <cellStyle name="Percentuale 41 4 2 3" xfId="17937" xr:uid="{29FE37E3-7D97-4F2D-BEF6-22576EB0B203}"/>
    <cellStyle name="Percentuale 41 4 2 3 2" xfId="28880" xr:uid="{07277621-DE0B-4950-B30D-48DB8CA2E036}"/>
    <cellStyle name="Percentuale 41 4 2 4" xfId="28878" xr:uid="{C39E0E31-4CD3-4735-ADCE-90ABDE1D4F43}"/>
    <cellStyle name="Percentuale 41 4 2 5" xfId="17547" xr:uid="{0AF5B6F0-E909-430B-9747-2EF9CD989D69}"/>
    <cellStyle name="Percentuale 41 4 3" xfId="9505" xr:uid="{D04F2318-BC30-4631-BB6F-955E53074B64}"/>
    <cellStyle name="Percentuale 41 4 3 2" xfId="28881" xr:uid="{9AEBA52E-2B01-4972-91C9-72053D2202C5}"/>
    <cellStyle name="Percentuale 41 4 4" xfId="28882" xr:uid="{F5C73941-0B74-4337-9EE3-5D8A7166E429}"/>
    <cellStyle name="Percentuale 41 4 5" xfId="28883" xr:uid="{654D66D8-3D3D-4C23-8F8E-FA89DBD3C54B}"/>
    <cellStyle name="Percentuale 41 4 5 2" xfId="49281" xr:uid="{8005AAE4-CDB4-456F-9ED1-F60767934BA6}"/>
    <cellStyle name="Percentuale 41 4 6" xfId="28884" xr:uid="{190BE937-152C-45FF-8087-2F900C32E839}"/>
    <cellStyle name="Percentuale 41 4 7" xfId="28877" xr:uid="{28710CCC-95B6-414F-BC16-96CF647749A5}"/>
    <cellStyle name="Percentuale 41 5" xfId="2415" xr:uid="{00000000-0005-0000-0000-0000E5080000}"/>
    <cellStyle name="Percentuale 41 5 2" xfId="28886" xr:uid="{2E060179-78AC-40DE-A264-35A7A6A871AF}"/>
    <cellStyle name="Percentuale 41 5 3" xfId="28887" xr:uid="{34331B84-2EBF-4648-B46F-C81F6342A796}"/>
    <cellStyle name="Percentuale 41 5 3 2" xfId="49282" xr:uid="{8834EAD0-AA46-4E4D-A358-F91DD2FBF575}"/>
    <cellStyle name="Percentuale 41 5 4" xfId="28888" xr:uid="{EFBAE200-6A9F-484C-8A57-0DD168908EC2}"/>
    <cellStyle name="Percentuale 41 5 5" xfId="28885" xr:uid="{B66614B2-E5FF-4127-AE94-777BAAC95087}"/>
    <cellStyle name="Percentuale 41 6" xfId="4413" xr:uid="{643F4D44-58A0-45B5-A02E-711566CF5FC4}"/>
    <cellStyle name="Percentuale 41 6 2" xfId="9846" xr:uid="{0063B79C-786B-445A-897E-EE478A280579}"/>
    <cellStyle name="Percentuale 41 6 3" xfId="28889" xr:uid="{30497E1A-E9CC-4F65-9DC0-95C2D726494C}"/>
    <cellStyle name="Percentuale 41 7" xfId="28890" xr:uid="{A3389914-66B4-4C6C-BA82-C27793964E88}"/>
    <cellStyle name="Percentuale 41 7 2" xfId="49283" xr:uid="{706A41F6-CAF3-48EC-A184-0542B3785869}"/>
    <cellStyle name="Percentuale 41 8" xfId="28857" xr:uid="{F3FE1EAC-4E64-4A23-BC4F-FFC4C10C2B38}"/>
    <cellStyle name="Percentuale 42" xfId="1114" xr:uid="{00000000-0005-0000-0000-0000E6080000}"/>
    <cellStyle name="Percentuale 42 2" xfId="1115" xr:uid="{00000000-0005-0000-0000-0000E7080000}"/>
    <cellStyle name="Percentuale 42 2 2" xfId="4414" xr:uid="{0B3569E2-50FF-4260-8356-7E7731DC9E92}"/>
    <cellStyle name="Percentuale 42 2 2 2" xfId="13598" xr:uid="{E65840E6-7434-45D3-8DEC-4CFB08890574}"/>
    <cellStyle name="Percentuale 42 2 2 3" xfId="28893" xr:uid="{9DF0BEB2-78E9-43F2-BF76-174A5A65F563}"/>
    <cellStyle name="Percentuale 42 2 3" xfId="13336" xr:uid="{873B575C-7C9F-4085-943C-4D87152C41C1}"/>
    <cellStyle name="Percentuale 42 2 3 2" xfId="28894" xr:uid="{B1A4C2AD-AE09-4D29-92BE-710A1886D6C3}"/>
    <cellStyle name="Percentuale 42 2 4" xfId="28895" xr:uid="{3C63AC91-05A8-4841-9EDE-0B67C992B78B}"/>
    <cellStyle name="Percentuale 42 2 4 2" xfId="49284" xr:uid="{5D81109D-7F49-4157-AFCD-123C150672C7}"/>
    <cellStyle name="Percentuale 42 2 5" xfId="28896" xr:uid="{2378D31B-33EE-476B-B653-D4D6014CF3E7}"/>
    <cellStyle name="Percentuale 42 2 6" xfId="28892" xr:uid="{168BC98D-1431-482F-9198-1EF235913728}"/>
    <cellStyle name="Percentuale 42 3" xfId="1116" xr:uid="{00000000-0005-0000-0000-0000E8080000}"/>
    <cellStyle name="Percentuale 42 3 2" xfId="1117" xr:uid="{00000000-0005-0000-0000-0000E9080000}"/>
    <cellStyle name="Percentuale 42 3 2 2" xfId="2416" xr:uid="{00000000-0005-0000-0000-0000EA080000}"/>
    <cellStyle name="Percentuale 42 3 2 2 2" xfId="28900" xr:uid="{A4551491-492B-4AF7-BA6A-0FDA83A0D751}"/>
    <cellStyle name="Percentuale 42 3 2 2 3" xfId="28899" xr:uid="{F93F5D5B-052E-4241-A3ED-7C456C2A7DCF}"/>
    <cellStyle name="Percentuale 42 3 2 3" xfId="8153" xr:uid="{D9EC0FC6-B55F-474A-B3AF-36A732E78CC0}"/>
    <cellStyle name="Percentuale 42 3 2 3 2" xfId="14152" xr:uid="{E27F2C95-AD7B-41A3-9C31-3716596ACE95}"/>
    <cellStyle name="Percentuale 42 3 2 3 3" xfId="28901" xr:uid="{1917DDB3-BDD9-4AC2-8A4B-0C98176099A6}"/>
    <cellStyle name="Percentuale 42 3 2 3 4" xfId="49285" xr:uid="{F6F4EA4D-2789-488E-BF75-D6C65BD2FFC5}"/>
    <cellStyle name="Percentuale 42 3 2 4" xfId="28902" xr:uid="{1C3680BC-6079-42C1-A590-7B721CEF9814}"/>
    <cellStyle name="Percentuale 42 3 2 5" xfId="28898" xr:uid="{D0499526-D36E-457B-BE88-78F2A8869902}"/>
    <cellStyle name="Percentuale 42 3 3" xfId="4415" xr:uid="{5002C057-A0CB-46D9-881C-85A7CE11C29A}"/>
    <cellStyle name="Percentuale 42 3 3 2" xfId="9506" xr:uid="{3F2BD764-AC74-4044-A8B3-CA4F5E6BCB86}"/>
    <cellStyle name="Percentuale 42 3 3 2 2" xfId="28904" xr:uid="{C81AD576-3E0A-4F54-AD7B-275C99126DD4}"/>
    <cellStyle name="Percentuale 42 3 3 3" xfId="28905" xr:uid="{46ACABD6-FF71-4215-AEB5-D8F49594CF99}"/>
    <cellStyle name="Percentuale 42 3 3 4" xfId="28906" xr:uid="{BEC2220C-0110-4FAE-8684-762615EBCB45}"/>
    <cellStyle name="Percentuale 42 3 3 4 2" xfId="49286" xr:uid="{BEF3191A-4334-4DA7-B79D-864359EF790A}"/>
    <cellStyle name="Percentuale 42 3 3 5" xfId="28903" xr:uid="{AE1A0E3D-0E6D-4E14-96A4-9F1096FAB3E5}"/>
    <cellStyle name="Percentuale 42 3 4" xfId="4416" xr:uid="{7171AEE8-4800-453F-A8DC-DE6306711E7F}"/>
    <cellStyle name="Percentuale 42 3 4 2" xfId="13813" xr:uid="{130AC0B3-506B-47BD-BB7D-07EE50C0CFBC}"/>
    <cellStyle name="Percentuale 42 3 4 3" xfId="28907" xr:uid="{698B9E72-BD0C-46F9-A0C1-9458DC9E5AB4}"/>
    <cellStyle name="Percentuale 42 3 5" xfId="12303" xr:uid="{8C554162-6FA9-4D81-84A0-15C11278B521}"/>
    <cellStyle name="Percentuale 42 3 5 2" xfId="28908" xr:uid="{EB235AFC-95E1-49A1-8F7A-A695B9A11B96}"/>
    <cellStyle name="Percentuale 42 3 6" xfId="28909" xr:uid="{83C58CDF-CF14-4853-BAE2-A0283885DCE7}"/>
    <cellStyle name="Percentuale 42 3 6 2" xfId="49287" xr:uid="{DD6067EA-3100-4FE9-B618-30B605C79E06}"/>
    <cellStyle name="Percentuale 42 3 7" xfId="28910" xr:uid="{AB539897-F929-4225-8AE6-A6F632837A9B}"/>
    <cellStyle name="Percentuale 42 3 8" xfId="28897" xr:uid="{5D4A21CB-3F35-4015-ADF3-59E814CEC66A}"/>
    <cellStyle name="Percentuale 42 4" xfId="2417" xr:uid="{00000000-0005-0000-0000-0000EB080000}"/>
    <cellStyle name="Percentuale 42 4 2" xfId="2418" xr:uid="{00000000-0005-0000-0000-0000EC080000}"/>
    <cellStyle name="Percentuale 42 4 2 2" xfId="9507" xr:uid="{DDBB00D3-048B-44AC-A9F5-6DE80A914692}"/>
    <cellStyle name="Percentuale 42 4 2 2 2" xfId="28913" xr:uid="{2C45C8F6-2D33-479A-A334-D45CF8533CDC}"/>
    <cellStyle name="Percentuale 42 4 2 3" xfId="17938" xr:uid="{ABE52CC3-7C8A-4F74-89FB-1D143A097570}"/>
    <cellStyle name="Percentuale 42 4 2 3 2" xfId="28914" xr:uid="{CD31243A-D5A8-44C1-933B-6C5AD125EC18}"/>
    <cellStyle name="Percentuale 42 4 2 4" xfId="28912" xr:uid="{E30D3456-CECF-46DF-977D-0A6D6E1B960F}"/>
    <cellStyle name="Percentuale 42 4 2 5" xfId="17548" xr:uid="{95481EE6-E4B8-4D62-9DFA-1AD6EE29F352}"/>
    <cellStyle name="Percentuale 42 4 3" xfId="9508" xr:uid="{72081620-8389-46A7-B9E9-69FBF040D62F}"/>
    <cellStyle name="Percentuale 42 4 3 2" xfId="28915" xr:uid="{7C30B261-8C80-4101-8FA0-2D1AD661E8BB}"/>
    <cellStyle name="Percentuale 42 4 4" xfId="28916" xr:uid="{D9DD2A10-B8B4-4E41-8458-E2A08C196B12}"/>
    <cellStyle name="Percentuale 42 4 5" xfId="28917" xr:uid="{20333EEF-C965-45BC-9662-C1565DFF9756}"/>
    <cellStyle name="Percentuale 42 4 5 2" xfId="49288" xr:uid="{9DA0F969-F9D2-427A-ACA6-FE5EC35F21CD}"/>
    <cellStyle name="Percentuale 42 4 6" xfId="28918" xr:uid="{EEFC0D8E-6DCB-4C6F-B998-5D1B026227FE}"/>
    <cellStyle name="Percentuale 42 4 7" xfId="28911" xr:uid="{FC72F77C-58D3-4CE0-AE3A-A44045DFB597}"/>
    <cellStyle name="Percentuale 42 5" xfId="2419" xr:uid="{00000000-0005-0000-0000-0000ED080000}"/>
    <cellStyle name="Percentuale 42 5 2" xfId="28920" xr:uid="{ABEBB7FE-0A52-4D83-A25E-2347B0EF36A7}"/>
    <cellStyle name="Percentuale 42 5 3" xfId="28921" xr:uid="{5800EEAD-A00C-4E70-84C0-7723CD3EE61A}"/>
    <cellStyle name="Percentuale 42 5 3 2" xfId="49289" xr:uid="{EDDC95E3-C0A8-450A-B01F-DB211D2C935C}"/>
    <cellStyle name="Percentuale 42 5 4" xfId="28922" xr:uid="{A93B84BE-59CC-4E7C-BED2-32684C246EEC}"/>
    <cellStyle name="Percentuale 42 5 5" xfId="28919" xr:uid="{64AF3489-4813-4D27-A554-56B6195DC251}"/>
    <cellStyle name="Percentuale 42 6" xfId="4417" xr:uid="{C2621BD9-8E20-43F2-B067-DA5D10B051E6}"/>
    <cellStyle name="Percentuale 42 6 2" xfId="9847" xr:uid="{67352D9F-A46D-4EAF-B163-3EC2EF8785DB}"/>
    <cellStyle name="Percentuale 42 6 3" xfId="28923" xr:uid="{7039B583-4015-4F45-A5DE-F8346F99ED04}"/>
    <cellStyle name="Percentuale 42 7" xfId="28924" xr:uid="{332ECF76-8EE8-4B31-B35A-DDE9344C7DA8}"/>
    <cellStyle name="Percentuale 42 7 2" xfId="49290" xr:uid="{CB595B49-9A6F-41A1-BFD7-EBF5BD4865CC}"/>
    <cellStyle name="Percentuale 42 8" xfId="28891" xr:uid="{1D81276E-CB4D-4886-8F39-0725AB19090B}"/>
    <cellStyle name="Percentuale 43" xfId="1118" xr:uid="{00000000-0005-0000-0000-0000EE080000}"/>
    <cellStyle name="Percentuale 43 2" xfId="1119" xr:uid="{00000000-0005-0000-0000-0000EF080000}"/>
    <cellStyle name="Percentuale 43 2 2" xfId="4418" xr:uid="{EA3243B9-7EB8-4779-A147-0CEBC04E27DB}"/>
    <cellStyle name="Percentuale 43 2 2 2" xfId="13599" xr:uid="{11F6E1EA-8A06-43EC-BC01-BF6F3E5010C4}"/>
    <cellStyle name="Percentuale 43 2 2 3" xfId="28927" xr:uid="{2ADF6F55-6D26-47F5-BF2F-DF53BECD04FC}"/>
    <cellStyle name="Percentuale 43 2 3" xfId="13337" xr:uid="{A34335DD-D333-42DC-87C2-5ECBD8FE10C8}"/>
    <cellStyle name="Percentuale 43 2 3 2" xfId="28928" xr:uid="{FCC0E5C2-3C26-4590-9882-6DEF1A90B0AE}"/>
    <cellStyle name="Percentuale 43 2 4" xfId="28929" xr:uid="{670BC3D1-4763-42B2-8779-C974DAFF04B7}"/>
    <cellStyle name="Percentuale 43 2 4 2" xfId="49291" xr:uid="{D9649D57-2B50-49E1-8D33-5657E1F957F7}"/>
    <cellStyle name="Percentuale 43 2 5" xfId="28930" xr:uid="{F86BBE5C-5AFF-4CBC-A2D8-7E331BABF0BC}"/>
    <cellStyle name="Percentuale 43 2 6" xfId="28926" xr:uid="{19D166B8-4FCE-42C9-8429-BEEBB0743432}"/>
    <cellStyle name="Percentuale 43 3" xfId="1120" xr:uid="{00000000-0005-0000-0000-0000F0080000}"/>
    <cellStyle name="Percentuale 43 3 2" xfId="1121" xr:uid="{00000000-0005-0000-0000-0000F1080000}"/>
    <cellStyle name="Percentuale 43 3 2 2" xfId="2420" xr:uid="{00000000-0005-0000-0000-0000F2080000}"/>
    <cellStyle name="Percentuale 43 3 2 2 2" xfId="28934" xr:uid="{047BE313-5057-41CE-A8C4-4BC39DB13F7C}"/>
    <cellStyle name="Percentuale 43 3 2 2 3" xfId="28933" xr:uid="{1C4B4673-4114-4EB8-84BA-53A929AC87E0}"/>
    <cellStyle name="Percentuale 43 3 2 3" xfId="8154" xr:uid="{E475361C-3445-4591-8294-CD960BE1DA50}"/>
    <cellStyle name="Percentuale 43 3 2 3 2" xfId="14153" xr:uid="{276AEA8A-2FFE-4224-95A3-76830FAEDCAA}"/>
    <cellStyle name="Percentuale 43 3 2 3 3" xfId="28935" xr:uid="{BB570DEA-4874-4218-A3DD-124FAD8757F7}"/>
    <cellStyle name="Percentuale 43 3 2 3 4" xfId="49292" xr:uid="{01CAEE75-586F-4BEA-84B5-59665B515E66}"/>
    <cellStyle name="Percentuale 43 3 2 4" xfId="28936" xr:uid="{6AE4714B-04A9-4865-BC87-F8894505A900}"/>
    <cellStyle name="Percentuale 43 3 2 5" xfId="28932" xr:uid="{16C49E87-D78D-46F1-9765-D8CB29713FD0}"/>
    <cellStyle name="Percentuale 43 3 3" xfId="4419" xr:uid="{F80E7A3E-FFE7-44DE-8912-5936215840B0}"/>
    <cellStyle name="Percentuale 43 3 3 2" xfId="9509" xr:uid="{D78D7368-36E2-4C78-93C0-FEDED963D2F5}"/>
    <cellStyle name="Percentuale 43 3 3 2 2" xfId="28938" xr:uid="{572A0E3B-EE2A-4588-B3E3-6E559B7D3D95}"/>
    <cellStyle name="Percentuale 43 3 3 3" xfId="28939" xr:uid="{EC77502E-6202-4114-870E-17403A97BBF1}"/>
    <cellStyle name="Percentuale 43 3 3 4" xfId="28940" xr:uid="{FCEDA9F3-8F26-4823-B385-89D9A0443EC0}"/>
    <cellStyle name="Percentuale 43 3 3 4 2" xfId="49293" xr:uid="{A83559B9-3F91-48DA-86B3-41EC2DE0C614}"/>
    <cellStyle name="Percentuale 43 3 3 5" xfId="28937" xr:uid="{CE8BD287-AD54-4F0E-8772-8F28121DA892}"/>
    <cellStyle name="Percentuale 43 3 4" xfId="4420" xr:uid="{54FE9739-AFF9-4B86-A96B-C756B7509C57}"/>
    <cellStyle name="Percentuale 43 3 4 2" xfId="13814" xr:uid="{22099DE6-EF2C-4C92-9F92-BE83883B5980}"/>
    <cellStyle name="Percentuale 43 3 4 3" xfId="28941" xr:uid="{EBD18F05-4942-4111-BCEB-DB4D88546C50}"/>
    <cellStyle name="Percentuale 43 3 5" xfId="11512" xr:uid="{8D41443E-5F18-47AB-A8F0-8FAFE8A46C3D}"/>
    <cellStyle name="Percentuale 43 3 5 2" xfId="28942" xr:uid="{E9D55784-45AA-4670-B4D9-DC8AC4C2F47D}"/>
    <cellStyle name="Percentuale 43 3 6" xfId="28943" xr:uid="{180C2E6E-759E-4CF2-B6DE-BCFFF21E17A5}"/>
    <cellStyle name="Percentuale 43 3 6 2" xfId="49294" xr:uid="{03A4990B-0475-4097-AABB-D8F95605F668}"/>
    <cellStyle name="Percentuale 43 3 7" xfId="28944" xr:uid="{8FF5C8B8-68C3-40AE-B8AD-0416FCE7FC55}"/>
    <cellStyle name="Percentuale 43 3 8" xfId="28931" xr:uid="{1DE066C2-5D08-4EE7-A4BC-2551A95114CA}"/>
    <cellStyle name="Percentuale 43 4" xfId="2421" xr:uid="{00000000-0005-0000-0000-0000F3080000}"/>
    <cellStyle name="Percentuale 43 4 2" xfId="2422" xr:uid="{00000000-0005-0000-0000-0000F4080000}"/>
    <cellStyle name="Percentuale 43 4 2 2" xfId="9510" xr:uid="{C25D74B0-656F-4822-AA4D-D524AC648044}"/>
    <cellStyle name="Percentuale 43 4 2 2 2" xfId="28947" xr:uid="{3619F088-3A0C-4657-A070-539B197E7A8B}"/>
    <cellStyle name="Percentuale 43 4 2 3" xfId="17939" xr:uid="{7EC71244-E1BE-4569-B4FD-15525E6111D6}"/>
    <cellStyle name="Percentuale 43 4 2 3 2" xfId="28948" xr:uid="{A0AFF4B1-CEC0-4052-9A7F-9C42B51C4710}"/>
    <cellStyle name="Percentuale 43 4 2 4" xfId="28946" xr:uid="{AE997E4A-E93E-4276-9936-6D2661BECE62}"/>
    <cellStyle name="Percentuale 43 4 2 5" xfId="17549" xr:uid="{EB45C37B-07FA-4694-B3F2-4FCB2AE88B3D}"/>
    <cellStyle name="Percentuale 43 4 3" xfId="9511" xr:uid="{F21F420B-2993-4772-BAB7-0BE2F0946E33}"/>
    <cellStyle name="Percentuale 43 4 3 2" xfId="28949" xr:uid="{3C06E122-F58B-434F-BA8A-F87F1BBE34DF}"/>
    <cellStyle name="Percentuale 43 4 4" xfId="28950" xr:uid="{2B596D43-021B-4E54-BCB6-33F6C2A57C0F}"/>
    <cellStyle name="Percentuale 43 4 5" xfId="28951" xr:uid="{D0A9268A-630F-49D7-83FE-49CBCB014663}"/>
    <cellStyle name="Percentuale 43 4 5 2" xfId="49295" xr:uid="{C1570EDB-2A25-439E-AF41-3C5B6ADAE36B}"/>
    <cellStyle name="Percentuale 43 4 6" xfId="28952" xr:uid="{48339D6A-776A-4CD9-8ECE-DD1D5C24E416}"/>
    <cellStyle name="Percentuale 43 4 7" xfId="28945" xr:uid="{107E47EA-5CF6-4FB6-AD26-F105ABFC8A4A}"/>
    <cellStyle name="Percentuale 43 5" xfId="2423" xr:uid="{00000000-0005-0000-0000-0000F5080000}"/>
    <cellStyle name="Percentuale 43 5 2" xfId="28954" xr:uid="{F867D3E7-5961-4D5F-A8B8-336BB13A515B}"/>
    <cellStyle name="Percentuale 43 5 3" xfId="28955" xr:uid="{4F32DD1F-BBEF-42A7-AA7A-2D314DC72D87}"/>
    <cellStyle name="Percentuale 43 5 3 2" xfId="49296" xr:uid="{ADCD681C-DB6E-4E60-8C5D-175AB31EAEE9}"/>
    <cellStyle name="Percentuale 43 5 4" xfId="28956" xr:uid="{20FFD1D5-564A-4DA9-A5B2-4972BA86E717}"/>
    <cellStyle name="Percentuale 43 5 5" xfId="28953" xr:uid="{27EF5210-0355-4719-B42E-6CEA267942D2}"/>
    <cellStyle name="Percentuale 43 6" xfId="4421" xr:uid="{1AC9A355-302A-42B8-AD9B-00CCE092A1D8}"/>
    <cellStyle name="Percentuale 43 6 2" xfId="9848" xr:uid="{B6848323-F2EF-49E7-B81B-8B4F29CA4259}"/>
    <cellStyle name="Percentuale 43 6 3" xfId="28957" xr:uid="{98235501-5457-4AFB-944E-6700AF6DB657}"/>
    <cellStyle name="Percentuale 43 7" xfId="28958" xr:uid="{65A5471E-66F3-44C2-BE99-0913A88DA42F}"/>
    <cellStyle name="Percentuale 43 7 2" xfId="49297" xr:uid="{C8B6559E-EEBA-4F66-903F-157D53C75BD4}"/>
    <cellStyle name="Percentuale 43 8" xfId="28925" xr:uid="{9B3EE712-5270-4A8C-964B-5D569D90AE90}"/>
    <cellStyle name="Percentuale 44" xfId="1122" xr:uid="{00000000-0005-0000-0000-0000F6080000}"/>
    <cellStyle name="Percentuale 44 2" xfId="1123" xr:uid="{00000000-0005-0000-0000-0000F7080000}"/>
    <cellStyle name="Percentuale 44 2 2" xfId="4422" xr:uid="{FA9296BB-225F-4861-BCAB-C38637C1AF2B}"/>
    <cellStyle name="Percentuale 44 2 2 2" xfId="13600" xr:uid="{12566B8F-97F4-429D-B7C9-836A94197AAA}"/>
    <cellStyle name="Percentuale 44 2 2 3" xfId="28961" xr:uid="{F6FB0D4C-20AF-4034-9C24-A0FD16519800}"/>
    <cellStyle name="Percentuale 44 2 3" xfId="13338" xr:uid="{D2590FD4-C830-4F34-82F4-CF49C3D07B06}"/>
    <cellStyle name="Percentuale 44 2 3 2" xfId="28962" xr:uid="{77B9A58A-1ECF-469A-AF79-1C5242867538}"/>
    <cellStyle name="Percentuale 44 2 4" xfId="28963" xr:uid="{97AF2C12-032B-4B3F-AE80-9CDB00C9640C}"/>
    <cellStyle name="Percentuale 44 2 4 2" xfId="49298" xr:uid="{E2296528-9B07-4D36-8B8A-DB46308BC9A7}"/>
    <cellStyle name="Percentuale 44 2 5" xfId="28964" xr:uid="{5958D763-F502-47E6-8899-59D65C22D420}"/>
    <cellStyle name="Percentuale 44 2 6" xfId="28960" xr:uid="{A056B6E2-FFB5-434E-AEEC-A791D752A221}"/>
    <cellStyle name="Percentuale 44 3" xfId="1124" xr:uid="{00000000-0005-0000-0000-0000F8080000}"/>
    <cellStyle name="Percentuale 44 3 2" xfId="1125" xr:uid="{00000000-0005-0000-0000-0000F9080000}"/>
    <cellStyle name="Percentuale 44 3 2 2" xfId="2424" xr:uid="{00000000-0005-0000-0000-0000FA080000}"/>
    <cellStyle name="Percentuale 44 3 2 2 2" xfId="28968" xr:uid="{1F096643-775A-4484-B953-5C36312863DC}"/>
    <cellStyle name="Percentuale 44 3 2 2 3" xfId="28967" xr:uid="{7CECDDF6-71FF-4243-8D34-4CF61C388C3D}"/>
    <cellStyle name="Percentuale 44 3 2 3" xfId="8155" xr:uid="{A81729E4-D663-44D6-8211-4AB85A0A7D66}"/>
    <cellStyle name="Percentuale 44 3 2 3 2" xfId="14154" xr:uid="{A52435EA-D351-4086-A113-60A9A733D046}"/>
    <cellStyle name="Percentuale 44 3 2 3 3" xfId="28969" xr:uid="{162A1A41-6777-4F57-888C-70A6C7F8CA56}"/>
    <cellStyle name="Percentuale 44 3 2 3 4" xfId="49299" xr:uid="{2E20160C-7AA0-4BB7-8A29-9675C303E841}"/>
    <cellStyle name="Percentuale 44 3 2 4" xfId="28970" xr:uid="{5963C464-2C73-4A0C-99E6-BD4F2BD2C5B5}"/>
    <cellStyle name="Percentuale 44 3 2 5" xfId="28966" xr:uid="{CB55F155-7282-4A9E-81C3-6659A99E98DD}"/>
    <cellStyle name="Percentuale 44 3 3" xfId="4423" xr:uid="{573F4939-57B8-4001-9282-07477ADACEF1}"/>
    <cellStyle name="Percentuale 44 3 3 2" xfId="9512" xr:uid="{A36DD4B0-7718-4B91-A208-03FC97AD5FEC}"/>
    <cellStyle name="Percentuale 44 3 3 2 2" xfId="28972" xr:uid="{353712C6-903D-4DBA-97C7-110368BD1DC3}"/>
    <cellStyle name="Percentuale 44 3 3 3" xfId="28973" xr:uid="{C639D24E-8F6F-407F-AC81-A7479FCFE1EF}"/>
    <cellStyle name="Percentuale 44 3 3 4" xfId="28974" xr:uid="{AE7C28B3-3120-49D8-92AE-7828D214CA05}"/>
    <cellStyle name="Percentuale 44 3 3 4 2" xfId="49300" xr:uid="{4357D388-3F82-47CE-82F6-A63FCF726F48}"/>
    <cellStyle name="Percentuale 44 3 3 5" xfId="28971" xr:uid="{DD488115-107F-4B76-BEC9-22CCCDA2E1B3}"/>
    <cellStyle name="Percentuale 44 3 4" xfId="4424" xr:uid="{CFBD84A9-81FD-466A-A4BE-3721A000A152}"/>
    <cellStyle name="Percentuale 44 3 4 2" xfId="13815" xr:uid="{431F8579-CBB5-486F-90AA-D764B7CED63E}"/>
    <cellStyle name="Percentuale 44 3 4 3" xfId="28975" xr:uid="{050AB8C5-407E-4780-AF32-7E19749B49B3}"/>
    <cellStyle name="Percentuale 44 3 5" xfId="11522" xr:uid="{A9CFD35E-15C2-47B2-A2E2-D996AD336C71}"/>
    <cellStyle name="Percentuale 44 3 5 2" xfId="28976" xr:uid="{3FB9DCDB-4CD3-425C-A30C-B450F231A378}"/>
    <cellStyle name="Percentuale 44 3 6" xfId="28977" xr:uid="{82CF24F4-3948-47D4-AABA-2051B1126C14}"/>
    <cellStyle name="Percentuale 44 3 6 2" xfId="49301" xr:uid="{60246CD5-A7F3-40ED-883B-0E34300404A4}"/>
    <cellStyle name="Percentuale 44 3 7" xfId="28978" xr:uid="{420901C9-5EC4-4A5E-A754-B581E23C843C}"/>
    <cellStyle name="Percentuale 44 3 8" xfId="28965" xr:uid="{0BD1D143-CDB5-470E-A404-3BF743921CF9}"/>
    <cellStyle name="Percentuale 44 4" xfId="2425" xr:uid="{00000000-0005-0000-0000-0000FB080000}"/>
    <cellStyle name="Percentuale 44 4 2" xfId="2426" xr:uid="{00000000-0005-0000-0000-0000FC080000}"/>
    <cellStyle name="Percentuale 44 4 2 2" xfId="9513" xr:uid="{6E856DCE-DF4D-4E32-B3F1-F9F54D1B63AF}"/>
    <cellStyle name="Percentuale 44 4 2 2 2" xfId="28981" xr:uid="{10B7E762-C5C0-4B33-AD81-1B4672E616B9}"/>
    <cellStyle name="Percentuale 44 4 2 3" xfId="17940" xr:uid="{FBF63958-D438-4C18-AFCC-133F08531614}"/>
    <cellStyle name="Percentuale 44 4 2 3 2" xfId="28982" xr:uid="{1C3F75E7-806D-41C5-B599-8EB5C3FE97F6}"/>
    <cellStyle name="Percentuale 44 4 2 4" xfId="28980" xr:uid="{61E8D2BA-D332-4B9F-90FB-8788ADFDF109}"/>
    <cellStyle name="Percentuale 44 4 2 5" xfId="17550" xr:uid="{43EE4076-0646-4F03-BF4A-2DB77F3D01DC}"/>
    <cellStyle name="Percentuale 44 4 3" xfId="9514" xr:uid="{D367507E-742E-4B01-9662-CDD4A5AA4C8E}"/>
    <cellStyle name="Percentuale 44 4 3 2" xfId="28983" xr:uid="{EF9EC3F9-4444-4D24-84CA-E65B04871649}"/>
    <cellStyle name="Percentuale 44 4 4" xfId="28984" xr:uid="{374B702D-C618-404F-A1B8-53F6DA58A5ED}"/>
    <cellStyle name="Percentuale 44 4 5" xfId="28985" xr:uid="{9511A157-8424-4338-B520-2A6D26AE97A0}"/>
    <cellStyle name="Percentuale 44 4 5 2" xfId="49302" xr:uid="{A34B4B72-F5A6-470A-A854-39CE5B97072A}"/>
    <cellStyle name="Percentuale 44 4 6" xfId="28986" xr:uid="{114D7FCE-07D3-4D7E-99CC-6C5C578CEC53}"/>
    <cellStyle name="Percentuale 44 4 7" xfId="28979" xr:uid="{394A0CE2-6A9D-47F2-8652-958224F1CE66}"/>
    <cellStyle name="Percentuale 44 5" xfId="2427" xr:uid="{00000000-0005-0000-0000-0000FD080000}"/>
    <cellStyle name="Percentuale 44 5 2" xfId="28988" xr:uid="{7DFA4799-B55C-4015-B187-7C939673FCDF}"/>
    <cellStyle name="Percentuale 44 5 3" xfId="28989" xr:uid="{CD0EE146-68D4-4D63-97A1-C02B059B34E7}"/>
    <cellStyle name="Percentuale 44 5 3 2" xfId="49303" xr:uid="{5C140374-9083-4D2E-BBF8-2DA1A2EE5401}"/>
    <cellStyle name="Percentuale 44 5 4" xfId="28990" xr:uid="{BEC68C43-38E0-4634-AD94-7260402C2F0F}"/>
    <cellStyle name="Percentuale 44 5 5" xfId="28987" xr:uid="{369EB4B4-A92D-4409-8D53-67D8A5E9DB15}"/>
    <cellStyle name="Percentuale 44 6" xfId="4425" xr:uid="{A51BA692-0198-4FA5-AFCB-6830824D66CE}"/>
    <cellStyle name="Percentuale 44 6 2" xfId="9849" xr:uid="{1670640D-4AEA-426D-B22B-F5B060267BC2}"/>
    <cellStyle name="Percentuale 44 6 3" xfId="28991" xr:uid="{255098C2-2868-4391-81F4-60FD5BFE4771}"/>
    <cellStyle name="Percentuale 44 7" xfId="28992" xr:uid="{11C58B85-3D39-4183-A93A-9F698A4D4941}"/>
    <cellStyle name="Percentuale 44 7 2" xfId="49304" xr:uid="{DC743BFA-EDAF-426F-A9A0-F6628091185E}"/>
    <cellStyle name="Percentuale 44 8" xfId="28959" xr:uid="{D805AB9C-1D48-4264-B14C-95A8B86E89DC}"/>
    <cellStyle name="Percentuale 45" xfId="1126" xr:uid="{00000000-0005-0000-0000-0000FE080000}"/>
    <cellStyle name="Percentuale 45 2" xfId="1127" xr:uid="{00000000-0005-0000-0000-0000FF080000}"/>
    <cellStyle name="Percentuale 45 2 2" xfId="4426" xr:uid="{5EFB8B56-BEDA-4B2C-A9C1-11E8A56C8AE0}"/>
    <cellStyle name="Percentuale 45 2 2 2" xfId="13601" xr:uid="{BB9B500D-C14E-4A55-88CA-AE50D1ACB064}"/>
    <cellStyle name="Percentuale 45 2 2 3" xfId="28995" xr:uid="{4E22C047-F7DD-4534-8248-B8EDAB555F97}"/>
    <cellStyle name="Percentuale 45 2 3" xfId="13339" xr:uid="{E325635C-99F5-4E0F-9013-66462233C215}"/>
    <cellStyle name="Percentuale 45 2 3 2" xfId="28996" xr:uid="{F4D2D5CE-960E-42F5-A3BA-AC3BEA6FE4C3}"/>
    <cellStyle name="Percentuale 45 2 4" xfId="28997" xr:uid="{036DC35E-03CD-4DC8-8BEF-72278D33EA93}"/>
    <cellStyle name="Percentuale 45 2 4 2" xfId="49305" xr:uid="{6E83889C-2E20-49FD-9547-83481E978D16}"/>
    <cellStyle name="Percentuale 45 2 5" xfId="28998" xr:uid="{E1B4BCDF-4E36-4858-9E16-14C8CEBDD5AE}"/>
    <cellStyle name="Percentuale 45 2 6" xfId="28994" xr:uid="{461D1950-A9CF-41E1-894B-794ACEDB113F}"/>
    <cellStyle name="Percentuale 45 3" xfId="1128" xr:uid="{00000000-0005-0000-0000-000000090000}"/>
    <cellStyle name="Percentuale 45 3 2" xfId="1129" xr:uid="{00000000-0005-0000-0000-000001090000}"/>
    <cellStyle name="Percentuale 45 3 2 2" xfId="2428" xr:uid="{00000000-0005-0000-0000-000002090000}"/>
    <cellStyle name="Percentuale 45 3 2 2 2" xfId="29002" xr:uid="{8F19DE62-9470-4C13-84A8-3B4B9503F86F}"/>
    <cellStyle name="Percentuale 45 3 2 2 3" xfId="29001" xr:uid="{BED0749D-EEB2-49B4-AC2B-D27B088F20F3}"/>
    <cellStyle name="Percentuale 45 3 2 3" xfId="8156" xr:uid="{1BBC686A-6570-42E5-80E8-C385B807BB83}"/>
    <cellStyle name="Percentuale 45 3 2 3 2" xfId="14155" xr:uid="{8A5CCF74-F7C2-4B63-83CF-D69A8486B5E1}"/>
    <cellStyle name="Percentuale 45 3 2 3 3" xfId="29003" xr:uid="{F18897B7-95D5-4964-A394-FE9F3A06D9B7}"/>
    <cellStyle name="Percentuale 45 3 2 3 4" xfId="49306" xr:uid="{F3821A04-77E8-44E9-AF82-15285EEAB69E}"/>
    <cellStyle name="Percentuale 45 3 2 4" xfId="29004" xr:uid="{8DE56AAA-C4EF-4EE8-B239-29B6C177152C}"/>
    <cellStyle name="Percentuale 45 3 2 5" xfId="29000" xr:uid="{34975ACF-89B8-4E2E-886A-738008DCF635}"/>
    <cellStyle name="Percentuale 45 3 3" xfId="4427" xr:uid="{56321FF6-9BB8-4130-85CB-FF1C8C82BD83}"/>
    <cellStyle name="Percentuale 45 3 3 2" xfId="9515" xr:uid="{C3CF7021-149F-4518-A716-058329C0E0D5}"/>
    <cellStyle name="Percentuale 45 3 3 2 2" xfId="29006" xr:uid="{6E2BBCB6-D2CC-48D7-804C-CF87EF113421}"/>
    <cellStyle name="Percentuale 45 3 3 3" xfId="29007" xr:uid="{E5D40E77-A63A-41D0-B1B5-812DF12308EF}"/>
    <cellStyle name="Percentuale 45 3 3 4" xfId="29008" xr:uid="{A6C055E2-C5BD-4561-82BF-9B33468674F0}"/>
    <cellStyle name="Percentuale 45 3 3 4 2" xfId="49307" xr:uid="{5C576F15-E77F-49FD-B63C-0962767111C1}"/>
    <cellStyle name="Percentuale 45 3 3 5" xfId="29005" xr:uid="{7761B5F9-9C76-4465-B57C-F84B9D3C5BCB}"/>
    <cellStyle name="Percentuale 45 3 4" xfId="4428" xr:uid="{5BB8571F-E019-4ECA-84AB-DB50FD8C7ED6}"/>
    <cellStyle name="Percentuale 45 3 4 2" xfId="13816" xr:uid="{C76B0E1C-EBF3-4307-AE8A-F61EB2A4ADE4}"/>
    <cellStyle name="Percentuale 45 3 4 3" xfId="29009" xr:uid="{E14642B6-A061-45C5-848A-A008A22AB45A}"/>
    <cellStyle name="Percentuale 45 3 5" xfId="11203" xr:uid="{B0DE83D3-31FE-4280-AC6A-B86AEE7F302F}"/>
    <cellStyle name="Percentuale 45 3 5 2" xfId="29010" xr:uid="{49C57C73-0895-4703-A8B0-244B3CABD844}"/>
    <cellStyle name="Percentuale 45 3 6" xfId="29011" xr:uid="{AC79D013-F582-4D51-ADFB-952FF57E1A13}"/>
    <cellStyle name="Percentuale 45 3 6 2" xfId="49308" xr:uid="{F5F8B432-367E-432B-A6BD-E3EB241051CD}"/>
    <cellStyle name="Percentuale 45 3 7" xfId="29012" xr:uid="{60FB4CEA-1028-4E6B-9A5A-CB224EED81DF}"/>
    <cellStyle name="Percentuale 45 3 8" xfId="28999" xr:uid="{1E8F2668-4492-44DF-8F19-D3CE86E84FD0}"/>
    <cellStyle name="Percentuale 45 4" xfId="2429" xr:uid="{00000000-0005-0000-0000-000003090000}"/>
    <cellStyle name="Percentuale 45 4 2" xfId="2430" xr:uid="{00000000-0005-0000-0000-000004090000}"/>
    <cellStyle name="Percentuale 45 4 2 2" xfId="9516" xr:uid="{F6BF10AF-C135-47EF-8EA0-C9278AF09777}"/>
    <cellStyle name="Percentuale 45 4 2 2 2" xfId="29015" xr:uid="{846E4EC1-382B-4931-A732-3E1DDA4F82D2}"/>
    <cellStyle name="Percentuale 45 4 2 3" xfId="17941" xr:uid="{3BDFFACA-CFBB-486A-8301-A6BC2BAAE187}"/>
    <cellStyle name="Percentuale 45 4 2 3 2" xfId="29016" xr:uid="{148A0800-A217-465C-93AF-77C4F985589B}"/>
    <cellStyle name="Percentuale 45 4 2 4" xfId="29014" xr:uid="{CF9C8E53-32CF-4F21-A758-2E4266EA4A2F}"/>
    <cellStyle name="Percentuale 45 4 2 5" xfId="17551" xr:uid="{7DBAD6EC-E9D5-4EE1-BBD9-D76E215D4050}"/>
    <cellStyle name="Percentuale 45 4 3" xfId="9517" xr:uid="{E803BDBB-8E14-4956-9C10-C7059F2E4A0E}"/>
    <cellStyle name="Percentuale 45 4 3 2" xfId="29017" xr:uid="{B9F41D8E-4127-48DC-87F3-BB79D3751539}"/>
    <cellStyle name="Percentuale 45 4 4" xfId="29018" xr:uid="{3D5DAE6A-5BF5-41C5-AB21-78FF860D837B}"/>
    <cellStyle name="Percentuale 45 4 5" xfId="29019" xr:uid="{EE15FEAB-5212-4257-BD9A-C66EFD1142C9}"/>
    <cellStyle name="Percentuale 45 4 5 2" xfId="49309" xr:uid="{16BEAC75-5582-4BF9-8CB6-02A0375976EF}"/>
    <cellStyle name="Percentuale 45 4 6" xfId="29020" xr:uid="{DF6C19C7-06A7-4095-8C9C-C0E6DAE79E7B}"/>
    <cellStyle name="Percentuale 45 4 7" xfId="29013" xr:uid="{45961DFB-DE3C-4E9F-A981-05592D23C5E3}"/>
    <cellStyle name="Percentuale 45 5" xfId="2431" xr:uid="{00000000-0005-0000-0000-000005090000}"/>
    <cellStyle name="Percentuale 45 5 2" xfId="29022" xr:uid="{DA7C6D52-2E25-4141-9E9B-B162C0610722}"/>
    <cellStyle name="Percentuale 45 5 3" xfId="29023" xr:uid="{DA3F05DF-E2FB-45D0-93C2-B7B5297AEAC7}"/>
    <cellStyle name="Percentuale 45 5 3 2" xfId="49310" xr:uid="{C848FBD1-DAA3-4BE1-839B-DC799799784B}"/>
    <cellStyle name="Percentuale 45 5 4" xfId="29024" xr:uid="{DAE1852D-ABB9-4AAC-A398-DDBC1A1560CC}"/>
    <cellStyle name="Percentuale 45 5 5" xfId="29021" xr:uid="{24AE38BD-BF36-4D41-961E-073019DBE7FC}"/>
    <cellStyle name="Percentuale 45 6" xfId="4429" xr:uid="{6B6FC2EC-4E3B-4694-87EE-C57F7995C6E3}"/>
    <cellStyle name="Percentuale 45 6 2" xfId="9850" xr:uid="{99D2BCFC-76F7-47D2-A95F-73C0DD8DADF6}"/>
    <cellStyle name="Percentuale 45 6 3" xfId="29025" xr:uid="{1C96D005-3407-4A50-94DA-526004DAE926}"/>
    <cellStyle name="Percentuale 45 7" xfId="29026" xr:uid="{D259D6ED-AF11-43A1-8230-9482C7BDBBAB}"/>
    <cellStyle name="Percentuale 45 7 2" xfId="49311" xr:uid="{B110F94C-BA82-42E1-AE0D-9914318DD1B8}"/>
    <cellStyle name="Percentuale 45 8" xfId="28993" xr:uid="{C5E1126F-E41D-4DFE-8707-1FF0D0CE06BE}"/>
    <cellStyle name="Percentuale 46" xfId="1130" xr:uid="{00000000-0005-0000-0000-000006090000}"/>
    <cellStyle name="Percentuale 46 2" xfId="1131" xr:uid="{00000000-0005-0000-0000-000007090000}"/>
    <cellStyle name="Percentuale 46 2 2" xfId="4430" xr:uid="{760EA28B-5463-43A2-ABD6-FE37E8F0006C}"/>
    <cellStyle name="Percentuale 46 2 2 2" xfId="13602" xr:uid="{BF1F56AC-8CE0-46A7-8AD5-C7E8E8117D46}"/>
    <cellStyle name="Percentuale 46 2 2 3" xfId="29029" xr:uid="{3E2F591A-D073-4982-A436-34C1C425CD34}"/>
    <cellStyle name="Percentuale 46 2 3" xfId="13340" xr:uid="{9DC5A05E-769A-4B10-B161-06CB4D00E97D}"/>
    <cellStyle name="Percentuale 46 2 3 2" xfId="29030" xr:uid="{A8098211-73D8-45C8-90B5-0AE4E365AC5C}"/>
    <cellStyle name="Percentuale 46 2 4" xfId="29031" xr:uid="{681107C9-00FD-42AE-A584-690B426CF108}"/>
    <cellStyle name="Percentuale 46 2 4 2" xfId="49312" xr:uid="{5EDC36EA-F2DD-495E-BB6D-106475008167}"/>
    <cellStyle name="Percentuale 46 2 5" xfId="29032" xr:uid="{62CBD09D-F1F1-43CA-B90B-210381D0C8B0}"/>
    <cellStyle name="Percentuale 46 2 6" xfId="29028" xr:uid="{25B5B29B-D385-4F96-8160-57AA7A9F66C2}"/>
    <cellStyle name="Percentuale 46 3" xfId="1132" xr:uid="{00000000-0005-0000-0000-000008090000}"/>
    <cellStyle name="Percentuale 46 3 2" xfId="1133" xr:uid="{00000000-0005-0000-0000-000009090000}"/>
    <cellStyle name="Percentuale 46 3 2 2" xfId="2432" xr:uid="{00000000-0005-0000-0000-00000A090000}"/>
    <cellStyle name="Percentuale 46 3 2 2 2" xfId="29036" xr:uid="{6AC4E7E6-1D06-4D7D-943F-62081D02B527}"/>
    <cellStyle name="Percentuale 46 3 2 2 3" xfId="29035" xr:uid="{D0D798A3-EA80-4EF0-B096-DAECF6F5F75A}"/>
    <cellStyle name="Percentuale 46 3 2 3" xfId="8157" xr:uid="{5A07E548-3E99-4909-98BD-7FF2587D498A}"/>
    <cellStyle name="Percentuale 46 3 2 3 2" xfId="14156" xr:uid="{2DF274B7-FAAE-4EED-A404-86C35FB87A43}"/>
    <cellStyle name="Percentuale 46 3 2 3 3" xfId="29037" xr:uid="{A0F10008-F805-4BD7-90B1-84EDB04078B6}"/>
    <cellStyle name="Percentuale 46 3 2 3 4" xfId="49313" xr:uid="{73A8929A-72DF-4070-808E-645C7B278805}"/>
    <cellStyle name="Percentuale 46 3 2 4" xfId="29038" xr:uid="{B386BEC3-BC2E-4A87-BA01-9C08A4BEC02B}"/>
    <cellStyle name="Percentuale 46 3 2 5" xfId="29034" xr:uid="{A8A74470-BB61-4673-973E-85260001EA18}"/>
    <cellStyle name="Percentuale 46 3 3" xfId="4431" xr:uid="{DC23AB04-9F3F-424C-8D3E-403E4A7BB693}"/>
    <cellStyle name="Percentuale 46 3 3 2" xfId="9518" xr:uid="{E2FD4E03-6418-4B41-8B6F-FDFF02B1032A}"/>
    <cellStyle name="Percentuale 46 3 3 2 2" xfId="29040" xr:uid="{CF083F71-C218-477E-AC31-6A414D5C71EB}"/>
    <cellStyle name="Percentuale 46 3 3 3" xfId="29041" xr:uid="{B2135A4F-739F-4924-82E6-093A583EF4C4}"/>
    <cellStyle name="Percentuale 46 3 3 4" xfId="29042" xr:uid="{E979CFD3-8EF3-4979-9809-E9E8E90B562D}"/>
    <cellStyle name="Percentuale 46 3 3 4 2" xfId="49314" xr:uid="{B1091AB9-ACE2-44D6-8E12-85A9CC12720D}"/>
    <cellStyle name="Percentuale 46 3 3 5" xfId="29039" xr:uid="{BBA112A8-FA49-4573-88BE-672E0EDCF09A}"/>
    <cellStyle name="Percentuale 46 3 4" xfId="4432" xr:uid="{30F39DA6-2623-4291-8B3B-B27974246976}"/>
    <cellStyle name="Percentuale 46 3 4 2" xfId="13817" xr:uid="{88DE6C24-1A36-4F14-962B-E526A5BF97BC}"/>
    <cellStyle name="Percentuale 46 3 4 3" xfId="29043" xr:uid="{48C4CECC-E2ED-4529-8AB6-99D827863FAE}"/>
    <cellStyle name="Percentuale 46 3 5" xfId="11521" xr:uid="{F65B4C11-2E67-42AD-A96E-FB0ECACCC6A7}"/>
    <cellStyle name="Percentuale 46 3 5 2" xfId="29044" xr:uid="{E40B4FC0-AF3C-44D9-B87B-39791F9A83C5}"/>
    <cellStyle name="Percentuale 46 3 6" xfId="29045" xr:uid="{EB3C09A5-0EBA-4EC2-9AE0-3D0AC1FD7CC0}"/>
    <cellStyle name="Percentuale 46 3 6 2" xfId="49315" xr:uid="{6B6E5AF9-91CD-4E34-A2AE-3054A73679B0}"/>
    <cellStyle name="Percentuale 46 3 7" xfId="29046" xr:uid="{A39333CD-852D-439C-B8E7-2BFC9C036A73}"/>
    <cellStyle name="Percentuale 46 3 8" xfId="29033" xr:uid="{7A3A053E-136D-4491-8560-2E05D4BC8BD5}"/>
    <cellStyle name="Percentuale 46 4" xfId="2433" xr:uid="{00000000-0005-0000-0000-00000B090000}"/>
    <cellStyle name="Percentuale 46 4 2" xfId="2434" xr:uid="{00000000-0005-0000-0000-00000C090000}"/>
    <cellStyle name="Percentuale 46 4 2 2" xfId="9519" xr:uid="{526B5DA0-9640-43C2-A1F9-7352F94DF235}"/>
    <cellStyle name="Percentuale 46 4 2 2 2" xfId="29049" xr:uid="{AE91218C-528C-4480-A443-C742D7639698}"/>
    <cellStyle name="Percentuale 46 4 2 3" xfId="17942" xr:uid="{03750392-5220-4140-A2F7-8A64196508CF}"/>
    <cellStyle name="Percentuale 46 4 2 3 2" xfId="29050" xr:uid="{A5937DD5-A521-4DC2-95F2-711F6896B2CD}"/>
    <cellStyle name="Percentuale 46 4 2 4" xfId="29048" xr:uid="{EF981987-D5E0-46F2-AB07-41AAA7EFD94A}"/>
    <cellStyle name="Percentuale 46 4 2 5" xfId="17552" xr:uid="{96BF313B-E5BC-467E-A4DB-52FE10B3FBDC}"/>
    <cellStyle name="Percentuale 46 4 3" xfId="9520" xr:uid="{5B0D6300-BFA7-4731-A757-30B25F846725}"/>
    <cellStyle name="Percentuale 46 4 3 2" xfId="29051" xr:uid="{C6C8EE6E-48CD-46E7-A765-D2996C8C57FE}"/>
    <cellStyle name="Percentuale 46 4 4" xfId="29052" xr:uid="{269786D8-685A-42EA-A595-952800A9AC53}"/>
    <cellStyle name="Percentuale 46 4 5" xfId="29053" xr:uid="{01829D03-22FC-44CC-937B-79B0837CD475}"/>
    <cellStyle name="Percentuale 46 4 5 2" xfId="49316" xr:uid="{4F5FA041-DEA8-4C88-AC4E-21556210D982}"/>
    <cellStyle name="Percentuale 46 4 6" xfId="29054" xr:uid="{D6DBB4AB-9E75-425C-9DEA-24D2CA5E7FF2}"/>
    <cellStyle name="Percentuale 46 4 7" xfId="29047" xr:uid="{5632EDA8-CDBC-4E9B-A1FC-EEC0FE0A543A}"/>
    <cellStyle name="Percentuale 46 5" xfId="2435" xr:uid="{00000000-0005-0000-0000-00000D090000}"/>
    <cellStyle name="Percentuale 46 5 2" xfId="29056" xr:uid="{34F62755-4BA7-4ACF-A557-682D5423D5F8}"/>
    <cellStyle name="Percentuale 46 5 3" xfId="29057" xr:uid="{4D033A61-94AD-4E4B-8C06-08C775A2387B}"/>
    <cellStyle name="Percentuale 46 5 3 2" xfId="49317" xr:uid="{B4963436-A30D-44FD-885C-765E4211B55E}"/>
    <cellStyle name="Percentuale 46 5 4" xfId="29058" xr:uid="{1C1F6DE9-B9ED-4916-8408-FBEB49A8B411}"/>
    <cellStyle name="Percentuale 46 5 5" xfId="29055" xr:uid="{97CC3DE1-48B5-4CB7-8F22-12BB9E964919}"/>
    <cellStyle name="Percentuale 46 6" xfId="4433" xr:uid="{096CDA77-F88D-4010-9CF9-5C6A606516B0}"/>
    <cellStyle name="Percentuale 46 6 2" xfId="9851" xr:uid="{4BE1618F-8547-46F8-9C92-F5AC0D471D55}"/>
    <cellStyle name="Percentuale 46 6 3" xfId="29059" xr:uid="{F623EE93-D55E-46CB-9D5C-07A8A64BCDF0}"/>
    <cellStyle name="Percentuale 46 7" xfId="29060" xr:uid="{2FA2AD59-8910-4B43-9B05-AA19110A38D6}"/>
    <cellStyle name="Percentuale 46 7 2" xfId="49318" xr:uid="{20E2CCEC-7BB1-47B1-881E-D65C48E116E5}"/>
    <cellStyle name="Percentuale 46 8" xfId="29027" xr:uid="{81D86B5C-9D90-44D3-8678-E651DB07D3D8}"/>
    <cellStyle name="Percentuale 47" xfId="1134" xr:uid="{00000000-0005-0000-0000-00000E090000}"/>
    <cellStyle name="Percentuale 47 2" xfId="1135" xr:uid="{00000000-0005-0000-0000-00000F090000}"/>
    <cellStyle name="Percentuale 47 2 2" xfId="4434" xr:uid="{B094009C-E68A-4037-9076-C8AAAED39F30}"/>
    <cellStyle name="Percentuale 47 2 2 2" xfId="13603" xr:uid="{1C3FC2CA-6DE6-4DAB-BE0D-19CF6158B7EA}"/>
    <cellStyle name="Percentuale 47 2 2 3" xfId="29063" xr:uid="{3C85D6BB-0887-4EF3-A881-D411AB7DCC03}"/>
    <cellStyle name="Percentuale 47 2 3" xfId="13341" xr:uid="{DD27CBC5-33B6-445C-95EF-2A75C12F9EFF}"/>
    <cellStyle name="Percentuale 47 2 3 2" xfId="29064" xr:uid="{52933239-A5FD-4044-825C-1CF80F77329A}"/>
    <cellStyle name="Percentuale 47 2 4" xfId="29065" xr:uid="{F16A62D0-F35A-47C0-B8DD-8A391093359F}"/>
    <cellStyle name="Percentuale 47 2 4 2" xfId="49319" xr:uid="{74FBB63D-FE85-4644-8291-C3E83A5459F1}"/>
    <cellStyle name="Percentuale 47 2 5" xfId="29066" xr:uid="{AC211E2E-04D8-4521-8C50-7E31AF7C47FC}"/>
    <cellStyle name="Percentuale 47 2 6" xfId="29062" xr:uid="{ACE5EDAC-BCC1-42E8-9C09-66FF6F1F1986}"/>
    <cellStyle name="Percentuale 47 3" xfId="1136" xr:uid="{00000000-0005-0000-0000-000010090000}"/>
    <cellStyle name="Percentuale 47 3 2" xfId="1137" xr:uid="{00000000-0005-0000-0000-000011090000}"/>
    <cellStyle name="Percentuale 47 3 2 2" xfId="2436" xr:uid="{00000000-0005-0000-0000-000012090000}"/>
    <cellStyle name="Percentuale 47 3 2 2 2" xfId="29070" xr:uid="{F9928B33-E390-4946-8628-C87C3FD7E0D9}"/>
    <cellStyle name="Percentuale 47 3 2 2 3" xfId="29069" xr:uid="{F9EA3678-4580-4A87-8CF4-C22FD4C0876B}"/>
    <cellStyle name="Percentuale 47 3 2 3" xfId="8158" xr:uid="{9E8FE9F2-76D2-46BE-B712-5A32D68A0C2D}"/>
    <cellStyle name="Percentuale 47 3 2 3 2" xfId="14157" xr:uid="{F7EB08EF-D1AC-4981-9CC7-48D2DE3F6FA5}"/>
    <cellStyle name="Percentuale 47 3 2 3 3" xfId="29071" xr:uid="{CEBB26A3-680B-47CA-A9F5-D208D4B02274}"/>
    <cellStyle name="Percentuale 47 3 2 3 4" xfId="49320" xr:uid="{C73714B9-5219-41A5-9605-DF283308B470}"/>
    <cellStyle name="Percentuale 47 3 2 4" xfId="29072" xr:uid="{FDBCA576-FF31-42FD-81F3-BDB5C17E9F6B}"/>
    <cellStyle name="Percentuale 47 3 2 5" xfId="29068" xr:uid="{99CEC83B-BA01-4FA9-B386-900F02BCBA91}"/>
    <cellStyle name="Percentuale 47 3 3" xfId="4435" xr:uid="{F022C333-ADCA-425B-B780-900E1C5D78B0}"/>
    <cellStyle name="Percentuale 47 3 3 2" xfId="9521" xr:uid="{357FEDB5-7D90-45F3-8901-D1FAF27F7957}"/>
    <cellStyle name="Percentuale 47 3 3 2 2" xfId="29074" xr:uid="{AC4B5F5D-045A-4E0A-ADF9-3C9EE695A355}"/>
    <cellStyle name="Percentuale 47 3 3 3" xfId="29075" xr:uid="{0EB8A82E-60B0-4A96-BE0D-5DD97BED703B}"/>
    <cellStyle name="Percentuale 47 3 3 4" xfId="29076" xr:uid="{ABE74CED-2C51-4CD4-9592-22CAAF846D63}"/>
    <cellStyle name="Percentuale 47 3 3 4 2" xfId="49321" xr:uid="{543FB6DC-1E50-434D-B5EC-B238BEB8296B}"/>
    <cellStyle name="Percentuale 47 3 3 5" xfId="29073" xr:uid="{37BC65B4-2289-490A-9C9F-BF50B4F97272}"/>
    <cellStyle name="Percentuale 47 3 4" xfId="4436" xr:uid="{AF0E532D-853F-4522-A12D-E68A9EB97769}"/>
    <cellStyle name="Percentuale 47 3 4 2" xfId="13818" xr:uid="{5A10E945-E278-44E4-8F06-E79D1EA3E4C5}"/>
    <cellStyle name="Percentuale 47 3 4 3" xfId="29077" xr:uid="{B09703DC-63A0-4772-8489-4669EFC5BE81}"/>
    <cellStyle name="Percentuale 47 3 5" xfId="11166" xr:uid="{9D4A0221-A6EC-447F-B906-5384981FBE83}"/>
    <cellStyle name="Percentuale 47 3 5 2" xfId="29078" xr:uid="{D2AC110F-C783-452A-8C11-93E48F001491}"/>
    <cellStyle name="Percentuale 47 3 6" xfId="29079" xr:uid="{60C396E8-B0AB-48A9-B1F4-447ED68C8748}"/>
    <cellStyle name="Percentuale 47 3 6 2" xfId="49322" xr:uid="{5E17BD42-FAD2-4FB5-869A-60456C2B18F0}"/>
    <cellStyle name="Percentuale 47 3 7" xfId="29080" xr:uid="{1FAC1BBA-51BE-4CA8-AF5D-D1014C9E7463}"/>
    <cellStyle name="Percentuale 47 3 8" xfId="29067" xr:uid="{1982E6D7-634B-4AA2-8182-35449038C836}"/>
    <cellStyle name="Percentuale 47 4" xfId="2437" xr:uid="{00000000-0005-0000-0000-000013090000}"/>
    <cellStyle name="Percentuale 47 4 2" xfId="2438" xr:uid="{00000000-0005-0000-0000-000014090000}"/>
    <cellStyle name="Percentuale 47 4 2 2" xfId="9522" xr:uid="{AE46DECF-E2DE-4D22-B852-8B24F62A2310}"/>
    <cellStyle name="Percentuale 47 4 2 2 2" xfId="29083" xr:uid="{63855FA0-DB4B-47BB-9ADB-F23DB56D557B}"/>
    <cellStyle name="Percentuale 47 4 2 3" xfId="17943" xr:uid="{EF531589-7D34-48FD-96E0-032A630CAB25}"/>
    <cellStyle name="Percentuale 47 4 2 3 2" xfId="29084" xr:uid="{1CF2EC0A-FF12-4061-BD8D-46EC567001D4}"/>
    <cellStyle name="Percentuale 47 4 2 4" xfId="29082" xr:uid="{B3E584D4-64A4-41D8-A533-5DDD17E441CF}"/>
    <cellStyle name="Percentuale 47 4 2 5" xfId="17553" xr:uid="{41E0B2B7-C126-458E-8A21-D5CF8E67C878}"/>
    <cellStyle name="Percentuale 47 4 3" xfId="9523" xr:uid="{FE240EAD-E656-4CB2-87B5-5BBC10DA87A0}"/>
    <cellStyle name="Percentuale 47 4 3 2" xfId="29085" xr:uid="{D943FF66-B037-4E2E-BE04-3B8A28E926A4}"/>
    <cellStyle name="Percentuale 47 4 4" xfId="29086" xr:uid="{146D33A0-DDA3-4641-B6A6-7FB976865787}"/>
    <cellStyle name="Percentuale 47 4 5" xfId="29087" xr:uid="{9E79FB15-C55C-447A-A812-E577624313F4}"/>
    <cellStyle name="Percentuale 47 4 5 2" xfId="49323" xr:uid="{4399245C-455E-4AA7-BDDA-6649615F0BC6}"/>
    <cellStyle name="Percentuale 47 4 6" xfId="29088" xr:uid="{2EE92947-50EE-406D-BE59-3069B72CD373}"/>
    <cellStyle name="Percentuale 47 4 7" xfId="29081" xr:uid="{E4E119CB-1DDF-40DB-A91D-3ADD77C945BE}"/>
    <cellStyle name="Percentuale 47 5" xfId="2439" xr:uid="{00000000-0005-0000-0000-000015090000}"/>
    <cellStyle name="Percentuale 47 5 2" xfId="29090" xr:uid="{E864FCB7-A47A-47DD-868A-8C54ECE8ABA0}"/>
    <cellStyle name="Percentuale 47 5 3" xfId="29091" xr:uid="{A6DB08C9-D0E2-4172-B745-9CDD9BF3D8C5}"/>
    <cellStyle name="Percentuale 47 5 3 2" xfId="49324" xr:uid="{B3D1165D-F6EF-4D7D-8363-EFF13398C23F}"/>
    <cellStyle name="Percentuale 47 5 4" xfId="29092" xr:uid="{845B9A57-17A4-431E-A0CE-A5BC1188C790}"/>
    <cellStyle name="Percentuale 47 5 5" xfId="29089" xr:uid="{14DBDBFB-6AE9-47EC-B22F-9FFDFC928962}"/>
    <cellStyle name="Percentuale 47 6" xfId="4437" xr:uid="{7360B186-F4AA-4A6C-8487-02465BE41720}"/>
    <cellStyle name="Percentuale 47 6 2" xfId="9852" xr:uid="{A3D8DD0D-3D58-4DC8-B6B1-9A3FDF41F6BB}"/>
    <cellStyle name="Percentuale 47 6 3" xfId="29093" xr:uid="{D1553C20-E95E-4D65-B3D2-F77AB0A37F8C}"/>
    <cellStyle name="Percentuale 47 7" xfId="29094" xr:uid="{15342A06-60E1-42FB-9123-A1840F99A4C2}"/>
    <cellStyle name="Percentuale 47 7 2" xfId="49325" xr:uid="{73B8FAE9-FA4B-452E-95AB-0F9B6AD0AABD}"/>
    <cellStyle name="Percentuale 47 8" xfId="29061" xr:uid="{007B9302-4096-4FD3-ADE0-01B27497BB4F}"/>
    <cellStyle name="Percentuale 48" xfId="1138" xr:uid="{00000000-0005-0000-0000-000016090000}"/>
    <cellStyle name="Percentuale 48 2" xfId="1139" xr:uid="{00000000-0005-0000-0000-000017090000}"/>
    <cellStyle name="Percentuale 48 2 2" xfId="4438" xr:uid="{726D400F-8AAB-4727-B0FD-CED49B17E748}"/>
    <cellStyle name="Percentuale 48 2 2 2" xfId="13604" xr:uid="{0E4DC948-3A13-4F5B-9498-550B18DE8645}"/>
    <cellStyle name="Percentuale 48 2 2 3" xfId="29097" xr:uid="{135728F5-3571-4902-87BE-C1F17C2EB57B}"/>
    <cellStyle name="Percentuale 48 2 3" xfId="13342" xr:uid="{EAF70912-C57D-4DDE-88DB-AC817DDD1530}"/>
    <cellStyle name="Percentuale 48 2 3 2" xfId="29098" xr:uid="{92CFB495-A038-489C-BDBA-E9D4B92555F5}"/>
    <cellStyle name="Percentuale 48 2 4" xfId="29099" xr:uid="{7358E7FB-8A56-4B6D-B6C6-EBB78C4EEDB1}"/>
    <cellStyle name="Percentuale 48 2 4 2" xfId="49326" xr:uid="{FFA987D4-9DCD-4945-98AD-1E9D9CF52217}"/>
    <cellStyle name="Percentuale 48 2 5" xfId="29100" xr:uid="{947670E7-4ADA-4B40-AE1F-153A264EA1A1}"/>
    <cellStyle name="Percentuale 48 2 6" xfId="29096" xr:uid="{B021DD08-2419-4760-B92B-E8C4FF4EE66E}"/>
    <cellStyle name="Percentuale 48 3" xfId="1140" xr:uid="{00000000-0005-0000-0000-000018090000}"/>
    <cellStyle name="Percentuale 48 3 2" xfId="1141" xr:uid="{00000000-0005-0000-0000-000019090000}"/>
    <cellStyle name="Percentuale 48 3 2 2" xfId="2440" xr:uid="{00000000-0005-0000-0000-00001A090000}"/>
    <cellStyle name="Percentuale 48 3 2 2 2" xfId="29104" xr:uid="{6FF85950-8BE1-49DA-93E9-4DE3CB2F0EE5}"/>
    <cellStyle name="Percentuale 48 3 2 2 3" xfId="29103" xr:uid="{BFC1FC00-A207-44B8-8786-D795708C38E2}"/>
    <cellStyle name="Percentuale 48 3 2 3" xfId="8159" xr:uid="{5859D02E-5A21-47C3-AC7D-F036987EE756}"/>
    <cellStyle name="Percentuale 48 3 2 3 2" xfId="14158" xr:uid="{699CC89C-6E5A-40C2-929B-F4F8EFAE5C21}"/>
    <cellStyle name="Percentuale 48 3 2 3 3" xfId="29105" xr:uid="{420CA379-D040-4157-8EE7-56496B80E9E6}"/>
    <cellStyle name="Percentuale 48 3 2 3 4" xfId="49327" xr:uid="{7CB44C46-32CE-4F03-A07C-00C39E3521CD}"/>
    <cellStyle name="Percentuale 48 3 2 4" xfId="29106" xr:uid="{7A5BCB40-CB42-4EFE-8DBB-3779E1A6109F}"/>
    <cellStyle name="Percentuale 48 3 2 5" xfId="29102" xr:uid="{F8D1F09D-BFA5-4386-A788-A1B05ADBF42D}"/>
    <cellStyle name="Percentuale 48 3 3" xfId="4439" xr:uid="{A6436C44-8D95-41B5-9996-51064F542FE6}"/>
    <cellStyle name="Percentuale 48 3 3 2" xfId="9524" xr:uid="{E80F94CF-35EB-45AF-9383-7F42D086721E}"/>
    <cellStyle name="Percentuale 48 3 3 2 2" xfId="29108" xr:uid="{5DD562D3-626A-455F-B9E2-A4A2EEAFE5AD}"/>
    <cellStyle name="Percentuale 48 3 3 3" xfId="29109" xr:uid="{D8F2F02E-383E-41F3-A686-171A42FA2F64}"/>
    <cellStyle name="Percentuale 48 3 3 4" xfId="29110" xr:uid="{58B851DF-693E-4C1D-A012-2FBD57922233}"/>
    <cellStyle name="Percentuale 48 3 3 4 2" xfId="49328" xr:uid="{E2113F52-7573-48B4-AAC1-8157526C9110}"/>
    <cellStyle name="Percentuale 48 3 3 5" xfId="29107" xr:uid="{FB7F2A3C-0BA5-492E-AD24-10F17DDA5FD5}"/>
    <cellStyle name="Percentuale 48 3 4" xfId="4440" xr:uid="{C5EA6DBE-E426-499E-A3B3-1B7451E8C5FE}"/>
    <cellStyle name="Percentuale 48 3 4 2" xfId="13819" xr:uid="{B501E471-1319-4148-9A40-60B8F3D5EB2D}"/>
    <cellStyle name="Percentuale 48 3 4 3" xfId="29111" xr:uid="{3D54B192-D29B-4DF7-9CB6-BE15C58ACF5C}"/>
    <cellStyle name="Percentuale 48 3 5" xfId="11504" xr:uid="{44F0054C-0116-4DFD-8EC7-157DD7BF8CC4}"/>
    <cellStyle name="Percentuale 48 3 5 2" xfId="29112" xr:uid="{496D2114-2C12-4CCB-A845-929B05209968}"/>
    <cellStyle name="Percentuale 48 3 6" xfId="29113" xr:uid="{0B07FB00-15A0-4625-8A7C-BE5F80009FFF}"/>
    <cellStyle name="Percentuale 48 3 6 2" xfId="49329" xr:uid="{D1E31ADE-320E-4256-AE2D-0EB46CED943C}"/>
    <cellStyle name="Percentuale 48 3 7" xfId="29114" xr:uid="{EFC1671E-F030-4A42-BC32-6311B20409C7}"/>
    <cellStyle name="Percentuale 48 3 8" xfId="29101" xr:uid="{F82D2FDB-50B6-413C-8FF6-BC1BAC69D185}"/>
    <cellStyle name="Percentuale 48 4" xfId="2441" xr:uid="{00000000-0005-0000-0000-00001B090000}"/>
    <cellStyle name="Percentuale 48 4 2" xfId="2442" xr:uid="{00000000-0005-0000-0000-00001C090000}"/>
    <cellStyle name="Percentuale 48 4 2 2" xfId="9525" xr:uid="{D6C684F7-D6CE-45C3-A128-532EE0EBD194}"/>
    <cellStyle name="Percentuale 48 4 2 2 2" xfId="29117" xr:uid="{5BC23194-D933-471F-8C8E-FE92D5360426}"/>
    <cellStyle name="Percentuale 48 4 2 3" xfId="17944" xr:uid="{C52D1AE8-13A9-4D19-967B-9A34712EA080}"/>
    <cellStyle name="Percentuale 48 4 2 3 2" xfId="29118" xr:uid="{F1EFD1F9-EBB2-412E-A63A-CA1BBF0DC015}"/>
    <cellStyle name="Percentuale 48 4 2 4" xfId="29116" xr:uid="{83D4A21E-E58C-4A48-BEAB-9E1BFA2D38B9}"/>
    <cellStyle name="Percentuale 48 4 2 5" xfId="17554" xr:uid="{F3E38C3A-CBB8-4360-8C71-8704F5D59E12}"/>
    <cellStyle name="Percentuale 48 4 3" xfId="9526" xr:uid="{B020DC18-5186-4ADC-8122-CC85347266AC}"/>
    <cellStyle name="Percentuale 48 4 3 2" xfId="29119" xr:uid="{FADE11B4-42C8-4C8C-B645-196110A54155}"/>
    <cellStyle name="Percentuale 48 4 4" xfId="29120" xr:uid="{E493EE47-CDE8-4112-814D-3EC9DC3C34AE}"/>
    <cellStyle name="Percentuale 48 4 5" xfId="29121" xr:uid="{B5B44935-4C54-45DE-BE48-0FEACD8E6FAB}"/>
    <cellStyle name="Percentuale 48 4 5 2" xfId="49330" xr:uid="{DDF5FE1D-D418-4E71-895D-FFBA828B20D6}"/>
    <cellStyle name="Percentuale 48 4 6" xfId="29122" xr:uid="{9CDC4226-C30E-408F-AD7B-12229733FD98}"/>
    <cellStyle name="Percentuale 48 4 7" xfId="29115" xr:uid="{B848368D-EC58-47DE-BAE3-C914959B5EA8}"/>
    <cellStyle name="Percentuale 48 5" xfId="2443" xr:uid="{00000000-0005-0000-0000-00001D090000}"/>
    <cellStyle name="Percentuale 48 5 2" xfId="29124" xr:uid="{1AA28D7E-C1A8-45DF-AF32-F30EF0F7924B}"/>
    <cellStyle name="Percentuale 48 5 3" xfId="29125" xr:uid="{23C60DD3-741E-4A4F-B328-97EBE85D0F2C}"/>
    <cellStyle name="Percentuale 48 5 3 2" xfId="49331" xr:uid="{940DDA41-496A-49D2-BEB1-3A1799792183}"/>
    <cellStyle name="Percentuale 48 5 4" xfId="29126" xr:uid="{2A4313E8-B600-4C0E-A67C-E3B8A598C1E1}"/>
    <cellStyle name="Percentuale 48 5 5" xfId="29123" xr:uid="{8AF5E8B3-1B46-432A-9AD2-E3F991785AEA}"/>
    <cellStyle name="Percentuale 48 6" xfId="4441" xr:uid="{7267F761-77BB-4BE3-9ED5-46A589F9F548}"/>
    <cellStyle name="Percentuale 48 6 2" xfId="9853" xr:uid="{D86AED23-3DB2-420C-A064-DA753D7B1F8D}"/>
    <cellStyle name="Percentuale 48 6 3" xfId="29127" xr:uid="{8607C9ED-5269-4374-9AE7-659476188221}"/>
    <cellStyle name="Percentuale 48 7" xfId="29128" xr:uid="{A0C57FCB-0788-4D15-A91F-C987B80A4C54}"/>
    <cellStyle name="Percentuale 48 7 2" xfId="49332" xr:uid="{FF2FFC2C-914A-4D7D-B412-C9F4D123E2CB}"/>
    <cellStyle name="Percentuale 48 8" xfId="29095" xr:uid="{025FA5AC-8937-48F7-B8ED-C8AA218FCE5B}"/>
    <cellStyle name="Percentuale 49" xfId="1142" xr:uid="{00000000-0005-0000-0000-00001E090000}"/>
    <cellStyle name="Percentuale 49 2" xfId="1143" xr:uid="{00000000-0005-0000-0000-00001F090000}"/>
    <cellStyle name="Percentuale 49 2 2" xfId="4442" xr:uid="{56C6A778-CCEC-4924-96BD-BF5B699F9CBC}"/>
    <cellStyle name="Percentuale 49 2 2 2" xfId="13605" xr:uid="{5F90D7CF-AA64-403E-91A0-7E81BAB2168A}"/>
    <cellStyle name="Percentuale 49 2 2 3" xfId="29131" xr:uid="{5C1BAEDF-1C6A-4989-BC80-2F5EEA7DCDE9}"/>
    <cellStyle name="Percentuale 49 2 3" xfId="13343" xr:uid="{D4C6D712-E34C-4E87-9000-F6110E3F8624}"/>
    <cellStyle name="Percentuale 49 2 3 2" xfId="29132" xr:uid="{2C880F9B-D980-4A93-8C0D-274D4ED91D33}"/>
    <cellStyle name="Percentuale 49 2 4" xfId="29133" xr:uid="{55F10094-9666-477F-9C11-FE28EDBE96F5}"/>
    <cellStyle name="Percentuale 49 2 4 2" xfId="49333" xr:uid="{932E46F2-72A0-4195-93DD-7CE36EC39DD5}"/>
    <cellStyle name="Percentuale 49 2 5" xfId="29134" xr:uid="{FA555B64-6321-481C-ACD2-CBCBF2FE4571}"/>
    <cellStyle name="Percentuale 49 2 6" xfId="29130" xr:uid="{F15AFB78-05C8-44F7-902B-3F4CAE0B441E}"/>
    <cellStyle name="Percentuale 49 3" xfId="1144" xr:uid="{00000000-0005-0000-0000-000020090000}"/>
    <cellStyle name="Percentuale 49 3 2" xfId="1145" xr:uid="{00000000-0005-0000-0000-000021090000}"/>
    <cellStyle name="Percentuale 49 3 2 2" xfId="2444" xr:uid="{00000000-0005-0000-0000-000022090000}"/>
    <cellStyle name="Percentuale 49 3 2 2 2" xfId="29138" xr:uid="{862B8CF0-151E-4F47-87CE-4669ABC0BEAC}"/>
    <cellStyle name="Percentuale 49 3 2 2 3" xfId="29137" xr:uid="{DF55E67B-182F-4E9A-A17E-FD4D96100475}"/>
    <cellStyle name="Percentuale 49 3 2 3" xfId="8160" xr:uid="{E439E632-DE93-40CA-81DA-AAC77EC19ABE}"/>
    <cellStyle name="Percentuale 49 3 2 3 2" xfId="14159" xr:uid="{4A8F5A4B-E507-4C82-8EE3-344E6B3A5668}"/>
    <cellStyle name="Percentuale 49 3 2 3 3" xfId="29139" xr:uid="{90CACB0B-EB53-42D5-BFB9-E55F30DF864D}"/>
    <cellStyle name="Percentuale 49 3 2 3 4" xfId="49334" xr:uid="{F3DB2F15-4B9A-4FFF-883C-F20C2E43129A}"/>
    <cellStyle name="Percentuale 49 3 2 4" xfId="29140" xr:uid="{24CCF10A-5A5F-46C4-BFD4-6F74EC1FBB3C}"/>
    <cellStyle name="Percentuale 49 3 2 5" xfId="29136" xr:uid="{5FD14598-D111-40AB-A399-A06052EF91A7}"/>
    <cellStyle name="Percentuale 49 3 3" xfId="4443" xr:uid="{F01A5C83-2823-4E10-9E51-BB8C5677BE26}"/>
    <cellStyle name="Percentuale 49 3 3 2" xfId="9527" xr:uid="{1FC3A8E8-0524-43DE-92A9-01C0DD6D9600}"/>
    <cellStyle name="Percentuale 49 3 3 2 2" xfId="29142" xr:uid="{93D97388-1FCF-4851-BE62-FBD16C6BC1CD}"/>
    <cellStyle name="Percentuale 49 3 3 3" xfId="29143" xr:uid="{E0EBEE13-1680-4ECF-B934-EC4D0AC35725}"/>
    <cellStyle name="Percentuale 49 3 3 4" xfId="29144" xr:uid="{2EAD393C-331F-49F9-B734-8E08F706246A}"/>
    <cellStyle name="Percentuale 49 3 3 4 2" xfId="49335" xr:uid="{87580D06-EF0E-43C1-A53A-47632E7CF21B}"/>
    <cellStyle name="Percentuale 49 3 3 5" xfId="29141" xr:uid="{0D6FBFD7-D93E-43ED-877C-4F675CE1809E}"/>
    <cellStyle name="Percentuale 49 3 4" xfId="4444" xr:uid="{C104C444-6531-4253-BCD2-2567DDBDB7F9}"/>
    <cellStyle name="Percentuale 49 3 4 2" xfId="13820" xr:uid="{7DB9665F-E77A-41CC-B732-FE73A0414042}"/>
    <cellStyle name="Percentuale 49 3 4 3" xfId="29145" xr:uid="{EA09678F-A698-43D5-9275-3815FA635983}"/>
    <cellStyle name="Percentuale 49 3 5" xfId="12305" xr:uid="{29165F3D-AD2D-42DC-BED0-97ABC182E6C1}"/>
    <cellStyle name="Percentuale 49 3 5 2" xfId="29146" xr:uid="{A7CE7877-FF3A-4A76-BF17-88EA1CF6A957}"/>
    <cellStyle name="Percentuale 49 3 6" xfId="29147" xr:uid="{F935082A-9B34-425D-83E2-78ED119C15AE}"/>
    <cellStyle name="Percentuale 49 3 6 2" xfId="49336" xr:uid="{66673B42-C079-4BB6-977A-FC71D71F32C7}"/>
    <cellStyle name="Percentuale 49 3 7" xfId="29148" xr:uid="{36558D95-6A70-40C9-BC57-AD4AD8695047}"/>
    <cellStyle name="Percentuale 49 3 8" xfId="29135" xr:uid="{14EE3A23-7CDB-4EBB-87BD-CD18370EAA3F}"/>
    <cellStyle name="Percentuale 49 4" xfId="2445" xr:uid="{00000000-0005-0000-0000-000023090000}"/>
    <cellStyle name="Percentuale 49 4 2" xfId="2446" xr:uid="{00000000-0005-0000-0000-000024090000}"/>
    <cellStyle name="Percentuale 49 4 2 2" xfId="9528" xr:uid="{3696F445-0D24-4208-905A-DABBA11575A7}"/>
    <cellStyle name="Percentuale 49 4 2 2 2" xfId="29151" xr:uid="{9C634CB0-72C5-4C7D-90B8-5B3F95D0B7FE}"/>
    <cellStyle name="Percentuale 49 4 2 3" xfId="17945" xr:uid="{D26DF829-669B-4845-B2FB-9825A59B5A13}"/>
    <cellStyle name="Percentuale 49 4 2 3 2" xfId="29152" xr:uid="{72933ECF-3DBD-4594-BEE0-6B425BFC8059}"/>
    <cellStyle name="Percentuale 49 4 2 4" xfId="29150" xr:uid="{FAE3A960-401C-4A70-951F-8E829049353B}"/>
    <cellStyle name="Percentuale 49 4 2 5" xfId="17555" xr:uid="{0C6C82C7-7DD1-48D2-ADA7-CC4EA758EC8E}"/>
    <cellStyle name="Percentuale 49 4 3" xfId="9529" xr:uid="{1E8450C4-8333-4783-983F-90520A196A83}"/>
    <cellStyle name="Percentuale 49 4 3 2" xfId="29153" xr:uid="{9FAFCA4A-EFAD-45B2-A0D1-3DB63CFFEA56}"/>
    <cellStyle name="Percentuale 49 4 4" xfId="29154" xr:uid="{108C837D-F9B7-472F-A0FE-BF7489FE1D93}"/>
    <cellStyle name="Percentuale 49 4 5" xfId="29155" xr:uid="{B54F3FD3-F40B-4B2A-ACFF-DFCBCDB8B0A0}"/>
    <cellStyle name="Percentuale 49 4 5 2" xfId="49337" xr:uid="{65151EBA-5EBD-4C97-8ABA-8BE22E970863}"/>
    <cellStyle name="Percentuale 49 4 6" xfId="29156" xr:uid="{0B1464E8-BE29-457C-A565-57C5FE7D8044}"/>
    <cellStyle name="Percentuale 49 4 7" xfId="29149" xr:uid="{48CB4421-F135-4A9C-A006-A6DBC1B5F361}"/>
    <cellStyle name="Percentuale 49 5" xfId="2447" xr:uid="{00000000-0005-0000-0000-000025090000}"/>
    <cellStyle name="Percentuale 49 5 2" xfId="29158" xr:uid="{836E0550-F3A0-4616-A49C-90E9AFA5FCD9}"/>
    <cellStyle name="Percentuale 49 5 3" xfId="29159" xr:uid="{009F5C24-0AAE-4D26-AC0A-212386C60702}"/>
    <cellStyle name="Percentuale 49 5 3 2" xfId="49338" xr:uid="{FFD59075-539B-449B-B36E-EF2E0957D8B8}"/>
    <cellStyle name="Percentuale 49 5 4" xfId="29160" xr:uid="{3C3F1001-B4DA-4F06-A916-1CD615DEA2C9}"/>
    <cellStyle name="Percentuale 49 5 5" xfId="29157" xr:uid="{A16B1158-00AE-47AB-B4FF-2A4865BC96F3}"/>
    <cellStyle name="Percentuale 49 6" xfId="4445" xr:uid="{B0A69839-8799-4BB8-A746-D9337588C0BD}"/>
    <cellStyle name="Percentuale 49 6 2" xfId="9854" xr:uid="{5C29F8C3-0A7C-4A7C-803F-C28D177B3F27}"/>
    <cellStyle name="Percentuale 49 6 3" xfId="29161" xr:uid="{0F739F6A-E4C6-435A-B249-F70563B1A10D}"/>
    <cellStyle name="Percentuale 49 7" xfId="29162" xr:uid="{365E1AD9-934A-488A-8184-C74372D8402E}"/>
    <cellStyle name="Percentuale 49 7 2" xfId="49339" xr:uid="{86094AF6-1A8E-4C44-B35C-2189C2F5B8ED}"/>
    <cellStyle name="Percentuale 49 8" xfId="29129" xr:uid="{CF661492-88E1-4679-8CE2-EA1E047A37FE}"/>
    <cellStyle name="Percentuale 5" xfId="1146" xr:uid="{00000000-0005-0000-0000-000026090000}"/>
    <cellStyle name="Percentuale 5 2" xfId="1147" xr:uid="{00000000-0005-0000-0000-000027090000}"/>
    <cellStyle name="Percentuale 5 2 2" xfId="4446" xr:uid="{E251CB64-84D1-4EEB-B6F5-0C6611F4CDC3}"/>
    <cellStyle name="Percentuale 5 2 2 2" xfId="13606" xr:uid="{5C611B22-AC09-4B58-9363-C861422509B7}"/>
    <cellStyle name="Percentuale 5 2 2 3" xfId="29165" xr:uid="{4F77B343-0317-4E60-B211-6A0F0B21919E}"/>
    <cellStyle name="Percentuale 5 2 3" xfId="13344" xr:uid="{CEA522B1-E9F2-4D29-BF93-70F864D331C8}"/>
    <cellStyle name="Percentuale 5 2 3 2" xfId="29166" xr:uid="{79BCCA3F-6FA2-4CCD-9385-1F06258DC04A}"/>
    <cellStyle name="Percentuale 5 2 4" xfId="29167" xr:uid="{F7411113-035A-46EF-8E69-27FA1D22B275}"/>
    <cellStyle name="Percentuale 5 2 4 2" xfId="49340" xr:uid="{EFE731BB-8038-4B1A-A07E-9F968DC44495}"/>
    <cellStyle name="Percentuale 5 2 5" xfId="29168" xr:uid="{9EC972A8-66F7-43E3-B244-2AB3BB033D13}"/>
    <cellStyle name="Percentuale 5 2 6" xfId="29164" xr:uid="{CA31BE28-0B18-4249-BBAF-748403FDAA28}"/>
    <cellStyle name="Percentuale 5 3" xfId="1148" xr:uid="{00000000-0005-0000-0000-000028090000}"/>
    <cellStyle name="Percentuale 5 3 2" xfId="1149" xr:uid="{00000000-0005-0000-0000-000029090000}"/>
    <cellStyle name="Percentuale 5 3 2 2" xfId="2448" xr:uid="{00000000-0005-0000-0000-00002A090000}"/>
    <cellStyle name="Percentuale 5 3 2 2 2" xfId="29172" xr:uid="{83236413-342F-4DF1-8B28-55E8F5A7DB83}"/>
    <cellStyle name="Percentuale 5 3 2 2 3" xfId="29171" xr:uid="{930E55CC-BF42-4FF5-B122-30AC1C5A3370}"/>
    <cellStyle name="Percentuale 5 3 2 3" xfId="8161" xr:uid="{0A2FB4F4-0472-4EB1-A952-BDF2DFAA3D7C}"/>
    <cellStyle name="Percentuale 5 3 2 3 2" xfId="14160" xr:uid="{35785E49-37F5-4FCE-9E8F-48819FD7768C}"/>
    <cellStyle name="Percentuale 5 3 2 3 3" xfId="29173" xr:uid="{0A8F557A-2A4A-4E2C-A830-883A90F641F0}"/>
    <cellStyle name="Percentuale 5 3 2 3 4" xfId="49341" xr:uid="{1A9AF202-6515-4CF4-AC3B-AE6956113144}"/>
    <cellStyle name="Percentuale 5 3 2 4" xfId="29174" xr:uid="{F1CFD0DE-CD29-4698-9045-3F86719525EA}"/>
    <cellStyle name="Percentuale 5 3 2 5" xfId="29170" xr:uid="{C5106076-3700-412C-B950-B8076549F8F6}"/>
    <cellStyle name="Percentuale 5 3 3" xfId="4447" xr:uid="{1BCA16C4-B910-4012-B52F-6E5399E67E8A}"/>
    <cellStyle name="Percentuale 5 3 3 2" xfId="9530" xr:uid="{CBDC7943-0F14-4F40-8F22-2A222BDF8BE1}"/>
    <cellStyle name="Percentuale 5 3 3 2 2" xfId="29176" xr:uid="{DDF6B7DE-2481-4D6C-9586-C4DF0C72C5D4}"/>
    <cellStyle name="Percentuale 5 3 3 3" xfId="29177" xr:uid="{264D29E0-5796-4693-A1F5-43DEC95F9EA2}"/>
    <cellStyle name="Percentuale 5 3 3 4" xfId="29178" xr:uid="{FDEC0BD5-08C0-4B16-B459-8B161EE6B38E}"/>
    <cellStyle name="Percentuale 5 3 3 4 2" xfId="49342" xr:uid="{D15E6F08-FC81-47B5-822D-B4121E54BDEF}"/>
    <cellStyle name="Percentuale 5 3 3 5" xfId="29175" xr:uid="{81315776-02F5-487C-8180-F2038C4EBB4B}"/>
    <cellStyle name="Percentuale 5 3 4" xfId="4448" xr:uid="{4BD6F7BE-EB6A-4D14-878A-FE17DA0AEA50}"/>
    <cellStyle name="Percentuale 5 3 4 2" xfId="13821" xr:uid="{72A30908-E5F8-4828-80FE-AB6215CE4BD6}"/>
    <cellStyle name="Percentuale 5 3 4 3" xfId="29179" xr:uid="{55A03A92-0F2E-4550-828D-9D044DBCCBD9}"/>
    <cellStyle name="Percentuale 5 3 5" xfId="11421" xr:uid="{DA55A9FA-C511-4651-8D50-92974522CD75}"/>
    <cellStyle name="Percentuale 5 3 5 2" xfId="29180" xr:uid="{520A9119-DF08-4F55-B76D-05BA74B9F549}"/>
    <cellStyle name="Percentuale 5 3 6" xfId="29181" xr:uid="{078FAA4F-4FC1-4373-8C02-8E1268052A08}"/>
    <cellStyle name="Percentuale 5 3 6 2" xfId="49343" xr:uid="{8A855F35-AC76-482C-8AF4-ECEAC5A1BFF9}"/>
    <cellStyle name="Percentuale 5 3 7" xfId="29182" xr:uid="{165D73B8-43AF-42A4-ACB9-882E3808DFA5}"/>
    <cellStyle name="Percentuale 5 3 8" xfId="29169" xr:uid="{446B008A-3151-403A-AF67-69603CF05E47}"/>
    <cellStyle name="Percentuale 5 4" xfId="2449" xr:uid="{00000000-0005-0000-0000-00002B090000}"/>
    <cellStyle name="Percentuale 5 4 2" xfId="2450" xr:uid="{00000000-0005-0000-0000-00002C090000}"/>
    <cellStyle name="Percentuale 5 4 2 2" xfId="9531" xr:uid="{36D5706F-F1BC-4173-96CF-5AC3CE49F85F}"/>
    <cellStyle name="Percentuale 5 4 2 2 2" xfId="29185" xr:uid="{949ADE72-E530-46AD-8C00-9292EDC3116C}"/>
    <cellStyle name="Percentuale 5 4 2 3" xfId="17946" xr:uid="{226F19D7-8A7E-47B6-B8A8-517866132670}"/>
    <cellStyle name="Percentuale 5 4 2 3 2" xfId="29186" xr:uid="{90F5D510-62AD-432D-89F8-C6FCFA998C94}"/>
    <cellStyle name="Percentuale 5 4 2 4" xfId="29184" xr:uid="{D3AEC036-721A-4CBE-A854-9C2DD6544798}"/>
    <cellStyle name="Percentuale 5 4 2 5" xfId="17556" xr:uid="{1AB3CC85-92ED-4942-BBB4-C8A2E59C7379}"/>
    <cellStyle name="Percentuale 5 4 3" xfId="9532" xr:uid="{13BDD967-07F4-4E01-A9A4-797302EFA1CC}"/>
    <cellStyle name="Percentuale 5 4 3 2" xfId="29187" xr:uid="{7482DFA6-1096-43FB-A513-5CFC602058F8}"/>
    <cellStyle name="Percentuale 5 4 4" xfId="29188" xr:uid="{6C77FA7E-D6BB-48B3-9B19-54A56688F625}"/>
    <cellStyle name="Percentuale 5 4 5" xfId="29189" xr:uid="{14897904-467C-4AF8-83E0-101C0F43B2A1}"/>
    <cellStyle name="Percentuale 5 4 5 2" xfId="49344" xr:uid="{6971A219-0975-4BFA-9479-D0B4EF2F7682}"/>
    <cellStyle name="Percentuale 5 4 6" xfId="29190" xr:uid="{FC3587A4-EFDD-406E-8049-F1377E8D2A58}"/>
    <cellStyle name="Percentuale 5 4 7" xfId="29183" xr:uid="{36B2075B-545B-4496-BE07-FAF9FDB672BB}"/>
    <cellStyle name="Percentuale 5 5" xfId="2451" xr:uid="{00000000-0005-0000-0000-00002D090000}"/>
    <cellStyle name="Percentuale 5 5 2" xfId="29192" xr:uid="{B72C683F-FFE4-4D0A-A2EA-E9002C9D1B3F}"/>
    <cellStyle name="Percentuale 5 5 3" xfId="29193" xr:uid="{CA217BA6-9A44-4220-BFA6-2347D1D0090B}"/>
    <cellStyle name="Percentuale 5 5 3 2" xfId="49345" xr:uid="{127F66C1-592C-4F61-B298-E46197ABF1A2}"/>
    <cellStyle name="Percentuale 5 5 4" xfId="29194" xr:uid="{37F794F8-435A-4730-AD34-EBEC4364031B}"/>
    <cellStyle name="Percentuale 5 5 5" xfId="29191" xr:uid="{1B5358D7-D5EE-4C14-81E2-163526C37BED}"/>
    <cellStyle name="Percentuale 5 6" xfId="4449" xr:uid="{3C0AC27A-EDD8-4B94-BD8F-9A02C1C62850}"/>
    <cellStyle name="Percentuale 5 6 2" xfId="9855" xr:uid="{7E50CF31-D8E0-412D-AD2E-98D2094C1B3C}"/>
    <cellStyle name="Percentuale 5 6 3" xfId="29195" xr:uid="{B4D8D8E8-D10A-45EC-89D0-C25D2BDB49DC}"/>
    <cellStyle name="Percentuale 5 7" xfId="29196" xr:uid="{7E03BE7C-CB25-4E11-8DB2-DE7B6DCA943F}"/>
    <cellStyle name="Percentuale 5 7 2" xfId="49346" xr:uid="{5108DB88-F53F-4595-9525-23BAB8CC7A9E}"/>
    <cellStyle name="Percentuale 5 8" xfId="29163" xr:uid="{D311569D-EE38-448D-B6DA-A362A3D12C11}"/>
    <cellStyle name="Percentuale 50" xfId="1150" xr:uid="{00000000-0005-0000-0000-00002E090000}"/>
    <cellStyle name="Percentuale 50 2" xfId="1151" xr:uid="{00000000-0005-0000-0000-00002F090000}"/>
    <cellStyle name="Percentuale 50 2 2" xfId="4450" xr:uid="{4554B198-268A-4855-AE4B-5DD0D1F70F50}"/>
    <cellStyle name="Percentuale 50 2 2 2" xfId="13607" xr:uid="{50B0B995-7B8D-4643-BC58-A9C4497534C5}"/>
    <cellStyle name="Percentuale 50 2 2 3" xfId="29199" xr:uid="{48EEE034-A05D-4AB1-AE12-E4F095C23D2D}"/>
    <cellStyle name="Percentuale 50 2 3" xfId="13345" xr:uid="{634BE254-169D-4EC2-B207-BD66CDA4FD2D}"/>
    <cellStyle name="Percentuale 50 2 3 2" xfId="29200" xr:uid="{66D09104-D784-41DE-8BB7-8D91274B23CC}"/>
    <cellStyle name="Percentuale 50 2 4" xfId="29201" xr:uid="{B8BDCBE0-5817-4F42-A84F-C321F55F8B0D}"/>
    <cellStyle name="Percentuale 50 2 4 2" xfId="49347" xr:uid="{E15981AB-3E90-432D-A398-7ACD693938E1}"/>
    <cellStyle name="Percentuale 50 2 5" xfId="29202" xr:uid="{53522E4F-89A6-44D2-A5F4-20267B06AC3E}"/>
    <cellStyle name="Percentuale 50 2 6" xfId="29198" xr:uid="{01AA2D09-C153-4D22-AE6F-884C5AA34F8E}"/>
    <cellStyle name="Percentuale 50 3" xfId="1152" xr:uid="{00000000-0005-0000-0000-000030090000}"/>
    <cellStyle name="Percentuale 50 3 2" xfId="1153" xr:uid="{00000000-0005-0000-0000-000031090000}"/>
    <cellStyle name="Percentuale 50 3 2 2" xfId="2452" xr:uid="{00000000-0005-0000-0000-000032090000}"/>
    <cellStyle name="Percentuale 50 3 2 2 2" xfId="29206" xr:uid="{CD86761F-C27C-4A94-9F85-FAE6B9B7F19F}"/>
    <cellStyle name="Percentuale 50 3 2 2 3" xfId="29205" xr:uid="{AF1CD0A1-045B-4E4A-9582-B6F56D517A9D}"/>
    <cellStyle name="Percentuale 50 3 2 3" xfId="8162" xr:uid="{E6BFAA82-A2A8-4411-8DB9-A4A95B971566}"/>
    <cellStyle name="Percentuale 50 3 2 3 2" xfId="14161" xr:uid="{07B0A14C-3E06-49E7-8520-16CF631DC9D0}"/>
    <cellStyle name="Percentuale 50 3 2 3 3" xfId="29207" xr:uid="{CEE1D992-C44C-45E8-BFD9-3FD3999C14A8}"/>
    <cellStyle name="Percentuale 50 3 2 3 4" xfId="49348" xr:uid="{651895BF-430E-45B8-9D27-9B333DDC933A}"/>
    <cellStyle name="Percentuale 50 3 2 4" xfId="29208" xr:uid="{B7D08A10-0984-4280-9F05-486AAA151FBB}"/>
    <cellStyle name="Percentuale 50 3 2 5" xfId="29204" xr:uid="{A0A25031-260A-4D04-9FE9-D3AD90A2D14E}"/>
    <cellStyle name="Percentuale 50 3 3" xfId="4451" xr:uid="{F72B520B-BCB3-4CB2-865A-1E0C08D3EAA1}"/>
    <cellStyle name="Percentuale 50 3 3 2" xfId="9533" xr:uid="{554F25CE-B3FD-4D9E-A24D-A6030D2826F5}"/>
    <cellStyle name="Percentuale 50 3 3 2 2" xfId="29210" xr:uid="{7F0C0738-54D5-4E60-923B-D9E3E1BEC2EC}"/>
    <cellStyle name="Percentuale 50 3 3 3" xfId="29211" xr:uid="{A9AC4E65-DB70-4301-AB6B-80E1F21BC0BC}"/>
    <cellStyle name="Percentuale 50 3 3 4" xfId="29212" xr:uid="{2C813B4B-CA9B-403B-8D41-3E937ED11D71}"/>
    <cellStyle name="Percentuale 50 3 3 4 2" xfId="49349" xr:uid="{5066D7C8-FD68-48F5-ACF0-5D8188E73E2B}"/>
    <cellStyle name="Percentuale 50 3 3 5" xfId="29209" xr:uid="{7851075E-4B79-4489-B8A0-38DF1FB398AE}"/>
    <cellStyle name="Percentuale 50 3 4" xfId="4452" xr:uid="{6A44ADA6-E7FA-48ED-8020-30324C301F8E}"/>
    <cellStyle name="Percentuale 50 3 4 2" xfId="13822" xr:uid="{E98C446E-9D3D-4D04-8A93-D9353A0CBE93}"/>
    <cellStyle name="Percentuale 50 3 4 3" xfId="29213" xr:uid="{948013CF-EE88-4E83-9735-0BD413CE2CCB}"/>
    <cellStyle name="Percentuale 50 3 5" xfId="12264" xr:uid="{A46E00FC-2B1D-44D6-8F33-2E611A7E4E1F}"/>
    <cellStyle name="Percentuale 50 3 5 2" xfId="29214" xr:uid="{612F9021-42B3-466A-8FE4-BB0D0AF5EA55}"/>
    <cellStyle name="Percentuale 50 3 6" xfId="29215" xr:uid="{4D312695-F9A7-402C-B51D-FD0B942383C7}"/>
    <cellStyle name="Percentuale 50 3 6 2" xfId="49350" xr:uid="{63131792-0CF8-460D-B977-203A1D408EDB}"/>
    <cellStyle name="Percentuale 50 3 7" xfId="29216" xr:uid="{779CF5B7-E18C-44B5-8D0E-9E9562B344ED}"/>
    <cellStyle name="Percentuale 50 3 8" xfId="29203" xr:uid="{38EB5C10-FBA2-4181-9673-92E3EF670B14}"/>
    <cellStyle name="Percentuale 50 4" xfId="2453" xr:uid="{00000000-0005-0000-0000-000033090000}"/>
    <cellStyle name="Percentuale 50 4 2" xfId="2454" xr:uid="{00000000-0005-0000-0000-000034090000}"/>
    <cellStyle name="Percentuale 50 4 2 2" xfId="9534" xr:uid="{CFD5D5E8-8871-4C42-97F6-FCD2F5070EFB}"/>
    <cellStyle name="Percentuale 50 4 2 2 2" xfId="29219" xr:uid="{06FFE6A8-4A0A-4B4A-9711-BD5DE10BA7EE}"/>
    <cellStyle name="Percentuale 50 4 2 3" xfId="17947" xr:uid="{F4E3B563-4548-43B9-8F4C-0686C92277F7}"/>
    <cellStyle name="Percentuale 50 4 2 3 2" xfId="29220" xr:uid="{9F7621FB-2F46-486C-9CAA-171F02555DFB}"/>
    <cellStyle name="Percentuale 50 4 2 4" xfId="29218" xr:uid="{B0799143-30EA-4E59-8A2E-180B75130512}"/>
    <cellStyle name="Percentuale 50 4 2 5" xfId="17557" xr:uid="{D26166B3-64BA-4EA8-AFC8-F7BEAE5278FD}"/>
    <cellStyle name="Percentuale 50 4 3" xfId="9535" xr:uid="{9422620D-59F4-4953-835A-17BC3F842885}"/>
    <cellStyle name="Percentuale 50 4 3 2" xfId="29221" xr:uid="{CD60FD5A-CC65-4327-B94B-990EF20A1A6D}"/>
    <cellStyle name="Percentuale 50 4 4" xfId="29222" xr:uid="{4CB14E13-CDDF-45C8-BE5E-C8E70D9675D2}"/>
    <cellStyle name="Percentuale 50 4 5" xfId="29223" xr:uid="{C6A54CDA-9908-4994-99CA-3C03BD89F19B}"/>
    <cellStyle name="Percentuale 50 4 5 2" xfId="49351" xr:uid="{C2B5345E-BBDD-4D54-BCC4-F034139E6FB4}"/>
    <cellStyle name="Percentuale 50 4 6" xfId="29224" xr:uid="{9CF1B362-4594-4ABF-9309-042D474C03FB}"/>
    <cellStyle name="Percentuale 50 4 7" xfId="29217" xr:uid="{3A19D1EE-4FB9-466B-8F85-04FA1621778D}"/>
    <cellStyle name="Percentuale 50 5" xfId="2455" xr:uid="{00000000-0005-0000-0000-000035090000}"/>
    <cellStyle name="Percentuale 50 5 2" xfId="29226" xr:uid="{CDBEA1E1-4039-45DE-82BF-7DFC646453A1}"/>
    <cellStyle name="Percentuale 50 5 3" xfId="29227" xr:uid="{2622E111-0C70-4FCB-B27A-BF9ADF4439BD}"/>
    <cellStyle name="Percentuale 50 5 3 2" xfId="49352" xr:uid="{5963CF92-5227-41C0-BC74-D3EC0D68A1A9}"/>
    <cellStyle name="Percentuale 50 5 4" xfId="29228" xr:uid="{B28C8718-DD8A-4586-BB0A-1557A42AD1AE}"/>
    <cellStyle name="Percentuale 50 5 5" xfId="29225" xr:uid="{335C1545-26E6-41FD-95EE-EB05A78373F3}"/>
    <cellStyle name="Percentuale 50 6" xfId="4453" xr:uid="{C87B59BC-DD55-477C-9851-3F1DA0C48FF5}"/>
    <cellStyle name="Percentuale 50 6 2" xfId="9856" xr:uid="{9CD34476-2A5F-45FC-BAF2-3323618B77E8}"/>
    <cellStyle name="Percentuale 50 6 3" xfId="29229" xr:uid="{DAF99A25-F601-422C-BC22-A9BBA747DC3E}"/>
    <cellStyle name="Percentuale 50 7" xfId="29230" xr:uid="{FCBF5DBE-391E-4CA8-B621-052CB18050FD}"/>
    <cellStyle name="Percentuale 50 7 2" xfId="49353" xr:uid="{DE633855-103B-4B93-AEF3-FA4E6E477EE3}"/>
    <cellStyle name="Percentuale 50 8" xfId="29197" xr:uid="{D6FCAAD8-D245-4348-B7D4-A74386A1F1C0}"/>
    <cellStyle name="Percentuale 51" xfId="1154" xr:uid="{00000000-0005-0000-0000-000036090000}"/>
    <cellStyle name="Percentuale 51 2" xfId="1155" xr:uid="{00000000-0005-0000-0000-000037090000}"/>
    <cellStyle name="Percentuale 51 2 2" xfId="4454" xr:uid="{0161E5EC-29D0-4721-A1E9-A5036DEF8520}"/>
    <cellStyle name="Percentuale 51 2 2 2" xfId="13608" xr:uid="{28B8FB46-CAD3-45C4-AD9A-C968F316361A}"/>
    <cellStyle name="Percentuale 51 2 2 3" xfId="29233" xr:uid="{9962448A-7E88-4E69-90EB-34C87FA42854}"/>
    <cellStyle name="Percentuale 51 2 3" xfId="13346" xr:uid="{B783EE38-C0EA-4395-B9EE-AD3422C6E890}"/>
    <cellStyle name="Percentuale 51 2 3 2" xfId="29234" xr:uid="{C6F046EA-307F-4382-BF86-462B5216E047}"/>
    <cellStyle name="Percentuale 51 2 4" xfId="29235" xr:uid="{4CE1D7BE-74C9-45B4-99B0-CDBF3D5F59D1}"/>
    <cellStyle name="Percentuale 51 2 4 2" xfId="49354" xr:uid="{5560C2B0-2474-454E-8FAE-5FFD92C15CFF}"/>
    <cellStyle name="Percentuale 51 2 5" xfId="29236" xr:uid="{C309189B-0B2E-4049-B824-BA9832BDF3C1}"/>
    <cellStyle name="Percentuale 51 2 6" xfId="29232" xr:uid="{35B68524-9D7D-4691-804E-7348F44C040C}"/>
    <cellStyle name="Percentuale 51 3" xfId="1156" xr:uid="{00000000-0005-0000-0000-000038090000}"/>
    <cellStyle name="Percentuale 51 3 2" xfId="1157" xr:uid="{00000000-0005-0000-0000-000039090000}"/>
    <cellStyle name="Percentuale 51 3 2 2" xfId="2456" xr:uid="{00000000-0005-0000-0000-00003A090000}"/>
    <cellStyle name="Percentuale 51 3 2 2 2" xfId="29240" xr:uid="{A954B3DE-CA8F-4F44-ADDD-7422C153AEA0}"/>
    <cellStyle name="Percentuale 51 3 2 2 3" xfId="29239" xr:uid="{682D9B0B-E39F-4CD2-A5D9-C6B8A83DD9D3}"/>
    <cellStyle name="Percentuale 51 3 2 3" xfId="8163" xr:uid="{2FDF35E0-232C-4420-8E3D-E5D54858EDE0}"/>
    <cellStyle name="Percentuale 51 3 2 3 2" xfId="14162" xr:uid="{2FB542CF-DFC9-4988-83C2-3C460A66A503}"/>
    <cellStyle name="Percentuale 51 3 2 3 3" xfId="29241" xr:uid="{9D0490CF-D8E6-4261-BA03-0657945BEF35}"/>
    <cellStyle name="Percentuale 51 3 2 3 4" xfId="49355" xr:uid="{10B564F5-84EB-420A-B764-789FAEE5A962}"/>
    <cellStyle name="Percentuale 51 3 2 4" xfId="29242" xr:uid="{5681C81F-D9D9-4770-A746-8D080CB38B25}"/>
    <cellStyle name="Percentuale 51 3 2 5" xfId="29238" xr:uid="{CAA45650-ED26-4579-88A0-D40994CD9DA9}"/>
    <cellStyle name="Percentuale 51 3 3" xfId="4455" xr:uid="{EE04CF97-2153-42C9-8EF3-6B5C8D5A1591}"/>
    <cellStyle name="Percentuale 51 3 3 2" xfId="9536" xr:uid="{0AA10940-9ADB-4654-B9F9-60CB8A4620E6}"/>
    <cellStyle name="Percentuale 51 3 3 2 2" xfId="29244" xr:uid="{81E7C343-ED49-4139-93B4-1DD3D288B7C7}"/>
    <cellStyle name="Percentuale 51 3 3 3" xfId="29245" xr:uid="{E9466AD4-78FB-4617-9ED2-4BA6DC2C594B}"/>
    <cellStyle name="Percentuale 51 3 3 4" xfId="29246" xr:uid="{B8B358EE-8959-4AE9-9814-7B2FE94BE149}"/>
    <cellStyle name="Percentuale 51 3 3 4 2" xfId="49356" xr:uid="{7BD8BA9F-1E8A-4D48-B6D6-145FD0A26402}"/>
    <cellStyle name="Percentuale 51 3 3 5" xfId="29243" xr:uid="{A63DFEFA-070B-4101-B98E-56748584AAED}"/>
    <cellStyle name="Percentuale 51 3 4" xfId="4456" xr:uid="{D84EC765-5A93-415B-AEB7-4F5B04EBB4AA}"/>
    <cellStyle name="Percentuale 51 3 4 2" xfId="13823" xr:uid="{7EFF3BB6-4580-4405-87C4-3D4B8260C0EC}"/>
    <cellStyle name="Percentuale 51 3 4 3" xfId="29247" xr:uid="{0E83B20E-0FCE-4EFA-BC25-9D6241D0D74C}"/>
    <cellStyle name="Percentuale 51 3 5" xfId="11202" xr:uid="{BF03FAC3-682C-4C56-B918-1308C596BB4F}"/>
    <cellStyle name="Percentuale 51 3 5 2" xfId="29248" xr:uid="{F2704C35-ED9A-4D16-9B2E-3695AC3FA911}"/>
    <cellStyle name="Percentuale 51 3 6" xfId="29249" xr:uid="{191E8257-F22D-475C-865E-9F8847734310}"/>
    <cellStyle name="Percentuale 51 3 6 2" xfId="49357" xr:uid="{7E21F7DF-A2AC-47B1-A857-06101EA1DD77}"/>
    <cellStyle name="Percentuale 51 3 7" xfId="29250" xr:uid="{2DAACDD1-BD96-4F3B-835D-DA992F0B7BCF}"/>
    <cellStyle name="Percentuale 51 3 8" xfId="29237" xr:uid="{7ABAB820-B694-4757-B482-24FC78D0A757}"/>
    <cellStyle name="Percentuale 51 4" xfId="2457" xr:uid="{00000000-0005-0000-0000-00003B090000}"/>
    <cellStyle name="Percentuale 51 4 2" xfId="2458" xr:uid="{00000000-0005-0000-0000-00003C090000}"/>
    <cellStyle name="Percentuale 51 4 2 2" xfId="9537" xr:uid="{E34253E0-2AB8-4ECF-B373-945584911F68}"/>
    <cellStyle name="Percentuale 51 4 2 2 2" xfId="29253" xr:uid="{5E1AB884-2B47-4E5E-8E1B-2333D30C8433}"/>
    <cellStyle name="Percentuale 51 4 2 3" xfId="17948" xr:uid="{AFAF94D6-9307-4A3C-8947-354288944DEF}"/>
    <cellStyle name="Percentuale 51 4 2 3 2" xfId="29254" xr:uid="{26A46F6A-99DC-4D21-A24D-367B606BBC62}"/>
    <cellStyle name="Percentuale 51 4 2 4" xfId="29252" xr:uid="{3F1A9C14-DC04-45FD-B1E2-1ABE902A11D1}"/>
    <cellStyle name="Percentuale 51 4 2 5" xfId="17558" xr:uid="{7C661FA0-8A1C-4DCD-A1CD-E1BBD1043804}"/>
    <cellStyle name="Percentuale 51 4 3" xfId="9538" xr:uid="{522F633D-E377-4698-AEE3-60251B76C07A}"/>
    <cellStyle name="Percentuale 51 4 3 2" xfId="29255" xr:uid="{8DE9DF62-50C7-4938-AEBB-A5B2D5AFF9DA}"/>
    <cellStyle name="Percentuale 51 4 4" xfId="29256" xr:uid="{1CA08BD2-C1A2-4549-8749-6366F2E81F44}"/>
    <cellStyle name="Percentuale 51 4 5" xfId="29257" xr:uid="{B3A8ECC8-97E9-49F0-93D8-AB9F603BDFCF}"/>
    <cellStyle name="Percentuale 51 4 5 2" xfId="49358" xr:uid="{6912C0D9-4C69-4BA8-9847-4F71A68D8282}"/>
    <cellStyle name="Percentuale 51 4 6" xfId="29258" xr:uid="{5D6B90FC-910B-48CA-BD06-986B6B7CD59F}"/>
    <cellStyle name="Percentuale 51 4 7" xfId="29251" xr:uid="{F5D179CF-D84D-4E6F-8342-9AEA0A881F1C}"/>
    <cellStyle name="Percentuale 51 5" xfId="2459" xr:uid="{00000000-0005-0000-0000-00003D090000}"/>
    <cellStyle name="Percentuale 51 5 2" xfId="29260" xr:uid="{D0EB3C61-2FB6-4B43-BF19-151AB26AD87F}"/>
    <cellStyle name="Percentuale 51 5 3" xfId="29261" xr:uid="{FF431392-B991-4EBD-BC27-99CA3D42C1CC}"/>
    <cellStyle name="Percentuale 51 5 3 2" xfId="49359" xr:uid="{E9A5C8D0-DE5A-4482-8E28-E791D8B9EEB7}"/>
    <cellStyle name="Percentuale 51 5 4" xfId="29262" xr:uid="{2E0F1CD3-0C01-45C1-B956-4BFF4B60C98D}"/>
    <cellStyle name="Percentuale 51 5 5" xfId="29259" xr:uid="{C5D10629-4330-459F-88FD-D6667DFD9197}"/>
    <cellStyle name="Percentuale 51 6" xfId="4457" xr:uid="{5A1A967A-97F1-480D-9B37-7BE2A0CE0039}"/>
    <cellStyle name="Percentuale 51 6 2" xfId="9857" xr:uid="{056A130E-3D05-4496-B147-AC565DF949E9}"/>
    <cellStyle name="Percentuale 51 6 3" xfId="29263" xr:uid="{3AA84A3E-4397-48B3-B19C-593A225BECAC}"/>
    <cellStyle name="Percentuale 51 7" xfId="29264" xr:uid="{2783C303-BA59-4ADD-97F2-905F6EA9799C}"/>
    <cellStyle name="Percentuale 51 7 2" xfId="49360" xr:uid="{86E96D48-B144-479B-AECA-92F914DE0B11}"/>
    <cellStyle name="Percentuale 51 8" xfId="29231" xr:uid="{2D5DEBDF-DBD3-4353-BF68-29F2BF1FE197}"/>
    <cellStyle name="Percentuale 52" xfId="1158" xr:uid="{00000000-0005-0000-0000-00003E090000}"/>
    <cellStyle name="Percentuale 52 2" xfId="1159" xr:uid="{00000000-0005-0000-0000-00003F090000}"/>
    <cellStyle name="Percentuale 52 2 2" xfId="4458" xr:uid="{4BD7B718-94F2-4FC0-BA6A-D6626BD21034}"/>
    <cellStyle name="Percentuale 52 2 2 2" xfId="13609" xr:uid="{F999936B-E2C5-4AB2-8D9F-C425F52C6927}"/>
    <cellStyle name="Percentuale 52 2 2 3" xfId="29267" xr:uid="{0A08187B-1CC7-46A4-884F-08C75852320D}"/>
    <cellStyle name="Percentuale 52 2 3" xfId="13347" xr:uid="{34274DB2-79BA-436C-9ED6-BB77A158F840}"/>
    <cellStyle name="Percentuale 52 2 3 2" xfId="29268" xr:uid="{D54969E7-6AB6-44B1-BB44-2FA382F70E63}"/>
    <cellStyle name="Percentuale 52 2 4" xfId="29269" xr:uid="{2F4621A3-CA69-4B90-9DBB-90A91A5CB38B}"/>
    <cellStyle name="Percentuale 52 2 4 2" xfId="49361" xr:uid="{CD36F221-879A-4F4C-8B3C-61F9CB41F761}"/>
    <cellStyle name="Percentuale 52 2 5" xfId="29270" xr:uid="{9CF36773-323C-4102-B8D7-25C8915E8BE2}"/>
    <cellStyle name="Percentuale 52 2 6" xfId="29266" xr:uid="{C3159CE9-986E-46E9-AD6F-6A9584B76F8B}"/>
    <cellStyle name="Percentuale 52 3" xfId="1160" xr:uid="{00000000-0005-0000-0000-000040090000}"/>
    <cellStyle name="Percentuale 52 3 2" xfId="1161" xr:uid="{00000000-0005-0000-0000-000041090000}"/>
    <cellStyle name="Percentuale 52 3 2 2" xfId="2460" xr:uid="{00000000-0005-0000-0000-000042090000}"/>
    <cellStyle name="Percentuale 52 3 2 2 2" xfId="29274" xr:uid="{303AD431-A091-4E46-8FE2-8EE3008BF620}"/>
    <cellStyle name="Percentuale 52 3 2 2 3" xfId="29273" xr:uid="{19D321FC-B1E6-427C-B48D-C9CA9C51440C}"/>
    <cellStyle name="Percentuale 52 3 2 3" xfId="8164" xr:uid="{C3D9DBB3-31E4-478E-ACE6-A943261658A3}"/>
    <cellStyle name="Percentuale 52 3 2 3 2" xfId="14163" xr:uid="{E5D315DB-EF60-4079-8C41-219DC2D219BB}"/>
    <cellStyle name="Percentuale 52 3 2 3 3" xfId="29275" xr:uid="{5B93A273-4BDF-4EC3-8FC3-51421453817B}"/>
    <cellStyle name="Percentuale 52 3 2 3 4" xfId="49362" xr:uid="{6997AC09-8425-43CD-ADBE-DDC4C7715D36}"/>
    <cellStyle name="Percentuale 52 3 2 4" xfId="29276" xr:uid="{A5E04A6C-C067-4BBB-A87F-C1EDC141B13E}"/>
    <cellStyle name="Percentuale 52 3 2 5" xfId="29272" xr:uid="{2EA84B4E-C099-4577-9856-CE1CD5F299E4}"/>
    <cellStyle name="Percentuale 52 3 3" xfId="4459" xr:uid="{5AD33577-89EB-4739-85FA-A96EEE004D42}"/>
    <cellStyle name="Percentuale 52 3 3 2" xfId="9539" xr:uid="{385EC7ED-A36F-4BA9-A868-D25B1DA9435D}"/>
    <cellStyle name="Percentuale 52 3 3 2 2" xfId="29278" xr:uid="{6640D6DE-81BA-47EA-B41C-ED7B3664DCDC}"/>
    <cellStyle name="Percentuale 52 3 3 3" xfId="29279" xr:uid="{68650BC4-AF02-4F34-918B-FCAB916BE414}"/>
    <cellStyle name="Percentuale 52 3 3 4" xfId="29280" xr:uid="{23558092-9DD8-4581-A147-C097B8502C43}"/>
    <cellStyle name="Percentuale 52 3 3 4 2" xfId="49363" xr:uid="{2814B6C8-1144-40F6-BEE3-A280BCB38F54}"/>
    <cellStyle name="Percentuale 52 3 3 5" xfId="29277" xr:uid="{4F273A5F-BD8A-4220-9A33-705B8636986A}"/>
    <cellStyle name="Percentuale 52 3 4" xfId="4460" xr:uid="{610B74FE-D79D-4230-8123-00B0ED04DD83}"/>
    <cellStyle name="Percentuale 52 3 4 2" xfId="13824" xr:uid="{748B8452-B6A3-4910-ADBD-BFCA27A5E321}"/>
    <cellStyle name="Percentuale 52 3 4 3" xfId="29281" xr:uid="{82B77716-D280-4802-9025-26891B4D5346}"/>
    <cellStyle name="Percentuale 52 3 5" xfId="11100" xr:uid="{4BBFDD29-6A91-47F1-A333-D4A05333FE38}"/>
    <cellStyle name="Percentuale 52 3 5 2" xfId="29282" xr:uid="{77C31A92-25CA-4B6A-A035-86DDCC640790}"/>
    <cellStyle name="Percentuale 52 3 6" xfId="29283" xr:uid="{772E05CF-3FC5-4F9B-851C-A417FB1EDB37}"/>
    <cellStyle name="Percentuale 52 3 6 2" xfId="49364" xr:uid="{2EF2EBAF-B3DC-4751-A3B5-08743B5ECAB2}"/>
    <cellStyle name="Percentuale 52 3 7" xfId="29284" xr:uid="{DEDE028F-72E8-4536-AB42-D90A3053EE7D}"/>
    <cellStyle name="Percentuale 52 3 8" xfId="29271" xr:uid="{A7ACE4F5-4C60-458F-A8A6-D0556B50127E}"/>
    <cellStyle name="Percentuale 52 4" xfId="2461" xr:uid="{00000000-0005-0000-0000-000043090000}"/>
    <cellStyle name="Percentuale 52 4 2" xfId="2462" xr:uid="{00000000-0005-0000-0000-000044090000}"/>
    <cellStyle name="Percentuale 52 4 2 2" xfId="9540" xr:uid="{6D02BAAB-BE95-41D6-B223-8CB21BDABCC2}"/>
    <cellStyle name="Percentuale 52 4 2 2 2" xfId="29287" xr:uid="{DD65F352-8BDC-42FC-A14A-2425D69D4FF2}"/>
    <cellStyle name="Percentuale 52 4 2 3" xfId="17949" xr:uid="{58320E37-83CF-401F-BC65-2914930D4B51}"/>
    <cellStyle name="Percentuale 52 4 2 3 2" xfId="29288" xr:uid="{DFB81C71-0606-4082-8C36-C45EF219DC33}"/>
    <cellStyle name="Percentuale 52 4 2 4" xfId="29286" xr:uid="{5C08CF35-7685-4FB7-A91D-A102C6EE8DC6}"/>
    <cellStyle name="Percentuale 52 4 2 5" xfId="17559" xr:uid="{A6C0C789-3A3F-4AED-B751-18CCC2FEC4AA}"/>
    <cellStyle name="Percentuale 52 4 3" xfId="9541" xr:uid="{201155A2-5BE3-47FD-92DE-D53CA2348E97}"/>
    <cellStyle name="Percentuale 52 4 3 2" xfId="29289" xr:uid="{1F91F81B-7A03-4414-9A96-AA13526DD536}"/>
    <cellStyle name="Percentuale 52 4 4" xfId="29290" xr:uid="{0A80A0F7-65DF-4F89-B519-B3F03E8A2FF8}"/>
    <cellStyle name="Percentuale 52 4 5" xfId="29291" xr:uid="{460FCD85-4547-41A7-8A7D-D7014F63EAD4}"/>
    <cellStyle name="Percentuale 52 4 5 2" xfId="49365" xr:uid="{A8702845-7F35-4FDC-A4DE-AF3F6FDD6072}"/>
    <cellStyle name="Percentuale 52 4 6" xfId="29292" xr:uid="{113EC50D-789A-4D87-A746-B25CA3AEC795}"/>
    <cellStyle name="Percentuale 52 4 7" xfId="29285" xr:uid="{C531900C-CABA-4F6F-8F2D-F858A92B42B0}"/>
    <cellStyle name="Percentuale 52 5" xfId="2463" xr:uid="{00000000-0005-0000-0000-000045090000}"/>
    <cellStyle name="Percentuale 52 5 2" xfId="29294" xr:uid="{DE66C77F-4E8E-4554-9B9F-710343029361}"/>
    <cellStyle name="Percentuale 52 5 3" xfId="29295" xr:uid="{FC82C8BC-29C5-48EE-99CF-10B4D37B0EC7}"/>
    <cellStyle name="Percentuale 52 5 3 2" xfId="49366" xr:uid="{1213AA13-E244-41D9-8860-0091993BBEF2}"/>
    <cellStyle name="Percentuale 52 5 4" xfId="29296" xr:uid="{C3333CE4-4AFA-49BF-BA6C-6AD5752B9F75}"/>
    <cellStyle name="Percentuale 52 5 5" xfId="29293" xr:uid="{2DCDEB15-1311-4F16-AC00-D2B7FF8E46A2}"/>
    <cellStyle name="Percentuale 52 6" xfId="4461" xr:uid="{B246CC44-E1D8-4B9C-91CB-09C8BBEE464F}"/>
    <cellStyle name="Percentuale 52 6 2" xfId="9858" xr:uid="{2EB0B865-8A1C-48EA-AC30-307B12A37699}"/>
    <cellStyle name="Percentuale 52 6 3" xfId="29297" xr:uid="{6EA1956D-EAFB-4ED3-B03D-D2EAA3C54605}"/>
    <cellStyle name="Percentuale 52 7" xfId="29298" xr:uid="{624A3841-200A-4977-9D3D-78BCEBFAB543}"/>
    <cellStyle name="Percentuale 52 7 2" xfId="49367" xr:uid="{F3C1BFE4-AB95-486D-BCE8-D4BC1DA2F3BC}"/>
    <cellStyle name="Percentuale 52 8" xfId="29265" xr:uid="{792F089C-1C01-4258-B0A8-1D942CCFDD13}"/>
    <cellStyle name="Percentuale 53" xfId="1162" xr:uid="{00000000-0005-0000-0000-000046090000}"/>
    <cellStyle name="Percentuale 53 2" xfId="1163" xr:uid="{00000000-0005-0000-0000-000047090000}"/>
    <cellStyle name="Percentuale 53 2 2" xfId="4462" xr:uid="{61903179-40AF-436F-9F66-4D48965D5CE7}"/>
    <cellStyle name="Percentuale 53 2 2 2" xfId="13610" xr:uid="{52EF19C3-FB8C-4E7D-AA2D-E54C51AC3CD1}"/>
    <cellStyle name="Percentuale 53 2 2 3" xfId="29301" xr:uid="{775A31D8-F15E-45BC-939E-ACE45650B092}"/>
    <cellStyle name="Percentuale 53 2 3" xfId="13348" xr:uid="{05E3249C-1B39-4A47-9728-6720BD9A14FB}"/>
    <cellStyle name="Percentuale 53 2 3 2" xfId="29302" xr:uid="{F23DC505-DDF2-4C05-BCBC-61F5528C3886}"/>
    <cellStyle name="Percentuale 53 2 4" xfId="29303" xr:uid="{602F8E92-7AC0-4324-99C0-443C1D6FB4D4}"/>
    <cellStyle name="Percentuale 53 2 4 2" xfId="49368" xr:uid="{E23A53F8-6FCA-4CAD-B92E-FFBE6973AD96}"/>
    <cellStyle name="Percentuale 53 2 5" xfId="29304" xr:uid="{170A2D5A-8B4F-427F-ADC5-BA4D07D009A3}"/>
    <cellStyle name="Percentuale 53 2 6" xfId="29300" xr:uid="{A2EB01ED-B0A4-4D3F-AD76-B74C2B9CA7C0}"/>
    <cellStyle name="Percentuale 53 3" xfId="1164" xr:uid="{00000000-0005-0000-0000-000048090000}"/>
    <cellStyle name="Percentuale 53 3 2" xfId="1165" xr:uid="{00000000-0005-0000-0000-000049090000}"/>
    <cellStyle name="Percentuale 53 3 2 2" xfId="2464" xr:uid="{00000000-0005-0000-0000-00004A090000}"/>
    <cellStyle name="Percentuale 53 3 2 2 2" xfId="29308" xr:uid="{E999B711-07E9-44D4-99DA-2AC2E006DB74}"/>
    <cellStyle name="Percentuale 53 3 2 2 3" xfId="29307" xr:uid="{FEFA5A69-F6BD-430E-8470-040D515EAD39}"/>
    <cellStyle name="Percentuale 53 3 2 3" xfId="8165" xr:uid="{384A91A4-233B-4177-AABE-A97790E95910}"/>
    <cellStyle name="Percentuale 53 3 2 3 2" xfId="14164" xr:uid="{B939EFC4-91E5-417D-8C08-1B68C711FD7B}"/>
    <cellStyle name="Percentuale 53 3 2 3 3" xfId="29309" xr:uid="{7118D24E-9DE5-4265-97A6-A4E8A376F209}"/>
    <cellStyle name="Percentuale 53 3 2 3 4" xfId="49369" xr:uid="{F3CC97B5-400F-438A-B48F-E9C57752A4F7}"/>
    <cellStyle name="Percentuale 53 3 2 4" xfId="29310" xr:uid="{DD587B54-3BB7-47A4-8ADE-928425190C8A}"/>
    <cellStyle name="Percentuale 53 3 2 5" xfId="29306" xr:uid="{72228C5C-9F66-4962-A2C0-9FAC4E5CDFEC}"/>
    <cellStyle name="Percentuale 53 3 3" xfId="4463" xr:uid="{73EEBFFD-F94D-4600-A89A-9102246D6226}"/>
    <cellStyle name="Percentuale 53 3 3 2" xfId="9542" xr:uid="{509FE8C9-3551-4C60-9350-CE498AEA55E4}"/>
    <cellStyle name="Percentuale 53 3 3 2 2" xfId="29312" xr:uid="{C87E4BA9-1BF8-4A67-8947-EEA6C37ED918}"/>
    <cellStyle name="Percentuale 53 3 3 3" xfId="29313" xr:uid="{C5C06BA3-82D2-48A2-AB2F-4DE5F628AC66}"/>
    <cellStyle name="Percentuale 53 3 3 4" xfId="29314" xr:uid="{109067E0-C59F-4A40-8AF9-A9AEA41AA2D7}"/>
    <cellStyle name="Percentuale 53 3 3 4 2" xfId="49370" xr:uid="{599D0218-5871-43EA-B0EF-A12D05E0D71D}"/>
    <cellStyle name="Percentuale 53 3 3 5" xfId="29311" xr:uid="{3EF15F16-168E-4C72-810F-7431A3117EC3}"/>
    <cellStyle name="Percentuale 53 3 4" xfId="4464" xr:uid="{A480B3C7-376C-4DB9-9A33-2F857A572DAD}"/>
    <cellStyle name="Percentuale 53 3 4 2" xfId="13825" xr:uid="{6DD83D50-363E-4192-B65A-C145F0AF6106}"/>
    <cellStyle name="Percentuale 53 3 4 3" xfId="29315" xr:uid="{A32AEB8D-A7E9-4B24-ACB5-BBC2D680F89F}"/>
    <cellStyle name="Percentuale 53 3 5" xfId="11149" xr:uid="{46C6697D-CEBC-4AB8-9683-2FC64A1C8ACD}"/>
    <cellStyle name="Percentuale 53 3 5 2" xfId="29316" xr:uid="{5BF53576-E84F-44A0-B12C-1BD24FCD87CB}"/>
    <cellStyle name="Percentuale 53 3 6" xfId="29317" xr:uid="{908C3E74-8457-4D70-822F-190CC883D078}"/>
    <cellStyle name="Percentuale 53 3 6 2" xfId="49371" xr:uid="{F14D5CC6-B720-425F-9A9C-26FB8E8329FC}"/>
    <cellStyle name="Percentuale 53 3 7" xfId="29318" xr:uid="{BC498B31-2EBF-40A8-A49F-243D0B46EDAD}"/>
    <cellStyle name="Percentuale 53 3 8" xfId="29305" xr:uid="{CE7F98DC-3376-478E-9A6F-FFAE17E74FD2}"/>
    <cellStyle name="Percentuale 53 4" xfId="2465" xr:uid="{00000000-0005-0000-0000-00004B090000}"/>
    <cellStyle name="Percentuale 53 4 2" xfId="2466" xr:uid="{00000000-0005-0000-0000-00004C090000}"/>
    <cellStyle name="Percentuale 53 4 2 2" xfId="9543" xr:uid="{BABB92F4-5DDE-41E8-804F-E99322A9D42B}"/>
    <cellStyle name="Percentuale 53 4 2 2 2" xfId="29321" xr:uid="{82B86100-5CDE-4867-A7B9-0C713304ABDE}"/>
    <cellStyle name="Percentuale 53 4 2 3" xfId="17950" xr:uid="{28E98D15-783E-46F7-BC5B-C3FF655C30B2}"/>
    <cellStyle name="Percentuale 53 4 2 3 2" xfId="29322" xr:uid="{9CBC0E8E-985F-4F56-807B-6DAEDE55D5FF}"/>
    <cellStyle name="Percentuale 53 4 2 4" xfId="29320" xr:uid="{9C785E75-4F3D-4D70-BFCB-6EEC5B2C9056}"/>
    <cellStyle name="Percentuale 53 4 2 5" xfId="17560" xr:uid="{8CC2E5B4-D8FE-484D-85EE-0B132065B95E}"/>
    <cellStyle name="Percentuale 53 4 3" xfId="9544" xr:uid="{3A3BF43F-5922-4BB8-BD3A-263469CD3F71}"/>
    <cellStyle name="Percentuale 53 4 3 2" xfId="29323" xr:uid="{B6949EEA-282F-4A6B-980D-E9E40EEC34DD}"/>
    <cellStyle name="Percentuale 53 4 4" xfId="29324" xr:uid="{0066B84C-E92C-42E1-8059-490777D1191D}"/>
    <cellStyle name="Percentuale 53 4 5" xfId="29325" xr:uid="{FD4973C9-BABB-4609-97C1-B8A3E97FF3C1}"/>
    <cellStyle name="Percentuale 53 4 5 2" xfId="49372" xr:uid="{B46D378F-8FC7-4AE9-B2A9-7AC6728AD3FA}"/>
    <cellStyle name="Percentuale 53 4 6" xfId="29326" xr:uid="{C54EBCAB-D68C-4B26-B829-D90A0450AD39}"/>
    <cellStyle name="Percentuale 53 4 7" xfId="29319" xr:uid="{964A1254-0D91-4FB2-8B31-5A7618FB77FD}"/>
    <cellStyle name="Percentuale 53 5" xfId="2467" xr:uid="{00000000-0005-0000-0000-00004D090000}"/>
    <cellStyle name="Percentuale 53 5 2" xfId="29328" xr:uid="{E95F4CB1-16B2-47C4-8A36-BD4425623EA1}"/>
    <cellStyle name="Percentuale 53 5 3" xfId="29329" xr:uid="{5C394145-B4A0-42A8-9834-A3505DB1E814}"/>
    <cellStyle name="Percentuale 53 5 3 2" xfId="49373" xr:uid="{AAD55F5A-AD7E-4683-9538-61B88038FB28}"/>
    <cellStyle name="Percentuale 53 5 4" xfId="29330" xr:uid="{2E98C624-0EDE-4BD9-9548-00E4BEF6CD33}"/>
    <cellStyle name="Percentuale 53 5 5" xfId="29327" xr:uid="{1CC29F7A-E6BD-4EA2-9EB6-1CC4520EBF2A}"/>
    <cellStyle name="Percentuale 53 6" xfId="4465" xr:uid="{6BB39013-892E-48F3-BEE5-BB1EBF0493BD}"/>
    <cellStyle name="Percentuale 53 6 2" xfId="9859" xr:uid="{53E63DA0-45AC-429D-889C-3BB51BE977D5}"/>
    <cellStyle name="Percentuale 53 6 3" xfId="29331" xr:uid="{EB60F69F-1DD3-4F08-924F-37913E819322}"/>
    <cellStyle name="Percentuale 53 7" xfId="29332" xr:uid="{1763E743-BC81-4FF7-9E03-0EFAEB86283B}"/>
    <cellStyle name="Percentuale 53 7 2" xfId="49374" xr:uid="{42F12CBF-F43F-4666-BB83-83249C99F6E7}"/>
    <cellStyle name="Percentuale 53 8" xfId="29299" xr:uid="{0F78D449-E2A8-4B93-B949-3380479A847A}"/>
    <cellStyle name="Percentuale 54" xfId="1166" xr:uid="{00000000-0005-0000-0000-00004E090000}"/>
    <cellStyle name="Percentuale 54 2" xfId="1167" xr:uid="{00000000-0005-0000-0000-00004F090000}"/>
    <cellStyle name="Percentuale 54 2 2" xfId="4466" xr:uid="{9CB51E58-AE54-4921-B5AE-AD6820279209}"/>
    <cellStyle name="Percentuale 54 2 2 2" xfId="13611" xr:uid="{94433352-86B8-4F09-8D8E-C367CFDBEB76}"/>
    <cellStyle name="Percentuale 54 2 2 3" xfId="29335" xr:uid="{24AD89DA-287A-448E-9E98-8CA24D3BFFC6}"/>
    <cellStyle name="Percentuale 54 2 3" xfId="13349" xr:uid="{6E89F56E-C5E0-4762-BEE9-1B460F7714BC}"/>
    <cellStyle name="Percentuale 54 2 3 2" xfId="29336" xr:uid="{19E2275C-8CB8-45B5-8E93-F818F4D85FFC}"/>
    <cellStyle name="Percentuale 54 2 4" xfId="29337" xr:uid="{91AD2FC3-B4CF-4E0A-893F-0A45D37F8050}"/>
    <cellStyle name="Percentuale 54 2 4 2" xfId="49375" xr:uid="{CE21182A-DE12-4665-9962-173E069B99F3}"/>
    <cellStyle name="Percentuale 54 2 5" xfId="29338" xr:uid="{CD6BB20A-B9D2-4B19-A0A1-C13460704EB5}"/>
    <cellStyle name="Percentuale 54 2 6" xfId="29334" xr:uid="{EADF3066-9783-4265-A140-EC52458D650B}"/>
    <cellStyle name="Percentuale 54 3" xfId="1168" xr:uid="{00000000-0005-0000-0000-000050090000}"/>
    <cellStyle name="Percentuale 54 3 2" xfId="1169" xr:uid="{00000000-0005-0000-0000-000051090000}"/>
    <cellStyle name="Percentuale 54 3 2 2" xfId="2468" xr:uid="{00000000-0005-0000-0000-000052090000}"/>
    <cellStyle name="Percentuale 54 3 2 2 2" xfId="29342" xr:uid="{F7C60E93-84DE-45FD-8B32-7EC7778A5942}"/>
    <cellStyle name="Percentuale 54 3 2 2 3" xfId="29341" xr:uid="{9CD248D5-822F-4FFB-A2CC-B18A21EA96B6}"/>
    <cellStyle name="Percentuale 54 3 2 3" xfId="8166" xr:uid="{8A18DE06-8251-42CF-B7B4-F08F50D59A43}"/>
    <cellStyle name="Percentuale 54 3 2 3 2" xfId="14165" xr:uid="{1FB27557-972D-469B-A343-49B8BA578798}"/>
    <cellStyle name="Percentuale 54 3 2 3 3" xfId="29343" xr:uid="{460D7558-1022-4E1F-8661-FD64C8A301D3}"/>
    <cellStyle name="Percentuale 54 3 2 3 4" xfId="49376" xr:uid="{65B3961E-B305-4BE1-8845-B11B7B587342}"/>
    <cellStyle name="Percentuale 54 3 2 4" xfId="29344" xr:uid="{1DEBA949-EAEF-41BD-A164-D7881F8AAE76}"/>
    <cellStyle name="Percentuale 54 3 2 5" xfId="29340" xr:uid="{AC59A862-AEB5-4DA7-B726-B2A4B419A436}"/>
    <cellStyle name="Percentuale 54 3 3" xfId="4467" xr:uid="{1AFC0FB9-37D3-41E3-929E-2571C5F13EBD}"/>
    <cellStyle name="Percentuale 54 3 3 2" xfId="9545" xr:uid="{97861677-51E9-4313-8EC1-F3DA2EFEE9E2}"/>
    <cellStyle name="Percentuale 54 3 3 2 2" xfId="29346" xr:uid="{3CC56120-0C68-4EBC-BCF0-32F0284B5A72}"/>
    <cellStyle name="Percentuale 54 3 3 3" xfId="29347" xr:uid="{27F4D882-6042-4A8D-A488-6178A50774E8}"/>
    <cellStyle name="Percentuale 54 3 3 4" xfId="29348" xr:uid="{71A54F45-87F2-4A38-97A1-9E2B9BF53E5F}"/>
    <cellStyle name="Percentuale 54 3 3 4 2" xfId="49377" xr:uid="{3296F168-2962-4CA6-977F-5018703AE3C1}"/>
    <cellStyle name="Percentuale 54 3 3 5" xfId="29345" xr:uid="{5AE3C42F-9204-4749-871D-1ACDEB47C339}"/>
    <cellStyle name="Percentuale 54 3 4" xfId="4468" xr:uid="{93EA9C93-C781-475A-8DD1-937844A4F1CC}"/>
    <cellStyle name="Percentuale 54 3 4 2" xfId="13826" xr:uid="{7AEA055F-8D6F-40FC-B538-E2E4999CD42D}"/>
    <cellStyle name="Percentuale 54 3 4 3" xfId="29349" xr:uid="{05295746-8DED-4D2B-92FF-0B9B5214ACC2}"/>
    <cellStyle name="Percentuale 54 3 5" xfId="12444" xr:uid="{23B90E1A-125E-4A28-93A5-1E6EA6076233}"/>
    <cellStyle name="Percentuale 54 3 5 2" xfId="29350" xr:uid="{4D99B90F-4944-452D-8226-CC13B4C812E5}"/>
    <cellStyle name="Percentuale 54 3 6" xfId="29351" xr:uid="{9D09921A-5FA1-4BFF-A4BC-7E06606B9B71}"/>
    <cellStyle name="Percentuale 54 3 6 2" xfId="49378" xr:uid="{795290F1-047D-41D8-9550-BB8D50E41391}"/>
    <cellStyle name="Percentuale 54 3 7" xfId="29352" xr:uid="{B7295BA0-F8BB-49BC-9C5E-F469B7F30A58}"/>
    <cellStyle name="Percentuale 54 3 8" xfId="29339" xr:uid="{0239128C-402A-4454-97B0-97EEE89CBAAD}"/>
    <cellStyle name="Percentuale 54 4" xfId="2469" xr:uid="{00000000-0005-0000-0000-000053090000}"/>
    <cellStyle name="Percentuale 54 4 2" xfId="2470" xr:uid="{00000000-0005-0000-0000-000054090000}"/>
    <cellStyle name="Percentuale 54 4 2 2" xfId="9546" xr:uid="{C18F473C-BD26-4281-8777-0E64261946F2}"/>
    <cellStyle name="Percentuale 54 4 2 2 2" xfId="29355" xr:uid="{5E2C58B3-CC3E-4282-A9BE-793CB1582018}"/>
    <cellStyle name="Percentuale 54 4 2 3" xfId="17951" xr:uid="{03086B8F-E982-452F-9C73-49699B9D7F1D}"/>
    <cellStyle name="Percentuale 54 4 2 3 2" xfId="29356" xr:uid="{62539E07-30FA-4459-9B4E-7FA164F48D63}"/>
    <cellStyle name="Percentuale 54 4 2 4" xfId="29354" xr:uid="{E5569C75-0F62-4C59-8356-8D78B2AF9EB9}"/>
    <cellStyle name="Percentuale 54 4 2 5" xfId="17561" xr:uid="{F0C53031-B8C3-466F-BC6A-91D09E7710B8}"/>
    <cellStyle name="Percentuale 54 4 3" xfId="9547" xr:uid="{CF048925-CFCA-4A82-9087-E920207B0E60}"/>
    <cellStyle name="Percentuale 54 4 3 2" xfId="29357" xr:uid="{A203A486-FD4C-4DA1-827B-1191BC09E9B4}"/>
    <cellStyle name="Percentuale 54 4 4" xfId="29358" xr:uid="{00A54A84-2A84-418F-8A03-299F592C561D}"/>
    <cellStyle name="Percentuale 54 4 5" xfId="29359" xr:uid="{25D19E1A-531C-411D-BE42-CFE22AA09027}"/>
    <cellStyle name="Percentuale 54 4 5 2" xfId="49379" xr:uid="{66C3FE1F-B3C9-46B0-9499-A814E49EEA8C}"/>
    <cellStyle name="Percentuale 54 4 6" xfId="29360" xr:uid="{C3BDF8B7-A9EA-482E-A871-4B871E005C64}"/>
    <cellStyle name="Percentuale 54 4 7" xfId="29353" xr:uid="{6A40EBB1-4A42-46A8-A24A-9D19125F53DC}"/>
    <cellStyle name="Percentuale 54 5" xfId="2471" xr:uid="{00000000-0005-0000-0000-000055090000}"/>
    <cellStyle name="Percentuale 54 5 2" xfId="29362" xr:uid="{6EEF35B1-1302-480F-9B7C-2F33939B8F10}"/>
    <cellStyle name="Percentuale 54 5 3" xfId="29363" xr:uid="{E6B3BBAB-1D28-492A-B1FE-EADDBAF2A9DF}"/>
    <cellStyle name="Percentuale 54 5 3 2" xfId="49380" xr:uid="{8FE01A1C-DC8F-42E8-8C8C-14A3114FE397}"/>
    <cellStyle name="Percentuale 54 5 4" xfId="29364" xr:uid="{28433A82-C817-400C-A6B0-3EE6C0C42483}"/>
    <cellStyle name="Percentuale 54 5 5" xfId="29361" xr:uid="{65E57F4D-2243-440D-B70B-7F744EA5F226}"/>
    <cellStyle name="Percentuale 54 6" xfId="4469" xr:uid="{6CECE403-2B12-45D1-88B1-DFF6DD22191D}"/>
    <cellStyle name="Percentuale 54 6 2" xfId="9860" xr:uid="{01DAEAA4-E1E3-444E-AC12-DEF030E13631}"/>
    <cellStyle name="Percentuale 54 6 3" xfId="29365" xr:uid="{D1158EB6-7F34-4A92-BA48-6EB14AA8BC16}"/>
    <cellStyle name="Percentuale 54 7" xfId="29366" xr:uid="{EC99510C-FDDD-4524-BA42-2517CE395F55}"/>
    <cellStyle name="Percentuale 54 7 2" xfId="49381" xr:uid="{2F9D93D0-C257-4580-8989-966E8A9AA970}"/>
    <cellStyle name="Percentuale 54 8" xfId="29333" xr:uid="{3507E3D6-4EE9-4F57-9F5D-4F5BB40C6C59}"/>
    <cellStyle name="Percentuale 55" xfId="1170" xr:uid="{00000000-0005-0000-0000-000056090000}"/>
    <cellStyle name="Percentuale 55 2" xfId="1171" xr:uid="{00000000-0005-0000-0000-000057090000}"/>
    <cellStyle name="Percentuale 55 2 2" xfId="4470" xr:uid="{F977554A-A1E0-4371-A64D-8DFB23416A3E}"/>
    <cellStyle name="Percentuale 55 2 2 2" xfId="13612" xr:uid="{261B27C8-8A21-47D6-B39B-EE45CFF5B369}"/>
    <cellStyle name="Percentuale 55 2 2 3" xfId="29369" xr:uid="{00CD2697-4A54-47A5-A545-492143AD4283}"/>
    <cellStyle name="Percentuale 55 2 3" xfId="13350" xr:uid="{2E6CADAC-B32C-48C8-BD11-8A304F92F864}"/>
    <cellStyle name="Percentuale 55 2 3 2" xfId="29370" xr:uid="{7B6A6DE1-8E37-4B64-B4EA-D9027F6D8C91}"/>
    <cellStyle name="Percentuale 55 2 4" xfId="29371" xr:uid="{5A5E256A-27B8-46C2-8D3A-45C931EC4852}"/>
    <cellStyle name="Percentuale 55 2 4 2" xfId="49382" xr:uid="{9A42E6A7-E15B-46EF-8F42-B3FFCFC0CC75}"/>
    <cellStyle name="Percentuale 55 2 5" xfId="29372" xr:uid="{B1E4E81C-6249-4F77-9E5B-606C02118AD1}"/>
    <cellStyle name="Percentuale 55 2 6" xfId="29368" xr:uid="{161F9FB9-6F21-4882-900D-0EB9E3C3366A}"/>
    <cellStyle name="Percentuale 55 3" xfId="1172" xr:uid="{00000000-0005-0000-0000-000058090000}"/>
    <cellStyle name="Percentuale 55 3 2" xfId="1173" xr:uid="{00000000-0005-0000-0000-000059090000}"/>
    <cellStyle name="Percentuale 55 3 2 2" xfId="2472" xr:uid="{00000000-0005-0000-0000-00005A090000}"/>
    <cellStyle name="Percentuale 55 3 2 2 2" xfId="29376" xr:uid="{768CD86E-3D48-4C37-AFBA-44B680BBAFEA}"/>
    <cellStyle name="Percentuale 55 3 2 2 3" xfId="29375" xr:uid="{E62B20CE-EABD-47C3-9EC8-989EBA0AA855}"/>
    <cellStyle name="Percentuale 55 3 2 3" xfId="8167" xr:uid="{FB77503F-077B-4B86-8987-69FCE2FC54C3}"/>
    <cellStyle name="Percentuale 55 3 2 3 2" xfId="14166" xr:uid="{72E1973D-8FBA-4447-9319-4CC88AC67D21}"/>
    <cellStyle name="Percentuale 55 3 2 3 3" xfId="29377" xr:uid="{E691DAAC-29C6-4DE3-B18C-A2EACAB3A480}"/>
    <cellStyle name="Percentuale 55 3 2 3 4" xfId="49383" xr:uid="{9BFA03E0-882E-48AF-B43A-EA8245E6D92B}"/>
    <cellStyle name="Percentuale 55 3 2 4" xfId="29378" xr:uid="{021F088F-BA89-401E-B332-24C10C5F7C0F}"/>
    <cellStyle name="Percentuale 55 3 2 5" xfId="29374" xr:uid="{1CB7A934-1FCB-42CB-82CD-792858577D95}"/>
    <cellStyle name="Percentuale 55 3 3" xfId="4471" xr:uid="{C2FFB8A8-5D03-4ED2-BE07-006F14C9E749}"/>
    <cellStyle name="Percentuale 55 3 3 2" xfId="9548" xr:uid="{D2BE6383-12A6-40CD-BFA9-09FA1A02A912}"/>
    <cellStyle name="Percentuale 55 3 3 2 2" xfId="29380" xr:uid="{8E4400AA-D812-442D-9DBF-B0C97D00B52A}"/>
    <cellStyle name="Percentuale 55 3 3 3" xfId="29381" xr:uid="{13693C22-B3F7-4F29-943D-1D3E402A98A2}"/>
    <cellStyle name="Percentuale 55 3 3 4" xfId="29382" xr:uid="{5692E7B7-3433-42A6-87CA-8E1829CA4BCC}"/>
    <cellStyle name="Percentuale 55 3 3 4 2" xfId="49384" xr:uid="{B737618A-C51F-403B-A3CE-3867D36D9F0B}"/>
    <cellStyle name="Percentuale 55 3 3 5" xfId="29379" xr:uid="{69DFFAA7-A253-4173-9447-812039E0C9A1}"/>
    <cellStyle name="Percentuale 55 3 4" xfId="4472" xr:uid="{001A7FF7-02E7-4400-AC99-85F2DD4CE3F9}"/>
    <cellStyle name="Percentuale 55 3 4 2" xfId="13827" xr:uid="{0C7065DC-9937-4B5F-B47E-F9539290E51D}"/>
    <cellStyle name="Percentuale 55 3 4 3" xfId="29383" xr:uid="{4D632E55-618D-4D09-80CC-C0F69F6F7B37}"/>
    <cellStyle name="Percentuale 55 3 5" xfId="11091" xr:uid="{BDD772E3-D91E-4871-9968-8B8BD03DCD94}"/>
    <cellStyle name="Percentuale 55 3 5 2" xfId="29384" xr:uid="{17B8D922-63D8-4B89-9666-6CB2E705BEC8}"/>
    <cellStyle name="Percentuale 55 3 6" xfId="29385" xr:uid="{1775C313-FB47-475D-AFFC-BB7E40B799EB}"/>
    <cellStyle name="Percentuale 55 3 6 2" xfId="49385" xr:uid="{0DAC025D-7EF3-4DAD-8637-B576E9301373}"/>
    <cellStyle name="Percentuale 55 3 7" xfId="29386" xr:uid="{4B042283-080E-4477-A199-F04C3DCF8ED8}"/>
    <cellStyle name="Percentuale 55 3 8" xfId="29373" xr:uid="{3409EB22-7DE7-4AFF-BAB5-9D1A44CACA75}"/>
    <cellStyle name="Percentuale 55 4" xfId="2473" xr:uid="{00000000-0005-0000-0000-00005B090000}"/>
    <cellStyle name="Percentuale 55 4 2" xfId="2474" xr:uid="{00000000-0005-0000-0000-00005C090000}"/>
    <cellStyle name="Percentuale 55 4 2 2" xfId="9549" xr:uid="{53AC282B-D0C5-46D8-9016-99D47B8C70DA}"/>
    <cellStyle name="Percentuale 55 4 2 2 2" xfId="29389" xr:uid="{1D4D563B-D18A-4B99-8280-A972172BA04B}"/>
    <cellStyle name="Percentuale 55 4 2 3" xfId="17952" xr:uid="{2F0C6D83-D131-474F-BDBA-B4B438FF6D72}"/>
    <cellStyle name="Percentuale 55 4 2 3 2" xfId="29390" xr:uid="{D56ECE58-1476-442F-A191-FDA5BEEE52F5}"/>
    <cellStyle name="Percentuale 55 4 2 4" xfId="29388" xr:uid="{46E1E8D3-FB4C-4E58-9F44-AAC570C859D3}"/>
    <cellStyle name="Percentuale 55 4 2 5" xfId="17562" xr:uid="{075CAC2F-973D-4840-ACD4-0FB863C85BEA}"/>
    <cellStyle name="Percentuale 55 4 3" xfId="9550" xr:uid="{76A31C9A-6C3D-4A2D-B176-44676B2883B4}"/>
    <cellStyle name="Percentuale 55 4 3 2" xfId="29391" xr:uid="{48553474-AA16-4B8C-A6A0-64D4CCC71F24}"/>
    <cellStyle name="Percentuale 55 4 4" xfId="29392" xr:uid="{81C32C01-C1BA-4A86-BC3A-F03BDF2F97D9}"/>
    <cellStyle name="Percentuale 55 4 5" xfId="29393" xr:uid="{A771B145-0329-42C8-B99A-8C74D266F5FA}"/>
    <cellStyle name="Percentuale 55 4 5 2" xfId="49386" xr:uid="{DF33CAC7-48AD-4AD9-A5F8-4415AB6B410D}"/>
    <cellStyle name="Percentuale 55 4 6" xfId="29394" xr:uid="{85BBAF57-7211-475E-995D-4BBF6608B43C}"/>
    <cellStyle name="Percentuale 55 4 7" xfId="29387" xr:uid="{BC63B229-71AF-49E8-BAEE-9547D3F638F7}"/>
    <cellStyle name="Percentuale 55 5" xfId="2475" xr:uid="{00000000-0005-0000-0000-00005D090000}"/>
    <cellStyle name="Percentuale 55 5 2" xfId="29396" xr:uid="{FC0E9DE3-07F8-4104-B72D-12E979284010}"/>
    <cellStyle name="Percentuale 55 5 3" xfId="29397" xr:uid="{2BC90B33-F5AE-4B3E-BC32-1B1C10D20CBD}"/>
    <cellStyle name="Percentuale 55 5 3 2" xfId="49387" xr:uid="{E81B7267-8C60-465C-AA6D-95A16EB7941E}"/>
    <cellStyle name="Percentuale 55 5 4" xfId="29398" xr:uid="{E910BCD5-6186-495A-884F-BB7823126896}"/>
    <cellStyle name="Percentuale 55 5 5" xfId="29395" xr:uid="{FD72D246-B088-42A6-A716-3246C94A3790}"/>
    <cellStyle name="Percentuale 55 6" xfId="4473" xr:uid="{5CBE3484-BF68-442A-9E8D-E89ABD37FFB0}"/>
    <cellStyle name="Percentuale 55 6 2" xfId="9861" xr:uid="{42CA5658-E0E5-47A9-80B9-976237AACDB8}"/>
    <cellStyle name="Percentuale 55 6 3" xfId="29399" xr:uid="{B836F89D-CDFD-413C-A0CE-D51AE8BDC455}"/>
    <cellStyle name="Percentuale 55 7" xfId="29400" xr:uid="{BCE8AB7C-34F6-44D5-B677-49649BBB810B}"/>
    <cellStyle name="Percentuale 55 7 2" xfId="49388" xr:uid="{D0C03CD6-1308-4CC5-8603-B10B6BD5A0F0}"/>
    <cellStyle name="Percentuale 55 8" xfId="29367" xr:uid="{708D938C-ADC5-4202-8CB6-89EEF012D117}"/>
    <cellStyle name="Percentuale 56" xfId="1174" xr:uid="{00000000-0005-0000-0000-00005E090000}"/>
    <cellStyle name="Percentuale 56 2" xfId="1175" xr:uid="{00000000-0005-0000-0000-00005F090000}"/>
    <cellStyle name="Percentuale 56 2 2" xfId="4474" xr:uid="{F0A729FD-68FA-4960-B068-48806F9B3947}"/>
    <cellStyle name="Percentuale 56 2 2 2" xfId="13613" xr:uid="{4F39F6A1-4DEF-4AE7-9240-431B3528B9AF}"/>
    <cellStyle name="Percentuale 56 2 2 3" xfId="29403" xr:uid="{D1E3A082-6FEC-47D8-8FAE-A15B04DDCF19}"/>
    <cellStyle name="Percentuale 56 2 3" xfId="13351" xr:uid="{F7127C1F-CF0A-47DD-99B4-0AF4AFFB097C}"/>
    <cellStyle name="Percentuale 56 2 3 2" xfId="29404" xr:uid="{F461F4A5-5FE5-477A-958E-16CF087A2766}"/>
    <cellStyle name="Percentuale 56 2 4" xfId="29405" xr:uid="{997BF474-D49C-4B1A-80C2-C8EB4DECE804}"/>
    <cellStyle name="Percentuale 56 2 4 2" xfId="49389" xr:uid="{94287EE0-0FD4-4E37-A256-63A13FE8E02E}"/>
    <cellStyle name="Percentuale 56 2 5" xfId="29406" xr:uid="{FF018137-30BF-4DB6-AE0F-4F90E02FF699}"/>
    <cellStyle name="Percentuale 56 2 6" xfId="29402" xr:uid="{2793A5F4-ED55-4ECD-BBEB-533C73596ACD}"/>
    <cellStyle name="Percentuale 56 3" xfId="1176" xr:uid="{00000000-0005-0000-0000-000060090000}"/>
    <cellStyle name="Percentuale 56 3 2" xfId="1177" xr:uid="{00000000-0005-0000-0000-000061090000}"/>
    <cellStyle name="Percentuale 56 3 2 2" xfId="2476" xr:uid="{00000000-0005-0000-0000-000062090000}"/>
    <cellStyle name="Percentuale 56 3 2 2 2" xfId="29410" xr:uid="{0B71B231-D3C5-4748-B82D-74E2348B6560}"/>
    <cellStyle name="Percentuale 56 3 2 2 3" xfId="29409" xr:uid="{2A9CFA4C-CEA9-47E1-8A3D-D3B37A7B131A}"/>
    <cellStyle name="Percentuale 56 3 2 3" xfId="8168" xr:uid="{AFB2EDC4-7BD4-42A2-BE4C-DA747D87DE23}"/>
    <cellStyle name="Percentuale 56 3 2 3 2" xfId="14167" xr:uid="{8F1D520D-7E21-48FB-A0D4-AE44A417A98F}"/>
    <cellStyle name="Percentuale 56 3 2 3 3" xfId="29411" xr:uid="{46996D8B-B72A-4729-9DEB-B59D89F52EEC}"/>
    <cellStyle name="Percentuale 56 3 2 3 4" xfId="49390" xr:uid="{21A52B25-9514-4AC1-B780-92AE7CB1ABD0}"/>
    <cellStyle name="Percentuale 56 3 2 4" xfId="29412" xr:uid="{E840C89D-D585-44AC-8751-252CB6AE677F}"/>
    <cellStyle name="Percentuale 56 3 2 5" xfId="29408" xr:uid="{411F648F-8A51-40E2-809E-A86D39A16B4A}"/>
    <cellStyle name="Percentuale 56 3 3" xfId="4475" xr:uid="{15F86343-1FE0-4152-AC6A-79AD02705EF5}"/>
    <cellStyle name="Percentuale 56 3 3 2" xfId="9551" xr:uid="{B9E38259-E31F-4639-B598-01F21C3A4CA6}"/>
    <cellStyle name="Percentuale 56 3 3 2 2" xfId="29414" xr:uid="{6B83BA1A-9C16-4D32-B310-408F78A0F24E}"/>
    <cellStyle name="Percentuale 56 3 3 3" xfId="29415" xr:uid="{079BEC42-4D6D-4887-8894-63D8D996D686}"/>
    <cellStyle name="Percentuale 56 3 3 4" xfId="29416" xr:uid="{B1ECE60F-1917-46CA-BAA3-9D0219D906CD}"/>
    <cellStyle name="Percentuale 56 3 3 4 2" xfId="49391" xr:uid="{D79DF9A0-1F97-4CAC-AA0E-384F6636FC55}"/>
    <cellStyle name="Percentuale 56 3 3 5" xfId="29413" xr:uid="{EAB86EE6-58EF-4C3E-994C-095D59783724}"/>
    <cellStyle name="Percentuale 56 3 4" xfId="4476" xr:uid="{BCAEFA1A-ADA8-4152-89B9-840C6CC2BACA}"/>
    <cellStyle name="Percentuale 56 3 4 2" xfId="13828" xr:uid="{12F37C21-E68B-4EB7-90F0-3DBA906CC731}"/>
    <cellStyle name="Percentuale 56 3 4 3" xfId="29417" xr:uid="{CFDC63FE-1865-42C4-B035-980C069DCA1A}"/>
    <cellStyle name="Percentuale 56 3 5" xfId="12266" xr:uid="{C3F53CB6-1F98-4DBF-95C6-C469D4287C6A}"/>
    <cellStyle name="Percentuale 56 3 5 2" xfId="29418" xr:uid="{3AB5EEE4-10C8-4E76-8CF8-0EA47626413C}"/>
    <cellStyle name="Percentuale 56 3 6" xfId="29419" xr:uid="{C6B06292-01BC-48EB-8CCA-485CBA7A9DED}"/>
    <cellStyle name="Percentuale 56 3 6 2" xfId="49392" xr:uid="{3498A0B3-2BB7-46CE-8789-AE4DE980133E}"/>
    <cellStyle name="Percentuale 56 3 7" xfId="29420" xr:uid="{8E16837B-54EF-4613-9E10-964534EC723F}"/>
    <cellStyle name="Percentuale 56 3 8" xfId="29407" xr:uid="{B6F08AA6-7FF2-4771-93AD-F8FB8EE83200}"/>
    <cellStyle name="Percentuale 56 4" xfId="2477" xr:uid="{00000000-0005-0000-0000-000063090000}"/>
    <cellStyle name="Percentuale 56 4 2" xfId="2478" xr:uid="{00000000-0005-0000-0000-000064090000}"/>
    <cellStyle name="Percentuale 56 4 2 2" xfId="9552" xr:uid="{D78D3859-D983-4E1B-8301-7CCC31EF8552}"/>
    <cellStyle name="Percentuale 56 4 2 2 2" xfId="29423" xr:uid="{E01750D9-0080-4AFD-8E55-F3E0E2673B39}"/>
    <cellStyle name="Percentuale 56 4 2 3" xfId="17953" xr:uid="{B5D1EA6B-E0E9-4477-B127-9EA25A89A6B3}"/>
    <cellStyle name="Percentuale 56 4 2 3 2" xfId="29424" xr:uid="{BDE972DA-9C6C-4B50-A155-9F008F4AAA3C}"/>
    <cellStyle name="Percentuale 56 4 2 4" xfId="29422" xr:uid="{7DFB6CE1-11E3-4B25-8B4E-DC59B973C1F5}"/>
    <cellStyle name="Percentuale 56 4 2 5" xfId="17563" xr:uid="{508A86FB-0B0E-43A8-A098-5BD5A30619CA}"/>
    <cellStyle name="Percentuale 56 4 3" xfId="9553" xr:uid="{FA4A4B30-F5DE-44B0-B563-57195A53157C}"/>
    <cellStyle name="Percentuale 56 4 3 2" xfId="29425" xr:uid="{78CDB0E0-D36D-423D-95D5-CDEE4380EE6C}"/>
    <cellStyle name="Percentuale 56 4 4" xfId="29426" xr:uid="{ADFB3F5D-BA88-44B7-8CBF-3E40B66BB6A1}"/>
    <cellStyle name="Percentuale 56 4 5" xfId="29427" xr:uid="{51415184-6651-4654-97DF-2CB7387F3CF3}"/>
    <cellStyle name="Percentuale 56 4 5 2" xfId="49393" xr:uid="{E5FF16A7-440A-403A-9AF9-D15153BC6522}"/>
    <cellStyle name="Percentuale 56 4 6" xfId="29428" xr:uid="{A6B48742-4054-4DB8-AD5A-5B0B83893FE1}"/>
    <cellStyle name="Percentuale 56 4 7" xfId="29421" xr:uid="{F869B540-8162-4384-A87A-1F5A62571AFE}"/>
    <cellStyle name="Percentuale 56 5" xfId="2479" xr:uid="{00000000-0005-0000-0000-000065090000}"/>
    <cellStyle name="Percentuale 56 5 2" xfId="29430" xr:uid="{778C48FF-280B-4E9E-9FBF-09DD70A397D2}"/>
    <cellStyle name="Percentuale 56 5 3" xfId="29431" xr:uid="{676DEB36-0EE4-4723-B1D7-EF0E31DC2287}"/>
    <cellStyle name="Percentuale 56 5 3 2" xfId="49394" xr:uid="{CC76C6BB-E906-4588-B113-B6ABA31D5B2E}"/>
    <cellStyle name="Percentuale 56 5 4" xfId="29432" xr:uid="{AEC4EA85-9921-48E0-A760-A9E8EBA03293}"/>
    <cellStyle name="Percentuale 56 5 5" xfId="29429" xr:uid="{3C671BF2-4107-4DC7-9F9D-76F258B57676}"/>
    <cellStyle name="Percentuale 56 6" xfId="4477" xr:uid="{878B95F7-D7C0-476D-86EA-11C9A1EAF050}"/>
    <cellStyle name="Percentuale 56 6 2" xfId="9862" xr:uid="{E3EF8EB4-E02B-400C-BD6B-EDDAD7579E45}"/>
    <cellStyle name="Percentuale 56 6 3" xfId="29433" xr:uid="{235C3ED6-54E7-47F2-A055-A87503D4CA76}"/>
    <cellStyle name="Percentuale 56 7" xfId="29434" xr:uid="{689A9318-58EF-4AAC-892E-5EA2376A820E}"/>
    <cellStyle name="Percentuale 56 7 2" xfId="49395" xr:uid="{DBFEBB5A-60C5-486E-B50B-FE7987D040B4}"/>
    <cellStyle name="Percentuale 56 8" xfId="29401" xr:uid="{B09A75A6-0FBA-4A8D-9CBA-E4CFCB8A0912}"/>
    <cellStyle name="Percentuale 57" xfId="1178" xr:uid="{00000000-0005-0000-0000-000066090000}"/>
    <cellStyle name="Percentuale 57 2" xfId="1179" xr:uid="{00000000-0005-0000-0000-000067090000}"/>
    <cellStyle name="Percentuale 57 2 2" xfId="4478" xr:uid="{802071B6-1DB8-4E88-9284-268E36F95370}"/>
    <cellStyle name="Percentuale 57 2 2 2" xfId="13614" xr:uid="{38E60120-E654-4B94-A9CA-7FBF57659427}"/>
    <cellStyle name="Percentuale 57 2 2 3" xfId="29437" xr:uid="{8667B7A2-0575-42DD-986D-AF143E44649F}"/>
    <cellStyle name="Percentuale 57 2 3" xfId="13352" xr:uid="{E707B1B0-80B1-4433-BE43-657A693FFDBB}"/>
    <cellStyle name="Percentuale 57 2 3 2" xfId="29438" xr:uid="{B78762D8-29FC-4255-A9B2-089220860ADC}"/>
    <cellStyle name="Percentuale 57 2 4" xfId="29439" xr:uid="{C5263115-0005-422E-96B3-AFD6E1515F79}"/>
    <cellStyle name="Percentuale 57 2 4 2" xfId="49396" xr:uid="{3F319650-6300-4646-9857-A2701160DDCA}"/>
    <cellStyle name="Percentuale 57 2 5" xfId="29440" xr:uid="{CD8D946C-F1FD-4964-8EAD-1DB4592638C3}"/>
    <cellStyle name="Percentuale 57 2 6" xfId="29436" xr:uid="{AC73D82C-037B-4F1A-A32C-BB04855D0120}"/>
    <cellStyle name="Percentuale 57 3" xfId="1180" xr:uid="{00000000-0005-0000-0000-000068090000}"/>
    <cellStyle name="Percentuale 57 3 2" xfId="1181" xr:uid="{00000000-0005-0000-0000-000069090000}"/>
    <cellStyle name="Percentuale 57 3 2 2" xfId="2480" xr:uid="{00000000-0005-0000-0000-00006A090000}"/>
    <cellStyle name="Percentuale 57 3 2 2 2" xfId="29444" xr:uid="{132A0B16-ED0B-4E9E-89C4-067D446E9C5A}"/>
    <cellStyle name="Percentuale 57 3 2 2 3" xfId="29443" xr:uid="{D02453D5-8DEA-4587-9AB8-64637005001B}"/>
    <cellStyle name="Percentuale 57 3 2 3" xfId="8169" xr:uid="{97E1D6F7-7E0D-4734-B52E-616B2DB4EC86}"/>
    <cellStyle name="Percentuale 57 3 2 3 2" xfId="14168" xr:uid="{5157D379-FFC0-42D8-BFDF-CDD7284CE272}"/>
    <cellStyle name="Percentuale 57 3 2 3 3" xfId="29445" xr:uid="{551BC0EB-CFF6-4C01-91A9-BDA21B2DD44F}"/>
    <cellStyle name="Percentuale 57 3 2 3 4" xfId="49397" xr:uid="{1C741D8E-4C21-466D-AD01-CC5C401748BA}"/>
    <cellStyle name="Percentuale 57 3 2 4" xfId="29446" xr:uid="{14DB0F41-36E9-428C-B6EC-AEB9427A4F97}"/>
    <cellStyle name="Percentuale 57 3 2 5" xfId="29442" xr:uid="{314B5004-8257-4E74-84F3-1E16133C4DDC}"/>
    <cellStyle name="Percentuale 57 3 3" xfId="4479" xr:uid="{9A432AAB-FE07-49DF-A2EB-9027ACFACA74}"/>
    <cellStyle name="Percentuale 57 3 3 2" xfId="9554" xr:uid="{58DD033C-3DA4-47D4-9D52-63F36B621DC1}"/>
    <cellStyle name="Percentuale 57 3 3 2 2" xfId="29448" xr:uid="{0F54F854-B347-4932-B344-4BA7C00D8FF5}"/>
    <cellStyle name="Percentuale 57 3 3 3" xfId="29449" xr:uid="{7B5CEF22-C165-45AF-A7E3-3EE4B0B60D59}"/>
    <cellStyle name="Percentuale 57 3 3 4" xfId="29450" xr:uid="{C4724668-5806-4520-A92A-5EA8F78F17DF}"/>
    <cellStyle name="Percentuale 57 3 3 4 2" xfId="49398" xr:uid="{ADFC96D6-C45E-4CBD-9D77-90BC25B8A68A}"/>
    <cellStyle name="Percentuale 57 3 3 5" xfId="29447" xr:uid="{5DEF1111-5614-4D6E-818A-446429DA09BA}"/>
    <cellStyle name="Percentuale 57 3 4" xfId="4480" xr:uid="{2256E624-F931-48E6-B76A-6CB5BC4F81A5}"/>
    <cellStyle name="Percentuale 57 3 4 2" xfId="13829" xr:uid="{522EEE0C-ABDA-4F15-BE65-10090EC3D72F}"/>
    <cellStyle name="Percentuale 57 3 4 3" xfId="29451" xr:uid="{38E524F9-D94E-4619-8875-8718924B829D}"/>
    <cellStyle name="Percentuale 57 3 5" xfId="12435" xr:uid="{349FAFAA-71D5-4718-8E1A-72369C43ED5D}"/>
    <cellStyle name="Percentuale 57 3 5 2" xfId="29452" xr:uid="{DE87202E-EB54-446E-BD99-778962A8D03C}"/>
    <cellStyle name="Percentuale 57 3 6" xfId="29453" xr:uid="{293A1C16-DC06-41CA-8F29-8C6076187FC9}"/>
    <cellStyle name="Percentuale 57 3 6 2" xfId="49399" xr:uid="{A16586E0-6A88-40D8-B16A-08D40E6B506D}"/>
    <cellStyle name="Percentuale 57 3 7" xfId="29454" xr:uid="{B21E89B6-7A98-4C17-9806-8B490E2F3D2C}"/>
    <cellStyle name="Percentuale 57 3 8" xfId="29441" xr:uid="{EFEEB854-CDB3-4F21-A0AF-C4B993037E1A}"/>
    <cellStyle name="Percentuale 57 4" xfId="2481" xr:uid="{00000000-0005-0000-0000-00006B090000}"/>
    <cellStyle name="Percentuale 57 4 2" xfId="2482" xr:uid="{00000000-0005-0000-0000-00006C090000}"/>
    <cellStyle name="Percentuale 57 4 2 2" xfId="9555" xr:uid="{024483D0-4BE2-47BA-87FB-405F6F24F5DD}"/>
    <cellStyle name="Percentuale 57 4 2 2 2" xfId="29457" xr:uid="{26F0BD4A-4099-4818-BFD9-6971E15F96B5}"/>
    <cellStyle name="Percentuale 57 4 2 3" xfId="17954" xr:uid="{0934BBCB-8038-4D7C-AAE9-6EC4759F4907}"/>
    <cellStyle name="Percentuale 57 4 2 3 2" xfId="29458" xr:uid="{4B015CA6-2AD2-4F9B-B71F-6008056906A3}"/>
    <cellStyle name="Percentuale 57 4 2 4" xfId="29456" xr:uid="{CA1E8916-4B63-488E-B475-49A15F66FF41}"/>
    <cellStyle name="Percentuale 57 4 2 5" xfId="17565" xr:uid="{0C56BD17-8D9C-49E4-BCF8-AA0FB283222C}"/>
    <cellStyle name="Percentuale 57 4 3" xfId="9556" xr:uid="{AE6145FB-B82E-4B35-A6D5-9AB41C07C8AB}"/>
    <cellStyle name="Percentuale 57 4 3 2" xfId="29459" xr:uid="{A5DC4AB1-FD7F-4236-8935-384265D0A2DE}"/>
    <cellStyle name="Percentuale 57 4 4" xfId="29460" xr:uid="{3CAFF113-25A8-45C6-9A37-0685BAA55FE4}"/>
    <cellStyle name="Percentuale 57 4 5" xfId="29461" xr:uid="{81CE0329-98F1-49C1-94F8-21B2B54D1C59}"/>
    <cellStyle name="Percentuale 57 4 5 2" xfId="49400" xr:uid="{0AF111B1-DA05-4EBE-821B-48BA4682ABD1}"/>
    <cellStyle name="Percentuale 57 4 6" xfId="29462" xr:uid="{B50B20EA-F7ED-4D38-9DD6-0502F888D549}"/>
    <cellStyle name="Percentuale 57 4 7" xfId="29455" xr:uid="{9E49CDB9-4472-4157-B43C-FD898F07B80E}"/>
    <cellStyle name="Percentuale 57 5" xfId="2483" xr:uid="{00000000-0005-0000-0000-00006D090000}"/>
    <cellStyle name="Percentuale 57 5 2" xfId="29464" xr:uid="{B4C3FFAD-7057-488E-A0DA-92C290E3A958}"/>
    <cellStyle name="Percentuale 57 5 3" xfId="29465" xr:uid="{C97B4BCC-3013-4583-BF52-646AEF64F6B6}"/>
    <cellStyle name="Percentuale 57 5 3 2" xfId="49401" xr:uid="{ACB4EA64-3E0F-4E5D-A3AB-BCA1B0ADDFF1}"/>
    <cellStyle name="Percentuale 57 5 4" xfId="29466" xr:uid="{FA91A1DC-4003-4B36-8D80-E222B6F90897}"/>
    <cellStyle name="Percentuale 57 5 5" xfId="29463" xr:uid="{64B7DE61-C9AF-42B0-839C-03410577C438}"/>
    <cellStyle name="Percentuale 57 6" xfId="4481" xr:uid="{19668B3A-51C5-4C47-8D19-2C9C755482C7}"/>
    <cellStyle name="Percentuale 57 6 2" xfId="9863" xr:uid="{B4CD9163-441C-482D-B915-EFD174D686BC}"/>
    <cellStyle name="Percentuale 57 6 3" xfId="29467" xr:uid="{F4C014A1-6194-4909-93F6-C095CDB7200E}"/>
    <cellStyle name="Percentuale 57 7" xfId="29468" xr:uid="{0D8AD768-1A6C-4FD2-9D4B-19EA9198ADCD}"/>
    <cellStyle name="Percentuale 57 7 2" xfId="49402" xr:uid="{C6D0D067-8C45-4CFE-857F-3BB0AD8E982A}"/>
    <cellStyle name="Percentuale 57 8" xfId="29435" xr:uid="{D74C1165-67BE-49FF-873C-D886ED5330D1}"/>
    <cellStyle name="Percentuale 58" xfId="1182" xr:uid="{00000000-0005-0000-0000-00006E090000}"/>
    <cellStyle name="Percentuale 58 2" xfId="1183" xr:uid="{00000000-0005-0000-0000-00006F090000}"/>
    <cellStyle name="Percentuale 58 2 2" xfId="4482" xr:uid="{98E9A2AD-3D94-4ADC-BE39-60F20F81CE80}"/>
    <cellStyle name="Percentuale 58 2 2 2" xfId="13615" xr:uid="{78ACAD47-4BBA-4FE3-8A48-4E6960923C8B}"/>
    <cellStyle name="Percentuale 58 2 2 3" xfId="29471" xr:uid="{22BE11AF-0C2A-4AF9-965F-D012E27141AF}"/>
    <cellStyle name="Percentuale 58 2 3" xfId="13353" xr:uid="{BA46DF94-92BC-4090-9E4B-662EC0BFE965}"/>
    <cellStyle name="Percentuale 58 2 3 2" xfId="29472" xr:uid="{4C8B7F9B-44A1-46D6-BE8D-9EFEDC4380A5}"/>
    <cellStyle name="Percentuale 58 2 4" xfId="29473" xr:uid="{B10E802B-F542-42AE-B088-EAD971254923}"/>
    <cellStyle name="Percentuale 58 2 4 2" xfId="49403" xr:uid="{FCAA5C3D-F425-49C4-9251-65261033DAF9}"/>
    <cellStyle name="Percentuale 58 2 5" xfId="29474" xr:uid="{C059F73B-51A2-4C05-B213-0AFC7B2DCC19}"/>
    <cellStyle name="Percentuale 58 2 6" xfId="29470" xr:uid="{8967B917-6049-485F-8738-E0BC08A4C26B}"/>
    <cellStyle name="Percentuale 58 3" xfId="1184" xr:uid="{00000000-0005-0000-0000-000070090000}"/>
    <cellStyle name="Percentuale 58 3 2" xfId="1185" xr:uid="{00000000-0005-0000-0000-000071090000}"/>
    <cellStyle name="Percentuale 58 3 2 2" xfId="2484" xr:uid="{00000000-0005-0000-0000-000072090000}"/>
    <cellStyle name="Percentuale 58 3 2 2 2" xfId="29478" xr:uid="{90240B7A-7BEC-41C4-A377-2310EDCF9668}"/>
    <cellStyle name="Percentuale 58 3 2 2 3" xfId="29477" xr:uid="{3CB58DA3-E954-42CF-8993-E0FBF3427EB5}"/>
    <cellStyle name="Percentuale 58 3 2 3" xfId="8170" xr:uid="{1D2ABAAF-C697-454C-BEED-D8DECC76B9C8}"/>
    <cellStyle name="Percentuale 58 3 2 3 2" xfId="14169" xr:uid="{EF241D6D-62BB-4447-83E9-76C8E2F0B9D3}"/>
    <cellStyle name="Percentuale 58 3 2 3 3" xfId="29479" xr:uid="{48C2B72F-5171-4412-99FE-4E733FC05DEB}"/>
    <cellStyle name="Percentuale 58 3 2 3 4" xfId="49404" xr:uid="{B0987FFA-7332-42D8-80D6-97577E0E42FF}"/>
    <cellStyle name="Percentuale 58 3 2 4" xfId="29480" xr:uid="{D2B27480-C09B-4A49-AF32-F3E497D21CF7}"/>
    <cellStyle name="Percentuale 58 3 2 5" xfId="29476" xr:uid="{265F03A7-C1E6-4657-8291-60052E419449}"/>
    <cellStyle name="Percentuale 58 3 3" xfId="4483" xr:uid="{CD494641-1FDC-404E-98F8-9AB0E0C84F4E}"/>
    <cellStyle name="Percentuale 58 3 3 2" xfId="9557" xr:uid="{105DE025-EB2D-4E34-BF31-16ED4B6D9AC7}"/>
    <cellStyle name="Percentuale 58 3 3 2 2" xfId="29482" xr:uid="{E0A6BD29-AC99-4AD0-9152-A67FA5F5CB76}"/>
    <cellStyle name="Percentuale 58 3 3 3" xfId="29483" xr:uid="{99F64B6E-D55F-474C-8DC4-305B76975C21}"/>
    <cellStyle name="Percentuale 58 3 3 4" xfId="29484" xr:uid="{02E2AA24-4CF3-401A-A9BC-993560D0CECE}"/>
    <cellStyle name="Percentuale 58 3 3 4 2" xfId="49405" xr:uid="{B4E81864-4D7A-427F-A39D-D464C4208B11}"/>
    <cellStyle name="Percentuale 58 3 3 5" xfId="29481" xr:uid="{0AEA16E1-D3FE-4A2F-86C8-1286476B8703}"/>
    <cellStyle name="Percentuale 58 3 4" xfId="4484" xr:uid="{2219F934-EDFE-4E81-82CF-3B29C1C2BB26}"/>
    <cellStyle name="Percentuale 58 3 4 2" xfId="13830" xr:uid="{E9E6C437-3290-4231-B59F-55D2FB68A330}"/>
    <cellStyle name="Percentuale 58 3 4 3" xfId="29485" xr:uid="{952A4DB9-7B28-4447-9629-D2D4A96B225E}"/>
    <cellStyle name="Percentuale 58 3 5" xfId="12307" xr:uid="{D86A3C42-5F00-42D1-816B-3DF1F129C6C2}"/>
    <cellStyle name="Percentuale 58 3 5 2" xfId="29486" xr:uid="{3EF5D619-5C22-4E40-89AF-FE6186403139}"/>
    <cellStyle name="Percentuale 58 3 6" xfId="29487" xr:uid="{7C2EDC52-7046-41E0-82BB-3B64CAA398F3}"/>
    <cellStyle name="Percentuale 58 3 6 2" xfId="49406" xr:uid="{14AFEBA6-60FE-4C88-8FDD-91534D68C775}"/>
    <cellStyle name="Percentuale 58 3 7" xfId="29488" xr:uid="{203AC7C0-918B-40E2-A435-C0E082D35D9A}"/>
    <cellStyle name="Percentuale 58 3 8" xfId="29475" xr:uid="{C7ABAF49-3E95-4428-85C8-113E2DF14EA5}"/>
    <cellStyle name="Percentuale 58 4" xfId="2485" xr:uid="{00000000-0005-0000-0000-000073090000}"/>
    <cellStyle name="Percentuale 58 4 2" xfId="2486" xr:uid="{00000000-0005-0000-0000-000074090000}"/>
    <cellStyle name="Percentuale 58 4 2 2" xfId="9558" xr:uid="{98E83300-B6A9-4B77-B719-7B6826EF992F}"/>
    <cellStyle name="Percentuale 58 4 2 2 2" xfId="29491" xr:uid="{06554EAE-066E-4A0D-9F6F-68E6501F3F25}"/>
    <cellStyle name="Percentuale 58 4 2 3" xfId="17955" xr:uid="{5E482335-FA21-44BE-965C-21AF6E68DA7F}"/>
    <cellStyle name="Percentuale 58 4 2 3 2" xfId="29492" xr:uid="{A111C76A-166D-457B-8539-A21DD052428C}"/>
    <cellStyle name="Percentuale 58 4 2 4" xfId="29490" xr:uid="{803C3779-F0AE-41BF-984D-21825A24BC61}"/>
    <cellStyle name="Percentuale 58 4 2 5" xfId="17566" xr:uid="{E8108609-E85E-4519-BCC8-8B366099A734}"/>
    <cellStyle name="Percentuale 58 4 3" xfId="9559" xr:uid="{C384C623-5115-4E1F-B809-E5976E966722}"/>
    <cellStyle name="Percentuale 58 4 3 2" xfId="29493" xr:uid="{3171A4B2-0505-4C8D-822E-9B288824F94D}"/>
    <cellStyle name="Percentuale 58 4 4" xfId="29494" xr:uid="{67C2582A-400F-4BBC-9282-A5E2FF53CCDB}"/>
    <cellStyle name="Percentuale 58 4 5" xfId="29495" xr:uid="{C2C011AE-7085-4CAF-A363-7949ACFEC49F}"/>
    <cellStyle name="Percentuale 58 4 5 2" xfId="49407" xr:uid="{4DF060AF-8D3D-48F4-A998-2830DAEC300D}"/>
    <cellStyle name="Percentuale 58 4 6" xfId="29496" xr:uid="{9EEAC5CD-C269-4DC6-9AA3-6C87E4AE4BC5}"/>
    <cellStyle name="Percentuale 58 4 7" xfId="29489" xr:uid="{261B1A9E-9EBE-492E-B1CC-86A43891482B}"/>
    <cellStyle name="Percentuale 58 5" xfId="2487" xr:uid="{00000000-0005-0000-0000-000075090000}"/>
    <cellStyle name="Percentuale 58 5 2" xfId="29498" xr:uid="{56E360CD-FFD3-4C20-8E73-1BB353EFF530}"/>
    <cellStyle name="Percentuale 58 5 3" xfId="29499" xr:uid="{889B9B33-7ABD-4CD9-B41D-ED9DCCDBFB39}"/>
    <cellStyle name="Percentuale 58 5 3 2" xfId="49408" xr:uid="{0B5FF4DB-BBED-4915-B5C4-FEA563B88628}"/>
    <cellStyle name="Percentuale 58 5 4" xfId="29500" xr:uid="{F025825E-6EB8-48DE-905D-9BFE17B525D8}"/>
    <cellStyle name="Percentuale 58 5 5" xfId="29497" xr:uid="{BCA21D4D-E533-4FD7-869B-DFA5EA9FEF25}"/>
    <cellStyle name="Percentuale 58 6" xfId="4485" xr:uid="{56342253-28BE-493F-B0E0-DFA831CD7057}"/>
    <cellStyle name="Percentuale 58 6 2" xfId="9864" xr:uid="{2E2AF353-3E01-496B-9214-2B8E394E7840}"/>
    <cellStyle name="Percentuale 58 6 3" xfId="29501" xr:uid="{CC554910-5305-4469-8CBA-6896FF62D83F}"/>
    <cellStyle name="Percentuale 58 7" xfId="29502" xr:uid="{366D8DCA-1353-47B7-AA5B-C60CD19C6885}"/>
    <cellStyle name="Percentuale 58 7 2" xfId="49409" xr:uid="{A94BB069-181B-4819-B858-AA6C958F8082}"/>
    <cellStyle name="Percentuale 58 8" xfId="29469" xr:uid="{A3D8F179-2B6F-4536-B193-F0E1AE9D640E}"/>
    <cellStyle name="Percentuale 59" xfId="1186" xr:uid="{00000000-0005-0000-0000-000076090000}"/>
    <cellStyle name="Percentuale 59 2" xfId="1187" xr:uid="{00000000-0005-0000-0000-000077090000}"/>
    <cellStyle name="Percentuale 59 2 2" xfId="4486" xr:uid="{1B778C9F-89EA-440F-8B92-160FDE694F43}"/>
    <cellStyle name="Percentuale 59 2 2 2" xfId="13616" xr:uid="{59DF717F-A743-4D67-A83F-F89D2EE73FAA}"/>
    <cellStyle name="Percentuale 59 2 2 3" xfId="29505" xr:uid="{E39B83B9-AF63-49C9-B4CC-639FAFA338B7}"/>
    <cellStyle name="Percentuale 59 2 3" xfId="13354" xr:uid="{767362E7-8089-4C3A-9044-8CBD60E490A1}"/>
    <cellStyle name="Percentuale 59 2 3 2" xfId="29506" xr:uid="{8F147997-C3C9-440B-9D43-8C29452CB710}"/>
    <cellStyle name="Percentuale 59 2 4" xfId="29507" xr:uid="{093FE68A-54B7-403A-852F-6FE26337E8E5}"/>
    <cellStyle name="Percentuale 59 2 4 2" xfId="49410" xr:uid="{7A2B8A1A-87DC-4A07-972E-44411A4A5CEC}"/>
    <cellStyle name="Percentuale 59 2 5" xfId="29508" xr:uid="{32663165-0707-4551-BE52-605299EAD50B}"/>
    <cellStyle name="Percentuale 59 2 6" xfId="29504" xr:uid="{4C3E15AF-D34E-49C7-9FB5-FC7002E1AE61}"/>
    <cellStyle name="Percentuale 59 3" xfId="1188" xr:uid="{00000000-0005-0000-0000-000078090000}"/>
    <cellStyle name="Percentuale 59 3 2" xfId="1189" xr:uid="{00000000-0005-0000-0000-000079090000}"/>
    <cellStyle name="Percentuale 59 3 2 2" xfId="2488" xr:uid="{00000000-0005-0000-0000-00007A090000}"/>
    <cellStyle name="Percentuale 59 3 2 2 2" xfId="29512" xr:uid="{E3B4D286-63BE-4E59-A8B8-666C664EFBC6}"/>
    <cellStyle name="Percentuale 59 3 2 2 3" xfId="29511" xr:uid="{C35FDEEC-7EE5-4F8B-8B3A-9DFB982BA650}"/>
    <cellStyle name="Percentuale 59 3 2 3" xfId="8171" xr:uid="{4C649B33-C27F-487E-96FF-51A14BCB1084}"/>
    <cellStyle name="Percentuale 59 3 2 3 2" xfId="14170" xr:uid="{AE7125D1-EAE4-42A8-9BB3-1BE513DE7457}"/>
    <cellStyle name="Percentuale 59 3 2 3 3" xfId="29513" xr:uid="{A01F5A2C-2B98-4B22-90E2-38CDCC0E5E03}"/>
    <cellStyle name="Percentuale 59 3 2 3 4" xfId="49411" xr:uid="{EDCEB628-8334-4A4C-A9EE-AC03B8A598FF}"/>
    <cellStyle name="Percentuale 59 3 2 4" xfId="29514" xr:uid="{63091DF1-645F-4828-9A72-F8733AFB0D67}"/>
    <cellStyle name="Percentuale 59 3 2 5" xfId="29510" xr:uid="{E42E2A44-80A3-4AF6-A4B2-9C070FF754A4}"/>
    <cellStyle name="Percentuale 59 3 3" xfId="4487" xr:uid="{36B2E09D-236E-4D14-9F1E-1F19B8523443}"/>
    <cellStyle name="Percentuale 59 3 3 2" xfId="9560" xr:uid="{F27462D4-2EA9-474C-A27B-2D82E2A7425D}"/>
    <cellStyle name="Percentuale 59 3 3 2 2" xfId="29516" xr:uid="{6CF03201-B967-47B2-A353-DECE65D53738}"/>
    <cellStyle name="Percentuale 59 3 3 3" xfId="29517" xr:uid="{36239515-787C-44F4-A797-6EAEA6BA2141}"/>
    <cellStyle name="Percentuale 59 3 3 4" xfId="29518" xr:uid="{05EEE978-2509-43A9-88C0-687A3FE483DB}"/>
    <cellStyle name="Percentuale 59 3 3 4 2" xfId="49412" xr:uid="{647DE056-EB3F-4911-9205-AE23F9EC9E2F}"/>
    <cellStyle name="Percentuale 59 3 3 5" xfId="29515" xr:uid="{E6D0BBF5-0170-4F9D-A6CB-4955FE9E765F}"/>
    <cellStyle name="Percentuale 59 3 4" xfId="4488" xr:uid="{7FECFE92-472B-453A-BE80-D34BDCF4D2E0}"/>
    <cellStyle name="Percentuale 59 3 4 2" xfId="13831" xr:uid="{8D6C3BBE-E7DE-4A1F-ADE0-ED416458E532}"/>
    <cellStyle name="Percentuale 59 3 4 3" xfId="29519" xr:uid="{A4EF2253-1514-4D86-8400-30C922F1275C}"/>
    <cellStyle name="Percentuale 59 3 5" xfId="11156" xr:uid="{3B607646-2BFC-40B2-853C-CB7C5485D1B6}"/>
    <cellStyle name="Percentuale 59 3 5 2" xfId="29520" xr:uid="{FA391269-F158-4A60-A828-A4A0151C8FEF}"/>
    <cellStyle name="Percentuale 59 3 6" xfId="29521" xr:uid="{431C659B-54E6-491F-B925-6E1A0CBA039A}"/>
    <cellStyle name="Percentuale 59 3 6 2" xfId="49413" xr:uid="{745EA7DF-FEA8-416A-89B0-2A8962F187D1}"/>
    <cellStyle name="Percentuale 59 3 7" xfId="29522" xr:uid="{C30C6381-62C0-4136-8C44-88D1B5335EEC}"/>
    <cellStyle name="Percentuale 59 3 8" xfId="29509" xr:uid="{9D435D89-9780-4FCA-B7C1-357A0A7F666D}"/>
    <cellStyle name="Percentuale 59 4" xfId="2489" xr:uid="{00000000-0005-0000-0000-00007B090000}"/>
    <cellStyle name="Percentuale 59 4 2" xfId="2490" xr:uid="{00000000-0005-0000-0000-00007C090000}"/>
    <cellStyle name="Percentuale 59 4 2 2" xfId="9561" xr:uid="{5BBEAD1B-4811-4BB5-B2F9-492B0B2B083D}"/>
    <cellStyle name="Percentuale 59 4 2 2 2" xfId="29525" xr:uid="{077E17B1-512C-426F-B074-33C62D7B808B}"/>
    <cellStyle name="Percentuale 59 4 2 3" xfId="17956" xr:uid="{0A6097DA-BBD7-4F45-98C1-BF6F2121E998}"/>
    <cellStyle name="Percentuale 59 4 2 3 2" xfId="29526" xr:uid="{50C6BCD9-5C2E-456E-80DE-8B5663432192}"/>
    <cellStyle name="Percentuale 59 4 2 4" xfId="29524" xr:uid="{4BD3C4CA-503E-41C4-8283-DE5B39DA251E}"/>
    <cellStyle name="Percentuale 59 4 2 5" xfId="17567" xr:uid="{7CA3949F-784E-44E7-A533-B197ADD0BE5F}"/>
    <cellStyle name="Percentuale 59 4 3" xfId="9562" xr:uid="{A965D61C-B9B7-4F25-9885-0936BF06F59D}"/>
    <cellStyle name="Percentuale 59 4 3 2" xfId="29527" xr:uid="{1E3099FF-4542-43E7-8A8D-C213E5E5D6AC}"/>
    <cellStyle name="Percentuale 59 4 4" xfId="29528" xr:uid="{23E1E24D-951A-4209-99D0-7A00325EBE48}"/>
    <cellStyle name="Percentuale 59 4 5" xfId="29529" xr:uid="{C8277589-CA05-41A5-BBB1-03D47E7D1725}"/>
    <cellStyle name="Percentuale 59 4 5 2" xfId="49414" xr:uid="{CD45E1A9-E8CE-451F-B8EF-E890158BE3E5}"/>
    <cellStyle name="Percentuale 59 4 6" xfId="29530" xr:uid="{C91EDE95-0821-4D16-8A6F-3CCB537788DF}"/>
    <cellStyle name="Percentuale 59 4 7" xfId="29523" xr:uid="{9990A9CD-09AC-482C-8128-A42AC4721C5F}"/>
    <cellStyle name="Percentuale 59 5" xfId="2491" xr:uid="{00000000-0005-0000-0000-00007D090000}"/>
    <cellStyle name="Percentuale 59 5 2" xfId="29532" xr:uid="{807DC388-B8F7-41D2-A509-B4E6587CCEE1}"/>
    <cellStyle name="Percentuale 59 5 3" xfId="29533" xr:uid="{04816B69-4A76-42CB-9FED-753E39CA20F7}"/>
    <cellStyle name="Percentuale 59 5 3 2" xfId="49415" xr:uid="{0B2CF4A3-F8EE-4780-BAC8-0B5D2C9C3E00}"/>
    <cellStyle name="Percentuale 59 5 4" xfId="29534" xr:uid="{9BE1426E-0214-4248-BAED-A6244417E9ED}"/>
    <cellStyle name="Percentuale 59 5 5" xfId="29531" xr:uid="{73F03024-C40C-45D4-A6DA-1877EE170872}"/>
    <cellStyle name="Percentuale 59 6" xfId="4489" xr:uid="{D3DB3407-4102-4590-85A2-34C11F4AFE5C}"/>
    <cellStyle name="Percentuale 59 6 2" xfId="9865" xr:uid="{08C2F324-E91A-4B3A-882C-35D6FD783459}"/>
    <cellStyle name="Percentuale 59 6 3" xfId="29535" xr:uid="{45C1D375-62FE-4E54-8CC2-D45EA8F2426F}"/>
    <cellStyle name="Percentuale 59 7" xfId="29536" xr:uid="{E71DA602-39EE-47BA-B150-AD9F19673DA3}"/>
    <cellStyle name="Percentuale 59 7 2" xfId="49416" xr:uid="{49DF5E69-2089-4FE6-853B-431423034CE6}"/>
    <cellStyle name="Percentuale 59 8" xfId="29503" xr:uid="{D3E6934D-6EC2-4237-BD8F-19FC008D5766}"/>
    <cellStyle name="Percentuale 6" xfId="1190" xr:uid="{00000000-0005-0000-0000-00007E090000}"/>
    <cellStyle name="Percentuale 6 2" xfId="1191" xr:uid="{00000000-0005-0000-0000-00007F090000}"/>
    <cellStyle name="Percentuale 6 2 2" xfId="4490" xr:uid="{90E5CF0C-8429-4222-80BE-5FAD1F5A72F7}"/>
    <cellStyle name="Percentuale 6 2 2 2" xfId="13617" xr:uid="{6971110B-18A5-42CD-A45B-28F6ED04BC55}"/>
    <cellStyle name="Percentuale 6 2 2 3" xfId="29539" xr:uid="{602E5D5F-4F24-4BDB-973A-82A93399CD19}"/>
    <cellStyle name="Percentuale 6 2 3" xfId="13355" xr:uid="{CA660D2E-FB55-45FC-8C9A-1CB0D3A06340}"/>
    <cellStyle name="Percentuale 6 2 3 2" xfId="29540" xr:uid="{5A497AEA-E5F5-4592-92EA-E871182D5B13}"/>
    <cellStyle name="Percentuale 6 2 4" xfId="29541" xr:uid="{0F0E7CD2-0319-402F-B75F-710F78251844}"/>
    <cellStyle name="Percentuale 6 2 4 2" xfId="49417" xr:uid="{E4A22C5C-8D5E-4633-9FFE-E9C0D3637AF0}"/>
    <cellStyle name="Percentuale 6 2 5" xfId="29542" xr:uid="{180AEF14-AD7B-49FF-A964-B59FE678AFE3}"/>
    <cellStyle name="Percentuale 6 2 6" xfId="29538" xr:uid="{20BAEC08-2A0D-4796-BACE-95283FD55432}"/>
    <cellStyle name="Percentuale 6 3" xfId="1192" xr:uid="{00000000-0005-0000-0000-000080090000}"/>
    <cellStyle name="Percentuale 6 3 2" xfId="1193" xr:uid="{00000000-0005-0000-0000-000081090000}"/>
    <cellStyle name="Percentuale 6 3 2 2" xfId="2492" xr:uid="{00000000-0005-0000-0000-000082090000}"/>
    <cellStyle name="Percentuale 6 3 2 2 2" xfId="29546" xr:uid="{89C8DA2A-D025-4ACA-9CCC-C1C356AD8807}"/>
    <cellStyle name="Percentuale 6 3 2 2 3" xfId="29545" xr:uid="{C134F089-60EA-4BE0-A94A-5A993E080898}"/>
    <cellStyle name="Percentuale 6 3 2 3" xfId="8172" xr:uid="{22F971D9-3650-484C-BD10-B2B6068FD66D}"/>
    <cellStyle name="Percentuale 6 3 2 3 2" xfId="14171" xr:uid="{E7A84830-CD42-4061-B4A5-E0A0287685F3}"/>
    <cellStyle name="Percentuale 6 3 2 3 3" xfId="29547" xr:uid="{80B386FD-9A95-42D8-82DC-C18C32999342}"/>
    <cellStyle name="Percentuale 6 3 2 3 4" xfId="49418" xr:uid="{FA569B8D-561F-4762-BECF-2E71BE2958A2}"/>
    <cellStyle name="Percentuale 6 3 2 4" xfId="29548" xr:uid="{0E41D8B6-581D-43F3-A5C1-2DBDEF73226E}"/>
    <cellStyle name="Percentuale 6 3 2 5" xfId="29544" xr:uid="{45E669E6-06E4-4823-94B6-99BBBCDEBECD}"/>
    <cellStyle name="Percentuale 6 3 3" xfId="4491" xr:uid="{75300586-8009-43AB-A456-E2610EDA0574}"/>
    <cellStyle name="Percentuale 6 3 3 2" xfId="9563" xr:uid="{A8DCBDDE-D5E2-4011-8BA4-52D7AE597FE5}"/>
    <cellStyle name="Percentuale 6 3 3 2 2" xfId="29550" xr:uid="{A0CFA671-B004-40B4-BEB6-06BE6169DC1F}"/>
    <cellStyle name="Percentuale 6 3 3 3" xfId="29551" xr:uid="{39CD6771-147E-49E3-A6C3-CB8ED1C1A4E0}"/>
    <cellStyle name="Percentuale 6 3 3 4" xfId="29552" xr:uid="{011F19BD-EA84-4842-B97C-39956C089AB7}"/>
    <cellStyle name="Percentuale 6 3 3 4 2" xfId="49419" xr:uid="{40CB0356-6954-4110-AE6A-51AB942D7690}"/>
    <cellStyle name="Percentuale 6 3 3 5" xfId="29549" xr:uid="{72C1C685-373F-40EF-AF50-BBB8AD91C7B9}"/>
    <cellStyle name="Percentuale 6 3 4" xfId="4492" xr:uid="{CA0CD72A-87E1-426E-BF0F-8ECD92FC0FAC}"/>
    <cellStyle name="Percentuale 6 3 4 2" xfId="13832" xr:uid="{A6F9395A-44D2-4528-A23E-DD2B20163D9F}"/>
    <cellStyle name="Percentuale 6 3 4 3" xfId="29553" xr:uid="{BCF48B20-8E7F-47EF-99FD-12FAFE6E94C2}"/>
    <cellStyle name="Percentuale 6 3 5" xfId="12306" xr:uid="{935524E2-E2FA-4046-8719-7FBD8636BD00}"/>
    <cellStyle name="Percentuale 6 3 5 2" xfId="29554" xr:uid="{561B90FE-25A7-47AD-AF70-74E568C689C2}"/>
    <cellStyle name="Percentuale 6 3 6" xfId="29555" xr:uid="{9854123A-F9F4-4696-BA1D-478B50EFE81C}"/>
    <cellStyle name="Percentuale 6 3 6 2" xfId="49420" xr:uid="{8C88D49A-61DF-4C44-9B68-3AA5AE3EB2F7}"/>
    <cellStyle name="Percentuale 6 3 7" xfId="29556" xr:uid="{E6D754D2-1ACE-4D4C-8B7F-BA3348A8BD81}"/>
    <cellStyle name="Percentuale 6 3 8" xfId="29543" xr:uid="{74FD9059-B30B-4455-91AF-40A103D2F3E1}"/>
    <cellStyle name="Percentuale 6 4" xfId="2493" xr:uid="{00000000-0005-0000-0000-000083090000}"/>
    <cellStyle name="Percentuale 6 4 2" xfId="2494" xr:uid="{00000000-0005-0000-0000-000084090000}"/>
    <cellStyle name="Percentuale 6 4 2 2" xfId="9564" xr:uid="{134410D4-C6D9-4010-B034-E88989D129E6}"/>
    <cellStyle name="Percentuale 6 4 2 2 2" xfId="29559" xr:uid="{F93DCB82-47F2-4935-9D3F-9EF7150A0D38}"/>
    <cellStyle name="Percentuale 6 4 2 3" xfId="17957" xr:uid="{9D224A32-0BC1-4166-8826-4CE88D9059A2}"/>
    <cellStyle name="Percentuale 6 4 2 3 2" xfId="29560" xr:uid="{B29D9074-C3A8-4FB8-A33B-776674322EE2}"/>
    <cellStyle name="Percentuale 6 4 2 4" xfId="29558" xr:uid="{22D21771-D3F6-425F-BC91-D9A0C6AD9B0F}"/>
    <cellStyle name="Percentuale 6 4 2 5" xfId="17568" xr:uid="{9FCB25B0-FE4D-47B2-BB27-7EB6631810F4}"/>
    <cellStyle name="Percentuale 6 4 3" xfId="9565" xr:uid="{D7AE88A1-6F69-4B5D-BB08-BFFE1FAAE035}"/>
    <cellStyle name="Percentuale 6 4 3 2" xfId="29561" xr:uid="{FD443671-DF68-4895-B4B9-D54E8795D219}"/>
    <cellStyle name="Percentuale 6 4 4" xfId="29562" xr:uid="{90FFF4FD-2D82-4F4B-9E20-853DD9417A5B}"/>
    <cellStyle name="Percentuale 6 4 5" xfId="29563" xr:uid="{69D4B029-BAFB-45B5-819A-66CB40A0F90C}"/>
    <cellStyle name="Percentuale 6 4 5 2" xfId="49421" xr:uid="{E93E3C9C-9C82-443C-85D0-261EB8E58567}"/>
    <cellStyle name="Percentuale 6 4 6" xfId="29564" xr:uid="{C93D1717-F47B-4406-B25E-2647933BC4FE}"/>
    <cellStyle name="Percentuale 6 4 7" xfId="29557" xr:uid="{726673EE-7669-4FC6-A758-A02A54F76D47}"/>
    <cellStyle name="Percentuale 6 5" xfId="2495" xr:uid="{00000000-0005-0000-0000-000085090000}"/>
    <cellStyle name="Percentuale 6 5 2" xfId="29566" xr:uid="{D4BE9395-B95A-4BB0-9AA8-AF29A230CAB7}"/>
    <cellStyle name="Percentuale 6 5 3" xfId="29567" xr:uid="{D99A4B8C-0C07-440D-91EC-62F8103C03ED}"/>
    <cellStyle name="Percentuale 6 5 3 2" xfId="49422" xr:uid="{A06BA7B1-670B-466D-87E1-919C19D41310}"/>
    <cellStyle name="Percentuale 6 5 4" xfId="29568" xr:uid="{0C39738F-2CE2-40C6-AC5A-6F189E4CD063}"/>
    <cellStyle name="Percentuale 6 5 5" xfId="29565" xr:uid="{569337BB-72B4-48DF-B60B-C99F025A3AE9}"/>
    <cellStyle name="Percentuale 6 6" xfId="4493" xr:uid="{199D01E3-4552-44BA-8468-34581227733B}"/>
    <cellStyle name="Percentuale 6 6 2" xfId="9866" xr:uid="{1EB3FC8E-DA4E-4B54-8528-8F37E1992EE6}"/>
    <cellStyle name="Percentuale 6 6 3" xfId="29569" xr:uid="{6A661640-E069-4DD3-B650-B572F9F65EB2}"/>
    <cellStyle name="Percentuale 6 7" xfId="29570" xr:uid="{005E9F91-9A1F-48F9-AAAD-7E7573E12C26}"/>
    <cellStyle name="Percentuale 6 7 2" xfId="49423" xr:uid="{482FEDAB-DC14-471A-BA7B-E10D4209C5CA}"/>
    <cellStyle name="Percentuale 6 8" xfId="29537" xr:uid="{A9E4651E-D681-429A-AEA7-834E1CF6BDC4}"/>
    <cellStyle name="Percentuale 60" xfId="1194" xr:uid="{00000000-0005-0000-0000-000086090000}"/>
    <cellStyle name="Percentuale 60 2" xfId="1195" xr:uid="{00000000-0005-0000-0000-000087090000}"/>
    <cellStyle name="Percentuale 60 2 2" xfId="4494" xr:uid="{9881725C-C786-498F-9F95-96CF2C503E8E}"/>
    <cellStyle name="Percentuale 60 2 2 2" xfId="13618" xr:uid="{1C8ABEF2-A736-4AF8-BC0D-3DA825CD9214}"/>
    <cellStyle name="Percentuale 60 2 2 3" xfId="29573" xr:uid="{D065E1B0-4A46-4985-90FE-A424D49EEA20}"/>
    <cellStyle name="Percentuale 60 2 3" xfId="13356" xr:uid="{8A678A20-9799-4A85-8DC3-B16E8BD6CE24}"/>
    <cellStyle name="Percentuale 60 2 3 2" xfId="29574" xr:uid="{2A6519E6-F846-46D3-9C63-A7A8EE8F386B}"/>
    <cellStyle name="Percentuale 60 2 4" xfId="29575" xr:uid="{010C5DB9-F400-4DA0-B029-716DAC22E78E}"/>
    <cellStyle name="Percentuale 60 2 4 2" xfId="49424" xr:uid="{1C6B8A85-3C32-4DDE-BCAC-89B0E8AD01D8}"/>
    <cellStyle name="Percentuale 60 2 5" xfId="29576" xr:uid="{5EEAD8C1-5E87-4622-BADE-122FF714DB43}"/>
    <cellStyle name="Percentuale 60 2 6" xfId="29572" xr:uid="{23DAC62D-70A1-4C94-858A-BE32414B0975}"/>
    <cellStyle name="Percentuale 60 3" xfId="1196" xr:uid="{00000000-0005-0000-0000-000088090000}"/>
    <cellStyle name="Percentuale 60 3 2" xfId="1197" xr:uid="{00000000-0005-0000-0000-000089090000}"/>
    <cellStyle name="Percentuale 60 3 2 2" xfId="2496" xr:uid="{00000000-0005-0000-0000-00008A090000}"/>
    <cellStyle name="Percentuale 60 3 2 2 2" xfId="29580" xr:uid="{C3FF7AC2-2D85-4444-868C-588C274E2160}"/>
    <cellStyle name="Percentuale 60 3 2 2 3" xfId="29579" xr:uid="{A5D107D2-A963-4833-AAF3-A071FA2EE66A}"/>
    <cellStyle name="Percentuale 60 3 2 3" xfId="8173" xr:uid="{E6935222-48E9-403F-A57D-81F83C4AEBED}"/>
    <cellStyle name="Percentuale 60 3 2 3 2" xfId="14172" xr:uid="{75252928-09A0-4C39-A851-08A07D37ADAE}"/>
    <cellStyle name="Percentuale 60 3 2 3 3" xfId="29581" xr:uid="{14EFBF83-C9AE-453E-9A25-172C1A7C2426}"/>
    <cellStyle name="Percentuale 60 3 2 3 4" xfId="49425" xr:uid="{B5FCE6DF-341F-44A6-8DE0-00ADE9B1EE36}"/>
    <cellStyle name="Percentuale 60 3 2 4" xfId="29582" xr:uid="{53489A28-2831-4DEF-B9AE-2DA93C49D407}"/>
    <cellStyle name="Percentuale 60 3 2 5" xfId="29578" xr:uid="{DE95EC70-4775-4134-8960-68762FEC9027}"/>
    <cellStyle name="Percentuale 60 3 3" xfId="4495" xr:uid="{5A765B27-BD85-4EA1-B9A8-1ECA6E11B6AF}"/>
    <cellStyle name="Percentuale 60 3 3 2" xfId="9566" xr:uid="{1442CF33-93CC-4C96-BDA2-66BD62C213D8}"/>
    <cellStyle name="Percentuale 60 3 3 2 2" xfId="29584" xr:uid="{94519571-BF76-44CD-96BF-9331FCEC99F2}"/>
    <cellStyle name="Percentuale 60 3 3 3" xfId="29585" xr:uid="{D6C80843-2814-4EB2-8712-CA96FE6E5D54}"/>
    <cellStyle name="Percentuale 60 3 3 4" xfId="29586" xr:uid="{1F77BBB5-3B0D-4BAB-A625-2112A88AAC2C}"/>
    <cellStyle name="Percentuale 60 3 3 4 2" xfId="49426" xr:uid="{DCA01F5A-9498-45D9-911B-672C0F47A973}"/>
    <cellStyle name="Percentuale 60 3 3 5" xfId="29583" xr:uid="{01BD1572-F4D5-4261-803B-EAA4D02C9738}"/>
    <cellStyle name="Percentuale 60 3 4" xfId="4496" xr:uid="{2B767809-4FBE-4C42-ADB9-045DCC193EEC}"/>
    <cellStyle name="Percentuale 60 3 4 2" xfId="13833" xr:uid="{FACBD304-6D58-4696-B818-EC10D0315996}"/>
    <cellStyle name="Percentuale 60 3 4 3" xfId="29587" xr:uid="{4CF64615-DCC0-437D-ABCD-D5565A443232}"/>
    <cellStyle name="Percentuale 60 3 5" xfId="11201" xr:uid="{4BE9D2AE-FA1A-4297-8479-2A43632181C5}"/>
    <cellStyle name="Percentuale 60 3 5 2" xfId="29588" xr:uid="{9E9DA3F0-D9D8-4B27-B985-2A0C9E6546E0}"/>
    <cellStyle name="Percentuale 60 3 6" xfId="29589" xr:uid="{577277EF-809A-40DE-B68C-93D93728DDB5}"/>
    <cellStyle name="Percentuale 60 3 6 2" xfId="49427" xr:uid="{DAA71E75-5413-4914-B0E6-7A1CB4052524}"/>
    <cellStyle name="Percentuale 60 3 7" xfId="29590" xr:uid="{9DEDA464-F44B-417B-A8ED-8D14156F129B}"/>
    <cellStyle name="Percentuale 60 3 8" xfId="29577" xr:uid="{4B198F47-CCCF-4563-BD4E-15EAD96F82D1}"/>
    <cellStyle name="Percentuale 60 4" xfId="2497" xr:uid="{00000000-0005-0000-0000-00008B090000}"/>
    <cellStyle name="Percentuale 60 4 2" xfId="2498" xr:uid="{00000000-0005-0000-0000-00008C090000}"/>
    <cellStyle name="Percentuale 60 4 2 2" xfId="9567" xr:uid="{8886770D-4B34-4A6A-B1D1-E623D2A427A6}"/>
    <cellStyle name="Percentuale 60 4 2 2 2" xfId="29593" xr:uid="{78EA6ACB-6939-4AC9-98F1-AB3F11ED6E5C}"/>
    <cellStyle name="Percentuale 60 4 2 3" xfId="17958" xr:uid="{B35C73BB-AF81-452D-9D40-C4388F05EF36}"/>
    <cellStyle name="Percentuale 60 4 2 3 2" xfId="29594" xr:uid="{0828116D-A031-459D-8898-C5486C9D3DD2}"/>
    <cellStyle name="Percentuale 60 4 2 4" xfId="29592" xr:uid="{E1CFB317-A43B-4F74-AF7A-FE2360CBE2E2}"/>
    <cellStyle name="Percentuale 60 4 2 5" xfId="17569" xr:uid="{26340AD0-5964-45C0-92C5-B79556EA34B4}"/>
    <cellStyle name="Percentuale 60 4 3" xfId="9568" xr:uid="{FD207130-3C8F-43CD-861A-5E1F90B78429}"/>
    <cellStyle name="Percentuale 60 4 3 2" xfId="29595" xr:uid="{94CF5867-3482-4081-A35A-13F8BB75601B}"/>
    <cellStyle name="Percentuale 60 4 4" xfId="29596" xr:uid="{E6A40944-63DD-4F23-A39A-80DFBCC6A03D}"/>
    <cellStyle name="Percentuale 60 4 5" xfId="29597" xr:uid="{90BD6F4C-2915-41A0-8BBA-E8E610B21E91}"/>
    <cellStyle name="Percentuale 60 4 5 2" xfId="49428" xr:uid="{370D4144-02F6-427F-8470-CCA22B24ABD6}"/>
    <cellStyle name="Percentuale 60 4 6" xfId="29598" xr:uid="{307C196E-426C-4DF1-9BAF-FF75049FD60B}"/>
    <cellStyle name="Percentuale 60 4 7" xfId="29591" xr:uid="{C60C7040-AE6A-4E35-9455-F464D20D26E6}"/>
    <cellStyle name="Percentuale 60 5" xfId="2499" xr:uid="{00000000-0005-0000-0000-00008D090000}"/>
    <cellStyle name="Percentuale 60 5 2" xfId="29600" xr:uid="{53FA05A4-7171-425A-905C-32BAF5166A59}"/>
    <cellStyle name="Percentuale 60 5 3" xfId="29601" xr:uid="{02A26631-FE43-46B9-969E-8EE464A74638}"/>
    <cellStyle name="Percentuale 60 5 3 2" xfId="49429" xr:uid="{9A97B28A-C79C-411F-9432-37B05034C1B7}"/>
    <cellStyle name="Percentuale 60 5 4" xfId="29602" xr:uid="{CA7246CB-E1EF-4449-ADA3-C519EE96917D}"/>
    <cellStyle name="Percentuale 60 5 5" xfId="29599" xr:uid="{57700B57-D4CA-4D66-AF75-B1424DDE6BDC}"/>
    <cellStyle name="Percentuale 60 6" xfId="4497" xr:uid="{7DD6DA45-4593-45F1-9140-05DC713798E4}"/>
    <cellStyle name="Percentuale 60 6 2" xfId="9867" xr:uid="{5E1F2FD4-201B-44CC-B7A2-0D5D2A47C446}"/>
    <cellStyle name="Percentuale 60 6 3" xfId="29603" xr:uid="{11741D0A-24AF-4A21-99D5-B1D30B20B5F0}"/>
    <cellStyle name="Percentuale 60 7" xfId="29604" xr:uid="{5D092859-A663-4A59-8338-81C4CA2A1FD8}"/>
    <cellStyle name="Percentuale 60 7 2" xfId="49430" xr:uid="{41EFF7E0-B5BE-49D3-A966-6DB07CDB1734}"/>
    <cellStyle name="Percentuale 60 8" xfId="29571" xr:uid="{E10FBE44-A06B-4C7F-840F-14E82CFABB98}"/>
    <cellStyle name="Percentuale 61" xfId="1198" xr:uid="{00000000-0005-0000-0000-00008E090000}"/>
    <cellStyle name="Percentuale 61 2" xfId="1199" xr:uid="{00000000-0005-0000-0000-00008F090000}"/>
    <cellStyle name="Percentuale 61 2 2" xfId="4498" xr:uid="{1043D732-06C1-494A-8B64-0E79BE32EE23}"/>
    <cellStyle name="Percentuale 61 2 2 2" xfId="13619" xr:uid="{DBF84362-D028-48FB-84C4-B294BA3D57A0}"/>
    <cellStyle name="Percentuale 61 2 2 3" xfId="29607" xr:uid="{6C9ADC8A-067A-4AA7-88CD-BC6D42D9EA55}"/>
    <cellStyle name="Percentuale 61 2 3" xfId="13357" xr:uid="{8DF155A4-9DA6-4615-BBBC-E8A7F40ED5AF}"/>
    <cellStyle name="Percentuale 61 2 3 2" xfId="29608" xr:uid="{434F2489-D46A-4581-BB42-B21F9C25745F}"/>
    <cellStyle name="Percentuale 61 2 4" xfId="29609" xr:uid="{E0E49727-7CD1-4637-8361-0AA7CA611F12}"/>
    <cellStyle name="Percentuale 61 2 4 2" xfId="49431" xr:uid="{4710665F-0DE3-40B8-A6F1-3AC8E435481A}"/>
    <cellStyle name="Percentuale 61 2 5" xfId="29610" xr:uid="{866F663E-8A77-46D0-8D2D-63C4C50A2F3E}"/>
    <cellStyle name="Percentuale 61 2 6" xfId="29606" xr:uid="{74D48BAF-0571-4A47-A58C-2A076D29F03F}"/>
    <cellStyle name="Percentuale 61 3" xfId="1200" xr:uid="{00000000-0005-0000-0000-000090090000}"/>
    <cellStyle name="Percentuale 61 3 2" xfId="1201" xr:uid="{00000000-0005-0000-0000-000091090000}"/>
    <cellStyle name="Percentuale 61 3 2 2" xfId="2500" xr:uid="{00000000-0005-0000-0000-000092090000}"/>
    <cellStyle name="Percentuale 61 3 2 2 2" xfId="29614" xr:uid="{C0925ED9-1225-4C04-8F59-6060C2CE130E}"/>
    <cellStyle name="Percentuale 61 3 2 2 3" xfId="29613" xr:uid="{F7382C00-0E52-49DF-B854-0EACF658EF92}"/>
    <cellStyle name="Percentuale 61 3 2 3" xfId="8174" xr:uid="{31CADEB8-140B-4B83-83DC-26171A365832}"/>
    <cellStyle name="Percentuale 61 3 2 3 2" xfId="14173" xr:uid="{9E2FAE68-B5AF-4EE5-BD77-2948F13EDF84}"/>
    <cellStyle name="Percentuale 61 3 2 3 3" xfId="29615" xr:uid="{9AC674C8-AC74-4F38-BF76-E1BB276D6B7F}"/>
    <cellStyle name="Percentuale 61 3 2 3 4" xfId="49432" xr:uid="{5031FA35-7AD9-4C28-A896-FFA920C0F626}"/>
    <cellStyle name="Percentuale 61 3 2 4" xfId="29616" xr:uid="{883D0C5B-2AEF-43B8-ABF6-2825A2D6D8E4}"/>
    <cellStyle name="Percentuale 61 3 2 5" xfId="29612" xr:uid="{72BB8EDE-0684-40B7-BD84-EE6DDB83190C}"/>
    <cellStyle name="Percentuale 61 3 3" xfId="4499" xr:uid="{0B579BCD-FA2E-4E8B-A833-5BA539FBD773}"/>
    <cellStyle name="Percentuale 61 3 3 2" xfId="9569" xr:uid="{ED78678A-AFE8-4720-ADF5-7A3DB32F3DC3}"/>
    <cellStyle name="Percentuale 61 3 3 2 2" xfId="29618" xr:uid="{4E4BFC5C-F3C7-485F-B819-D31ACAD1B7B0}"/>
    <cellStyle name="Percentuale 61 3 3 3" xfId="29619" xr:uid="{9564D307-8C1C-4C6D-94B7-1EBDE3661879}"/>
    <cellStyle name="Percentuale 61 3 3 4" xfId="29620" xr:uid="{E183C71E-A1EF-444E-9F23-E2BE36567578}"/>
    <cellStyle name="Percentuale 61 3 3 4 2" xfId="49433" xr:uid="{8C9171A4-2BBF-465E-B005-AFE2FEA599A3}"/>
    <cellStyle name="Percentuale 61 3 3 5" xfId="29617" xr:uid="{BF45CBCC-9434-4793-B828-7618A05B311D}"/>
    <cellStyle name="Percentuale 61 3 4" xfId="4500" xr:uid="{58A199FC-403B-4D02-8716-D144488EF6B6}"/>
    <cellStyle name="Percentuale 61 3 4 2" xfId="13834" xr:uid="{FC3FD968-5322-43F0-A35C-670A2668B22C}"/>
    <cellStyle name="Percentuale 61 3 4 3" xfId="29621" xr:uid="{C93C15AE-2371-45AC-9E4C-6AB2AB0EE6B8}"/>
    <cellStyle name="Percentuale 61 3 5" xfId="11200" xr:uid="{33545A0D-1A7B-4536-A040-464FCC4B7A50}"/>
    <cellStyle name="Percentuale 61 3 5 2" xfId="29622" xr:uid="{8EF6FE3D-7D92-4C91-A628-4116DFBB9B69}"/>
    <cellStyle name="Percentuale 61 3 6" xfId="29623" xr:uid="{10B678F4-AB5F-4C6E-AD87-2287484F85C5}"/>
    <cellStyle name="Percentuale 61 3 6 2" xfId="49434" xr:uid="{5E6762A1-E4BE-424F-BD4B-3B00A2964AE6}"/>
    <cellStyle name="Percentuale 61 3 7" xfId="29624" xr:uid="{6F425E2D-474D-47F3-AC14-50256848605F}"/>
    <cellStyle name="Percentuale 61 3 8" xfId="29611" xr:uid="{3E28E5AC-02AD-4CCF-8D80-074CD4BD4AE8}"/>
    <cellStyle name="Percentuale 61 4" xfId="2501" xr:uid="{00000000-0005-0000-0000-000093090000}"/>
    <cellStyle name="Percentuale 61 4 2" xfId="2502" xr:uid="{00000000-0005-0000-0000-000094090000}"/>
    <cellStyle name="Percentuale 61 4 2 2" xfId="9570" xr:uid="{C285037E-2A4E-451B-8AB8-C62748642E68}"/>
    <cellStyle name="Percentuale 61 4 2 2 2" xfId="29627" xr:uid="{2416C7AB-DFB9-4484-8838-C0B9D1F18207}"/>
    <cellStyle name="Percentuale 61 4 2 3" xfId="17959" xr:uid="{E2CFFE59-ED1A-424B-A9EE-0F3545F7AD65}"/>
    <cellStyle name="Percentuale 61 4 2 3 2" xfId="29628" xr:uid="{DCEEFF1A-D28B-4163-BA63-B60A2C3CEC8E}"/>
    <cellStyle name="Percentuale 61 4 2 4" xfId="29626" xr:uid="{B599E7D0-9733-431C-BC91-E60015546E97}"/>
    <cellStyle name="Percentuale 61 4 2 5" xfId="17570" xr:uid="{28E798FF-B799-4B74-9E84-459544268DA6}"/>
    <cellStyle name="Percentuale 61 4 3" xfId="9571" xr:uid="{B2224D14-1EC2-4E19-A8BE-C07B9BDE4ADF}"/>
    <cellStyle name="Percentuale 61 4 3 2" xfId="29629" xr:uid="{E881BF24-E7BB-4731-8986-7EA9F92D0877}"/>
    <cellStyle name="Percentuale 61 4 4" xfId="29630" xr:uid="{CEDE2DAB-2B21-4A22-B69B-921030490F7D}"/>
    <cellStyle name="Percentuale 61 4 5" xfId="29631" xr:uid="{BAEBAE86-9CF9-4053-AEE2-470ADFC5F92D}"/>
    <cellStyle name="Percentuale 61 4 5 2" xfId="49435" xr:uid="{4EC29051-FE21-4A65-AC91-06D1B4E6F3FB}"/>
    <cellStyle name="Percentuale 61 4 6" xfId="29632" xr:uid="{45DB2FBF-C1B7-4B37-B46B-2A1505BA0B05}"/>
    <cellStyle name="Percentuale 61 4 7" xfId="29625" xr:uid="{29D3688D-DD27-482E-B02E-8FE519C9E3F1}"/>
    <cellStyle name="Percentuale 61 5" xfId="2503" xr:uid="{00000000-0005-0000-0000-000095090000}"/>
    <cellStyle name="Percentuale 61 5 2" xfId="29634" xr:uid="{81C9B318-190F-4AD7-AD72-CB712F78E45B}"/>
    <cellStyle name="Percentuale 61 5 3" xfId="29635" xr:uid="{772EF78A-E71A-4E6F-8210-D43FDBFD8F6B}"/>
    <cellStyle name="Percentuale 61 5 3 2" xfId="49436" xr:uid="{ABD29077-83C0-495B-BDB7-F527C099BD6A}"/>
    <cellStyle name="Percentuale 61 5 4" xfId="29636" xr:uid="{E6BC9C25-4E1C-4C67-AEB5-85E2637D10F0}"/>
    <cellStyle name="Percentuale 61 5 5" xfId="29633" xr:uid="{710A80B5-6ED4-4E7D-9F40-8CB5015BCD5A}"/>
    <cellStyle name="Percentuale 61 6" xfId="4501" xr:uid="{64048847-2465-466E-9465-CDED2EE68F49}"/>
    <cellStyle name="Percentuale 61 6 2" xfId="9868" xr:uid="{476BC4C3-C462-4B8D-B06D-ECAEB2756309}"/>
    <cellStyle name="Percentuale 61 6 3" xfId="29637" xr:uid="{7DDEC868-3D81-4E49-92C9-C99D919D85FB}"/>
    <cellStyle name="Percentuale 61 7" xfId="29638" xr:uid="{0078F36C-4ECD-44F8-9D41-7EB9E0B0F503}"/>
    <cellStyle name="Percentuale 61 7 2" xfId="49437" xr:uid="{F7F00D93-6978-4C3E-979A-D07A57762391}"/>
    <cellStyle name="Percentuale 61 8" xfId="29605" xr:uid="{C811F750-1208-4EB0-9E98-2FEA3E5527F2}"/>
    <cellStyle name="Percentuale 62" xfId="1202" xr:uid="{00000000-0005-0000-0000-000096090000}"/>
    <cellStyle name="Percentuale 62 2" xfId="1203" xr:uid="{00000000-0005-0000-0000-000097090000}"/>
    <cellStyle name="Percentuale 62 2 2" xfId="13620" xr:uid="{B009C8E2-DC92-43B3-AC61-46DBBFE4E2BE}"/>
    <cellStyle name="Percentuale 62 2 2 2" xfId="29641" xr:uid="{0BB268A8-030F-4FF1-AB0C-7AC0246FD55C}"/>
    <cellStyle name="Percentuale 62 2 3" xfId="29640" xr:uid="{13D33E6C-74C1-448D-BB32-EBAC193D48B4}"/>
    <cellStyle name="Percentuale 62 3" xfId="13358" xr:uid="{2110C1AD-A63E-4E21-BFFB-186A6588E00B}"/>
    <cellStyle name="Percentuale 62 3 2" xfId="29642" xr:uid="{170DB570-23CC-4B41-B5E3-88C335BEDD5A}"/>
    <cellStyle name="Percentuale 62 4" xfId="29643" xr:uid="{1754BC11-FD27-49DB-B2DD-D1B452160B76}"/>
    <cellStyle name="Percentuale 62 4 2" xfId="49438" xr:uid="{DF274661-D806-407F-9BBF-78FFB0F7C5AD}"/>
    <cellStyle name="Percentuale 62 5" xfId="29639" xr:uid="{AAF6B4C2-C3AD-442A-B12F-99F21A45B3C5}"/>
    <cellStyle name="Percentuale 63" xfId="1204" xr:uid="{00000000-0005-0000-0000-000098090000}"/>
    <cellStyle name="Percentuale 63 2" xfId="1205" xr:uid="{00000000-0005-0000-0000-000099090000}"/>
    <cellStyle name="Percentuale 63 2 2" xfId="13621" xr:uid="{713EDA75-C3E9-4CC2-BE80-67A0F8BE2E3F}"/>
    <cellStyle name="Percentuale 63 2 2 2" xfId="29646" xr:uid="{5FB946CF-7195-4869-9951-1345E990FA3F}"/>
    <cellStyle name="Percentuale 63 2 3" xfId="29645" xr:uid="{58DDF791-457C-4689-B939-00D97E98B67F}"/>
    <cellStyle name="Percentuale 63 3" xfId="13359" xr:uid="{66C0299A-903E-4F23-A993-B4819572011F}"/>
    <cellStyle name="Percentuale 63 3 2" xfId="29647" xr:uid="{AB211FC0-CF59-40DD-8733-206B08FA7786}"/>
    <cellStyle name="Percentuale 63 4" xfId="29648" xr:uid="{33ABD1E5-BE3A-4700-8755-2A05D11B7B36}"/>
    <cellStyle name="Percentuale 63 4 2" xfId="49439" xr:uid="{4AA914EC-1116-4E16-8B2E-7DD264F92BC5}"/>
    <cellStyle name="Percentuale 63 5" xfId="29644" xr:uid="{948E352A-1485-46BD-A153-7E4A6E26FCD2}"/>
    <cellStyle name="Percentuale 64" xfId="1206" xr:uid="{00000000-0005-0000-0000-00009A090000}"/>
    <cellStyle name="Percentuale 64 2" xfId="1207" xr:uid="{00000000-0005-0000-0000-00009B090000}"/>
    <cellStyle name="Percentuale 64 2 2" xfId="13622" xr:uid="{5943995F-DE8E-42B6-A7AA-300C8184F57B}"/>
    <cellStyle name="Percentuale 64 2 2 2" xfId="29651" xr:uid="{8995B203-316E-437A-9BD2-774EBECC4577}"/>
    <cellStyle name="Percentuale 64 2 3" xfId="29650" xr:uid="{8A70A783-E1DC-4159-93E9-8694719A8B14}"/>
    <cellStyle name="Percentuale 64 3" xfId="13360" xr:uid="{6EF1905D-D511-46F4-8071-A05327CC8F16}"/>
    <cellStyle name="Percentuale 64 3 2" xfId="29652" xr:uid="{86FB410E-2A79-42A6-BAD7-F947954553B5}"/>
    <cellStyle name="Percentuale 64 4" xfId="29653" xr:uid="{D38C508E-B708-4CE0-82D4-656C8AACAF67}"/>
    <cellStyle name="Percentuale 64 4 2" xfId="49440" xr:uid="{8AD71DDF-0784-40A1-A1B9-A254962B7651}"/>
    <cellStyle name="Percentuale 64 5" xfId="29649" xr:uid="{2EA9ECB2-09A9-47A8-9542-11E843EFFEB1}"/>
    <cellStyle name="Percentuale 65" xfId="1208" xr:uid="{00000000-0005-0000-0000-00009C090000}"/>
    <cellStyle name="Percentuale 65 2" xfId="1209" xr:uid="{00000000-0005-0000-0000-00009D090000}"/>
    <cellStyle name="Percentuale 65 2 2" xfId="13623" xr:uid="{F74DDE5E-B324-43A2-BE2D-8B785DDDD448}"/>
    <cellStyle name="Percentuale 65 2 2 2" xfId="29656" xr:uid="{62431624-1D59-4843-BD85-B142ADB0108E}"/>
    <cellStyle name="Percentuale 65 2 3" xfId="29655" xr:uid="{E26EA4DF-6B16-4868-BCC9-CEABDBF9EF1F}"/>
    <cellStyle name="Percentuale 65 3" xfId="13361" xr:uid="{96AADDBD-08A9-405E-820F-DFD11122B93E}"/>
    <cellStyle name="Percentuale 65 3 2" xfId="29657" xr:uid="{EB38AE11-5BEA-4FC2-BEBE-829E50E53A4A}"/>
    <cellStyle name="Percentuale 65 4" xfId="29658" xr:uid="{A1C24108-9AF5-4E15-A556-72294937A41E}"/>
    <cellStyle name="Percentuale 65 4 2" xfId="49441" xr:uid="{E1E940EF-ACCA-45C7-B16A-CD4C84755E58}"/>
    <cellStyle name="Percentuale 65 5" xfId="29654" xr:uid="{CB6B3F49-DB0A-4CA5-9E7B-7E7F6ABFA6A9}"/>
    <cellStyle name="Percentuale 66" xfId="1210" xr:uid="{00000000-0005-0000-0000-00009E090000}"/>
    <cellStyle name="Percentuale 66 2" xfId="1211" xr:uid="{00000000-0005-0000-0000-00009F090000}"/>
    <cellStyle name="Percentuale 66 2 2" xfId="13624" xr:uid="{FD98CB60-7D1F-47A7-B498-461C3D08C41C}"/>
    <cellStyle name="Percentuale 66 2 2 2" xfId="29661" xr:uid="{650051FC-5879-497B-9DE5-B73A0F0A55DB}"/>
    <cellStyle name="Percentuale 66 2 3" xfId="29660" xr:uid="{EB51E01F-727E-4CCA-AC0A-681A5347ABE0}"/>
    <cellStyle name="Percentuale 66 3" xfId="13362" xr:uid="{30812E57-307C-4CA3-ADC5-3A0042143815}"/>
    <cellStyle name="Percentuale 66 3 2" xfId="29662" xr:uid="{CE11AB59-0A8A-4CE3-AB2C-4D6E7EDCA983}"/>
    <cellStyle name="Percentuale 66 4" xfId="29663" xr:uid="{6E7750AA-FB98-4476-9E0B-91A2F6C135A3}"/>
    <cellStyle name="Percentuale 66 4 2" xfId="49442" xr:uid="{A2CE3BE0-332D-4850-97BC-B2D74DACF242}"/>
    <cellStyle name="Percentuale 66 5" xfId="29659" xr:uid="{85B48052-6E19-4AD1-ACC8-5B054D0A44D8}"/>
    <cellStyle name="Percentuale 67" xfId="1212" xr:uid="{00000000-0005-0000-0000-0000A0090000}"/>
    <cellStyle name="Percentuale 67 2" xfId="1213" xr:uid="{00000000-0005-0000-0000-0000A1090000}"/>
    <cellStyle name="Percentuale 67 2 2" xfId="13625" xr:uid="{3E102B55-0C59-4C8C-B6F2-60D27F4A8674}"/>
    <cellStyle name="Percentuale 67 2 2 2" xfId="29666" xr:uid="{04EF07E7-7530-426C-BF9C-8761C653E292}"/>
    <cellStyle name="Percentuale 67 2 3" xfId="29665" xr:uid="{D9D1F753-F61E-451B-BEC3-D3FB16AF5203}"/>
    <cellStyle name="Percentuale 67 3" xfId="13363" xr:uid="{485F0178-CE29-4CAD-BC75-C9096AD8ED41}"/>
    <cellStyle name="Percentuale 67 3 2" xfId="29667" xr:uid="{98572E6A-7834-4A69-8E70-C14E61D0559E}"/>
    <cellStyle name="Percentuale 67 4" xfId="29668" xr:uid="{1A01B8DE-CBBD-48B7-9116-3ED21D4D6469}"/>
    <cellStyle name="Percentuale 67 4 2" xfId="49443" xr:uid="{03623A3A-3331-4249-ACCB-DC38F707C704}"/>
    <cellStyle name="Percentuale 67 5" xfId="29664" xr:uid="{4BAA790C-F084-45D5-8EAC-C9E3CEDD2306}"/>
    <cellStyle name="Percentuale 68" xfId="1214" xr:uid="{00000000-0005-0000-0000-0000A2090000}"/>
    <cellStyle name="Percentuale 68 2" xfId="1215" xr:uid="{00000000-0005-0000-0000-0000A3090000}"/>
    <cellStyle name="Percentuale 68 2 2" xfId="4502" xr:uid="{BACC67DC-0D10-4A0C-8653-C032F3F4ECAE}"/>
    <cellStyle name="Percentuale 68 2 2 2" xfId="13626" xr:uid="{50DFAC7F-9D83-45EB-9395-D9E47EBF1984}"/>
    <cellStyle name="Percentuale 68 2 2 3" xfId="29671" xr:uid="{EF2D6559-6607-4A31-9033-247AB0E4604C}"/>
    <cellStyle name="Percentuale 68 2 3" xfId="13364" xr:uid="{DBCBE200-D3EF-412E-9BB4-25C9D753C073}"/>
    <cellStyle name="Percentuale 68 2 3 2" xfId="29672" xr:uid="{C3FF57A4-3EC8-4003-83DE-751F80A472FE}"/>
    <cellStyle name="Percentuale 68 2 4" xfId="29673" xr:uid="{99ACACE2-887B-46D4-A8E6-5362CD56595D}"/>
    <cellStyle name="Percentuale 68 2 4 2" xfId="49444" xr:uid="{D0C535EE-9BBD-45EE-B895-C0BCD23FD5E8}"/>
    <cellStyle name="Percentuale 68 2 5" xfId="29674" xr:uid="{174390A2-5CA2-41B8-9799-4A6282BF28A7}"/>
    <cellStyle name="Percentuale 68 2 6" xfId="29670" xr:uid="{B7870020-1ED5-47AD-82FE-7D3343913817}"/>
    <cellStyle name="Percentuale 68 3" xfId="1216" xr:uid="{00000000-0005-0000-0000-0000A4090000}"/>
    <cellStyle name="Percentuale 68 3 2" xfId="1217" xr:uid="{00000000-0005-0000-0000-0000A5090000}"/>
    <cellStyle name="Percentuale 68 3 2 2" xfId="2504" xr:uid="{00000000-0005-0000-0000-0000A6090000}"/>
    <cellStyle name="Percentuale 68 3 2 2 2" xfId="29678" xr:uid="{6F8E79E7-16AC-4255-9D42-6571A6761A14}"/>
    <cellStyle name="Percentuale 68 3 2 2 3" xfId="29677" xr:uid="{3BB3F52B-A8AD-4C5A-BB51-8194D23BCADE}"/>
    <cellStyle name="Percentuale 68 3 2 3" xfId="8175" xr:uid="{A3E57BD5-FBCE-46C2-8686-567DDE9B84B9}"/>
    <cellStyle name="Percentuale 68 3 2 3 2" xfId="14174" xr:uid="{8FD4E824-65E0-4FB0-8328-634DDAA7D5CC}"/>
    <cellStyle name="Percentuale 68 3 2 3 3" xfId="29679" xr:uid="{F401E9E4-813F-43FC-995A-C05094ED3F56}"/>
    <cellStyle name="Percentuale 68 3 2 3 4" xfId="49445" xr:uid="{A90426A4-5018-4890-B9D6-D6D32BF4CB36}"/>
    <cellStyle name="Percentuale 68 3 2 4" xfId="29680" xr:uid="{D1360AC5-FBC2-41F1-ADD5-46DC035AF53B}"/>
    <cellStyle name="Percentuale 68 3 2 5" xfId="29676" xr:uid="{AED2FD4E-FC3C-4D07-AF4A-BFBFCAD66111}"/>
    <cellStyle name="Percentuale 68 3 3" xfId="4503" xr:uid="{DC9ED9B7-0593-4684-B2BF-E5BDE9B5FE35}"/>
    <cellStyle name="Percentuale 68 3 3 2" xfId="9572" xr:uid="{11266A0B-3446-4B4D-AF00-25F0B0CD7F64}"/>
    <cellStyle name="Percentuale 68 3 3 2 2" xfId="29682" xr:uid="{95253A3E-87EA-4C50-80CA-4051F0CE33B6}"/>
    <cellStyle name="Percentuale 68 3 3 3" xfId="29683" xr:uid="{349E56F0-C68D-4788-9424-54FAE2BE865F}"/>
    <cellStyle name="Percentuale 68 3 3 4" xfId="29684" xr:uid="{29CD0E2E-B5B6-4A88-B414-6B7EDE154F25}"/>
    <cellStyle name="Percentuale 68 3 3 4 2" xfId="49446" xr:uid="{B32E4EDA-BA28-44A6-8FFB-C517D474A4B9}"/>
    <cellStyle name="Percentuale 68 3 3 5" xfId="29681" xr:uid="{2D711496-7380-4F5C-8D76-B7F6D13A4FA7}"/>
    <cellStyle name="Percentuale 68 3 4" xfId="4504" xr:uid="{476AD549-44A6-4B35-B9D7-2515E2929DA2}"/>
    <cellStyle name="Percentuale 68 3 4 2" xfId="13835" xr:uid="{7312BD12-A52D-4B01-B256-6B55D4F5B808}"/>
    <cellStyle name="Percentuale 68 3 4 3" xfId="29685" xr:uid="{101803FC-FF32-4654-B106-CC175944C89F}"/>
    <cellStyle name="Percentuale 68 3 5" xfId="11416" xr:uid="{32380FDD-24A6-4A39-B415-68FD78C71773}"/>
    <cellStyle name="Percentuale 68 3 5 2" xfId="29686" xr:uid="{310F06A9-0432-4BF7-8313-DD8D72F9F698}"/>
    <cellStyle name="Percentuale 68 3 6" xfId="29687" xr:uid="{BB1D4C39-47EC-473C-953E-BEFBFD3955C8}"/>
    <cellStyle name="Percentuale 68 3 6 2" xfId="49447" xr:uid="{DDAAA16E-BCD0-46F1-9179-AE740580DBB3}"/>
    <cellStyle name="Percentuale 68 3 7" xfId="29688" xr:uid="{3841E96E-E503-48D8-B18A-0A726E9D3899}"/>
    <cellStyle name="Percentuale 68 3 8" xfId="29675" xr:uid="{86337EF2-B695-4B2B-B108-D0442BB0C6CD}"/>
    <cellStyle name="Percentuale 68 4" xfId="2505" xr:uid="{00000000-0005-0000-0000-0000A7090000}"/>
    <cellStyle name="Percentuale 68 4 2" xfId="2506" xr:uid="{00000000-0005-0000-0000-0000A8090000}"/>
    <cellStyle name="Percentuale 68 4 2 2" xfId="9573" xr:uid="{372D155D-A027-46E0-BF9B-9A2479B33DEB}"/>
    <cellStyle name="Percentuale 68 4 2 2 2" xfId="29691" xr:uid="{787FB55A-7DD1-4B0C-8506-E49E16467649}"/>
    <cellStyle name="Percentuale 68 4 2 3" xfId="17960" xr:uid="{582C9826-11A6-4F16-B482-F95B35827E48}"/>
    <cellStyle name="Percentuale 68 4 2 3 2" xfId="29692" xr:uid="{EFFA5904-D127-4BE3-834E-9D14F834CC71}"/>
    <cellStyle name="Percentuale 68 4 2 4" xfId="29690" xr:uid="{C7C63B6C-224B-466B-8F49-4CA6729D3B8A}"/>
    <cellStyle name="Percentuale 68 4 2 5" xfId="17571" xr:uid="{2DF643DB-E390-4F2B-807C-912E7F551F37}"/>
    <cellStyle name="Percentuale 68 4 3" xfId="9574" xr:uid="{9E73BB35-45DF-4F18-99F9-9C959CBC764C}"/>
    <cellStyle name="Percentuale 68 4 3 2" xfId="29693" xr:uid="{E312A389-CF63-4BCA-8D2E-1F759A9F2748}"/>
    <cellStyle name="Percentuale 68 4 4" xfId="29694" xr:uid="{D4792DE0-20BD-49FF-9B0E-842D3793DCFF}"/>
    <cellStyle name="Percentuale 68 4 5" xfId="29695" xr:uid="{B3B1DF29-272C-4AC0-A612-CFCB49146CAD}"/>
    <cellStyle name="Percentuale 68 4 5 2" xfId="49448" xr:uid="{377E0D85-F796-4155-B877-5EFE21E7F0A9}"/>
    <cellStyle name="Percentuale 68 4 6" xfId="29696" xr:uid="{E5657AE4-8388-4A2F-96FD-F7A59A4F100A}"/>
    <cellStyle name="Percentuale 68 4 7" xfId="29689" xr:uid="{9DF5FA44-C743-4123-B300-ED30B23996FA}"/>
    <cellStyle name="Percentuale 68 5" xfId="2507" xr:uid="{00000000-0005-0000-0000-0000A9090000}"/>
    <cellStyle name="Percentuale 68 5 2" xfId="29698" xr:uid="{A5E7DFCF-B815-49EB-821E-90880CCA1858}"/>
    <cellStyle name="Percentuale 68 5 3" xfId="29699" xr:uid="{59DD4645-F9FC-4D64-AB38-96C7456B650C}"/>
    <cellStyle name="Percentuale 68 5 3 2" xfId="49449" xr:uid="{BDE339CA-587D-4654-8C38-B97BBDED6E06}"/>
    <cellStyle name="Percentuale 68 5 4" xfId="29700" xr:uid="{7D3CCFBB-EAB0-420C-B583-7C62AB030143}"/>
    <cellStyle name="Percentuale 68 5 5" xfId="29697" xr:uid="{A63FB806-16C8-41DB-B77C-C0F4A471648D}"/>
    <cellStyle name="Percentuale 68 6" xfId="4505" xr:uid="{B04B8D4B-5750-4393-9BCE-86DA715AD844}"/>
    <cellStyle name="Percentuale 68 6 2" xfId="9869" xr:uid="{B75E802B-4634-4519-8B31-4A102F9D9837}"/>
    <cellStyle name="Percentuale 68 6 3" xfId="29701" xr:uid="{E10EAE6E-E77F-40B2-A848-5082CB2450CF}"/>
    <cellStyle name="Percentuale 68 7" xfId="29702" xr:uid="{E1862F86-9CB4-404C-BCAF-A211C044B33F}"/>
    <cellStyle name="Percentuale 68 7 2" xfId="49450" xr:uid="{8A7BFE73-D795-496F-8B8E-7FE26F200BB1}"/>
    <cellStyle name="Percentuale 68 8" xfId="29669" xr:uid="{8024F8B8-D632-48C1-8FBA-268E9D9819BA}"/>
    <cellStyle name="Percentuale 69" xfId="1218" xr:uid="{00000000-0005-0000-0000-0000AA090000}"/>
    <cellStyle name="Percentuale 69 2" xfId="1219" xr:uid="{00000000-0005-0000-0000-0000AB090000}"/>
    <cellStyle name="Percentuale 69 2 2" xfId="4506" xr:uid="{23DB9E88-DEBE-4954-BEC1-3C3828A60C5B}"/>
    <cellStyle name="Percentuale 69 2 2 2" xfId="13627" xr:uid="{A201E9D4-A9D3-434F-A7F3-D461508CE602}"/>
    <cellStyle name="Percentuale 69 2 2 3" xfId="29705" xr:uid="{D70D9252-85EC-436B-90C8-037A0975409B}"/>
    <cellStyle name="Percentuale 69 2 3" xfId="13365" xr:uid="{70D6AD91-3AC1-414D-BB7D-929C9F846997}"/>
    <cellStyle name="Percentuale 69 2 3 2" xfId="29706" xr:uid="{D9A313D6-F993-425D-866C-037D3BBC77BF}"/>
    <cellStyle name="Percentuale 69 2 4" xfId="29707" xr:uid="{B55CD023-7D4A-4340-8795-1963D55977D2}"/>
    <cellStyle name="Percentuale 69 2 4 2" xfId="49451" xr:uid="{00AA4B84-514C-43A2-AB52-5F382A091F4E}"/>
    <cellStyle name="Percentuale 69 2 5" xfId="29708" xr:uid="{28A0CEF0-A81B-4938-A4D2-AF1D768F8521}"/>
    <cellStyle name="Percentuale 69 2 6" xfId="29704" xr:uid="{F8103D3E-D78B-4730-86D2-546D6D3E3F7D}"/>
    <cellStyle name="Percentuale 69 3" xfId="1220" xr:uid="{00000000-0005-0000-0000-0000AC090000}"/>
    <cellStyle name="Percentuale 69 3 2" xfId="1221" xr:uid="{00000000-0005-0000-0000-0000AD090000}"/>
    <cellStyle name="Percentuale 69 3 2 2" xfId="2508" xr:uid="{00000000-0005-0000-0000-0000AE090000}"/>
    <cellStyle name="Percentuale 69 3 2 2 2" xfId="29712" xr:uid="{A38213E7-880F-454C-ABEA-9025914A4988}"/>
    <cellStyle name="Percentuale 69 3 2 2 3" xfId="29711" xr:uid="{1E1B78BC-AEF5-41D0-AC6E-9AC516A000B8}"/>
    <cellStyle name="Percentuale 69 3 2 3" xfId="8176" xr:uid="{2B7BCEAE-E72F-4215-B4DA-10CC74242FAE}"/>
    <cellStyle name="Percentuale 69 3 2 3 2" xfId="14175" xr:uid="{179C5A7D-8C83-4C6B-90CA-375DDA0FE06A}"/>
    <cellStyle name="Percentuale 69 3 2 3 3" xfId="29713" xr:uid="{DEA49ADE-7C24-4E82-BBBE-8623E273B0AF}"/>
    <cellStyle name="Percentuale 69 3 2 3 4" xfId="49452" xr:uid="{56F43024-0CEF-4316-ABF6-FA05DBB76E4A}"/>
    <cellStyle name="Percentuale 69 3 2 4" xfId="29714" xr:uid="{8E04E9E5-E00C-4AC1-9BE1-A8A7CF17836D}"/>
    <cellStyle name="Percentuale 69 3 2 5" xfId="29710" xr:uid="{A8A25314-7C6A-4309-B586-667442050917}"/>
    <cellStyle name="Percentuale 69 3 3" xfId="4507" xr:uid="{F23C2736-47A1-4534-B738-9D35C0CD0C5F}"/>
    <cellStyle name="Percentuale 69 3 3 2" xfId="9575" xr:uid="{3A90F4BB-B014-4C6A-B006-145E479D9B69}"/>
    <cellStyle name="Percentuale 69 3 3 2 2" xfId="29716" xr:uid="{585717FF-C566-461B-940B-34019324C441}"/>
    <cellStyle name="Percentuale 69 3 3 3" xfId="29717" xr:uid="{F7511932-61B1-43D4-B3B5-339AB99A2433}"/>
    <cellStyle name="Percentuale 69 3 3 4" xfId="29718" xr:uid="{C1F96DD4-02DF-4051-8ED4-00A18F745463}"/>
    <cellStyle name="Percentuale 69 3 3 4 2" xfId="49453" xr:uid="{7ECD832B-8CC9-43D1-B3BA-9C052E9AC58D}"/>
    <cellStyle name="Percentuale 69 3 3 5" xfId="29715" xr:uid="{8619D1AB-AF37-4A8E-BCAB-41015124FE59}"/>
    <cellStyle name="Percentuale 69 3 4" xfId="4508" xr:uid="{6EB096BA-F89C-46F3-B69D-C62A77C9EFB4}"/>
    <cellStyle name="Percentuale 69 3 4 2" xfId="13836" xr:uid="{17D464DC-D844-46E6-A9F2-69E222E94E06}"/>
    <cellStyle name="Percentuale 69 3 4 3" xfId="29719" xr:uid="{8D2F8E31-0C53-446C-97CC-356EB7395C57}"/>
    <cellStyle name="Percentuale 69 3 5" xfId="12265" xr:uid="{AC8B01EC-6BDE-461D-A84D-DFC27DB35E28}"/>
    <cellStyle name="Percentuale 69 3 5 2" xfId="29720" xr:uid="{B2E203E7-9D01-4D7B-A524-3FD38AF6BE72}"/>
    <cellStyle name="Percentuale 69 3 6" xfId="29721" xr:uid="{224A2D02-C496-4489-AFF5-28F0D17C5590}"/>
    <cellStyle name="Percentuale 69 3 6 2" xfId="49454" xr:uid="{41E1702F-0A9D-4CCA-885E-F1E82234A44F}"/>
    <cellStyle name="Percentuale 69 3 7" xfId="29722" xr:uid="{B6162627-0882-4322-BD0D-24E4E9E53F73}"/>
    <cellStyle name="Percentuale 69 3 8" xfId="29709" xr:uid="{5FB2A9E2-1985-46A1-A767-D5C8E2CF938C}"/>
    <cellStyle name="Percentuale 69 4" xfId="2509" xr:uid="{00000000-0005-0000-0000-0000AF090000}"/>
    <cellStyle name="Percentuale 69 4 2" xfId="2510" xr:uid="{00000000-0005-0000-0000-0000B0090000}"/>
    <cellStyle name="Percentuale 69 4 2 2" xfId="9576" xr:uid="{462B7440-E9BE-45F6-AE90-EE24293D2E4B}"/>
    <cellStyle name="Percentuale 69 4 2 2 2" xfId="29725" xr:uid="{5715EEF2-F903-4EFC-894A-71B5925E2AA7}"/>
    <cellStyle name="Percentuale 69 4 2 3" xfId="17961" xr:uid="{960BEB16-F4B8-4595-A34A-1281B699146B}"/>
    <cellStyle name="Percentuale 69 4 2 3 2" xfId="29726" xr:uid="{370EA6C5-AE21-4BD4-AD45-276E2D7C84A9}"/>
    <cellStyle name="Percentuale 69 4 2 4" xfId="29724" xr:uid="{77666EFB-3727-4142-8E63-8811ABE93624}"/>
    <cellStyle name="Percentuale 69 4 2 5" xfId="17572" xr:uid="{49C27E0D-686D-4380-8431-632365435A64}"/>
    <cellStyle name="Percentuale 69 4 3" xfId="9577" xr:uid="{DE018F60-F659-45E6-A5DB-BD7389E48637}"/>
    <cellStyle name="Percentuale 69 4 3 2" xfId="29727" xr:uid="{3689782A-C7DE-4217-A066-81C02ADB37CB}"/>
    <cellStyle name="Percentuale 69 4 4" xfId="29728" xr:uid="{7C01973A-9106-4CAC-991B-C22980B54620}"/>
    <cellStyle name="Percentuale 69 4 5" xfId="29729" xr:uid="{5E97FFD7-00DB-46D1-A0F1-A8516D59DBEE}"/>
    <cellStyle name="Percentuale 69 4 5 2" xfId="49455" xr:uid="{FCBF385C-8D9B-466A-9C74-3DFD3E7FD4C5}"/>
    <cellStyle name="Percentuale 69 4 6" xfId="29730" xr:uid="{A42210AD-EEBB-40A6-AEB0-FA0AAF146DBF}"/>
    <cellStyle name="Percentuale 69 4 7" xfId="29723" xr:uid="{CB8A69F9-720D-4217-99DA-B6D05D1834EC}"/>
    <cellStyle name="Percentuale 69 5" xfId="2511" xr:uid="{00000000-0005-0000-0000-0000B1090000}"/>
    <cellStyle name="Percentuale 69 5 2" xfId="29732" xr:uid="{1514B402-379D-42C5-BCB7-D3FFC8214345}"/>
    <cellStyle name="Percentuale 69 5 3" xfId="29733" xr:uid="{01D56C62-D2B0-499B-8A4B-A36257173BEB}"/>
    <cellStyle name="Percentuale 69 5 3 2" xfId="49456" xr:uid="{D7A1CCD4-7417-4109-8E54-5058896F5513}"/>
    <cellStyle name="Percentuale 69 5 4" xfId="29734" xr:uid="{D5801A93-C0C9-470C-9BFE-C8EA59AA2A6F}"/>
    <cellStyle name="Percentuale 69 5 5" xfId="29731" xr:uid="{D29EC11F-7746-4703-8459-5E44A5C6FFF9}"/>
    <cellStyle name="Percentuale 69 6" xfId="4509" xr:uid="{ECB2712E-6612-44FE-8D01-07451168264D}"/>
    <cellStyle name="Percentuale 69 6 2" xfId="9870" xr:uid="{24494CE5-B9EF-4FC9-B0B3-7C2AB47D0DAC}"/>
    <cellStyle name="Percentuale 69 6 3" xfId="29735" xr:uid="{34862452-9E16-484D-8718-846D5C760832}"/>
    <cellStyle name="Percentuale 69 7" xfId="29736" xr:uid="{A7088E89-E0FF-44E6-A0EC-6A30A051B649}"/>
    <cellStyle name="Percentuale 69 7 2" xfId="49457" xr:uid="{32D64A7F-EED9-4DAF-9183-735BDFE360B4}"/>
    <cellStyle name="Percentuale 69 8" xfId="29703" xr:uid="{421D0A01-97EF-42DD-B2C7-F942D5E032E2}"/>
    <cellStyle name="Percentuale 7" xfId="1222" xr:uid="{00000000-0005-0000-0000-0000B2090000}"/>
    <cellStyle name="Percentuale 7 2" xfId="1223" xr:uid="{00000000-0005-0000-0000-0000B3090000}"/>
    <cellStyle name="Percentuale 7 2 2" xfId="4510" xr:uid="{39A505AE-B8B8-42CF-92B4-06C819A4CA23}"/>
    <cellStyle name="Percentuale 7 2 2 2" xfId="13628" xr:uid="{B72BF523-8580-4CDA-9FDC-B2D947C5B586}"/>
    <cellStyle name="Percentuale 7 2 2 3" xfId="29739" xr:uid="{4108496C-8024-41ED-AE75-212190C8075F}"/>
    <cellStyle name="Percentuale 7 2 3" xfId="13366" xr:uid="{11EF22DD-847B-484D-9FCF-92A5DBCF0BAF}"/>
    <cellStyle name="Percentuale 7 2 3 2" xfId="29740" xr:uid="{B7A0C48C-207E-4C17-8557-6E7712D9FBF4}"/>
    <cellStyle name="Percentuale 7 2 4" xfId="29741" xr:uid="{C05BF64C-DF33-4C0F-82CD-D2E195C165D8}"/>
    <cellStyle name="Percentuale 7 2 4 2" xfId="49458" xr:uid="{1E4BD022-1994-4446-B7EF-BADA18F6D38E}"/>
    <cellStyle name="Percentuale 7 2 5" xfId="29742" xr:uid="{15CCB295-486B-4373-891B-0D86C926A265}"/>
    <cellStyle name="Percentuale 7 2 6" xfId="29738" xr:uid="{4F8A9201-8D60-4449-A401-B3C250070249}"/>
    <cellStyle name="Percentuale 7 3" xfId="1224" xr:uid="{00000000-0005-0000-0000-0000B4090000}"/>
    <cellStyle name="Percentuale 7 3 2" xfId="1225" xr:uid="{00000000-0005-0000-0000-0000B5090000}"/>
    <cellStyle name="Percentuale 7 3 2 2" xfId="2512" xr:uid="{00000000-0005-0000-0000-0000B6090000}"/>
    <cellStyle name="Percentuale 7 3 2 2 2" xfId="29746" xr:uid="{E2D70682-816D-4FEA-BD40-B3EBDC5D86F1}"/>
    <cellStyle name="Percentuale 7 3 2 2 3" xfId="29745" xr:uid="{9D762693-DEE8-46D0-A9B0-2E604710ADBD}"/>
    <cellStyle name="Percentuale 7 3 2 3" xfId="8177" xr:uid="{FA44C778-86F8-4A87-8940-94F0D007B673}"/>
    <cellStyle name="Percentuale 7 3 2 3 2" xfId="14176" xr:uid="{BEB32516-71A0-4713-9C9C-9614577B5660}"/>
    <cellStyle name="Percentuale 7 3 2 3 3" xfId="29747" xr:uid="{6DE2EF9A-59F0-47F9-BB8D-28D06365B8D3}"/>
    <cellStyle name="Percentuale 7 3 2 3 4" xfId="49459" xr:uid="{ACBFFBF0-6211-4957-8E6B-07AA9DBE3592}"/>
    <cellStyle name="Percentuale 7 3 2 4" xfId="29748" xr:uid="{E1940956-F467-4B2D-97C3-6ED6BCFBA415}"/>
    <cellStyle name="Percentuale 7 3 2 5" xfId="29744" xr:uid="{CF04CB01-EDB4-413A-ADEC-480E8209D73C}"/>
    <cellStyle name="Percentuale 7 3 3" xfId="4511" xr:uid="{27C4F1D5-4DF4-44E2-AE15-B3E5F9C2936B}"/>
    <cellStyle name="Percentuale 7 3 3 2" xfId="9578" xr:uid="{4DFA3194-2D85-4C9D-83AF-BA8941C2E2CC}"/>
    <cellStyle name="Percentuale 7 3 3 2 2" xfId="29750" xr:uid="{201E62E0-F1B4-4DC9-9483-22EF7EE113B4}"/>
    <cellStyle name="Percentuale 7 3 3 3" xfId="29751" xr:uid="{6DE49EF6-9F49-4B9E-AFB3-13B918A00F67}"/>
    <cellStyle name="Percentuale 7 3 3 4" xfId="29752" xr:uid="{624D56D6-BD3D-4B8A-9401-7F180D7A972E}"/>
    <cellStyle name="Percentuale 7 3 3 4 2" xfId="49460" xr:uid="{7EFFD53D-6C29-4B25-AE5C-B2D6E89C3BF2}"/>
    <cellStyle name="Percentuale 7 3 3 5" xfId="29749" xr:uid="{299D65AF-EA41-4ED0-9FB0-F70F270B1AE6}"/>
    <cellStyle name="Percentuale 7 3 4" xfId="4512" xr:uid="{23D630BB-0139-496F-A9FA-0C19BCD36DAF}"/>
    <cellStyle name="Percentuale 7 3 4 2" xfId="13837" xr:uid="{6DFB65CB-8B10-49A2-B8FB-185468333919}"/>
    <cellStyle name="Percentuale 7 3 4 3" xfId="29753" xr:uid="{1370AB65-CCDF-4C56-BD4D-C20FE16A9A55}"/>
    <cellStyle name="Percentuale 7 3 5" xfId="12309" xr:uid="{EF5CDE3F-1C31-4F2B-8C4A-2A2F4DA63557}"/>
    <cellStyle name="Percentuale 7 3 5 2" xfId="29754" xr:uid="{5EAA7CFD-2650-4033-AE8B-0914CBC1D76E}"/>
    <cellStyle name="Percentuale 7 3 6" xfId="29755" xr:uid="{E421C74C-6DB7-4A63-BD64-60FF2FFC0C0E}"/>
    <cellStyle name="Percentuale 7 3 6 2" xfId="49461" xr:uid="{B9C2975B-EDEF-4B49-9779-FF47D7C5762E}"/>
    <cellStyle name="Percentuale 7 3 7" xfId="29756" xr:uid="{4BB7E45F-686E-4EB8-8389-10FCFE4D7556}"/>
    <cellStyle name="Percentuale 7 3 8" xfId="29743" xr:uid="{025559ED-C61B-451C-8933-2DEB2699A0B0}"/>
    <cellStyle name="Percentuale 7 4" xfId="2513" xr:uid="{00000000-0005-0000-0000-0000B7090000}"/>
    <cellStyle name="Percentuale 7 4 2" xfId="2514" xr:uid="{00000000-0005-0000-0000-0000B8090000}"/>
    <cellStyle name="Percentuale 7 4 2 2" xfId="9579" xr:uid="{960E4BA6-81F0-4BE4-BD7D-74DEF41985E4}"/>
    <cellStyle name="Percentuale 7 4 2 2 2" xfId="29759" xr:uid="{B881F8B3-DF7A-42CB-BE5E-5EE826D93CAD}"/>
    <cellStyle name="Percentuale 7 4 2 3" xfId="17962" xr:uid="{EE54DB30-2F2C-4634-A6FC-51BE64CD29CF}"/>
    <cellStyle name="Percentuale 7 4 2 3 2" xfId="29760" xr:uid="{1C054C4A-5981-4BEE-9776-9AC19490C1BB}"/>
    <cellStyle name="Percentuale 7 4 2 4" xfId="29758" xr:uid="{8B2691C9-069B-4B43-A9CD-0E6C20C92EDC}"/>
    <cellStyle name="Percentuale 7 4 2 5" xfId="17573" xr:uid="{6DF2CBD4-276C-410C-9E8B-27938F2DE8B1}"/>
    <cellStyle name="Percentuale 7 4 3" xfId="9580" xr:uid="{1DB166E3-0BA1-4E43-885A-57A16CA5A8D8}"/>
    <cellStyle name="Percentuale 7 4 3 2" xfId="29761" xr:uid="{C8614544-E23D-4EC6-917F-98AA6426D674}"/>
    <cellStyle name="Percentuale 7 4 4" xfId="29762" xr:uid="{E434E99D-51DB-4F60-A307-B2A3AC9F12A6}"/>
    <cellStyle name="Percentuale 7 4 5" xfId="29763" xr:uid="{38512B9F-1666-4162-BA1E-B5FF9A45772D}"/>
    <cellStyle name="Percentuale 7 4 5 2" xfId="49462" xr:uid="{40D11E4E-9354-4009-A88F-9CF6B7EC306D}"/>
    <cellStyle name="Percentuale 7 4 6" xfId="29764" xr:uid="{E50E9562-7B12-45AA-8232-EC888BADA1D1}"/>
    <cellStyle name="Percentuale 7 4 7" xfId="29757" xr:uid="{73591064-D211-41F2-8F78-B165179F132D}"/>
    <cellStyle name="Percentuale 7 5" xfId="2515" xr:uid="{00000000-0005-0000-0000-0000B9090000}"/>
    <cellStyle name="Percentuale 7 5 2" xfId="29766" xr:uid="{E6239141-4297-4883-BA1F-DB9C49B53F3D}"/>
    <cellStyle name="Percentuale 7 5 3" xfId="29767" xr:uid="{D158A64F-00FC-4F0E-818B-AE23EBA55B6A}"/>
    <cellStyle name="Percentuale 7 5 3 2" xfId="49463" xr:uid="{CED6D653-176D-49EE-BD28-684FFDE42F38}"/>
    <cellStyle name="Percentuale 7 5 4" xfId="29768" xr:uid="{BEB940A2-C29E-46C3-B74B-F4CA2C7F66EB}"/>
    <cellStyle name="Percentuale 7 5 5" xfId="29765" xr:uid="{3C0638FC-4665-4BC4-9DB4-BF169BFDD120}"/>
    <cellStyle name="Percentuale 7 6" xfId="4513" xr:uid="{B971EC7F-33B1-45D2-99AE-E8B1207E15BA}"/>
    <cellStyle name="Percentuale 7 6 2" xfId="9871" xr:uid="{ED951B82-A113-4E73-8BE2-4BE27D687D55}"/>
    <cellStyle name="Percentuale 7 6 3" xfId="29769" xr:uid="{A2406443-8BC7-4090-922B-BAD25E7D126D}"/>
    <cellStyle name="Percentuale 7 7" xfId="29770" xr:uid="{B8FC451D-0A2C-4E95-9C2F-6A5975140587}"/>
    <cellStyle name="Percentuale 7 7 2" xfId="49464" xr:uid="{4227558A-FC49-4F5D-B586-7148F85845F2}"/>
    <cellStyle name="Percentuale 7 8" xfId="29737" xr:uid="{A7F4CACB-D919-4EDA-9A5A-ADAB6A3A6E1D}"/>
    <cellStyle name="Percentuale 8" xfId="1226" xr:uid="{00000000-0005-0000-0000-0000BA090000}"/>
    <cellStyle name="Percentuale 8 2" xfId="1227" xr:uid="{00000000-0005-0000-0000-0000BB090000}"/>
    <cellStyle name="Percentuale 8 2 2" xfId="4514" xr:uid="{EC87832A-4D3F-42EC-84F1-A7153A9C2B19}"/>
    <cellStyle name="Percentuale 8 2 2 2" xfId="13629" xr:uid="{A311B62E-1A29-4A21-A331-19FAE84A2E1B}"/>
    <cellStyle name="Percentuale 8 2 2 3" xfId="29773" xr:uid="{6FB7183D-993A-4513-B1B6-3248FEA0039F}"/>
    <cellStyle name="Percentuale 8 2 3" xfId="13367" xr:uid="{F362C5C0-3077-4EE0-94B4-6E43435D2BD5}"/>
    <cellStyle name="Percentuale 8 2 3 2" xfId="29774" xr:uid="{16F8233B-C96C-4FBF-9ECA-6976728AB64B}"/>
    <cellStyle name="Percentuale 8 2 4" xfId="29775" xr:uid="{DDBA8576-A9D7-4471-9F54-EAE408BEDD6A}"/>
    <cellStyle name="Percentuale 8 2 4 2" xfId="49465" xr:uid="{95A21139-D208-4002-A600-0B229E282C18}"/>
    <cellStyle name="Percentuale 8 2 5" xfId="29776" xr:uid="{117619A8-BCF2-41B7-A019-D954D62300DB}"/>
    <cellStyle name="Percentuale 8 2 6" xfId="29772" xr:uid="{62C2D65F-111F-4327-BE64-31BDD38E5528}"/>
    <cellStyle name="Percentuale 8 3" xfId="1228" xr:uid="{00000000-0005-0000-0000-0000BC090000}"/>
    <cellStyle name="Percentuale 8 3 2" xfId="1229" xr:uid="{00000000-0005-0000-0000-0000BD090000}"/>
    <cellStyle name="Percentuale 8 3 2 2" xfId="2516" xr:uid="{00000000-0005-0000-0000-0000BE090000}"/>
    <cellStyle name="Percentuale 8 3 2 2 2" xfId="29780" xr:uid="{9397EFA3-C252-4F33-8483-A823383F9B64}"/>
    <cellStyle name="Percentuale 8 3 2 2 3" xfId="29779" xr:uid="{551C732E-ED08-4B63-81FE-6213C6097F3A}"/>
    <cellStyle name="Percentuale 8 3 2 3" xfId="8178" xr:uid="{05A5D91A-C308-4BF1-85EC-57EC3C44231B}"/>
    <cellStyle name="Percentuale 8 3 2 3 2" xfId="14177" xr:uid="{1F81AF74-E46E-4DC8-8FCA-A82D255C5C37}"/>
    <cellStyle name="Percentuale 8 3 2 3 3" xfId="29781" xr:uid="{B3FE2CAB-0C2F-49EE-9D82-2FA3A7B73E42}"/>
    <cellStyle name="Percentuale 8 3 2 3 4" xfId="49466" xr:uid="{5216DEB2-F97A-4362-8E58-C44930D03A64}"/>
    <cellStyle name="Percentuale 8 3 2 4" xfId="29782" xr:uid="{74B16089-E343-4589-A881-A67531BC315B}"/>
    <cellStyle name="Percentuale 8 3 2 5" xfId="29778" xr:uid="{03C02FF2-3A48-4CDD-85E6-B6A23378F757}"/>
    <cellStyle name="Percentuale 8 3 3" xfId="4515" xr:uid="{741C152F-232A-4B81-B58A-36B8BFCCE056}"/>
    <cellStyle name="Percentuale 8 3 3 2" xfId="9581" xr:uid="{94E6BC9F-B415-4026-98D7-2D3BF16F6E0D}"/>
    <cellStyle name="Percentuale 8 3 3 2 2" xfId="29784" xr:uid="{239B7991-55C4-468F-8050-74D05B051FEA}"/>
    <cellStyle name="Percentuale 8 3 3 3" xfId="29785" xr:uid="{4996453A-00EF-442D-8897-472E7537F6E9}"/>
    <cellStyle name="Percentuale 8 3 3 4" xfId="29786" xr:uid="{B3B38620-690A-4D72-B403-B4FBC17DFB67}"/>
    <cellStyle name="Percentuale 8 3 3 4 2" xfId="49467" xr:uid="{F10C3300-2DE3-4B25-B036-63961F216D0E}"/>
    <cellStyle name="Percentuale 8 3 3 5" xfId="29783" xr:uid="{FE988E8B-F6FE-4B76-BEE3-051D9CF51EB6}"/>
    <cellStyle name="Percentuale 8 3 4" xfId="4516" xr:uid="{4CFB019E-7393-468B-81F1-1169D28536A4}"/>
    <cellStyle name="Percentuale 8 3 4 2" xfId="13838" xr:uid="{541F2A31-C89E-4D48-B525-25E974D977A3}"/>
    <cellStyle name="Percentuale 8 3 4 3" xfId="29787" xr:uid="{1F4479C6-2F22-46F7-BD25-7EBDEA471CA6}"/>
    <cellStyle name="Percentuale 8 3 5" xfId="11099" xr:uid="{B9D3AAEC-F4F7-4A6A-AA70-70B9A907B5A8}"/>
    <cellStyle name="Percentuale 8 3 5 2" xfId="29788" xr:uid="{138E194C-3FCE-4B59-BC17-2C521E4795C1}"/>
    <cellStyle name="Percentuale 8 3 6" xfId="29789" xr:uid="{9CBA0166-9497-4877-AA56-8053C6EC8FDB}"/>
    <cellStyle name="Percentuale 8 3 6 2" xfId="49468" xr:uid="{0F1E3E4B-E020-4F7F-AF45-F27854CCA076}"/>
    <cellStyle name="Percentuale 8 3 7" xfId="29790" xr:uid="{D28676AE-EE6F-4C38-A9EC-72E8BD795D14}"/>
    <cellStyle name="Percentuale 8 3 8" xfId="29777" xr:uid="{EA516FAE-89EA-4383-A84F-D6CDA95A001C}"/>
    <cellStyle name="Percentuale 8 4" xfId="2517" xr:uid="{00000000-0005-0000-0000-0000BF090000}"/>
    <cellStyle name="Percentuale 8 4 2" xfId="2518" xr:uid="{00000000-0005-0000-0000-0000C0090000}"/>
    <cellStyle name="Percentuale 8 4 2 2" xfId="9582" xr:uid="{7FD04F0F-D60F-40F1-9B44-020872BB7353}"/>
    <cellStyle name="Percentuale 8 4 2 2 2" xfId="29793" xr:uid="{BC6D05CE-BD60-4A4E-9039-EA7049A8206A}"/>
    <cellStyle name="Percentuale 8 4 2 3" xfId="17963" xr:uid="{A18D4165-8286-4C81-A045-51224A475E42}"/>
    <cellStyle name="Percentuale 8 4 2 3 2" xfId="29794" xr:uid="{68659735-4870-4010-9FD0-0A6A83E367FF}"/>
    <cellStyle name="Percentuale 8 4 2 4" xfId="29792" xr:uid="{FF9A3D8E-9203-4440-85F7-EF5117A8AA63}"/>
    <cellStyle name="Percentuale 8 4 2 5" xfId="17574" xr:uid="{5ABC84AE-8606-490B-B48D-25C99A8A7BB2}"/>
    <cellStyle name="Percentuale 8 4 3" xfId="9583" xr:uid="{402E7759-3712-4EFF-BC56-251045256F61}"/>
    <cellStyle name="Percentuale 8 4 3 2" xfId="29795" xr:uid="{1E12EE0C-5949-43D0-B93E-BA770B66042C}"/>
    <cellStyle name="Percentuale 8 4 4" xfId="29796" xr:uid="{8312B17E-B857-42EE-A84D-2127C7F4685A}"/>
    <cellStyle name="Percentuale 8 4 5" xfId="29797" xr:uid="{D38F1A5A-2585-4FA2-8C46-AE822C979E84}"/>
    <cellStyle name="Percentuale 8 4 5 2" xfId="49469" xr:uid="{99AB7700-C403-4684-ABD4-7BD5169600AA}"/>
    <cellStyle name="Percentuale 8 4 6" xfId="29798" xr:uid="{78CBBAA2-41C3-4D47-B572-C4CBF3A1071C}"/>
    <cellStyle name="Percentuale 8 4 7" xfId="29791" xr:uid="{DF34FEEA-34D4-40D2-ABC1-13940CDD9B22}"/>
    <cellStyle name="Percentuale 8 5" xfId="2519" xr:uid="{00000000-0005-0000-0000-0000C1090000}"/>
    <cellStyle name="Percentuale 8 5 2" xfId="29800" xr:uid="{E8C21438-3176-4F9C-B010-2F3702107787}"/>
    <cellStyle name="Percentuale 8 5 3" xfId="29801" xr:uid="{FB1786D1-C830-4F7D-A307-AC91E1CB38C9}"/>
    <cellStyle name="Percentuale 8 5 3 2" xfId="49470" xr:uid="{BC51B76B-FDBD-4F5B-82A6-42F915BA291A}"/>
    <cellStyle name="Percentuale 8 5 4" xfId="29802" xr:uid="{3E1AB7D7-BDCC-4B13-8D12-9F326A1EB684}"/>
    <cellStyle name="Percentuale 8 5 5" xfId="29799" xr:uid="{60274E02-B5DC-4120-8D83-208D308E6898}"/>
    <cellStyle name="Percentuale 8 6" xfId="4517" xr:uid="{3B0E0195-3231-418E-81FD-1D9A483AA130}"/>
    <cellStyle name="Percentuale 8 6 2" xfId="9872" xr:uid="{BE37DC54-006F-48FA-A026-2ABA1F1407E0}"/>
    <cellStyle name="Percentuale 8 6 3" xfId="29803" xr:uid="{531601C8-0E8D-4C8B-B318-6CB9A2DB852E}"/>
    <cellStyle name="Percentuale 8 7" xfId="29804" xr:uid="{A89B53E3-4643-461C-ADBF-256C12DC1E7F}"/>
    <cellStyle name="Percentuale 8 7 2" xfId="49471" xr:uid="{3AE71714-250C-47A1-89C8-621E577D8DCA}"/>
    <cellStyle name="Percentuale 8 8" xfId="29771" xr:uid="{FAAA3E9C-A184-46E9-9968-C2509ADB605F}"/>
    <cellStyle name="Percentuale 9" xfId="1230" xr:uid="{00000000-0005-0000-0000-0000C2090000}"/>
    <cellStyle name="Percentuale 9 2" xfId="1231" xr:uid="{00000000-0005-0000-0000-0000C3090000}"/>
    <cellStyle name="Percentuale 9 2 2" xfId="4518" xr:uid="{7C19F368-3FB0-4038-A5D5-3D8B341AAC7A}"/>
    <cellStyle name="Percentuale 9 2 2 2" xfId="13630" xr:uid="{66DDD46D-2A9E-48C1-9867-A0B9481C8B17}"/>
    <cellStyle name="Percentuale 9 2 2 3" xfId="29807" xr:uid="{53D0A370-BC00-4560-A39D-555174D67E99}"/>
    <cellStyle name="Percentuale 9 2 3" xfId="13368" xr:uid="{A65DFDB5-6FD5-45BA-8586-8103B245F967}"/>
    <cellStyle name="Percentuale 9 2 3 2" xfId="29808" xr:uid="{4ACAF53B-61B0-4EE9-A016-D732EFE457F0}"/>
    <cellStyle name="Percentuale 9 2 4" xfId="29809" xr:uid="{968830A9-0474-460C-920D-4AD6FDDD4E7E}"/>
    <cellStyle name="Percentuale 9 2 4 2" xfId="49472" xr:uid="{3A5EE5BC-C753-49E6-9653-4EF72B29810C}"/>
    <cellStyle name="Percentuale 9 2 5" xfId="29810" xr:uid="{F0920C92-29CE-46D5-906E-060BFACFF139}"/>
    <cellStyle name="Percentuale 9 2 6" xfId="29806" xr:uid="{AE55AB7F-7D29-41D8-9E51-52B424580236}"/>
    <cellStyle name="Percentuale 9 3" xfId="1232" xr:uid="{00000000-0005-0000-0000-0000C4090000}"/>
    <cellStyle name="Percentuale 9 3 2" xfId="1233" xr:uid="{00000000-0005-0000-0000-0000C5090000}"/>
    <cellStyle name="Percentuale 9 3 2 2" xfId="2520" xr:uid="{00000000-0005-0000-0000-0000C6090000}"/>
    <cellStyle name="Percentuale 9 3 2 2 2" xfId="29814" xr:uid="{AA138531-9728-499E-B6FE-8BC8135FE7C8}"/>
    <cellStyle name="Percentuale 9 3 2 2 3" xfId="29813" xr:uid="{AC5071D6-6FA5-41ED-8C2B-9F8E7E0260C2}"/>
    <cellStyle name="Percentuale 9 3 2 3" xfId="8179" xr:uid="{89FC78C2-F01C-4D37-BEC0-C940BBBBD90A}"/>
    <cellStyle name="Percentuale 9 3 2 3 2" xfId="14178" xr:uid="{BD1101B2-B5F4-4EE6-89F7-A008D8A4C64D}"/>
    <cellStyle name="Percentuale 9 3 2 3 3" xfId="29815" xr:uid="{6B8F3802-BF71-4E0B-A946-C199FF994EE2}"/>
    <cellStyle name="Percentuale 9 3 2 3 4" xfId="49473" xr:uid="{9581BEC5-C7F6-4CFA-98A0-1F44061701B4}"/>
    <cellStyle name="Percentuale 9 3 2 4" xfId="29816" xr:uid="{CA336636-C9CA-4B0C-81B3-6CE0377CF6C5}"/>
    <cellStyle name="Percentuale 9 3 2 5" xfId="29812" xr:uid="{A00C78F6-AE19-4C60-B4CF-2C355988C2CB}"/>
    <cellStyle name="Percentuale 9 3 3" xfId="4519" xr:uid="{09BEE86E-5621-4A2E-9E12-DEB898ADB992}"/>
    <cellStyle name="Percentuale 9 3 3 2" xfId="9584" xr:uid="{55097D5A-59FC-4E05-9D3A-4632F1DC6852}"/>
    <cellStyle name="Percentuale 9 3 3 2 2" xfId="29818" xr:uid="{A62A7999-933B-4FC6-A960-2FF8E1D4EFB4}"/>
    <cellStyle name="Percentuale 9 3 3 3" xfId="29819" xr:uid="{6388B8A1-200D-42FD-9871-56098C101581}"/>
    <cellStyle name="Percentuale 9 3 3 4" xfId="29820" xr:uid="{5D5175AE-44CD-4A8E-884C-795465D47E96}"/>
    <cellStyle name="Percentuale 9 3 3 4 2" xfId="49474" xr:uid="{7594BA59-F8E2-41A4-A1BA-4A416EA2815E}"/>
    <cellStyle name="Percentuale 9 3 3 5" xfId="29817" xr:uid="{D78F31BF-C503-41F2-A808-91B5AFB02119}"/>
    <cellStyle name="Percentuale 9 3 4" xfId="4520" xr:uid="{9895FC97-83C2-4E5D-BA95-411E3648771D}"/>
    <cellStyle name="Percentuale 9 3 4 2" xfId="13839" xr:uid="{7C52B4A8-51F0-43C9-BA58-E7D4DBEB5089}"/>
    <cellStyle name="Percentuale 9 3 4 3" xfId="29821" xr:uid="{74398970-6B9C-439B-B8CE-3538C380F51D}"/>
    <cellStyle name="Percentuale 9 3 5" xfId="12308" xr:uid="{A81BFBE4-48C9-46C4-9ECA-881C4585F1A0}"/>
    <cellStyle name="Percentuale 9 3 5 2" xfId="29822" xr:uid="{0F148DE8-F911-47F1-B9F1-44F1A116A47F}"/>
    <cellStyle name="Percentuale 9 3 6" xfId="29823" xr:uid="{718B9326-AF4B-44E0-8E36-9DA010AE557D}"/>
    <cellStyle name="Percentuale 9 3 6 2" xfId="49475" xr:uid="{5DEC9CC4-A645-4038-8B45-2E484F7CC80B}"/>
    <cellStyle name="Percentuale 9 3 7" xfId="29824" xr:uid="{0232E3B5-DFB3-4220-A9DC-29992B4E126F}"/>
    <cellStyle name="Percentuale 9 3 8" xfId="29811" xr:uid="{C719C677-7CB5-4868-87A8-81F0E6BDE8BB}"/>
    <cellStyle name="Percentuale 9 4" xfId="2521" xr:uid="{00000000-0005-0000-0000-0000C7090000}"/>
    <cellStyle name="Percentuale 9 4 2" xfId="2522" xr:uid="{00000000-0005-0000-0000-0000C8090000}"/>
    <cellStyle name="Percentuale 9 4 2 2" xfId="9585" xr:uid="{40EE58AA-7F54-4BE6-B476-EE3D26F2028A}"/>
    <cellStyle name="Percentuale 9 4 2 2 2" xfId="29827" xr:uid="{3F9094EE-E262-4C78-A37D-61B1228F2F77}"/>
    <cellStyle name="Percentuale 9 4 2 3" xfId="17964" xr:uid="{43B2728F-50EF-4EC3-A134-02E083344CB0}"/>
    <cellStyle name="Percentuale 9 4 2 3 2" xfId="29828" xr:uid="{7463C766-1070-4088-B719-6355A6179E18}"/>
    <cellStyle name="Percentuale 9 4 2 4" xfId="29826" xr:uid="{D235227A-C3E0-4087-AE19-42AC3078BFF5}"/>
    <cellStyle name="Percentuale 9 4 2 5" xfId="17575" xr:uid="{365943D1-01E7-4A50-BDBE-EB0324477D9C}"/>
    <cellStyle name="Percentuale 9 4 3" xfId="9586" xr:uid="{08862ABF-50EE-404F-883A-F516E15F97ED}"/>
    <cellStyle name="Percentuale 9 4 3 2" xfId="29829" xr:uid="{A288CE31-F3BA-4E5E-AF4B-1E01AD840C08}"/>
    <cellStyle name="Percentuale 9 4 4" xfId="29830" xr:uid="{26DF11EA-D640-4FAA-8EBE-E474A2981E3D}"/>
    <cellStyle name="Percentuale 9 4 5" xfId="29831" xr:uid="{9C7E4DA7-EB6B-4D97-82BB-3BAD0B5EEE08}"/>
    <cellStyle name="Percentuale 9 4 5 2" xfId="49476" xr:uid="{91B08A6A-A80C-44BA-9FA2-29E1DA119882}"/>
    <cellStyle name="Percentuale 9 4 6" xfId="29832" xr:uid="{132338A9-D668-4433-9D7F-3B6E079E76F4}"/>
    <cellStyle name="Percentuale 9 4 7" xfId="29825" xr:uid="{476316C0-8D24-41B1-AC3F-DAC36F9E9FF4}"/>
    <cellStyle name="Percentuale 9 5" xfId="2523" xr:uid="{00000000-0005-0000-0000-0000C9090000}"/>
    <cellStyle name="Percentuale 9 5 2" xfId="29834" xr:uid="{8ADB53D1-884B-4187-A216-B2B62AB23D0D}"/>
    <cellStyle name="Percentuale 9 5 3" xfId="29835" xr:uid="{1E01166F-5F98-44B9-82E0-F5BCB8724E61}"/>
    <cellStyle name="Percentuale 9 5 3 2" xfId="49477" xr:uid="{AACB4563-32E2-4065-8C0F-79EC787025F1}"/>
    <cellStyle name="Percentuale 9 5 4" xfId="29836" xr:uid="{4691D31F-464D-40DC-A446-EF4C092F705A}"/>
    <cellStyle name="Percentuale 9 5 5" xfId="29833" xr:uid="{A151E693-07BA-4060-AC30-0BC55A6588CF}"/>
    <cellStyle name="Percentuale 9 6" xfId="4521" xr:uid="{467D75F9-414A-4C6D-9D8C-A93815D42E74}"/>
    <cellStyle name="Percentuale 9 6 2" xfId="9873" xr:uid="{3E63BCF0-91ED-4614-9259-ACA0FBF6A0AA}"/>
    <cellStyle name="Percentuale 9 6 3" xfId="29837" xr:uid="{602A6BD3-18AC-4C80-BC59-09F2B81C0D57}"/>
    <cellStyle name="Percentuale 9 7" xfId="29838" xr:uid="{B564D6F6-C996-490B-9A25-E50DB40BF381}"/>
    <cellStyle name="Percentuale 9 7 2" xfId="49478" xr:uid="{97E89891-94C0-421C-995C-605CF6E06B3D}"/>
    <cellStyle name="Percentuale 9 8" xfId="29805" xr:uid="{68B1CA9E-2C66-46A7-BA51-F4F7C356B35F}"/>
    <cellStyle name="Procent 10" xfId="29839" xr:uid="{A4C4BAB4-7564-49D6-9FAE-B58CBA76BA6C}"/>
    <cellStyle name="Procent 10 2" xfId="29840" xr:uid="{78DE6DB8-79C7-4278-9C4A-895AC84D6BCD}"/>
    <cellStyle name="Procent 10 2 2" xfId="29841" xr:uid="{27AF09BD-023C-4E4A-BEDC-0A0A60019D91}"/>
    <cellStyle name="Procent 10 3" xfId="29842" xr:uid="{B05BBDF6-119D-4448-BDEF-5C30853542B2}"/>
    <cellStyle name="Procent 10 3 2" xfId="29843" xr:uid="{159A9848-2AB5-4847-9A45-42D785702385}"/>
    <cellStyle name="Procent 10 4" xfId="29844" xr:uid="{B4E0B82F-3179-45AE-94F3-1151CC7E3359}"/>
    <cellStyle name="Procent 10 4 2" xfId="29845" xr:uid="{8FB42284-203C-4681-A9E0-7D9D5B2F60A1}"/>
    <cellStyle name="Procent 10 5" xfId="29846" xr:uid="{99B94354-9F9A-4C6F-AB15-BF168AE50FAC}"/>
    <cellStyle name="Procent 11" xfId="29847" xr:uid="{E1AD09B3-AE6F-4C5E-9FE0-D8ECB2B7AA7C}"/>
    <cellStyle name="Procent 11 2" xfId="29848" xr:uid="{BC70E89F-5EA2-409A-AC83-DBE6B79BF071}"/>
    <cellStyle name="Procent 12" xfId="29849" xr:uid="{92B01A9F-E238-42BB-9AF1-E8B3F33BE231}"/>
    <cellStyle name="Procent 12 2" xfId="29850" xr:uid="{36EE800E-F458-4326-936A-29DB84C3508A}"/>
    <cellStyle name="Procent 13" xfId="29851" xr:uid="{91CC0D06-7709-4B73-B2B7-4484B1175D9E}"/>
    <cellStyle name="Procent 2" xfId="1234" xr:uid="{00000000-0005-0000-0000-0000CA090000}"/>
    <cellStyle name="Procent 2 10" xfId="29853" xr:uid="{2252A731-8899-4839-A2B9-0575FC34E472}"/>
    <cellStyle name="Procent 2 10 2" xfId="29854" xr:uid="{19E8C668-B20D-4098-9054-6F9429F3C9D1}"/>
    <cellStyle name="Procent 2 10 2 2" xfId="29855" xr:uid="{E9E25560-44BB-4A7C-BF00-06968C05084E}"/>
    <cellStyle name="Procent 2 10 3" xfId="29856" xr:uid="{E8D41AB2-2D8A-46F3-A23B-3D1837648B8A}"/>
    <cellStyle name="Procent 2 11" xfId="29857" xr:uid="{EA5805A6-A9AD-4DEF-B303-C5C7D7C12885}"/>
    <cellStyle name="Procent 2 11 2" xfId="29858" xr:uid="{9EB6F81B-4BC8-4994-A98F-2B5A0065BA63}"/>
    <cellStyle name="Procent 2 12" xfId="29859" xr:uid="{5CF57BE3-E907-4B41-BF8B-DD571FC22EDC}"/>
    <cellStyle name="Procent 2 12 2" xfId="29860" xr:uid="{65240CC2-B614-4592-ABF3-6E92816545E4}"/>
    <cellStyle name="Procent 2 13" xfId="29861" xr:uid="{B25A4C8B-9F94-4F81-98FA-F294467758EB}"/>
    <cellStyle name="Procent 2 13 2" xfId="29862" xr:uid="{B1CBFB9C-CFAF-4F20-8946-A52CE6216478}"/>
    <cellStyle name="Procent 2 14" xfId="29863" xr:uid="{4BFC3EFD-5F7C-42CE-AA60-90B5D0B13D8F}"/>
    <cellStyle name="Procent 2 14 2" xfId="29864" xr:uid="{744DDD46-E036-4865-9807-001A5D68E809}"/>
    <cellStyle name="Procent 2 15" xfId="29865" xr:uid="{D81BAF31-72D9-4055-AB7F-F968BE71B453}"/>
    <cellStyle name="Procent 2 16" xfId="29866" xr:uid="{7B208804-FF6A-4154-83A0-6106628A6D93}"/>
    <cellStyle name="Procent 2 17" xfId="29867" xr:uid="{C6414366-FCAD-412F-924C-7B6C6E3FC049}"/>
    <cellStyle name="Procent 2 18" xfId="29868" xr:uid="{8CE663CC-A833-4916-9FCD-275B104C7F49}"/>
    <cellStyle name="Procent 2 18 2" xfId="49479" xr:uid="{41261E33-85F4-4F47-A93A-705E6D1FF937}"/>
    <cellStyle name="Procent 2 19" xfId="29869" xr:uid="{D8C7FD23-A23B-42DE-8FC0-C822CACFE201}"/>
    <cellStyle name="Procent 2 2" xfId="2524" xr:uid="{00000000-0005-0000-0000-0000CB090000}"/>
    <cellStyle name="Procent 2 2 10" xfId="29871" xr:uid="{1481B149-8C65-4AAB-8B7A-4948E50C2D1F}"/>
    <cellStyle name="Procent 2 2 11" xfId="29872" xr:uid="{54D8540D-569B-4659-9006-4166CEA7CFF6}"/>
    <cellStyle name="Procent 2 2 12" xfId="29873" xr:uid="{D766AEEB-06D2-42FD-891E-3ADAAA30DA50}"/>
    <cellStyle name="Procent 2 2 12 2" xfId="49480" xr:uid="{AC6B5AA1-7494-487C-816B-CE32ED9CEB3C}"/>
    <cellStyle name="Procent 2 2 13" xfId="29874" xr:uid="{58C4C4CB-81D5-469F-A1AF-534310D641DD}"/>
    <cellStyle name="Procent 2 2 14" xfId="29870" xr:uid="{61C265BC-742D-462D-ACE1-28BD35100090}"/>
    <cellStyle name="Procent 2 2 15" xfId="17965" xr:uid="{AA164700-9C10-40AB-BFB8-35879E3FE244}"/>
    <cellStyle name="Procent 2 2 16" xfId="9587" xr:uid="{440DD380-CE8D-4375-95FF-06F341ED5262}"/>
    <cellStyle name="Procent 2 2 2" xfId="2525" xr:uid="{00000000-0005-0000-0000-0000CC090000}"/>
    <cellStyle name="Procent 2 2 2 2" xfId="29876" xr:uid="{0E704E36-F72D-4CDD-99E9-B7391663F238}"/>
    <cellStyle name="Procent 2 2 2 2 2" xfId="29877" xr:uid="{308DE267-DA45-4C7D-A1CE-8519F2E8D31F}"/>
    <cellStyle name="Procent 2 2 2 3" xfId="29878" xr:uid="{19F06B37-BF12-4126-9761-3476D01029EA}"/>
    <cellStyle name="Procent 2 2 2 3 2" xfId="29879" xr:uid="{379E953F-C72B-4A14-89DF-0876AFC59E10}"/>
    <cellStyle name="Procent 2 2 2 4" xfId="29880" xr:uid="{1BBA6CB7-B90E-47E3-85F0-C1194AEFC66C}"/>
    <cellStyle name="Procent 2 2 2 4 2" xfId="29881" xr:uid="{E336D984-8E28-4A09-B0A3-7B8351EE1FB9}"/>
    <cellStyle name="Procent 2 2 2 5" xfId="29882" xr:uid="{61D7A40B-8437-4B30-AA4B-0F9F64D64CCE}"/>
    <cellStyle name="Procent 2 2 2 5 2" xfId="29883" xr:uid="{8C160F1C-0627-4D35-9E6B-7CA3AF03E90C}"/>
    <cellStyle name="Procent 2 2 2 6" xfId="29884" xr:uid="{7C647561-9FAD-4696-BC0D-C6BC330E0922}"/>
    <cellStyle name="Procent 2 2 2 7" xfId="29885" xr:uid="{724F1EC9-3A0E-41DE-9EE9-80D7A2C85938}"/>
    <cellStyle name="Procent 2 2 2 8" xfId="29875" xr:uid="{6EB9CFDA-A501-4744-BA65-DE0117D21C07}"/>
    <cellStyle name="Procent 2 2 2 9" xfId="17966" xr:uid="{1EA02A18-C62D-45A9-ADA5-F908D84644DE}"/>
    <cellStyle name="Procent 2 2 3" xfId="12175" xr:uid="{0BEC1357-366E-40B8-A02E-FCDB9847AF1C}"/>
    <cellStyle name="Procent 2 2 3 2" xfId="29887" xr:uid="{1DB9B92A-1107-4295-AE0D-4E5E9979629A}"/>
    <cellStyle name="Procent 2 2 3 2 2" xfId="29888" xr:uid="{CE53EC53-4149-4613-B701-8487F2C6834E}"/>
    <cellStyle name="Procent 2 2 3 3" xfId="29889" xr:uid="{34AFA039-A996-4C39-A355-4CFFD666924D}"/>
    <cellStyle name="Procent 2 2 3 4" xfId="29886" xr:uid="{8139F7C5-B128-4FF8-B8EC-0D9DE7936DA9}"/>
    <cellStyle name="Procent 2 2 4" xfId="11674" xr:uid="{1F881088-7F6E-47C6-BDC1-AC5409A022AC}"/>
    <cellStyle name="Procent 2 2 4 2" xfId="29891" xr:uid="{E2AE0CB0-1B2E-4E9A-83E2-494E82448470}"/>
    <cellStyle name="Procent 2 2 4 3" xfId="29890" xr:uid="{7BAC3600-7163-4A9E-B090-EA05DCC81CCD}"/>
    <cellStyle name="Procent 2 2 5" xfId="11087" xr:uid="{C2799105-18C3-4311-82AD-37F955D8A2AE}"/>
    <cellStyle name="Procent 2 2 5 2" xfId="29893" xr:uid="{47E741A3-3BBE-410B-B8E6-275E7F99BC42}"/>
    <cellStyle name="Procent 2 2 5 3" xfId="46721" xr:uid="{488AF45A-F382-4B10-8E6B-C0CC36BD660E}"/>
    <cellStyle name="Procent 2 2 5 4" xfId="29892" xr:uid="{F7B8D7B0-2031-4C2A-9099-8578A540483E}"/>
    <cellStyle name="Procent 2 2 6" xfId="29894" xr:uid="{39691D03-6B57-4229-8EBD-C548B48A96C3}"/>
    <cellStyle name="Procent 2 2 6 2" xfId="29895" xr:uid="{8B32E218-BAE7-48E5-B4A2-C9162D8524FF}"/>
    <cellStyle name="Procent 2 2 7" xfId="29896" xr:uid="{D85ED352-3585-440A-86E1-0EFBC1ECA652}"/>
    <cellStyle name="Procent 2 2 7 2" xfId="29897" xr:uid="{C8077DB3-D81F-4614-96F7-5663735A310B}"/>
    <cellStyle name="Procent 2 2 8" xfId="29898" xr:uid="{60A3B897-0E17-49BA-AFF7-7C019E185A87}"/>
    <cellStyle name="Procent 2 2 9" xfId="29899" xr:uid="{0A997C7C-0C25-492A-8A66-5A038DE40F52}"/>
    <cellStyle name="Procent 2 20" xfId="29852" xr:uid="{7047463A-543B-48A9-A049-FE13A9E23D6D}"/>
    <cellStyle name="Procent 2 3" xfId="29900" xr:uid="{0C880F08-78CB-41F5-A279-64863A4D6A2E}"/>
    <cellStyle name="Procent 2 3 2" xfId="29901" xr:uid="{F13E1BD4-F375-409A-ACEB-91B698D94AAF}"/>
    <cellStyle name="Procent 2 3 2 2" xfId="29902" xr:uid="{C481DD41-CDD5-48B5-ACD6-CEA8B957B716}"/>
    <cellStyle name="Procent 2 3 2 2 2" xfId="29903" xr:uid="{EBF4D41A-98B8-40F1-8091-A510C362E4AD}"/>
    <cellStyle name="Procent 2 3 2 3" xfId="29904" xr:uid="{BD330549-3331-4446-ABC4-E29B26BF6A5E}"/>
    <cellStyle name="Procent 2 3 2 3 2" xfId="29905" xr:uid="{4CC8F38F-0299-42B7-837D-89D54A385820}"/>
    <cellStyle name="Procent 2 3 2 4" xfId="29906" xr:uid="{3A890444-810A-4F7F-BB78-095D2CF2941C}"/>
    <cellStyle name="Procent 2 3 3" xfId="29907" xr:uid="{61F16D9B-C0E9-4073-AD35-79E2A999D62B}"/>
    <cellStyle name="Procent 2 3 3 2" xfId="29908" xr:uid="{AAC9A153-08A0-4436-8FE0-821302B64633}"/>
    <cellStyle name="Procent 2 3 4" xfId="29909" xr:uid="{75D4ECF0-1DB0-40BD-8D89-A4D85A28E49B}"/>
    <cellStyle name="Procent 2 3 4 2" xfId="29910" xr:uid="{54D60A28-F18E-44BF-99D2-DB8A446EE5C9}"/>
    <cellStyle name="Procent 2 3 5" xfId="29911" xr:uid="{72BE72AA-2780-4A7F-B260-90A6D0E0CE2B}"/>
    <cellStyle name="Procent 2 3 5 2" xfId="29912" xr:uid="{B74060B9-1C3D-4125-BE71-B850BEDF36FE}"/>
    <cellStyle name="Procent 2 3 6" xfId="29913" xr:uid="{D93A9A16-F082-4B12-8A97-51A2F35E893E}"/>
    <cellStyle name="Procent 2 3 6 2" xfId="29914" xr:uid="{DFC801CC-D568-490A-92CE-58C569AB2676}"/>
    <cellStyle name="Procent 2 3 7" xfId="29915" xr:uid="{02DA18A9-A510-488E-942B-F60DB0472D10}"/>
    <cellStyle name="Procent 2 3 7 2" xfId="29916" xr:uid="{58D25ED0-8620-4B48-A5E1-5005D8AD30BC}"/>
    <cellStyle name="Procent 2 3 8" xfId="29917" xr:uid="{5C7BD47B-B15F-4BCA-9F8E-604BC29CEBB7}"/>
    <cellStyle name="Procent 2 4" xfId="29918" xr:uid="{AAE249C8-51D0-42B1-B9E2-5504075F532F}"/>
    <cellStyle name="Procent 2 4 2" xfId="29919" xr:uid="{F888925F-D6EA-4685-8C99-6615BDC2F243}"/>
    <cellStyle name="Procent 2 4 2 2" xfId="29920" xr:uid="{64AAA3E0-A13B-48B5-B262-054FE59F3EF9}"/>
    <cellStyle name="Procent 2 4 2 2 2" xfId="29921" xr:uid="{D896B864-83F4-4A15-B5C2-1E99A9B8BBA9}"/>
    <cellStyle name="Procent 2 4 2 3" xfId="29922" xr:uid="{EC05F3B1-1258-4FE3-83BF-9C7A3E0F13AD}"/>
    <cellStyle name="Procent 2 4 2 3 2" xfId="29923" xr:uid="{DA3191FF-46E4-4624-A151-F165EC208583}"/>
    <cellStyle name="Procent 2 4 2 4" xfId="29924" xr:uid="{ACA6F146-F621-42F9-A577-F385C48B2148}"/>
    <cellStyle name="Procent 2 4 3" xfId="29925" xr:uid="{B97358F5-0BE6-451A-9FEB-4F1A4EDF0B15}"/>
    <cellStyle name="Procent 2 4 3 2" xfId="29926" xr:uid="{E655ADD9-30DD-4BD4-9541-B7E089AB3CF7}"/>
    <cellStyle name="Procent 2 4 4" xfId="29927" xr:uid="{9F975F17-D028-4657-9FF3-D58446380B30}"/>
    <cellStyle name="Procent 2 4 4 2" xfId="29928" xr:uid="{032BC337-54F2-479B-904F-40403259F0DC}"/>
    <cellStyle name="Procent 2 4 5" xfId="29929" xr:uid="{2F03C82B-4B79-4526-B9BC-7C04EC802403}"/>
    <cellStyle name="Procent 2 4 5 2" xfId="29930" xr:uid="{7A82E738-645E-4CAF-A8EF-64F1BF10DB08}"/>
    <cellStyle name="Procent 2 4 6" xfId="29931" xr:uid="{CA65E33A-F845-4151-A46B-5AF6D9A662F7}"/>
    <cellStyle name="Procent 2 4 6 2" xfId="29932" xr:uid="{5A54FB00-C18E-4D1D-9101-E4A83DFA6988}"/>
    <cellStyle name="Procent 2 4 7" xfId="29933" xr:uid="{C181DC75-725A-4209-BF17-BF2F9D082A5C}"/>
    <cellStyle name="Procent 2 4 7 2" xfId="29934" xr:uid="{6677123A-90E9-4E24-83E0-15B83B09AA69}"/>
    <cellStyle name="Procent 2 4 8" xfId="29935" xr:uid="{3ED1DF95-09B1-4B4E-8542-1129D0A7D349}"/>
    <cellStyle name="Procent 2 5" xfId="29936" xr:uid="{919B13CC-3D6B-4F90-BB9D-8B82BFC3CB83}"/>
    <cellStyle name="Procent 2 5 2" xfId="29937" xr:uid="{4764D494-95AA-4FC3-AC22-7E2B31E611AD}"/>
    <cellStyle name="Procent 2 5 2 2" xfId="29938" xr:uid="{895953E2-510C-4894-8273-09BA2AD202B1}"/>
    <cellStyle name="Procent 2 5 2 2 2" xfId="29939" xr:uid="{0202480E-6562-4FA0-9725-EEF06D00C243}"/>
    <cellStyle name="Procent 2 5 2 3" xfId="29940" xr:uid="{7978C54B-9842-4010-99EB-6FAAB64352E9}"/>
    <cellStyle name="Procent 2 5 2 3 2" xfId="29941" xr:uid="{5C5ABEBC-105E-496E-8842-C3BB0A89AC75}"/>
    <cellStyle name="Procent 2 5 2 4" xfId="29942" xr:uid="{A6D95354-A446-4A66-B2C7-11983E6D105C}"/>
    <cellStyle name="Procent 2 5 3" xfId="29943" xr:uid="{183C6519-5A1D-4A61-B977-E392B36E3CCB}"/>
    <cellStyle name="Procent 2 5 3 2" xfId="29944" xr:uid="{08DC73A7-5235-415A-9C39-E52FDDAD7B93}"/>
    <cellStyle name="Procent 2 5 4" xfId="29945" xr:uid="{28EAA38A-12C5-4D9A-A2B0-7EFF760F3AC1}"/>
    <cellStyle name="Procent 2 5 4 2" xfId="29946" xr:uid="{71E24975-FF9E-432E-B2D4-D7A9F66AFCEC}"/>
    <cellStyle name="Procent 2 5 5" xfId="29947" xr:uid="{E80E2971-B402-40C1-ACDB-0A8EC09644D9}"/>
    <cellStyle name="Procent 2 5 5 2" xfId="29948" xr:uid="{2C71A506-D4DC-487C-A8EC-02269FDADFFF}"/>
    <cellStyle name="Procent 2 5 6" xfId="29949" xr:uid="{C50E555A-5421-4DD5-A559-FE3D8618D860}"/>
    <cellStyle name="Procent 2 5 6 2" xfId="29950" xr:uid="{5D9773E7-B40B-465D-B5FB-E285FDF949A3}"/>
    <cellStyle name="Procent 2 6" xfId="29951" xr:uid="{3C39BCBB-4EE0-46AA-928A-B461DBF6DDB4}"/>
    <cellStyle name="Procent 2 6 2" xfId="29952" xr:uid="{D4A83B8F-5128-4810-B792-20D0352DBBAF}"/>
    <cellStyle name="Procent 2 6 2 2" xfId="29953" xr:uid="{93434277-83E4-4B7E-830C-7BF7889CFCF0}"/>
    <cellStyle name="Procent 2 6 2 2 2" xfId="29954" xr:uid="{16EE8FB1-2454-40C0-8D20-30ECF571E296}"/>
    <cellStyle name="Procent 2 6 2 3" xfId="29955" xr:uid="{2FBE3D0C-60EF-410F-B278-B3084AA0D91D}"/>
    <cellStyle name="Procent 2 6 2 3 2" xfId="29956" xr:uid="{FF67C5DB-E8B8-471C-81C3-1EC09662B40C}"/>
    <cellStyle name="Procent 2 6 2 4" xfId="29957" xr:uid="{0896F9B7-33EB-4C6F-9826-7B7B6E8A074F}"/>
    <cellStyle name="Procent 2 6 3" xfId="29958" xr:uid="{61C4C368-E100-46F8-A5D2-AC5A8C807D7C}"/>
    <cellStyle name="Procent 2 6 3 2" xfId="29959" xr:uid="{DD212B0F-2EA5-4762-A9F1-40CDA635EF1D}"/>
    <cellStyle name="Procent 2 6 4" xfId="29960" xr:uid="{9BD1E313-3592-46D9-9F46-59A6F2A1FD8D}"/>
    <cellStyle name="Procent 2 6 4 2" xfId="29961" xr:uid="{58940447-46EE-4543-8EC9-94AD57372548}"/>
    <cellStyle name="Procent 2 6 5" xfId="29962" xr:uid="{B0822D4A-DE9E-430D-82D6-2F8B5F8EC15D}"/>
    <cellStyle name="Procent 2 6 5 2" xfId="29963" xr:uid="{BE5A0B3A-EA5E-48C1-91A9-0A5AA68A86F4}"/>
    <cellStyle name="Procent 2 6 6" xfId="29964" xr:uid="{4EC7F8CB-48E6-4248-8FAD-7837F4075D4E}"/>
    <cellStyle name="Procent 2 7" xfId="29965" xr:uid="{91BECA5E-3F24-4896-9E4F-D546E1B106A4}"/>
    <cellStyle name="Procent 2 7 2" xfId="29966" xr:uid="{EA5E5A1A-2333-49AA-BA32-04044EA1CDE3}"/>
    <cellStyle name="Procent 2 7 2 2" xfId="29967" xr:uid="{F2A8FBD4-33AC-4A04-A289-D0C30031D274}"/>
    <cellStyle name="Procent 2 7 2 2 2" xfId="29968" xr:uid="{FE56A66D-FBC7-44A0-8D32-365C44E310F1}"/>
    <cellStyle name="Procent 2 7 2 3" xfId="29969" xr:uid="{5DD27E1A-912B-4B60-8651-67BD4E8EA5A7}"/>
    <cellStyle name="Procent 2 7 2 3 2" xfId="29970" xr:uid="{606B8075-88B8-4DF6-8850-9C844E63D0C4}"/>
    <cellStyle name="Procent 2 7 2 4" xfId="29971" xr:uid="{7D81E5E7-22CB-4694-9F25-33CD9FAE443C}"/>
    <cellStyle name="Procent 2 7 3" xfId="29972" xr:uid="{491141DD-9B1A-4A42-9602-D877819460EE}"/>
    <cellStyle name="Procent 2 7 3 2" xfId="29973" xr:uid="{65293A09-8547-41AA-AA14-9B03F7BB120F}"/>
    <cellStyle name="Procent 2 7 4" xfId="29974" xr:uid="{D89D87C7-BD59-4283-AB1C-5318C53DF840}"/>
    <cellStyle name="Procent 2 7 4 2" xfId="29975" xr:uid="{B3F366A4-C8C4-41C1-93AF-937B3B8A6618}"/>
    <cellStyle name="Procent 2 7 5" xfId="29976" xr:uid="{A6D33D3B-0C74-41FE-A628-054FB5FDD5A5}"/>
    <cellStyle name="Procent 2 7 5 2" xfId="29977" xr:uid="{30F2C77E-7FEA-4CBA-ACD4-E66763F89650}"/>
    <cellStyle name="Procent 2 7 6" xfId="29978" xr:uid="{590FD92E-7D75-43CE-B9AD-13D078AFBF04}"/>
    <cellStyle name="Procent 2 8" xfId="29979" xr:uid="{373DB256-D47E-43C2-B050-B21155436E67}"/>
    <cellStyle name="Procent 2 8 2" xfId="29980" xr:uid="{81E7527C-A153-4880-820B-35D522F58978}"/>
    <cellStyle name="Procent 2 8 2 2" xfId="29981" xr:uid="{28935BC2-9A38-4772-8143-4CBFD7F4E3A3}"/>
    <cellStyle name="Procent 2 8 2 2 2" xfId="29982" xr:uid="{2F03B884-6C18-4300-AA4B-D00BA6DF8B41}"/>
    <cellStyle name="Procent 2 8 2 3" xfId="29983" xr:uid="{EA54FA37-C165-43FD-9D00-B83966110FA7}"/>
    <cellStyle name="Procent 2 8 2 3 2" xfId="29984" xr:uid="{07B85976-D024-4508-BED8-66CF341386A7}"/>
    <cellStyle name="Procent 2 8 2 4" xfId="29985" xr:uid="{AE792D85-1B62-4F80-B647-DDAD956D7F9F}"/>
    <cellStyle name="Procent 2 8 3" xfId="29986" xr:uid="{08BFF2C0-9DE3-4B93-881C-A6648DF1B3FB}"/>
    <cellStyle name="Procent 2 8 3 2" xfId="29987" xr:uid="{BAB9A3CA-2331-4870-9BA6-D0490C4379E9}"/>
    <cellStyle name="Procent 2 8 4" xfId="29988" xr:uid="{4B4B57B2-5DBC-46D5-8CE8-89AD50E1FC00}"/>
    <cellStyle name="Procent 2 8 4 2" xfId="29989" xr:uid="{EBB82BE8-EEC8-4CFE-BE91-8431865BCA45}"/>
    <cellStyle name="Procent 2 8 5" xfId="29990" xr:uid="{F1E4B206-FE11-4B01-9210-DD2C563543FA}"/>
    <cellStyle name="Procent 2 8 5 2" xfId="29991" xr:uid="{FED32EF9-7574-432A-AEE7-1CCBE46951E8}"/>
    <cellStyle name="Procent 2 8 6" xfId="29992" xr:uid="{C249978E-1A13-4E76-B82B-1AADD603F67C}"/>
    <cellStyle name="Procent 2 9" xfId="29993" xr:uid="{FFEF7D85-6D27-4883-B856-9FAFFE08B4DB}"/>
    <cellStyle name="Procent 2 9 2" xfId="29994" xr:uid="{45F5DB0A-7A01-4048-A5BB-8FF8FE107D36}"/>
    <cellStyle name="Procent 2 9 2 2" xfId="29995" xr:uid="{29776308-03C1-4B42-8E54-21F1C1C8EE29}"/>
    <cellStyle name="Procent 2 9 3" xfId="29996" xr:uid="{24874715-DDB7-4C66-BC55-F5143FE09CBF}"/>
    <cellStyle name="Procent 2 9 3 2" xfId="29997" xr:uid="{5AA73F69-B6EB-4FE9-93DC-5B6E3838F26B}"/>
    <cellStyle name="Procent 2 9 4" xfId="29998" xr:uid="{9DDE2AD9-9564-4935-8F20-E40B9D22E8CE}"/>
    <cellStyle name="Procent 3" xfId="2526" xr:uid="{00000000-0005-0000-0000-0000CD090000}"/>
    <cellStyle name="Procent 3 2" xfId="2527" xr:uid="{00000000-0005-0000-0000-0000CE090000}"/>
    <cellStyle name="Procent 3 2 2" xfId="12176" xr:uid="{83DD441B-D5AA-4441-A73E-2C423A721EBD}"/>
    <cellStyle name="Procent 3 2 2 2" xfId="30002" xr:uid="{458EEEB6-A995-4F13-B694-5D6257E5A75D}"/>
    <cellStyle name="Procent 3 2 2 3" xfId="30001" xr:uid="{E2ED05DC-1F9D-46C9-A8B8-AAF6CE19E5B4}"/>
    <cellStyle name="Procent 3 2 3" xfId="11576" xr:uid="{9D357626-2B35-485A-9F0F-89108B8C16C5}"/>
    <cellStyle name="Procent 3 2 3 2" xfId="30004" xr:uid="{8893B062-2203-4C2C-8345-A4A6B128D258}"/>
    <cellStyle name="Procent 3 2 3 3" xfId="30003" xr:uid="{05DCA17C-E43E-4B6C-A2CF-97E8977F06FA}"/>
    <cellStyle name="Procent 3 2 4" xfId="11089" xr:uid="{A531EE14-C0F8-4EB0-BC34-2A2CB2848806}"/>
    <cellStyle name="Procent 3 2 4 2" xfId="46266" xr:uid="{802BFF37-9349-4D9D-8605-B2F04B46EC70}"/>
    <cellStyle name="Procent 3 2 4 3" xfId="30005" xr:uid="{672BDF0B-C25B-40DE-9B89-F36393F73916}"/>
    <cellStyle name="Procent 3 2 5" xfId="30006" xr:uid="{86F648F7-7C6B-4CCC-81BF-A89BF00C7658}"/>
    <cellStyle name="Procent 3 2 6" xfId="30007" xr:uid="{A3964EFE-CF2D-4CDD-994C-4472C29B92EE}"/>
    <cellStyle name="Procent 3 2 7" xfId="30000" xr:uid="{CE3B1BD7-8389-48DC-BD91-B77A9EAA5ECA}"/>
    <cellStyle name="Procent 3 2 8" xfId="17968" xr:uid="{80227780-CF48-49B8-9F15-0D2D76027E5A}"/>
    <cellStyle name="Procent 3 2 9" xfId="9588" xr:uid="{551C5B3F-ECF7-4BE7-B2AA-2072332325F6}"/>
    <cellStyle name="Procent 3 3" xfId="4522" xr:uid="{2BE8DBFD-9061-48F6-B3D5-F878BE6E63E6}"/>
    <cellStyle name="Procent 3 3 2" xfId="30009" xr:uid="{5E06114F-80F2-4C0C-8A56-3AB6ABC312A6}"/>
    <cellStyle name="Procent 3 3 3" xfId="30008" xr:uid="{B408034F-4F2E-4DD8-B497-8159A9CC6BE6}"/>
    <cellStyle name="Procent 3 4" xfId="11575" xr:uid="{FC3ED7C2-8D0B-4481-824B-18B889DA868B}"/>
    <cellStyle name="Procent 3 4 2" xfId="30011" xr:uid="{B36EB40D-E303-4C49-81EE-E50378174570}"/>
    <cellStyle name="Procent 3 4 3" xfId="30010" xr:uid="{EBD081BB-C55C-4FA3-A4DF-C7AAD7D3CC09}"/>
    <cellStyle name="Procent 3 5" xfId="11088" xr:uid="{D5630E4A-390E-422D-A02E-B68FD22E548B}"/>
    <cellStyle name="Procent 3 5 2" xfId="30012" xr:uid="{E74B0E73-2EC3-49B5-B580-64179786CC11}"/>
    <cellStyle name="Procent 3 5 3" xfId="17967" xr:uid="{D8CFBE47-AA25-4A2D-899B-3BDB6DCB2276}"/>
    <cellStyle name="Procent 3 6" xfId="30013" xr:uid="{611CC7AC-FD21-4300-BBB8-64945D550D16}"/>
    <cellStyle name="Procent 3 7" xfId="30014" xr:uid="{75D1750D-AFFB-4A2E-8612-9961B0AA4298}"/>
    <cellStyle name="Procent 3 8" xfId="30015" xr:uid="{69F4D324-74D4-4471-A252-9C45178FB95A}"/>
    <cellStyle name="Procent 3 9" xfId="29999" xr:uid="{5EF5E4E3-B3AC-4D71-9F0A-A1EE9889B7AF}"/>
    <cellStyle name="Procent 4" xfId="9589" xr:uid="{0DF71F8C-7080-47B8-AA89-C63CA0E161CF}"/>
    <cellStyle name="Procent 4 10" xfId="18156" xr:uid="{08C1DADA-1E4F-4999-B8D7-CE9A1DDF0150}"/>
    <cellStyle name="Procent 4 2" xfId="9590" xr:uid="{10C70833-3B60-4168-95A0-EA542C6F7ECF}"/>
    <cellStyle name="Procent 4 2 2" xfId="10052" xr:uid="{375D6BE4-6D6F-44E5-8C6B-78F3C285CC1E}"/>
    <cellStyle name="Procent 4 2 2 2" xfId="10360" xr:uid="{D4D4334E-65BD-48AB-BC97-74BC4E1872F4}"/>
    <cellStyle name="Procent 4 2 2 2 2" xfId="12813" xr:uid="{95F8E065-E412-4DD6-987A-C940593B434D}"/>
    <cellStyle name="Procent 4 2 2 2 2 2" xfId="47171" xr:uid="{BCD184D0-7990-45E2-A91A-650982498673}"/>
    <cellStyle name="Procent 4 2 2 2 2 3" xfId="30019" xr:uid="{0AE0178A-8C8A-4061-9FB4-8CB1385134D6}"/>
    <cellStyle name="Procent 4 2 2 2 3" xfId="18910" xr:uid="{3889949B-2882-4269-AB1E-CBE48540074D}"/>
    <cellStyle name="Procent 4 2 2 3" xfId="12512" xr:uid="{E10135E2-A2CB-476E-BA52-8C2E301CA89C}"/>
    <cellStyle name="Procent 4 2 2 3 2" xfId="25086" xr:uid="{DC665F45-91DD-44D8-A824-98904657689A}"/>
    <cellStyle name="Procent 4 2 2 3 3" xfId="30020" xr:uid="{AAFD6543-8090-4BCB-98F9-F6641FCE3CE3}"/>
    <cellStyle name="Procent 4 2 2 4" xfId="30018" xr:uid="{A981ABDB-7CE9-4E94-A5D4-C19F226FC13E}"/>
    <cellStyle name="Procent 4 2 2 5" xfId="18761" xr:uid="{2F590C88-E27C-4206-9216-39CA18957EC3}"/>
    <cellStyle name="Procent 4 2 3" xfId="10126" xr:uid="{516A3AF8-1C6F-4931-94B5-E1B768E0589D}"/>
    <cellStyle name="Procent 4 2 3 2" xfId="10440" xr:uid="{20B544AF-F990-46C6-925D-BB5BD47699E1}"/>
    <cellStyle name="Procent 4 2 3 2 2" xfId="12893" xr:uid="{D2819FA4-2335-451F-8DA7-4F0CC1E5B117}"/>
    <cellStyle name="Procent 4 2 3 2 2 2" xfId="48055" xr:uid="{2F5D1A93-93A2-4F72-9236-BDC32F52CEB9}"/>
    <cellStyle name="Procent 4 2 3 2 2 3" xfId="30022" xr:uid="{19B50473-4E0D-40BF-9B9C-5CE986D7DAF5}"/>
    <cellStyle name="Procent 4 2 3 2 3" xfId="18952" xr:uid="{3AE00863-D88C-4082-A19F-07204EB6FC85}"/>
    <cellStyle name="Procent 4 2 3 3" xfId="12583" xr:uid="{993F53D7-5325-492E-BA91-E636D11B07BD}"/>
    <cellStyle name="Procent 4 2 3 3 2" xfId="47165" xr:uid="{BA63B904-14D6-4BC6-A4E2-7DB99B58D900}"/>
    <cellStyle name="Procent 4 2 3 3 3" xfId="30021" xr:uid="{B9E4ECCC-773A-4513-A169-89CFD8CD20F6}"/>
    <cellStyle name="Procent 4 2 3 4" xfId="18794" xr:uid="{76CA0586-1A00-4874-93C9-1A8F37C69E15}"/>
    <cellStyle name="Procent 4 2 4" xfId="10206" xr:uid="{3551AE42-EDD3-40C9-AE18-FFC5F682B011}"/>
    <cellStyle name="Procent 4 2 4 2" xfId="10520" xr:uid="{8DE3CAE9-213D-4F7F-8F0E-8CCC011C2659}"/>
    <cellStyle name="Procent 4 2 4 2 2" xfId="12973" xr:uid="{9A761622-6B18-441B-879E-18209D6EC1D7}"/>
    <cellStyle name="Procent 4 2 4 2 2 2" xfId="47103" xr:uid="{3ED0EF7D-0A65-4BDD-BAC2-64293533A886}"/>
    <cellStyle name="Procent 4 2 4 2 3" xfId="18994" xr:uid="{70C4E671-FFCF-408C-8390-2E93B5435450}"/>
    <cellStyle name="Procent 4 2 4 3" xfId="12659" xr:uid="{E82B1949-4F34-4CBB-A8A9-E50D6DDF79A6}"/>
    <cellStyle name="Procent 4 2 4 3 2" xfId="24695" xr:uid="{351D90B1-EDF5-45DA-9801-8ABABA07B1C2}"/>
    <cellStyle name="Procent 4 2 4 3 3" xfId="30023" xr:uid="{C8702F7F-12DE-414A-9A63-133813D1A1CB}"/>
    <cellStyle name="Procent 4 2 4 4" xfId="18832" xr:uid="{A7F4B115-EEA3-4652-9B77-A0D76964ECA0}"/>
    <cellStyle name="Procent 4 2 5" xfId="10286" xr:uid="{56F05D8C-F3DB-43E2-8F93-86B8AE0E071E}"/>
    <cellStyle name="Procent 4 2 5 2" xfId="12739" xr:uid="{A0707387-89B9-410E-A379-C4433904E795}"/>
    <cellStyle name="Procent 4 2 5 2 2" xfId="48339" xr:uid="{06BC8B4D-5D19-4BA4-BFCC-A8B3A57C5F9A}"/>
    <cellStyle name="Procent 4 2 5 2 3" xfId="30024" xr:uid="{72A5ABC9-6046-41DF-97E6-566DC0553BDD}"/>
    <cellStyle name="Procent 4 2 5 3" xfId="18874" xr:uid="{1097FA63-F42D-44DF-B102-2688862B9A7C}"/>
    <cellStyle name="Procent 4 2 6" xfId="10600" xr:uid="{CE797CC0-D120-4238-BEFF-4AFDA1F7ED8A}"/>
    <cellStyle name="Procent 4 2 6 2" xfId="13053" xr:uid="{D17FCDC0-E67A-4B40-878B-689910EC24BA}"/>
    <cellStyle name="Procent 4 2 6 2 2" xfId="46388" xr:uid="{48B4DF2F-ECFA-4F77-A09E-89D140FEAC7F}"/>
    <cellStyle name="Procent 4 2 6 3" xfId="19036" xr:uid="{BCE2E6A1-EEE6-4035-B316-70FD283B9DFC}"/>
    <cellStyle name="Procent 4 2 7" xfId="11675" xr:uid="{A0052799-7D57-405A-BD66-1A0F7F16A4B8}"/>
    <cellStyle name="Procent 4 2 7 2" xfId="46731" xr:uid="{C1412964-721A-4CAB-A4DC-BA2C4074E065}"/>
    <cellStyle name="Procent 4 2 7 3" xfId="30017" xr:uid="{44A36D65-7381-4D9F-969D-E29590D3CD44}"/>
    <cellStyle name="Procent 4 2 8" xfId="18297" xr:uid="{6013F72E-3E9B-4737-A272-63E563579C9A}"/>
    <cellStyle name="Procent 4 3" xfId="10051" xr:uid="{A3B26B35-3639-4916-9D6C-A8D8A8E70F71}"/>
    <cellStyle name="Procent 4 3 2" xfId="10359" xr:uid="{01F59474-4958-418D-910E-AC8F93808CC5}"/>
    <cellStyle name="Procent 4 3 2 2" xfId="12812" xr:uid="{12ED31E7-8D9E-40BB-A788-4620683B0AEE}"/>
    <cellStyle name="Procent 4 3 2 2 2" xfId="46798" xr:uid="{A5CE1AAD-8EF9-4DCA-8A57-A488E47C6DA0}"/>
    <cellStyle name="Procent 4 3 2 2 3" xfId="30026" xr:uid="{DB278022-156E-4FF6-9523-08968963F583}"/>
    <cellStyle name="Procent 4 3 2 3" xfId="18909" xr:uid="{C0293427-9852-43A3-8501-69B1AB88D293}"/>
    <cellStyle name="Procent 4 3 3" xfId="12511" xr:uid="{DFF12268-AF5A-4E6C-82EB-97893A4F1555}"/>
    <cellStyle name="Procent 4 3 3 2" xfId="47089" xr:uid="{F45B4D55-3092-441F-9055-868DD260E46B}"/>
    <cellStyle name="Procent 4 3 3 3" xfId="30027" xr:uid="{EDF6F2EF-C101-40A4-A1F6-D6494FB8792E}"/>
    <cellStyle name="Procent 4 3 4" xfId="30025" xr:uid="{46619F23-F2C4-46FB-ACB4-45F807781C13}"/>
    <cellStyle name="Procent 4 3 5" xfId="18760" xr:uid="{D6E66EA0-D8E8-4B3F-B6C9-845E00ADF54F}"/>
    <cellStyle name="Procent 4 4" xfId="10125" xr:uid="{D5C72FA3-7089-4DE1-8A20-C9E7904FC229}"/>
    <cellStyle name="Procent 4 4 2" xfId="10439" xr:uid="{66E565F7-66CF-4ECF-81A6-566907327E11}"/>
    <cellStyle name="Procent 4 4 2 2" xfId="12892" xr:uid="{4B056D01-E2C3-4B72-8514-281BA1DC79F0}"/>
    <cellStyle name="Procent 4 4 2 2 2" xfId="46806" xr:uid="{1272EC7D-0153-4DAA-9691-973BAB7B0155}"/>
    <cellStyle name="Procent 4 4 2 2 3" xfId="30029" xr:uid="{D88B011F-19ED-4C17-889C-B96FCB88B599}"/>
    <cellStyle name="Procent 4 4 2 3" xfId="18951" xr:uid="{D80953D8-8D0D-4D8C-A492-5F9135E88CF7}"/>
    <cellStyle name="Procent 4 4 3" xfId="12582" xr:uid="{55CFD67D-ACE3-4CAB-917C-DEADAD3CADDE}"/>
    <cellStyle name="Procent 4 4 3 2" xfId="46770" xr:uid="{6E9A6ED3-A58B-485B-98EE-A046EF5EEFC4}"/>
    <cellStyle name="Procent 4 4 3 3" xfId="30028" xr:uid="{B98565B7-AE58-4638-B8BC-E5CB1CB41B81}"/>
    <cellStyle name="Procent 4 4 4" xfId="18793" xr:uid="{4DAD576E-6F72-4C7E-8EFC-480DE40B0F9B}"/>
    <cellStyle name="Procent 4 5" xfId="10205" xr:uid="{5417C698-7E3A-4088-829D-4186EE818D30}"/>
    <cellStyle name="Procent 4 5 2" xfId="10519" xr:uid="{EF705B47-9768-4BCB-82D9-64791F03462C}"/>
    <cellStyle name="Procent 4 5 2 2" xfId="12972" xr:uid="{C75B27A5-C76F-4FE9-BC83-C37D89C572F8}"/>
    <cellStyle name="Procent 4 5 2 2 2" xfId="47102" xr:uid="{CD7841FE-596C-4A2F-AC88-960A179EC3ED}"/>
    <cellStyle name="Procent 4 5 2 2 3" xfId="30031" xr:uid="{409D7773-EE12-4B9C-B404-472510771091}"/>
    <cellStyle name="Procent 4 5 2 3" xfId="18993" xr:uid="{B3DC5CAB-E6DE-4C4F-B24B-0FD8922451CF}"/>
    <cellStyle name="Procent 4 5 3" xfId="12658" xr:uid="{77B469D5-A252-44F0-8470-88D16968AC11}"/>
    <cellStyle name="Procent 4 5 3 2" xfId="46781" xr:uid="{E0A3ABCB-3585-4C13-87B6-A0B1EADEDB09}"/>
    <cellStyle name="Procent 4 5 3 3" xfId="30030" xr:uid="{931BC5B0-49F8-4641-976B-05D581EB15DD}"/>
    <cellStyle name="Procent 4 5 4" xfId="18831" xr:uid="{07FBF471-1727-43B1-A1E2-71A7FCC343F4}"/>
    <cellStyle name="Procent 4 6" xfId="10285" xr:uid="{E152A111-A738-493C-A005-A91491814DC7}"/>
    <cellStyle name="Procent 4 6 2" xfId="12738" xr:uid="{19926A0C-09CD-4485-8D4E-799F3A3F9BDD}"/>
    <cellStyle name="Procent 4 6 2 2" xfId="46787" xr:uid="{7C9E4A05-23B8-4EBE-BECD-D33262F7411E}"/>
    <cellStyle name="Procent 4 6 2 3" xfId="30032" xr:uid="{04D815CA-FFA9-419E-B561-98F2310E2181}"/>
    <cellStyle name="Procent 4 6 3" xfId="18873" xr:uid="{862E12E9-D551-4DD3-B290-C1F6E54DDF5E}"/>
    <cellStyle name="Procent 4 7" xfId="10599" xr:uid="{3B25E2D4-9138-46F9-BD32-BFFCD28A8C00}"/>
    <cellStyle name="Procent 4 7 2" xfId="13052" xr:uid="{3CD59FF7-1D01-43CE-B1A9-5D8A41794FCD}"/>
    <cellStyle name="Procent 4 7 2 2" xfId="46387" xr:uid="{DF9D285F-4F7F-49D4-A3D0-F324E6D2AF71}"/>
    <cellStyle name="Procent 4 7 2 3" xfId="30033" xr:uid="{3241309B-8C72-4873-9730-ADBABE059870}"/>
    <cellStyle name="Procent 4 7 3" xfId="19035" xr:uid="{5CEBF075-A020-481E-BB7D-7C65640BA747}"/>
    <cellStyle name="Procent 4 8" xfId="13299" xr:uid="{9EC2D9CD-250E-4178-AE6F-63896C80988C}"/>
    <cellStyle name="Procent 4 9" xfId="11577" xr:uid="{ADE3A4B4-BD0D-40EE-9B3F-62365F465B2C}"/>
    <cellStyle name="Procent 4 9 2" xfId="48329" xr:uid="{B93D573B-1777-47C6-A4B4-593DF3FEA3C1}"/>
    <cellStyle name="Procent 4 9 3" xfId="30016" xr:uid="{E0ABAFF8-83C2-473E-B16F-56657971136A}"/>
    <cellStyle name="Procent 5" xfId="30034" xr:uid="{639A1DDB-D33E-40C1-AA8D-85114A2A8BB5}"/>
    <cellStyle name="Procent 5 2" xfId="30035" xr:uid="{F85F8E8F-7E91-4188-836D-08849F1F7F73}"/>
    <cellStyle name="Procent 5 2 2" xfId="30036" xr:uid="{2EA166EE-4E64-4A66-96C1-4F20A08F4600}"/>
    <cellStyle name="Procent 5 2 2 2" xfId="30037" xr:uid="{D447EB36-738E-47AA-BFEF-0A3773EA7D6B}"/>
    <cellStyle name="Procent 5 2 3" xfId="30038" xr:uid="{85BF1A97-722F-4E77-9B0B-F4F2340A7ED9}"/>
    <cellStyle name="Procent 5 2 3 2" xfId="30039" xr:uid="{84914794-81EB-4B3E-AB6C-970ED65D5E74}"/>
    <cellStyle name="Procent 5 2 4" xfId="30040" xr:uid="{2CEEA6EE-64D7-4FEA-A94F-6ECFE6849AE1}"/>
    <cellStyle name="Procent 5 3" xfId="30041" xr:uid="{53B1DCE5-1024-4841-B0A7-BB1F4BAB33E4}"/>
    <cellStyle name="Procent 5 3 2" xfId="30042" xr:uid="{05E67F03-883B-4D23-B4D2-7869CBFAC36E}"/>
    <cellStyle name="Procent 5 4" xfId="30043" xr:uid="{1A09C049-F9D4-4CAE-A0DA-57949A451405}"/>
    <cellStyle name="Procent 5 4 2" xfId="30044" xr:uid="{1952C118-F9CD-4FAB-9408-13D3215382A3}"/>
    <cellStyle name="Procent 5 5" xfId="30045" xr:uid="{3D95E014-A704-4344-97E2-F5798B2C8485}"/>
    <cellStyle name="Procent 5 5 2" xfId="30046" xr:uid="{1C870F39-5D36-42BE-AF60-56DEC3D61BF1}"/>
    <cellStyle name="Procent 5 6" xfId="30047" xr:uid="{28F5C5D8-E8AA-4EC8-BB0E-A14A62DFE1B6}"/>
    <cellStyle name="Procent 5 7" xfId="30048" xr:uid="{2C948872-AE63-457A-B6D0-13B187825BAF}"/>
    <cellStyle name="Procent 6" xfId="30049" xr:uid="{D3FF06F0-00DA-4850-9242-64836C988CCA}"/>
    <cellStyle name="Procent 6 2" xfId="30050" xr:uid="{839FA2C7-4447-4194-87CB-644BC2140B5D}"/>
    <cellStyle name="Procent 6 2 2" xfId="30051" xr:uid="{14AA50F6-8D41-4335-9055-CD517521674F}"/>
    <cellStyle name="Procent 6 2 2 2" xfId="30052" xr:uid="{9E389380-5012-4CF0-8860-98E58BF3C598}"/>
    <cellStyle name="Procent 6 2 3" xfId="30053" xr:uid="{DBDFB87E-DD08-4F66-9CBA-28484666E3DF}"/>
    <cellStyle name="Procent 6 2 3 2" xfId="30054" xr:uid="{94D59889-88AE-4391-91D7-9092C6D179DF}"/>
    <cellStyle name="Procent 6 2 4" xfId="30055" xr:uid="{B254A72B-E850-4280-A040-F4ECA1B38A91}"/>
    <cellStyle name="Procent 6 3" xfId="30056" xr:uid="{ADDECBD6-59E6-4E23-8A60-D9BE87AFB2BE}"/>
    <cellStyle name="Procent 6 3 2" xfId="30057" xr:uid="{58D4C950-9B64-498F-B7DD-609FADE61B91}"/>
    <cellStyle name="Procent 6 4" xfId="30058" xr:uid="{AB265F7E-8A02-4C4B-A1D6-B84290D2EF35}"/>
    <cellStyle name="Procent 6 4 2" xfId="30059" xr:uid="{479479C1-A248-45D1-8495-28A1856D784A}"/>
    <cellStyle name="Procent 6 5" xfId="30060" xr:uid="{B89BACFA-A89B-4343-824B-E891054EA383}"/>
    <cellStyle name="Procent 6 5 2" xfId="30061" xr:uid="{4ACF94DA-F0CE-42B5-A7E6-57E14E5D9C81}"/>
    <cellStyle name="Procent 6 6" xfId="30062" xr:uid="{8DA0B8E3-7811-4BC8-83FA-F5C8420DC977}"/>
    <cellStyle name="Procent 7" xfId="30063" xr:uid="{A81ED623-30A6-47A2-BF52-3026633E7FC7}"/>
    <cellStyle name="Procent 7 2" xfId="30064" xr:uid="{C2E0BF96-6874-4E28-8054-6505B4645967}"/>
    <cellStyle name="Procent 7 2 2" xfId="30065" xr:uid="{640EA493-7C1A-41B7-8A42-BD2D303D9F4D}"/>
    <cellStyle name="Procent 7 2 2 2" xfId="30066" xr:uid="{AD0C490D-A202-4A1F-B032-11690CCE09D1}"/>
    <cellStyle name="Procent 7 2 3" xfId="30067" xr:uid="{F1E8B8D9-828A-476C-9FAE-1D124DFA65C6}"/>
    <cellStyle name="Procent 7 2 3 2" xfId="30068" xr:uid="{A06FB2F5-DF98-4FA8-B546-5903150B4B54}"/>
    <cellStyle name="Procent 7 2 4" xfId="30069" xr:uid="{A66402E8-DE5B-454C-867C-A0DD6DDD6911}"/>
    <cellStyle name="Procent 7 3" xfId="30070" xr:uid="{F3E8304D-D094-456D-8C04-CC15124106E6}"/>
    <cellStyle name="Procent 7 3 2" xfId="30071" xr:uid="{1D528FE4-84DA-4D53-91BB-CA57A902086B}"/>
    <cellStyle name="Procent 7 4" xfId="30072" xr:uid="{1AFF626F-AA4F-46D1-BAE1-3E575A9164AC}"/>
    <cellStyle name="Procent 7 4 2" xfId="30073" xr:uid="{0AE49FD0-12A4-4AFD-A7AC-B68022FC03A5}"/>
    <cellStyle name="Procent 7 5" xfId="30074" xr:uid="{40F97892-2904-4265-B67B-86182F246657}"/>
    <cellStyle name="Procent 7 5 2" xfId="30075" xr:uid="{D444EE48-8D4F-4F3E-9C91-B8D59136A6A0}"/>
    <cellStyle name="Procent 7 6" xfId="30076" xr:uid="{E170AFC8-D1BB-4509-9460-77CD40C4721D}"/>
    <cellStyle name="Procent 8" xfId="30077" xr:uid="{D925AC30-1CFD-4653-AE2A-5AE0011550F2}"/>
    <cellStyle name="Procent 8 2" xfId="30078" xr:uid="{E59F35F5-9CAC-4522-916F-0AA9D847EAAB}"/>
    <cellStyle name="Procent 8 2 2" xfId="30079" xr:uid="{04D780AC-B24F-4B8C-AE19-8524AAD89A95}"/>
    <cellStyle name="Procent 8 2 2 2" xfId="30080" xr:uid="{A73B0612-8DF8-42C7-B527-FB28FD5FFEE9}"/>
    <cellStyle name="Procent 8 2 3" xfId="30081" xr:uid="{16B33988-35B5-4EAF-8D6A-6EC3DF0D41B7}"/>
    <cellStyle name="Procent 8 2 3 2" xfId="30082" xr:uid="{68FFC9DA-0C19-4BE6-9E72-539EB4B49E2B}"/>
    <cellStyle name="Procent 8 2 4" xfId="30083" xr:uid="{C9548408-741B-4BD7-B00B-58632F7E03B1}"/>
    <cellStyle name="Procent 8 3" xfId="30084" xr:uid="{92C174E8-BA94-45E4-B47A-74ECF3DB6CCC}"/>
    <cellStyle name="Procent 8 3 2" xfId="30085" xr:uid="{61A51746-9A90-4E71-AD4D-AAD4AAEBBC4B}"/>
    <cellStyle name="Procent 8 4" xfId="30086" xr:uid="{AAB980B0-8852-4C54-AE02-84339257867D}"/>
    <cellStyle name="Procent 8 4 2" xfId="30087" xr:uid="{BA3AF683-C738-4112-B5CF-9DF67EAB11B6}"/>
    <cellStyle name="Procent 8 5" xfId="30088" xr:uid="{6EA00A2F-B1A4-4C2E-B31F-C02D0EBE9DAC}"/>
    <cellStyle name="Procent 9" xfId="30089" xr:uid="{BFF66A3A-B61D-4D88-A19C-1D814DB9BABA}"/>
    <cellStyle name="Procent 9 2" xfId="30090" xr:uid="{3D13BF7D-AC48-4F66-81FC-177679271C2B}"/>
    <cellStyle name="Procent 9 2 2" xfId="30091" xr:uid="{F07918C9-21B9-4F3B-B343-F56721D1263D}"/>
    <cellStyle name="Procent 9 3" xfId="30092" xr:uid="{04227543-D995-474A-A02D-5149ABA0CE15}"/>
    <cellStyle name="Procent 9 3 2" xfId="30093" xr:uid="{4E428235-43E6-4C0B-B6B6-64BF67E988B2}"/>
    <cellStyle name="Procent 9 4" xfId="30094" xr:uid="{4BAD8124-3553-4D2D-8DAE-27FF1CEF6237}"/>
    <cellStyle name="SAPBEXaggData" xfId="32555" xr:uid="{5B040B63-A398-4F69-B92B-F488C7965FE5}"/>
    <cellStyle name="SAPBEXaggDataEmph" xfId="32556" xr:uid="{6C1ECABC-8312-4226-B8EA-49B7A2D46652}"/>
    <cellStyle name="SAPBEXaggItem" xfId="32557" xr:uid="{E85EBBCD-22D8-44BF-A867-542E48C18F4E}"/>
    <cellStyle name="SAPBEXaggItemX" xfId="32558" xr:uid="{7CFEA90E-9B53-4AF1-8660-5219F3F12FB4}"/>
    <cellStyle name="SAPBEXchaText" xfId="32559" xr:uid="{254F8BCD-4C2C-44C4-AC23-06795267E3EC}"/>
    <cellStyle name="SAPBEXexcBad" xfId="32560" xr:uid="{43F4D806-F18F-4802-8694-642A3E1EC3B0}"/>
    <cellStyle name="SAPBEXexcBad7" xfId="32561" xr:uid="{01AA113F-AE3A-4AFB-9AAD-190A7EFBA26C}"/>
    <cellStyle name="SAPBEXexcBad8" xfId="32562" xr:uid="{434AC0EF-0F90-4EFE-976B-FBAF1565057C}"/>
    <cellStyle name="SAPBEXexcBad9" xfId="32563" xr:uid="{072EAE30-7C7A-4CA7-A44B-74B110A5E6C1}"/>
    <cellStyle name="SAPBEXexcCritical" xfId="32564" xr:uid="{43ACB463-E5B4-47B4-8320-0ABD473AB423}"/>
    <cellStyle name="SAPBEXexcCritical4" xfId="32565" xr:uid="{D365594C-9D31-4C38-9FBF-792BB4CBAAD6}"/>
    <cellStyle name="SAPBEXexcCritical5" xfId="32566" xr:uid="{1E843E4E-7991-4480-A212-E6D597CE1E1C}"/>
    <cellStyle name="SAPBEXexcCritical6" xfId="32567" xr:uid="{1E6B65FB-5530-475F-A47D-30997ACF905D}"/>
    <cellStyle name="SAPBEXexcGood" xfId="32568" xr:uid="{9687E2B6-7CE6-465F-8D05-194430800BEE}"/>
    <cellStyle name="SAPBEXexcGood1" xfId="32569" xr:uid="{A1F1623C-BD56-424E-9AD1-71F490B2DC80}"/>
    <cellStyle name="SAPBEXexcGood2" xfId="32570" xr:uid="{1D7524FA-C041-445B-93A8-39055F45F0E1}"/>
    <cellStyle name="SAPBEXexcGood3" xfId="32571" xr:uid="{A1780438-A0B3-46CB-893A-827D919CDF3F}"/>
    <cellStyle name="SAPBEXexcVeryBad" xfId="32572" xr:uid="{CA0078C6-28E5-4F24-802E-0923FB60A18E}"/>
    <cellStyle name="SAPBEXfilterDrill" xfId="32573" xr:uid="{E11743F9-04DA-4B07-A7AC-BBE9AEF07117}"/>
    <cellStyle name="SAPBEXfilterItem" xfId="32574" xr:uid="{A08FEA3D-F4A6-41CB-B228-BD473E476FBF}"/>
    <cellStyle name="SAPBEXfilterText" xfId="32575" xr:uid="{EC43E546-1216-4A04-8AC8-772E5DA8F59F}"/>
    <cellStyle name="SAPBEXformats" xfId="32576" xr:uid="{6CD76F1F-E6DA-487E-A868-629D0E1F36C2}"/>
    <cellStyle name="SAPBEXheaderData" xfId="32577" xr:uid="{6BB12F0A-415A-4AD7-BA69-9EE86B5903A3}"/>
    <cellStyle name="SAPBEXheaderItem" xfId="32578" xr:uid="{AAD6D8FB-A65D-48FE-8B3C-D9981DD07121}"/>
    <cellStyle name="SAPBEXheaderText" xfId="32579" xr:uid="{2E51958C-25FF-49D8-9547-DDF036F5659D}"/>
    <cellStyle name="SAPBEXHLevel0" xfId="32580" xr:uid="{B8CE159D-BE7B-4775-90E4-A8B5FADCFE1E}"/>
    <cellStyle name="SAPBEXHLevel0X" xfId="32581" xr:uid="{E2B11A54-1AA2-45F2-9C2D-BFC9058FD76D}"/>
    <cellStyle name="SAPBEXHLevel1" xfId="32582" xr:uid="{6F6006F3-A1F4-4EAC-B0DC-9B00C194C1F9}"/>
    <cellStyle name="SAPBEXHLevel1X" xfId="32583" xr:uid="{0AD658B6-DDF4-4C89-8BEE-9330A793472D}"/>
    <cellStyle name="SAPBEXHLevel2" xfId="32584" xr:uid="{C447B12A-94A3-46FE-AA6C-78BF615F1AFA}"/>
    <cellStyle name="SAPBEXHLevel2X" xfId="32585" xr:uid="{776B0193-61E5-435B-8516-0FEDC8163F17}"/>
    <cellStyle name="SAPBEXHLevel3" xfId="32586" xr:uid="{B095D0F8-A031-4AB4-9791-136CFE81BCB1}"/>
    <cellStyle name="SAPBEXHLevel3X" xfId="32587" xr:uid="{CC5D23AE-AB07-4DE4-9E85-450A5721C643}"/>
    <cellStyle name="SAPBEXinputData" xfId="32588" xr:uid="{EC8BBB53-B7FE-462A-BDD0-820D014B6DC6}"/>
    <cellStyle name="SAPBEXresData" xfId="32589" xr:uid="{11AAAD77-60BB-4705-B98F-2A5C18F2129D}"/>
    <cellStyle name="SAPBEXresDataEmph" xfId="32590" xr:uid="{DAFC4933-E6D3-491D-B1BC-84C449EDC054}"/>
    <cellStyle name="SAPBEXresItem" xfId="32591" xr:uid="{A6653E2C-0EF8-4003-A9CF-2D596DDCAB8F}"/>
    <cellStyle name="SAPBEXresItemX" xfId="32592" xr:uid="{7F90F4C9-D1F1-46A7-8A67-375DD3637321}"/>
    <cellStyle name="SAPBEXstdData" xfId="32593" xr:uid="{8259F65A-C8C1-4EA2-95AA-49D376D1026C}"/>
    <cellStyle name="SAPBEXstdDataEmph" xfId="32594" xr:uid="{A0C6AD9F-C844-4A51-A72C-47E9A17FE9DE}"/>
    <cellStyle name="SAPBEXstdItem" xfId="32595" xr:uid="{3B1485E1-8647-443E-A476-ABC70CE42E81}"/>
    <cellStyle name="SAPBEXstdItemX" xfId="32596" xr:uid="{57648B2E-F574-4DE9-A800-FCEF7F62A05F}"/>
    <cellStyle name="SAPBEXsubData" xfId="32597" xr:uid="{D00864AD-F925-4030-8B35-0C086F1B582A}"/>
    <cellStyle name="SAPBEXsubDataEmph" xfId="32598" xr:uid="{9E1EF56D-4613-4753-9351-0E30119C853C}"/>
    <cellStyle name="SAPBEXsubItem" xfId="32599" xr:uid="{4C17CB06-A85F-40FA-951B-5283AF3D87F4}"/>
    <cellStyle name="SAPBEXtitle" xfId="32600" xr:uid="{9DE6D33B-C79A-42F2-B0BF-248CE7DE1EB2}"/>
    <cellStyle name="SAPBEXundefined" xfId="32601" xr:uid="{EE998C50-92A6-4E79-A217-97048AAAE7DD}"/>
    <cellStyle name="Shade" xfId="30238" xr:uid="{65674665-2554-42C7-8468-FE4F64C44900}"/>
    <cellStyle name="Shade 2" xfId="35052" xr:uid="{2EAF1A53-6759-40A0-AD9A-74609FBFE3D4}"/>
    <cellStyle name="Standard_Sce_D_Extraction" xfId="1235" xr:uid="{00000000-0005-0000-0000-0000CF090000}"/>
    <cellStyle name="Style 134 2" xfId="30249" xr:uid="{C2E6181A-5931-46DC-B108-CC2AA20E7C8E}"/>
    <cellStyle name="Style 134 2 2" xfId="35060" xr:uid="{39689CF6-0A7F-41F4-910D-8184623EA3A4}"/>
    <cellStyle name="Style 140" xfId="30250" xr:uid="{BC893754-88F2-4DEB-909F-36BB70836376}"/>
    <cellStyle name="Style 140 2" xfId="35061" xr:uid="{85428F3D-13B3-4EC5-8043-734ACE650FA2}"/>
    <cellStyle name="Style 142 2" xfId="30251" xr:uid="{3F7A971D-0957-4368-9800-FEF99DCB304E}"/>
    <cellStyle name="Style 142 2 2" xfId="35062" xr:uid="{B15C7D4B-20DE-4619-9CBE-92CD5120AC59}"/>
    <cellStyle name="Style 155" xfId="2528" xr:uid="{00000000-0005-0000-0000-0000D0090000}"/>
    <cellStyle name="Style 155 2" xfId="30095" xr:uid="{1AE39F3C-3354-47FE-A657-1DC29595DFBE}"/>
    <cellStyle name="Style 155 3" xfId="25169" xr:uid="{064B77B9-BFE6-4D69-8E54-40C2957D1B07}"/>
    <cellStyle name="Style 155 4" xfId="17969" xr:uid="{C8BB9085-3AAE-49C9-B324-26FBEF2E3EBE}"/>
    <cellStyle name="Style 156" xfId="2529" xr:uid="{00000000-0005-0000-0000-0000D1090000}"/>
    <cellStyle name="Style 156 2" xfId="30096" xr:uid="{A0B63EC8-33EA-4818-8628-7AE4D21C7035}"/>
    <cellStyle name="Style 157" xfId="2530" xr:uid="{00000000-0005-0000-0000-0000D2090000}"/>
    <cellStyle name="Style 157 2" xfId="30097" xr:uid="{4B0C6085-C593-4DB0-9A25-C66EC1C2EFE2}"/>
    <cellStyle name="Style 157 3" xfId="46722" xr:uid="{7968D6BE-6A57-40CB-B071-F9876D30EB72}"/>
    <cellStyle name="Style 157 4" xfId="17970" xr:uid="{D2F9267F-CA25-42E4-ADE0-2118830D0E7E}"/>
    <cellStyle name="Style 158" xfId="2531" xr:uid="{00000000-0005-0000-0000-0000D3090000}"/>
    <cellStyle name="Style 158 2" xfId="30098" xr:uid="{182950BC-C7DF-4862-BD83-2BE6E1C2D0AC}"/>
    <cellStyle name="Style 158 3" xfId="33720" xr:uid="{4D43C1FB-B26A-4258-AA39-12FF4FE86616}"/>
    <cellStyle name="Style 158 4" xfId="17971" xr:uid="{23BE44CB-34FC-4EA6-BA57-F01955BF6486}"/>
    <cellStyle name="Style 159" xfId="2532" xr:uid="{00000000-0005-0000-0000-0000D4090000}"/>
    <cellStyle name="Style 159 2" xfId="30099" xr:uid="{DC8A58CD-E782-446D-A2F2-1E56CF3C3B05}"/>
    <cellStyle name="Style 161" xfId="2533" xr:uid="{00000000-0005-0000-0000-0000D5090000}"/>
    <cellStyle name="Style 161 2" xfId="30100" xr:uid="{E4F5953F-9072-4B97-B9BB-6CE9A77DA2D2}"/>
    <cellStyle name="Style 161 3" xfId="34542" xr:uid="{55DC6C54-C432-460A-BC7F-B0CEB3715AC3}"/>
    <cellStyle name="Style 161 4" xfId="17972" xr:uid="{5207E07D-2D99-4C52-BED5-C1BA2E71ECA4}"/>
    <cellStyle name="Style 162" xfId="2534" xr:uid="{00000000-0005-0000-0000-0000D6090000}"/>
    <cellStyle name="Style 162 2" xfId="30101" xr:uid="{86C372F1-75B8-4F61-9A4E-BB909631A8CC}"/>
    <cellStyle name="Style 162 3" xfId="33471" xr:uid="{DE0D50B3-58AB-44C8-9476-5C5A0D7B58D2}"/>
    <cellStyle name="Style 162 4" xfId="17973" xr:uid="{31A3A1F2-3688-4731-9C11-F221B3489EA8}"/>
    <cellStyle name="Style 163" xfId="2535" xr:uid="{00000000-0005-0000-0000-0000D7090000}"/>
    <cellStyle name="Style 163 2" xfId="30102" xr:uid="{157BA546-EB80-4F23-8122-FE272988C033}"/>
    <cellStyle name="Style 163 3" xfId="46651" xr:uid="{679624DC-6F66-41CF-A324-741E26FE2574}"/>
    <cellStyle name="Style 163 4" xfId="17974" xr:uid="{523DF270-572E-41BF-B512-36EBBF19CD4F}"/>
    <cellStyle name="Style 223" xfId="2536" xr:uid="{00000000-0005-0000-0000-0000D8090000}"/>
    <cellStyle name="Style 223 2" xfId="30103" xr:uid="{46D7AF34-5786-498A-B183-9839F689A01B}"/>
    <cellStyle name="Style 223 3" xfId="47145" xr:uid="{F866079F-41A9-4264-B278-A6750E724ADD}"/>
    <cellStyle name="Style 223 4" xfId="17975" xr:uid="{96D730F3-C253-44CF-859B-A0AE3812349F}"/>
    <cellStyle name="Style 224" xfId="2537" xr:uid="{00000000-0005-0000-0000-0000D9090000}"/>
    <cellStyle name="Style 224 2" xfId="30104" xr:uid="{A0C54089-C3DF-4151-9FB8-5C4937CFA2F3}"/>
    <cellStyle name="Style 225" xfId="2538" xr:uid="{00000000-0005-0000-0000-0000DA090000}"/>
    <cellStyle name="Style 225 2" xfId="30105" xr:uid="{91E2AF55-977E-46B8-91ED-B5F4D3BE9228}"/>
    <cellStyle name="Style 225 3" xfId="47660" xr:uid="{35475E90-33B0-4594-A030-BED834F5A856}"/>
    <cellStyle name="Style 225 4" xfId="17976" xr:uid="{5E27BADC-F491-4363-A20F-64EBDFCBFF62}"/>
    <cellStyle name="Style 226" xfId="2539" xr:uid="{00000000-0005-0000-0000-0000DB090000}"/>
    <cellStyle name="Style 226 2" xfId="30106" xr:uid="{08D32651-BCDE-42A9-9361-0643EF774372}"/>
    <cellStyle name="Style 226 3" xfId="46267" xr:uid="{9AEC3CE5-614E-434A-B211-3937496610BD}"/>
    <cellStyle name="Style 226 4" xfId="17977" xr:uid="{14C26A4B-BD6F-4E58-9ADE-BD1D953E8E11}"/>
    <cellStyle name="Style 227" xfId="2540" xr:uid="{00000000-0005-0000-0000-0000DC090000}"/>
    <cellStyle name="Style 227 2" xfId="30107" xr:uid="{BE85438F-5C98-4DA3-AE44-9C8DD6E400C9}"/>
    <cellStyle name="Style 229" xfId="2541" xr:uid="{00000000-0005-0000-0000-0000DD090000}"/>
    <cellStyle name="Style 229 2" xfId="30108" xr:uid="{BAE60DB0-EDA2-49C1-84CB-9DCEBD927C31}"/>
    <cellStyle name="Style 229 3" xfId="47210" xr:uid="{3B8C1D1A-5C73-4657-B924-42047EA13A1A}"/>
    <cellStyle name="Style 229 4" xfId="17978" xr:uid="{9985B4B7-477C-4D19-875E-73182B302AAE}"/>
    <cellStyle name="Style 230" xfId="2542" xr:uid="{00000000-0005-0000-0000-0000DE090000}"/>
    <cellStyle name="Style 230 2" xfId="30109" xr:uid="{C1432DB6-F74D-4FA3-BEBE-67E760344C03}"/>
    <cellStyle name="Style 230 3" xfId="46652" xr:uid="{1B12501B-C983-44D4-B8ED-469EDC359565}"/>
    <cellStyle name="Style 230 4" xfId="17979" xr:uid="{602AD876-68A5-4BCD-B2EC-C72984FF9346}"/>
    <cellStyle name="Style 231" xfId="2543" xr:uid="{00000000-0005-0000-0000-0000DF090000}"/>
    <cellStyle name="Style 231 2" xfId="30110" xr:uid="{3ED97031-1647-4AE7-B03F-84C9655F1106}"/>
    <cellStyle name="Style 231 3" xfId="47738" xr:uid="{E3FFB67E-122B-4AA7-BA16-B45BB4F7CB37}"/>
    <cellStyle name="Style 231 4" xfId="17980" xr:uid="{09DD6038-8777-4C4C-98D7-1C5694F8CEF9}"/>
    <cellStyle name="Style 257" xfId="2544" xr:uid="{00000000-0005-0000-0000-0000E0090000}"/>
    <cellStyle name="Style 257 2" xfId="30111" xr:uid="{7BE5F1BF-0133-4840-BBFF-68260D19268C}"/>
    <cellStyle name="Style 257 3" xfId="48433" xr:uid="{820DEC72-377B-4000-9DC6-7F90F43F2E91}"/>
    <cellStyle name="Style 257 4" xfId="17981" xr:uid="{410C338F-D77A-498E-A593-542CD898A6E7}"/>
    <cellStyle name="Style 258" xfId="2545" xr:uid="{00000000-0005-0000-0000-0000E1090000}"/>
    <cellStyle name="Style 258 2" xfId="30112" xr:uid="{73F8AECE-BD5B-4EC5-80AE-C9353DF05282}"/>
    <cellStyle name="Style 259" xfId="2546" xr:uid="{00000000-0005-0000-0000-0000E2090000}"/>
    <cellStyle name="Style 259 2" xfId="30113" xr:uid="{C8EB6BF6-29E9-45D8-A444-404BED54F2EF}"/>
    <cellStyle name="Style 259 3" xfId="32444" xr:uid="{5B7DEDBD-F372-44B6-A560-976DDEECD336}"/>
    <cellStyle name="Style 259 4" xfId="17982" xr:uid="{8BD8297F-21E4-4DE2-81E5-BCC2576FDB79}"/>
    <cellStyle name="Style 260" xfId="2547" xr:uid="{00000000-0005-0000-0000-0000E3090000}"/>
    <cellStyle name="Style 260 2" xfId="30114" xr:uid="{F6871FB7-F382-462E-81ED-ACF66CD2F430}"/>
    <cellStyle name="Style 260 3" xfId="24506" xr:uid="{81528C06-2F6A-4531-93DC-B786633B27E9}"/>
    <cellStyle name="Style 260 4" xfId="17983" xr:uid="{849F8E60-9C7F-4839-A8A5-97A569DD7750}"/>
    <cellStyle name="Style 261" xfId="2548" xr:uid="{00000000-0005-0000-0000-0000E4090000}"/>
    <cellStyle name="Style 261 2" xfId="30115" xr:uid="{76785AD4-B64F-4359-97CE-63E15536F9A8}"/>
    <cellStyle name="Style 263" xfId="2549" xr:uid="{00000000-0005-0000-0000-0000E5090000}"/>
    <cellStyle name="Style 263 2" xfId="30116" xr:uid="{21500BC3-F85A-4B0F-A23D-0F3B925FD7A7}"/>
    <cellStyle name="Style 263 3" xfId="24717" xr:uid="{2BE6FD2B-6F09-449D-A74D-4C6A680CE56D}"/>
    <cellStyle name="Style 263 4" xfId="17984" xr:uid="{75056EAE-742E-43E5-8C11-75543D4153F6}"/>
    <cellStyle name="Style 264" xfId="2550" xr:uid="{00000000-0005-0000-0000-0000E6090000}"/>
    <cellStyle name="Style 264 2" xfId="30117" xr:uid="{50C1AB96-E4E7-4D9E-9ACD-7326D62457B6}"/>
    <cellStyle name="Style 264 3" xfId="33077" xr:uid="{49AC534D-D6CD-4818-822E-E18F0E4CFA86}"/>
    <cellStyle name="Style 264 4" xfId="17985" xr:uid="{24B81850-975D-450E-A15C-51758451F5AC}"/>
    <cellStyle name="Style 265" xfId="2551" xr:uid="{00000000-0005-0000-0000-0000E7090000}"/>
    <cellStyle name="Style 265 2" xfId="30118" xr:uid="{3746D772-9BBD-462B-8D9A-02CEF18798E6}"/>
    <cellStyle name="Style 265 3" xfId="46268" xr:uid="{F4D9064E-F666-4BB1-8B58-B21305480105}"/>
    <cellStyle name="Style 265 4" xfId="17986" xr:uid="{30A9CCE6-A0E5-49B9-899C-27C4B73C1811}"/>
    <cellStyle name="Style 461" xfId="2552" xr:uid="{00000000-0005-0000-0000-0000E8090000}"/>
    <cellStyle name="Style 461 2" xfId="30119" xr:uid="{B99EDF21-F51B-4772-8E3C-7458D604594B}"/>
    <cellStyle name="Style 461 3" xfId="46269" xr:uid="{B7E704D3-9092-4CA3-AF68-DF02BB57E9B3}"/>
    <cellStyle name="Style 461 4" xfId="17987" xr:uid="{F778F627-5657-4A9B-AB3D-1D0B2EA23384}"/>
    <cellStyle name="Style 467" xfId="2553" xr:uid="{00000000-0005-0000-0000-0000E9090000}"/>
    <cellStyle name="Style 467 2" xfId="30120" xr:uid="{422005E8-3222-4DD9-966F-3AC792DFCCB9}"/>
    <cellStyle name="Style 467 3" xfId="46270" xr:uid="{DFF357BF-4CBD-461F-BBA6-084C193782AF}"/>
    <cellStyle name="Style 467 4" xfId="17988" xr:uid="{6389B670-08FD-4C98-AC98-830AB87EE727}"/>
    <cellStyle name="Style 468" xfId="2554" xr:uid="{00000000-0005-0000-0000-0000EA090000}"/>
    <cellStyle name="Style 468 2" xfId="30121" xr:uid="{1F6320D7-C623-4AF5-9CF0-CA16E501E149}"/>
    <cellStyle name="Style 468 3" xfId="25168" xr:uid="{409961DB-3763-4802-B5E6-D61BEF4313DB}"/>
    <cellStyle name="Style 468 4" xfId="17989" xr:uid="{808EF224-BFA0-43DB-8B82-D6960EB4AEF9}"/>
    <cellStyle name="Style 469" xfId="2555" xr:uid="{00000000-0005-0000-0000-0000EB090000}"/>
    <cellStyle name="Style 469 2" xfId="30122" xr:uid="{1DDD1256-63D1-4362-A0B9-068594F22253}"/>
    <cellStyle name="Style 469 3" xfId="47222" xr:uid="{94F4A524-45BD-4BE9-B3D6-AED60E7A02EF}"/>
    <cellStyle name="Style 469 4" xfId="17990" xr:uid="{E4D3D895-A801-4BEB-BA3E-658251DD84DC}"/>
    <cellStyle name="Style 478" xfId="2556" xr:uid="{00000000-0005-0000-0000-0000EC090000}"/>
    <cellStyle name="Style 478 2" xfId="30123" xr:uid="{BF02F290-2DBD-49AB-86FD-D7B7FFB43EF2}"/>
    <cellStyle name="Style 478 3" xfId="46723" xr:uid="{34F82C2B-21B9-448C-BBA2-7CF5C2141EF5}"/>
    <cellStyle name="Style 478 4" xfId="17991" xr:uid="{E919FCAD-E67B-4192-B510-A285BE2D6FC1}"/>
    <cellStyle name="Style 479" xfId="2557" xr:uid="{00000000-0005-0000-0000-0000ED090000}"/>
    <cellStyle name="Style 479 2" xfId="30124" xr:uid="{18BED971-6A01-48B6-883C-E9BCF892816C}"/>
    <cellStyle name="Style 480" xfId="2558" xr:uid="{00000000-0005-0000-0000-0000EE090000}"/>
    <cellStyle name="Style 480 2" xfId="30125" xr:uid="{1F5E03CA-0C2A-4636-8361-37A366D55140}"/>
    <cellStyle name="Style 480 3" xfId="47074" xr:uid="{5EE226EB-1F00-4F3E-8A54-CF66DB698804}"/>
    <cellStyle name="Style 480 4" xfId="17992" xr:uid="{F7A9640C-70CE-40DA-A9AE-38E908859C39}"/>
    <cellStyle name="Style 481" xfId="2559" xr:uid="{00000000-0005-0000-0000-0000EF090000}"/>
    <cellStyle name="Style 481 2" xfId="30126" xr:uid="{5C889D1F-ACE5-4D51-A0B0-D9C9B2C9759E}"/>
    <cellStyle name="Style 481 3" xfId="46271" xr:uid="{6F8CC958-1112-4141-8BC9-4A9757CC633D}"/>
    <cellStyle name="Style 481 4" xfId="17993" xr:uid="{939F5AE7-81B4-4F33-B0DD-A7C529C19CC5}"/>
    <cellStyle name="Style 482" xfId="2560" xr:uid="{00000000-0005-0000-0000-0000F0090000}"/>
    <cellStyle name="Style 482 2" xfId="30127" xr:uid="{73A6AA99-FA02-4ECB-8843-3C666D260CD4}"/>
    <cellStyle name="Style 484" xfId="2561" xr:uid="{00000000-0005-0000-0000-0000F1090000}"/>
    <cellStyle name="Style 484 2" xfId="30128" xr:uid="{8D7CD5F9-FDD0-43C1-9A3F-9373CED29CDC}"/>
    <cellStyle name="Style 484 3" xfId="47811" xr:uid="{C625528B-BC8E-4AA7-B9D5-8439118AA15D}"/>
    <cellStyle name="Style 484 4" xfId="17994" xr:uid="{0B808CE0-A620-48F5-89CD-A1FEA2D2A925}"/>
    <cellStyle name="Style 485" xfId="2562" xr:uid="{00000000-0005-0000-0000-0000F2090000}"/>
    <cellStyle name="Style 485 2" xfId="30129" xr:uid="{B24D23E3-8DF2-45A0-8EFD-FAC07C49AB5C}"/>
    <cellStyle name="Style 485 3" xfId="46724" xr:uid="{7095ECD8-963F-4E9A-A32A-BFC4EDF5A495}"/>
    <cellStyle name="Style 485 4" xfId="17995" xr:uid="{7954D469-0FD6-4F03-A85B-C37357C30B59}"/>
    <cellStyle name="Style 486" xfId="2563" xr:uid="{00000000-0005-0000-0000-0000F3090000}"/>
    <cellStyle name="Style 486 2" xfId="30130" xr:uid="{FAC5AE4E-492C-4A0D-961F-B3738121D698}"/>
    <cellStyle name="Style 486 3" xfId="47750" xr:uid="{B9FA5D1A-A431-454F-A850-0F1AB59B93AA}"/>
    <cellStyle name="Style 486 4" xfId="17996" xr:uid="{E0E22133-3ACD-47B5-AFFA-CBCEEBF5444E}"/>
    <cellStyle name="Style 495" xfId="2564" xr:uid="{00000000-0005-0000-0000-0000F4090000}"/>
    <cellStyle name="Style 495 2" xfId="30131" xr:uid="{65500A1D-04DF-47BF-98A1-CEDFA302DC4D}"/>
    <cellStyle name="Style 495 3" xfId="47414" xr:uid="{DFED0254-78A0-44FF-850E-2D1E26B27052}"/>
    <cellStyle name="Style 495 4" xfId="17997" xr:uid="{F6382C9A-D521-4CDD-9886-89EDF5EF5129}"/>
    <cellStyle name="Style 496" xfId="2565" xr:uid="{00000000-0005-0000-0000-0000F5090000}"/>
    <cellStyle name="Style 496 2" xfId="30132" xr:uid="{CDE81A0A-6BC7-43D1-808A-B4001A77550A}"/>
    <cellStyle name="Style 497" xfId="2566" xr:uid="{00000000-0005-0000-0000-0000F6090000}"/>
    <cellStyle name="Style 497 2" xfId="30133" xr:uid="{91BBDF84-671F-4B43-8210-554227C89692}"/>
    <cellStyle name="Style 497 3" xfId="37254" xr:uid="{5C8DA488-FB14-45A2-AB7D-1E7B7C8841F9}"/>
    <cellStyle name="Style 497 4" xfId="17998" xr:uid="{A193A892-4D85-44AC-900D-D0F0AA80FAF1}"/>
    <cellStyle name="Style 498" xfId="2567" xr:uid="{00000000-0005-0000-0000-0000F7090000}"/>
    <cellStyle name="Style 498 2" xfId="30134" xr:uid="{BF79FEDA-570F-445A-BBA9-7A6CBAC944B6}"/>
    <cellStyle name="Style 498 3" xfId="48388" xr:uid="{EE10DFB8-92D1-4362-BC2A-AE7B590C6A92}"/>
    <cellStyle name="Style 498 4" xfId="17999" xr:uid="{4B5A9FEC-C478-45DB-A470-D766A860B0E7}"/>
    <cellStyle name="Style 499" xfId="2568" xr:uid="{00000000-0005-0000-0000-0000F8090000}"/>
    <cellStyle name="Style 499 2" xfId="30135" xr:uid="{94B0B268-CA0A-450F-9418-2C1B776CFCB6}"/>
    <cellStyle name="Style 501" xfId="2569" xr:uid="{00000000-0005-0000-0000-0000F9090000}"/>
    <cellStyle name="Style 501 2" xfId="30136" xr:uid="{CA6B122F-F699-4CF6-B445-4AF08B3CF5A7}"/>
    <cellStyle name="Style 501 3" xfId="48328" xr:uid="{4DDC0186-07B1-4603-9AC7-9309172037B3}"/>
    <cellStyle name="Style 501 4" xfId="18000" xr:uid="{51FAC7E1-77DE-475D-B887-C2EC0BFB29CE}"/>
    <cellStyle name="Style 502" xfId="2570" xr:uid="{00000000-0005-0000-0000-0000FA090000}"/>
    <cellStyle name="Style 502 2" xfId="30137" xr:uid="{075E48A7-8777-453A-8AB8-132DBBBA1639}"/>
    <cellStyle name="Style 502 3" xfId="48005" xr:uid="{804B00E6-BF78-4562-B86E-7792717AEA83}"/>
    <cellStyle name="Style 502 4" xfId="18001" xr:uid="{4AC1184E-B360-4655-A4C4-ECD616ED815A}"/>
    <cellStyle name="Style 503" xfId="2571" xr:uid="{00000000-0005-0000-0000-0000FB090000}"/>
    <cellStyle name="Style 503 2" xfId="30138" xr:uid="{A62484F0-17D7-4974-8C0C-685E7E1F11F7}"/>
    <cellStyle name="Style 503 3" xfId="25346" xr:uid="{0A7D507B-5E80-4B75-8A2E-486D2425C7CA}"/>
    <cellStyle name="Style 503 4" xfId="18002" xr:uid="{593D5D3B-504D-47D1-9779-EA08CBF2A0C5}"/>
    <cellStyle name="Style 580" xfId="2572" xr:uid="{00000000-0005-0000-0000-0000FC090000}"/>
    <cellStyle name="Style 580 2" xfId="30139" xr:uid="{47E7D68F-44B8-4D86-BD73-C968B3086A4D}"/>
    <cellStyle name="Style 580 3" xfId="47802" xr:uid="{1BDC2633-5D4C-42C6-8DB3-E872999457FE}"/>
    <cellStyle name="Style 580 4" xfId="18003" xr:uid="{E366B746-506E-4B9D-AB10-E5A4FD5A18B6}"/>
    <cellStyle name="Style 581" xfId="2573" xr:uid="{00000000-0005-0000-0000-0000FD090000}"/>
    <cellStyle name="Style 581 2" xfId="30140" xr:uid="{3A14FBFA-AF3D-4791-9BB9-8EC50BACD7C5}"/>
    <cellStyle name="Style 582" xfId="2574" xr:uid="{00000000-0005-0000-0000-0000FE090000}"/>
    <cellStyle name="Style 582 2" xfId="30141" xr:uid="{4D1525EE-4149-46AD-BFD6-70EB1FFAC353}"/>
    <cellStyle name="Style 582 3" xfId="48317" xr:uid="{862D20EA-537B-4E47-BA9C-D2FA0F41D448}"/>
    <cellStyle name="Style 582 4" xfId="18004" xr:uid="{3CE4C07C-D14F-461D-806D-1A72624018F8}"/>
    <cellStyle name="Style 583" xfId="2575" xr:uid="{00000000-0005-0000-0000-0000FF090000}"/>
    <cellStyle name="Style 583 2" xfId="30142" xr:uid="{82C776F8-2071-4986-A295-829DE9BC4684}"/>
    <cellStyle name="Style 583 3" xfId="47562" xr:uid="{14C6054B-F7EF-4B9A-8563-3DA83F8D769D}"/>
    <cellStyle name="Style 583 4" xfId="18005" xr:uid="{1A8E9981-3DCC-493B-B606-6EDC39066FE9}"/>
    <cellStyle name="Style 584" xfId="2576" xr:uid="{00000000-0005-0000-0000-0000000A0000}"/>
    <cellStyle name="Style 584 2" xfId="30143" xr:uid="{E212B9C0-1449-43F8-AE87-53A1C02EA419}"/>
    <cellStyle name="Style 586" xfId="2577" xr:uid="{00000000-0005-0000-0000-0000010A0000}"/>
    <cellStyle name="Style 586 2" xfId="30144" xr:uid="{FE68D12C-3D91-45AB-958F-C8184BDD2C19}"/>
    <cellStyle name="Style 586 3" xfId="46272" xr:uid="{A73B44D8-B7E4-48A4-9510-D486E689F27E}"/>
    <cellStyle name="Style 586 4" xfId="18006" xr:uid="{B11E81ED-7098-436E-A33A-058BEADA37C2}"/>
    <cellStyle name="Style 587" xfId="2578" xr:uid="{00000000-0005-0000-0000-0000020A0000}"/>
    <cellStyle name="Style 587 2" xfId="30145" xr:uid="{FA6638D1-47F6-49FD-8A69-1DDC729E3CA5}"/>
    <cellStyle name="Style 587 3" xfId="47008" xr:uid="{9B4661AA-F2A1-4C9B-88A3-E4363633DCC3}"/>
    <cellStyle name="Style 587 4" xfId="18007" xr:uid="{352B6684-FDA2-44F9-964E-46EF7FE6DD5E}"/>
    <cellStyle name="Style 588" xfId="2579" xr:uid="{00000000-0005-0000-0000-0000030A0000}"/>
    <cellStyle name="Style 588 2" xfId="30146" xr:uid="{55D56989-D6C4-489A-88B3-FF2ECDCD8B96}"/>
    <cellStyle name="Style 588 3" xfId="47517" xr:uid="{53D74B9E-EC89-45B3-A6F6-716A83928970}"/>
    <cellStyle name="Style 588 4" xfId="18008" xr:uid="{587FD5D5-C237-4DC1-A6D6-FC5E783F4710}"/>
    <cellStyle name="Testo avviso" xfId="1236" xr:uid="{00000000-0005-0000-0000-0000040A0000}"/>
    <cellStyle name="Testo avviso 2" xfId="30148" xr:uid="{4DA31E8B-78EE-472E-B273-839AA97D27FB}"/>
    <cellStyle name="Testo avviso 3" xfId="30149" xr:uid="{96B0EFD5-4EA9-48BD-A064-2697DB3D97F3}"/>
    <cellStyle name="Testo avviso 3 2" xfId="49481" xr:uid="{2A2AE01E-61A0-4397-B644-4A795F6262D4}"/>
    <cellStyle name="Testo avviso 4" xfId="30147" xr:uid="{A64F5CE1-3B2A-4E83-8B37-50534D692B0F}"/>
    <cellStyle name="Testo descrittivo" xfId="1237" xr:uid="{00000000-0005-0000-0000-0000050A0000}"/>
    <cellStyle name="Testo descrittivo 2" xfId="30151" xr:uid="{55EF8484-298B-492C-B0B0-13FA42ABF898}"/>
    <cellStyle name="Testo descrittivo 3" xfId="30152" xr:uid="{A57FE653-FADB-4232-8498-1E259218D70B}"/>
    <cellStyle name="Testo descrittivo 3 2" xfId="49482" xr:uid="{913EB928-72AC-43EB-A041-99670967EE43}"/>
    <cellStyle name="Testo descrittivo 4" xfId="30150" xr:uid="{C8777106-A3E0-426C-A0AC-BF3F3F5BEF14}"/>
    <cellStyle name="Titel 2" xfId="30153" xr:uid="{C000CEE7-774B-4933-90DB-99830A403D5E}"/>
    <cellStyle name="Titel 2 2" xfId="30154" xr:uid="{CD894B32-F0BE-4D5A-B1E9-A3977FFC4737}"/>
    <cellStyle name="Titel 2 3" xfId="30155" xr:uid="{D910C362-8412-4D3E-A04D-E6420CB2BEA3}"/>
    <cellStyle name="Titel 2 3 2" xfId="49483" xr:uid="{877986B2-6B7C-46D6-9744-D082F1DFB4E8}"/>
    <cellStyle name="Title 2" xfId="30156" xr:uid="{F6A5FF4D-F3C2-48F1-9C65-1F5781EF8102}"/>
    <cellStyle name="Title 2 2" xfId="30157" xr:uid="{80490719-7D55-4799-A81B-BF3AE7FD4BFC}"/>
    <cellStyle name="Title 2 3" xfId="30158" xr:uid="{D887D467-FC34-4F3E-9657-BFF149ECFB3D}"/>
    <cellStyle name="Title 2 3 2" xfId="49484" xr:uid="{57494121-0FE5-49CD-9D65-8B8A97B64611}"/>
    <cellStyle name="Title 3" xfId="30252" xr:uid="{1BB97462-D526-4A65-9490-4F09D255C4DD}"/>
    <cellStyle name="Titolo" xfId="1238" xr:uid="{00000000-0005-0000-0000-0000060A0000}"/>
    <cellStyle name="Titolo 1" xfId="1239" xr:uid="{00000000-0005-0000-0000-0000070A0000}"/>
    <cellStyle name="Titolo 1 2" xfId="1240" xr:uid="{00000000-0005-0000-0000-0000080A0000}"/>
    <cellStyle name="Titolo 1 2 2" xfId="30162" xr:uid="{138A7CC1-9470-44C3-BCB6-676ABF662435}"/>
    <cellStyle name="Titolo 1 2 3" xfId="30161" xr:uid="{0F627065-26B4-420D-9B53-F11E6A4537B1}"/>
    <cellStyle name="Titolo 1 3" xfId="30163" xr:uid="{01647556-8ED5-44EA-8961-322D23BAFC11}"/>
    <cellStyle name="Titolo 1 3 2" xfId="49485" xr:uid="{A42A53E5-88A4-4A85-9992-B9360E6860E0}"/>
    <cellStyle name="Titolo 1 4" xfId="30160" xr:uid="{8C7EEEB0-F7ED-4661-9680-DB48CDB5506E}"/>
    <cellStyle name="Titolo 2" xfId="1241" xr:uid="{00000000-0005-0000-0000-0000090A0000}"/>
    <cellStyle name="Titolo 2 2" xfId="1242" xr:uid="{00000000-0005-0000-0000-00000A0A0000}"/>
    <cellStyle name="Titolo 2 2 2" xfId="30166" xr:uid="{B84E2442-3478-411D-8CEA-011B165684CD}"/>
    <cellStyle name="Titolo 2 2 3" xfId="30165" xr:uid="{13B79010-6F65-41D6-A445-4ECF569BE18D}"/>
    <cellStyle name="Titolo 2 3" xfId="30167" xr:uid="{D9C5945D-30D2-415D-B7BD-8597F1C67CE7}"/>
    <cellStyle name="Titolo 2 3 2" xfId="49486" xr:uid="{2EEC4ABF-A8FD-482A-A9F5-D40B0D73CB05}"/>
    <cellStyle name="Titolo 2 4" xfId="30164" xr:uid="{E2B7B0D9-10B4-433A-BF6E-09C4D13FE3C9}"/>
    <cellStyle name="Titolo 3" xfId="1243" xr:uid="{00000000-0005-0000-0000-00000B0A0000}"/>
    <cellStyle name="Titolo 3 2" xfId="1244" xr:uid="{00000000-0005-0000-0000-00000C0A0000}"/>
    <cellStyle name="Titolo 3 2 2" xfId="17426" xr:uid="{70172808-39CB-470B-A03E-DEB15BEF6B31}"/>
    <cellStyle name="Titolo 3 2 2 2" xfId="21240" xr:uid="{28927BCD-EF65-4C90-9008-184481EA0E2D}"/>
    <cellStyle name="Titolo 3 2 2 3" xfId="30170" xr:uid="{B2F64C42-03DF-433D-ACB6-6B62EBC6458C}"/>
    <cellStyle name="Titolo 3 2 3" xfId="17577" xr:uid="{44556675-B045-4654-ABA2-CF0088096935}"/>
    <cellStyle name="Titolo 3 2 3 2" xfId="30171" xr:uid="{2B74858A-E768-4EAF-BA6A-81AEEFD95D15}"/>
    <cellStyle name="Titolo 3 2 4" xfId="30172" xr:uid="{898E9DF1-CCF1-49AE-9656-471701FCBB5E}"/>
    <cellStyle name="Titolo 3 2 5" xfId="30169" xr:uid="{0FD6E6A0-8379-4249-AFD7-D25C45A3A4FF}"/>
    <cellStyle name="Titolo 3 3" xfId="4523" xr:uid="{1EF959C1-F0C8-4104-B19C-1CB50B47E8C3}"/>
    <cellStyle name="Titolo 3 3 2" xfId="17427" xr:uid="{0644E227-CC01-44DE-B91C-2652A3B10BE1}"/>
    <cellStyle name="Titolo 3 3 2 2" xfId="21241" xr:uid="{3E66F410-B5ED-4AAC-8D1E-C9A8C75D9CD4}"/>
    <cellStyle name="Titolo 3 3 3" xfId="17705" xr:uid="{CA7E6AA3-15CD-4E09-BAD2-DC07A266982D}"/>
    <cellStyle name="Titolo 3 3 4" xfId="30173" xr:uid="{D13EF461-9594-4170-8F08-FFAFBE008B38}"/>
    <cellStyle name="Titolo 3 4" xfId="30174" xr:uid="{C828BA82-641C-4C6A-877B-35932266E715}"/>
    <cellStyle name="Titolo 3 4 2" xfId="49487" xr:uid="{831FFA43-7B39-4CD7-8433-AF2DBB121D6C}"/>
    <cellStyle name="Titolo 3 5" xfId="30168" xr:uid="{2C013F49-0483-41DE-BE2B-A7BCC6D656C5}"/>
    <cellStyle name="Titolo 4" xfId="1245" xr:uid="{00000000-0005-0000-0000-00000D0A0000}"/>
    <cellStyle name="Titolo 4 2" xfId="30176" xr:uid="{B48D6712-C9B0-4A61-A229-5D2E0AEEC234}"/>
    <cellStyle name="Titolo 4 3" xfId="30177" xr:uid="{36669F8C-C997-4002-A894-EBE3CC06BE21}"/>
    <cellStyle name="Titolo 4 3 2" xfId="49488" xr:uid="{236B43C5-89B8-48DF-B1C8-4FDCBB914F68}"/>
    <cellStyle name="Titolo 4 4" xfId="30175" xr:uid="{17CD9D06-B066-4791-B909-FB97FED7954E}"/>
    <cellStyle name="Titolo 5" xfId="30178" xr:uid="{DF12656E-C4CF-46FF-AB22-34A761F88389}"/>
    <cellStyle name="Titolo 6" xfId="30179" xr:uid="{E1D5AEE8-78F3-4F05-A0B9-336138574A17}"/>
    <cellStyle name="Titolo 6 2" xfId="49489" xr:uid="{8DB600E1-E9F5-4B24-949E-5AC6191A9FE2}"/>
    <cellStyle name="Titolo 7" xfId="30159" xr:uid="{8FF5E304-A90F-4FD4-B129-F847074BA9F6}"/>
    <cellStyle name="Total 2" xfId="2580" xr:uid="{00000000-0005-0000-0000-00000E0A0000}"/>
    <cellStyle name="Total 2 2" xfId="2581" xr:uid="{00000000-0005-0000-0000-00000F0A0000}"/>
    <cellStyle name="Total 2 2 2" xfId="30182" xr:uid="{5027D9D7-8F8B-4EEB-860D-7FBE208E21C8}"/>
    <cellStyle name="Total 2 2 3" xfId="30181" xr:uid="{4925AA96-3FF2-486D-A3E5-5BDD46E85BA7}"/>
    <cellStyle name="Total 2 3" xfId="30183" xr:uid="{9F65806E-ED8E-473F-B230-784EE090C9FE}"/>
    <cellStyle name="Total 2 4" xfId="30184" xr:uid="{7636AC02-6EF1-404D-B4D2-65B1C410CF01}"/>
    <cellStyle name="Total 2 4 2" xfId="32656" xr:uid="{A243E79E-3E7C-472E-9257-D496FA4D04FB}"/>
    <cellStyle name="Total 2 4 3" xfId="32657" xr:uid="{A8E2F191-F838-4EAC-BFFB-508EB19DCF70}"/>
    <cellStyle name="Total 2 5" xfId="30185" xr:uid="{1553AB72-B89E-4F3C-AC89-C43C5CEA0EFA}"/>
    <cellStyle name="Total 2 6" xfId="30180" xr:uid="{9F4126EF-3514-4F7D-B4FD-C7B269D9A330}"/>
    <cellStyle name="Total 3" xfId="30186" xr:uid="{B31D4AC8-29F9-4612-87D0-EAC8A1D50BAD}"/>
    <cellStyle name="Total 4" xfId="30187" xr:uid="{2F8DB624-A1B7-486E-BCF3-5C0DC27E8FAE}"/>
    <cellStyle name="Total 4 2" xfId="49490" xr:uid="{47F399BD-6B86-4106-9938-B910E12D7AD9}"/>
    <cellStyle name="Totale" xfId="1246" xr:uid="{00000000-0005-0000-0000-0000100A0000}"/>
    <cellStyle name="Totale 2" xfId="1247" xr:uid="{00000000-0005-0000-0000-0000110A0000}"/>
    <cellStyle name="Totale 2 2" xfId="2582" xr:uid="{00000000-0005-0000-0000-0000120A0000}"/>
    <cellStyle name="Totale 2 2 2" xfId="18009" xr:uid="{EDADB06C-39E6-4DD4-84D3-F33D45891ED5}"/>
    <cellStyle name="Totale 2 2 2 2" xfId="30191" xr:uid="{AE6A2569-2807-44C7-9027-ECFD5DC5C66B}"/>
    <cellStyle name="Totale 2 2 3" xfId="30190" xr:uid="{5BAF5390-08A1-423E-ADB3-1C6C81F1772E}"/>
    <cellStyle name="Totale 2 3" xfId="17542" xr:uid="{DF0A09E7-BAB4-41A4-9CFE-859837A2EAFE}"/>
    <cellStyle name="Totale 2 3 2" xfId="32658" xr:uid="{FEAF3803-4B7D-4E51-993D-B924D3266C07}"/>
    <cellStyle name="Totale 2 3 3" xfId="32659" xr:uid="{92451A12-4072-4685-BE8F-C2D37795ED2F}"/>
    <cellStyle name="Totale 2 3 4" xfId="30192" xr:uid="{992E6B8B-C906-4FBE-959F-0338454A3F6E}"/>
    <cellStyle name="Totale 2 4" xfId="30193" xr:uid="{A92BEC07-F6B0-4782-AA35-CF9AF3E339BF}"/>
    <cellStyle name="Totale 2 5" xfId="30253" xr:uid="{F7B7718A-B528-482E-88EE-9256EF147281}"/>
    <cellStyle name="Totale 2 6" xfId="30189" xr:uid="{AD4BE3C3-978D-49F9-8DE0-D43353786908}"/>
    <cellStyle name="Totale 3" xfId="1248" xr:uid="{00000000-0005-0000-0000-0000130A0000}"/>
    <cellStyle name="Totale 3 2" xfId="2583" xr:uid="{00000000-0005-0000-0000-0000140A0000}"/>
    <cellStyle name="Totale 3 2 2" xfId="18010" xr:uid="{04B1BC58-DAF0-448D-8CDC-5D9FEEB9E3B4}"/>
    <cellStyle name="Totale 3 2 2 2" xfId="30196" xr:uid="{ADE1F537-09F8-4786-941B-E750491689EC}"/>
    <cellStyle name="Totale 3 2 3" xfId="30195" xr:uid="{78CF210D-FF83-457F-B85D-0C65A4CF3A92}"/>
    <cellStyle name="Totale 3 3" xfId="17671" xr:uid="{AE79B254-10F9-4CFE-BAB4-70CACA22F61D}"/>
    <cellStyle name="Totale 3 3 2" xfId="32660" xr:uid="{04A357D6-7AB6-4404-8F2D-4288CF23A558}"/>
    <cellStyle name="Totale 3 3 3" xfId="32661" xr:uid="{A62524D3-3EFF-4CC2-9EE4-06A913C38846}"/>
    <cellStyle name="Totale 3 3 4" xfId="30197" xr:uid="{1C32B3DF-A440-4180-B465-0BF10FEB8628}"/>
    <cellStyle name="Totale 3 4" xfId="30198" xr:uid="{509BDD76-F814-4D60-A095-3F67A80BBFFF}"/>
    <cellStyle name="Totale 3 5" xfId="30194" xr:uid="{39F87D39-CD2A-4145-A134-BCA05E4DBB0C}"/>
    <cellStyle name="Totale 4" xfId="2584" xr:uid="{00000000-0005-0000-0000-0000150A0000}"/>
    <cellStyle name="Totale 4 2" xfId="17425" xr:uid="{B477000B-4389-4611-9EC4-6A4FF38A6D11}"/>
    <cellStyle name="Totale 4 2 2" xfId="30200" xr:uid="{6040C15C-330C-40DD-915F-6F73450FD20F}"/>
    <cellStyle name="Totale 4 3" xfId="30201" xr:uid="{C6CA08A9-B384-457B-8921-84A7C690B62E}"/>
    <cellStyle name="Totale 4 3 2" xfId="32662" xr:uid="{A3C380AD-17B5-407B-B0EC-274A1621DC66}"/>
    <cellStyle name="Totale 4 3 3" xfId="32663" xr:uid="{67C792CA-8357-47C4-9A75-8695CE3BDEE1}"/>
    <cellStyle name="Totale 4 4" xfId="30202" xr:uid="{8124C0DA-329A-42DA-AC26-9C533DE3F4BF}"/>
    <cellStyle name="Totale 4 5" xfId="30199" xr:uid="{4BC866A7-4C0A-4F2A-BF1D-FCC4D9E38BB6}"/>
    <cellStyle name="Totale 5" xfId="9591" xr:uid="{3A309893-B3EC-427E-B215-8D1AB2D0D9BD}"/>
    <cellStyle name="Totale 5 2" xfId="30204" xr:uid="{DB02F7C0-40D7-49BA-B2D0-9E47AF1D91F6}"/>
    <cellStyle name="Totale 5 3" xfId="30205" xr:uid="{1A708A0F-2B18-4C8B-A04F-4F4C53783E8C}"/>
    <cellStyle name="Totale 5 3 2" xfId="32664" xr:uid="{779AE650-1535-4C34-8A9C-429E3D08DAC7}"/>
    <cellStyle name="Totale 5 3 3" xfId="32665" xr:uid="{E49A4F37-CC51-4970-87BF-342C2C352A01}"/>
    <cellStyle name="Totale 5 4" xfId="30203" xr:uid="{E5D173DC-973D-4D94-B0FA-D4BF067D147B}"/>
    <cellStyle name="Totale 6" xfId="9592" xr:uid="{65C9D18C-7B70-4A88-A120-009B1C130F6C}"/>
    <cellStyle name="Totale 6 2" xfId="30207" xr:uid="{5632B114-4B3C-41B3-A31C-B11CE7662D0B}"/>
    <cellStyle name="Totale 6 3" xfId="30208" xr:uid="{A758C651-0D5B-43FF-8172-E992E44E8BD4}"/>
    <cellStyle name="Totale 6 3 2" xfId="32666" xr:uid="{3FBF9768-A433-41DC-B62F-96FEAE97D199}"/>
    <cellStyle name="Totale 6 3 3" xfId="32667" xr:uid="{CBD912C6-7770-486B-BC9E-52E7028940CA}"/>
    <cellStyle name="Totale 6 4" xfId="30206" xr:uid="{F4CEB16E-B672-4450-AF76-6B209E178E2B}"/>
    <cellStyle name="Totale 7" xfId="30209" xr:uid="{31AC5B82-3F99-489F-A7FA-69AA1E90E85E}"/>
    <cellStyle name="Totale 8" xfId="30210" xr:uid="{D00E958B-C822-47A4-9445-62A3933C4988}"/>
    <cellStyle name="Totale 8 2" xfId="32668" xr:uid="{D46FD1A9-C764-4DF3-A63E-869E047EF4EB}"/>
    <cellStyle name="Totale 8 3" xfId="32669" xr:uid="{92A6E68E-BC5B-4850-AC1C-A1B11198DAC3}"/>
    <cellStyle name="Totale 9" xfId="30188" xr:uid="{E147208A-E56B-4DC2-9185-029CD673DBE0}"/>
    <cellStyle name="Ugyldig 2" xfId="30211" xr:uid="{F98BDA20-C2B4-4995-BEBA-616545677391}"/>
    <cellStyle name="Uncertain" xfId="9593" xr:uid="{AF8651A8-190A-4F8E-B9B4-C438B62D8F88}"/>
    <cellStyle name="Uncertain 2" xfId="30212" xr:uid="{777CF45A-F1F8-4B0F-B4BC-61A6D869FC1A}"/>
    <cellStyle name="Usikre tal" xfId="1258" xr:uid="{00000000-0005-0000-0000-0000160A0000}"/>
    <cellStyle name="Valore non valido" xfId="1249" xr:uid="{00000000-0005-0000-0000-0000170A0000}"/>
    <cellStyle name="Valore non valido 2" xfId="30214" xr:uid="{A857B998-F08A-4ADC-9BC0-5524BBF4BEAA}"/>
    <cellStyle name="Valore non valido 3" xfId="30215" xr:uid="{B69F8EC5-6943-430D-B4EB-F4A803ED24DA}"/>
    <cellStyle name="Valore non valido 3 2" xfId="49491" xr:uid="{BCD417EA-BDC4-49AD-853B-D4D2DEFC81A3}"/>
    <cellStyle name="Valore non valido 4" xfId="30213" xr:uid="{0A95B2BE-A1EF-4574-96C8-25E0942D59A0}"/>
    <cellStyle name="Valore valido" xfId="1250" xr:uid="{00000000-0005-0000-0000-0000180A0000}"/>
    <cellStyle name="Valore valido 2" xfId="30217" xr:uid="{93AF6CC6-E71B-4E5D-9FC4-D734E4AA36BA}"/>
    <cellStyle name="Valore valido 3" xfId="30218" xr:uid="{51838BBD-D0AE-4893-8D4A-04FC60DC4B13}"/>
    <cellStyle name="Valore valido 3 2" xfId="49492" xr:uid="{A1116586-26E0-4942-90ED-02FC89D114E0}"/>
    <cellStyle name="Valore valido 4" xfId="30216" xr:uid="{29FD51CC-FBA8-47D7-BFF3-E486C492BCEC}"/>
    <cellStyle name="Warning Text 2" xfId="30219" xr:uid="{F7AED2B7-F29C-414C-947F-FA1E092BFD7B}"/>
    <cellStyle name="Warning Text 2 2" xfId="30220" xr:uid="{EE502782-C746-49AE-849A-C0A6A121D2CC}"/>
    <cellStyle name="Warning Text 2 3" xfId="30221" xr:uid="{02F0E41F-8F50-4328-B1CD-C684C50A310F}"/>
    <cellStyle name="Warning Text 2 3 2" xfId="49493" xr:uid="{6804EC70-8075-46A1-BFFE-32B6CF603649}"/>
    <cellStyle name="Warning Text 3" xfId="30222" xr:uid="{02FDC9A1-F1A4-4374-AA04-9ED52332E3CE}"/>
    <cellStyle name="Warning Text 4" xfId="30223" xr:uid="{C32BD348-27D4-474C-A959-14AFD340BC95}"/>
    <cellStyle name="Warning Text 4 2" xfId="49494" xr:uid="{2C004FEE-1F0F-429A-B1C9-830A271C85D4}"/>
    <cellStyle name="X08_Total Oil" xfId="30224" xr:uid="{E1322378-052E-4E86-B662-0E83888926EE}"/>
    <cellStyle name="X12_Total Figs 1 dec" xfId="30225" xr:uid="{9131759A-7833-4FE5-B737-D90B8365AB5D}"/>
    <cellStyle name="Years" xfId="9594" xr:uid="{CF7B546B-30D6-4CE5-89F8-3C68EE7D21A9}"/>
    <cellStyle name="Years 2" xfId="30226" xr:uid="{DD3C5B6B-8210-472F-9506-EEDBF00C598A}"/>
    <cellStyle name="Обычный_2++" xfId="30239" xr:uid="{C6518855-C026-42A0-AE57-538E01B522D8}"/>
  </cellStyles>
  <dxfs count="8">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color rgb="FF006100"/>
      </font>
      <fill>
        <patternFill>
          <bgColor rgb="FFC6EF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externalLink" Target="externalLinks/externalLink1.xml"/><Relationship Id="rId68" Type="http://schemas.openxmlformats.org/officeDocument/2006/relationships/externalLink" Target="externalLinks/externalLink6.xml"/><Relationship Id="rId84" Type="http://schemas.openxmlformats.org/officeDocument/2006/relationships/customXml" Target="../customXml/item1.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externalLink" Target="externalLinks/externalLink12.xml"/><Relationship Id="rId79" Type="http://schemas.openxmlformats.org/officeDocument/2006/relationships/connections" Target="connections.xml"/><Relationship Id="rId5" Type="http://schemas.openxmlformats.org/officeDocument/2006/relationships/worksheet" Target="worksheets/sheet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externalLink" Target="externalLinks/externalLink2.xml"/><Relationship Id="rId69" Type="http://schemas.openxmlformats.org/officeDocument/2006/relationships/externalLink" Target="externalLinks/externalLink7.xml"/><Relationship Id="rId77" Type="http://schemas.openxmlformats.org/officeDocument/2006/relationships/externalLink" Target="externalLinks/externalLink15.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externalLink" Target="externalLinks/externalLink10.xml"/><Relationship Id="rId80" Type="http://schemas.openxmlformats.org/officeDocument/2006/relationships/styles" Target="styles.xml"/><Relationship Id="rId85" Type="http://schemas.openxmlformats.org/officeDocument/2006/relationships/customXml" Target="../customXml/item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externalLink" Target="externalLinks/externalLink5.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externalLink" Target="externalLinks/externalLink8.xml"/><Relationship Id="rId75" Type="http://schemas.openxmlformats.org/officeDocument/2006/relationships/externalLink" Target="externalLinks/externalLink13.xml"/><Relationship Id="rId83"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externalLink" Target="externalLinks/externalLink3.xml"/><Relationship Id="rId73" Type="http://schemas.openxmlformats.org/officeDocument/2006/relationships/externalLink" Target="externalLinks/externalLink11.xml"/><Relationship Id="rId78" Type="http://schemas.openxmlformats.org/officeDocument/2006/relationships/theme" Target="theme/theme1.xml"/><Relationship Id="rId81" Type="http://schemas.openxmlformats.org/officeDocument/2006/relationships/sharedStrings" Target="sharedStrings.xml"/><Relationship Id="rId86"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externalLink" Target="externalLinks/externalLink14.xml"/><Relationship Id="rId7" Type="http://schemas.openxmlformats.org/officeDocument/2006/relationships/worksheet" Target="worksheets/sheet7.xml"/><Relationship Id="rId71" Type="http://schemas.openxmlformats.org/officeDocument/2006/relationships/externalLink" Target="externalLinks/externalLink9.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externalLink" Target="externalLinks/externalLink4.xml"/><Relationship Id="rId61" Type="http://schemas.openxmlformats.org/officeDocument/2006/relationships/worksheet" Target="worksheets/sheet61.xml"/><Relationship Id="rId82" Type="http://schemas.openxmlformats.org/officeDocument/2006/relationships/sheetMetadata" Target="metadata.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14</xdr:col>
      <xdr:colOff>581025</xdr:colOff>
      <xdr:row>12</xdr:row>
      <xdr:rowOff>47625</xdr:rowOff>
    </xdr:to>
    <xdr:sp macro="" textlink="">
      <xdr:nvSpPr>
        <xdr:cNvPr id="2" name="Tekstboks 1">
          <a:extLst>
            <a:ext uri="{FF2B5EF4-FFF2-40B4-BE49-F238E27FC236}">
              <a16:creationId xmlns:a16="http://schemas.microsoft.com/office/drawing/2014/main" id="{00000000-0008-0000-0200-000002000000}"/>
            </a:ext>
          </a:extLst>
        </xdr:cNvPr>
        <xdr:cNvSpPr txBox="1"/>
      </xdr:nvSpPr>
      <xdr:spPr>
        <a:xfrm>
          <a:off x="0" y="0"/>
          <a:ext cx="9115425" cy="2333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da-DK" sz="1100"/>
        </a:p>
        <a:p>
          <a:endParaRPr lang="da-DK" sz="1100"/>
        </a:p>
        <a:p>
          <a:r>
            <a:rPr lang="da-DK" sz="1100"/>
            <a:t>We have to look into the size of the plants  - the cost per kW is in most cases calculatet from a cost per unit and a assumet size of the plant - ( often a interval of plant size is given)  </a:t>
          </a:r>
        </a:p>
        <a:p>
          <a:endParaRPr lang="da-DK" sz="1100"/>
        </a:p>
        <a:p>
          <a:r>
            <a:rPr lang="da-DK" sz="1100"/>
            <a:t>For some technologies</a:t>
          </a:r>
          <a:r>
            <a:rPr lang="da-DK" sz="1100" baseline="0"/>
            <a:t> there is given a </a:t>
          </a:r>
          <a:r>
            <a:rPr lang="da-DK" sz="1100" b="1" baseline="0"/>
            <a:t>"Possible additional specific investment"  </a:t>
          </a:r>
          <a:r>
            <a:rPr lang="da-DK" sz="1100" b="0" baseline="0"/>
            <a:t>should it be included in the cost ? </a:t>
          </a:r>
        </a:p>
        <a:p>
          <a:endParaRPr lang="da-DK" sz="1100"/>
        </a:p>
        <a:p>
          <a:r>
            <a:rPr lang="da-DK" sz="1100"/>
            <a:t>Stefan has a documentation</a:t>
          </a:r>
          <a:r>
            <a:rPr lang="da-DK" sz="1100" baseline="0"/>
            <a:t> on heat savings estimation: link....</a:t>
          </a:r>
          <a:endParaRPr lang="da-DK" sz="1100"/>
        </a:p>
      </xdr:txBody>
    </xdr:sp>
    <xdr:clientData/>
  </xdr:twoCellAnchor>
  <xdr:twoCellAnchor>
    <xdr:from>
      <xdr:col>0</xdr:col>
      <xdr:colOff>0</xdr:colOff>
      <xdr:row>14</xdr:row>
      <xdr:rowOff>0</xdr:rowOff>
    </xdr:from>
    <xdr:to>
      <xdr:col>14</xdr:col>
      <xdr:colOff>581025</xdr:colOff>
      <xdr:row>26</xdr:row>
      <xdr:rowOff>47625</xdr:rowOff>
    </xdr:to>
    <xdr:sp macro="" textlink="">
      <xdr:nvSpPr>
        <xdr:cNvPr id="3" name="Tekstboks 1">
          <a:extLst>
            <a:ext uri="{FF2B5EF4-FFF2-40B4-BE49-F238E27FC236}">
              <a16:creationId xmlns:a16="http://schemas.microsoft.com/office/drawing/2014/main" id="{0DA8BFE0-83DA-460F-BD1B-81567F3DC3E5}"/>
            </a:ext>
          </a:extLst>
        </xdr:cNvPr>
        <xdr:cNvSpPr txBox="1"/>
      </xdr:nvSpPr>
      <xdr:spPr>
        <a:xfrm>
          <a:off x="0" y="2667000"/>
          <a:ext cx="9115425" cy="2333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da-DK" sz="1100"/>
        </a:p>
        <a:p>
          <a:r>
            <a:rPr lang="da-DK" sz="1100"/>
            <a:t>Martin</a:t>
          </a:r>
          <a:r>
            <a:rPr lang="da-DK" sz="1100" baseline="0"/>
            <a:t> Hagberg: </a:t>
          </a:r>
          <a:endParaRPr lang="da-DK" sz="1100"/>
        </a:p>
        <a:p>
          <a:endParaRPr lang="da-DK" sz="1100"/>
        </a:p>
        <a:p>
          <a:r>
            <a:rPr lang="da-DK" sz="1100"/>
            <a:t>SE and NO industry</a:t>
          </a:r>
          <a:r>
            <a:rPr lang="da-DK" sz="1100" baseline="0"/>
            <a:t> representation including sector division is based on Eurostat data. </a:t>
          </a:r>
          <a:endParaRPr lang="da-DK" sz="1100"/>
        </a:p>
        <a:p>
          <a:endParaRPr lang="da-DK" sz="1100"/>
        </a:p>
        <a:p>
          <a:endParaRPr lang="da-DK" sz="1100"/>
        </a:p>
        <a:p>
          <a:r>
            <a:rPr lang="da-DK" sz="1100"/>
            <a:t>DK</a:t>
          </a:r>
          <a:r>
            <a:rPr lang="da-DK" sz="1100" baseline="0"/>
            <a:t> industry sector and sector division, which was developed earlier than SE and NO, has been developed based on other sources and therefore differ somewhat to SE and NO. </a:t>
          </a:r>
        </a:p>
        <a:p>
          <a:endParaRPr lang="da-DK" sz="1100" baseline="0"/>
        </a:p>
        <a:p>
          <a:endParaRPr lang="da-DK" sz="1100" baseline="0"/>
        </a:p>
        <a:p>
          <a:r>
            <a:rPr lang="da-DK" sz="1100" baseline="0"/>
            <a:t>The easiest approach for adding new countries to the model would be to follow the approach by SE (for 4 regions</a:t>
          </a:r>
          <a:r>
            <a:rPr lang="da-DK" sz="1100" baseline="0">
              <a:solidFill>
                <a:schemeClr val="dk1"/>
              </a:solidFill>
              <a:effectLst/>
              <a:latin typeface="+mn-lt"/>
              <a:ea typeface="+mn-ea"/>
              <a:cs typeface="+mn-cs"/>
            </a:rPr>
            <a:t>/country</a:t>
          </a:r>
          <a:r>
            <a:rPr lang="da-DK" sz="1100" baseline="0"/>
            <a:t>) or NO (for two regions/country), starting from their respective VT file structure. </a:t>
          </a:r>
        </a:p>
        <a:p>
          <a:endParaRPr lang="da-DK" sz="1100" baseline="0"/>
        </a:p>
        <a:p>
          <a:endParaRPr lang="da-DK"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54</xdr:row>
      <xdr:rowOff>0</xdr:rowOff>
    </xdr:from>
    <xdr:to>
      <xdr:col>0</xdr:col>
      <xdr:colOff>2892136</xdr:colOff>
      <xdr:row>64</xdr:row>
      <xdr:rowOff>29154</xdr:rowOff>
    </xdr:to>
    <mc:AlternateContent xmlns:mc="http://schemas.openxmlformats.org/markup-compatibility/2006" xmlns:a14="http://schemas.microsoft.com/office/drawing/2010/main">
      <mc:Choice Requires="a14">
        <xdr:sp macro="" textlink="">
          <xdr:nvSpPr>
            <xdr:cNvPr id="35" name="TextBox 55">
              <a:extLst>
                <a:ext uri="{FF2B5EF4-FFF2-40B4-BE49-F238E27FC236}">
                  <a16:creationId xmlns:a16="http://schemas.microsoft.com/office/drawing/2014/main" id="{00000000-0008-0000-1F00-000023000000}"/>
                </a:ext>
              </a:extLst>
            </xdr:cNvPr>
            <xdr:cNvSpPr txBox="1"/>
          </xdr:nvSpPr>
          <xdr:spPr>
            <a:xfrm>
              <a:off x="0" y="11591925"/>
              <a:ext cx="2892136" cy="2124654"/>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The assumption is that solar heating covers 10 %</a:t>
              </a:r>
              <a:r>
                <a:rPr lang="da-DK" sz="1100" baseline="0">
                  <a:latin typeface="Times New Roman" panose="02020603050405020304" pitchFamily="18" charset="0"/>
                  <a:cs typeface="Times New Roman" panose="02020603050405020304" pitchFamily="18" charset="0"/>
                </a:rPr>
                <a:t> of space heating demand and 65 % of domestic hot water (DHW)</a:t>
              </a:r>
              <a:r>
                <a:rPr lang="da-DK" sz="1100">
                  <a:latin typeface="Times New Roman" panose="02020603050405020304" pitchFamily="18" charset="0"/>
                  <a:cs typeface="Times New Roman" panose="02020603050405020304" pitchFamily="18" charset="0"/>
                </a:rPr>
                <a:t> demand. .The demands</a:t>
              </a:r>
              <a:r>
                <a:rPr lang="da-DK" sz="1100" baseline="0">
                  <a:latin typeface="Times New Roman" panose="02020603050405020304" pitchFamily="18" charset="0"/>
                  <a:cs typeface="Times New Roman" panose="02020603050405020304" pitchFamily="18" charset="0"/>
                </a:rPr>
                <a:t> for space heating and DHW are assumed to be 95 and 25 </a:t>
              </a:r>
              <a14:m>
                <m:oMath xmlns:m="http://schemas.openxmlformats.org/officeDocument/2006/math">
                  <m:f>
                    <m:fPr>
                      <m:ctrlPr>
                        <a:rPr lang="da-DK" sz="1100" b="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𝑘𝑊h</m:t>
                      </m:r>
                    </m:num>
                    <m:den>
                      <m:r>
                        <a:rPr lang="en-GB" sz="1100" b="0" i="1">
                          <a:solidFill>
                            <a:schemeClr val="dk1"/>
                          </a:solidFill>
                          <a:effectLst/>
                          <a:latin typeface="Cambria Math"/>
                          <a:ea typeface="+mn-ea"/>
                          <a:cs typeface="+mn-cs"/>
                        </a:rPr>
                        <m:t>𝑚</m:t>
                      </m:r>
                      <m:r>
                        <a:rPr lang="en-GB" sz="1100" b="0" i="1">
                          <a:solidFill>
                            <a:schemeClr val="dk1"/>
                          </a:solidFill>
                          <a:effectLst/>
                          <a:latin typeface="Cambria Math"/>
                          <a:ea typeface="+mn-ea"/>
                          <a:cs typeface="+mn-cs"/>
                        </a:rPr>
                        <m:t>2</m:t>
                      </m:r>
                    </m:den>
                  </m:f>
                </m:oMath>
              </a14:m>
              <a:r>
                <a:rPr lang="da-DK" sz="1100" b="0" baseline="0">
                  <a:solidFill>
                    <a:schemeClr val="dk1"/>
                  </a:solidFill>
                  <a:effectLst/>
                  <a:latin typeface="Times New Roman" panose="02020603050405020304" pitchFamily="18" charset="0"/>
                  <a:ea typeface="+mn-ea"/>
                  <a:cs typeface="Times New Roman" panose="02020603050405020304" pitchFamily="18" charset="0"/>
                </a:rPr>
                <a:t>, respectively. The single-family house is assumed to have an area of 140 m2.</a:t>
              </a:r>
            </a:p>
            <a:p>
              <a:pPr marL="0" marR="0" indent="0" defTabSz="914400" eaLnBrk="1" fontAlgn="auto" latinLnBrk="0" hangingPunct="1">
                <a:lnSpc>
                  <a:spcPct val="100000"/>
                </a:lnSpc>
                <a:spcBef>
                  <a:spcPts val="0"/>
                </a:spcBef>
                <a:spcAft>
                  <a:spcPts val="0"/>
                </a:spcAft>
                <a:buClrTx/>
                <a:buSzTx/>
                <a:buFontTx/>
                <a:buNone/>
                <a:tabLst/>
                <a:defRPr/>
              </a:pPr>
              <a:r>
                <a:rPr lang="da-DK" sz="1100" b="0" baseline="0">
                  <a:solidFill>
                    <a:schemeClr val="dk1"/>
                  </a:solidFill>
                  <a:effectLst/>
                  <a:latin typeface="Times New Roman" panose="02020603050405020304" pitchFamily="18" charset="0"/>
                  <a:ea typeface="+mn-ea"/>
                  <a:cs typeface="Times New Roman" panose="02020603050405020304" pitchFamily="18" charset="0"/>
                </a:rPr>
                <a:t>The source for these assumptions is </a:t>
              </a:r>
              <a:r>
                <a:rPr lang="da-DK" sz="1100">
                  <a:solidFill>
                    <a:schemeClr val="dk1"/>
                  </a:solidFill>
                  <a:effectLst/>
                  <a:latin typeface="Times New Roman" panose="02020603050405020304" pitchFamily="18" charset="0"/>
                  <a:ea typeface="+mn-ea"/>
                  <a:cs typeface="Times New Roman" panose="02020603050405020304" pitchFamily="18" charset="0"/>
                </a:rPr>
                <a:t>Technology Data for Energy Plants Individual Heating Plants and Energy Transport" maintained by the Danish Energy Agency.</a:t>
              </a:r>
            </a:p>
          </xdr:txBody>
        </xdr:sp>
      </mc:Choice>
      <mc:Fallback xmlns="">
        <xdr:sp macro="" textlink="">
          <xdr:nvSpPr>
            <xdr:cNvPr id="35" name="TextBox 55"/>
            <xdr:cNvSpPr txBox="1"/>
          </xdr:nvSpPr>
          <xdr:spPr>
            <a:xfrm>
              <a:off x="0" y="11591925"/>
              <a:ext cx="2892136" cy="2124654"/>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The assumption is that solar heating covers 10 %</a:t>
              </a:r>
              <a:r>
                <a:rPr lang="da-DK" sz="1100" baseline="0">
                  <a:latin typeface="Times New Roman" panose="02020603050405020304" pitchFamily="18" charset="0"/>
                  <a:cs typeface="Times New Roman" panose="02020603050405020304" pitchFamily="18" charset="0"/>
                </a:rPr>
                <a:t> of space heating demand and 65 % of domestic hot water (DHW)</a:t>
              </a:r>
              <a:r>
                <a:rPr lang="da-DK" sz="1100">
                  <a:latin typeface="Times New Roman" panose="02020603050405020304" pitchFamily="18" charset="0"/>
                  <a:cs typeface="Times New Roman" panose="02020603050405020304" pitchFamily="18" charset="0"/>
                </a:rPr>
                <a:t> demand. .The demands</a:t>
              </a:r>
              <a:r>
                <a:rPr lang="da-DK" sz="1100" baseline="0">
                  <a:latin typeface="Times New Roman" panose="02020603050405020304" pitchFamily="18" charset="0"/>
                  <a:cs typeface="Times New Roman" panose="02020603050405020304" pitchFamily="18" charset="0"/>
                </a:rPr>
                <a:t> for space heating and DHW are assumed to be 95 and 25 </a:t>
              </a:r>
              <a:r>
                <a:rPr lang="en-GB" sz="1100" b="0" i="0">
                  <a:solidFill>
                    <a:schemeClr val="dk1"/>
                  </a:solidFill>
                  <a:effectLst/>
                  <a:latin typeface="Cambria Math"/>
                  <a:ea typeface="+mn-ea"/>
                  <a:cs typeface="+mn-cs"/>
                </a:rPr>
                <a:t>𝑘𝑊ℎ</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𝑚2</a:t>
              </a:r>
              <a:r>
                <a:rPr lang="da-DK" sz="1100" b="0" baseline="0">
                  <a:solidFill>
                    <a:schemeClr val="dk1"/>
                  </a:solidFill>
                  <a:effectLst/>
                  <a:latin typeface="Times New Roman" panose="02020603050405020304" pitchFamily="18" charset="0"/>
                  <a:ea typeface="+mn-ea"/>
                  <a:cs typeface="Times New Roman" panose="02020603050405020304" pitchFamily="18" charset="0"/>
                </a:rPr>
                <a:t>, respectively. The single-family house is assumed to have an area of 140 m2.</a:t>
              </a:r>
            </a:p>
            <a:p>
              <a:pPr marL="0" marR="0" indent="0" defTabSz="914400" eaLnBrk="1" fontAlgn="auto" latinLnBrk="0" hangingPunct="1">
                <a:lnSpc>
                  <a:spcPct val="100000"/>
                </a:lnSpc>
                <a:spcBef>
                  <a:spcPts val="0"/>
                </a:spcBef>
                <a:spcAft>
                  <a:spcPts val="0"/>
                </a:spcAft>
                <a:buClrTx/>
                <a:buSzTx/>
                <a:buFontTx/>
                <a:buNone/>
                <a:tabLst/>
                <a:defRPr/>
              </a:pPr>
              <a:r>
                <a:rPr lang="da-DK" sz="1100" b="0" baseline="0">
                  <a:solidFill>
                    <a:schemeClr val="dk1"/>
                  </a:solidFill>
                  <a:effectLst/>
                  <a:latin typeface="Times New Roman" panose="02020603050405020304" pitchFamily="18" charset="0"/>
                  <a:ea typeface="+mn-ea"/>
                  <a:cs typeface="Times New Roman" panose="02020603050405020304" pitchFamily="18" charset="0"/>
                </a:rPr>
                <a:t>The source for these assumptions is </a:t>
              </a:r>
              <a:r>
                <a:rPr lang="da-DK" sz="1100">
                  <a:solidFill>
                    <a:schemeClr val="dk1"/>
                  </a:solidFill>
                  <a:effectLst/>
                  <a:latin typeface="Times New Roman" panose="02020603050405020304" pitchFamily="18" charset="0"/>
                  <a:ea typeface="+mn-ea"/>
                  <a:cs typeface="Times New Roman" panose="02020603050405020304" pitchFamily="18" charset="0"/>
                </a:rPr>
                <a:t>Technology Data for Energy Plants Individual Heating Plants and Energy Transport" maintained by the Danish Energy Agency.</a:t>
              </a:r>
            </a:p>
          </xdr:txBody>
        </xdr:sp>
      </mc:Fallback>
    </mc:AlternateContent>
    <xdr:clientData/>
  </xdr:twoCellAnchor>
  <xdr:twoCellAnchor>
    <xdr:from>
      <xdr:col>0</xdr:col>
      <xdr:colOff>2892136</xdr:colOff>
      <xdr:row>63</xdr:row>
      <xdr:rowOff>168578</xdr:rowOff>
    </xdr:from>
    <xdr:to>
      <xdr:col>1</xdr:col>
      <xdr:colOff>2224135</xdr:colOff>
      <xdr:row>64</xdr:row>
      <xdr:rowOff>33498</xdr:rowOff>
    </xdr:to>
    <xdr:cxnSp macro="">
      <xdr:nvCxnSpPr>
        <xdr:cNvPr id="36" name="Elbow Connector 56">
          <a:extLst>
            <a:ext uri="{FF2B5EF4-FFF2-40B4-BE49-F238E27FC236}">
              <a16:creationId xmlns:a16="http://schemas.microsoft.com/office/drawing/2014/main" id="{00000000-0008-0000-1F00-000024000000}"/>
            </a:ext>
          </a:extLst>
        </xdr:cNvPr>
        <xdr:cNvCxnSpPr/>
      </xdr:nvCxnSpPr>
      <xdr:spPr>
        <a:xfrm flipV="1">
          <a:off x="2892136" y="13655978"/>
          <a:ext cx="2541924" cy="64945"/>
        </a:xfrm>
        <a:prstGeom prst="bentConnector3">
          <a:avLst>
            <a:gd name="adj1" fmla="val 61225"/>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22</xdr:col>
      <xdr:colOff>441906</xdr:colOff>
      <xdr:row>43</xdr:row>
      <xdr:rowOff>57049</xdr:rowOff>
    </xdr:from>
    <xdr:to>
      <xdr:col>30</xdr:col>
      <xdr:colOff>513873</xdr:colOff>
      <xdr:row>63</xdr:row>
      <xdr:rowOff>198578</xdr:rowOff>
    </xdr:to>
    <mc:AlternateContent xmlns:mc="http://schemas.openxmlformats.org/markup-compatibility/2006" xmlns:a14="http://schemas.microsoft.com/office/drawing/2010/main">
      <mc:Choice Requires="a14">
        <xdr:sp macro="" textlink="">
          <xdr:nvSpPr>
            <xdr:cNvPr id="37" name="TextBox 51">
              <a:extLst>
                <a:ext uri="{FF2B5EF4-FFF2-40B4-BE49-F238E27FC236}">
                  <a16:creationId xmlns:a16="http://schemas.microsoft.com/office/drawing/2014/main" id="{00000000-0008-0000-1F00-000025000000}"/>
                </a:ext>
              </a:extLst>
            </xdr:cNvPr>
            <xdr:cNvSpPr txBox="1"/>
          </xdr:nvSpPr>
          <xdr:spPr>
            <a:xfrm>
              <a:off x="17967906" y="9514814"/>
              <a:ext cx="4912908" cy="4242882"/>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14:m>
                <m:oMath xmlns:m="http://schemas.openxmlformats.org/officeDocument/2006/math">
                  <m:sSub>
                    <m:sSubPr>
                      <m:ctrlPr>
                        <a:rPr lang="da-DK" sz="1100" i="1">
                          <a:latin typeface="Cambria Math" panose="02040503050406030204" pitchFamily="18" charset="0"/>
                        </a:rPr>
                      </m:ctrlPr>
                    </m:sSubPr>
                    <m:e>
                      <m:r>
                        <a:rPr lang="en-GB" sz="1100" b="0" i="1">
                          <a:latin typeface="Cambria Math"/>
                        </a:rPr>
                        <m:t>𝐼</m:t>
                      </m:r>
                    </m:e>
                    <m:sub>
                      <m:r>
                        <a:rPr lang="en-GB" sz="1100" b="0" i="1">
                          <a:latin typeface="Cambria Math"/>
                        </a:rPr>
                        <m:t>𝑐</m:t>
                      </m:r>
                    </m:sub>
                  </m:sSub>
                  <m:d>
                    <m:dPr>
                      <m:begChr m:val="["/>
                      <m:endChr m:val="]"/>
                      <m:ctrlPr>
                        <a:rPr lang="da-DK" sz="1100" i="1">
                          <a:latin typeface="Cambria Math" panose="02040503050406030204" pitchFamily="18" charset="0"/>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𝑢𝑛𝑖𝑡</m:t>
                          </m:r>
                        </m:den>
                      </m:f>
                    </m:e>
                  </m:d>
                  <m:r>
                    <a:rPr lang="da-DK" sz="1100" i="1">
                      <a:latin typeface="Cambria Math"/>
                      <a:ea typeface="Cambria Math"/>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1000 €</m:t>
                          </m:r>
                        </m:num>
                        <m:den>
                          <m:r>
                            <a:rPr lang="en-GB" sz="1100" b="0" i="1">
                              <a:solidFill>
                                <a:schemeClr val="dk1"/>
                              </a:solidFill>
                              <a:effectLst/>
                              <a:latin typeface="Cambria Math"/>
                              <a:ea typeface="+mn-ea"/>
                              <a:cs typeface="+mn-cs"/>
                            </a:rPr>
                            <m:t>𝑢𝑛𝑖𝑡</m:t>
                          </m:r>
                        </m:den>
                      </m:f>
                    </m:e>
                  </m:d>
                  <m:r>
                    <a:rPr lang="da-DK" sz="1100" i="1">
                      <a:solidFill>
                        <a:schemeClr val="dk1"/>
                      </a:solidFill>
                      <a:effectLst/>
                      <a:latin typeface="Cambria Math"/>
                      <a:ea typeface="Cambria Math"/>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r>
                    <a:rPr lang="da-DK" sz="1100" i="1">
                      <a:solidFill>
                        <a:schemeClr val="dk1"/>
                      </a:solidFill>
                      <a:effectLst/>
                      <a:latin typeface="Cambria Math"/>
                      <a:ea typeface="+mn-ea"/>
                      <a:cs typeface="+mn-cs"/>
                    </a:rPr>
                    <m:t>∙</m:t>
                  </m:r>
                </m:oMath>
              </a14:m>
              <a:r>
                <a:rPr lang="da-DK" sz="1100">
                  <a:latin typeface="Times New Roman" panose="02020603050405020304" pitchFamily="18" charset="0"/>
                  <a:cs typeface="Times New Roman" panose="02020603050405020304" pitchFamily="18" charset="0"/>
                </a:rPr>
                <a:t>1000</a:t>
              </a:r>
            </a:p>
            <a:p>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left"/>
                  </m:oMathParaPr>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den>
                        </m:f>
                      </m:e>
                    </m:d>
                    <m:r>
                      <a:rPr lang="da-DK" sz="1100" i="1">
                        <a:solidFill>
                          <a:schemeClr val="dk1"/>
                        </a:solidFill>
                        <a:effectLst/>
                        <a:latin typeface="Cambria Math"/>
                        <a:ea typeface="+mn-ea"/>
                        <a:cs typeface="+mn-cs"/>
                      </a:rPr>
                      <m:t>=</m:t>
                    </m:r>
                    <m:f>
                      <m:fPr>
                        <m:ctrlPr>
                          <a:rPr lang="da-DK" sz="1100" i="1">
                            <a:solidFill>
                              <a:schemeClr val="dk1"/>
                            </a:solidFill>
                            <a:effectLst/>
                            <a:latin typeface="Cambria Math" panose="02040503050406030204" pitchFamily="18" charset="0"/>
                            <a:ea typeface="+mn-ea"/>
                            <a:cs typeface="+mn-cs"/>
                          </a:rPr>
                        </m:ctrlPr>
                      </m:fPr>
                      <m:num>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𝑢𝑛𝑖𝑡</m:t>
                                </m:r>
                              </m:den>
                            </m:f>
                          </m:e>
                        </m:d>
                      </m:num>
                      <m:den>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𝑘𝑊</m:t>
                                </m:r>
                              </m:num>
                              <m:den>
                                <m:r>
                                  <a:rPr lang="en-GB" sz="1100" b="0" i="1">
                                    <a:solidFill>
                                      <a:schemeClr val="dk1"/>
                                    </a:solidFill>
                                    <a:effectLst/>
                                    <a:latin typeface="Cambria Math"/>
                                    <a:ea typeface="+mn-ea"/>
                                    <a:cs typeface="+mn-cs"/>
                                  </a:rPr>
                                  <m:t>𝑢𝑛𝑖𝑡</m:t>
                                </m:r>
                              </m:den>
                            </m:f>
                          </m:e>
                        </m:d>
                      </m:den>
                    </m:f>
                  </m:oMath>
                </m:oMathPara>
              </a14:m>
              <a:endParaRPr lang="en-GB" sz="1100" b="0" i="1">
                <a:solidFill>
                  <a:schemeClr val="dk1"/>
                </a:solidFill>
                <a:effectLst/>
                <a:latin typeface="Cambria Math"/>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left"/>
                  </m:oMathParaPr>
                  <m:oMath xmlns:m="http://schemas.openxmlformats.org/officeDocument/2006/math">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r>
                              <a:rPr lang="en-GB" sz="1100" b="0" i="1">
                                <a:solidFill>
                                  <a:schemeClr val="dk1"/>
                                </a:solidFill>
                                <a:effectLst/>
                                <a:latin typeface="Cambria Math"/>
                                <a:ea typeface="Cambria Math"/>
                                <a:cs typeface="+mn-cs"/>
                              </a:rPr>
                              <m:t>∙</m:t>
                            </m:r>
                            <m:r>
                              <a:rPr lang="en-GB" sz="1100" b="0" i="1">
                                <a:solidFill>
                                  <a:schemeClr val="dk1"/>
                                </a:solidFill>
                                <a:effectLst/>
                                <a:latin typeface="Cambria Math"/>
                                <a:ea typeface="Cambria Math"/>
                                <a:cs typeface="+mn-cs"/>
                              </a:rPr>
                              <m:t>𝑦𝑒𝑎𝑟</m:t>
                            </m:r>
                          </m:den>
                        </m:f>
                      </m:e>
                    </m:d>
                    <m:r>
                      <a:rPr lang="da-DK" sz="110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1000 €</m:t>
                            </m:r>
                          </m:num>
                          <m:den>
                            <m:r>
                              <a:rPr lang="en-GB" sz="1100" b="0" i="1">
                                <a:solidFill>
                                  <a:schemeClr val="dk1"/>
                                </a:solidFill>
                                <a:effectLst/>
                                <a:latin typeface="Cambria Math"/>
                                <a:ea typeface="+mn-ea"/>
                                <a:cs typeface="+mn-cs"/>
                              </a:rPr>
                              <m:t>𝑘𝑊</m:t>
                            </m:r>
                            <m:r>
                              <a:rPr lang="en-GB" sz="1100" b="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𝑦𝑒𝑎𝑟</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r>
                      <a:rPr lang="da-DK" sz="1100" i="1">
                        <a:solidFill>
                          <a:schemeClr val="dk1"/>
                        </a:solidFill>
                        <a:effectLst/>
                        <a:latin typeface="Cambria Math"/>
                        <a:ea typeface="+mn-ea"/>
                        <a:cs typeface="+mn-cs"/>
                      </a:rPr>
                      <m:t>∙</m:t>
                    </m:r>
                    <m:r>
                      <m:rPr>
                        <m:nor/>
                      </m:rPr>
                      <a:rPr lang="da-DK" sz="1100">
                        <a:solidFill>
                          <a:schemeClr val="dk1"/>
                        </a:solidFill>
                        <a:effectLst/>
                        <a:latin typeface="Times New Roman" panose="02020603050405020304" pitchFamily="18" charset="0"/>
                        <a:ea typeface="+mn-ea"/>
                        <a:cs typeface="Times New Roman" panose="02020603050405020304" pitchFamily="18" charset="0"/>
                      </a:rPr>
                      <m:t>1000</m:t>
                    </m:r>
                  </m:oMath>
                </m:oMathPara>
              </a14:m>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a:solidFill>
                    <a:schemeClr val="dk1"/>
                  </a:solidFill>
                  <a:effectLst/>
                  <a:ea typeface="+mn-ea"/>
                  <a:cs typeface="+mn-cs"/>
                </a:rPr>
                <a:t>VAR</a:t>
              </a:r>
              <a14:m>
                <m:oMath xmlns:m="http://schemas.openxmlformats.org/officeDocument/2006/math">
                  <m:r>
                    <a:rPr lang="en-GB" sz="1100" b="0" i="1">
                      <a:solidFill>
                        <a:schemeClr val="dk1"/>
                      </a:solidFill>
                      <a:effectLst/>
                      <a:latin typeface="Cambria Math"/>
                      <a:ea typeface="+mn-ea"/>
                      <a:cs typeface="+mn-cs"/>
                    </a:rPr>
                    <m:t>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r>
                            <a:rPr lang="en-GB" sz="1100" b="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𝑦𝑒𝑎𝑟</m:t>
                          </m:r>
                        </m:den>
                      </m:f>
                    </m:e>
                  </m:d>
                  <m:r>
                    <a:rPr lang="da-DK" sz="1100" i="1">
                      <a:solidFill>
                        <a:schemeClr val="dk1"/>
                      </a:solidFill>
                      <a:effectLst/>
                      <a:latin typeface="Cambria Math"/>
                      <a:ea typeface="+mn-ea"/>
                      <a:cs typeface="+mn-cs"/>
                    </a:rPr>
                    <m:t>=</m:t>
                  </m:r>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1000 €</m:t>
                              </m:r>
                            </m:num>
                            <m:den>
                              <m:r>
                                <a:rPr lang="en-GB" sz="1100" b="0" i="1">
                                  <a:solidFill>
                                    <a:schemeClr val="dk1"/>
                                  </a:solidFill>
                                  <a:effectLst/>
                                  <a:latin typeface="Cambria Math"/>
                                  <a:ea typeface="+mn-ea"/>
                                  <a:cs typeface="+mn-cs"/>
                                </a:rPr>
                                <m:t>𝑘𝑊</m:t>
                              </m:r>
                              <m:r>
                                <a:rPr lang="en-GB" sz="1100" b="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𝑦𝑒𝑎𝑟</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num>
                    <m:den>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𝑝𝑟𝑜𝑑</m:t>
                          </m:r>
                        </m:sub>
                      </m:sSub>
                    </m:den>
                  </m:f>
                </m:oMath>
              </a14:m>
              <a:r>
                <a:rPr lang="da-DK" sz="1100">
                  <a:solidFill>
                    <a:schemeClr val="dk1"/>
                  </a:solidFill>
                  <a:effectLst/>
                  <a:latin typeface="+mn-lt"/>
                  <a:ea typeface="+mn-ea"/>
                  <a:cs typeface="+mn-cs"/>
                </a:rPr>
                <a:t>,</a:t>
              </a:r>
              <a:endParaRPr lang="da-DK">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investment costs</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oMath>
              </a14:m>
              <a:r>
                <a:rPr lang="da-DK" sz="1100">
                  <a:latin typeface="Times New Roman" panose="02020603050405020304" pitchFamily="18" charset="0"/>
                  <a:cs typeface="Times New Roman" panose="02020603050405020304" pitchFamily="18" charset="0"/>
                </a:rPr>
                <a:t> - conersion factor from </a:t>
              </a:r>
              <a14:m>
                <m:oMath xmlns:m="http://schemas.openxmlformats.org/officeDocument/2006/math">
                  <m:r>
                    <a:rPr lang="en-GB" sz="1100" b="0" i="1">
                      <a:solidFill>
                        <a:schemeClr val="dk1"/>
                      </a:solidFill>
                      <a:effectLst/>
                      <a:latin typeface="Cambria Math"/>
                      <a:ea typeface="+mn-ea"/>
                      <a:cs typeface="+mn-cs"/>
                    </a:rPr>
                    <m:t>€</m:t>
                  </m:r>
                </m:oMath>
              </a14:m>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assumed heat production capacity</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r>
                    <a:rPr lang="en-GB" sz="1100" b="0" i="1">
                      <a:solidFill>
                        <a:schemeClr val="dk1"/>
                      </a:solidFill>
                      <a:effectLst/>
                      <a:latin typeface="Cambria Math"/>
                      <a:ea typeface="+mn-ea"/>
                      <a:cs typeface="+mn-cs"/>
                    </a:rPr>
                    <m:t>𝐹𝐼𝑋𝑂𝑀</m:t>
                  </m:r>
                </m:oMath>
              </a14:m>
              <a:r>
                <a:rPr lang="da-DK" sz="1100">
                  <a:latin typeface="Times New Roman" panose="02020603050405020304" pitchFamily="18" charset="0"/>
                  <a:cs typeface="Times New Roman" panose="02020603050405020304" pitchFamily="18" charset="0"/>
                </a:rPr>
                <a:t> - Fixed O&amp;M costs</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𝑝𝑟𝑜𝑑</m:t>
                      </m:r>
                    </m:sub>
                  </m:sSub>
                </m:oMath>
              </a14:m>
              <a:r>
                <a:rPr lang="da-DK" sz="1100">
                  <a:latin typeface="Times New Roman" panose="02020603050405020304" pitchFamily="18" charset="0"/>
                  <a:cs typeface="Times New Roman" panose="02020603050405020304" pitchFamily="18" charset="0"/>
                </a:rPr>
                <a:t> -Production of space heating and DHW </a:t>
              </a:r>
            </a:p>
          </xdr:txBody>
        </xdr:sp>
      </mc:Choice>
      <mc:Fallback xmlns="">
        <xdr:sp macro="" textlink="">
          <xdr:nvSpPr>
            <xdr:cNvPr id="37" name="TextBox 51"/>
            <xdr:cNvSpPr txBox="1"/>
          </xdr:nvSpPr>
          <xdr:spPr>
            <a:xfrm>
              <a:off x="17967906" y="9514814"/>
              <a:ext cx="4912908" cy="4242882"/>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r>
                <a:rPr lang="en-GB" sz="1100" b="0" i="0">
                  <a:latin typeface="Cambria Math"/>
                </a:rPr>
                <a:t>𝐼</a:t>
              </a:r>
              <a:r>
                <a:rPr lang="da-DK" sz="1100" b="0" i="0">
                  <a:latin typeface="Cambria Math"/>
                </a:rPr>
                <a:t>_</a:t>
              </a:r>
              <a:r>
                <a:rPr lang="en-GB" sz="1100" b="0" i="0">
                  <a:latin typeface="Cambria Math"/>
                </a:rPr>
                <a:t>𝑐</a:t>
              </a:r>
              <a:r>
                <a:rPr lang="da-DK" sz="1100" b="0" i="0">
                  <a:latin typeface="Cambria Math"/>
                </a:rPr>
                <a:t> </a:t>
              </a:r>
              <a:r>
                <a:rPr lang="da-DK" sz="1100" i="0">
                  <a:latin typeface="Cambria Math"/>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a:t>
              </a:r>
              <a:r>
                <a:rPr lang="da-DK" sz="1100" i="0">
                  <a:latin typeface="Cambria Math"/>
                  <a:ea typeface="Cambria Math"/>
                </a:rPr>
                <a:t>=</a:t>
              </a: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1000 €</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a:t>
              </a:r>
              <a:r>
                <a:rPr lang="da-DK" sz="1100" i="0">
                  <a:solidFill>
                    <a:schemeClr val="dk1"/>
                  </a:solidFill>
                  <a:effectLst/>
                  <a:latin typeface="Cambria Math"/>
                  <a:ea typeface="Cambria Math"/>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i="0">
                  <a:solidFill>
                    <a:schemeClr val="dk1"/>
                  </a:solidFill>
                  <a:effectLst/>
                  <a:latin typeface="Cambria Math"/>
                  <a:ea typeface="+mn-ea"/>
                  <a:cs typeface="+mn-cs"/>
                </a:rPr>
                <a:t>∙</a:t>
              </a:r>
              <a:r>
                <a:rPr lang="da-DK" sz="1100">
                  <a:latin typeface="Times New Roman" panose="02020603050405020304" pitchFamily="18" charset="0"/>
                  <a:cs typeface="Times New Roman" panose="02020603050405020304" pitchFamily="18" charset="0"/>
                </a:rPr>
                <a:t>1000</a:t>
              </a:r>
            </a:p>
            <a:p>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en-GB" sz="1100" b="0" i="0">
                  <a:solidFill>
                    <a:schemeClr val="dk1"/>
                  </a:solidFill>
                  <a:effectLst/>
                  <a:latin typeface="Cambria Math"/>
                  <a:ea typeface="+mn-ea"/>
                  <a:cs typeface="+mn-cs"/>
                </a:rPr>
                <a:t>𝑘𝑊</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 </a:t>
              </a:r>
              <a:r>
                <a:rPr lang="da-DK" sz="1100" b="0" i="0">
                  <a:solidFill>
                    <a:schemeClr val="dk1"/>
                  </a:solidFill>
                  <a:effectLst/>
                  <a:latin typeface="Cambria Math"/>
                  <a:ea typeface="+mn-ea"/>
                  <a:cs typeface="+mn-cs"/>
                </a:rPr>
                <a:t>)</a:t>
              </a:r>
              <a:endParaRPr lang="en-GB" sz="1100" b="0" i="1">
                <a:solidFill>
                  <a:schemeClr val="dk1"/>
                </a:solidFill>
                <a:effectLst/>
                <a:latin typeface="Cambria Math"/>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𝐹𝐼𝑋𝑂𝑀</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en-GB" sz="1100" b="0" i="0">
                  <a:solidFill>
                    <a:schemeClr val="dk1"/>
                  </a:solidFill>
                  <a:effectLst/>
                  <a:latin typeface="Cambria Math"/>
                  <a:ea typeface="Cambria Math"/>
                  <a:cs typeface="+mn-cs"/>
                </a:rPr>
                <a:t>∙𝑦𝑒𝑎𝑟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Cambria Math"/>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𝐹𝐼𝑋𝑂𝑀</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1000 €</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i="0">
                  <a:solidFill>
                    <a:schemeClr val="dk1"/>
                  </a:solidFill>
                  <a:effectLst/>
                  <a:latin typeface="Cambria Math"/>
                  <a:ea typeface="+mn-ea"/>
                  <a:cs typeface="+mn-cs"/>
                </a:rPr>
                <a:t>∙"</a:t>
              </a:r>
              <a:r>
                <a:rPr lang="da-DK" sz="1100" i="0">
                  <a:solidFill>
                    <a:schemeClr val="dk1"/>
                  </a:solidFill>
                  <a:effectLst/>
                  <a:latin typeface="Cambria Math"/>
                  <a:ea typeface="+mn-ea"/>
                  <a:cs typeface="Times New Roman" panose="02020603050405020304" pitchFamily="18" charset="0"/>
                </a:rPr>
                <a:t>1000</a:t>
              </a:r>
              <a:r>
                <a:rPr lang="da-DK" sz="1100" i="0">
                  <a:solidFill>
                    <a:schemeClr val="dk1"/>
                  </a:solidFill>
                  <a:effectLst/>
                  <a:latin typeface="Times New Roman" panose="02020603050405020304" pitchFamily="18" charset="0"/>
                  <a:ea typeface="+mn-ea"/>
                  <a:cs typeface="Times New Roman" panose="02020603050405020304" pitchFamily="18" charset="0"/>
                </a:rPr>
                <a:t>"</a:t>
              </a: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a:solidFill>
                    <a:schemeClr val="dk1"/>
                  </a:solidFill>
                  <a:effectLst/>
                  <a:ea typeface="+mn-ea"/>
                  <a:cs typeface="+mn-cs"/>
                </a:rPr>
                <a:t>VAR</a:t>
              </a:r>
              <a:r>
                <a:rPr lang="en-GB" sz="1100" b="0" i="0">
                  <a:solidFill>
                    <a:schemeClr val="dk1"/>
                  </a:solidFill>
                  <a:effectLst/>
                  <a:latin typeface="Cambria Math"/>
                  <a:ea typeface="+mn-ea"/>
                  <a:cs typeface="+mn-cs"/>
                </a:rPr>
                <a:t>𝑂𝑀</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𝐹𝐼𝑋𝑂𝑀</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1000 €</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𝑝𝑟𝑜𝑑 </a:t>
              </a:r>
              <a:r>
                <a:rPr lang="da-DK" sz="1100">
                  <a:solidFill>
                    <a:schemeClr val="dk1"/>
                  </a:solidFill>
                  <a:effectLst/>
                  <a:latin typeface="+mn-lt"/>
                  <a:ea typeface="+mn-ea"/>
                  <a:cs typeface="+mn-cs"/>
                </a:rPr>
                <a:t>,</a:t>
              </a:r>
              <a:endParaRPr lang="da-DK">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investment costs</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a:latin typeface="Times New Roman" panose="02020603050405020304" pitchFamily="18" charset="0"/>
                  <a:cs typeface="Times New Roman" panose="02020603050405020304" pitchFamily="18" charset="0"/>
                </a:rPr>
                <a:t> - conersion factor from </a:t>
              </a:r>
              <a:r>
                <a:rPr lang="en-GB" sz="1100" b="0" i="0">
                  <a:solidFill>
                    <a:schemeClr val="dk1"/>
                  </a:solidFill>
                  <a:effectLst/>
                  <a:latin typeface="Cambria Math"/>
                  <a:ea typeface="+mn-ea"/>
                  <a:cs typeface="+mn-cs"/>
                </a:rPr>
                <a:t>€</a:t>
              </a:r>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assumed heat production capacity</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𝐹𝐼𝑋𝑂𝑀</a:t>
              </a:r>
              <a:r>
                <a:rPr lang="da-DK" sz="1100">
                  <a:latin typeface="Times New Roman" panose="02020603050405020304" pitchFamily="18" charset="0"/>
                  <a:cs typeface="Times New Roman" panose="02020603050405020304" pitchFamily="18" charset="0"/>
                </a:rPr>
                <a:t> - Fixed O&amp;M costs</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𝑝𝑟𝑜𝑑</a:t>
              </a:r>
              <a:r>
                <a:rPr lang="da-DK" sz="1100">
                  <a:latin typeface="Times New Roman" panose="02020603050405020304" pitchFamily="18" charset="0"/>
                  <a:cs typeface="Times New Roman" panose="02020603050405020304" pitchFamily="18" charset="0"/>
                </a:rPr>
                <a:t> -Production of space heating and DHW </a:t>
              </a:r>
            </a:p>
          </xdr:txBody>
        </xdr:sp>
      </mc:Fallback>
    </mc:AlternateContent>
    <xdr:clientData/>
  </xdr:twoCellAnchor>
  <xdr:twoCellAnchor>
    <xdr:from>
      <xdr:col>8</xdr:col>
      <xdr:colOff>0</xdr:colOff>
      <xdr:row>57</xdr:row>
      <xdr:rowOff>134471</xdr:rowOff>
    </xdr:from>
    <xdr:to>
      <xdr:col>22</xdr:col>
      <xdr:colOff>470647</xdr:colOff>
      <xdr:row>58</xdr:row>
      <xdr:rowOff>156883</xdr:rowOff>
    </xdr:to>
    <xdr:cxnSp macro="">
      <xdr:nvCxnSpPr>
        <xdr:cNvPr id="38" name="Elbow Connector 52">
          <a:extLst>
            <a:ext uri="{FF2B5EF4-FFF2-40B4-BE49-F238E27FC236}">
              <a16:creationId xmlns:a16="http://schemas.microsoft.com/office/drawing/2014/main" id="{00000000-0008-0000-1F00-000026000000}"/>
            </a:ext>
          </a:extLst>
        </xdr:cNvPr>
        <xdr:cNvCxnSpPr/>
      </xdr:nvCxnSpPr>
      <xdr:spPr>
        <a:xfrm flipV="1">
          <a:off x="9054353" y="12516971"/>
          <a:ext cx="8942294" cy="212912"/>
        </a:xfrm>
        <a:prstGeom prst="bentConnector3">
          <a:avLst>
            <a:gd name="adj1" fmla="val 50000"/>
          </a:avLst>
        </a:prstGeom>
        <a:ln>
          <a:solidFill>
            <a:srgbClr val="FF0000"/>
          </a:solidFill>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126021</xdr:colOff>
      <xdr:row>43</xdr:row>
      <xdr:rowOff>11205</xdr:rowOff>
    </xdr:from>
    <xdr:to>
      <xdr:col>13</xdr:col>
      <xdr:colOff>336177</xdr:colOff>
      <xdr:row>46</xdr:row>
      <xdr:rowOff>145677</xdr:rowOff>
    </xdr:to>
    <xdr:sp macro="" textlink="">
      <xdr:nvSpPr>
        <xdr:cNvPr id="39" name="TextBox 53">
          <a:extLst>
            <a:ext uri="{FF2B5EF4-FFF2-40B4-BE49-F238E27FC236}">
              <a16:creationId xmlns:a16="http://schemas.microsoft.com/office/drawing/2014/main" id="{00000000-0008-0000-1F00-000027000000}"/>
            </a:ext>
          </a:extLst>
        </xdr:cNvPr>
        <xdr:cNvSpPr txBox="1"/>
      </xdr:nvSpPr>
      <xdr:spPr>
        <a:xfrm>
          <a:off x="9180374" y="9468970"/>
          <a:ext cx="3235744" cy="739589"/>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a:t>
          </a:r>
          <a:r>
            <a:rPr lang="da-DK" sz="1100" b="1"/>
            <a:t>assumed</a:t>
          </a:r>
          <a:r>
            <a:rPr lang="da-DK" sz="1100"/>
            <a:t> boiler size is  checked against  the range for the "Heat production capacity for one unit (kW)" in the first row in the datasheet </a:t>
          </a:r>
        </a:p>
      </xdr:txBody>
    </xdr:sp>
    <xdr:clientData/>
  </xdr:twoCellAnchor>
  <xdr:twoCellAnchor>
    <xdr:from>
      <xdr:col>6</xdr:col>
      <xdr:colOff>549091</xdr:colOff>
      <xdr:row>44</xdr:row>
      <xdr:rowOff>179294</xdr:rowOff>
    </xdr:from>
    <xdr:to>
      <xdr:col>8</xdr:col>
      <xdr:colOff>126022</xdr:colOff>
      <xdr:row>58</xdr:row>
      <xdr:rowOff>64236</xdr:rowOff>
    </xdr:to>
    <xdr:cxnSp macro="">
      <xdr:nvCxnSpPr>
        <xdr:cNvPr id="40" name="Elbow Connector 54">
          <a:extLst>
            <a:ext uri="{FF2B5EF4-FFF2-40B4-BE49-F238E27FC236}">
              <a16:creationId xmlns:a16="http://schemas.microsoft.com/office/drawing/2014/main" id="{00000000-0008-0000-1F00-000028000000}"/>
            </a:ext>
          </a:extLst>
        </xdr:cNvPr>
        <xdr:cNvCxnSpPr>
          <a:endCxn id="39" idx="1"/>
        </xdr:cNvCxnSpPr>
      </xdr:nvCxnSpPr>
      <xdr:spPr>
        <a:xfrm rot="5400000" flipH="1" flipV="1">
          <a:off x="7387556" y="10844418"/>
          <a:ext cx="2798471" cy="787166"/>
        </a:xfrm>
        <a:prstGeom prst="bentConnector2">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13</xdr:col>
      <xdr:colOff>428625</xdr:colOff>
      <xdr:row>9</xdr:row>
      <xdr:rowOff>104776</xdr:rowOff>
    </xdr:from>
    <xdr:to>
      <xdr:col>23</xdr:col>
      <xdr:colOff>236982</xdr:colOff>
      <xdr:row>29</xdr:row>
      <xdr:rowOff>370913</xdr:rowOff>
    </xdr:to>
    <xdr:grpSp>
      <xdr:nvGrpSpPr>
        <xdr:cNvPr id="2" name="Group 1">
          <a:extLst>
            <a:ext uri="{FF2B5EF4-FFF2-40B4-BE49-F238E27FC236}">
              <a16:creationId xmlns:a16="http://schemas.microsoft.com/office/drawing/2014/main" id="{5C018088-2E6C-4B28-B706-27B440834D71}"/>
            </a:ext>
          </a:extLst>
        </xdr:cNvPr>
        <xdr:cNvGrpSpPr/>
      </xdr:nvGrpSpPr>
      <xdr:grpSpPr>
        <a:xfrm>
          <a:off x="13303250" y="2406651"/>
          <a:ext cx="6793357" cy="6838387"/>
          <a:chOff x="13449300" y="2619376"/>
          <a:chExt cx="5904357" cy="6876487"/>
        </a:xfrm>
      </xdr:grpSpPr>
      <xdr:grpSp>
        <xdr:nvGrpSpPr>
          <xdr:cNvPr id="3" name="Group 2">
            <a:extLst>
              <a:ext uri="{FF2B5EF4-FFF2-40B4-BE49-F238E27FC236}">
                <a16:creationId xmlns:a16="http://schemas.microsoft.com/office/drawing/2014/main" id="{7C3E2C3F-320D-424D-B2E5-2C31380FD3F5}"/>
              </a:ext>
            </a:extLst>
          </xdr:cNvPr>
          <xdr:cNvGrpSpPr/>
        </xdr:nvGrpSpPr>
        <xdr:grpSpPr>
          <a:xfrm>
            <a:off x="13449300" y="3381375"/>
            <a:ext cx="5904357" cy="6114488"/>
            <a:chOff x="13449300" y="3381375"/>
            <a:chExt cx="5904357" cy="6114488"/>
          </a:xfrm>
        </xdr:grpSpPr>
        <xdr:grpSp>
          <xdr:nvGrpSpPr>
            <xdr:cNvPr id="5" name="Group 4">
              <a:extLst>
                <a:ext uri="{FF2B5EF4-FFF2-40B4-BE49-F238E27FC236}">
                  <a16:creationId xmlns:a16="http://schemas.microsoft.com/office/drawing/2014/main" id="{0E266C41-8667-49DF-86C9-CAED8FB2A702}"/>
                </a:ext>
              </a:extLst>
            </xdr:cNvPr>
            <xdr:cNvGrpSpPr/>
          </xdr:nvGrpSpPr>
          <xdr:grpSpPr>
            <a:xfrm>
              <a:off x="13449300" y="5153025"/>
              <a:ext cx="5876925" cy="4342838"/>
              <a:chOff x="11239500" y="2200275"/>
              <a:chExt cx="5876925" cy="4342838"/>
            </a:xfrm>
          </xdr:grpSpPr>
          <xdr:pic>
            <xdr:nvPicPr>
              <xdr:cNvPr id="18" name="Picture 17">
                <a:extLst>
                  <a:ext uri="{FF2B5EF4-FFF2-40B4-BE49-F238E27FC236}">
                    <a16:creationId xmlns:a16="http://schemas.microsoft.com/office/drawing/2014/main" id="{E01E6598-CC3A-4E1A-90B3-D403F00810FD}"/>
                  </a:ext>
                </a:extLst>
              </xdr:cNvPr>
              <xdr:cNvPicPr>
                <a:picLocks noChangeAspect="1"/>
              </xdr:cNvPicPr>
            </xdr:nvPicPr>
            <xdr:blipFill>
              <a:blip xmlns:r="http://schemas.openxmlformats.org/officeDocument/2006/relationships" r:embed="rId1"/>
              <a:stretch>
                <a:fillRect/>
              </a:stretch>
            </xdr:blipFill>
            <xdr:spPr>
              <a:xfrm>
                <a:off x="11239500" y="2478456"/>
                <a:ext cx="5876925" cy="4064657"/>
              </a:xfrm>
              <a:prstGeom prst="rect">
                <a:avLst/>
              </a:prstGeom>
            </xdr:spPr>
          </xdr:pic>
          <xdr:sp macro="" textlink="">
            <xdr:nvSpPr>
              <xdr:cNvPr id="19" name="TextBox 18">
                <a:extLst>
                  <a:ext uri="{FF2B5EF4-FFF2-40B4-BE49-F238E27FC236}">
                    <a16:creationId xmlns:a16="http://schemas.microsoft.com/office/drawing/2014/main" id="{B7C170CC-A161-48D3-8CB3-BE7D823781FE}"/>
                  </a:ext>
                </a:extLst>
              </xdr:cNvPr>
              <xdr:cNvSpPr txBox="1"/>
            </xdr:nvSpPr>
            <xdr:spPr>
              <a:xfrm>
                <a:off x="11287125" y="2200275"/>
                <a:ext cx="3648075" cy="342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From Danish Energy Agency technology catalogue 2017</a:t>
                </a:r>
              </a:p>
            </xdr:txBody>
          </xdr:sp>
        </xdr:grpSp>
        <xdr:grpSp>
          <xdr:nvGrpSpPr>
            <xdr:cNvPr id="6" name="Group 5">
              <a:extLst>
                <a:ext uri="{FF2B5EF4-FFF2-40B4-BE49-F238E27FC236}">
                  <a16:creationId xmlns:a16="http://schemas.microsoft.com/office/drawing/2014/main" id="{B13B1409-F1FF-483B-B009-F04E7443ED0C}"/>
                </a:ext>
              </a:extLst>
            </xdr:cNvPr>
            <xdr:cNvGrpSpPr/>
          </xdr:nvGrpSpPr>
          <xdr:grpSpPr>
            <a:xfrm>
              <a:off x="13611225" y="3381375"/>
              <a:ext cx="5742432" cy="1362086"/>
              <a:chOff x="1499616" y="2555933"/>
              <a:chExt cx="5742432" cy="1362086"/>
            </a:xfrm>
          </xdr:grpSpPr>
          <xdr:sp macro="" textlink="">
            <xdr:nvSpPr>
              <xdr:cNvPr id="7" name="Rectangle 6">
                <a:extLst>
                  <a:ext uri="{FF2B5EF4-FFF2-40B4-BE49-F238E27FC236}">
                    <a16:creationId xmlns:a16="http://schemas.microsoft.com/office/drawing/2014/main" id="{33DDFACB-9DAD-45CF-AD7D-40D965651E27}"/>
                  </a:ext>
                </a:extLst>
              </xdr:cNvPr>
              <xdr:cNvSpPr/>
            </xdr:nvSpPr>
            <xdr:spPr>
              <a:xfrm>
                <a:off x="3523488" y="2657856"/>
                <a:ext cx="1475232" cy="112166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da-DK">
                    <a:solidFill>
                      <a:schemeClr val="tx1"/>
                    </a:solidFill>
                  </a:rPr>
                  <a:t>Heat Exchanger</a:t>
                </a:r>
              </a:p>
            </xdr:txBody>
          </xdr:sp>
          <xdr:cxnSp macro="">
            <xdr:nvCxnSpPr>
              <xdr:cNvPr id="8" name="Straight Arrow Connector 7">
                <a:extLst>
                  <a:ext uri="{FF2B5EF4-FFF2-40B4-BE49-F238E27FC236}">
                    <a16:creationId xmlns:a16="http://schemas.microsoft.com/office/drawing/2014/main" id="{D4595C06-BC5D-4D72-8163-C55D9C64095D}"/>
                  </a:ext>
                </a:extLst>
              </xdr:cNvPr>
              <xdr:cNvCxnSpPr/>
            </xdr:nvCxnSpPr>
            <xdr:spPr>
              <a:xfrm>
                <a:off x="2401824" y="2889504"/>
                <a:ext cx="1121664"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9" name="Straight Arrow Connector 8">
                <a:extLst>
                  <a:ext uri="{FF2B5EF4-FFF2-40B4-BE49-F238E27FC236}">
                    <a16:creationId xmlns:a16="http://schemas.microsoft.com/office/drawing/2014/main" id="{5A271CB9-AD4B-42A0-AFFA-EC6B65581E00}"/>
                  </a:ext>
                </a:extLst>
              </xdr:cNvPr>
              <xdr:cNvCxnSpPr/>
            </xdr:nvCxnSpPr>
            <xdr:spPr>
              <a:xfrm>
                <a:off x="4998720" y="2907792"/>
                <a:ext cx="1121664"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0" name="Straight Arrow Connector 9">
                <a:extLst>
                  <a:ext uri="{FF2B5EF4-FFF2-40B4-BE49-F238E27FC236}">
                    <a16:creationId xmlns:a16="http://schemas.microsoft.com/office/drawing/2014/main" id="{5725671B-D780-43E9-9448-829C2B8E351A}"/>
                  </a:ext>
                </a:extLst>
              </xdr:cNvPr>
              <xdr:cNvCxnSpPr/>
            </xdr:nvCxnSpPr>
            <xdr:spPr>
              <a:xfrm flipH="1">
                <a:off x="2401824" y="3566160"/>
                <a:ext cx="1121664" cy="6096"/>
              </a:xfrm>
              <a:prstGeom prst="straightConnector1">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 name="Straight Arrow Connector 10">
                <a:extLst>
                  <a:ext uri="{FF2B5EF4-FFF2-40B4-BE49-F238E27FC236}">
                    <a16:creationId xmlns:a16="http://schemas.microsoft.com/office/drawing/2014/main" id="{18E1EEB2-1D3B-48EB-AD87-9CBDED0B4F27}"/>
                  </a:ext>
                </a:extLst>
              </xdr:cNvPr>
              <xdr:cNvCxnSpPr/>
            </xdr:nvCxnSpPr>
            <xdr:spPr>
              <a:xfrm flipH="1">
                <a:off x="4998720" y="3566160"/>
                <a:ext cx="1121664" cy="0"/>
              </a:xfrm>
              <a:prstGeom prst="straightConnector1">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2" name="TextBox 17">
                <a:extLst>
                  <a:ext uri="{FF2B5EF4-FFF2-40B4-BE49-F238E27FC236}">
                    <a16:creationId xmlns:a16="http://schemas.microsoft.com/office/drawing/2014/main" id="{7BC7BCF4-8FCE-4EFF-B2A9-BC9CBF66060E}"/>
                  </a:ext>
                </a:extLst>
              </xdr:cNvPr>
              <xdr:cNvSpPr txBox="1"/>
            </xdr:nvSpPr>
            <xdr:spPr>
              <a:xfrm>
                <a:off x="1499616" y="2993136"/>
                <a:ext cx="902208" cy="46166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da-DK" sz="1200" i="1"/>
                  <a:t>Air from/to data center</a:t>
                </a:r>
              </a:p>
            </xdr:txBody>
          </xdr:sp>
          <xdr:sp macro="" textlink="">
            <xdr:nvSpPr>
              <xdr:cNvPr id="13" name="TextBox 18">
                <a:extLst>
                  <a:ext uri="{FF2B5EF4-FFF2-40B4-BE49-F238E27FC236}">
                    <a16:creationId xmlns:a16="http://schemas.microsoft.com/office/drawing/2014/main" id="{E323AC54-71E0-4FD0-9A9B-526594424545}"/>
                  </a:ext>
                </a:extLst>
              </xdr:cNvPr>
              <xdr:cNvSpPr txBox="1"/>
            </xdr:nvSpPr>
            <xdr:spPr>
              <a:xfrm>
                <a:off x="6120384" y="2998417"/>
                <a:ext cx="1121664" cy="46166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da-DK" sz="1200" i="1"/>
                  <a:t>Closed loop for source of HP</a:t>
                </a:r>
              </a:p>
            </xdr:txBody>
          </xdr:sp>
          <xdr:sp macro="" textlink="">
            <xdr:nvSpPr>
              <xdr:cNvPr id="14" name="TextBox 19">
                <a:extLst>
                  <a:ext uri="{FF2B5EF4-FFF2-40B4-BE49-F238E27FC236}">
                    <a16:creationId xmlns:a16="http://schemas.microsoft.com/office/drawing/2014/main" id="{E8F824C2-C8E5-458A-B4C8-948FB440157B}"/>
                  </a:ext>
                </a:extLst>
              </xdr:cNvPr>
              <xdr:cNvSpPr txBox="1"/>
            </xdr:nvSpPr>
            <xdr:spPr>
              <a:xfrm>
                <a:off x="2401824" y="2577639"/>
                <a:ext cx="1072896" cy="27699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da-DK" sz="1200" i="1"/>
                  <a:t>T_air,in = 31 C</a:t>
                </a:r>
              </a:p>
            </xdr:txBody>
          </xdr:sp>
          <xdr:sp macro="" textlink="">
            <xdr:nvSpPr>
              <xdr:cNvPr id="15" name="TextBox 20">
                <a:extLst>
                  <a:ext uri="{FF2B5EF4-FFF2-40B4-BE49-F238E27FC236}">
                    <a16:creationId xmlns:a16="http://schemas.microsoft.com/office/drawing/2014/main" id="{568CC209-04CE-46B1-91C6-60A91E1C584E}"/>
                  </a:ext>
                </a:extLst>
              </xdr:cNvPr>
              <xdr:cNvSpPr txBox="1"/>
            </xdr:nvSpPr>
            <xdr:spPr>
              <a:xfrm>
                <a:off x="2316480" y="3641020"/>
                <a:ext cx="1158240" cy="27699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da-DK" sz="1200" i="1"/>
                  <a:t>T_air,out = 20 C</a:t>
                </a:r>
              </a:p>
            </xdr:txBody>
          </xdr:sp>
          <xdr:sp macro="" textlink="">
            <xdr:nvSpPr>
              <xdr:cNvPr id="16" name="TextBox 21">
                <a:extLst>
                  <a:ext uri="{FF2B5EF4-FFF2-40B4-BE49-F238E27FC236}">
                    <a16:creationId xmlns:a16="http://schemas.microsoft.com/office/drawing/2014/main" id="{8FE0E912-2182-476C-A819-D3B599B855FE}"/>
                  </a:ext>
                </a:extLst>
              </xdr:cNvPr>
              <xdr:cNvSpPr txBox="1"/>
            </xdr:nvSpPr>
            <xdr:spPr>
              <a:xfrm>
                <a:off x="4998720" y="2555933"/>
                <a:ext cx="1395708" cy="278853"/>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da-DK" sz="1200" i="1"/>
                  <a:t>T_source,in = 28 C</a:t>
                </a:r>
              </a:p>
            </xdr:txBody>
          </xdr:sp>
          <xdr:sp macro="" textlink="">
            <xdr:nvSpPr>
              <xdr:cNvPr id="17" name="TextBox 22">
                <a:extLst>
                  <a:ext uri="{FF2B5EF4-FFF2-40B4-BE49-F238E27FC236}">
                    <a16:creationId xmlns:a16="http://schemas.microsoft.com/office/drawing/2014/main" id="{CE0F1F1D-F8DB-4D07-8300-9716D387F077}"/>
                  </a:ext>
                </a:extLst>
              </xdr:cNvPr>
              <xdr:cNvSpPr txBox="1"/>
            </xdr:nvSpPr>
            <xdr:spPr>
              <a:xfrm>
                <a:off x="4998720" y="3641019"/>
                <a:ext cx="1426464" cy="27699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da-DK" sz="1200" i="1"/>
                  <a:t>T_source,out = 17 C</a:t>
                </a:r>
              </a:p>
            </xdr:txBody>
          </xdr:sp>
        </xdr:grpSp>
      </xdr:grpSp>
      <xdr:sp macro="" textlink="">
        <xdr:nvSpPr>
          <xdr:cNvPr id="4" name="TextBox 3">
            <a:extLst>
              <a:ext uri="{FF2B5EF4-FFF2-40B4-BE49-F238E27FC236}">
                <a16:creationId xmlns:a16="http://schemas.microsoft.com/office/drawing/2014/main" id="{15CB80F5-BB31-408E-BE21-E0A619746E1D}"/>
              </a:ext>
            </a:extLst>
          </xdr:cNvPr>
          <xdr:cNvSpPr txBox="1"/>
        </xdr:nvSpPr>
        <xdr:spPr>
          <a:xfrm>
            <a:off x="14344650" y="2619376"/>
            <a:ext cx="4086225" cy="342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Assumed configuration:</a:t>
            </a:r>
            <a:r>
              <a:rPr lang="en-US" sz="1400" b="1" baseline="0"/>
              <a:t> HX followed by heat pump</a:t>
            </a:r>
            <a:endParaRPr lang="en-US" sz="1400" b="1"/>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Olexandr/Projects/INTERACT/Transport/AD/AD%20model%202014-09-15.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ResLab/Modelling/VEDA/VEDA_Models/TIMES-DK_TRA/SubRES_TMPL/ad_beregningsmodel_version_2_1_maj_2013_(4)(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olex/Desktop/Kopi%20af%20alternativ_drivmiddelmodel_3.0_2.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ivlse.sharepoint.com/VEDA/VEDA_Models/EMS/SubRES_TMPL/SubRes_ELC_Techs.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VEDA/VEDA_Models/EMS/SubRES_TMPL/SubRes_ELC_Techs.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Wolfgang/c/temphold/TMPL_RES.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Users/olex/(%5e_%5e)/ResLab/Modelling/TIMES/TIMES-DK/SubRES_TMPL/SubRes_ELC_Plants2020.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Users/olex/(%5e_%5e)/ResLab/Modelling/TIMES/TIMES-DK/SubRES_TMPL/SubRes_ELC_Plants2025.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https://ivlse.sharepoint.com/VEDA/VEDA_Models/Denmark/TIMES-DK-DEA_ws2016/VT_DK_ELC_v1p13.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C:/VEDA/VEDA_Models/Denmark/TIMES-DK-DEA_ws2016/VT_DK_ELC_v1p13.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C:/RAMSES/Simuleringer/2012/2012-08-27/Rettelser_foretaget_i_DATA69_2010.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C:/Mikkel/TIMES-DK/SuppXLS/Scen_SYS_SubAnnual_Data_Reduced-DH.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Lame12/f$/Documents%20and%20Settings/labriet/Local%20Settings/Temp/TMPL_R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Cockpit"/>
      <sheetName val="ResultsOneYear"/>
      <sheetName val="ResultsAllYears"/>
      <sheetName val="A4results"/>
      <sheetName val="Vehicles"/>
      <sheetName val="Fuels"/>
      <sheetName val="ProcessEnergy"/>
      <sheetName val="Prices"/>
      <sheetName val="Feedstocks"/>
      <sheetName val="Distribution"/>
      <sheetName val="Supplementary"/>
      <sheetName val="(FORCE 1) Bio-Methanol"/>
      <sheetName val="(FORCE 2) ETL-Methanol"/>
      <sheetName val="(FORCE 3) 1G ethanol"/>
      <sheetName val="(FORCE 4) 2G ethanol"/>
      <sheetName val="(FORCE 7) 2G diesel"/>
      <sheetName val="(FORCE 9) Bio-DME "/>
      <sheetName val="(FORCE 18) Bio Jetfuel"/>
      <sheetName val="(FORCE 19) RME Rapeseed"/>
      <sheetName val="(FORCE 20) Ethanol SugarBeet"/>
      <sheetName val="Biogas ENS"/>
      <sheetName val="Diesel"/>
      <sheetName val="Benzin"/>
      <sheetName val="HFO"/>
      <sheetName val="Jet Fuel"/>
      <sheetName val="Naturgas raffinering"/>
      <sheetName val="brint-elektricitet"/>
      <sheetName val="oplade-elektricitet"/>
      <sheetName val="Importspor"/>
      <sheetName val="LNG"/>
      <sheetName val="tog-elektricitet"/>
      <sheetName val="Elektrolyse og komprimering"/>
      <sheetName val="Ladestation"/>
      <sheetName val="Ladestation Hybrid"/>
      <sheetName val="Naturgas komprimering"/>
      <sheetName val="Ingen mellem"/>
      <sheetName val="Std benzin motor"/>
      <sheetName val="Std diesel motor"/>
      <sheetName val="Diesel motor DME"/>
      <sheetName val="Tilpasset Otto motor"/>
      <sheetName val="Brændselscelle, brint"/>
      <sheetName val="Brændselscelle, brinthybrid"/>
      <sheetName val="Brændselscelle, methanolhybrid"/>
      <sheetName val="Plugin Hybrid"/>
      <sheetName val="Elmotor"/>
      <sheetName val="Lastbil"/>
      <sheetName val="Lastbil DME"/>
      <sheetName val="Lastbil RME"/>
      <sheetName val="Lastbil Gas"/>
      <sheetName val="Bus"/>
      <sheetName val="Bus Gas"/>
      <sheetName val="Bus Hybrid"/>
      <sheetName val="9000 TEU HFO"/>
      <sheetName val="9000 TEU Diesel"/>
      <sheetName val="9000 TEU Dual fuel"/>
      <sheetName val="Katamaran ferry"/>
      <sheetName val="SAS avg. airplane"/>
      <sheetName val="Gas Lokaltog"/>
      <sheetName val="Sensitivity"/>
      <sheetName val="Log2015"/>
      <sheetName val="Log2020"/>
      <sheetName val="Log2035"/>
      <sheetName val="Log2050"/>
      <sheetName val="(FORCE 5) 1G diesel"/>
      <sheetName val="(FORCE 6) 1G HVO DIESEL"/>
      <sheetName val="(FORCE 8)  Diesel - MOGD"/>
      <sheetName val="(FORCE 10) SNG-gasification"/>
      <sheetName val="(FORCE 11) 2G Kerosene"/>
      <sheetName val="(FORCE 12) Torrefied wood"/>
      <sheetName val="(FORCE 13) Bio-Liquid"/>
      <sheetName val="(FORCE 14) 2G bio-ethanol"/>
      <sheetName val="(FORCE 15) Ethanol+Biogas"/>
      <sheetName val="(FORCE 16) 2G Diesel"/>
      <sheetName val="(FORCE 17) SNG-biogas"/>
    </sheetNames>
    <sheetDataSet>
      <sheetData sheetId="0"/>
      <sheetData sheetId="1"/>
      <sheetData sheetId="2"/>
      <sheetData sheetId="3">
        <row r="5">
          <cell r="B5">
            <v>1</v>
          </cell>
        </row>
        <row r="8">
          <cell r="B8">
            <v>5</v>
          </cell>
        </row>
      </sheetData>
      <sheetData sheetId="4"/>
      <sheetData sheetId="5"/>
      <sheetData sheetId="6">
        <row r="7">
          <cell r="X7">
            <v>1</v>
          </cell>
        </row>
      </sheetData>
      <sheetData sheetId="7"/>
      <sheetData sheetId="8"/>
      <sheetData sheetId="9"/>
      <sheetData sheetId="10"/>
      <sheetData sheetId="11"/>
      <sheetData sheetId="12"/>
      <sheetData sheetId="13">
        <row r="35">
          <cell r="C35">
            <v>0.05</v>
          </cell>
        </row>
        <row r="38">
          <cell r="C38">
            <v>5.3</v>
          </cell>
        </row>
        <row r="40">
          <cell r="C40">
            <v>2015</v>
          </cell>
        </row>
      </sheetData>
      <sheetData sheetId="14"/>
      <sheetData sheetId="15"/>
      <sheetData sheetId="16"/>
      <sheetData sheetId="17"/>
      <sheetData sheetId="18"/>
      <sheetData sheetId="19"/>
      <sheetData sheetId="20"/>
      <sheetData sheetId="21"/>
      <sheetData sheetId="22"/>
      <sheetData sheetId="23">
        <row r="201">
          <cell r="T201">
            <v>1</v>
          </cell>
        </row>
      </sheetData>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sheetData sheetId="1"/>
      <sheetData sheetId="2"/>
      <sheetData sheetId="3"/>
      <sheetData sheetId="4"/>
      <sheetData sheetId="5"/>
      <sheetData sheetId="6"/>
      <sheetData sheetId="7">
        <row r="32">
          <cell r="C32">
            <v>0.05</v>
          </cell>
        </row>
        <row r="34">
          <cell r="C34">
            <v>7.45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opi af alternativ_drivmiddelmo"/>
      <sheetName val="Sheet1"/>
    </sheetNames>
    <sheetDataSet>
      <sheetData sheetId="0" refreshError="1"/>
      <sheetData sheetId="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Comm"/>
      <sheetName val="ELC_Processes_CEN"/>
      <sheetName val="ELC_Processes_DEC"/>
      <sheetName val="IND_ELC"/>
      <sheetName val="RES_ELC"/>
      <sheetName val="ELC_CEN"/>
      <sheetName val="ELC_DEC"/>
      <sheetName val="ELC_CEN-Peak"/>
      <sheetName val="ELC_DEC-Peak"/>
      <sheetName val="Naming convention"/>
      <sheetName val="Deleted Technologies"/>
      <sheetName val="FuelPriceRAMS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Comm"/>
      <sheetName val="ELC_Processes_CEN"/>
      <sheetName val="ELC_Processes_DEC"/>
      <sheetName val="IND_ELC"/>
      <sheetName val="RES_ELC"/>
      <sheetName val="ELC_CEN"/>
      <sheetName val="ELC_DEC"/>
      <sheetName val="ELC_CEN-Peak"/>
      <sheetName val="ELC_DEC-Peak"/>
      <sheetName val="Naming convention"/>
      <sheetName val="Deleted Technologies"/>
      <sheetName val="FuelPriceRAMSES"/>
      <sheetName val="HOU_EL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 val="O&amp;M waste "/>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C"/>
      <sheetName val="ELC_ProcC"/>
      <sheetName val="Fuel"/>
      <sheetName val="O&amp;M waste and WIN "/>
    </sheetNames>
    <sheetDataSet>
      <sheetData sheetId="0"/>
      <sheetData sheetId="1"/>
      <sheetData sheetId="2"/>
      <sheetData sheetId="3"/>
      <sheetData sheetId="4"/>
      <sheetData sheetId="5">
        <row r="13">
          <cell r="K13">
            <v>0.42080205772444135</v>
          </cell>
          <cell r="L13">
            <v>9.3097800401856112</v>
          </cell>
        </row>
        <row r="14">
          <cell r="K14">
            <v>0.1678086545881684</v>
          </cell>
          <cell r="L14">
            <v>4.928707080098266</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ELC_TechD"/>
      <sheetName val="ELC_ProcD"/>
      <sheetName val="Fuel"/>
      <sheetName val="O&amp;M waste and WIN "/>
    </sheetNames>
    <sheetDataSet>
      <sheetData sheetId="0"/>
      <sheetData sheetId="1"/>
      <sheetData sheetId="2"/>
      <sheetData sheetId="3"/>
      <sheetData sheetId="4">
        <row r="5">
          <cell r="E5">
            <v>0.29799999999999999</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
      <sheetName val="Proc"/>
      <sheetName val="ProcA"/>
      <sheetName val="ProcB"/>
      <sheetName val="Tech"/>
      <sheetName val="TechA"/>
      <sheetName val="TechB"/>
      <sheetName val="Fuel Tech"/>
      <sheetName val="Emis"/>
      <sheetName val="Fuel"/>
      <sheetName val="O&amp;M waste "/>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
          <cell r="C4">
            <v>1.49</v>
          </cell>
          <cell r="D4">
            <v>49.459722222222226</v>
          </cell>
        </row>
        <row r="5">
          <cell r="D5">
            <v>13.658333333333333</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
      <sheetName val="Proc"/>
      <sheetName val="ProcA"/>
      <sheetName val="ProcB"/>
      <sheetName val="Tech"/>
      <sheetName val="TechA"/>
      <sheetName val="TechB"/>
      <sheetName val="Fuel Tech"/>
      <sheetName val="Emis"/>
      <sheetName val="Fuel"/>
      <sheetName val="O&amp;M waste "/>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
          <cell r="C4">
            <v>1.49</v>
          </cell>
          <cell r="D4">
            <v>49.459722222222226</v>
          </cell>
        </row>
        <row r="5">
          <cell r="D5">
            <v>13.658333333333333</v>
          </cell>
        </row>
      </sheetData>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TimeSlices"/>
      <sheetName val="ELC_AF-WinOn"/>
      <sheetName val="ELC_AF-WinNear"/>
      <sheetName val="ELC_AF-WinOff"/>
      <sheetName val="ELC_AF-Wav"/>
      <sheetName val="ELC_AF-PV"/>
      <sheetName val="ELC_AF-SOL"/>
      <sheetName val="RES_AF_BSOL_N"/>
      <sheetName val="SUP_Prices-NO"/>
      <sheetName val="SUP_Prices_TS-SE"/>
      <sheetName val="SUP_Prices_TS-DE"/>
      <sheetName val="SUP_Prices_TS-NL"/>
      <sheetName val="SUP_Prices_TS-UK"/>
      <sheetName val="RES_HSav_AF"/>
      <sheetName val="RES_HP_COP"/>
      <sheetName val="RES_DEM_FR"/>
      <sheetName val="ELC_HP_COP"/>
      <sheetName val="IND_HP_COP"/>
      <sheetName val="IND_AF"/>
      <sheetName val="IND_COM_FR"/>
      <sheetName val="LDC_HEAT"/>
      <sheetName val="EXH_COP"/>
      <sheetName val="TimeSeries"/>
      <sheetName val="Data_TS_Price"/>
      <sheetName val="AFA fak"/>
      <sheetName val="AF DATA"/>
      <sheetName val="FILL"/>
      <sheetName val="COPs"/>
      <sheetName val="COP DH"/>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ow r="6">
          <cell r="A6" t="str">
            <v>RWDA</v>
          </cell>
          <cell r="C6">
            <v>4.10958904109589E-3</v>
          </cell>
          <cell r="D6">
            <v>7.0368568450620284E-3</v>
          </cell>
          <cell r="E6">
            <v>0.77877242031144867</v>
          </cell>
          <cell r="F6">
            <v>0.8304802540259324</v>
          </cell>
          <cell r="G6">
            <v>0.9210015744607245</v>
          </cell>
          <cell r="H6">
            <v>0.93223097617415007</v>
          </cell>
          <cell r="I6">
            <v>3.8858746200769452E-3</v>
          </cell>
          <cell r="J6">
            <v>4.2752354145144771E-3</v>
          </cell>
          <cell r="K6">
            <v>4.4452098332249945E-3</v>
          </cell>
          <cell r="L6">
            <v>4.5209365948989432E-3</v>
          </cell>
          <cell r="M6">
            <v>4.7877136386355003E-3</v>
          </cell>
          <cell r="N6">
            <v>3.7373963633384353E-3</v>
          </cell>
          <cell r="O6">
            <v>3.791740624560047E-3</v>
          </cell>
          <cell r="P6">
            <v>3.791740624560047E-3</v>
          </cell>
          <cell r="Q6">
            <v>3.0027315305803204E-3</v>
          </cell>
          <cell r="R6">
            <v>3.2830372718914624E-3</v>
          </cell>
          <cell r="S6">
            <v>4.598662055639002E-3</v>
          </cell>
          <cell r="T6">
            <v>3.8024589557303836E-3</v>
          </cell>
        </row>
        <row r="7">
          <cell r="A7" t="str">
            <v>RWDC</v>
          </cell>
        </row>
        <row r="8">
          <cell r="A8" t="str">
            <v>RWDD</v>
          </cell>
        </row>
        <row r="9">
          <cell r="A9" t="str">
            <v>RWDB</v>
          </cell>
        </row>
        <row r="10">
          <cell r="A10" t="str">
            <v>RNWA</v>
          </cell>
        </row>
        <row r="11">
          <cell r="A11" t="str">
            <v>RNWC</v>
          </cell>
        </row>
        <row r="12">
          <cell r="A12" t="str">
            <v>RNWD</v>
          </cell>
        </row>
        <row r="13">
          <cell r="A13" t="str">
            <v>RNWB</v>
          </cell>
        </row>
        <row r="14">
          <cell r="A14" t="str">
            <v>SWDA</v>
          </cell>
        </row>
        <row r="15">
          <cell r="A15" t="str">
            <v>SWDC</v>
          </cell>
        </row>
        <row r="16">
          <cell r="A16" t="str">
            <v>SWDD</v>
          </cell>
        </row>
        <row r="17">
          <cell r="A17" t="str">
            <v>SWDB</v>
          </cell>
        </row>
        <row r="18">
          <cell r="A18" t="str">
            <v>SNWA</v>
          </cell>
        </row>
        <row r="19">
          <cell r="A19" t="str">
            <v>SNWC</v>
          </cell>
        </row>
        <row r="20">
          <cell r="A20" t="str">
            <v>SNWD</v>
          </cell>
        </row>
        <row r="21">
          <cell r="A21" t="str">
            <v>SNWB</v>
          </cell>
        </row>
        <row r="22">
          <cell r="A22" t="str">
            <v>FWDA</v>
          </cell>
        </row>
        <row r="23">
          <cell r="A23" t="str">
            <v>FWDC</v>
          </cell>
        </row>
        <row r="24">
          <cell r="A24" t="str">
            <v>FWDD</v>
          </cell>
        </row>
        <row r="25">
          <cell r="A25" t="str">
            <v>FWDB</v>
          </cell>
        </row>
        <row r="26">
          <cell r="A26" t="str">
            <v>FNWA</v>
          </cell>
        </row>
        <row r="27">
          <cell r="A27" t="str">
            <v>FNWC</v>
          </cell>
        </row>
        <row r="28">
          <cell r="A28" t="str">
            <v>FNWD</v>
          </cell>
        </row>
        <row r="29">
          <cell r="A29" t="str">
            <v>FNWB</v>
          </cell>
        </row>
        <row r="30">
          <cell r="A30" t="str">
            <v>WWDA</v>
          </cell>
        </row>
        <row r="31">
          <cell r="A31" t="str">
            <v>WWDC</v>
          </cell>
        </row>
        <row r="32">
          <cell r="A32" t="str">
            <v>WWDD</v>
          </cell>
        </row>
        <row r="33">
          <cell r="A33" t="str">
            <v>WWDB</v>
          </cell>
        </row>
        <row r="34">
          <cell r="A34" t="str">
            <v>WNWA</v>
          </cell>
        </row>
        <row r="35">
          <cell r="A35" t="str">
            <v>WNWC</v>
          </cell>
        </row>
        <row r="36">
          <cell r="A36" t="str">
            <v>WNWD</v>
          </cell>
        </row>
        <row r="37">
          <cell r="A37" t="str">
            <v>WNWB</v>
          </cell>
        </row>
      </sheetData>
      <sheetData sheetId="25" refreshError="1"/>
      <sheetData sheetId="26" refreshError="1"/>
      <sheetData sheetId="27" refreshError="1"/>
      <sheetData sheetId="28" refreshError="1"/>
      <sheetData sheetId="29">
        <row r="4">
          <cell r="D4">
            <v>1</v>
          </cell>
        </row>
      </sheetData>
      <sheetData sheetId="30"/>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Hareas" connectionId="1" xr16:uid="{00000000-0016-0000-3100-000000000000}"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8.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9.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3.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4.xml.rels><?xml version="1.0" encoding="UTF-8" standalone="yes"?>
<Relationships xmlns="http://schemas.openxmlformats.org/package/2006/relationships"><Relationship Id="rId3" Type="http://schemas.openxmlformats.org/officeDocument/2006/relationships/hyperlink" Target="http://www.planenergi.dk/varmepumper/.%20Drejebog%20til%20store%20varmepumpeprojekter%20i%20fjernvarmesystemet,%202014.%20%5bOnline%5d" TargetMode="External"/><Relationship Id="rId2" Type="http://schemas.openxmlformats.org/officeDocument/2006/relationships/hyperlink" Target="http://www.planenergi.dk/varmepumper/.%20Drejebog%20til%20store%20varmepumpeprojekter%20i%20fjernvarmesystemet,%202014.%20%5bOnline%5d" TargetMode="External"/><Relationship Id="rId1" Type="http://schemas.openxmlformats.org/officeDocument/2006/relationships/hyperlink" Target="http://www.planenergi.dk/varmepumper/.%20Drejebog%20til%20store%20varmepumpeprojekter%20i%20fjernvarmesystemet,%202014.%20%5bOnline%5d" TargetMode="External"/><Relationship Id="rId6" Type="http://schemas.openxmlformats.org/officeDocument/2006/relationships/comments" Target="../comments15.xml"/><Relationship Id="rId5" Type="http://schemas.openxmlformats.org/officeDocument/2006/relationships/vmlDrawing" Target="../drawings/vmlDrawing15.vml"/><Relationship Id="rId4" Type="http://schemas.openxmlformats.org/officeDocument/2006/relationships/printerSettings" Target="../printerSettings/printerSettings8.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www.planenergi.dk/varmepumper/" TargetMode="External"/><Relationship Id="rId1" Type="http://schemas.openxmlformats.org/officeDocument/2006/relationships/hyperlink" Target="http://www.planenergi.dk/varmepumper/" TargetMode="External"/></Relationships>
</file>

<file path=xl/worksheets/_rels/sheet27.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s://www.sciencedirect.com/topics/engineering/partial-load" TargetMode="Externa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35.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8.xml.rels><?xml version="1.0" encoding="UTF-8" standalone="yes"?>
<Relationships xmlns="http://schemas.openxmlformats.org/package/2006/relationships"><Relationship Id="rId2" Type="http://schemas.openxmlformats.org/officeDocument/2006/relationships/comments" Target="../comments17.xml"/><Relationship Id="rId1" Type="http://schemas.openxmlformats.org/officeDocument/2006/relationships/vmlDrawing" Target="../drawings/vmlDrawing17.vml"/></Relationships>
</file>

<file path=xl/worksheets/_rels/sheet39.xml.rels><?xml version="1.0" encoding="UTF-8" standalone="yes"?>
<Relationships xmlns="http://schemas.openxmlformats.org/package/2006/relationships"><Relationship Id="rId2" Type="http://schemas.openxmlformats.org/officeDocument/2006/relationships/comments" Target="../comments18.xml"/><Relationship Id="rId1" Type="http://schemas.openxmlformats.org/officeDocument/2006/relationships/vmlDrawing" Target="../drawings/vmlDrawing18.vml"/></Relationships>
</file>

<file path=xl/worksheets/_rels/sheet40.xml.rels><?xml version="1.0" encoding="UTF-8" standalone="yes"?>
<Relationships xmlns="http://schemas.openxmlformats.org/package/2006/relationships"><Relationship Id="rId2" Type="http://schemas.openxmlformats.org/officeDocument/2006/relationships/comments" Target="../comments19.xml"/><Relationship Id="rId1" Type="http://schemas.openxmlformats.org/officeDocument/2006/relationships/vmlDrawing" Target="../drawings/vmlDrawing19.vml"/></Relationships>
</file>

<file path=xl/worksheets/_rels/sheet41.xml.rels><?xml version="1.0" encoding="UTF-8" standalone="yes"?>
<Relationships xmlns="http://schemas.openxmlformats.org/package/2006/relationships"><Relationship Id="rId2" Type="http://schemas.openxmlformats.org/officeDocument/2006/relationships/comments" Target="../comments20.xml"/><Relationship Id="rId1" Type="http://schemas.openxmlformats.org/officeDocument/2006/relationships/vmlDrawing" Target="../drawings/vmlDrawing20.vml"/></Relationships>
</file>

<file path=xl/worksheets/_rels/sheet47.xml.rels><?xml version="1.0" encoding="UTF-8" standalone="yes"?>
<Relationships xmlns="http://schemas.openxmlformats.org/package/2006/relationships"><Relationship Id="rId2" Type="http://schemas.openxmlformats.org/officeDocument/2006/relationships/comments" Target="../comments21.xml"/><Relationship Id="rId1" Type="http://schemas.openxmlformats.org/officeDocument/2006/relationships/vmlDrawing" Target="../drawings/vmlDrawing21.v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0.xml.rels><?xml version="1.0" encoding="UTF-8" standalone="yes"?>
<Relationships xmlns="http://schemas.openxmlformats.org/package/2006/relationships"><Relationship Id="rId2" Type="http://schemas.openxmlformats.org/officeDocument/2006/relationships/comments" Target="../comments22.xml"/><Relationship Id="rId1" Type="http://schemas.openxmlformats.org/officeDocument/2006/relationships/vmlDrawing" Target="../drawings/vmlDrawing22.vml"/></Relationships>
</file>

<file path=xl/worksheets/_rels/sheet61.xml.rels><?xml version="1.0" encoding="UTF-8" standalone="yes"?>
<Relationships xmlns="http://schemas.openxmlformats.org/package/2006/relationships"><Relationship Id="rId2" Type="http://schemas.openxmlformats.org/officeDocument/2006/relationships/comments" Target="../comments23.xml"/><Relationship Id="rId1" Type="http://schemas.openxmlformats.org/officeDocument/2006/relationships/vmlDrawing" Target="../drawings/vmlDrawing23.vml"/></Relationships>
</file>

<file path=xl/worksheets/_rels/sheet62.xml.rels><?xml version="1.0" encoding="UTF-8" standalone="yes"?>
<Relationships xmlns="http://schemas.openxmlformats.org/package/2006/relationships"><Relationship Id="rId3" Type="http://schemas.openxmlformats.org/officeDocument/2006/relationships/queryTable" Target="../queryTables/queryTable1.xml"/><Relationship Id="rId2" Type="http://schemas.openxmlformats.org/officeDocument/2006/relationships/hyperlink" Target="https://www.seatemperature.org/europe/denmark/" TargetMode="External"/><Relationship Id="rId1" Type="http://schemas.openxmlformats.org/officeDocument/2006/relationships/hyperlink" Target="https://www.seatemperature.org/europe/denmark/"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9"/>
  </sheetPr>
  <dimension ref="A3:E31"/>
  <sheetViews>
    <sheetView zoomScaleNormal="100" workbookViewId="0">
      <selection activeCell="B11" sqref="B11"/>
    </sheetView>
  </sheetViews>
  <sheetFormatPr baseColWidth="10" defaultColWidth="8.83203125" defaultRowHeight="15"/>
  <cols>
    <col min="1" max="1" width="11.5" customWidth="1"/>
    <col min="2" max="2" width="24.1640625" bestFit="1" customWidth="1"/>
    <col min="3" max="3" width="13.83203125" customWidth="1"/>
    <col min="4" max="4" width="19.83203125" customWidth="1"/>
    <col min="5" max="5" width="235" bestFit="1" customWidth="1"/>
  </cols>
  <sheetData>
    <row r="3" spans="1:5">
      <c r="A3" s="8" t="s">
        <v>505</v>
      </c>
      <c r="B3" s="8" t="s">
        <v>506</v>
      </c>
      <c r="C3" s="8" t="s">
        <v>507</v>
      </c>
      <c r="D3" s="8" t="s">
        <v>508</v>
      </c>
      <c r="E3" s="8" t="s">
        <v>509</v>
      </c>
    </row>
    <row r="4" spans="1:5" s="224" customFormat="1">
      <c r="A4" s="268">
        <v>43903</v>
      </c>
      <c r="B4" s="282" t="s">
        <v>708</v>
      </c>
      <c r="C4" s="8"/>
      <c r="D4" s="8"/>
      <c r="E4" s="282" t="s">
        <v>709</v>
      </c>
    </row>
    <row r="5" spans="1:5" s="267" customFormat="1">
      <c r="A5" s="268">
        <v>43144</v>
      </c>
      <c r="B5" s="267" t="s">
        <v>510</v>
      </c>
      <c r="C5" s="267" t="s">
        <v>687</v>
      </c>
      <c r="D5" s="267" t="e">
        <f>ADDRESS(ROW(#REF!),COLUMN(#REF!),4,1)</f>
        <v>#REF!</v>
      </c>
      <c r="E5" s="267" t="s">
        <v>688</v>
      </c>
    </row>
    <row r="6" spans="1:5" s="267" customFormat="1">
      <c r="A6" s="268">
        <v>42958</v>
      </c>
      <c r="B6" s="267" t="s">
        <v>684</v>
      </c>
      <c r="C6" s="267" t="s">
        <v>131</v>
      </c>
      <c r="D6" s="267" t="str">
        <f>ADDRESS(ROW('Electric heating'!L39),COLUMN('Electric heating'!L39),4,1)&amp;":"&amp;ADDRESS(ROW('Electric heating'!Q42),COLUMN('Electric heating'!Q42),4,1)</f>
        <v>L39:Q42</v>
      </c>
      <c r="E6" s="267" t="s">
        <v>685</v>
      </c>
    </row>
    <row r="7" spans="1:5" s="224" customFormat="1">
      <c r="A7" s="268">
        <v>42593</v>
      </c>
      <c r="B7" s="282" t="s">
        <v>606</v>
      </c>
      <c r="C7" s="282" t="s">
        <v>576</v>
      </c>
      <c r="D7" s="282"/>
      <c r="E7" s="282" t="s">
        <v>644</v>
      </c>
    </row>
    <row r="8" spans="1:5" s="224" customFormat="1">
      <c r="A8" s="268">
        <v>42578</v>
      </c>
      <c r="B8" s="282" t="s">
        <v>606</v>
      </c>
      <c r="C8" s="282" t="s">
        <v>533</v>
      </c>
      <c r="D8" s="282"/>
      <c r="E8" s="282" t="s">
        <v>636</v>
      </c>
    </row>
    <row r="9" spans="1:5" s="224" customFormat="1">
      <c r="A9" s="268">
        <v>42572</v>
      </c>
      <c r="B9" s="282" t="s">
        <v>606</v>
      </c>
      <c r="C9" s="282" t="s">
        <v>533</v>
      </c>
      <c r="D9" s="282"/>
      <c r="E9" s="282" t="s">
        <v>629</v>
      </c>
    </row>
    <row r="10" spans="1:5" s="224" customFormat="1">
      <c r="A10" s="268">
        <v>42572</v>
      </c>
      <c r="B10" s="282" t="s">
        <v>606</v>
      </c>
      <c r="C10" s="282" t="s">
        <v>624</v>
      </c>
      <c r="D10" s="282"/>
      <c r="E10" s="282" t="s">
        <v>625</v>
      </c>
    </row>
    <row r="11" spans="1:5" s="224" customFormat="1">
      <c r="A11" s="268">
        <v>42536</v>
      </c>
      <c r="B11" s="282" t="s">
        <v>606</v>
      </c>
      <c r="C11" s="282" t="s">
        <v>551</v>
      </c>
      <c r="D11" s="282"/>
      <c r="E11" s="282" t="s">
        <v>623</v>
      </c>
    </row>
    <row r="12" spans="1:5" s="224" customFormat="1">
      <c r="A12" s="268">
        <v>42502</v>
      </c>
      <c r="B12" s="282" t="s">
        <v>606</v>
      </c>
      <c r="C12" s="282" t="s">
        <v>533</v>
      </c>
      <c r="D12" s="282"/>
      <c r="E12" s="282" t="s">
        <v>622</v>
      </c>
    </row>
    <row r="13" spans="1:5" s="224" customFormat="1">
      <c r="A13" s="268">
        <v>42501</v>
      </c>
      <c r="B13" s="282" t="s">
        <v>606</v>
      </c>
      <c r="C13" s="282" t="s">
        <v>533</v>
      </c>
      <c r="D13" s="282"/>
      <c r="E13" s="282" t="s">
        <v>621</v>
      </c>
    </row>
    <row r="14" spans="1:5" s="224" customFormat="1">
      <c r="A14" s="268">
        <v>42488</v>
      </c>
      <c r="B14" s="282" t="s">
        <v>606</v>
      </c>
      <c r="C14" s="282" t="s">
        <v>551</v>
      </c>
      <c r="D14" s="282" t="s">
        <v>618</v>
      </c>
      <c r="E14" s="282" t="s">
        <v>619</v>
      </c>
    </row>
    <row r="15" spans="1:5" s="224" customFormat="1">
      <c r="A15" s="268">
        <v>42487</v>
      </c>
      <c r="B15" s="282" t="s">
        <v>606</v>
      </c>
      <c r="C15" s="282" t="s">
        <v>533</v>
      </c>
      <c r="D15" s="282"/>
      <c r="E15" s="282" t="s">
        <v>615</v>
      </c>
    </row>
    <row r="16" spans="1:5" s="224" customFormat="1">
      <c r="A16" s="268">
        <v>42487</v>
      </c>
      <c r="B16" s="282" t="s">
        <v>606</v>
      </c>
      <c r="C16" s="282" t="s">
        <v>533</v>
      </c>
      <c r="D16" s="282" t="s">
        <v>614</v>
      </c>
      <c r="E16" s="282" t="s">
        <v>613</v>
      </c>
    </row>
    <row r="17" spans="1:5" s="224" customFormat="1">
      <c r="A17" s="268">
        <v>42487</v>
      </c>
      <c r="B17" s="282" t="s">
        <v>606</v>
      </c>
      <c r="C17" s="282" t="s">
        <v>533</v>
      </c>
      <c r="D17" s="282" t="s">
        <v>611</v>
      </c>
      <c r="E17" s="282" t="s">
        <v>612</v>
      </c>
    </row>
    <row r="18" spans="1:5" s="224" customFormat="1">
      <c r="A18" s="268">
        <v>42486</v>
      </c>
      <c r="B18" s="282" t="s">
        <v>606</v>
      </c>
      <c r="C18" s="282" t="s">
        <v>533</v>
      </c>
      <c r="D18" s="282" t="s">
        <v>610</v>
      </c>
      <c r="E18" s="282" t="s">
        <v>609</v>
      </c>
    </row>
    <row r="19" spans="1:5" s="282" customFormat="1">
      <c r="A19" s="268">
        <v>42486</v>
      </c>
      <c r="B19" s="282" t="s">
        <v>606</v>
      </c>
      <c r="C19" s="282" t="s">
        <v>533</v>
      </c>
      <c r="D19" s="282" t="s">
        <v>607</v>
      </c>
      <c r="E19" s="282" t="s">
        <v>608</v>
      </c>
    </row>
    <row r="20" spans="1:5" s="224" customFormat="1">
      <c r="A20" s="268">
        <v>42479</v>
      </c>
      <c r="B20" s="282" t="s">
        <v>536</v>
      </c>
      <c r="C20" s="282" t="s">
        <v>539</v>
      </c>
      <c r="D20" s="282"/>
      <c r="E20" s="282" t="s">
        <v>540</v>
      </c>
    </row>
    <row r="21" spans="1:5" s="224" customFormat="1">
      <c r="A21" s="268">
        <v>42479</v>
      </c>
      <c r="B21" s="282" t="s">
        <v>536</v>
      </c>
      <c r="C21" s="282" t="s">
        <v>537</v>
      </c>
      <c r="D21" s="282"/>
      <c r="E21" s="282" t="s">
        <v>538</v>
      </c>
    </row>
    <row r="22" spans="1:5" s="224" customFormat="1">
      <c r="A22" s="268">
        <v>42467</v>
      </c>
      <c r="B22" s="282" t="s">
        <v>532</v>
      </c>
      <c r="C22" s="282" t="s">
        <v>533</v>
      </c>
      <c r="D22" s="282" t="s">
        <v>535</v>
      </c>
      <c r="E22" s="282" t="s">
        <v>534</v>
      </c>
    </row>
    <row r="23" spans="1:5" s="267" customFormat="1">
      <c r="A23" s="268">
        <v>42261</v>
      </c>
      <c r="B23" s="267" t="s">
        <v>528</v>
      </c>
      <c r="C23" s="267" t="s">
        <v>529</v>
      </c>
      <c r="D23" s="267" t="e">
        <f>ADDRESS(ROW(#REF!),COLUMN(#REF!),4,1)</f>
        <v>#REF!</v>
      </c>
      <c r="E23" s="267" t="s">
        <v>530</v>
      </c>
    </row>
    <row r="24" spans="1:5" s="267" customFormat="1">
      <c r="A24" s="268">
        <v>42129</v>
      </c>
      <c r="B24" s="267" t="s">
        <v>522</v>
      </c>
      <c r="C24" s="267" t="s">
        <v>511</v>
      </c>
      <c r="D24" s="267" t="e">
        <f>ADDRESS(ROW(#REF!),COLUMN(#REF!),4,1)</f>
        <v>#REF!</v>
      </c>
      <c r="E24" s="267" t="s">
        <v>526</v>
      </c>
    </row>
    <row r="25" spans="1:5" s="267" customFormat="1">
      <c r="A25" s="268">
        <v>42129</v>
      </c>
      <c r="B25" s="267" t="s">
        <v>522</v>
      </c>
      <c r="C25" s="267" t="s">
        <v>523</v>
      </c>
      <c r="D25" s="267" t="e">
        <f>ADDRESS(ROW(#REF!),COLUMN(#REF!),4,1)</f>
        <v>#REF!</v>
      </c>
      <c r="E25" s="267" t="s">
        <v>525</v>
      </c>
    </row>
    <row r="26" spans="1:5" s="267" customFormat="1">
      <c r="A26" s="268">
        <v>42129</v>
      </c>
      <c r="B26" s="267" t="s">
        <v>522</v>
      </c>
      <c r="C26" s="267" t="s">
        <v>523</v>
      </c>
      <c r="D26" s="267" t="e">
        <f>ADDRESS(ROW(#REF!),COLUMN(#REF!),4,1)</f>
        <v>#REF!</v>
      </c>
      <c r="E26" s="267" t="s">
        <v>524</v>
      </c>
    </row>
    <row r="27" spans="1:5" s="267" customFormat="1">
      <c r="A27" s="268">
        <v>42074</v>
      </c>
      <c r="B27" s="267" t="s">
        <v>510</v>
      </c>
      <c r="C27" s="267" t="s">
        <v>511</v>
      </c>
      <c r="D27" s="267" t="e">
        <f>ADDRESS(ROW(#REF!),COLUMN(#REF!),4,1)&amp;","&amp;ADDRESS(ROW(#REF!),COLUMN(#REF!),4,1)&amp;","&amp;ADDRESS(ROW(#REF!),COLUMN(#REF!),4,1)&amp;","&amp;ADDRESS(ROW(#REF!),COLUMN(#REF!),4,1)</f>
        <v>#REF!</v>
      </c>
      <c r="E27" s="267" t="s">
        <v>512</v>
      </c>
    </row>
    <row r="28" spans="1:5">
      <c r="A28" s="269">
        <v>41841</v>
      </c>
      <c r="B28" s="224" t="s">
        <v>477</v>
      </c>
      <c r="C28" s="224" t="s">
        <v>479</v>
      </c>
      <c r="D28" s="224" t="s">
        <v>513</v>
      </c>
      <c r="E28" s="224" t="s">
        <v>514</v>
      </c>
    </row>
    <row r="29" spans="1:5">
      <c r="A29" s="269">
        <v>41841</v>
      </c>
      <c r="B29" s="224" t="s">
        <v>477</v>
      </c>
      <c r="C29" s="224" t="s">
        <v>478</v>
      </c>
      <c r="D29" s="224" t="s">
        <v>513</v>
      </c>
      <c r="E29" s="224" t="s">
        <v>514</v>
      </c>
    </row>
    <row r="30" spans="1:5">
      <c r="A30" s="269">
        <v>41802</v>
      </c>
      <c r="B30" s="224" t="s">
        <v>474</v>
      </c>
      <c r="C30" s="224" t="s">
        <v>476</v>
      </c>
      <c r="D30" s="224" t="s">
        <v>515</v>
      </c>
      <c r="E30" s="224" t="s">
        <v>517</v>
      </c>
    </row>
    <row r="31" spans="1:5" ht="16">
      <c r="A31" s="269">
        <v>41802</v>
      </c>
      <c r="B31" s="224" t="s">
        <v>474</v>
      </c>
      <c r="C31" s="224" t="s">
        <v>475</v>
      </c>
      <c r="D31" s="74" t="s">
        <v>515</v>
      </c>
      <c r="E31" s="224" t="s">
        <v>516</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Ark1">
    <tabColor theme="9"/>
  </sheetPr>
  <dimension ref="B1:D47"/>
  <sheetViews>
    <sheetView topLeftCell="A8" workbookViewId="0">
      <selection activeCell="D24" sqref="D24"/>
    </sheetView>
  </sheetViews>
  <sheetFormatPr baseColWidth="10" defaultColWidth="9.1640625" defaultRowHeight="14"/>
  <cols>
    <col min="1" max="1" width="9.1640625" style="289"/>
    <col min="2" max="2" width="24" style="289" bestFit="1" customWidth="1"/>
    <col min="3" max="3" width="138.5" style="289" customWidth="1"/>
    <col min="4" max="16384" width="9.1640625" style="289"/>
  </cols>
  <sheetData>
    <row r="1" spans="2:4" ht="19">
      <c r="B1" s="288" t="s">
        <v>541</v>
      </c>
    </row>
    <row r="3" spans="2:4" ht="15">
      <c r="B3" s="290" t="s">
        <v>542</v>
      </c>
      <c r="C3" s="289" t="s">
        <v>549</v>
      </c>
    </row>
    <row r="4" spans="2:4" ht="15">
      <c r="B4" s="290" t="s">
        <v>543</v>
      </c>
      <c r="C4" s="289" t="s">
        <v>557</v>
      </c>
    </row>
    <row r="5" spans="2:4" ht="15">
      <c r="B5" s="290"/>
    </row>
    <row r="6" spans="2:4" ht="15">
      <c r="B6" s="290" t="s">
        <v>544</v>
      </c>
      <c r="C6" s="289" t="s">
        <v>548</v>
      </c>
    </row>
    <row r="7" spans="2:4" ht="15">
      <c r="B7" s="290"/>
    </row>
    <row r="8" spans="2:4" ht="15">
      <c r="B8" s="291" t="s">
        <v>545</v>
      </c>
    </row>
    <row r="9" spans="2:4" ht="15">
      <c r="B9" s="290"/>
      <c r="D9" s="289" t="s">
        <v>697</v>
      </c>
    </row>
    <row r="10" spans="2:4" ht="15">
      <c r="B10" s="295" t="s">
        <v>546</v>
      </c>
      <c r="C10" s="292" t="s">
        <v>547</v>
      </c>
    </row>
    <row r="11" spans="2:4" ht="15">
      <c r="B11" s="294" t="s">
        <v>529</v>
      </c>
      <c r="C11" s="292" t="s">
        <v>527</v>
      </c>
    </row>
    <row r="12" spans="2:4" ht="15">
      <c r="B12" s="294" t="s">
        <v>698</v>
      </c>
      <c r="C12" s="292" t="s">
        <v>703</v>
      </c>
      <c r="D12" s="289" t="s">
        <v>2127</v>
      </c>
    </row>
    <row r="13" spans="2:4" ht="15">
      <c r="B13" s="294" t="s">
        <v>699</v>
      </c>
      <c r="C13" s="292" t="s">
        <v>704</v>
      </c>
      <c r="D13" s="289" t="s">
        <v>2127</v>
      </c>
    </row>
    <row r="14" spans="2:4" ht="15">
      <c r="B14" s="294" t="s">
        <v>700</v>
      </c>
      <c r="C14" s="292" t="s">
        <v>705</v>
      </c>
      <c r="D14" s="289" t="s">
        <v>2127</v>
      </c>
    </row>
    <row r="15" spans="2:4" ht="15">
      <c r="B15" s="294" t="s">
        <v>701</v>
      </c>
      <c r="C15" s="292" t="s">
        <v>706</v>
      </c>
      <c r="D15" s="289" t="s">
        <v>2127</v>
      </c>
    </row>
    <row r="16" spans="2:4" ht="15">
      <c r="B16" s="294" t="s">
        <v>702</v>
      </c>
      <c r="C16" s="292" t="s">
        <v>707</v>
      </c>
      <c r="D16" s="289" t="s">
        <v>2127</v>
      </c>
    </row>
    <row r="17" spans="2:4" ht="15">
      <c r="B17" s="294" t="s">
        <v>511</v>
      </c>
      <c r="C17" s="292" t="s">
        <v>558</v>
      </c>
      <c r="D17" s="289" t="s">
        <v>2127</v>
      </c>
    </row>
    <row r="18" spans="2:4" ht="15">
      <c r="B18" s="294" t="s">
        <v>550</v>
      </c>
      <c r="C18" s="292" t="s">
        <v>559</v>
      </c>
      <c r="D18" s="289" t="s">
        <v>2127</v>
      </c>
    </row>
    <row r="19" spans="2:4" ht="15">
      <c r="B19" s="294" t="s">
        <v>552</v>
      </c>
      <c r="C19" s="292" t="s">
        <v>560</v>
      </c>
      <c r="D19" s="289" t="s">
        <v>2127</v>
      </c>
    </row>
    <row r="20" spans="2:4" ht="15">
      <c r="B20" s="294" t="s">
        <v>553</v>
      </c>
      <c r="C20" s="292" t="s">
        <v>561</v>
      </c>
      <c r="D20" s="289" t="s">
        <v>2127</v>
      </c>
    </row>
    <row r="21" spans="2:4" ht="15">
      <c r="B21" s="294" t="s">
        <v>554</v>
      </c>
      <c r="C21" s="292" t="s">
        <v>562</v>
      </c>
      <c r="D21" s="289" t="s">
        <v>2127</v>
      </c>
    </row>
    <row r="22" spans="2:4" ht="15">
      <c r="B22" s="294" t="s">
        <v>555</v>
      </c>
      <c r="C22" s="292" t="s">
        <v>563</v>
      </c>
      <c r="D22" s="289" t="s">
        <v>2127</v>
      </c>
    </row>
    <row r="23" spans="2:4" ht="15">
      <c r="B23" s="294" t="s">
        <v>556</v>
      </c>
      <c r="C23" s="292" t="s">
        <v>564</v>
      </c>
      <c r="D23" s="289" t="s">
        <v>2127</v>
      </c>
    </row>
    <row r="24" spans="2:4" ht="15">
      <c r="B24" s="297" t="s">
        <v>551</v>
      </c>
      <c r="C24" s="292" t="s">
        <v>616</v>
      </c>
      <c r="D24" s="289" t="s">
        <v>2127</v>
      </c>
    </row>
    <row r="25" spans="2:4" ht="15">
      <c r="B25" s="293" t="s">
        <v>565</v>
      </c>
      <c r="C25" s="292" t="s">
        <v>583</v>
      </c>
    </row>
    <row r="26" spans="2:4" ht="15">
      <c r="B26" s="293" t="s">
        <v>37</v>
      </c>
      <c r="C26" s="292" t="s">
        <v>584</v>
      </c>
    </row>
    <row r="27" spans="2:4" ht="15">
      <c r="B27" s="293" t="s">
        <v>566</v>
      </c>
      <c r="C27" s="292" t="s">
        <v>585</v>
      </c>
    </row>
    <row r="28" spans="2:4" ht="15">
      <c r="B28" s="293" t="s">
        <v>567</v>
      </c>
      <c r="C28" s="292" t="s">
        <v>586</v>
      </c>
    </row>
    <row r="29" spans="2:4" ht="15">
      <c r="B29" s="293" t="s">
        <v>568</v>
      </c>
      <c r="C29" s="292" t="s">
        <v>587</v>
      </c>
    </row>
    <row r="30" spans="2:4" ht="15">
      <c r="B30" s="293" t="s">
        <v>569</v>
      </c>
      <c r="C30" s="292" t="s">
        <v>588</v>
      </c>
    </row>
    <row r="31" spans="2:4" ht="15">
      <c r="B31" s="293" t="s">
        <v>570</v>
      </c>
      <c r="C31" s="292" t="s">
        <v>589</v>
      </c>
    </row>
    <row r="32" spans="2:4" ht="15">
      <c r="B32" s="293" t="s">
        <v>93</v>
      </c>
      <c r="C32" s="292" t="s">
        <v>590</v>
      </c>
    </row>
    <row r="33" spans="2:3" ht="15">
      <c r="B33" s="293" t="s">
        <v>99</v>
      </c>
      <c r="C33" s="292" t="s">
        <v>591</v>
      </c>
    </row>
    <row r="34" spans="2:3" ht="15">
      <c r="B34" s="293" t="s">
        <v>571</v>
      </c>
      <c r="C34" s="292" t="s">
        <v>592</v>
      </c>
    </row>
    <row r="35" spans="2:3" ht="15">
      <c r="B35" s="293" t="s">
        <v>572</v>
      </c>
      <c r="C35" s="292" t="s">
        <v>593</v>
      </c>
    </row>
    <row r="36" spans="2:3" ht="15">
      <c r="B36" s="293" t="s">
        <v>573</v>
      </c>
      <c r="C36" s="292" t="s">
        <v>594</v>
      </c>
    </row>
    <row r="37" spans="2:3" ht="15">
      <c r="B37" s="293" t="s">
        <v>574</v>
      </c>
      <c r="C37" s="292" t="s">
        <v>595</v>
      </c>
    </row>
    <row r="38" spans="2:3" ht="15">
      <c r="B38" s="293" t="s">
        <v>575</v>
      </c>
      <c r="C38" s="292" t="s">
        <v>596</v>
      </c>
    </row>
    <row r="39" spans="2:3" ht="15">
      <c r="B39" s="293" t="s">
        <v>576</v>
      </c>
      <c r="C39" s="292" t="s">
        <v>597</v>
      </c>
    </row>
    <row r="40" spans="2:3" ht="15">
      <c r="B40" s="293" t="s">
        <v>117</v>
      </c>
      <c r="C40" s="292" t="s">
        <v>598</v>
      </c>
    </row>
    <row r="41" spans="2:3" ht="15">
      <c r="B41" s="293" t="s">
        <v>577</v>
      </c>
      <c r="C41" s="292" t="s">
        <v>599</v>
      </c>
    </row>
    <row r="42" spans="2:3" ht="15">
      <c r="B42" s="293" t="s">
        <v>578</v>
      </c>
      <c r="C42" s="289" t="s">
        <v>600</v>
      </c>
    </row>
    <row r="43" spans="2:3" ht="15">
      <c r="B43" s="293" t="s">
        <v>579</v>
      </c>
      <c r="C43" s="289" t="s">
        <v>601</v>
      </c>
    </row>
    <row r="44" spans="2:3" ht="15">
      <c r="B44" s="293" t="s">
        <v>580</v>
      </c>
      <c r="C44" s="289" t="s">
        <v>602</v>
      </c>
    </row>
    <row r="45" spans="2:3" ht="15">
      <c r="B45" s="293" t="s">
        <v>581</v>
      </c>
      <c r="C45" s="289" t="s">
        <v>603</v>
      </c>
    </row>
    <row r="46" spans="2:3" ht="15">
      <c r="B46" s="293" t="s">
        <v>582</v>
      </c>
      <c r="C46" s="289" t="s">
        <v>604</v>
      </c>
    </row>
    <row r="47" spans="2:3" ht="15">
      <c r="B47" s="293" t="s">
        <v>264</v>
      </c>
      <c r="C47" s="289" t="s">
        <v>605</v>
      </c>
    </row>
  </sheetData>
  <phoneticPr fontId="115" type="noConversion"/>
  <conditionalFormatting sqref="C3">
    <cfRule type="cellIs" dxfId="7" priority="1" operator="equal">
      <formula>"No"</formula>
    </cfRule>
    <cfRule type="cellIs" dxfId="6" priority="2" operator="equal">
      <formula>"Yes"</formula>
    </cfRule>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tabColor theme="9"/>
  </sheetPr>
  <dimension ref="A1"/>
  <sheetViews>
    <sheetView workbookViewId="0">
      <selection activeCell="E32" sqref="E32"/>
    </sheetView>
  </sheetViews>
  <sheetFormatPr baseColWidth="10" defaultColWidth="8.83203125" defaultRowHeight="1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BA6EB9-1C0C-4612-96EC-C815945AB094}">
  <dimension ref="B1:C4"/>
  <sheetViews>
    <sheetView workbookViewId="0">
      <selection activeCell="H17" sqref="H17"/>
    </sheetView>
  </sheetViews>
  <sheetFormatPr baseColWidth="10" defaultColWidth="8.83203125" defaultRowHeight="15"/>
  <sheetData>
    <row r="1" spans="2:3">
      <c r="B1" t="s">
        <v>783</v>
      </c>
    </row>
    <row r="2" spans="2:3">
      <c r="B2" s="711" t="s">
        <v>1011</v>
      </c>
    </row>
    <row r="3" spans="2:3">
      <c r="B3" s="711" t="s">
        <v>1012</v>
      </c>
    </row>
    <row r="4" spans="2:3">
      <c r="C4" s="711" t="s">
        <v>1013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0F473-A8AD-4E49-9FB9-5B34DD4B5AC6}">
  <sheetPr>
    <tabColor rgb="FF00B050"/>
  </sheetPr>
  <dimension ref="A1:AJ301"/>
  <sheetViews>
    <sheetView tabSelected="1" zoomScale="70" zoomScaleNormal="70" workbookViewId="0">
      <selection activeCell="G215" sqref="G215"/>
    </sheetView>
  </sheetViews>
  <sheetFormatPr baseColWidth="10" defaultColWidth="9.1640625" defaultRowHeight="15"/>
  <cols>
    <col min="1" max="1" width="9.1640625" style="224"/>
    <col min="2" max="2" width="31.5" style="224" customWidth="1"/>
    <col min="3" max="3" width="11.5" style="224" bestFit="1" customWidth="1"/>
    <col min="4" max="4" width="19.83203125" style="224" customWidth="1"/>
    <col min="5" max="5" width="98.5" style="224" bestFit="1" customWidth="1"/>
    <col min="6" max="6" width="10.5" style="224" bestFit="1" customWidth="1"/>
    <col min="7" max="7" width="55.83203125" style="224" bestFit="1" customWidth="1"/>
    <col min="8" max="8" width="27.83203125" style="224" bestFit="1" customWidth="1"/>
    <col min="9" max="9" width="27.83203125" style="224" customWidth="1"/>
    <col min="10" max="10" width="10.1640625" style="224" bestFit="1" customWidth="1"/>
    <col min="11" max="11" width="8.5" style="224" bestFit="1" customWidth="1"/>
    <col min="12" max="12" width="7.5" style="224" bestFit="1" customWidth="1"/>
    <col min="13" max="13" width="6.5" style="224" customWidth="1"/>
    <col min="14" max="15" width="12.83203125" style="224" bestFit="1" customWidth="1"/>
    <col min="16" max="16" width="12.5" style="224" bestFit="1" customWidth="1"/>
    <col min="17" max="17" width="6.1640625" style="224" customWidth="1"/>
    <col min="18" max="18" width="8.1640625" style="224" bestFit="1" customWidth="1"/>
    <col min="19" max="19" width="11.83203125" style="224" bestFit="1" customWidth="1"/>
    <col min="20" max="20" width="11.5" style="224" bestFit="1" customWidth="1"/>
    <col min="21" max="21" width="18.1640625" style="224" bestFit="1" customWidth="1"/>
    <col min="22" max="22" width="11.83203125" style="224" customWidth="1"/>
    <col min="23" max="23" width="7.83203125" style="224" bestFit="1" customWidth="1"/>
    <col min="24" max="24" width="8.5" style="224" bestFit="1" customWidth="1"/>
    <col min="25" max="25" width="6.5" style="224" bestFit="1" customWidth="1"/>
    <col min="26" max="26" width="6.5" style="224" customWidth="1"/>
    <col min="27" max="27" width="8" style="224" customWidth="1"/>
    <col min="28" max="38" width="9.1640625" style="224"/>
    <col min="39" max="39" width="64.1640625" style="224" bestFit="1" customWidth="1"/>
    <col min="40" max="16384" width="9.1640625" style="224"/>
  </cols>
  <sheetData>
    <row r="1" spans="2:36" ht="14.5" customHeight="1">
      <c r="D1" s="728" t="s">
        <v>1016</v>
      </c>
      <c r="E1" s="729" t="s">
        <v>716</v>
      </c>
      <c r="N1" s="64"/>
      <c r="O1" s="64"/>
      <c r="P1" s="64"/>
      <c r="S1" s="727" t="s">
        <v>1004</v>
      </c>
      <c r="T1" s="776" t="s">
        <v>1003</v>
      </c>
      <c r="U1" s="775" t="s">
        <v>1053</v>
      </c>
      <c r="V1" s="776" t="s">
        <v>1054</v>
      </c>
      <c r="W1" s="780">
        <v>0.3</v>
      </c>
    </row>
    <row r="2" spans="2:36" ht="16" thickBot="1">
      <c r="E2" s="730" t="s">
        <v>531</v>
      </c>
      <c r="N2" s="731"/>
      <c r="O2" s="731"/>
      <c r="P2" s="731"/>
      <c r="S2" s="726">
        <f>MATCH($E$1,$AJ$22:$AJ$35)</f>
        <v>7</v>
      </c>
      <c r="T2" s="778">
        <f>MATCH($E$1,$AJ$22:$AJ$35)+1</f>
        <v>8</v>
      </c>
      <c r="U2" s="779"/>
      <c r="V2" s="768" t="s">
        <v>1055</v>
      </c>
      <c r="W2" s="781">
        <v>0.2</v>
      </c>
    </row>
    <row r="3" spans="2:36" ht="16" thickBot="1">
      <c r="N3" s="731"/>
      <c r="O3" s="731"/>
      <c r="P3" s="731"/>
      <c r="S3" s="768"/>
      <c r="T3" s="768"/>
      <c r="U3" s="777"/>
      <c r="V3" s="778" t="s">
        <v>1056</v>
      </c>
      <c r="W3" s="782">
        <v>0</v>
      </c>
    </row>
    <row r="4" spans="2:36">
      <c r="N4" s="731"/>
      <c r="O4" s="731"/>
      <c r="P4" s="731"/>
      <c r="S4" s="768"/>
      <c r="T4" s="768"/>
      <c r="U4" s="768"/>
      <c r="V4" s="768"/>
    </row>
    <row r="5" spans="2:36">
      <c r="J5" s="172" t="s">
        <v>468</v>
      </c>
      <c r="N5" s="731"/>
      <c r="O5" s="731"/>
      <c r="P5" s="731"/>
      <c r="S5" s="768"/>
      <c r="T5" s="768"/>
      <c r="U5" s="768"/>
      <c r="V5" s="768"/>
    </row>
    <row r="6" spans="2:36" ht="26.25" customHeight="1">
      <c r="B6" s="166" t="s">
        <v>1015</v>
      </c>
      <c r="C6" s="46"/>
      <c r="D6" s="46" t="s">
        <v>425</v>
      </c>
      <c r="E6" s="46" t="s">
        <v>426</v>
      </c>
      <c r="F6" s="46" t="s">
        <v>689</v>
      </c>
      <c r="G6" s="46" t="s">
        <v>427</v>
      </c>
      <c r="H6" s="46" t="s">
        <v>428</v>
      </c>
      <c r="I6" s="771" t="s">
        <v>1049</v>
      </c>
      <c r="J6" s="46" t="s">
        <v>335</v>
      </c>
      <c r="K6" s="46" t="s">
        <v>336</v>
      </c>
      <c r="L6" s="47" t="s">
        <v>337</v>
      </c>
      <c r="M6" s="47" t="s">
        <v>1052</v>
      </c>
      <c r="N6" s="47" t="s">
        <v>339</v>
      </c>
      <c r="O6" s="48" t="s">
        <v>340</v>
      </c>
      <c r="P6" s="47" t="s">
        <v>341</v>
      </c>
      <c r="Q6" s="49" t="s">
        <v>342</v>
      </c>
      <c r="R6" s="49" t="s">
        <v>343</v>
      </c>
      <c r="S6" s="769" t="s">
        <v>344</v>
      </c>
      <c r="T6" s="770" t="s">
        <v>997</v>
      </c>
      <c r="U6" s="769" t="s">
        <v>1050</v>
      </c>
      <c r="V6" s="783" t="s">
        <v>1051</v>
      </c>
      <c r="W6" s="284"/>
      <c r="X6" s="280" t="str">
        <f>"FEMIS~"&amp;D296</f>
        <v>FEMIS~INDSOx</v>
      </c>
      <c r="Y6" s="280" t="str">
        <f>"FEMIS~"&amp;D297</f>
        <v>FEMIS~INDNOx</v>
      </c>
      <c r="Z6" s="280" t="str">
        <f>"FEMIS~"&amp;D298</f>
        <v>FEMIS~INDCH4</v>
      </c>
      <c r="AA6" s="280" t="str">
        <f>"FEMIS~"&amp;D299</f>
        <v>FEMIS~INDNO2</v>
      </c>
      <c r="AB6" s="280" t="str">
        <f>"FEMIS~"&amp;D300</f>
        <v>FEMIS~INDPM</v>
      </c>
      <c r="AC6" s="224" t="s">
        <v>424</v>
      </c>
      <c r="AD6" s="224" t="s">
        <v>2001</v>
      </c>
      <c r="AE6" s="47" t="s">
        <v>338</v>
      </c>
      <c r="AF6" s="221" t="s">
        <v>473</v>
      </c>
    </row>
    <row r="7" spans="2:36" ht="16" thickBot="1">
      <c r="B7" s="715"/>
      <c r="C7" s="167"/>
      <c r="D7" s="167" t="s">
        <v>429</v>
      </c>
      <c r="E7" s="50"/>
      <c r="F7" s="50"/>
      <c r="G7" s="50"/>
      <c r="H7" s="50"/>
      <c r="I7" s="168"/>
      <c r="J7" s="50"/>
      <c r="K7" s="50"/>
      <c r="L7" s="51"/>
      <c r="M7" s="51"/>
      <c r="N7" s="51"/>
      <c r="O7" s="52"/>
      <c r="P7" s="50"/>
      <c r="Q7" s="50"/>
      <c r="R7" s="50"/>
      <c r="S7" s="50"/>
      <c r="T7" s="50"/>
      <c r="U7" s="50"/>
      <c r="V7" s="168"/>
      <c r="W7" s="285"/>
      <c r="X7" s="50"/>
      <c r="Y7" s="50"/>
      <c r="Z7" s="50"/>
      <c r="AA7" s="50"/>
      <c r="AB7" s="50"/>
      <c r="AE7" s="51"/>
      <c r="AF7" s="222"/>
    </row>
    <row r="8" spans="2:36">
      <c r="B8" s="357"/>
      <c r="D8" s="224" t="s">
        <v>451</v>
      </c>
      <c r="I8" s="357"/>
      <c r="J8" s="57"/>
      <c r="K8" s="57"/>
      <c r="L8" s="57"/>
      <c r="M8" s="57"/>
      <c r="N8" s="57"/>
      <c r="O8" s="57" t="s">
        <v>470</v>
      </c>
      <c r="P8" s="57" t="s">
        <v>471</v>
      </c>
      <c r="Q8" s="57" t="s">
        <v>472</v>
      </c>
      <c r="R8" s="57" t="s">
        <v>351</v>
      </c>
      <c r="S8" s="57" t="s">
        <v>351</v>
      </c>
      <c r="T8" s="57"/>
      <c r="U8" s="57"/>
      <c r="V8" s="784"/>
      <c r="W8" s="286"/>
      <c r="X8" s="57" t="s">
        <v>352</v>
      </c>
      <c r="Y8" s="57" t="s">
        <v>352</v>
      </c>
      <c r="Z8" s="57" t="s">
        <v>352</v>
      </c>
      <c r="AA8" s="57" t="s">
        <v>352</v>
      </c>
      <c r="AB8" s="57" t="s">
        <v>352</v>
      </c>
      <c r="AE8" s="57"/>
      <c r="AF8" s="220"/>
    </row>
    <row r="9" spans="2:36">
      <c r="B9" s="357" t="s">
        <v>998</v>
      </c>
      <c r="D9" s="212" t="str">
        <f>"IND"&amp;RIGHT(H9,4)&amp;RIGHT(G9,3)&amp;"N"&amp;RIGHT(E9,1)</f>
        <v>INDNDPHELCN1</v>
      </c>
      <c r="E9" s="261" t="str">
        <f>"Industrial heating technology "&amp;$AJ$12&amp;" "&amp;RIGHT(H9,2)&amp;" - Heat pump utilizing waste heat - new 1"</f>
        <v>Industrial heating technology N PH - Heat pump utilizing waste heat - new 1</v>
      </c>
      <c r="F9" s="224" t="s">
        <v>1149</v>
      </c>
      <c r="G9" s="173" t="s">
        <v>499</v>
      </c>
      <c r="H9" s="174" t="str">
        <f>$AI$14</f>
        <v>INDPH</v>
      </c>
      <c r="I9" s="173"/>
      <c r="J9" s="224">
        <f>AD9</f>
        <v>2020</v>
      </c>
      <c r="K9" s="81">
        <v>2020</v>
      </c>
      <c r="L9" s="333">
        <v>1</v>
      </c>
      <c r="M9" s="199">
        <f ca="1">VLOOKUP($AD9,INDIRECT("'"&amp;$B9&amp;"'!"&amp;"$P$39:$AD$42"),3,FALSE)</f>
        <v>4.4754761904761899</v>
      </c>
      <c r="N9" s="81">
        <f ca="1">VLOOKUP($AD9,INDIRECT("'"&amp;$B9&amp;"'!"&amp;"$P$39:$AD$42"),5,FALSE)</f>
        <v>20</v>
      </c>
      <c r="O9" s="723">
        <f ca="1">VLOOKUP($AD9,INDIRECT("'"&amp;$B9&amp;"'!"&amp;"$P$39:$AD$42"),6,FALSE)/1000</f>
        <v>5.4385000000000003</v>
      </c>
      <c r="P9" s="723">
        <f ca="1">VLOOKUP($AD9,INDIRECT("'"&amp;$B9&amp;"'!"&amp;"$P$39:$AD$42"),7,FALSE)/1000</f>
        <v>1.49E-2</v>
      </c>
      <c r="Q9" s="81">
        <f ca="1">VLOOKUP($AD9,INDIRECT("'"&amp;$B9&amp;"'!"&amp;"$P$39:$AD$42"),8,FALSE)</f>
        <v>6.7463888888888883</v>
      </c>
      <c r="R9" s="81">
        <v>3.1536000000000002E-2</v>
      </c>
      <c r="S9" s="199">
        <v>0.5</v>
      </c>
      <c r="T9" s="199">
        <f ca="1">HLOOKUP($T$2,INDIRECT("'"&amp;$B9&amp;"'!"&amp;"$P$6:$AC$19"),IF(H9=$AI$13,6,IF(H9=$AI$14,9,14)),FALSE)</f>
        <v>0</v>
      </c>
      <c r="U9" s="199">
        <f ca="1">1/M9</f>
        <v>0.22343991062403579</v>
      </c>
      <c r="V9" s="199"/>
      <c r="W9" s="298"/>
      <c r="X9" s="698">
        <f ca="1">IF(VLOOKUP($AD9,INDIRECT("'"&amp;$B9&amp;"'!"&amp;"$P$39:$AD$42"),11,FALSE)="Cf. the utilized electricity",0,VLOOKUP($AD9,INDIRECT("'"&amp;$B9&amp;"'!"&amp;"$P$39:$AD$42"),11,FALSE))</f>
        <v>0</v>
      </c>
      <c r="Y9" s="81">
        <f ca="1">VLOOKUP($AD9,INDIRECT("'"&amp;$B9&amp;"'!"&amp;"$P$39:$AD$42"),12,FALSE)</f>
        <v>0</v>
      </c>
      <c r="Z9" s="81">
        <f ca="1">VLOOKUP($AD9,INDIRECT("'"&amp;$B9&amp;"'!"&amp;"$P$39:$AD$42"),13,FALSE)</f>
        <v>0</v>
      </c>
      <c r="AA9" s="81">
        <f ca="1">VLOOKUP($AD9,INDIRECT("'"&amp;$B9&amp;"'!"&amp;"$P$39:$AD$42"),14,FALSE)</f>
        <v>0</v>
      </c>
      <c r="AB9" s="81">
        <f ca="1">VLOOKUP($AD9,INDIRECT("'"&amp;$B9&amp;"'!"&amp;"$P$39:$AD$42"),15,FALSE)</f>
        <v>0</v>
      </c>
      <c r="AC9" s="226"/>
      <c r="AD9" s="81">
        <v>2020</v>
      </c>
      <c r="AE9" s="81"/>
      <c r="AF9" s="220"/>
    </row>
    <row r="10" spans="2:36">
      <c r="B10" s="357" t="s">
        <v>998</v>
      </c>
      <c r="D10" s="212"/>
      <c r="E10" s="261"/>
      <c r="F10" s="224" t="s">
        <v>1149</v>
      </c>
      <c r="G10" s="173" t="str">
        <f>$AI$20</f>
        <v>INDNWH</v>
      </c>
      <c r="H10" s="174"/>
      <c r="I10" s="174"/>
      <c r="K10" s="81"/>
      <c r="L10" s="333"/>
      <c r="M10" s="199"/>
      <c r="N10" s="81"/>
      <c r="O10" s="723"/>
      <c r="P10" s="723"/>
      <c r="Q10" s="81"/>
      <c r="R10" s="200"/>
      <c r="S10" s="772"/>
      <c r="T10" s="772"/>
      <c r="U10" s="199">
        <f ca="1">1-U9</f>
        <v>0.77656008937596421</v>
      </c>
      <c r="V10" s="772"/>
      <c r="W10" s="298"/>
      <c r="X10" s="698"/>
      <c r="Y10" s="81"/>
      <c r="Z10" s="81"/>
      <c r="AA10" s="81"/>
      <c r="AB10" s="81"/>
      <c r="AC10" s="226"/>
      <c r="AD10" s="81"/>
      <c r="AE10" s="81"/>
      <c r="AF10" s="220"/>
    </row>
    <row r="11" spans="2:36">
      <c r="B11" s="357" t="s">
        <v>998</v>
      </c>
      <c r="D11" s="212"/>
      <c r="E11" s="212"/>
      <c r="F11" s="224" t="s">
        <v>1149</v>
      </c>
      <c r="G11" s="173" t="s">
        <v>499</v>
      </c>
      <c r="H11" s="174" t="str">
        <f>$AI$14</f>
        <v>INDPH</v>
      </c>
      <c r="I11" s="173"/>
      <c r="J11" s="224">
        <f>AD11</f>
        <v>2030</v>
      </c>
      <c r="K11" s="81"/>
      <c r="L11" s="333">
        <v>1</v>
      </c>
      <c r="M11" s="199">
        <f ca="1">VLOOKUP($AD11,INDIRECT("'"&amp;$B11&amp;"'!"&amp;"$P$39:$AD$42"),3,FALSE)</f>
        <v>4.5792982142857133</v>
      </c>
      <c r="N11" s="81"/>
      <c r="O11" s="723">
        <f ca="1">VLOOKUP($AD11,INDIRECT("'"&amp;$B11&amp;"'!"&amp;"$P$39:$AD$42"),6,FALSE)/1000</f>
        <v>4.8425000000000002</v>
      </c>
      <c r="P11" s="723">
        <f ca="1">VLOOKUP($AD11,INDIRECT("'"&amp;$B11&amp;"'!"&amp;"$P$39:$AD$42"),7,FALSE)/1000</f>
        <v>1.49E-2</v>
      </c>
      <c r="Q11" s="81">
        <f ca="1">VLOOKUP($AD11,INDIRECT("'"&amp;$B11&amp;"'!"&amp;"$P$39:$AD$42"),8,FALSE)</f>
        <v>6.6222222222222227</v>
      </c>
      <c r="R11" s="300"/>
      <c r="S11" s="300"/>
      <c r="T11" s="300"/>
      <c r="U11" s="199">
        <f ca="1">1/M11</f>
        <v>0.21837407244637849</v>
      </c>
      <c r="V11" s="199"/>
      <c r="W11" s="298"/>
      <c r="X11" s="698">
        <f ca="1">IF(VLOOKUP($AD11,INDIRECT("'"&amp;$B11&amp;"'!"&amp;"$P$39:$AD$42"),11,FALSE)="Cf. the utilized electricity",0,VLOOKUP($AD11,INDIRECT("'"&amp;$B11&amp;"'!"&amp;"$P$39:$AD$42"),11,FALSE))</f>
        <v>0</v>
      </c>
      <c r="Y11" s="81">
        <f ca="1">VLOOKUP($AD11,INDIRECT("'"&amp;$B11&amp;"'!"&amp;"$P$39:$AD$42"),12,FALSE)</f>
        <v>0</v>
      </c>
      <c r="Z11" s="81">
        <f ca="1">VLOOKUP($AD11,INDIRECT("'"&amp;$B11&amp;"'!"&amp;"$P$39:$AD$42"),13,FALSE)</f>
        <v>0</v>
      </c>
      <c r="AA11" s="81">
        <f ca="1">VLOOKUP($AD11,INDIRECT("'"&amp;$B11&amp;"'!"&amp;"$P$39:$AD$42"),14,FALSE)</f>
        <v>0</v>
      </c>
      <c r="AB11" s="81">
        <f ca="1">VLOOKUP($AD11,INDIRECT("'"&amp;$B11&amp;"'!"&amp;"$P$39:$AD$42"),15,FALSE)</f>
        <v>0</v>
      </c>
      <c r="AC11" s="226"/>
      <c r="AD11" s="81">
        <v>2030</v>
      </c>
      <c r="AE11" s="81"/>
      <c r="AF11" s="220"/>
    </row>
    <row r="12" spans="2:36">
      <c r="B12" s="357" t="s">
        <v>998</v>
      </c>
      <c r="D12" s="212"/>
      <c r="E12" s="212"/>
      <c r="F12" s="224" t="s">
        <v>1149</v>
      </c>
      <c r="G12" s="173" t="str">
        <f>$AI$20</f>
        <v>INDNWH</v>
      </c>
      <c r="H12" s="174"/>
      <c r="I12" s="174"/>
      <c r="K12" s="81"/>
      <c r="L12" s="333"/>
      <c r="M12" s="199"/>
      <c r="N12" s="81"/>
      <c r="O12" s="723"/>
      <c r="P12" s="723"/>
      <c r="Q12" s="81"/>
      <c r="R12" s="300"/>
      <c r="S12" s="300"/>
      <c r="T12" s="300"/>
      <c r="U12" s="199">
        <f ca="1">1-U11</f>
        <v>0.78162592755362148</v>
      </c>
      <c r="V12" s="300"/>
      <c r="W12" s="298"/>
      <c r="X12" s="698"/>
      <c r="Y12" s="81"/>
      <c r="Z12" s="81"/>
      <c r="AA12" s="81"/>
      <c r="AB12" s="81"/>
      <c r="AC12" s="226"/>
      <c r="AD12" s="81"/>
      <c r="AE12" s="81"/>
      <c r="AF12" s="220"/>
      <c r="AI12" s="224" t="s">
        <v>518</v>
      </c>
      <c r="AJ12" s="224" t="s">
        <v>887</v>
      </c>
    </row>
    <row r="13" spans="2:36">
      <c r="B13" s="357" t="s">
        <v>998</v>
      </c>
      <c r="D13" s="212"/>
      <c r="E13" s="212"/>
      <c r="F13" s="224" t="s">
        <v>1149</v>
      </c>
      <c r="G13" s="173" t="s">
        <v>499</v>
      </c>
      <c r="H13" s="174" t="str">
        <f>$AI$14</f>
        <v>INDPH</v>
      </c>
      <c r="I13" s="173"/>
      <c r="J13" s="224">
        <f>AD13</f>
        <v>2050</v>
      </c>
      <c r="K13" s="81"/>
      <c r="L13" s="333">
        <v>1</v>
      </c>
      <c r="M13" s="199">
        <f ca="1">VLOOKUP($AD13,INDIRECT("'"&amp;$B13&amp;"'!"&amp;"$P$39:$AD$42"),3,FALSE)</f>
        <v>4.7191030203571422</v>
      </c>
      <c r="N13" s="81"/>
      <c r="O13" s="723">
        <f ca="1">VLOOKUP($AD13,INDIRECT("'"&amp;$B13&amp;"'!"&amp;"$P$39:$AD$42"),6,FALSE)/1000</f>
        <v>4.3209999999999997</v>
      </c>
      <c r="P13" s="723">
        <f ca="1">VLOOKUP($AD13,INDIRECT("'"&amp;$B13&amp;"'!"&amp;"$P$39:$AD$42"),7,FALSE)/1000</f>
        <v>1.49E-2</v>
      </c>
      <c r="Q13" s="81">
        <f ca="1">VLOOKUP($AD13,INDIRECT("'"&amp;$B13&amp;"'!"&amp;"$P$39:$AD$42"),8,FALSE)</f>
        <v>6.4566666666666661</v>
      </c>
      <c r="R13" s="300"/>
      <c r="S13" s="300"/>
      <c r="T13" s="300"/>
      <c r="U13" s="199">
        <f ca="1">1/M13</f>
        <v>0.21190467673331698</v>
      </c>
      <c r="V13" s="199"/>
      <c r="W13" s="298"/>
      <c r="X13" s="698">
        <f ca="1">IF(VLOOKUP($AD13,INDIRECT("'"&amp;$B13&amp;"'!"&amp;"$P$39:$AD$42"),11,FALSE)="Cf. the utilized electricity",0,VLOOKUP($AD13,INDIRECT("'"&amp;$B13&amp;"'!"&amp;"$P$39:$AD$42"),11,FALSE))</f>
        <v>0</v>
      </c>
      <c r="Y13" s="81">
        <f ca="1">VLOOKUP($AD13,INDIRECT("'"&amp;$B13&amp;"'!"&amp;"$P$39:$AD$42"),12,FALSE)</f>
        <v>0</v>
      </c>
      <c r="Z13" s="81">
        <f ca="1">VLOOKUP($AD13,INDIRECT("'"&amp;$B13&amp;"'!"&amp;"$P$39:$AD$42"),13,FALSE)</f>
        <v>0</v>
      </c>
      <c r="AA13" s="81">
        <f ca="1">VLOOKUP($AD13,INDIRECT("'"&amp;$B13&amp;"'!"&amp;"$P$39:$AD$42"),14,FALSE)</f>
        <v>0</v>
      </c>
      <c r="AB13" s="81">
        <f ca="1">VLOOKUP($AD13,INDIRECT("'"&amp;$B13&amp;"'!"&amp;"$P$39:$AD$42"),15,FALSE)</f>
        <v>0</v>
      </c>
      <c r="AC13" s="226"/>
      <c r="AD13" s="81">
        <v>2050</v>
      </c>
      <c r="AE13" s="81"/>
      <c r="AF13" s="220"/>
      <c r="AI13" s="224" t="str">
        <f>"I"&amp;LEFT($AJ$12,1)&amp;"DPH"</f>
        <v>INDPH</v>
      </c>
      <c r="AJ13" s="224" t="str">
        <f>"Industry "&amp;$AJ$12&amp;" Demand Heat High Temp. over 150C"</f>
        <v>Industry N Demand Heat High Temp. over 150C</v>
      </c>
    </row>
    <row r="14" spans="2:36">
      <c r="B14" s="357" t="s">
        <v>998</v>
      </c>
      <c r="D14" s="212"/>
      <c r="E14" s="212"/>
      <c r="F14" s="224" t="s">
        <v>1149</v>
      </c>
      <c r="G14" s="173" t="str">
        <f>$AI$20</f>
        <v>INDNWH</v>
      </c>
      <c r="H14" s="174"/>
      <c r="I14" s="174"/>
      <c r="K14" s="81"/>
      <c r="L14" s="333"/>
      <c r="M14" s="199"/>
      <c r="N14" s="81"/>
      <c r="O14" s="723"/>
      <c r="P14" s="723"/>
      <c r="Q14" s="81"/>
      <c r="R14" s="300"/>
      <c r="S14" s="300"/>
      <c r="T14" s="300"/>
      <c r="U14" s="199">
        <f ca="1">1-U13</f>
        <v>0.78809532326668297</v>
      </c>
      <c r="V14" s="300"/>
      <c r="W14" s="298"/>
      <c r="X14" s="698"/>
      <c r="Y14" s="81"/>
      <c r="Z14" s="81"/>
      <c r="AA14" s="81"/>
      <c r="AB14" s="81"/>
      <c r="AC14" s="226"/>
      <c r="AD14" s="81"/>
      <c r="AE14" s="81"/>
      <c r="AF14" s="220"/>
      <c r="AI14" s="224" t="str">
        <f>"I"&amp;LEFT($AJ$12,1)&amp;"DPH"</f>
        <v>INDPH</v>
      </c>
      <c r="AJ14" s="224" t="str">
        <f>"Industry "&amp;$AJ$12&amp;" Demand Heat Medium Temp. up to 150C"</f>
        <v>Industry N Demand Heat Medium Temp. up to 150C</v>
      </c>
    </row>
    <row r="15" spans="2:36">
      <c r="B15" s="357" t="s">
        <v>998</v>
      </c>
      <c r="D15" s="212" t="str">
        <f>"IND"&amp;RIGHT(H15,4)&amp;RIGHT(G15,3)&amp;"N"&amp;RIGHT(E15,1)</f>
        <v>INDNDSHELCN1</v>
      </c>
      <c r="E15" s="261" t="str">
        <f>"Industrial heating technology "&amp;$AJ$12&amp;" "&amp;RIGHT(H15,2)&amp;" - Heat pump utilizing waste heat - new 1"</f>
        <v>Industrial heating technology N SH - Heat pump utilizing waste heat - new 1</v>
      </c>
      <c r="F15" s="224" t="s">
        <v>1149</v>
      </c>
      <c r="G15" s="173" t="s">
        <v>499</v>
      </c>
      <c r="H15" s="174" t="str">
        <f>$AI$15</f>
        <v>INDSH</v>
      </c>
      <c r="I15" s="174"/>
      <c r="J15" s="224">
        <f>AD15</f>
        <v>2020</v>
      </c>
      <c r="K15" s="81">
        <v>2020</v>
      </c>
      <c r="L15" s="333">
        <v>1</v>
      </c>
      <c r="M15" s="199">
        <f ca="1">VLOOKUP($AD15,INDIRECT("'"&amp;$B15&amp;"'!"&amp;"$P$39:$AD$42"),3,FALSE)</f>
        <v>4.4754761904761899</v>
      </c>
      <c r="N15" s="81">
        <f ca="1">VLOOKUP($AD15,INDIRECT("'"&amp;$B15&amp;"'!"&amp;"$P$39:$AD$42"),5,FALSE)</f>
        <v>20</v>
      </c>
      <c r="O15" s="723">
        <f ca="1">VLOOKUP($AD15,INDIRECT("'"&amp;$B15&amp;"'!"&amp;"$P$39:$AD$42"),6,FALSE)/1000</f>
        <v>5.4385000000000003</v>
      </c>
      <c r="P15" s="723">
        <f ca="1">VLOOKUP($AD15,INDIRECT("'"&amp;$B15&amp;"'!"&amp;"$P$39:$AD$42"),7,FALSE)/1000</f>
        <v>1.49E-2</v>
      </c>
      <c r="Q15" s="81">
        <f ca="1">VLOOKUP($AD15,INDIRECT("'"&amp;$B15&amp;"'!"&amp;"$P$39:$AD$42"),8,FALSE)</f>
        <v>6.7463888888888883</v>
      </c>
      <c r="R15" s="81">
        <v>3.1536000000000002E-2</v>
      </c>
      <c r="S15" s="199">
        <v>0.5</v>
      </c>
      <c r="T15" s="199">
        <f ca="1">HLOOKUP($T$2,INDIRECT("'"&amp;$B15&amp;"'!"&amp;"$P$6:$AC$19"),IF(H15=$AI$13,6,IF(H15=$AI$14,9,14)),FALSE)</f>
        <v>1</v>
      </c>
      <c r="U15" s="199">
        <f ca="1">1/M15</f>
        <v>0.22343991062403579</v>
      </c>
      <c r="V15" s="199"/>
      <c r="W15" s="298"/>
      <c r="X15" s="698">
        <f ca="1">IF(VLOOKUP($AD15,INDIRECT("'"&amp;$B15&amp;"'!"&amp;"$P$39:$AD$42"),11,FALSE)="Cf. the utilized electricity",0,VLOOKUP($AD15,INDIRECT("'"&amp;$B15&amp;"'!"&amp;"$P$39:$AD$42"),11,FALSE))</f>
        <v>0</v>
      </c>
      <c r="Y15" s="81">
        <f ca="1">VLOOKUP($AD15,INDIRECT("'"&amp;$B15&amp;"'!"&amp;"$P$39:$AD$42"),12,FALSE)</f>
        <v>0</v>
      </c>
      <c r="Z15" s="81">
        <f ca="1">VLOOKUP($AD15,INDIRECT("'"&amp;$B15&amp;"'!"&amp;"$P$39:$AD$42"),13,FALSE)</f>
        <v>0</v>
      </c>
      <c r="AA15" s="81">
        <f ca="1">VLOOKUP($AD15,INDIRECT("'"&amp;$B15&amp;"'!"&amp;"$P$39:$AD$42"),14,FALSE)</f>
        <v>0</v>
      </c>
      <c r="AB15" s="81">
        <f ca="1">VLOOKUP($AD15,INDIRECT("'"&amp;$B15&amp;"'!"&amp;"$P$39:$AD$42"),15,FALSE)</f>
        <v>0</v>
      </c>
      <c r="AC15" s="226"/>
      <c r="AD15" s="81">
        <v>2020</v>
      </c>
      <c r="AE15" s="81"/>
      <c r="AF15" s="220"/>
      <c r="AI15" s="224" t="str">
        <f>"I"&amp;LEFT($AJ$12,1)&amp;"DSH"</f>
        <v>INDSH</v>
      </c>
      <c r="AJ15" s="224" t="str">
        <f>"Industry "&amp;$AJ$12&amp;" Demand Heat Room Heat"</f>
        <v>Industry N Demand Heat Room Heat</v>
      </c>
    </row>
    <row r="16" spans="2:36">
      <c r="B16" s="357" t="s">
        <v>998</v>
      </c>
      <c r="D16" s="212"/>
      <c r="E16" s="261"/>
      <c r="F16" s="224" t="s">
        <v>1149</v>
      </c>
      <c r="G16" s="173" t="str">
        <f>$AI$20</f>
        <v>INDNWH</v>
      </c>
      <c r="H16" s="174"/>
      <c r="I16" s="174"/>
      <c r="K16" s="81"/>
      <c r="L16" s="333"/>
      <c r="M16" s="199"/>
      <c r="N16" s="81"/>
      <c r="O16" s="723"/>
      <c r="P16" s="723"/>
      <c r="Q16" s="81"/>
      <c r="R16" s="200"/>
      <c r="S16" s="772"/>
      <c r="T16" s="772"/>
      <c r="U16" s="199">
        <f ca="1">1-U15</f>
        <v>0.77656008937596421</v>
      </c>
      <c r="V16" s="772"/>
      <c r="W16" s="298"/>
      <c r="X16" s="698"/>
      <c r="Y16" s="81"/>
      <c r="Z16" s="81"/>
      <c r="AA16" s="81"/>
      <c r="AB16" s="81"/>
      <c r="AC16" s="226"/>
      <c r="AD16" s="81"/>
      <c r="AE16" s="81"/>
      <c r="AF16" s="220"/>
      <c r="AI16" s="64" t="str">
        <f>"I"&amp;LEFT($AJ$12,1)&amp;"DLA"</f>
        <v>INDLA</v>
      </c>
      <c r="AJ16" s="224" t="str">
        <f>"Industry "&amp;$AJ$12&amp;" Demand Light Appliances"</f>
        <v>Industry N Demand Light Appliances</v>
      </c>
    </row>
    <row r="17" spans="2:36">
      <c r="B17" s="357" t="s">
        <v>998</v>
      </c>
      <c r="D17" s="212"/>
      <c r="E17" s="212"/>
      <c r="F17" s="224" t="s">
        <v>1149</v>
      </c>
      <c r="G17" s="173" t="s">
        <v>499</v>
      </c>
      <c r="H17" s="174" t="str">
        <f>$AI$15</f>
        <v>INDSH</v>
      </c>
      <c r="I17" s="174"/>
      <c r="J17" s="224">
        <f>AD17</f>
        <v>2030</v>
      </c>
      <c r="K17" s="81"/>
      <c r="L17" s="333">
        <v>1</v>
      </c>
      <c r="M17" s="199">
        <f ca="1">VLOOKUP($AD17,INDIRECT("'"&amp;$B17&amp;"'!"&amp;"$P$39:$AD$42"),3,FALSE)</f>
        <v>4.5792982142857133</v>
      </c>
      <c r="N17" s="81"/>
      <c r="O17" s="723">
        <f ca="1">VLOOKUP($AD17,INDIRECT("'"&amp;$B17&amp;"'!"&amp;"$P$39:$AD$42"),6,FALSE)/1000</f>
        <v>4.8425000000000002</v>
      </c>
      <c r="P17" s="723">
        <f ca="1">VLOOKUP($AD17,INDIRECT("'"&amp;$B17&amp;"'!"&amp;"$P$39:$AD$42"),7,FALSE)/1000</f>
        <v>1.49E-2</v>
      </c>
      <c r="Q17" s="81">
        <f ca="1">VLOOKUP($AD17,INDIRECT("'"&amp;$B17&amp;"'!"&amp;"$P$39:$AD$42"),8,FALSE)</f>
        <v>6.6222222222222227</v>
      </c>
      <c r="R17" s="300"/>
      <c r="S17" s="300"/>
      <c r="T17" s="300"/>
      <c r="U17" s="199">
        <f ca="1">1/M17</f>
        <v>0.21837407244637849</v>
      </c>
      <c r="V17" s="199"/>
      <c r="W17" s="298"/>
      <c r="X17" s="698">
        <f ca="1">IF(VLOOKUP($AD17,INDIRECT("'"&amp;$B17&amp;"'!"&amp;"$P$39:$AD$42"),11,FALSE)="Cf. the utilized electricity",0,VLOOKUP($AD17,INDIRECT("'"&amp;$B17&amp;"'!"&amp;"$P$39:$AD$42"),11,FALSE))</f>
        <v>0</v>
      </c>
      <c r="Y17" s="81">
        <f ca="1">VLOOKUP($AD17,INDIRECT("'"&amp;$B17&amp;"'!"&amp;"$P$39:$AD$42"),12,FALSE)</f>
        <v>0</v>
      </c>
      <c r="Z17" s="81">
        <f ca="1">VLOOKUP($AD17,INDIRECT("'"&amp;$B17&amp;"'!"&amp;"$P$39:$AD$42"),13,FALSE)</f>
        <v>0</v>
      </c>
      <c r="AA17" s="81">
        <f ca="1">VLOOKUP($AD17,INDIRECT("'"&amp;$B17&amp;"'!"&amp;"$P$39:$AD$42"),14,FALSE)</f>
        <v>0</v>
      </c>
      <c r="AB17" s="81">
        <f ca="1">VLOOKUP($AD17,INDIRECT("'"&amp;$B17&amp;"'!"&amp;"$P$39:$AD$42"),15,FALSE)</f>
        <v>0</v>
      </c>
      <c r="AC17" s="226"/>
      <c r="AD17" s="81">
        <v>2030</v>
      </c>
      <c r="AE17" s="81"/>
      <c r="AF17" s="220"/>
      <c r="AI17" s="224" t="str">
        <f>"I"&amp;LEFT($AJ$12,1)&amp;"DEM"</f>
        <v>INDEM</v>
      </c>
      <c r="AJ17" s="224" t="str">
        <f>"Industry "&amp;$AJ$12&amp;" Demand Electric Motors"</f>
        <v>Industry N Demand Electric Motors</v>
      </c>
    </row>
    <row r="18" spans="2:36">
      <c r="B18" s="357" t="s">
        <v>998</v>
      </c>
      <c r="D18" s="212"/>
      <c r="E18" s="212"/>
      <c r="F18" s="224" t="s">
        <v>1149</v>
      </c>
      <c r="G18" s="173" t="str">
        <f>$AI$20</f>
        <v>INDNWH</v>
      </c>
      <c r="H18" s="174"/>
      <c r="I18" s="174"/>
      <c r="K18" s="81"/>
      <c r="L18" s="333"/>
      <c r="M18" s="199"/>
      <c r="N18" s="81"/>
      <c r="O18" s="723"/>
      <c r="P18" s="723"/>
      <c r="Q18" s="81"/>
      <c r="R18" s="300"/>
      <c r="S18" s="300"/>
      <c r="T18" s="300"/>
      <c r="U18" s="199">
        <f ca="1">1-U17</f>
        <v>0.78162592755362148</v>
      </c>
      <c r="V18" s="300"/>
      <c r="W18" s="298"/>
      <c r="X18" s="698"/>
      <c r="Y18" s="81"/>
      <c r="Z18" s="81"/>
      <c r="AA18" s="81"/>
      <c r="AB18" s="81"/>
      <c r="AC18" s="226"/>
      <c r="AD18" s="81"/>
      <c r="AE18" s="81"/>
      <c r="AF18" s="220"/>
      <c r="AI18" s="224" t="str">
        <f>"I"&amp;LEFT($AJ$12,1)&amp;"DTF"</f>
        <v>INDTF</v>
      </c>
      <c r="AJ18" s="224" t="str">
        <f>"Industry "&amp;$AJ$12&amp;" Demand Tractors, Trucks, Fishing boats, Forest machines"</f>
        <v>Industry N Demand Tractors, Trucks, Fishing boats, Forest machines</v>
      </c>
    </row>
    <row r="19" spans="2:36">
      <c r="B19" s="357" t="s">
        <v>998</v>
      </c>
      <c r="D19" s="212"/>
      <c r="E19" s="212"/>
      <c r="F19" s="224" t="s">
        <v>1149</v>
      </c>
      <c r="G19" s="173" t="s">
        <v>499</v>
      </c>
      <c r="H19" s="174" t="str">
        <f>$AI$15</f>
        <v>INDSH</v>
      </c>
      <c r="I19" s="174"/>
      <c r="J19" s="224">
        <f>AD19</f>
        <v>2050</v>
      </c>
      <c r="K19" s="81"/>
      <c r="L19" s="333">
        <v>1</v>
      </c>
      <c r="M19" s="199">
        <f ca="1">VLOOKUP($AD19,INDIRECT("'"&amp;$B19&amp;"'!"&amp;"$P$39:$AD$42"),3,FALSE)</f>
        <v>4.7191030203571422</v>
      </c>
      <c r="N19" s="81"/>
      <c r="O19" s="723">
        <f ca="1">VLOOKUP($AD19,INDIRECT("'"&amp;$B19&amp;"'!"&amp;"$P$39:$AD$42"),6,FALSE)/1000</f>
        <v>4.3209999999999997</v>
      </c>
      <c r="P19" s="723">
        <f ca="1">VLOOKUP($AD19,INDIRECT("'"&amp;$B19&amp;"'!"&amp;"$P$39:$AD$42"),7,FALSE)/1000</f>
        <v>1.49E-2</v>
      </c>
      <c r="Q19" s="81">
        <f ca="1">VLOOKUP($AD19,INDIRECT("'"&amp;$B19&amp;"'!"&amp;"$P$39:$AD$42"),8,FALSE)</f>
        <v>6.4566666666666661</v>
      </c>
      <c r="R19" s="300"/>
      <c r="S19" s="300"/>
      <c r="T19" s="300"/>
      <c r="U19" s="199">
        <f ca="1">1/M19</f>
        <v>0.21190467673331698</v>
      </c>
      <c r="V19" s="199"/>
      <c r="W19" s="298"/>
      <c r="X19" s="698">
        <f ca="1">IF(VLOOKUP($AD19,INDIRECT("'"&amp;$B19&amp;"'!"&amp;"$P$39:$AD$42"),11,FALSE)="Cf. the utilized electricity",0,VLOOKUP($AD19,INDIRECT("'"&amp;$B19&amp;"'!"&amp;"$P$39:$AD$42"),11,FALSE))</f>
        <v>0</v>
      </c>
      <c r="Y19" s="81">
        <f ca="1">VLOOKUP($AD19,INDIRECT("'"&amp;$B19&amp;"'!"&amp;"$P$39:$AD$42"),12,FALSE)</f>
        <v>0</v>
      </c>
      <c r="Z19" s="81">
        <f ca="1">VLOOKUP($AD19,INDIRECT("'"&amp;$B19&amp;"'!"&amp;"$P$39:$AD$42"),13,FALSE)</f>
        <v>0</v>
      </c>
      <c r="AA19" s="81">
        <f ca="1">VLOOKUP($AD19,INDIRECT("'"&amp;$B19&amp;"'!"&amp;"$P$39:$AD$42"),14,FALSE)</f>
        <v>0</v>
      </c>
      <c r="AB19" s="81">
        <f ca="1">VLOOKUP($AD19,INDIRECT("'"&amp;$B19&amp;"'!"&amp;"$P$39:$AD$42"),15,FALSE)</f>
        <v>0</v>
      </c>
      <c r="AC19" s="226"/>
      <c r="AD19" s="81">
        <v>2050</v>
      </c>
      <c r="AE19" s="81"/>
      <c r="AF19" s="220"/>
      <c r="AI19" s="224" t="str">
        <f>"I"&amp;LEFT($AJ$12,1)&amp;"DFL"</f>
        <v>INDFL</v>
      </c>
      <c r="AJ19" s="224" t="str">
        <f>"Industry "&amp;$AJ$12&amp;" Demand Forklifts"</f>
        <v>Industry N Demand Forklifts</v>
      </c>
    </row>
    <row r="20" spans="2:36">
      <c r="B20" s="357" t="s">
        <v>998</v>
      </c>
      <c r="D20" s="212"/>
      <c r="E20" s="212"/>
      <c r="F20" s="224" t="s">
        <v>1149</v>
      </c>
      <c r="G20" s="173" t="str">
        <f>$AI$20</f>
        <v>INDNWH</v>
      </c>
      <c r="H20" s="174"/>
      <c r="I20" s="174"/>
      <c r="K20" s="81"/>
      <c r="L20" s="333"/>
      <c r="M20" s="199"/>
      <c r="N20" s="81"/>
      <c r="O20" s="723"/>
      <c r="P20" s="723"/>
      <c r="Q20" s="81"/>
      <c r="R20" s="300"/>
      <c r="S20" s="300"/>
      <c r="T20" s="300"/>
      <c r="U20" s="199">
        <f ca="1">1-U19</f>
        <v>0.78809532326668297</v>
      </c>
      <c r="V20" s="300"/>
      <c r="W20" s="298"/>
      <c r="X20" s="698"/>
      <c r="Y20" s="81"/>
      <c r="Z20" s="81"/>
      <c r="AA20" s="81"/>
      <c r="AB20" s="81"/>
      <c r="AC20" s="226"/>
      <c r="AD20" s="81"/>
      <c r="AE20" s="81"/>
      <c r="AF20" s="220"/>
      <c r="AI20" s="36" t="str">
        <f>"IND"&amp;LEFT($AJ$12,1)&amp;"WH"</f>
        <v>INDNWH</v>
      </c>
      <c r="AJ20" s="224" t="str">
        <f>"Industry "&amp;$AJ$12&amp;" Waste Heat"</f>
        <v>Industry N Waste Heat</v>
      </c>
    </row>
    <row r="21" spans="2:36">
      <c r="B21" s="357" t="s">
        <v>999</v>
      </c>
      <c r="D21" s="212" t="str">
        <f>"IND"&amp;RIGHT(H21,4)&amp;RIGHT(G21,3)&amp;"N"&amp;RIGHT(E21,1)</f>
        <v>INDNDPHELCN2</v>
      </c>
      <c r="E21" s="261" t="str">
        <f>"Industrial heating technology "&amp;$AJ$12&amp;" "&amp;RIGHT(H21,2)&amp;" - Heat driven heat pump utilizing waste heat - new 2"</f>
        <v>Industrial heating technology N PH - Heat driven heat pump utilizing waste heat - new 2</v>
      </c>
      <c r="F21" s="224" t="s">
        <v>1149</v>
      </c>
      <c r="G21" s="173" t="s">
        <v>499</v>
      </c>
      <c r="H21" s="174" t="str">
        <f>$AI$14</f>
        <v>INDPH</v>
      </c>
      <c r="I21" s="174"/>
      <c r="J21" s="224">
        <f t="shared" ref="J21" si="0">AD21</f>
        <v>2020</v>
      </c>
      <c r="K21" s="81">
        <v>2020</v>
      </c>
      <c r="L21" s="333">
        <v>1</v>
      </c>
      <c r="M21" s="199">
        <f ca="1">VLOOKUP($AD21,INDIRECT("'"&amp;$B21&amp;"'!"&amp;"$P$39:$AD$42"),3,FALSE)</f>
        <v>1.68</v>
      </c>
      <c r="N21" s="81">
        <f ca="1">VLOOKUP($AD21,INDIRECT("'"&amp;$B21&amp;"'!"&amp;"$P$39:$AD$42"),5,FALSE)</f>
        <v>20</v>
      </c>
      <c r="O21" s="723">
        <f ca="1">VLOOKUP($AD21,INDIRECT("'"&amp;$B21&amp;"'!"&amp;"$P$39:$AD$42"),6,FALSE)/1000</f>
        <v>4.1720000000000006</v>
      </c>
      <c r="P21" s="723">
        <f ca="1">VLOOKUP($AD21,INDIRECT("'"&amp;$B21&amp;"'!"&amp;"$P$39:$AD$42"),7,FALSE)/1000</f>
        <v>1.49E-2</v>
      </c>
      <c r="Q21" s="81">
        <f ca="1">VLOOKUP($AD21,INDIRECT("'"&amp;$B21&amp;"'!"&amp;"$P$39:$AD$42"),8,FALSE)</f>
        <v>2.0901388888888892</v>
      </c>
      <c r="R21" s="81">
        <v>3.1536000000000002E-2</v>
      </c>
      <c r="S21" s="199">
        <v>0.5</v>
      </c>
      <c r="T21" s="199">
        <f ca="1">HLOOKUP($T$2,INDIRECT("'"&amp;$B21&amp;"'!"&amp;"$P$6:$AC$19"),IF(H21=$AI$13,6,IF(H21=$AI$14,9,14)),FALSE)</f>
        <v>0</v>
      </c>
      <c r="U21" s="199">
        <f ca="1">1/M21</f>
        <v>0.59523809523809523</v>
      </c>
      <c r="V21" s="199"/>
      <c r="W21" s="298"/>
      <c r="X21" s="698">
        <f ca="1">IF(VLOOKUP($AD21,INDIRECT("'"&amp;$B21&amp;"'!"&amp;"$P$39:$AD$42"),11,FALSE)="Cf. the utilized electricity",0,VLOOKUP($AD21,INDIRECT("'"&amp;$B21&amp;"'!"&amp;"$P$39:$AD$42"),11,FALSE))</f>
        <v>0</v>
      </c>
      <c r="Y21" s="81">
        <f ca="1">VLOOKUP($AD21,INDIRECT("'"&amp;$B21&amp;"'!"&amp;"$P$39:$AD$42"),12,FALSE)</f>
        <v>0</v>
      </c>
      <c r="Z21" s="81">
        <f ca="1">VLOOKUP($AD21,INDIRECT("'"&amp;$B21&amp;"'!"&amp;"$P$39:$AD$42"),13,FALSE)</f>
        <v>0</v>
      </c>
      <c r="AA21" s="81">
        <f ca="1">VLOOKUP($AD21,INDIRECT("'"&amp;$B21&amp;"'!"&amp;"$P$39:$AD$42"),14,FALSE)</f>
        <v>0</v>
      </c>
      <c r="AB21" s="81">
        <f ca="1">VLOOKUP($AD21,INDIRECT("'"&amp;$B21&amp;"'!"&amp;"$P$39:$AD$42"),15,FALSE)</f>
        <v>0</v>
      </c>
      <c r="AC21" s="226"/>
      <c r="AD21" s="81">
        <v>2020</v>
      </c>
      <c r="AE21" s="81"/>
      <c r="AF21" s="220"/>
      <c r="AI21" s="224" t="str">
        <f>"I"&amp;LEFT($AJ$12,1)&amp;"DCO"</f>
        <v>INDCO</v>
      </c>
      <c r="AJ21" s="224" t="str">
        <f>"Industry "&amp;$AJ$12&amp;" Cooling"</f>
        <v>Industry N Cooling</v>
      </c>
    </row>
    <row r="22" spans="2:36">
      <c r="B22" s="357" t="s">
        <v>999</v>
      </c>
      <c r="D22" s="212"/>
      <c r="E22" s="261"/>
      <c r="F22" s="224" t="s">
        <v>1149</v>
      </c>
      <c r="G22" s="173" t="str">
        <f>$AI$20</f>
        <v>INDNWH</v>
      </c>
      <c r="H22" s="174"/>
      <c r="I22" s="174"/>
      <c r="K22" s="81"/>
      <c r="L22" s="333"/>
      <c r="M22" s="199"/>
      <c r="N22" s="81"/>
      <c r="O22" s="723"/>
      <c r="P22" s="723"/>
      <c r="Q22" s="81"/>
      <c r="R22" s="200"/>
      <c r="S22" s="772"/>
      <c r="T22" s="772"/>
      <c r="U22" s="199">
        <f ca="1">1-U21</f>
        <v>0.40476190476190477</v>
      </c>
      <c r="V22" s="772"/>
      <c r="W22" s="298"/>
      <c r="X22" s="698"/>
      <c r="Y22" s="81"/>
      <c r="Z22" s="81"/>
      <c r="AA22" s="81"/>
      <c r="AB22" s="81"/>
      <c r="AC22" s="226"/>
      <c r="AD22" s="81"/>
      <c r="AE22" s="81"/>
      <c r="AF22" s="220"/>
      <c r="AI22" s="224">
        <v>1</v>
      </c>
    </row>
    <row r="23" spans="2:36">
      <c r="B23" s="357" t="s">
        <v>999</v>
      </c>
      <c r="D23" s="212"/>
      <c r="E23" s="212"/>
      <c r="F23" s="224" t="s">
        <v>1149</v>
      </c>
      <c r="G23" s="173" t="s">
        <v>499</v>
      </c>
      <c r="H23" s="174" t="str">
        <f>$AI$14</f>
        <v>INDPH</v>
      </c>
      <c r="I23" s="174"/>
      <c r="J23" s="224">
        <f t="shared" ref="J23" si="1">AD23</f>
        <v>2030</v>
      </c>
      <c r="K23" s="81"/>
      <c r="L23" s="333">
        <v>1</v>
      </c>
      <c r="M23" s="199">
        <f ca="1">VLOOKUP($AD23,INDIRECT("'"&amp;$B23&amp;"'!"&amp;"$P$39:$AD$42"),3,FALSE)</f>
        <v>1.69</v>
      </c>
      <c r="N23" s="81"/>
      <c r="O23" s="723">
        <f ca="1">VLOOKUP($AD23,INDIRECT("'"&amp;$B23&amp;"'!"&amp;"$P$39:$AD$42"),6,FALSE)/1000</f>
        <v>3.7995000000000001</v>
      </c>
      <c r="P23" s="723">
        <f ca="1">VLOOKUP($AD23,INDIRECT("'"&amp;$B23&amp;"'!"&amp;"$P$39:$AD$42"),7,FALSE)/1000</f>
        <v>1.49E-2</v>
      </c>
      <c r="Q23" s="81">
        <f ca="1">VLOOKUP($AD23,INDIRECT("'"&amp;$B23&amp;"'!"&amp;"$P$39:$AD$42"),8,FALSE)</f>
        <v>2.0694444444444446</v>
      </c>
      <c r="R23" s="300"/>
      <c r="S23" s="300"/>
      <c r="T23" s="300"/>
      <c r="U23" s="199">
        <f ca="1">1/M23</f>
        <v>0.59171597633136097</v>
      </c>
      <c r="V23" s="199"/>
      <c r="W23" s="298"/>
      <c r="X23" s="698">
        <f ca="1">IF(VLOOKUP($AD23,INDIRECT("'"&amp;$B23&amp;"'!"&amp;"$P$39:$AD$42"),11,FALSE)="Cf. the utilized electricity",0,VLOOKUP($AD23,INDIRECT("'"&amp;$B23&amp;"'!"&amp;"$P$39:$AD$42"),11,FALSE))</f>
        <v>0</v>
      </c>
      <c r="Y23" s="81">
        <f ca="1">VLOOKUP($AD23,INDIRECT("'"&amp;$B23&amp;"'!"&amp;"$P$39:$AD$42"),12,FALSE)</f>
        <v>0</v>
      </c>
      <c r="Z23" s="81">
        <f ca="1">VLOOKUP($AD23,INDIRECT("'"&amp;$B23&amp;"'!"&amp;"$P$39:$AD$42"),13,FALSE)</f>
        <v>0</v>
      </c>
      <c r="AA23" s="81">
        <f ca="1">VLOOKUP($AD23,INDIRECT("'"&amp;$B23&amp;"'!"&amp;"$P$39:$AD$42"),14,FALSE)</f>
        <v>0</v>
      </c>
      <c r="AB23" s="81">
        <f ca="1">VLOOKUP($AD23,INDIRECT("'"&amp;$B23&amp;"'!"&amp;"$P$39:$AD$42"),15,FALSE)</f>
        <v>0</v>
      </c>
      <c r="AC23" s="226"/>
      <c r="AD23" s="81">
        <v>2030</v>
      </c>
      <c r="AE23" s="81"/>
      <c r="AF23" s="220"/>
      <c r="AI23" s="224">
        <v>2</v>
      </c>
    </row>
    <row r="24" spans="2:36" ht="14.5" customHeight="1">
      <c r="B24" s="357" t="s">
        <v>999</v>
      </c>
      <c r="D24" s="212"/>
      <c r="E24" s="212"/>
      <c r="F24" s="224" t="s">
        <v>1149</v>
      </c>
      <c r="G24" s="173" t="str">
        <f>$AI$20</f>
        <v>INDNWH</v>
      </c>
      <c r="H24" s="174"/>
      <c r="I24" s="174"/>
      <c r="K24" s="81"/>
      <c r="L24" s="333"/>
      <c r="M24" s="199"/>
      <c r="N24" s="81"/>
      <c r="O24" s="723"/>
      <c r="P24" s="723"/>
      <c r="Q24" s="81"/>
      <c r="R24" s="300"/>
      <c r="S24" s="300"/>
      <c r="T24" s="300"/>
      <c r="U24" s="199">
        <f ca="1">1-U23</f>
        <v>0.40828402366863903</v>
      </c>
      <c r="V24" s="300"/>
      <c r="W24" s="298"/>
      <c r="X24" s="698"/>
      <c r="Y24" s="81"/>
      <c r="Z24" s="81"/>
      <c r="AA24" s="81"/>
      <c r="AB24" s="81"/>
      <c r="AC24" s="226"/>
      <c r="AD24" s="81"/>
      <c r="AE24" s="81"/>
      <c r="AF24" s="220"/>
      <c r="AI24" s="224">
        <v>3</v>
      </c>
    </row>
    <row r="25" spans="2:36" ht="14.5" customHeight="1">
      <c r="B25" s="357" t="s">
        <v>999</v>
      </c>
      <c r="D25" s="212"/>
      <c r="E25" s="212"/>
      <c r="F25" s="224" t="s">
        <v>1149</v>
      </c>
      <c r="G25" s="173" t="s">
        <v>499</v>
      </c>
      <c r="H25" s="174" t="str">
        <f>$AI$14</f>
        <v>INDPH</v>
      </c>
      <c r="I25" s="174"/>
      <c r="J25" s="224">
        <f t="shared" ref="J25" si="2">AD25</f>
        <v>2050</v>
      </c>
      <c r="K25" s="81"/>
      <c r="L25" s="333">
        <v>1</v>
      </c>
      <c r="M25" s="199">
        <f ca="1">VLOOKUP($AD25,INDIRECT("'"&amp;$B25&amp;"'!"&amp;"$P$39:$AD$42"),3,FALSE)</f>
        <v>1.71</v>
      </c>
      <c r="N25" s="81"/>
      <c r="O25" s="723">
        <f ca="1">VLOOKUP($AD25,INDIRECT("'"&amp;$B25&amp;"'!"&amp;"$P$39:$AD$42"),6,FALSE)/1000</f>
        <v>3.427</v>
      </c>
      <c r="P25" s="723">
        <f ca="1">VLOOKUP($AD25,INDIRECT("'"&amp;$B25&amp;"'!"&amp;"$P$39:$AD$42"),7,FALSE)/1000</f>
        <v>1.49E-2</v>
      </c>
      <c r="Q25" s="81">
        <f ca="1">VLOOKUP($AD25,INDIRECT("'"&amp;$B25&amp;"'!"&amp;"$P$39:$AD$42"),8,FALSE)</f>
        <v>2.0487500000000001</v>
      </c>
      <c r="R25" s="300"/>
      <c r="S25" s="300"/>
      <c r="T25" s="300"/>
      <c r="U25" s="199">
        <f ca="1">1/M25</f>
        <v>0.58479532163742687</v>
      </c>
      <c r="V25" s="199"/>
      <c r="W25" s="298"/>
      <c r="X25" s="698">
        <f ca="1">IF(VLOOKUP($AD25,INDIRECT("'"&amp;$B25&amp;"'!"&amp;"$P$39:$AD$42"),11,FALSE)="Cf. the utilized electricity",0,VLOOKUP($AD25,INDIRECT("'"&amp;$B25&amp;"'!"&amp;"$P$39:$AD$42"),11,FALSE))</f>
        <v>0</v>
      </c>
      <c r="Y25" s="81">
        <f ca="1">VLOOKUP($AD25,INDIRECT("'"&amp;$B25&amp;"'!"&amp;"$P$39:$AD$42"),12,FALSE)</f>
        <v>0</v>
      </c>
      <c r="Z25" s="81">
        <f ca="1">VLOOKUP($AD25,INDIRECT("'"&amp;$B25&amp;"'!"&amp;"$P$39:$AD$42"),13,FALSE)</f>
        <v>0</v>
      </c>
      <c r="AA25" s="81">
        <f ca="1">VLOOKUP($AD25,INDIRECT("'"&amp;$B25&amp;"'!"&amp;"$P$39:$AD$42"),14,FALSE)</f>
        <v>0</v>
      </c>
      <c r="AB25" s="81">
        <f ca="1">VLOOKUP($AD25,INDIRECT("'"&amp;$B25&amp;"'!"&amp;"$P$39:$AD$42"),15,FALSE)</f>
        <v>0</v>
      </c>
      <c r="AC25" s="226"/>
      <c r="AD25" s="81">
        <v>2050</v>
      </c>
      <c r="AE25" s="81"/>
      <c r="AF25" s="220"/>
      <c r="AI25" s="224">
        <v>4</v>
      </c>
    </row>
    <row r="26" spans="2:36" ht="15" customHeight="1">
      <c r="B26" s="357" t="s">
        <v>999</v>
      </c>
      <c r="D26" s="212"/>
      <c r="E26" s="212"/>
      <c r="F26" s="224" t="s">
        <v>1149</v>
      </c>
      <c r="G26" s="173" t="str">
        <f>$AI$20</f>
        <v>INDNWH</v>
      </c>
      <c r="H26" s="174"/>
      <c r="I26" s="174"/>
      <c r="K26" s="81"/>
      <c r="L26" s="333"/>
      <c r="M26" s="199"/>
      <c r="N26" s="81"/>
      <c r="O26" s="723"/>
      <c r="P26" s="723"/>
      <c r="Q26" s="81"/>
      <c r="R26" s="300"/>
      <c r="S26" s="300"/>
      <c r="T26" s="300"/>
      <c r="U26" s="199">
        <f ca="1">1-U25</f>
        <v>0.41520467836257313</v>
      </c>
      <c r="V26" s="300"/>
      <c r="W26" s="298"/>
      <c r="X26" s="698"/>
      <c r="Y26" s="81"/>
      <c r="Z26" s="81"/>
      <c r="AA26" s="81"/>
      <c r="AB26" s="81"/>
      <c r="AC26" s="226"/>
      <c r="AD26" s="81"/>
      <c r="AE26" s="81"/>
      <c r="AF26" s="220"/>
      <c r="AI26" s="224">
        <v>5</v>
      </c>
      <c r="AJ26" s="224" t="s">
        <v>715</v>
      </c>
    </row>
    <row r="27" spans="2:36">
      <c r="B27" s="357" t="s">
        <v>999</v>
      </c>
      <c r="D27" s="212" t="str">
        <f>"IND"&amp;RIGHT(H27,4)&amp;RIGHT(G27,3)&amp;"N"&amp;RIGHT(E27,1)</f>
        <v>INDNDSHELCN2</v>
      </c>
      <c r="E27" s="261" t="str">
        <f>"Industrial heating technology "&amp;$AJ$12&amp;" "&amp;RIGHT(H27,2)&amp;" - Heat driven heat pump utilizing waste heat - new 2"</f>
        <v>Industrial heating technology N SH - Heat driven heat pump utilizing waste heat - new 2</v>
      </c>
      <c r="F27" s="224" t="s">
        <v>1149</v>
      </c>
      <c r="G27" s="173" t="s">
        <v>499</v>
      </c>
      <c r="H27" s="174" t="str">
        <f>$AI$15</f>
        <v>INDSH</v>
      </c>
      <c r="I27" s="174"/>
      <c r="J27" s="224">
        <f t="shared" ref="J27" si="3">AD27</f>
        <v>2020</v>
      </c>
      <c r="K27" s="81">
        <v>2020</v>
      </c>
      <c r="L27" s="333">
        <v>1</v>
      </c>
      <c r="M27" s="199">
        <f ca="1">VLOOKUP($AD27,INDIRECT("'"&amp;$B27&amp;"'!"&amp;"$P$39:$AD$42"),3,FALSE)</f>
        <v>1.68</v>
      </c>
      <c r="N27" s="81">
        <f ca="1">VLOOKUP($AD27,INDIRECT("'"&amp;$B27&amp;"'!"&amp;"$P$39:$AD$42"),5,FALSE)</f>
        <v>20</v>
      </c>
      <c r="O27" s="723">
        <f ca="1">VLOOKUP($AD27,INDIRECT("'"&amp;$B27&amp;"'!"&amp;"$P$39:$AD$42"),6,FALSE)/1000</f>
        <v>4.1720000000000006</v>
      </c>
      <c r="P27" s="723">
        <f ca="1">VLOOKUP($AD27,INDIRECT("'"&amp;$B27&amp;"'!"&amp;"$P$39:$AD$42"),7,FALSE)/1000</f>
        <v>1.49E-2</v>
      </c>
      <c r="Q27" s="81">
        <f ca="1">VLOOKUP($AD27,INDIRECT("'"&amp;$B27&amp;"'!"&amp;"$P$39:$AD$42"),8,FALSE)</f>
        <v>2.0901388888888892</v>
      </c>
      <c r="R27" s="81">
        <v>3.1536000000000002E-2</v>
      </c>
      <c r="S27" s="199">
        <v>0.5</v>
      </c>
      <c r="T27" s="199">
        <f ca="1">HLOOKUP($T$2,INDIRECT("'"&amp;$B27&amp;"'!"&amp;"$P$6:$AC$19"),IF(H27=$AI$13,6,IF(H27=$AI$14,9,14)),FALSE)</f>
        <v>1</v>
      </c>
      <c r="U27" s="199">
        <f ca="1">1/M27</f>
        <v>0.59523809523809523</v>
      </c>
      <c r="V27" s="199"/>
      <c r="W27" s="298"/>
      <c r="X27" s="698">
        <f ca="1">IF(VLOOKUP($AD27,INDIRECT("'"&amp;$B27&amp;"'!"&amp;"$P$39:$AD$42"),11,FALSE)="Cf. the utilized electricity",0,VLOOKUP($AD27,INDIRECT("'"&amp;$B27&amp;"'!"&amp;"$P$39:$AD$42"),11,FALSE))</f>
        <v>0</v>
      </c>
      <c r="Y27" s="81">
        <f ca="1">VLOOKUP($AD27,INDIRECT("'"&amp;$B27&amp;"'!"&amp;"$P$39:$AD$42"),12,FALSE)</f>
        <v>0</v>
      </c>
      <c r="Z27" s="81">
        <f ca="1">VLOOKUP($AD27,INDIRECT("'"&amp;$B27&amp;"'!"&amp;"$P$39:$AD$42"),13,FALSE)</f>
        <v>0</v>
      </c>
      <c r="AA27" s="81">
        <f ca="1">VLOOKUP($AD27,INDIRECT("'"&amp;$B27&amp;"'!"&amp;"$P$39:$AD$42"),14,FALSE)</f>
        <v>0</v>
      </c>
      <c r="AB27" s="81">
        <f ca="1">VLOOKUP($AD27,INDIRECT("'"&amp;$B27&amp;"'!"&amp;"$P$39:$AD$42"),15,FALSE)</f>
        <v>0</v>
      </c>
      <c r="AD27" s="81">
        <v>2020</v>
      </c>
      <c r="AE27" s="81"/>
      <c r="AF27" s="220"/>
      <c r="AI27" s="224">
        <v>6</v>
      </c>
    </row>
    <row r="28" spans="2:36" ht="15" customHeight="1">
      <c r="B28" s="357" t="s">
        <v>999</v>
      </c>
      <c r="D28" s="212"/>
      <c r="E28" s="261"/>
      <c r="F28" s="224" t="s">
        <v>1149</v>
      </c>
      <c r="G28" s="173" t="str">
        <f>$AI$20</f>
        <v>INDNWH</v>
      </c>
      <c r="H28" s="174"/>
      <c r="I28" s="174"/>
      <c r="K28" s="81"/>
      <c r="L28" s="333"/>
      <c r="M28" s="199"/>
      <c r="N28" s="81"/>
      <c r="O28" s="723"/>
      <c r="P28" s="723"/>
      <c r="Q28" s="81"/>
      <c r="R28" s="200"/>
      <c r="S28" s="772"/>
      <c r="T28" s="772"/>
      <c r="U28" s="199">
        <f ca="1">1-U27</f>
        <v>0.40476190476190477</v>
      </c>
      <c r="V28" s="772"/>
      <c r="W28" s="298"/>
      <c r="X28" s="698"/>
      <c r="Y28" s="81"/>
      <c r="Z28" s="81"/>
      <c r="AA28" s="81"/>
      <c r="AB28" s="81"/>
      <c r="AD28" s="81"/>
      <c r="AE28" s="81"/>
      <c r="AF28" s="220"/>
      <c r="AI28" s="224">
        <v>7</v>
      </c>
      <c r="AJ28" s="224" t="s">
        <v>716</v>
      </c>
    </row>
    <row r="29" spans="2:36">
      <c r="B29" s="357" t="s">
        <v>999</v>
      </c>
      <c r="D29" s="212"/>
      <c r="E29" s="212"/>
      <c r="F29" s="224" t="s">
        <v>1149</v>
      </c>
      <c r="G29" s="173" t="s">
        <v>499</v>
      </c>
      <c r="H29" s="174" t="str">
        <f>$AI$15</f>
        <v>INDSH</v>
      </c>
      <c r="I29" s="174"/>
      <c r="J29" s="224">
        <f t="shared" ref="J29" si="4">AD29</f>
        <v>2030</v>
      </c>
      <c r="K29" s="81"/>
      <c r="L29" s="333">
        <v>1</v>
      </c>
      <c r="M29" s="199">
        <f ca="1">VLOOKUP($AD29,INDIRECT("'"&amp;$B29&amp;"'!"&amp;"$P$39:$AD$42"),3,FALSE)</f>
        <v>1.69</v>
      </c>
      <c r="N29" s="81"/>
      <c r="O29" s="723">
        <f ca="1">VLOOKUP($AD29,INDIRECT("'"&amp;$B29&amp;"'!"&amp;"$P$39:$AD$42"),6,FALSE)/1000</f>
        <v>3.7995000000000001</v>
      </c>
      <c r="P29" s="723">
        <f ca="1">VLOOKUP($AD29,INDIRECT("'"&amp;$B29&amp;"'!"&amp;"$P$39:$AD$42"),7,FALSE)/1000</f>
        <v>1.49E-2</v>
      </c>
      <c r="Q29" s="81">
        <f ca="1">VLOOKUP($AD29,INDIRECT("'"&amp;$B29&amp;"'!"&amp;"$P$39:$AD$42"),8,FALSE)</f>
        <v>2.0694444444444446</v>
      </c>
      <c r="R29" s="300"/>
      <c r="S29" s="300"/>
      <c r="T29" s="300"/>
      <c r="U29" s="199">
        <f ca="1">1/M29</f>
        <v>0.59171597633136097</v>
      </c>
      <c r="V29" s="199"/>
      <c r="W29" s="298"/>
      <c r="X29" s="698">
        <f ca="1">IF(VLOOKUP($AD29,INDIRECT("'"&amp;$B29&amp;"'!"&amp;"$P$39:$AD$42"),11,FALSE)="Cf. the utilized electricity",0,VLOOKUP($AD29,INDIRECT("'"&amp;$B29&amp;"'!"&amp;"$P$39:$AD$42"),11,FALSE))</f>
        <v>0</v>
      </c>
      <c r="Y29" s="81">
        <f ca="1">VLOOKUP($AD29,INDIRECT("'"&amp;$B29&amp;"'!"&amp;"$P$39:$AD$42"),12,FALSE)</f>
        <v>0</v>
      </c>
      <c r="Z29" s="81">
        <f ca="1">VLOOKUP($AD29,INDIRECT("'"&amp;$B29&amp;"'!"&amp;"$P$39:$AD$42"),13,FALSE)</f>
        <v>0</v>
      </c>
      <c r="AA29" s="81">
        <f ca="1">VLOOKUP($AD29,INDIRECT("'"&amp;$B29&amp;"'!"&amp;"$P$39:$AD$42"),14,FALSE)</f>
        <v>0</v>
      </c>
      <c r="AB29" s="81">
        <f ca="1">VLOOKUP($AD29,INDIRECT("'"&amp;$B29&amp;"'!"&amp;"$P$39:$AD$42"),15,FALSE)</f>
        <v>0</v>
      </c>
      <c r="AD29" s="81">
        <v>2030</v>
      </c>
      <c r="AE29" s="81"/>
      <c r="AF29" s="220"/>
      <c r="AI29" s="224">
        <v>8</v>
      </c>
    </row>
    <row r="30" spans="2:36" ht="15" customHeight="1">
      <c r="B30" s="357" t="s">
        <v>999</v>
      </c>
      <c r="D30" s="212"/>
      <c r="E30" s="212"/>
      <c r="F30" s="224" t="s">
        <v>1149</v>
      </c>
      <c r="G30" s="173" t="str">
        <f>$AI$20</f>
        <v>INDNWH</v>
      </c>
      <c r="H30" s="174"/>
      <c r="I30" s="174"/>
      <c r="K30" s="81"/>
      <c r="L30" s="333"/>
      <c r="M30" s="199"/>
      <c r="N30" s="81"/>
      <c r="O30" s="723"/>
      <c r="P30" s="723"/>
      <c r="Q30" s="81"/>
      <c r="R30" s="300"/>
      <c r="S30" s="300"/>
      <c r="T30" s="300"/>
      <c r="U30" s="199">
        <f ca="1">1-U29</f>
        <v>0.40828402366863903</v>
      </c>
      <c r="V30" s="300"/>
      <c r="W30" s="298"/>
      <c r="X30" s="698"/>
      <c r="Y30" s="81"/>
      <c r="Z30" s="81"/>
      <c r="AA30" s="81"/>
      <c r="AB30" s="81"/>
      <c r="AD30" s="81"/>
      <c r="AE30" s="81"/>
      <c r="AF30" s="220"/>
      <c r="AI30" s="224">
        <v>9</v>
      </c>
      <c r="AJ30" s="224" t="s">
        <v>717</v>
      </c>
    </row>
    <row r="31" spans="2:36">
      <c r="B31" s="357" t="s">
        <v>999</v>
      </c>
      <c r="D31" s="212"/>
      <c r="E31" s="212"/>
      <c r="F31" s="224" t="s">
        <v>1149</v>
      </c>
      <c r="G31" s="173" t="s">
        <v>499</v>
      </c>
      <c r="H31" s="174" t="str">
        <f>$AI$15</f>
        <v>INDSH</v>
      </c>
      <c r="I31" s="174"/>
      <c r="J31" s="224">
        <f t="shared" ref="J31" si="5">AD31</f>
        <v>2050</v>
      </c>
      <c r="K31" s="81"/>
      <c r="L31" s="333">
        <v>1</v>
      </c>
      <c r="M31" s="199">
        <f ca="1">VLOOKUP($AD31,INDIRECT("'"&amp;$B31&amp;"'!"&amp;"$P$39:$AD$42"),3,FALSE)</f>
        <v>1.71</v>
      </c>
      <c r="N31" s="81"/>
      <c r="O31" s="723">
        <f ca="1">VLOOKUP($AD31,INDIRECT("'"&amp;$B31&amp;"'!"&amp;"$P$39:$AD$42"),6,FALSE)/1000</f>
        <v>3.427</v>
      </c>
      <c r="P31" s="723">
        <f ca="1">VLOOKUP($AD31,INDIRECT("'"&amp;$B31&amp;"'!"&amp;"$P$39:$AD$42"),7,FALSE)/1000</f>
        <v>1.49E-2</v>
      </c>
      <c r="Q31" s="81">
        <f ca="1">VLOOKUP($AD31,INDIRECT("'"&amp;$B31&amp;"'!"&amp;"$P$39:$AD$42"),8,FALSE)</f>
        <v>2.0487500000000001</v>
      </c>
      <c r="R31" s="300"/>
      <c r="S31" s="300"/>
      <c r="T31" s="300"/>
      <c r="U31" s="199">
        <f ca="1">1/M31</f>
        <v>0.58479532163742687</v>
      </c>
      <c r="V31" s="199"/>
      <c r="W31" s="298"/>
      <c r="X31" s="698">
        <f ca="1">IF(VLOOKUP($AD31,INDIRECT("'"&amp;$B31&amp;"'!"&amp;"$P$39:$AD$42"),11,FALSE)="Cf. the utilized electricity",0,VLOOKUP($AD31,INDIRECT("'"&amp;$B31&amp;"'!"&amp;"$P$39:$AD$42"),11,FALSE))</f>
        <v>0</v>
      </c>
      <c r="Y31" s="81">
        <f ca="1">VLOOKUP($AD31,INDIRECT("'"&amp;$B31&amp;"'!"&amp;"$P$39:$AD$42"),12,FALSE)</f>
        <v>0</v>
      </c>
      <c r="Z31" s="81">
        <f ca="1">VLOOKUP($AD31,INDIRECT("'"&amp;$B31&amp;"'!"&amp;"$P$39:$AD$42"),13,FALSE)</f>
        <v>0</v>
      </c>
      <c r="AA31" s="81">
        <f ca="1">VLOOKUP($AD31,INDIRECT("'"&amp;$B31&amp;"'!"&amp;"$P$39:$AD$42"),14,FALSE)</f>
        <v>0</v>
      </c>
      <c r="AB31" s="81">
        <f ca="1">VLOOKUP($AD31,INDIRECT("'"&amp;$B31&amp;"'!"&amp;"$P$39:$AD$42"),15,FALSE)</f>
        <v>0</v>
      </c>
      <c r="AD31" s="81">
        <v>2050</v>
      </c>
      <c r="AE31" s="81"/>
      <c r="AF31" s="220"/>
      <c r="AI31" s="224">
        <v>10</v>
      </c>
    </row>
    <row r="32" spans="2:36">
      <c r="B32" s="357" t="s">
        <v>999</v>
      </c>
      <c r="D32" s="212"/>
      <c r="E32" s="212"/>
      <c r="F32" s="224" t="s">
        <v>1149</v>
      </c>
      <c r="G32" s="173" t="str">
        <f>$AI$20</f>
        <v>INDNWH</v>
      </c>
      <c r="H32" s="174"/>
      <c r="I32" s="174"/>
      <c r="K32" s="81"/>
      <c r="L32" s="333"/>
      <c r="M32" s="199"/>
      <c r="N32" s="81"/>
      <c r="O32" s="723"/>
      <c r="P32" s="723"/>
      <c r="Q32" s="81"/>
      <c r="R32" s="300"/>
      <c r="S32" s="300"/>
      <c r="T32" s="300"/>
      <c r="U32" s="199">
        <f ca="1">1-U31</f>
        <v>0.41520467836257313</v>
      </c>
      <c r="V32" s="300"/>
      <c r="W32" s="298"/>
      <c r="X32" s="698"/>
      <c r="Y32" s="81"/>
      <c r="Z32" s="81"/>
      <c r="AA32" s="81"/>
      <c r="AB32" s="81"/>
      <c r="AD32" s="81"/>
      <c r="AE32" s="81"/>
      <c r="AF32" s="220"/>
      <c r="AI32" s="224">
        <v>11</v>
      </c>
      <c r="AJ32" s="224" t="s">
        <v>718</v>
      </c>
    </row>
    <row r="33" spans="2:36">
      <c r="B33" s="357" t="s">
        <v>1000</v>
      </c>
      <c r="D33" s="212" t="str">
        <f>"IND"&amp;RIGHT(H33,4)&amp;RIGHT(G33,3)&amp;"N"&amp;RIGHT(E33,1)</f>
        <v>INDNDPHELCN3</v>
      </c>
      <c r="E33" s="261" t="str">
        <f>"Industrial heating technology "&amp;$AJ$12&amp;" "&amp;RIGHT(H33,2)&amp;" - High Temp abs. Heat pump utilizing waste heat - new 3"</f>
        <v>Industrial heating technology N PH - High Temp abs. Heat pump utilizing waste heat - new 3</v>
      </c>
      <c r="F33" s="224" t="s">
        <v>1149</v>
      </c>
      <c r="G33" s="173" t="s">
        <v>499</v>
      </c>
      <c r="H33" s="174" t="str">
        <f>$AI$14</f>
        <v>INDPH</v>
      </c>
      <c r="I33" s="174"/>
      <c r="J33" s="224">
        <f t="shared" ref="J33" si="6">AD33</f>
        <v>2020</v>
      </c>
      <c r="K33" s="81">
        <v>2020</v>
      </c>
      <c r="L33" s="333">
        <v>1</v>
      </c>
      <c r="M33" s="199">
        <f ca="1">VLOOKUP($AD33,INDIRECT("'"&amp;$B33&amp;"'!"&amp;"$P$39:$AD$42"),3,FALSE)</f>
        <v>2.75</v>
      </c>
      <c r="N33" s="81">
        <f ca="1">VLOOKUP($AD33,INDIRECT("'"&amp;$B33&amp;"'!"&amp;"$P$39:$AD$42"),5,FALSE)</f>
        <v>20</v>
      </c>
      <c r="O33" s="723">
        <f ca="1">VLOOKUP($AD33,INDIRECT("'"&amp;$B33&amp;"'!"&amp;"$P$39:$AD$42"),6,FALSE)/1000</f>
        <v>7.1394840000000004</v>
      </c>
      <c r="P33" s="723">
        <f ca="1">VLOOKUP($AD33,INDIRECT("'"&amp;$B33&amp;"'!"&amp;"$P$39:$AD$42"),7,FALSE)/1000</f>
        <v>7.2264999999999994E-3</v>
      </c>
      <c r="Q33" s="81">
        <f ca="1">VLOOKUP($AD33,INDIRECT("'"&amp;$B33&amp;"'!"&amp;"$P$39:$AD$42"),8,FALSE)</f>
        <v>6.7463888888888883</v>
      </c>
      <c r="R33" s="81">
        <v>3.1536000000000002E-2</v>
      </c>
      <c r="S33" s="199">
        <v>0.5</v>
      </c>
      <c r="T33" s="199">
        <f ca="1">HLOOKUP($T$2,INDIRECT("'"&amp;$B33&amp;"'!"&amp;"$P$6:$AC$19"),IF(H33=$AI$13,6,IF(H33=$AI$14,9,14)),FALSE)-T9</f>
        <v>0</v>
      </c>
      <c r="U33" s="199">
        <f ca="1">1/M33</f>
        <v>0.36363636363636365</v>
      </c>
      <c r="V33" s="199"/>
      <c r="W33" s="298"/>
      <c r="X33" s="698">
        <f ca="1">IF(VLOOKUP($AD33,INDIRECT("'"&amp;$B33&amp;"'!"&amp;"$P$39:$AD$42"),11,FALSE)="Cf. the utilized electricity",0,VLOOKUP($AD33,INDIRECT("'"&amp;$B33&amp;"'!"&amp;"$P$39:$AD$42"),11,FALSE))</f>
        <v>0</v>
      </c>
      <c r="Y33" s="81">
        <f ca="1">VLOOKUP($AD33,INDIRECT("'"&amp;$B33&amp;"'!"&amp;"$P$39:$AD$42"),12,FALSE)</f>
        <v>0</v>
      </c>
      <c r="Z33" s="81">
        <f ca="1">VLOOKUP($AD33,INDIRECT("'"&amp;$B33&amp;"'!"&amp;"$P$39:$AD$42"),13,FALSE)</f>
        <v>0</v>
      </c>
      <c r="AA33" s="81">
        <f ca="1">VLOOKUP($AD33,INDIRECT("'"&amp;$B33&amp;"'!"&amp;"$P$39:$AD$42"),14,FALSE)</f>
        <v>0</v>
      </c>
      <c r="AB33" s="81">
        <f ca="1">VLOOKUP($AD33,INDIRECT("'"&amp;$B33&amp;"'!"&amp;"$P$39:$AD$42"),15,FALSE)</f>
        <v>0</v>
      </c>
      <c r="AD33" s="81">
        <v>2020</v>
      </c>
      <c r="AE33" s="81"/>
      <c r="AF33" s="220"/>
      <c r="AI33" s="224">
        <v>12</v>
      </c>
    </row>
    <row r="34" spans="2:36">
      <c r="B34" s="357" t="s">
        <v>1000</v>
      </c>
      <c r="D34" s="212"/>
      <c r="E34" s="261"/>
      <c r="F34" s="224" t="s">
        <v>1149</v>
      </c>
      <c r="G34" s="173" t="str">
        <f>$AI$20</f>
        <v>INDNWH</v>
      </c>
      <c r="H34" s="174"/>
      <c r="I34" s="174"/>
      <c r="K34" s="81"/>
      <c r="L34" s="333"/>
      <c r="M34" s="199"/>
      <c r="N34" s="81"/>
      <c r="O34" s="723"/>
      <c r="P34" s="723"/>
      <c r="Q34" s="81"/>
      <c r="R34" s="200"/>
      <c r="S34" s="772"/>
      <c r="T34" s="772"/>
      <c r="U34" s="199">
        <f ca="1">1-U33</f>
        <v>0.63636363636363635</v>
      </c>
      <c r="V34" s="772"/>
      <c r="W34" s="298"/>
      <c r="X34" s="698"/>
      <c r="Y34" s="81"/>
      <c r="Z34" s="81"/>
      <c r="AA34" s="81"/>
      <c r="AB34" s="81"/>
      <c r="AD34" s="81"/>
      <c r="AE34" s="81"/>
      <c r="AF34" s="220"/>
      <c r="AI34" s="224">
        <v>13</v>
      </c>
      <c r="AJ34" s="224" t="s">
        <v>719</v>
      </c>
    </row>
    <row r="35" spans="2:36">
      <c r="B35" s="357" t="s">
        <v>1000</v>
      </c>
      <c r="D35" s="212"/>
      <c r="E35" s="212"/>
      <c r="F35" s="224" t="s">
        <v>1149</v>
      </c>
      <c r="G35" s="173" t="s">
        <v>499</v>
      </c>
      <c r="H35" s="174" t="str">
        <f>$AI$14</f>
        <v>INDPH</v>
      </c>
      <c r="I35" s="174"/>
      <c r="J35" s="224">
        <f t="shared" ref="J35" si="7">AD35</f>
        <v>2030</v>
      </c>
      <c r="K35" s="81"/>
      <c r="L35" s="333">
        <v>1</v>
      </c>
      <c r="M35" s="199">
        <f ca="1">VLOOKUP($AD35,INDIRECT("'"&amp;$B35&amp;"'!"&amp;"$P$39:$AD$42"),3,FALSE)</f>
        <v>2.875</v>
      </c>
      <c r="N35" s="81"/>
      <c r="O35" s="723">
        <f ca="1">VLOOKUP($AD35,INDIRECT("'"&amp;$B35&amp;"'!"&amp;"$P$39:$AD$42"),6,FALSE)/1000</f>
        <v>6.3822660000000013</v>
      </c>
      <c r="P35" s="723">
        <f ca="1">VLOOKUP($AD35,INDIRECT("'"&amp;$B35&amp;"'!"&amp;"$P$39:$AD$42"),7,FALSE)/1000</f>
        <v>6.4814999999999994E-3</v>
      </c>
      <c r="Q35" s="81">
        <f ca="1">VLOOKUP($AD35,INDIRECT("'"&amp;$B35&amp;"'!"&amp;"$P$39:$AD$42"),8,FALSE)</f>
        <v>6.6222222222222227</v>
      </c>
      <c r="R35" s="300"/>
      <c r="S35" s="300"/>
      <c r="T35" s="300"/>
      <c r="U35" s="199">
        <f ca="1">1/M35</f>
        <v>0.34782608695652173</v>
      </c>
      <c r="V35" s="199"/>
      <c r="W35" s="298"/>
      <c r="X35" s="698">
        <f ca="1">IF(VLOOKUP($AD35,INDIRECT("'"&amp;$B35&amp;"'!"&amp;"$P$39:$AD$42"),11,FALSE)="Cf. the utilized electricity",0,VLOOKUP($AD35,INDIRECT("'"&amp;$B35&amp;"'!"&amp;"$P$39:$AD$42"),11,FALSE))</f>
        <v>0</v>
      </c>
      <c r="Y35" s="81">
        <f ca="1">VLOOKUP($AD35,INDIRECT("'"&amp;$B35&amp;"'!"&amp;"$P$39:$AD$42"),12,FALSE)</f>
        <v>0</v>
      </c>
      <c r="Z35" s="81">
        <f ca="1">VLOOKUP($AD35,INDIRECT("'"&amp;$B35&amp;"'!"&amp;"$P$39:$AD$42"),13,FALSE)</f>
        <v>0</v>
      </c>
      <c r="AA35" s="81">
        <f ca="1">VLOOKUP($AD35,INDIRECT("'"&amp;$B35&amp;"'!"&amp;"$P$39:$AD$42"),14,FALSE)</f>
        <v>0</v>
      </c>
      <c r="AB35" s="81">
        <f ca="1">VLOOKUP($AD35,INDIRECT("'"&amp;$B35&amp;"'!"&amp;"$P$39:$AD$42"),15,FALSE)</f>
        <v>0</v>
      </c>
      <c r="AD35" s="81">
        <v>2030</v>
      </c>
      <c r="AE35" s="81"/>
      <c r="AF35" s="220"/>
      <c r="AI35" s="224">
        <v>14</v>
      </c>
    </row>
    <row r="36" spans="2:36">
      <c r="B36" s="357" t="s">
        <v>1000</v>
      </c>
      <c r="D36" s="212"/>
      <c r="E36" s="212"/>
      <c r="F36" s="224" t="s">
        <v>1149</v>
      </c>
      <c r="G36" s="173" t="str">
        <f>$AI$20</f>
        <v>INDNWH</v>
      </c>
      <c r="H36" s="174"/>
      <c r="I36" s="174"/>
      <c r="K36" s="81"/>
      <c r="L36" s="333"/>
      <c r="M36" s="199"/>
      <c r="N36" s="81"/>
      <c r="O36" s="723"/>
      <c r="P36" s="723"/>
      <c r="Q36" s="81"/>
      <c r="R36" s="300"/>
      <c r="S36" s="300"/>
      <c r="T36" s="300"/>
      <c r="U36" s="199">
        <f ca="1">1-U35</f>
        <v>0.65217391304347827</v>
      </c>
      <c r="V36" s="300"/>
      <c r="W36" s="298"/>
      <c r="X36" s="698"/>
      <c r="Y36" s="81"/>
      <c r="Z36" s="81"/>
      <c r="AA36" s="81"/>
      <c r="AB36" s="81"/>
      <c r="AD36" s="81"/>
      <c r="AE36" s="81"/>
      <c r="AF36" s="220"/>
    </row>
    <row r="37" spans="2:36">
      <c r="B37" s="357" t="s">
        <v>1000</v>
      </c>
      <c r="D37" s="212"/>
      <c r="E37" s="212"/>
      <c r="F37" s="224" t="s">
        <v>1149</v>
      </c>
      <c r="G37" s="173" t="s">
        <v>499</v>
      </c>
      <c r="H37" s="174" t="str">
        <f>$AI$14</f>
        <v>INDPH</v>
      </c>
      <c r="I37" s="174"/>
      <c r="J37" s="224">
        <f t="shared" ref="J37" si="8">AD37</f>
        <v>2050</v>
      </c>
      <c r="K37" s="81"/>
      <c r="L37" s="333">
        <v>1</v>
      </c>
      <c r="M37" s="199">
        <f ca="1">VLOOKUP($AD37,INDIRECT("'"&amp;$B37&amp;"'!"&amp;"$P$39:$AD$42"),3,FALSE)</f>
        <v>3.0249999999999999</v>
      </c>
      <c r="N37" s="81"/>
      <c r="O37" s="723">
        <f ca="1">VLOOKUP($AD37,INDIRECT("'"&amp;$B37&amp;"'!"&amp;"$P$39:$AD$42"),6,FALSE)/1000</f>
        <v>5.7365000000000004</v>
      </c>
      <c r="P37" s="723">
        <f ca="1">VLOOKUP($AD37,INDIRECT("'"&amp;$B37&amp;"'!"&amp;"$P$39:$AD$42"),7,FALSE)/1000</f>
        <v>5.3639999999999998E-3</v>
      </c>
      <c r="Q37" s="81">
        <f ca="1">VLOOKUP($AD37,INDIRECT("'"&amp;$B37&amp;"'!"&amp;"$P$39:$AD$42"),8,FALSE)</f>
        <v>6.4566666666666661</v>
      </c>
      <c r="R37" s="300"/>
      <c r="S37" s="300"/>
      <c r="T37" s="300"/>
      <c r="U37" s="199">
        <f ca="1">1/M37</f>
        <v>0.33057851239669422</v>
      </c>
      <c r="V37" s="199"/>
      <c r="W37" s="298"/>
      <c r="X37" s="698">
        <f ca="1">IF(VLOOKUP($AD37,INDIRECT("'"&amp;$B37&amp;"'!"&amp;"$P$39:$AD$42"),11,FALSE)="Cf. the utilized electricity",0,VLOOKUP($AD37,INDIRECT("'"&amp;$B37&amp;"'!"&amp;"$P$39:$AD$42"),11,FALSE))</f>
        <v>0</v>
      </c>
      <c r="Y37" s="81">
        <f ca="1">VLOOKUP($AD37,INDIRECT("'"&amp;$B37&amp;"'!"&amp;"$P$39:$AD$42"),12,FALSE)</f>
        <v>0</v>
      </c>
      <c r="Z37" s="81">
        <f ca="1">VLOOKUP($AD37,INDIRECT("'"&amp;$B37&amp;"'!"&amp;"$P$39:$AD$42"),13,FALSE)</f>
        <v>0</v>
      </c>
      <c r="AA37" s="81">
        <f ca="1">VLOOKUP($AD37,INDIRECT("'"&amp;$B37&amp;"'!"&amp;"$P$39:$AD$42"),14,FALSE)</f>
        <v>0</v>
      </c>
      <c r="AB37" s="81">
        <f ca="1">VLOOKUP($AD37,INDIRECT("'"&amp;$B37&amp;"'!"&amp;"$P$39:$AD$42"),15,FALSE)</f>
        <v>0</v>
      </c>
      <c r="AD37" s="81">
        <v>2050</v>
      </c>
      <c r="AE37" s="81"/>
      <c r="AF37" s="220"/>
    </row>
    <row r="38" spans="2:36">
      <c r="B38" s="357" t="s">
        <v>1000</v>
      </c>
      <c r="D38" s="212"/>
      <c r="E38" s="212"/>
      <c r="F38" s="224" t="s">
        <v>1149</v>
      </c>
      <c r="G38" s="173" t="str">
        <f>$AI$20</f>
        <v>INDNWH</v>
      </c>
      <c r="H38" s="174"/>
      <c r="I38" s="174"/>
      <c r="K38" s="81"/>
      <c r="L38" s="333"/>
      <c r="M38" s="199"/>
      <c r="N38" s="81"/>
      <c r="O38" s="723"/>
      <c r="P38" s="723"/>
      <c r="Q38" s="81"/>
      <c r="R38" s="300"/>
      <c r="S38" s="300"/>
      <c r="T38" s="300"/>
      <c r="U38" s="199">
        <f ca="1">1-U37</f>
        <v>0.66942148760330578</v>
      </c>
      <c r="V38" s="300"/>
      <c r="W38" s="298"/>
      <c r="X38" s="698"/>
      <c r="Y38" s="81"/>
      <c r="Z38" s="81"/>
      <c r="AA38" s="81"/>
      <c r="AB38" s="81"/>
      <c r="AD38" s="81"/>
      <c r="AE38" s="81"/>
      <c r="AF38" s="220"/>
    </row>
    <row r="39" spans="2:36">
      <c r="B39" s="357" t="s">
        <v>1000</v>
      </c>
      <c r="D39" s="212" t="str">
        <f>"IND"&amp;RIGHT(H39,4)&amp;RIGHT(G39,3)&amp;"N"&amp;RIGHT(E39,1)</f>
        <v>INDNDSHELCN3</v>
      </c>
      <c r="E39" s="261" t="str">
        <f>"Industrial heating technology "&amp;$AJ$12&amp;" "&amp;RIGHT(H39,2)&amp;" - High Temp abs. Heat pump utilizing waste heat - new 3"</f>
        <v>Industrial heating technology N SH - High Temp abs. Heat pump utilizing waste heat - new 3</v>
      </c>
      <c r="F39" s="224" t="s">
        <v>1149</v>
      </c>
      <c r="G39" s="173" t="s">
        <v>499</v>
      </c>
      <c r="H39" s="174" t="str">
        <f>$AI$15</f>
        <v>INDSH</v>
      </c>
      <c r="I39" s="174"/>
      <c r="J39" s="224">
        <f t="shared" ref="J39" si="9">AD39</f>
        <v>2020</v>
      </c>
      <c r="K39" s="81">
        <v>2020</v>
      </c>
      <c r="L39" s="333">
        <v>1</v>
      </c>
      <c r="M39" s="199">
        <f ca="1">VLOOKUP($AD39,INDIRECT("'"&amp;$B39&amp;"'!"&amp;"$P$39:$AD$42"),3,FALSE)</f>
        <v>2.75</v>
      </c>
      <c r="N39" s="81">
        <f ca="1">VLOOKUP($AD39,INDIRECT("'"&amp;$B39&amp;"'!"&amp;"$P$39:$AD$42"),5,FALSE)</f>
        <v>20</v>
      </c>
      <c r="O39" s="723">
        <f ca="1">VLOOKUP($AD39,INDIRECT("'"&amp;$B39&amp;"'!"&amp;"$P$39:$AD$42"),6,FALSE)/1000</f>
        <v>7.1394840000000004</v>
      </c>
      <c r="P39" s="723">
        <f ca="1">VLOOKUP($AD39,INDIRECT("'"&amp;$B39&amp;"'!"&amp;"$P$39:$AD$42"),7,FALSE)/1000</f>
        <v>7.2264999999999994E-3</v>
      </c>
      <c r="Q39" s="81">
        <f ca="1">VLOOKUP($AD39,INDIRECT("'"&amp;$B39&amp;"'!"&amp;"$P$39:$AD$42"),8,FALSE)</f>
        <v>6.7463888888888883</v>
      </c>
      <c r="R39" s="81">
        <v>3.1536000000000002E-2</v>
      </c>
      <c r="S39" s="199">
        <v>0.5</v>
      </c>
      <c r="T39" s="199">
        <f ca="1">HLOOKUP($T$2,INDIRECT("'"&amp;$B39&amp;"'!"&amp;"$P$6:$AC$19"),IF(H39=$AI$13,6,IF(H39=$AI$14,9,14)),FALSE)</f>
        <v>1</v>
      </c>
      <c r="U39" s="199">
        <f ca="1">1/M39</f>
        <v>0.36363636363636365</v>
      </c>
      <c r="V39" s="199"/>
      <c r="W39" s="298"/>
      <c r="X39" s="698">
        <f ca="1">IF(VLOOKUP($AD39,INDIRECT("'"&amp;$B39&amp;"'!"&amp;"$P$39:$AD$42"),11,FALSE)="Cf. the utilized electricity",0,VLOOKUP($AD39,INDIRECT("'"&amp;$B39&amp;"'!"&amp;"$P$39:$AD$42"),11,FALSE))</f>
        <v>0</v>
      </c>
      <c r="Y39" s="81">
        <f ca="1">VLOOKUP($AD39,INDIRECT("'"&amp;$B39&amp;"'!"&amp;"$P$39:$AD$42"),12,FALSE)</f>
        <v>0</v>
      </c>
      <c r="Z39" s="81">
        <f ca="1">VLOOKUP($AD39,INDIRECT("'"&amp;$B39&amp;"'!"&amp;"$P$39:$AD$42"),13,FALSE)</f>
        <v>0</v>
      </c>
      <c r="AA39" s="81">
        <f ca="1">VLOOKUP($AD39,INDIRECT("'"&amp;$B39&amp;"'!"&amp;"$P$39:$AD$42"),14,FALSE)</f>
        <v>0</v>
      </c>
      <c r="AB39" s="81">
        <f ca="1">VLOOKUP($AD39,INDIRECT("'"&amp;$B39&amp;"'!"&amp;"$P$39:$AD$42"),15,FALSE)</f>
        <v>0</v>
      </c>
      <c r="AD39" s="81">
        <v>2020</v>
      </c>
      <c r="AE39" s="81"/>
      <c r="AF39" s="220"/>
    </row>
    <row r="40" spans="2:36">
      <c r="B40" s="357" t="s">
        <v>1000</v>
      </c>
      <c r="D40" s="212"/>
      <c r="E40" s="261"/>
      <c r="F40" s="224" t="s">
        <v>1149</v>
      </c>
      <c r="G40" s="173" t="str">
        <f>$AI$20</f>
        <v>INDNWH</v>
      </c>
      <c r="H40" s="174"/>
      <c r="I40" s="174"/>
      <c r="K40" s="81"/>
      <c r="L40" s="333"/>
      <c r="M40" s="199"/>
      <c r="N40" s="81"/>
      <c r="O40" s="723"/>
      <c r="P40" s="723"/>
      <c r="Q40" s="81"/>
      <c r="R40" s="200"/>
      <c r="S40" s="772"/>
      <c r="T40" s="772"/>
      <c r="U40" s="199">
        <f ca="1">1-U39</f>
        <v>0.63636363636363635</v>
      </c>
      <c r="V40" s="772"/>
      <c r="W40" s="298"/>
      <c r="X40" s="698"/>
      <c r="Y40" s="81"/>
      <c r="Z40" s="81"/>
      <c r="AA40" s="81"/>
      <c r="AB40" s="81"/>
      <c r="AD40" s="81"/>
      <c r="AE40" s="81"/>
      <c r="AF40" s="220"/>
    </row>
    <row r="41" spans="2:36">
      <c r="B41" s="357" t="s">
        <v>1000</v>
      </c>
      <c r="D41" s="212"/>
      <c r="E41" s="212"/>
      <c r="F41" s="224" t="s">
        <v>1149</v>
      </c>
      <c r="G41" s="173" t="s">
        <v>499</v>
      </c>
      <c r="H41" s="174" t="str">
        <f>$AI$15</f>
        <v>INDSH</v>
      </c>
      <c r="I41" s="174"/>
      <c r="J41" s="224">
        <f t="shared" ref="J41" si="10">AD41</f>
        <v>2030</v>
      </c>
      <c r="K41" s="81"/>
      <c r="L41" s="333">
        <v>1</v>
      </c>
      <c r="M41" s="199">
        <f ca="1">VLOOKUP($AD41,INDIRECT("'"&amp;$B41&amp;"'!"&amp;"$P$39:$AD$42"),3,FALSE)</f>
        <v>2.875</v>
      </c>
      <c r="N41" s="81"/>
      <c r="O41" s="723">
        <f ca="1">VLOOKUP($AD41,INDIRECT("'"&amp;$B41&amp;"'!"&amp;"$P$39:$AD$42"),6,FALSE)/1000</f>
        <v>6.3822660000000013</v>
      </c>
      <c r="P41" s="723">
        <f ca="1">VLOOKUP($AD41,INDIRECT("'"&amp;$B41&amp;"'!"&amp;"$P$39:$AD$42"),7,FALSE)/1000</f>
        <v>6.4814999999999994E-3</v>
      </c>
      <c r="Q41" s="81">
        <f ca="1">VLOOKUP($AD41,INDIRECT("'"&amp;$B41&amp;"'!"&amp;"$P$39:$AD$42"),8,FALSE)</f>
        <v>6.6222222222222227</v>
      </c>
      <c r="R41" s="300"/>
      <c r="S41" s="300"/>
      <c r="T41" s="300"/>
      <c r="U41" s="199">
        <f ca="1">1/M41</f>
        <v>0.34782608695652173</v>
      </c>
      <c r="V41" s="199"/>
      <c r="W41" s="298"/>
      <c r="X41" s="698">
        <f ca="1">IF(VLOOKUP($AD41,INDIRECT("'"&amp;$B41&amp;"'!"&amp;"$P$39:$AD$42"),11,FALSE)="Cf. the utilized electricity",0,VLOOKUP($AD41,INDIRECT("'"&amp;$B41&amp;"'!"&amp;"$P$39:$AD$42"),11,FALSE))</f>
        <v>0</v>
      </c>
      <c r="Y41" s="81">
        <f ca="1">VLOOKUP($AD41,INDIRECT("'"&amp;$B41&amp;"'!"&amp;"$P$39:$AD$42"),12,FALSE)</f>
        <v>0</v>
      </c>
      <c r="Z41" s="81">
        <f ca="1">VLOOKUP($AD41,INDIRECT("'"&amp;$B41&amp;"'!"&amp;"$P$39:$AD$42"),13,FALSE)</f>
        <v>0</v>
      </c>
      <c r="AA41" s="81">
        <f ca="1">VLOOKUP($AD41,INDIRECT("'"&amp;$B41&amp;"'!"&amp;"$P$39:$AD$42"),14,FALSE)</f>
        <v>0</v>
      </c>
      <c r="AB41" s="81">
        <f ca="1">VLOOKUP($AD41,INDIRECT("'"&amp;$B41&amp;"'!"&amp;"$P$39:$AD$42"),15,FALSE)</f>
        <v>0</v>
      </c>
      <c r="AD41" s="81">
        <v>2030</v>
      </c>
      <c r="AE41" s="81"/>
      <c r="AF41" s="220"/>
    </row>
    <row r="42" spans="2:36">
      <c r="B42" s="357" t="s">
        <v>1000</v>
      </c>
      <c r="D42" s="212"/>
      <c r="E42" s="212"/>
      <c r="F42" s="224" t="s">
        <v>1149</v>
      </c>
      <c r="G42" s="173" t="str">
        <f>$AI$20</f>
        <v>INDNWH</v>
      </c>
      <c r="H42" s="174"/>
      <c r="I42" s="174"/>
      <c r="K42" s="81"/>
      <c r="L42" s="333"/>
      <c r="M42" s="199"/>
      <c r="N42" s="81"/>
      <c r="O42" s="723"/>
      <c r="P42" s="723"/>
      <c r="Q42" s="81"/>
      <c r="R42" s="300"/>
      <c r="S42" s="300"/>
      <c r="T42" s="300"/>
      <c r="U42" s="199">
        <f ca="1">1-U41</f>
        <v>0.65217391304347827</v>
      </c>
      <c r="V42" s="300"/>
      <c r="W42" s="298"/>
      <c r="X42" s="698"/>
      <c r="Y42" s="81"/>
      <c r="Z42" s="81"/>
      <c r="AA42" s="81"/>
      <c r="AB42" s="81"/>
      <c r="AD42" s="81"/>
      <c r="AE42" s="81"/>
      <c r="AF42" s="220"/>
    </row>
    <row r="43" spans="2:36">
      <c r="B43" s="357" t="s">
        <v>1000</v>
      </c>
      <c r="D43" s="212"/>
      <c r="E43" s="212"/>
      <c r="F43" s="224" t="s">
        <v>1149</v>
      </c>
      <c r="G43" s="173" t="s">
        <v>499</v>
      </c>
      <c r="H43" s="174" t="str">
        <f>$AI$15</f>
        <v>INDSH</v>
      </c>
      <c r="I43" s="174"/>
      <c r="J43" s="224">
        <f t="shared" ref="J43" si="11">AD43</f>
        <v>2050</v>
      </c>
      <c r="K43" s="81"/>
      <c r="L43" s="333">
        <v>1</v>
      </c>
      <c r="M43" s="199">
        <f ca="1">VLOOKUP($AD43,INDIRECT("'"&amp;$B43&amp;"'!"&amp;"$P$39:$AD$42"),3,FALSE)</f>
        <v>3.0249999999999999</v>
      </c>
      <c r="N43" s="81"/>
      <c r="O43" s="723">
        <f ca="1">VLOOKUP($AD43,INDIRECT("'"&amp;$B43&amp;"'!"&amp;"$P$39:$AD$42"),6,FALSE)/1000</f>
        <v>5.7365000000000004</v>
      </c>
      <c r="P43" s="723">
        <f ca="1">VLOOKUP($AD43,INDIRECT("'"&amp;$B43&amp;"'!"&amp;"$P$39:$AD$42"),7,FALSE)/1000</f>
        <v>5.3639999999999998E-3</v>
      </c>
      <c r="Q43" s="81">
        <f ca="1">VLOOKUP($AD43,INDIRECT("'"&amp;$B43&amp;"'!"&amp;"$P$39:$AD$42"),8,FALSE)</f>
        <v>6.4566666666666661</v>
      </c>
      <c r="R43" s="300"/>
      <c r="S43" s="300"/>
      <c r="T43" s="300"/>
      <c r="U43" s="199">
        <f ca="1">1/M43</f>
        <v>0.33057851239669422</v>
      </c>
      <c r="V43" s="199"/>
      <c r="W43" s="298"/>
      <c r="X43" s="698">
        <f ca="1">IF(VLOOKUP($AD43,INDIRECT("'"&amp;$B43&amp;"'!"&amp;"$P$39:$AD$42"),11,FALSE)="Cf. the utilized electricity",0,VLOOKUP($AD43,INDIRECT("'"&amp;$B43&amp;"'!"&amp;"$P$39:$AD$42"),11,FALSE))</f>
        <v>0</v>
      </c>
      <c r="Y43" s="81">
        <f ca="1">VLOOKUP($AD43,INDIRECT("'"&amp;$B43&amp;"'!"&amp;"$P$39:$AD$42"),12,FALSE)</f>
        <v>0</v>
      </c>
      <c r="Z43" s="81">
        <f ca="1">VLOOKUP($AD43,INDIRECT("'"&amp;$B43&amp;"'!"&amp;"$P$39:$AD$42"),13,FALSE)</f>
        <v>0</v>
      </c>
      <c r="AA43" s="81">
        <f ca="1">VLOOKUP($AD43,INDIRECT("'"&amp;$B43&amp;"'!"&amp;"$P$39:$AD$42"),14,FALSE)</f>
        <v>0</v>
      </c>
      <c r="AB43" s="81">
        <f ca="1">VLOOKUP($AD43,INDIRECT("'"&amp;$B43&amp;"'!"&amp;"$P$39:$AD$42"),15,FALSE)</f>
        <v>0</v>
      </c>
      <c r="AD43" s="81">
        <v>2050</v>
      </c>
      <c r="AE43" s="81"/>
      <c r="AF43" s="220"/>
    </row>
    <row r="44" spans="2:36">
      <c r="B44" s="357" t="s">
        <v>1000</v>
      </c>
      <c r="D44" s="212"/>
      <c r="E44" s="212"/>
      <c r="F44" s="224" t="s">
        <v>1149</v>
      </c>
      <c r="G44" s="173" t="str">
        <f>$AI$20</f>
        <v>INDNWH</v>
      </c>
      <c r="H44" s="174"/>
      <c r="I44" s="174"/>
      <c r="K44" s="81"/>
      <c r="L44" s="333"/>
      <c r="M44" s="199"/>
      <c r="N44" s="81"/>
      <c r="O44" s="723"/>
      <c r="P44" s="723"/>
      <c r="Q44" s="81"/>
      <c r="R44" s="300"/>
      <c r="S44" s="300"/>
      <c r="T44" s="300"/>
      <c r="U44" s="199">
        <f ca="1">1-U43</f>
        <v>0.66942148760330578</v>
      </c>
      <c r="V44" s="300"/>
      <c r="W44" s="298"/>
      <c r="X44" s="698"/>
      <c r="Y44" s="81"/>
      <c r="Z44" s="81"/>
      <c r="AA44" s="81"/>
      <c r="AB44" s="81"/>
      <c r="AD44" s="81"/>
      <c r="AE44" s="81"/>
      <c r="AF44" s="220"/>
    </row>
    <row r="45" spans="2:36">
      <c r="B45" s="357" t="s">
        <v>1001</v>
      </c>
      <c r="D45" s="212" t="str">
        <f>"IND"&amp;RIGHT(H45,4)&amp;RIGHT(G45,3)&amp;"N"&amp;RIGHT(E45,1)</f>
        <v>INDNDPHELCN4</v>
      </c>
      <c r="E45" s="261" t="str">
        <f>"Industrial heating technology "&amp;$AJ$12&amp;" "&amp;RIGHT(H45,2)&amp;" - Booster Heat pump utilizing waste heat - new 4"</f>
        <v>Industrial heating technology N PH - Booster Heat pump utilizing waste heat - new 4</v>
      </c>
      <c r="F45" s="224" t="s">
        <v>1149</v>
      </c>
      <c r="G45" s="173" t="s">
        <v>499</v>
      </c>
      <c r="H45" s="174" t="str">
        <f>$AI$14</f>
        <v>INDPH</v>
      </c>
      <c r="I45" s="174"/>
      <c r="J45" s="224">
        <f t="shared" ref="J45" si="12">AD45</f>
        <v>2020</v>
      </c>
      <c r="K45" s="81">
        <v>2020</v>
      </c>
      <c r="L45" s="333">
        <v>1</v>
      </c>
      <c r="M45" s="199">
        <f ca="1">VLOOKUP($AD45,INDIRECT("'"&amp;$B45&amp;"'!"&amp;"$P$39:$AD$42"),3,FALSE)</f>
        <v>1.93</v>
      </c>
      <c r="N45" s="81">
        <f ca="1">VLOOKUP($AD45,INDIRECT("'"&amp;$B45&amp;"'!"&amp;"$P$39:$AD$42"),5,FALSE)</f>
        <v>20</v>
      </c>
      <c r="O45" s="723">
        <f ca="1">VLOOKUP($AD45,INDIRECT("'"&amp;$B45&amp;"'!"&amp;"$P$39:$AD$42"),6,FALSE)/1000</f>
        <v>12.158890687341184</v>
      </c>
      <c r="P45" s="723">
        <f ca="1">VLOOKUP($AD45,INDIRECT("'"&amp;$B45&amp;"'!"&amp;"$P$39:$AD$42"),7,FALSE)/1000</f>
        <v>1.49E-2</v>
      </c>
      <c r="Q45" s="81">
        <f ca="1">VLOOKUP($AD45,INDIRECT("'"&amp;$B45&amp;"'!"&amp;"$P$39:$AD$42"),8,FALSE)</f>
        <v>7.1188888888888897</v>
      </c>
      <c r="R45" s="81">
        <v>3.1536000000000002E-2</v>
      </c>
      <c r="S45" s="199">
        <v>0.5</v>
      </c>
      <c r="T45" s="199">
        <f ca="1">HLOOKUP($T$2,INDIRECT("'"&amp;$B45&amp;"'!"&amp;"$P$6:$AC$19"),IF(H45=$AI$13,6,IF(H45=$AI$14,9,14)),FALSE)-T9</f>
        <v>0</v>
      </c>
      <c r="U45" s="199">
        <f ca="1">1/M45</f>
        <v>0.5181347150259068</v>
      </c>
      <c r="V45" s="199"/>
      <c r="W45" s="298"/>
      <c r="X45" s="698">
        <f ca="1">IF(VLOOKUP($AD45,INDIRECT("'"&amp;$B45&amp;"'!"&amp;"$P$39:$AD$42"),11,FALSE)="Cf. the utilized electricity",0,VLOOKUP($AD45,INDIRECT("'"&amp;$B45&amp;"'!"&amp;"$P$39:$AD$42"),11,FALSE))</f>
        <v>0</v>
      </c>
      <c r="Y45" s="81">
        <f ca="1">VLOOKUP($AD45,INDIRECT("'"&amp;$B45&amp;"'!"&amp;"$P$39:$AD$42"),12,FALSE)</f>
        <v>0</v>
      </c>
      <c r="Z45" s="81">
        <f ca="1">VLOOKUP($AD45,INDIRECT("'"&amp;$B45&amp;"'!"&amp;"$P$39:$AD$42"),13,FALSE)</f>
        <v>0</v>
      </c>
      <c r="AA45" s="81">
        <f ca="1">VLOOKUP($AD45,INDIRECT("'"&amp;$B45&amp;"'!"&amp;"$P$39:$AD$42"),14,FALSE)</f>
        <v>0</v>
      </c>
      <c r="AB45" s="81">
        <f ca="1">VLOOKUP($AD45,INDIRECT("'"&amp;$B45&amp;"'!"&amp;"$P$39:$AD$42"),15,FALSE)</f>
        <v>0</v>
      </c>
      <c r="AD45" s="81">
        <v>2020</v>
      </c>
      <c r="AE45" s="81"/>
      <c r="AF45" s="220"/>
    </row>
    <row r="46" spans="2:36">
      <c r="B46" s="357" t="s">
        <v>1001</v>
      </c>
      <c r="D46" s="212"/>
      <c r="E46" s="261"/>
      <c r="F46" s="224" t="s">
        <v>1149</v>
      </c>
      <c r="G46" s="173" t="str">
        <f>$AI$20</f>
        <v>INDNWH</v>
      </c>
      <c r="H46" s="174"/>
      <c r="I46" s="174"/>
      <c r="K46" s="81"/>
      <c r="L46" s="333"/>
      <c r="M46" s="199"/>
      <c r="N46" s="81"/>
      <c r="O46" s="723"/>
      <c r="P46" s="723"/>
      <c r="Q46" s="81"/>
      <c r="R46" s="200"/>
      <c r="S46" s="772"/>
      <c r="T46" s="772"/>
      <c r="U46" s="199">
        <f ca="1">1-U45</f>
        <v>0.4818652849740932</v>
      </c>
      <c r="V46" s="772"/>
      <c r="W46" s="298"/>
      <c r="X46" s="698"/>
      <c r="Y46" s="81"/>
      <c r="Z46" s="81"/>
      <c r="AA46" s="81"/>
      <c r="AB46" s="81"/>
      <c r="AD46" s="81"/>
      <c r="AE46" s="81"/>
      <c r="AF46" s="220"/>
    </row>
    <row r="47" spans="2:36">
      <c r="B47" s="357" t="s">
        <v>1001</v>
      </c>
      <c r="D47" s="212"/>
      <c r="E47" s="212"/>
      <c r="F47" s="224" t="s">
        <v>1149</v>
      </c>
      <c r="G47" s="173" t="s">
        <v>499</v>
      </c>
      <c r="H47" s="174" t="str">
        <f>$AI$14</f>
        <v>INDPH</v>
      </c>
      <c r="I47" s="174"/>
      <c r="J47" s="224">
        <f t="shared" ref="J47" si="13">AD47</f>
        <v>2030</v>
      </c>
      <c r="K47" s="81"/>
      <c r="L47" s="333">
        <v>1</v>
      </c>
      <c r="M47" s="199">
        <f ca="1">VLOOKUP($AD47,INDIRECT("'"&amp;$B47&amp;"'!"&amp;"$P$39:$AD$42"),3,FALSE)</f>
        <v>1.9894000000000001</v>
      </c>
      <c r="N47" s="81"/>
      <c r="O47" s="723">
        <f ca="1">VLOOKUP($AD47,INDIRECT("'"&amp;$B47&amp;"'!"&amp;"$P$39:$AD$42"),6,FALSE)/1000</f>
        <v>9.8570539139933757</v>
      </c>
      <c r="P47" s="723">
        <f ca="1">VLOOKUP($AD47,INDIRECT("'"&amp;$B47&amp;"'!"&amp;"$P$39:$AD$42"),7,FALSE)/1000</f>
        <v>1.49E-2</v>
      </c>
      <c r="Q47" s="81">
        <f ca="1">VLOOKUP($AD47,INDIRECT("'"&amp;$B47&amp;"'!"&amp;"$P$39:$AD$42"),8,FALSE)</f>
        <v>6.9740277777777777</v>
      </c>
      <c r="R47" s="300"/>
      <c r="S47" s="300"/>
      <c r="T47" s="300"/>
      <c r="U47" s="199">
        <f ca="1">1/M47</f>
        <v>0.50266411983512616</v>
      </c>
      <c r="V47" s="199"/>
      <c r="W47" s="298"/>
      <c r="X47" s="698">
        <f ca="1">IF(VLOOKUP($AD47,INDIRECT("'"&amp;$B47&amp;"'!"&amp;"$P$39:$AD$42"),11,FALSE)="Cf. the utilized electricity",0,VLOOKUP($AD47,INDIRECT("'"&amp;$B47&amp;"'!"&amp;"$P$39:$AD$42"),11,FALSE))</f>
        <v>0</v>
      </c>
      <c r="Y47" s="81">
        <f ca="1">VLOOKUP($AD47,INDIRECT("'"&amp;$B47&amp;"'!"&amp;"$P$39:$AD$42"),12,FALSE)</f>
        <v>0</v>
      </c>
      <c r="Z47" s="81">
        <f ca="1">VLOOKUP($AD47,INDIRECT("'"&amp;$B47&amp;"'!"&amp;"$P$39:$AD$42"),13,FALSE)</f>
        <v>0</v>
      </c>
      <c r="AA47" s="81">
        <f ca="1">VLOOKUP($AD47,INDIRECT("'"&amp;$B47&amp;"'!"&amp;"$P$39:$AD$42"),14,FALSE)</f>
        <v>0</v>
      </c>
      <c r="AB47" s="81">
        <f ca="1">VLOOKUP($AD47,INDIRECT("'"&amp;$B47&amp;"'!"&amp;"$P$39:$AD$42"),15,FALSE)</f>
        <v>0</v>
      </c>
      <c r="AD47" s="81">
        <v>2030</v>
      </c>
      <c r="AE47" s="81"/>
      <c r="AF47" s="220"/>
    </row>
    <row r="48" spans="2:36">
      <c r="B48" s="357" t="s">
        <v>1001</v>
      </c>
      <c r="D48" s="212"/>
      <c r="E48" s="212"/>
      <c r="F48" s="224" t="s">
        <v>1149</v>
      </c>
      <c r="G48" s="173" t="str">
        <f>$AI$20</f>
        <v>INDNWH</v>
      </c>
      <c r="H48" s="174"/>
      <c r="I48" s="174"/>
      <c r="K48" s="81"/>
      <c r="L48" s="333"/>
      <c r="M48" s="199"/>
      <c r="N48" s="81"/>
      <c r="O48" s="723"/>
      <c r="P48" s="723"/>
      <c r="Q48" s="81"/>
      <c r="R48" s="300"/>
      <c r="S48" s="300"/>
      <c r="T48" s="300"/>
      <c r="U48" s="199">
        <f ca="1">1-U47</f>
        <v>0.49733588016487384</v>
      </c>
      <c r="V48" s="300"/>
      <c r="W48" s="298"/>
      <c r="X48" s="698"/>
      <c r="Y48" s="81"/>
      <c r="Z48" s="81"/>
      <c r="AA48" s="81"/>
      <c r="AB48" s="81"/>
      <c r="AD48" s="81"/>
      <c r="AE48" s="81"/>
      <c r="AF48" s="220"/>
    </row>
    <row r="49" spans="2:32">
      <c r="B49" s="357" t="s">
        <v>1001</v>
      </c>
      <c r="D49" s="212"/>
      <c r="E49" s="212"/>
      <c r="F49" s="224" t="s">
        <v>1149</v>
      </c>
      <c r="G49" s="173" t="s">
        <v>499</v>
      </c>
      <c r="H49" s="174" t="str">
        <f>$AI$14</f>
        <v>INDPH</v>
      </c>
      <c r="I49" s="174"/>
      <c r="J49" s="224">
        <f t="shared" ref="J49" si="14">AD49</f>
        <v>2050</v>
      </c>
      <c r="K49" s="81"/>
      <c r="L49" s="333">
        <v>1</v>
      </c>
      <c r="M49" s="199">
        <f ca="1">VLOOKUP($AD49,INDIRECT("'"&amp;$B49&amp;"'!"&amp;"$P$39:$AD$42"),3,FALSE)</f>
        <v>2.0509898799999999</v>
      </c>
      <c r="N49" s="81"/>
      <c r="O49" s="723">
        <f ca="1">VLOOKUP($AD49,INDIRECT("'"&amp;$B49&amp;"'!"&amp;"$P$39:$AD$42"),6,FALSE)/1000</f>
        <v>6.955935359434223</v>
      </c>
      <c r="P49" s="723">
        <f ca="1">VLOOKUP($AD49,INDIRECT("'"&amp;$B49&amp;"'!"&amp;"$P$39:$AD$42"),7,FALSE)/1000</f>
        <v>1.49E-2</v>
      </c>
      <c r="Q49" s="81">
        <f ca="1">VLOOKUP($AD49,INDIRECT("'"&amp;$B49&amp;"'!"&amp;"$P$39:$AD$42"),8,FALSE)</f>
        <v>6.7877777777777784</v>
      </c>
      <c r="R49" s="300"/>
      <c r="S49" s="300"/>
      <c r="T49" s="300"/>
      <c r="U49" s="199">
        <f ca="1">1/M49</f>
        <v>0.48756944622271858</v>
      </c>
      <c r="V49" s="199"/>
      <c r="W49" s="298"/>
      <c r="X49" s="698">
        <f ca="1">IF(VLOOKUP($AD49,INDIRECT("'"&amp;$B49&amp;"'!"&amp;"$P$39:$AD$42"),11,FALSE)="Cf. the utilized electricity",0,VLOOKUP($AD49,INDIRECT("'"&amp;$B49&amp;"'!"&amp;"$P$39:$AD$42"),11,FALSE))</f>
        <v>0</v>
      </c>
      <c r="Y49" s="81">
        <f ca="1">VLOOKUP($AD49,INDIRECT("'"&amp;$B49&amp;"'!"&amp;"$P$39:$AD$42"),12,FALSE)</f>
        <v>0</v>
      </c>
      <c r="Z49" s="81">
        <f ca="1">VLOOKUP($AD49,INDIRECT("'"&amp;$B49&amp;"'!"&amp;"$P$39:$AD$42"),13,FALSE)</f>
        <v>0</v>
      </c>
      <c r="AA49" s="81">
        <f ca="1">VLOOKUP($AD49,INDIRECT("'"&amp;$B49&amp;"'!"&amp;"$P$39:$AD$42"),14,FALSE)</f>
        <v>0</v>
      </c>
      <c r="AB49" s="81">
        <f ca="1">VLOOKUP($AD49,INDIRECT("'"&amp;$B49&amp;"'!"&amp;"$P$39:$AD$42"),15,FALSE)</f>
        <v>0</v>
      </c>
      <c r="AD49" s="81">
        <v>2050</v>
      </c>
      <c r="AE49" s="81"/>
      <c r="AF49" s="220"/>
    </row>
    <row r="50" spans="2:32">
      <c r="B50" s="357" t="s">
        <v>1001</v>
      </c>
      <c r="D50" s="212"/>
      <c r="E50" s="212"/>
      <c r="F50" s="224" t="s">
        <v>1149</v>
      </c>
      <c r="G50" s="173" t="str">
        <f>$AI$20</f>
        <v>INDNWH</v>
      </c>
      <c r="H50" s="174"/>
      <c r="I50" s="174"/>
      <c r="K50" s="81"/>
      <c r="L50" s="333"/>
      <c r="M50" s="199"/>
      <c r="N50" s="81"/>
      <c r="O50" s="723"/>
      <c r="P50" s="723"/>
      <c r="Q50" s="81"/>
      <c r="R50" s="300"/>
      <c r="S50" s="300"/>
      <c r="T50" s="300"/>
      <c r="U50" s="199">
        <f ca="1">1-U49</f>
        <v>0.51243055377728142</v>
      </c>
      <c r="V50" s="300"/>
      <c r="W50" s="298"/>
      <c r="X50" s="698"/>
      <c r="Y50" s="81"/>
      <c r="Z50" s="81"/>
      <c r="AA50" s="81"/>
      <c r="AB50" s="81"/>
      <c r="AD50" s="81"/>
      <c r="AE50" s="81"/>
      <c r="AF50" s="220"/>
    </row>
    <row r="51" spans="2:32">
      <c r="B51" s="357" t="s">
        <v>1001</v>
      </c>
      <c r="D51" s="212" t="str">
        <f>"IND"&amp;RIGHT(H51,4)&amp;RIGHT(G51,3)&amp;"N"&amp;RIGHT(E51,1)</f>
        <v>INDNDSHELCN4</v>
      </c>
      <c r="E51" s="261" t="str">
        <f>"Industrial heating technology "&amp;$AJ$12&amp;" "&amp;RIGHT(H51,2)&amp;" - Booster Heat pump utilizing waste heat - new 4"</f>
        <v>Industrial heating technology N SH - Booster Heat pump utilizing waste heat - new 4</v>
      </c>
      <c r="F51" s="224" t="s">
        <v>1149</v>
      </c>
      <c r="G51" s="173" t="s">
        <v>499</v>
      </c>
      <c r="H51" s="174" t="str">
        <f>$AI$15</f>
        <v>INDSH</v>
      </c>
      <c r="I51" s="174"/>
      <c r="J51" s="224">
        <f t="shared" ref="J51" si="15">AD51</f>
        <v>2020</v>
      </c>
      <c r="K51" s="81">
        <v>2020</v>
      </c>
      <c r="L51" s="333">
        <v>1</v>
      </c>
      <c r="M51" s="199">
        <f ca="1">VLOOKUP($AD51,INDIRECT("'"&amp;$B51&amp;"'!"&amp;"$P$39:$AD$42"),3,FALSE)</f>
        <v>1.93</v>
      </c>
      <c r="N51" s="81">
        <f ca="1">VLOOKUP($AD51,INDIRECT("'"&amp;$B51&amp;"'!"&amp;"$P$39:$AD$42"),5,FALSE)</f>
        <v>20</v>
      </c>
      <c r="O51" s="723">
        <f ca="1">VLOOKUP($AD51,INDIRECT("'"&amp;$B51&amp;"'!"&amp;"$P$39:$AD$42"),6,FALSE)/1000</f>
        <v>12.158890687341184</v>
      </c>
      <c r="P51" s="723">
        <f ca="1">VLOOKUP($AD51,INDIRECT("'"&amp;$B51&amp;"'!"&amp;"$P$39:$AD$42"),7,FALSE)/1000</f>
        <v>1.49E-2</v>
      </c>
      <c r="Q51" s="81">
        <f ca="1">VLOOKUP($AD51,INDIRECT("'"&amp;$B51&amp;"'!"&amp;"$P$39:$AD$42"),8,FALSE)</f>
        <v>7.1188888888888897</v>
      </c>
      <c r="R51" s="81">
        <v>3.1536000000000002E-2</v>
      </c>
      <c r="S51" s="199">
        <v>0.5</v>
      </c>
      <c r="T51" s="199">
        <f ca="1">HLOOKUP($T$2,INDIRECT("'"&amp;$B51&amp;"'!"&amp;"$P$6:$AC$19"),IF(H51=$AI$13,6,IF(H51=$AI$14,9,14)),FALSE)</f>
        <v>1</v>
      </c>
      <c r="U51" s="199">
        <f ca="1">1/M51</f>
        <v>0.5181347150259068</v>
      </c>
      <c r="V51" s="199"/>
      <c r="W51" s="298"/>
      <c r="X51" s="698">
        <f ca="1">IF(VLOOKUP($AD51,INDIRECT("'"&amp;$B51&amp;"'!"&amp;"$P$39:$AD$42"),11,FALSE)="Cf. the utilized electricity",0,VLOOKUP($AD51,INDIRECT("'"&amp;$B51&amp;"'!"&amp;"$P$39:$AD$42"),11,FALSE))</f>
        <v>0</v>
      </c>
      <c r="Y51" s="81">
        <f ca="1">VLOOKUP($AD51,INDIRECT("'"&amp;$B51&amp;"'!"&amp;"$P$39:$AD$42"),12,FALSE)</f>
        <v>0</v>
      </c>
      <c r="Z51" s="81">
        <f ca="1">VLOOKUP($AD51,INDIRECT("'"&amp;$B51&amp;"'!"&amp;"$P$39:$AD$42"),13,FALSE)</f>
        <v>0</v>
      </c>
      <c r="AA51" s="81">
        <f ca="1">VLOOKUP($AD51,INDIRECT("'"&amp;$B51&amp;"'!"&amp;"$P$39:$AD$42"),14,FALSE)</f>
        <v>0</v>
      </c>
      <c r="AB51" s="81">
        <f ca="1">VLOOKUP($AD51,INDIRECT("'"&amp;$B51&amp;"'!"&amp;"$P$39:$AD$42"),15,FALSE)</f>
        <v>0</v>
      </c>
      <c r="AD51" s="81">
        <v>2020</v>
      </c>
      <c r="AE51" s="81"/>
      <c r="AF51" s="220"/>
    </row>
    <row r="52" spans="2:32">
      <c r="B52" s="357" t="s">
        <v>1001</v>
      </c>
      <c r="D52" s="212"/>
      <c r="E52" s="261"/>
      <c r="F52" s="224" t="s">
        <v>1149</v>
      </c>
      <c r="G52" s="173" t="str">
        <f>$AI$20</f>
        <v>INDNWH</v>
      </c>
      <c r="H52" s="174"/>
      <c r="I52" s="174"/>
      <c r="K52" s="81"/>
      <c r="L52" s="333"/>
      <c r="M52" s="199"/>
      <c r="N52" s="81"/>
      <c r="O52" s="723"/>
      <c r="P52" s="723"/>
      <c r="Q52" s="81"/>
      <c r="R52" s="200"/>
      <c r="S52" s="772"/>
      <c r="T52" s="772"/>
      <c r="U52" s="199">
        <f ca="1">1-U51</f>
        <v>0.4818652849740932</v>
      </c>
      <c r="V52" s="772"/>
      <c r="W52" s="298"/>
      <c r="X52" s="698"/>
      <c r="Y52" s="81"/>
      <c r="Z52" s="81"/>
      <c r="AA52" s="81"/>
      <c r="AB52" s="81"/>
      <c r="AD52" s="81"/>
      <c r="AE52" s="81"/>
      <c r="AF52" s="220"/>
    </row>
    <row r="53" spans="2:32">
      <c r="B53" s="357" t="s">
        <v>1001</v>
      </c>
      <c r="D53" s="212"/>
      <c r="E53" s="212"/>
      <c r="F53" s="224" t="s">
        <v>1149</v>
      </c>
      <c r="G53" s="173" t="s">
        <v>499</v>
      </c>
      <c r="H53" s="174" t="str">
        <f>$AI$15</f>
        <v>INDSH</v>
      </c>
      <c r="I53" s="174"/>
      <c r="J53" s="224">
        <f t="shared" ref="J53" si="16">AD53</f>
        <v>2030</v>
      </c>
      <c r="K53" s="81"/>
      <c r="L53" s="333">
        <v>1</v>
      </c>
      <c r="M53" s="199">
        <f ca="1">VLOOKUP($AD53,INDIRECT("'"&amp;$B53&amp;"'!"&amp;"$P$39:$AD$42"),3,FALSE)</f>
        <v>1.9894000000000001</v>
      </c>
      <c r="N53" s="81"/>
      <c r="O53" s="723">
        <f ca="1">VLOOKUP($AD53,INDIRECT("'"&amp;$B53&amp;"'!"&amp;"$P$39:$AD$42"),6,FALSE)/1000</f>
        <v>9.8570539139933757</v>
      </c>
      <c r="P53" s="723">
        <f ca="1">VLOOKUP($AD53,INDIRECT("'"&amp;$B53&amp;"'!"&amp;"$P$39:$AD$42"),7,FALSE)/1000</f>
        <v>1.49E-2</v>
      </c>
      <c r="Q53" s="81">
        <f ca="1">VLOOKUP($AD53,INDIRECT("'"&amp;$B53&amp;"'!"&amp;"$P$39:$AD$42"),8,FALSE)</f>
        <v>6.9740277777777777</v>
      </c>
      <c r="R53" s="300"/>
      <c r="S53" s="300"/>
      <c r="T53" s="300"/>
      <c r="U53" s="199">
        <f ca="1">1/M53</f>
        <v>0.50266411983512616</v>
      </c>
      <c r="V53" s="199"/>
      <c r="W53" s="298"/>
      <c r="X53" s="698">
        <f ca="1">IF(VLOOKUP($AD53,INDIRECT("'"&amp;$B53&amp;"'!"&amp;"$P$39:$AD$42"),11,FALSE)="Cf. the utilized electricity",0,VLOOKUP($AD53,INDIRECT("'"&amp;$B53&amp;"'!"&amp;"$P$39:$AD$42"),11,FALSE))</f>
        <v>0</v>
      </c>
      <c r="Y53" s="81">
        <f ca="1">VLOOKUP($AD53,INDIRECT("'"&amp;$B53&amp;"'!"&amp;"$P$39:$AD$42"),12,FALSE)</f>
        <v>0</v>
      </c>
      <c r="Z53" s="81">
        <f ca="1">VLOOKUP($AD53,INDIRECT("'"&amp;$B53&amp;"'!"&amp;"$P$39:$AD$42"),13,FALSE)</f>
        <v>0</v>
      </c>
      <c r="AA53" s="81">
        <f ca="1">VLOOKUP($AD53,INDIRECT("'"&amp;$B53&amp;"'!"&amp;"$P$39:$AD$42"),14,FALSE)</f>
        <v>0</v>
      </c>
      <c r="AB53" s="81">
        <f ca="1">VLOOKUP($AD53,INDIRECT("'"&amp;$B53&amp;"'!"&amp;"$P$39:$AD$42"),15,FALSE)</f>
        <v>0</v>
      </c>
      <c r="AD53" s="81">
        <v>2030</v>
      </c>
      <c r="AE53" s="81"/>
      <c r="AF53" s="220"/>
    </row>
    <row r="54" spans="2:32">
      <c r="B54" s="357" t="s">
        <v>1001</v>
      </c>
      <c r="D54" s="212"/>
      <c r="E54" s="212"/>
      <c r="F54" s="224" t="s">
        <v>1149</v>
      </c>
      <c r="G54" s="173" t="str">
        <f>$AI$20</f>
        <v>INDNWH</v>
      </c>
      <c r="H54" s="174"/>
      <c r="I54" s="174"/>
      <c r="K54" s="81"/>
      <c r="L54" s="333"/>
      <c r="M54" s="199"/>
      <c r="N54" s="81"/>
      <c r="O54" s="723"/>
      <c r="P54" s="723"/>
      <c r="Q54" s="81"/>
      <c r="R54" s="300"/>
      <c r="S54" s="300"/>
      <c r="T54" s="300"/>
      <c r="U54" s="199">
        <f ca="1">1-U53</f>
        <v>0.49733588016487384</v>
      </c>
      <c r="V54" s="300"/>
      <c r="W54" s="298"/>
      <c r="X54" s="698"/>
      <c r="Y54" s="81"/>
      <c r="Z54" s="81"/>
      <c r="AA54" s="81"/>
      <c r="AB54" s="81"/>
      <c r="AD54" s="81"/>
      <c r="AE54" s="81"/>
      <c r="AF54" s="220"/>
    </row>
    <row r="55" spans="2:32">
      <c r="B55" s="357" t="s">
        <v>1001</v>
      </c>
      <c r="D55" s="212"/>
      <c r="E55" s="212"/>
      <c r="F55" s="224" t="s">
        <v>1149</v>
      </c>
      <c r="G55" s="173" t="s">
        <v>499</v>
      </c>
      <c r="H55" s="174" t="str">
        <f>$AI$15</f>
        <v>INDSH</v>
      </c>
      <c r="I55" s="174"/>
      <c r="J55" s="224">
        <f t="shared" ref="J55" si="17">AD55</f>
        <v>2050</v>
      </c>
      <c r="K55" s="81"/>
      <c r="L55" s="333">
        <v>1</v>
      </c>
      <c r="M55" s="199">
        <f ca="1">VLOOKUP($AD55,INDIRECT("'"&amp;$B55&amp;"'!"&amp;"$P$39:$AD$42"),3,FALSE)</f>
        <v>2.0509898799999999</v>
      </c>
      <c r="N55" s="81"/>
      <c r="O55" s="723">
        <f ca="1">VLOOKUP($AD55,INDIRECT("'"&amp;$B55&amp;"'!"&amp;"$P$39:$AD$42"),6,FALSE)/1000</f>
        <v>6.955935359434223</v>
      </c>
      <c r="P55" s="723">
        <f ca="1">VLOOKUP($AD55,INDIRECT("'"&amp;$B55&amp;"'!"&amp;"$P$39:$AD$42"),7,FALSE)/1000</f>
        <v>1.49E-2</v>
      </c>
      <c r="Q55" s="81">
        <f ca="1">VLOOKUP($AD55,INDIRECT("'"&amp;$B55&amp;"'!"&amp;"$P$39:$AD$42"),8,FALSE)</f>
        <v>6.7877777777777784</v>
      </c>
      <c r="R55" s="300"/>
      <c r="S55" s="300"/>
      <c r="T55" s="300"/>
      <c r="U55" s="199">
        <f ca="1">1/M55</f>
        <v>0.48756944622271858</v>
      </c>
      <c r="V55" s="199"/>
      <c r="W55" s="298"/>
      <c r="X55" s="698">
        <f ca="1">IF(VLOOKUP($AD55,INDIRECT("'"&amp;$B55&amp;"'!"&amp;"$P$39:$AD$42"),11,FALSE)="Cf. the utilized electricity",0,VLOOKUP($AD55,INDIRECT("'"&amp;$B55&amp;"'!"&amp;"$P$39:$AD$42"),11,FALSE))</f>
        <v>0</v>
      </c>
      <c r="Y55" s="81">
        <f ca="1">VLOOKUP($AD55,INDIRECT("'"&amp;$B55&amp;"'!"&amp;"$P$39:$AD$42"),12,FALSE)</f>
        <v>0</v>
      </c>
      <c r="Z55" s="81">
        <f ca="1">VLOOKUP($AD55,INDIRECT("'"&amp;$B55&amp;"'!"&amp;"$P$39:$AD$42"),13,FALSE)</f>
        <v>0</v>
      </c>
      <c r="AA55" s="81">
        <f ca="1">VLOOKUP($AD55,INDIRECT("'"&amp;$B55&amp;"'!"&amp;"$P$39:$AD$42"),14,FALSE)</f>
        <v>0</v>
      </c>
      <c r="AB55" s="81">
        <f ca="1">VLOOKUP($AD55,INDIRECT("'"&amp;$B55&amp;"'!"&amp;"$P$39:$AD$42"),15,FALSE)</f>
        <v>0</v>
      </c>
      <c r="AD55" s="81">
        <v>2050</v>
      </c>
      <c r="AE55" s="81"/>
      <c r="AF55" s="220"/>
    </row>
    <row r="56" spans="2:32">
      <c r="B56" s="357" t="s">
        <v>1001</v>
      </c>
      <c r="D56" s="212"/>
      <c r="E56" s="212"/>
      <c r="F56" s="224" t="s">
        <v>1149</v>
      </c>
      <c r="G56" s="173" t="str">
        <f>$AI$20</f>
        <v>INDNWH</v>
      </c>
      <c r="H56" s="174"/>
      <c r="I56" s="174"/>
      <c r="K56" s="81"/>
      <c r="L56" s="333"/>
      <c r="M56" s="199"/>
      <c r="N56" s="81"/>
      <c r="O56" s="723"/>
      <c r="P56" s="723"/>
      <c r="Q56" s="81"/>
      <c r="R56" s="300"/>
      <c r="S56" s="300"/>
      <c r="T56" s="300"/>
      <c r="U56" s="199">
        <f ca="1">1-U55</f>
        <v>0.51243055377728142</v>
      </c>
      <c r="V56" s="300"/>
      <c r="W56" s="298"/>
      <c r="X56" s="698"/>
      <c r="Y56" s="81"/>
      <c r="Z56" s="81"/>
      <c r="AA56" s="81"/>
      <c r="AB56" s="81"/>
      <c r="AD56" s="81"/>
      <c r="AE56" s="81"/>
      <c r="AF56" s="220"/>
    </row>
    <row r="57" spans="2:32">
      <c r="B57" s="357" t="s">
        <v>1002</v>
      </c>
      <c r="D57" s="212" t="str">
        <f>"IND"&amp;RIGHT(H57,4)&amp;RIGHT(G57,3)&amp;"N"&amp;RIGHT(E57,1)</f>
        <v>INDNDPHELCN5</v>
      </c>
      <c r="E57" s="261" t="str">
        <f>"Industrial heating technology "&amp;$AJ$12&amp;" "&amp;RIGHT(H57,2)&amp;" - MVR utilizing waste heat - new 5"</f>
        <v>Industrial heating technology N PH - MVR utilizing waste heat - new 5</v>
      </c>
      <c r="F57" s="224" t="s">
        <v>1149</v>
      </c>
      <c r="G57" s="173" t="s">
        <v>499</v>
      </c>
      <c r="H57" s="174" t="str">
        <f>$AI$14</f>
        <v>INDPH</v>
      </c>
      <c r="I57" s="174"/>
      <c r="J57" s="224">
        <f t="shared" ref="J57" si="18">AD57</f>
        <v>2020</v>
      </c>
      <c r="K57" s="81">
        <v>2020</v>
      </c>
      <c r="L57" s="333">
        <v>1</v>
      </c>
      <c r="M57" s="199">
        <f ca="1">VLOOKUP($AD57,INDIRECT("'"&amp;$B57&amp;"'!"&amp;"$P$39:$AD$42"),3,FALSE)</f>
        <v>12.1</v>
      </c>
      <c r="N57" s="81">
        <f ca="1">VLOOKUP($AD57,INDIRECT("'"&amp;$B57&amp;"'!"&amp;"$P$39:$AD$42"),5,FALSE)</f>
        <v>25</v>
      </c>
      <c r="O57" s="723">
        <f ca="1">VLOOKUP($AD57,INDIRECT("'"&amp;$B57&amp;"'!"&amp;"$P$39:$AD$42"),6,FALSE)/1000</f>
        <v>2.6074999999999999</v>
      </c>
      <c r="P57" s="723">
        <f ca="1">VLOOKUP($AD57,INDIRECT("'"&amp;$B57&amp;"'!"&amp;"$P$39:$AD$42"),7,FALSE)/1000</f>
        <v>1.49E-2</v>
      </c>
      <c r="Q57" s="81">
        <f ca="1">VLOOKUP($AD57,INDIRECT("'"&amp;$B57&amp;"'!"&amp;"$P$39:$AD$42"),8,FALSE)</f>
        <v>5.2356944444444444</v>
      </c>
      <c r="R57" s="81">
        <v>3.1536000000000002E-2</v>
      </c>
      <c r="S57" s="199">
        <v>0.5</v>
      </c>
      <c r="T57" s="199">
        <f ca="1">HLOOKUP($T$2,INDIRECT("'"&amp;$B57&amp;"'!"&amp;"$P$6:$AC$19"),IF(H57=$AI$13,6,IF(H57=$AI$14,9,14)),FALSE)</f>
        <v>0</v>
      </c>
      <c r="U57" s="199">
        <f ca="1">1/M57</f>
        <v>8.2644628099173556E-2</v>
      </c>
      <c r="V57" s="199"/>
      <c r="W57" s="298"/>
      <c r="X57" s="698">
        <f ca="1">IF(VLOOKUP($AD57,INDIRECT("'"&amp;$B57&amp;"'!"&amp;"$P$39:$AD$42"),11,FALSE)="Cf. the utilized electricity",0,VLOOKUP($AD57,INDIRECT("'"&amp;$B57&amp;"'!"&amp;"$P$39:$AD$42"),11,FALSE))</f>
        <v>0</v>
      </c>
      <c r="Y57" s="81">
        <f ca="1">VLOOKUP($AD57,INDIRECT("'"&amp;$B57&amp;"'!"&amp;"$P$39:$AD$42"),12,FALSE)</f>
        <v>0</v>
      </c>
      <c r="Z57" s="81">
        <f ca="1">VLOOKUP($AD57,INDIRECT("'"&amp;$B57&amp;"'!"&amp;"$P$39:$AD$42"),13,FALSE)</f>
        <v>0</v>
      </c>
      <c r="AA57" s="81">
        <f ca="1">VLOOKUP($AD57,INDIRECT("'"&amp;$B57&amp;"'!"&amp;"$P$39:$AD$42"),14,FALSE)</f>
        <v>0</v>
      </c>
      <c r="AB57" s="81">
        <f ca="1">VLOOKUP($AD57,INDIRECT("'"&amp;$B57&amp;"'!"&amp;"$P$39:$AD$42"),15,FALSE)</f>
        <v>0</v>
      </c>
      <c r="AD57" s="81">
        <v>2020</v>
      </c>
      <c r="AE57" s="81"/>
      <c r="AF57" s="220"/>
    </row>
    <row r="58" spans="2:32">
      <c r="B58" s="357" t="s">
        <v>1002</v>
      </c>
      <c r="D58" s="212"/>
      <c r="E58" s="261"/>
      <c r="F58" s="224" t="s">
        <v>1149</v>
      </c>
      <c r="G58" s="173" t="str">
        <f>$AI$20</f>
        <v>INDNWH</v>
      </c>
      <c r="H58" s="174"/>
      <c r="I58" s="174"/>
      <c r="K58" s="81"/>
      <c r="L58" s="199"/>
      <c r="M58" s="199"/>
      <c r="N58" s="81"/>
      <c r="O58" s="723"/>
      <c r="P58" s="723"/>
      <c r="Q58" s="81"/>
      <c r="R58" s="200"/>
      <c r="S58" s="772"/>
      <c r="T58" s="772"/>
      <c r="U58" s="199">
        <f ca="1">1-U57</f>
        <v>0.9173553719008265</v>
      </c>
      <c r="V58" s="772"/>
      <c r="W58" s="298"/>
      <c r="X58" s="698"/>
      <c r="Y58" s="81"/>
      <c r="Z58" s="81"/>
      <c r="AA58" s="81"/>
      <c r="AB58" s="81"/>
      <c r="AD58" s="81"/>
      <c r="AE58" s="81"/>
      <c r="AF58" s="220"/>
    </row>
    <row r="59" spans="2:32">
      <c r="B59" s="357" t="s">
        <v>1002</v>
      </c>
      <c r="D59" s="212"/>
      <c r="E59" s="212"/>
      <c r="F59" s="224" t="s">
        <v>1149</v>
      </c>
      <c r="G59" s="173" t="s">
        <v>499</v>
      </c>
      <c r="H59" s="174" t="str">
        <f>$AI$14</f>
        <v>INDPH</v>
      </c>
      <c r="I59" s="174"/>
      <c r="J59" s="224">
        <f t="shared" ref="J59" si="19">AD59</f>
        <v>2030</v>
      </c>
      <c r="K59" s="81"/>
      <c r="L59" s="333">
        <v>1</v>
      </c>
      <c r="M59" s="199">
        <f ca="1">VLOOKUP($AD59,INDIRECT("'"&amp;$B59&amp;"'!"&amp;"$P$39:$AD$42"),3,FALSE)</f>
        <v>12.7</v>
      </c>
      <c r="N59" s="81"/>
      <c r="O59" s="723">
        <f ca="1">VLOOKUP($AD59,INDIRECT("'"&amp;$B59&amp;"'!"&amp;"$P$39:$AD$42"),6,FALSE)/1000</f>
        <v>2.4585000000000004</v>
      </c>
      <c r="P59" s="723">
        <f ca="1">VLOOKUP($AD59,INDIRECT("'"&amp;$B59&amp;"'!"&amp;"$P$39:$AD$42"),7,FALSE)/1000</f>
        <v>1.49E-2</v>
      </c>
      <c r="Q59" s="81">
        <f ca="1">VLOOKUP($AD59,INDIRECT("'"&amp;$B59&amp;"'!"&amp;"$P$39:$AD$42"),8,FALSE)</f>
        <v>5.0701388888888888</v>
      </c>
      <c r="R59" s="300"/>
      <c r="S59" s="300"/>
      <c r="T59" s="300"/>
      <c r="U59" s="199">
        <f ca="1">1/M59</f>
        <v>7.874015748031496E-2</v>
      </c>
      <c r="V59" s="199"/>
      <c r="W59" s="298"/>
      <c r="X59" s="698">
        <f ca="1">IF(VLOOKUP($AD59,INDIRECT("'"&amp;$B59&amp;"'!"&amp;"$P$39:$AD$42"),11,FALSE)="Cf. the utilized electricity",0,VLOOKUP($AD59,INDIRECT("'"&amp;$B59&amp;"'!"&amp;"$P$39:$AD$42"),11,FALSE))</f>
        <v>0</v>
      </c>
      <c r="Y59" s="81">
        <f ca="1">VLOOKUP($AD59,INDIRECT("'"&amp;$B59&amp;"'!"&amp;"$P$39:$AD$42"),12,FALSE)</f>
        <v>0</v>
      </c>
      <c r="Z59" s="81">
        <f ca="1">VLOOKUP($AD59,INDIRECT("'"&amp;$B59&amp;"'!"&amp;"$P$39:$AD$42"),13,FALSE)</f>
        <v>0</v>
      </c>
      <c r="AA59" s="81">
        <f ca="1">VLOOKUP($AD59,INDIRECT("'"&amp;$B59&amp;"'!"&amp;"$P$39:$AD$42"),14,FALSE)</f>
        <v>0</v>
      </c>
      <c r="AB59" s="81">
        <f ca="1">VLOOKUP($AD59,INDIRECT("'"&amp;$B59&amp;"'!"&amp;"$P$39:$AD$42"),15,FALSE)</f>
        <v>0</v>
      </c>
      <c r="AD59" s="81">
        <v>2030</v>
      </c>
      <c r="AE59" s="81"/>
      <c r="AF59" s="220"/>
    </row>
    <row r="60" spans="2:32">
      <c r="B60" s="357" t="s">
        <v>1002</v>
      </c>
      <c r="D60" s="212"/>
      <c r="E60" s="212"/>
      <c r="F60" s="224" t="s">
        <v>1149</v>
      </c>
      <c r="G60" s="173" t="str">
        <f>$AI$20</f>
        <v>INDNWH</v>
      </c>
      <c r="H60" s="174"/>
      <c r="I60" s="174"/>
      <c r="K60" s="81"/>
      <c r="L60" s="199"/>
      <c r="M60" s="199"/>
      <c r="N60" s="81"/>
      <c r="O60" s="723"/>
      <c r="P60" s="723"/>
      <c r="Q60" s="81"/>
      <c r="R60" s="300"/>
      <c r="S60" s="300"/>
      <c r="T60" s="300"/>
      <c r="U60" s="199">
        <f ca="1">1-U59</f>
        <v>0.92125984251968507</v>
      </c>
      <c r="V60" s="300"/>
      <c r="W60" s="298"/>
      <c r="X60" s="698"/>
      <c r="Y60" s="81"/>
      <c r="Z60" s="81"/>
      <c r="AA60" s="81"/>
      <c r="AB60" s="81"/>
      <c r="AD60" s="81"/>
      <c r="AE60" s="81"/>
      <c r="AF60" s="220"/>
    </row>
    <row r="61" spans="2:32">
      <c r="B61" s="357" t="s">
        <v>1002</v>
      </c>
      <c r="D61" s="212"/>
      <c r="E61" s="212"/>
      <c r="F61" s="224" t="s">
        <v>1149</v>
      </c>
      <c r="G61" s="173" t="s">
        <v>499</v>
      </c>
      <c r="H61" s="174" t="str">
        <f>$AI$14</f>
        <v>INDPH</v>
      </c>
      <c r="I61" s="174"/>
      <c r="J61" s="224">
        <f t="shared" ref="J61" si="20">AD61</f>
        <v>2050</v>
      </c>
      <c r="K61" s="81"/>
      <c r="L61" s="333">
        <v>1</v>
      </c>
      <c r="M61" s="199">
        <f ca="1">VLOOKUP($AD61,INDIRECT("'"&amp;$B61&amp;"'!"&amp;"$P$39:$AD$42"),3,FALSE)</f>
        <v>13.8</v>
      </c>
      <c r="N61" s="81"/>
      <c r="O61" s="723">
        <f ca="1">VLOOKUP($AD61,INDIRECT("'"&amp;$B61&amp;"'!"&amp;"$P$39:$AD$42"),6,FALSE)/1000</f>
        <v>2.3094999999999999</v>
      </c>
      <c r="P61" s="723">
        <f ca="1">VLOOKUP($AD61,INDIRECT("'"&amp;$B61&amp;"'!"&amp;"$P$39:$AD$42"),7,FALSE)/1000</f>
        <v>1.49E-2</v>
      </c>
      <c r="Q61" s="81">
        <f ca="1">VLOOKUP($AD61,INDIRECT("'"&amp;$B61&amp;"'!"&amp;"$P$39:$AD$42"),8,FALSE)</f>
        <v>4.8838888888888903</v>
      </c>
      <c r="R61" s="300"/>
      <c r="S61" s="300"/>
      <c r="T61" s="300"/>
      <c r="U61" s="199">
        <f ca="1">1/M61</f>
        <v>7.2463768115942032E-2</v>
      </c>
      <c r="V61" s="199"/>
      <c r="W61" s="298"/>
      <c r="X61" s="698">
        <f ca="1">IF(VLOOKUP($AD61,INDIRECT("'"&amp;$B61&amp;"'!"&amp;"$P$39:$AD$42"),11,FALSE)="Cf. the utilized electricity",0,VLOOKUP($AD61,INDIRECT("'"&amp;$B61&amp;"'!"&amp;"$P$39:$AD$42"),11,FALSE))</f>
        <v>0</v>
      </c>
      <c r="Y61" s="81">
        <f ca="1">VLOOKUP($AD61,INDIRECT("'"&amp;$B61&amp;"'!"&amp;"$P$39:$AD$42"),12,FALSE)</f>
        <v>0</v>
      </c>
      <c r="Z61" s="81">
        <f ca="1">VLOOKUP($AD61,INDIRECT("'"&amp;$B61&amp;"'!"&amp;"$P$39:$AD$42"),13,FALSE)</f>
        <v>0</v>
      </c>
      <c r="AA61" s="81">
        <f ca="1">VLOOKUP($AD61,INDIRECT("'"&amp;$B61&amp;"'!"&amp;"$P$39:$AD$42"),14,FALSE)</f>
        <v>0</v>
      </c>
      <c r="AB61" s="81">
        <f ca="1">VLOOKUP($AD61,INDIRECT("'"&amp;$B61&amp;"'!"&amp;"$P$39:$AD$42"),15,FALSE)</f>
        <v>0</v>
      </c>
      <c r="AD61" s="81">
        <v>2050</v>
      </c>
      <c r="AE61" s="81"/>
      <c r="AF61" s="220"/>
    </row>
    <row r="62" spans="2:32" ht="16" thickBot="1">
      <c r="B62" s="786" t="s">
        <v>1002</v>
      </c>
      <c r="C62" s="787"/>
      <c r="D62" s="732"/>
      <c r="E62" s="732"/>
      <c r="F62" s="224" t="s">
        <v>1149</v>
      </c>
      <c r="G62" s="788" t="str">
        <f>$AI$20</f>
        <v>INDNWH</v>
      </c>
      <c r="H62" s="788"/>
      <c r="I62" s="788"/>
      <c r="K62" s="789"/>
      <c r="L62" s="790"/>
      <c r="M62" s="790"/>
      <c r="N62" s="789"/>
      <c r="O62" s="791"/>
      <c r="P62" s="791"/>
      <c r="Q62" s="789"/>
      <c r="R62" s="792"/>
      <c r="S62" s="792"/>
      <c r="T62" s="792"/>
      <c r="U62" s="790">
        <f ca="1">1-U61</f>
        <v>0.92753623188405798</v>
      </c>
      <c r="V62" s="796"/>
      <c r="W62" s="793"/>
      <c r="X62" s="794"/>
      <c r="Y62" s="789"/>
      <c r="Z62" s="789"/>
      <c r="AA62" s="789"/>
      <c r="AB62" s="789"/>
      <c r="AC62" s="787"/>
      <c r="AD62" s="789"/>
      <c r="AE62" s="789"/>
      <c r="AF62" s="795"/>
    </row>
    <row r="63" spans="2:32">
      <c r="B63" s="357" t="s">
        <v>920</v>
      </c>
      <c r="D63" s="212" t="str">
        <f>"IND"&amp;RIGHT(H63,4)&amp;RIGHT(G63,3)&amp;"N"&amp;RIGHT(E63,1)</f>
        <v>INDNDPHWSTN1</v>
      </c>
      <c r="E63" s="261" t="str">
        <f>"Industrial heating technology "&amp;$AJ$12&amp;" "&amp;RIGHT(H63,2)&amp;" - Hotdisc - new 1"</f>
        <v>Industrial heating technology N PH - Hotdisc - new 1</v>
      </c>
      <c r="F63" s="224" t="s">
        <v>1149</v>
      </c>
      <c r="G63" s="832" t="s">
        <v>1005</v>
      </c>
      <c r="H63" s="174" t="str">
        <f>$AI$13</f>
        <v>INDPH</v>
      </c>
      <c r="I63" s="173" t="str">
        <f t="shared" ref="I63:I126" si="21">$AI$20</f>
        <v>INDNWH</v>
      </c>
      <c r="J63" s="224">
        <f>IF(AD63=2020,2011,AD63)</f>
        <v>2011</v>
      </c>
      <c r="K63" s="299">
        <v>2025</v>
      </c>
      <c r="L63" s="699">
        <f t="shared" ref="L63:L80" ca="1" si="22">VLOOKUP($AD63,INDIRECT("'"&amp;$B63&amp;"'!"&amp;"$P$39:$AD$42"),3,FALSE)</f>
        <v>0.9</v>
      </c>
      <c r="M63" s="699"/>
      <c r="N63" s="299">
        <f ca="1">VLOOKUP($AD63,INDIRECT("'"&amp;$B63&amp;"'!"&amp;"$P$39:$AD$42"),5,FALSE)</f>
        <v>20</v>
      </c>
      <c r="O63" s="725">
        <f t="shared" ref="O63:O80" ca="1" si="23">VLOOKUP($AD63,INDIRECT("'"&amp;$B63&amp;"'!"&amp;"$P$39:$AD$42"),6,FALSE)/1000</f>
        <v>3.7250000000000001</v>
      </c>
      <c r="P63" s="725">
        <f t="shared" ref="P63:P80" ca="1" si="24">VLOOKUP($AD63,INDIRECT("'"&amp;$B63&amp;"'!"&amp;"$P$39:$AD$42"),7,FALSE)/1000</f>
        <v>2.98E-3</v>
      </c>
      <c r="Q63" s="299">
        <f t="shared" ref="Q63:Q80" ca="1" si="25">VLOOKUP($AD63,INDIRECT("'"&amp;$B63&amp;"'!"&amp;"$P$39:$AD$42"),8,FALSE)</f>
        <v>2.4315972222222224</v>
      </c>
      <c r="R63" s="299">
        <v>3.1536000000000002E-2</v>
      </c>
      <c r="S63" s="699">
        <v>0.5</v>
      </c>
      <c r="T63" s="699">
        <f ca="1">HLOOKUP($S$2,INDIRECT("'"&amp;$B63&amp;"'!"&amp;"$P$6:$AC$19"),IF(H63=$AI$13,6,IF(H63=$AI$14,9,14)),FALSE)</f>
        <v>0</v>
      </c>
      <c r="U63" s="772"/>
      <c r="V63" s="199">
        <f ca="1">IF(IF(RIGHT(H63,2)="PH",(1-L63)+$W$2,IF(RIGHT(H63,2)="HT",(1-L63)+$W$1,IF(RIGHT(H63,2)="SH",(1-L63)+$W$3,"")))&gt;0,IF(RIGHT(H63,2)="PH",(1-L63)+$W$2,IF(RIGHT(H63,2)="HT",(1-L63)+$W$1,IF(RIGHT(H63,2)="SH",(1-L63)+$W$3,""))),0)</f>
        <v>0.3</v>
      </c>
      <c r="W63" s="298"/>
      <c r="X63" s="785">
        <f t="shared" ref="X63:X94" ca="1" si="26">IF(VLOOKUP($AD63,INDIRECT("'"&amp;$B63&amp;"'!"&amp;"$P$39:$AD$42"),11,FALSE)="Cf. the utilized electricity",0,VLOOKUP($AD63,INDIRECT("'"&amp;$B63&amp;"'!"&amp;"$P$39:$AD$42"),11,FALSE))</f>
        <v>8.3000000000000007</v>
      </c>
      <c r="Y63" s="299">
        <f t="shared" ref="Y63:Y80" ca="1" si="27">VLOOKUP($AD63,INDIRECT("'"&amp;$B63&amp;"'!"&amp;"$P$39:$AD$42"),12,FALSE)</f>
        <v>56</v>
      </c>
      <c r="Z63" s="299">
        <f t="shared" ref="Z63:Z80" ca="1" si="28">VLOOKUP($AD63,INDIRECT("'"&amp;$B63&amp;"'!"&amp;"$P$39:$AD$42"),13,FALSE)</f>
        <v>0.1</v>
      </c>
      <c r="AA63" s="299">
        <f t="shared" ref="AA63:AA80" ca="1" si="29">VLOOKUP($AD63,INDIRECT("'"&amp;$B63&amp;"'!"&amp;"$P$39:$AD$42"),14,FALSE)</f>
        <v>1</v>
      </c>
      <c r="AB63" s="299">
        <f t="shared" ref="AB63:AB80" ca="1" si="30">VLOOKUP($AD63,INDIRECT("'"&amp;$B63&amp;"'!"&amp;"$P$39:$AD$42"),15,FALSE)</f>
        <v>0.28999999999999998</v>
      </c>
      <c r="AD63" s="299">
        <v>2020</v>
      </c>
      <c r="AE63" s="299"/>
      <c r="AF63" s="220"/>
    </row>
    <row r="64" spans="2:32">
      <c r="B64" s="357" t="s">
        <v>920</v>
      </c>
      <c r="D64" s="212"/>
      <c r="E64" s="212"/>
      <c r="F64" s="224" t="s">
        <v>1149</v>
      </c>
      <c r="H64" s="174"/>
      <c r="I64" s="173" t="str">
        <f t="shared" si="21"/>
        <v>INDNWH</v>
      </c>
      <c r="J64" s="224">
        <f t="shared" ref="J64:J127" si="31">IF(AD64=2020,2011,AD64)</f>
        <v>2030</v>
      </c>
      <c r="K64" s="81"/>
      <c r="L64" s="199">
        <f t="shared" ca="1" si="22"/>
        <v>0.91</v>
      </c>
      <c r="M64" s="199"/>
      <c r="N64" s="81"/>
      <c r="O64" s="723">
        <f t="shared" ca="1" si="23"/>
        <v>3.4642500000000003</v>
      </c>
      <c r="P64" s="723">
        <f t="shared" ca="1" si="24"/>
        <v>2.98E-3</v>
      </c>
      <c r="Q64" s="81">
        <f t="shared" ca="1" si="25"/>
        <v>2.4729861111111116</v>
      </c>
      <c r="R64" s="300"/>
      <c r="S64" s="300"/>
      <c r="T64" s="300"/>
      <c r="U64" s="300"/>
      <c r="V64" s="199">
        <f ca="1">IF(IF(RIGHT(H63,2)="PH",(1-L64)+$W$2,IF(RIGHT(H63,2)="HT",(1-L64)+$W$1,IF(RIGHT(H63,2)="SH",(1-L64)+$W$3,"")))&gt;0,IF(RIGHT(H63,2)="PH",(1-L64)+$W$2,IF(RIGHT(H63,2)="HT",(1-L64)+$W$1,IF(RIGHT(H63,2)="SH",(1-L64)+$W$3,""))),0)</f>
        <v>0.28999999999999998</v>
      </c>
      <c r="W64" s="298"/>
      <c r="X64" s="698">
        <f t="shared" ca="1" si="26"/>
        <v>8.3000000000000007</v>
      </c>
      <c r="Y64" s="81">
        <f t="shared" ca="1" si="27"/>
        <v>45</v>
      </c>
      <c r="Z64" s="81">
        <f t="shared" ca="1" si="28"/>
        <v>0.1</v>
      </c>
      <c r="AA64" s="81">
        <f t="shared" ca="1" si="29"/>
        <v>1</v>
      </c>
      <c r="AB64" s="81">
        <f t="shared" ca="1" si="30"/>
        <v>0.28999999999999998</v>
      </c>
      <c r="AD64" s="81">
        <v>2030</v>
      </c>
      <c r="AE64" s="81"/>
      <c r="AF64" s="220"/>
    </row>
    <row r="65" spans="2:32">
      <c r="B65" s="357" t="s">
        <v>920</v>
      </c>
      <c r="D65" s="212"/>
      <c r="E65" s="212"/>
      <c r="F65" s="224" t="s">
        <v>1149</v>
      </c>
      <c r="H65" s="174"/>
      <c r="I65" s="173" t="str">
        <f t="shared" si="21"/>
        <v>INDNWH</v>
      </c>
      <c r="J65" s="224">
        <f t="shared" si="31"/>
        <v>2050</v>
      </c>
      <c r="K65" s="81"/>
      <c r="L65" s="199">
        <f t="shared" ca="1" si="22"/>
        <v>0.93</v>
      </c>
      <c r="M65" s="199"/>
      <c r="N65" s="81"/>
      <c r="O65" s="723">
        <f t="shared" ca="1" si="23"/>
        <v>3.3525</v>
      </c>
      <c r="P65" s="723">
        <f t="shared" ca="1" si="24"/>
        <v>2.98E-3</v>
      </c>
      <c r="Q65" s="81">
        <f t="shared" ca="1" si="25"/>
        <v>2.4936805555555561</v>
      </c>
      <c r="R65" s="300"/>
      <c r="S65" s="300"/>
      <c r="T65" s="300"/>
      <c r="U65" s="300"/>
      <c r="V65" s="199">
        <f ca="1">IF(IF(RIGHT(H63,2)="PH",(1-L65)+$W$2,IF(RIGHT(H63,2)="HT",(1-L65)+$W$1,IF(RIGHT(H63,2)="SH",(1-L65)+$W$3,"")))&gt;0,IF(RIGHT(H63,2)="PH",(1-L65)+$W$2,IF(RIGHT(H63,2)="HT",(1-L65)+$W$1,IF(RIGHT(H63,2)="SH",(1-L65)+$W$3,""))),0)</f>
        <v>0.26999999999999996</v>
      </c>
      <c r="W65" s="298"/>
      <c r="X65" s="698">
        <f t="shared" ca="1" si="26"/>
        <v>8.3000000000000007</v>
      </c>
      <c r="Y65" s="81">
        <f t="shared" ca="1" si="27"/>
        <v>11</v>
      </c>
      <c r="Z65" s="81">
        <f t="shared" ca="1" si="28"/>
        <v>0.1</v>
      </c>
      <c r="AA65" s="81">
        <f t="shared" ca="1" si="29"/>
        <v>1</v>
      </c>
      <c r="AB65" s="81">
        <f t="shared" ca="1" si="30"/>
        <v>0.28999999999999998</v>
      </c>
      <c r="AD65" s="81">
        <v>2050</v>
      </c>
      <c r="AE65" s="81"/>
      <c r="AF65" s="220"/>
    </row>
    <row r="66" spans="2:32">
      <c r="B66" s="357" t="s">
        <v>922</v>
      </c>
      <c r="D66" s="212" t="str">
        <f>"IND"&amp;RIGHT(H66,4)&amp;RIGHT(G66,3)&amp;"N"&amp;RIGHT(E66,1)</f>
        <v>INDNDPHELCN6</v>
      </c>
      <c r="E66" s="261" t="str">
        <f>"Industrial heating technology "&amp;$AJ$12&amp;" "&amp;RIGHT(H66,2)&amp;" - Dielectric heating - new 6"</f>
        <v>Industrial heating technology N PH - Dielectric heating - new 6</v>
      </c>
      <c r="F66" s="224" t="s">
        <v>1149</v>
      </c>
      <c r="G66" s="173" t="s">
        <v>499</v>
      </c>
      <c r="H66" s="174" t="str">
        <f>$AI$14</f>
        <v>INDPH</v>
      </c>
      <c r="I66" s="173" t="str">
        <f t="shared" si="21"/>
        <v>INDNWH</v>
      </c>
      <c r="J66" s="224">
        <f t="shared" si="31"/>
        <v>2011</v>
      </c>
      <c r="K66" s="299">
        <v>2020</v>
      </c>
      <c r="L66" s="199">
        <f t="shared" ca="1" si="22"/>
        <v>0.95</v>
      </c>
      <c r="M66" s="199"/>
      <c r="N66" s="81">
        <f ca="1">VLOOKUP($AD66,INDIRECT("'"&amp;$B66&amp;"'!"&amp;"$P$39:$AD$42"),5,FALSE)</f>
        <v>30</v>
      </c>
      <c r="O66" s="723">
        <f t="shared" ca="1" si="23"/>
        <v>20.115000000000002</v>
      </c>
      <c r="P66" s="723">
        <f t="shared" ca="1" si="24"/>
        <v>0</v>
      </c>
      <c r="Q66" s="81">
        <f t="shared" ca="1" si="25"/>
        <v>94.828152777777774</v>
      </c>
      <c r="R66" s="81">
        <v>3.1536000000000002E-2</v>
      </c>
      <c r="S66" s="199">
        <v>0.5</v>
      </c>
      <c r="T66" s="199">
        <f ca="1">HLOOKUP($S$2,INDIRECT("'"&amp;$B66&amp;"'!"&amp;"$P$6:$AC$19"),IF(H66=$AI$13,6,IF(H66=$AI$14,9,14)),FALSE)</f>
        <v>0</v>
      </c>
      <c r="U66" s="772"/>
      <c r="V66" s="199">
        <f t="shared" ref="V66" ca="1" si="32">IF(IF(RIGHT(H66,2)="PH",(1-L66)+$W$2,IF(RIGHT(H66,2)="HT",(1-L66)+$W$1,IF(RIGHT(H66,2)="SH",(1-L66)+$W$3,"")))&gt;0,IF(RIGHT(H66,2)="PH",(1-L66)+$W$2,IF(RIGHT(H66,2)="HT",(1-L66)+$W$1,IF(RIGHT(H66,2)="SH",(1-L66)+$W$3,""))),0)</f>
        <v>0.25000000000000006</v>
      </c>
      <c r="W66" s="298"/>
      <c r="X66" s="698">
        <f t="shared" ca="1" si="26"/>
        <v>0</v>
      </c>
      <c r="Y66" s="81">
        <f t="shared" ca="1" si="27"/>
        <v>0</v>
      </c>
      <c r="Z66" s="81">
        <f t="shared" ca="1" si="28"/>
        <v>0</v>
      </c>
      <c r="AA66" s="81">
        <f t="shared" ca="1" si="29"/>
        <v>0</v>
      </c>
      <c r="AB66" s="81">
        <f t="shared" ca="1" si="30"/>
        <v>0</v>
      </c>
      <c r="AD66" s="81">
        <v>2020</v>
      </c>
      <c r="AE66" s="81"/>
      <c r="AF66" s="220"/>
    </row>
    <row r="67" spans="2:32">
      <c r="B67" s="357" t="s">
        <v>922</v>
      </c>
      <c r="D67" s="212"/>
      <c r="E67" s="212"/>
      <c r="F67" s="224" t="s">
        <v>1149</v>
      </c>
      <c r="H67" s="174"/>
      <c r="I67" s="173" t="str">
        <f t="shared" si="21"/>
        <v>INDNWH</v>
      </c>
      <c r="J67" s="224">
        <f t="shared" si="31"/>
        <v>2030</v>
      </c>
      <c r="K67" s="81"/>
      <c r="L67" s="199">
        <f t="shared" ca="1" si="22"/>
        <v>0.95</v>
      </c>
      <c r="M67" s="199"/>
      <c r="N67" s="81"/>
      <c r="O67" s="723">
        <f t="shared" ca="1" si="23"/>
        <v>19.511550000000003</v>
      </c>
      <c r="P67" s="723">
        <f t="shared" ca="1" si="24"/>
        <v>0</v>
      </c>
      <c r="Q67" s="81">
        <f t="shared" ca="1" si="25"/>
        <v>94.832291666666663</v>
      </c>
      <c r="R67" s="300"/>
      <c r="S67" s="300"/>
      <c r="T67" s="300"/>
      <c r="U67" s="300"/>
      <c r="V67" s="199">
        <f t="shared" ref="V67" ca="1" si="33">IF(IF(RIGHT(H66,2)="PH",(1-L67)+$W$2,IF(RIGHT(H66,2)="HT",(1-L67)+$W$1,IF(RIGHT(H66,2)="SH",(1-L67)+$W$3,"")))&gt;0,IF(RIGHT(H66,2)="PH",(1-L67)+$W$2,IF(RIGHT(H66,2)="HT",(1-L67)+$W$1,IF(RIGHT(H66,2)="SH",(1-L67)+$W$3,""))),0)</f>
        <v>0.25000000000000006</v>
      </c>
      <c r="W67" s="298"/>
      <c r="X67" s="698">
        <f t="shared" ca="1" si="26"/>
        <v>0</v>
      </c>
      <c r="Y67" s="81">
        <f t="shared" ca="1" si="27"/>
        <v>0</v>
      </c>
      <c r="Z67" s="81">
        <f t="shared" ca="1" si="28"/>
        <v>0</v>
      </c>
      <c r="AA67" s="81">
        <f t="shared" ca="1" si="29"/>
        <v>0</v>
      </c>
      <c r="AB67" s="81">
        <f t="shared" ca="1" si="30"/>
        <v>0</v>
      </c>
      <c r="AD67" s="81">
        <v>2030</v>
      </c>
      <c r="AE67" s="81"/>
      <c r="AF67" s="220"/>
    </row>
    <row r="68" spans="2:32">
      <c r="B68" s="357" t="s">
        <v>922</v>
      </c>
      <c r="D68" s="212"/>
      <c r="E68" s="212"/>
      <c r="F68" s="224" t="s">
        <v>1149</v>
      </c>
      <c r="H68" s="174"/>
      <c r="I68" s="173" t="str">
        <f t="shared" si="21"/>
        <v>INDNWH</v>
      </c>
      <c r="J68" s="224">
        <f t="shared" si="31"/>
        <v>2050</v>
      </c>
      <c r="K68" s="81"/>
      <c r="L68" s="199">
        <f t="shared" ca="1" si="22"/>
        <v>0.95</v>
      </c>
      <c r="M68" s="199"/>
      <c r="N68" s="81"/>
      <c r="O68" s="723">
        <f t="shared" ca="1" si="23"/>
        <v>18.1035</v>
      </c>
      <c r="P68" s="723">
        <f t="shared" ca="1" si="24"/>
        <v>0</v>
      </c>
      <c r="Q68" s="81">
        <f t="shared" ca="1" si="25"/>
        <v>94.834361111111107</v>
      </c>
      <c r="R68" s="300"/>
      <c r="S68" s="300"/>
      <c r="T68" s="300"/>
      <c r="U68" s="300"/>
      <c r="V68" s="199">
        <f t="shared" ref="V68" ca="1" si="34">IF(IF(RIGHT(H66,2)="PH",(1-L68)+$W$2,IF(RIGHT(H66,2)="HT",(1-L68)+$W$1,IF(RIGHT(H66,2)="SH",(1-L68)+$W$3,"")))&gt;0,IF(RIGHT(H66,2)="PH",(1-L68)+$W$2,IF(RIGHT(H66,2)="HT",(1-L68)+$W$1,IF(RIGHT(H66,2)="SH",(1-L68)+$W$3,""))),0)</f>
        <v>0.25000000000000006</v>
      </c>
      <c r="W68" s="298"/>
      <c r="X68" s="698">
        <f t="shared" ca="1" si="26"/>
        <v>0</v>
      </c>
      <c r="Y68" s="81">
        <f t="shared" ca="1" si="27"/>
        <v>0</v>
      </c>
      <c r="Z68" s="81">
        <f t="shared" ca="1" si="28"/>
        <v>0</v>
      </c>
      <c r="AA68" s="81">
        <f t="shared" ca="1" si="29"/>
        <v>0</v>
      </c>
      <c r="AB68" s="81">
        <f t="shared" ca="1" si="30"/>
        <v>0</v>
      </c>
      <c r="AD68" s="81">
        <v>2050</v>
      </c>
      <c r="AE68" s="81"/>
      <c r="AF68" s="220"/>
    </row>
    <row r="69" spans="2:32">
      <c r="B69" s="357" t="s">
        <v>1006</v>
      </c>
      <c r="D69" s="212" t="str">
        <f>"IND"&amp;RIGHT(H69,4)&amp;RIGHT(G69,3)&amp;"N"&amp;RIGHT(E69,1)</f>
        <v>INDNDPHELCN7</v>
      </c>
      <c r="E69" s="261" t="str">
        <f>"Industrial heating technology "&amp;$AJ$12&amp;" "&amp;RIGHT(H69,2)&amp;" - Infrared heating - new 7"</f>
        <v>Industrial heating technology N PH - Infrared heating - new 7</v>
      </c>
      <c r="F69" s="224" t="s">
        <v>1149</v>
      </c>
      <c r="G69" s="173" t="s">
        <v>499</v>
      </c>
      <c r="H69" s="174" t="str">
        <f>$AI$14</f>
        <v>INDPH</v>
      </c>
      <c r="I69" s="173" t="str">
        <f t="shared" si="21"/>
        <v>INDNWH</v>
      </c>
      <c r="J69" s="224">
        <f t="shared" si="31"/>
        <v>2011</v>
      </c>
      <c r="K69" s="299">
        <v>2020</v>
      </c>
      <c r="L69" s="199">
        <f t="shared" ca="1" si="22"/>
        <v>0.96</v>
      </c>
      <c r="M69" s="199"/>
      <c r="N69" s="81">
        <f ca="1">VLOOKUP($AD69,INDIRECT("'"&amp;$B69&amp;"'!"&amp;"$P$39:$AD$42"),5,FALSE)</f>
        <v>30</v>
      </c>
      <c r="O69" s="723">
        <f t="shared" ca="1" si="23"/>
        <v>2.6074999999999999</v>
      </c>
      <c r="P69" s="723">
        <f t="shared" ca="1" si="24"/>
        <v>0</v>
      </c>
      <c r="Q69" s="81">
        <f t="shared" ca="1" si="25"/>
        <v>242.27606944444443</v>
      </c>
      <c r="R69" s="81">
        <v>3.1536000000000002E-2</v>
      </c>
      <c r="S69" s="199">
        <v>0.5</v>
      </c>
      <c r="T69" s="199">
        <f ca="1">HLOOKUP($S$2,INDIRECT("'"&amp;$B69&amp;"'!"&amp;"$P$6:$AC$19"),IF(H69=$AI$13,6,IF(H69=$AI$14,9,14)),FALSE)</f>
        <v>0</v>
      </c>
      <c r="U69" s="772"/>
      <c r="V69" s="199">
        <f t="shared" ref="V69" ca="1" si="35">IF(IF(RIGHT(H69,2)="PH",(1-L69)+$W$2,IF(RIGHT(H69,2)="HT",(1-L69)+$W$1,IF(RIGHT(H69,2)="SH",(1-L69)+$W$3,"")))&gt;0,IF(RIGHT(H69,2)="PH",(1-L69)+$W$2,IF(RIGHT(H69,2)="HT",(1-L69)+$W$1,IF(RIGHT(H69,2)="SH",(1-L69)+$W$3,""))),0)</f>
        <v>0.24000000000000005</v>
      </c>
      <c r="W69" s="298"/>
      <c r="X69" s="698">
        <f t="shared" ca="1" si="26"/>
        <v>0</v>
      </c>
      <c r="Y69" s="81">
        <f t="shared" ca="1" si="27"/>
        <v>0</v>
      </c>
      <c r="Z69" s="81">
        <f t="shared" ca="1" si="28"/>
        <v>0</v>
      </c>
      <c r="AA69" s="81">
        <f t="shared" ca="1" si="29"/>
        <v>0</v>
      </c>
      <c r="AB69" s="81">
        <f t="shared" ca="1" si="30"/>
        <v>0</v>
      </c>
      <c r="AD69" s="81">
        <v>2020</v>
      </c>
      <c r="AE69" s="81"/>
      <c r="AF69" s="220"/>
    </row>
    <row r="70" spans="2:32">
      <c r="B70" s="357" t="s">
        <v>1006</v>
      </c>
      <c r="D70" s="212"/>
      <c r="E70" s="212"/>
      <c r="F70" s="224" t="s">
        <v>1149</v>
      </c>
      <c r="H70" s="174"/>
      <c r="I70" s="173" t="str">
        <f t="shared" si="21"/>
        <v>INDNWH</v>
      </c>
      <c r="J70" s="224">
        <f t="shared" si="31"/>
        <v>2030</v>
      </c>
      <c r="K70" s="81"/>
      <c r="L70" s="199">
        <f t="shared" ca="1" si="22"/>
        <v>0.96</v>
      </c>
      <c r="M70" s="199"/>
      <c r="N70" s="81"/>
      <c r="O70" s="723">
        <f t="shared" ca="1" si="23"/>
        <v>2.5330000000000004</v>
      </c>
      <c r="P70" s="723">
        <f t="shared" ca="1" si="24"/>
        <v>0</v>
      </c>
      <c r="Q70" s="81">
        <f t="shared" ca="1" si="25"/>
        <v>242.28020833333332</v>
      </c>
      <c r="R70" s="300"/>
      <c r="S70" s="300"/>
      <c r="T70" s="300"/>
      <c r="U70" s="300"/>
      <c r="V70" s="199">
        <f t="shared" ref="V70" ca="1" si="36">IF(IF(RIGHT(H69,2)="PH",(1-L70)+$W$2,IF(RIGHT(H69,2)="HT",(1-L70)+$W$1,IF(RIGHT(H69,2)="SH",(1-L70)+$W$3,"")))&gt;0,IF(RIGHT(H69,2)="PH",(1-L70)+$W$2,IF(RIGHT(H69,2)="HT",(1-L70)+$W$1,IF(RIGHT(H69,2)="SH",(1-L70)+$W$3,""))),0)</f>
        <v>0.24000000000000005</v>
      </c>
      <c r="W70" s="298"/>
      <c r="X70" s="698">
        <f t="shared" ca="1" si="26"/>
        <v>0</v>
      </c>
      <c r="Y70" s="81">
        <f t="shared" ca="1" si="27"/>
        <v>0</v>
      </c>
      <c r="Z70" s="81">
        <f t="shared" ca="1" si="28"/>
        <v>0</v>
      </c>
      <c r="AA70" s="81">
        <f t="shared" ca="1" si="29"/>
        <v>0</v>
      </c>
      <c r="AB70" s="81">
        <f t="shared" ca="1" si="30"/>
        <v>0</v>
      </c>
      <c r="AD70" s="81">
        <v>2030</v>
      </c>
      <c r="AE70" s="81"/>
      <c r="AF70" s="220"/>
    </row>
    <row r="71" spans="2:32">
      <c r="B71" s="357" t="s">
        <v>1006</v>
      </c>
      <c r="D71" s="212"/>
      <c r="E71" s="212"/>
      <c r="F71" s="224" t="s">
        <v>1149</v>
      </c>
      <c r="H71" s="174"/>
      <c r="I71" s="174" t="str">
        <f t="shared" si="21"/>
        <v>INDNWH</v>
      </c>
      <c r="J71" s="224">
        <f t="shared" si="31"/>
        <v>2050</v>
      </c>
      <c r="K71" s="81"/>
      <c r="L71" s="199">
        <f t="shared" ca="1" si="22"/>
        <v>0.96</v>
      </c>
      <c r="M71" s="199"/>
      <c r="N71" s="81"/>
      <c r="O71" s="723">
        <f t="shared" ca="1" si="23"/>
        <v>2.3467500000000001</v>
      </c>
      <c r="P71" s="723">
        <f t="shared" ca="1" si="24"/>
        <v>0</v>
      </c>
      <c r="Q71" s="81">
        <f t="shared" ca="1" si="25"/>
        <v>242.28227777777775</v>
      </c>
      <c r="R71" s="300"/>
      <c r="S71" s="300"/>
      <c r="T71" s="300"/>
      <c r="U71" s="300"/>
      <c r="V71" s="199">
        <f t="shared" ref="V71" ca="1" si="37">IF(IF(RIGHT(H69,2)="PH",(1-L71)+$W$2,IF(RIGHT(H69,2)="HT",(1-L71)+$W$1,IF(RIGHT(H69,2)="SH",(1-L71)+$W$3,"")))&gt;0,IF(RIGHT(H69,2)="PH",(1-L71)+$W$2,IF(RIGHT(H69,2)="HT",(1-L71)+$W$1,IF(RIGHT(H69,2)="SH",(1-L71)+$W$3,""))),0)</f>
        <v>0.24000000000000005</v>
      </c>
      <c r="W71" s="298"/>
      <c r="X71" s="698">
        <f t="shared" ca="1" si="26"/>
        <v>0</v>
      </c>
      <c r="Y71" s="81">
        <f t="shared" ca="1" si="27"/>
        <v>0</v>
      </c>
      <c r="Z71" s="81">
        <f t="shared" ca="1" si="28"/>
        <v>0</v>
      </c>
      <c r="AA71" s="81">
        <f t="shared" ca="1" si="29"/>
        <v>0</v>
      </c>
      <c r="AB71" s="81">
        <f t="shared" ca="1" si="30"/>
        <v>0</v>
      </c>
      <c r="AD71" s="81">
        <v>2050</v>
      </c>
      <c r="AE71" s="81"/>
      <c r="AF71" s="220"/>
    </row>
    <row r="72" spans="2:32">
      <c r="B72" s="357" t="s">
        <v>1007</v>
      </c>
      <c r="D72" s="212" t="str">
        <f>"IND"&amp;RIGHT(H72,4)&amp;RIGHT(G72,3)&amp;"N"&amp;RIGHT(E72,1)</f>
        <v>INDNDPHELCN8</v>
      </c>
      <c r="E72" s="261" t="str">
        <f>"Industrial heating technology "&amp;$AJ$12&amp;" "&amp;RIGHT(H72,2)&amp;" - Electric boiler (Steam) - new 8"</f>
        <v>Industrial heating technology N PH - Electric boiler (Steam) - new 8</v>
      </c>
      <c r="F72" s="224" t="s">
        <v>1149</v>
      </c>
      <c r="G72" s="173" t="s">
        <v>499</v>
      </c>
      <c r="H72" s="174" t="str">
        <f>$AI$13</f>
        <v>INDPH</v>
      </c>
      <c r="I72" s="174" t="str">
        <f t="shared" si="21"/>
        <v>INDNWH</v>
      </c>
      <c r="J72" s="224">
        <f t="shared" si="31"/>
        <v>2011</v>
      </c>
      <c r="K72" s="299">
        <v>2020</v>
      </c>
      <c r="L72" s="199">
        <f t="shared" ca="1" si="22"/>
        <v>0.99</v>
      </c>
      <c r="M72" s="199"/>
      <c r="N72" s="81">
        <f ca="1">VLOOKUP($AD72,INDIRECT("'"&amp;$B72&amp;"'!"&amp;"$P$39:$AD$42"),5,FALSE)</f>
        <v>25</v>
      </c>
      <c r="O72" s="723">
        <f t="shared" ca="1" si="23"/>
        <v>0.59599999999999997</v>
      </c>
      <c r="P72" s="723">
        <f t="shared" ca="1" si="24"/>
        <v>7.9714999999999994E-3</v>
      </c>
      <c r="Q72" s="81">
        <f t="shared" ca="1" si="25"/>
        <v>1.7900694444444445</v>
      </c>
      <c r="R72" s="81">
        <v>3.1536000000000002E-2</v>
      </c>
      <c r="S72" s="199">
        <v>0.5</v>
      </c>
      <c r="T72" s="199">
        <f ca="1">HLOOKUP($T$2,INDIRECT("'"&amp;$B72&amp;"'!"&amp;"$P$6:$AC$19"),IF(H72=$AI$13,6,IF(H72=$AI$14,9,14)),FALSE)</f>
        <v>1</v>
      </c>
      <c r="U72" s="772"/>
      <c r="V72" s="199">
        <f t="shared" ref="V72" ca="1" si="38">IF(IF(RIGHT(H72,2)="PH",(1-L72)+$W$2,IF(RIGHT(H72,2)="HT",(1-L72)+$W$1,IF(RIGHT(H72,2)="SH",(1-L72)+$W$3,"")))&gt;0,IF(RIGHT(H72,2)="PH",(1-L72)+$W$2,IF(RIGHT(H72,2)="HT",(1-L72)+$W$1,IF(RIGHT(H72,2)="SH",(1-L72)+$W$3,""))),0)</f>
        <v>0.21000000000000002</v>
      </c>
      <c r="W72" s="298"/>
      <c r="X72" s="698">
        <f t="shared" ca="1" si="26"/>
        <v>0</v>
      </c>
      <c r="Y72" s="81">
        <f t="shared" ca="1" si="27"/>
        <v>0</v>
      </c>
      <c r="Z72" s="81">
        <f t="shared" ca="1" si="28"/>
        <v>0</v>
      </c>
      <c r="AA72" s="81">
        <f t="shared" ca="1" si="29"/>
        <v>0</v>
      </c>
      <c r="AB72" s="81">
        <f t="shared" ca="1" si="30"/>
        <v>0</v>
      </c>
      <c r="AD72" s="81">
        <v>2020</v>
      </c>
      <c r="AE72" s="81"/>
      <c r="AF72" s="220"/>
    </row>
    <row r="73" spans="2:32">
      <c r="B73" s="357" t="s">
        <v>1007</v>
      </c>
      <c r="D73" s="212"/>
      <c r="E73" s="212"/>
      <c r="F73" s="224" t="s">
        <v>1149</v>
      </c>
      <c r="H73" s="174"/>
      <c r="I73" s="174" t="str">
        <f t="shared" si="21"/>
        <v>INDNWH</v>
      </c>
      <c r="J73" s="224">
        <f t="shared" si="31"/>
        <v>2030</v>
      </c>
      <c r="K73" s="81"/>
      <c r="L73" s="199">
        <f t="shared" ca="1" si="22"/>
        <v>0.99</v>
      </c>
      <c r="M73" s="199"/>
      <c r="N73" s="81"/>
      <c r="O73" s="723">
        <f t="shared" ca="1" si="23"/>
        <v>0.52150000000000007</v>
      </c>
      <c r="P73" s="723">
        <f t="shared" ca="1" si="24"/>
        <v>7.5989999999999999E-3</v>
      </c>
      <c r="Q73" s="81">
        <f t="shared" ca="1" si="25"/>
        <v>1.8107638888888888</v>
      </c>
      <c r="R73" s="300"/>
      <c r="S73" s="300"/>
      <c r="T73" s="300"/>
      <c r="U73" s="300"/>
      <c r="V73" s="199">
        <f t="shared" ref="V73" ca="1" si="39">IF(IF(RIGHT(H72,2)="PH",(1-L73)+$W$2,IF(RIGHT(H72,2)="HT",(1-L73)+$W$1,IF(RIGHT(H72,2)="SH",(1-L73)+$W$3,"")))&gt;0,IF(RIGHT(H72,2)="PH",(1-L73)+$W$2,IF(RIGHT(H72,2)="HT",(1-L73)+$W$1,IF(RIGHT(H72,2)="SH",(1-L73)+$W$3,""))),0)</f>
        <v>0.21000000000000002</v>
      </c>
      <c r="W73" s="298"/>
      <c r="X73" s="698">
        <f t="shared" ca="1" si="26"/>
        <v>0</v>
      </c>
      <c r="Y73" s="81">
        <f t="shared" ca="1" si="27"/>
        <v>0</v>
      </c>
      <c r="Z73" s="81">
        <f t="shared" ca="1" si="28"/>
        <v>0</v>
      </c>
      <c r="AA73" s="81">
        <f t="shared" ca="1" si="29"/>
        <v>0</v>
      </c>
      <c r="AB73" s="81">
        <f t="shared" ca="1" si="30"/>
        <v>0</v>
      </c>
      <c r="AD73" s="81">
        <v>2030</v>
      </c>
      <c r="AE73" s="81"/>
      <c r="AF73" s="220"/>
    </row>
    <row r="74" spans="2:32">
      <c r="B74" s="357" t="s">
        <v>1007</v>
      </c>
      <c r="D74" s="212"/>
      <c r="E74" s="212"/>
      <c r="F74" s="224" t="s">
        <v>1149</v>
      </c>
      <c r="H74" s="174"/>
      <c r="I74" s="174" t="str">
        <f t="shared" si="21"/>
        <v>INDNWH</v>
      </c>
      <c r="J74" s="224">
        <f t="shared" si="31"/>
        <v>2050</v>
      </c>
      <c r="K74" s="81"/>
      <c r="L74" s="199">
        <f t="shared" ca="1" si="22"/>
        <v>0.99</v>
      </c>
      <c r="M74" s="199"/>
      <c r="N74" s="81"/>
      <c r="O74" s="723">
        <f t="shared" ca="1" si="23"/>
        <v>0.52150000000000007</v>
      </c>
      <c r="P74" s="723">
        <f t="shared" ca="1" si="24"/>
        <v>6.8539999999999998E-3</v>
      </c>
      <c r="Q74" s="81">
        <f t="shared" ca="1" si="25"/>
        <v>1.6141666666666665</v>
      </c>
      <c r="R74" s="300"/>
      <c r="S74" s="300"/>
      <c r="T74" s="300"/>
      <c r="U74" s="300"/>
      <c r="V74" s="199">
        <f t="shared" ref="V74" ca="1" si="40">IF(IF(RIGHT(H72,2)="PH",(1-L74)+$W$2,IF(RIGHT(H72,2)="HT",(1-L74)+$W$1,IF(RIGHT(H72,2)="SH",(1-L74)+$W$3,"")))&gt;0,IF(RIGHT(H72,2)="PH",(1-L74)+$W$2,IF(RIGHT(H72,2)="HT",(1-L74)+$W$1,IF(RIGHT(H72,2)="SH",(1-L74)+$W$3,""))),0)</f>
        <v>0.21000000000000002</v>
      </c>
      <c r="W74" s="298"/>
      <c r="X74" s="698">
        <f t="shared" ca="1" si="26"/>
        <v>0</v>
      </c>
      <c r="Y74" s="81">
        <f t="shared" ca="1" si="27"/>
        <v>0</v>
      </c>
      <c r="Z74" s="81">
        <f t="shared" ca="1" si="28"/>
        <v>0</v>
      </c>
      <c r="AA74" s="81">
        <f t="shared" ca="1" si="29"/>
        <v>0</v>
      </c>
      <c r="AB74" s="81">
        <f t="shared" ca="1" si="30"/>
        <v>0</v>
      </c>
      <c r="AD74" s="81">
        <v>2050</v>
      </c>
      <c r="AE74" s="81"/>
      <c r="AF74" s="220"/>
    </row>
    <row r="75" spans="2:32">
      <c r="B75" s="357" t="s">
        <v>1007</v>
      </c>
      <c r="D75" s="212" t="str">
        <f>"IND"&amp;RIGHT(H75,4)&amp;RIGHT(G75,3)&amp;"N"&amp;RIGHT(E75,1)</f>
        <v>INDNDPHELCN8</v>
      </c>
      <c r="E75" s="261" t="str">
        <f>"Industrial heating technology "&amp;$AJ$12&amp;" "&amp;RIGHT(H75,2)&amp;" - Electric boiler (Steam) - new 8"</f>
        <v>Industrial heating technology N PH - Electric boiler (Steam) - new 8</v>
      </c>
      <c r="F75" s="224" t="s">
        <v>1149</v>
      </c>
      <c r="G75" s="173" t="s">
        <v>499</v>
      </c>
      <c r="H75" s="174" t="str">
        <f>$AI$14</f>
        <v>INDPH</v>
      </c>
      <c r="I75" s="174" t="str">
        <f t="shared" si="21"/>
        <v>INDNWH</v>
      </c>
      <c r="J75" s="224">
        <f t="shared" si="31"/>
        <v>2011</v>
      </c>
      <c r="K75" s="299">
        <v>2020</v>
      </c>
      <c r="L75" s="199">
        <f t="shared" ca="1" si="22"/>
        <v>0.99</v>
      </c>
      <c r="M75" s="199"/>
      <c r="N75" s="81">
        <f ca="1">VLOOKUP($AD75,INDIRECT("'"&amp;$B75&amp;"'!"&amp;"$P$39:$AD$42"),5,FALSE)</f>
        <v>25</v>
      </c>
      <c r="O75" s="723">
        <f t="shared" ca="1" si="23"/>
        <v>0.59599999999999997</v>
      </c>
      <c r="P75" s="723">
        <f t="shared" ca="1" si="24"/>
        <v>7.9714999999999994E-3</v>
      </c>
      <c r="Q75" s="81">
        <f t="shared" ca="1" si="25"/>
        <v>1.7900694444444445</v>
      </c>
      <c r="R75" s="81">
        <v>3.1536000000000002E-2</v>
      </c>
      <c r="S75" s="199">
        <v>0.5</v>
      </c>
      <c r="T75" s="199">
        <f ca="1">HLOOKUP($T$2,INDIRECT("'"&amp;$B75&amp;"'!"&amp;"$P$6:$AC$19"),IF(H75=$AI$13,6,IF(H75=$AI$14,9,14)),FALSE)</f>
        <v>1</v>
      </c>
      <c r="U75" s="772"/>
      <c r="V75" s="199">
        <f t="shared" ref="V75" ca="1" si="41">IF(IF(RIGHT(H75,2)="PH",(1-L75)+$W$2,IF(RIGHT(H75,2)="HT",(1-L75)+$W$1,IF(RIGHT(H75,2)="SH",(1-L75)+$W$3,"")))&gt;0,IF(RIGHT(H75,2)="PH",(1-L75)+$W$2,IF(RIGHT(H75,2)="HT",(1-L75)+$W$1,IF(RIGHT(H75,2)="SH",(1-L75)+$W$3,""))),0)</f>
        <v>0.21000000000000002</v>
      </c>
      <c r="W75" s="298"/>
      <c r="X75" s="698">
        <f t="shared" ca="1" si="26"/>
        <v>0</v>
      </c>
      <c r="Y75" s="81">
        <f t="shared" ca="1" si="27"/>
        <v>0</v>
      </c>
      <c r="Z75" s="81">
        <f t="shared" ca="1" si="28"/>
        <v>0</v>
      </c>
      <c r="AA75" s="81">
        <f t="shared" ca="1" si="29"/>
        <v>0</v>
      </c>
      <c r="AB75" s="81">
        <f t="shared" ca="1" si="30"/>
        <v>0</v>
      </c>
      <c r="AD75" s="81">
        <v>2020</v>
      </c>
      <c r="AE75" s="81"/>
      <c r="AF75" s="220"/>
    </row>
    <row r="76" spans="2:32">
      <c r="B76" s="357" t="s">
        <v>1007</v>
      </c>
      <c r="D76" s="212"/>
      <c r="E76" s="212"/>
      <c r="F76" s="224" t="s">
        <v>1149</v>
      </c>
      <c r="H76" s="174"/>
      <c r="I76" s="174" t="str">
        <f t="shared" si="21"/>
        <v>INDNWH</v>
      </c>
      <c r="J76" s="224">
        <f t="shared" si="31"/>
        <v>2030</v>
      </c>
      <c r="K76" s="81"/>
      <c r="L76" s="199">
        <f t="shared" ca="1" si="22"/>
        <v>0.99</v>
      </c>
      <c r="M76" s="199"/>
      <c r="N76" s="81"/>
      <c r="O76" s="723">
        <f t="shared" ca="1" si="23"/>
        <v>0.52150000000000007</v>
      </c>
      <c r="P76" s="723">
        <f t="shared" ca="1" si="24"/>
        <v>7.5989999999999999E-3</v>
      </c>
      <c r="Q76" s="81">
        <f t="shared" ca="1" si="25"/>
        <v>1.8107638888888888</v>
      </c>
      <c r="R76" s="300"/>
      <c r="S76" s="300"/>
      <c r="T76" s="300"/>
      <c r="U76" s="300"/>
      <c r="V76" s="199">
        <f t="shared" ref="V76" ca="1" si="42">IF(IF(RIGHT(H75,2)="PH",(1-L76)+$W$2,IF(RIGHT(H75,2)="HT",(1-L76)+$W$1,IF(RIGHT(H75,2)="SH",(1-L76)+$W$3,"")))&gt;0,IF(RIGHT(H75,2)="PH",(1-L76)+$W$2,IF(RIGHT(H75,2)="HT",(1-L76)+$W$1,IF(RIGHT(H75,2)="SH",(1-L76)+$W$3,""))),0)</f>
        <v>0.21000000000000002</v>
      </c>
      <c r="W76" s="298"/>
      <c r="X76" s="698">
        <f t="shared" ca="1" si="26"/>
        <v>0</v>
      </c>
      <c r="Y76" s="81">
        <f t="shared" ca="1" si="27"/>
        <v>0</v>
      </c>
      <c r="Z76" s="81">
        <f t="shared" ca="1" si="28"/>
        <v>0</v>
      </c>
      <c r="AA76" s="81">
        <f t="shared" ca="1" si="29"/>
        <v>0</v>
      </c>
      <c r="AB76" s="81">
        <f t="shared" ca="1" si="30"/>
        <v>0</v>
      </c>
      <c r="AD76" s="81">
        <v>2030</v>
      </c>
      <c r="AE76" s="81"/>
      <c r="AF76" s="220"/>
    </row>
    <row r="77" spans="2:32">
      <c r="B77" s="357" t="s">
        <v>1007</v>
      </c>
      <c r="D77" s="212"/>
      <c r="E77" s="212"/>
      <c r="F77" s="224" t="s">
        <v>1149</v>
      </c>
      <c r="H77" s="174"/>
      <c r="I77" s="174" t="str">
        <f t="shared" si="21"/>
        <v>INDNWH</v>
      </c>
      <c r="J77" s="224">
        <f t="shared" si="31"/>
        <v>2050</v>
      </c>
      <c r="K77" s="81"/>
      <c r="L77" s="199">
        <f t="shared" ca="1" si="22"/>
        <v>0.99</v>
      </c>
      <c r="M77" s="199"/>
      <c r="N77" s="81"/>
      <c r="O77" s="723">
        <f t="shared" ca="1" si="23"/>
        <v>0.52150000000000007</v>
      </c>
      <c r="P77" s="723">
        <f t="shared" ca="1" si="24"/>
        <v>6.8539999999999998E-3</v>
      </c>
      <c r="Q77" s="81">
        <f t="shared" ca="1" si="25"/>
        <v>1.6141666666666665</v>
      </c>
      <c r="R77" s="300"/>
      <c r="S77" s="300"/>
      <c r="T77" s="300"/>
      <c r="U77" s="300"/>
      <c r="V77" s="199">
        <f t="shared" ref="V77" ca="1" si="43">IF(IF(RIGHT(H75,2)="PH",(1-L77)+$W$2,IF(RIGHT(H75,2)="HT",(1-L77)+$W$1,IF(RIGHT(H75,2)="SH",(1-L77)+$W$3,"")))&gt;0,IF(RIGHT(H75,2)="PH",(1-L77)+$W$2,IF(RIGHT(H75,2)="HT",(1-L77)+$W$1,IF(RIGHT(H75,2)="SH",(1-L77)+$W$3,""))),0)</f>
        <v>0.21000000000000002</v>
      </c>
      <c r="W77" s="298"/>
      <c r="X77" s="698">
        <f t="shared" ca="1" si="26"/>
        <v>0</v>
      </c>
      <c r="Y77" s="81">
        <f t="shared" ca="1" si="27"/>
        <v>0</v>
      </c>
      <c r="Z77" s="81">
        <f t="shared" ca="1" si="28"/>
        <v>0</v>
      </c>
      <c r="AA77" s="81">
        <f t="shared" ca="1" si="29"/>
        <v>0</v>
      </c>
      <c r="AB77" s="81">
        <f t="shared" ca="1" si="30"/>
        <v>0</v>
      </c>
      <c r="AD77" s="81">
        <v>2050</v>
      </c>
      <c r="AE77" s="706"/>
      <c r="AF77" s="220"/>
    </row>
    <row r="78" spans="2:32">
      <c r="B78" s="357" t="s">
        <v>1007</v>
      </c>
      <c r="D78" s="212" t="str">
        <f>"IND"&amp;RIGHT(H78,4)&amp;RIGHT(G78,3)&amp;"N"&amp;RIGHT(E78,1)</f>
        <v>INDNDSHELCN8</v>
      </c>
      <c r="E78" s="261" t="str">
        <f>"Industrial heating technology "&amp;$AJ$12&amp;" "&amp;RIGHT(H78,2)&amp;" - Electric boiler (Steam) - new 8"</f>
        <v>Industrial heating technology N SH - Electric boiler (Steam) - new 8</v>
      </c>
      <c r="F78" s="224" t="s">
        <v>1149</v>
      </c>
      <c r="G78" s="173" t="s">
        <v>499</v>
      </c>
      <c r="H78" s="174" t="str">
        <f>$AI$15</f>
        <v>INDSH</v>
      </c>
      <c r="I78" s="174" t="str">
        <f t="shared" si="21"/>
        <v>INDNWH</v>
      </c>
      <c r="J78" s="224">
        <f t="shared" si="31"/>
        <v>2011</v>
      </c>
      <c r="K78" s="299">
        <v>2020</v>
      </c>
      <c r="L78" s="199">
        <f t="shared" ca="1" si="22"/>
        <v>0.99</v>
      </c>
      <c r="M78" s="199"/>
      <c r="N78" s="81">
        <f ca="1">VLOOKUP($AD78,INDIRECT("'"&amp;$B78&amp;"'!"&amp;"$P$39:$AD$42"),5,FALSE)</f>
        <v>25</v>
      </c>
      <c r="O78" s="723">
        <f t="shared" ca="1" si="23"/>
        <v>0.59599999999999997</v>
      </c>
      <c r="P78" s="723">
        <f t="shared" ca="1" si="24"/>
        <v>7.9714999999999994E-3</v>
      </c>
      <c r="Q78" s="81">
        <f t="shared" ca="1" si="25"/>
        <v>1.7900694444444445</v>
      </c>
      <c r="R78" s="81">
        <v>3.1536000000000002E-2</v>
      </c>
      <c r="S78" s="199">
        <v>0.5</v>
      </c>
      <c r="T78" s="199">
        <f ca="1">HLOOKUP($T$2,INDIRECT("'"&amp;$B78&amp;"'!"&amp;"$P$6:$AC$19"),IF(H78=$AI$13,6,IF(H78=$AI$14,9,14)),FALSE)</f>
        <v>1</v>
      </c>
      <c r="U78" s="772"/>
      <c r="V78" s="199">
        <f t="shared" ref="V78" ca="1" si="44">IF(IF(RIGHT(H78,2)="PH",(1-L78)+$W$2,IF(RIGHT(H78,2)="HT",(1-L78)+$W$1,IF(RIGHT(H78,2)="SH",(1-L78)+$W$3,"")))&gt;0,IF(RIGHT(H78,2)="PH",(1-L78)+$W$2,IF(RIGHT(H78,2)="HT",(1-L78)+$W$1,IF(RIGHT(H78,2)="SH",(1-L78)+$W$3,""))),0)</f>
        <v>1.0000000000000009E-2</v>
      </c>
      <c r="W78" s="298"/>
      <c r="X78" s="698">
        <f t="shared" ca="1" si="26"/>
        <v>0</v>
      </c>
      <c r="Y78" s="81">
        <f t="shared" ca="1" si="27"/>
        <v>0</v>
      </c>
      <c r="Z78" s="81">
        <f t="shared" ca="1" si="28"/>
        <v>0</v>
      </c>
      <c r="AA78" s="81">
        <f t="shared" ca="1" si="29"/>
        <v>0</v>
      </c>
      <c r="AB78" s="81">
        <f t="shared" ca="1" si="30"/>
        <v>0</v>
      </c>
      <c r="AC78" s="296"/>
      <c r="AD78" s="81">
        <v>2020</v>
      </c>
      <c r="AE78" s="81"/>
      <c r="AF78" s="710"/>
    </row>
    <row r="79" spans="2:32">
      <c r="B79" s="357" t="s">
        <v>1007</v>
      </c>
      <c r="D79" s="212"/>
      <c r="E79" s="212"/>
      <c r="F79" s="224" t="s">
        <v>1149</v>
      </c>
      <c r="H79" s="174"/>
      <c r="I79" s="174" t="str">
        <f t="shared" si="21"/>
        <v>INDNWH</v>
      </c>
      <c r="J79" s="224">
        <f t="shared" si="31"/>
        <v>2030</v>
      </c>
      <c r="K79" s="81"/>
      <c r="L79" s="199">
        <f t="shared" ca="1" si="22"/>
        <v>0.99</v>
      </c>
      <c r="M79" s="199"/>
      <c r="N79" s="81"/>
      <c r="O79" s="723">
        <f t="shared" ca="1" si="23"/>
        <v>0.52150000000000007</v>
      </c>
      <c r="P79" s="723">
        <f t="shared" ca="1" si="24"/>
        <v>7.5989999999999999E-3</v>
      </c>
      <c r="Q79" s="81">
        <f t="shared" ca="1" si="25"/>
        <v>1.8107638888888888</v>
      </c>
      <c r="R79" s="300"/>
      <c r="S79" s="300"/>
      <c r="T79" s="300"/>
      <c r="U79" s="300"/>
      <c r="V79" s="199">
        <f t="shared" ref="V79" ca="1" si="45">IF(IF(RIGHT(H78,2)="PH",(1-L79)+$W$2,IF(RIGHT(H78,2)="HT",(1-L79)+$W$1,IF(RIGHT(H78,2)="SH",(1-L79)+$W$3,"")))&gt;0,IF(RIGHT(H78,2)="PH",(1-L79)+$W$2,IF(RIGHT(H78,2)="HT",(1-L79)+$W$1,IF(RIGHT(H78,2)="SH",(1-L79)+$W$3,""))),0)</f>
        <v>1.0000000000000009E-2</v>
      </c>
      <c r="W79" s="298"/>
      <c r="X79" s="698">
        <f t="shared" ca="1" si="26"/>
        <v>0</v>
      </c>
      <c r="Y79" s="81">
        <f t="shared" ca="1" si="27"/>
        <v>0</v>
      </c>
      <c r="Z79" s="81">
        <f t="shared" ca="1" si="28"/>
        <v>0</v>
      </c>
      <c r="AA79" s="81">
        <f t="shared" ca="1" si="29"/>
        <v>0</v>
      </c>
      <c r="AB79" s="81">
        <f t="shared" ca="1" si="30"/>
        <v>0</v>
      </c>
      <c r="AC79" s="55"/>
      <c r="AD79" s="81">
        <v>2030</v>
      </c>
      <c r="AE79" s="81"/>
      <c r="AF79" s="700"/>
    </row>
    <row r="80" spans="2:32">
      <c r="B80" s="357" t="s">
        <v>1007</v>
      </c>
      <c r="D80" s="212"/>
      <c r="E80" s="212"/>
      <c r="F80" s="224" t="s">
        <v>1149</v>
      </c>
      <c r="H80" s="174"/>
      <c r="I80" s="174" t="str">
        <f t="shared" si="21"/>
        <v>INDNWH</v>
      </c>
      <c r="J80" s="224">
        <f t="shared" si="31"/>
        <v>2050</v>
      </c>
      <c r="K80" s="706"/>
      <c r="L80" s="199">
        <f t="shared" ca="1" si="22"/>
        <v>0.99</v>
      </c>
      <c r="M80" s="774"/>
      <c r="N80" s="706"/>
      <c r="O80" s="724">
        <f t="shared" ca="1" si="23"/>
        <v>0.52150000000000007</v>
      </c>
      <c r="P80" s="724">
        <f t="shared" ca="1" si="24"/>
        <v>6.8539999999999998E-3</v>
      </c>
      <c r="Q80" s="706">
        <f t="shared" ca="1" si="25"/>
        <v>1.6141666666666665</v>
      </c>
      <c r="R80" s="300"/>
      <c r="S80" s="300"/>
      <c r="T80" s="300"/>
      <c r="U80" s="300"/>
      <c r="V80" s="199">
        <f t="shared" ref="V80" ca="1" si="46">IF(IF(RIGHT(H78,2)="PH",(1-L80)+$W$2,IF(RIGHT(H78,2)="HT",(1-L80)+$W$1,IF(RIGHT(H78,2)="SH",(1-L80)+$W$3,"")))&gt;0,IF(RIGHT(H78,2)="PH",(1-L80)+$W$2,IF(RIGHT(H78,2)="HT",(1-L80)+$W$1,IF(RIGHT(H78,2)="SH",(1-L80)+$W$3,""))),0)</f>
        <v>1.0000000000000009E-2</v>
      </c>
      <c r="W80" s="298"/>
      <c r="X80" s="698">
        <f t="shared" ca="1" si="26"/>
        <v>0</v>
      </c>
      <c r="Y80" s="706">
        <f t="shared" ca="1" si="27"/>
        <v>0</v>
      </c>
      <c r="Z80" s="706">
        <f t="shared" ca="1" si="28"/>
        <v>0</v>
      </c>
      <c r="AA80" s="706">
        <f t="shared" ca="1" si="29"/>
        <v>0</v>
      </c>
      <c r="AB80" s="706">
        <f t="shared" ca="1" si="30"/>
        <v>0</v>
      </c>
      <c r="AC80" s="55"/>
      <c r="AD80" s="706">
        <v>2050</v>
      </c>
      <c r="AE80" s="81"/>
      <c r="AF80" s="700"/>
    </row>
    <row r="81" spans="1:33">
      <c r="B81" s="716" t="s">
        <v>1007</v>
      </c>
      <c r="C81" s="296"/>
      <c r="D81" s="707" t="str">
        <f>"IND"&amp;RIGHT(H81,4)&amp;RIGHT(G81,3)&amp;"N"&amp;RIGHT(E81,1)</f>
        <v>INDNDPHELCN9</v>
      </c>
      <c r="E81" s="707" t="str">
        <f>"Industrial heating technology "&amp;$AJ$12&amp;" "&amp;RIGHT(H81,2)&amp;" - Electric boiler (Hot Water) - new 9"</f>
        <v>Industrial heating technology N PH - Electric boiler (Hot Water) - new 9</v>
      </c>
      <c r="F81" s="224" t="s">
        <v>1149</v>
      </c>
      <c r="G81" s="708" t="s">
        <v>499</v>
      </c>
      <c r="H81" s="708" t="str">
        <f>$AI$14</f>
        <v>INDPH</v>
      </c>
      <c r="I81" s="708" t="str">
        <f t="shared" si="21"/>
        <v>INDNWH</v>
      </c>
      <c r="J81" s="224">
        <f t="shared" si="31"/>
        <v>2011</v>
      </c>
      <c r="K81" s="299">
        <v>2020</v>
      </c>
      <c r="L81" s="199">
        <f t="shared" ref="L81:L86" ca="1" si="47">VLOOKUP($AD81,INDIRECT("'"&amp;$B81&amp;"'!"&amp;"$P$118:$AD$121"),3,FALSE)</f>
        <v>0.99</v>
      </c>
      <c r="M81" s="199"/>
      <c r="N81" s="81">
        <f ca="1">VLOOKUP($AD81,INDIRECT("'"&amp;$B81&amp;"'!"&amp;"$P$118:$AD$121"),5,FALSE)</f>
        <v>25</v>
      </c>
      <c r="O81" s="723">
        <f t="shared" ref="O81:O86" ca="1" si="48">VLOOKUP($AD81,INDIRECT("'"&amp;$B81&amp;"'!"&amp;"$P$118:$AD$121"),6,FALSE)/1000</f>
        <v>0.52150000000000007</v>
      </c>
      <c r="P81" s="723">
        <f t="shared" ref="P81:P86" ca="1" si="49">VLOOKUP($AD81,INDIRECT("'"&amp;$B81&amp;"'!"&amp;"$P$118:$AD$121"),7,FALSE)/1000</f>
        <v>7.9714999999999994E-3</v>
      </c>
      <c r="Q81" s="81">
        <f t="shared" ref="Q81:Q86" ca="1" si="50">VLOOKUP($AD81,INDIRECT("'"&amp;$B81&amp;"'!"&amp;"$P$118:$AD$121"),8,FALSE)</f>
        <v>1.7900694444444445</v>
      </c>
      <c r="R81" s="81">
        <v>3.1536000000000002E-2</v>
      </c>
      <c r="S81" s="199">
        <v>0.5</v>
      </c>
      <c r="T81" s="199">
        <f ca="1">HLOOKUP($T$2,INDIRECT("'"&amp;$B81&amp;"'!"&amp;"$P$85:$AC$98"),IF(H81=$AI$13,6,IF(H81=$AI$14,9,14)),FALSE)</f>
        <v>0</v>
      </c>
      <c r="U81" s="773"/>
      <c r="V81" s="199">
        <f t="shared" ref="V81" ca="1" si="51">IF(IF(RIGHT(H81,2)="PH",(1-L81)+$W$2,IF(RIGHT(H81,2)="HT",(1-L81)+$W$1,IF(RIGHT(H81,2)="SH",(1-L81)+$W$3,"")))&gt;0,IF(RIGHT(H81,2)="PH",(1-L81)+$W$2,IF(RIGHT(H81,2)="HT",(1-L81)+$W$1,IF(RIGHT(H81,2)="SH",(1-L81)+$W$3,""))),0)</f>
        <v>0.21000000000000002</v>
      </c>
      <c r="W81" s="709"/>
      <c r="X81" s="698">
        <f t="shared" ca="1" si="26"/>
        <v>0</v>
      </c>
      <c r="Y81" s="698">
        <f t="shared" ref="Y81:Y86" ca="1" si="52">VLOOKUP($AD81,INDIRECT("'"&amp;$B81&amp;"'!"&amp;"$P$118:$AD$121"),12,FALSE)</f>
        <v>0</v>
      </c>
      <c r="Z81" s="698">
        <f t="shared" ref="Z81:Z86" ca="1" si="53">VLOOKUP($AD81,INDIRECT("'"&amp;$B81&amp;"'!"&amp;"$P$118:$AD$121"),13,FALSE)</f>
        <v>0</v>
      </c>
      <c r="AA81" s="698">
        <f t="shared" ref="AA81:AA86" ca="1" si="54">VLOOKUP($AD81,INDIRECT("'"&amp;$B81&amp;"'!"&amp;"$P$118:$AD$121"),14,FALSE)</f>
        <v>0</v>
      </c>
      <c r="AB81" s="698">
        <f t="shared" ref="AB81:AB86" ca="1" si="55">VLOOKUP($AD81,INDIRECT("'"&amp;$B81&amp;"'!"&amp;"$P$118:$AD$121"),15,FALSE)</f>
        <v>0</v>
      </c>
      <c r="AC81" s="55"/>
      <c r="AD81" s="81">
        <v>2020</v>
      </c>
      <c r="AE81" s="81"/>
      <c r="AF81" s="700"/>
    </row>
    <row r="82" spans="1:33">
      <c r="B82" s="357" t="s">
        <v>1007</v>
      </c>
      <c r="C82" s="55"/>
      <c r="D82" s="261"/>
      <c r="E82" s="261"/>
      <c r="F82" s="224" t="s">
        <v>1149</v>
      </c>
      <c r="G82" s="55"/>
      <c r="H82" s="174"/>
      <c r="I82" s="174" t="str">
        <f t="shared" si="21"/>
        <v>INDNWH</v>
      </c>
      <c r="J82" s="224">
        <f t="shared" si="31"/>
        <v>2030</v>
      </c>
      <c r="K82" s="81"/>
      <c r="L82" s="199">
        <f t="shared" ca="1" si="47"/>
        <v>0.99</v>
      </c>
      <c r="M82" s="199"/>
      <c r="N82" s="81"/>
      <c r="O82" s="723">
        <f t="shared" ca="1" si="48"/>
        <v>0.44700000000000001</v>
      </c>
      <c r="P82" s="723">
        <f t="shared" ca="1" si="49"/>
        <v>7.5989999999999999E-3</v>
      </c>
      <c r="Q82" s="81">
        <f t="shared" ca="1" si="50"/>
        <v>1.8107638888888888</v>
      </c>
      <c r="R82" s="300"/>
      <c r="S82" s="300"/>
      <c r="T82" s="300"/>
      <c r="U82" s="300"/>
      <c r="V82" s="199">
        <f t="shared" ref="V82" ca="1" si="56">IF(IF(RIGHT(H81,2)="PH",(1-L82)+$W$2,IF(RIGHT(H81,2)="HT",(1-L82)+$W$1,IF(RIGHT(H81,2)="SH",(1-L82)+$W$3,"")))&gt;0,IF(RIGHT(H81,2)="PH",(1-L82)+$W$2,IF(RIGHT(H81,2)="HT",(1-L82)+$W$1,IF(RIGHT(H81,2)="SH",(1-L82)+$W$3,""))),0)</f>
        <v>0.21000000000000002</v>
      </c>
      <c r="W82" s="298"/>
      <c r="X82" s="698">
        <f t="shared" ca="1" si="26"/>
        <v>0</v>
      </c>
      <c r="Y82" s="698">
        <f t="shared" ca="1" si="52"/>
        <v>0</v>
      </c>
      <c r="Z82" s="698">
        <f t="shared" ca="1" si="53"/>
        <v>0</v>
      </c>
      <c r="AA82" s="698">
        <f t="shared" ca="1" si="54"/>
        <v>0</v>
      </c>
      <c r="AB82" s="698">
        <f t="shared" ca="1" si="55"/>
        <v>0</v>
      </c>
      <c r="AC82" s="55"/>
      <c r="AD82" s="81">
        <v>2030</v>
      </c>
      <c r="AE82" s="81"/>
      <c r="AF82" s="700"/>
    </row>
    <row r="83" spans="1:33">
      <c r="B83" s="357" t="s">
        <v>1007</v>
      </c>
      <c r="C83" s="55"/>
      <c r="D83" s="261"/>
      <c r="E83" s="261"/>
      <c r="F83" s="224" t="s">
        <v>1149</v>
      </c>
      <c r="G83" s="55"/>
      <c r="H83" s="174"/>
      <c r="I83" s="174" t="str">
        <f t="shared" si="21"/>
        <v>INDNWH</v>
      </c>
      <c r="J83" s="224">
        <f t="shared" si="31"/>
        <v>2050</v>
      </c>
      <c r="K83" s="81"/>
      <c r="L83" s="199">
        <f t="shared" ca="1" si="47"/>
        <v>0.99</v>
      </c>
      <c r="M83" s="199"/>
      <c r="N83" s="81"/>
      <c r="O83" s="723">
        <f t="shared" ca="1" si="48"/>
        <v>0.44700000000000001</v>
      </c>
      <c r="P83" s="723">
        <f t="shared" ca="1" si="49"/>
        <v>6.8539999999999998E-3</v>
      </c>
      <c r="Q83" s="81">
        <f t="shared" ca="1" si="50"/>
        <v>1.6141666666666665</v>
      </c>
      <c r="R83" s="300"/>
      <c r="S83" s="300"/>
      <c r="T83" s="300"/>
      <c r="U83" s="300"/>
      <c r="V83" s="199">
        <f t="shared" ref="V83" ca="1" si="57">IF(IF(RIGHT(H81,2)="PH",(1-L83)+$W$2,IF(RIGHT(H81,2)="HT",(1-L83)+$W$1,IF(RIGHT(H81,2)="SH",(1-L83)+$W$3,"")))&gt;0,IF(RIGHT(H81,2)="PH",(1-L83)+$W$2,IF(RIGHT(H81,2)="HT",(1-L83)+$W$1,IF(RIGHT(H81,2)="SH",(1-L83)+$W$3,""))),0)</f>
        <v>0.21000000000000002</v>
      </c>
      <c r="W83" s="298"/>
      <c r="X83" s="698">
        <f t="shared" ca="1" si="26"/>
        <v>0</v>
      </c>
      <c r="Y83" s="698">
        <f t="shared" ca="1" si="52"/>
        <v>0</v>
      </c>
      <c r="Z83" s="698">
        <f t="shared" ca="1" si="53"/>
        <v>0</v>
      </c>
      <c r="AA83" s="698">
        <f t="shared" ca="1" si="54"/>
        <v>0</v>
      </c>
      <c r="AB83" s="698">
        <f t="shared" ca="1" si="55"/>
        <v>0</v>
      </c>
      <c r="AC83" s="203"/>
      <c r="AD83" s="81">
        <v>2050</v>
      </c>
      <c r="AE83" s="81"/>
      <c r="AF83" s="705"/>
    </row>
    <row r="84" spans="1:33">
      <c r="B84" s="357" t="s">
        <v>1007</v>
      </c>
      <c r="C84" s="55"/>
      <c r="D84" s="261" t="str">
        <f>"IND"&amp;RIGHT(H84,4)&amp;RIGHT(G84,3)&amp;"N"&amp;RIGHT(E84,1)</f>
        <v>INDNDSHELCN9</v>
      </c>
      <c r="E84" s="261" t="str">
        <f>"Industrial heating technology "&amp;$AJ$12&amp;" "&amp;RIGHT(H84,2)&amp;" - Electric boiler (Hot Water) - new 9"</f>
        <v>Industrial heating technology N SH - Electric boiler (Hot Water) - new 9</v>
      </c>
      <c r="F84" s="224" t="s">
        <v>1149</v>
      </c>
      <c r="G84" s="174" t="s">
        <v>499</v>
      </c>
      <c r="H84" s="174" t="str">
        <f>$AI$15</f>
        <v>INDSH</v>
      </c>
      <c r="I84" s="174" t="str">
        <f t="shared" si="21"/>
        <v>INDNWH</v>
      </c>
      <c r="J84" s="224">
        <f t="shared" si="31"/>
        <v>2011</v>
      </c>
      <c r="K84" s="299">
        <v>2020</v>
      </c>
      <c r="L84" s="199">
        <f t="shared" ca="1" si="47"/>
        <v>0.99</v>
      </c>
      <c r="M84" s="199"/>
      <c r="N84" s="81">
        <f ca="1">VLOOKUP($AD84,INDIRECT("'"&amp;$B84&amp;"'!"&amp;"$P$118:$AD$121"),5,FALSE)</f>
        <v>25</v>
      </c>
      <c r="O84" s="723">
        <f t="shared" ca="1" si="48"/>
        <v>0.52150000000000007</v>
      </c>
      <c r="P84" s="723">
        <f t="shared" ca="1" si="49"/>
        <v>7.9714999999999994E-3</v>
      </c>
      <c r="Q84" s="81">
        <f t="shared" ca="1" si="50"/>
        <v>1.7900694444444445</v>
      </c>
      <c r="R84" s="81">
        <v>3.1536000000000002E-2</v>
      </c>
      <c r="S84" s="199">
        <v>0.5</v>
      </c>
      <c r="T84" s="199">
        <f ca="1">HLOOKUP($T$2,INDIRECT("'"&amp;$B84&amp;"'!"&amp;"$P$85:$AC$98"),IF(H84=$AI$13,6,IF(H84=$AI$14,9,14)),FALSE)</f>
        <v>1</v>
      </c>
      <c r="U84" s="772"/>
      <c r="V84" s="199">
        <f t="shared" ref="V84" ca="1" si="58">IF(IF(RIGHT(H84,2)="PH",(1-L84)+$W$2,IF(RIGHT(H84,2)="HT",(1-L84)+$W$1,IF(RIGHT(H84,2)="SH",(1-L84)+$W$3,"")))&gt;0,IF(RIGHT(H84,2)="PH",(1-L84)+$W$2,IF(RIGHT(H84,2)="HT",(1-L84)+$W$1,IF(RIGHT(H84,2)="SH",(1-L84)+$W$3,""))),0)</f>
        <v>1.0000000000000009E-2</v>
      </c>
      <c r="W84" s="298"/>
      <c r="X84" s="698">
        <f t="shared" ca="1" si="26"/>
        <v>0</v>
      </c>
      <c r="Y84" s="698">
        <f t="shared" ca="1" si="52"/>
        <v>0</v>
      </c>
      <c r="Z84" s="698">
        <f t="shared" ca="1" si="53"/>
        <v>0</v>
      </c>
      <c r="AA84" s="698">
        <f t="shared" ca="1" si="54"/>
        <v>0</v>
      </c>
      <c r="AB84" s="698">
        <f t="shared" ca="1" si="55"/>
        <v>0</v>
      </c>
      <c r="AD84" s="81">
        <v>2020</v>
      </c>
      <c r="AE84" s="299"/>
      <c r="AF84" s="220"/>
    </row>
    <row r="85" spans="1:33">
      <c r="B85" s="357" t="s">
        <v>1007</v>
      </c>
      <c r="C85" s="55"/>
      <c r="D85" s="261"/>
      <c r="E85" s="261"/>
      <c r="F85" s="224" t="s">
        <v>1149</v>
      </c>
      <c r="G85" s="55"/>
      <c r="H85" s="174"/>
      <c r="I85" s="174" t="str">
        <f t="shared" si="21"/>
        <v>INDNWH</v>
      </c>
      <c r="J85" s="224">
        <f t="shared" si="31"/>
        <v>2030</v>
      </c>
      <c r="K85" s="81"/>
      <c r="L85" s="199">
        <f t="shared" ca="1" si="47"/>
        <v>0.99</v>
      </c>
      <c r="M85" s="199"/>
      <c r="N85" s="81"/>
      <c r="O85" s="723">
        <f t="shared" ca="1" si="48"/>
        <v>0.44700000000000001</v>
      </c>
      <c r="P85" s="723">
        <f t="shared" ca="1" si="49"/>
        <v>7.5989999999999999E-3</v>
      </c>
      <c r="Q85" s="81">
        <f t="shared" ca="1" si="50"/>
        <v>1.8107638888888888</v>
      </c>
      <c r="R85" s="300"/>
      <c r="S85" s="300"/>
      <c r="T85" s="300"/>
      <c r="U85" s="300"/>
      <c r="V85" s="199">
        <f t="shared" ref="V85" ca="1" si="59">IF(IF(RIGHT(H84,2)="PH",(1-L85)+$W$2,IF(RIGHT(H84,2)="HT",(1-L85)+$W$1,IF(RIGHT(H84,2)="SH",(1-L85)+$W$3,"")))&gt;0,IF(RIGHT(H84,2)="PH",(1-L85)+$W$2,IF(RIGHT(H84,2)="HT",(1-L85)+$W$1,IF(RIGHT(H84,2)="SH",(1-L85)+$W$3,""))),0)</f>
        <v>1.0000000000000009E-2</v>
      </c>
      <c r="W85" s="298"/>
      <c r="X85" s="698">
        <f t="shared" ca="1" si="26"/>
        <v>0</v>
      </c>
      <c r="Y85" s="698">
        <f t="shared" ca="1" si="52"/>
        <v>0</v>
      </c>
      <c r="Z85" s="698">
        <f t="shared" ca="1" si="53"/>
        <v>0</v>
      </c>
      <c r="AA85" s="698">
        <f t="shared" ca="1" si="54"/>
        <v>0</v>
      </c>
      <c r="AB85" s="698">
        <f t="shared" ca="1" si="55"/>
        <v>0</v>
      </c>
      <c r="AD85" s="81">
        <v>2030</v>
      </c>
      <c r="AE85" s="81"/>
      <c r="AF85" s="220"/>
    </row>
    <row r="86" spans="1:33">
      <c r="B86" s="356" t="s">
        <v>1007</v>
      </c>
      <c r="C86" s="203"/>
      <c r="D86" s="701"/>
      <c r="E86" s="701"/>
      <c r="F86" s="224" t="s">
        <v>1149</v>
      </c>
      <c r="G86" s="203"/>
      <c r="H86" s="702"/>
      <c r="I86" s="702" t="str">
        <f t="shared" si="21"/>
        <v>INDNWH</v>
      </c>
      <c r="J86" s="224">
        <f t="shared" si="31"/>
        <v>2050</v>
      </c>
      <c r="K86" s="81"/>
      <c r="L86" s="199">
        <f t="shared" ca="1" si="47"/>
        <v>0.99</v>
      </c>
      <c r="M86" s="199"/>
      <c r="N86" s="81"/>
      <c r="O86" s="723">
        <f t="shared" ca="1" si="48"/>
        <v>0.44700000000000001</v>
      </c>
      <c r="P86" s="723">
        <f t="shared" ca="1" si="49"/>
        <v>6.8539999999999998E-3</v>
      </c>
      <c r="Q86" s="81">
        <f t="shared" ca="1" si="50"/>
        <v>1.6141666666666665</v>
      </c>
      <c r="R86" s="703"/>
      <c r="S86" s="703"/>
      <c r="T86" s="703"/>
      <c r="U86" s="703"/>
      <c r="V86" s="199">
        <f t="shared" ref="V86" ca="1" si="60">IF(IF(RIGHT(H84,2)="PH",(1-L86)+$W$2,IF(RIGHT(H84,2)="HT",(1-L86)+$W$1,IF(RIGHT(H84,2)="SH",(1-L86)+$W$3,"")))&gt;0,IF(RIGHT(H84,2)="PH",(1-L86)+$W$2,IF(RIGHT(H84,2)="HT",(1-L86)+$W$1,IF(RIGHT(H84,2)="SH",(1-L86)+$W$3,""))),0)</f>
        <v>1.0000000000000009E-2</v>
      </c>
      <c r="W86" s="704"/>
      <c r="X86" s="698">
        <f t="shared" ca="1" si="26"/>
        <v>0</v>
      </c>
      <c r="Y86" s="698">
        <f t="shared" ca="1" si="52"/>
        <v>0</v>
      </c>
      <c r="Z86" s="698">
        <f t="shared" ca="1" si="53"/>
        <v>0</v>
      </c>
      <c r="AA86" s="698">
        <f t="shared" ca="1" si="54"/>
        <v>0</v>
      </c>
      <c r="AB86" s="698">
        <f t="shared" ca="1" si="55"/>
        <v>0</v>
      </c>
      <c r="AD86" s="81">
        <v>2050</v>
      </c>
      <c r="AE86" s="81"/>
      <c r="AF86" s="220"/>
    </row>
    <row r="87" spans="1:33">
      <c r="B87" s="357" t="s">
        <v>1008</v>
      </c>
      <c r="D87" s="212" t="str">
        <f>"IND"&amp;RIGHT(H87,4)&amp;RIGHT(G87,3)&amp;"N"&amp;RIGHT(E87,1)</f>
        <v>INDNDPHWCHN1</v>
      </c>
      <c r="E87" s="261" t="str">
        <f>"Industrial heating technology "&amp;$AJ$12&amp;" "&amp;RIGHT(H87,2)&amp;" - Wood chip boiler (Steam) - new 1"</f>
        <v>Industrial heating technology N PH - Wood chip boiler (Steam) - new 1</v>
      </c>
      <c r="F87" s="224" t="s">
        <v>1149</v>
      </c>
      <c r="G87" s="173" t="s">
        <v>498</v>
      </c>
      <c r="H87" s="174" t="str">
        <f>$AI$13</f>
        <v>INDPH</v>
      </c>
      <c r="I87" s="174" t="str">
        <f t="shared" si="21"/>
        <v>INDNWH</v>
      </c>
      <c r="J87" s="224">
        <f t="shared" si="31"/>
        <v>2011</v>
      </c>
      <c r="K87" s="299">
        <v>2025</v>
      </c>
      <c r="L87" s="199">
        <f t="shared" ref="L87:L95" ca="1" si="61">VLOOKUP($AD87,INDIRECT("'"&amp;$B87&amp;"'!"&amp;"$P$39:$AD$42"),3,FALSE)</f>
        <v>0.89</v>
      </c>
      <c r="M87" s="699"/>
      <c r="N87" s="299">
        <f ca="1">VLOOKUP($AD87,INDIRECT("'"&amp;$B87&amp;"'!"&amp;"$P$39:$AD$42"),5,FALSE)</f>
        <v>25</v>
      </c>
      <c r="O87" s="725">
        <f t="shared" ref="O87:O95" ca="1" si="62">VLOOKUP($AD87,INDIRECT("'"&amp;$B87&amp;"'!"&amp;"$P$39:$AD$42"),6,FALSE)/1000</f>
        <v>4.6054545454545455</v>
      </c>
      <c r="P87" s="725">
        <f t="shared" ref="P87:P95" ca="1" si="63">VLOOKUP($AD87,INDIRECT("'"&amp;$B87&amp;"'!"&amp;"$P$39:$AD$42"),7,FALSE)/1000</f>
        <v>0.25106499999999998</v>
      </c>
      <c r="Q87" s="299">
        <f t="shared" ref="Q87:Q95" ca="1" si="64">VLOOKUP($AD87,INDIRECT("'"&amp;$B87&amp;"'!"&amp;"$P$39:$AD$42"),8,FALSE)</f>
        <v>5.7509861111111107</v>
      </c>
      <c r="R87" s="299">
        <v>3.1536000000000002E-2</v>
      </c>
      <c r="S87" s="699">
        <v>0.5</v>
      </c>
      <c r="T87" s="699">
        <f ca="1">HLOOKUP($T$2,INDIRECT("'"&amp;$B87&amp;"'!"&amp;"$P$6:$AC$19"),IF(H87=$AI$13,6,IF(H87=$AI$14,9,14)),FALSE)</f>
        <v>1</v>
      </c>
      <c r="U87" s="772"/>
      <c r="V87" s="199">
        <f t="shared" ref="V87" ca="1" si="65">IF(IF(RIGHT(H87,2)="PH",(1-L87)+$W$2,IF(RIGHT(H87,2)="HT",(1-L87)+$W$1,IF(RIGHT(H87,2)="SH",(1-L87)+$W$3,"")))&gt;0,IF(RIGHT(H87,2)="PH",(1-L87)+$W$2,IF(RIGHT(H87,2)="HT",(1-L87)+$W$1,IF(RIGHT(H87,2)="SH",(1-L87)+$W$3,""))),0)</f>
        <v>0.31</v>
      </c>
      <c r="W87" s="298"/>
      <c r="X87" s="698">
        <f t="shared" ca="1" si="26"/>
        <v>11</v>
      </c>
      <c r="Y87" s="299">
        <f t="shared" ref="Y87:Y95" ca="1" si="66">VLOOKUP($AD87,INDIRECT("'"&amp;$B87&amp;"'!"&amp;"$P$39:$AD$42"),12,FALSE)</f>
        <v>63</v>
      </c>
      <c r="Z87" s="299">
        <f t="shared" ref="Z87:Z95" ca="1" si="67">VLOOKUP($AD87,INDIRECT("'"&amp;$B87&amp;"'!"&amp;"$P$39:$AD$42"),13,FALSE)</f>
        <v>11</v>
      </c>
      <c r="AA87" s="299">
        <f t="shared" ref="AA87:AA95" ca="1" si="68">VLOOKUP($AD87,INDIRECT("'"&amp;$B87&amp;"'!"&amp;"$P$39:$AD$42"),14,FALSE)</f>
        <v>3</v>
      </c>
      <c r="AB87" s="299">
        <f t="shared" ref="AB87:AB95" ca="1" si="69">VLOOKUP($AD87,INDIRECT("'"&amp;$B87&amp;"'!"&amp;"$P$39:$AD$42"),15,FALSE)</f>
        <v>10</v>
      </c>
      <c r="AD87" s="299">
        <v>2020</v>
      </c>
      <c r="AE87" s="81"/>
      <c r="AF87" s="220"/>
    </row>
    <row r="88" spans="1:33">
      <c r="B88" s="357" t="s">
        <v>1008</v>
      </c>
      <c r="D88" s="212"/>
      <c r="E88" s="212"/>
      <c r="F88" s="224" t="s">
        <v>1149</v>
      </c>
      <c r="H88" s="174"/>
      <c r="I88" s="174" t="str">
        <f t="shared" si="21"/>
        <v>INDNWH</v>
      </c>
      <c r="J88" s="224">
        <f t="shared" si="31"/>
        <v>2030</v>
      </c>
      <c r="K88" s="81"/>
      <c r="L88" s="199">
        <f t="shared" ca="1" si="61"/>
        <v>0.89</v>
      </c>
      <c r="M88" s="199"/>
      <c r="N88" s="81"/>
      <c r="O88" s="723">
        <f t="shared" ca="1" si="62"/>
        <v>4.4022727272727264</v>
      </c>
      <c r="P88" s="723">
        <f t="shared" ca="1" si="63"/>
        <v>0.267455</v>
      </c>
      <c r="Q88" s="81">
        <f t="shared" ca="1" si="64"/>
        <v>5.8461805555555557</v>
      </c>
      <c r="R88" s="300"/>
      <c r="S88" s="300"/>
      <c r="T88" s="300"/>
      <c r="U88" s="300"/>
      <c r="V88" s="199">
        <f t="shared" ref="V88" ca="1" si="70">IF(IF(RIGHT(H87,2)="PH",(1-L88)+$W$2,IF(RIGHT(H87,2)="HT",(1-L88)+$W$1,IF(RIGHT(H87,2)="SH",(1-L88)+$W$3,"")))&gt;0,IF(RIGHT(H87,2)="PH",(1-L88)+$W$2,IF(RIGHT(H87,2)="HT",(1-L88)+$W$1,IF(RIGHT(H87,2)="SH",(1-L88)+$W$3,""))),0)</f>
        <v>0.31</v>
      </c>
      <c r="W88" s="298"/>
      <c r="X88" s="698">
        <f t="shared" ca="1" si="26"/>
        <v>11</v>
      </c>
      <c r="Y88" s="81">
        <f t="shared" ca="1" si="66"/>
        <v>49</v>
      </c>
      <c r="Z88" s="81">
        <f t="shared" ca="1" si="67"/>
        <v>8</v>
      </c>
      <c r="AA88" s="81">
        <f t="shared" ca="1" si="68"/>
        <v>3</v>
      </c>
      <c r="AB88" s="81">
        <f t="shared" ca="1" si="69"/>
        <v>10</v>
      </c>
      <c r="AD88" s="81">
        <v>2030</v>
      </c>
      <c r="AE88" s="81"/>
      <c r="AF88" s="220"/>
    </row>
    <row r="89" spans="1:33">
      <c r="B89" s="357" t="s">
        <v>1008</v>
      </c>
      <c r="D89" s="212"/>
      <c r="E89" s="212"/>
      <c r="F89" s="224" t="s">
        <v>1149</v>
      </c>
      <c r="H89" s="174"/>
      <c r="I89" s="174" t="str">
        <f t="shared" si="21"/>
        <v>INDNWH</v>
      </c>
      <c r="J89" s="224">
        <f t="shared" si="31"/>
        <v>2050</v>
      </c>
      <c r="K89" s="81"/>
      <c r="L89" s="199">
        <f t="shared" ca="1" si="61"/>
        <v>0.9</v>
      </c>
      <c r="M89" s="199"/>
      <c r="N89" s="81"/>
      <c r="O89" s="723">
        <f t="shared" ca="1" si="62"/>
        <v>3.9959090909090902</v>
      </c>
      <c r="P89" s="723">
        <f t="shared" ca="1" si="63"/>
        <v>0.25106499999999998</v>
      </c>
      <c r="Q89" s="81">
        <f t="shared" ca="1" si="64"/>
        <v>5.8937777777777782</v>
      </c>
      <c r="R89" s="300"/>
      <c r="S89" s="300"/>
      <c r="T89" s="300"/>
      <c r="U89" s="300"/>
      <c r="V89" s="199">
        <f t="shared" ref="V89" ca="1" si="71">IF(IF(RIGHT(H87,2)="PH",(1-L89)+$W$2,IF(RIGHT(H87,2)="HT",(1-L89)+$W$1,IF(RIGHT(H87,2)="SH",(1-L89)+$W$3,"")))&gt;0,IF(RIGHT(H87,2)="PH",(1-L89)+$W$2,IF(RIGHT(H87,2)="HT",(1-L89)+$W$1,IF(RIGHT(H87,2)="SH",(1-L89)+$W$3,""))),0)</f>
        <v>0.3</v>
      </c>
      <c r="W89" s="298"/>
      <c r="X89" s="698">
        <f t="shared" ca="1" si="26"/>
        <v>11</v>
      </c>
      <c r="Y89" s="81">
        <f t="shared" ca="1" si="66"/>
        <v>41</v>
      </c>
      <c r="Z89" s="81">
        <f t="shared" ca="1" si="67"/>
        <v>4</v>
      </c>
      <c r="AA89" s="81">
        <f t="shared" ca="1" si="68"/>
        <v>1</v>
      </c>
      <c r="AB89" s="81">
        <f t="shared" ca="1" si="69"/>
        <v>10</v>
      </c>
      <c r="AD89" s="81">
        <v>2050</v>
      </c>
      <c r="AE89" s="81"/>
      <c r="AF89" s="220"/>
    </row>
    <row r="90" spans="1:33" s="226" customFormat="1">
      <c r="A90" s="224"/>
      <c r="B90" s="357" t="s">
        <v>1008</v>
      </c>
      <c r="C90" s="224"/>
      <c r="D90" s="212" t="str">
        <f>"IND"&amp;RIGHT(H90,4)&amp;RIGHT(G90,3)&amp;"N"&amp;RIGHT(E90,1)</f>
        <v>INDNDPHWCHN1</v>
      </c>
      <c r="E90" s="261" t="str">
        <f>"Industrial heating technology "&amp;$AJ$12&amp;" "&amp;RIGHT(H90,2)&amp;" - Wood chip boiler (Steam) - new 1"</f>
        <v>Industrial heating technology N PH - Wood chip boiler (Steam) - new 1</v>
      </c>
      <c r="F90" s="224" t="s">
        <v>1149</v>
      </c>
      <c r="G90" s="173" t="s">
        <v>498</v>
      </c>
      <c r="H90" s="174" t="str">
        <f>$AI$14</f>
        <v>INDPH</v>
      </c>
      <c r="I90" s="174" t="str">
        <f t="shared" si="21"/>
        <v>INDNWH</v>
      </c>
      <c r="J90" s="224">
        <f t="shared" si="31"/>
        <v>2011</v>
      </c>
      <c r="K90" s="299">
        <v>2025</v>
      </c>
      <c r="L90" s="199">
        <f t="shared" ca="1" si="61"/>
        <v>0.89</v>
      </c>
      <c r="M90" s="199"/>
      <c r="N90" s="81">
        <f ca="1">VLOOKUP($AD90,INDIRECT("'"&amp;$B90&amp;"'!"&amp;"$P$39:$AD$42"),5,FALSE)</f>
        <v>25</v>
      </c>
      <c r="O90" s="723">
        <f t="shared" ca="1" si="62"/>
        <v>4.6054545454545455</v>
      </c>
      <c r="P90" s="723">
        <f t="shared" ca="1" si="63"/>
        <v>0.25106499999999998</v>
      </c>
      <c r="Q90" s="81">
        <f t="shared" ca="1" si="64"/>
        <v>5.7509861111111107</v>
      </c>
      <c r="R90" s="81">
        <v>3.1536000000000002E-2</v>
      </c>
      <c r="S90" s="199">
        <v>0.5</v>
      </c>
      <c r="T90" s="199">
        <f ca="1">HLOOKUP($T$2,INDIRECT("'"&amp;$B90&amp;"'!"&amp;"$P$6:$AC$19"),IF(H90=$AI$13,6,IF(H90=$AI$14,9,14)),FALSE)</f>
        <v>1</v>
      </c>
      <c r="U90" s="772"/>
      <c r="V90" s="199">
        <f t="shared" ref="V90" ca="1" si="72">IF(IF(RIGHT(H90,2)="PH",(1-L90)+$W$2,IF(RIGHT(H90,2)="HT",(1-L90)+$W$1,IF(RIGHT(H90,2)="SH",(1-L90)+$W$3,"")))&gt;0,IF(RIGHT(H90,2)="PH",(1-L90)+$W$2,IF(RIGHT(H90,2)="HT",(1-L90)+$W$1,IF(RIGHT(H90,2)="SH",(1-L90)+$W$3,""))),0)</f>
        <v>0.31</v>
      </c>
      <c r="W90" s="298"/>
      <c r="X90" s="698">
        <f t="shared" ca="1" si="26"/>
        <v>11</v>
      </c>
      <c r="Y90" s="81">
        <f t="shared" ca="1" si="66"/>
        <v>63</v>
      </c>
      <c r="Z90" s="81">
        <f t="shared" ca="1" si="67"/>
        <v>11</v>
      </c>
      <c r="AA90" s="81">
        <f t="shared" ca="1" si="68"/>
        <v>3</v>
      </c>
      <c r="AB90" s="81">
        <f t="shared" ca="1" si="69"/>
        <v>10</v>
      </c>
      <c r="AC90" s="224"/>
      <c r="AD90" s="81">
        <v>2020</v>
      </c>
      <c r="AE90" s="81"/>
      <c r="AF90" s="220"/>
      <c r="AG90" s="224"/>
    </row>
    <row r="91" spans="1:33" s="226" customFormat="1">
      <c r="A91" s="224"/>
      <c r="B91" s="357" t="s">
        <v>1008</v>
      </c>
      <c r="C91" s="224"/>
      <c r="D91" s="212"/>
      <c r="E91" s="212"/>
      <c r="F91" s="224" t="s">
        <v>1149</v>
      </c>
      <c r="G91" s="224"/>
      <c r="H91" s="174"/>
      <c r="I91" s="174" t="str">
        <f t="shared" si="21"/>
        <v>INDNWH</v>
      </c>
      <c r="J91" s="224">
        <f t="shared" si="31"/>
        <v>2030</v>
      </c>
      <c r="K91" s="81"/>
      <c r="L91" s="199">
        <f t="shared" ca="1" si="61"/>
        <v>0.89</v>
      </c>
      <c r="M91" s="199"/>
      <c r="N91" s="81"/>
      <c r="O91" s="723">
        <f t="shared" ca="1" si="62"/>
        <v>4.4022727272727264</v>
      </c>
      <c r="P91" s="723">
        <f t="shared" ca="1" si="63"/>
        <v>0.267455</v>
      </c>
      <c r="Q91" s="81">
        <f t="shared" ca="1" si="64"/>
        <v>5.8461805555555557</v>
      </c>
      <c r="R91" s="300"/>
      <c r="S91" s="300"/>
      <c r="T91" s="300"/>
      <c r="U91" s="300"/>
      <c r="V91" s="199">
        <f t="shared" ref="V91" ca="1" si="73">IF(IF(RIGHT(H90,2)="PH",(1-L91)+$W$2,IF(RIGHT(H90,2)="HT",(1-L91)+$W$1,IF(RIGHT(H90,2)="SH",(1-L91)+$W$3,"")))&gt;0,IF(RIGHT(H90,2)="PH",(1-L91)+$W$2,IF(RIGHT(H90,2)="HT",(1-L91)+$W$1,IF(RIGHT(H90,2)="SH",(1-L91)+$W$3,""))),0)</f>
        <v>0.31</v>
      </c>
      <c r="W91" s="298"/>
      <c r="X91" s="698">
        <f t="shared" ca="1" si="26"/>
        <v>11</v>
      </c>
      <c r="Y91" s="81">
        <f t="shared" ca="1" si="66"/>
        <v>49</v>
      </c>
      <c r="Z91" s="81">
        <f t="shared" ca="1" si="67"/>
        <v>8</v>
      </c>
      <c r="AA91" s="81">
        <f t="shared" ca="1" si="68"/>
        <v>3</v>
      </c>
      <c r="AB91" s="81">
        <f t="shared" ca="1" si="69"/>
        <v>10</v>
      </c>
      <c r="AC91" s="224"/>
      <c r="AD91" s="81">
        <v>2030</v>
      </c>
      <c r="AE91" s="81"/>
      <c r="AF91" s="220"/>
    </row>
    <row r="92" spans="1:33" s="226" customFormat="1">
      <c r="A92" s="224"/>
      <c r="B92" s="357" t="s">
        <v>1008</v>
      </c>
      <c r="C92" s="224"/>
      <c r="D92" s="212"/>
      <c r="E92" s="212"/>
      <c r="F92" s="224" t="s">
        <v>1149</v>
      </c>
      <c r="G92" s="224"/>
      <c r="H92" s="174"/>
      <c r="I92" s="174" t="str">
        <f t="shared" si="21"/>
        <v>INDNWH</v>
      </c>
      <c r="J92" s="224">
        <f t="shared" si="31"/>
        <v>2050</v>
      </c>
      <c r="K92" s="81"/>
      <c r="L92" s="199">
        <f t="shared" ca="1" si="61"/>
        <v>0.9</v>
      </c>
      <c r="M92" s="199"/>
      <c r="N92" s="81"/>
      <c r="O92" s="723">
        <f t="shared" ca="1" si="62"/>
        <v>3.9959090909090902</v>
      </c>
      <c r="P92" s="723">
        <f t="shared" ca="1" si="63"/>
        <v>0.25106499999999998</v>
      </c>
      <c r="Q92" s="81">
        <f t="shared" ca="1" si="64"/>
        <v>5.8937777777777782</v>
      </c>
      <c r="R92" s="300"/>
      <c r="S92" s="300"/>
      <c r="T92" s="300"/>
      <c r="U92" s="300"/>
      <c r="V92" s="199">
        <f t="shared" ref="V92" ca="1" si="74">IF(IF(RIGHT(H90,2)="PH",(1-L92)+$W$2,IF(RIGHT(H90,2)="HT",(1-L92)+$W$1,IF(RIGHT(H90,2)="SH",(1-L92)+$W$3,"")))&gt;0,IF(RIGHT(H90,2)="PH",(1-L92)+$W$2,IF(RIGHT(H90,2)="HT",(1-L92)+$W$1,IF(RIGHT(H90,2)="SH",(1-L92)+$W$3,""))),0)</f>
        <v>0.3</v>
      </c>
      <c r="W92" s="298"/>
      <c r="X92" s="698">
        <f t="shared" ca="1" si="26"/>
        <v>11</v>
      </c>
      <c r="Y92" s="81">
        <f t="shared" ca="1" si="66"/>
        <v>41</v>
      </c>
      <c r="Z92" s="81">
        <f t="shared" ca="1" si="67"/>
        <v>4</v>
      </c>
      <c r="AA92" s="81">
        <f t="shared" ca="1" si="68"/>
        <v>1</v>
      </c>
      <c r="AB92" s="81">
        <f t="shared" ca="1" si="69"/>
        <v>10</v>
      </c>
      <c r="AC92" s="224"/>
      <c r="AD92" s="81">
        <v>2050</v>
      </c>
      <c r="AE92" s="706"/>
      <c r="AF92" s="220"/>
    </row>
    <row r="93" spans="1:33" s="226" customFormat="1">
      <c r="A93" s="224"/>
      <c r="B93" s="357" t="s">
        <v>1008</v>
      </c>
      <c r="C93" s="224"/>
      <c r="D93" s="212" t="str">
        <f>"IND"&amp;RIGHT(H93,4)&amp;RIGHT(G93,3)&amp;"N"&amp;RIGHT(E93,1)</f>
        <v>INDNDSHWCHN1</v>
      </c>
      <c r="E93" s="261" t="str">
        <f>"Industrial heating technology "&amp;$AJ$12&amp;" "&amp;RIGHT(H93,2)&amp;" - Wood chip boiler (Steam) - new 1"</f>
        <v>Industrial heating technology N SH - Wood chip boiler (Steam) - new 1</v>
      </c>
      <c r="F93" s="224" t="s">
        <v>1149</v>
      </c>
      <c r="G93" s="173" t="s">
        <v>498</v>
      </c>
      <c r="H93" s="174" t="str">
        <f>$AI$15</f>
        <v>INDSH</v>
      </c>
      <c r="I93" s="174" t="str">
        <f t="shared" si="21"/>
        <v>INDNWH</v>
      </c>
      <c r="J93" s="224">
        <f t="shared" si="31"/>
        <v>2011</v>
      </c>
      <c r="K93" s="299">
        <v>2025</v>
      </c>
      <c r="L93" s="199">
        <f t="shared" ca="1" si="61"/>
        <v>0.89</v>
      </c>
      <c r="M93" s="199"/>
      <c r="N93" s="81">
        <f ca="1">VLOOKUP($AD93,INDIRECT("'"&amp;$B93&amp;"'!"&amp;"$P$39:$AD$42"),5,FALSE)</f>
        <v>25</v>
      </c>
      <c r="O93" s="723">
        <f t="shared" ca="1" si="62"/>
        <v>4.6054545454545455</v>
      </c>
      <c r="P93" s="723">
        <f t="shared" ca="1" si="63"/>
        <v>0.25106499999999998</v>
      </c>
      <c r="Q93" s="81">
        <f t="shared" ca="1" si="64"/>
        <v>5.7509861111111107</v>
      </c>
      <c r="R93" s="81">
        <v>3.1536000000000002E-2</v>
      </c>
      <c r="S93" s="199">
        <v>0.5</v>
      </c>
      <c r="T93" s="199">
        <f ca="1">HLOOKUP($T$2,INDIRECT("'"&amp;$B93&amp;"'!"&amp;"$P$6:$AC$19"),IF(H93=$AI$13,6,IF(H93=$AI$14,9,14)),FALSE)</f>
        <v>1</v>
      </c>
      <c r="U93" s="772"/>
      <c r="V93" s="199">
        <f t="shared" ref="V93" ca="1" si="75">IF(IF(RIGHT(H93,2)="PH",(1-L93)+$W$2,IF(RIGHT(H93,2)="HT",(1-L93)+$W$1,IF(RIGHT(H93,2)="SH",(1-L93)+$W$3,"")))&gt;0,IF(RIGHT(H93,2)="PH",(1-L93)+$W$2,IF(RIGHT(H93,2)="HT",(1-L93)+$W$1,IF(RIGHT(H93,2)="SH",(1-L93)+$W$3,""))),0)</f>
        <v>0.10999999999999999</v>
      </c>
      <c r="W93" s="298"/>
      <c r="X93" s="698">
        <f t="shared" ca="1" si="26"/>
        <v>11</v>
      </c>
      <c r="Y93" s="81">
        <f t="shared" ca="1" si="66"/>
        <v>63</v>
      </c>
      <c r="Z93" s="81">
        <f t="shared" ca="1" si="67"/>
        <v>11</v>
      </c>
      <c r="AA93" s="81">
        <f t="shared" ca="1" si="68"/>
        <v>3</v>
      </c>
      <c r="AB93" s="81">
        <f t="shared" ca="1" si="69"/>
        <v>10</v>
      </c>
      <c r="AC93" s="296"/>
      <c r="AD93" s="81">
        <v>2020</v>
      </c>
      <c r="AE93" s="81"/>
      <c r="AF93" s="710"/>
    </row>
    <row r="94" spans="1:33" s="226" customFormat="1">
      <c r="A94" s="224"/>
      <c r="B94" s="357" t="s">
        <v>1008</v>
      </c>
      <c r="C94" s="224"/>
      <c r="D94" s="212"/>
      <c r="E94" s="212"/>
      <c r="F94" s="224" t="s">
        <v>1149</v>
      </c>
      <c r="G94" s="224"/>
      <c r="H94" s="174"/>
      <c r="I94" s="174" t="str">
        <f t="shared" si="21"/>
        <v>INDNWH</v>
      </c>
      <c r="J94" s="224">
        <f t="shared" si="31"/>
        <v>2030</v>
      </c>
      <c r="K94" s="81"/>
      <c r="L94" s="199">
        <f t="shared" ca="1" si="61"/>
        <v>0.89</v>
      </c>
      <c r="M94" s="199"/>
      <c r="N94" s="81"/>
      <c r="O94" s="723">
        <f t="shared" ca="1" si="62"/>
        <v>4.4022727272727264</v>
      </c>
      <c r="P94" s="723">
        <f t="shared" ca="1" si="63"/>
        <v>0.267455</v>
      </c>
      <c r="Q94" s="81">
        <f t="shared" ca="1" si="64"/>
        <v>5.8461805555555557</v>
      </c>
      <c r="R94" s="300"/>
      <c r="S94" s="300"/>
      <c r="T94" s="300"/>
      <c r="U94" s="300"/>
      <c r="V94" s="199">
        <f t="shared" ref="V94" ca="1" si="76">IF(IF(RIGHT(H93,2)="PH",(1-L94)+$W$2,IF(RIGHT(H93,2)="HT",(1-L94)+$W$1,IF(RIGHT(H93,2)="SH",(1-L94)+$W$3,"")))&gt;0,IF(RIGHT(H93,2)="PH",(1-L94)+$W$2,IF(RIGHT(H93,2)="HT",(1-L94)+$W$1,IF(RIGHT(H93,2)="SH",(1-L94)+$W$3,""))),0)</f>
        <v>0.10999999999999999</v>
      </c>
      <c r="W94" s="298"/>
      <c r="X94" s="698">
        <f t="shared" ca="1" si="26"/>
        <v>11</v>
      </c>
      <c r="Y94" s="81">
        <f t="shared" ca="1" si="66"/>
        <v>49</v>
      </c>
      <c r="Z94" s="81">
        <f t="shared" ca="1" si="67"/>
        <v>8</v>
      </c>
      <c r="AA94" s="81">
        <f t="shared" ca="1" si="68"/>
        <v>3</v>
      </c>
      <c r="AB94" s="81">
        <f t="shared" ca="1" si="69"/>
        <v>10</v>
      </c>
      <c r="AC94" s="55"/>
      <c r="AD94" s="81">
        <v>2030</v>
      </c>
      <c r="AE94" s="81"/>
      <c r="AF94" s="700"/>
    </row>
    <row r="95" spans="1:33" s="226" customFormat="1">
      <c r="A95" s="224"/>
      <c r="B95" s="357" t="s">
        <v>1008</v>
      </c>
      <c r="C95" s="224"/>
      <c r="D95" s="212"/>
      <c r="E95" s="212"/>
      <c r="F95" s="224" t="s">
        <v>1149</v>
      </c>
      <c r="G95" s="224"/>
      <c r="H95" s="174"/>
      <c r="I95" s="174" t="str">
        <f t="shared" si="21"/>
        <v>INDNWH</v>
      </c>
      <c r="J95" s="224">
        <f t="shared" si="31"/>
        <v>2050</v>
      </c>
      <c r="K95" s="706"/>
      <c r="L95" s="199">
        <f t="shared" ca="1" si="61"/>
        <v>0.9</v>
      </c>
      <c r="M95" s="774"/>
      <c r="N95" s="706"/>
      <c r="O95" s="724">
        <f t="shared" ca="1" si="62"/>
        <v>3.9959090909090902</v>
      </c>
      <c r="P95" s="724">
        <f t="shared" ca="1" si="63"/>
        <v>0.25106499999999998</v>
      </c>
      <c r="Q95" s="706">
        <f t="shared" ca="1" si="64"/>
        <v>5.8937777777777782</v>
      </c>
      <c r="R95" s="300"/>
      <c r="S95" s="300"/>
      <c r="T95" s="300"/>
      <c r="U95" s="300"/>
      <c r="V95" s="199">
        <f t="shared" ref="V95" ca="1" si="77">IF(IF(RIGHT(H93,2)="PH",(1-L95)+$W$2,IF(RIGHT(H93,2)="HT",(1-L95)+$W$1,IF(RIGHT(H93,2)="SH",(1-L95)+$W$3,"")))&gt;0,IF(RIGHT(H93,2)="PH",(1-L95)+$W$2,IF(RIGHT(H93,2)="HT",(1-L95)+$W$1,IF(RIGHT(H93,2)="SH",(1-L95)+$W$3,""))),0)</f>
        <v>9.9999999999999978E-2</v>
      </c>
      <c r="W95" s="298"/>
      <c r="X95" s="698">
        <f t="shared" ref="X95:X126" ca="1" si="78">IF(VLOOKUP($AD95,INDIRECT("'"&amp;$B95&amp;"'!"&amp;"$P$39:$AD$42"),11,FALSE)="Cf. the utilized electricity",0,VLOOKUP($AD95,INDIRECT("'"&amp;$B95&amp;"'!"&amp;"$P$39:$AD$42"),11,FALSE))</f>
        <v>11</v>
      </c>
      <c r="Y95" s="706">
        <f t="shared" ca="1" si="66"/>
        <v>41</v>
      </c>
      <c r="Z95" s="706">
        <f t="shared" ca="1" si="67"/>
        <v>4</v>
      </c>
      <c r="AA95" s="706">
        <f t="shared" ca="1" si="68"/>
        <v>1</v>
      </c>
      <c r="AB95" s="706">
        <f t="shared" ca="1" si="69"/>
        <v>10</v>
      </c>
      <c r="AC95" s="55"/>
      <c r="AD95" s="706">
        <v>2050</v>
      </c>
      <c r="AE95" s="81"/>
      <c r="AF95" s="700"/>
    </row>
    <row r="96" spans="1:33">
      <c r="B96" s="716" t="s">
        <v>1008</v>
      </c>
      <c r="C96" s="296"/>
      <c r="D96" s="707" t="str">
        <f>"IND"&amp;RIGHT(H96,4)&amp;RIGHT(G96,3)&amp;"N"&amp;RIGHT(E96,1)</f>
        <v>INDNDPHWCHN2</v>
      </c>
      <c r="E96" s="707" t="str">
        <f>"Industrial heating technology "&amp;$AJ$12&amp;" "&amp;RIGHT(H96,2)&amp;" - Wood chip boiler (Steam - condensing) - new 2"</f>
        <v>Industrial heating technology N PH - Wood chip boiler (Steam - condensing) - new 2</v>
      </c>
      <c r="F96" s="224" t="s">
        <v>1149</v>
      </c>
      <c r="G96" s="708" t="s">
        <v>498</v>
      </c>
      <c r="H96" s="708" t="str">
        <f>$AI$14</f>
        <v>INDPH</v>
      </c>
      <c r="I96" s="708" t="str">
        <f t="shared" si="21"/>
        <v>INDNWH</v>
      </c>
      <c r="J96" s="224">
        <f t="shared" si="31"/>
        <v>2011</v>
      </c>
      <c r="K96" s="299">
        <v>2025</v>
      </c>
      <c r="L96" s="199">
        <f t="shared" ref="L96:L101" ca="1" si="79">VLOOKUP($AD96,INDIRECT("'"&amp;$B96&amp;"'!"&amp;"$P$118:$AD$121"),3,FALSE)</f>
        <v>1.1618960947726835</v>
      </c>
      <c r="M96" s="199"/>
      <c r="N96" s="81">
        <f ca="1">VLOOKUP($AD96,INDIRECT("'"&amp;$B96&amp;"'!"&amp;"$P$118:$AD$121"),5,FALSE)</f>
        <v>25</v>
      </c>
      <c r="O96" s="723">
        <f t="shared" ref="O96:O101" ca="1" si="80">VLOOKUP($AD96,INDIRECT("'"&amp;$B96&amp;"'!"&amp;"$P$118:$AD$121"),6,FALSE)/1000</f>
        <v>5.0660000000000007</v>
      </c>
      <c r="P96" s="723">
        <f t="shared" ref="P96:P101" ca="1" si="81">VLOOKUP($AD96,INDIRECT("'"&amp;$B96&amp;"'!"&amp;"$P$118:$AD$121"),7,FALSE)/1000</f>
        <v>0.27564999999999995</v>
      </c>
      <c r="Q96" s="81">
        <f t="shared" ref="Q96:Q101" ca="1" si="82">VLOOKUP($AD96,INDIRECT("'"&amp;$B96&amp;"'!"&amp;"$P$118:$AD$121"),8,FALSE)</f>
        <v>5.7509861111111107</v>
      </c>
      <c r="R96" s="81">
        <v>3.1536000000000002E-2</v>
      </c>
      <c r="S96" s="199">
        <v>0.5</v>
      </c>
      <c r="T96" s="199">
        <f ca="1">HLOOKUP($T$2,INDIRECT("'"&amp;$B96&amp;"'!"&amp;"$P$85:$AC$98"),IF(H96=$AI$13,6,IF(H96=$AI$14,9,14)),FALSE)</f>
        <v>0</v>
      </c>
      <c r="U96" s="773"/>
      <c r="V96" s="199">
        <f t="shared" ref="V96" ca="1" si="83">IF(IF(RIGHT(H96,2)="PH",(1-L96)+$W$2,IF(RIGHT(H96,2)="HT",(1-L96)+$W$1,IF(RIGHT(H96,2)="SH",(1-L96)+$W$3,"")))&gt;0,IF(RIGHT(H96,2)="PH",(1-L96)+$W$2,IF(RIGHT(H96,2)="HT",(1-L96)+$W$1,IF(RIGHT(H96,2)="SH",(1-L96)+$W$3,""))),0)</f>
        <v>3.8103905227316492E-2</v>
      </c>
      <c r="W96" s="709"/>
      <c r="X96" s="698">
        <f t="shared" ca="1" si="78"/>
        <v>11</v>
      </c>
      <c r="Y96" s="698">
        <f t="shared" ref="Y96:Y101" ca="1" si="84">VLOOKUP($AD96,INDIRECT("'"&amp;$B96&amp;"'!"&amp;"$P$118:$AD$121"),12,FALSE)</f>
        <v>63</v>
      </c>
      <c r="Z96" s="698">
        <f t="shared" ref="Z96:Z101" ca="1" si="85">VLOOKUP($AD96,INDIRECT("'"&amp;$B96&amp;"'!"&amp;"$P$118:$AD$121"),13,FALSE)</f>
        <v>11</v>
      </c>
      <c r="AA96" s="698">
        <f t="shared" ref="AA96:AA101" ca="1" si="86">VLOOKUP($AD96,INDIRECT("'"&amp;$B96&amp;"'!"&amp;"$P$118:$AD$121"),14,FALSE)</f>
        <v>3</v>
      </c>
      <c r="AB96" s="698">
        <f t="shared" ref="AB96:AB101" ca="1" si="87">VLOOKUP($AD96,INDIRECT("'"&amp;$B96&amp;"'!"&amp;"$P$118:$AD$121"),15,FALSE)</f>
        <v>10</v>
      </c>
      <c r="AC96" s="55"/>
      <c r="AD96" s="81">
        <v>2020</v>
      </c>
      <c r="AE96" s="81"/>
      <c r="AF96" s="700"/>
      <c r="AG96" s="226"/>
    </row>
    <row r="97" spans="2:32">
      <c r="B97" s="357" t="s">
        <v>1008</v>
      </c>
      <c r="C97" s="55"/>
      <c r="D97" s="261"/>
      <c r="E97" s="261"/>
      <c r="F97" s="224" t="s">
        <v>1149</v>
      </c>
      <c r="G97" s="55"/>
      <c r="H97" s="174"/>
      <c r="I97" s="174" t="str">
        <f t="shared" si="21"/>
        <v>INDNWH</v>
      </c>
      <c r="J97" s="224">
        <f t="shared" si="31"/>
        <v>2030</v>
      </c>
      <c r="K97" s="81"/>
      <c r="L97" s="199">
        <f t="shared" ca="1" si="79"/>
        <v>1.1618960947726835</v>
      </c>
      <c r="M97" s="199"/>
      <c r="N97" s="81"/>
      <c r="O97" s="723">
        <f t="shared" ca="1" si="80"/>
        <v>4.8425000000000002</v>
      </c>
      <c r="P97" s="723">
        <f t="shared" ca="1" si="81"/>
        <v>0.267455</v>
      </c>
      <c r="Q97" s="81">
        <f t="shared" ca="1" si="82"/>
        <v>5.8461805555555557</v>
      </c>
      <c r="R97" s="300"/>
      <c r="S97" s="300"/>
      <c r="T97" s="300"/>
      <c r="U97" s="300"/>
      <c r="V97" s="199">
        <f t="shared" ref="V97" ca="1" si="88">IF(IF(RIGHT(H96,2)="PH",(1-L97)+$W$2,IF(RIGHT(H96,2)="HT",(1-L97)+$W$1,IF(RIGHT(H96,2)="SH",(1-L97)+$W$3,"")))&gt;0,IF(RIGHT(H96,2)="PH",(1-L97)+$W$2,IF(RIGHT(H96,2)="HT",(1-L97)+$W$1,IF(RIGHT(H96,2)="SH",(1-L97)+$W$3,""))),0)</f>
        <v>3.8103905227316492E-2</v>
      </c>
      <c r="W97" s="298"/>
      <c r="X97" s="698">
        <f t="shared" ca="1" si="78"/>
        <v>11</v>
      </c>
      <c r="Y97" s="698">
        <f t="shared" ca="1" si="84"/>
        <v>49</v>
      </c>
      <c r="Z97" s="698">
        <f t="shared" ca="1" si="85"/>
        <v>8</v>
      </c>
      <c r="AA97" s="698">
        <f t="shared" ca="1" si="86"/>
        <v>3</v>
      </c>
      <c r="AB97" s="698">
        <f t="shared" ca="1" si="87"/>
        <v>10</v>
      </c>
      <c r="AC97" s="55"/>
      <c r="AD97" s="81">
        <v>2030</v>
      </c>
      <c r="AE97" s="81"/>
      <c r="AF97" s="700"/>
    </row>
    <row r="98" spans="2:32">
      <c r="B98" s="357" t="s">
        <v>1008</v>
      </c>
      <c r="C98" s="55"/>
      <c r="D98" s="261"/>
      <c r="E98" s="261"/>
      <c r="F98" s="224" t="s">
        <v>1149</v>
      </c>
      <c r="G98" s="55"/>
      <c r="H98" s="174"/>
      <c r="I98" s="174" t="str">
        <f t="shared" si="21"/>
        <v>INDNWH</v>
      </c>
      <c r="J98" s="224">
        <f t="shared" si="31"/>
        <v>2050</v>
      </c>
      <c r="K98" s="81"/>
      <c r="L98" s="199">
        <f t="shared" ca="1" si="79"/>
        <v>1.1618960947726835</v>
      </c>
      <c r="M98" s="199"/>
      <c r="N98" s="81"/>
      <c r="O98" s="723">
        <f t="shared" ca="1" si="80"/>
        <v>4.3955000000000002</v>
      </c>
      <c r="P98" s="723">
        <f t="shared" ca="1" si="81"/>
        <v>0.25106499999999998</v>
      </c>
      <c r="Q98" s="81">
        <f t="shared" ca="1" si="82"/>
        <v>5.8937777777777782</v>
      </c>
      <c r="R98" s="300"/>
      <c r="S98" s="300"/>
      <c r="T98" s="300"/>
      <c r="U98" s="300"/>
      <c r="V98" s="199">
        <f t="shared" ref="V98" ca="1" si="89">IF(IF(RIGHT(H96,2)="PH",(1-L98)+$W$2,IF(RIGHT(H96,2)="HT",(1-L98)+$W$1,IF(RIGHT(H96,2)="SH",(1-L98)+$W$3,"")))&gt;0,IF(RIGHT(H96,2)="PH",(1-L98)+$W$2,IF(RIGHT(H96,2)="HT",(1-L98)+$W$1,IF(RIGHT(H96,2)="SH",(1-L98)+$W$3,""))),0)</f>
        <v>3.8103905227316492E-2</v>
      </c>
      <c r="W98" s="298"/>
      <c r="X98" s="698">
        <f t="shared" ca="1" si="78"/>
        <v>11</v>
      </c>
      <c r="Y98" s="698">
        <f t="shared" ca="1" si="84"/>
        <v>41</v>
      </c>
      <c r="Z98" s="698">
        <f t="shared" ca="1" si="85"/>
        <v>4</v>
      </c>
      <c r="AA98" s="698">
        <f t="shared" ca="1" si="86"/>
        <v>1</v>
      </c>
      <c r="AB98" s="698">
        <f t="shared" ca="1" si="87"/>
        <v>10</v>
      </c>
      <c r="AC98" s="203"/>
      <c r="AD98" s="81">
        <v>2050</v>
      </c>
      <c r="AE98" s="81"/>
      <c r="AF98" s="705"/>
    </row>
    <row r="99" spans="2:32">
      <c r="B99" s="357" t="s">
        <v>1008</v>
      </c>
      <c r="C99" s="55"/>
      <c r="D99" s="261" t="str">
        <f>"IND"&amp;RIGHT(H99,4)&amp;RIGHT(G99,3)&amp;"N"&amp;RIGHT(E99,1)</f>
        <v>INDNDSHWCHN2</v>
      </c>
      <c r="E99" s="261" t="str">
        <f>"Industrial heating technology "&amp;$AJ$12&amp;" "&amp;RIGHT(H99,2)&amp;" - Wood chip boiler (Steam - condensing) - new 2"</f>
        <v>Industrial heating technology N SH - Wood chip boiler (Steam - condensing) - new 2</v>
      </c>
      <c r="F99" s="224" t="s">
        <v>1149</v>
      </c>
      <c r="G99" s="174" t="s">
        <v>498</v>
      </c>
      <c r="H99" s="174" t="str">
        <f>$AI$15</f>
        <v>INDSH</v>
      </c>
      <c r="I99" s="174" t="str">
        <f t="shared" si="21"/>
        <v>INDNWH</v>
      </c>
      <c r="J99" s="224">
        <f t="shared" si="31"/>
        <v>2011</v>
      </c>
      <c r="K99" s="299">
        <v>2025</v>
      </c>
      <c r="L99" s="199">
        <f t="shared" ca="1" si="79"/>
        <v>1.1618960947726835</v>
      </c>
      <c r="M99" s="199"/>
      <c r="N99" s="81">
        <f ca="1">VLOOKUP($AD99,INDIRECT("'"&amp;$B99&amp;"'!"&amp;"$P$118:$AD$121"),5,FALSE)</f>
        <v>25</v>
      </c>
      <c r="O99" s="723">
        <f t="shared" ca="1" si="80"/>
        <v>5.0660000000000007</v>
      </c>
      <c r="P99" s="723">
        <f t="shared" ca="1" si="81"/>
        <v>0.27564999999999995</v>
      </c>
      <c r="Q99" s="81">
        <f t="shared" ca="1" si="82"/>
        <v>5.7509861111111107</v>
      </c>
      <c r="R99" s="81">
        <v>3.1536000000000002E-2</v>
      </c>
      <c r="S99" s="199">
        <v>0.5</v>
      </c>
      <c r="T99" s="199">
        <f ca="1">HLOOKUP($T$2,INDIRECT("'"&amp;$B99&amp;"'!"&amp;"$P$85:$AC$98"),IF(H99=$AI$13,6,IF(H99=$AI$14,9,14)),FALSE)</f>
        <v>0</v>
      </c>
      <c r="U99" s="772"/>
      <c r="V99" s="199">
        <f t="shared" ref="V99" ca="1" si="90">IF(IF(RIGHT(H99,2)="PH",(1-L99)+$W$2,IF(RIGHT(H99,2)="HT",(1-L99)+$W$1,IF(RIGHT(H99,2)="SH",(1-L99)+$W$3,"")))&gt;0,IF(RIGHT(H99,2)="PH",(1-L99)+$W$2,IF(RIGHT(H99,2)="HT",(1-L99)+$W$1,IF(RIGHT(H99,2)="SH",(1-L99)+$W$3,""))),0)</f>
        <v>0</v>
      </c>
      <c r="W99" s="298"/>
      <c r="X99" s="698">
        <f t="shared" ca="1" si="78"/>
        <v>11</v>
      </c>
      <c r="Y99" s="698">
        <f t="shared" ca="1" si="84"/>
        <v>63</v>
      </c>
      <c r="Z99" s="698">
        <f t="shared" ca="1" si="85"/>
        <v>11</v>
      </c>
      <c r="AA99" s="698">
        <f t="shared" ca="1" si="86"/>
        <v>3</v>
      </c>
      <c r="AB99" s="698">
        <f t="shared" ca="1" si="87"/>
        <v>10</v>
      </c>
      <c r="AC99" s="296"/>
      <c r="AD99" s="81">
        <v>2020</v>
      </c>
      <c r="AE99" s="81"/>
      <c r="AF99" s="710"/>
    </row>
    <row r="100" spans="2:32">
      <c r="B100" s="357" t="s">
        <v>1008</v>
      </c>
      <c r="C100" s="55"/>
      <c r="D100" s="261"/>
      <c r="E100" s="261"/>
      <c r="F100" s="224" t="s">
        <v>1149</v>
      </c>
      <c r="G100" s="55"/>
      <c r="H100" s="174"/>
      <c r="I100" s="174" t="str">
        <f t="shared" si="21"/>
        <v>INDNWH</v>
      </c>
      <c r="J100" s="224">
        <f t="shared" si="31"/>
        <v>2030</v>
      </c>
      <c r="K100" s="81"/>
      <c r="L100" s="199">
        <f t="shared" ca="1" si="79"/>
        <v>1.1618960947726835</v>
      </c>
      <c r="M100" s="199"/>
      <c r="N100" s="81"/>
      <c r="O100" s="723">
        <f t="shared" ca="1" si="80"/>
        <v>4.8425000000000002</v>
      </c>
      <c r="P100" s="723">
        <f t="shared" ca="1" si="81"/>
        <v>0.267455</v>
      </c>
      <c r="Q100" s="81">
        <f t="shared" ca="1" si="82"/>
        <v>5.8461805555555557</v>
      </c>
      <c r="R100" s="300"/>
      <c r="S100" s="300"/>
      <c r="T100" s="300"/>
      <c r="U100" s="300"/>
      <c r="V100" s="199">
        <f t="shared" ref="V100" ca="1" si="91">IF(IF(RIGHT(H99,2)="PH",(1-L100)+$W$2,IF(RIGHT(H99,2)="HT",(1-L100)+$W$1,IF(RIGHT(H99,2)="SH",(1-L100)+$W$3,"")))&gt;0,IF(RIGHT(H99,2)="PH",(1-L100)+$W$2,IF(RIGHT(H99,2)="HT",(1-L100)+$W$1,IF(RIGHT(H99,2)="SH",(1-L100)+$W$3,""))),0)</f>
        <v>0</v>
      </c>
      <c r="W100" s="298"/>
      <c r="X100" s="698">
        <f t="shared" ca="1" si="78"/>
        <v>11</v>
      </c>
      <c r="Y100" s="698">
        <f t="shared" ca="1" si="84"/>
        <v>49</v>
      </c>
      <c r="Z100" s="698">
        <f t="shared" ca="1" si="85"/>
        <v>8</v>
      </c>
      <c r="AA100" s="698">
        <f t="shared" ca="1" si="86"/>
        <v>3</v>
      </c>
      <c r="AB100" s="698">
        <f t="shared" ca="1" si="87"/>
        <v>10</v>
      </c>
      <c r="AC100" s="55"/>
      <c r="AD100" s="81">
        <v>2030</v>
      </c>
      <c r="AE100" s="81"/>
      <c r="AF100" s="700"/>
    </row>
    <row r="101" spans="2:32">
      <c r="B101" s="356" t="s">
        <v>1008</v>
      </c>
      <c r="C101" s="203"/>
      <c r="D101" s="701"/>
      <c r="E101" s="701"/>
      <c r="F101" s="224" t="s">
        <v>1149</v>
      </c>
      <c r="G101" s="203"/>
      <c r="H101" s="702"/>
      <c r="I101" s="702" t="str">
        <f t="shared" si="21"/>
        <v>INDNWH</v>
      </c>
      <c r="J101" s="224">
        <f t="shared" si="31"/>
        <v>2050</v>
      </c>
      <c r="K101" s="81"/>
      <c r="L101" s="199">
        <f t="shared" ca="1" si="79"/>
        <v>1.1618960947726835</v>
      </c>
      <c r="M101" s="199"/>
      <c r="N101" s="81"/>
      <c r="O101" s="723">
        <f t="shared" ca="1" si="80"/>
        <v>4.3955000000000002</v>
      </c>
      <c r="P101" s="723">
        <f t="shared" ca="1" si="81"/>
        <v>0.25106499999999998</v>
      </c>
      <c r="Q101" s="81">
        <f t="shared" ca="1" si="82"/>
        <v>5.8937777777777782</v>
      </c>
      <c r="R101" s="703"/>
      <c r="S101" s="703"/>
      <c r="T101" s="703"/>
      <c r="U101" s="703"/>
      <c r="V101" s="199">
        <f t="shared" ref="V101" ca="1" si="92">IF(IF(RIGHT(H99,2)="PH",(1-L101)+$W$2,IF(RIGHT(H99,2)="HT",(1-L101)+$W$1,IF(RIGHT(H99,2)="SH",(1-L101)+$W$3,"")))&gt;0,IF(RIGHT(H99,2)="PH",(1-L101)+$W$2,IF(RIGHT(H99,2)="HT",(1-L101)+$W$1,IF(RIGHT(H99,2)="SH",(1-L101)+$W$3,""))),0)</f>
        <v>0</v>
      </c>
      <c r="W101" s="704"/>
      <c r="X101" s="698">
        <f t="shared" ca="1" si="78"/>
        <v>11</v>
      </c>
      <c r="Y101" s="698">
        <f t="shared" ca="1" si="84"/>
        <v>41</v>
      </c>
      <c r="Z101" s="698">
        <f t="shared" ca="1" si="85"/>
        <v>4</v>
      </c>
      <c r="AA101" s="698">
        <f t="shared" ca="1" si="86"/>
        <v>1</v>
      </c>
      <c r="AB101" s="698">
        <f t="shared" ca="1" si="87"/>
        <v>10</v>
      </c>
      <c r="AC101" s="55"/>
      <c r="AD101" s="81">
        <v>2050</v>
      </c>
      <c r="AE101" s="81"/>
      <c r="AF101" s="700"/>
    </row>
    <row r="102" spans="2:32">
      <c r="B102" s="717" t="s">
        <v>1008</v>
      </c>
      <c r="C102" s="712"/>
      <c r="D102" s="707" t="str">
        <f>"IND"&amp;RIGHT(H102,4)&amp;RIGHT(G102,3)&amp;"N"&amp;RIGHT(E102,1)</f>
        <v>INDNDPHWCHN3</v>
      </c>
      <c r="E102" s="707" t="str">
        <f>"Industrial heating technology "&amp;$AJ$12&amp;" "&amp;RIGHT(H102,2)&amp;" - Wood chip boiler (Hot Water) - new 3"</f>
        <v>Industrial heating technology N PH - Wood chip boiler (Hot Water) - new 3</v>
      </c>
      <c r="F102" s="224" t="s">
        <v>1149</v>
      </c>
      <c r="G102" s="708" t="s">
        <v>498</v>
      </c>
      <c r="H102" s="708" t="str">
        <f>$AI$14</f>
        <v>INDPH</v>
      </c>
      <c r="I102" s="708" t="str">
        <f t="shared" si="21"/>
        <v>INDNWH</v>
      </c>
      <c r="J102" s="224">
        <f t="shared" si="31"/>
        <v>2011</v>
      </c>
      <c r="K102" s="299">
        <v>2025</v>
      </c>
      <c r="L102" s="199">
        <f t="shared" ref="L102:L107" ca="1" si="93">VLOOKUP($AD102,INDIRECT("'"&amp;$B102&amp;"'!"&amp;"$P$200:$AD$203"),3,FALSE)</f>
        <v>0.9</v>
      </c>
      <c r="M102" s="199"/>
      <c r="N102" s="81">
        <f ca="1">VLOOKUP($AD102,INDIRECT("'"&amp;$B102&amp;"'!"&amp;"$P$200:$AD$203"),5,FALSE)</f>
        <v>25</v>
      </c>
      <c r="O102" s="723">
        <f t="shared" ref="O102:O107" ca="1" si="94">VLOOKUP($AD102,INDIRECT("'"&amp;$B102&amp;"'!"&amp;"$P$200:$AD$203"),6,FALSE)/1000</f>
        <v>4.6054545454545437</v>
      </c>
      <c r="P102" s="723">
        <f t="shared" ref="P102:P107" ca="1" si="95">VLOOKUP($AD102,INDIRECT("'"&amp;$B102&amp;"'!"&amp;"$P$200:$AD$203"),7,FALSE)/1000</f>
        <v>0.25106499999999998</v>
      </c>
      <c r="Q102" s="81">
        <f t="shared" ref="Q102:Q107" ca="1" si="96">VLOOKUP($AD102,INDIRECT("'"&amp;$B102&amp;"'!"&amp;"$P$200:$AD$203"),8,FALSE)</f>
        <v>5.7509861111111107</v>
      </c>
      <c r="R102" s="81">
        <v>3.1536000000000002E-2</v>
      </c>
      <c r="S102" s="199">
        <v>0.5</v>
      </c>
      <c r="T102" s="199">
        <f ca="1">HLOOKUP($T$2,INDIRECT("'"&amp;$B102&amp;"'!"&amp;"$P$167:$AC$180"),IF(H102=$AI$13,6,IF(H102=$AI$14,9,14)),FALSE)</f>
        <v>0</v>
      </c>
      <c r="U102" s="773"/>
      <c r="V102" s="199">
        <f t="shared" ref="V102" ca="1" si="97">IF(IF(RIGHT(H102,2)="PH",(1-L102)+$W$2,IF(RIGHT(H102,2)="HT",(1-L102)+$W$1,IF(RIGHT(H102,2)="SH",(1-L102)+$W$3,"")))&gt;0,IF(RIGHT(H102,2)="PH",(1-L102)+$W$2,IF(RIGHT(H102,2)="HT",(1-L102)+$W$1,IF(RIGHT(H102,2)="SH",(1-L102)+$W$3,""))),0)</f>
        <v>0.3</v>
      </c>
      <c r="W102" s="709"/>
      <c r="X102" s="698">
        <f t="shared" ca="1" si="78"/>
        <v>11</v>
      </c>
      <c r="Y102" s="698">
        <f t="shared" ref="Y102:Y107" ca="1" si="98">VLOOKUP($AD102,INDIRECT("'"&amp;$B102&amp;"'!"&amp;"$P$200:$AD$203"),12,FALSE)</f>
        <v>63</v>
      </c>
      <c r="Z102" s="698">
        <f t="shared" ref="Z102:Z107" ca="1" si="99">VLOOKUP($AD102,INDIRECT("'"&amp;$B102&amp;"'!"&amp;"$P$200:$AD$203"),13,FALSE)</f>
        <v>11</v>
      </c>
      <c r="AA102" s="698">
        <f t="shared" ref="AA102:AA107" ca="1" si="100">VLOOKUP($AD102,INDIRECT("'"&amp;$B102&amp;"'!"&amp;"$P$200:$AD$203"),14,FALSE)</f>
        <v>3</v>
      </c>
      <c r="AB102" s="698">
        <f t="shared" ref="AB102:AB107" ca="1" si="101">VLOOKUP($AD102,INDIRECT("'"&amp;$B102&amp;"'!"&amp;"$P$200:$AD$203"),15,FALSE)</f>
        <v>10</v>
      </c>
      <c r="AC102" s="55"/>
      <c r="AD102" s="81">
        <v>2020</v>
      </c>
      <c r="AE102" s="81"/>
      <c r="AF102" s="700"/>
    </row>
    <row r="103" spans="2:32">
      <c r="B103" s="718" t="s">
        <v>1008</v>
      </c>
      <c r="C103" s="226"/>
      <c r="D103" s="261"/>
      <c r="E103" s="261"/>
      <c r="F103" s="224" t="s">
        <v>1149</v>
      </c>
      <c r="G103" s="55"/>
      <c r="H103" s="174"/>
      <c r="I103" s="174" t="str">
        <f t="shared" si="21"/>
        <v>INDNWH</v>
      </c>
      <c r="J103" s="224">
        <f t="shared" si="31"/>
        <v>2030</v>
      </c>
      <c r="K103" s="81"/>
      <c r="L103" s="199">
        <f t="shared" ca="1" si="93"/>
        <v>0.9</v>
      </c>
      <c r="M103" s="199"/>
      <c r="N103" s="81"/>
      <c r="O103" s="723">
        <f t="shared" ca="1" si="94"/>
        <v>4.4022727272727282</v>
      </c>
      <c r="P103" s="723">
        <f t="shared" ca="1" si="95"/>
        <v>0.267455</v>
      </c>
      <c r="Q103" s="81">
        <f t="shared" ca="1" si="96"/>
        <v>5.8461805555555557</v>
      </c>
      <c r="R103" s="300"/>
      <c r="S103" s="300"/>
      <c r="T103" s="300"/>
      <c r="U103" s="300"/>
      <c r="V103" s="199">
        <f t="shared" ref="V103" ca="1" si="102">IF(IF(RIGHT(H102,2)="PH",(1-L103)+$W$2,IF(RIGHT(H102,2)="HT",(1-L103)+$W$1,IF(RIGHT(H102,2)="SH",(1-L103)+$W$3,"")))&gt;0,IF(RIGHT(H102,2)="PH",(1-L103)+$W$2,IF(RIGHT(H102,2)="HT",(1-L103)+$W$1,IF(RIGHT(H102,2)="SH",(1-L103)+$W$3,""))),0)</f>
        <v>0.3</v>
      </c>
      <c r="W103" s="298"/>
      <c r="X103" s="698">
        <f t="shared" ca="1" si="78"/>
        <v>11</v>
      </c>
      <c r="Y103" s="698">
        <f t="shared" ca="1" si="98"/>
        <v>49</v>
      </c>
      <c r="Z103" s="698">
        <f t="shared" ca="1" si="99"/>
        <v>8</v>
      </c>
      <c r="AA103" s="698">
        <f t="shared" ca="1" si="100"/>
        <v>3</v>
      </c>
      <c r="AB103" s="698">
        <f t="shared" ca="1" si="101"/>
        <v>10</v>
      </c>
      <c r="AC103" s="55"/>
      <c r="AD103" s="81">
        <v>2030</v>
      </c>
      <c r="AE103" s="81"/>
      <c r="AF103" s="700"/>
    </row>
    <row r="104" spans="2:32">
      <c r="B104" s="718" t="s">
        <v>1008</v>
      </c>
      <c r="C104" s="226"/>
      <c r="D104" s="261"/>
      <c r="E104" s="261"/>
      <c r="F104" s="224" t="s">
        <v>1149</v>
      </c>
      <c r="G104" s="55"/>
      <c r="H104" s="174"/>
      <c r="I104" s="174" t="str">
        <f t="shared" si="21"/>
        <v>INDNWH</v>
      </c>
      <c r="J104" s="224">
        <f t="shared" si="31"/>
        <v>2050</v>
      </c>
      <c r="K104" s="81"/>
      <c r="L104" s="199">
        <f t="shared" ca="1" si="93"/>
        <v>0.91</v>
      </c>
      <c r="M104" s="199"/>
      <c r="N104" s="81"/>
      <c r="O104" s="723">
        <f t="shared" ca="1" si="94"/>
        <v>3.9959090909090884</v>
      </c>
      <c r="P104" s="723">
        <f t="shared" ca="1" si="95"/>
        <v>0.25106499999999998</v>
      </c>
      <c r="Q104" s="81">
        <f t="shared" ca="1" si="96"/>
        <v>5.8937777777777782</v>
      </c>
      <c r="R104" s="300"/>
      <c r="S104" s="300"/>
      <c r="T104" s="300"/>
      <c r="U104" s="300"/>
      <c r="V104" s="199">
        <f t="shared" ref="V104" ca="1" si="103">IF(IF(RIGHT(H102,2)="PH",(1-L104)+$W$2,IF(RIGHT(H102,2)="HT",(1-L104)+$W$1,IF(RIGHT(H102,2)="SH",(1-L104)+$W$3,"")))&gt;0,IF(RIGHT(H102,2)="PH",(1-L104)+$W$2,IF(RIGHT(H102,2)="HT",(1-L104)+$W$1,IF(RIGHT(H102,2)="SH",(1-L104)+$W$3,""))),0)</f>
        <v>0.28999999999999998</v>
      </c>
      <c r="W104" s="298"/>
      <c r="X104" s="698">
        <f t="shared" ca="1" si="78"/>
        <v>11</v>
      </c>
      <c r="Y104" s="698">
        <f t="shared" ca="1" si="98"/>
        <v>41</v>
      </c>
      <c r="Z104" s="698">
        <f t="shared" ca="1" si="99"/>
        <v>4</v>
      </c>
      <c r="AA104" s="698">
        <f t="shared" ca="1" si="100"/>
        <v>1</v>
      </c>
      <c r="AB104" s="698">
        <f t="shared" ca="1" si="101"/>
        <v>10</v>
      </c>
      <c r="AC104" s="203"/>
      <c r="AD104" s="81">
        <v>2050</v>
      </c>
      <c r="AE104" s="81"/>
      <c r="AF104" s="705"/>
    </row>
    <row r="105" spans="2:32">
      <c r="B105" s="718" t="s">
        <v>1008</v>
      </c>
      <c r="C105" s="226"/>
      <c r="D105" s="261" t="str">
        <f>"IND"&amp;RIGHT(H105,4)&amp;RIGHT(G105,3)&amp;"N"&amp;RIGHT(E105,1)</f>
        <v>INDNDSHWCHN3</v>
      </c>
      <c r="E105" s="261" t="str">
        <f>"Industrial heating technology "&amp;$AJ$12&amp;" "&amp;RIGHT(H105,2)&amp;" - Wood chip boiler (Hot Water) - new 3"</f>
        <v>Industrial heating technology N SH - Wood chip boiler (Hot Water) - new 3</v>
      </c>
      <c r="F105" s="224" t="s">
        <v>1149</v>
      </c>
      <c r="G105" s="174" t="s">
        <v>498</v>
      </c>
      <c r="H105" s="174" t="str">
        <f>$AI$15</f>
        <v>INDSH</v>
      </c>
      <c r="I105" s="174" t="str">
        <f t="shared" si="21"/>
        <v>INDNWH</v>
      </c>
      <c r="J105" s="224">
        <f t="shared" si="31"/>
        <v>2011</v>
      </c>
      <c r="K105" s="299">
        <v>2025</v>
      </c>
      <c r="L105" s="199">
        <f t="shared" ca="1" si="93"/>
        <v>0.9</v>
      </c>
      <c r="M105" s="199"/>
      <c r="N105" s="81">
        <f ca="1">VLOOKUP($AD105,INDIRECT("'"&amp;$B105&amp;"'!"&amp;"$P$200:$AD$203"),5,FALSE)</f>
        <v>25</v>
      </c>
      <c r="O105" s="723">
        <f t="shared" ca="1" si="94"/>
        <v>4.6054545454545437</v>
      </c>
      <c r="P105" s="723">
        <f t="shared" ca="1" si="95"/>
        <v>0.25106499999999998</v>
      </c>
      <c r="Q105" s="81">
        <f t="shared" ca="1" si="96"/>
        <v>5.7509861111111107</v>
      </c>
      <c r="R105" s="81">
        <v>3.1536000000000002E-2</v>
      </c>
      <c r="S105" s="199">
        <v>0.5</v>
      </c>
      <c r="T105" s="199">
        <f ca="1">HLOOKUP($T$2,INDIRECT("'"&amp;$B105&amp;"'!"&amp;"$P$167:$AC$180"),IF(H105=$AI$13,6,IF(H105=$AI$14,9,14)),FALSE)</f>
        <v>1</v>
      </c>
      <c r="U105" s="773"/>
      <c r="V105" s="199">
        <f t="shared" ref="V105" ca="1" si="104">IF(IF(RIGHT(H105,2)="PH",(1-L105)+$W$2,IF(RIGHT(H105,2)="HT",(1-L105)+$W$1,IF(RIGHT(H105,2)="SH",(1-L105)+$W$3,"")))&gt;0,IF(RIGHT(H105,2)="PH",(1-L105)+$W$2,IF(RIGHT(H105,2)="HT",(1-L105)+$W$1,IF(RIGHT(H105,2)="SH",(1-L105)+$W$3,""))),0)</f>
        <v>9.9999999999999978E-2</v>
      </c>
      <c r="W105" s="709"/>
      <c r="X105" s="698">
        <f t="shared" ca="1" si="78"/>
        <v>11</v>
      </c>
      <c r="Y105" s="698">
        <f t="shared" ca="1" si="98"/>
        <v>63</v>
      </c>
      <c r="Z105" s="698">
        <f t="shared" ca="1" si="99"/>
        <v>11</v>
      </c>
      <c r="AA105" s="698">
        <f t="shared" ca="1" si="100"/>
        <v>3</v>
      </c>
      <c r="AB105" s="698">
        <f t="shared" ca="1" si="101"/>
        <v>10</v>
      </c>
      <c r="AC105" s="296"/>
      <c r="AD105" s="81">
        <v>2020</v>
      </c>
      <c r="AE105" s="81"/>
      <c r="AF105" s="710"/>
    </row>
    <row r="106" spans="2:32">
      <c r="B106" s="718" t="s">
        <v>1008</v>
      </c>
      <c r="C106" s="226"/>
      <c r="D106" s="261"/>
      <c r="E106" s="261"/>
      <c r="F106" s="224" t="s">
        <v>1149</v>
      </c>
      <c r="G106" s="55"/>
      <c r="H106" s="174"/>
      <c r="I106" s="174" t="str">
        <f t="shared" si="21"/>
        <v>INDNWH</v>
      </c>
      <c r="J106" s="224">
        <f t="shared" si="31"/>
        <v>2030</v>
      </c>
      <c r="K106" s="81"/>
      <c r="L106" s="199">
        <f t="shared" ca="1" si="93"/>
        <v>0.9</v>
      </c>
      <c r="M106" s="199"/>
      <c r="N106" s="81"/>
      <c r="O106" s="723">
        <f t="shared" ca="1" si="94"/>
        <v>4.4022727272727282</v>
      </c>
      <c r="P106" s="723">
        <f t="shared" ca="1" si="95"/>
        <v>0.267455</v>
      </c>
      <c r="Q106" s="81">
        <f t="shared" ca="1" si="96"/>
        <v>5.8461805555555557</v>
      </c>
      <c r="R106" s="300"/>
      <c r="S106" s="300"/>
      <c r="T106" s="300"/>
      <c r="U106" s="300"/>
      <c r="V106" s="199">
        <f t="shared" ref="V106" ca="1" si="105">IF(IF(RIGHT(H105,2)="PH",(1-L106)+$W$2,IF(RIGHT(H105,2)="HT",(1-L106)+$W$1,IF(RIGHT(H105,2)="SH",(1-L106)+$W$3,"")))&gt;0,IF(RIGHT(H105,2)="PH",(1-L106)+$W$2,IF(RIGHT(H105,2)="HT",(1-L106)+$W$1,IF(RIGHT(H105,2)="SH",(1-L106)+$W$3,""))),0)</f>
        <v>9.9999999999999978E-2</v>
      </c>
      <c r="W106" s="298"/>
      <c r="X106" s="698">
        <f t="shared" ca="1" si="78"/>
        <v>11</v>
      </c>
      <c r="Y106" s="698">
        <f t="shared" ca="1" si="98"/>
        <v>49</v>
      </c>
      <c r="Z106" s="698">
        <f t="shared" ca="1" si="99"/>
        <v>8</v>
      </c>
      <c r="AA106" s="698">
        <f t="shared" ca="1" si="100"/>
        <v>3</v>
      </c>
      <c r="AB106" s="698">
        <f t="shared" ca="1" si="101"/>
        <v>10</v>
      </c>
      <c r="AC106" s="55"/>
      <c r="AD106" s="81">
        <v>2030</v>
      </c>
      <c r="AE106" s="81"/>
      <c r="AF106" s="700"/>
    </row>
    <row r="107" spans="2:32">
      <c r="B107" s="719" t="s">
        <v>1008</v>
      </c>
      <c r="C107" s="713"/>
      <c r="D107" s="701"/>
      <c r="E107" s="701"/>
      <c r="F107" s="224" t="s">
        <v>1149</v>
      </c>
      <c r="G107" s="203"/>
      <c r="H107" s="702"/>
      <c r="I107" s="702" t="str">
        <f t="shared" si="21"/>
        <v>INDNWH</v>
      </c>
      <c r="J107" s="224">
        <f t="shared" si="31"/>
        <v>2050</v>
      </c>
      <c r="K107" s="81"/>
      <c r="L107" s="199">
        <f t="shared" ca="1" si="93"/>
        <v>0.91</v>
      </c>
      <c r="M107" s="199"/>
      <c r="N107" s="81"/>
      <c r="O107" s="723">
        <f t="shared" ca="1" si="94"/>
        <v>3.9959090909090884</v>
      </c>
      <c r="P107" s="723">
        <f t="shared" ca="1" si="95"/>
        <v>0.25106499999999998</v>
      </c>
      <c r="Q107" s="81">
        <f t="shared" ca="1" si="96"/>
        <v>5.8937777777777782</v>
      </c>
      <c r="R107" s="300"/>
      <c r="S107" s="300"/>
      <c r="T107" s="300"/>
      <c r="U107" s="300"/>
      <c r="V107" s="199">
        <f t="shared" ref="V107" ca="1" si="106">IF(IF(RIGHT(H105,2)="PH",(1-L107)+$W$2,IF(RIGHT(H105,2)="HT",(1-L107)+$W$1,IF(RIGHT(H105,2)="SH",(1-L107)+$W$3,"")))&gt;0,IF(RIGHT(H105,2)="PH",(1-L107)+$W$2,IF(RIGHT(H105,2)="HT",(1-L107)+$W$1,IF(RIGHT(H105,2)="SH",(1-L107)+$W$3,""))),0)</f>
        <v>8.9999999999999969E-2</v>
      </c>
      <c r="W107" s="298"/>
      <c r="X107" s="698">
        <f t="shared" ca="1" si="78"/>
        <v>11</v>
      </c>
      <c r="Y107" s="698">
        <f t="shared" ca="1" si="98"/>
        <v>41</v>
      </c>
      <c r="Z107" s="698">
        <f t="shared" ca="1" si="99"/>
        <v>4</v>
      </c>
      <c r="AA107" s="698">
        <f t="shared" ca="1" si="100"/>
        <v>1</v>
      </c>
      <c r="AB107" s="698">
        <f t="shared" ca="1" si="101"/>
        <v>10</v>
      </c>
      <c r="AC107" s="55"/>
      <c r="AD107" s="81">
        <v>2050</v>
      </c>
      <c r="AE107" s="81"/>
      <c r="AF107" s="700"/>
    </row>
    <row r="108" spans="2:32">
      <c r="B108" s="717" t="s">
        <v>1008</v>
      </c>
      <c r="C108" s="712"/>
      <c r="D108" s="707" t="str">
        <f>"IND"&amp;RIGHT(H108,4)&amp;RIGHT(G108,3)&amp;"N"&amp;RIGHT(E108,1)</f>
        <v>INDNDPHWCHN4</v>
      </c>
      <c r="E108" s="707" t="str">
        <f>"Industrial heating technology "&amp;$AJ$12&amp;" "&amp;RIGHT(H108,2)&amp;" - Wood chip boiler (Hot Water - condensing) - new 4"</f>
        <v>Industrial heating technology N PH - Wood chip boiler (Hot Water - condensing) - new 4</v>
      </c>
      <c r="F108" s="224" t="s">
        <v>1149</v>
      </c>
      <c r="G108" s="708" t="s">
        <v>498</v>
      </c>
      <c r="H108" s="708" t="str">
        <f>$AI$14</f>
        <v>INDPH</v>
      </c>
      <c r="I108" s="708" t="str">
        <f t="shared" si="21"/>
        <v>INDNWH</v>
      </c>
      <c r="J108" s="224">
        <f t="shared" si="31"/>
        <v>2011</v>
      </c>
      <c r="K108" s="299">
        <v>2025</v>
      </c>
      <c r="L108" s="199">
        <f t="shared" ref="L108:L113" ca="1" si="107">VLOOKUP($AD108,INDIRECT("'"&amp;$B108&amp;"'!"&amp;"$P$279:$AD$282"),3,FALSE)</f>
        <v>1.1618960947726835</v>
      </c>
      <c r="M108" s="199"/>
      <c r="N108" s="81">
        <f ca="1">VLOOKUP($AD108,INDIRECT("'"&amp;$B108&amp;"'!"&amp;"$P$279:$AD$282"),5,FALSE)</f>
        <v>25</v>
      </c>
      <c r="O108" s="723">
        <f t="shared" ref="O108:O113" ca="1" si="108">VLOOKUP($AD108,INDIRECT("'"&amp;$B108&amp;"'!"&amp;"$P$279:$AD$282"),6,FALSE)/1000</f>
        <v>5.0660000000000007</v>
      </c>
      <c r="P108" s="723">
        <f t="shared" ref="P108:P113" ca="1" si="109">VLOOKUP($AD108,INDIRECT("'"&amp;$B108&amp;"'!"&amp;"$P$279:$AD$282"),7,FALSE)/1000</f>
        <v>0.27564999999999995</v>
      </c>
      <c r="Q108" s="81">
        <f t="shared" ref="Q108:Q113" ca="1" si="110">VLOOKUP($AD108,INDIRECT("'"&amp;$B108&amp;"'!"&amp;"$P$279:$AD$282"),8,FALSE)</f>
        <v>5.7509861111111107</v>
      </c>
      <c r="R108" s="81">
        <v>3.1536000000000002E-2</v>
      </c>
      <c r="S108" s="199">
        <v>0.5</v>
      </c>
      <c r="T108" s="199">
        <f ca="1">HLOOKUP($T$2,INDIRECT("'"&amp;$B108&amp;"'!"&amp;"$P$246:$AC$259"),IF(H108=$AI$13,6,IF(H108=$AI$14,9,14)),FALSE)</f>
        <v>0</v>
      </c>
      <c r="U108" s="773"/>
      <c r="V108" s="199">
        <f t="shared" ref="V108" ca="1" si="111">IF(IF(RIGHT(H108,2)="PH",(1-L108)+$W$2,IF(RIGHT(H108,2)="HT",(1-L108)+$W$1,IF(RIGHT(H108,2)="SH",(1-L108)+$W$3,"")))&gt;0,IF(RIGHT(H108,2)="PH",(1-L108)+$W$2,IF(RIGHT(H108,2)="HT",(1-L108)+$W$1,IF(RIGHT(H108,2)="SH",(1-L108)+$W$3,""))),0)</f>
        <v>3.8103905227316492E-2</v>
      </c>
      <c r="W108" s="709"/>
      <c r="X108" s="698">
        <f t="shared" ca="1" si="78"/>
        <v>11</v>
      </c>
      <c r="Y108" s="698">
        <f t="shared" ref="Y108:Y113" ca="1" si="112">VLOOKUP($AD108,INDIRECT("'"&amp;$B108&amp;"'!"&amp;"$P$279:$AD$282"),12,FALSE)</f>
        <v>63</v>
      </c>
      <c r="Z108" s="698">
        <f t="shared" ref="Z108:Z113" ca="1" si="113">VLOOKUP($AD108,INDIRECT("'"&amp;$B108&amp;"'!"&amp;"$P$279:$AD$282"),13,FALSE)</f>
        <v>11</v>
      </c>
      <c r="AA108" s="698">
        <f t="shared" ref="AA108:AA113" ca="1" si="114">VLOOKUP($AD108,INDIRECT("'"&amp;$B108&amp;"'!"&amp;"$P$279:$AD$282"),14,FALSE)</f>
        <v>3</v>
      </c>
      <c r="AB108" s="698">
        <f t="shared" ref="AB108:AB113" ca="1" si="115">VLOOKUP($AD108,INDIRECT("'"&amp;$B108&amp;"'!"&amp;"$P$279:$AD$282"),15,FALSE)</f>
        <v>10</v>
      </c>
      <c r="AC108" s="55"/>
      <c r="AD108" s="81">
        <v>2020</v>
      </c>
      <c r="AE108" s="81"/>
      <c r="AF108" s="700"/>
    </row>
    <row r="109" spans="2:32">
      <c r="B109" s="718" t="s">
        <v>1008</v>
      </c>
      <c r="C109" s="226"/>
      <c r="D109" s="261"/>
      <c r="E109" s="261"/>
      <c r="F109" s="224" t="s">
        <v>1149</v>
      </c>
      <c r="G109" s="55"/>
      <c r="H109" s="174"/>
      <c r="I109" s="174" t="str">
        <f t="shared" si="21"/>
        <v>INDNWH</v>
      </c>
      <c r="J109" s="224">
        <f t="shared" si="31"/>
        <v>2030</v>
      </c>
      <c r="K109" s="81"/>
      <c r="L109" s="199">
        <f t="shared" ca="1" si="107"/>
        <v>1.1618960947726835</v>
      </c>
      <c r="M109" s="199"/>
      <c r="N109" s="81"/>
      <c r="O109" s="723">
        <f t="shared" ca="1" si="108"/>
        <v>4.8425000000000002</v>
      </c>
      <c r="P109" s="723">
        <f t="shared" ca="1" si="109"/>
        <v>0.267455</v>
      </c>
      <c r="Q109" s="81">
        <f t="shared" ca="1" si="110"/>
        <v>5.8461805555555557</v>
      </c>
      <c r="R109" s="300"/>
      <c r="S109" s="300"/>
      <c r="T109" s="300"/>
      <c r="U109" s="300"/>
      <c r="V109" s="199">
        <f t="shared" ref="V109" ca="1" si="116">IF(IF(RIGHT(H108,2)="PH",(1-L109)+$W$2,IF(RIGHT(H108,2)="HT",(1-L109)+$W$1,IF(RIGHT(H108,2)="SH",(1-L109)+$W$3,"")))&gt;0,IF(RIGHT(H108,2)="PH",(1-L109)+$W$2,IF(RIGHT(H108,2)="HT",(1-L109)+$W$1,IF(RIGHT(H108,2)="SH",(1-L109)+$W$3,""))),0)</f>
        <v>3.8103905227316492E-2</v>
      </c>
      <c r="W109" s="298"/>
      <c r="X109" s="698">
        <f t="shared" ca="1" si="78"/>
        <v>11</v>
      </c>
      <c r="Y109" s="698">
        <f t="shared" ca="1" si="112"/>
        <v>49</v>
      </c>
      <c r="Z109" s="698">
        <f t="shared" ca="1" si="113"/>
        <v>8</v>
      </c>
      <c r="AA109" s="698">
        <f t="shared" ca="1" si="114"/>
        <v>3</v>
      </c>
      <c r="AB109" s="698">
        <f t="shared" ca="1" si="115"/>
        <v>10</v>
      </c>
      <c r="AC109" s="55"/>
      <c r="AD109" s="81">
        <v>2030</v>
      </c>
      <c r="AE109" s="81"/>
      <c r="AF109" s="700"/>
    </row>
    <row r="110" spans="2:32">
      <c r="B110" s="718" t="s">
        <v>1008</v>
      </c>
      <c r="C110" s="226"/>
      <c r="D110" s="261"/>
      <c r="E110" s="261"/>
      <c r="F110" s="224" t="s">
        <v>1149</v>
      </c>
      <c r="G110" s="55"/>
      <c r="H110" s="174"/>
      <c r="I110" s="174" t="str">
        <f t="shared" si="21"/>
        <v>INDNWH</v>
      </c>
      <c r="J110" s="224">
        <f t="shared" si="31"/>
        <v>2050</v>
      </c>
      <c r="K110" s="81"/>
      <c r="L110" s="199">
        <f t="shared" ca="1" si="107"/>
        <v>1.1618960947726835</v>
      </c>
      <c r="M110" s="199"/>
      <c r="N110" s="81"/>
      <c r="O110" s="723">
        <f t="shared" ca="1" si="108"/>
        <v>4.3955000000000002</v>
      </c>
      <c r="P110" s="723">
        <f t="shared" ca="1" si="109"/>
        <v>0.25106499999999998</v>
      </c>
      <c r="Q110" s="81">
        <f t="shared" ca="1" si="110"/>
        <v>5.8937777777777782</v>
      </c>
      <c r="R110" s="300"/>
      <c r="S110" s="300"/>
      <c r="T110" s="300"/>
      <c r="U110" s="300"/>
      <c r="V110" s="199">
        <f t="shared" ref="V110" ca="1" si="117">IF(IF(RIGHT(H108,2)="PH",(1-L110)+$W$2,IF(RIGHT(H108,2)="HT",(1-L110)+$W$1,IF(RIGHT(H108,2)="SH",(1-L110)+$W$3,"")))&gt;0,IF(RIGHT(H108,2)="PH",(1-L110)+$W$2,IF(RIGHT(H108,2)="HT",(1-L110)+$W$1,IF(RIGHT(H108,2)="SH",(1-L110)+$W$3,""))),0)</f>
        <v>3.8103905227316492E-2</v>
      </c>
      <c r="W110" s="298"/>
      <c r="X110" s="698">
        <f t="shared" ca="1" si="78"/>
        <v>11</v>
      </c>
      <c r="Y110" s="698">
        <f t="shared" ca="1" si="112"/>
        <v>41</v>
      </c>
      <c r="Z110" s="698">
        <f t="shared" ca="1" si="113"/>
        <v>4</v>
      </c>
      <c r="AA110" s="698">
        <f t="shared" ca="1" si="114"/>
        <v>1</v>
      </c>
      <c r="AB110" s="698">
        <f t="shared" ca="1" si="115"/>
        <v>10</v>
      </c>
      <c r="AC110" s="203"/>
      <c r="AD110" s="81">
        <v>2050</v>
      </c>
      <c r="AE110" s="81"/>
      <c r="AF110" s="705"/>
    </row>
    <row r="111" spans="2:32">
      <c r="B111" s="718" t="s">
        <v>1008</v>
      </c>
      <c r="C111" s="226"/>
      <c r="D111" s="261" t="str">
        <f>"IND"&amp;RIGHT(H111,4)&amp;RIGHT(G111,3)&amp;"N"&amp;RIGHT(E111,1)</f>
        <v>INDNDSHWCHN4</v>
      </c>
      <c r="E111" s="261" t="str">
        <f>"Industrial heating technology "&amp;$AJ$12&amp;" "&amp;RIGHT(H111,2)&amp;" - Wood chip boiler (Hot Water- condensing) - new 4"</f>
        <v>Industrial heating technology N SH - Wood chip boiler (Hot Water- condensing) - new 4</v>
      </c>
      <c r="F111" s="224" t="s">
        <v>1149</v>
      </c>
      <c r="G111" s="174" t="s">
        <v>498</v>
      </c>
      <c r="H111" s="174" t="str">
        <f>$AI$15</f>
        <v>INDSH</v>
      </c>
      <c r="I111" s="174" t="str">
        <f t="shared" si="21"/>
        <v>INDNWH</v>
      </c>
      <c r="J111" s="224">
        <f t="shared" si="31"/>
        <v>2011</v>
      </c>
      <c r="K111" s="299">
        <v>2025</v>
      </c>
      <c r="L111" s="199">
        <f t="shared" ca="1" si="107"/>
        <v>1.1618960947726835</v>
      </c>
      <c r="M111" s="199"/>
      <c r="N111" s="81">
        <f ca="1">VLOOKUP($AD111,INDIRECT("'"&amp;$B111&amp;"'!"&amp;"$P$279:$AD$282"),5,FALSE)</f>
        <v>25</v>
      </c>
      <c r="O111" s="723">
        <f t="shared" ca="1" si="108"/>
        <v>5.0660000000000007</v>
      </c>
      <c r="P111" s="723">
        <f t="shared" ca="1" si="109"/>
        <v>0.27564999999999995</v>
      </c>
      <c r="Q111" s="81">
        <f t="shared" ca="1" si="110"/>
        <v>5.7509861111111107</v>
      </c>
      <c r="R111" s="81">
        <v>3.1536000000000002E-2</v>
      </c>
      <c r="S111" s="199">
        <v>0.5</v>
      </c>
      <c r="T111" s="199">
        <f ca="1">HLOOKUP($T$2,INDIRECT("'"&amp;$B111&amp;"'!"&amp;"$P$246:$AC$259"),IF(H111=$AI$13,6,IF(H111=$AI$14,9,14)),FALSE)</f>
        <v>0</v>
      </c>
      <c r="U111" s="773"/>
      <c r="V111" s="199">
        <f t="shared" ref="V111" ca="1" si="118">IF(IF(RIGHT(H111,2)="PH",(1-L111)+$W$2,IF(RIGHT(H111,2)="HT",(1-L111)+$W$1,IF(RIGHT(H111,2)="SH",(1-L111)+$W$3,"")))&gt;0,IF(RIGHT(H111,2)="PH",(1-L111)+$W$2,IF(RIGHT(H111,2)="HT",(1-L111)+$W$1,IF(RIGHT(H111,2)="SH",(1-L111)+$W$3,""))),0)</f>
        <v>0</v>
      </c>
      <c r="W111" s="709"/>
      <c r="X111" s="698">
        <f t="shared" ca="1" si="78"/>
        <v>11</v>
      </c>
      <c r="Y111" s="698">
        <f t="shared" ca="1" si="112"/>
        <v>63</v>
      </c>
      <c r="Z111" s="698">
        <f t="shared" ca="1" si="113"/>
        <v>11</v>
      </c>
      <c r="AA111" s="698">
        <f t="shared" ca="1" si="114"/>
        <v>3</v>
      </c>
      <c r="AB111" s="698">
        <f t="shared" ca="1" si="115"/>
        <v>10</v>
      </c>
      <c r="AD111" s="81">
        <v>2020</v>
      </c>
      <c r="AE111" s="81"/>
      <c r="AF111" s="220"/>
    </row>
    <row r="112" spans="2:32">
      <c r="B112" s="718" t="s">
        <v>1008</v>
      </c>
      <c r="C112" s="226"/>
      <c r="D112" s="261"/>
      <c r="E112" s="261"/>
      <c r="F112" s="224" t="s">
        <v>1149</v>
      </c>
      <c r="G112" s="55"/>
      <c r="H112" s="174"/>
      <c r="I112" s="174" t="str">
        <f t="shared" si="21"/>
        <v>INDNWH</v>
      </c>
      <c r="J112" s="224">
        <f t="shared" si="31"/>
        <v>2030</v>
      </c>
      <c r="K112" s="81"/>
      <c r="L112" s="199">
        <f t="shared" ca="1" si="107"/>
        <v>1.1618960947726835</v>
      </c>
      <c r="M112" s="199"/>
      <c r="N112" s="81"/>
      <c r="O112" s="723">
        <f t="shared" ca="1" si="108"/>
        <v>4.8425000000000002</v>
      </c>
      <c r="P112" s="723">
        <f t="shared" ca="1" si="109"/>
        <v>0.267455</v>
      </c>
      <c r="Q112" s="81">
        <f t="shared" ca="1" si="110"/>
        <v>5.8461805555555557</v>
      </c>
      <c r="R112" s="300"/>
      <c r="S112" s="300"/>
      <c r="T112" s="300"/>
      <c r="U112" s="300"/>
      <c r="V112" s="199">
        <f t="shared" ref="V112" ca="1" si="119">IF(IF(RIGHT(H111,2)="PH",(1-L112)+$W$2,IF(RIGHT(H111,2)="HT",(1-L112)+$W$1,IF(RIGHT(H111,2)="SH",(1-L112)+$W$3,"")))&gt;0,IF(RIGHT(H111,2)="PH",(1-L112)+$W$2,IF(RIGHT(H111,2)="HT",(1-L112)+$W$1,IF(RIGHT(H111,2)="SH",(1-L112)+$W$3,""))),0)</f>
        <v>0</v>
      </c>
      <c r="W112" s="298"/>
      <c r="X112" s="698">
        <f t="shared" ca="1" si="78"/>
        <v>11</v>
      </c>
      <c r="Y112" s="698">
        <f t="shared" ca="1" si="112"/>
        <v>49</v>
      </c>
      <c r="Z112" s="698">
        <f t="shared" ca="1" si="113"/>
        <v>8</v>
      </c>
      <c r="AA112" s="698">
        <f t="shared" ca="1" si="114"/>
        <v>3</v>
      </c>
      <c r="AB112" s="698">
        <f t="shared" ca="1" si="115"/>
        <v>10</v>
      </c>
      <c r="AD112" s="81">
        <v>2030</v>
      </c>
      <c r="AE112" s="81"/>
      <c r="AF112" s="220"/>
    </row>
    <row r="113" spans="2:32">
      <c r="B113" s="719" t="s">
        <v>1008</v>
      </c>
      <c r="C113" s="713"/>
      <c r="D113" s="701"/>
      <c r="E113" s="701"/>
      <c r="F113" s="224" t="s">
        <v>1149</v>
      </c>
      <c r="G113" s="203"/>
      <c r="H113" s="702"/>
      <c r="I113" s="702" t="str">
        <f t="shared" si="21"/>
        <v>INDNWH</v>
      </c>
      <c r="J113" s="224">
        <f t="shared" si="31"/>
        <v>2050</v>
      </c>
      <c r="K113" s="81"/>
      <c r="L113" s="199">
        <f t="shared" ca="1" si="107"/>
        <v>1.1618960947726835</v>
      </c>
      <c r="M113" s="199"/>
      <c r="N113" s="81"/>
      <c r="O113" s="723">
        <f t="shared" ca="1" si="108"/>
        <v>4.3955000000000002</v>
      </c>
      <c r="P113" s="723">
        <f t="shared" ca="1" si="109"/>
        <v>0.25106499999999998</v>
      </c>
      <c r="Q113" s="81">
        <f t="shared" ca="1" si="110"/>
        <v>5.8937777777777782</v>
      </c>
      <c r="R113" s="300"/>
      <c r="S113" s="300"/>
      <c r="T113" s="300"/>
      <c r="U113" s="300"/>
      <c r="V113" s="199">
        <f t="shared" ref="V113" ca="1" si="120">IF(IF(RIGHT(H111,2)="PH",(1-L113)+$W$2,IF(RIGHT(H111,2)="HT",(1-L113)+$W$1,IF(RIGHT(H111,2)="SH",(1-L113)+$W$3,"")))&gt;0,IF(RIGHT(H111,2)="PH",(1-L113)+$W$2,IF(RIGHT(H111,2)="HT",(1-L113)+$W$1,IF(RIGHT(H111,2)="SH",(1-L113)+$W$3,""))),0)</f>
        <v>0</v>
      </c>
      <c r="W113" s="714"/>
      <c r="X113" s="698">
        <f t="shared" ca="1" si="78"/>
        <v>11</v>
      </c>
      <c r="Y113" s="698">
        <f t="shared" ca="1" si="112"/>
        <v>41</v>
      </c>
      <c r="Z113" s="698">
        <f t="shared" ca="1" si="113"/>
        <v>4</v>
      </c>
      <c r="AA113" s="698">
        <f t="shared" ca="1" si="114"/>
        <v>1</v>
      </c>
      <c r="AB113" s="698">
        <f t="shared" ca="1" si="115"/>
        <v>10</v>
      </c>
      <c r="AD113" s="81">
        <v>2050</v>
      </c>
      <c r="AE113" s="81"/>
      <c r="AF113" s="220"/>
    </row>
    <row r="114" spans="2:32">
      <c r="B114" s="718" t="s">
        <v>1014</v>
      </c>
      <c r="C114" s="226"/>
      <c r="D114" s="212" t="str">
        <f>"IND"&amp;RIGHT(H114,4)&amp;RIGHT(G114,3)&amp;"N"&amp;RIGHT(E114,2)</f>
        <v>INDNDPHELCN10</v>
      </c>
      <c r="E114" s="261" t="str">
        <f>"Industrial heating technology "&amp;$AJ$12&amp;" "&amp;RIGHT(H114,2)&amp;" - Direct electric heating - new 10"</f>
        <v>Industrial heating technology N PH - Direct electric heating - new 10</v>
      </c>
      <c r="F114" s="224" t="s">
        <v>1149</v>
      </c>
      <c r="G114" s="173" t="s">
        <v>499</v>
      </c>
      <c r="H114" s="174" t="str">
        <f>$AI$13</f>
        <v>INDPH</v>
      </c>
      <c r="I114" s="174" t="str">
        <f t="shared" si="21"/>
        <v>INDNWH</v>
      </c>
      <c r="J114" s="224">
        <f t="shared" si="31"/>
        <v>2011</v>
      </c>
      <c r="K114" s="299">
        <v>2020</v>
      </c>
      <c r="L114" s="199">
        <f t="shared" ref="L114:L128" ca="1" si="121">VLOOKUP($AD114,INDIRECT("'"&amp;$B114&amp;"'!"&amp;"$P$39:$AD$42"),3,FALSE)</f>
        <v>1</v>
      </c>
      <c r="M114" s="199"/>
      <c r="N114" s="81">
        <f ca="1">VLOOKUP($AD114,INDIRECT("'"&amp;$B114&amp;"'!"&amp;"$P$39:$AD$42"),5,FALSE)</f>
        <v>12.5</v>
      </c>
      <c r="O114" s="723">
        <f t="shared" ref="O114:O128" ca="1" si="122">VLOOKUP($AD114,INDIRECT("'"&amp;$B114&amp;"'!"&amp;"$P$39:$AD$42"),6,FALSE)/1000</f>
        <v>0.44700000000000001</v>
      </c>
      <c r="P114" s="723">
        <f t="shared" ref="P114:P128" ca="1" si="123">VLOOKUP($AD114,INDIRECT("'"&amp;$B114&amp;"'!"&amp;"$P$39:$AD$42"),7,FALSE)/1000</f>
        <v>0</v>
      </c>
      <c r="Q114" s="81">
        <f t="shared" ref="Q114:Q128" ca="1" si="124">VLOOKUP($AD114,INDIRECT("'"&amp;$B114&amp;"'!"&amp;"$P$39:$AD$42"),8,FALSE)</f>
        <v>0.37767361111111114</v>
      </c>
      <c r="R114" s="81">
        <v>3.1536000000000002E-2</v>
      </c>
      <c r="S114" s="199">
        <v>0.5</v>
      </c>
      <c r="T114" s="199">
        <f ca="1">HLOOKUP($S$2,INDIRECT("'"&amp;$B114&amp;"'!"&amp;"$P$6:$AC$19"),IF(H114=$AI$13,6,IF(H114=$AI$14,9,14)),FALSE)</f>
        <v>1</v>
      </c>
      <c r="U114" s="772"/>
      <c r="V114" s="199">
        <f t="shared" ref="V114" ca="1" si="125">IF(IF(RIGHT(H114,2)="PH",(1-L114)+$W$2,IF(RIGHT(H114,2)="HT",(1-L114)+$W$1,IF(RIGHT(H114,2)="SH",(1-L114)+$W$3,"")))&gt;0,IF(RIGHT(H114,2)="PH",(1-L114)+$W$2,IF(RIGHT(H114,2)="HT",(1-L114)+$W$1,IF(RIGHT(H114,2)="SH",(1-L114)+$W$3,""))),0)</f>
        <v>0.2</v>
      </c>
      <c r="W114" s="298"/>
      <c r="X114" s="698">
        <f t="shared" ca="1" si="78"/>
        <v>0</v>
      </c>
      <c r="Y114" s="81">
        <f t="shared" ref="Y114:Y128" ca="1" si="126">VLOOKUP($AD114,INDIRECT("'"&amp;$B114&amp;"'!"&amp;"$P$39:$AD$42"),12,FALSE)</f>
        <v>0</v>
      </c>
      <c r="Z114" s="81">
        <f t="shared" ref="Z114:Z128" ca="1" si="127">VLOOKUP($AD114,INDIRECT("'"&amp;$B114&amp;"'!"&amp;"$P$39:$AD$42"),13,FALSE)</f>
        <v>0</v>
      </c>
      <c r="AA114" s="81">
        <f t="shared" ref="AA114:AA128" ca="1" si="128">VLOOKUP($AD114,INDIRECT("'"&amp;$B114&amp;"'!"&amp;"$P$39:$AD$42"),14,FALSE)</f>
        <v>0</v>
      </c>
      <c r="AB114" s="81">
        <f t="shared" ref="AB114:AB128" ca="1" si="129">VLOOKUP($AD114,INDIRECT("'"&amp;$B114&amp;"'!"&amp;"$P$39:$AD$42"),15,FALSE)</f>
        <v>0</v>
      </c>
      <c r="AD114" s="81">
        <v>2020</v>
      </c>
      <c r="AE114" s="81"/>
      <c r="AF114" s="220"/>
    </row>
    <row r="115" spans="2:32">
      <c r="B115" s="718" t="s">
        <v>1014</v>
      </c>
      <c r="C115" s="226"/>
      <c r="D115" s="212"/>
      <c r="E115" s="212"/>
      <c r="F115" s="224" t="s">
        <v>1149</v>
      </c>
      <c r="H115" s="174"/>
      <c r="I115" s="174" t="str">
        <f t="shared" si="21"/>
        <v>INDNWH</v>
      </c>
      <c r="J115" s="224">
        <f t="shared" si="31"/>
        <v>2030</v>
      </c>
      <c r="K115" s="81"/>
      <c r="L115" s="199">
        <f t="shared" ca="1" si="121"/>
        <v>1</v>
      </c>
      <c r="M115" s="199"/>
      <c r="N115" s="81"/>
      <c r="O115" s="723">
        <f t="shared" ca="1" si="122"/>
        <v>0.44700000000000001</v>
      </c>
      <c r="P115" s="723">
        <f t="shared" ca="1" si="123"/>
        <v>0</v>
      </c>
      <c r="Q115" s="81">
        <f t="shared" ca="1" si="124"/>
        <v>0.38802083333333331</v>
      </c>
      <c r="R115" s="300"/>
      <c r="S115" s="300"/>
      <c r="T115" s="300"/>
      <c r="U115" s="300"/>
      <c r="V115" s="199">
        <f t="shared" ref="V115" ca="1" si="130">IF(IF(RIGHT(H114,2)="PH",(1-L115)+$W$2,IF(RIGHT(H114,2)="HT",(1-L115)+$W$1,IF(RIGHT(H114,2)="SH",(1-L115)+$W$3,"")))&gt;0,IF(RIGHT(H114,2)="PH",(1-L115)+$W$2,IF(RIGHT(H114,2)="HT",(1-L115)+$W$1,IF(RIGHT(H114,2)="SH",(1-L115)+$W$3,""))),0)</f>
        <v>0.2</v>
      </c>
      <c r="W115" s="298"/>
      <c r="X115" s="698">
        <f t="shared" ca="1" si="78"/>
        <v>0</v>
      </c>
      <c r="Y115" s="81">
        <f t="shared" ca="1" si="126"/>
        <v>0</v>
      </c>
      <c r="Z115" s="81">
        <f t="shared" ca="1" si="127"/>
        <v>0</v>
      </c>
      <c r="AA115" s="81">
        <f t="shared" ca="1" si="128"/>
        <v>0</v>
      </c>
      <c r="AB115" s="81">
        <f t="shared" ca="1" si="129"/>
        <v>0</v>
      </c>
      <c r="AD115" s="81">
        <v>2030</v>
      </c>
      <c r="AE115" s="81"/>
      <c r="AF115" s="220"/>
    </row>
    <row r="116" spans="2:32">
      <c r="B116" s="718" t="s">
        <v>1014</v>
      </c>
      <c r="C116" s="226"/>
      <c r="D116" s="212"/>
      <c r="E116" s="212"/>
      <c r="F116" s="224" t="s">
        <v>1149</v>
      </c>
      <c r="H116" s="174"/>
      <c r="I116" s="174" t="str">
        <f t="shared" si="21"/>
        <v>INDNWH</v>
      </c>
      <c r="J116" s="224">
        <f t="shared" si="31"/>
        <v>2050</v>
      </c>
      <c r="K116" s="81"/>
      <c r="L116" s="199">
        <f t="shared" ca="1" si="121"/>
        <v>1</v>
      </c>
      <c r="M116" s="199"/>
      <c r="N116" s="81"/>
      <c r="O116" s="723">
        <f t="shared" ca="1" si="122"/>
        <v>0.44700000000000001</v>
      </c>
      <c r="P116" s="723">
        <f t="shared" ca="1" si="123"/>
        <v>0</v>
      </c>
      <c r="Q116" s="81">
        <f t="shared" ca="1" si="124"/>
        <v>0.39319444444444446</v>
      </c>
      <c r="R116" s="300"/>
      <c r="S116" s="300"/>
      <c r="T116" s="300"/>
      <c r="U116" s="300"/>
      <c r="V116" s="199">
        <f t="shared" ref="V116" ca="1" si="131">IF(IF(RIGHT(H114,2)="PH",(1-L116)+$W$2,IF(RIGHT(H114,2)="HT",(1-L116)+$W$1,IF(RIGHT(H114,2)="SH",(1-L116)+$W$3,"")))&gt;0,IF(RIGHT(H114,2)="PH",(1-L116)+$W$2,IF(RIGHT(H114,2)="HT",(1-L116)+$W$1,IF(RIGHT(H114,2)="SH",(1-L116)+$W$3,""))),0)</f>
        <v>0.2</v>
      </c>
      <c r="W116" s="298"/>
      <c r="X116" s="698">
        <f t="shared" ca="1" si="78"/>
        <v>0</v>
      </c>
      <c r="Y116" s="81">
        <f t="shared" ca="1" si="126"/>
        <v>0</v>
      </c>
      <c r="Z116" s="81">
        <f t="shared" ca="1" si="127"/>
        <v>0</v>
      </c>
      <c r="AA116" s="81">
        <f t="shared" ca="1" si="128"/>
        <v>0</v>
      </c>
      <c r="AB116" s="81">
        <f t="shared" ca="1" si="129"/>
        <v>0</v>
      </c>
      <c r="AC116" s="203"/>
      <c r="AD116" s="81">
        <v>2050</v>
      </c>
      <c r="AE116" s="81"/>
      <c r="AF116" s="705"/>
    </row>
    <row r="117" spans="2:32">
      <c r="B117" s="718" t="s">
        <v>1014</v>
      </c>
      <c r="C117" s="226"/>
      <c r="D117" s="212" t="str">
        <f>"IND"&amp;RIGHT(H117,4)&amp;RIGHT(G117,3)&amp;"N"&amp;RIGHT(E117,2)</f>
        <v>INDNDPHELCN10</v>
      </c>
      <c r="E117" s="261" t="str">
        <f>"Industrial heating technology "&amp;$AJ$12&amp;" "&amp;RIGHT(H117,2)&amp;" - Direct electric heating - new 10"</f>
        <v>Industrial heating technology N PH - Direct electric heating - new 10</v>
      </c>
      <c r="F117" s="224" t="s">
        <v>1149</v>
      </c>
      <c r="G117" s="173" t="s">
        <v>499</v>
      </c>
      <c r="H117" s="174" t="str">
        <f>$AI$14</f>
        <v>INDPH</v>
      </c>
      <c r="I117" s="174" t="str">
        <f t="shared" si="21"/>
        <v>INDNWH</v>
      </c>
      <c r="J117" s="224">
        <f t="shared" si="31"/>
        <v>2011</v>
      </c>
      <c r="K117" s="299">
        <v>2020</v>
      </c>
      <c r="L117" s="199">
        <f t="shared" ca="1" si="121"/>
        <v>1</v>
      </c>
      <c r="M117" s="199"/>
      <c r="N117" s="81">
        <f ca="1">VLOOKUP($AD117,INDIRECT("'"&amp;$B117&amp;"'!"&amp;"$P$39:$AD$42"),5,FALSE)</f>
        <v>12.5</v>
      </c>
      <c r="O117" s="723">
        <f t="shared" ca="1" si="122"/>
        <v>0.44700000000000001</v>
      </c>
      <c r="P117" s="723">
        <f t="shared" ca="1" si="123"/>
        <v>0</v>
      </c>
      <c r="Q117" s="81">
        <f t="shared" ca="1" si="124"/>
        <v>0.37767361111111114</v>
      </c>
      <c r="R117" s="81">
        <v>3.1536000000000002E-2</v>
      </c>
      <c r="S117" s="199">
        <v>0.5</v>
      </c>
      <c r="T117" s="199">
        <f ca="1">HLOOKUP($S$2,INDIRECT("'"&amp;$B117&amp;"'!"&amp;"$P$6:$AC$19"),IF(H117=$AI$13,6,IF(H117=$AI$14,9,14)),FALSE)</f>
        <v>1</v>
      </c>
      <c r="U117" s="772"/>
      <c r="V117" s="199">
        <f t="shared" ref="V117" ca="1" si="132">IF(IF(RIGHT(H117,2)="PH",(1-L117)+$W$2,IF(RIGHT(H117,2)="HT",(1-L117)+$W$1,IF(RIGHT(H117,2)="SH",(1-L117)+$W$3,"")))&gt;0,IF(RIGHT(H117,2)="PH",(1-L117)+$W$2,IF(RIGHT(H117,2)="HT",(1-L117)+$W$1,IF(RIGHT(H117,2)="SH",(1-L117)+$W$3,""))),0)</f>
        <v>0.2</v>
      </c>
      <c r="W117" s="298"/>
      <c r="X117" s="698">
        <f t="shared" ca="1" si="78"/>
        <v>0</v>
      </c>
      <c r="Y117" s="81">
        <f t="shared" ca="1" si="126"/>
        <v>0</v>
      </c>
      <c r="Z117" s="81">
        <f t="shared" ca="1" si="127"/>
        <v>0</v>
      </c>
      <c r="AA117" s="81">
        <f t="shared" ca="1" si="128"/>
        <v>0</v>
      </c>
      <c r="AB117" s="81">
        <f t="shared" ca="1" si="129"/>
        <v>0</v>
      </c>
      <c r="AD117" s="81">
        <v>2020</v>
      </c>
      <c r="AE117" s="299"/>
      <c r="AF117" s="220"/>
    </row>
    <row r="118" spans="2:32">
      <c r="B118" s="718" t="s">
        <v>1014</v>
      </c>
      <c r="C118" s="226"/>
      <c r="D118" s="212"/>
      <c r="E118" s="212"/>
      <c r="F118" s="224" t="s">
        <v>1149</v>
      </c>
      <c r="H118" s="174"/>
      <c r="I118" s="174" t="str">
        <f t="shared" si="21"/>
        <v>INDNWH</v>
      </c>
      <c r="J118" s="224">
        <f t="shared" si="31"/>
        <v>2030</v>
      </c>
      <c r="K118" s="81"/>
      <c r="L118" s="199">
        <f t="shared" ca="1" si="121"/>
        <v>1</v>
      </c>
      <c r="M118" s="199"/>
      <c r="N118" s="81"/>
      <c r="O118" s="723">
        <f t="shared" ca="1" si="122"/>
        <v>0.44700000000000001</v>
      </c>
      <c r="P118" s="723">
        <f t="shared" ca="1" si="123"/>
        <v>0</v>
      </c>
      <c r="Q118" s="81">
        <f t="shared" ca="1" si="124"/>
        <v>0.38802083333333331</v>
      </c>
      <c r="R118" s="300"/>
      <c r="S118" s="300"/>
      <c r="T118" s="300"/>
      <c r="U118" s="300"/>
      <c r="V118" s="199">
        <f t="shared" ref="V118" ca="1" si="133">IF(IF(RIGHT(H117,2)="PH",(1-L118)+$W$2,IF(RIGHT(H117,2)="HT",(1-L118)+$W$1,IF(RIGHT(H117,2)="SH",(1-L118)+$W$3,"")))&gt;0,IF(RIGHT(H117,2)="PH",(1-L118)+$W$2,IF(RIGHT(H117,2)="HT",(1-L118)+$W$1,IF(RIGHT(H117,2)="SH",(1-L118)+$W$3,""))),0)</f>
        <v>0.2</v>
      </c>
      <c r="W118" s="298"/>
      <c r="X118" s="698">
        <f t="shared" ca="1" si="78"/>
        <v>0</v>
      </c>
      <c r="Y118" s="81">
        <f t="shared" ca="1" si="126"/>
        <v>0</v>
      </c>
      <c r="Z118" s="81">
        <f t="shared" ca="1" si="127"/>
        <v>0</v>
      </c>
      <c r="AA118" s="81">
        <f t="shared" ca="1" si="128"/>
        <v>0</v>
      </c>
      <c r="AB118" s="81">
        <f t="shared" ca="1" si="129"/>
        <v>0</v>
      </c>
      <c r="AD118" s="81">
        <v>2030</v>
      </c>
      <c r="AE118" s="81"/>
      <c r="AF118" s="220"/>
    </row>
    <row r="119" spans="2:32">
      <c r="B119" s="719" t="s">
        <v>1014</v>
      </c>
      <c r="C119" s="713"/>
      <c r="D119" s="701"/>
      <c r="E119" s="701"/>
      <c r="F119" s="224" t="s">
        <v>1149</v>
      </c>
      <c r="G119" s="203"/>
      <c r="H119" s="702"/>
      <c r="I119" s="702" t="str">
        <f t="shared" si="21"/>
        <v>INDNWH</v>
      </c>
      <c r="J119" s="224">
        <f t="shared" si="31"/>
        <v>2050</v>
      </c>
      <c r="K119" s="81"/>
      <c r="L119" s="199">
        <f t="shared" ca="1" si="121"/>
        <v>1</v>
      </c>
      <c r="M119" s="199"/>
      <c r="N119" s="81"/>
      <c r="O119" s="723">
        <f t="shared" ca="1" si="122"/>
        <v>0.44700000000000001</v>
      </c>
      <c r="P119" s="723">
        <f t="shared" ca="1" si="123"/>
        <v>0</v>
      </c>
      <c r="Q119" s="81">
        <f t="shared" ca="1" si="124"/>
        <v>0.39319444444444446</v>
      </c>
      <c r="R119" s="703"/>
      <c r="S119" s="703"/>
      <c r="T119" s="703"/>
      <c r="U119" s="703"/>
      <c r="V119" s="199">
        <f t="shared" ref="V119" ca="1" si="134">IF(IF(RIGHT(H117,2)="PH",(1-L119)+$W$2,IF(RIGHT(H117,2)="HT",(1-L119)+$W$1,IF(RIGHT(H117,2)="SH",(1-L119)+$W$3,"")))&gt;0,IF(RIGHT(H117,2)="PH",(1-L119)+$W$2,IF(RIGHT(H117,2)="HT",(1-L119)+$W$1,IF(RIGHT(H117,2)="SH",(1-L119)+$W$3,""))),0)</f>
        <v>0.2</v>
      </c>
      <c r="W119" s="704"/>
      <c r="X119" s="698">
        <f t="shared" ca="1" si="78"/>
        <v>0</v>
      </c>
      <c r="Y119" s="81">
        <f t="shared" ca="1" si="126"/>
        <v>0</v>
      </c>
      <c r="Z119" s="81">
        <f t="shared" ca="1" si="127"/>
        <v>0</v>
      </c>
      <c r="AA119" s="81">
        <f t="shared" ca="1" si="128"/>
        <v>0</v>
      </c>
      <c r="AB119" s="81">
        <f t="shared" ca="1" si="129"/>
        <v>0</v>
      </c>
      <c r="AD119" s="81">
        <v>2050</v>
      </c>
      <c r="AE119" s="81"/>
      <c r="AF119" s="220"/>
    </row>
    <row r="120" spans="2:32">
      <c r="B120" s="718" t="s">
        <v>1009</v>
      </c>
      <c r="C120" s="226"/>
      <c r="D120" s="212" t="str">
        <f>"IND"&amp;RIGHT(H120,4)&amp;"DSL"&amp;"N"&amp;RIGHT(E120,1)</f>
        <v>INDNDPHDSLN1</v>
      </c>
      <c r="E120" s="261" t="str">
        <f>"Industrial heating technology "&amp;$AJ$12&amp;" "&amp;RIGHT(H120,2)&amp;" - Oil boiler (Steam) - new 1"</f>
        <v>Industrial heating technology N PH - Oil boiler (Steam) - new 1</v>
      </c>
      <c r="F120" s="224" t="s">
        <v>1149</v>
      </c>
      <c r="G120" s="173" t="s">
        <v>2081</v>
      </c>
      <c r="H120" s="174" t="str">
        <f>$AI$13</f>
        <v>INDPH</v>
      </c>
      <c r="I120" s="174" t="str">
        <f t="shared" si="21"/>
        <v>INDNWH</v>
      </c>
      <c r="J120" s="224">
        <f t="shared" si="31"/>
        <v>2011</v>
      </c>
      <c r="K120" s="299">
        <v>2025</v>
      </c>
      <c r="L120" s="199">
        <f t="shared" ca="1" si="121"/>
        <v>0.94</v>
      </c>
      <c r="M120" s="699"/>
      <c r="N120" s="299">
        <f ca="1">VLOOKUP($AD120,INDIRECT("'"&amp;$B120&amp;"'!"&amp;"$P$39:$AD$42"),5,FALSE)</f>
        <v>25</v>
      </c>
      <c r="O120" s="725">
        <f t="shared" ca="1" si="122"/>
        <v>0.40975</v>
      </c>
      <c r="P120" s="725">
        <f t="shared" ca="1" si="123"/>
        <v>1.341E-2</v>
      </c>
      <c r="Q120" s="299">
        <f t="shared" ca="1" si="124"/>
        <v>2.0694444444444446</v>
      </c>
      <c r="R120" s="299">
        <v>3.1536000000000002E-2</v>
      </c>
      <c r="S120" s="699">
        <v>0.5</v>
      </c>
      <c r="T120" s="699">
        <f ca="1">HLOOKUP($T$2,INDIRECT("'"&amp;$B120&amp;"'!"&amp;"$P$6:$AC$19"),IF(H120=$AI$13,6,IF(H120=$AI$14,9,14)),FALSE)</f>
        <v>1</v>
      </c>
      <c r="U120" s="772"/>
      <c r="V120" s="199">
        <f t="shared" ref="V120" ca="1" si="135">IF(IF(RIGHT(H120,2)="PH",(1-L120)+$W$2,IF(RIGHT(H120,2)="HT",(1-L120)+$W$1,IF(RIGHT(H120,2)="SH",(1-L120)+$W$3,"")))&gt;0,IF(RIGHT(H120,2)="PH",(1-L120)+$W$2,IF(RIGHT(H120,2)="HT",(1-L120)+$W$1,IF(RIGHT(H120,2)="SH",(1-L120)+$W$3,""))),0)</f>
        <v>0.26000000000000006</v>
      </c>
      <c r="W120" s="298"/>
      <c r="X120" s="698">
        <f t="shared" ca="1" si="78"/>
        <v>0.5</v>
      </c>
      <c r="Y120" s="299">
        <f t="shared" ca="1" si="126"/>
        <v>25</v>
      </c>
      <c r="Z120" s="299">
        <f t="shared" ca="1" si="127"/>
        <v>0</v>
      </c>
      <c r="AA120" s="299">
        <f t="shared" ca="1" si="128"/>
        <v>0</v>
      </c>
      <c r="AB120" s="299">
        <f t="shared" ca="1" si="129"/>
        <v>0.1</v>
      </c>
      <c r="AD120" s="299">
        <v>2020</v>
      </c>
      <c r="AE120" s="81"/>
      <c r="AF120" s="220"/>
    </row>
    <row r="121" spans="2:32">
      <c r="B121" s="718" t="s">
        <v>1009</v>
      </c>
      <c r="C121" s="226"/>
      <c r="D121" s="212"/>
      <c r="E121" s="212"/>
      <c r="F121" s="224" t="s">
        <v>1149</v>
      </c>
      <c r="H121" s="174"/>
      <c r="I121" s="174" t="str">
        <f t="shared" si="21"/>
        <v>INDNWH</v>
      </c>
      <c r="J121" s="224">
        <f t="shared" si="31"/>
        <v>2030</v>
      </c>
      <c r="K121" s="81"/>
      <c r="L121" s="199">
        <f t="shared" ca="1" si="121"/>
        <v>0.95</v>
      </c>
      <c r="M121" s="199"/>
      <c r="N121" s="81"/>
      <c r="O121" s="723">
        <f t="shared" ca="1" si="122"/>
        <v>0.3469940346244772</v>
      </c>
      <c r="P121" s="723">
        <f t="shared" ca="1" si="123"/>
        <v>1.2664999999999999E-2</v>
      </c>
      <c r="Q121" s="81">
        <f t="shared" ca="1" si="124"/>
        <v>1.8625</v>
      </c>
      <c r="R121" s="300"/>
      <c r="S121" s="300"/>
      <c r="T121" s="300"/>
      <c r="U121" s="300"/>
      <c r="V121" s="199">
        <f t="shared" ref="V121" ca="1" si="136">IF(IF(RIGHT(H120,2)="PH",(1-L121)+$W$2,IF(RIGHT(H120,2)="HT",(1-L121)+$W$1,IF(RIGHT(H120,2)="SH",(1-L121)+$W$3,"")))&gt;0,IF(RIGHT(H120,2)="PH",(1-L121)+$W$2,IF(RIGHT(H120,2)="HT",(1-L121)+$W$1,IF(RIGHT(H120,2)="SH",(1-L121)+$W$3,""))),0)</f>
        <v>0.25000000000000006</v>
      </c>
      <c r="W121" s="298"/>
      <c r="X121" s="698">
        <f t="shared" ca="1" si="78"/>
        <v>0.5</v>
      </c>
      <c r="Y121" s="81">
        <f t="shared" ca="1" si="126"/>
        <v>20</v>
      </c>
      <c r="Z121" s="81">
        <f t="shared" ca="1" si="127"/>
        <v>0</v>
      </c>
      <c r="AA121" s="81">
        <f t="shared" ca="1" si="128"/>
        <v>0</v>
      </c>
      <c r="AB121" s="81">
        <f t="shared" ca="1" si="129"/>
        <v>0.1</v>
      </c>
      <c r="AD121" s="81">
        <v>2030</v>
      </c>
      <c r="AE121" s="81"/>
      <c r="AF121" s="220"/>
    </row>
    <row r="122" spans="2:32">
      <c r="B122" s="718" t="s">
        <v>1009</v>
      </c>
      <c r="C122" s="226"/>
      <c r="D122" s="212"/>
      <c r="E122" s="212"/>
      <c r="F122" s="224" t="s">
        <v>1149</v>
      </c>
      <c r="H122" s="174"/>
      <c r="I122" s="174" t="str">
        <f t="shared" si="21"/>
        <v>INDNWH</v>
      </c>
      <c r="J122" s="224">
        <f t="shared" si="31"/>
        <v>2050</v>
      </c>
      <c r="K122" s="81"/>
      <c r="L122" s="199">
        <f t="shared" ca="1" si="121"/>
        <v>0.96</v>
      </c>
      <c r="M122" s="199"/>
      <c r="N122" s="81"/>
      <c r="O122" s="723">
        <f t="shared" ca="1" si="122"/>
        <v>0.32813985758696651</v>
      </c>
      <c r="P122" s="723">
        <f t="shared" ca="1" si="123"/>
        <v>1.1175000000000001E-2</v>
      </c>
      <c r="Q122" s="81">
        <f t="shared" ca="1" si="124"/>
        <v>1.8625</v>
      </c>
      <c r="R122" s="300"/>
      <c r="S122" s="300"/>
      <c r="T122" s="300"/>
      <c r="U122" s="300"/>
      <c r="V122" s="199">
        <f t="shared" ref="V122" ca="1" si="137">IF(IF(RIGHT(H120,2)="PH",(1-L122)+$W$2,IF(RIGHT(H120,2)="HT",(1-L122)+$W$1,IF(RIGHT(H120,2)="SH",(1-L122)+$W$3,"")))&gt;0,IF(RIGHT(H120,2)="PH",(1-L122)+$W$2,IF(RIGHT(H120,2)="HT",(1-L122)+$W$1,IF(RIGHT(H120,2)="SH",(1-L122)+$W$3,""))),0)</f>
        <v>0.24000000000000005</v>
      </c>
      <c r="W122" s="298"/>
      <c r="X122" s="698">
        <f t="shared" ca="1" si="78"/>
        <v>0.5</v>
      </c>
      <c r="Y122" s="81">
        <f t="shared" ca="1" si="126"/>
        <v>15</v>
      </c>
      <c r="Z122" s="81">
        <f t="shared" ca="1" si="127"/>
        <v>0</v>
      </c>
      <c r="AA122" s="81">
        <f t="shared" ca="1" si="128"/>
        <v>0</v>
      </c>
      <c r="AB122" s="81">
        <f t="shared" ca="1" si="129"/>
        <v>0.1</v>
      </c>
      <c r="AD122" s="81">
        <v>2050</v>
      </c>
      <c r="AE122" s="81"/>
      <c r="AF122" s="220"/>
    </row>
    <row r="123" spans="2:32">
      <c r="B123" s="718" t="s">
        <v>1009</v>
      </c>
      <c r="C123" s="226"/>
      <c r="D123" s="212" t="str">
        <f>"IND"&amp;RIGHT(H123,4)&amp;"DSL"&amp;"N"&amp;RIGHT(E123,1)</f>
        <v>INDNDPHDSLN1</v>
      </c>
      <c r="E123" s="261" t="str">
        <f>"Industrial heating technology "&amp;$AJ$12&amp;" "&amp;RIGHT(H123,2)&amp;" - Oil boiler (Steam) - new 1"</f>
        <v>Industrial heating technology N PH - Oil boiler (Steam) - new 1</v>
      </c>
      <c r="F123" s="224" t="s">
        <v>1149</v>
      </c>
      <c r="G123" s="173" t="s">
        <v>2081</v>
      </c>
      <c r="H123" s="174" t="str">
        <f>$AI$14</f>
        <v>INDPH</v>
      </c>
      <c r="I123" s="174" t="str">
        <f t="shared" si="21"/>
        <v>INDNWH</v>
      </c>
      <c r="J123" s="224">
        <f t="shared" si="31"/>
        <v>2011</v>
      </c>
      <c r="K123" s="299">
        <v>2025</v>
      </c>
      <c r="L123" s="199">
        <f t="shared" ca="1" si="121"/>
        <v>0.94</v>
      </c>
      <c r="M123" s="199"/>
      <c r="N123" s="81">
        <f ca="1">VLOOKUP($AD123,INDIRECT("'"&amp;$B123&amp;"'!"&amp;"$P$39:$AD$42"),5,FALSE)</f>
        <v>25</v>
      </c>
      <c r="O123" s="723">
        <f t="shared" ca="1" si="122"/>
        <v>0.40975</v>
      </c>
      <c r="P123" s="723">
        <f t="shared" ca="1" si="123"/>
        <v>1.341E-2</v>
      </c>
      <c r="Q123" s="81">
        <f t="shared" ca="1" si="124"/>
        <v>2.0694444444444446</v>
      </c>
      <c r="R123" s="81">
        <v>3.1536000000000002E-2</v>
      </c>
      <c r="S123" s="199">
        <v>0.5</v>
      </c>
      <c r="T123" s="199">
        <f ca="1">HLOOKUP($T$2,INDIRECT("'"&amp;$B123&amp;"'!"&amp;"$P$6:$AC$19"),IF(H123=$AI$13,6,IF(H123=$AI$14,9,14)),FALSE)</f>
        <v>1</v>
      </c>
      <c r="U123" s="772"/>
      <c r="V123" s="199">
        <f t="shared" ref="V123" ca="1" si="138">IF(IF(RIGHT(H123,2)="PH",(1-L123)+$W$2,IF(RIGHT(H123,2)="HT",(1-L123)+$W$1,IF(RIGHT(H123,2)="SH",(1-L123)+$W$3,"")))&gt;0,IF(RIGHT(H123,2)="PH",(1-L123)+$W$2,IF(RIGHT(H123,2)="HT",(1-L123)+$W$1,IF(RIGHT(H123,2)="SH",(1-L123)+$W$3,""))),0)</f>
        <v>0.26000000000000006</v>
      </c>
      <c r="W123" s="298"/>
      <c r="X123" s="698">
        <f t="shared" ca="1" si="78"/>
        <v>0.5</v>
      </c>
      <c r="Y123" s="81">
        <f t="shared" ca="1" si="126"/>
        <v>25</v>
      </c>
      <c r="Z123" s="81">
        <f t="shared" ca="1" si="127"/>
        <v>0</v>
      </c>
      <c r="AA123" s="81">
        <f t="shared" ca="1" si="128"/>
        <v>0</v>
      </c>
      <c r="AB123" s="81">
        <f t="shared" ca="1" si="129"/>
        <v>0.1</v>
      </c>
      <c r="AD123" s="81">
        <v>2020</v>
      </c>
      <c r="AE123" s="81"/>
      <c r="AF123" s="220"/>
    </row>
    <row r="124" spans="2:32">
      <c r="B124" s="718" t="s">
        <v>1009</v>
      </c>
      <c r="C124" s="226"/>
      <c r="D124" s="212"/>
      <c r="E124" s="212"/>
      <c r="F124" s="224" t="s">
        <v>1149</v>
      </c>
      <c r="H124" s="174"/>
      <c r="I124" s="174" t="str">
        <f t="shared" si="21"/>
        <v>INDNWH</v>
      </c>
      <c r="J124" s="224">
        <f t="shared" si="31"/>
        <v>2030</v>
      </c>
      <c r="K124" s="81"/>
      <c r="L124" s="199">
        <f t="shared" ca="1" si="121"/>
        <v>0.95</v>
      </c>
      <c r="M124" s="199"/>
      <c r="N124" s="81"/>
      <c r="O124" s="723">
        <f t="shared" ca="1" si="122"/>
        <v>0.3469940346244772</v>
      </c>
      <c r="P124" s="723">
        <f t="shared" ca="1" si="123"/>
        <v>1.2664999999999999E-2</v>
      </c>
      <c r="Q124" s="81">
        <f t="shared" ca="1" si="124"/>
        <v>1.8625</v>
      </c>
      <c r="R124" s="300"/>
      <c r="S124" s="300"/>
      <c r="T124" s="300"/>
      <c r="U124" s="300"/>
      <c r="V124" s="199">
        <f t="shared" ref="V124" ca="1" si="139">IF(IF(RIGHT(H123,2)="PH",(1-L124)+$W$2,IF(RIGHT(H123,2)="HT",(1-L124)+$W$1,IF(RIGHT(H123,2)="SH",(1-L124)+$W$3,"")))&gt;0,IF(RIGHT(H123,2)="PH",(1-L124)+$W$2,IF(RIGHT(H123,2)="HT",(1-L124)+$W$1,IF(RIGHT(H123,2)="SH",(1-L124)+$W$3,""))),0)</f>
        <v>0.25000000000000006</v>
      </c>
      <c r="W124" s="298"/>
      <c r="X124" s="698">
        <f t="shared" ca="1" si="78"/>
        <v>0.5</v>
      </c>
      <c r="Y124" s="81">
        <f t="shared" ca="1" si="126"/>
        <v>20</v>
      </c>
      <c r="Z124" s="81">
        <f t="shared" ca="1" si="127"/>
        <v>0</v>
      </c>
      <c r="AA124" s="81">
        <f t="shared" ca="1" si="128"/>
        <v>0</v>
      </c>
      <c r="AB124" s="81">
        <f t="shared" ca="1" si="129"/>
        <v>0.1</v>
      </c>
      <c r="AD124" s="81">
        <v>2030</v>
      </c>
      <c r="AE124" s="81"/>
      <c r="AF124" s="220"/>
    </row>
    <row r="125" spans="2:32">
      <c r="B125" s="718" t="s">
        <v>1009</v>
      </c>
      <c r="C125" s="226"/>
      <c r="D125" s="212"/>
      <c r="E125" s="212"/>
      <c r="F125" s="224" t="s">
        <v>1149</v>
      </c>
      <c r="H125" s="174"/>
      <c r="I125" s="174" t="str">
        <f t="shared" si="21"/>
        <v>INDNWH</v>
      </c>
      <c r="J125" s="224">
        <f t="shared" si="31"/>
        <v>2050</v>
      </c>
      <c r="K125" s="81"/>
      <c r="L125" s="199">
        <f t="shared" ca="1" si="121"/>
        <v>0.96</v>
      </c>
      <c r="M125" s="199"/>
      <c r="N125" s="81"/>
      <c r="O125" s="723">
        <f t="shared" ca="1" si="122"/>
        <v>0.32813985758696651</v>
      </c>
      <c r="P125" s="723">
        <f t="shared" ca="1" si="123"/>
        <v>1.1175000000000001E-2</v>
      </c>
      <c r="Q125" s="81">
        <f t="shared" ca="1" si="124"/>
        <v>1.8625</v>
      </c>
      <c r="R125" s="300"/>
      <c r="S125" s="300"/>
      <c r="T125" s="300"/>
      <c r="U125" s="300"/>
      <c r="V125" s="199">
        <f t="shared" ref="V125" ca="1" si="140">IF(IF(RIGHT(H123,2)="PH",(1-L125)+$W$2,IF(RIGHT(H123,2)="HT",(1-L125)+$W$1,IF(RIGHT(H123,2)="SH",(1-L125)+$W$3,"")))&gt;0,IF(RIGHT(H123,2)="PH",(1-L125)+$W$2,IF(RIGHT(H123,2)="HT",(1-L125)+$W$1,IF(RIGHT(H123,2)="SH",(1-L125)+$W$3,""))),0)</f>
        <v>0.24000000000000005</v>
      </c>
      <c r="W125" s="298"/>
      <c r="X125" s="698">
        <f t="shared" ca="1" si="78"/>
        <v>0.5</v>
      </c>
      <c r="Y125" s="81">
        <f t="shared" ca="1" si="126"/>
        <v>15</v>
      </c>
      <c r="Z125" s="81">
        <f t="shared" ca="1" si="127"/>
        <v>0</v>
      </c>
      <c r="AA125" s="81">
        <f t="shared" ca="1" si="128"/>
        <v>0</v>
      </c>
      <c r="AB125" s="81">
        <f t="shared" ca="1" si="129"/>
        <v>0.1</v>
      </c>
      <c r="AC125" s="203"/>
      <c r="AD125" s="81">
        <v>2050</v>
      </c>
      <c r="AE125" s="81"/>
      <c r="AF125" s="705"/>
    </row>
    <row r="126" spans="2:32">
      <c r="B126" s="718" t="s">
        <v>1009</v>
      </c>
      <c r="C126" s="226"/>
      <c r="D126" s="212" t="str">
        <f>"IND"&amp;RIGHT(H126,4)&amp;"DSL"&amp;"N"&amp;RIGHT(E126,1)</f>
        <v>INDNDSHDSLN1</v>
      </c>
      <c r="E126" s="261" t="str">
        <f>"Industrial heating technology "&amp;$AJ$12&amp;" "&amp;RIGHT(H126,2)&amp;" - Oil boiler (Steam) - new 1"</f>
        <v>Industrial heating technology N SH - Oil boiler (Steam) - new 1</v>
      </c>
      <c r="F126" s="224" t="s">
        <v>1149</v>
      </c>
      <c r="G126" s="173" t="s">
        <v>2081</v>
      </c>
      <c r="H126" s="174" t="str">
        <f>$AI$15</f>
        <v>INDSH</v>
      </c>
      <c r="I126" s="174" t="str">
        <f t="shared" si="21"/>
        <v>INDNWH</v>
      </c>
      <c r="J126" s="224">
        <f t="shared" si="31"/>
        <v>2011</v>
      </c>
      <c r="K126" s="299">
        <v>2025</v>
      </c>
      <c r="L126" s="199">
        <f t="shared" ca="1" si="121"/>
        <v>0.94</v>
      </c>
      <c r="M126" s="199"/>
      <c r="N126" s="81">
        <f ca="1">VLOOKUP($AD126,INDIRECT("'"&amp;$B126&amp;"'!"&amp;"$P$39:$AD$42"),5,FALSE)</f>
        <v>25</v>
      </c>
      <c r="O126" s="723">
        <f t="shared" ca="1" si="122"/>
        <v>0.40975</v>
      </c>
      <c r="P126" s="723">
        <f t="shared" ca="1" si="123"/>
        <v>1.341E-2</v>
      </c>
      <c r="Q126" s="81">
        <f t="shared" ca="1" si="124"/>
        <v>2.0694444444444446</v>
      </c>
      <c r="R126" s="81">
        <v>3.1536000000000002E-2</v>
      </c>
      <c r="S126" s="199">
        <v>0.5</v>
      </c>
      <c r="T126" s="199">
        <f ca="1">HLOOKUP($T$2,INDIRECT("'"&amp;$B126&amp;"'!"&amp;"$P$6:$AC$19"),IF(H126=$AI$13,6,IF(H126=$AI$14,9,14)),FALSE)</f>
        <v>1</v>
      </c>
      <c r="U126" s="772"/>
      <c r="V126" s="199">
        <f t="shared" ref="V126" ca="1" si="141">IF(IF(RIGHT(H126,2)="PH",(1-L126)+$W$2,IF(RIGHT(H126,2)="HT",(1-L126)+$W$1,IF(RIGHT(H126,2)="SH",(1-L126)+$W$3,"")))&gt;0,IF(RIGHT(H126,2)="PH",(1-L126)+$W$2,IF(RIGHT(H126,2)="HT",(1-L126)+$W$1,IF(RIGHT(H126,2)="SH",(1-L126)+$W$3,""))),0)</f>
        <v>6.0000000000000053E-2</v>
      </c>
      <c r="W126" s="298"/>
      <c r="X126" s="698">
        <f t="shared" ca="1" si="78"/>
        <v>0.5</v>
      </c>
      <c r="Y126" s="81">
        <f t="shared" ca="1" si="126"/>
        <v>25</v>
      </c>
      <c r="Z126" s="81">
        <f t="shared" ca="1" si="127"/>
        <v>0</v>
      </c>
      <c r="AA126" s="81">
        <f t="shared" ca="1" si="128"/>
        <v>0</v>
      </c>
      <c r="AB126" s="81">
        <f t="shared" ca="1" si="129"/>
        <v>0.1</v>
      </c>
      <c r="AC126" s="296"/>
      <c r="AD126" s="81">
        <v>2020</v>
      </c>
      <c r="AE126" s="81"/>
      <c r="AF126" s="710"/>
    </row>
    <row r="127" spans="2:32">
      <c r="B127" s="718" t="s">
        <v>1009</v>
      </c>
      <c r="C127" s="226"/>
      <c r="D127" s="212"/>
      <c r="E127" s="212"/>
      <c r="F127" s="224" t="s">
        <v>1149</v>
      </c>
      <c r="H127" s="174"/>
      <c r="I127" s="174" t="str">
        <f t="shared" ref="I127:I182" si="142">$AI$20</f>
        <v>INDNWH</v>
      </c>
      <c r="J127" s="224">
        <f t="shared" si="31"/>
        <v>2030</v>
      </c>
      <c r="K127" s="81"/>
      <c r="L127" s="199">
        <f t="shared" ca="1" si="121"/>
        <v>0.95</v>
      </c>
      <c r="M127" s="199"/>
      <c r="N127" s="81"/>
      <c r="O127" s="723">
        <f t="shared" ca="1" si="122"/>
        <v>0.3469940346244772</v>
      </c>
      <c r="P127" s="723">
        <f t="shared" ca="1" si="123"/>
        <v>1.2664999999999999E-2</v>
      </c>
      <c r="Q127" s="81">
        <f t="shared" ca="1" si="124"/>
        <v>1.8625</v>
      </c>
      <c r="R127" s="300"/>
      <c r="S127" s="300"/>
      <c r="T127" s="300"/>
      <c r="U127" s="300"/>
      <c r="V127" s="199">
        <f t="shared" ref="V127" ca="1" si="143">IF(IF(RIGHT(H126,2)="PH",(1-L127)+$W$2,IF(RIGHT(H126,2)="HT",(1-L127)+$W$1,IF(RIGHT(H126,2)="SH",(1-L127)+$W$3,"")))&gt;0,IF(RIGHT(H126,2)="PH",(1-L127)+$W$2,IF(RIGHT(H126,2)="HT",(1-L127)+$W$1,IF(RIGHT(H126,2)="SH",(1-L127)+$W$3,""))),0)</f>
        <v>5.0000000000000044E-2</v>
      </c>
      <c r="W127" s="298"/>
      <c r="X127" s="698">
        <f t="shared" ref="X127:X158" ca="1" si="144">IF(VLOOKUP($AD127,INDIRECT("'"&amp;$B127&amp;"'!"&amp;"$P$39:$AD$42"),11,FALSE)="Cf. the utilized electricity",0,VLOOKUP($AD127,INDIRECT("'"&amp;$B127&amp;"'!"&amp;"$P$39:$AD$42"),11,FALSE))</f>
        <v>0.5</v>
      </c>
      <c r="Y127" s="81">
        <f t="shared" ca="1" si="126"/>
        <v>20</v>
      </c>
      <c r="Z127" s="81">
        <f t="shared" ca="1" si="127"/>
        <v>0</v>
      </c>
      <c r="AA127" s="81">
        <f t="shared" ca="1" si="128"/>
        <v>0</v>
      </c>
      <c r="AB127" s="81">
        <f t="shared" ca="1" si="129"/>
        <v>0.1</v>
      </c>
      <c r="AC127" s="55"/>
      <c r="AD127" s="81">
        <v>2030</v>
      </c>
      <c r="AE127" s="81"/>
      <c r="AF127" s="700"/>
    </row>
    <row r="128" spans="2:32">
      <c r="B128" s="719" t="s">
        <v>1009</v>
      </c>
      <c r="C128" s="713"/>
      <c r="D128" s="701"/>
      <c r="E128" s="701"/>
      <c r="F128" s="224" t="s">
        <v>1149</v>
      </c>
      <c r="G128" s="203"/>
      <c r="H128" s="702"/>
      <c r="I128" s="702" t="str">
        <f t="shared" si="142"/>
        <v>INDNWH</v>
      </c>
      <c r="J128" s="224">
        <f t="shared" ref="J128:J186" si="145">IF(AD128=2020,2011,AD128)</f>
        <v>2050</v>
      </c>
      <c r="K128" s="81"/>
      <c r="L128" s="199">
        <f t="shared" ca="1" si="121"/>
        <v>0.96</v>
      </c>
      <c r="M128" s="199"/>
      <c r="N128" s="81"/>
      <c r="O128" s="723">
        <f t="shared" ca="1" si="122"/>
        <v>0.32813985758696651</v>
      </c>
      <c r="P128" s="723">
        <f t="shared" ca="1" si="123"/>
        <v>1.1175000000000001E-2</v>
      </c>
      <c r="Q128" s="81">
        <f t="shared" ca="1" si="124"/>
        <v>1.8625</v>
      </c>
      <c r="R128" s="703"/>
      <c r="S128" s="703"/>
      <c r="T128" s="703"/>
      <c r="U128" s="703"/>
      <c r="V128" s="199">
        <f t="shared" ref="V128" ca="1" si="146">IF(IF(RIGHT(H126,2)="PH",(1-L128)+$W$2,IF(RIGHT(H126,2)="HT",(1-L128)+$W$1,IF(RIGHT(H126,2)="SH",(1-L128)+$W$3,"")))&gt;0,IF(RIGHT(H126,2)="PH",(1-L128)+$W$2,IF(RIGHT(H126,2)="HT",(1-L128)+$W$1,IF(RIGHT(H126,2)="SH",(1-L128)+$W$3,""))),0)</f>
        <v>4.0000000000000036E-2</v>
      </c>
      <c r="W128" s="704"/>
      <c r="X128" s="698">
        <f t="shared" ca="1" si="144"/>
        <v>0.5</v>
      </c>
      <c r="Y128" s="81">
        <f t="shared" ca="1" si="126"/>
        <v>15</v>
      </c>
      <c r="Z128" s="81">
        <f t="shared" ca="1" si="127"/>
        <v>0</v>
      </c>
      <c r="AA128" s="81">
        <f t="shared" ca="1" si="128"/>
        <v>0</v>
      </c>
      <c r="AB128" s="81">
        <f t="shared" ca="1" si="129"/>
        <v>0.1</v>
      </c>
      <c r="AC128" s="55"/>
      <c r="AD128" s="81">
        <v>2050</v>
      </c>
      <c r="AE128" s="81"/>
      <c r="AF128" s="700"/>
    </row>
    <row r="129" spans="2:32">
      <c r="B129" s="718" t="s">
        <v>1009</v>
      </c>
      <c r="C129" s="226"/>
      <c r="D129" s="212" t="str">
        <f>"IND"&amp;RIGHT(H129,4)&amp;"DSL"&amp;"N"&amp;RIGHT(E129,1)</f>
        <v>INDNDPHDSLN2</v>
      </c>
      <c r="E129" s="707" t="str">
        <f>"Industrial heating technology "&amp;$AJ$12&amp;" "&amp;RIGHT(H129,2)&amp;" - Oil boiler (Steam - condensing) - new 2"</f>
        <v>Industrial heating technology N PH - Oil boiler (Steam - condensing) - new 2</v>
      </c>
      <c r="F129" s="224" t="s">
        <v>1149</v>
      </c>
      <c r="G129" s="173" t="s">
        <v>2081</v>
      </c>
      <c r="H129" s="708" t="str">
        <f>$AI$14</f>
        <v>INDPH</v>
      </c>
      <c r="I129" s="708" t="str">
        <f t="shared" si="142"/>
        <v>INDNWH</v>
      </c>
      <c r="J129" s="224">
        <f t="shared" si="145"/>
        <v>2011</v>
      </c>
      <c r="K129" s="299">
        <v>2025</v>
      </c>
      <c r="L129" s="199">
        <f t="shared" ref="L129:L134" ca="1" si="147">VLOOKUP($AD129,INDIRECT("'"&amp;$B129&amp;"'!"&amp;"$P$118:$AD$121"),3,FALSE)</f>
        <v>0.95</v>
      </c>
      <c r="M129" s="199"/>
      <c r="N129" s="81">
        <f ca="1">VLOOKUP($AD129,INDIRECT("'"&amp;$B129&amp;"'!"&amp;"$P$118:$AD$121"),5,FALSE)</f>
        <v>25</v>
      </c>
      <c r="O129" s="723">
        <f t="shared" ref="O129:O134" ca="1" si="148">VLOOKUP($AD129,INDIRECT("'"&amp;$B129&amp;"'!"&amp;"$P$118:$AD$121"),6,FALSE)/1000</f>
        <v>0.32780000000000004</v>
      </c>
      <c r="P129" s="723">
        <f t="shared" ref="P129:P134" ca="1" si="149">VLOOKUP($AD129,INDIRECT("'"&amp;$B129&amp;"'!"&amp;"$P$118:$AD$121"),7,FALSE)/1000</f>
        <v>1.341E-2</v>
      </c>
      <c r="Q129" s="81">
        <f t="shared" ref="Q129:Q134" ca="1" si="150">VLOOKUP($AD129,INDIRECT("'"&amp;$B129&amp;"'!"&amp;"$P$118:$AD$121"),8,FALSE)</f>
        <v>2.0694444444444446</v>
      </c>
      <c r="R129" s="81">
        <v>3.1536000000000002E-2</v>
      </c>
      <c r="S129" s="199">
        <v>0.5</v>
      </c>
      <c r="T129" s="199">
        <f ca="1">HLOOKUP($T$2,INDIRECT("'"&amp;$B129&amp;"'!"&amp;"$P$85:$AC$98"),IF(H129=$AI$13,6,IF(H129=$AI$14,9,14)),FALSE)</f>
        <v>0</v>
      </c>
      <c r="U129" s="773"/>
      <c r="V129" s="199">
        <f t="shared" ref="V129" ca="1" si="151">IF(IF(RIGHT(H129,2)="PH",(1-L129)+$W$2,IF(RIGHT(H129,2)="HT",(1-L129)+$W$1,IF(RIGHT(H129,2)="SH",(1-L129)+$W$3,"")))&gt;0,IF(RIGHT(H129,2)="PH",(1-L129)+$W$2,IF(RIGHT(H129,2)="HT",(1-L129)+$W$1,IF(RIGHT(H129,2)="SH",(1-L129)+$W$3,""))),0)</f>
        <v>0.25000000000000006</v>
      </c>
      <c r="W129" s="709"/>
      <c r="X129" s="698">
        <f t="shared" ca="1" si="144"/>
        <v>0.5</v>
      </c>
      <c r="Y129" s="698">
        <f t="shared" ref="Y129:Y134" ca="1" si="152">VLOOKUP($AD129,INDIRECT("'"&amp;$B129&amp;"'!"&amp;"$P$118:$AD$121"),12,FALSE)</f>
        <v>25</v>
      </c>
      <c r="Z129" s="698">
        <f t="shared" ref="Z129:Z134" ca="1" si="153">VLOOKUP($AD129,INDIRECT("'"&amp;$B129&amp;"'!"&amp;"$P$118:$AD$121"),13,FALSE)</f>
        <v>0</v>
      </c>
      <c r="AA129" s="698">
        <f t="shared" ref="AA129:AA134" ca="1" si="154">VLOOKUP($AD129,INDIRECT("'"&amp;$B129&amp;"'!"&amp;"$P$118:$AD$121"),14,FALSE)</f>
        <v>0</v>
      </c>
      <c r="AB129" s="698">
        <f t="shared" ref="AB129:AB134" ca="1" si="155">VLOOKUP($AD129,INDIRECT("'"&amp;$B129&amp;"'!"&amp;"$P$118:$AD$121"),15,FALSE)</f>
        <v>0.1</v>
      </c>
      <c r="AC129" s="55"/>
      <c r="AD129" s="81">
        <v>2020</v>
      </c>
      <c r="AE129" s="81"/>
      <c r="AF129" s="700"/>
    </row>
    <row r="130" spans="2:32">
      <c r="B130" s="718" t="s">
        <v>1009</v>
      </c>
      <c r="C130" s="226"/>
      <c r="D130" s="212"/>
      <c r="E130" s="261"/>
      <c r="F130" s="224" t="s">
        <v>1149</v>
      </c>
      <c r="G130" s="55"/>
      <c r="H130" s="174"/>
      <c r="I130" s="174" t="str">
        <f t="shared" si="142"/>
        <v>INDNWH</v>
      </c>
      <c r="J130" s="224">
        <f t="shared" si="145"/>
        <v>2030</v>
      </c>
      <c r="K130" s="81"/>
      <c r="L130" s="199">
        <f t="shared" ca="1" si="147"/>
        <v>0.96</v>
      </c>
      <c r="M130" s="199"/>
      <c r="N130" s="81"/>
      <c r="O130" s="723">
        <f t="shared" ca="1" si="148"/>
        <v>0.27759522769958173</v>
      </c>
      <c r="P130" s="723">
        <f t="shared" ca="1" si="149"/>
        <v>1.2664999999999999E-2</v>
      </c>
      <c r="Q130" s="81">
        <f t="shared" ca="1" si="150"/>
        <v>1.8625</v>
      </c>
      <c r="R130" s="300"/>
      <c r="S130" s="300"/>
      <c r="T130" s="300"/>
      <c r="U130" s="300"/>
      <c r="V130" s="199">
        <f t="shared" ref="V130" ca="1" si="156">IF(IF(RIGHT(H129,2)="PH",(1-L130)+$W$2,IF(RIGHT(H129,2)="HT",(1-L130)+$W$1,IF(RIGHT(H129,2)="SH",(1-L130)+$W$3,"")))&gt;0,IF(RIGHT(H129,2)="PH",(1-L130)+$W$2,IF(RIGHT(H129,2)="HT",(1-L130)+$W$1,IF(RIGHT(H129,2)="SH",(1-L130)+$W$3,""))),0)</f>
        <v>0.24000000000000005</v>
      </c>
      <c r="W130" s="298"/>
      <c r="X130" s="698">
        <f t="shared" ca="1" si="144"/>
        <v>0.5</v>
      </c>
      <c r="Y130" s="698">
        <f t="shared" ca="1" si="152"/>
        <v>20</v>
      </c>
      <c r="Z130" s="698">
        <f t="shared" ca="1" si="153"/>
        <v>0</v>
      </c>
      <c r="AA130" s="698">
        <f t="shared" ca="1" si="154"/>
        <v>0</v>
      </c>
      <c r="AB130" s="698">
        <f t="shared" ca="1" si="155"/>
        <v>0.1</v>
      </c>
      <c r="AC130" s="55"/>
      <c r="AD130" s="81">
        <v>2030</v>
      </c>
      <c r="AE130" s="81"/>
      <c r="AF130" s="700"/>
    </row>
    <row r="131" spans="2:32">
      <c r="B131" s="718" t="s">
        <v>1009</v>
      </c>
      <c r="C131" s="226"/>
      <c r="E131" s="261"/>
      <c r="F131" s="224" t="s">
        <v>1149</v>
      </c>
      <c r="G131" s="55"/>
      <c r="H131" s="174"/>
      <c r="I131" s="174" t="str">
        <f t="shared" si="142"/>
        <v>INDNWH</v>
      </c>
      <c r="J131" s="224">
        <f t="shared" si="145"/>
        <v>2050</v>
      </c>
      <c r="K131" s="81"/>
      <c r="L131" s="199">
        <f t="shared" ca="1" si="147"/>
        <v>0.97</v>
      </c>
      <c r="M131" s="199"/>
      <c r="N131" s="81"/>
      <c r="O131" s="723">
        <f t="shared" ca="1" si="148"/>
        <v>0.26251188606957326</v>
      </c>
      <c r="P131" s="723">
        <f t="shared" ca="1" si="149"/>
        <v>1.1175000000000001E-2</v>
      </c>
      <c r="Q131" s="81">
        <f t="shared" ca="1" si="150"/>
        <v>1.8625</v>
      </c>
      <c r="R131" s="300"/>
      <c r="S131" s="300"/>
      <c r="T131" s="300"/>
      <c r="U131" s="300"/>
      <c r="V131" s="199">
        <f t="shared" ref="V131" ca="1" si="157">IF(IF(RIGHT(H129,2)="PH",(1-L131)+$W$2,IF(RIGHT(H129,2)="HT",(1-L131)+$W$1,IF(RIGHT(H129,2)="SH",(1-L131)+$W$3,"")))&gt;0,IF(RIGHT(H129,2)="PH",(1-L131)+$W$2,IF(RIGHT(H129,2)="HT",(1-L131)+$W$1,IF(RIGHT(H129,2)="SH",(1-L131)+$W$3,""))),0)</f>
        <v>0.23000000000000004</v>
      </c>
      <c r="W131" s="298"/>
      <c r="X131" s="698">
        <f t="shared" ca="1" si="144"/>
        <v>0.5</v>
      </c>
      <c r="Y131" s="698">
        <f t="shared" ca="1" si="152"/>
        <v>15</v>
      </c>
      <c r="Z131" s="698">
        <f t="shared" ca="1" si="153"/>
        <v>0</v>
      </c>
      <c r="AA131" s="698">
        <f t="shared" ca="1" si="154"/>
        <v>0</v>
      </c>
      <c r="AB131" s="698">
        <f t="shared" ca="1" si="155"/>
        <v>0.1</v>
      </c>
      <c r="AC131" s="203"/>
      <c r="AD131" s="81">
        <v>2050</v>
      </c>
      <c r="AE131" s="81"/>
      <c r="AF131" s="705"/>
    </row>
    <row r="132" spans="2:32">
      <c r="B132" s="718" t="s">
        <v>1009</v>
      </c>
      <c r="C132" s="226"/>
      <c r="D132" s="212" t="str">
        <f>"IND"&amp;RIGHT(H132,4)&amp;"DSL"&amp;"N"&amp;RIGHT(E132,1)</f>
        <v>INDNDSHDSLN2</v>
      </c>
      <c r="E132" s="261" t="str">
        <f>"Industrial heating technology "&amp;$AJ$12&amp;" "&amp;RIGHT(H132,2)&amp;" - Oil boiler (Steam - condensing) - new 2"</f>
        <v>Industrial heating technology N SH - Oil boiler (Steam - condensing) - new 2</v>
      </c>
      <c r="F132" s="224" t="s">
        <v>1149</v>
      </c>
      <c r="G132" s="173" t="s">
        <v>2081</v>
      </c>
      <c r="H132" s="174" t="str">
        <f>$AI$15</f>
        <v>INDSH</v>
      </c>
      <c r="I132" s="174" t="str">
        <f t="shared" si="142"/>
        <v>INDNWH</v>
      </c>
      <c r="J132" s="224">
        <f t="shared" si="145"/>
        <v>2011</v>
      </c>
      <c r="K132" s="299">
        <v>2025</v>
      </c>
      <c r="L132" s="199">
        <f t="shared" ca="1" si="147"/>
        <v>0.95</v>
      </c>
      <c r="M132" s="199"/>
      <c r="N132" s="81">
        <f ca="1">VLOOKUP($AD132,INDIRECT("'"&amp;$B132&amp;"'!"&amp;"$P$118:$AD$121"),5,FALSE)</f>
        <v>25</v>
      </c>
      <c r="O132" s="723">
        <f t="shared" ca="1" si="148"/>
        <v>0.32780000000000004</v>
      </c>
      <c r="P132" s="723">
        <f t="shared" ca="1" si="149"/>
        <v>1.341E-2</v>
      </c>
      <c r="Q132" s="81">
        <f t="shared" ca="1" si="150"/>
        <v>2.0694444444444446</v>
      </c>
      <c r="R132" s="81">
        <v>3.1536000000000002E-2</v>
      </c>
      <c r="S132" s="199">
        <v>0.5</v>
      </c>
      <c r="T132" s="199">
        <f ca="1">HLOOKUP($T$2,INDIRECT("'"&amp;$B132&amp;"'!"&amp;"$P$85:$AC$98"),IF(H132=$AI$13,6,IF(H132=$AI$14,9,14)),FALSE)</f>
        <v>1</v>
      </c>
      <c r="U132" s="772"/>
      <c r="V132" s="199">
        <f t="shared" ref="V132" ca="1" si="158">IF(IF(RIGHT(H132,2)="PH",(1-L132)+$W$2,IF(RIGHT(H132,2)="HT",(1-L132)+$W$1,IF(RIGHT(H132,2)="SH",(1-L132)+$W$3,"")))&gt;0,IF(RIGHT(H132,2)="PH",(1-L132)+$W$2,IF(RIGHT(H132,2)="HT",(1-L132)+$W$1,IF(RIGHT(H132,2)="SH",(1-L132)+$W$3,""))),0)</f>
        <v>5.0000000000000044E-2</v>
      </c>
      <c r="W132" s="298"/>
      <c r="X132" s="698">
        <f t="shared" ca="1" si="144"/>
        <v>0.5</v>
      </c>
      <c r="Y132" s="698">
        <f t="shared" ca="1" si="152"/>
        <v>25</v>
      </c>
      <c r="Z132" s="698">
        <f t="shared" ca="1" si="153"/>
        <v>0</v>
      </c>
      <c r="AA132" s="698">
        <f t="shared" ca="1" si="154"/>
        <v>0</v>
      </c>
      <c r="AB132" s="698">
        <f t="shared" ca="1" si="155"/>
        <v>0.1</v>
      </c>
      <c r="AD132" s="81">
        <v>2020</v>
      </c>
      <c r="AE132" s="299"/>
      <c r="AF132" s="220"/>
    </row>
    <row r="133" spans="2:32">
      <c r="B133" s="718" t="s">
        <v>1009</v>
      </c>
      <c r="C133" s="226"/>
      <c r="E133" s="261"/>
      <c r="F133" s="224" t="s">
        <v>1149</v>
      </c>
      <c r="G133" s="55"/>
      <c r="H133" s="174"/>
      <c r="I133" s="174" t="str">
        <f t="shared" si="142"/>
        <v>INDNWH</v>
      </c>
      <c r="J133" s="224">
        <f t="shared" si="145"/>
        <v>2030</v>
      </c>
      <c r="K133" s="81"/>
      <c r="L133" s="199">
        <f t="shared" ca="1" si="147"/>
        <v>0.96</v>
      </c>
      <c r="M133" s="199"/>
      <c r="N133" s="81"/>
      <c r="O133" s="723">
        <f t="shared" ca="1" si="148"/>
        <v>0.27759522769958173</v>
      </c>
      <c r="P133" s="723">
        <f t="shared" ca="1" si="149"/>
        <v>1.2664999999999999E-2</v>
      </c>
      <c r="Q133" s="81">
        <f t="shared" ca="1" si="150"/>
        <v>1.8625</v>
      </c>
      <c r="R133" s="300"/>
      <c r="S133" s="300"/>
      <c r="T133" s="300"/>
      <c r="U133" s="300"/>
      <c r="V133" s="199">
        <f t="shared" ref="V133" ca="1" si="159">IF(IF(RIGHT(H132,2)="PH",(1-L133)+$W$2,IF(RIGHT(H132,2)="HT",(1-L133)+$W$1,IF(RIGHT(H132,2)="SH",(1-L133)+$W$3,"")))&gt;0,IF(RIGHT(H132,2)="PH",(1-L133)+$W$2,IF(RIGHT(H132,2)="HT",(1-L133)+$W$1,IF(RIGHT(H132,2)="SH",(1-L133)+$W$3,""))),0)</f>
        <v>4.0000000000000036E-2</v>
      </c>
      <c r="W133" s="298"/>
      <c r="X133" s="698">
        <f t="shared" ca="1" si="144"/>
        <v>0.5</v>
      </c>
      <c r="Y133" s="698">
        <f t="shared" ca="1" si="152"/>
        <v>20</v>
      </c>
      <c r="Z133" s="698">
        <f t="shared" ca="1" si="153"/>
        <v>0</v>
      </c>
      <c r="AA133" s="698">
        <f t="shared" ca="1" si="154"/>
        <v>0</v>
      </c>
      <c r="AB133" s="698">
        <f t="shared" ca="1" si="155"/>
        <v>0.1</v>
      </c>
      <c r="AD133" s="81">
        <v>2030</v>
      </c>
      <c r="AE133" s="81"/>
      <c r="AF133" s="220"/>
    </row>
    <row r="134" spans="2:32">
      <c r="B134" s="719" t="s">
        <v>1009</v>
      </c>
      <c r="C134" s="713"/>
      <c r="D134" s="701"/>
      <c r="E134" s="701"/>
      <c r="F134" s="224" t="s">
        <v>1149</v>
      </c>
      <c r="G134" s="203"/>
      <c r="H134" s="702"/>
      <c r="I134" s="702" t="str">
        <f t="shared" si="142"/>
        <v>INDNWH</v>
      </c>
      <c r="J134" s="224">
        <f t="shared" si="145"/>
        <v>2050</v>
      </c>
      <c r="K134" s="81"/>
      <c r="L134" s="199">
        <f t="shared" ca="1" si="147"/>
        <v>0.97</v>
      </c>
      <c r="M134" s="199"/>
      <c r="N134" s="81"/>
      <c r="O134" s="723">
        <f t="shared" ca="1" si="148"/>
        <v>0.26251188606957326</v>
      </c>
      <c r="P134" s="723">
        <f t="shared" ca="1" si="149"/>
        <v>1.1175000000000001E-2</v>
      </c>
      <c r="Q134" s="81">
        <f t="shared" ca="1" si="150"/>
        <v>1.8625</v>
      </c>
      <c r="R134" s="703"/>
      <c r="S134" s="703"/>
      <c r="T134" s="703"/>
      <c r="U134" s="703"/>
      <c r="V134" s="199">
        <f t="shared" ref="V134" ca="1" si="160">IF(IF(RIGHT(H132,2)="PH",(1-L134)+$W$2,IF(RIGHT(H132,2)="HT",(1-L134)+$W$1,IF(RIGHT(H132,2)="SH",(1-L134)+$W$3,"")))&gt;0,IF(RIGHT(H132,2)="PH",(1-L134)+$W$2,IF(RIGHT(H132,2)="HT",(1-L134)+$W$1,IF(RIGHT(H132,2)="SH",(1-L134)+$W$3,""))),0)</f>
        <v>3.0000000000000027E-2</v>
      </c>
      <c r="W134" s="704"/>
      <c r="X134" s="698">
        <f t="shared" ca="1" si="144"/>
        <v>0.5</v>
      </c>
      <c r="Y134" s="698">
        <f t="shared" ca="1" si="152"/>
        <v>15</v>
      </c>
      <c r="Z134" s="698">
        <f t="shared" ca="1" si="153"/>
        <v>0</v>
      </c>
      <c r="AA134" s="698">
        <f t="shared" ca="1" si="154"/>
        <v>0</v>
      </c>
      <c r="AB134" s="698">
        <f t="shared" ca="1" si="155"/>
        <v>0.1</v>
      </c>
      <c r="AD134" s="81">
        <v>2050</v>
      </c>
      <c r="AE134" s="81"/>
      <c r="AF134" s="220"/>
    </row>
    <row r="135" spans="2:32">
      <c r="B135" s="718" t="s">
        <v>1010</v>
      </c>
      <c r="C135" s="226"/>
      <c r="D135" s="212" t="str">
        <f>"IND"&amp;RIGHT(H135,4)&amp;"GAS"&amp;"N"&amp;RIGHT(E135,1)</f>
        <v>INDNDPHGASN1</v>
      </c>
      <c r="E135" s="261" t="str">
        <f>"Industrial heating technology "&amp;$AJ$12&amp;" "&amp;RIGHT(H135,2)&amp;" - Gas boiler (Steam) - new 1"</f>
        <v>Industrial heating technology N PH - Gas boiler (Steam) - new 1</v>
      </c>
      <c r="F135" s="224" t="s">
        <v>1149</v>
      </c>
      <c r="G135" s="173" t="s">
        <v>2080</v>
      </c>
      <c r="H135" s="174" t="str">
        <f>$AI$13</f>
        <v>INDPH</v>
      </c>
      <c r="I135" s="174" t="str">
        <f t="shared" si="142"/>
        <v>INDNWH</v>
      </c>
      <c r="J135" s="224">
        <f t="shared" si="145"/>
        <v>2011</v>
      </c>
      <c r="K135" s="299">
        <v>2011</v>
      </c>
      <c r="L135" s="199">
        <f t="shared" ref="L135:L143" ca="1" si="161">VLOOKUP($AD135,INDIRECT("'"&amp;$B135&amp;"'!"&amp;"$P$39:$AD$42"),3,FALSE)</f>
        <v>0.92</v>
      </c>
      <c r="M135" s="699"/>
      <c r="N135" s="299">
        <f ca="1">VLOOKUP($AD135,INDIRECT("'"&amp;$B135&amp;"'!"&amp;"$P$39:$AD$42"),5,FALSE)</f>
        <v>25</v>
      </c>
      <c r="O135" s="725">
        <f t="shared" ref="O135:O143" ca="1" si="162">VLOOKUP($AD135,INDIRECT("'"&amp;$B135&amp;"'!"&amp;"$P$39:$AD$42"),6,FALSE)/1000</f>
        <v>0.40636363636363632</v>
      </c>
      <c r="P135" s="725">
        <f t="shared" ref="P135:P143" ca="1" si="163">VLOOKUP($AD135,INDIRECT("'"&amp;$B135&amp;"'!"&amp;"$P$39:$AD$42"),7,FALSE)/1000</f>
        <v>1.49E-2</v>
      </c>
      <c r="Q135" s="299">
        <f t="shared" ref="Q135:Q143" ca="1" si="164">VLOOKUP($AD135,INDIRECT("'"&amp;$B135&amp;"'!"&amp;"$P$39:$AD$42"),8,FALSE)</f>
        <v>2.276388888888889</v>
      </c>
      <c r="R135" s="299">
        <v>3.1536000000000002E-2</v>
      </c>
      <c r="S135" s="699">
        <v>0.5</v>
      </c>
      <c r="T135" s="699">
        <f ca="1">HLOOKUP($T$2,INDIRECT("'"&amp;$B135&amp;"'!"&amp;"$P$6:$AC$19"),IF(H135=$AI$13,6,IF(H135=$AI$14,9,14)),FALSE)</f>
        <v>1</v>
      </c>
      <c r="U135" s="772"/>
      <c r="V135" s="199">
        <f t="shared" ref="V135" ca="1" si="165">IF(IF(RIGHT(H135,2)="PH",(1-L135)+$W$2,IF(RIGHT(H135,2)="HT",(1-L135)+$W$1,IF(RIGHT(H135,2)="SH",(1-L135)+$W$3,"")))&gt;0,IF(RIGHT(H135,2)="PH",(1-L135)+$W$2,IF(RIGHT(H135,2)="HT",(1-L135)+$W$1,IF(RIGHT(H135,2)="SH",(1-L135)+$W$3,""))),0)</f>
        <v>0.27999999999999997</v>
      </c>
      <c r="W135" s="298"/>
      <c r="X135" s="698">
        <f t="shared" ca="1" si="144"/>
        <v>0.3</v>
      </c>
      <c r="Y135" s="299">
        <f t="shared" ref="Y135:Y143" ca="1" si="166">VLOOKUP($AD135,INDIRECT("'"&amp;$B135&amp;"'!"&amp;"$P$39:$AD$42"),12,FALSE)</f>
        <v>9</v>
      </c>
      <c r="Z135" s="299">
        <f t="shared" ref="Z135:Z143" ca="1" si="167">VLOOKUP($AD135,INDIRECT("'"&amp;$B135&amp;"'!"&amp;"$P$39:$AD$42"),13,FALSE)</f>
        <v>3</v>
      </c>
      <c r="AA135" s="299">
        <f t="shared" ref="AA135:AA143" ca="1" si="168">VLOOKUP($AD135,INDIRECT("'"&amp;$B135&amp;"'!"&amp;"$P$39:$AD$42"),14,FALSE)</f>
        <v>1</v>
      </c>
      <c r="AB135" s="299">
        <f t="shared" ref="AB135:AB143" ca="1" si="169">VLOOKUP($AD135,INDIRECT("'"&amp;$B135&amp;"'!"&amp;"$P$39:$AD$42"),15,FALSE)</f>
        <v>0.1</v>
      </c>
      <c r="AD135" s="299">
        <v>2020</v>
      </c>
      <c r="AE135" s="81"/>
      <c r="AF135" s="220"/>
    </row>
    <row r="136" spans="2:32">
      <c r="B136" s="718" t="s">
        <v>1010</v>
      </c>
      <c r="C136" s="226"/>
      <c r="E136" s="212"/>
      <c r="F136" s="224" t="s">
        <v>1149</v>
      </c>
      <c r="H136" s="174"/>
      <c r="I136" s="174" t="str">
        <f t="shared" si="142"/>
        <v>INDNWH</v>
      </c>
      <c r="J136" s="224">
        <f t="shared" si="145"/>
        <v>2030</v>
      </c>
      <c r="K136" s="81"/>
      <c r="L136" s="199">
        <f t="shared" ca="1" si="161"/>
        <v>0.93</v>
      </c>
      <c r="M136" s="199"/>
      <c r="N136" s="81"/>
      <c r="O136" s="723">
        <f t="shared" ca="1" si="162"/>
        <v>0.33863636363636368</v>
      </c>
      <c r="P136" s="723">
        <f t="shared" ca="1" si="163"/>
        <v>1.4154999999999999E-2</v>
      </c>
      <c r="Q136" s="81">
        <f t="shared" ca="1" si="164"/>
        <v>2.0694444444444446</v>
      </c>
      <c r="R136" s="300"/>
      <c r="S136" s="300"/>
      <c r="T136" s="300"/>
      <c r="U136" s="300"/>
      <c r="V136" s="199">
        <f t="shared" ref="V136" ca="1" si="170">IF(IF(RIGHT(H135,2)="PH",(1-L136)+$W$2,IF(RIGHT(H135,2)="HT",(1-L136)+$W$1,IF(RIGHT(H135,2)="SH",(1-L136)+$W$3,"")))&gt;0,IF(RIGHT(H135,2)="PH",(1-L136)+$W$2,IF(RIGHT(H135,2)="HT",(1-L136)+$W$1,IF(RIGHT(H135,2)="SH",(1-L136)+$W$3,""))),0)</f>
        <v>0.26999999999999996</v>
      </c>
      <c r="W136" s="298"/>
      <c r="X136" s="698">
        <f t="shared" ca="1" si="144"/>
        <v>0.3</v>
      </c>
      <c r="Y136" s="81">
        <f t="shared" ca="1" si="166"/>
        <v>7</v>
      </c>
      <c r="Z136" s="81">
        <f t="shared" ca="1" si="167"/>
        <v>2</v>
      </c>
      <c r="AA136" s="81">
        <f t="shared" ca="1" si="168"/>
        <v>1</v>
      </c>
      <c r="AB136" s="81">
        <f t="shared" ca="1" si="169"/>
        <v>0.1</v>
      </c>
      <c r="AD136" s="81">
        <v>2030</v>
      </c>
      <c r="AE136" s="81"/>
      <c r="AF136" s="220"/>
    </row>
    <row r="137" spans="2:32">
      <c r="B137" s="718" t="s">
        <v>1010</v>
      </c>
      <c r="C137" s="226"/>
      <c r="E137" s="212"/>
      <c r="F137" s="224" t="s">
        <v>1149</v>
      </c>
      <c r="H137" s="174"/>
      <c r="I137" s="174" t="str">
        <f t="shared" si="142"/>
        <v>INDNWH</v>
      </c>
      <c r="J137" s="224">
        <f t="shared" si="145"/>
        <v>2050</v>
      </c>
      <c r="K137" s="81"/>
      <c r="L137" s="199">
        <f t="shared" ca="1" si="161"/>
        <v>0.94</v>
      </c>
      <c r="M137" s="199"/>
      <c r="N137" s="81"/>
      <c r="O137" s="723">
        <f t="shared" ca="1" si="162"/>
        <v>0.33863636363636368</v>
      </c>
      <c r="P137" s="723">
        <f t="shared" ca="1" si="163"/>
        <v>1.2664999999999999E-2</v>
      </c>
      <c r="Q137" s="81">
        <f t="shared" ca="1" si="164"/>
        <v>2.0694444444444446</v>
      </c>
      <c r="R137" s="300"/>
      <c r="S137" s="300"/>
      <c r="T137" s="300"/>
      <c r="U137" s="300"/>
      <c r="V137" s="199">
        <f t="shared" ref="V137" ca="1" si="171">IF(IF(RIGHT(H135,2)="PH",(1-L137)+$W$2,IF(RIGHT(H135,2)="HT",(1-L137)+$W$1,IF(RIGHT(H135,2)="SH",(1-L137)+$W$3,"")))&gt;0,IF(RIGHT(H135,2)="PH",(1-L137)+$W$2,IF(RIGHT(H135,2)="HT",(1-L137)+$W$1,IF(RIGHT(H135,2)="SH",(1-L137)+$W$3,""))),0)</f>
        <v>0.26000000000000006</v>
      </c>
      <c r="W137" s="298"/>
      <c r="X137" s="698">
        <f t="shared" ca="1" si="144"/>
        <v>0.3</v>
      </c>
      <c r="Y137" s="81">
        <f t="shared" ca="1" si="166"/>
        <v>6</v>
      </c>
      <c r="Z137" s="81">
        <f t="shared" ca="1" si="167"/>
        <v>2</v>
      </c>
      <c r="AA137" s="81">
        <f t="shared" ca="1" si="168"/>
        <v>1</v>
      </c>
      <c r="AB137" s="81">
        <f t="shared" ca="1" si="169"/>
        <v>0.1</v>
      </c>
      <c r="AD137" s="81">
        <v>2050</v>
      </c>
      <c r="AE137" s="81"/>
      <c r="AF137" s="220"/>
    </row>
    <row r="138" spans="2:32">
      <c r="B138" s="718" t="s">
        <v>1010</v>
      </c>
      <c r="C138" s="226"/>
      <c r="D138" s="212" t="str">
        <f>"IND"&amp;RIGHT(H138,4)&amp;"GAS"&amp;"N"&amp;RIGHT(E138,1)</f>
        <v>INDNDPHGASN1</v>
      </c>
      <c r="E138" s="261" t="str">
        <f>"Industrial heating technology "&amp;$AJ$12&amp;" "&amp;RIGHT(H138,2)&amp;" - Gas boiler (Steam) - new 1"</f>
        <v>Industrial heating technology N PH - Gas boiler (Steam) - new 1</v>
      </c>
      <c r="F138" s="224" t="s">
        <v>1149</v>
      </c>
      <c r="G138" s="173" t="s">
        <v>2080</v>
      </c>
      <c r="H138" s="174" t="str">
        <f>$AI$14</f>
        <v>INDPH</v>
      </c>
      <c r="I138" s="174" t="str">
        <f t="shared" si="142"/>
        <v>INDNWH</v>
      </c>
      <c r="J138" s="224">
        <f t="shared" si="145"/>
        <v>2011</v>
      </c>
      <c r="K138" s="299">
        <f>J138</f>
        <v>2011</v>
      </c>
      <c r="L138" s="199">
        <f t="shared" ca="1" si="161"/>
        <v>0.92</v>
      </c>
      <c r="M138" s="199"/>
      <c r="N138" s="81">
        <f ca="1">VLOOKUP($AD138,INDIRECT("'"&amp;$B138&amp;"'!"&amp;"$P$39:$AD$42"),5,FALSE)</f>
        <v>25</v>
      </c>
      <c r="O138" s="723">
        <f t="shared" ca="1" si="162"/>
        <v>0.40636363636363632</v>
      </c>
      <c r="P138" s="723">
        <f t="shared" ca="1" si="163"/>
        <v>1.49E-2</v>
      </c>
      <c r="Q138" s="81">
        <f t="shared" ca="1" si="164"/>
        <v>2.276388888888889</v>
      </c>
      <c r="R138" s="81">
        <v>3.1536000000000002E-2</v>
      </c>
      <c r="S138" s="199">
        <v>0.5</v>
      </c>
      <c r="T138" s="199">
        <f ca="1">HLOOKUP($T$2,INDIRECT("'"&amp;$B138&amp;"'!"&amp;"$P$6:$AC$19"),IF(H138=$AI$13,6,IF(H138=$AI$14,9,14)),FALSE)</f>
        <v>1</v>
      </c>
      <c r="U138" s="772"/>
      <c r="V138" s="199">
        <f t="shared" ref="V138" ca="1" si="172">IF(IF(RIGHT(H138,2)="PH",(1-L138)+$W$2,IF(RIGHT(H138,2)="HT",(1-L138)+$W$1,IF(RIGHT(H138,2)="SH",(1-L138)+$W$3,"")))&gt;0,IF(RIGHT(H138,2)="PH",(1-L138)+$W$2,IF(RIGHT(H138,2)="HT",(1-L138)+$W$1,IF(RIGHT(H138,2)="SH",(1-L138)+$W$3,""))),0)</f>
        <v>0.27999999999999997</v>
      </c>
      <c r="W138" s="298"/>
      <c r="X138" s="698">
        <f t="shared" ca="1" si="144"/>
        <v>0.3</v>
      </c>
      <c r="Y138" s="81">
        <f t="shared" ca="1" si="166"/>
        <v>9</v>
      </c>
      <c r="Z138" s="81">
        <f t="shared" ca="1" si="167"/>
        <v>3</v>
      </c>
      <c r="AA138" s="81">
        <f t="shared" ca="1" si="168"/>
        <v>1</v>
      </c>
      <c r="AB138" s="81">
        <f t="shared" ca="1" si="169"/>
        <v>0.1</v>
      </c>
      <c r="AD138" s="81">
        <v>2020</v>
      </c>
      <c r="AE138" s="81"/>
      <c r="AF138" s="220"/>
    </row>
    <row r="139" spans="2:32">
      <c r="B139" s="718" t="s">
        <v>1010</v>
      </c>
      <c r="C139" s="226"/>
      <c r="E139" s="212"/>
      <c r="F139" s="224" t="s">
        <v>1149</v>
      </c>
      <c r="H139" s="174"/>
      <c r="I139" s="174" t="str">
        <f t="shared" si="142"/>
        <v>INDNWH</v>
      </c>
      <c r="J139" s="224">
        <f t="shared" si="145"/>
        <v>2030</v>
      </c>
      <c r="K139" s="81"/>
      <c r="L139" s="199">
        <f t="shared" ca="1" si="161"/>
        <v>0.93</v>
      </c>
      <c r="M139" s="199"/>
      <c r="N139" s="81"/>
      <c r="O139" s="723">
        <f t="shared" ca="1" si="162"/>
        <v>0.33863636363636368</v>
      </c>
      <c r="P139" s="723">
        <f t="shared" ca="1" si="163"/>
        <v>1.4154999999999999E-2</v>
      </c>
      <c r="Q139" s="81">
        <f t="shared" ca="1" si="164"/>
        <v>2.0694444444444446</v>
      </c>
      <c r="R139" s="300"/>
      <c r="S139" s="300"/>
      <c r="T139" s="300"/>
      <c r="U139" s="300"/>
      <c r="V139" s="199">
        <f t="shared" ref="V139" ca="1" si="173">IF(IF(RIGHT(H138,2)="PH",(1-L139)+$W$2,IF(RIGHT(H138,2)="HT",(1-L139)+$W$1,IF(RIGHT(H138,2)="SH",(1-L139)+$W$3,"")))&gt;0,IF(RIGHT(H138,2)="PH",(1-L139)+$W$2,IF(RIGHT(H138,2)="HT",(1-L139)+$W$1,IF(RIGHT(H138,2)="SH",(1-L139)+$W$3,""))),0)</f>
        <v>0.26999999999999996</v>
      </c>
      <c r="W139" s="298"/>
      <c r="X139" s="698">
        <f t="shared" ca="1" si="144"/>
        <v>0.3</v>
      </c>
      <c r="Y139" s="81">
        <f t="shared" ca="1" si="166"/>
        <v>7</v>
      </c>
      <c r="Z139" s="81">
        <f t="shared" ca="1" si="167"/>
        <v>2</v>
      </c>
      <c r="AA139" s="81">
        <f t="shared" ca="1" si="168"/>
        <v>1</v>
      </c>
      <c r="AB139" s="81">
        <f t="shared" ca="1" si="169"/>
        <v>0.1</v>
      </c>
      <c r="AD139" s="81">
        <v>2030</v>
      </c>
      <c r="AE139" s="81"/>
      <c r="AF139" s="220"/>
    </row>
    <row r="140" spans="2:32">
      <c r="B140" s="718" t="s">
        <v>1010</v>
      </c>
      <c r="C140" s="226"/>
      <c r="E140" s="212"/>
      <c r="F140" s="224" t="s">
        <v>1149</v>
      </c>
      <c r="H140" s="174"/>
      <c r="I140" s="174" t="str">
        <f t="shared" si="142"/>
        <v>INDNWH</v>
      </c>
      <c r="J140" s="224">
        <f t="shared" si="145"/>
        <v>2050</v>
      </c>
      <c r="K140" s="81"/>
      <c r="L140" s="199">
        <f t="shared" ca="1" si="161"/>
        <v>0.94</v>
      </c>
      <c r="M140" s="199"/>
      <c r="N140" s="81"/>
      <c r="O140" s="723">
        <f t="shared" ca="1" si="162"/>
        <v>0.33863636363636368</v>
      </c>
      <c r="P140" s="723">
        <f t="shared" ca="1" si="163"/>
        <v>1.2664999999999999E-2</v>
      </c>
      <c r="Q140" s="81">
        <f t="shared" ca="1" si="164"/>
        <v>2.0694444444444446</v>
      </c>
      <c r="R140" s="300"/>
      <c r="S140" s="300"/>
      <c r="T140" s="300"/>
      <c r="U140" s="300"/>
      <c r="V140" s="199">
        <f t="shared" ref="V140" ca="1" si="174">IF(IF(RIGHT(H138,2)="PH",(1-L140)+$W$2,IF(RIGHT(H138,2)="HT",(1-L140)+$W$1,IF(RIGHT(H138,2)="SH",(1-L140)+$W$3,"")))&gt;0,IF(RIGHT(H138,2)="PH",(1-L140)+$W$2,IF(RIGHT(H138,2)="HT",(1-L140)+$W$1,IF(RIGHT(H138,2)="SH",(1-L140)+$W$3,""))),0)</f>
        <v>0.26000000000000006</v>
      </c>
      <c r="W140" s="298"/>
      <c r="X140" s="698">
        <f t="shared" ca="1" si="144"/>
        <v>0.3</v>
      </c>
      <c r="Y140" s="81">
        <f t="shared" ca="1" si="166"/>
        <v>6</v>
      </c>
      <c r="Z140" s="81">
        <f t="shared" ca="1" si="167"/>
        <v>2</v>
      </c>
      <c r="AA140" s="81">
        <f t="shared" ca="1" si="168"/>
        <v>1</v>
      </c>
      <c r="AB140" s="81">
        <f t="shared" ca="1" si="169"/>
        <v>0.1</v>
      </c>
      <c r="AC140" s="203"/>
      <c r="AD140" s="81">
        <v>2050</v>
      </c>
      <c r="AE140" s="81"/>
      <c r="AF140" s="705"/>
    </row>
    <row r="141" spans="2:32">
      <c r="B141" s="718" t="s">
        <v>1010</v>
      </c>
      <c r="C141" s="226"/>
      <c r="D141" s="212" t="str">
        <f>"IND"&amp;RIGHT(H141,4)&amp;"GAS"&amp;"N"&amp;RIGHT(E141,1)</f>
        <v>INDNDSHGASN1</v>
      </c>
      <c r="E141" s="261" t="str">
        <f>"Industrial heating technology "&amp;$AJ$12&amp;" "&amp;RIGHT(H141,2)&amp;" - Gas boiler (Steam) - new 1"</f>
        <v>Industrial heating technology N SH - Gas boiler (Steam) - new 1</v>
      </c>
      <c r="F141" s="224" t="s">
        <v>1149</v>
      </c>
      <c r="G141" s="173" t="s">
        <v>2080</v>
      </c>
      <c r="H141" s="174" t="str">
        <f>$AI$15</f>
        <v>INDSH</v>
      </c>
      <c r="I141" s="174" t="str">
        <f t="shared" si="142"/>
        <v>INDNWH</v>
      </c>
      <c r="J141" s="224">
        <f t="shared" si="145"/>
        <v>2011</v>
      </c>
      <c r="K141" s="299">
        <f>J141</f>
        <v>2011</v>
      </c>
      <c r="L141" s="199">
        <f t="shared" ca="1" si="161"/>
        <v>0.92</v>
      </c>
      <c r="M141" s="199"/>
      <c r="N141" s="81">
        <f ca="1">VLOOKUP($AD141,INDIRECT("'"&amp;$B141&amp;"'!"&amp;"$P$39:$AD$42"),5,FALSE)</f>
        <v>25</v>
      </c>
      <c r="O141" s="723">
        <f t="shared" ca="1" si="162"/>
        <v>0.40636363636363632</v>
      </c>
      <c r="P141" s="723">
        <f t="shared" ca="1" si="163"/>
        <v>1.49E-2</v>
      </c>
      <c r="Q141" s="81">
        <f t="shared" ca="1" si="164"/>
        <v>2.276388888888889</v>
      </c>
      <c r="R141" s="81">
        <v>3.1536000000000002E-2</v>
      </c>
      <c r="S141" s="199">
        <v>0.5</v>
      </c>
      <c r="T141" s="199">
        <f ca="1">HLOOKUP($T$2,INDIRECT("'"&amp;$B141&amp;"'!"&amp;"$P$6:$AC$19"),IF(H141=$AI$13,6,IF(H141=$AI$14,9,14)),FALSE)</f>
        <v>1</v>
      </c>
      <c r="U141" s="772"/>
      <c r="V141" s="199">
        <f t="shared" ref="V141" ca="1" si="175">IF(IF(RIGHT(H141,2)="PH",(1-L141)+$W$2,IF(RIGHT(H141,2)="HT",(1-L141)+$W$1,IF(RIGHT(H141,2)="SH",(1-L141)+$W$3,"")))&gt;0,IF(RIGHT(H141,2)="PH",(1-L141)+$W$2,IF(RIGHT(H141,2)="HT",(1-L141)+$W$1,IF(RIGHT(H141,2)="SH",(1-L141)+$W$3,""))),0)</f>
        <v>7.999999999999996E-2</v>
      </c>
      <c r="W141" s="298"/>
      <c r="X141" s="698">
        <f t="shared" ca="1" si="144"/>
        <v>0.3</v>
      </c>
      <c r="Y141" s="81">
        <f t="shared" ca="1" si="166"/>
        <v>9</v>
      </c>
      <c r="Z141" s="81">
        <f t="shared" ca="1" si="167"/>
        <v>3</v>
      </c>
      <c r="AA141" s="81">
        <f t="shared" ca="1" si="168"/>
        <v>1</v>
      </c>
      <c r="AB141" s="81">
        <f t="shared" ca="1" si="169"/>
        <v>0.1</v>
      </c>
      <c r="AC141" s="296"/>
      <c r="AD141" s="81">
        <v>2020</v>
      </c>
      <c r="AE141" s="81"/>
      <c r="AF141" s="710"/>
    </row>
    <row r="142" spans="2:32">
      <c r="B142" s="718" t="s">
        <v>1010</v>
      </c>
      <c r="C142" s="226"/>
      <c r="E142" s="212"/>
      <c r="F142" s="224" t="s">
        <v>1149</v>
      </c>
      <c r="H142" s="174"/>
      <c r="I142" s="174" t="str">
        <f t="shared" si="142"/>
        <v>INDNWH</v>
      </c>
      <c r="J142" s="224">
        <f t="shared" si="145"/>
        <v>2030</v>
      </c>
      <c r="K142" s="81"/>
      <c r="L142" s="199">
        <f t="shared" ca="1" si="161"/>
        <v>0.93</v>
      </c>
      <c r="M142" s="199"/>
      <c r="N142" s="81"/>
      <c r="O142" s="723">
        <f t="shared" ca="1" si="162"/>
        <v>0.33863636363636368</v>
      </c>
      <c r="P142" s="723">
        <f t="shared" ca="1" si="163"/>
        <v>1.4154999999999999E-2</v>
      </c>
      <c r="Q142" s="81">
        <f t="shared" ca="1" si="164"/>
        <v>2.0694444444444446</v>
      </c>
      <c r="R142" s="300"/>
      <c r="S142" s="300"/>
      <c r="T142" s="300"/>
      <c r="U142" s="300"/>
      <c r="V142" s="199">
        <f t="shared" ref="V142" ca="1" si="176">IF(IF(RIGHT(H141,2)="PH",(1-L142)+$W$2,IF(RIGHT(H141,2)="HT",(1-L142)+$W$1,IF(RIGHT(H141,2)="SH",(1-L142)+$W$3,"")))&gt;0,IF(RIGHT(H141,2)="PH",(1-L142)+$W$2,IF(RIGHT(H141,2)="HT",(1-L142)+$W$1,IF(RIGHT(H141,2)="SH",(1-L142)+$W$3,""))),0)</f>
        <v>6.9999999999999951E-2</v>
      </c>
      <c r="W142" s="298"/>
      <c r="X142" s="698">
        <f t="shared" ca="1" si="144"/>
        <v>0.3</v>
      </c>
      <c r="Y142" s="81">
        <f t="shared" ca="1" si="166"/>
        <v>7</v>
      </c>
      <c r="Z142" s="81">
        <f t="shared" ca="1" si="167"/>
        <v>2</v>
      </c>
      <c r="AA142" s="81">
        <f t="shared" ca="1" si="168"/>
        <v>1</v>
      </c>
      <c r="AB142" s="81">
        <f t="shared" ca="1" si="169"/>
        <v>0.1</v>
      </c>
      <c r="AC142" s="55"/>
      <c r="AD142" s="81">
        <v>2030</v>
      </c>
      <c r="AE142" s="81"/>
      <c r="AF142" s="700"/>
    </row>
    <row r="143" spans="2:32">
      <c r="B143" s="719" t="s">
        <v>1010</v>
      </c>
      <c r="C143" s="713"/>
      <c r="D143" s="203"/>
      <c r="E143" s="701"/>
      <c r="F143" s="224" t="s">
        <v>1149</v>
      </c>
      <c r="G143" s="203"/>
      <c r="H143" s="702"/>
      <c r="I143" s="702" t="str">
        <f t="shared" si="142"/>
        <v>INDNWH</v>
      </c>
      <c r="J143" s="224">
        <f t="shared" si="145"/>
        <v>2050</v>
      </c>
      <c r="K143" s="81"/>
      <c r="L143" s="199">
        <f t="shared" ca="1" si="161"/>
        <v>0.94</v>
      </c>
      <c r="M143" s="199"/>
      <c r="N143" s="81"/>
      <c r="O143" s="723">
        <f t="shared" ca="1" si="162"/>
        <v>0.33863636363636368</v>
      </c>
      <c r="P143" s="723">
        <f t="shared" ca="1" si="163"/>
        <v>1.2664999999999999E-2</v>
      </c>
      <c r="Q143" s="81">
        <f t="shared" ca="1" si="164"/>
        <v>2.0694444444444446</v>
      </c>
      <c r="R143" s="703"/>
      <c r="S143" s="703"/>
      <c r="T143" s="703"/>
      <c r="U143" s="703"/>
      <c r="V143" s="199">
        <f t="shared" ref="V143" ca="1" si="177">IF(IF(RIGHT(H141,2)="PH",(1-L143)+$W$2,IF(RIGHT(H141,2)="HT",(1-L143)+$W$1,IF(RIGHT(H141,2)="SH",(1-L143)+$W$3,"")))&gt;0,IF(RIGHT(H141,2)="PH",(1-L143)+$W$2,IF(RIGHT(H141,2)="HT",(1-L143)+$W$1,IF(RIGHT(H141,2)="SH",(1-L143)+$W$3,""))),0)</f>
        <v>6.0000000000000053E-2</v>
      </c>
      <c r="W143" s="704"/>
      <c r="X143" s="698">
        <f t="shared" ca="1" si="144"/>
        <v>0.3</v>
      </c>
      <c r="Y143" s="81">
        <f t="shared" ca="1" si="166"/>
        <v>6</v>
      </c>
      <c r="Z143" s="81">
        <f t="shared" ca="1" si="167"/>
        <v>2</v>
      </c>
      <c r="AA143" s="81">
        <f t="shared" ca="1" si="168"/>
        <v>1</v>
      </c>
      <c r="AB143" s="81">
        <f t="shared" ca="1" si="169"/>
        <v>0.1</v>
      </c>
      <c r="AC143" s="55"/>
      <c r="AD143" s="81">
        <v>2050</v>
      </c>
      <c r="AE143" s="81"/>
      <c r="AF143" s="700"/>
    </row>
    <row r="144" spans="2:32">
      <c r="B144" s="718" t="s">
        <v>1010</v>
      </c>
      <c r="C144" s="226"/>
      <c r="D144" s="212" t="str">
        <f>"IND"&amp;RIGHT(H144,4)&amp;"GAS"&amp;"N"&amp;RIGHT(E144,1)</f>
        <v>INDNDPHGASN2</v>
      </c>
      <c r="E144" s="707" t="str">
        <f>"Industrial heating technology "&amp;$AJ$12&amp;" "&amp;RIGHT(H144,2)&amp;" - Gas boiler (Steam - condensing) - new 2"</f>
        <v>Industrial heating technology N PH - Gas boiler (Steam - condensing) - new 2</v>
      </c>
      <c r="F144" s="224" t="s">
        <v>1149</v>
      </c>
      <c r="G144" s="173" t="s">
        <v>2080</v>
      </c>
      <c r="H144" s="708" t="str">
        <f>$AI$14</f>
        <v>INDPH</v>
      </c>
      <c r="I144" s="708" t="str">
        <f t="shared" si="142"/>
        <v>INDNWH</v>
      </c>
      <c r="J144" s="224">
        <f t="shared" si="145"/>
        <v>2011</v>
      </c>
      <c r="K144" s="299">
        <f>J144</f>
        <v>2011</v>
      </c>
      <c r="L144" s="199">
        <f t="shared" ref="L144:L149" ca="1" si="178">VLOOKUP($AD144,INDIRECT("'"&amp;$B144&amp;"'!"&amp;"$P$118:$AD$121"),3,FALSE)</f>
        <v>1.01</v>
      </c>
      <c r="M144" s="199"/>
      <c r="N144" s="81">
        <f ca="1">VLOOKUP($AD144,INDIRECT("'"&amp;$B144&amp;"'!"&amp;"$P$118:$AD$121"),5,FALSE)</f>
        <v>25</v>
      </c>
      <c r="O144" s="723">
        <f t="shared" ref="O144:O149" ca="1" si="179">VLOOKUP($AD144,INDIRECT("'"&amp;$B144&amp;"'!"&amp;"$P$118:$AD$121"),6,FALSE)/1000</f>
        <v>0.44700000000000001</v>
      </c>
      <c r="P144" s="723">
        <f t="shared" ref="P144:P149" ca="1" si="180">VLOOKUP($AD144,INDIRECT("'"&amp;$B144&amp;"'!"&amp;"$P$118:$AD$121"),7,FALSE)/1000</f>
        <v>1.49E-2</v>
      </c>
      <c r="Q144" s="81">
        <f t="shared" ref="Q144:Q149" ca="1" si="181">VLOOKUP($AD144,INDIRECT("'"&amp;$B144&amp;"'!"&amp;"$P$118:$AD$121"),8,FALSE)</f>
        <v>2.276388888888889</v>
      </c>
      <c r="R144" s="81">
        <v>3.1536000000000002E-2</v>
      </c>
      <c r="S144" s="199">
        <v>0.5</v>
      </c>
      <c r="T144" s="199">
        <f ca="1">HLOOKUP($T$2,INDIRECT("'"&amp;$B144&amp;"'!"&amp;"$P$85:$AC$98"),IF(H144=$AI$13,6,IF(H144=$AI$14,9,14)),FALSE)</f>
        <v>0</v>
      </c>
      <c r="U144" s="773"/>
      <c r="V144" s="199">
        <f t="shared" ref="V144" ca="1" si="182">IF(IF(RIGHT(H144,2)="PH",(1-L144)+$W$2,IF(RIGHT(H144,2)="HT",(1-L144)+$W$1,IF(RIGHT(H144,2)="SH",(1-L144)+$W$3,"")))&gt;0,IF(RIGHT(H144,2)="PH",(1-L144)+$W$2,IF(RIGHT(H144,2)="HT",(1-L144)+$W$1,IF(RIGHT(H144,2)="SH",(1-L144)+$W$3,""))),0)</f>
        <v>0.19</v>
      </c>
      <c r="W144" s="709"/>
      <c r="X144" s="698">
        <f t="shared" ca="1" si="144"/>
        <v>0.3</v>
      </c>
      <c r="Y144" s="698">
        <f t="shared" ref="Y144:Y149" ca="1" si="183">VLOOKUP($AD144,INDIRECT("'"&amp;$B144&amp;"'!"&amp;"$P$118:$AD$121"),12,FALSE)</f>
        <v>9</v>
      </c>
      <c r="Z144" s="698">
        <f t="shared" ref="Z144:Z149" ca="1" si="184">VLOOKUP($AD144,INDIRECT("'"&amp;$B144&amp;"'!"&amp;"$P$118:$AD$121"),13,FALSE)</f>
        <v>3</v>
      </c>
      <c r="AA144" s="698">
        <f t="shared" ref="AA144:AA149" ca="1" si="185">VLOOKUP($AD144,INDIRECT("'"&amp;$B144&amp;"'!"&amp;"$P$118:$AD$121"),14,FALSE)</f>
        <v>1</v>
      </c>
      <c r="AB144" s="698">
        <f t="shared" ref="AB144:AB149" ca="1" si="186">VLOOKUP($AD144,INDIRECT("'"&amp;$B144&amp;"'!"&amp;"$P$118:$AD$121"),15,FALSE)</f>
        <v>0.1</v>
      </c>
      <c r="AC144" s="55"/>
      <c r="AD144" s="81">
        <v>2020</v>
      </c>
      <c r="AE144" s="81"/>
      <c r="AF144" s="700"/>
    </row>
    <row r="145" spans="1:32">
      <c r="B145" s="718" t="s">
        <v>1010</v>
      </c>
      <c r="C145" s="226"/>
      <c r="E145" s="261"/>
      <c r="F145" s="224" t="s">
        <v>1149</v>
      </c>
      <c r="G145" s="55"/>
      <c r="H145" s="174"/>
      <c r="I145" s="174" t="str">
        <f t="shared" si="142"/>
        <v>INDNWH</v>
      </c>
      <c r="J145" s="224">
        <f t="shared" si="145"/>
        <v>2030</v>
      </c>
      <c r="K145" s="81"/>
      <c r="L145" s="199">
        <f t="shared" ca="1" si="178"/>
        <v>1.03</v>
      </c>
      <c r="M145" s="199"/>
      <c r="N145" s="81"/>
      <c r="O145" s="723">
        <f t="shared" ca="1" si="179"/>
        <v>0.37250000000000005</v>
      </c>
      <c r="P145" s="723">
        <f t="shared" ca="1" si="180"/>
        <v>1.4154999999999999E-2</v>
      </c>
      <c r="Q145" s="81">
        <f t="shared" ca="1" si="181"/>
        <v>2.0694444444444446</v>
      </c>
      <c r="R145" s="300"/>
      <c r="S145" s="300"/>
      <c r="T145" s="300"/>
      <c r="U145" s="300"/>
      <c r="V145" s="199">
        <f t="shared" ref="V145" ca="1" si="187">IF(IF(RIGHT(H144,2)="PH",(1-L145)+$W$2,IF(RIGHT(H144,2)="HT",(1-L145)+$W$1,IF(RIGHT(H144,2)="SH",(1-L145)+$W$3,"")))&gt;0,IF(RIGHT(H144,2)="PH",(1-L145)+$W$2,IF(RIGHT(H144,2)="HT",(1-L145)+$W$1,IF(RIGHT(H144,2)="SH",(1-L145)+$W$3,""))),0)</f>
        <v>0.16999999999999998</v>
      </c>
      <c r="W145" s="298"/>
      <c r="X145" s="698">
        <f t="shared" ca="1" si="144"/>
        <v>0.3</v>
      </c>
      <c r="Y145" s="698">
        <f t="shared" ca="1" si="183"/>
        <v>7</v>
      </c>
      <c r="Z145" s="698">
        <f t="shared" ca="1" si="184"/>
        <v>2</v>
      </c>
      <c r="AA145" s="698">
        <f t="shared" ca="1" si="185"/>
        <v>1</v>
      </c>
      <c r="AB145" s="698">
        <f t="shared" ca="1" si="186"/>
        <v>0.1</v>
      </c>
      <c r="AC145" s="55"/>
      <c r="AD145" s="81">
        <v>2030</v>
      </c>
      <c r="AE145" s="81"/>
      <c r="AF145" s="700"/>
    </row>
    <row r="146" spans="1:32">
      <c r="A146" s="226"/>
      <c r="B146" s="718" t="s">
        <v>1010</v>
      </c>
      <c r="C146" s="226"/>
      <c r="E146" s="261"/>
      <c r="F146" s="224" t="s">
        <v>1149</v>
      </c>
      <c r="G146" s="55"/>
      <c r="H146" s="174"/>
      <c r="I146" s="174" t="str">
        <f t="shared" si="142"/>
        <v>INDNWH</v>
      </c>
      <c r="J146" s="224">
        <f t="shared" si="145"/>
        <v>2050</v>
      </c>
      <c r="K146" s="81"/>
      <c r="L146" s="199">
        <f t="shared" ca="1" si="178"/>
        <v>1.03</v>
      </c>
      <c r="M146" s="199"/>
      <c r="N146" s="81"/>
      <c r="O146" s="723">
        <f t="shared" ca="1" si="179"/>
        <v>0.37250000000000005</v>
      </c>
      <c r="P146" s="723">
        <f t="shared" ca="1" si="180"/>
        <v>1.2664999999999999E-2</v>
      </c>
      <c r="Q146" s="81">
        <f t="shared" ca="1" si="181"/>
        <v>2.0694444444444446</v>
      </c>
      <c r="R146" s="300"/>
      <c r="S146" s="300"/>
      <c r="T146" s="300"/>
      <c r="U146" s="300"/>
      <c r="V146" s="199">
        <f t="shared" ref="V146" ca="1" si="188">IF(IF(RIGHT(H144,2)="PH",(1-L146)+$W$2,IF(RIGHT(H144,2)="HT",(1-L146)+$W$1,IF(RIGHT(H144,2)="SH",(1-L146)+$W$3,"")))&gt;0,IF(RIGHT(H144,2)="PH",(1-L146)+$W$2,IF(RIGHT(H144,2)="HT",(1-L146)+$W$1,IF(RIGHT(H144,2)="SH",(1-L146)+$W$3,""))),0)</f>
        <v>0.16999999999999998</v>
      </c>
      <c r="W146" s="298"/>
      <c r="X146" s="698">
        <f t="shared" ca="1" si="144"/>
        <v>0.3</v>
      </c>
      <c r="Y146" s="698">
        <f t="shared" ca="1" si="183"/>
        <v>6</v>
      </c>
      <c r="Z146" s="698">
        <f t="shared" ca="1" si="184"/>
        <v>2</v>
      </c>
      <c r="AA146" s="698">
        <f t="shared" ca="1" si="185"/>
        <v>1</v>
      </c>
      <c r="AB146" s="698">
        <f t="shared" ca="1" si="186"/>
        <v>0.1</v>
      </c>
      <c r="AC146" s="203"/>
      <c r="AD146" s="81">
        <v>2050</v>
      </c>
      <c r="AE146" s="81"/>
      <c r="AF146" s="705"/>
    </row>
    <row r="147" spans="1:32">
      <c r="A147" s="226"/>
      <c r="B147" s="718" t="s">
        <v>1010</v>
      </c>
      <c r="C147" s="226"/>
      <c r="D147" s="212" t="str">
        <f>"IND"&amp;RIGHT(H147,4)&amp;"GAS"&amp;"N"&amp;RIGHT(E147,1)</f>
        <v>INDNDSHGASN2</v>
      </c>
      <c r="E147" s="261" t="str">
        <f>"Industrial heating technology "&amp;$AJ$12&amp;" "&amp;RIGHT(H147,2)&amp;" - Gas boiler (Steam - condensing) - new 2"</f>
        <v>Industrial heating technology N SH - Gas boiler (Steam - condensing) - new 2</v>
      </c>
      <c r="F147" s="224" t="s">
        <v>1149</v>
      </c>
      <c r="G147" s="173" t="s">
        <v>2080</v>
      </c>
      <c r="H147" s="174" t="str">
        <f>$AI$15</f>
        <v>INDSH</v>
      </c>
      <c r="I147" s="174" t="str">
        <f t="shared" si="142"/>
        <v>INDNWH</v>
      </c>
      <c r="J147" s="224">
        <f t="shared" si="145"/>
        <v>2011</v>
      </c>
      <c r="K147" s="299">
        <f>J147</f>
        <v>2011</v>
      </c>
      <c r="L147" s="199">
        <f t="shared" ca="1" si="178"/>
        <v>1.01</v>
      </c>
      <c r="M147" s="199"/>
      <c r="N147" s="81">
        <f ca="1">VLOOKUP($AD147,INDIRECT("'"&amp;$B147&amp;"'!"&amp;"$P$118:$AD$121"),5,FALSE)</f>
        <v>25</v>
      </c>
      <c r="O147" s="723">
        <f t="shared" ca="1" si="179"/>
        <v>0.44700000000000001</v>
      </c>
      <c r="P147" s="723">
        <f t="shared" ca="1" si="180"/>
        <v>1.49E-2</v>
      </c>
      <c r="Q147" s="81">
        <f t="shared" ca="1" si="181"/>
        <v>2.276388888888889</v>
      </c>
      <c r="R147" s="81">
        <v>3.1536000000000002E-2</v>
      </c>
      <c r="S147" s="199">
        <v>0.5</v>
      </c>
      <c r="T147" s="199">
        <f ca="1">HLOOKUP($T$2,INDIRECT("'"&amp;$B147&amp;"'!"&amp;"$P$85:$AC$98"),IF(H147=$AI$13,6,IF(H147=$AI$14,9,14)),FALSE)</f>
        <v>0</v>
      </c>
      <c r="U147" s="772"/>
      <c r="V147" s="199">
        <f t="shared" ref="V147" ca="1" si="189">IF(IF(RIGHT(H147,2)="PH",(1-L147)+$W$2,IF(RIGHT(H147,2)="HT",(1-L147)+$W$1,IF(RIGHT(H147,2)="SH",(1-L147)+$W$3,"")))&gt;0,IF(RIGHT(H147,2)="PH",(1-L147)+$W$2,IF(RIGHT(H147,2)="HT",(1-L147)+$W$1,IF(RIGHT(H147,2)="SH",(1-L147)+$W$3,""))),0)</f>
        <v>0</v>
      </c>
      <c r="W147" s="298"/>
      <c r="X147" s="698">
        <f t="shared" ca="1" si="144"/>
        <v>0.3</v>
      </c>
      <c r="Y147" s="698">
        <f t="shared" ca="1" si="183"/>
        <v>9</v>
      </c>
      <c r="Z147" s="698">
        <f t="shared" ca="1" si="184"/>
        <v>3</v>
      </c>
      <c r="AA147" s="698">
        <f t="shared" ca="1" si="185"/>
        <v>1</v>
      </c>
      <c r="AB147" s="698">
        <f t="shared" ca="1" si="186"/>
        <v>0.1</v>
      </c>
      <c r="AC147" s="296"/>
      <c r="AD147" s="81">
        <v>2020</v>
      </c>
      <c r="AE147" s="81"/>
      <c r="AF147" s="710"/>
    </row>
    <row r="148" spans="1:32">
      <c r="A148" s="226"/>
      <c r="B148" s="718" t="s">
        <v>1010</v>
      </c>
      <c r="C148" s="226"/>
      <c r="E148" s="261"/>
      <c r="F148" s="224" t="s">
        <v>1149</v>
      </c>
      <c r="G148" s="55"/>
      <c r="H148" s="174"/>
      <c r="I148" s="174" t="str">
        <f t="shared" si="142"/>
        <v>INDNWH</v>
      </c>
      <c r="J148" s="224">
        <f t="shared" si="145"/>
        <v>2030</v>
      </c>
      <c r="K148" s="81"/>
      <c r="L148" s="199">
        <f t="shared" ca="1" si="178"/>
        <v>1.03</v>
      </c>
      <c r="M148" s="199"/>
      <c r="N148" s="81"/>
      <c r="O148" s="723">
        <f t="shared" ca="1" si="179"/>
        <v>0.37250000000000005</v>
      </c>
      <c r="P148" s="723">
        <f t="shared" ca="1" si="180"/>
        <v>1.4154999999999999E-2</v>
      </c>
      <c r="Q148" s="81">
        <f t="shared" ca="1" si="181"/>
        <v>2.0694444444444446</v>
      </c>
      <c r="R148" s="300"/>
      <c r="S148" s="300"/>
      <c r="T148" s="300"/>
      <c r="U148" s="300"/>
      <c r="V148" s="199">
        <f t="shared" ref="V148" ca="1" si="190">IF(IF(RIGHT(H147,2)="PH",(1-L148)+$W$2,IF(RIGHT(H147,2)="HT",(1-L148)+$W$1,IF(RIGHT(H147,2)="SH",(1-L148)+$W$3,"")))&gt;0,IF(RIGHT(H147,2)="PH",(1-L148)+$W$2,IF(RIGHT(H147,2)="HT",(1-L148)+$W$1,IF(RIGHT(H147,2)="SH",(1-L148)+$W$3,""))),0)</f>
        <v>0</v>
      </c>
      <c r="W148" s="298"/>
      <c r="X148" s="698">
        <f t="shared" ca="1" si="144"/>
        <v>0.3</v>
      </c>
      <c r="Y148" s="698">
        <f t="shared" ca="1" si="183"/>
        <v>7</v>
      </c>
      <c r="Z148" s="698">
        <f t="shared" ca="1" si="184"/>
        <v>2</v>
      </c>
      <c r="AA148" s="698">
        <f t="shared" ca="1" si="185"/>
        <v>1</v>
      </c>
      <c r="AB148" s="698">
        <f t="shared" ca="1" si="186"/>
        <v>0.1</v>
      </c>
      <c r="AC148" s="55"/>
      <c r="AD148" s="81">
        <v>2030</v>
      </c>
      <c r="AE148" s="81"/>
      <c r="AF148" s="700"/>
    </row>
    <row r="149" spans="1:32">
      <c r="A149" s="226"/>
      <c r="B149" s="719" t="s">
        <v>1010</v>
      </c>
      <c r="C149" s="713"/>
      <c r="D149" s="203"/>
      <c r="E149" s="701"/>
      <c r="F149" s="224" t="s">
        <v>1149</v>
      </c>
      <c r="G149" s="203"/>
      <c r="H149" s="702"/>
      <c r="I149" s="702" t="str">
        <f t="shared" si="142"/>
        <v>INDNWH</v>
      </c>
      <c r="J149" s="224">
        <f t="shared" si="145"/>
        <v>2050</v>
      </c>
      <c r="K149" s="81"/>
      <c r="L149" s="199">
        <f t="shared" ca="1" si="178"/>
        <v>1.03</v>
      </c>
      <c r="M149" s="199"/>
      <c r="N149" s="81"/>
      <c r="O149" s="723">
        <f t="shared" ca="1" si="179"/>
        <v>0.37250000000000005</v>
      </c>
      <c r="P149" s="723">
        <f t="shared" ca="1" si="180"/>
        <v>1.2664999999999999E-2</v>
      </c>
      <c r="Q149" s="81">
        <f t="shared" ca="1" si="181"/>
        <v>2.0694444444444446</v>
      </c>
      <c r="R149" s="703"/>
      <c r="S149" s="703"/>
      <c r="T149" s="703"/>
      <c r="U149" s="703"/>
      <c r="V149" s="199">
        <f t="shared" ref="V149" ca="1" si="191">IF(IF(RIGHT(H147,2)="PH",(1-L149)+$W$2,IF(RIGHT(H147,2)="HT",(1-L149)+$W$1,IF(RIGHT(H147,2)="SH",(1-L149)+$W$3,"")))&gt;0,IF(RIGHT(H147,2)="PH",(1-L149)+$W$2,IF(RIGHT(H147,2)="HT",(1-L149)+$W$1,IF(RIGHT(H147,2)="SH",(1-L149)+$W$3,""))),0)</f>
        <v>0</v>
      </c>
      <c r="W149" s="704"/>
      <c r="X149" s="698">
        <f t="shared" ca="1" si="144"/>
        <v>0.3</v>
      </c>
      <c r="Y149" s="698">
        <f t="shared" ca="1" si="183"/>
        <v>6</v>
      </c>
      <c r="Z149" s="698">
        <f t="shared" ca="1" si="184"/>
        <v>2</v>
      </c>
      <c r="AA149" s="698">
        <f t="shared" ca="1" si="185"/>
        <v>1</v>
      </c>
      <c r="AB149" s="698">
        <f t="shared" ca="1" si="186"/>
        <v>0.1</v>
      </c>
      <c r="AC149" s="55"/>
      <c r="AD149" s="81">
        <v>2050</v>
      </c>
      <c r="AE149" s="81"/>
      <c r="AF149" s="700"/>
    </row>
    <row r="150" spans="1:32">
      <c r="A150" s="226"/>
      <c r="B150" s="718" t="s">
        <v>1010</v>
      </c>
      <c r="C150" s="226"/>
      <c r="D150" s="212" t="str">
        <f>"IND"&amp;RIGHT(H150,4)&amp;"GAS"&amp;"N"&amp;RIGHT(E150,1)</f>
        <v>INDNDPHGASN3</v>
      </c>
      <c r="E150" s="707" t="str">
        <f>"Industrial heating technology "&amp;$AJ$12&amp;" "&amp;RIGHT(H150,2)&amp;" - Gas boiler (Hot Water) - new 3"</f>
        <v>Industrial heating technology N PH - Gas boiler (Hot Water) - new 3</v>
      </c>
      <c r="F150" s="224" t="s">
        <v>1149</v>
      </c>
      <c r="G150" s="173" t="s">
        <v>2080</v>
      </c>
      <c r="H150" s="708" t="str">
        <f>$AI$14</f>
        <v>INDPH</v>
      </c>
      <c r="I150" s="708" t="str">
        <f t="shared" si="142"/>
        <v>INDNWH</v>
      </c>
      <c r="J150" s="224">
        <f t="shared" si="145"/>
        <v>2011</v>
      </c>
      <c r="K150" s="299">
        <f>J150</f>
        <v>2011</v>
      </c>
      <c r="L150" s="199">
        <f t="shared" ref="L150:L155" ca="1" si="192">VLOOKUP($AD150,INDIRECT("'"&amp;$B150&amp;"'!"&amp;"$P$200:$AD$203"),3,FALSE)</f>
        <v>0.93</v>
      </c>
      <c r="M150" s="199"/>
      <c r="N150" s="81">
        <f ca="1">VLOOKUP($AD150,INDIRECT("'"&amp;$B150&amp;"'!"&amp;"$P$200:$AD$203"),5,FALSE)</f>
        <v>25</v>
      </c>
      <c r="O150" s="723">
        <f t="shared" ref="O150:O155" ca="1" si="193">VLOOKUP($AD150,INDIRECT("'"&amp;$B150&amp;"'!"&amp;"$P$200:$AD$203"),6,FALSE)/1000</f>
        <v>0.3250909090909091</v>
      </c>
      <c r="P150" s="723">
        <f t="shared" ref="P150:P155" ca="1" si="194">VLOOKUP($AD150,INDIRECT("'"&amp;$B150&amp;"'!"&amp;"$P$200:$AD$203"),7,FALSE)/1000</f>
        <v>1.49E-2</v>
      </c>
      <c r="Q150" s="81">
        <f t="shared" ref="Q150:Q155" ca="1" si="195">VLOOKUP($AD150,INDIRECT("'"&amp;$B150&amp;"'!"&amp;"$P$200:$AD$203"),8,FALSE)</f>
        <v>2.276388888888889</v>
      </c>
      <c r="R150" s="81">
        <v>3.1536000000000002E-2</v>
      </c>
      <c r="S150" s="199">
        <v>0.5</v>
      </c>
      <c r="T150" s="199">
        <f ca="1">HLOOKUP($T$2,INDIRECT("'"&amp;$B150&amp;"'!"&amp;"$P$167:$AC$180"),IF(H150=$AI$13,6,IF(H150=$AI$14,9,14)),FALSE)</f>
        <v>0</v>
      </c>
      <c r="U150" s="773"/>
      <c r="V150" s="199">
        <f t="shared" ref="V150" ca="1" si="196">IF(IF(RIGHT(H150,2)="PH",(1-L150)+$W$2,IF(RIGHT(H150,2)="HT",(1-L150)+$W$1,IF(RIGHT(H150,2)="SH",(1-L150)+$W$3,"")))&gt;0,IF(RIGHT(H150,2)="PH",(1-L150)+$W$2,IF(RIGHT(H150,2)="HT",(1-L150)+$W$1,IF(RIGHT(H150,2)="SH",(1-L150)+$W$3,""))),0)</f>
        <v>0.26999999999999996</v>
      </c>
      <c r="W150" s="709"/>
      <c r="X150" s="698">
        <f t="shared" ca="1" si="144"/>
        <v>0.3</v>
      </c>
      <c r="Y150" s="698">
        <f t="shared" ref="Y150:Y155" ca="1" si="197">VLOOKUP($AD150,INDIRECT("'"&amp;$B150&amp;"'!"&amp;"$P$200:$AD$203"),12,FALSE)</f>
        <v>9</v>
      </c>
      <c r="Z150" s="698">
        <f t="shared" ref="Z150:Z155" ca="1" si="198">VLOOKUP($AD150,INDIRECT("'"&amp;$B150&amp;"'!"&amp;"$P$200:$AD$203"),13,FALSE)</f>
        <v>3</v>
      </c>
      <c r="AA150" s="698">
        <f t="shared" ref="AA150:AA155" ca="1" si="199">VLOOKUP($AD150,INDIRECT("'"&amp;$B150&amp;"'!"&amp;"$P$200:$AD$203"),14,FALSE)</f>
        <v>1</v>
      </c>
      <c r="AB150" s="698">
        <f t="shared" ref="AB150:AB155" ca="1" si="200">VLOOKUP($AD150,INDIRECT("'"&amp;$B150&amp;"'!"&amp;"$P$200:$AD$203"),15,FALSE)</f>
        <v>0.1</v>
      </c>
      <c r="AC150" s="55"/>
      <c r="AD150" s="81">
        <v>2020</v>
      </c>
      <c r="AE150" s="81"/>
      <c r="AF150" s="700"/>
    </row>
    <row r="151" spans="1:32">
      <c r="A151" s="226"/>
      <c r="B151" s="718" t="s">
        <v>1010</v>
      </c>
      <c r="C151" s="226"/>
      <c r="E151" s="261"/>
      <c r="F151" s="224" t="s">
        <v>1149</v>
      </c>
      <c r="G151" s="55"/>
      <c r="H151" s="174"/>
      <c r="I151" s="174" t="str">
        <f t="shared" si="142"/>
        <v>INDNWH</v>
      </c>
      <c r="J151" s="224">
        <f t="shared" si="145"/>
        <v>2030</v>
      </c>
      <c r="K151" s="81"/>
      <c r="L151" s="199">
        <f t="shared" ca="1" si="192"/>
        <v>0.94</v>
      </c>
      <c r="M151" s="199"/>
      <c r="N151" s="81"/>
      <c r="O151" s="723">
        <f t="shared" ca="1" si="193"/>
        <v>0.27090909090909093</v>
      </c>
      <c r="P151" s="723">
        <f t="shared" ca="1" si="194"/>
        <v>1.4154999999999999E-2</v>
      </c>
      <c r="Q151" s="81">
        <f t="shared" ca="1" si="195"/>
        <v>2.0694444444444446</v>
      </c>
      <c r="R151" s="300"/>
      <c r="S151" s="300"/>
      <c r="T151" s="300"/>
      <c r="U151" s="300"/>
      <c r="V151" s="199">
        <f t="shared" ref="V151" ca="1" si="201">IF(IF(RIGHT(H150,2)="PH",(1-L151)+$W$2,IF(RIGHT(H150,2)="HT",(1-L151)+$W$1,IF(RIGHT(H150,2)="SH",(1-L151)+$W$3,"")))&gt;0,IF(RIGHT(H150,2)="PH",(1-L151)+$W$2,IF(RIGHT(H150,2)="HT",(1-L151)+$W$1,IF(RIGHT(H150,2)="SH",(1-L151)+$W$3,""))),0)</f>
        <v>0.26000000000000006</v>
      </c>
      <c r="W151" s="298"/>
      <c r="X151" s="698">
        <f t="shared" ca="1" si="144"/>
        <v>0.3</v>
      </c>
      <c r="Y151" s="698">
        <f t="shared" ca="1" si="197"/>
        <v>7</v>
      </c>
      <c r="Z151" s="698">
        <f t="shared" ca="1" si="198"/>
        <v>2</v>
      </c>
      <c r="AA151" s="698">
        <f t="shared" ca="1" si="199"/>
        <v>1</v>
      </c>
      <c r="AB151" s="698">
        <f t="shared" ca="1" si="200"/>
        <v>0.1</v>
      </c>
      <c r="AC151" s="55"/>
      <c r="AD151" s="81">
        <v>2030</v>
      </c>
      <c r="AE151" s="81"/>
      <c r="AF151" s="700"/>
    </row>
    <row r="152" spans="1:32">
      <c r="B152" s="718" t="s">
        <v>1010</v>
      </c>
      <c r="C152" s="226"/>
      <c r="E152" s="261"/>
      <c r="F152" s="224" t="s">
        <v>1149</v>
      </c>
      <c r="G152" s="55"/>
      <c r="H152" s="174"/>
      <c r="I152" s="174" t="str">
        <f t="shared" si="142"/>
        <v>INDNWH</v>
      </c>
      <c r="J152" s="224">
        <f t="shared" si="145"/>
        <v>2050</v>
      </c>
      <c r="K152" s="81"/>
      <c r="L152" s="199">
        <f t="shared" ca="1" si="192"/>
        <v>0.95</v>
      </c>
      <c r="M152" s="199"/>
      <c r="N152" s="81"/>
      <c r="O152" s="723">
        <f t="shared" ca="1" si="193"/>
        <v>0.27090909090909093</v>
      </c>
      <c r="P152" s="723">
        <f t="shared" ca="1" si="194"/>
        <v>1.2664999999999999E-2</v>
      </c>
      <c r="Q152" s="81">
        <f t="shared" ca="1" si="195"/>
        <v>2.0694444444444446</v>
      </c>
      <c r="R152" s="300"/>
      <c r="S152" s="300"/>
      <c r="T152" s="300"/>
      <c r="U152" s="300"/>
      <c r="V152" s="199">
        <f t="shared" ref="V152" ca="1" si="202">IF(IF(RIGHT(H150,2)="PH",(1-L152)+$W$2,IF(RIGHT(H150,2)="HT",(1-L152)+$W$1,IF(RIGHT(H150,2)="SH",(1-L152)+$W$3,"")))&gt;0,IF(RIGHT(H150,2)="PH",(1-L152)+$W$2,IF(RIGHT(H150,2)="HT",(1-L152)+$W$1,IF(RIGHT(H150,2)="SH",(1-L152)+$W$3,""))),0)</f>
        <v>0.25000000000000006</v>
      </c>
      <c r="W152" s="720"/>
      <c r="X152" s="698">
        <f t="shared" ca="1" si="144"/>
        <v>0.3</v>
      </c>
      <c r="Y152" s="698">
        <f t="shared" ca="1" si="197"/>
        <v>6</v>
      </c>
      <c r="Z152" s="698">
        <f t="shared" ca="1" si="198"/>
        <v>2</v>
      </c>
      <c r="AA152" s="698">
        <f t="shared" ca="1" si="199"/>
        <v>1</v>
      </c>
      <c r="AB152" s="698">
        <f t="shared" ca="1" si="200"/>
        <v>0.1</v>
      </c>
      <c r="AC152" s="203"/>
      <c r="AD152" s="81">
        <v>2050</v>
      </c>
      <c r="AE152" s="81"/>
      <c r="AF152" s="705"/>
    </row>
    <row r="153" spans="1:32">
      <c r="B153" s="718" t="s">
        <v>1010</v>
      </c>
      <c r="C153" s="64"/>
      <c r="D153" s="212" t="str">
        <f>"IND"&amp;RIGHT(H153,4)&amp;"GAS"&amp;"N"&amp;RIGHT(E153,1)</f>
        <v>INDNDSHGASN3</v>
      </c>
      <c r="E153" s="261" t="str">
        <f>"Industrial heating technology "&amp;$AJ$12&amp;" "&amp;RIGHT(H153,2)&amp;" - Gas boiler (Hot Water) - new 3"</f>
        <v>Industrial heating technology N SH - Gas boiler (Hot Water) - new 3</v>
      </c>
      <c r="F153" s="224" t="s">
        <v>1149</v>
      </c>
      <c r="G153" s="173" t="s">
        <v>2080</v>
      </c>
      <c r="H153" s="174" t="str">
        <f>$AI$15</f>
        <v>INDSH</v>
      </c>
      <c r="I153" s="174" t="str">
        <f t="shared" si="142"/>
        <v>INDNWH</v>
      </c>
      <c r="J153" s="224">
        <f t="shared" si="145"/>
        <v>2011</v>
      </c>
      <c r="K153" s="299">
        <f>J153</f>
        <v>2011</v>
      </c>
      <c r="L153" s="199">
        <f t="shared" ca="1" si="192"/>
        <v>0.93</v>
      </c>
      <c r="M153" s="199"/>
      <c r="N153" s="81">
        <f ca="1">VLOOKUP($AD153,INDIRECT("'"&amp;$B153&amp;"'!"&amp;"$P$200:$AD$203"),5,FALSE)</f>
        <v>25</v>
      </c>
      <c r="O153" s="723">
        <f t="shared" ca="1" si="193"/>
        <v>0.3250909090909091</v>
      </c>
      <c r="P153" s="723">
        <f t="shared" ca="1" si="194"/>
        <v>1.49E-2</v>
      </c>
      <c r="Q153" s="81">
        <f t="shared" ca="1" si="195"/>
        <v>2.276388888888889</v>
      </c>
      <c r="R153" s="81">
        <v>3.1536000000000002E-2</v>
      </c>
      <c r="S153" s="199">
        <v>0.5</v>
      </c>
      <c r="T153" s="199">
        <f ca="1">HLOOKUP($T$2,INDIRECT("'"&amp;$B153&amp;"'!"&amp;"$P$167:$AC$180"),IF(H153=$AI$13,6,IF(H153=$AI$14,9,14)),FALSE)</f>
        <v>1</v>
      </c>
      <c r="U153" s="772"/>
      <c r="V153" s="199">
        <f t="shared" ref="V153" ca="1" si="203">IF(IF(RIGHT(H153,2)="PH",(1-L153)+$W$2,IF(RIGHT(H153,2)="HT",(1-L153)+$W$1,IF(RIGHT(H153,2)="SH",(1-L153)+$W$3,"")))&gt;0,IF(RIGHT(H153,2)="PH",(1-L153)+$W$2,IF(RIGHT(H153,2)="HT",(1-L153)+$W$1,IF(RIGHT(H153,2)="SH",(1-L153)+$W$3,""))),0)</f>
        <v>6.9999999999999951E-2</v>
      </c>
      <c r="W153" s="298"/>
      <c r="X153" s="698">
        <f t="shared" ca="1" si="144"/>
        <v>0.3</v>
      </c>
      <c r="Y153" s="698">
        <f t="shared" ca="1" si="197"/>
        <v>9</v>
      </c>
      <c r="Z153" s="698">
        <f t="shared" ca="1" si="198"/>
        <v>3</v>
      </c>
      <c r="AA153" s="698">
        <f t="shared" ca="1" si="199"/>
        <v>1</v>
      </c>
      <c r="AB153" s="698">
        <f t="shared" ca="1" si="200"/>
        <v>0.1</v>
      </c>
      <c r="AC153" s="296"/>
      <c r="AD153" s="81">
        <v>2020</v>
      </c>
      <c r="AE153" s="81"/>
      <c r="AF153" s="710"/>
    </row>
    <row r="154" spans="1:32">
      <c r="B154" s="718" t="s">
        <v>1010</v>
      </c>
      <c r="C154" s="64"/>
      <c r="E154" s="261"/>
      <c r="F154" s="224" t="s">
        <v>1149</v>
      </c>
      <c r="G154" s="55"/>
      <c r="H154" s="174"/>
      <c r="I154" s="174" t="str">
        <f t="shared" si="142"/>
        <v>INDNWH</v>
      </c>
      <c r="J154" s="224">
        <f t="shared" si="145"/>
        <v>2030</v>
      </c>
      <c r="K154" s="81"/>
      <c r="L154" s="199">
        <f t="shared" ca="1" si="192"/>
        <v>0.94</v>
      </c>
      <c r="M154" s="199"/>
      <c r="N154" s="81"/>
      <c r="O154" s="723">
        <f t="shared" ca="1" si="193"/>
        <v>0.27090909090909093</v>
      </c>
      <c r="P154" s="723">
        <f t="shared" ca="1" si="194"/>
        <v>1.4154999999999999E-2</v>
      </c>
      <c r="Q154" s="81">
        <f t="shared" ca="1" si="195"/>
        <v>2.0694444444444446</v>
      </c>
      <c r="R154" s="300"/>
      <c r="S154" s="300"/>
      <c r="T154" s="300"/>
      <c r="U154" s="300"/>
      <c r="V154" s="199">
        <f t="shared" ref="V154" ca="1" si="204">IF(IF(RIGHT(H153,2)="PH",(1-L154)+$W$2,IF(RIGHT(H153,2)="HT",(1-L154)+$W$1,IF(RIGHT(H153,2)="SH",(1-L154)+$W$3,"")))&gt;0,IF(RIGHT(H153,2)="PH",(1-L154)+$W$2,IF(RIGHT(H153,2)="HT",(1-L154)+$W$1,IF(RIGHT(H153,2)="SH",(1-L154)+$W$3,""))),0)</f>
        <v>6.0000000000000053E-2</v>
      </c>
      <c r="W154" s="298"/>
      <c r="X154" s="698">
        <f t="shared" ca="1" si="144"/>
        <v>0.3</v>
      </c>
      <c r="Y154" s="698">
        <f t="shared" ca="1" si="197"/>
        <v>7</v>
      </c>
      <c r="Z154" s="698">
        <f t="shared" ca="1" si="198"/>
        <v>2</v>
      </c>
      <c r="AA154" s="698">
        <f t="shared" ca="1" si="199"/>
        <v>1</v>
      </c>
      <c r="AB154" s="698">
        <f t="shared" ca="1" si="200"/>
        <v>0.1</v>
      </c>
      <c r="AC154" s="55"/>
      <c r="AD154" s="81">
        <v>2030</v>
      </c>
      <c r="AE154" s="81"/>
      <c r="AF154" s="700"/>
    </row>
    <row r="155" spans="1:32">
      <c r="A155" s="226"/>
      <c r="B155" s="719" t="s">
        <v>1010</v>
      </c>
      <c r="C155" s="713"/>
      <c r="D155" s="203"/>
      <c r="E155" s="701"/>
      <c r="F155" s="224" t="s">
        <v>1149</v>
      </c>
      <c r="G155" s="203"/>
      <c r="H155" s="702"/>
      <c r="I155" s="702" t="str">
        <f t="shared" si="142"/>
        <v>INDNWH</v>
      </c>
      <c r="J155" s="224">
        <f t="shared" si="145"/>
        <v>2050</v>
      </c>
      <c r="K155" s="81"/>
      <c r="L155" s="199">
        <f t="shared" ca="1" si="192"/>
        <v>0.95</v>
      </c>
      <c r="M155" s="199"/>
      <c r="N155" s="81"/>
      <c r="O155" s="723">
        <f t="shared" ca="1" si="193"/>
        <v>0.27090909090909093</v>
      </c>
      <c r="P155" s="723">
        <f t="shared" ca="1" si="194"/>
        <v>1.2664999999999999E-2</v>
      </c>
      <c r="Q155" s="81">
        <f t="shared" ca="1" si="195"/>
        <v>2.0694444444444446</v>
      </c>
      <c r="R155" s="300"/>
      <c r="S155" s="300"/>
      <c r="T155" s="300"/>
      <c r="U155" s="300"/>
      <c r="V155" s="199">
        <f t="shared" ref="V155" ca="1" si="205">IF(IF(RIGHT(H153,2)="PH",(1-L155)+$W$2,IF(RIGHT(H153,2)="HT",(1-L155)+$W$1,IF(RIGHT(H153,2)="SH",(1-L155)+$W$3,"")))&gt;0,IF(RIGHT(H153,2)="PH",(1-L155)+$W$2,IF(RIGHT(H153,2)="HT",(1-L155)+$W$1,IF(RIGHT(H153,2)="SH",(1-L155)+$W$3,""))),0)</f>
        <v>5.0000000000000044E-2</v>
      </c>
      <c r="W155" s="298"/>
      <c r="X155" s="698">
        <f t="shared" ca="1" si="144"/>
        <v>0.3</v>
      </c>
      <c r="Y155" s="698">
        <f t="shared" ca="1" si="197"/>
        <v>6</v>
      </c>
      <c r="Z155" s="698">
        <f t="shared" ca="1" si="198"/>
        <v>2</v>
      </c>
      <c r="AA155" s="698">
        <f t="shared" ca="1" si="199"/>
        <v>1</v>
      </c>
      <c r="AB155" s="698">
        <f t="shared" ca="1" si="200"/>
        <v>0.1</v>
      </c>
      <c r="AC155" s="55"/>
      <c r="AD155" s="81">
        <v>2050</v>
      </c>
      <c r="AE155" s="81"/>
      <c r="AF155" s="700"/>
    </row>
    <row r="156" spans="1:32">
      <c r="B156" s="718" t="s">
        <v>1010</v>
      </c>
      <c r="C156" s="64"/>
      <c r="D156" s="212" t="str">
        <f>"IND"&amp;RIGHT(H156,4)&amp;"GAS"&amp;"N"&amp;RIGHT(E156,1)</f>
        <v>INDNDPHGASN4</v>
      </c>
      <c r="E156" s="707" t="str">
        <f>"Industrial heating technology "&amp;$AJ$12&amp;" "&amp;RIGHT(H156,2)&amp;" - Gas boiler (Hot Water - condensing) - new 4"</f>
        <v>Industrial heating technology N PH - Gas boiler (Hot Water - condensing) - new 4</v>
      </c>
      <c r="F156" s="224" t="s">
        <v>1149</v>
      </c>
      <c r="G156" s="173" t="s">
        <v>2080</v>
      </c>
      <c r="H156" s="708" t="str">
        <f>$AI$14</f>
        <v>INDPH</v>
      </c>
      <c r="I156" s="708" t="str">
        <f t="shared" si="142"/>
        <v>INDNWH</v>
      </c>
      <c r="J156" s="224">
        <f t="shared" si="145"/>
        <v>2011</v>
      </c>
      <c r="K156" s="299">
        <f>J156</f>
        <v>2011</v>
      </c>
      <c r="L156" s="199">
        <f t="shared" ref="L156:L161" ca="1" si="206">VLOOKUP($AD156,INDIRECT("'"&amp;$B156&amp;"'!"&amp;"$P$279:$AD$282"),3,FALSE)</f>
        <v>1.01</v>
      </c>
      <c r="M156" s="199"/>
      <c r="N156" s="81">
        <f ca="1">VLOOKUP($AD156,INDIRECT("'"&amp;$B156&amp;"'!"&amp;"$P$279:$AD$282"),5,FALSE)</f>
        <v>25</v>
      </c>
      <c r="O156" s="723">
        <f t="shared" ref="O156:O161" ca="1" si="207">VLOOKUP($AD156,INDIRECT("'"&amp;$B156&amp;"'!"&amp;"$P$279:$AD$282"),6,FALSE)/1000</f>
        <v>0.35760000000000003</v>
      </c>
      <c r="P156" s="723">
        <f t="shared" ref="P156:P161" ca="1" si="208">VLOOKUP($AD156,INDIRECT("'"&amp;$B156&amp;"'!"&amp;"$P$279:$AD$282"),7,FALSE)/1000</f>
        <v>1.49E-2</v>
      </c>
      <c r="Q156" s="81">
        <f t="shared" ref="Q156:Q161" ca="1" si="209">VLOOKUP($AD156,INDIRECT("'"&amp;$B156&amp;"'!"&amp;"$P$279:$AD$282"),8,FALSE)</f>
        <v>2.276388888888889</v>
      </c>
      <c r="R156" s="81">
        <v>3.1536000000000002E-2</v>
      </c>
      <c r="S156" s="199">
        <v>0.5</v>
      </c>
      <c r="T156" s="199">
        <f ca="1">HLOOKUP($T$2,INDIRECT("'"&amp;$B156&amp;"'!"&amp;"$P$246:$AC$259"),IF(H156=$AI$13,6,IF(H156=$AI$14,9,14)),FALSE)</f>
        <v>0</v>
      </c>
      <c r="U156" s="773"/>
      <c r="V156" s="199">
        <f t="shared" ref="V156" ca="1" si="210">IF(IF(RIGHT(H156,2)="PH",(1-L156)+$W$2,IF(RIGHT(H156,2)="HT",(1-L156)+$W$1,IF(RIGHT(H156,2)="SH",(1-L156)+$W$3,"")))&gt;0,IF(RIGHT(H156,2)="PH",(1-L156)+$W$2,IF(RIGHT(H156,2)="HT",(1-L156)+$W$1,IF(RIGHT(H156,2)="SH",(1-L156)+$W$3,""))),0)</f>
        <v>0.19</v>
      </c>
      <c r="W156" s="709"/>
      <c r="X156" s="698">
        <f t="shared" ca="1" si="144"/>
        <v>0.3</v>
      </c>
      <c r="Y156" s="698">
        <f t="shared" ref="Y156:Y161" ca="1" si="211">VLOOKUP($AD156,INDIRECT("'"&amp;$B156&amp;"'!"&amp;"$P$279:$AD$282"),12,FALSE)</f>
        <v>9</v>
      </c>
      <c r="Z156" s="698">
        <f t="shared" ref="Z156:Z161" ca="1" si="212">VLOOKUP($AD156,INDIRECT("'"&amp;$B156&amp;"'!"&amp;"$P$279:$AD$282"),13,FALSE)</f>
        <v>3</v>
      </c>
      <c r="AA156" s="698">
        <f t="shared" ref="AA156:AA161" ca="1" si="213">VLOOKUP($AD156,INDIRECT("'"&amp;$B156&amp;"'!"&amp;"$P$279:$AD$282"),14,FALSE)</f>
        <v>1</v>
      </c>
      <c r="AB156" s="698">
        <f t="shared" ref="AB156:AB161" ca="1" si="214">VLOOKUP($AD156,INDIRECT("'"&amp;$B156&amp;"'!"&amp;"$P$279:$AD$282"),15,FALSE)</f>
        <v>0.1</v>
      </c>
      <c r="AC156" s="55"/>
      <c r="AD156" s="81">
        <v>2020</v>
      </c>
      <c r="AE156" s="81"/>
      <c r="AF156" s="700"/>
    </row>
    <row r="157" spans="1:32">
      <c r="B157" s="718" t="s">
        <v>1010</v>
      </c>
      <c r="C157" s="64"/>
      <c r="E157" s="261"/>
      <c r="F157" s="224" t="s">
        <v>1149</v>
      </c>
      <c r="G157" s="55"/>
      <c r="H157" s="174"/>
      <c r="I157" s="174" t="str">
        <f t="shared" si="142"/>
        <v>INDNWH</v>
      </c>
      <c r="J157" s="224">
        <f t="shared" si="145"/>
        <v>2030</v>
      </c>
      <c r="K157" s="81"/>
      <c r="L157" s="199">
        <f t="shared" ca="1" si="206"/>
        <v>1.03</v>
      </c>
      <c r="M157" s="199"/>
      <c r="N157" s="81"/>
      <c r="O157" s="723">
        <f t="shared" ca="1" si="207"/>
        <v>0.29800000000000004</v>
      </c>
      <c r="P157" s="723">
        <f t="shared" ca="1" si="208"/>
        <v>1.4154999999999999E-2</v>
      </c>
      <c r="Q157" s="81">
        <f t="shared" ca="1" si="209"/>
        <v>2.0694444444444446</v>
      </c>
      <c r="R157" s="300"/>
      <c r="S157" s="300"/>
      <c r="T157" s="300"/>
      <c r="U157" s="300"/>
      <c r="V157" s="199">
        <f t="shared" ref="V157" ca="1" si="215">IF(IF(RIGHT(H156,2)="PH",(1-L157)+$W$2,IF(RIGHT(H156,2)="HT",(1-L157)+$W$1,IF(RIGHT(H156,2)="SH",(1-L157)+$W$3,"")))&gt;0,IF(RIGHT(H156,2)="PH",(1-L157)+$W$2,IF(RIGHT(H156,2)="HT",(1-L157)+$W$1,IF(RIGHT(H156,2)="SH",(1-L157)+$W$3,""))),0)</f>
        <v>0.16999999999999998</v>
      </c>
      <c r="W157" s="298"/>
      <c r="X157" s="698">
        <f t="shared" ca="1" si="144"/>
        <v>0.3</v>
      </c>
      <c r="Y157" s="698">
        <f t="shared" ca="1" si="211"/>
        <v>7</v>
      </c>
      <c r="Z157" s="698">
        <f t="shared" ca="1" si="212"/>
        <v>2</v>
      </c>
      <c r="AA157" s="698">
        <f t="shared" ca="1" si="213"/>
        <v>1</v>
      </c>
      <c r="AB157" s="698">
        <f t="shared" ca="1" si="214"/>
        <v>0.1</v>
      </c>
      <c r="AC157" s="55"/>
      <c r="AD157" s="81">
        <v>2030</v>
      </c>
      <c r="AE157" s="81"/>
      <c r="AF157" s="700"/>
    </row>
    <row r="158" spans="1:32">
      <c r="B158" s="718" t="s">
        <v>1010</v>
      </c>
      <c r="C158" s="64"/>
      <c r="E158" s="261"/>
      <c r="F158" s="224" t="s">
        <v>1149</v>
      </c>
      <c r="G158" s="55"/>
      <c r="H158" s="174"/>
      <c r="I158" s="174" t="str">
        <f t="shared" si="142"/>
        <v>INDNWH</v>
      </c>
      <c r="J158" s="224">
        <f t="shared" si="145"/>
        <v>2050</v>
      </c>
      <c r="K158" s="81"/>
      <c r="L158" s="199">
        <f t="shared" ca="1" si="206"/>
        <v>1.03</v>
      </c>
      <c r="M158" s="199"/>
      <c r="N158" s="81"/>
      <c r="O158" s="723">
        <f t="shared" ca="1" si="207"/>
        <v>0.29800000000000004</v>
      </c>
      <c r="P158" s="723">
        <f t="shared" ca="1" si="208"/>
        <v>1.2664999999999999E-2</v>
      </c>
      <c r="Q158" s="81">
        <f t="shared" ca="1" si="209"/>
        <v>2.0694444444444446</v>
      </c>
      <c r="R158" s="300"/>
      <c r="S158" s="300"/>
      <c r="T158" s="300"/>
      <c r="U158" s="300"/>
      <c r="V158" s="199">
        <f t="shared" ref="V158" ca="1" si="216">IF(IF(RIGHT(H156,2)="PH",(1-L158)+$W$2,IF(RIGHT(H156,2)="HT",(1-L158)+$W$1,IF(RIGHT(H156,2)="SH",(1-L158)+$W$3,"")))&gt;0,IF(RIGHT(H156,2)="PH",(1-L158)+$W$2,IF(RIGHT(H156,2)="HT",(1-L158)+$W$1,IF(RIGHT(H156,2)="SH",(1-L158)+$W$3,""))),0)</f>
        <v>0.16999999999999998</v>
      </c>
      <c r="W158" s="298"/>
      <c r="X158" s="698">
        <f t="shared" ca="1" si="144"/>
        <v>0.3</v>
      </c>
      <c r="Y158" s="698">
        <f t="shared" ca="1" si="211"/>
        <v>6</v>
      </c>
      <c r="Z158" s="698">
        <f t="shared" ca="1" si="212"/>
        <v>2</v>
      </c>
      <c r="AA158" s="698">
        <f t="shared" ca="1" si="213"/>
        <v>1</v>
      </c>
      <c r="AB158" s="698">
        <f t="shared" ca="1" si="214"/>
        <v>0.1</v>
      </c>
      <c r="AC158" s="203"/>
      <c r="AD158" s="81">
        <v>2050</v>
      </c>
      <c r="AE158" s="81"/>
      <c r="AF158" s="705"/>
    </row>
    <row r="159" spans="1:32">
      <c r="A159" s="226"/>
      <c r="B159" s="718" t="s">
        <v>1010</v>
      </c>
      <c r="C159" s="64"/>
      <c r="D159" s="212" t="str">
        <f>"IND"&amp;RIGHT(H159,4)&amp;"GAS"&amp;"N"&amp;RIGHT(E159,1)</f>
        <v>INDNDSHGASN4</v>
      </c>
      <c r="E159" s="261" t="str">
        <f>"Industrial heating technology "&amp;$AJ$12&amp;" "&amp;RIGHT(H159,2)&amp;" - Gas boiler (Hot Water- condensing) - new 4"</f>
        <v>Industrial heating technology N SH - Gas boiler (Hot Water- condensing) - new 4</v>
      </c>
      <c r="F159" s="224" t="s">
        <v>1149</v>
      </c>
      <c r="G159" s="173" t="s">
        <v>2080</v>
      </c>
      <c r="H159" s="174" t="str">
        <f>$AI$15</f>
        <v>INDSH</v>
      </c>
      <c r="I159" s="174" t="str">
        <f t="shared" si="142"/>
        <v>INDNWH</v>
      </c>
      <c r="J159" s="224">
        <f t="shared" si="145"/>
        <v>2011</v>
      </c>
      <c r="K159" s="299">
        <f>J159</f>
        <v>2011</v>
      </c>
      <c r="L159" s="199">
        <f t="shared" ca="1" si="206"/>
        <v>1.01</v>
      </c>
      <c r="M159" s="199"/>
      <c r="N159" s="81">
        <f ca="1">VLOOKUP($AD159,INDIRECT("'"&amp;$B159&amp;"'!"&amp;"$P$279:$AD$282"),5,FALSE)</f>
        <v>25</v>
      </c>
      <c r="O159" s="723">
        <f t="shared" ca="1" si="207"/>
        <v>0.35760000000000003</v>
      </c>
      <c r="P159" s="723">
        <f t="shared" ca="1" si="208"/>
        <v>1.49E-2</v>
      </c>
      <c r="Q159" s="81">
        <f t="shared" ca="1" si="209"/>
        <v>2.276388888888889</v>
      </c>
      <c r="R159" s="81">
        <v>3.1536000000000002E-2</v>
      </c>
      <c r="S159" s="199">
        <v>0.5</v>
      </c>
      <c r="T159" s="199">
        <f ca="1">HLOOKUP($T$2,INDIRECT("'"&amp;$B159&amp;"'!"&amp;"$P$246:$AC$259"),IF(H159=$AI$13,6,IF(H159=$AI$14,9,14)),FALSE)</f>
        <v>0</v>
      </c>
      <c r="U159" s="773"/>
      <c r="V159" s="199">
        <f t="shared" ref="V159" ca="1" si="217">IF(IF(RIGHT(H159,2)="PH",(1-L159)+$W$2,IF(RIGHT(H159,2)="HT",(1-L159)+$W$1,IF(RIGHT(H159,2)="SH",(1-L159)+$W$3,"")))&gt;0,IF(RIGHT(H159,2)="PH",(1-L159)+$W$2,IF(RIGHT(H159,2)="HT",(1-L159)+$W$1,IF(RIGHT(H159,2)="SH",(1-L159)+$W$3,""))),0)</f>
        <v>0</v>
      </c>
      <c r="W159" s="709"/>
      <c r="X159" s="698">
        <f t="shared" ref="X159:X177" ca="1" si="218">IF(VLOOKUP($AD159,INDIRECT("'"&amp;$B159&amp;"'!"&amp;"$P$39:$AD$42"),11,FALSE)="Cf. the utilized electricity",0,VLOOKUP($AD159,INDIRECT("'"&amp;$B159&amp;"'!"&amp;"$P$39:$AD$42"),11,FALSE))</f>
        <v>0.3</v>
      </c>
      <c r="Y159" s="698">
        <f t="shared" ca="1" si="211"/>
        <v>9</v>
      </c>
      <c r="Z159" s="698">
        <f t="shared" ca="1" si="212"/>
        <v>3</v>
      </c>
      <c r="AA159" s="698">
        <f t="shared" ca="1" si="213"/>
        <v>1</v>
      </c>
      <c r="AB159" s="698">
        <f t="shared" ca="1" si="214"/>
        <v>0.1</v>
      </c>
      <c r="AC159" s="296"/>
      <c r="AD159" s="81">
        <v>2020</v>
      </c>
      <c r="AE159" s="81"/>
      <c r="AF159" s="710"/>
    </row>
    <row r="160" spans="1:32">
      <c r="B160" s="718" t="s">
        <v>1010</v>
      </c>
      <c r="C160" s="64"/>
      <c r="E160" s="261"/>
      <c r="F160" s="224" t="s">
        <v>1149</v>
      </c>
      <c r="G160" s="55"/>
      <c r="H160" s="174"/>
      <c r="I160" s="174" t="str">
        <f t="shared" si="142"/>
        <v>INDNWH</v>
      </c>
      <c r="J160" s="224">
        <f t="shared" si="145"/>
        <v>2030</v>
      </c>
      <c r="K160" s="81"/>
      <c r="L160" s="199">
        <f t="shared" ca="1" si="206"/>
        <v>1.03</v>
      </c>
      <c r="M160" s="199"/>
      <c r="N160" s="81"/>
      <c r="O160" s="723">
        <f t="shared" ca="1" si="207"/>
        <v>0.29800000000000004</v>
      </c>
      <c r="P160" s="723">
        <f t="shared" ca="1" si="208"/>
        <v>1.4154999999999999E-2</v>
      </c>
      <c r="Q160" s="81">
        <f t="shared" ca="1" si="209"/>
        <v>2.0694444444444446</v>
      </c>
      <c r="R160" s="300"/>
      <c r="S160" s="300"/>
      <c r="T160" s="300"/>
      <c r="U160" s="300"/>
      <c r="V160" s="199">
        <f t="shared" ref="V160" ca="1" si="219">IF(IF(RIGHT(H159,2)="PH",(1-L160)+$W$2,IF(RIGHT(H159,2)="HT",(1-L160)+$W$1,IF(RIGHT(H159,2)="SH",(1-L160)+$W$3,"")))&gt;0,IF(RIGHT(H159,2)="PH",(1-L160)+$W$2,IF(RIGHT(H159,2)="HT",(1-L160)+$W$1,IF(RIGHT(H159,2)="SH",(1-L160)+$W$3,""))),0)</f>
        <v>0</v>
      </c>
      <c r="W160" s="298"/>
      <c r="X160" s="698">
        <f t="shared" ca="1" si="218"/>
        <v>0.3</v>
      </c>
      <c r="Y160" s="698">
        <f t="shared" ca="1" si="211"/>
        <v>7</v>
      </c>
      <c r="Z160" s="698">
        <f t="shared" ca="1" si="212"/>
        <v>2</v>
      </c>
      <c r="AA160" s="698">
        <f t="shared" ca="1" si="213"/>
        <v>1</v>
      </c>
      <c r="AB160" s="698">
        <f t="shared" ca="1" si="214"/>
        <v>0.1</v>
      </c>
      <c r="AC160" s="55"/>
      <c r="AD160" s="81">
        <v>2030</v>
      </c>
      <c r="AE160" s="81"/>
      <c r="AF160" s="700"/>
    </row>
    <row r="161" spans="1:32">
      <c r="B161" s="719" t="s">
        <v>1010</v>
      </c>
      <c r="C161" s="713"/>
      <c r="D161" s="701"/>
      <c r="E161" s="701"/>
      <c r="F161" s="224" t="s">
        <v>1149</v>
      </c>
      <c r="G161" s="203"/>
      <c r="H161" s="702"/>
      <c r="I161" s="702" t="str">
        <f t="shared" si="142"/>
        <v>INDNWH</v>
      </c>
      <c r="J161" s="224">
        <f t="shared" si="145"/>
        <v>2050</v>
      </c>
      <c r="K161" s="81"/>
      <c r="L161" s="199">
        <f t="shared" ca="1" si="206"/>
        <v>1.03</v>
      </c>
      <c r="M161" s="199"/>
      <c r="N161" s="81"/>
      <c r="O161" s="723">
        <f t="shared" ca="1" si="207"/>
        <v>0.29800000000000004</v>
      </c>
      <c r="P161" s="723">
        <f t="shared" ca="1" si="208"/>
        <v>1.2664999999999999E-2</v>
      </c>
      <c r="Q161" s="81">
        <f t="shared" ca="1" si="209"/>
        <v>2.0694444444444446</v>
      </c>
      <c r="R161" s="300"/>
      <c r="S161" s="300"/>
      <c r="T161" s="300"/>
      <c r="U161" s="300"/>
      <c r="V161" s="199">
        <f t="shared" ref="V161" ca="1" si="220">IF(IF(RIGHT(H159,2)="PH",(1-L161)+$W$2,IF(RIGHT(H159,2)="HT",(1-L161)+$W$1,IF(RIGHT(H159,2)="SH",(1-L161)+$W$3,"")))&gt;0,IF(RIGHT(H159,2)="PH",(1-L161)+$W$2,IF(RIGHT(H159,2)="HT",(1-L161)+$W$1,IF(RIGHT(H159,2)="SH",(1-L161)+$W$3,""))),0)</f>
        <v>0</v>
      </c>
      <c r="W161" s="714"/>
      <c r="X161" s="698">
        <f t="shared" ca="1" si="218"/>
        <v>0.3</v>
      </c>
      <c r="Y161" s="698">
        <f t="shared" ca="1" si="211"/>
        <v>6</v>
      </c>
      <c r="Z161" s="698">
        <f t="shared" ca="1" si="212"/>
        <v>2</v>
      </c>
      <c r="AA161" s="698">
        <f t="shared" ca="1" si="213"/>
        <v>1</v>
      </c>
      <c r="AB161" s="698">
        <f t="shared" ca="1" si="214"/>
        <v>0.1</v>
      </c>
      <c r="AC161" s="55"/>
      <c r="AD161" s="81">
        <v>2050</v>
      </c>
      <c r="AE161" s="81"/>
      <c r="AF161" s="700"/>
    </row>
    <row r="162" spans="1:32">
      <c r="B162" s="718" t="s">
        <v>1010</v>
      </c>
      <c r="C162" s="64"/>
      <c r="D162" s="212" t="str">
        <f>"IND"&amp;RIGHT(H162,4)&amp;"GAS"&amp;"N"&amp;RIGHT(E162,1)</f>
        <v>INDNDPHGASN5</v>
      </c>
      <c r="E162" s="707" t="str">
        <f>"Industrial heating technology "&amp;$AJ$12&amp;" "&amp;RIGHT(H162,2)&amp;" - Gas boiler (Direct firing) - new 5"</f>
        <v>Industrial heating technology N PH - Gas boiler (Direct firing) - new 5</v>
      </c>
      <c r="F162" s="224" t="s">
        <v>1149</v>
      </c>
      <c r="G162" s="173" t="s">
        <v>2080</v>
      </c>
      <c r="H162" s="174" t="str">
        <f>$AI$13</f>
        <v>INDPH</v>
      </c>
      <c r="I162" s="174" t="str">
        <f t="shared" si="142"/>
        <v>INDNWH</v>
      </c>
      <c r="J162" s="224">
        <f t="shared" si="145"/>
        <v>2011</v>
      </c>
      <c r="K162" s="299">
        <f>J162</f>
        <v>2011</v>
      </c>
      <c r="L162" s="199">
        <f t="shared" ref="L162:L167" ca="1" si="221">VLOOKUP($AD162,INDIRECT("'"&amp;$B162&amp;"'!"&amp;"$P$345:$AD$348"),3,FALSE)</f>
        <v>1</v>
      </c>
      <c r="M162" s="199"/>
      <c r="N162" s="81">
        <f ca="1">VLOOKUP($AD162,INDIRECT("'"&amp;$B162&amp;"'!"&amp;"$P$345:$AD$348"),5,FALSE)</f>
        <v>15</v>
      </c>
      <c r="O162" s="723">
        <f t="shared" ref="O162:O167" ca="1" si="222">VLOOKUP($AD162,INDIRECT("'"&amp;$B162&amp;"'!"&amp;"$P$345:$AD$348"),6,FALSE)/1000</f>
        <v>0.11175</v>
      </c>
      <c r="P162" s="723">
        <f t="shared" ref="P162:P167" ca="1" si="223">VLOOKUP($AD162,INDIRECT("'"&amp;$B162&amp;"'!"&amp;"$P$345:$AD$348"),7,FALSE)/1000</f>
        <v>1.3545454545454561E-3</v>
      </c>
      <c r="Q162" s="81">
        <f t="shared" ref="Q162:Q167" ca="1" si="224">VLOOKUP($AD162,INDIRECT("'"&amp;$B162&amp;"'!"&amp;"$P$345:$AD$348"),8,FALSE)</f>
        <v>0.58461805555555546</v>
      </c>
      <c r="R162" s="81">
        <v>3.1536000000000002E-2</v>
      </c>
      <c r="S162" s="199">
        <v>0.5</v>
      </c>
      <c r="T162" s="199">
        <f ca="1">HLOOKUP($S$2,INDIRECT("'"&amp;$B162&amp;"'!"&amp;"$P$312:$AC$325"),IF(H162=$AI$13,6,IF(H162=$AI$14,9,14)),FALSE)</f>
        <v>1</v>
      </c>
      <c r="U162" s="773"/>
      <c r="V162" s="199">
        <f t="shared" ref="V162" ca="1" si="225">IF(IF(RIGHT(H162,2)="PH",(1-L162)+$W$2,IF(RIGHT(H162,2)="HT",(1-L162)+$W$1,IF(RIGHT(H162,2)="SH",(1-L162)+$W$3,"")))&gt;0,IF(RIGHT(H162,2)="PH",(1-L162)+$W$2,IF(RIGHT(H162,2)="HT",(1-L162)+$W$1,IF(RIGHT(H162,2)="SH",(1-L162)+$W$3,""))),0)</f>
        <v>0.2</v>
      </c>
      <c r="W162" s="709"/>
      <c r="X162" s="698">
        <f t="shared" ca="1" si="218"/>
        <v>0.3</v>
      </c>
      <c r="Y162" s="698">
        <f t="shared" ref="Y162:Y167" ca="1" si="226">VLOOKUP($AD162,INDIRECT("'"&amp;$B162&amp;"'!"&amp;"$P$345:$AD$348"),12,FALSE)</f>
        <v>9</v>
      </c>
      <c r="Z162" s="698">
        <f t="shared" ref="Z162:Z167" ca="1" si="227">VLOOKUP($AD162,INDIRECT("'"&amp;$B162&amp;"'!"&amp;"$P$345:$AD$348"),13,FALSE)</f>
        <v>3</v>
      </c>
      <c r="AA162" s="698">
        <f t="shared" ref="AA162:AA167" ca="1" si="228">VLOOKUP($AD162,INDIRECT("'"&amp;$B162&amp;"'!"&amp;"$P$345:$AD$348"),14,FALSE)</f>
        <v>1</v>
      </c>
      <c r="AB162" s="698">
        <f t="shared" ref="AB162:AB167" ca="1" si="229">VLOOKUP($AD162,INDIRECT("'"&amp;$B162&amp;"'!"&amp;"$P$345:$AD$348"),15,FALSE)</f>
        <v>0.1</v>
      </c>
      <c r="AC162" s="55"/>
      <c r="AD162" s="81">
        <v>2020</v>
      </c>
      <c r="AE162" s="81"/>
      <c r="AF162" s="700"/>
    </row>
    <row r="163" spans="1:32">
      <c r="B163" s="718" t="s">
        <v>1010</v>
      </c>
      <c r="C163" s="64"/>
      <c r="E163" s="261"/>
      <c r="F163" s="224" t="s">
        <v>1149</v>
      </c>
      <c r="G163" s="55"/>
      <c r="H163" s="174"/>
      <c r="I163" s="174" t="str">
        <f t="shared" si="142"/>
        <v>INDNWH</v>
      </c>
      <c r="J163" s="224">
        <f t="shared" si="145"/>
        <v>2030</v>
      </c>
      <c r="K163" s="81"/>
      <c r="L163" s="199">
        <f t="shared" ca="1" si="221"/>
        <v>1</v>
      </c>
      <c r="M163" s="199"/>
      <c r="N163" s="81"/>
      <c r="O163" s="723">
        <f t="shared" ca="1" si="222"/>
        <v>0.11175</v>
      </c>
      <c r="P163" s="723">
        <f t="shared" ca="1" si="223"/>
        <v>1.3206818181818161E-3</v>
      </c>
      <c r="Q163" s="81">
        <f t="shared" ca="1" si="224"/>
        <v>0.5742708333333334</v>
      </c>
      <c r="R163" s="300"/>
      <c r="S163" s="300"/>
      <c r="T163" s="300"/>
      <c r="U163" s="300"/>
      <c r="V163" s="199">
        <f t="shared" ref="V163" ca="1" si="230">IF(IF(RIGHT(H162,2)="PH",(1-L163)+$W$2,IF(RIGHT(H162,2)="HT",(1-L163)+$W$1,IF(RIGHT(H162,2)="SH",(1-L163)+$W$3,"")))&gt;0,IF(RIGHT(H162,2)="PH",(1-L163)+$W$2,IF(RIGHT(H162,2)="HT",(1-L163)+$W$1,IF(RIGHT(H162,2)="SH",(1-L163)+$W$3,""))),0)</f>
        <v>0.2</v>
      </c>
      <c r="W163" s="298"/>
      <c r="X163" s="698">
        <f t="shared" ca="1" si="218"/>
        <v>0.3</v>
      </c>
      <c r="Y163" s="698">
        <f t="shared" ca="1" si="226"/>
        <v>7</v>
      </c>
      <c r="Z163" s="698">
        <f t="shared" ca="1" si="227"/>
        <v>2</v>
      </c>
      <c r="AA163" s="698">
        <f t="shared" ca="1" si="228"/>
        <v>1</v>
      </c>
      <c r="AB163" s="698">
        <f t="shared" ca="1" si="229"/>
        <v>0.1</v>
      </c>
      <c r="AC163" s="55"/>
      <c r="AD163" s="81">
        <v>2030</v>
      </c>
      <c r="AE163" s="81"/>
      <c r="AF163" s="700"/>
    </row>
    <row r="164" spans="1:32">
      <c r="B164" s="718" t="s">
        <v>1010</v>
      </c>
      <c r="C164" s="64"/>
      <c r="E164" s="261"/>
      <c r="F164" s="224" t="s">
        <v>1149</v>
      </c>
      <c r="G164" s="55"/>
      <c r="H164" s="174"/>
      <c r="I164" s="174" t="str">
        <f t="shared" si="142"/>
        <v>INDNWH</v>
      </c>
      <c r="J164" s="224">
        <f t="shared" si="145"/>
        <v>2050</v>
      </c>
      <c r="K164" s="81"/>
      <c r="L164" s="199">
        <f t="shared" ca="1" si="221"/>
        <v>1</v>
      </c>
      <c r="M164" s="199"/>
      <c r="N164" s="81"/>
      <c r="O164" s="723">
        <f t="shared" ca="1" si="222"/>
        <v>0.11175</v>
      </c>
      <c r="P164" s="723">
        <f t="shared" ca="1" si="223"/>
        <v>1.1513636363636396E-3</v>
      </c>
      <c r="Q164" s="81">
        <f t="shared" ca="1" si="224"/>
        <v>0.57944444444444443</v>
      </c>
      <c r="R164" s="300"/>
      <c r="S164" s="300"/>
      <c r="T164" s="300"/>
      <c r="U164" s="300"/>
      <c r="V164" s="199">
        <f t="shared" ref="V164" ca="1" si="231">IF(IF(RIGHT(H162,2)="PH",(1-L164)+$W$2,IF(RIGHT(H162,2)="HT",(1-L164)+$W$1,IF(RIGHT(H162,2)="SH",(1-L164)+$W$3,"")))&gt;0,IF(RIGHT(H162,2)="PH",(1-L164)+$W$2,IF(RIGHT(H162,2)="HT",(1-L164)+$W$1,IF(RIGHT(H162,2)="SH",(1-L164)+$W$3,""))),0)</f>
        <v>0.2</v>
      </c>
      <c r="W164" s="298"/>
      <c r="X164" s="698">
        <f t="shared" ca="1" si="218"/>
        <v>0.3</v>
      </c>
      <c r="Y164" s="698">
        <f t="shared" ca="1" si="226"/>
        <v>6</v>
      </c>
      <c r="Z164" s="698">
        <f t="shared" ca="1" si="227"/>
        <v>2</v>
      </c>
      <c r="AA164" s="698">
        <f t="shared" ca="1" si="228"/>
        <v>1</v>
      </c>
      <c r="AB164" s="698">
        <f t="shared" ca="1" si="229"/>
        <v>0.1</v>
      </c>
      <c r="AC164" s="203"/>
      <c r="AD164" s="81">
        <v>2050</v>
      </c>
      <c r="AE164" s="81"/>
      <c r="AF164" s="700"/>
    </row>
    <row r="165" spans="1:32">
      <c r="B165" s="718" t="s">
        <v>1010</v>
      </c>
      <c r="C165" s="64"/>
      <c r="D165" s="212" t="str">
        <f>"IND"&amp;RIGHT(H165,4)&amp;"GAS"&amp;"N"&amp;RIGHT(E165,1)</f>
        <v>INDNDPHGASN5</v>
      </c>
      <c r="E165" s="261" t="str">
        <f>"Industrial heating technology "&amp;$AJ$12&amp;" "&amp;RIGHT(H165,2)&amp;" - Gas boiler (Direct firing) - new 5"</f>
        <v>Industrial heating technology N PH - Gas boiler (Direct firing) - new 5</v>
      </c>
      <c r="F165" s="224" t="s">
        <v>1149</v>
      </c>
      <c r="G165" s="173" t="s">
        <v>2080</v>
      </c>
      <c r="H165" s="174" t="str">
        <f>$AI$14</f>
        <v>INDPH</v>
      </c>
      <c r="I165" s="721" t="str">
        <f t="shared" si="142"/>
        <v>INDNWH</v>
      </c>
      <c r="J165" s="224">
        <f t="shared" si="145"/>
        <v>2011</v>
      </c>
      <c r="K165" s="299">
        <f>J165</f>
        <v>2011</v>
      </c>
      <c r="L165" s="199">
        <f t="shared" ca="1" si="221"/>
        <v>1</v>
      </c>
      <c r="M165" s="199"/>
      <c r="N165" s="81">
        <f ca="1">VLOOKUP($AD165,INDIRECT("'"&amp;$B165&amp;"'!"&amp;"$P$279:$AD$282"),5,FALSE)</f>
        <v>25</v>
      </c>
      <c r="O165" s="723">
        <f t="shared" ca="1" si="222"/>
        <v>0.11175</v>
      </c>
      <c r="P165" s="723">
        <f t="shared" ca="1" si="223"/>
        <v>1.3545454545454561E-3</v>
      </c>
      <c r="Q165" s="81">
        <f t="shared" ca="1" si="224"/>
        <v>0.58461805555555546</v>
      </c>
      <c r="R165" s="81">
        <v>3.1536000000000002E-2</v>
      </c>
      <c r="S165" s="199">
        <v>0.5</v>
      </c>
      <c r="T165" s="199">
        <f ca="1">HLOOKUP($S$2,INDIRECT("'"&amp;$B165&amp;"'!"&amp;"$P$312:$AC$325"),IF(H165=$AI$13,6,IF(H165=$AI$14,9,14)),FALSE)</f>
        <v>1</v>
      </c>
      <c r="U165" s="773"/>
      <c r="V165" s="199">
        <f t="shared" ref="V165" ca="1" si="232">IF(IF(RIGHT(H165,2)="PH",(1-L165)+$W$2,IF(RIGHT(H165,2)="HT",(1-L165)+$W$1,IF(RIGHT(H165,2)="SH",(1-L165)+$W$3,"")))&gt;0,IF(RIGHT(H165,2)="PH",(1-L165)+$W$2,IF(RIGHT(H165,2)="HT",(1-L165)+$W$1,IF(RIGHT(H165,2)="SH",(1-L165)+$W$3,""))),0)</f>
        <v>0.2</v>
      </c>
      <c r="W165" s="709"/>
      <c r="X165" s="698">
        <f t="shared" ca="1" si="218"/>
        <v>0.3</v>
      </c>
      <c r="Y165" s="698">
        <f t="shared" ca="1" si="226"/>
        <v>9</v>
      </c>
      <c r="Z165" s="698">
        <f t="shared" ca="1" si="227"/>
        <v>3</v>
      </c>
      <c r="AA165" s="698">
        <f t="shared" ca="1" si="228"/>
        <v>1</v>
      </c>
      <c r="AB165" s="698">
        <f t="shared" ca="1" si="229"/>
        <v>0.1</v>
      </c>
      <c r="AD165" s="277">
        <v>2020</v>
      </c>
      <c r="AE165" s="273"/>
      <c r="AF165" s="830"/>
    </row>
    <row r="166" spans="1:32">
      <c r="B166" s="718" t="s">
        <v>1010</v>
      </c>
      <c r="C166" s="64"/>
      <c r="E166" s="261"/>
      <c r="F166" s="224" t="s">
        <v>1149</v>
      </c>
      <c r="G166" s="55"/>
      <c r="H166" s="174"/>
      <c r="I166" s="174" t="str">
        <f t="shared" si="142"/>
        <v>INDNWH</v>
      </c>
      <c r="J166" s="224">
        <f t="shared" si="145"/>
        <v>2030</v>
      </c>
      <c r="K166" s="81"/>
      <c r="L166" s="199">
        <f t="shared" ca="1" si="221"/>
        <v>1</v>
      </c>
      <c r="M166" s="199"/>
      <c r="N166" s="81"/>
      <c r="O166" s="723">
        <f t="shared" ca="1" si="222"/>
        <v>0.11175</v>
      </c>
      <c r="P166" s="723">
        <f t="shared" ca="1" si="223"/>
        <v>1.3206818181818161E-3</v>
      </c>
      <c r="Q166" s="81">
        <f t="shared" ca="1" si="224"/>
        <v>0.5742708333333334</v>
      </c>
      <c r="R166" s="300"/>
      <c r="S166" s="300"/>
      <c r="T166" s="300"/>
      <c r="U166" s="300"/>
      <c r="V166" s="199">
        <f t="shared" ref="V166" ca="1" si="233">IF(IF(RIGHT(H165,2)="PH",(1-L166)+$W$2,IF(RIGHT(H165,2)="HT",(1-L166)+$W$1,IF(RIGHT(H165,2)="SH",(1-L166)+$W$3,"")))&gt;0,IF(RIGHT(H165,2)="PH",(1-L166)+$W$2,IF(RIGHT(H165,2)="HT",(1-L166)+$W$1,IF(RIGHT(H165,2)="SH",(1-L166)+$W$3,""))),0)</f>
        <v>0.2</v>
      </c>
      <c r="W166" s="298"/>
      <c r="X166" s="698">
        <f t="shared" ca="1" si="218"/>
        <v>0.3</v>
      </c>
      <c r="Y166" s="698">
        <f t="shared" ca="1" si="226"/>
        <v>7</v>
      </c>
      <c r="Z166" s="698">
        <f t="shared" ca="1" si="227"/>
        <v>2</v>
      </c>
      <c r="AA166" s="698">
        <f t="shared" ca="1" si="228"/>
        <v>1</v>
      </c>
      <c r="AB166" s="698">
        <f t="shared" ca="1" si="229"/>
        <v>0.1</v>
      </c>
      <c r="AD166" s="81">
        <v>2030</v>
      </c>
      <c r="AE166" s="273"/>
      <c r="AF166" s="828"/>
    </row>
    <row r="167" spans="1:32">
      <c r="A167" s="169"/>
      <c r="B167" s="719" t="s">
        <v>1010</v>
      </c>
      <c r="C167" s="713"/>
      <c r="D167" s="701"/>
      <c r="E167" s="701"/>
      <c r="F167" s="224" t="s">
        <v>1149</v>
      </c>
      <c r="G167" s="203"/>
      <c r="H167" s="702"/>
      <c r="I167" s="702" t="str">
        <f t="shared" si="142"/>
        <v>INDNWH</v>
      </c>
      <c r="J167" s="224">
        <f t="shared" si="145"/>
        <v>2050</v>
      </c>
      <c r="K167" s="81"/>
      <c r="L167" s="199">
        <f t="shared" ca="1" si="221"/>
        <v>1</v>
      </c>
      <c r="M167" s="199"/>
      <c r="N167" s="81"/>
      <c r="O167" s="723">
        <f t="shared" ca="1" si="222"/>
        <v>0.11175</v>
      </c>
      <c r="P167" s="723">
        <f t="shared" ca="1" si="223"/>
        <v>1.1513636363636396E-3</v>
      </c>
      <c r="Q167" s="81">
        <f t="shared" ca="1" si="224"/>
        <v>0.57944444444444443</v>
      </c>
      <c r="R167" s="722"/>
      <c r="S167" s="703"/>
      <c r="T167" s="703"/>
      <c r="U167" s="703"/>
      <c r="V167" s="199">
        <f t="shared" ref="V167" ca="1" si="234">IF(IF(RIGHT(H165,2)="PH",(1-L167)+$W$2,IF(RIGHT(H165,2)="HT",(1-L167)+$W$1,IF(RIGHT(H165,2)="SH",(1-L167)+$W$3,"")))&gt;0,IF(RIGHT(H165,2)="PH",(1-L167)+$W$2,IF(RIGHT(H165,2)="HT",(1-L167)+$W$1,IF(RIGHT(H165,2)="SH",(1-L167)+$W$3,""))),0)</f>
        <v>0.2</v>
      </c>
      <c r="W167" s="714"/>
      <c r="X167" s="698">
        <f t="shared" ca="1" si="218"/>
        <v>0.3</v>
      </c>
      <c r="Y167" s="698">
        <f t="shared" ca="1" si="226"/>
        <v>6</v>
      </c>
      <c r="Z167" s="698">
        <f t="shared" ca="1" si="227"/>
        <v>2</v>
      </c>
      <c r="AA167" s="698">
        <f t="shared" ca="1" si="228"/>
        <v>1</v>
      </c>
      <c r="AB167" s="698">
        <f t="shared" ca="1" si="229"/>
        <v>0.1</v>
      </c>
      <c r="AD167" s="81">
        <v>2050</v>
      </c>
      <c r="AE167" s="273"/>
      <c r="AF167" s="828"/>
    </row>
    <row r="168" spans="1:32">
      <c r="A168" s="169"/>
      <c r="B168" s="718" t="s">
        <v>1099</v>
      </c>
      <c r="C168" s="226"/>
      <c r="D168" s="707" t="str">
        <f>"IND"&amp;RIGHT(H168,4)&amp;RIGHT(G168,3)&amp;"N"&amp;RIGHT(E168,1)</f>
        <v>INDNDPHCOAN1</v>
      </c>
      <c r="E168" s="261" t="str">
        <f>"Industrial heating technology "&amp;$AJ$12&amp;" "&amp;RIGHT(H168,2)&amp;" - Coal boiler (Steam) - new 1"</f>
        <v>Industrial heating technology N PH - Coal boiler (Steam) - new 1</v>
      </c>
      <c r="F168" s="224" t="s">
        <v>1149</v>
      </c>
      <c r="G168" s="55" t="s">
        <v>617</v>
      </c>
      <c r="H168" s="174" t="str">
        <f>$AI$13</f>
        <v>INDPH</v>
      </c>
      <c r="I168" s="174" t="str">
        <f t="shared" si="142"/>
        <v>INDNWH</v>
      </c>
      <c r="J168" s="224">
        <f t="shared" si="145"/>
        <v>2011</v>
      </c>
      <c r="K168" s="299">
        <v>2025</v>
      </c>
      <c r="L168" s="199">
        <f t="shared" ref="L168:L176" ca="1" si="235">VLOOKUP($AD168,INDIRECT("'"&amp;$B168&amp;"'!"&amp;"$P$39:$AD$42"),3,FALSE)</f>
        <v>0.89</v>
      </c>
      <c r="M168" s="699"/>
      <c r="N168" s="299">
        <f ca="1">VLOOKUP($AD168,INDIRECT("'"&amp;$B168&amp;"'!"&amp;"$P$39:$AD$42"),5,FALSE)</f>
        <v>25</v>
      </c>
      <c r="O168" s="725">
        <f t="shared" ref="O168:O176" ca="1" si="236">VLOOKUP($AD168,INDIRECT("'"&amp;$B168&amp;"'!"&amp;"$P$39:$AD$42"),6,FALSE)/1000</f>
        <v>3.7250000000000001</v>
      </c>
      <c r="P168" s="725">
        <f t="shared" ref="P168:P176" ca="1" si="237">VLOOKUP($AD168,INDIRECT("'"&amp;$B168&amp;"'!"&amp;"$P$39:$AD$42"),7,FALSE)/1000</f>
        <v>0.25106499999999998</v>
      </c>
      <c r="Q168" s="299">
        <f t="shared" ref="Q168:Q176" ca="1" si="238">VLOOKUP($AD168,INDIRECT("'"&amp;$B168&amp;"'!"&amp;"$P$39:$AD$42"),8,FALSE)</f>
        <v>3.9381527777777778</v>
      </c>
      <c r="R168" s="299">
        <v>3.1536000000000002E-2</v>
      </c>
      <c r="S168" s="699">
        <v>0.5</v>
      </c>
      <c r="T168" s="699">
        <f ca="1">HLOOKUP($T$2,INDIRECT("'"&amp;$B168&amp;"'!"&amp;"$P$6:$AC$19"),IF(H168=$AI$13,6,IF(H168=$AI$14,9,14)),FALSE)</f>
        <v>1</v>
      </c>
      <c r="U168" s="772"/>
      <c r="V168" s="199">
        <f t="shared" ref="V168" ca="1" si="239">IF(IF(RIGHT(H168,2)="PH",(1-L168)+$W$2,IF(RIGHT(H168,2)="HT",(1-L168)+$W$1,IF(RIGHT(H168,2)="SH",(1-L168)+$W$3,"")))&gt;0,IF(RIGHT(H168,2)="PH",(1-L168)+$W$2,IF(RIGHT(H168,2)="HT",(1-L168)+$W$1,IF(RIGHT(H168,2)="SH",(1-L168)+$W$3,""))),0)</f>
        <v>0.31</v>
      </c>
      <c r="W168" s="298"/>
      <c r="X168" s="698">
        <f t="shared" ca="1" si="218"/>
        <v>8</v>
      </c>
      <c r="Y168" s="299">
        <f t="shared" ref="Y168:Y176" ca="1" si="240">VLOOKUP($AD168,INDIRECT("'"&amp;$B168&amp;"'!"&amp;"$P$39:$AD$42"),12,FALSE)</f>
        <v>35</v>
      </c>
      <c r="Z168" s="299">
        <f t="shared" ref="Z168:Z176" ca="1" si="241">VLOOKUP($AD168,INDIRECT("'"&amp;$B168&amp;"'!"&amp;"$P$39:$AD$42"),13,FALSE)</f>
        <v>1.5</v>
      </c>
      <c r="AA168" s="299">
        <f t="shared" ref="AA168:AA176" ca="1" si="242">VLOOKUP($AD168,INDIRECT("'"&amp;$B168&amp;"'!"&amp;"$P$39:$AD$42"),14,FALSE)</f>
        <v>0.8</v>
      </c>
      <c r="AB168" s="299">
        <f t="shared" ref="AB168:AB176" ca="1" si="243">VLOOKUP($AD168,INDIRECT("'"&amp;$B168&amp;"'!"&amp;"$P$39:$AD$42"),15,FALSE)</f>
        <v>2.1</v>
      </c>
      <c r="AD168" s="81">
        <v>2020</v>
      </c>
      <c r="AE168" s="273"/>
      <c r="AF168" s="828"/>
    </row>
    <row r="169" spans="1:32">
      <c r="A169" s="169"/>
      <c r="B169" s="718" t="s">
        <v>1099</v>
      </c>
      <c r="C169" s="226"/>
      <c r="D169" s="261"/>
      <c r="E169" s="261"/>
      <c r="F169" s="224" t="s">
        <v>1149</v>
      </c>
      <c r="G169" s="55"/>
      <c r="H169" s="174"/>
      <c r="I169" s="174" t="str">
        <f t="shared" si="142"/>
        <v>INDNWH</v>
      </c>
      <c r="J169" s="224">
        <f t="shared" si="145"/>
        <v>2030</v>
      </c>
      <c r="K169" s="81"/>
      <c r="L169" s="199">
        <f t="shared" ca="1" si="235"/>
        <v>0.89</v>
      </c>
      <c r="M169" s="772"/>
      <c r="N169" s="200"/>
      <c r="O169" s="725">
        <f t="shared" ca="1" si="236"/>
        <v>3.4699403462447704</v>
      </c>
      <c r="P169" s="725">
        <f t="shared" ca="1" si="237"/>
        <v>0.24287</v>
      </c>
      <c r="Q169" s="299">
        <f t="shared" ca="1" si="238"/>
        <v>3.9836805555555559</v>
      </c>
      <c r="R169" s="823"/>
      <c r="S169" s="300"/>
      <c r="T169" s="300"/>
      <c r="U169" s="300"/>
      <c r="V169" s="199">
        <f t="shared" ref="V169" ca="1" si="244">IF(IF(RIGHT(H168,2)="PH",(1-L169)+$W$2,IF(RIGHT(H168,2)="HT",(1-L169)+$W$1,IF(RIGHT(H168,2)="SH",(1-L169)+$W$3,"")))&gt;0,IF(RIGHT(H168,2)="PH",(1-L169)+$W$2,IF(RIGHT(H168,2)="HT",(1-L169)+$W$1,IF(RIGHT(H168,2)="SH",(1-L169)+$W$3,""))),0)</f>
        <v>0.31</v>
      </c>
      <c r="W169" s="298"/>
      <c r="X169" s="698">
        <f t="shared" ca="1" si="218"/>
        <v>8</v>
      </c>
      <c r="Y169" s="299">
        <f t="shared" ca="1" si="240"/>
        <v>35</v>
      </c>
      <c r="Z169" s="299">
        <f t="shared" ca="1" si="241"/>
        <v>1.5</v>
      </c>
      <c r="AA169" s="299">
        <f t="shared" ca="1" si="242"/>
        <v>0.8</v>
      </c>
      <c r="AB169" s="299">
        <f t="shared" ca="1" si="243"/>
        <v>2.1</v>
      </c>
      <c r="AD169" s="81">
        <v>2030</v>
      </c>
      <c r="AE169" s="273"/>
      <c r="AF169" s="828"/>
    </row>
    <row r="170" spans="1:32">
      <c r="A170" s="169"/>
      <c r="B170" s="718" t="s">
        <v>1099</v>
      </c>
      <c r="C170" s="226"/>
      <c r="D170" s="261"/>
      <c r="E170" s="261"/>
      <c r="F170" s="224" t="s">
        <v>1149</v>
      </c>
      <c r="G170" s="55"/>
      <c r="H170" s="174"/>
      <c r="I170" s="174" t="str">
        <f t="shared" si="142"/>
        <v>INDNWH</v>
      </c>
      <c r="J170" s="224">
        <f t="shared" si="145"/>
        <v>2050</v>
      </c>
      <c r="K170" s="81"/>
      <c r="L170" s="199">
        <f t="shared" ca="1" si="235"/>
        <v>0.91</v>
      </c>
      <c r="M170" s="772"/>
      <c r="N170" s="200"/>
      <c r="O170" s="725">
        <f t="shared" ca="1" si="236"/>
        <v>3.2813985758696647</v>
      </c>
      <c r="P170" s="725">
        <f t="shared" ca="1" si="237"/>
        <v>0.22797000000000001</v>
      </c>
      <c r="Q170" s="299">
        <f t="shared" ca="1" si="238"/>
        <v>4.0064444444444449</v>
      </c>
      <c r="R170" s="823"/>
      <c r="S170" s="300"/>
      <c r="T170" s="300"/>
      <c r="U170" s="300"/>
      <c r="V170" s="199">
        <f t="shared" ref="V170" ca="1" si="245">IF(IF(RIGHT(H168,2)="PH",(1-L170)+$W$2,IF(RIGHT(H168,2)="HT",(1-L170)+$W$1,IF(RIGHT(H168,2)="SH",(1-L170)+$W$3,"")))&gt;0,IF(RIGHT(H168,2)="PH",(1-L170)+$W$2,IF(RIGHT(H168,2)="HT",(1-L170)+$W$1,IF(RIGHT(H168,2)="SH",(1-L170)+$W$3,""))),0)</f>
        <v>0.28999999999999998</v>
      </c>
      <c r="W170" s="298"/>
      <c r="X170" s="698">
        <f t="shared" ca="1" si="218"/>
        <v>8</v>
      </c>
      <c r="Y170" s="299">
        <f t="shared" ca="1" si="240"/>
        <v>35</v>
      </c>
      <c r="Z170" s="299">
        <f t="shared" ca="1" si="241"/>
        <v>1.5</v>
      </c>
      <c r="AA170" s="299">
        <f t="shared" ca="1" si="242"/>
        <v>0.8</v>
      </c>
      <c r="AB170" s="299">
        <f t="shared" ca="1" si="243"/>
        <v>2.1</v>
      </c>
      <c r="AD170" s="81">
        <v>2050</v>
      </c>
      <c r="AE170" s="273"/>
      <c r="AF170" s="828"/>
    </row>
    <row r="171" spans="1:32">
      <c r="A171" s="169"/>
      <c r="B171" s="718" t="s">
        <v>1099</v>
      </c>
      <c r="C171" s="226"/>
      <c r="D171" s="261" t="str">
        <f>"IND"&amp;RIGHT(H171,4)&amp;RIGHT(G171,3)&amp;"N"&amp;RIGHT(E171,1)</f>
        <v>INDNDPHCOAN1</v>
      </c>
      <c r="E171" s="261" t="str">
        <f>"Industrial heating technology "&amp;$AJ$12&amp;" "&amp;RIGHT(H171,2)&amp;" - Coal boiler (Steam) - new 1"</f>
        <v>Industrial heating technology N PH - Coal boiler (Steam) - new 1</v>
      </c>
      <c r="F171" s="224" t="s">
        <v>1149</v>
      </c>
      <c r="G171" s="55" t="s">
        <v>617</v>
      </c>
      <c r="H171" s="174" t="str">
        <f>$AI$14</f>
        <v>INDPH</v>
      </c>
      <c r="I171" s="174" t="str">
        <f t="shared" si="142"/>
        <v>INDNWH</v>
      </c>
      <c r="J171" s="224">
        <f t="shared" si="145"/>
        <v>2011</v>
      </c>
      <c r="K171" s="299">
        <v>2025</v>
      </c>
      <c r="L171" s="199">
        <f t="shared" ca="1" si="235"/>
        <v>0.89</v>
      </c>
      <c r="M171" s="199"/>
      <c r="N171" s="81">
        <f ca="1">VLOOKUP($AD171,INDIRECT("'"&amp;$B171&amp;"'!"&amp;"$P$39:$AD$42"),5,FALSE)</f>
        <v>25</v>
      </c>
      <c r="O171" s="725">
        <f t="shared" ca="1" si="236"/>
        <v>3.7250000000000001</v>
      </c>
      <c r="P171" s="725">
        <f t="shared" ca="1" si="237"/>
        <v>0.25106499999999998</v>
      </c>
      <c r="Q171" s="299">
        <f t="shared" ca="1" si="238"/>
        <v>3.9381527777777778</v>
      </c>
      <c r="R171" s="81">
        <v>3.1536000000000002E-2</v>
      </c>
      <c r="S171" s="199">
        <v>0.5</v>
      </c>
      <c r="T171" s="199">
        <f ca="1">HLOOKUP($T$2,INDIRECT("'"&amp;$B171&amp;"'!"&amp;"$P$6:$AC$19"),IF(H171=$AI$13,6,IF(H171=$AI$14,9,14)),FALSE)</f>
        <v>1</v>
      </c>
      <c r="U171" s="772"/>
      <c r="V171" s="199">
        <f t="shared" ref="V171" ca="1" si="246">IF(IF(RIGHT(H171,2)="PH",(1-L171)+$W$2,IF(RIGHT(H171,2)="HT",(1-L171)+$W$1,IF(RIGHT(H171,2)="SH",(1-L171)+$W$3,"")))&gt;0,IF(RIGHT(H171,2)="PH",(1-L171)+$W$2,IF(RIGHT(H171,2)="HT",(1-L171)+$W$1,IF(RIGHT(H171,2)="SH",(1-L171)+$W$3,""))),0)</f>
        <v>0.31</v>
      </c>
      <c r="W171" s="298"/>
      <c r="X171" s="698">
        <f t="shared" ca="1" si="218"/>
        <v>8</v>
      </c>
      <c r="Y171" s="299">
        <f t="shared" ca="1" si="240"/>
        <v>35</v>
      </c>
      <c r="Z171" s="299">
        <f t="shared" ca="1" si="241"/>
        <v>1.5</v>
      </c>
      <c r="AA171" s="299">
        <f t="shared" ca="1" si="242"/>
        <v>0.8</v>
      </c>
      <c r="AB171" s="299">
        <f t="shared" ca="1" si="243"/>
        <v>2.1</v>
      </c>
      <c r="AD171" s="81">
        <v>2020</v>
      </c>
      <c r="AE171" s="273"/>
      <c r="AF171" s="828"/>
    </row>
    <row r="172" spans="1:32">
      <c r="A172" s="169"/>
      <c r="B172" s="718" t="s">
        <v>1099</v>
      </c>
      <c r="C172" s="226"/>
      <c r="D172" s="261"/>
      <c r="E172" s="261"/>
      <c r="F172" s="224" t="s">
        <v>1149</v>
      </c>
      <c r="G172" s="55"/>
      <c r="H172" s="174"/>
      <c r="I172" s="174" t="str">
        <f t="shared" si="142"/>
        <v>INDNWH</v>
      </c>
      <c r="J172" s="224">
        <f t="shared" si="145"/>
        <v>2030</v>
      </c>
      <c r="K172" s="81"/>
      <c r="L172" s="199">
        <f t="shared" ca="1" si="235"/>
        <v>0.89</v>
      </c>
      <c r="M172" s="772"/>
      <c r="N172" s="200"/>
      <c r="O172" s="725">
        <f t="shared" ca="1" si="236"/>
        <v>3.4699403462447704</v>
      </c>
      <c r="P172" s="725">
        <f t="shared" ca="1" si="237"/>
        <v>0.24287</v>
      </c>
      <c r="Q172" s="299">
        <f t="shared" ca="1" si="238"/>
        <v>3.9836805555555559</v>
      </c>
      <c r="R172" s="823"/>
      <c r="S172" s="300"/>
      <c r="T172" s="300"/>
      <c r="U172" s="300"/>
      <c r="V172" s="199">
        <f t="shared" ref="V172" ca="1" si="247">IF(IF(RIGHT(H171,2)="PH",(1-L172)+$W$2,IF(RIGHT(H171,2)="HT",(1-L172)+$W$1,IF(RIGHT(H171,2)="SH",(1-L172)+$W$3,"")))&gt;0,IF(RIGHT(H171,2)="PH",(1-L172)+$W$2,IF(RIGHT(H171,2)="HT",(1-L172)+$W$1,IF(RIGHT(H171,2)="SH",(1-L172)+$W$3,""))),0)</f>
        <v>0.31</v>
      </c>
      <c r="W172" s="298"/>
      <c r="X172" s="698">
        <f t="shared" ca="1" si="218"/>
        <v>8</v>
      </c>
      <c r="Y172" s="299">
        <f t="shared" ca="1" si="240"/>
        <v>35</v>
      </c>
      <c r="Z172" s="299">
        <f t="shared" ca="1" si="241"/>
        <v>1.5</v>
      </c>
      <c r="AA172" s="299">
        <f t="shared" ca="1" si="242"/>
        <v>0.8</v>
      </c>
      <c r="AB172" s="299">
        <f t="shared" ca="1" si="243"/>
        <v>2.1</v>
      </c>
      <c r="AD172" s="81">
        <v>2030</v>
      </c>
      <c r="AE172" s="273"/>
      <c r="AF172" s="828"/>
    </row>
    <row r="173" spans="1:32">
      <c r="A173" s="169"/>
      <c r="B173" s="718" t="s">
        <v>1099</v>
      </c>
      <c r="C173" s="226"/>
      <c r="D173" s="261"/>
      <c r="E173" s="261"/>
      <c r="F173" s="224" t="s">
        <v>1149</v>
      </c>
      <c r="G173" s="55"/>
      <c r="H173" s="174"/>
      <c r="I173" s="174" t="str">
        <f t="shared" si="142"/>
        <v>INDNWH</v>
      </c>
      <c r="J173" s="224">
        <f t="shared" si="145"/>
        <v>2050</v>
      </c>
      <c r="K173" s="81"/>
      <c r="L173" s="199">
        <f t="shared" ca="1" si="235"/>
        <v>0.91</v>
      </c>
      <c r="M173" s="772"/>
      <c r="N173" s="200"/>
      <c r="O173" s="725">
        <f t="shared" ca="1" si="236"/>
        <v>3.2813985758696647</v>
      </c>
      <c r="P173" s="725">
        <f t="shared" ca="1" si="237"/>
        <v>0.22797000000000001</v>
      </c>
      <c r="Q173" s="299">
        <f t="shared" ca="1" si="238"/>
        <v>4.0064444444444449</v>
      </c>
      <c r="R173" s="823"/>
      <c r="S173" s="300"/>
      <c r="T173" s="300"/>
      <c r="U173" s="300"/>
      <c r="V173" s="199">
        <f t="shared" ref="V173" ca="1" si="248">IF(IF(RIGHT(H171,2)="PH",(1-L173)+$W$2,IF(RIGHT(H171,2)="HT",(1-L173)+$W$1,IF(RIGHT(H171,2)="SH",(1-L173)+$W$3,"")))&gt;0,IF(RIGHT(H171,2)="PH",(1-L173)+$W$2,IF(RIGHT(H171,2)="HT",(1-L173)+$W$1,IF(RIGHT(H171,2)="SH",(1-L173)+$W$3,""))),0)</f>
        <v>0.28999999999999998</v>
      </c>
      <c r="W173" s="298"/>
      <c r="X173" s="698">
        <f t="shared" ca="1" si="218"/>
        <v>8</v>
      </c>
      <c r="Y173" s="299">
        <f t="shared" ca="1" si="240"/>
        <v>35</v>
      </c>
      <c r="Z173" s="299">
        <f t="shared" ca="1" si="241"/>
        <v>1.5</v>
      </c>
      <c r="AA173" s="299">
        <f t="shared" ca="1" si="242"/>
        <v>0.8</v>
      </c>
      <c r="AB173" s="299">
        <f t="shared" ca="1" si="243"/>
        <v>2.1</v>
      </c>
      <c r="AD173" s="81">
        <v>2050</v>
      </c>
      <c r="AE173" s="273"/>
      <c r="AF173" s="828"/>
    </row>
    <row r="174" spans="1:32">
      <c r="A174" s="169"/>
      <c r="B174" s="718" t="s">
        <v>1099</v>
      </c>
      <c r="C174" s="226"/>
      <c r="D174" s="261" t="str">
        <f>"IND"&amp;RIGHT(H174,4)&amp;RIGHT(G174,3)&amp;"N"&amp;RIGHT(E174,1)</f>
        <v>INDNDSHCOAN1</v>
      </c>
      <c r="E174" s="261" t="str">
        <f>"Industrial heating technology "&amp;$AJ$12&amp;" "&amp;RIGHT(H174,2)&amp;" - Coal boiler (Steam) - new 1"</f>
        <v>Industrial heating technology N SH - Coal boiler (Steam) - new 1</v>
      </c>
      <c r="F174" s="224" t="s">
        <v>1149</v>
      </c>
      <c r="G174" s="55" t="s">
        <v>617</v>
      </c>
      <c r="H174" s="174" t="str">
        <f>$AI$15</f>
        <v>INDSH</v>
      </c>
      <c r="I174" s="174" t="str">
        <f t="shared" si="142"/>
        <v>INDNWH</v>
      </c>
      <c r="J174" s="224">
        <f t="shared" si="145"/>
        <v>2011</v>
      </c>
      <c r="K174" s="299">
        <v>2025</v>
      </c>
      <c r="L174" s="199">
        <f t="shared" ca="1" si="235"/>
        <v>0.89</v>
      </c>
      <c r="M174" s="199"/>
      <c r="N174" s="81">
        <f ca="1">VLOOKUP($AD174,INDIRECT("'"&amp;$B174&amp;"'!"&amp;"$P$39:$AD$42"),5,FALSE)</f>
        <v>25</v>
      </c>
      <c r="O174" s="725">
        <f t="shared" ca="1" si="236"/>
        <v>3.7250000000000001</v>
      </c>
      <c r="P174" s="725">
        <f t="shared" ca="1" si="237"/>
        <v>0.25106499999999998</v>
      </c>
      <c r="Q174" s="299">
        <f t="shared" ca="1" si="238"/>
        <v>3.9381527777777778</v>
      </c>
      <c r="R174" s="81">
        <v>3.1536000000000002E-2</v>
      </c>
      <c r="S174" s="199">
        <v>0.5</v>
      </c>
      <c r="T174" s="199">
        <f ca="1">HLOOKUP($T$2,INDIRECT("'"&amp;$B174&amp;"'!"&amp;"$P$6:$AC$19"),IF(H174=$AI$13,6,IF(H174=$AI$14,9,14)),FALSE)</f>
        <v>1</v>
      </c>
      <c r="U174" s="772"/>
      <c r="V174" s="199">
        <f t="shared" ref="V174" ca="1" si="249">IF(IF(RIGHT(H174,2)="PH",(1-L174)+$W$2,IF(RIGHT(H174,2)="HT",(1-L174)+$W$1,IF(RIGHT(H174,2)="SH",(1-L174)+$W$3,"")))&gt;0,IF(RIGHT(H174,2)="PH",(1-L174)+$W$2,IF(RIGHT(H174,2)="HT",(1-L174)+$W$1,IF(RIGHT(H174,2)="SH",(1-L174)+$W$3,""))),0)</f>
        <v>0.10999999999999999</v>
      </c>
      <c r="W174" s="298"/>
      <c r="X174" s="698">
        <f t="shared" ca="1" si="218"/>
        <v>8</v>
      </c>
      <c r="Y174" s="299">
        <f t="shared" ca="1" si="240"/>
        <v>35</v>
      </c>
      <c r="Z174" s="299">
        <f t="shared" ca="1" si="241"/>
        <v>1.5</v>
      </c>
      <c r="AA174" s="299">
        <f t="shared" ca="1" si="242"/>
        <v>0.8</v>
      </c>
      <c r="AB174" s="299">
        <f t="shared" ca="1" si="243"/>
        <v>2.1</v>
      </c>
      <c r="AD174" s="81">
        <v>2020</v>
      </c>
      <c r="AE174" s="273"/>
      <c r="AF174" s="828"/>
    </row>
    <row r="175" spans="1:32">
      <c r="A175" s="169"/>
      <c r="B175" s="718" t="s">
        <v>1099</v>
      </c>
      <c r="C175" s="226"/>
      <c r="D175" s="261"/>
      <c r="E175" s="261"/>
      <c r="F175" s="224" t="s">
        <v>1149</v>
      </c>
      <c r="G175" s="55"/>
      <c r="H175" s="174"/>
      <c r="I175" s="174" t="str">
        <f t="shared" si="142"/>
        <v>INDNWH</v>
      </c>
      <c r="J175" s="224">
        <f t="shared" si="145"/>
        <v>2030</v>
      </c>
      <c r="K175" s="81"/>
      <c r="L175" s="199">
        <f t="shared" ca="1" si="235"/>
        <v>0.89</v>
      </c>
      <c r="M175" s="772"/>
      <c r="N175" s="200"/>
      <c r="O175" s="725">
        <f t="shared" ca="1" si="236"/>
        <v>3.4699403462447704</v>
      </c>
      <c r="P175" s="725">
        <f t="shared" ca="1" si="237"/>
        <v>0.24287</v>
      </c>
      <c r="Q175" s="299">
        <f t="shared" ca="1" si="238"/>
        <v>3.9836805555555559</v>
      </c>
      <c r="R175" s="823"/>
      <c r="S175" s="300"/>
      <c r="T175" s="300"/>
      <c r="U175" s="300"/>
      <c r="V175" s="199">
        <f t="shared" ref="V175" ca="1" si="250">IF(IF(RIGHT(H174,2)="PH",(1-L175)+$W$2,IF(RIGHT(H174,2)="HT",(1-L175)+$W$1,IF(RIGHT(H174,2)="SH",(1-L175)+$W$3,"")))&gt;0,IF(RIGHT(H174,2)="PH",(1-L175)+$W$2,IF(RIGHT(H174,2)="HT",(1-L175)+$W$1,IF(RIGHT(H174,2)="SH",(1-L175)+$W$3,""))),0)</f>
        <v>0.10999999999999999</v>
      </c>
      <c r="W175" s="298"/>
      <c r="X175" s="698">
        <f t="shared" ca="1" si="218"/>
        <v>8</v>
      </c>
      <c r="Y175" s="299">
        <f t="shared" ca="1" si="240"/>
        <v>35</v>
      </c>
      <c r="Z175" s="299">
        <f t="shared" ca="1" si="241"/>
        <v>1.5</v>
      </c>
      <c r="AA175" s="299">
        <f t="shared" ca="1" si="242"/>
        <v>0.8</v>
      </c>
      <c r="AB175" s="299">
        <f t="shared" ca="1" si="243"/>
        <v>2.1</v>
      </c>
      <c r="AD175" s="81">
        <v>2030</v>
      </c>
      <c r="AE175" s="273"/>
      <c r="AF175" s="828"/>
    </row>
    <row r="176" spans="1:32">
      <c r="A176" s="169"/>
      <c r="B176" s="719" t="s">
        <v>1099</v>
      </c>
      <c r="C176" s="713"/>
      <c r="D176" s="701"/>
      <c r="E176" s="701"/>
      <c r="F176" s="224" t="s">
        <v>1149</v>
      </c>
      <c r="G176" s="203"/>
      <c r="H176" s="702"/>
      <c r="I176" s="702" t="str">
        <f t="shared" si="142"/>
        <v>INDNWH</v>
      </c>
      <c r="J176" s="224">
        <f t="shared" si="145"/>
        <v>2050</v>
      </c>
      <c r="K176" s="81"/>
      <c r="L176" s="199">
        <f t="shared" ca="1" si="235"/>
        <v>0.91</v>
      </c>
      <c r="M176" s="826"/>
      <c r="N176" s="825"/>
      <c r="O176" s="725">
        <f t="shared" ca="1" si="236"/>
        <v>3.2813985758696647</v>
      </c>
      <c r="P176" s="725">
        <f t="shared" ca="1" si="237"/>
        <v>0.22797000000000001</v>
      </c>
      <c r="Q176" s="299">
        <f t="shared" ca="1" si="238"/>
        <v>4.0064444444444449</v>
      </c>
      <c r="R176" s="722"/>
      <c r="S176" s="703"/>
      <c r="T176" s="703"/>
      <c r="U176" s="703"/>
      <c r="V176" s="199">
        <f t="shared" ref="V176" ca="1" si="251">IF(IF(RIGHT(H174,2)="PH",(1-L176)+$W$2,IF(RIGHT(H174,2)="HT",(1-L176)+$W$1,IF(RIGHT(H174,2)="SH",(1-L176)+$W$3,"")))&gt;0,IF(RIGHT(H174,2)="PH",(1-L176)+$W$2,IF(RIGHT(H174,2)="HT",(1-L176)+$W$1,IF(RIGHT(H174,2)="SH",(1-L176)+$W$3,""))),0)</f>
        <v>8.9999999999999969E-2</v>
      </c>
      <c r="W176" s="704"/>
      <c r="X176" s="698">
        <f t="shared" ca="1" si="218"/>
        <v>8</v>
      </c>
      <c r="Y176" s="299">
        <f t="shared" ca="1" si="240"/>
        <v>35</v>
      </c>
      <c r="Z176" s="299">
        <f t="shared" ca="1" si="241"/>
        <v>1.5</v>
      </c>
      <c r="AA176" s="299">
        <f t="shared" ca="1" si="242"/>
        <v>0.8</v>
      </c>
      <c r="AB176" s="299">
        <f t="shared" ca="1" si="243"/>
        <v>2.1</v>
      </c>
      <c r="AC176" s="203"/>
      <c r="AD176" s="81">
        <v>2050</v>
      </c>
      <c r="AE176" s="273"/>
      <c r="AF176" s="829"/>
    </row>
    <row r="177" spans="1:32">
      <c r="A177" s="169"/>
      <c r="B177" s="718" t="s">
        <v>1099</v>
      </c>
      <c r="C177" s="226"/>
      <c r="D177" s="707" t="str">
        <f>"IND"&amp;RIGHT(H177,4)&amp;RIGHT(G177,3)&amp;"N"&amp;RIGHT(E177,1)</f>
        <v>INDNDPHCOAN2</v>
      </c>
      <c r="E177" s="261" t="str">
        <f>"Industrial heating technology "&amp;$AJ$12&amp;" "&amp;RIGHT(H177,2)&amp;" - Coal boiler (Hot Water) - new 2"</f>
        <v>Industrial heating technology N PH - Coal boiler (Hot Water) - new 2</v>
      </c>
      <c r="F177" s="224" t="s">
        <v>1149</v>
      </c>
      <c r="G177" s="55" t="s">
        <v>617</v>
      </c>
      <c r="H177" s="174" t="str">
        <f>$AI$14</f>
        <v>INDPH</v>
      </c>
      <c r="I177" s="174" t="str">
        <f t="shared" si="142"/>
        <v>INDNWH</v>
      </c>
      <c r="J177" s="224">
        <f t="shared" si="145"/>
        <v>2011</v>
      </c>
      <c r="K177" s="299">
        <v>2025</v>
      </c>
      <c r="L177" s="199">
        <f t="shared" ref="L177:L182" ca="1" si="252">VLOOKUP($AD177,INDIRECT("'"&amp;$B177&amp;"'!"&amp;"$P$118:$AD$121"),3,FALSE)</f>
        <v>0.89</v>
      </c>
      <c r="M177" s="199"/>
      <c r="N177" s="81">
        <f ca="1">VLOOKUP($AD177,INDIRECT("'"&amp;$B177&amp;"'!"&amp;"$P$118:$AD$121"),5,FALSE)</f>
        <v>25</v>
      </c>
      <c r="O177" s="723">
        <f t="shared" ref="O177:O182" ca="1" si="253">VLOOKUP($AD177,INDIRECT("'"&amp;$B177&amp;"'!"&amp;"$P$118:$AD$121"),6,FALSE)/1000</f>
        <v>3.7250000000000001</v>
      </c>
      <c r="P177" s="723">
        <f t="shared" ref="P177:P182" ca="1" si="254">VLOOKUP($AD177,INDIRECT("'"&amp;$B177&amp;"'!"&amp;"$P$118:$AD$121"),7,FALSE)/1000</f>
        <v>0.25106499999999998</v>
      </c>
      <c r="Q177" s="81">
        <f t="shared" ref="Q177:Q182" ca="1" si="255">VLOOKUP($AD177,INDIRECT("'"&amp;$B177&amp;"'!"&amp;"$P$118:$AD$121"),8,FALSE)</f>
        <v>3.9381527777777778</v>
      </c>
      <c r="R177" s="81">
        <v>3.1536000000000002E-2</v>
      </c>
      <c r="S177" s="199">
        <v>0.5</v>
      </c>
      <c r="T177" s="199">
        <f ca="1">HLOOKUP($T$2,INDIRECT("'"&amp;$B177&amp;"'!"&amp;"$P$85:$AC$98"),IF(H177=$AI$13,6,IF(H177=$AI$14,9,14)),FALSE)</f>
        <v>0</v>
      </c>
      <c r="U177" s="773"/>
      <c r="V177" s="199">
        <f t="shared" ref="V177" ca="1" si="256">IF(IF(RIGHT(H177,2)="PH",(1-L177)+$W$2,IF(RIGHT(H177,2)="HT",(1-L177)+$W$1,IF(RIGHT(H177,2)="SH",(1-L177)+$W$3,"")))&gt;0,IF(RIGHT(H177,2)="PH",(1-L177)+$W$2,IF(RIGHT(H177,2)="HT",(1-L177)+$W$1,IF(RIGHT(H177,2)="SH",(1-L177)+$W$3,""))),0)</f>
        <v>0.31</v>
      </c>
      <c r="W177" s="709"/>
      <c r="X177" s="698">
        <f t="shared" ca="1" si="218"/>
        <v>8</v>
      </c>
      <c r="Y177" s="698">
        <f ca="1">VLOOKUP($AD177,INDIRECT("'"&amp;$B177&amp;"'!"&amp;"$P$118:$AD$121"),12,FALSE)</f>
        <v>35</v>
      </c>
      <c r="Z177" s="698">
        <f ca="1">VLOOKUP($AD177,INDIRECT("'"&amp;$B177&amp;"'!"&amp;"$P$118:$AD$121"),13,FALSE)</f>
        <v>1.5</v>
      </c>
      <c r="AA177" s="698">
        <f ca="1">VLOOKUP($AD177,INDIRECT("'"&amp;$B177&amp;"'!"&amp;"$P$118:$AD$121"),14,FALSE)</f>
        <v>0.8</v>
      </c>
      <c r="AB177" s="698">
        <f ca="1">VLOOKUP($AD177,INDIRECT("'"&amp;$B177&amp;"'!"&amp;"$P$118:$AD$121"),15,FALSE)</f>
        <v>2.1</v>
      </c>
      <c r="AC177" s="55"/>
      <c r="AD177" s="81">
        <v>2020</v>
      </c>
      <c r="AE177" s="273"/>
      <c r="AF177" s="828"/>
    </row>
    <row r="178" spans="1:32">
      <c r="A178" s="169"/>
      <c r="B178" s="718" t="s">
        <v>1099</v>
      </c>
      <c r="C178" s="226"/>
      <c r="D178" s="261"/>
      <c r="E178" s="261"/>
      <c r="F178" s="224" t="s">
        <v>1149</v>
      </c>
      <c r="G178" s="55"/>
      <c r="H178" s="174"/>
      <c r="I178" s="174" t="str">
        <f t="shared" si="142"/>
        <v>INDNWH</v>
      </c>
      <c r="J178" s="224">
        <f t="shared" si="145"/>
        <v>2030</v>
      </c>
      <c r="K178" s="81"/>
      <c r="L178" s="199">
        <f t="shared" ca="1" si="252"/>
        <v>0.89</v>
      </c>
      <c r="M178" s="772"/>
      <c r="N178" s="200"/>
      <c r="O178" s="723">
        <f t="shared" ca="1" si="253"/>
        <v>3.7250000000000001</v>
      </c>
      <c r="P178" s="723">
        <f t="shared" ca="1" si="254"/>
        <v>0.24287</v>
      </c>
      <c r="Q178" s="81">
        <f t="shared" ca="1" si="255"/>
        <v>3.9836805555555559</v>
      </c>
      <c r="R178" s="823"/>
      <c r="S178" s="300"/>
      <c r="T178" s="300"/>
      <c r="U178" s="300"/>
      <c r="V178" s="199">
        <f t="shared" ref="V178" ca="1" si="257">IF(IF(RIGHT(H177,2)="PH",(1-L178)+$W$2,IF(RIGHT(H177,2)="HT",(1-L178)+$W$1,IF(RIGHT(H177,2)="SH",(1-L178)+$W$3,"")))&gt;0,IF(RIGHT(H177,2)="PH",(1-L178)+$W$2,IF(RIGHT(H177,2)="HT",(1-L178)+$W$1,IF(RIGHT(H177,2)="SH",(1-L178)+$W$3,""))),0)</f>
        <v>0.31</v>
      </c>
      <c r="W178" s="298"/>
      <c r="X178" s="824"/>
      <c r="Y178" s="824"/>
      <c r="Z178" s="824"/>
      <c r="AA178" s="824"/>
      <c r="AB178" s="824"/>
      <c r="AD178" s="81">
        <v>2030</v>
      </c>
      <c r="AE178" s="273"/>
      <c r="AF178" s="828"/>
    </row>
    <row r="179" spans="1:32">
      <c r="A179" s="169"/>
      <c r="B179" s="718" t="s">
        <v>1099</v>
      </c>
      <c r="C179" s="226"/>
      <c r="D179" s="261"/>
      <c r="E179" s="261"/>
      <c r="F179" s="224" t="s">
        <v>1149</v>
      </c>
      <c r="G179" s="55"/>
      <c r="H179" s="174"/>
      <c r="I179" s="174" t="str">
        <f t="shared" si="142"/>
        <v>INDNWH</v>
      </c>
      <c r="J179" s="224">
        <f t="shared" si="145"/>
        <v>2050</v>
      </c>
      <c r="K179" s="81"/>
      <c r="L179" s="199">
        <f t="shared" ca="1" si="252"/>
        <v>0.91</v>
      </c>
      <c r="M179" s="772"/>
      <c r="N179" s="200"/>
      <c r="O179" s="723">
        <f t="shared" ca="1" si="253"/>
        <v>3.7250000000000001</v>
      </c>
      <c r="P179" s="723">
        <f t="shared" ca="1" si="254"/>
        <v>0.22797000000000001</v>
      </c>
      <c r="Q179" s="81">
        <f t="shared" ca="1" si="255"/>
        <v>4.0064444444444449</v>
      </c>
      <c r="R179" s="823"/>
      <c r="S179" s="300"/>
      <c r="T179" s="300"/>
      <c r="U179" s="300"/>
      <c r="V179" s="199">
        <f t="shared" ref="V179" ca="1" si="258">IF(IF(RIGHT(H177,2)="PH",(1-L179)+$W$2,IF(RIGHT(H177,2)="HT",(1-L179)+$W$1,IF(RIGHT(H177,2)="SH",(1-L179)+$W$3,"")))&gt;0,IF(RIGHT(H177,2)="PH",(1-L179)+$W$2,IF(RIGHT(H177,2)="HT",(1-L179)+$W$1,IF(RIGHT(H177,2)="SH",(1-L179)+$W$3,""))),0)</f>
        <v>0.28999999999999998</v>
      </c>
      <c r="W179" s="298"/>
      <c r="X179" s="824"/>
      <c r="Y179" s="824"/>
      <c r="Z179" s="824"/>
      <c r="AA179" s="824"/>
      <c r="AB179" s="824"/>
      <c r="AD179" s="81">
        <v>2050</v>
      </c>
      <c r="AE179" s="273"/>
      <c r="AF179" s="828"/>
    </row>
    <row r="180" spans="1:32">
      <c r="A180" s="169"/>
      <c r="B180" s="718" t="s">
        <v>1099</v>
      </c>
      <c r="C180" s="226"/>
      <c r="D180" s="261" t="str">
        <f>"IND"&amp;RIGHT(H180,4)&amp;RIGHT(G180,3)&amp;"N"&amp;RIGHT(E180,1)</f>
        <v>INDNDSHCOAN2</v>
      </c>
      <c r="E180" s="261" t="str">
        <f>"Industrial heating technology "&amp;$AJ$12&amp;" "&amp;RIGHT(H180,2)&amp;" - Coal boiler (Hot Water) - new 2"</f>
        <v>Industrial heating technology N SH - Coal boiler (Hot Water) - new 2</v>
      </c>
      <c r="F180" s="224" t="s">
        <v>1149</v>
      </c>
      <c r="G180" s="55" t="s">
        <v>617</v>
      </c>
      <c r="H180" s="174" t="str">
        <f>$AI$15</f>
        <v>INDSH</v>
      </c>
      <c r="I180" s="174" t="str">
        <f t="shared" si="142"/>
        <v>INDNWH</v>
      </c>
      <c r="J180" s="224">
        <f t="shared" si="145"/>
        <v>2011</v>
      </c>
      <c r="K180" s="299">
        <v>2025</v>
      </c>
      <c r="L180" s="199">
        <f t="shared" ca="1" si="252"/>
        <v>0.89</v>
      </c>
      <c r="M180" s="199"/>
      <c r="N180" s="81">
        <f ca="1">VLOOKUP($AD180,INDIRECT("'"&amp;$B180&amp;"'!"&amp;"$P$118:$AD$121"),5,FALSE)</f>
        <v>25</v>
      </c>
      <c r="O180" s="723">
        <f t="shared" ca="1" si="253"/>
        <v>3.7250000000000001</v>
      </c>
      <c r="P180" s="723">
        <f t="shared" ca="1" si="254"/>
        <v>0.25106499999999998</v>
      </c>
      <c r="Q180" s="81">
        <f t="shared" ca="1" si="255"/>
        <v>3.9381527777777778</v>
      </c>
      <c r="R180" s="81">
        <v>3.1536000000000002E-2</v>
      </c>
      <c r="S180" s="199">
        <v>0.5</v>
      </c>
      <c r="T180" s="199">
        <f ca="1">HLOOKUP($T$2,INDIRECT("'"&amp;$B180&amp;"'!"&amp;"$P$85:$AC$98"),IF(H180=$AI$13,6,IF(H180=$AI$14,9,14)),FALSE)</f>
        <v>1</v>
      </c>
      <c r="U180" s="773"/>
      <c r="V180" s="199">
        <f t="shared" ref="V180" ca="1" si="259">IF(IF(RIGHT(H180,2)="PH",(1-L180)+$W$2,IF(RIGHT(H180,2)="HT",(1-L180)+$W$1,IF(RIGHT(H180,2)="SH",(1-L180)+$W$3,"")))&gt;0,IF(RIGHT(H180,2)="PH",(1-L180)+$W$2,IF(RIGHT(H180,2)="HT",(1-L180)+$W$1,IF(RIGHT(H180,2)="SH",(1-L180)+$W$3,""))),0)</f>
        <v>0.10999999999999999</v>
      </c>
      <c r="W180" s="709"/>
      <c r="X180" s="698">
        <f ca="1">IF(VLOOKUP($AD180,INDIRECT("'"&amp;$B180&amp;"'!"&amp;"$P$39:$AD$42"),11,FALSE)="Cf. the utilized electricity",0,VLOOKUP($AD180,INDIRECT("'"&amp;$B180&amp;"'!"&amp;"$P$39:$AD$42"),11,FALSE))</f>
        <v>8</v>
      </c>
      <c r="Y180" s="698">
        <f ca="1">VLOOKUP($AD180,INDIRECT("'"&amp;$B180&amp;"'!"&amp;"$P$118:$AD$121"),12,FALSE)</f>
        <v>35</v>
      </c>
      <c r="Z180" s="698">
        <f ca="1">VLOOKUP($AD180,INDIRECT("'"&amp;$B180&amp;"'!"&amp;"$P$118:$AD$121"),13,FALSE)</f>
        <v>1.5</v>
      </c>
      <c r="AA180" s="698">
        <f ca="1">VLOOKUP($AD180,INDIRECT("'"&amp;$B180&amp;"'!"&amp;"$P$118:$AD$121"),14,FALSE)</f>
        <v>0.8</v>
      </c>
      <c r="AB180" s="698">
        <f ca="1">VLOOKUP($AD180,INDIRECT("'"&amp;$B180&amp;"'!"&amp;"$P$118:$AD$121"),15,FALSE)</f>
        <v>2.1</v>
      </c>
      <c r="AC180" s="55"/>
      <c r="AD180" s="81">
        <v>2020</v>
      </c>
      <c r="AE180" s="273"/>
      <c r="AF180" s="828"/>
    </row>
    <row r="181" spans="1:32">
      <c r="A181" s="169"/>
      <c r="B181" s="718" t="s">
        <v>1099</v>
      </c>
      <c r="C181" s="226"/>
      <c r="D181" s="261"/>
      <c r="E181" s="261"/>
      <c r="F181" s="224" t="s">
        <v>1149</v>
      </c>
      <c r="G181" s="55"/>
      <c r="H181" s="174"/>
      <c r="I181" s="174" t="str">
        <f t="shared" si="142"/>
        <v>INDNWH</v>
      </c>
      <c r="J181" s="224">
        <f t="shared" si="145"/>
        <v>2030</v>
      </c>
      <c r="K181" s="200"/>
      <c r="L181" s="199">
        <f t="shared" ca="1" si="252"/>
        <v>0.89</v>
      </c>
      <c r="M181" s="772"/>
      <c r="N181" s="200"/>
      <c r="O181" s="723">
        <f t="shared" ca="1" si="253"/>
        <v>3.7250000000000001</v>
      </c>
      <c r="P181" s="723">
        <f t="shared" ca="1" si="254"/>
        <v>0.24287</v>
      </c>
      <c r="Q181" s="81">
        <f t="shared" ca="1" si="255"/>
        <v>3.9836805555555559</v>
      </c>
      <c r="R181" s="823"/>
      <c r="S181" s="300"/>
      <c r="T181" s="300"/>
      <c r="U181" s="300"/>
      <c r="V181" s="199">
        <f t="shared" ref="V181" ca="1" si="260">IF(IF(RIGHT(H180,2)="PH",(1-L181)+$W$2,IF(RIGHT(H180,2)="HT",(1-L181)+$W$1,IF(RIGHT(H180,2)="SH",(1-L181)+$W$3,"")))&gt;0,IF(RIGHT(H180,2)="PH",(1-L181)+$W$2,IF(RIGHT(H180,2)="HT",(1-L181)+$W$1,IF(RIGHT(H180,2)="SH",(1-L181)+$W$3,""))),0)</f>
        <v>0.10999999999999999</v>
      </c>
      <c r="W181" s="298"/>
      <c r="X181" s="824"/>
      <c r="Y181" s="824"/>
      <c r="Z181" s="824"/>
      <c r="AA181" s="824"/>
      <c r="AB181" s="824"/>
      <c r="AD181" s="81">
        <v>2030</v>
      </c>
      <c r="AE181" s="273"/>
      <c r="AF181" s="828"/>
    </row>
    <row r="182" spans="1:32">
      <c r="A182" s="831"/>
      <c r="B182" s="719" t="s">
        <v>1099</v>
      </c>
      <c r="C182" s="713"/>
      <c r="D182" s="701"/>
      <c r="E182" s="701"/>
      <c r="F182" s="224" t="s">
        <v>1149</v>
      </c>
      <c r="G182" s="203"/>
      <c r="H182" s="702"/>
      <c r="I182" s="266" t="str">
        <f t="shared" si="142"/>
        <v>INDNWH</v>
      </c>
      <c r="J182" s="224">
        <f t="shared" si="145"/>
        <v>2050</v>
      </c>
      <c r="K182" s="825"/>
      <c r="L182" s="199">
        <f t="shared" ca="1" si="252"/>
        <v>0.91</v>
      </c>
      <c r="M182" s="826"/>
      <c r="N182" s="825"/>
      <c r="O182" s="723">
        <f t="shared" ca="1" si="253"/>
        <v>3.7250000000000001</v>
      </c>
      <c r="P182" s="723">
        <f t="shared" ca="1" si="254"/>
        <v>0.22797000000000001</v>
      </c>
      <c r="Q182" s="81">
        <f t="shared" ca="1" si="255"/>
        <v>4.0064444444444449</v>
      </c>
      <c r="R182" s="722"/>
      <c r="S182" s="703"/>
      <c r="T182" s="703"/>
      <c r="U182" s="703"/>
      <c r="V182" s="199">
        <f t="shared" ref="V182" ca="1" si="261">IF(IF(RIGHT(H180,2)="PH",(1-L182)+$W$2,IF(RIGHT(H180,2)="HT",(1-L182)+$W$1,IF(RIGHT(H180,2)="SH",(1-L182)+$W$3,"")))&gt;0,IF(RIGHT(H180,2)="PH",(1-L182)+$W$2,IF(RIGHT(H180,2)="HT",(1-L182)+$W$1,IF(RIGHT(H180,2)="SH",(1-L182)+$W$3,""))),0)</f>
        <v>8.9999999999999969E-2</v>
      </c>
      <c r="W182" s="704"/>
      <c r="X182" s="827"/>
      <c r="Y182" s="827"/>
      <c r="Z182" s="827"/>
      <c r="AA182" s="827"/>
      <c r="AB182" s="827"/>
      <c r="AC182" s="203"/>
      <c r="AD182" s="81">
        <v>2050</v>
      </c>
      <c r="AE182" s="273"/>
      <c r="AF182" s="829"/>
    </row>
    <row r="183" spans="1:32">
      <c r="A183" s="831"/>
      <c r="B183" s="226" t="s">
        <v>576</v>
      </c>
      <c r="C183" s="901"/>
      <c r="D183" s="261" t="str">
        <f>"IND"&amp;RIGHT(H183,4)&amp;RIGHT(G183,3)&amp;"N"&amp;RIGHT(E183,1)</f>
        <v>INDNDSHSOLN1</v>
      </c>
      <c r="E183" s="261" t="str">
        <f>"Industrial heating technology "&amp;$AJ$12&amp;" "&amp;RIGHT(H183,2)&amp;" - Solar - new 1"</f>
        <v>Industrial heating technology N SH - Solar - new 1</v>
      </c>
      <c r="F183" s="224" t="s">
        <v>1149</v>
      </c>
      <c r="G183" s="55" t="s">
        <v>500</v>
      </c>
      <c r="H183" s="174" t="str">
        <f>$AI$15</f>
        <v>INDSH</v>
      </c>
      <c r="I183" s="174"/>
      <c r="J183" s="224">
        <f t="shared" si="145"/>
        <v>2011</v>
      </c>
      <c r="K183" s="299">
        <v>2025</v>
      </c>
      <c r="L183" s="199">
        <f ca="1">VLOOKUP($AD183,INDIRECT("'"&amp;$B183&amp;"'!"&amp;"$J$40:$X$43"),3,FALSE)</f>
        <v>1</v>
      </c>
      <c r="M183" s="772"/>
      <c r="N183" s="199">
        <f ca="1">VLOOKUP($AD183,INDIRECT("'"&amp;$B183&amp;"'!"&amp;"$J$40:$X$43"),5,FALSE)</f>
        <v>25</v>
      </c>
      <c r="O183" s="199">
        <f ca="1">VLOOKUP($AD183,INDIRECT("'"&amp;$B183&amp;"'!"&amp;"$J$40:$X$43"),6,FALSE)/1000</f>
        <v>4.2857142857142865</v>
      </c>
      <c r="P183" s="199">
        <f ca="1">VLOOKUP($AD183,INDIRECT("'"&amp;$B183&amp;"'!"&amp;"$J$40:$X$43"),7,FALSE)/1000</f>
        <v>2.0660433158225668E-2</v>
      </c>
      <c r="Q183" s="199">
        <f ca="1">VLOOKUP($AD183,INDIRECT("'"&amp;$B183&amp;"'!"&amp;"$J$40:$X$43"),8,FALSE)</f>
        <v>0</v>
      </c>
      <c r="R183" s="81">
        <v>3.1536000000000002E-2</v>
      </c>
      <c r="S183" s="199">
        <v>8.5500000000000007E-2</v>
      </c>
      <c r="T183" s="199">
        <v>1</v>
      </c>
      <c r="U183" s="300"/>
      <c r="V183" s="199"/>
      <c r="W183" s="298"/>
      <c r="X183" s="698">
        <v>0</v>
      </c>
      <c r="Y183" s="81">
        <v>0</v>
      </c>
      <c r="Z183" s="81">
        <v>0</v>
      </c>
      <c r="AA183" s="81">
        <v>0</v>
      </c>
      <c r="AB183" s="81">
        <v>0</v>
      </c>
      <c r="AC183" s="55"/>
      <c r="AD183" s="81">
        <v>2020</v>
      </c>
      <c r="AE183" s="200"/>
      <c r="AF183" s="700"/>
    </row>
    <row r="184" spans="1:32">
      <c r="A184" s="831"/>
      <c r="B184" s="226" t="s">
        <v>576</v>
      </c>
      <c r="C184" s="902"/>
      <c r="D184" s="261"/>
      <c r="E184" s="261"/>
      <c r="F184" s="224" t="s">
        <v>1149</v>
      </c>
      <c r="G184" s="55"/>
      <c r="H184" s="174"/>
      <c r="I184" s="174"/>
      <c r="J184" s="224">
        <f t="shared" si="145"/>
        <v>2030</v>
      </c>
      <c r="K184" s="200"/>
      <c r="L184" s="199">
        <f ca="1">VLOOKUP($AD184,INDIRECT("'"&amp;$B184&amp;"'!"&amp;"$J$40:$X$43"),3,FALSE)</f>
        <v>1</v>
      </c>
      <c r="M184" s="772"/>
      <c r="N184" s="199">
        <f ca="1">VLOOKUP($AD184,INDIRECT("'"&amp;$B184&amp;"'!"&amp;"$J$40:$X$43"),5,FALSE)</f>
        <v>30</v>
      </c>
      <c r="O184" s="199">
        <f ca="1">VLOOKUP($AD184,INDIRECT("'"&amp;$B184&amp;"'!"&amp;"$J$40:$X$43"),6,FALSE)/1000</f>
        <v>3.9285714285714284</v>
      </c>
      <c r="P184" s="199">
        <f ca="1">VLOOKUP($AD184,INDIRECT("'"&amp;$B184&amp;"'!"&amp;"$J$40:$X$43"),7,FALSE)/1000</f>
        <v>2.328125E-2</v>
      </c>
      <c r="Q184" s="199">
        <f ca="1">VLOOKUP($AD184,INDIRECT("'"&amp;$B184&amp;"'!"&amp;"$J$40:$X$43"),8,FALSE)</f>
        <v>0</v>
      </c>
      <c r="R184" s="823"/>
      <c r="S184" s="300"/>
      <c r="T184" s="300"/>
      <c r="U184" s="300"/>
      <c r="V184" s="772"/>
      <c r="W184" s="298"/>
      <c r="X184" s="824"/>
      <c r="Y184" s="824"/>
      <c r="Z184" s="824"/>
      <c r="AA184" s="824"/>
      <c r="AB184" s="824"/>
      <c r="AC184" s="55"/>
      <c r="AD184" s="81">
        <v>2030</v>
      </c>
      <c r="AE184" s="200"/>
      <c r="AF184" s="700"/>
    </row>
    <row r="185" spans="1:32" s="203" customFormat="1">
      <c r="A185" s="900"/>
      <c r="B185" s="713" t="s">
        <v>576</v>
      </c>
      <c r="C185" s="903"/>
      <c r="D185" s="701"/>
      <c r="E185" s="701"/>
      <c r="F185" s="224" t="s">
        <v>1149</v>
      </c>
      <c r="H185" s="702"/>
      <c r="I185" s="702"/>
      <c r="J185" s="224">
        <f t="shared" si="145"/>
        <v>2050</v>
      </c>
      <c r="K185" s="825"/>
      <c r="L185" s="199">
        <f ca="1">VLOOKUP($AD185,INDIRECT("'"&amp;$B185&amp;"'!"&amp;"$J$40:$X$43"),3,FALSE)</f>
        <v>1</v>
      </c>
      <c r="M185" s="826"/>
      <c r="N185" s="199">
        <f ca="1">VLOOKUP($AD185,INDIRECT("'"&amp;$B185&amp;"'!"&amp;"$J$40:$X$43"),5,FALSE)</f>
        <v>30</v>
      </c>
      <c r="O185" s="199">
        <f ca="1">VLOOKUP($AD185,INDIRECT("'"&amp;$B185&amp;"'!"&amp;"$J$40:$X$43"),6,FALSE)/1000</f>
        <v>3.5714285714285721</v>
      </c>
      <c r="P185" s="199">
        <f ca="1">VLOOKUP($AD185,INDIRECT("'"&amp;$B185&amp;"'!"&amp;"$J$40:$X$43"),7,FALSE)/1000</f>
        <v>2.1498571428571429E-2</v>
      </c>
      <c r="Q185" s="199">
        <f ca="1">VLOOKUP($AD185,INDIRECT("'"&amp;$B185&amp;"'!"&amp;"$J$40:$X$43"),8,FALSE)</f>
        <v>0</v>
      </c>
      <c r="R185" s="722"/>
      <c r="S185" s="703"/>
      <c r="T185" s="703"/>
      <c r="U185" s="703"/>
      <c r="V185" s="826"/>
      <c r="W185" s="704"/>
      <c r="X185" s="827"/>
      <c r="Y185" s="827"/>
      <c r="Z185" s="827"/>
      <c r="AA185" s="827"/>
      <c r="AB185" s="827"/>
      <c r="AD185" s="81">
        <v>2050</v>
      </c>
      <c r="AE185" s="825"/>
      <c r="AF185" s="705"/>
    </row>
    <row r="186" spans="1:32">
      <c r="A186" s="169"/>
      <c r="D186" s="36" t="s">
        <v>503</v>
      </c>
      <c r="E186" s="36"/>
      <c r="F186" s="224" t="s">
        <v>1149</v>
      </c>
      <c r="H186" s="173"/>
      <c r="I186" s="173"/>
      <c r="J186" s="224">
        <f t="shared" si="145"/>
        <v>0</v>
      </c>
      <c r="K186" s="198"/>
      <c r="L186" s="204"/>
      <c r="M186" s="204"/>
      <c r="N186" s="204"/>
      <c r="O186" s="37"/>
      <c r="P186" s="37"/>
      <c r="Q186" s="205"/>
      <c r="R186" s="252"/>
      <c r="S186" s="274"/>
      <c r="T186" s="204"/>
      <c r="U186" s="204"/>
      <c r="V186" s="204"/>
      <c r="W186" s="204"/>
      <c r="X186" s="204"/>
      <c r="Y186" s="204"/>
      <c r="Z186" s="204"/>
      <c r="AA186" s="204"/>
      <c r="AB186" s="204"/>
    </row>
    <row r="187" spans="1:32">
      <c r="A187" s="169"/>
      <c r="D187" s="212" t="str">
        <f t="shared" ref="D187:D192" si="262">"IND"&amp;RIGHT(H187,4)&amp;RIGHT(G187,3)&amp;"N"&amp;RIGHT(E187,1)</f>
        <v>INDNDSHHCEN1</v>
      </c>
      <c r="E187" s="224" t="str">
        <f>"Industrial heating technology "&amp;$AJ$12&amp;" "&amp;RIGHT(H187,2)&amp;" - central district heating - within DH area - new 1"</f>
        <v>Industrial heating technology N SH - central district heating - within DH area - new 1</v>
      </c>
      <c r="F187" s="224" t="s">
        <v>1149</v>
      </c>
      <c r="G187" s="225" t="s">
        <v>501</v>
      </c>
      <c r="H187" s="225" t="str">
        <f>AI15</f>
        <v>INDSH</v>
      </c>
      <c r="I187" s="225"/>
      <c r="J187" s="81">
        <v>2011</v>
      </c>
      <c r="K187" s="299">
        <v>2025</v>
      </c>
      <c r="L187" s="81">
        <v>0.96</v>
      </c>
      <c r="M187" s="81"/>
      <c r="N187" s="81">
        <v>30</v>
      </c>
      <c r="O187" s="253">
        <v>1.17</v>
      </c>
      <c r="P187" s="254">
        <f>'DH network'!$M$9</f>
        <v>5.8735799999999998E-2</v>
      </c>
      <c r="Q187" s="254">
        <f ca="1">Q31*0.95</f>
        <v>1.9463124999999999</v>
      </c>
      <c r="R187" s="201">
        <v>3.1536000000000002E-2</v>
      </c>
      <c r="S187" s="275">
        <v>0.5</v>
      </c>
      <c r="T187" s="228"/>
      <c r="U187" s="228"/>
      <c r="V187" s="228"/>
      <c r="W187" s="287"/>
      <c r="X187" s="278"/>
      <c r="Y187" s="61"/>
      <c r="Z187" s="61"/>
      <c r="AA187" s="61"/>
      <c r="AB187" s="61"/>
    </row>
    <row r="188" spans="1:32">
      <c r="A188" s="169"/>
      <c r="D188" s="212" t="str">
        <f t="shared" si="262"/>
        <v>INDNDPHHCEN1</v>
      </c>
      <c r="E188" s="224" t="str">
        <f>"Industrial heating technology "&amp;$AJ$12&amp;" "&amp;RIGHT(H188,2)&amp;" - central district heating - within DH area - new 1"</f>
        <v>Industrial heating technology N PH - central district heating - within DH area - new 1</v>
      </c>
      <c r="F188" s="224" t="s">
        <v>1149</v>
      </c>
      <c r="G188" s="225" t="s">
        <v>501</v>
      </c>
      <c r="H188" s="281" t="str">
        <f>AI14</f>
        <v>INDPH</v>
      </c>
      <c r="I188" s="281"/>
      <c r="J188" s="81">
        <v>2011</v>
      </c>
      <c r="K188" s="299">
        <v>2025</v>
      </c>
      <c r="L188" s="81">
        <v>0.96</v>
      </c>
      <c r="M188" s="81"/>
      <c r="N188" s="81">
        <v>30</v>
      </c>
      <c r="O188" s="253">
        <v>1.17</v>
      </c>
      <c r="P188" s="254">
        <f>'DH network'!$M$9</f>
        <v>5.8735799999999998E-2</v>
      </c>
      <c r="Q188" s="254">
        <f ca="1">Q33*0.95</f>
        <v>6.4090694444444436</v>
      </c>
      <c r="R188" s="201">
        <v>3.1536000000000002E-2</v>
      </c>
      <c r="S188" s="275">
        <v>0.5</v>
      </c>
      <c r="T188" s="228">
        <v>0.05</v>
      </c>
      <c r="U188" s="228"/>
      <c r="V188" s="228"/>
      <c r="W188" s="287"/>
      <c r="X188" s="278"/>
      <c r="Y188" s="61"/>
      <c r="Z188" s="61"/>
      <c r="AA188" s="61"/>
      <c r="AB188" s="61"/>
      <c r="AC188" s="226"/>
      <c r="AD188" s="226"/>
      <c r="AE188" s="226"/>
      <c r="AF188" s="226"/>
    </row>
    <row r="189" spans="1:32">
      <c r="A189" s="169"/>
      <c r="D189" s="212" t="str">
        <f t="shared" si="262"/>
        <v>INDNDSHHSEN1</v>
      </c>
      <c r="E189" s="224" t="str">
        <f>"Industrial heating technology "&amp;$AJ$12&amp;" "&amp;RIGHT(H189,2)&amp;" - central district heating - within DH area - new 1"</f>
        <v>Industrial heating technology N SH - central district heating - within DH area - new 1</v>
      </c>
      <c r="F189" s="224" t="s">
        <v>1149</v>
      </c>
      <c r="G189" s="225" t="s">
        <v>2123</v>
      </c>
      <c r="H189" s="225" t="str">
        <f>H187</f>
        <v>INDSH</v>
      </c>
      <c r="I189" s="225"/>
      <c r="J189" s="81">
        <f t="shared" ref="J189:L190" si="263">J187</f>
        <v>2011</v>
      </c>
      <c r="K189" s="81">
        <f t="shared" si="263"/>
        <v>2025</v>
      </c>
      <c r="L189" s="81">
        <f t="shared" si="263"/>
        <v>0.96</v>
      </c>
      <c r="M189" s="81"/>
      <c r="N189" s="81">
        <f t="shared" ref="N189:S190" si="264">N187</f>
        <v>30</v>
      </c>
      <c r="O189" s="81">
        <f t="shared" si="264"/>
        <v>1.17</v>
      </c>
      <c r="P189" s="81">
        <f t="shared" si="264"/>
        <v>5.8735799999999998E-2</v>
      </c>
      <c r="Q189" s="81">
        <f t="shared" ca="1" si="264"/>
        <v>1.9463124999999999</v>
      </c>
      <c r="R189" s="81">
        <f t="shared" si="264"/>
        <v>3.1536000000000002E-2</v>
      </c>
      <c r="S189" s="81">
        <f t="shared" si="264"/>
        <v>0.5</v>
      </c>
      <c r="T189" s="228"/>
      <c r="U189" s="228"/>
      <c r="V189" s="228"/>
      <c r="W189" s="287"/>
      <c r="X189" s="278"/>
      <c r="Y189" s="61"/>
      <c r="Z189" s="61"/>
      <c r="AA189" s="61"/>
      <c r="AB189" s="61"/>
    </row>
    <row r="190" spans="1:32">
      <c r="A190" s="169"/>
      <c r="D190" s="212" t="str">
        <f t="shared" si="262"/>
        <v>INDNDPHHSEN1</v>
      </c>
      <c r="E190" s="224" t="str">
        <f>"Industrial heating technology "&amp;$AJ$12&amp;" "&amp;RIGHT(H190,2)&amp;" - central district heating - within DH area - new 1"</f>
        <v>Industrial heating technology N PH - central district heating - within DH area - new 1</v>
      </c>
      <c r="F190" s="224" t="s">
        <v>1149</v>
      </c>
      <c r="G190" s="225" t="s">
        <v>2123</v>
      </c>
      <c r="H190" s="225" t="str">
        <f>H188</f>
        <v>INDPH</v>
      </c>
      <c r="I190" s="281"/>
      <c r="J190" s="81">
        <f t="shared" si="263"/>
        <v>2011</v>
      </c>
      <c r="K190" s="81">
        <f t="shared" si="263"/>
        <v>2025</v>
      </c>
      <c r="L190" s="81">
        <f t="shared" si="263"/>
        <v>0.96</v>
      </c>
      <c r="M190" s="81"/>
      <c r="N190" s="81">
        <f t="shared" si="264"/>
        <v>30</v>
      </c>
      <c r="O190" s="81">
        <f t="shared" si="264"/>
        <v>1.17</v>
      </c>
      <c r="P190" s="81">
        <f t="shared" si="264"/>
        <v>5.8735799999999998E-2</v>
      </c>
      <c r="Q190" s="81">
        <f t="shared" ca="1" si="264"/>
        <v>6.4090694444444436</v>
      </c>
      <c r="R190" s="81">
        <f t="shared" si="264"/>
        <v>3.1536000000000002E-2</v>
      </c>
      <c r="S190" s="81">
        <f t="shared" si="264"/>
        <v>0.5</v>
      </c>
      <c r="T190" s="81">
        <f>T188</f>
        <v>0.05</v>
      </c>
      <c r="U190" s="228"/>
      <c r="V190" s="228"/>
      <c r="W190" s="287"/>
      <c r="X190" s="278"/>
      <c r="Y190" s="61"/>
      <c r="Z190" s="61"/>
      <c r="AA190" s="61"/>
      <c r="AB190" s="61"/>
      <c r="AC190" s="226"/>
      <c r="AD190" s="226"/>
      <c r="AE190" s="226"/>
      <c r="AF190" s="226"/>
    </row>
    <row r="191" spans="1:32">
      <c r="A191" s="169"/>
      <c r="D191" s="212" t="str">
        <f t="shared" si="262"/>
        <v>INDNDSHHDEN1</v>
      </c>
      <c r="E191" s="224" t="str">
        <f>"Industrial heating technology "&amp;$AJ$12&amp;" "&amp;RIGHT(H191,2)&amp;" - decentral district heating - within DH area - new 1"</f>
        <v>Industrial heating technology N SH - decentral district heating - within DH area - new 1</v>
      </c>
      <c r="F191" s="224" t="s">
        <v>1149</v>
      </c>
      <c r="G191" s="259" t="s">
        <v>502</v>
      </c>
      <c r="H191" s="265" t="str">
        <f>AI15</f>
        <v>INDSH</v>
      </c>
      <c r="I191" s="265"/>
      <c r="J191" s="81">
        <v>2011</v>
      </c>
      <c r="K191" s="299">
        <v>2025</v>
      </c>
      <c r="L191" s="81">
        <f>L187</f>
        <v>0.96</v>
      </c>
      <c r="M191" s="81"/>
      <c r="N191" s="81">
        <v>30</v>
      </c>
      <c r="O191" s="253">
        <v>1.25</v>
      </c>
      <c r="P191" s="254">
        <f>'DH network'!$M$9</f>
        <v>5.8735799999999998E-2</v>
      </c>
      <c r="Q191" s="254">
        <f ca="1">Q187</f>
        <v>1.9463124999999999</v>
      </c>
      <c r="R191" s="201">
        <v>3.1536000000000002E-2</v>
      </c>
      <c r="S191" s="275">
        <v>0.5</v>
      </c>
      <c r="T191" s="228"/>
      <c r="U191" s="228"/>
      <c r="V191" s="228"/>
      <c r="W191" s="287"/>
      <c r="X191" s="278"/>
      <c r="Y191" s="61"/>
      <c r="Z191" s="61"/>
      <c r="AA191" s="61"/>
      <c r="AB191" s="61"/>
      <c r="AC191" s="226"/>
      <c r="AD191" s="226"/>
      <c r="AE191" s="226"/>
      <c r="AF191" s="226"/>
    </row>
    <row r="192" spans="1:32">
      <c r="A192" s="169"/>
      <c r="D192" s="212" t="str">
        <f t="shared" si="262"/>
        <v>INDNDPHHDEN1</v>
      </c>
      <c r="E192" s="224" t="str">
        <f>"Industrial heating technology "&amp;$AJ$12&amp;" "&amp;RIGHT(H192,2)&amp;" - decentral district heating - within DH area - new 1"</f>
        <v>Industrial heating technology N PH - decentral district heating - within DH area - new 1</v>
      </c>
      <c r="F192" s="224" t="s">
        <v>1149</v>
      </c>
      <c r="G192" s="259" t="s">
        <v>502</v>
      </c>
      <c r="H192" s="225" t="str">
        <f>AI14</f>
        <v>INDPH</v>
      </c>
      <c r="I192" s="225"/>
      <c r="J192" s="81">
        <v>2011</v>
      </c>
      <c r="K192" s="299">
        <v>2025</v>
      </c>
      <c r="L192" s="81">
        <f>L188</f>
        <v>0.96</v>
      </c>
      <c r="M192" s="81"/>
      <c r="N192" s="81">
        <v>30</v>
      </c>
      <c r="O192" s="253">
        <v>1.25</v>
      </c>
      <c r="P192" s="254">
        <f>'DH network'!$M$9</f>
        <v>5.8735799999999998E-2</v>
      </c>
      <c r="Q192" s="254">
        <f ca="1">Q188</f>
        <v>6.4090694444444436</v>
      </c>
      <c r="R192" s="201">
        <v>3.1536000000000002E-2</v>
      </c>
      <c r="S192" s="275">
        <v>0.5</v>
      </c>
      <c r="T192" s="228">
        <v>0.05</v>
      </c>
      <c r="U192" s="228"/>
      <c r="V192" s="228"/>
      <c r="W192" s="287"/>
      <c r="X192" s="278"/>
      <c r="Y192" s="61"/>
      <c r="Z192" s="61"/>
      <c r="AA192" s="61"/>
      <c r="AB192" s="61"/>
      <c r="AC192" s="226"/>
      <c r="AD192" s="226"/>
      <c r="AE192" s="226"/>
      <c r="AF192" s="226"/>
    </row>
    <row r="193" spans="1:32">
      <c r="A193" s="169"/>
      <c r="B193" s="226"/>
      <c r="C193" s="226"/>
      <c r="D193" s="258" t="s">
        <v>497</v>
      </c>
      <c r="E193" s="258"/>
      <c r="F193" s="224" t="s">
        <v>1149</v>
      </c>
      <c r="G193" s="206"/>
      <c r="H193" s="225"/>
      <c r="I193" s="225"/>
      <c r="J193" s="200"/>
      <c r="K193" s="200"/>
      <c r="L193" s="200"/>
      <c r="M193" s="200"/>
      <c r="N193" s="200"/>
      <c r="O193" s="227"/>
      <c r="P193" s="227"/>
      <c r="Q193" s="227"/>
      <c r="R193" s="202"/>
      <c r="S193" s="228"/>
      <c r="T193" s="228"/>
      <c r="U193" s="228"/>
      <c r="V193" s="228"/>
      <c r="W193" s="287"/>
      <c r="X193" s="226"/>
      <c r="Y193" s="226"/>
      <c r="Z193" s="226"/>
      <c r="AA193" s="226"/>
      <c r="AB193" s="226"/>
      <c r="AC193" s="226"/>
      <c r="AD193" s="226"/>
      <c r="AE193" s="226"/>
      <c r="AF193" s="226"/>
    </row>
    <row r="194" spans="1:32">
      <c r="A194" s="169"/>
      <c r="B194" s="226"/>
      <c r="C194" s="226"/>
      <c r="D194" s="212" t="str">
        <f>"IND"&amp;RIGHT(H194,4)&amp;RIGHT(G194,3)&amp;"N"&amp;RIGHT(E194,1)</f>
        <v>INDNDLAELCN1</v>
      </c>
      <c r="E194" s="224" t="str">
        <f>"Industry "&amp;$AJ$12&amp;" "&amp;RIGHT(H194,2)&amp;" Electricity Light Appliance - New 1"</f>
        <v>Industry N LA Electricity Light Appliance - New 1</v>
      </c>
      <c r="F194" s="224" t="s">
        <v>1149</v>
      </c>
      <c r="G194" s="225" t="s">
        <v>499</v>
      </c>
      <c r="H194" s="225" t="str">
        <f>AI16</f>
        <v>INDLA</v>
      </c>
      <c r="I194" s="225"/>
      <c r="J194" s="81">
        <v>2011</v>
      </c>
      <c r="K194" s="81">
        <v>2011</v>
      </c>
      <c r="L194" s="256">
        <v>1</v>
      </c>
      <c r="M194" s="256"/>
      <c r="N194" s="256">
        <v>10</v>
      </c>
      <c r="O194" s="254"/>
      <c r="P194" s="254"/>
      <c r="Q194" s="254"/>
      <c r="R194" s="201"/>
      <c r="S194" s="275">
        <v>0.9</v>
      </c>
      <c r="T194" s="228"/>
      <c r="U194" s="228"/>
      <c r="V194" s="228"/>
      <c r="W194" s="287"/>
      <c r="X194" s="279"/>
      <c r="Y194" s="255"/>
      <c r="Z194" s="255"/>
      <c r="AA194" s="255"/>
      <c r="AB194" s="255"/>
      <c r="AC194" s="226"/>
      <c r="AD194" s="226"/>
      <c r="AE194" s="226"/>
      <c r="AF194" s="226"/>
    </row>
    <row r="195" spans="1:32">
      <c r="A195" s="169"/>
      <c r="B195" s="226"/>
      <c r="C195" s="226"/>
      <c r="F195" s="224" t="s">
        <v>1149</v>
      </c>
      <c r="G195" s="225"/>
      <c r="H195" s="226"/>
      <c r="I195" s="226"/>
      <c r="J195" s="256">
        <v>2020</v>
      </c>
      <c r="K195" s="256"/>
      <c r="L195" s="256"/>
      <c r="M195" s="256"/>
      <c r="N195" s="256"/>
      <c r="O195" s="254"/>
      <c r="P195" s="254"/>
      <c r="Q195" s="254"/>
      <c r="R195" s="201"/>
      <c r="S195" s="275"/>
      <c r="T195" s="228"/>
      <c r="U195" s="228"/>
      <c r="V195" s="228"/>
      <c r="W195" s="287"/>
      <c r="X195" s="279"/>
      <c r="Y195" s="255"/>
      <c r="Z195" s="255"/>
      <c r="AA195" s="255"/>
      <c r="AB195" s="255"/>
      <c r="AC195" s="226"/>
      <c r="AD195" s="226"/>
      <c r="AE195" s="226"/>
      <c r="AF195" s="226"/>
    </row>
    <row r="196" spans="1:32">
      <c r="A196" s="169"/>
      <c r="B196" s="226"/>
      <c r="C196" s="226"/>
      <c r="F196" s="224" t="s">
        <v>1149</v>
      </c>
      <c r="G196" s="225"/>
      <c r="H196" s="225"/>
      <c r="I196" s="225"/>
      <c r="J196" s="256">
        <v>2030</v>
      </c>
      <c r="K196" s="256"/>
      <c r="L196" s="256"/>
      <c r="M196" s="256"/>
      <c r="N196" s="256"/>
      <c r="O196" s="254"/>
      <c r="P196" s="254"/>
      <c r="Q196" s="254"/>
      <c r="R196" s="201"/>
      <c r="S196" s="275"/>
      <c r="T196" s="228"/>
      <c r="U196" s="228"/>
      <c r="V196" s="228"/>
      <c r="W196" s="287"/>
      <c r="X196" s="279"/>
      <c r="Y196" s="255"/>
      <c r="Z196" s="255"/>
      <c r="AA196" s="255"/>
      <c r="AB196" s="255"/>
    </row>
    <row r="197" spans="1:32">
      <c r="A197" s="169"/>
      <c r="B197" s="226"/>
      <c r="C197" s="226"/>
      <c r="F197" s="224" t="s">
        <v>1149</v>
      </c>
      <c r="G197" s="225"/>
      <c r="H197" s="225"/>
      <c r="I197" s="225"/>
      <c r="J197" s="256">
        <v>2050</v>
      </c>
      <c r="K197" s="256"/>
      <c r="L197" s="256"/>
      <c r="M197" s="256"/>
      <c r="N197" s="256"/>
      <c r="O197" s="254"/>
      <c r="P197" s="254"/>
      <c r="Q197" s="254"/>
      <c r="R197" s="201"/>
      <c r="S197" s="275"/>
      <c r="T197" s="228"/>
      <c r="U197" s="228"/>
      <c r="V197" s="228"/>
      <c r="W197" s="287"/>
      <c r="X197" s="279"/>
      <c r="Y197" s="255"/>
      <c r="Z197" s="255"/>
      <c r="AA197" s="255"/>
      <c r="AB197" s="255"/>
    </row>
    <row r="198" spans="1:32">
      <c r="A198" s="169"/>
      <c r="B198" s="226"/>
      <c r="C198" s="226"/>
      <c r="D198" s="212" t="str">
        <f>"IND"&amp;RIGHT(H198,4)&amp;RIGHT(G198,3)&amp;"N"&amp;RIGHT(E198,1)</f>
        <v>INDNDEMELCN1</v>
      </c>
      <c r="E198" s="224" t="str">
        <f>"Industry "&amp;$AJ$12&amp;" "&amp;RIGHT(H198,2)&amp;" Electricity Motors - New 1"</f>
        <v>Industry N EM Electricity Motors - New 1</v>
      </c>
      <c r="F198" s="224" t="s">
        <v>1149</v>
      </c>
      <c r="G198" s="225" t="s">
        <v>499</v>
      </c>
      <c r="H198" s="225" t="str">
        <f>AI17</f>
        <v>INDEM</v>
      </c>
      <c r="I198" s="225"/>
      <c r="J198" s="81">
        <v>2011</v>
      </c>
      <c r="K198" s="81">
        <v>2011</v>
      </c>
      <c r="L198" s="256">
        <v>1</v>
      </c>
      <c r="M198" s="256"/>
      <c r="N198" s="256">
        <v>10</v>
      </c>
      <c r="O198" s="254"/>
      <c r="P198" s="254"/>
      <c r="Q198" s="254"/>
      <c r="R198" s="201"/>
      <c r="S198" s="275">
        <v>0.9</v>
      </c>
      <c r="T198" s="228"/>
      <c r="U198" s="228"/>
      <c r="V198" s="228"/>
      <c r="W198" s="287"/>
      <c r="X198" s="279"/>
      <c r="Y198" s="255"/>
      <c r="Z198" s="255"/>
      <c r="AA198" s="255"/>
      <c r="AB198" s="255"/>
    </row>
    <row r="199" spans="1:32">
      <c r="A199" s="169"/>
      <c r="D199" s="170"/>
      <c r="E199" s="64"/>
      <c r="F199" s="224" t="s">
        <v>1149</v>
      </c>
      <c r="H199" s="173"/>
      <c r="I199" s="173"/>
      <c r="J199" s="256">
        <v>2020</v>
      </c>
      <c r="K199" s="257"/>
      <c r="L199" s="257"/>
      <c r="M199" s="257"/>
      <c r="N199" s="257"/>
      <c r="O199" s="61"/>
      <c r="P199" s="61"/>
      <c r="Q199" s="61"/>
      <c r="R199" s="61"/>
      <c r="S199" s="276"/>
      <c r="T199" s="55"/>
      <c r="U199" s="55"/>
      <c r="V199" s="55"/>
      <c r="W199" s="283"/>
      <c r="X199" s="278"/>
      <c r="Y199" s="61"/>
      <c r="Z199" s="61"/>
      <c r="AA199" s="61"/>
      <c r="AB199" s="61"/>
    </row>
    <row r="200" spans="1:32">
      <c r="A200" s="169"/>
      <c r="F200" s="224" t="s">
        <v>1149</v>
      </c>
      <c r="H200" s="173"/>
      <c r="I200" s="173"/>
      <c r="J200" s="256">
        <v>2030</v>
      </c>
      <c r="K200" s="257"/>
      <c r="L200" s="257"/>
      <c r="M200" s="257"/>
      <c r="N200" s="257"/>
      <c r="O200" s="61"/>
      <c r="P200" s="61"/>
      <c r="Q200" s="61"/>
      <c r="R200" s="61"/>
      <c r="S200" s="276"/>
      <c r="T200" s="55"/>
      <c r="U200" s="55"/>
      <c r="V200" s="55"/>
      <c r="W200" s="283"/>
      <c r="X200" s="278"/>
      <c r="Y200" s="61"/>
      <c r="Z200" s="61"/>
      <c r="AA200" s="61"/>
      <c r="AB200" s="61"/>
    </row>
    <row r="201" spans="1:32">
      <c r="A201" s="169"/>
      <c r="D201" s="203"/>
      <c r="E201" s="203"/>
      <c r="F201" s="224" t="s">
        <v>1149</v>
      </c>
      <c r="G201" s="203"/>
      <c r="H201" s="266"/>
      <c r="I201" s="266"/>
      <c r="J201" s="256">
        <v>2050</v>
      </c>
      <c r="K201" s="257"/>
      <c r="L201" s="257"/>
      <c r="M201" s="257"/>
      <c r="N201" s="257"/>
      <c r="O201" s="61"/>
      <c r="P201" s="61"/>
      <c r="Q201" s="61"/>
      <c r="R201" s="61"/>
      <c r="S201" s="276"/>
      <c r="T201" s="55"/>
      <c r="U201" s="55"/>
      <c r="V201" s="55"/>
      <c r="W201" s="283"/>
      <c r="X201" s="278"/>
      <c r="Y201" s="61"/>
      <c r="Z201" s="61"/>
      <c r="AA201" s="61"/>
      <c r="AB201" s="61"/>
    </row>
    <row r="202" spans="1:32">
      <c r="A202" s="169" t="s">
        <v>2057</v>
      </c>
      <c r="B202" s="224" t="s">
        <v>531</v>
      </c>
      <c r="D202" s="212" t="str">
        <f>"IND"&amp;RIGHT(H202,4)&amp;"DSL"&amp;"N"&amp;RIGHT(E202,1)</f>
        <v>INDNDTFDSLN1</v>
      </c>
      <c r="E202" s="224" t="str">
        <f>"Industry "&amp;$AJ$12&amp;" "&amp;RIGHT(H202,2)&amp;" Tractors, Trucks, Fishing boats - New 1"</f>
        <v>Industry N TF Tractors, Trucks, Fishing boats - New 1</v>
      </c>
      <c r="F202" s="224" t="s">
        <v>1149</v>
      </c>
      <c r="G202" s="173" t="s">
        <v>2081</v>
      </c>
      <c r="H202" s="174" t="str">
        <f>$AI$18</f>
        <v>INDTF</v>
      </c>
      <c r="I202" s="174"/>
      <c r="J202" s="81">
        <v>2011</v>
      </c>
      <c r="K202" s="81">
        <v>2011</v>
      </c>
      <c r="L202" s="1127">
        <f>L203</f>
        <v>1</v>
      </c>
      <c r="M202" s="256"/>
      <c r="N202" s="256">
        <v>20</v>
      </c>
      <c r="O202" s="1127">
        <f>O203</f>
        <v>36.999946395904708</v>
      </c>
      <c r="P202" s="254"/>
      <c r="Q202" s="254"/>
      <c r="R202" s="1126">
        <v>1</v>
      </c>
      <c r="S202" s="1127">
        <v>1</v>
      </c>
      <c r="T202" s="228"/>
      <c r="U202" s="228"/>
      <c r="V202" s="228"/>
      <c r="W202" s="287"/>
      <c r="X202" s="55"/>
      <c r="Y202" s="55"/>
      <c r="Z202" s="55"/>
      <c r="AA202" s="55"/>
      <c r="AB202" s="55"/>
    </row>
    <row r="203" spans="1:32">
      <c r="A203" s="169" t="s">
        <v>2057</v>
      </c>
      <c r="B203" s="224" t="s">
        <v>531</v>
      </c>
      <c r="D203" s="55"/>
      <c r="E203" s="55"/>
      <c r="F203" s="224" t="s">
        <v>1149</v>
      </c>
      <c r="G203" s="55"/>
      <c r="H203" s="174"/>
      <c r="I203" s="174"/>
      <c r="J203" s="256">
        <v>2017</v>
      </c>
      <c r="K203" s="256"/>
      <c r="L203" s="1127">
        <f>1/SUMIFS(Transport!$AS$13:$AS$264,Transport!$D$13:$D$264,$B203,Transport!$E$13:$E$264,$A203,Transport!$A$13:$A$264,$J203)</f>
        <v>1</v>
      </c>
      <c r="M203" s="256"/>
      <c r="N203" s="256"/>
      <c r="O203" s="1127">
        <f>SUMIFS(Transport!$AT$13:$AT$264,Transport!$D$13:$D$264,$B203,Transport!$E$13:$E$264,$A203,Transport!$A$13:$A$264,$J203)/1000*6.5</f>
        <v>36.999946395904708</v>
      </c>
      <c r="P203" s="254"/>
      <c r="Q203" s="254"/>
      <c r="R203" s="1126"/>
      <c r="S203" s="275"/>
      <c r="T203" s="228"/>
      <c r="U203" s="228"/>
      <c r="V203" s="228"/>
      <c r="W203" s="228"/>
      <c r="X203" s="55"/>
      <c r="Y203" s="55"/>
      <c r="Z203" s="55"/>
      <c r="AA203" s="55"/>
      <c r="AB203" s="55"/>
    </row>
    <row r="204" spans="1:32">
      <c r="A204" s="169" t="s">
        <v>2057</v>
      </c>
      <c r="B204" s="224" t="s">
        <v>531</v>
      </c>
      <c r="D204" s="55"/>
      <c r="E204" s="55"/>
      <c r="F204" s="224" t="s">
        <v>1149</v>
      </c>
      <c r="G204" s="55"/>
      <c r="J204" s="256">
        <v>2030</v>
      </c>
      <c r="K204" s="256"/>
      <c r="L204" s="1127">
        <f>1/SUMIFS(Transport!$AS$13:$AS$264,Transport!$D$13:$D$264,$B204,Transport!$E$13:$E$264,$A204,Transport!$A$13:$A$264,$J204)</f>
        <v>1.2199274712491708</v>
      </c>
      <c r="M204" s="256"/>
      <c r="N204" s="256"/>
      <c r="O204" s="1127">
        <f>SUMIFS(Transport!$AT$13:$AT$264,Transport!$D$13:$D$264,$B204,Transport!$E$13:$E$264,$A204,Transport!$A$13:$A$264,$J204)/1000*6.5</f>
        <v>48.752577048571375</v>
      </c>
      <c r="P204" s="254"/>
      <c r="Q204" s="254"/>
      <c r="R204" s="1126"/>
      <c r="S204" s="275"/>
      <c r="T204" s="228"/>
      <c r="U204" s="228"/>
      <c r="V204" s="228"/>
      <c r="W204" s="228"/>
      <c r="X204" s="55"/>
      <c r="Y204" s="55"/>
      <c r="Z204" s="55"/>
      <c r="AA204" s="55"/>
      <c r="AB204" s="55"/>
    </row>
    <row r="205" spans="1:32">
      <c r="A205" s="169" t="s">
        <v>2057</v>
      </c>
      <c r="B205" s="224" t="s">
        <v>531</v>
      </c>
      <c r="D205" s="55"/>
      <c r="E205" s="55"/>
      <c r="F205" s="224" t="s">
        <v>1149</v>
      </c>
      <c r="G205" s="55"/>
      <c r="J205" s="256">
        <v>2050</v>
      </c>
      <c r="K205" s="256"/>
      <c r="L205" s="1127">
        <f>1/SUMIFS(Transport!$AS$13:$AS$264,Transport!$D$13:$D$264,$B205,Transport!$E$13:$E$264,$A205,Transport!$A$13:$A$264,$J205)</f>
        <v>1.3836759261532579</v>
      </c>
      <c r="M205" s="256"/>
      <c r="N205" s="256"/>
      <c r="O205" s="1127">
        <f>SUMIFS(Transport!$AT$13:$AT$264,Transport!$D$13:$D$264,$B205,Transport!$E$13:$E$264,$A205,Transport!$A$13:$A$264,$J205)/1000*6.5</f>
        <v>51.275615217488969</v>
      </c>
      <c r="P205" s="254"/>
      <c r="Q205" s="254"/>
      <c r="R205" s="1126"/>
      <c r="S205" s="275"/>
      <c r="T205" s="228"/>
      <c r="U205" s="228"/>
      <c r="V205" s="228"/>
      <c r="W205" s="228"/>
      <c r="X205" s="55"/>
      <c r="Y205" s="55"/>
      <c r="Z205" s="55"/>
      <c r="AA205" s="55"/>
      <c r="AB205" s="55"/>
    </row>
    <row r="206" spans="1:32">
      <c r="A206" s="169" t="s">
        <v>2062</v>
      </c>
      <c r="B206" s="224" t="s">
        <v>531</v>
      </c>
      <c r="D206" s="212" t="str">
        <f>"IND"&amp;RIGHT(H206,4)&amp;"H2G"&amp;"N"&amp;RIGHT(E206,1)</f>
        <v>INDNDTFH2GN2</v>
      </c>
      <c r="E206" s="224" t="str">
        <f>"Industry "&amp;$AJ$12&amp;" "&amp;RIGHT(H206,2)&amp;" Tractors, Trucks, Fishing boats - New 2"</f>
        <v>Industry N TF Tractors, Trucks, Fishing boats - New 2</v>
      </c>
      <c r="F206" s="224" t="s">
        <v>1149</v>
      </c>
      <c r="G206" s="55" t="s">
        <v>2077</v>
      </c>
      <c r="H206" s="174" t="str">
        <f>$AI$18</f>
        <v>INDTF</v>
      </c>
      <c r="I206" s="174"/>
      <c r="J206" s="81">
        <v>2017</v>
      </c>
      <c r="K206" s="81">
        <v>2030</v>
      </c>
      <c r="L206" s="1127">
        <f>1/SUMIFS(Transport!$AS$13:$AS$264,Transport!$D$13:$D$264,$B206,Transport!$E$13:$E$264,$A206,Transport!$A$13:$A$264,$J206)</f>
        <v>1.6019824405721168</v>
      </c>
      <c r="M206" s="256"/>
      <c r="N206" s="256">
        <v>20</v>
      </c>
      <c r="O206" s="1127">
        <f>SUMIFS(Transport!$AT$13:$AT$264,Transport!$D$13:$D$264,$B206,Transport!$E$13:$E$264,$A206,Transport!$A$13:$A$264,$J206)/1000*6.5</f>
        <v>69.01514464919731</v>
      </c>
      <c r="P206" s="254"/>
      <c r="Q206" s="254"/>
      <c r="R206" s="1126">
        <v>1</v>
      </c>
      <c r="S206" s="1127">
        <v>1</v>
      </c>
      <c r="T206" s="228"/>
      <c r="U206" s="228"/>
      <c r="V206" s="228"/>
      <c r="W206" s="287"/>
      <c r="X206" s="55"/>
      <c r="Y206" s="55"/>
      <c r="Z206" s="55"/>
      <c r="AA206" s="55"/>
      <c r="AB206" s="55"/>
    </row>
    <row r="207" spans="1:32">
      <c r="A207" s="169" t="s">
        <v>2062</v>
      </c>
      <c r="B207" s="224" t="s">
        <v>531</v>
      </c>
      <c r="D207" s="55"/>
      <c r="E207" s="55"/>
      <c r="F207" s="224" t="s">
        <v>1149</v>
      </c>
      <c r="G207" s="55"/>
      <c r="H207" s="174"/>
      <c r="I207" s="174"/>
      <c r="J207" s="256">
        <v>2017</v>
      </c>
      <c r="K207" s="256"/>
      <c r="L207" s="1127">
        <f>1/SUMIFS(Transport!$AS$13:$AS$264,Transport!$D$13:$D$264,$B207,Transport!$E$13:$E$264,$A207,Transport!$A$13:$A$264,$J207)</f>
        <v>1.6019824405721168</v>
      </c>
      <c r="M207" s="256"/>
      <c r="N207" s="256"/>
      <c r="O207" s="1127">
        <f>SUMIFS(Transport!$AT$13:$AT$264,Transport!$D$13:$D$264,$B207,Transport!$E$13:$E$264,$A207,Transport!$A$13:$A$264,$J207)/1000*6.5</f>
        <v>69.01514464919731</v>
      </c>
      <c r="P207" s="254"/>
      <c r="Q207" s="254"/>
      <c r="R207" s="1126"/>
      <c r="S207" s="275"/>
      <c r="T207" s="228"/>
      <c r="U207" s="228"/>
      <c r="V207" s="228"/>
      <c r="W207" s="228"/>
      <c r="X207" s="55"/>
      <c r="Y207" s="55"/>
      <c r="Z207" s="55"/>
      <c r="AA207" s="55"/>
      <c r="AB207" s="55"/>
    </row>
    <row r="208" spans="1:32">
      <c r="A208" s="169" t="s">
        <v>2062</v>
      </c>
      <c r="B208" s="224" t="s">
        <v>531</v>
      </c>
      <c r="D208" s="55"/>
      <c r="E208" s="55"/>
      <c r="F208" s="224" t="s">
        <v>1149</v>
      </c>
      <c r="G208" s="55"/>
      <c r="J208" s="256">
        <v>2030</v>
      </c>
      <c r="K208" s="256"/>
      <c r="L208" s="1127">
        <f>1/SUMIFS(Transport!$AS$13:$AS$264,Transport!$D$13:$D$264,$B208,Transport!$E$13:$E$264,$A208,Transport!$A$13:$A$264,$J208)</f>
        <v>2.4051363046081415</v>
      </c>
      <c r="M208" s="256"/>
      <c r="N208" s="256"/>
      <c r="O208" s="1127">
        <f>SUMIFS(Transport!$AT$13:$AT$264,Transport!$D$13:$D$264,$B208,Transport!$E$13:$E$264,$A208,Transport!$A$13:$A$264,$J208)/1000*6.5</f>
        <v>47.151989721401115</v>
      </c>
      <c r="P208" s="254"/>
      <c r="Q208" s="254"/>
      <c r="R208" s="1126"/>
      <c r="S208" s="275"/>
      <c r="T208" s="228"/>
      <c r="U208" s="228"/>
      <c r="V208" s="228"/>
      <c r="W208" s="228"/>
      <c r="X208" s="55"/>
      <c r="Y208" s="55"/>
      <c r="Z208" s="55"/>
      <c r="AA208" s="55"/>
      <c r="AB208" s="55"/>
    </row>
    <row r="209" spans="1:28">
      <c r="A209" s="169" t="s">
        <v>2062</v>
      </c>
      <c r="B209" s="224" t="s">
        <v>531</v>
      </c>
      <c r="D209" s="55"/>
      <c r="E209" s="55"/>
      <c r="F209" s="224" t="s">
        <v>1149</v>
      </c>
      <c r="G209" s="55"/>
      <c r="J209" s="256">
        <v>2050</v>
      </c>
      <c r="K209" s="256"/>
      <c r="L209" s="1127">
        <f>1/SUMIFS(Transport!$AS$13:$AS$264,Transport!$D$13:$D$264,$B209,Transport!$E$13:$E$264,$A209,Transport!$A$13:$A$264,$J209)</f>
        <v>2.9583695994767871</v>
      </c>
      <c r="M209" s="256"/>
      <c r="N209" s="256"/>
      <c r="O209" s="1127">
        <f>SUMIFS(Transport!$AT$13:$AT$264,Transport!$D$13:$D$264,$B209,Transport!$E$13:$E$264,$A209,Transport!$A$13:$A$264,$J209)/1000*6.5</f>
        <v>20.547630804983214</v>
      </c>
      <c r="P209" s="254"/>
      <c r="Q209" s="254"/>
      <c r="R209" s="1126"/>
      <c r="S209" s="275"/>
      <c r="T209" s="228"/>
      <c r="U209" s="228"/>
      <c r="V209" s="228"/>
      <c r="W209" s="228"/>
      <c r="X209" s="55"/>
      <c r="Y209" s="55"/>
      <c r="Z209" s="55"/>
      <c r="AA209" s="55"/>
      <c r="AB209" s="55"/>
    </row>
    <row r="210" spans="1:28">
      <c r="A210" s="169" t="s">
        <v>2061</v>
      </c>
      <c r="B210" s="224" t="s">
        <v>531</v>
      </c>
      <c r="D210" s="212" t="str">
        <f>"IND"&amp;RIGHT(H210,4)&amp;"ELC"&amp;"N"&amp;RIGHT(E210,1)</f>
        <v>INDNDTFELCN3</v>
      </c>
      <c r="E210" s="224" t="str">
        <f>"Industry "&amp;$AJ$12&amp;" "&amp;RIGHT(H210,2)&amp;" Tractors, Trucks, Fishing boats - New 3"</f>
        <v>Industry N TF Tractors, Trucks, Fishing boats - New 3</v>
      </c>
      <c r="F210" s="224" t="s">
        <v>1149</v>
      </c>
      <c r="G210" s="55" t="s">
        <v>499</v>
      </c>
      <c r="H210" s="174" t="str">
        <f>$AI$18</f>
        <v>INDTF</v>
      </c>
      <c r="I210" s="174"/>
      <c r="J210" s="81">
        <v>2017</v>
      </c>
      <c r="K210" s="81">
        <v>2025</v>
      </c>
      <c r="L210" s="1127">
        <f>1/SUMIFS(Transport!$AS$13:$AS$264,Transport!$D$13:$D$264,$B210,Transport!$E$13:$E$264,$A210,Transport!$A$13:$A$264,$J210)</f>
        <v>3.0438654899297122</v>
      </c>
      <c r="M210" s="256"/>
      <c r="N210" s="256">
        <v>20</v>
      </c>
      <c r="O210" s="1127">
        <f>SUMIFS(Transport!$AT$13:$AT$264,Transport!$D$13:$D$264,$B210,Transport!$E$13:$E$264,$A210,Transport!$A$13:$A$264,$J210)/1000*6.5</f>
        <v>97.045415985588349</v>
      </c>
      <c r="P210" s="254"/>
      <c r="Q210" s="254"/>
      <c r="R210" s="1126">
        <v>1</v>
      </c>
      <c r="S210" s="1127">
        <v>1</v>
      </c>
      <c r="T210" s="228"/>
      <c r="U210" s="228"/>
      <c r="V210" s="228"/>
      <c r="W210" s="287"/>
      <c r="X210" s="55"/>
      <c r="Y210" s="55"/>
      <c r="Z210" s="55"/>
      <c r="AA210" s="55"/>
      <c r="AB210" s="55"/>
    </row>
    <row r="211" spans="1:28">
      <c r="A211" s="169" t="s">
        <v>2061</v>
      </c>
      <c r="B211" s="224" t="s">
        <v>531</v>
      </c>
      <c r="D211" s="55"/>
      <c r="E211" s="55"/>
      <c r="F211" s="224" t="s">
        <v>1149</v>
      </c>
      <c r="G211" s="55"/>
      <c r="H211" s="174"/>
      <c r="I211" s="174"/>
      <c r="J211" s="256">
        <v>2017</v>
      </c>
      <c r="K211" s="256"/>
      <c r="L211" s="1127">
        <f>1/SUMIFS(Transport!$AS$13:$AS$264,Transport!$D$13:$D$264,$B211,Transport!$E$13:$E$264,$A211,Transport!$A$13:$A$264,$J211)</f>
        <v>3.0438654899297122</v>
      </c>
      <c r="M211" s="256"/>
      <c r="N211" s="256"/>
      <c r="O211" s="1127">
        <f>SUMIFS(Transport!$AT$13:$AT$264,Transport!$D$13:$D$264,$B211,Transport!$E$13:$E$264,$A211,Transport!$A$13:$A$264,$J211)/1000*6.5</f>
        <v>97.045415985588349</v>
      </c>
      <c r="P211" s="254"/>
      <c r="Q211" s="254"/>
      <c r="R211" s="201"/>
      <c r="S211" s="275"/>
      <c r="T211" s="228"/>
      <c r="U211" s="228"/>
      <c r="V211" s="228"/>
      <c r="W211" s="228"/>
      <c r="X211" s="55"/>
      <c r="Y211" s="55"/>
      <c r="Z211" s="55"/>
      <c r="AA211" s="55"/>
      <c r="AB211" s="55"/>
    </row>
    <row r="212" spans="1:28">
      <c r="A212" s="169" t="s">
        <v>2061</v>
      </c>
      <c r="B212" s="224" t="s">
        <v>531</v>
      </c>
      <c r="D212" s="55"/>
      <c r="E212" s="55"/>
      <c r="F212" s="224" t="s">
        <v>1149</v>
      </c>
      <c r="G212" s="55"/>
      <c r="J212" s="256">
        <v>2030</v>
      </c>
      <c r="K212" s="256"/>
      <c r="L212" s="1127">
        <f>1/SUMIFS(Transport!$AS$13:$AS$264,Transport!$D$13:$D$264,$B212,Transport!$E$13:$E$264,$A212,Transport!$A$13:$A$264,$J212)</f>
        <v>3.8508678900328275</v>
      </c>
      <c r="M212" s="256"/>
      <c r="N212" s="256"/>
      <c r="O212" s="1127">
        <f>SUMIFS(Transport!$AT$13:$AT$264,Transport!$D$13:$D$264,$B212,Transport!$E$13:$E$264,$A212,Transport!$A$13:$A$264,$J212)/1000*6.5</f>
        <v>52.981240184134329</v>
      </c>
      <c r="P212" s="254"/>
      <c r="Q212" s="254"/>
      <c r="R212" s="201"/>
      <c r="S212" s="275"/>
      <c r="T212" s="228"/>
      <c r="U212" s="228"/>
      <c r="V212" s="228"/>
      <c r="W212" s="228"/>
      <c r="X212" s="55"/>
      <c r="Y212" s="55"/>
      <c r="Z212" s="55"/>
      <c r="AA212" s="55"/>
      <c r="AB212" s="55"/>
    </row>
    <row r="213" spans="1:28">
      <c r="A213" s="169" t="s">
        <v>2061</v>
      </c>
      <c r="B213" s="224" t="s">
        <v>531</v>
      </c>
      <c r="D213" s="55"/>
      <c r="E213" s="55"/>
      <c r="F213" s="224" t="s">
        <v>1149</v>
      </c>
      <c r="G213" s="55"/>
      <c r="J213" s="256">
        <v>2050</v>
      </c>
      <c r="K213" s="256"/>
      <c r="L213" s="1127">
        <f>1/SUMIFS(Transport!$AS$13:$AS$264,Transport!$D$13:$D$264,$B213,Transport!$E$13:$E$264,$A213,Transport!$A$13:$A$264,$J213)</f>
        <v>3.8508678900328275</v>
      </c>
      <c r="M213" s="256"/>
      <c r="N213" s="256"/>
      <c r="O213" s="1127">
        <f>SUMIFS(Transport!$AT$13:$AT$264,Transport!$D$13:$D$264,$B213,Transport!$E$13:$E$264,$A213,Transport!$A$13:$A$264,$J213)/1000*6.5</f>
        <v>44.865046273927319</v>
      </c>
      <c r="P213" s="254"/>
      <c r="Q213" s="254"/>
      <c r="R213" s="201"/>
      <c r="S213" s="275"/>
      <c r="T213" s="228"/>
      <c r="U213" s="228"/>
      <c r="V213" s="228"/>
      <c r="W213" s="228"/>
      <c r="X213" s="55"/>
      <c r="Y213" s="55"/>
      <c r="Z213" s="55"/>
      <c r="AA213" s="55"/>
      <c r="AB213" s="55"/>
    </row>
    <row r="214" spans="1:28">
      <c r="A214" s="169"/>
      <c r="D214" s="212" t="str">
        <f>"IND"&amp;RIGHT(H214,4)&amp;RIGHT(G214,3)&amp;"N"&amp;RIGHT(E214,1)</f>
        <v>INDNDFLELCN1</v>
      </c>
      <c r="E214" s="224" t="str">
        <f>"Industry "&amp;$AJ$12&amp;" "&amp;RIGHT(H202,2)&amp;" Forklifts - New 1"</f>
        <v>Industry N TF Forklifts - New 1</v>
      </c>
      <c r="F214" s="224" t="s">
        <v>1149</v>
      </c>
      <c r="G214" s="173" t="s">
        <v>2128</v>
      </c>
      <c r="H214" s="224" t="str">
        <f>AI19</f>
        <v>INDFL</v>
      </c>
      <c r="J214" s="81">
        <v>2011</v>
      </c>
      <c r="K214" s="81">
        <v>2011</v>
      </c>
      <c r="L214" s="256">
        <v>1</v>
      </c>
      <c r="M214" s="256"/>
      <c r="N214" s="256">
        <v>10</v>
      </c>
      <c r="O214" s="254"/>
      <c r="P214" s="254"/>
      <c r="Q214" s="254"/>
      <c r="R214" s="201"/>
      <c r="S214" s="275">
        <v>0.9</v>
      </c>
      <c r="T214" s="228"/>
      <c r="U214" s="228"/>
      <c r="V214" s="228"/>
      <c r="W214" s="228"/>
      <c r="X214" s="55"/>
      <c r="Y214" s="55"/>
      <c r="Z214" s="55"/>
      <c r="AA214" s="55"/>
      <c r="AB214" s="55"/>
    </row>
    <row r="215" spans="1:28">
      <c r="A215" s="169"/>
      <c r="D215" s="55"/>
      <c r="E215" s="55"/>
      <c r="F215" s="224" t="s">
        <v>1149</v>
      </c>
      <c r="G215" s="55"/>
      <c r="H215" s="174"/>
      <c r="I215" s="174"/>
      <c r="J215" s="256">
        <v>2020</v>
      </c>
      <c r="K215" s="256"/>
      <c r="L215" s="256"/>
      <c r="M215" s="256"/>
      <c r="N215" s="257"/>
      <c r="O215" s="61"/>
      <c r="P215" s="61"/>
      <c r="Q215" s="61"/>
      <c r="R215" s="61"/>
      <c r="S215" s="276"/>
      <c r="T215" s="55"/>
      <c r="U215" s="55"/>
      <c r="V215" s="55"/>
      <c r="W215" s="55"/>
      <c r="X215" s="55"/>
      <c r="Y215" s="55"/>
      <c r="Z215" s="55"/>
      <c r="AA215" s="55"/>
      <c r="AB215" s="55"/>
    </row>
    <row r="216" spans="1:28">
      <c r="A216" s="169"/>
      <c r="D216" s="55"/>
      <c r="E216" s="55"/>
      <c r="F216" s="224" t="s">
        <v>1149</v>
      </c>
      <c r="G216" s="55"/>
      <c r="J216" s="256">
        <v>2030</v>
      </c>
      <c r="K216" s="256"/>
      <c r="L216" s="256"/>
      <c r="M216" s="256"/>
      <c r="N216" s="257"/>
      <c r="O216" s="61"/>
      <c r="P216" s="61"/>
      <c r="Q216" s="61"/>
      <c r="R216" s="61"/>
      <c r="S216" s="276"/>
      <c r="T216" s="55"/>
      <c r="U216" s="55"/>
      <c r="V216" s="55"/>
      <c r="W216" s="55"/>
      <c r="X216" s="55"/>
      <c r="Y216" s="55"/>
      <c r="Z216" s="55"/>
      <c r="AA216" s="55"/>
      <c r="AB216" s="55"/>
    </row>
    <row r="217" spans="1:28">
      <c r="A217" s="169"/>
      <c r="D217" s="55"/>
      <c r="E217" s="55"/>
      <c r="F217" s="224" t="s">
        <v>1149</v>
      </c>
      <c r="G217" s="55"/>
      <c r="H217" s="174"/>
      <c r="I217" s="174"/>
      <c r="J217" s="256">
        <v>2050</v>
      </c>
      <c r="K217" s="256"/>
      <c r="L217" s="256"/>
      <c r="M217" s="256"/>
      <c r="N217" s="257"/>
      <c r="O217" s="61"/>
      <c r="P217" s="61"/>
      <c r="Q217" s="61"/>
      <c r="R217" s="61"/>
      <c r="S217" s="276"/>
      <c r="T217" s="55"/>
      <c r="U217" s="55"/>
      <c r="V217" s="55"/>
      <c r="W217" s="55"/>
      <c r="X217" s="55"/>
      <c r="Y217" s="55"/>
      <c r="Z217" s="55"/>
      <c r="AA217" s="55"/>
      <c r="AB217" s="55"/>
    </row>
    <row r="218" spans="1:28">
      <c r="A218" s="169" t="s">
        <v>2107</v>
      </c>
      <c r="D218" s="212" t="str">
        <f>"IND"&amp;RIGHT(H218,4)&amp;RIGHT(G218,3)&amp;"N"&amp;RIGHT(E218,1)</f>
        <v>INDNDCOELCN1</v>
      </c>
      <c r="E218" s="224" t="str">
        <f>"Industry "&amp;$AJ$12&amp;" "&amp;RIGHT(H218,2)&amp;" Cooling - New 1"</f>
        <v>Industry N CO Cooling - New 1</v>
      </c>
      <c r="F218" s="224" t="s">
        <v>1149</v>
      </c>
      <c r="G218" s="173" t="s">
        <v>499</v>
      </c>
      <c r="H218" s="224" t="str">
        <f>AI21</f>
        <v>INDCO</v>
      </c>
      <c r="J218" s="82">
        <v>2015</v>
      </c>
      <c r="K218" s="82">
        <v>2015</v>
      </c>
      <c r="L218" s="1128">
        <v>1</v>
      </c>
      <c r="M218" s="1129"/>
      <c r="N218" s="1129">
        <v>12</v>
      </c>
      <c r="O218" s="1130">
        <v>3.3525</v>
      </c>
      <c r="P218" s="1131">
        <v>0.31662500000000005</v>
      </c>
      <c r="Q218" s="1131"/>
      <c r="R218" s="1132">
        <v>3.1536000000000002E-2</v>
      </c>
      <c r="S218" s="1133">
        <v>8.3999999999999991E-2</v>
      </c>
    </row>
    <row r="219" spans="1:28">
      <c r="A219" s="169"/>
      <c r="F219" s="224" t="s">
        <v>1149</v>
      </c>
      <c r="H219" s="173"/>
      <c r="I219" s="173"/>
      <c r="J219" s="1129">
        <v>2020</v>
      </c>
      <c r="K219" s="1129"/>
      <c r="L219" s="1128">
        <v>1</v>
      </c>
      <c r="M219" s="1129"/>
      <c r="N219" s="257">
        <v>12</v>
      </c>
      <c r="O219" s="61">
        <v>3.1662499999999998</v>
      </c>
      <c r="P219" s="61">
        <v>0.30110722454958749</v>
      </c>
      <c r="Q219" s="61"/>
      <c r="R219" s="61">
        <v>3.1536000000000002E-2</v>
      </c>
      <c r="S219" s="276">
        <v>8.3999999999999991E-2</v>
      </c>
    </row>
    <row r="220" spans="1:28">
      <c r="A220" s="169"/>
      <c r="F220" s="224" t="s">
        <v>1149</v>
      </c>
      <c r="J220" s="1129">
        <v>2030</v>
      </c>
      <c r="K220" s="1129"/>
      <c r="L220" s="1128">
        <v>1</v>
      </c>
      <c r="M220" s="1129"/>
      <c r="N220" s="257">
        <v>12</v>
      </c>
      <c r="O220" s="61">
        <v>3.1662499999999998</v>
      </c>
      <c r="P220" s="61">
        <v>0.30110722454958749</v>
      </c>
      <c r="Q220" s="61"/>
      <c r="R220" s="61">
        <v>3.1536000000000002E-2</v>
      </c>
      <c r="S220" s="276">
        <v>8.3999999999999991E-2</v>
      </c>
    </row>
    <row r="221" spans="1:28">
      <c r="A221" s="169"/>
      <c r="F221" s="224" t="s">
        <v>1149</v>
      </c>
      <c r="H221" s="173"/>
      <c r="I221" s="173"/>
      <c r="J221" s="1129">
        <v>2050</v>
      </c>
      <c r="K221" s="1129"/>
      <c r="L221" s="1128">
        <v>1</v>
      </c>
      <c r="M221" s="1129"/>
      <c r="N221" s="257">
        <v>12</v>
      </c>
      <c r="O221" s="61">
        <v>3.1662499999999998</v>
      </c>
      <c r="P221" s="61">
        <v>0.30110722454958749</v>
      </c>
      <c r="Q221" s="61"/>
      <c r="R221" s="61">
        <v>3.1536000000000002E-2</v>
      </c>
      <c r="S221" s="276">
        <v>8.3999999999999991E-2</v>
      </c>
    </row>
    <row r="222" spans="1:28">
      <c r="A222" s="169"/>
    </row>
    <row r="223" spans="1:28">
      <c r="A223" s="169"/>
    </row>
    <row r="224" spans="1:28">
      <c r="A224" s="169"/>
    </row>
    <row r="225" spans="1:10">
      <c r="A225" s="169"/>
    </row>
    <row r="226" spans="1:10">
      <c r="A226" s="169"/>
      <c r="C226" s="207" t="s">
        <v>467</v>
      </c>
      <c r="D226" s="208"/>
      <c r="E226" s="208"/>
      <c r="F226" s="208"/>
      <c r="G226" s="208"/>
      <c r="H226" s="208"/>
      <c r="I226" s="208"/>
      <c r="J226" s="208"/>
    </row>
    <row r="227" spans="1:10">
      <c r="A227" s="169"/>
      <c r="C227" s="209" t="s">
        <v>466</v>
      </c>
      <c r="D227" s="209" t="s">
        <v>425</v>
      </c>
      <c r="E227" s="209" t="s">
        <v>465</v>
      </c>
      <c r="F227" s="209" t="s">
        <v>464</v>
      </c>
      <c r="G227" s="209" t="s">
        <v>463</v>
      </c>
      <c r="H227" s="209" t="s">
        <v>462</v>
      </c>
      <c r="I227" s="209" t="s">
        <v>461</v>
      </c>
      <c r="J227" s="209" t="s">
        <v>460</v>
      </c>
    </row>
    <row r="228" spans="1:10" ht="25" thickBot="1">
      <c r="A228" s="169"/>
      <c r="C228" s="210" t="s">
        <v>459</v>
      </c>
      <c r="D228" s="210" t="s">
        <v>458</v>
      </c>
      <c r="E228" s="210" t="s">
        <v>457</v>
      </c>
      <c r="F228" s="210" t="s">
        <v>456</v>
      </c>
      <c r="G228" s="210" t="s">
        <v>455</v>
      </c>
      <c r="H228" s="210" t="s">
        <v>454</v>
      </c>
      <c r="I228" s="210" t="s">
        <v>453</v>
      </c>
      <c r="J228" s="210" t="s">
        <v>452</v>
      </c>
    </row>
    <row r="229" spans="1:10">
      <c r="A229" s="169"/>
      <c r="C229" s="211" t="s">
        <v>504</v>
      </c>
      <c r="D229" s="212" t="str">
        <f>D9</f>
        <v>INDNDPHELCN1</v>
      </c>
      <c r="E229" s="212" t="str">
        <f t="shared" ref="E229:E260" si="265">VLOOKUP(D229,$D$9:$E$222,2,FALSE)</f>
        <v>Industrial heating technology N PH - Heat pump utilizing waste heat - new 1</v>
      </c>
      <c r="F229" s="211" t="s">
        <v>450</v>
      </c>
      <c r="G229" s="211" t="s">
        <v>449</v>
      </c>
      <c r="H229" s="263" t="s">
        <v>620</v>
      </c>
      <c r="I229" s="301"/>
      <c r="J229" s="208" t="s">
        <v>469</v>
      </c>
    </row>
    <row r="230" spans="1:10">
      <c r="A230" s="169"/>
      <c r="B230" s="301"/>
      <c r="C230" s="301"/>
      <c r="D230" s="212" t="str">
        <f t="shared" ref="D230:D238" ca="1" si="266">OFFSET($D$9,(ROW(D1)*6),0)</f>
        <v>INDNDSHELCN1</v>
      </c>
      <c r="E230" s="212" t="str">
        <f t="shared" ca="1" si="265"/>
        <v>Industrial heating technology N SH - Heat pump utilizing waste heat - new 1</v>
      </c>
      <c r="F230" s="262" t="s">
        <v>450</v>
      </c>
      <c r="G230" s="262" t="s">
        <v>449</v>
      </c>
      <c r="H230" s="263" t="s">
        <v>620</v>
      </c>
      <c r="I230" s="301"/>
      <c r="J230" s="264" t="s">
        <v>469</v>
      </c>
    </row>
    <row r="231" spans="1:10">
      <c r="A231" s="169"/>
      <c r="D231" s="212" t="str">
        <f t="shared" ca="1" si="266"/>
        <v>INDNDPHELCN2</v>
      </c>
      <c r="E231" s="212" t="str">
        <f t="shared" ca="1" si="265"/>
        <v>Industrial heating technology N PH - Heat driven heat pump utilizing waste heat - new 2</v>
      </c>
      <c r="F231" s="211" t="s">
        <v>450</v>
      </c>
      <c r="G231" s="211" t="s">
        <v>449</v>
      </c>
      <c r="H231" s="263" t="s">
        <v>620</v>
      </c>
      <c r="I231" s="208"/>
      <c r="J231" s="264" t="s">
        <v>469</v>
      </c>
    </row>
    <row r="232" spans="1:10">
      <c r="A232" s="169"/>
      <c r="B232" s="211"/>
      <c r="C232" s="211"/>
      <c r="D232" s="212" t="str">
        <f t="shared" ca="1" si="266"/>
        <v>INDNDSHELCN2</v>
      </c>
      <c r="E232" s="212" t="str">
        <f t="shared" ca="1" si="265"/>
        <v>Industrial heating technology N SH - Heat driven heat pump utilizing waste heat - new 2</v>
      </c>
      <c r="F232" s="262" t="s">
        <v>450</v>
      </c>
      <c r="G232" s="262" t="s">
        <v>449</v>
      </c>
      <c r="H232" s="263" t="s">
        <v>620</v>
      </c>
      <c r="I232" s="264"/>
      <c r="J232" s="264" t="s">
        <v>469</v>
      </c>
    </row>
    <row r="233" spans="1:10">
      <c r="A233" s="169"/>
      <c r="B233" s="211"/>
      <c r="C233" s="211"/>
      <c r="D233" s="212" t="str">
        <f t="shared" ca="1" si="266"/>
        <v>INDNDPHELCN3</v>
      </c>
      <c r="E233" s="212" t="str">
        <f t="shared" ca="1" si="265"/>
        <v>Industrial heating technology N PH - High Temp abs. Heat pump utilizing waste heat - new 3</v>
      </c>
      <c r="F233" s="262" t="s">
        <v>450</v>
      </c>
      <c r="G233" s="262" t="s">
        <v>449</v>
      </c>
      <c r="H233" s="263" t="s">
        <v>620</v>
      </c>
      <c r="I233" s="264"/>
      <c r="J233" s="264" t="s">
        <v>469</v>
      </c>
    </row>
    <row r="234" spans="1:10">
      <c r="A234" s="169"/>
      <c r="B234" s="211"/>
      <c r="C234" s="211"/>
      <c r="D234" s="212" t="str">
        <f t="shared" ca="1" si="266"/>
        <v>INDNDSHELCN3</v>
      </c>
      <c r="E234" s="212" t="str">
        <f t="shared" ca="1" si="265"/>
        <v>Industrial heating technology N SH - High Temp abs. Heat pump utilizing waste heat - new 3</v>
      </c>
      <c r="F234" s="262" t="s">
        <v>450</v>
      </c>
      <c r="G234" s="262" t="s">
        <v>449</v>
      </c>
      <c r="H234" s="263" t="s">
        <v>620</v>
      </c>
      <c r="I234" s="264"/>
      <c r="J234" s="264" t="s">
        <v>469</v>
      </c>
    </row>
    <row r="235" spans="1:10">
      <c r="A235" s="169"/>
      <c r="B235" s="211"/>
      <c r="C235" s="211"/>
      <c r="D235" s="212" t="str">
        <f t="shared" ca="1" si="266"/>
        <v>INDNDPHELCN4</v>
      </c>
      <c r="E235" s="212" t="str">
        <f t="shared" ca="1" si="265"/>
        <v>Industrial heating technology N PH - Booster Heat pump utilizing waste heat - new 4</v>
      </c>
      <c r="F235" s="262" t="s">
        <v>450</v>
      </c>
      <c r="G235" s="262" t="s">
        <v>449</v>
      </c>
      <c r="H235" s="263" t="s">
        <v>620</v>
      </c>
      <c r="I235" s="264"/>
      <c r="J235" s="264" t="s">
        <v>469</v>
      </c>
    </row>
    <row r="236" spans="1:10">
      <c r="A236" s="169"/>
      <c r="B236" s="211"/>
      <c r="C236" s="211"/>
      <c r="D236" s="212" t="str">
        <f t="shared" ca="1" si="266"/>
        <v>INDNDSHELCN4</v>
      </c>
      <c r="E236" s="212" t="str">
        <f t="shared" ca="1" si="265"/>
        <v>Industrial heating technology N SH - Booster Heat pump utilizing waste heat - new 4</v>
      </c>
      <c r="F236" s="262" t="s">
        <v>450</v>
      </c>
      <c r="G236" s="262" t="s">
        <v>449</v>
      </c>
      <c r="H236" s="263" t="s">
        <v>620</v>
      </c>
      <c r="I236" s="264"/>
      <c r="J236" s="264" t="s">
        <v>469</v>
      </c>
    </row>
    <row r="237" spans="1:10">
      <c r="A237" s="169"/>
      <c r="B237" s="211"/>
      <c r="C237" s="211"/>
      <c r="D237" s="212" t="str">
        <f t="shared" ca="1" si="266"/>
        <v>INDNDPHELCN5</v>
      </c>
      <c r="E237" s="212" t="str">
        <f t="shared" ca="1" si="265"/>
        <v>Industrial heating technology N PH - MVR utilizing waste heat - new 5</v>
      </c>
      <c r="F237" s="262" t="s">
        <v>450</v>
      </c>
      <c r="G237" s="262" t="s">
        <v>449</v>
      </c>
      <c r="H237" s="263"/>
      <c r="I237" s="264"/>
      <c r="J237" s="264" t="s">
        <v>469</v>
      </c>
    </row>
    <row r="238" spans="1:10">
      <c r="A238" s="169"/>
      <c r="B238" s="211"/>
      <c r="C238" s="211"/>
      <c r="D238" s="212" t="str">
        <f t="shared" ca="1" si="266"/>
        <v>INDNDPHWSTN1</v>
      </c>
      <c r="E238" s="212" t="str">
        <f t="shared" ca="1" si="265"/>
        <v>Industrial heating technology N PH - Hotdisc - new 1</v>
      </c>
      <c r="F238" s="262" t="s">
        <v>450</v>
      </c>
      <c r="G238" s="262" t="s">
        <v>449</v>
      </c>
      <c r="H238" s="263" t="s">
        <v>620</v>
      </c>
      <c r="I238" s="264"/>
      <c r="J238" s="264" t="s">
        <v>469</v>
      </c>
    </row>
    <row r="239" spans="1:10">
      <c r="A239" s="169"/>
      <c r="B239" s="211"/>
      <c r="C239" s="211"/>
      <c r="D239" s="212" t="str">
        <f t="shared" ref="D239:D278" ca="1" si="267">OFFSET($D$9,(ROW(D19)*3),0)</f>
        <v>INDNDPHELCN6</v>
      </c>
      <c r="E239" s="212" t="str">
        <f t="shared" ca="1" si="265"/>
        <v>Industrial heating technology N PH - Dielectric heating - new 6</v>
      </c>
      <c r="F239" s="262" t="s">
        <v>450</v>
      </c>
      <c r="G239" s="262" t="s">
        <v>449</v>
      </c>
      <c r="H239" s="263" t="s">
        <v>620</v>
      </c>
      <c r="I239" s="264"/>
      <c r="J239" s="264" t="s">
        <v>469</v>
      </c>
    </row>
    <row r="240" spans="1:10">
      <c r="A240" s="169"/>
      <c r="B240" s="211"/>
      <c r="C240" s="211"/>
      <c r="D240" s="212" t="str">
        <f t="shared" ca="1" si="267"/>
        <v>INDNDPHELCN7</v>
      </c>
      <c r="E240" s="212" t="str">
        <f t="shared" ca="1" si="265"/>
        <v>Industrial heating technology N PH - Infrared heating - new 7</v>
      </c>
      <c r="F240" s="262" t="s">
        <v>450</v>
      </c>
      <c r="G240" s="262" t="s">
        <v>449</v>
      </c>
      <c r="H240" s="263" t="s">
        <v>620</v>
      </c>
      <c r="I240" s="264"/>
      <c r="J240" s="264" t="s">
        <v>469</v>
      </c>
    </row>
    <row r="241" spans="1:16">
      <c r="A241" s="169"/>
      <c r="B241" s="211"/>
      <c r="C241" s="211"/>
      <c r="D241" s="212" t="str">
        <f t="shared" ca="1" si="267"/>
        <v>INDNDPHELCN8</v>
      </c>
      <c r="E241" s="212" t="str">
        <f t="shared" ca="1" si="265"/>
        <v>Industrial heating technology N PH - Electric boiler (Steam) - new 8</v>
      </c>
      <c r="F241" s="262" t="s">
        <v>450</v>
      </c>
      <c r="G241" s="262" t="s">
        <v>449</v>
      </c>
      <c r="H241" s="263" t="s">
        <v>620</v>
      </c>
      <c r="I241" s="264"/>
      <c r="J241" s="264" t="s">
        <v>469</v>
      </c>
    </row>
    <row r="242" spans="1:16">
      <c r="A242" s="169"/>
      <c r="B242" s="211"/>
      <c r="C242" s="211"/>
      <c r="D242" s="212" t="str">
        <f t="shared" ca="1" si="267"/>
        <v>INDNDPHELCN8</v>
      </c>
      <c r="E242" s="212" t="str">
        <f t="shared" ca="1" si="265"/>
        <v>Industrial heating technology N PH - Electric boiler (Steam) - new 8</v>
      </c>
      <c r="F242" s="262" t="s">
        <v>450</v>
      </c>
      <c r="G242" s="262" t="s">
        <v>449</v>
      </c>
      <c r="H242" s="263" t="s">
        <v>620</v>
      </c>
      <c r="I242" s="264"/>
      <c r="J242" s="264" t="s">
        <v>469</v>
      </c>
    </row>
    <row r="243" spans="1:16">
      <c r="A243" s="169"/>
      <c r="B243" s="211"/>
      <c r="C243" s="211"/>
      <c r="D243" s="212" t="str">
        <f t="shared" ca="1" si="267"/>
        <v>INDNDSHELCN8</v>
      </c>
      <c r="E243" s="212" t="str">
        <f t="shared" ca="1" si="265"/>
        <v>Industrial heating technology N SH - Electric boiler (Steam) - new 8</v>
      </c>
      <c r="F243" s="262" t="s">
        <v>450</v>
      </c>
      <c r="G243" s="262" t="s">
        <v>449</v>
      </c>
      <c r="H243" s="263" t="s">
        <v>620</v>
      </c>
      <c r="I243" s="264"/>
      <c r="J243" s="264" t="s">
        <v>469</v>
      </c>
      <c r="P243" s="173"/>
    </row>
    <row r="244" spans="1:16">
      <c r="A244" s="169"/>
      <c r="B244" s="211"/>
      <c r="C244" s="211"/>
      <c r="D244" s="212" t="str">
        <f t="shared" ca="1" si="267"/>
        <v>INDNDPHELCN9</v>
      </c>
      <c r="E244" s="212" t="str">
        <f t="shared" ca="1" si="265"/>
        <v>Industrial heating technology N PH - Electric boiler (Hot Water) - new 9</v>
      </c>
      <c r="F244" s="262" t="s">
        <v>450</v>
      </c>
      <c r="G244" s="262" t="s">
        <v>449</v>
      </c>
      <c r="H244" s="263" t="s">
        <v>620</v>
      </c>
      <c r="I244" s="264"/>
      <c r="J244" s="264" t="s">
        <v>469</v>
      </c>
      <c r="P244" s="173"/>
    </row>
    <row r="245" spans="1:16">
      <c r="A245" s="169"/>
      <c r="B245" s="211"/>
      <c r="C245" s="211"/>
      <c r="D245" s="212" t="str">
        <f t="shared" ca="1" si="267"/>
        <v>INDNDSHELCN9</v>
      </c>
      <c r="E245" s="212" t="str">
        <f t="shared" ca="1" si="265"/>
        <v>Industrial heating technology N SH - Electric boiler (Hot Water) - new 9</v>
      </c>
      <c r="F245" s="262" t="s">
        <v>450</v>
      </c>
      <c r="G245" s="262" t="s">
        <v>449</v>
      </c>
      <c r="H245" s="263" t="s">
        <v>620</v>
      </c>
      <c r="I245" s="264"/>
      <c r="J245" s="264" t="s">
        <v>469</v>
      </c>
      <c r="P245" s="173"/>
    </row>
    <row r="246" spans="1:16">
      <c r="A246" s="169"/>
      <c r="B246" s="211"/>
      <c r="C246" s="211"/>
      <c r="D246" s="212" t="str">
        <f t="shared" ca="1" si="267"/>
        <v>INDNDPHWCHN1</v>
      </c>
      <c r="E246" s="212" t="str">
        <f t="shared" ca="1" si="265"/>
        <v>Industrial heating technology N PH - Wood chip boiler (Steam) - new 1</v>
      </c>
      <c r="F246" s="262" t="s">
        <v>450</v>
      </c>
      <c r="G246" s="262" t="s">
        <v>449</v>
      </c>
      <c r="H246" s="263"/>
      <c r="I246" s="264"/>
      <c r="J246" s="264" t="s">
        <v>469</v>
      </c>
      <c r="P246" s="173"/>
    </row>
    <row r="247" spans="1:16">
      <c r="A247" s="169"/>
      <c r="B247" s="211"/>
      <c r="C247" s="211"/>
      <c r="D247" s="212" t="str">
        <f t="shared" ca="1" si="267"/>
        <v>INDNDPHWCHN1</v>
      </c>
      <c r="E247" s="212" t="str">
        <f t="shared" ca="1" si="265"/>
        <v>Industrial heating technology N PH - Wood chip boiler (Steam) - new 1</v>
      </c>
      <c r="F247" s="262" t="s">
        <v>450</v>
      </c>
      <c r="G247" s="262" t="s">
        <v>449</v>
      </c>
      <c r="H247" s="263"/>
      <c r="I247" s="264"/>
      <c r="J247" s="264" t="s">
        <v>469</v>
      </c>
      <c r="M247" s="171"/>
      <c r="N247" s="171"/>
      <c r="P247" s="173"/>
    </row>
    <row r="248" spans="1:16">
      <c r="A248" s="169"/>
      <c r="B248" s="211"/>
      <c r="C248" s="211"/>
      <c r="D248" s="212" t="str">
        <f t="shared" ca="1" si="267"/>
        <v>INDNDSHWCHN1</v>
      </c>
      <c r="E248" s="212" t="str">
        <f t="shared" ca="1" si="265"/>
        <v>Industrial heating technology N SH - Wood chip boiler (Steam) - new 1</v>
      </c>
      <c r="F248" s="262" t="s">
        <v>450</v>
      </c>
      <c r="G248" s="262" t="s">
        <v>449</v>
      </c>
      <c r="H248" s="263"/>
      <c r="I248" s="264"/>
      <c r="J248" s="264" t="s">
        <v>469</v>
      </c>
      <c r="M248" s="171"/>
      <c r="N248" s="171"/>
      <c r="P248" s="173"/>
    </row>
    <row r="249" spans="1:16">
      <c r="A249" s="169"/>
      <c r="B249" s="211"/>
      <c r="C249" s="211"/>
      <c r="D249" s="212" t="str">
        <f t="shared" ca="1" si="267"/>
        <v>INDNDPHWCHN2</v>
      </c>
      <c r="E249" s="212" t="str">
        <f t="shared" ca="1" si="265"/>
        <v>Industrial heating technology N PH - Wood chip boiler (Steam - condensing) - new 2</v>
      </c>
      <c r="F249" s="262" t="s">
        <v>450</v>
      </c>
      <c r="G249" s="262" t="s">
        <v>449</v>
      </c>
      <c r="H249" s="263"/>
      <c r="I249" s="264"/>
      <c r="J249" s="264" t="s">
        <v>469</v>
      </c>
      <c r="M249" s="171"/>
      <c r="N249" s="171"/>
      <c r="P249" s="173"/>
    </row>
    <row r="250" spans="1:16">
      <c r="A250" s="169"/>
      <c r="B250" s="212"/>
      <c r="C250" s="212"/>
      <c r="D250" s="212" t="str">
        <f t="shared" ca="1" si="267"/>
        <v>INDNDSHWCHN2</v>
      </c>
      <c r="E250" s="212" t="str">
        <f t="shared" ca="1" si="265"/>
        <v>Industrial heating technology N SH - Wood chip boiler (Steam - condensing) - new 2</v>
      </c>
      <c r="F250" s="262" t="s">
        <v>450</v>
      </c>
      <c r="G250" s="262" t="s">
        <v>449</v>
      </c>
      <c r="H250" s="263"/>
      <c r="I250" s="264"/>
      <c r="J250" s="264" t="s">
        <v>469</v>
      </c>
    </row>
    <row r="251" spans="1:16">
      <c r="A251" s="169"/>
      <c r="B251" s="212"/>
      <c r="C251" s="212"/>
      <c r="D251" s="212" t="str">
        <f t="shared" ca="1" si="267"/>
        <v>INDNDPHWCHN3</v>
      </c>
      <c r="E251" s="212" t="str">
        <f t="shared" ca="1" si="265"/>
        <v>Industrial heating technology N PH - Wood chip boiler (Hot Water) - new 3</v>
      </c>
      <c r="F251" s="262" t="s">
        <v>450</v>
      </c>
      <c r="G251" s="262" t="s">
        <v>449</v>
      </c>
      <c r="H251" s="261"/>
      <c r="I251" s="261"/>
      <c r="J251" s="264" t="s">
        <v>469</v>
      </c>
    </row>
    <row r="252" spans="1:16">
      <c r="A252" s="169"/>
      <c r="B252" s="212"/>
      <c r="C252" s="212"/>
      <c r="D252" s="212" t="str">
        <f t="shared" ca="1" si="267"/>
        <v>INDNDSHWCHN3</v>
      </c>
      <c r="E252" s="212" t="str">
        <f t="shared" ca="1" si="265"/>
        <v>Industrial heating technology N SH - Wood chip boiler (Hot Water) - new 3</v>
      </c>
      <c r="F252" s="262" t="s">
        <v>450</v>
      </c>
      <c r="G252" s="262" t="s">
        <v>449</v>
      </c>
      <c r="H252" s="261"/>
      <c r="I252" s="261"/>
      <c r="J252" s="264" t="s">
        <v>469</v>
      </c>
    </row>
    <row r="253" spans="1:16">
      <c r="A253" s="169"/>
      <c r="B253" s="212"/>
      <c r="C253" s="212"/>
      <c r="D253" s="212" t="str">
        <f t="shared" ca="1" si="267"/>
        <v>INDNDPHWCHN4</v>
      </c>
      <c r="E253" s="212" t="str">
        <f t="shared" ca="1" si="265"/>
        <v>Industrial heating technology N PH - Wood chip boiler (Hot Water - condensing) - new 4</v>
      </c>
      <c r="F253" s="262" t="s">
        <v>450</v>
      </c>
      <c r="G253" s="262" t="s">
        <v>449</v>
      </c>
      <c r="H253" s="261"/>
      <c r="I253" s="261"/>
      <c r="J253" s="264" t="s">
        <v>469</v>
      </c>
    </row>
    <row r="254" spans="1:16">
      <c r="A254" s="169"/>
      <c r="B254" s="212"/>
      <c r="C254" s="212"/>
      <c r="D254" s="212" t="str">
        <f t="shared" ca="1" si="267"/>
        <v>INDNDSHWCHN4</v>
      </c>
      <c r="E254" s="212" t="str">
        <f t="shared" ca="1" si="265"/>
        <v>Industrial heating technology N SH - Wood chip boiler (Hot Water- condensing) - new 4</v>
      </c>
      <c r="F254" s="262" t="s">
        <v>450</v>
      </c>
      <c r="G254" s="262" t="s">
        <v>449</v>
      </c>
      <c r="H254" s="261"/>
      <c r="I254" s="261"/>
      <c r="J254" s="264" t="s">
        <v>469</v>
      </c>
    </row>
    <row r="255" spans="1:16">
      <c r="B255" s="212"/>
      <c r="C255" s="212"/>
      <c r="D255" s="212" t="str">
        <f t="shared" ca="1" si="267"/>
        <v>INDNDPHELCN10</v>
      </c>
      <c r="E255" s="212" t="str">
        <f t="shared" ca="1" si="265"/>
        <v>Industrial heating technology N PH - Direct electric heating - new 10</v>
      </c>
      <c r="F255" s="262" t="s">
        <v>450</v>
      </c>
      <c r="G255" s="262" t="s">
        <v>449</v>
      </c>
      <c r="H255" s="261"/>
      <c r="I255" s="261"/>
      <c r="J255" s="264" t="s">
        <v>469</v>
      </c>
    </row>
    <row r="256" spans="1:16">
      <c r="B256" s="212"/>
      <c r="C256" s="212"/>
      <c r="D256" s="212" t="str">
        <f t="shared" ca="1" si="267"/>
        <v>INDNDPHELCN10</v>
      </c>
      <c r="E256" s="212" t="str">
        <f t="shared" ca="1" si="265"/>
        <v>Industrial heating technology N PH - Direct electric heating - new 10</v>
      </c>
      <c r="F256" s="262" t="s">
        <v>450</v>
      </c>
      <c r="G256" s="262" t="s">
        <v>449</v>
      </c>
      <c r="H256" s="261"/>
      <c r="I256" s="261"/>
      <c r="J256" s="264" t="s">
        <v>469</v>
      </c>
    </row>
    <row r="257" spans="1:10">
      <c r="B257" s="212"/>
      <c r="C257" s="212"/>
      <c r="D257" s="212" t="str">
        <f t="shared" ca="1" si="267"/>
        <v>INDNDPHDSLN1</v>
      </c>
      <c r="E257" s="212" t="str">
        <f t="shared" ca="1" si="265"/>
        <v>Industrial heating technology N PH - Oil boiler (Steam) - new 1</v>
      </c>
      <c r="F257" s="262" t="s">
        <v>450</v>
      </c>
      <c r="G257" s="262" t="s">
        <v>449</v>
      </c>
      <c r="H257" s="261"/>
      <c r="I257" s="261"/>
      <c r="J257" s="264" t="s">
        <v>469</v>
      </c>
    </row>
    <row r="258" spans="1:10">
      <c r="B258" s="212"/>
      <c r="C258" s="212"/>
      <c r="D258" s="212" t="str">
        <f t="shared" ca="1" si="267"/>
        <v>INDNDPHDSLN1</v>
      </c>
      <c r="E258" s="212" t="str">
        <f t="shared" ca="1" si="265"/>
        <v>Industrial heating technology N PH - Oil boiler (Steam) - new 1</v>
      </c>
      <c r="F258" s="262" t="s">
        <v>450</v>
      </c>
      <c r="G258" s="262" t="s">
        <v>449</v>
      </c>
      <c r="H258" s="261"/>
      <c r="I258" s="261"/>
      <c r="J258" s="264" t="s">
        <v>469</v>
      </c>
    </row>
    <row r="259" spans="1:10">
      <c r="B259" s="212"/>
      <c r="C259" s="212"/>
      <c r="D259" s="212" t="str">
        <f t="shared" ca="1" si="267"/>
        <v>INDNDSHDSLN1</v>
      </c>
      <c r="E259" s="212" t="str">
        <f t="shared" ca="1" si="265"/>
        <v>Industrial heating technology N SH - Oil boiler (Steam) - new 1</v>
      </c>
      <c r="F259" s="262" t="s">
        <v>450</v>
      </c>
      <c r="G259" s="262" t="s">
        <v>449</v>
      </c>
      <c r="H259" s="261"/>
      <c r="I259" s="261"/>
      <c r="J259" s="264" t="s">
        <v>469</v>
      </c>
    </row>
    <row r="260" spans="1:10">
      <c r="A260" s="214"/>
      <c r="B260" s="212"/>
      <c r="C260" s="212"/>
      <c r="D260" s="212" t="str">
        <f t="shared" ca="1" si="267"/>
        <v>INDNDPHDSLN2</v>
      </c>
      <c r="E260" s="212" t="str">
        <f t="shared" ca="1" si="265"/>
        <v>Industrial heating technology N PH - Oil boiler (Steam - condensing) - new 2</v>
      </c>
      <c r="F260" s="262" t="s">
        <v>450</v>
      </c>
      <c r="G260" s="262" t="s">
        <v>449</v>
      </c>
      <c r="H260" s="261"/>
      <c r="I260" s="261"/>
      <c r="J260" s="264" t="s">
        <v>469</v>
      </c>
    </row>
    <row r="261" spans="1:10">
      <c r="A261" s="214"/>
      <c r="B261" s="212"/>
      <c r="C261" s="212"/>
      <c r="D261" s="212" t="str">
        <f t="shared" ca="1" si="267"/>
        <v>INDNDSHDSLN2</v>
      </c>
      <c r="E261" s="212" t="str">
        <f t="shared" ref="E261:E290" ca="1" si="268">VLOOKUP(D261,$D$9:$E$222,2,FALSE)</f>
        <v>Industrial heating technology N SH - Oil boiler (Steam - condensing) - new 2</v>
      </c>
      <c r="F261" s="262" t="s">
        <v>450</v>
      </c>
      <c r="G261" s="262" t="s">
        <v>449</v>
      </c>
      <c r="H261" s="261"/>
      <c r="I261" s="261"/>
      <c r="J261" s="264" t="s">
        <v>469</v>
      </c>
    </row>
    <row r="262" spans="1:10">
      <c r="A262" s="214"/>
      <c r="B262" s="212"/>
      <c r="C262" s="212"/>
      <c r="D262" s="212" t="str">
        <f t="shared" ca="1" si="267"/>
        <v>INDNDPHGASN1</v>
      </c>
      <c r="E262" s="212" t="str">
        <f t="shared" ca="1" si="268"/>
        <v>Industrial heating technology N PH - Gas boiler (Steam) - new 1</v>
      </c>
      <c r="F262" s="262" t="s">
        <v>450</v>
      </c>
      <c r="G262" s="262" t="s">
        <v>449</v>
      </c>
      <c r="H262" s="261"/>
      <c r="I262" s="261"/>
      <c r="J262" s="264" t="s">
        <v>469</v>
      </c>
    </row>
    <row r="263" spans="1:10">
      <c r="A263" s="214"/>
      <c r="B263" s="212"/>
      <c r="C263" s="212"/>
      <c r="D263" s="212" t="str">
        <f t="shared" ca="1" si="267"/>
        <v>INDNDPHGASN1</v>
      </c>
      <c r="E263" s="212" t="str">
        <f t="shared" ca="1" si="268"/>
        <v>Industrial heating technology N PH - Gas boiler (Steam) - new 1</v>
      </c>
      <c r="F263" s="262" t="s">
        <v>450</v>
      </c>
      <c r="G263" s="262" t="s">
        <v>449</v>
      </c>
      <c r="H263" s="261"/>
      <c r="I263" s="261"/>
      <c r="J263" s="264" t="s">
        <v>469</v>
      </c>
    </row>
    <row r="264" spans="1:10">
      <c r="B264" s="212"/>
      <c r="C264" s="212"/>
      <c r="D264" s="212" t="str">
        <f t="shared" ca="1" si="267"/>
        <v>INDNDSHGASN1</v>
      </c>
      <c r="E264" s="212" t="str">
        <f t="shared" ca="1" si="268"/>
        <v>Industrial heating technology N SH - Gas boiler (Steam) - new 1</v>
      </c>
      <c r="F264" s="262" t="s">
        <v>450</v>
      </c>
      <c r="G264" s="262" t="s">
        <v>449</v>
      </c>
      <c r="H264" s="261"/>
      <c r="I264" s="261"/>
      <c r="J264" s="264" t="s">
        <v>469</v>
      </c>
    </row>
    <row r="265" spans="1:10">
      <c r="B265" s="212"/>
      <c r="C265" s="212"/>
      <c r="D265" s="212" t="str">
        <f t="shared" ca="1" si="267"/>
        <v>INDNDPHGASN2</v>
      </c>
      <c r="E265" s="212" t="str">
        <f t="shared" ca="1" si="268"/>
        <v>Industrial heating technology N PH - Gas boiler (Steam - condensing) - new 2</v>
      </c>
      <c r="F265" s="262" t="s">
        <v>450</v>
      </c>
      <c r="G265" s="262" t="s">
        <v>449</v>
      </c>
      <c r="H265" s="261"/>
      <c r="I265" s="261"/>
      <c r="J265" s="264" t="s">
        <v>469</v>
      </c>
    </row>
    <row r="266" spans="1:10">
      <c r="B266" s="212"/>
      <c r="C266" s="212"/>
      <c r="D266" s="212" t="str">
        <f t="shared" ca="1" si="267"/>
        <v>INDNDSHGASN2</v>
      </c>
      <c r="E266" s="212" t="str">
        <f t="shared" ca="1" si="268"/>
        <v>Industrial heating technology N SH - Gas boiler (Steam - condensing) - new 2</v>
      </c>
      <c r="F266" s="262" t="s">
        <v>450</v>
      </c>
      <c r="G266" s="262" t="s">
        <v>449</v>
      </c>
      <c r="H266" s="261"/>
      <c r="I266" s="261"/>
      <c r="J266" s="264" t="s">
        <v>469</v>
      </c>
    </row>
    <row r="267" spans="1:10">
      <c r="B267" s="212"/>
      <c r="C267" s="212"/>
      <c r="D267" s="212" t="str">
        <f t="shared" ca="1" si="267"/>
        <v>INDNDPHGASN3</v>
      </c>
      <c r="E267" s="212" t="str">
        <f t="shared" ca="1" si="268"/>
        <v>Industrial heating technology N PH - Gas boiler (Hot Water) - new 3</v>
      </c>
      <c r="F267" s="262" t="s">
        <v>450</v>
      </c>
      <c r="G267" s="262" t="s">
        <v>449</v>
      </c>
      <c r="H267" s="261"/>
      <c r="I267" s="261"/>
      <c r="J267" s="264" t="s">
        <v>469</v>
      </c>
    </row>
    <row r="268" spans="1:10">
      <c r="B268" s="212"/>
      <c r="C268" s="212"/>
      <c r="D268" s="212" t="str">
        <f t="shared" ca="1" si="267"/>
        <v>INDNDSHGASN3</v>
      </c>
      <c r="E268" s="212" t="str">
        <f t="shared" ca="1" si="268"/>
        <v>Industrial heating technology N SH - Gas boiler (Hot Water) - new 3</v>
      </c>
      <c r="F268" s="262" t="s">
        <v>450</v>
      </c>
      <c r="G268" s="262" t="s">
        <v>449</v>
      </c>
      <c r="H268" s="261"/>
      <c r="I268" s="261"/>
      <c r="J268" s="264" t="s">
        <v>469</v>
      </c>
    </row>
    <row r="269" spans="1:10">
      <c r="B269" s="212"/>
      <c r="C269" s="212"/>
      <c r="D269" s="212" t="str">
        <f t="shared" ca="1" si="267"/>
        <v>INDNDPHGASN4</v>
      </c>
      <c r="E269" s="212" t="str">
        <f t="shared" ca="1" si="268"/>
        <v>Industrial heating technology N PH - Gas boiler (Hot Water - condensing) - new 4</v>
      </c>
      <c r="F269" s="262" t="s">
        <v>450</v>
      </c>
      <c r="G269" s="262" t="s">
        <v>449</v>
      </c>
      <c r="H269" s="261"/>
      <c r="I269" s="261"/>
      <c r="J269" s="264" t="s">
        <v>469</v>
      </c>
    </row>
    <row r="270" spans="1:10">
      <c r="B270" s="212"/>
      <c r="C270" s="212"/>
      <c r="D270" s="212" t="str">
        <f t="shared" ca="1" si="267"/>
        <v>INDNDSHGASN4</v>
      </c>
      <c r="E270" s="212" t="str">
        <f t="shared" ca="1" si="268"/>
        <v>Industrial heating technology N SH - Gas boiler (Hot Water- condensing) - new 4</v>
      </c>
      <c r="F270" s="262" t="s">
        <v>450</v>
      </c>
      <c r="G270" s="262" t="s">
        <v>449</v>
      </c>
      <c r="H270" s="261"/>
      <c r="I270" s="261"/>
      <c r="J270" s="264" t="s">
        <v>469</v>
      </c>
    </row>
    <row r="271" spans="1:10">
      <c r="B271" s="212"/>
      <c r="C271" s="212"/>
      <c r="D271" s="212" t="str">
        <f t="shared" ca="1" si="267"/>
        <v>INDNDPHGASN5</v>
      </c>
      <c r="E271" s="212" t="str">
        <f t="shared" ca="1" si="268"/>
        <v>Industrial heating technology N PH - Gas boiler (Direct firing) - new 5</v>
      </c>
      <c r="F271" s="262" t="s">
        <v>450</v>
      </c>
      <c r="G271" s="262" t="s">
        <v>449</v>
      </c>
      <c r="H271" s="261"/>
      <c r="I271" s="261"/>
      <c r="J271" s="264" t="s">
        <v>469</v>
      </c>
    </row>
    <row r="272" spans="1:10">
      <c r="B272" s="212"/>
      <c r="C272" s="212"/>
      <c r="D272" s="212" t="str">
        <f t="shared" ca="1" si="267"/>
        <v>INDNDPHGASN5</v>
      </c>
      <c r="E272" s="212" t="str">
        <f t="shared" ca="1" si="268"/>
        <v>Industrial heating technology N PH - Gas boiler (Direct firing) - new 5</v>
      </c>
      <c r="F272" s="262" t="s">
        <v>450</v>
      </c>
      <c r="G272" s="262" t="s">
        <v>449</v>
      </c>
      <c r="H272" s="261"/>
      <c r="I272" s="261"/>
      <c r="J272" s="264" t="s">
        <v>469</v>
      </c>
    </row>
    <row r="273" spans="2:10">
      <c r="B273" s="212"/>
      <c r="C273" s="212"/>
      <c r="D273" s="212" t="str">
        <f t="shared" ca="1" si="267"/>
        <v>INDNDPHCOAN1</v>
      </c>
      <c r="E273" s="212" t="str">
        <f t="shared" ca="1" si="268"/>
        <v>Industrial heating technology N PH - Coal boiler (Steam) - new 1</v>
      </c>
      <c r="F273" s="262" t="s">
        <v>450</v>
      </c>
      <c r="G273" s="262" t="s">
        <v>449</v>
      </c>
      <c r="H273" s="261"/>
      <c r="I273" s="261"/>
      <c r="J273" s="264" t="s">
        <v>469</v>
      </c>
    </row>
    <row r="274" spans="2:10">
      <c r="B274" s="212"/>
      <c r="C274" s="212"/>
      <c r="D274" s="212" t="str">
        <f t="shared" ca="1" si="267"/>
        <v>INDNDPHCOAN1</v>
      </c>
      <c r="E274" s="212" t="str">
        <f t="shared" ca="1" si="268"/>
        <v>Industrial heating technology N PH - Coal boiler (Steam) - new 1</v>
      </c>
      <c r="F274" s="262" t="s">
        <v>450</v>
      </c>
      <c r="G274" s="262" t="s">
        <v>449</v>
      </c>
      <c r="H274" s="261"/>
      <c r="I274" s="261"/>
      <c r="J274" s="264" t="s">
        <v>469</v>
      </c>
    </row>
    <row r="275" spans="2:10">
      <c r="B275" s="212"/>
      <c r="C275" s="212"/>
      <c r="D275" s="212" t="str">
        <f t="shared" ca="1" si="267"/>
        <v>INDNDSHCOAN1</v>
      </c>
      <c r="E275" s="212" t="str">
        <f t="shared" ca="1" si="268"/>
        <v>Industrial heating technology N SH - Coal boiler (Steam) - new 1</v>
      </c>
      <c r="F275" s="262" t="s">
        <v>450</v>
      </c>
      <c r="G275" s="262" t="s">
        <v>449</v>
      </c>
      <c r="H275" s="261"/>
      <c r="I275" s="261"/>
      <c r="J275" s="264" t="s">
        <v>469</v>
      </c>
    </row>
    <row r="276" spans="2:10">
      <c r="B276" s="212"/>
      <c r="C276" s="212"/>
      <c r="D276" s="212" t="str">
        <f t="shared" ca="1" si="267"/>
        <v>INDNDPHCOAN2</v>
      </c>
      <c r="E276" s="212" t="str">
        <f t="shared" ca="1" si="268"/>
        <v>Industrial heating technology N PH - Coal boiler (Hot Water) - new 2</v>
      </c>
      <c r="F276" s="262" t="s">
        <v>450</v>
      </c>
      <c r="G276" s="262" t="s">
        <v>449</v>
      </c>
      <c r="H276" s="261"/>
      <c r="I276" s="261"/>
      <c r="J276" s="264" t="s">
        <v>469</v>
      </c>
    </row>
    <row r="277" spans="2:10">
      <c r="B277" s="212"/>
      <c r="C277" s="212"/>
      <c r="D277" s="212" t="str">
        <f t="shared" ca="1" si="267"/>
        <v>INDNDSHCOAN2</v>
      </c>
      <c r="E277" s="212" t="str">
        <f t="shared" ca="1" si="268"/>
        <v>Industrial heating technology N SH - Coal boiler (Hot Water) - new 2</v>
      </c>
      <c r="F277" s="262" t="s">
        <v>450</v>
      </c>
      <c r="G277" s="262" t="s">
        <v>449</v>
      </c>
      <c r="H277" s="261"/>
      <c r="I277" s="261"/>
      <c r="J277" s="264" t="s">
        <v>469</v>
      </c>
    </row>
    <row r="278" spans="2:10">
      <c r="B278" s="212"/>
      <c r="C278" s="212"/>
      <c r="D278" s="212" t="str">
        <f t="shared" ca="1" si="267"/>
        <v>INDNDSHSOLN1</v>
      </c>
      <c r="E278" s="212" t="str">
        <f t="shared" ca="1" si="268"/>
        <v>Industrial heating technology N SH - Solar - new 1</v>
      </c>
      <c r="F278" s="262" t="s">
        <v>450</v>
      </c>
      <c r="G278" s="262" t="s">
        <v>449</v>
      </c>
      <c r="H278" s="263" t="s">
        <v>620</v>
      </c>
      <c r="I278" s="261"/>
      <c r="J278" s="264" t="s">
        <v>469</v>
      </c>
    </row>
    <row r="279" spans="2:10">
      <c r="B279" s="212"/>
      <c r="C279" s="212"/>
      <c r="D279" s="889" t="str">
        <f>D187</f>
        <v>INDNDSHHCEN1</v>
      </c>
      <c r="E279" s="889" t="str">
        <f t="shared" si="268"/>
        <v>Industrial heating technology N SH - central district heating - within DH area - new 1</v>
      </c>
      <c r="F279" s="262" t="s">
        <v>450</v>
      </c>
      <c r="G279" s="262" t="s">
        <v>449</v>
      </c>
      <c r="H279" s="890"/>
      <c r="I279" s="890"/>
      <c r="J279" s="263" t="s">
        <v>469</v>
      </c>
    </row>
    <row r="280" spans="2:10">
      <c r="B280" s="212"/>
      <c r="C280" s="212"/>
      <c r="D280" s="889" t="str">
        <f>D188</f>
        <v>INDNDPHHCEN1</v>
      </c>
      <c r="E280" s="889" t="str">
        <f t="shared" si="268"/>
        <v>Industrial heating technology N PH - central district heating - within DH area - new 1</v>
      </c>
      <c r="F280" s="262" t="s">
        <v>450</v>
      </c>
      <c r="G280" s="262" t="s">
        <v>449</v>
      </c>
      <c r="H280" s="890"/>
      <c r="I280" s="890"/>
      <c r="J280" s="263" t="s">
        <v>469</v>
      </c>
    </row>
    <row r="281" spans="2:10">
      <c r="B281" s="212"/>
      <c r="C281" s="212"/>
      <c r="D281" s="889" t="str">
        <f>D189</f>
        <v>INDNDSHHSEN1</v>
      </c>
      <c r="E281" s="889" t="str">
        <f t="shared" si="268"/>
        <v>Industrial heating technology N SH - central district heating - within DH area - new 1</v>
      </c>
      <c r="F281" s="262" t="s">
        <v>450</v>
      </c>
      <c r="G281" s="262" t="s">
        <v>449</v>
      </c>
      <c r="H281" s="890"/>
      <c r="I281" s="890"/>
      <c r="J281" s="263" t="s">
        <v>469</v>
      </c>
    </row>
    <row r="282" spans="2:10">
      <c r="B282" s="212"/>
      <c r="C282" s="212"/>
      <c r="D282" s="889" t="str">
        <f>D190</f>
        <v>INDNDPHHSEN1</v>
      </c>
      <c r="E282" s="889" t="str">
        <f t="shared" si="268"/>
        <v>Industrial heating technology N PH - central district heating - within DH area - new 1</v>
      </c>
      <c r="F282" s="262" t="s">
        <v>450</v>
      </c>
      <c r="G282" s="262" t="s">
        <v>449</v>
      </c>
      <c r="H282" s="890"/>
      <c r="I282" s="890"/>
      <c r="J282" s="263" t="s">
        <v>469</v>
      </c>
    </row>
    <row r="283" spans="2:10">
      <c r="B283" s="212"/>
      <c r="C283" s="212"/>
      <c r="D283" s="212" t="str">
        <f t="shared" ref="D283" si="269">D191</f>
        <v>INDNDSHHDEN1</v>
      </c>
      <c r="E283" s="212" t="str">
        <f t="shared" si="268"/>
        <v>Industrial heating technology N SH - decentral district heating - within DH area - new 1</v>
      </c>
      <c r="F283" s="262" t="s">
        <v>450</v>
      </c>
      <c r="G283" s="262" t="s">
        <v>449</v>
      </c>
      <c r="H283" s="261"/>
      <c r="I283" s="261"/>
      <c r="J283" s="264" t="s">
        <v>469</v>
      </c>
    </row>
    <row r="284" spans="2:10">
      <c r="B284" s="212"/>
      <c r="C284" s="212"/>
      <c r="D284" s="212" t="str">
        <f>D192</f>
        <v>INDNDPHHDEN1</v>
      </c>
      <c r="E284" s="212" t="str">
        <f t="shared" si="268"/>
        <v>Industrial heating technology N PH - decentral district heating - within DH area - new 1</v>
      </c>
      <c r="F284" s="262" t="s">
        <v>450</v>
      </c>
      <c r="G284" s="262" t="s">
        <v>449</v>
      </c>
      <c r="H284" s="261"/>
      <c r="I284" s="261"/>
      <c r="J284" s="264" t="s">
        <v>469</v>
      </c>
    </row>
    <row r="285" spans="2:10">
      <c r="B285" s="212"/>
      <c r="C285" s="212"/>
      <c r="D285" s="212" t="str">
        <f>D194</f>
        <v>INDNDLAELCN1</v>
      </c>
      <c r="E285" s="212" t="str">
        <f t="shared" si="268"/>
        <v>Industry N LA Electricity Light Appliance - New 1</v>
      </c>
      <c r="F285" s="262" t="s">
        <v>450</v>
      </c>
      <c r="G285" s="262" t="s">
        <v>449</v>
      </c>
      <c r="H285" s="261"/>
      <c r="I285" s="261"/>
      <c r="J285" s="264" t="s">
        <v>469</v>
      </c>
    </row>
    <row r="286" spans="2:10">
      <c r="B286" s="212"/>
      <c r="C286" s="212"/>
      <c r="D286" s="212" t="str">
        <f>D198</f>
        <v>INDNDEMELCN1</v>
      </c>
      <c r="E286" s="212" t="str">
        <f t="shared" si="268"/>
        <v>Industry N EM Electricity Motors - New 1</v>
      </c>
      <c r="F286" s="262" t="s">
        <v>450</v>
      </c>
      <c r="G286" s="262" t="s">
        <v>449</v>
      </c>
      <c r="H286" s="261"/>
      <c r="I286" s="261"/>
      <c r="J286" s="264" t="s">
        <v>469</v>
      </c>
    </row>
    <row r="287" spans="2:10">
      <c r="B287" s="212"/>
      <c r="C287" s="212"/>
      <c r="D287" s="212" t="str">
        <f>D202</f>
        <v>INDNDTFDSLN1</v>
      </c>
      <c r="E287" s="212" t="str">
        <f t="shared" si="268"/>
        <v>Industry N TF Tractors, Trucks, Fishing boats - New 1</v>
      </c>
      <c r="F287" s="262" t="s">
        <v>450</v>
      </c>
      <c r="G287" s="262" t="s">
        <v>2078</v>
      </c>
      <c r="H287" s="261"/>
      <c r="I287" s="261"/>
      <c r="J287" s="264" t="s">
        <v>469</v>
      </c>
    </row>
    <row r="288" spans="2:10">
      <c r="B288" s="212"/>
      <c r="C288" s="212"/>
      <c r="D288" s="212" t="str">
        <f>D206</f>
        <v>INDNDTFH2GN2</v>
      </c>
      <c r="E288" s="212" t="str">
        <f t="shared" si="268"/>
        <v>Industry N TF Tractors, Trucks, Fishing boats - New 2</v>
      </c>
      <c r="F288" s="262" t="s">
        <v>450</v>
      </c>
      <c r="G288" s="262" t="s">
        <v>2078</v>
      </c>
      <c r="H288" s="261"/>
      <c r="I288" s="261"/>
      <c r="J288" s="264" t="s">
        <v>469</v>
      </c>
    </row>
    <row r="289" spans="2:10">
      <c r="B289" s="212"/>
      <c r="C289" s="212"/>
      <c r="D289" s="212" t="str">
        <f>D210</f>
        <v>INDNDTFELCN3</v>
      </c>
      <c r="E289" s="212" t="str">
        <f t="shared" si="268"/>
        <v>Industry N TF Tractors, Trucks, Fishing boats - New 3</v>
      </c>
      <c r="F289" s="262" t="s">
        <v>450</v>
      </c>
      <c r="G289" s="262" t="s">
        <v>2078</v>
      </c>
      <c r="H289" s="261"/>
      <c r="I289" s="261"/>
      <c r="J289" s="264" t="s">
        <v>469</v>
      </c>
    </row>
    <row r="290" spans="2:10">
      <c r="B290" s="212"/>
      <c r="C290" s="212"/>
      <c r="D290" s="212" t="str">
        <f>D214</f>
        <v>INDNDFLELCN1</v>
      </c>
      <c r="E290" s="212" t="str">
        <f t="shared" si="268"/>
        <v>Industry N TF Forklifts - New 1</v>
      </c>
      <c r="F290" s="262" t="s">
        <v>450</v>
      </c>
      <c r="G290" s="262" t="s">
        <v>449</v>
      </c>
      <c r="H290" s="261"/>
      <c r="I290" s="261"/>
      <c r="J290" s="264" t="s">
        <v>469</v>
      </c>
    </row>
    <row r="291" spans="2:10">
      <c r="B291" s="212"/>
      <c r="C291" s="212"/>
      <c r="D291" s="212" t="str">
        <f>D218</f>
        <v>INDNDCOELCN1</v>
      </c>
      <c r="E291" s="212" t="str">
        <f>E218</f>
        <v>Industry N CO Cooling - New 1</v>
      </c>
      <c r="F291" s="262" t="s">
        <v>450</v>
      </c>
      <c r="G291" s="262" t="s">
        <v>449</v>
      </c>
      <c r="H291" s="261" t="s">
        <v>620</v>
      </c>
      <c r="I291" s="261"/>
      <c r="J291" s="264"/>
    </row>
    <row r="292" spans="2:10">
      <c r="D292" s="212"/>
      <c r="E292" s="212"/>
    </row>
    <row r="293" spans="2:10">
      <c r="B293" s="213" t="s">
        <v>448</v>
      </c>
      <c r="C293" s="213"/>
      <c r="D293" s="214"/>
      <c r="E293" s="214"/>
      <c r="F293" s="214"/>
      <c r="G293" s="214"/>
      <c r="H293" s="214"/>
      <c r="I293" s="214"/>
      <c r="J293" s="214"/>
    </row>
    <row r="294" spans="2:10">
      <c r="B294" s="209" t="s">
        <v>447</v>
      </c>
      <c r="C294" s="209" t="s">
        <v>446</v>
      </c>
      <c r="D294" s="209" t="s">
        <v>445</v>
      </c>
      <c r="E294" s="209" t="s">
        <v>444</v>
      </c>
      <c r="F294" s="209" t="s">
        <v>435</v>
      </c>
      <c r="G294" s="209" t="s">
        <v>443</v>
      </c>
      <c r="H294" s="209" t="s">
        <v>442</v>
      </c>
      <c r="I294" s="209" t="s">
        <v>441</v>
      </c>
      <c r="J294" s="209" t="s">
        <v>440</v>
      </c>
    </row>
    <row r="295" spans="2:10" ht="25" thickBot="1">
      <c r="B295" s="215" t="s">
        <v>439</v>
      </c>
      <c r="C295" s="216" t="s">
        <v>438</v>
      </c>
      <c r="D295" s="216" t="s">
        <v>437</v>
      </c>
      <c r="E295" s="216" t="s">
        <v>436</v>
      </c>
      <c r="F295" s="216" t="s">
        <v>435</v>
      </c>
      <c r="G295" s="216" t="s">
        <v>434</v>
      </c>
      <c r="H295" s="216" t="s">
        <v>433</v>
      </c>
      <c r="I295" s="216" t="s">
        <v>432</v>
      </c>
      <c r="J295" s="216" t="s">
        <v>431</v>
      </c>
    </row>
    <row r="296" spans="2:10">
      <c r="B296" s="217" t="s">
        <v>430</v>
      </c>
      <c r="C296" s="218"/>
      <c r="D296" s="260" t="str">
        <f>"I"&amp;LEFT($AJ$12,1)&amp;"DSOx"</f>
        <v>INDSOx</v>
      </c>
      <c r="E296" s="270" t="str">
        <f>"Industrial heating  heating technology "&amp;$AJ$12&amp;" - SOx emission"</f>
        <v>Industrial heating  heating technology N - SOx emission</v>
      </c>
      <c r="F296" s="219" t="s">
        <v>352</v>
      </c>
      <c r="G296" s="211"/>
      <c r="H296" s="211"/>
      <c r="I296" s="211"/>
      <c r="J296" s="211"/>
    </row>
    <row r="297" spans="2:10">
      <c r="B297" s="214"/>
      <c r="C297" s="214"/>
      <c r="D297" s="260" t="str">
        <f>"I"&amp;LEFT($AJ$12,1)&amp;"DNOx"</f>
        <v>INDNOx</v>
      </c>
      <c r="E297" s="270" t="str">
        <f>"Industrial heating  heating technology "&amp;$AJ$12&amp;" - NOx emission"</f>
        <v>Industrial heating  heating technology N - NOx emission</v>
      </c>
      <c r="F297" s="219" t="s">
        <v>352</v>
      </c>
      <c r="G297" s="211"/>
      <c r="H297" s="214"/>
      <c r="I297" s="214"/>
      <c r="J297" s="214"/>
    </row>
    <row r="298" spans="2:10">
      <c r="B298" s="214"/>
      <c r="C298" s="214"/>
      <c r="D298" s="260" t="str">
        <f>"I"&amp;LEFT($AJ$12,1)&amp;"DCH4"</f>
        <v>INDCH4</v>
      </c>
      <c r="E298" s="270" t="str">
        <f>"Industrial heating  heating technology "&amp;$AJ$12&amp;" - CH4 emission"</f>
        <v>Industrial heating  heating technology N - CH4 emission</v>
      </c>
      <c r="F298" s="219" t="s">
        <v>352</v>
      </c>
      <c r="G298" s="211"/>
      <c r="H298" s="214"/>
      <c r="I298" s="214"/>
      <c r="J298" s="214"/>
    </row>
    <row r="299" spans="2:10">
      <c r="B299" s="214"/>
      <c r="C299" s="214"/>
      <c r="D299" s="260" t="str">
        <f>"I"&amp;LEFT($AJ$12,1)&amp;"DNO2"</f>
        <v>INDNO2</v>
      </c>
      <c r="E299" s="270" t="str">
        <f>"Industrial heating  heating technology "&amp;$AJ$12&amp;" - NO2 emission"</f>
        <v>Industrial heating  heating technology N - NO2 emission</v>
      </c>
      <c r="F299" s="219" t="s">
        <v>352</v>
      </c>
      <c r="G299" s="211"/>
      <c r="H299" s="214"/>
      <c r="I299" s="214"/>
      <c r="J299" s="214"/>
    </row>
    <row r="300" spans="2:10">
      <c r="B300" s="214"/>
      <c r="C300" s="214"/>
      <c r="D300" s="260" t="str">
        <f>"I"&amp;LEFT($AJ$12,1)&amp;"DPM"</f>
        <v>INDPM</v>
      </c>
      <c r="E300" s="270" t="str">
        <f>"Industrial heating  heating technology "&amp;$AJ$12&amp;" - Particle emission"</f>
        <v>Industrial heating  heating technology N - Particle emission</v>
      </c>
      <c r="F300" s="219" t="s">
        <v>352</v>
      </c>
      <c r="G300" s="211"/>
      <c r="H300" s="214"/>
      <c r="I300" s="214"/>
      <c r="J300" s="214"/>
    </row>
    <row r="301" spans="2:10">
      <c r="B301" s="224" t="s">
        <v>1057</v>
      </c>
      <c r="D301" s="224" t="str">
        <f>AI20</f>
        <v>INDNWH</v>
      </c>
      <c r="E301" s="270" t="str">
        <f>"Industrial heating technology "&amp;$AJ$12&amp;" - Waste heat"</f>
        <v>Industrial heating technology N - Waste heat</v>
      </c>
      <c r="F301" s="263" t="s">
        <v>450</v>
      </c>
    </row>
  </sheetData>
  <pageMargins left="0.7" right="0.7" top="0.75" bottom="0.75" header="0.3" footer="0.3"/>
  <pageSetup paperSize="9" orientation="portrait"/>
  <legacyDrawing r:id="rId1"/>
  <extLst>
    <ext xmlns:x14="http://schemas.microsoft.com/office/spreadsheetml/2009/9/main" uri="{CCE6A557-97BC-4b89-ADB6-D9C93CAAB3DF}">
      <x14:dataValidations xmlns:xm="http://schemas.microsoft.com/office/excel/2006/main" count="1">
        <x14:dataValidation type="list" allowBlank="1" showInputMessage="1" showErrorMessage="1" xr:uid="{5812FA3C-87B0-4C13-8602-A84FFC857FA3}">
          <x14:formula1>
            <xm:f>'Oil-fired boiler_NEW'!$T$4:$X$4</xm:f>
          </x14:formula1>
          <xm:sqref>E1</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A685B1-BC59-4F9C-AF5E-53EE4A5BB6DA}">
  <sheetPr>
    <tabColor rgb="FF00B050"/>
  </sheetPr>
  <dimension ref="A1:AJ301"/>
  <sheetViews>
    <sheetView tabSelected="1" topLeftCell="A249" zoomScale="70" zoomScaleNormal="70" workbookViewId="0">
      <selection activeCell="G215" sqref="G215"/>
    </sheetView>
  </sheetViews>
  <sheetFormatPr baseColWidth="10" defaultColWidth="9.1640625" defaultRowHeight="15"/>
  <cols>
    <col min="1" max="1" width="9.1640625" style="224"/>
    <col min="2" max="2" width="31.5" style="224" customWidth="1"/>
    <col min="3" max="3" width="11.5" style="224" bestFit="1" customWidth="1"/>
    <col min="4" max="4" width="19.83203125" style="224" customWidth="1"/>
    <col min="5" max="5" width="98.5" style="224" bestFit="1" customWidth="1"/>
    <col min="6" max="6" width="10.5" style="224" bestFit="1" customWidth="1"/>
    <col min="7" max="7" width="55.83203125" style="224" bestFit="1" customWidth="1"/>
    <col min="8" max="8" width="27.83203125" style="224" bestFit="1" customWidth="1"/>
    <col min="9" max="9" width="27.83203125" style="224" customWidth="1"/>
    <col min="10" max="10" width="10.1640625" style="224" bestFit="1" customWidth="1"/>
    <col min="11" max="11" width="8.5" style="224" bestFit="1" customWidth="1"/>
    <col min="12" max="12" width="6.5" style="224" bestFit="1" customWidth="1"/>
    <col min="13" max="13" width="6.5" style="224" customWidth="1"/>
    <col min="14" max="15" width="12.83203125" style="224" bestFit="1" customWidth="1"/>
    <col min="16" max="16" width="12.5" style="224" bestFit="1" customWidth="1"/>
    <col min="17" max="17" width="6.1640625" style="224" customWidth="1"/>
    <col min="18" max="18" width="8.1640625" style="224" bestFit="1" customWidth="1"/>
    <col min="19" max="19" width="11.83203125" style="224" bestFit="1" customWidth="1"/>
    <col min="20" max="20" width="11.5" style="224" bestFit="1" customWidth="1"/>
    <col min="21" max="21" width="18.1640625" style="224" bestFit="1" customWidth="1"/>
    <col min="22" max="22" width="11.83203125" style="224" customWidth="1"/>
    <col min="23" max="23" width="7.83203125" style="224" bestFit="1" customWidth="1"/>
    <col min="24" max="24" width="8.5" style="224" bestFit="1" customWidth="1"/>
    <col min="25" max="25" width="6.5" style="224" bestFit="1" customWidth="1"/>
    <col min="26" max="26" width="6.5" style="224" customWidth="1"/>
    <col min="27" max="27" width="8" style="224" customWidth="1"/>
    <col min="28" max="38" width="9.1640625" style="224"/>
    <col min="39" max="39" width="64.1640625" style="224" bestFit="1" customWidth="1"/>
    <col min="40" max="16384" width="9.1640625" style="224"/>
  </cols>
  <sheetData>
    <row r="1" spans="2:36" ht="14.5" customHeight="1">
      <c r="D1" s="728" t="s">
        <v>1016</v>
      </c>
      <c r="E1" s="729" t="s">
        <v>716</v>
      </c>
      <c r="N1" s="64"/>
      <c r="O1" s="64"/>
      <c r="P1" s="64"/>
      <c r="S1" s="727" t="s">
        <v>1004</v>
      </c>
      <c r="T1" s="776" t="s">
        <v>1003</v>
      </c>
      <c r="U1" s="775" t="s">
        <v>1053</v>
      </c>
      <c r="V1" s="776" t="s">
        <v>1054</v>
      </c>
      <c r="W1" s="780">
        <v>0.3</v>
      </c>
    </row>
    <row r="2" spans="2:36" ht="16" thickBot="1">
      <c r="E2" s="730" t="s">
        <v>1148</v>
      </c>
      <c r="N2" s="731"/>
      <c r="O2" s="731"/>
      <c r="P2" s="731"/>
      <c r="S2" s="726">
        <f>MATCH($E$1,$AJ$22:$AJ$35)</f>
        <v>7</v>
      </c>
      <c r="T2" s="778">
        <f>MATCH($E$1,$AJ$22:$AJ$35)+1</f>
        <v>8</v>
      </c>
      <c r="U2" s="779"/>
      <c r="V2" s="768" t="s">
        <v>1055</v>
      </c>
      <c r="W2" s="781">
        <v>0.2</v>
      </c>
    </row>
    <row r="3" spans="2:36" ht="16" thickBot="1">
      <c r="N3" s="731"/>
      <c r="O3" s="731"/>
      <c r="P3" s="731"/>
      <c r="S3" s="768"/>
      <c r="T3" s="768"/>
      <c r="U3" s="777"/>
      <c r="V3" s="778" t="s">
        <v>1056</v>
      </c>
      <c r="W3" s="782">
        <v>0</v>
      </c>
    </row>
    <row r="4" spans="2:36">
      <c r="N4" s="731"/>
      <c r="O4" s="731"/>
      <c r="P4" s="731"/>
      <c r="S4" s="768"/>
      <c r="T4" s="768"/>
      <c r="U4" s="768"/>
      <c r="V4" s="768"/>
    </row>
    <row r="5" spans="2:36">
      <c r="J5" s="172" t="s">
        <v>468</v>
      </c>
      <c r="N5" s="731"/>
      <c r="O5" s="731"/>
      <c r="P5" s="731"/>
      <c r="S5" s="768"/>
      <c r="T5" s="768"/>
      <c r="U5" s="768"/>
      <c r="V5" s="768"/>
    </row>
    <row r="6" spans="2:36" ht="26.25" customHeight="1">
      <c r="B6" s="166" t="s">
        <v>1015</v>
      </c>
      <c r="C6" s="46"/>
      <c r="D6" s="46" t="s">
        <v>425</v>
      </c>
      <c r="E6" s="46" t="s">
        <v>426</v>
      </c>
      <c r="F6" s="46" t="s">
        <v>689</v>
      </c>
      <c r="G6" s="46" t="s">
        <v>427</v>
      </c>
      <c r="H6" s="46" t="s">
        <v>428</v>
      </c>
      <c r="I6" s="771" t="s">
        <v>1049</v>
      </c>
      <c r="J6" s="46" t="s">
        <v>335</v>
      </c>
      <c r="K6" s="46" t="s">
        <v>336</v>
      </c>
      <c r="L6" s="47" t="s">
        <v>337</v>
      </c>
      <c r="M6" s="47" t="s">
        <v>1052</v>
      </c>
      <c r="N6" s="47" t="s">
        <v>339</v>
      </c>
      <c r="O6" s="48" t="s">
        <v>340</v>
      </c>
      <c r="P6" s="47" t="s">
        <v>341</v>
      </c>
      <c r="Q6" s="49" t="s">
        <v>342</v>
      </c>
      <c r="R6" s="49" t="s">
        <v>343</v>
      </c>
      <c r="S6" s="769" t="s">
        <v>344</v>
      </c>
      <c r="T6" s="770" t="s">
        <v>997</v>
      </c>
      <c r="U6" s="769" t="s">
        <v>1050</v>
      </c>
      <c r="V6" s="783" t="s">
        <v>1051</v>
      </c>
      <c r="W6" s="284"/>
      <c r="X6" s="280" t="str">
        <f>"FEMIS~"&amp;D296</f>
        <v>FEMIS~ILDSOx</v>
      </c>
      <c r="Y6" s="280" t="str">
        <f>"FEMIS~"&amp;D297</f>
        <v>FEMIS~ILDNOx</v>
      </c>
      <c r="Z6" s="280" t="str">
        <f>"FEMIS~"&amp;D298</f>
        <v>FEMIS~ILDCH4</v>
      </c>
      <c r="AA6" s="280" t="str">
        <f>"FEMIS~"&amp;D299</f>
        <v>FEMIS~ILDNO2</v>
      </c>
      <c r="AB6" s="280" t="str">
        <f>"FEMIS~"&amp;D300</f>
        <v>FEMIS~ILDPM</v>
      </c>
      <c r="AC6" s="224" t="s">
        <v>424</v>
      </c>
      <c r="AD6" s="224" t="s">
        <v>2001</v>
      </c>
      <c r="AE6" s="47" t="s">
        <v>338</v>
      </c>
      <c r="AF6" s="221" t="s">
        <v>473</v>
      </c>
    </row>
    <row r="7" spans="2:36" ht="16" thickBot="1">
      <c r="B7" s="715"/>
      <c r="C7" s="167"/>
      <c r="D7" s="167" t="s">
        <v>429</v>
      </c>
      <c r="E7" s="50"/>
      <c r="F7" s="50"/>
      <c r="G7" s="50"/>
      <c r="H7" s="50"/>
      <c r="I7" s="168"/>
      <c r="J7" s="50"/>
      <c r="K7" s="50"/>
      <c r="L7" s="51"/>
      <c r="M7" s="51"/>
      <c r="N7" s="51"/>
      <c r="O7" s="52"/>
      <c r="P7" s="50"/>
      <c r="Q7" s="50"/>
      <c r="R7" s="50"/>
      <c r="S7" s="50"/>
      <c r="T7" s="50"/>
      <c r="U7" s="50"/>
      <c r="V7" s="168"/>
      <c r="W7" s="285"/>
      <c r="X7" s="50"/>
      <c r="Y7" s="50"/>
      <c r="Z7" s="50"/>
      <c r="AA7" s="50"/>
      <c r="AB7" s="50"/>
      <c r="AE7" s="51"/>
      <c r="AF7" s="222"/>
    </row>
    <row r="8" spans="2:36">
      <c r="B8" s="357"/>
      <c r="D8" s="224" t="s">
        <v>451</v>
      </c>
      <c r="I8" s="357"/>
      <c r="J8" s="57"/>
      <c r="K8" s="57"/>
      <c r="L8" s="57"/>
      <c r="M8" s="57"/>
      <c r="N8" s="57"/>
      <c r="O8" s="57" t="s">
        <v>470</v>
      </c>
      <c r="P8" s="57" t="s">
        <v>471</v>
      </c>
      <c r="Q8" s="57" t="s">
        <v>472</v>
      </c>
      <c r="R8" s="57" t="s">
        <v>351</v>
      </c>
      <c r="S8" s="57" t="s">
        <v>351</v>
      </c>
      <c r="T8" s="57"/>
      <c r="U8" s="57"/>
      <c r="V8" s="784"/>
      <c r="W8" s="286"/>
      <c r="X8" s="57" t="s">
        <v>352</v>
      </c>
      <c r="Y8" s="57" t="s">
        <v>352</v>
      </c>
      <c r="Z8" s="57" t="s">
        <v>352</v>
      </c>
      <c r="AA8" s="57" t="s">
        <v>352</v>
      </c>
      <c r="AB8" s="57" t="s">
        <v>352</v>
      </c>
      <c r="AE8" s="57"/>
      <c r="AF8" s="220"/>
    </row>
    <row r="9" spans="2:36">
      <c r="B9" s="357" t="s">
        <v>998</v>
      </c>
      <c r="D9" s="212" t="str">
        <f>"IND"&amp;RIGHT(H9,4)&amp;RIGHT(G9,3)&amp;"N"&amp;RIGHT(E9,1)</f>
        <v>INDLDPHELCN1</v>
      </c>
      <c r="E9" s="261" t="str">
        <f>"Industrial heating technology "&amp;$AJ$12&amp;" "&amp;RIGHT(H9,2)&amp;" - Heat pump utilizing waste heat - new 1"</f>
        <v>Industrial heating technology L PH - Heat pump utilizing waste heat - new 1</v>
      </c>
      <c r="F9" s="224" t="s">
        <v>1149</v>
      </c>
      <c r="G9" s="173" t="s">
        <v>499</v>
      </c>
      <c r="H9" s="174" t="str">
        <f>$AI$14</f>
        <v>ILDPH</v>
      </c>
      <c r="I9" s="173"/>
      <c r="J9" s="224">
        <f>AD9</f>
        <v>2020</v>
      </c>
      <c r="K9" s="81">
        <v>2020</v>
      </c>
      <c r="L9" s="333">
        <v>1</v>
      </c>
      <c r="M9" s="199">
        <f ca="1">VLOOKUP($AD9,INDIRECT("'"&amp;$B9&amp;"'!"&amp;"$P$39:$AD$42"),3,FALSE)</f>
        <v>4.4754761904761899</v>
      </c>
      <c r="N9" s="81">
        <f ca="1">VLOOKUP($AD9,INDIRECT("'"&amp;$B9&amp;"'!"&amp;"$P$39:$AD$42"),5,FALSE)</f>
        <v>20</v>
      </c>
      <c r="O9" s="723">
        <f ca="1">VLOOKUP($AD9,INDIRECT("'"&amp;$B9&amp;"'!"&amp;"$P$39:$AD$42"),6,FALSE)/1000</f>
        <v>5.4385000000000003</v>
      </c>
      <c r="P9" s="723">
        <f ca="1">VLOOKUP($AD9,INDIRECT("'"&amp;$B9&amp;"'!"&amp;"$P$39:$AD$42"),7,FALSE)/1000</f>
        <v>1.49E-2</v>
      </c>
      <c r="Q9" s="81">
        <f ca="1">VLOOKUP($AD9,INDIRECT("'"&amp;$B9&amp;"'!"&amp;"$P$39:$AD$42"),8,FALSE)</f>
        <v>6.7463888888888883</v>
      </c>
      <c r="R9" s="81">
        <v>3.1536000000000002E-2</v>
      </c>
      <c r="S9" s="199">
        <v>0.5</v>
      </c>
      <c r="T9" s="199">
        <f ca="1">HLOOKUP($T$2,INDIRECT("'"&amp;$B9&amp;"'!"&amp;"$P$6:$AC$19"),IF(H9=$AI$13,6,IF(H9=$AI$14,9,14)),FALSE)</f>
        <v>0</v>
      </c>
      <c r="U9" s="199">
        <f ca="1">1/M9</f>
        <v>0.22343991062403579</v>
      </c>
      <c r="V9" s="199"/>
      <c r="W9" s="298"/>
      <c r="X9" s="698">
        <f ca="1">IF(VLOOKUP($AD9,INDIRECT("'"&amp;$B9&amp;"'!"&amp;"$P$39:$AD$42"),11,FALSE)="Cf. the utilized electricity",0,VLOOKUP($AD9,INDIRECT("'"&amp;$B9&amp;"'!"&amp;"$P$39:$AD$42"),11,FALSE))</f>
        <v>0</v>
      </c>
      <c r="Y9" s="81">
        <f ca="1">VLOOKUP($AD9,INDIRECT("'"&amp;$B9&amp;"'!"&amp;"$P$39:$AD$42"),12,FALSE)</f>
        <v>0</v>
      </c>
      <c r="Z9" s="81">
        <f ca="1">VLOOKUP($AD9,INDIRECT("'"&amp;$B9&amp;"'!"&amp;"$P$39:$AD$42"),13,FALSE)</f>
        <v>0</v>
      </c>
      <c r="AA9" s="81">
        <f ca="1">VLOOKUP($AD9,INDIRECT("'"&amp;$B9&amp;"'!"&amp;"$P$39:$AD$42"),14,FALSE)</f>
        <v>0</v>
      </c>
      <c r="AB9" s="81">
        <f ca="1">VLOOKUP($AD9,INDIRECT("'"&amp;$B9&amp;"'!"&amp;"$P$39:$AD$42"),15,FALSE)</f>
        <v>0</v>
      </c>
      <c r="AC9" s="226"/>
      <c r="AD9" s="81">
        <v>2020</v>
      </c>
      <c r="AE9" s="81"/>
      <c r="AF9" s="220"/>
    </row>
    <row r="10" spans="2:36">
      <c r="B10" s="357" t="s">
        <v>998</v>
      </c>
      <c r="D10" s="212"/>
      <c r="E10" s="261"/>
      <c r="F10" s="224" t="s">
        <v>1149</v>
      </c>
      <c r="G10" s="173" t="str">
        <f>$AI$20</f>
        <v>INDLWH</v>
      </c>
      <c r="H10" s="174"/>
      <c r="I10" s="174"/>
      <c r="K10" s="81"/>
      <c r="L10" s="333"/>
      <c r="M10" s="199"/>
      <c r="N10" s="81"/>
      <c r="O10" s="723"/>
      <c r="P10" s="723"/>
      <c r="Q10" s="81"/>
      <c r="R10" s="200"/>
      <c r="S10" s="772"/>
      <c r="T10" s="772"/>
      <c r="U10" s="199">
        <f ca="1">1-U9</f>
        <v>0.77656008937596421</v>
      </c>
      <c r="V10" s="772"/>
      <c r="W10" s="298"/>
      <c r="X10" s="698"/>
      <c r="Y10" s="81"/>
      <c r="Z10" s="81"/>
      <c r="AA10" s="81"/>
      <c r="AB10" s="81"/>
      <c r="AC10" s="226"/>
      <c r="AD10" s="81"/>
      <c r="AE10" s="81"/>
      <c r="AF10" s="220"/>
    </row>
    <row r="11" spans="2:36">
      <c r="B11" s="357" t="s">
        <v>998</v>
      </c>
      <c r="D11" s="212"/>
      <c r="E11" s="212"/>
      <c r="F11" s="224" t="s">
        <v>1149</v>
      </c>
      <c r="G11" s="173" t="s">
        <v>499</v>
      </c>
      <c r="H11" s="174" t="str">
        <f>$AI$14</f>
        <v>ILDPH</v>
      </c>
      <c r="I11" s="173"/>
      <c r="J11" s="224">
        <f>AD11</f>
        <v>2030</v>
      </c>
      <c r="K11" s="81"/>
      <c r="L11" s="333">
        <v>1</v>
      </c>
      <c r="M11" s="199">
        <f ca="1">VLOOKUP($AD11,INDIRECT("'"&amp;$B11&amp;"'!"&amp;"$P$39:$AD$42"),3,FALSE)</f>
        <v>4.5792982142857133</v>
      </c>
      <c r="N11" s="81"/>
      <c r="O11" s="723">
        <f ca="1">VLOOKUP($AD11,INDIRECT("'"&amp;$B11&amp;"'!"&amp;"$P$39:$AD$42"),6,FALSE)/1000</f>
        <v>4.8425000000000002</v>
      </c>
      <c r="P11" s="723">
        <f ca="1">VLOOKUP($AD11,INDIRECT("'"&amp;$B11&amp;"'!"&amp;"$P$39:$AD$42"),7,FALSE)/1000</f>
        <v>1.49E-2</v>
      </c>
      <c r="Q11" s="81">
        <f ca="1">VLOOKUP($AD11,INDIRECT("'"&amp;$B11&amp;"'!"&amp;"$P$39:$AD$42"),8,FALSE)</f>
        <v>6.6222222222222227</v>
      </c>
      <c r="R11" s="300"/>
      <c r="S11" s="300"/>
      <c r="T11" s="300"/>
      <c r="U11" s="199">
        <f ca="1">1/M11</f>
        <v>0.21837407244637849</v>
      </c>
      <c r="V11" s="199"/>
      <c r="W11" s="298"/>
      <c r="X11" s="698">
        <f ca="1">IF(VLOOKUP($AD11,INDIRECT("'"&amp;$B11&amp;"'!"&amp;"$P$39:$AD$42"),11,FALSE)="Cf. the utilized electricity",0,VLOOKUP($AD11,INDIRECT("'"&amp;$B11&amp;"'!"&amp;"$P$39:$AD$42"),11,FALSE))</f>
        <v>0</v>
      </c>
      <c r="Y11" s="81">
        <f ca="1">VLOOKUP($AD11,INDIRECT("'"&amp;$B11&amp;"'!"&amp;"$P$39:$AD$42"),12,FALSE)</f>
        <v>0</v>
      </c>
      <c r="Z11" s="81">
        <f ca="1">VLOOKUP($AD11,INDIRECT("'"&amp;$B11&amp;"'!"&amp;"$P$39:$AD$42"),13,FALSE)</f>
        <v>0</v>
      </c>
      <c r="AA11" s="81">
        <f ca="1">VLOOKUP($AD11,INDIRECT("'"&amp;$B11&amp;"'!"&amp;"$P$39:$AD$42"),14,FALSE)</f>
        <v>0</v>
      </c>
      <c r="AB11" s="81">
        <f ca="1">VLOOKUP($AD11,INDIRECT("'"&amp;$B11&amp;"'!"&amp;"$P$39:$AD$42"),15,FALSE)</f>
        <v>0</v>
      </c>
      <c r="AC11" s="226"/>
      <c r="AD11" s="81">
        <v>2030</v>
      </c>
      <c r="AE11" s="81"/>
      <c r="AF11" s="220"/>
    </row>
    <row r="12" spans="2:36">
      <c r="B12" s="357" t="s">
        <v>998</v>
      </c>
      <c r="D12" s="212"/>
      <c r="E12" s="212"/>
      <c r="F12" s="224" t="s">
        <v>1149</v>
      </c>
      <c r="G12" s="173" t="str">
        <f>$AI$20</f>
        <v>INDLWH</v>
      </c>
      <c r="H12" s="174"/>
      <c r="I12" s="174"/>
      <c r="K12" s="81"/>
      <c r="L12" s="333"/>
      <c r="M12" s="199"/>
      <c r="N12" s="81"/>
      <c r="O12" s="723"/>
      <c r="P12" s="723"/>
      <c r="Q12" s="81"/>
      <c r="R12" s="300"/>
      <c r="S12" s="300"/>
      <c r="T12" s="300"/>
      <c r="U12" s="199">
        <f ca="1">1-U11</f>
        <v>0.78162592755362148</v>
      </c>
      <c r="V12" s="300"/>
      <c r="W12" s="298"/>
      <c r="X12" s="698"/>
      <c r="Y12" s="81"/>
      <c r="Z12" s="81"/>
      <c r="AA12" s="81"/>
      <c r="AB12" s="81"/>
      <c r="AC12" s="226"/>
      <c r="AD12" s="81"/>
      <c r="AE12" s="81"/>
      <c r="AF12" s="220"/>
      <c r="AI12" s="224" t="s">
        <v>518</v>
      </c>
      <c r="AJ12" s="224" t="s">
        <v>374</v>
      </c>
    </row>
    <row r="13" spans="2:36">
      <c r="B13" s="357" t="s">
        <v>998</v>
      </c>
      <c r="D13" s="212"/>
      <c r="E13" s="212"/>
      <c r="F13" s="224" t="s">
        <v>1149</v>
      </c>
      <c r="G13" s="173" t="s">
        <v>499</v>
      </c>
      <c r="H13" s="174" t="str">
        <f>$AI$14</f>
        <v>ILDPH</v>
      </c>
      <c r="I13" s="173"/>
      <c r="J13" s="224">
        <f>AD13</f>
        <v>2050</v>
      </c>
      <c r="K13" s="81"/>
      <c r="L13" s="333">
        <v>1</v>
      </c>
      <c r="M13" s="199">
        <f ca="1">VLOOKUP($AD13,INDIRECT("'"&amp;$B13&amp;"'!"&amp;"$P$39:$AD$42"),3,FALSE)</f>
        <v>4.7191030203571422</v>
      </c>
      <c r="N13" s="81"/>
      <c r="O13" s="723">
        <f ca="1">VLOOKUP($AD13,INDIRECT("'"&amp;$B13&amp;"'!"&amp;"$P$39:$AD$42"),6,FALSE)/1000</f>
        <v>4.3209999999999997</v>
      </c>
      <c r="P13" s="723">
        <f ca="1">VLOOKUP($AD13,INDIRECT("'"&amp;$B13&amp;"'!"&amp;"$P$39:$AD$42"),7,FALSE)/1000</f>
        <v>1.49E-2</v>
      </c>
      <c r="Q13" s="81">
        <f ca="1">VLOOKUP($AD13,INDIRECT("'"&amp;$B13&amp;"'!"&amp;"$P$39:$AD$42"),8,FALSE)</f>
        <v>6.4566666666666661</v>
      </c>
      <c r="R13" s="300"/>
      <c r="S13" s="300"/>
      <c r="T13" s="300"/>
      <c r="U13" s="199">
        <f ca="1">1/M13</f>
        <v>0.21190467673331698</v>
      </c>
      <c r="V13" s="199"/>
      <c r="W13" s="298"/>
      <c r="X13" s="698">
        <f ca="1">IF(VLOOKUP($AD13,INDIRECT("'"&amp;$B13&amp;"'!"&amp;"$P$39:$AD$42"),11,FALSE)="Cf. the utilized electricity",0,VLOOKUP($AD13,INDIRECT("'"&amp;$B13&amp;"'!"&amp;"$P$39:$AD$42"),11,FALSE))</f>
        <v>0</v>
      </c>
      <c r="Y13" s="81">
        <f ca="1">VLOOKUP($AD13,INDIRECT("'"&amp;$B13&amp;"'!"&amp;"$P$39:$AD$42"),12,FALSE)</f>
        <v>0</v>
      </c>
      <c r="Z13" s="81">
        <f ca="1">VLOOKUP($AD13,INDIRECT("'"&amp;$B13&amp;"'!"&amp;"$P$39:$AD$42"),13,FALSE)</f>
        <v>0</v>
      </c>
      <c r="AA13" s="81">
        <f ca="1">VLOOKUP($AD13,INDIRECT("'"&amp;$B13&amp;"'!"&amp;"$P$39:$AD$42"),14,FALSE)</f>
        <v>0</v>
      </c>
      <c r="AB13" s="81">
        <f ca="1">VLOOKUP($AD13,INDIRECT("'"&amp;$B13&amp;"'!"&amp;"$P$39:$AD$42"),15,FALSE)</f>
        <v>0</v>
      </c>
      <c r="AC13" s="226"/>
      <c r="AD13" s="81">
        <v>2050</v>
      </c>
      <c r="AE13" s="81"/>
      <c r="AF13" s="220"/>
      <c r="AI13" s="224" t="str">
        <f>"I"&amp;LEFT($AJ$12,1)&amp;"DPH"</f>
        <v>ILDPH</v>
      </c>
      <c r="AJ13" s="224" t="str">
        <f>"Industry "&amp;$AJ$12&amp;" Demand Heat High Temp. over 150C"</f>
        <v>Industry L Demand Heat High Temp. over 150C</v>
      </c>
    </row>
    <row r="14" spans="2:36">
      <c r="B14" s="357" t="s">
        <v>998</v>
      </c>
      <c r="D14" s="212"/>
      <c r="E14" s="212"/>
      <c r="F14" s="224" t="s">
        <v>1149</v>
      </c>
      <c r="G14" s="173" t="str">
        <f>$AI$20</f>
        <v>INDLWH</v>
      </c>
      <c r="H14" s="174"/>
      <c r="I14" s="174"/>
      <c r="K14" s="81"/>
      <c r="L14" s="333"/>
      <c r="M14" s="199"/>
      <c r="N14" s="81"/>
      <c r="O14" s="723"/>
      <c r="P14" s="723"/>
      <c r="Q14" s="81"/>
      <c r="R14" s="300"/>
      <c r="S14" s="300"/>
      <c r="T14" s="300"/>
      <c r="U14" s="199">
        <f ca="1">1-U13</f>
        <v>0.78809532326668297</v>
      </c>
      <c r="V14" s="300"/>
      <c r="W14" s="298"/>
      <c r="X14" s="698"/>
      <c r="Y14" s="81"/>
      <c r="Z14" s="81"/>
      <c r="AA14" s="81"/>
      <c r="AB14" s="81"/>
      <c r="AC14" s="226"/>
      <c r="AD14" s="81"/>
      <c r="AE14" s="81"/>
      <c r="AF14" s="220"/>
      <c r="AI14" s="224" t="str">
        <f>"I"&amp;LEFT($AJ$12,1)&amp;"DPH"</f>
        <v>ILDPH</v>
      </c>
      <c r="AJ14" s="224" t="str">
        <f>"Industry "&amp;$AJ$12&amp;" Demand Heat Medium Temp. up to 150C"</f>
        <v>Industry L Demand Heat Medium Temp. up to 150C</v>
      </c>
    </row>
    <row r="15" spans="2:36">
      <c r="B15" s="357" t="s">
        <v>998</v>
      </c>
      <c r="D15" s="212" t="str">
        <f>"IND"&amp;RIGHT(H15,4)&amp;RIGHT(G15,3)&amp;"N"&amp;RIGHT(E15,1)</f>
        <v>INDLDSHELCN1</v>
      </c>
      <c r="E15" s="261" t="str">
        <f>"Industrial heating technology "&amp;$AJ$12&amp;" "&amp;RIGHT(H15,2)&amp;" - Heat pump utilizing waste heat - new 1"</f>
        <v>Industrial heating technology L SH - Heat pump utilizing waste heat - new 1</v>
      </c>
      <c r="F15" s="224" t="s">
        <v>1149</v>
      </c>
      <c r="G15" s="173" t="s">
        <v>499</v>
      </c>
      <c r="H15" s="174" t="str">
        <f>$AI$15</f>
        <v>ILDSH</v>
      </c>
      <c r="I15" s="174"/>
      <c r="J15" s="224">
        <f>AD15</f>
        <v>2020</v>
      </c>
      <c r="K15" s="81">
        <v>2020</v>
      </c>
      <c r="L15" s="333">
        <v>1</v>
      </c>
      <c r="M15" s="199">
        <f ca="1">VLOOKUP($AD15,INDIRECT("'"&amp;$B15&amp;"'!"&amp;"$P$39:$AD$42"),3,FALSE)</f>
        <v>4.4754761904761899</v>
      </c>
      <c r="N15" s="81">
        <f ca="1">VLOOKUP($AD15,INDIRECT("'"&amp;$B15&amp;"'!"&amp;"$P$39:$AD$42"),5,FALSE)</f>
        <v>20</v>
      </c>
      <c r="O15" s="723">
        <f ca="1">VLOOKUP($AD15,INDIRECT("'"&amp;$B15&amp;"'!"&amp;"$P$39:$AD$42"),6,FALSE)/1000</f>
        <v>5.4385000000000003</v>
      </c>
      <c r="P15" s="723">
        <f ca="1">VLOOKUP($AD15,INDIRECT("'"&amp;$B15&amp;"'!"&amp;"$P$39:$AD$42"),7,FALSE)/1000</f>
        <v>1.49E-2</v>
      </c>
      <c r="Q15" s="81">
        <f ca="1">VLOOKUP($AD15,INDIRECT("'"&amp;$B15&amp;"'!"&amp;"$P$39:$AD$42"),8,FALSE)</f>
        <v>6.7463888888888883</v>
      </c>
      <c r="R15" s="81">
        <v>3.1536000000000002E-2</v>
      </c>
      <c r="S15" s="199">
        <v>0.5</v>
      </c>
      <c r="T15" s="199">
        <f ca="1">HLOOKUP($T$2,INDIRECT("'"&amp;$B15&amp;"'!"&amp;"$P$6:$AC$19"),IF(H15=$AI$13,6,IF(H15=$AI$14,9,14)),FALSE)</f>
        <v>1</v>
      </c>
      <c r="U15" s="199">
        <f ca="1">1/M15</f>
        <v>0.22343991062403579</v>
      </c>
      <c r="V15" s="199"/>
      <c r="W15" s="298"/>
      <c r="X15" s="698">
        <f ca="1">IF(VLOOKUP($AD15,INDIRECT("'"&amp;$B15&amp;"'!"&amp;"$P$39:$AD$42"),11,FALSE)="Cf. the utilized electricity",0,VLOOKUP($AD15,INDIRECT("'"&amp;$B15&amp;"'!"&amp;"$P$39:$AD$42"),11,FALSE))</f>
        <v>0</v>
      </c>
      <c r="Y15" s="81">
        <f ca="1">VLOOKUP($AD15,INDIRECT("'"&amp;$B15&amp;"'!"&amp;"$P$39:$AD$42"),12,FALSE)</f>
        <v>0</v>
      </c>
      <c r="Z15" s="81">
        <f ca="1">VLOOKUP($AD15,INDIRECT("'"&amp;$B15&amp;"'!"&amp;"$P$39:$AD$42"),13,FALSE)</f>
        <v>0</v>
      </c>
      <c r="AA15" s="81">
        <f ca="1">VLOOKUP($AD15,INDIRECT("'"&amp;$B15&amp;"'!"&amp;"$P$39:$AD$42"),14,FALSE)</f>
        <v>0</v>
      </c>
      <c r="AB15" s="81">
        <f ca="1">VLOOKUP($AD15,INDIRECT("'"&amp;$B15&amp;"'!"&amp;"$P$39:$AD$42"),15,FALSE)</f>
        <v>0</v>
      </c>
      <c r="AC15" s="226"/>
      <c r="AD15" s="81">
        <v>2020</v>
      </c>
      <c r="AE15" s="81"/>
      <c r="AF15" s="220"/>
      <c r="AI15" s="224" t="str">
        <f>"I"&amp;LEFT($AJ$12,1)&amp;"DSH"</f>
        <v>ILDSH</v>
      </c>
      <c r="AJ15" s="224" t="str">
        <f>"Industry "&amp;$AJ$12&amp;" Demand Heat Room Heat"</f>
        <v>Industry L Demand Heat Room Heat</v>
      </c>
    </row>
    <row r="16" spans="2:36">
      <c r="B16" s="357" t="s">
        <v>998</v>
      </c>
      <c r="D16" s="212"/>
      <c r="E16" s="261"/>
      <c r="F16" s="224" t="s">
        <v>1149</v>
      </c>
      <c r="G16" s="173" t="str">
        <f>$AI$20</f>
        <v>INDLWH</v>
      </c>
      <c r="H16" s="174"/>
      <c r="I16" s="174"/>
      <c r="K16" s="81"/>
      <c r="L16" s="333"/>
      <c r="M16" s="199"/>
      <c r="N16" s="81"/>
      <c r="O16" s="723"/>
      <c r="P16" s="723"/>
      <c r="Q16" s="81"/>
      <c r="R16" s="200"/>
      <c r="S16" s="772"/>
      <c r="T16" s="772"/>
      <c r="U16" s="199">
        <f ca="1">1-U15</f>
        <v>0.77656008937596421</v>
      </c>
      <c r="V16" s="772"/>
      <c r="W16" s="298"/>
      <c r="X16" s="698"/>
      <c r="Y16" s="81"/>
      <c r="Z16" s="81"/>
      <c r="AA16" s="81"/>
      <c r="AB16" s="81"/>
      <c r="AC16" s="226"/>
      <c r="AD16" s="81"/>
      <c r="AE16" s="81"/>
      <c r="AF16" s="220"/>
      <c r="AI16" s="64" t="str">
        <f>"I"&amp;LEFT($AJ$12,1)&amp;"DLA"</f>
        <v>ILDLA</v>
      </c>
      <c r="AJ16" s="224" t="str">
        <f>"Industry "&amp;$AJ$12&amp;" Demand Light Appliances"</f>
        <v>Industry L Demand Light Appliances</v>
      </c>
    </row>
    <row r="17" spans="2:36">
      <c r="B17" s="357" t="s">
        <v>998</v>
      </c>
      <c r="D17" s="212"/>
      <c r="E17" s="212"/>
      <c r="F17" s="224" t="s">
        <v>1149</v>
      </c>
      <c r="G17" s="173" t="s">
        <v>499</v>
      </c>
      <c r="H17" s="174" t="str">
        <f>$AI$15</f>
        <v>ILDSH</v>
      </c>
      <c r="I17" s="174"/>
      <c r="J17" s="224">
        <f>AD17</f>
        <v>2030</v>
      </c>
      <c r="K17" s="81"/>
      <c r="L17" s="333">
        <v>1</v>
      </c>
      <c r="M17" s="199">
        <f ca="1">VLOOKUP($AD17,INDIRECT("'"&amp;$B17&amp;"'!"&amp;"$P$39:$AD$42"),3,FALSE)</f>
        <v>4.5792982142857133</v>
      </c>
      <c r="N17" s="81"/>
      <c r="O17" s="723">
        <f ca="1">VLOOKUP($AD17,INDIRECT("'"&amp;$B17&amp;"'!"&amp;"$P$39:$AD$42"),6,FALSE)/1000</f>
        <v>4.8425000000000002</v>
      </c>
      <c r="P17" s="723">
        <f ca="1">VLOOKUP($AD17,INDIRECT("'"&amp;$B17&amp;"'!"&amp;"$P$39:$AD$42"),7,FALSE)/1000</f>
        <v>1.49E-2</v>
      </c>
      <c r="Q17" s="81">
        <f ca="1">VLOOKUP($AD17,INDIRECT("'"&amp;$B17&amp;"'!"&amp;"$P$39:$AD$42"),8,FALSE)</f>
        <v>6.6222222222222227</v>
      </c>
      <c r="R17" s="300"/>
      <c r="S17" s="300"/>
      <c r="T17" s="300"/>
      <c r="U17" s="199">
        <f ca="1">1/M17</f>
        <v>0.21837407244637849</v>
      </c>
      <c r="V17" s="199"/>
      <c r="W17" s="298"/>
      <c r="X17" s="698">
        <f ca="1">IF(VLOOKUP($AD17,INDIRECT("'"&amp;$B17&amp;"'!"&amp;"$P$39:$AD$42"),11,FALSE)="Cf. the utilized electricity",0,VLOOKUP($AD17,INDIRECT("'"&amp;$B17&amp;"'!"&amp;"$P$39:$AD$42"),11,FALSE))</f>
        <v>0</v>
      </c>
      <c r="Y17" s="81">
        <f ca="1">VLOOKUP($AD17,INDIRECT("'"&amp;$B17&amp;"'!"&amp;"$P$39:$AD$42"),12,FALSE)</f>
        <v>0</v>
      </c>
      <c r="Z17" s="81">
        <f ca="1">VLOOKUP($AD17,INDIRECT("'"&amp;$B17&amp;"'!"&amp;"$P$39:$AD$42"),13,FALSE)</f>
        <v>0</v>
      </c>
      <c r="AA17" s="81">
        <f ca="1">VLOOKUP($AD17,INDIRECT("'"&amp;$B17&amp;"'!"&amp;"$P$39:$AD$42"),14,FALSE)</f>
        <v>0</v>
      </c>
      <c r="AB17" s="81">
        <f ca="1">VLOOKUP($AD17,INDIRECT("'"&amp;$B17&amp;"'!"&amp;"$P$39:$AD$42"),15,FALSE)</f>
        <v>0</v>
      </c>
      <c r="AC17" s="226"/>
      <c r="AD17" s="81">
        <v>2030</v>
      </c>
      <c r="AE17" s="81"/>
      <c r="AF17" s="220"/>
      <c r="AI17" s="224" t="str">
        <f>"I"&amp;LEFT($AJ$12,1)&amp;"DEM"</f>
        <v>ILDEM</v>
      </c>
      <c r="AJ17" s="224" t="str">
        <f>"Industry "&amp;$AJ$12&amp;" Demand Electric Motors"</f>
        <v>Industry L Demand Electric Motors</v>
      </c>
    </row>
    <row r="18" spans="2:36">
      <c r="B18" s="357" t="s">
        <v>998</v>
      </c>
      <c r="D18" s="212"/>
      <c r="E18" s="212"/>
      <c r="F18" s="224" t="s">
        <v>1149</v>
      </c>
      <c r="G18" s="173" t="str">
        <f>$AI$20</f>
        <v>INDLWH</v>
      </c>
      <c r="H18" s="174"/>
      <c r="I18" s="174"/>
      <c r="K18" s="81"/>
      <c r="L18" s="333"/>
      <c r="M18" s="199"/>
      <c r="N18" s="81"/>
      <c r="O18" s="723"/>
      <c r="P18" s="723"/>
      <c r="Q18" s="81"/>
      <c r="R18" s="300"/>
      <c r="S18" s="300"/>
      <c r="T18" s="300"/>
      <c r="U18" s="199">
        <f ca="1">1-U17</f>
        <v>0.78162592755362148</v>
      </c>
      <c r="V18" s="300"/>
      <c r="W18" s="298"/>
      <c r="X18" s="698"/>
      <c r="Y18" s="81"/>
      <c r="Z18" s="81"/>
      <c r="AA18" s="81"/>
      <c r="AB18" s="81"/>
      <c r="AC18" s="226"/>
      <c r="AD18" s="81"/>
      <c r="AE18" s="81"/>
      <c r="AF18" s="220"/>
      <c r="AI18" s="224" t="str">
        <f>"I"&amp;LEFT($AJ$12,1)&amp;"DTF"</f>
        <v>ILDTF</v>
      </c>
      <c r="AJ18" s="224" t="str">
        <f>"Industry "&amp;$AJ$12&amp;" Demand Tractors, Trucks, Fishing boats, Forest machines"</f>
        <v>Industry L Demand Tractors, Trucks, Fishing boats, Forest machines</v>
      </c>
    </row>
    <row r="19" spans="2:36">
      <c r="B19" s="357" t="s">
        <v>998</v>
      </c>
      <c r="D19" s="212"/>
      <c r="E19" s="212"/>
      <c r="F19" s="224" t="s">
        <v>1149</v>
      </c>
      <c r="G19" s="173" t="s">
        <v>499</v>
      </c>
      <c r="H19" s="174" t="str">
        <f>$AI$15</f>
        <v>ILDSH</v>
      </c>
      <c r="I19" s="174"/>
      <c r="J19" s="224">
        <f>AD19</f>
        <v>2050</v>
      </c>
      <c r="K19" s="81"/>
      <c r="L19" s="333">
        <v>1</v>
      </c>
      <c r="M19" s="199">
        <f ca="1">VLOOKUP($AD19,INDIRECT("'"&amp;$B19&amp;"'!"&amp;"$P$39:$AD$42"),3,FALSE)</f>
        <v>4.7191030203571422</v>
      </c>
      <c r="N19" s="81"/>
      <c r="O19" s="723">
        <f ca="1">VLOOKUP($AD19,INDIRECT("'"&amp;$B19&amp;"'!"&amp;"$P$39:$AD$42"),6,FALSE)/1000</f>
        <v>4.3209999999999997</v>
      </c>
      <c r="P19" s="723">
        <f ca="1">VLOOKUP($AD19,INDIRECT("'"&amp;$B19&amp;"'!"&amp;"$P$39:$AD$42"),7,FALSE)/1000</f>
        <v>1.49E-2</v>
      </c>
      <c r="Q19" s="81">
        <f ca="1">VLOOKUP($AD19,INDIRECT("'"&amp;$B19&amp;"'!"&amp;"$P$39:$AD$42"),8,FALSE)</f>
        <v>6.4566666666666661</v>
      </c>
      <c r="R19" s="300"/>
      <c r="S19" s="300"/>
      <c r="T19" s="300"/>
      <c r="U19" s="199">
        <f ca="1">1/M19</f>
        <v>0.21190467673331698</v>
      </c>
      <c r="V19" s="199"/>
      <c r="W19" s="298"/>
      <c r="X19" s="698">
        <f ca="1">IF(VLOOKUP($AD19,INDIRECT("'"&amp;$B19&amp;"'!"&amp;"$P$39:$AD$42"),11,FALSE)="Cf. the utilized electricity",0,VLOOKUP($AD19,INDIRECT("'"&amp;$B19&amp;"'!"&amp;"$P$39:$AD$42"),11,FALSE))</f>
        <v>0</v>
      </c>
      <c r="Y19" s="81">
        <f ca="1">VLOOKUP($AD19,INDIRECT("'"&amp;$B19&amp;"'!"&amp;"$P$39:$AD$42"),12,FALSE)</f>
        <v>0</v>
      </c>
      <c r="Z19" s="81">
        <f ca="1">VLOOKUP($AD19,INDIRECT("'"&amp;$B19&amp;"'!"&amp;"$P$39:$AD$42"),13,FALSE)</f>
        <v>0</v>
      </c>
      <c r="AA19" s="81">
        <f ca="1">VLOOKUP($AD19,INDIRECT("'"&amp;$B19&amp;"'!"&amp;"$P$39:$AD$42"),14,FALSE)</f>
        <v>0</v>
      </c>
      <c r="AB19" s="81">
        <f ca="1">VLOOKUP($AD19,INDIRECT("'"&amp;$B19&amp;"'!"&amp;"$P$39:$AD$42"),15,FALSE)</f>
        <v>0</v>
      </c>
      <c r="AC19" s="226"/>
      <c r="AD19" s="81">
        <v>2050</v>
      </c>
      <c r="AE19" s="81"/>
      <c r="AF19" s="220"/>
      <c r="AI19" s="224" t="str">
        <f>"I"&amp;LEFT($AJ$12,1)&amp;"DFL"</f>
        <v>ILDFL</v>
      </c>
      <c r="AJ19" s="224" t="str">
        <f>"Industry "&amp;$AJ$12&amp;" Demand Forklifts"</f>
        <v>Industry L Demand Forklifts</v>
      </c>
    </row>
    <row r="20" spans="2:36">
      <c r="B20" s="357" t="s">
        <v>998</v>
      </c>
      <c r="D20" s="212"/>
      <c r="E20" s="212"/>
      <c r="F20" s="224" t="s">
        <v>1149</v>
      </c>
      <c r="G20" s="173" t="str">
        <f>$AI$20</f>
        <v>INDLWH</v>
      </c>
      <c r="H20" s="174"/>
      <c r="I20" s="174"/>
      <c r="K20" s="81"/>
      <c r="L20" s="333"/>
      <c r="M20" s="199"/>
      <c r="N20" s="81"/>
      <c r="O20" s="723"/>
      <c r="P20" s="723"/>
      <c r="Q20" s="81"/>
      <c r="R20" s="300"/>
      <c r="S20" s="300"/>
      <c r="T20" s="300"/>
      <c r="U20" s="199">
        <f ca="1">1-U19</f>
        <v>0.78809532326668297</v>
      </c>
      <c r="V20" s="300"/>
      <c r="W20" s="298"/>
      <c r="X20" s="698"/>
      <c r="Y20" s="81"/>
      <c r="Z20" s="81"/>
      <c r="AA20" s="81"/>
      <c r="AB20" s="81"/>
      <c r="AC20" s="226"/>
      <c r="AD20" s="81"/>
      <c r="AE20" s="81"/>
      <c r="AF20" s="220"/>
      <c r="AI20" s="36" t="str">
        <f>"IND"&amp;LEFT($AJ$12,1)&amp;"WH"</f>
        <v>INDLWH</v>
      </c>
      <c r="AJ20" s="224" t="str">
        <f>"Industry "&amp;$AJ$12&amp;" Waste Heat"</f>
        <v>Industry L Waste Heat</v>
      </c>
    </row>
    <row r="21" spans="2:36">
      <c r="B21" s="357" t="s">
        <v>999</v>
      </c>
      <c r="D21" s="212" t="str">
        <f>"IND"&amp;RIGHT(H21,4)&amp;RIGHT(G21,3)&amp;"N"&amp;RIGHT(E21,1)</f>
        <v>INDLDPHELCN2</v>
      </c>
      <c r="E21" s="261" t="str">
        <f>"Industrial heating technology "&amp;$AJ$12&amp;" "&amp;RIGHT(H21,2)&amp;" - Heat driven heat pump utilizing waste heat - new 2"</f>
        <v>Industrial heating technology L PH - Heat driven heat pump utilizing waste heat - new 2</v>
      </c>
      <c r="F21" s="224" t="s">
        <v>1149</v>
      </c>
      <c r="G21" s="173" t="s">
        <v>499</v>
      </c>
      <c r="H21" s="174" t="str">
        <f>$AI$14</f>
        <v>ILDPH</v>
      </c>
      <c r="I21" s="174"/>
      <c r="J21" s="224">
        <f t="shared" ref="J21" si="0">AD21</f>
        <v>2020</v>
      </c>
      <c r="K21" s="81">
        <v>2020</v>
      </c>
      <c r="L21" s="333">
        <v>1</v>
      </c>
      <c r="M21" s="199">
        <f ca="1">VLOOKUP($AD21,INDIRECT("'"&amp;$B21&amp;"'!"&amp;"$P$39:$AD$42"),3,FALSE)</f>
        <v>1.68</v>
      </c>
      <c r="N21" s="81">
        <f ca="1">VLOOKUP($AD21,INDIRECT("'"&amp;$B21&amp;"'!"&amp;"$P$39:$AD$42"),5,FALSE)</f>
        <v>20</v>
      </c>
      <c r="O21" s="723">
        <f ca="1">VLOOKUP($AD21,INDIRECT("'"&amp;$B21&amp;"'!"&amp;"$P$39:$AD$42"),6,FALSE)/1000</f>
        <v>4.1720000000000006</v>
      </c>
      <c r="P21" s="723">
        <f ca="1">VLOOKUP($AD21,INDIRECT("'"&amp;$B21&amp;"'!"&amp;"$P$39:$AD$42"),7,FALSE)/1000</f>
        <v>1.49E-2</v>
      </c>
      <c r="Q21" s="81">
        <f ca="1">VLOOKUP($AD21,INDIRECT("'"&amp;$B21&amp;"'!"&amp;"$P$39:$AD$42"),8,FALSE)</f>
        <v>2.0901388888888892</v>
      </c>
      <c r="R21" s="81">
        <v>3.1536000000000002E-2</v>
      </c>
      <c r="S21" s="199">
        <v>0.5</v>
      </c>
      <c r="T21" s="199">
        <f ca="1">HLOOKUP($T$2,INDIRECT("'"&amp;$B21&amp;"'!"&amp;"$P$6:$AC$19"),IF(H21=$AI$13,6,IF(H21=$AI$14,9,14)),FALSE)</f>
        <v>0</v>
      </c>
      <c r="U21" s="199">
        <f ca="1">1/M21</f>
        <v>0.59523809523809523</v>
      </c>
      <c r="V21" s="199"/>
      <c r="W21" s="298"/>
      <c r="X21" s="698">
        <f ca="1">IF(VLOOKUP($AD21,INDIRECT("'"&amp;$B21&amp;"'!"&amp;"$P$39:$AD$42"),11,FALSE)="Cf. the utilized electricity",0,VLOOKUP($AD21,INDIRECT("'"&amp;$B21&amp;"'!"&amp;"$P$39:$AD$42"),11,FALSE))</f>
        <v>0</v>
      </c>
      <c r="Y21" s="81">
        <f ca="1">VLOOKUP($AD21,INDIRECT("'"&amp;$B21&amp;"'!"&amp;"$P$39:$AD$42"),12,FALSE)</f>
        <v>0</v>
      </c>
      <c r="Z21" s="81">
        <f ca="1">VLOOKUP($AD21,INDIRECT("'"&amp;$B21&amp;"'!"&amp;"$P$39:$AD$42"),13,FALSE)</f>
        <v>0</v>
      </c>
      <c r="AA21" s="81">
        <f ca="1">VLOOKUP($AD21,INDIRECT("'"&amp;$B21&amp;"'!"&amp;"$P$39:$AD$42"),14,FALSE)</f>
        <v>0</v>
      </c>
      <c r="AB21" s="81">
        <f ca="1">VLOOKUP($AD21,INDIRECT("'"&amp;$B21&amp;"'!"&amp;"$P$39:$AD$42"),15,FALSE)</f>
        <v>0</v>
      </c>
      <c r="AC21" s="226"/>
      <c r="AD21" s="81">
        <v>2020</v>
      </c>
      <c r="AE21" s="81"/>
      <c r="AF21" s="220"/>
      <c r="AI21" s="224" t="str">
        <f>"I"&amp;LEFT($AJ$12,1)&amp;"DCO"</f>
        <v>ILDCO</v>
      </c>
      <c r="AJ21" s="224" t="str">
        <f>"Industry "&amp;$AJ$12&amp;" Cooling"</f>
        <v>Industry L Cooling</v>
      </c>
    </row>
    <row r="22" spans="2:36">
      <c r="B22" s="357" t="s">
        <v>999</v>
      </c>
      <c r="D22" s="212"/>
      <c r="E22" s="261"/>
      <c r="F22" s="224" t="s">
        <v>1149</v>
      </c>
      <c r="G22" s="173" t="str">
        <f>$AI$20</f>
        <v>INDLWH</v>
      </c>
      <c r="H22" s="174"/>
      <c r="I22" s="174"/>
      <c r="K22" s="81"/>
      <c r="L22" s="333"/>
      <c r="M22" s="199"/>
      <c r="N22" s="81"/>
      <c r="O22" s="723"/>
      <c r="P22" s="723"/>
      <c r="Q22" s="81"/>
      <c r="R22" s="200"/>
      <c r="S22" s="772"/>
      <c r="T22" s="772"/>
      <c r="U22" s="199">
        <f ca="1">1-U21</f>
        <v>0.40476190476190477</v>
      </c>
      <c r="V22" s="772"/>
      <c r="W22" s="298"/>
      <c r="X22" s="698"/>
      <c r="Y22" s="81"/>
      <c r="Z22" s="81"/>
      <c r="AA22" s="81"/>
      <c r="AB22" s="81"/>
      <c r="AC22" s="226"/>
      <c r="AD22" s="81"/>
      <c r="AE22" s="81"/>
      <c r="AF22" s="220"/>
      <c r="AI22" s="224">
        <v>1</v>
      </c>
    </row>
    <row r="23" spans="2:36">
      <c r="B23" s="357" t="s">
        <v>999</v>
      </c>
      <c r="D23" s="212"/>
      <c r="E23" s="212"/>
      <c r="F23" s="224" t="s">
        <v>1149</v>
      </c>
      <c r="G23" s="173" t="s">
        <v>499</v>
      </c>
      <c r="H23" s="174" t="str">
        <f>$AI$14</f>
        <v>ILDPH</v>
      </c>
      <c r="I23" s="174"/>
      <c r="J23" s="224">
        <f t="shared" ref="J23" si="1">AD23</f>
        <v>2030</v>
      </c>
      <c r="K23" s="81"/>
      <c r="L23" s="333">
        <v>1</v>
      </c>
      <c r="M23" s="199">
        <f ca="1">VLOOKUP($AD23,INDIRECT("'"&amp;$B23&amp;"'!"&amp;"$P$39:$AD$42"),3,FALSE)</f>
        <v>1.69</v>
      </c>
      <c r="N23" s="81"/>
      <c r="O23" s="723">
        <f ca="1">VLOOKUP($AD23,INDIRECT("'"&amp;$B23&amp;"'!"&amp;"$P$39:$AD$42"),6,FALSE)/1000</f>
        <v>3.7995000000000001</v>
      </c>
      <c r="P23" s="723">
        <f ca="1">VLOOKUP($AD23,INDIRECT("'"&amp;$B23&amp;"'!"&amp;"$P$39:$AD$42"),7,FALSE)/1000</f>
        <v>1.49E-2</v>
      </c>
      <c r="Q23" s="81">
        <f ca="1">VLOOKUP($AD23,INDIRECT("'"&amp;$B23&amp;"'!"&amp;"$P$39:$AD$42"),8,FALSE)</f>
        <v>2.0694444444444446</v>
      </c>
      <c r="R23" s="300"/>
      <c r="S23" s="300"/>
      <c r="T23" s="300"/>
      <c r="U23" s="199">
        <f ca="1">1/M23</f>
        <v>0.59171597633136097</v>
      </c>
      <c r="V23" s="199"/>
      <c r="W23" s="298"/>
      <c r="X23" s="698">
        <f ca="1">IF(VLOOKUP($AD23,INDIRECT("'"&amp;$B23&amp;"'!"&amp;"$P$39:$AD$42"),11,FALSE)="Cf. the utilized electricity",0,VLOOKUP($AD23,INDIRECT("'"&amp;$B23&amp;"'!"&amp;"$P$39:$AD$42"),11,FALSE))</f>
        <v>0</v>
      </c>
      <c r="Y23" s="81">
        <f ca="1">VLOOKUP($AD23,INDIRECT("'"&amp;$B23&amp;"'!"&amp;"$P$39:$AD$42"),12,FALSE)</f>
        <v>0</v>
      </c>
      <c r="Z23" s="81">
        <f ca="1">VLOOKUP($AD23,INDIRECT("'"&amp;$B23&amp;"'!"&amp;"$P$39:$AD$42"),13,FALSE)</f>
        <v>0</v>
      </c>
      <c r="AA23" s="81">
        <f ca="1">VLOOKUP($AD23,INDIRECT("'"&amp;$B23&amp;"'!"&amp;"$P$39:$AD$42"),14,FALSE)</f>
        <v>0</v>
      </c>
      <c r="AB23" s="81">
        <f ca="1">VLOOKUP($AD23,INDIRECT("'"&amp;$B23&amp;"'!"&amp;"$P$39:$AD$42"),15,FALSE)</f>
        <v>0</v>
      </c>
      <c r="AC23" s="226"/>
      <c r="AD23" s="81">
        <v>2030</v>
      </c>
      <c r="AE23" s="81"/>
      <c r="AF23" s="220"/>
      <c r="AI23" s="224">
        <v>2</v>
      </c>
    </row>
    <row r="24" spans="2:36" ht="14.5" customHeight="1">
      <c r="B24" s="357" t="s">
        <v>999</v>
      </c>
      <c r="D24" s="212"/>
      <c r="E24" s="212"/>
      <c r="F24" s="224" t="s">
        <v>1149</v>
      </c>
      <c r="G24" s="173" t="str">
        <f>$AI$20</f>
        <v>INDLWH</v>
      </c>
      <c r="H24" s="174"/>
      <c r="I24" s="174"/>
      <c r="K24" s="81"/>
      <c r="L24" s="333"/>
      <c r="M24" s="199"/>
      <c r="N24" s="81"/>
      <c r="O24" s="723"/>
      <c r="P24" s="723"/>
      <c r="Q24" s="81"/>
      <c r="R24" s="300"/>
      <c r="S24" s="300"/>
      <c r="T24" s="300"/>
      <c r="U24" s="199">
        <f ca="1">1-U23</f>
        <v>0.40828402366863903</v>
      </c>
      <c r="V24" s="300"/>
      <c r="W24" s="298"/>
      <c r="X24" s="698"/>
      <c r="Y24" s="81"/>
      <c r="Z24" s="81"/>
      <c r="AA24" s="81"/>
      <c r="AB24" s="81"/>
      <c r="AC24" s="226"/>
      <c r="AD24" s="81"/>
      <c r="AE24" s="81"/>
      <c r="AF24" s="220"/>
      <c r="AI24" s="224">
        <v>3</v>
      </c>
    </row>
    <row r="25" spans="2:36" ht="14.5" customHeight="1">
      <c r="B25" s="357" t="s">
        <v>999</v>
      </c>
      <c r="D25" s="212"/>
      <c r="E25" s="212"/>
      <c r="F25" s="224" t="s">
        <v>1149</v>
      </c>
      <c r="G25" s="173" t="s">
        <v>499</v>
      </c>
      <c r="H25" s="174" t="str">
        <f>$AI$14</f>
        <v>ILDPH</v>
      </c>
      <c r="I25" s="174"/>
      <c r="J25" s="224">
        <f t="shared" ref="J25" si="2">AD25</f>
        <v>2050</v>
      </c>
      <c r="K25" s="81"/>
      <c r="L25" s="333">
        <v>1</v>
      </c>
      <c r="M25" s="199">
        <f ca="1">VLOOKUP($AD25,INDIRECT("'"&amp;$B25&amp;"'!"&amp;"$P$39:$AD$42"),3,FALSE)</f>
        <v>1.71</v>
      </c>
      <c r="N25" s="81"/>
      <c r="O25" s="723">
        <f ca="1">VLOOKUP($AD25,INDIRECT("'"&amp;$B25&amp;"'!"&amp;"$P$39:$AD$42"),6,FALSE)/1000</f>
        <v>3.427</v>
      </c>
      <c r="P25" s="723">
        <f ca="1">VLOOKUP($AD25,INDIRECT("'"&amp;$B25&amp;"'!"&amp;"$P$39:$AD$42"),7,FALSE)/1000</f>
        <v>1.49E-2</v>
      </c>
      <c r="Q25" s="81">
        <f ca="1">VLOOKUP($AD25,INDIRECT("'"&amp;$B25&amp;"'!"&amp;"$P$39:$AD$42"),8,FALSE)</f>
        <v>2.0487500000000001</v>
      </c>
      <c r="R25" s="300"/>
      <c r="S25" s="300"/>
      <c r="T25" s="300"/>
      <c r="U25" s="199">
        <f ca="1">1/M25</f>
        <v>0.58479532163742687</v>
      </c>
      <c r="V25" s="199"/>
      <c r="W25" s="298"/>
      <c r="X25" s="698">
        <f ca="1">IF(VLOOKUP($AD25,INDIRECT("'"&amp;$B25&amp;"'!"&amp;"$P$39:$AD$42"),11,FALSE)="Cf. the utilized electricity",0,VLOOKUP($AD25,INDIRECT("'"&amp;$B25&amp;"'!"&amp;"$P$39:$AD$42"),11,FALSE))</f>
        <v>0</v>
      </c>
      <c r="Y25" s="81">
        <f ca="1">VLOOKUP($AD25,INDIRECT("'"&amp;$B25&amp;"'!"&amp;"$P$39:$AD$42"),12,FALSE)</f>
        <v>0</v>
      </c>
      <c r="Z25" s="81">
        <f ca="1">VLOOKUP($AD25,INDIRECT("'"&amp;$B25&amp;"'!"&amp;"$P$39:$AD$42"),13,FALSE)</f>
        <v>0</v>
      </c>
      <c r="AA25" s="81">
        <f ca="1">VLOOKUP($AD25,INDIRECT("'"&amp;$B25&amp;"'!"&amp;"$P$39:$AD$42"),14,FALSE)</f>
        <v>0</v>
      </c>
      <c r="AB25" s="81">
        <f ca="1">VLOOKUP($AD25,INDIRECT("'"&amp;$B25&amp;"'!"&amp;"$P$39:$AD$42"),15,FALSE)</f>
        <v>0</v>
      </c>
      <c r="AC25" s="226"/>
      <c r="AD25" s="81">
        <v>2050</v>
      </c>
      <c r="AE25" s="81"/>
      <c r="AF25" s="220"/>
      <c r="AI25" s="224">
        <v>4</v>
      </c>
    </row>
    <row r="26" spans="2:36" ht="15" customHeight="1">
      <c r="B26" s="357" t="s">
        <v>999</v>
      </c>
      <c r="D26" s="212"/>
      <c r="E26" s="212"/>
      <c r="F26" s="224" t="s">
        <v>1149</v>
      </c>
      <c r="G26" s="173" t="str">
        <f>$AI$20</f>
        <v>INDLWH</v>
      </c>
      <c r="H26" s="174"/>
      <c r="I26" s="174"/>
      <c r="K26" s="81"/>
      <c r="L26" s="333"/>
      <c r="M26" s="199"/>
      <c r="N26" s="81"/>
      <c r="O26" s="723"/>
      <c r="P26" s="723"/>
      <c r="Q26" s="81"/>
      <c r="R26" s="300"/>
      <c r="S26" s="300"/>
      <c r="T26" s="300"/>
      <c r="U26" s="199">
        <f ca="1">1-U25</f>
        <v>0.41520467836257313</v>
      </c>
      <c r="V26" s="300"/>
      <c r="W26" s="298"/>
      <c r="X26" s="698"/>
      <c r="Y26" s="81"/>
      <c r="Z26" s="81"/>
      <c r="AA26" s="81"/>
      <c r="AB26" s="81"/>
      <c r="AC26" s="226"/>
      <c r="AD26" s="81"/>
      <c r="AE26" s="81"/>
      <c r="AF26" s="220"/>
      <c r="AI26" s="224">
        <v>5</v>
      </c>
      <c r="AJ26" s="224" t="s">
        <v>715</v>
      </c>
    </row>
    <row r="27" spans="2:36">
      <c r="B27" s="357" t="s">
        <v>999</v>
      </c>
      <c r="D27" s="212" t="str">
        <f>"IND"&amp;RIGHT(H27,4)&amp;RIGHT(G27,3)&amp;"N"&amp;RIGHT(E27,1)</f>
        <v>INDLDSHELCN2</v>
      </c>
      <c r="E27" s="261" t="str">
        <f>"Industrial heating technology "&amp;$AJ$12&amp;" "&amp;RIGHT(H27,2)&amp;" - Heat driven heat pump utilizing waste heat - new 2"</f>
        <v>Industrial heating technology L SH - Heat driven heat pump utilizing waste heat - new 2</v>
      </c>
      <c r="F27" s="224" t="s">
        <v>1149</v>
      </c>
      <c r="G27" s="173" t="s">
        <v>499</v>
      </c>
      <c r="H27" s="174" t="str">
        <f>$AI$15</f>
        <v>ILDSH</v>
      </c>
      <c r="I27" s="174"/>
      <c r="J27" s="224">
        <f t="shared" ref="J27" si="3">AD27</f>
        <v>2020</v>
      </c>
      <c r="K27" s="81">
        <v>2020</v>
      </c>
      <c r="L27" s="333">
        <v>1</v>
      </c>
      <c r="M27" s="199">
        <f ca="1">VLOOKUP($AD27,INDIRECT("'"&amp;$B27&amp;"'!"&amp;"$P$39:$AD$42"),3,FALSE)</f>
        <v>1.68</v>
      </c>
      <c r="N27" s="81">
        <f ca="1">VLOOKUP($AD27,INDIRECT("'"&amp;$B27&amp;"'!"&amp;"$P$39:$AD$42"),5,FALSE)</f>
        <v>20</v>
      </c>
      <c r="O27" s="723">
        <f ca="1">VLOOKUP($AD27,INDIRECT("'"&amp;$B27&amp;"'!"&amp;"$P$39:$AD$42"),6,FALSE)/1000</f>
        <v>4.1720000000000006</v>
      </c>
      <c r="P27" s="723">
        <f ca="1">VLOOKUP($AD27,INDIRECT("'"&amp;$B27&amp;"'!"&amp;"$P$39:$AD$42"),7,FALSE)/1000</f>
        <v>1.49E-2</v>
      </c>
      <c r="Q27" s="81">
        <f ca="1">VLOOKUP($AD27,INDIRECT("'"&amp;$B27&amp;"'!"&amp;"$P$39:$AD$42"),8,FALSE)</f>
        <v>2.0901388888888892</v>
      </c>
      <c r="R27" s="81">
        <v>3.1536000000000002E-2</v>
      </c>
      <c r="S27" s="199">
        <v>0.5</v>
      </c>
      <c r="T27" s="199">
        <f ca="1">HLOOKUP($T$2,INDIRECT("'"&amp;$B27&amp;"'!"&amp;"$P$6:$AC$19"),IF(H27=$AI$13,6,IF(H27=$AI$14,9,14)),FALSE)</f>
        <v>1</v>
      </c>
      <c r="U27" s="199">
        <f ca="1">1/M27</f>
        <v>0.59523809523809523</v>
      </c>
      <c r="V27" s="199"/>
      <c r="W27" s="298"/>
      <c r="X27" s="698">
        <f ca="1">IF(VLOOKUP($AD27,INDIRECT("'"&amp;$B27&amp;"'!"&amp;"$P$39:$AD$42"),11,FALSE)="Cf. the utilized electricity",0,VLOOKUP($AD27,INDIRECT("'"&amp;$B27&amp;"'!"&amp;"$P$39:$AD$42"),11,FALSE))</f>
        <v>0</v>
      </c>
      <c r="Y27" s="81">
        <f ca="1">VLOOKUP($AD27,INDIRECT("'"&amp;$B27&amp;"'!"&amp;"$P$39:$AD$42"),12,FALSE)</f>
        <v>0</v>
      </c>
      <c r="Z27" s="81">
        <f ca="1">VLOOKUP($AD27,INDIRECT("'"&amp;$B27&amp;"'!"&amp;"$P$39:$AD$42"),13,FALSE)</f>
        <v>0</v>
      </c>
      <c r="AA27" s="81">
        <f ca="1">VLOOKUP($AD27,INDIRECT("'"&amp;$B27&amp;"'!"&amp;"$P$39:$AD$42"),14,FALSE)</f>
        <v>0</v>
      </c>
      <c r="AB27" s="81">
        <f ca="1">VLOOKUP($AD27,INDIRECT("'"&amp;$B27&amp;"'!"&amp;"$P$39:$AD$42"),15,FALSE)</f>
        <v>0</v>
      </c>
      <c r="AD27" s="81">
        <v>2020</v>
      </c>
      <c r="AE27" s="81"/>
      <c r="AF27" s="220"/>
      <c r="AI27" s="224">
        <v>6</v>
      </c>
    </row>
    <row r="28" spans="2:36" ht="15" customHeight="1">
      <c r="B28" s="357" t="s">
        <v>999</v>
      </c>
      <c r="D28" s="212"/>
      <c r="E28" s="261"/>
      <c r="F28" s="224" t="s">
        <v>1149</v>
      </c>
      <c r="G28" s="173" t="str">
        <f>$AI$20</f>
        <v>INDLWH</v>
      </c>
      <c r="H28" s="174"/>
      <c r="I28" s="174"/>
      <c r="K28" s="81"/>
      <c r="L28" s="333"/>
      <c r="M28" s="199"/>
      <c r="N28" s="81"/>
      <c r="O28" s="723"/>
      <c r="P28" s="723"/>
      <c r="Q28" s="81"/>
      <c r="R28" s="200"/>
      <c r="S28" s="772"/>
      <c r="T28" s="772"/>
      <c r="U28" s="199">
        <f ca="1">1-U27</f>
        <v>0.40476190476190477</v>
      </c>
      <c r="V28" s="772"/>
      <c r="W28" s="298"/>
      <c r="X28" s="698"/>
      <c r="Y28" s="81"/>
      <c r="Z28" s="81"/>
      <c r="AA28" s="81"/>
      <c r="AB28" s="81"/>
      <c r="AD28" s="81"/>
      <c r="AE28" s="81"/>
      <c r="AF28" s="220"/>
      <c r="AI28" s="224">
        <v>7</v>
      </c>
      <c r="AJ28" s="224" t="s">
        <v>716</v>
      </c>
    </row>
    <row r="29" spans="2:36">
      <c r="B29" s="357" t="s">
        <v>999</v>
      </c>
      <c r="D29" s="212"/>
      <c r="E29" s="212"/>
      <c r="F29" s="224" t="s">
        <v>1149</v>
      </c>
      <c r="G29" s="173" t="s">
        <v>499</v>
      </c>
      <c r="H29" s="174" t="str">
        <f>$AI$15</f>
        <v>ILDSH</v>
      </c>
      <c r="I29" s="174"/>
      <c r="J29" s="224">
        <f t="shared" ref="J29" si="4">AD29</f>
        <v>2030</v>
      </c>
      <c r="K29" s="81"/>
      <c r="L29" s="333">
        <v>1</v>
      </c>
      <c r="M29" s="199">
        <f ca="1">VLOOKUP($AD29,INDIRECT("'"&amp;$B29&amp;"'!"&amp;"$P$39:$AD$42"),3,FALSE)</f>
        <v>1.69</v>
      </c>
      <c r="N29" s="81"/>
      <c r="O29" s="723">
        <f ca="1">VLOOKUP($AD29,INDIRECT("'"&amp;$B29&amp;"'!"&amp;"$P$39:$AD$42"),6,FALSE)/1000</f>
        <v>3.7995000000000001</v>
      </c>
      <c r="P29" s="723">
        <f ca="1">VLOOKUP($AD29,INDIRECT("'"&amp;$B29&amp;"'!"&amp;"$P$39:$AD$42"),7,FALSE)/1000</f>
        <v>1.49E-2</v>
      </c>
      <c r="Q29" s="81">
        <f ca="1">VLOOKUP($AD29,INDIRECT("'"&amp;$B29&amp;"'!"&amp;"$P$39:$AD$42"),8,FALSE)</f>
        <v>2.0694444444444446</v>
      </c>
      <c r="R29" s="300"/>
      <c r="S29" s="300"/>
      <c r="T29" s="300"/>
      <c r="U29" s="199">
        <f ca="1">1/M29</f>
        <v>0.59171597633136097</v>
      </c>
      <c r="V29" s="199"/>
      <c r="W29" s="298"/>
      <c r="X29" s="698">
        <f ca="1">IF(VLOOKUP($AD29,INDIRECT("'"&amp;$B29&amp;"'!"&amp;"$P$39:$AD$42"),11,FALSE)="Cf. the utilized electricity",0,VLOOKUP($AD29,INDIRECT("'"&amp;$B29&amp;"'!"&amp;"$P$39:$AD$42"),11,FALSE))</f>
        <v>0</v>
      </c>
      <c r="Y29" s="81">
        <f ca="1">VLOOKUP($AD29,INDIRECT("'"&amp;$B29&amp;"'!"&amp;"$P$39:$AD$42"),12,FALSE)</f>
        <v>0</v>
      </c>
      <c r="Z29" s="81">
        <f ca="1">VLOOKUP($AD29,INDIRECT("'"&amp;$B29&amp;"'!"&amp;"$P$39:$AD$42"),13,FALSE)</f>
        <v>0</v>
      </c>
      <c r="AA29" s="81">
        <f ca="1">VLOOKUP($AD29,INDIRECT("'"&amp;$B29&amp;"'!"&amp;"$P$39:$AD$42"),14,FALSE)</f>
        <v>0</v>
      </c>
      <c r="AB29" s="81">
        <f ca="1">VLOOKUP($AD29,INDIRECT("'"&amp;$B29&amp;"'!"&amp;"$P$39:$AD$42"),15,FALSE)</f>
        <v>0</v>
      </c>
      <c r="AD29" s="81">
        <v>2030</v>
      </c>
      <c r="AE29" s="81"/>
      <c r="AF29" s="220"/>
      <c r="AI29" s="224">
        <v>8</v>
      </c>
    </row>
    <row r="30" spans="2:36" ht="15" customHeight="1">
      <c r="B30" s="357" t="s">
        <v>999</v>
      </c>
      <c r="D30" s="212"/>
      <c r="E30" s="212"/>
      <c r="F30" s="224" t="s">
        <v>1149</v>
      </c>
      <c r="G30" s="173" t="str">
        <f>$AI$20</f>
        <v>INDLWH</v>
      </c>
      <c r="H30" s="174"/>
      <c r="I30" s="174"/>
      <c r="K30" s="81"/>
      <c r="L30" s="333"/>
      <c r="M30" s="199"/>
      <c r="N30" s="81"/>
      <c r="O30" s="723"/>
      <c r="P30" s="723"/>
      <c r="Q30" s="81"/>
      <c r="R30" s="300"/>
      <c r="S30" s="300"/>
      <c r="T30" s="300"/>
      <c r="U30" s="199">
        <f ca="1">1-U29</f>
        <v>0.40828402366863903</v>
      </c>
      <c r="V30" s="300"/>
      <c r="W30" s="298"/>
      <c r="X30" s="698"/>
      <c r="Y30" s="81"/>
      <c r="Z30" s="81"/>
      <c r="AA30" s="81"/>
      <c r="AB30" s="81"/>
      <c r="AD30" s="81"/>
      <c r="AE30" s="81"/>
      <c r="AF30" s="220"/>
      <c r="AI30" s="224">
        <v>9</v>
      </c>
      <c r="AJ30" s="224" t="s">
        <v>717</v>
      </c>
    </row>
    <row r="31" spans="2:36">
      <c r="B31" s="357" t="s">
        <v>999</v>
      </c>
      <c r="D31" s="212"/>
      <c r="E31" s="212"/>
      <c r="F31" s="224" t="s">
        <v>1149</v>
      </c>
      <c r="G31" s="173" t="s">
        <v>499</v>
      </c>
      <c r="H31" s="174" t="str">
        <f>$AI$15</f>
        <v>ILDSH</v>
      </c>
      <c r="I31" s="174"/>
      <c r="J31" s="224">
        <f t="shared" ref="J31" si="5">AD31</f>
        <v>2050</v>
      </c>
      <c r="K31" s="81"/>
      <c r="L31" s="333">
        <v>1</v>
      </c>
      <c r="M31" s="199">
        <f ca="1">VLOOKUP($AD31,INDIRECT("'"&amp;$B31&amp;"'!"&amp;"$P$39:$AD$42"),3,FALSE)</f>
        <v>1.71</v>
      </c>
      <c r="N31" s="81"/>
      <c r="O31" s="723">
        <f ca="1">VLOOKUP($AD31,INDIRECT("'"&amp;$B31&amp;"'!"&amp;"$P$39:$AD$42"),6,FALSE)/1000</f>
        <v>3.427</v>
      </c>
      <c r="P31" s="723">
        <f ca="1">VLOOKUP($AD31,INDIRECT("'"&amp;$B31&amp;"'!"&amp;"$P$39:$AD$42"),7,FALSE)/1000</f>
        <v>1.49E-2</v>
      </c>
      <c r="Q31" s="81">
        <f ca="1">VLOOKUP($AD31,INDIRECT("'"&amp;$B31&amp;"'!"&amp;"$P$39:$AD$42"),8,FALSE)</f>
        <v>2.0487500000000001</v>
      </c>
      <c r="R31" s="300"/>
      <c r="S31" s="300"/>
      <c r="T31" s="300"/>
      <c r="U31" s="199">
        <f ca="1">1/M31</f>
        <v>0.58479532163742687</v>
      </c>
      <c r="V31" s="199"/>
      <c r="W31" s="298"/>
      <c r="X31" s="698">
        <f ca="1">IF(VLOOKUP($AD31,INDIRECT("'"&amp;$B31&amp;"'!"&amp;"$P$39:$AD$42"),11,FALSE)="Cf. the utilized electricity",0,VLOOKUP($AD31,INDIRECT("'"&amp;$B31&amp;"'!"&amp;"$P$39:$AD$42"),11,FALSE))</f>
        <v>0</v>
      </c>
      <c r="Y31" s="81">
        <f ca="1">VLOOKUP($AD31,INDIRECT("'"&amp;$B31&amp;"'!"&amp;"$P$39:$AD$42"),12,FALSE)</f>
        <v>0</v>
      </c>
      <c r="Z31" s="81">
        <f ca="1">VLOOKUP($AD31,INDIRECT("'"&amp;$B31&amp;"'!"&amp;"$P$39:$AD$42"),13,FALSE)</f>
        <v>0</v>
      </c>
      <c r="AA31" s="81">
        <f ca="1">VLOOKUP($AD31,INDIRECT("'"&amp;$B31&amp;"'!"&amp;"$P$39:$AD$42"),14,FALSE)</f>
        <v>0</v>
      </c>
      <c r="AB31" s="81">
        <f ca="1">VLOOKUP($AD31,INDIRECT("'"&amp;$B31&amp;"'!"&amp;"$P$39:$AD$42"),15,FALSE)</f>
        <v>0</v>
      </c>
      <c r="AD31" s="81">
        <v>2050</v>
      </c>
      <c r="AE31" s="81"/>
      <c r="AF31" s="220"/>
      <c r="AI31" s="224">
        <v>10</v>
      </c>
    </row>
    <row r="32" spans="2:36">
      <c r="B32" s="357" t="s">
        <v>999</v>
      </c>
      <c r="D32" s="212"/>
      <c r="E32" s="212"/>
      <c r="F32" s="224" t="s">
        <v>1149</v>
      </c>
      <c r="G32" s="173" t="str">
        <f>$AI$20</f>
        <v>INDLWH</v>
      </c>
      <c r="H32" s="174"/>
      <c r="I32" s="174"/>
      <c r="K32" s="81"/>
      <c r="L32" s="333"/>
      <c r="M32" s="199"/>
      <c r="N32" s="81"/>
      <c r="O32" s="723"/>
      <c r="P32" s="723"/>
      <c r="Q32" s="81"/>
      <c r="R32" s="300"/>
      <c r="S32" s="300"/>
      <c r="T32" s="300"/>
      <c r="U32" s="199">
        <f ca="1">1-U31</f>
        <v>0.41520467836257313</v>
      </c>
      <c r="V32" s="300"/>
      <c r="W32" s="298"/>
      <c r="X32" s="698"/>
      <c r="Y32" s="81"/>
      <c r="Z32" s="81"/>
      <c r="AA32" s="81"/>
      <c r="AB32" s="81"/>
      <c r="AD32" s="81"/>
      <c r="AE32" s="81"/>
      <c r="AF32" s="220"/>
      <c r="AI32" s="224">
        <v>11</v>
      </c>
      <c r="AJ32" s="224" t="s">
        <v>718</v>
      </c>
    </row>
    <row r="33" spans="2:36">
      <c r="B33" s="357" t="s">
        <v>1000</v>
      </c>
      <c r="D33" s="212" t="str">
        <f>"IND"&amp;RIGHT(H33,4)&amp;RIGHT(G33,3)&amp;"N"&amp;RIGHT(E33,1)</f>
        <v>INDLDPHELCN3</v>
      </c>
      <c r="E33" s="261" t="str">
        <f>"Industrial heating technology "&amp;$AJ$12&amp;" "&amp;RIGHT(H33,2)&amp;" - High Temp abs. Heat pump utilizing waste heat - new 3"</f>
        <v>Industrial heating technology L PH - High Temp abs. Heat pump utilizing waste heat - new 3</v>
      </c>
      <c r="F33" s="224" t="s">
        <v>1149</v>
      </c>
      <c r="G33" s="173" t="s">
        <v>499</v>
      </c>
      <c r="H33" s="174" t="str">
        <f>$AI$14</f>
        <v>ILDPH</v>
      </c>
      <c r="I33" s="174"/>
      <c r="J33" s="224">
        <f t="shared" ref="J33" si="6">AD33</f>
        <v>2020</v>
      </c>
      <c r="K33" s="81">
        <v>2020</v>
      </c>
      <c r="L33" s="333">
        <v>1</v>
      </c>
      <c r="M33" s="199">
        <f ca="1">VLOOKUP($AD33,INDIRECT("'"&amp;$B33&amp;"'!"&amp;"$P$39:$AD$42"),3,FALSE)</f>
        <v>2.75</v>
      </c>
      <c r="N33" s="81">
        <f ca="1">VLOOKUP($AD33,INDIRECT("'"&amp;$B33&amp;"'!"&amp;"$P$39:$AD$42"),5,FALSE)</f>
        <v>20</v>
      </c>
      <c r="O33" s="723">
        <f ca="1">VLOOKUP($AD33,INDIRECT("'"&amp;$B33&amp;"'!"&amp;"$P$39:$AD$42"),6,FALSE)/1000</f>
        <v>7.1394840000000004</v>
      </c>
      <c r="P33" s="723">
        <f ca="1">VLOOKUP($AD33,INDIRECT("'"&amp;$B33&amp;"'!"&amp;"$P$39:$AD$42"),7,FALSE)/1000</f>
        <v>7.2264999999999994E-3</v>
      </c>
      <c r="Q33" s="81">
        <f ca="1">VLOOKUP($AD33,INDIRECT("'"&amp;$B33&amp;"'!"&amp;"$P$39:$AD$42"),8,FALSE)</f>
        <v>6.7463888888888883</v>
      </c>
      <c r="R33" s="81">
        <v>3.1536000000000002E-2</v>
      </c>
      <c r="S33" s="199">
        <v>0.5</v>
      </c>
      <c r="T33" s="199">
        <f ca="1">HLOOKUP($T$2,INDIRECT("'"&amp;$B33&amp;"'!"&amp;"$P$6:$AC$19"),IF(H33=$AI$13,6,IF(H33=$AI$14,9,14)),FALSE)-T9</f>
        <v>0</v>
      </c>
      <c r="U33" s="199">
        <f ca="1">1/M33</f>
        <v>0.36363636363636365</v>
      </c>
      <c r="V33" s="199"/>
      <c r="W33" s="298"/>
      <c r="X33" s="698">
        <f ca="1">IF(VLOOKUP($AD33,INDIRECT("'"&amp;$B33&amp;"'!"&amp;"$P$39:$AD$42"),11,FALSE)="Cf. the utilized electricity",0,VLOOKUP($AD33,INDIRECT("'"&amp;$B33&amp;"'!"&amp;"$P$39:$AD$42"),11,FALSE))</f>
        <v>0</v>
      </c>
      <c r="Y33" s="81">
        <f ca="1">VLOOKUP($AD33,INDIRECT("'"&amp;$B33&amp;"'!"&amp;"$P$39:$AD$42"),12,FALSE)</f>
        <v>0</v>
      </c>
      <c r="Z33" s="81">
        <f ca="1">VLOOKUP($AD33,INDIRECT("'"&amp;$B33&amp;"'!"&amp;"$P$39:$AD$42"),13,FALSE)</f>
        <v>0</v>
      </c>
      <c r="AA33" s="81">
        <f ca="1">VLOOKUP($AD33,INDIRECT("'"&amp;$B33&amp;"'!"&amp;"$P$39:$AD$42"),14,FALSE)</f>
        <v>0</v>
      </c>
      <c r="AB33" s="81">
        <f ca="1">VLOOKUP($AD33,INDIRECT("'"&amp;$B33&amp;"'!"&amp;"$P$39:$AD$42"),15,FALSE)</f>
        <v>0</v>
      </c>
      <c r="AD33" s="81">
        <v>2020</v>
      </c>
      <c r="AE33" s="81"/>
      <c r="AF33" s="220"/>
      <c r="AI33" s="224">
        <v>12</v>
      </c>
    </row>
    <row r="34" spans="2:36">
      <c r="B34" s="357" t="s">
        <v>1000</v>
      </c>
      <c r="D34" s="212"/>
      <c r="E34" s="261"/>
      <c r="F34" s="224" t="s">
        <v>1149</v>
      </c>
      <c r="G34" s="173" t="str">
        <f>$AI$20</f>
        <v>INDLWH</v>
      </c>
      <c r="H34" s="174"/>
      <c r="I34" s="174"/>
      <c r="K34" s="81"/>
      <c r="L34" s="333"/>
      <c r="M34" s="199"/>
      <c r="N34" s="81"/>
      <c r="O34" s="723"/>
      <c r="P34" s="723"/>
      <c r="Q34" s="81"/>
      <c r="R34" s="200"/>
      <c r="S34" s="772"/>
      <c r="T34" s="772"/>
      <c r="U34" s="199">
        <f ca="1">1-U33</f>
        <v>0.63636363636363635</v>
      </c>
      <c r="V34" s="772"/>
      <c r="W34" s="298"/>
      <c r="X34" s="698"/>
      <c r="Y34" s="81"/>
      <c r="Z34" s="81"/>
      <c r="AA34" s="81"/>
      <c r="AB34" s="81"/>
      <c r="AD34" s="81"/>
      <c r="AE34" s="81"/>
      <c r="AF34" s="220"/>
      <c r="AI34" s="224">
        <v>13</v>
      </c>
      <c r="AJ34" s="224" t="s">
        <v>719</v>
      </c>
    </row>
    <row r="35" spans="2:36">
      <c r="B35" s="357" t="s">
        <v>1000</v>
      </c>
      <c r="D35" s="212"/>
      <c r="E35" s="212"/>
      <c r="F35" s="224" t="s">
        <v>1149</v>
      </c>
      <c r="G35" s="173" t="s">
        <v>499</v>
      </c>
      <c r="H35" s="174" t="str">
        <f>$AI$14</f>
        <v>ILDPH</v>
      </c>
      <c r="I35" s="174"/>
      <c r="J35" s="224">
        <f t="shared" ref="J35" si="7">AD35</f>
        <v>2030</v>
      </c>
      <c r="K35" s="81"/>
      <c r="L35" s="333">
        <v>1</v>
      </c>
      <c r="M35" s="199">
        <f ca="1">VLOOKUP($AD35,INDIRECT("'"&amp;$B35&amp;"'!"&amp;"$P$39:$AD$42"),3,FALSE)</f>
        <v>2.875</v>
      </c>
      <c r="N35" s="81"/>
      <c r="O35" s="723">
        <f ca="1">VLOOKUP($AD35,INDIRECT("'"&amp;$B35&amp;"'!"&amp;"$P$39:$AD$42"),6,FALSE)/1000</f>
        <v>6.3822660000000013</v>
      </c>
      <c r="P35" s="723">
        <f ca="1">VLOOKUP($AD35,INDIRECT("'"&amp;$B35&amp;"'!"&amp;"$P$39:$AD$42"),7,FALSE)/1000</f>
        <v>6.4814999999999994E-3</v>
      </c>
      <c r="Q35" s="81">
        <f ca="1">VLOOKUP($AD35,INDIRECT("'"&amp;$B35&amp;"'!"&amp;"$P$39:$AD$42"),8,FALSE)</f>
        <v>6.6222222222222227</v>
      </c>
      <c r="R35" s="300"/>
      <c r="S35" s="300"/>
      <c r="T35" s="300"/>
      <c r="U35" s="199">
        <f ca="1">1/M35</f>
        <v>0.34782608695652173</v>
      </c>
      <c r="V35" s="199"/>
      <c r="W35" s="298"/>
      <c r="X35" s="698">
        <f ca="1">IF(VLOOKUP($AD35,INDIRECT("'"&amp;$B35&amp;"'!"&amp;"$P$39:$AD$42"),11,FALSE)="Cf. the utilized electricity",0,VLOOKUP($AD35,INDIRECT("'"&amp;$B35&amp;"'!"&amp;"$P$39:$AD$42"),11,FALSE))</f>
        <v>0</v>
      </c>
      <c r="Y35" s="81">
        <f ca="1">VLOOKUP($AD35,INDIRECT("'"&amp;$B35&amp;"'!"&amp;"$P$39:$AD$42"),12,FALSE)</f>
        <v>0</v>
      </c>
      <c r="Z35" s="81">
        <f ca="1">VLOOKUP($AD35,INDIRECT("'"&amp;$B35&amp;"'!"&amp;"$P$39:$AD$42"),13,FALSE)</f>
        <v>0</v>
      </c>
      <c r="AA35" s="81">
        <f ca="1">VLOOKUP($AD35,INDIRECT("'"&amp;$B35&amp;"'!"&amp;"$P$39:$AD$42"),14,FALSE)</f>
        <v>0</v>
      </c>
      <c r="AB35" s="81">
        <f ca="1">VLOOKUP($AD35,INDIRECT("'"&amp;$B35&amp;"'!"&amp;"$P$39:$AD$42"),15,FALSE)</f>
        <v>0</v>
      </c>
      <c r="AD35" s="81">
        <v>2030</v>
      </c>
      <c r="AE35" s="81"/>
      <c r="AF35" s="220"/>
      <c r="AI35" s="224">
        <v>14</v>
      </c>
    </row>
    <row r="36" spans="2:36">
      <c r="B36" s="357" t="s">
        <v>1000</v>
      </c>
      <c r="D36" s="212"/>
      <c r="E36" s="212"/>
      <c r="F36" s="224" t="s">
        <v>1149</v>
      </c>
      <c r="G36" s="173" t="str">
        <f>$AI$20</f>
        <v>INDLWH</v>
      </c>
      <c r="H36" s="174"/>
      <c r="I36" s="174"/>
      <c r="K36" s="81"/>
      <c r="L36" s="333"/>
      <c r="M36" s="199"/>
      <c r="N36" s="81"/>
      <c r="O36" s="723"/>
      <c r="P36" s="723"/>
      <c r="Q36" s="81"/>
      <c r="R36" s="300"/>
      <c r="S36" s="300"/>
      <c r="T36" s="300"/>
      <c r="U36" s="199">
        <f ca="1">1-U35</f>
        <v>0.65217391304347827</v>
      </c>
      <c r="V36" s="300"/>
      <c r="W36" s="298"/>
      <c r="X36" s="698"/>
      <c r="Y36" s="81"/>
      <c r="Z36" s="81"/>
      <c r="AA36" s="81"/>
      <c r="AB36" s="81"/>
      <c r="AD36" s="81"/>
      <c r="AE36" s="81"/>
      <c r="AF36" s="220"/>
    </row>
    <row r="37" spans="2:36">
      <c r="B37" s="357" t="s">
        <v>1000</v>
      </c>
      <c r="D37" s="212"/>
      <c r="E37" s="212"/>
      <c r="F37" s="224" t="s">
        <v>1149</v>
      </c>
      <c r="G37" s="173" t="s">
        <v>499</v>
      </c>
      <c r="H37" s="174" t="str">
        <f>$AI$14</f>
        <v>ILDPH</v>
      </c>
      <c r="I37" s="174"/>
      <c r="J37" s="224">
        <f t="shared" ref="J37" si="8">AD37</f>
        <v>2050</v>
      </c>
      <c r="K37" s="81"/>
      <c r="L37" s="333">
        <v>1</v>
      </c>
      <c r="M37" s="199">
        <f ca="1">VLOOKUP($AD37,INDIRECT("'"&amp;$B37&amp;"'!"&amp;"$P$39:$AD$42"),3,FALSE)</f>
        <v>3.0249999999999999</v>
      </c>
      <c r="N37" s="81"/>
      <c r="O37" s="723">
        <f ca="1">VLOOKUP($AD37,INDIRECT("'"&amp;$B37&amp;"'!"&amp;"$P$39:$AD$42"),6,FALSE)/1000</f>
        <v>5.7365000000000004</v>
      </c>
      <c r="P37" s="723">
        <f ca="1">VLOOKUP($AD37,INDIRECT("'"&amp;$B37&amp;"'!"&amp;"$P$39:$AD$42"),7,FALSE)/1000</f>
        <v>5.3639999999999998E-3</v>
      </c>
      <c r="Q37" s="81">
        <f ca="1">VLOOKUP($AD37,INDIRECT("'"&amp;$B37&amp;"'!"&amp;"$P$39:$AD$42"),8,FALSE)</f>
        <v>6.4566666666666661</v>
      </c>
      <c r="R37" s="300"/>
      <c r="S37" s="300"/>
      <c r="T37" s="300"/>
      <c r="U37" s="199">
        <f ca="1">1/M37</f>
        <v>0.33057851239669422</v>
      </c>
      <c r="V37" s="199"/>
      <c r="W37" s="298"/>
      <c r="X37" s="698">
        <f ca="1">IF(VLOOKUP($AD37,INDIRECT("'"&amp;$B37&amp;"'!"&amp;"$P$39:$AD$42"),11,FALSE)="Cf. the utilized electricity",0,VLOOKUP($AD37,INDIRECT("'"&amp;$B37&amp;"'!"&amp;"$P$39:$AD$42"),11,FALSE))</f>
        <v>0</v>
      </c>
      <c r="Y37" s="81">
        <f ca="1">VLOOKUP($AD37,INDIRECT("'"&amp;$B37&amp;"'!"&amp;"$P$39:$AD$42"),12,FALSE)</f>
        <v>0</v>
      </c>
      <c r="Z37" s="81">
        <f ca="1">VLOOKUP($AD37,INDIRECT("'"&amp;$B37&amp;"'!"&amp;"$P$39:$AD$42"),13,FALSE)</f>
        <v>0</v>
      </c>
      <c r="AA37" s="81">
        <f ca="1">VLOOKUP($AD37,INDIRECT("'"&amp;$B37&amp;"'!"&amp;"$P$39:$AD$42"),14,FALSE)</f>
        <v>0</v>
      </c>
      <c r="AB37" s="81">
        <f ca="1">VLOOKUP($AD37,INDIRECT("'"&amp;$B37&amp;"'!"&amp;"$P$39:$AD$42"),15,FALSE)</f>
        <v>0</v>
      </c>
      <c r="AD37" s="81">
        <v>2050</v>
      </c>
      <c r="AE37" s="81"/>
      <c r="AF37" s="220"/>
    </row>
    <row r="38" spans="2:36">
      <c r="B38" s="357" t="s">
        <v>1000</v>
      </c>
      <c r="D38" s="212"/>
      <c r="E38" s="212"/>
      <c r="F38" s="224" t="s">
        <v>1149</v>
      </c>
      <c r="G38" s="173" t="str">
        <f>$AI$20</f>
        <v>INDLWH</v>
      </c>
      <c r="H38" s="174"/>
      <c r="I38" s="174"/>
      <c r="K38" s="81"/>
      <c r="L38" s="333"/>
      <c r="M38" s="199"/>
      <c r="N38" s="81"/>
      <c r="O38" s="723"/>
      <c r="P38" s="723"/>
      <c r="Q38" s="81"/>
      <c r="R38" s="300"/>
      <c r="S38" s="300"/>
      <c r="T38" s="300"/>
      <c r="U38" s="199">
        <f ca="1">1-U37</f>
        <v>0.66942148760330578</v>
      </c>
      <c r="V38" s="300"/>
      <c r="W38" s="298"/>
      <c r="X38" s="698"/>
      <c r="Y38" s="81"/>
      <c r="Z38" s="81"/>
      <c r="AA38" s="81"/>
      <c r="AB38" s="81"/>
      <c r="AD38" s="81"/>
      <c r="AE38" s="81"/>
      <c r="AF38" s="220"/>
    </row>
    <row r="39" spans="2:36">
      <c r="B39" s="357" t="s">
        <v>1000</v>
      </c>
      <c r="D39" s="212" t="str">
        <f>"IND"&amp;RIGHT(H39,4)&amp;RIGHT(G39,3)&amp;"N"&amp;RIGHT(E39,1)</f>
        <v>INDLDSHELCN3</v>
      </c>
      <c r="E39" s="261" t="str">
        <f>"Industrial heating technology "&amp;$AJ$12&amp;" "&amp;RIGHT(H39,2)&amp;" - High Temp abs. Heat pump utilizing waste heat - new 3"</f>
        <v>Industrial heating technology L SH - High Temp abs. Heat pump utilizing waste heat - new 3</v>
      </c>
      <c r="F39" s="224" t="s">
        <v>1149</v>
      </c>
      <c r="G39" s="173" t="s">
        <v>499</v>
      </c>
      <c r="H39" s="174" t="str">
        <f>$AI$15</f>
        <v>ILDSH</v>
      </c>
      <c r="I39" s="174"/>
      <c r="J39" s="224">
        <f t="shared" ref="J39" si="9">AD39</f>
        <v>2020</v>
      </c>
      <c r="K39" s="81">
        <v>2020</v>
      </c>
      <c r="L39" s="333">
        <v>1</v>
      </c>
      <c r="M39" s="199">
        <f ca="1">VLOOKUP($AD39,INDIRECT("'"&amp;$B39&amp;"'!"&amp;"$P$39:$AD$42"),3,FALSE)</f>
        <v>2.75</v>
      </c>
      <c r="N39" s="81">
        <f ca="1">VLOOKUP($AD39,INDIRECT("'"&amp;$B39&amp;"'!"&amp;"$P$39:$AD$42"),5,FALSE)</f>
        <v>20</v>
      </c>
      <c r="O39" s="723">
        <f ca="1">VLOOKUP($AD39,INDIRECT("'"&amp;$B39&amp;"'!"&amp;"$P$39:$AD$42"),6,FALSE)/1000</f>
        <v>7.1394840000000004</v>
      </c>
      <c r="P39" s="723">
        <f ca="1">VLOOKUP($AD39,INDIRECT("'"&amp;$B39&amp;"'!"&amp;"$P$39:$AD$42"),7,FALSE)/1000</f>
        <v>7.2264999999999994E-3</v>
      </c>
      <c r="Q39" s="81">
        <f ca="1">VLOOKUP($AD39,INDIRECT("'"&amp;$B39&amp;"'!"&amp;"$P$39:$AD$42"),8,FALSE)</f>
        <v>6.7463888888888883</v>
      </c>
      <c r="R39" s="81">
        <v>3.1536000000000002E-2</v>
      </c>
      <c r="S39" s="199">
        <v>0.5</v>
      </c>
      <c r="T39" s="199">
        <f ca="1">HLOOKUP($T$2,INDIRECT("'"&amp;$B39&amp;"'!"&amp;"$P$6:$AC$19"),IF(H39=$AI$13,6,IF(H39=$AI$14,9,14)),FALSE)</f>
        <v>1</v>
      </c>
      <c r="U39" s="199">
        <f ca="1">1/M39</f>
        <v>0.36363636363636365</v>
      </c>
      <c r="V39" s="199"/>
      <c r="W39" s="298"/>
      <c r="X39" s="698">
        <f ca="1">IF(VLOOKUP($AD39,INDIRECT("'"&amp;$B39&amp;"'!"&amp;"$P$39:$AD$42"),11,FALSE)="Cf. the utilized electricity",0,VLOOKUP($AD39,INDIRECT("'"&amp;$B39&amp;"'!"&amp;"$P$39:$AD$42"),11,FALSE))</f>
        <v>0</v>
      </c>
      <c r="Y39" s="81">
        <f ca="1">VLOOKUP($AD39,INDIRECT("'"&amp;$B39&amp;"'!"&amp;"$P$39:$AD$42"),12,FALSE)</f>
        <v>0</v>
      </c>
      <c r="Z39" s="81">
        <f ca="1">VLOOKUP($AD39,INDIRECT("'"&amp;$B39&amp;"'!"&amp;"$P$39:$AD$42"),13,FALSE)</f>
        <v>0</v>
      </c>
      <c r="AA39" s="81">
        <f ca="1">VLOOKUP($AD39,INDIRECT("'"&amp;$B39&amp;"'!"&amp;"$P$39:$AD$42"),14,FALSE)</f>
        <v>0</v>
      </c>
      <c r="AB39" s="81">
        <f ca="1">VLOOKUP($AD39,INDIRECT("'"&amp;$B39&amp;"'!"&amp;"$P$39:$AD$42"),15,FALSE)</f>
        <v>0</v>
      </c>
      <c r="AD39" s="81">
        <v>2020</v>
      </c>
      <c r="AE39" s="81"/>
      <c r="AF39" s="220"/>
    </row>
    <row r="40" spans="2:36">
      <c r="B40" s="357" t="s">
        <v>1000</v>
      </c>
      <c r="D40" s="212"/>
      <c r="E40" s="261"/>
      <c r="F40" s="224" t="s">
        <v>1149</v>
      </c>
      <c r="G40" s="173" t="str">
        <f>$AI$20</f>
        <v>INDLWH</v>
      </c>
      <c r="H40" s="174"/>
      <c r="I40" s="174"/>
      <c r="K40" s="81"/>
      <c r="L40" s="333"/>
      <c r="M40" s="199"/>
      <c r="N40" s="81"/>
      <c r="O40" s="723"/>
      <c r="P40" s="723"/>
      <c r="Q40" s="81"/>
      <c r="R40" s="200"/>
      <c r="S40" s="772"/>
      <c r="T40" s="772"/>
      <c r="U40" s="199">
        <f ca="1">1-U39</f>
        <v>0.63636363636363635</v>
      </c>
      <c r="V40" s="772"/>
      <c r="W40" s="298"/>
      <c r="X40" s="698"/>
      <c r="Y40" s="81"/>
      <c r="Z40" s="81"/>
      <c r="AA40" s="81"/>
      <c r="AB40" s="81"/>
      <c r="AD40" s="81"/>
      <c r="AE40" s="81"/>
      <c r="AF40" s="220"/>
    </row>
    <row r="41" spans="2:36">
      <c r="B41" s="357" t="s">
        <v>1000</v>
      </c>
      <c r="D41" s="212"/>
      <c r="E41" s="212"/>
      <c r="F41" s="224" t="s">
        <v>1149</v>
      </c>
      <c r="G41" s="173" t="s">
        <v>499</v>
      </c>
      <c r="H41" s="174" t="str">
        <f>$AI$15</f>
        <v>ILDSH</v>
      </c>
      <c r="I41" s="174"/>
      <c r="J41" s="224">
        <f t="shared" ref="J41" si="10">AD41</f>
        <v>2030</v>
      </c>
      <c r="K41" s="81"/>
      <c r="L41" s="333">
        <v>1</v>
      </c>
      <c r="M41" s="199">
        <f ca="1">VLOOKUP($AD41,INDIRECT("'"&amp;$B41&amp;"'!"&amp;"$P$39:$AD$42"),3,FALSE)</f>
        <v>2.875</v>
      </c>
      <c r="N41" s="81"/>
      <c r="O41" s="723">
        <f ca="1">VLOOKUP($AD41,INDIRECT("'"&amp;$B41&amp;"'!"&amp;"$P$39:$AD$42"),6,FALSE)/1000</f>
        <v>6.3822660000000013</v>
      </c>
      <c r="P41" s="723">
        <f ca="1">VLOOKUP($AD41,INDIRECT("'"&amp;$B41&amp;"'!"&amp;"$P$39:$AD$42"),7,FALSE)/1000</f>
        <v>6.4814999999999994E-3</v>
      </c>
      <c r="Q41" s="81">
        <f ca="1">VLOOKUP($AD41,INDIRECT("'"&amp;$B41&amp;"'!"&amp;"$P$39:$AD$42"),8,FALSE)</f>
        <v>6.6222222222222227</v>
      </c>
      <c r="R41" s="300"/>
      <c r="S41" s="300"/>
      <c r="T41" s="300"/>
      <c r="U41" s="199">
        <f ca="1">1/M41</f>
        <v>0.34782608695652173</v>
      </c>
      <c r="V41" s="199"/>
      <c r="W41" s="298"/>
      <c r="X41" s="698">
        <f ca="1">IF(VLOOKUP($AD41,INDIRECT("'"&amp;$B41&amp;"'!"&amp;"$P$39:$AD$42"),11,FALSE)="Cf. the utilized electricity",0,VLOOKUP($AD41,INDIRECT("'"&amp;$B41&amp;"'!"&amp;"$P$39:$AD$42"),11,FALSE))</f>
        <v>0</v>
      </c>
      <c r="Y41" s="81">
        <f ca="1">VLOOKUP($AD41,INDIRECT("'"&amp;$B41&amp;"'!"&amp;"$P$39:$AD$42"),12,FALSE)</f>
        <v>0</v>
      </c>
      <c r="Z41" s="81">
        <f ca="1">VLOOKUP($AD41,INDIRECT("'"&amp;$B41&amp;"'!"&amp;"$P$39:$AD$42"),13,FALSE)</f>
        <v>0</v>
      </c>
      <c r="AA41" s="81">
        <f ca="1">VLOOKUP($AD41,INDIRECT("'"&amp;$B41&amp;"'!"&amp;"$P$39:$AD$42"),14,FALSE)</f>
        <v>0</v>
      </c>
      <c r="AB41" s="81">
        <f ca="1">VLOOKUP($AD41,INDIRECT("'"&amp;$B41&amp;"'!"&amp;"$P$39:$AD$42"),15,FALSE)</f>
        <v>0</v>
      </c>
      <c r="AD41" s="81">
        <v>2030</v>
      </c>
      <c r="AE41" s="81"/>
      <c r="AF41" s="220"/>
    </row>
    <row r="42" spans="2:36">
      <c r="B42" s="357" t="s">
        <v>1000</v>
      </c>
      <c r="D42" s="212"/>
      <c r="E42" s="212"/>
      <c r="F42" s="224" t="s">
        <v>1149</v>
      </c>
      <c r="G42" s="173" t="str">
        <f>$AI$20</f>
        <v>INDLWH</v>
      </c>
      <c r="H42" s="174"/>
      <c r="I42" s="174"/>
      <c r="K42" s="81"/>
      <c r="L42" s="333"/>
      <c r="M42" s="199"/>
      <c r="N42" s="81"/>
      <c r="O42" s="723"/>
      <c r="P42" s="723"/>
      <c r="Q42" s="81"/>
      <c r="R42" s="300"/>
      <c r="S42" s="300"/>
      <c r="T42" s="300"/>
      <c r="U42" s="199">
        <f ca="1">1-U41</f>
        <v>0.65217391304347827</v>
      </c>
      <c r="V42" s="300"/>
      <c r="W42" s="298"/>
      <c r="X42" s="698"/>
      <c r="Y42" s="81"/>
      <c r="Z42" s="81"/>
      <c r="AA42" s="81"/>
      <c r="AB42" s="81"/>
      <c r="AD42" s="81"/>
      <c r="AE42" s="81"/>
      <c r="AF42" s="220"/>
    </row>
    <row r="43" spans="2:36">
      <c r="B43" s="357" t="s">
        <v>1000</v>
      </c>
      <c r="D43" s="212"/>
      <c r="E43" s="212"/>
      <c r="F43" s="224" t="s">
        <v>1149</v>
      </c>
      <c r="G43" s="173" t="s">
        <v>499</v>
      </c>
      <c r="H43" s="174" t="str">
        <f>$AI$15</f>
        <v>ILDSH</v>
      </c>
      <c r="I43" s="174"/>
      <c r="J43" s="224">
        <f t="shared" ref="J43" si="11">AD43</f>
        <v>2050</v>
      </c>
      <c r="K43" s="81"/>
      <c r="L43" s="333">
        <v>1</v>
      </c>
      <c r="M43" s="199">
        <f ca="1">VLOOKUP($AD43,INDIRECT("'"&amp;$B43&amp;"'!"&amp;"$P$39:$AD$42"),3,FALSE)</f>
        <v>3.0249999999999999</v>
      </c>
      <c r="N43" s="81"/>
      <c r="O43" s="723">
        <f ca="1">VLOOKUP($AD43,INDIRECT("'"&amp;$B43&amp;"'!"&amp;"$P$39:$AD$42"),6,FALSE)/1000</f>
        <v>5.7365000000000004</v>
      </c>
      <c r="P43" s="723">
        <f ca="1">VLOOKUP($AD43,INDIRECT("'"&amp;$B43&amp;"'!"&amp;"$P$39:$AD$42"),7,FALSE)/1000</f>
        <v>5.3639999999999998E-3</v>
      </c>
      <c r="Q43" s="81">
        <f ca="1">VLOOKUP($AD43,INDIRECT("'"&amp;$B43&amp;"'!"&amp;"$P$39:$AD$42"),8,FALSE)</f>
        <v>6.4566666666666661</v>
      </c>
      <c r="R43" s="300"/>
      <c r="S43" s="300"/>
      <c r="T43" s="300"/>
      <c r="U43" s="199">
        <f ca="1">1/M43</f>
        <v>0.33057851239669422</v>
      </c>
      <c r="V43" s="199"/>
      <c r="W43" s="298"/>
      <c r="X43" s="698">
        <f ca="1">IF(VLOOKUP($AD43,INDIRECT("'"&amp;$B43&amp;"'!"&amp;"$P$39:$AD$42"),11,FALSE)="Cf. the utilized electricity",0,VLOOKUP($AD43,INDIRECT("'"&amp;$B43&amp;"'!"&amp;"$P$39:$AD$42"),11,FALSE))</f>
        <v>0</v>
      </c>
      <c r="Y43" s="81">
        <f ca="1">VLOOKUP($AD43,INDIRECT("'"&amp;$B43&amp;"'!"&amp;"$P$39:$AD$42"),12,FALSE)</f>
        <v>0</v>
      </c>
      <c r="Z43" s="81">
        <f ca="1">VLOOKUP($AD43,INDIRECT("'"&amp;$B43&amp;"'!"&amp;"$P$39:$AD$42"),13,FALSE)</f>
        <v>0</v>
      </c>
      <c r="AA43" s="81">
        <f ca="1">VLOOKUP($AD43,INDIRECT("'"&amp;$B43&amp;"'!"&amp;"$P$39:$AD$42"),14,FALSE)</f>
        <v>0</v>
      </c>
      <c r="AB43" s="81">
        <f ca="1">VLOOKUP($AD43,INDIRECT("'"&amp;$B43&amp;"'!"&amp;"$P$39:$AD$42"),15,FALSE)</f>
        <v>0</v>
      </c>
      <c r="AD43" s="81">
        <v>2050</v>
      </c>
      <c r="AE43" s="81"/>
      <c r="AF43" s="220"/>
    </row>
    <row r="44" spans="2:36">
      <c r="B44" s="357" t="s">
        <v>1000</v>
      </c>
      <c r="D44" s="212"/>
      <c r="E44" s="212"/>
      <c r="F44" s="224" t="s">
        <v>1149</v>
      </c>
      <c r="G44" s="173" t="str">
        <f>$AI$20</f>
        <v>INDLWH</v>
      </c>
      <c r="H44" s="174"/>
      <c r="I44" s="174"/>
      <c r="K44" s="81"/>
      <c r="L44" s="333"/>
      <c r="M44" s="199"/>
      <c r="N44" s="81"/>
      <c r="O44" s="723"/>
      <c r="P44" s="723"/>
      <c r="Q44" s="81"/>
      <c r="R44" s="300"/>
      <c r="S44" s="300"/>
      <c r="T44" s="300"/>
      <c r="U44" s="199">
        <f ca="1">1-U43</f>
        <v>0.66942148760330578</v>
      </c>
      <c r="V44" s="300"/>
      <c r="W44" s="298"/>
      <c r="X44" s="698"/>
      <c r="Y44" s="81"/>
      <c r="Z44" s="81"/>
      <c r="AA44" s="81"/>
      <c r="AB44" s="81"/>
      <c r="AD44" s="81"/>
      <c r="AE44" s="81"/>
      <c r="AF44" s="220"/>
    </row>
    <row r="45" spans="2:36">
      <c r="B45" s="357" t="s">
        <v>1001</v>
      </c>
      <c r="D45" s="212" t="str">
        <f>"IND"&amp;RIGHT(H45,4)&amp;RIGHT(G45,3)&amp;"N"&amp;RIGHT(E45,1)</f>
        <v>INDLDPHELCN4</v>
      </c>
      <c r="E45" s="261" t="str">
        <f>"Industrial heating technology "&amp;$AJ$12&amp;" "&amp;RIGHT(H45,2)&amp;" - Booster Heat pump utilizing waste heat - new 4"</f>
        <v>Industrial heating technology L PH - Booster Heat pump utilizing waste heat - new 4</v>
      </c>
      <c r="F45" s="224" t="s">
        <v>1149</v>
      </c>
      <c r="G45" s="173" t="s">
        <v>499</v>
      </c>
      <c r="H45" s="174" t="str">
        <f>$AI$14</f>
        <v>ILDPH</v>
      </c>
      <c r="I45" s="174"/>
      <c r="J45" s="224">
        <f t="shared" ref="J45" si="12">AD45</f>
        <v>2020</v>
      </c>
      <c r="K45" s="81">
        <v>2020</v>
      </c>
      <c r="L45" s="333">
        <v>1</v>
      </c>
      <c r="M45" s="199">
        <f ca="1">VLOOKUP($AD45,INDIRECT("'"&amp;$B45&amp;"'!"&amp;"$P$39:$AD$42"),3,FALSE)</f>
        <v>1.93</v>
      </c>
      <c r="N45" s="81">
        <f ca="1">VLOOKUP($AD45,INDIRECT("'"&amp;$B45&amp;"'!"&amp;"$P$39:$AD$42"),5,FALSE)</f>
        <v>20</v>
      </c>
      <c r="O45" s="723">
        <f ca="1">VLOOKUP($AD45,INDIRECT("'"&amp;$B45&amp;"'!"&amp;"$P$39:$AD$42"),6,FALSE)/1000</f>
        <v>12.158890687341184</v>
      </c>
      <c r="P45" s="723">
        <f ca="1">VLOOKUP($AD45,INDIRECT("'"&amp;$B45&amp;"'!"&amp;"$P$39:$AD$42"),7,FALSE)/1000</f>
        <v>1.49E-2</v>
      </c>
      <c r="Q45" s="81">
        <f ca="1">VLOOKUP($AD45,INDIRECT("'"&amp;$B45&amp;"'!"&amp;"$P$39:$AD$42"),8,FALSE)</f>
        <v>7.1188888888888897</v>
      </c>
      <c r="R45" s="81">
        <v>3.1536000000000002E-2</v>
      </c>
      <c r="S45" s="199">
        <v>0.5</v>
      </c>
      <c r="T45" s="199">
        <f ca="1">HLOOKUP($T$2,INDIRECT("'"&amp;$B45&amp;"'!"&amp;"$P$6:$AC$19"),IF(H45=$AI$13,6,IF(H45=$AI$14,9,14)),FALSE)-T9</f>
        <v>0</v>
      </c>
      <c r="U45" s="199">
        <f ca="1">1/M45</f>
        <v>0.5181347150259068</v>
      </c>
      <c r="V45" s="199"/>
      <c r="W45" s="298"/>
      <c r="X45" s="698">
        <f ca="1">IF(VLOOKUP($AD45,INDIRECT("'"&amp;$B45&amp;"'!"&amp;"$P$39:$AD$42"),11,FALSE)="Cf. the utilized electricity",0,VLOOKUP($AD45,INDIRECT("'"&amp;$B45&amp;"'!"&amp;"$P$39:$AD$42"),11,FALSE))</f>
        <v>0</v>
      </c>
      <c r="Y45" s="81">
        <f ca="1">VLOOKUP($AD45,INDIRECT("'"&amp;$B45&amp;"'!"&amp;"$P$39:$AD$42"),12,FALSE)</f>
        <v>0</v>
      </c>
      <c r="Z45" s="81">
        <f ca="1">VLOOKUP($AD45,INDIRECT("'"&amp;$B45&amp;"'!"&amp;"$P$39:$AD$42"),13,FALSE)</f>
        <v>0</v>
      </c>
      <c r="AA45" s="81">
        <f ca="1">VLOOKUP($AD45,INDIRECT("'"&amp;$B45&amp;"'!"&amp;"$P$39:$AD$42"),14,FALSE)</f>
        <v>0</v>
      </c>
      <c r="AB45" s="81">
        <f ca="1">VLOOKUP($AD45,INDIRECT("'"&amp;$B45&amp;"'!"&amp;"$P$39:$AD$42"),15,FALSE)</f>
        <v>0</v>
      </c>
      <c r="AD45" s="81">
        <v>2020</v>
      </c>
      <c r="AE45" s="81"/>
      <c r="AF45" s="220"/>
    </row>
    <row r="46" spans="2:36">
      <c r="B46" s="357" t="s">
        <v>1001</v>
      </c>
      <c r="D46" s="212"/>
      <c r="E46" s="261"/>
      <c r="F46" s="224" t="s">
        <v>1149</v>
      </c>
      <c r="G46" s="173" t="str">
        <f>$AI$20</f>
        <v>INDLWH</v>
      </c>
      <c r="H46" s="174"/>
      <c r="I46" s="174"/>
      <c r="K46" s="81"/>
      <c r="L46" s="333"/>
      <c r="M46" s="199"/>
      <c r="N46" s="81"/>
      <c r="O46" s="723"/>
      <c r="P46" s="723"/>
      <c r="Q46" s="81"/>
      <c r="R46" s="200"/>
      <c r="S46" s="772"/>
      <c r="T46" s="772"/>
      <c r="U46" s="199">
        <f ca="1">1-U45</f>
        <v>0.4818652849740932</v>
      </c>
      <c r="V46" s="772"/>
      <c r="W46" s="298"/>
      <c r="X46" s="698"/>
      <c r="Y46" s="81"/>
      <c r="Z46" s="81"/>
      <c r="AA46" s="81"/>
      <c r="AB46" s="81"/>
      <c r="AD46" s="81"/>
      <c r="AE46" s="81"/>
      <c r="AF46" s="220"/>
    </row>
    <row r="47" spans="2:36">
      <c r="B47" s="357" t="s">
        <v>1001</v>
      </c>
      <c r="D47" s="212"/>
      <c r="E47" s="212"/>
      <c r="F47" s="224" t="s">
        <v>1149</v>
      </c>
      <c r="G47" s="173" t="s">
        <v>499</v>
      </c>
      <c r="H47" s="174" t="str">
        <f>$AI$14</f>
        <v>ILDPH</v>
      </c>
      <c r="I47" s="174"/>
      <c r="J47" s="224">
        <f t="shared" ref="J47" si="13">AD47</f>
        <v>2030</v>
      </c>
      <c r="K47" s="81"/>
      <c r="L47" s="333">
        <v>1</v>
      </c>
      <c r="M47" s="199">
        <f ca="1">VLOOKUP($AD47,INDIRECT("'"&amp;$B47&amp;"'!"&amp;"$P$39:$AD$42"),3,FALSE)</f>
        <v>1.9894000000000001</v>
      </c>
      <c r="N47" s="81"/>
      <c r="O47" s="723">
        <f ca="1">VLOOKUP($AD47,INDIRECT("'"&amp;$B47&amp;"'!"&amp;"$P$39:$AD$42"),6,FALSE)/1000</f>
        <v>9.8570539139933757</v>
      </c>
      <c r="P47" s="723">
        <f ca="1">VLOOKUP($AD47,INDIRECT("'"&amp;$B47&amp;"'!"&amp;"$P$39:$AD$42"),7,FALSE)/1000</f>
        <v>1.49E-2</v>
      </c>
      <c r="Q47" s="81">
        <f ca="1">VLOOKUP($AD47,INDIRECT("'"&amp;$B47&amp;"'!"&amp;"$P$39:$AD$42"),8,FALSE)</f>
        <v>6.9740277777777777</v>
      </c>
      <c r="R47" s="300"/>
      <c r="S47" s="300"/>
      <c r="T47" s="300"/>
      <c r="U47" s="199">
        <f ca="1">1/M47</f>
        <v>0.50266411983512616</v>
      </c>
      <c r="V47" s="199"/>
      <c r="W47" s="298"/>
      <c r="X47" s="698">
        <f ca="1">IF(VLOOKUP($AD47,INDIRECT("'"&amp;$B47&amp;"'!"&amp;"$P$39:$AD$42"),11,FALSE)="Cf. the utilized electricity",0,VLOOKUP($AD47,INDIRECT("'"&amp;$B47&amp;"'!"&amp;"$P$39:$AD$42"),11,FALSE))</f>
        <v>0</v>
      </c>
      <c r="Y47" s="81">
        <f ca="1">VLOOKUP($AD47,INDIRECT("'"&amp;$B47&amp;"'!"&amp;"$P$39:$AD$42"),12,FALSE)</f>
        <v>0</v>
      </c>
      <c r="Z47" s="81">
        <f ca="1">VLOOKUP($AD47,INDIRECT("'"&amp;$B47&amp;"'!"&amp;"$P$39:$AD$42"),13,FALSE)</f>
        <v>0</v>
      </c>
      <c r="AA47" s="81">
        <f ca="1">VLOOKUP($AD47,INDIRECT("'"&amp;$B47&amp;"'!"&amp;"$P$39:$AD$42"),14,FALSE)</f>
        <v>0</v>
      </c>
      <c r="AB47" s="81">
        <f ca="1">VLOOKUP($AD47,INDIRECT("'"&amp;$B47&amp;"'!"&amp;"$P$39:$AD$42"),15,FALSE)</f>
        <v>0</v>
      </c>
      <c r="AD47" s="81">
        <v>2030</v>
      </c>
      <c r="AE47" s="81"/>
      <c r="AF47" s="220"/>
    </row>
    <row r="48" spans="2:36">
      <c r="B48" s="357" t="s">
        <v>1001</v>
      </c>
      <c r="D48" s="212"/>
      <c r="E48" s="212"/>
      <c r="F48" s="224" t="s">
        <v>1149</v>
      </c>
      <c r="G48" s="173" t="str">
        <f>$AI$20</f>
        <v>INDLWH</v>
      </c>
      <c r="H48" s="174"/>
      <c r="I48" s="174"/>
      <c r="K48" s="81"/>
      <c r="L48" s="333"/>
      <c r="M48" s="199"/>
      <c r="N48" s="81"/>
      <c r="O48" s="723"/>
      <c r="P48" s="723"/>
      <c r="Q48" s="81"/>
      <c r="R48" s="300"/>
      <c r="S48" s="300"/>
      <c r="T48" s="300"/>
      <c r="U48" s="199">
        <f ca="1">1-U47</f>
        <v>0.49733588016487384</v>
      </c>
      <c r="V48" s="300"/>
      <c r="W48" s="298"/>
      <c r="X48" s="698"/>
      <c r="Y48" s="81"/>
      <c r="Z48" s="81"/>
      <c r="AA48" s="81"/>
      <c r="AB48" s="81"/>
      <c r="AD48" s="81"/>
      <c r="AE48" s="81"/>
      <c r="AF48" s="220"/>
    </row>
    <row r="49" spans="2:32">
      <c r="B49" s="357" t="s">
        <v>1001</v>
      </c>
      <c r="D49" s="212"/>
      <c r="E49" s="212"/>
      <c r="F49" s="224" t="s">
        <v>1149</v>
      </c>
      <c r="G49" s="173" t="s">
        <v>499</v>
      </c>
      <c r="H49" s="174" t="str">
        <f>$AI$14</f>
        <v>ILDPH</v>
      </c>
      <c r="I49" s="174"/>
      <c r="J49" s="224">
        <f t="shared" ref="J49" si="14">AD49</f>
        <v>2050</v>
      </c>
      <c r="K49" s="81"/>
      <c r="L49" s="333">
        <v>1</v>
      </c>
      <c r="M49" s="199">
        <f ca="1">VLOOKUP($AD49,INDIRECT("'"&amp;$B49&amp;"'!"&amp;"$P$39:$AD$42"),3,FALSE)</f>
        <v>2.0509898799999999</v>
      </c>
      <c r="N49" s="81"/>
      <c r="O49" s="723">
        <f ca="1">VLOOKUP($AD49,INDIRECT("'"&amp;$B49&amp;"'!"&amp;"$P$39:$AD$42"),6,FALSE)/1000</f>
        <v>6.955935359434223</v>
      </c>
      <c r="P49" s="723">
        <f ca="1">VLOOKUP($AD49,INDIRECT("'"&amp;$B49&amp;"'!"&amp;"$P$39:$AD$42"),7,FALSE)/1000</f>
        <v>1.49E-2</v>
      </c>
      <c r="Q49" s="81">
        <f ca="1">VLOOKUP($AD49,INDIRECT("'"&amp;$B49&amp;"'!"&amp;"$P$39:$AD$42"),8,FALSE)</f>
        <v>6.7877777777777784</v>
      </c>
      <c r="R49" s="300"/>
      <c r="S49" s="300"/>
      <c r="T49" s="300"/>
      <c r="U49" s="199">
        <f ca="1">1/M49</f>
        <v>0.48756944622271858</v>
      </c>
      <c r="V49" s="199"/>
      <c r="W49" s="298"/>
      <c r="X49" s="698">
        <f ca="1">IF(VLOOKUP($AD49,INDIRECT("'"&amp;$B49&amp;"'!"&amp;"$P$39:$AD$42"),11,FALSE)="Cf. the utilized electricity",0,VLOOKUP($AD49,INDIRECT("'"&amp;$B49&amp;"'!"&amp;"$P$39:$AD$42"),11,FALSE))</f>
        <v>0</v>
      </c>
      <c r="Y49" s="81">
        <f ca="1">VLOOKUP($AD49,INDIRECT("'"&amp;$B49&amp;"'!"&amp;"$P$39:$AD$42"),12,FALSE)</f>
        <v>0</v>
      </c>
      <c r="Z49" s="81">
        <f ca="1">VLOOKUP($AD49,INDIRECT("'"&amp;$B49&amp;"'!"&amp;"$P$39:$AD$42"),13,FALSE)</f>
        <v>0</v>
      </c>
      <c r="AA49" s="81">
        <f ca="1">VLOOKUP($AD49,INDIRECT("'"&amp;$B49&amp;"'!"&amp;"$P$39:$AD$42"),14,FALSE)</f>
        <v>0</v>
      </c>
      <c r="AB49" s="81">
        <f ca="1">VLOOKUP($AD49,INDIRECT("'"&amp;$B49&amp;"'!"&amp;"$P$39:$AD$42"),15,FALSE)</f>
        <v>0</v>
      </c>
      <c r="AD49" s="81">
        <v>2050</v>
      </c>
      <c r="AE49" s="81"/>
      <c r="AF49" s="220"/>
    </row>
    <row r="50" spans="2:32">
      <c r="B50" s="357" t="s">
        <v>1001</v>
      </c>
      <c r="D50" s="212"/>
      <c r="E50" s="212"/>
      <c r="F50" s="224" t="s">
        <v>1149</v>
      </c>
      <c r="G50" s="173" t="str">
        <f>$AI$20</f>
        <v>INDLWH</v>
      </c>
      <c r="H50" s="174"/>
      <c r="I50" s="174"/>
      <c r="K50" s="81"/>
      <c r="L50" s="333"/>
      <c r="M50" s="199"/>
      <c r="N50" s="81"/>
      <c r="O50" s="723"/>
      <c r="P50" s="723"/>
      <c r="Q50" s="81"/>
      <c r="R50" s="300"/>
      <c r="S50" s="300"/>
      <c r="T50" s="300"/>
      <c r="U50" s="199">
        <f ca="1">1-U49</f>
        <v>0.51243055377728142</v>
      </c>
      <c r="V50" s="300"/>
      <c r="W50" s="298"/>
      <c r="X50" s="698"/>
      <c r="Y50" s="81"/>
      <c r="Z50" s="81"/>
      <c r="AA50" s="81"/>
      <c r="AB50" s="81"/>
      <c r="AD50" s="81"/>
      <c r="AE50" s="81"/>
      <c r="AF50" s="220"/>
    </row>
    <row r="51" spans="2:32">
      <c r="B51" s="357" t="s">
        <v>1001</v>
      </c>
      <c r="D51" s="212" t="str">
        <f>"IND"&amp;RIGHT(H51,4)&amp;RIGHT(G51,3)&amp;"N"&amp;RIGHT(E51,1)</f>
        <v>INDLDSHELCN4</v>
      </c>
      <c r="E51" s="261" t="str">
        <f>"Industrial heating technology "&amp;$AJ$12&amp;" "&amp;RIGHT(H51,2)&amp;" - Booster Heat pump utilizing waste heat - new 4"</f>
        <v>Industrial heating technology L SH - Booster Heat pump utilizing waste heat - new 4</v>
      </c>
      <c r="F51" s="224" t="s">
        <v>1149</v>
      </c>
      <c r="G51" s="173" t="s">
        <v>499</v>
      </c>
      <c r="H51" s="174" t="str">
        <f>$AI$15</f>
        <v>ILDSH</v>
      </c>
      <c r="I51" s="174"/>
      <c r="J51" s="224">
        <f t="shared" ref="J51" si="15">AD51</f>
        <v>2020</v>
      </c>
      <c r="K51" s="81">
        <v>2020</v>
      </c>
      <c r="L51" s="333">
        <v>1</v>
      </c>
      <c r="M51" s="199">
        <f ca="1">VLOOKUP($AD51,INDIRECT("'"&amp;$B51&amp;"'!"&amp;"$P$39:$AD$42"),3,FALSE)</f>
        <v>1.93</v>
      </c>
      <c r="N51" s="81">
        <f ca="1">VLOOKUP($AD51,INDIRECT("'"&amp;$B51&amp;"'!"&amp;"$P$39:$AD$42"),5,FALSE)</f>
        <v>20</v>
      </c>
      <c r="O51" s="723">
        <f ca="1">VLOOKUP($AD51,INDIRECT("'"&amp;$B51&amp;"'!"&amp;"$P$39:$AD$42"),6,FALSE)/1000</f>
        <v>12.158890687341184</v>
      </c>
      <c r="P51" s="723">
        <f ca="1">VLOOKUP($AD51,INDIRECT("'"&amp;$B51&amp;"'!"&amp;"$P$39:$AD$42"),7,FALSE)/1000</f>
        <v>1.49E-2</v>
      </c>
      <c r="Q51" s="81">
        <f ca="1">VLOOKUP($AD51,INDIRECT("'"&amp;$B51&amp;"'!"&amp;"$P$39:$AD$42"),8,FALSE)</f>
        <v>7.1188888888888897</v>
      </c>
      <c r="R51" s="81">
        <v>3.1536000000000002E-2</v>
      </c>
      <c r="S51" s="199">
        <v>0.5</v>
      </c>
      <c r="T51" s="199">
        <f ca="1">HLOOKUP($T$2,INDIRECT("'"&amp;$B51&amp;"'!"&amp;"$P$6:$AC$19"),IF(H51=$AI$13,6,IF(H51=$AI$14,9,14)),FALSE)</f>
        <v>1</v>
      </c>
      <c r="U51" s="199">
        <f ca="1">1/M51</f>
        <v>0.5181347150259068</v>
      </c>
      <c r="V51" s="199"/>
      <c r="W51" s="298"/>
      <c r="X51" s="698">
        <f ca="1">IF(VLOOKUP($AD51,INDIRECT("'"&amp;$B51&amp;"'!"&amp;"$P$39:$AD$42"),11,FALSE)="Cf. the utilized electricity",0,VLOOKUP($AD51,INDIRECT("'"&amp;$B51&amp;"'!"&amp;"$P$39:$AD$42"),11,FALSE))</f>
        <v>0</v>
      </c>
      <c r="Y51" s="81">
        <f ca="1">VLOOKUP($AD51,INDIRECT("'"&amp;$B51&amp;"'!"&amp;"$P$39:$AD$42"),12,FALSE)</f>
        <v>0</v>
      </c>
      <c r="Z51" s="81">
        <f ca="1">VLOOKUP($AD51,INDIRECT("'"&amp;$B51&amp;"'!"&amp;"$P$39:$AD$42"),13,FALSE)</f>
        <v>0</v>
      </c>
      <c r="AA51" s="81">
        <f ca="1">VLOOKUP($AD51,INDIRECT("'"&amp;$B51&amp;"'!"&amp;"$P$39:$AD$42"),14,FALSE)</f>
        <v>0</v>
      </c>
      <c r="AB51" s="81">
        <f ca="1">VLOOKUP($AD51,INDIRECT("'"&amp;$B51&amp;"'!"&amp;"$P$39:$AD$42"),15,FALSE)</f>
        <v>0</v>
      </c>
      <c r="AD51" s="81">
        <v>2020</v>
      </c>
      <c r="AE51" s="81"/>
      <c r="AF51" s="220"/>
    </row>
    <row r="52" spans="2:32">
      <c r="B52" s="357" t="s">
        <v>1001</v>
      </c>
      <c r="D52" s="212"/>
      <c r="E52" s="261"/>
      <c r="F52" s="224" t="s">
        <v>1149</v>
      </c>
      <c r="G52" s="173" t="str">
        <f>$AI$20</f>
        <v>INDLWH</v>
      </c>
      <c r="H52" s="174"/>
      <c r="I52" s="174"/>
      <c r="K52" s="81"/>
      <c r="L52" s="333"/>
      <c r="M52" s="199"/>
      <c r="N52" s="81"/>
      <c r="O52" s="723"/>
      <c r="P52" s="723"/>
      <c r="Q52" s="81"/>
      <c r="R52" s="200"/>
      <c r="S52" s="772"/>
      <c r="T52" s="772"/>
      <c r="U52" s="199">
        <f ca="1">1-U51</f>
        <v>0.4818652849740932</v>
      </c>
      <c r="V52" s="772"/>
      <c r="W52" s="298"/>
      <c r="X52" s="698"/>
      <c r="Y52" s="81"/>
      <c r="Z52" s="81"/>
      <c r="AA52" s="81"/>
      <c r="AB52" s="81"/>
      <c r="AD52" s="81"/>
      <c r="AE52" s="81"/>
      <c r="AF52" s="220"/>
    </row>
    <row r="53" spans="2:32">
      <c r="B53" s="357" t="s">
        <v>1001</v>
      </c>
      <c r="D53" s="212"/>
      <c r="E53" s="212"/>
      <c r="F53" s="224" t="s">
        <v>1149</v>
      </c>
      <c r="G53" s="173" t="s">
        <v>499</v>
      </c>
      <c r="H53" s="174" t="str">
        <f>$AI$15</f>
        <v>ILDSH</v>
      </c>
      <c r="I53" s="174"/>
      <c r="J53" s="224">
        <f t="shared" ref="J53" si="16">AD53</f>
        <v>2030</v>
      </c>
      <c r="K53" s="81"/>
      <c r="L53" s="333">
        <v>1</v>
      </c>
      <c r="M53" s="199">
        <f ca="1">VLOOKUP($AD53,INDIRECT("'"&amp;$B53&amp;"'!"&amp;"$P$39:$AD$42"),3,FALSE)</f>
        <v>1.9894000000000001</v>
      </c>
      <c r="N53" s="81"/>
      <c r="O53" s="723">
        <f ca="1">VLOOKUP($AD53,INDIRECT("'"&amp;$B53&amp;"'!"&amp;"$P$39:$AD$42"),6,FALSE)/1000</f>
        <v>9.8570539139933757</v>
      </c>
      <c r="P53" s="723">
        <f ca="1">VLOOKUP($AD53,INDIRECT("'"&amp;$B53&amp;"'!"&amp;"$P$39:$AD$42"),7,FALSE)/1000</f>
        <v>1.49E-2</v>
      </c>
      <c r="Q53" s="81">
        <f ca="1">VLOOKUP($AD53,INDIRECT("'"&amp;$B53&amp;"'!"&amp;"$P$39:$AD$42"),8,FALSE)</f>
        <v>6.9740277777777777</v>
      </c>
      <c r="R53" s="300"/>
      <c r="S53" s="300"/>
      <c r="T53" s="300"/>
      <c r="U53" s="199">
        <f ca="1">1/M53</f>
        <v>0.50266411983512616</v>
      </c>
      <c r="V53" s="199"/>
      <c r="W53" s="298"/>
      <c r="X53" s="698">
        <f ca="1">IF(VLOOKUP($AD53,INDIRECT("'"&amp;$B53&amp;"'!"&amp;"$P$39:$AD$42"),11,FALSE)="Cf. the utilized electricity",0,VLOOKUP($AD53,INDIRECT("'"&amp;$B53&amp;"'!"&amp;"$P$39:$AD$42"),11,FALSE))</f>
        <v>0</v>
      </c>
      <c r="Y53" s="81">
        <f ca="1">VLOOKUP($AD53,INDIRECT("'"&amp;$B53&amp;"'!"&amp;"$P$39:$AD$42"),12,FALSE)</f>
        <v>0</v>
      </c>
      <c r="Z53" s="81">
        <f ca="1">VLOOKUP($AD53,INDIRECT("'"&amp;$B53&amp;"'!"&amp;"$P$39:$AD$42"),13,FALSE)</f>
        <v>0</v>
      </c>
      <c r="AA53" s="81">
        <f ca="1">VLOOKUP($AD53,INDIRECT("'"&amp;$B53&amp;"'!"&amp;"$P$39:$AD$42"),14,FALSE)</f>
        <v>0</v>
      </c>
      <c r="AB53" s="81">
        <f ca="1">VLOOKUP($AD53,INDIRECT("'"&amp;$B53&amp;"'!"&amp;"$P$39:$AD$42"),15,FALSE)</f>
        <v>0</v>
      </c>
      <c r="AD53" s="81">
        <v>2030</v>
      </c>
      <c r="AE53" s="81"/>
      <c r="AF53" s="220"/>
    </row>
    <row r="54" spans="2:32">
      <c r="B54" s="357" t="s">
        <v>1001</v>
      </c>
      <c r="D54" s="212"/>
      <c r="E54" s="212"/>
      <c r="F54" s="224" t="s">
        <v>1149</v>
      </c>
      <c r="G54" s="173" t="str">
        <f>$AI$20</f>
        <v>INDLWH</v>
      </c>
      <c r="H54" s="174"/>
      <c r="I54" s="174"/>
      <c r="K54" s="81"/>
      <c r="L54" s="333"/>
      <c r="M54" s="199"/>
      <c r="N54" s="81"/>
      <c r="O54" s="723"/>
      <c r="P54" s="723"/>
      <c r="Q54" s="81"/>
      <c r="R54" s="300"/>
      <c r="S54" s="300"/>
      <c r="T54" s="300"/>
      <c r="U54" s="199">
        <f ca="1">1-U53</f>
        <v>0.49733588016487384</v>
      </c>
      <c r="V54" s="300"/>
      <c r="W54" s="298"/>
      <c r="X54" s="698"/>
      <c r="Y54" s="81"/>
      <c r="Z54" s="81"/>
      <c r="AA54" s="81"/>
      <c r="AB54" s="81"/>
      <c r="AD54" s="81"/>
      <c r="AE54" s="81"/>
      <c r="AF54" s="220"/>
    </row>
    <row r="55" spans="2:32">
      <c r="B55" s="357" t="s">
        <v>1001</v>
      </c>
      <c r="D55" s="212"/>
      <c r="E55" s="212"/>
      <c r="F55" s="224" t="s">
        <v>1149</v>
      </c>
      <c r="G55" s="173" t="s">
        <v>499</v>
      </c>
      <c r="H55" s="174" t="str">
        <f>$AI$15</f>
        <v>ILDSH</v>
      </c>
      <c r="I55" s="174"/>
      <c r="J55" s="224">
        <f t="shared" ref="J55" si="17">AD55</f>
        <v>2050</v>
      </c>
      <c r="K55" s="81"/>
      <c r="L55" s="333">
        <v>1</v>
      </c>
      <c r="M55" s="199">
        <f ca="1">VLOOKUP($AD55,INDIRECT("'"&amp;$B55&amp;"'!"&amp;"$P$39:$AD$42"),3,FALSE)</f>
        <v>2.0509898799999999</v>
      </c>
      <c r="N55" s="81"/>
      <c r="O55" s="723">
        <f ca="1">VLOOKUP($AD55,INDIRECT("'"&amp;$B55&amp;"'!"&amp;"$P$39:$AD$42"),6,FALSE)/1000</f>
        <v>6.955935359434223</v>
      </c>
      <c r="P55" s="723">
        <f ca="1">VLOOKUP($AD55,INDIRECT("'"&amp;$B55&amp;"'!"&amp;"$P$39:$AD$42"),7,FALSE)/1000</f>
        <v>1.49E-2</v>
      </c>
      <c r="Q55" s="81">
        <f ca="1">VLOOKUP($AD55,INDIRECT("'"&amp;$B55&amp;"'!"&amp;"$P$39:$AD$42"),8,FALSE)</f>
        <v>6.7877777777777784</v>
      </c>
      <c r="R55" s="300"/>
      <c r="S55" s="300"/>
      <c r="T55" s="300"/>
      <c r="U55" s="199">
        <f ca="1">1/M55</f>
        <v>0.48756944622271858</v>
      </c>
      <c r="V55" s="199"/>
      <c r="W55" s="298"/>
      <c r="X55" s="698">
        <f ca="1">IF(VLOOKUP($AD55,INDIRECT("'"&amp;$B55&amp;"'!"&amp;"$P$39:$AD$42"),11,FALSE)="Cf. the utilized electricity",0,VLOOKUP($AD55,INDIRECT("'"&amp;$B55&amp;"'!"&amp;"$P$39:$AD$42"),11,FALSE))</f>
        <v>0</v>
      </c>
      <c r="Y55" s="81">
        <f ca="1">VLOOKUP($AD55,INDIRECT("'"&amp;$B55&amp;"'!"&amp;"$P$39:$AD$42"),12,FALSE)</f>
        <v>0</v>
      </c>
      <c r="Z55" s="81">
        <f ca="1">VLOOKUP($AD55,INDIRECT("'"&amp;$B55&amp;"'!"&amp;"$P$39:$AD$42"),13,FALSE)</f>
        <v>0</v>
      </c>
      <c r="AA55" s="81">
        <f ca="1">VLOOKUP($AD55,INDIRECT("'"&amp;$B55&amp;"'!"&amp;"$P$39:$AD$42"),14,FALSE)</f>
        <v>0</v>
      </c>
      <c r="AB55" s="81">
        <f ca="1">VLOOKUP($AD55,INDIRECT("'"&amp;$B55&amp;"'!"&amp;"$P$39:$AD$42"),15,FALSE)</f>
        <v>0</v>
      </c>
      <c r="AD55" s="81">
        <v>2050</v>
      </c>
      <c r="AE55" s="81"/>
      <c r="AF55" s="220"/>
    </row>
    <row r="56" spans="2:32">
      <c r="B56" s="357" t="s">
        <v>1001</v>
      </c>
      <c r="D56" s="212"/>
      <c r="E56" s="212"/>
      <c r="F56" s="224" t="s">
        <v>1149</v>
      </c>
      <c r="G56" s="173" t="str">
        <f>$AI$20</f>
        <v>INDLWH</v>
      </c>
      <c r="H56" s="174"/>
      <c r="I56" s="174"/>
      <c r="K56" s="81"/>
      <c r="L56" s="333"/>
      <c r="M56" s="199"/>
      <c r="N56" s="81"/>
      <c r="O56" s="723"/>
      <c r="P56" s="723"/>
      <c r="Q56" s="81"/>
      <c r="R56" s="300"/>
      <c r="S56" s="300"/>
      <c r="T56" s="300"/>
      <c r="U56" s="199">
        <f ca="1">1-U55</f>
        <v>0.51243055377728142</v>
      </c>
      <c r="V56" s="300"/>
      <c r="W56" s="298"/>
      <c r="X56" s="698"/>
      <c r="Y56" s="81"/>
      <c r="Z56" s="81"/>
      <c r="AA56" s="81"/>
      <c r="AB56" s="81"/>
      <c r="AD56" s="81"/>
      <c r="AE56" s="81"/>
      <c r="AF56" s="220"/>
    </row>
    <row r="57" spans="2:32">
      <c r="B57" s="357" t="s">
        <v>1002</v>
      </c>
      <c r="D57" s="212" t="str">
        <f>"IND"&amp;RIGHT(H57,4)&amp;RIGHT(G57,3)&amp;"N"&amp;RIGHT(E57,1)</f>
        <v>INDLDPHELCN5</v>
      </c>
      <c r="E57" s="261" t="str">
        <f>"Industrial heating technology "&amp;$AJ$12&amp;" "&amp;RIGHT(H57,2)&amp;" - MVR utilizing waste heat - new 5"</f>
        <v>Industrial heating technology L PH - MVR utilizing waste heat - new 5</v>
      </c>
      <c r="F57" s="224" t="s">
        <v>1149</v>
      </c>
      <c r="G57" s="173" t="s">
        <v>499</v>
      </c>
      <c r="H57" s="174" t="str">
        <f>$AI$14</f>
        <v>ILDPH</v>
      </c>
      <c r="I57" s="174"/>
      <c r="J57" s="224">
        <f t="shared" ref="J57" si="18">AD57</f>
        <v>2020</v>
      </c>
      <c r="K57" s="81">
        <v>2020</v>
      </c>
      <c r="L57" s="333">
        <v>1</v>
      </c>
      <c r="M57" s="199">
        <f ca="1">VLOOKUP($AD57,INDIRECT("'"&amp;$B57&amp;"'!"&amp;"$P$39:$AD$42"),3,FALSE)</f>
        <v>12.1</v>
      </c>
      <c r="N57" s="81">
        <f ca="1">VLOOKUP($AD57,INDIRECT("'"&amp;$B57&amp;"'!"&amp;"$P$39:$AD$42"),5,FALSE)</f>
        <v>25</v>
      </c>
      <c r="O57" s="723">
        <f ca="1">VLOOKUP($AD57,INDIRECT("'"&amp;$B57&amp;"'!"&amp;"$P$39:$AD$42"),6,FALSE)/1000</f>
        <v>2.6074999999999999</v>
      </c>
      <c r="P57" s="723">
        <f ca="1">VLOOKUP($AD57,INDIRECT("'"&amp;$B57&amp;"'!"&amp;"$P$39:$AD$42"),7,FALSE)/1000</f>
        <v>1.49E-2</v>
      </c>
      <c r="Q57" s="81">
        <f ca="1">VLOOKUP($AD57,INDIRECT("'"&amp;$B57&amp;"'!"&amp;"$P$39:$AD$42"),8,FALSE)</f>
        <v>5.2356944444444444</v>
      </c>
      <c r="R57" s="81">
        <v>3.1536000000000002E-2</v>
      </c>
      <c r="S57" s="199">
        <v>0.5</v>
      </c>
      <c r="T57" s="199">
        <f ca="1">HLOOKUP($T$2,INDIRECT("'"&amp;$B57&amp;"'!"&amp;"$P$6:$AC$19"),IF(H57=$AI$13,6,IF(H57=$AI$14,9,14)),FALSE)</f>
        <v>0</v>
      </c>
      <c r="U57" s="199">
        <f ca="1">1/M57</f>
        <v>8.2644628099173556E-2</v>
      </c>
      <c r="V57" s="199"/>
      <c r="W57" s="298"/>
      <c r="X57" s="698">
        <f ca="1">IF(VLOOKUP($AD57,INDIRECT("'"&amp;$B57&amp;"'!"&amp;"$P$39:$AD$42"),11,FALSE)="Cf. the utilized electricity",0,VLOOKUP($AD57,INDIRECT("'"&amp;$B57&amp;"'!"&amp;"$P$39:$AD$42"),11,FALSE))</f>
        <v>0</v>
      </c>
      <c r="Y57" s="81">
        <f ca="1">VLOOKUP($AD57,INDIRECT("'"&amp;$B57&amp;"'!"&amp;"$P$39:$AD$42"),12,FALSE)</f>
        <v>0</v>
      </c>
      <c r="Z57" s="81">
        <f ca="1">VLOOKUP($AD57,INDIRECT("'"&amp;$B57&amp;"'!"&amp;"$P$39:$AD$42"),13,FALSE)</f>
        <v>0</v>
      </c>
      <c r="AA57" s="81">
        <f ca="1">VLOOKUP($AD57,INDIRECT("'"&amp;$B57&amp;"'!"&amp;"$P$39:$AD$42"),14,FALSE)</f>
        <v>0</v>
      </c>
      <c r="AB57" s="81">
        <f ca="1">VLOOKUP($AD57,INDIRECT("'"&amp;$B57&amp;"'!"&amp;"$P$39:$AD$42"),15,FALSE)</f>
        <v>0</v>
      </c>
      <c r="AD57" s="81">
        <v>2020</v>
      </c>
      <c r="AE57" s="81"/>
      <c r="AF57" s="220"/>
    </row>
    <row r="58" spans="2:32">
      <c r="B58" s="357" t="s">
        <v>1002</v>
      </c>
      <c r="D58" s="212"/>
      <c r="E58" s="261"/>
      <c r="F58" s="224" t="s">
        <v>1149</v>
      </c>
      <c r="G58" s="173" t="str">
        <f>$AI$20</f>
        <v>INDLWH</v>
      </c>
      <c r="H58" s="174"/>
      <c r="I58" s="174"/>
      <c r="K58" s="81"/>
      <c r="L58" s="199"/>
      <c r="M58" s="199"/>
      <c r="N58" s="81"/>
      <c r="O58" s="723"/>
      <c r="P58" s="723"/>
      <c r="Q58" s="81"/>
      <c r="R58" s="200"/>
      <c r="S58" s="772"/>
      <c r="T58" s="772"/>
      <c r="U58" s="199">
        <f ca="1">1-U57</f>
        <v>0.9173553719008265</v>
      </c>
      <c r="V58" s="772"/>
      <c r="W58" s="298"/>
      <c r="X58" s="698"/>
      <c r="Y58" s="81"/>
      <c r="Z58" s="81"/>
      <c r="AA58" s="81"/>
      <c r="AB58" s="81"/>
      <c r="AD58" s="81"/>
      <c r="AE58" s="81"/>
      <c r="AF58" s="220"/>
    </row>
    <row r="59" spans="2:32">
      <c r="B59" s="357" t="s">
        <v>1002</v>
      </c>
      <c r="D59" s="212"/>
      <c r="E59" s="212"/>
      <c r="F59" s="224" t="s">
        <v>1149</v>
      </c>
      <c r="G59" s="173" t="s">
        <v>499</v>
      </c>
      <c r="H59" s="174" t="str">
        <f>$AI$14</f>
        <v>ILDPH</v>
      </c>
      <c r="I59" s="174"/>
      <c r="J59" s="224">
        <f t="shared" ref="J59" si="19">AD59</f>
        <v>2030</v>
      </c>
      <c r="K59" s="81"/>
      <c r="L59" s="333">
        <v>1</v>
      </c>
      <c r="M59" s="199">
        <f ca="1">VLOOKUP($AD59,INDIRECT("'"&amp;$B59&amp;"'!"&amp;"$P$39:$AD$42"),3,FALSE)</f>
        <v>12.7</v>
      </c>
      <c r="N59" s="81"/>
      <c r="O59" s="723">
        <f ca="1">VLOOKUP($AD59,INDIRECT("'"&amp;$B59&amp;"'!"&amp;"$P$39:$AD$42"),6,FALSE)/1000</f>
        <v>2.4585000000000004</v>
      </c>
      <c r="P59" s="723">
        <f ca="1">VLOOKUP($AD59,INDIRECT("'"&amp;$B59&amp;"'!"&amp;"$P$39:$AD$42"),7,FALSE)/1000</f>
        <v>1.49E-2</v>
      </c>
      <c r="Q59" s="81">
        <f ca="1">VLOOKUP($AD59,INDIRECT("'"&amp;$B59&amp;"'!"&amp;"$P$39:$AD$42"),8,FALSE)</f>
        <v>5.0701388888888888</v>
      </c>
      <c r="R59" s="300"/>
      <c r="S59" s="300"/>
      <c r="T59" s="300"/>
      <c r="U59" s="199">
        <f ca="1">1/M59</f>
        <v>7.874015748031496E-2</v>
      </c>
      <c r="V59" s="199"/>
      <c r="W59" s="298"/>
      <c r="X59" s="698">
        <f ca="1">IF(VLOOKUP($AD59,INDIRECT("'"&amp;$B59&amp;"'!"&amp;"$P$39:$AD$42"),11,FALSE)="Cf. the utilized electricity",0,VLOOKUP($AD59,INDIRECT("'"&amp;$B59&amp;"'!"&amp;"$P$39:$AD$42"),11,FALSE))</f>
        <v>0</v>
      </c>
      <c r="Y59" s="81">
        <f ca="1">VLOOKUP($AD59,INDIRECT("'"&amp;$B59&amp;"'!"&amp;"$P$39:$AD$42"),12,FALSE)</f>
        <v>0</v>
      </c>
      <c r="Z59" s="81">
        <f ca="1">VLOOKUP($AD59,INDIRECT("'"&amp;$B59&amp;"'!"&amp;"$P$39:$AD$42"),13,FALSE)</f>
        <v>0</v>
      </c>
      <c r="AA59" s="81">
        <f ca="1">VLOOKUP($AD59,INDIRECT("'"&amp;$B59&amp;"'!"&amp;"$P$39:$AD$42"),14,FALSE)</f>
        <v>0</v>
      </c>
      <c r="AB59" s="81">
        <f ca="1">VLOOKUP($AD59,INDIRECT("'"&amp;$B59&amp;"'!"&amp;"$P$39:$AD$42"),15,FALSE)</f>
        <v>0</v>
      </c>
      <c r="AD59" s="81">
        <v>2030</v>
      </c>
      <c r="AE59" s="81"/>
      <c r="AF59" s="220"/>
    </row>
    <row r="60" spans="2:32">
      <c r="B60" s="357" t="s">
        <v>1002</v>
      </c>
      <c r="D60" s="212"/>
      <c r="E60" s="212"/>
      <c r="F60" s="224" t="s">
        <v>1149</v>
      </c>
      <c r="G60" s="173" t="str">
        <f>$AI$20</f>
        <v>INDLWH</v>
      </c>
      <c r="H60" s="174"/>
      <c r="I60" s="174"/>
      <c r="K60" s="81"/>
      <c r="L60" s="199"/>
      <c r="M60" s="199"/>
      <c r="N60" s="81"/>
      <c r="O60" s="723"/>
      <c r="P60" s="723"/>
      <c r="Q60" s="81"/>
      <c r="R60" s="300"/>
      <c r="S60" s="300"/>
      <c r="T60" s="300"/>
      <c r="U60" s="199">
        <f ca="1">1-U59</f>
        <v>0.92125984251968507</v>
      </c>
      <c r="V60" s="300"/>
      <c r="W60" s="298"/>
      <c r="X60" s="698"/>
      <c r="Y60" s="81"/>
      <c r="Z60" s="81"/>
      <c r="AA60" s="81"/>
      <c r="AB60" s="81"/>
      <c r="AD60" s="81"/>
      <c r="AE60" s="81"/>
      <c r="AF60" s="220"/>
    </row>
    <row r="61" spans="2:32">
      <c r="B61" s="357" t="s">
        <v>1002</v>
      </c>
      <c r="D61" s="212"/>
      <c r="E61" s="212"/>
      <c r="F61" s="224" t="s">
        <v>1149</v>
      </c>
      <c r="G61" s="173" t="s">
        <v>499</v>
      </c>
      <c r="H61" s="174" t="str">
        <f>$AI$14</f>
        <v>ILDPH</v>
      </c>
      <c r="I61" s="174"/>
      <c r="J61" s="224">
        <f t="shared" ref="J61" si="20">AD61</f>
        <v>2050</v>
      </c>
      <c r="K61" s="81"/>
      <c r="L61" s="333">
        <v>1</v>
      </c>
      <c r="M61" s="199">
        <f ca="1">VLOOKUP($AD61,INDIRECT("'"&amp;$B61&amp;"'!"&amp;"$P$39:$AD$42"),3,FALSE)</f>
        <v>13.8</v>
      </c>
      <c r="N61" s="81"/>
      <c r="O61" s="723">
        <f ca="1">VLOOKUP($AD61,INDIRECT("'"&amp;$B61&amp;"'!"&amp;"$P$39:$AD$42"),6,FALSE)/1000</f>
        <v>2.3094999999999999</v>
      </c>
      <c r="P61" s="723">
        <f ca="1">VLOOKUP($AD61,INDIRECT("'"&amp;$B61&amp;"'!"&amp;"$P$39:$AD$42"),7,FALSE)/1000</f>
        <v>1.49E-2</v>
      </c>
      <c r="Q61" s="81">
        <f ca="1">VLOOKUP($AD61,INDIRECT("'"&amp;$B61&amp;"'!"&amp;"$P$39:$AD$42"),8,FALSE)</f>
        <v>4.8838888888888903</v>
      </c>
      <c r="R61" s="300"/>
      <c r="S61" s="300"/>
      <c r="T61" s="300"/>
      <c r="U61" s="199">
        <f ca="1">1/M61</f>
        <v>7.2463768115942032E-2</v>
      </c>
      <c r="V61" s="199"/>
      <c r="W61" s="298"/>
      <c r="X61" s="698">
        <f ca="1">IF(VLOOKUP($AD61,INDIRECT("'"&amp;$B61&amp;"'!"&amp;"$P$39:$AD$42"),11,FALSE)="Cf. the utilized electricity",0,VLOOKUP($AD61,INDIRECT("'"&amp;$B61&amp;"'!"&amp;"$P$39:$AD$42"),11,FALSE))</f>
        <v>0</v>
      </c>
      <c r="Y61" s="81">
        <f ca="1">VLOOKUP($AD61,INDIRECT("'"&amp;$B61&amp;"'!"&amp;"$P$39:$AD$42"),12,FALSE)</f>
        <v>0</v>
      </c>
      <c r="Z61" s="81">
        <f ca="1">VLOOKUP($AD61,INDIRECT("'"&amp;$B61&amp;"'!"&amp;"$P$39:$AD$42"),13,FALSE)</f>
        <v>0</v>
      </c>
      <c r="AA61" s="81">
        <f ca="1">VLOOKUP($AD61,INDIRECT("'"&amp;$B61&amp;"'!"&amp;"$P$39:$AD$42"),14,FALSE)</f>
        <v>0</v>
      </c>
      <c r="AB61" s="81">
        <f ca="1">VLOOKUP($AD61,INDIRECT("'"&amp;$B61&amp;"'!"&amp;"$P$39:$AD$42"),15,FALSE)</f>
        <v>0</v>
      </c>
      <c r="AD61" s="81">
        <v>2050</v>
      </c>
      <c r="AE61" s="81"/>
      <c r="AF61" s="220"/>
    </row>
    <row r="62" spans="2:32" ht="16" thickBot="1">
      <c r="B62" s="786" t="s">
        <v>1002</v>
      </c>
      <c r="C62" s="787"/>
      <c r="D62" s="732"/>
      <c r="E62" s="732"/>
      <c r="F62" s="224" t="s">
        <v>1149</v>
      </c>
      <c r="G62" s="788" t="str">
        <f>$AI$20</f>
        <v>INDLWH</v>
      </c>
      <c r="H62" s="788"/>
      <c r="I62" s="788"/>
      <c r="K62" s="789"/>
      <c r="L62" s="790"/>
      <c r="M62" s="790"/>
      <c r="N62" s="789"/>
      <c r="O62" s="791"/>
      <c r="P62" s="791"/>
      <c r="Q62" s="789"/>
      <c r="R62" s="792"/>
      <c r="S62" s="792"/>
      <c r="T62" s="792"/>
      <c r="U62" s="790">
        <f ca="1">1-U61</f>
        <v>0.92753623188405798</v>
      </c>
      <c r="V62" s="796"/>
      <c r="W62" s="793"/>
      <c r="X62" s="794"/>
      <c r="Y62" s="789"/>
      <c r="Z62" s="789"/>
      <c r="AA62" s="789"/>
      <c r="AB62" s="789"/>
      <c r="AC62" s="787"/>
      <c r="AD62" s="789"/>
      <c r="AE62" s="789"/>
      <c r="AF62" s="795"/>
    </row>
    <row r="63" spans="2:32">
      <c r="B63" s="357" t="s">
        <v>920</v>
      </c>
      <c r="D63" s="212" t="str">
        <f>"IND"&amp;RIGHT(H63,4)&amp;RIGHT(G63,3)&amp;"N"&amp;RIGHT(E63,1)</f>
        <v>INDLDPHWSTN1</v>
      </c>
      <c r="E63" s="261" t="str">
        <f>"Industrial heating technology "&amp;$AJ$12&amp;" "&amp;RIGHT(H63,2)&amp;" - Hotdisc - new 1"</f>
        <v>Industrial heating technology L PH - Hotdisc - new 1</v>
      </c>
      <c r="F63" s="224" t="s">
        <v>1149</v>
      </c>
      <c r="G63" s="832" t="s">
        <v>1005</v>
      </c>
      <c r="H63" s="174" t="str">
        <f>$AI$13</f>
        <v>ILDPH</v>
      </c>
      <c r="I63" s="173" t="str">
        <f t="shared" ref="I63:I126" si="21">$AI$20</f>
        <v>INDLWH</v>
      </c>
      <c r="J63" s="224">
        <f>IF(AD63=2020,2011,AD63)</f>
        <v>2011</v>
      </c>
      <c r="K63" s="299">
        <v>2025</v>
      </c>
      <c r="L63" s="699">
        <f t="shared" ref="L63:L80" ca="1" si="22">VLOOKUP($AD63,INDIRECT("'"&amp;$B63&amp;"'!"&amp;"$P$39:$AD$42"),3,FALSE)</f>
        <v>0.9</v>
      </c>
      <c r="M63" s="699"/>
      <c r="N63" s="299">
        <f ca="1">VLOOKUP($AD63,INDIRECT("'"&amp;$B63&amp;"'!"&amp;"$P$39:$AD$42"),5,FALSE)</f>
        <v>20</v>
      </c>
      <c r="O63" s="725">
        <f t="shared" ref="O63:O80" ca="1" si="23">VLOOKUP($AD63,INDIRECT("'"&amp;$B63&amp;"'!"&amp;"$P$39:$AD$42"),6,FALSE)/1000</f>
        <v>3.7250000000000001</v>
      </c>
      <c r="P63" s="725">
        <f t="shared" ref="P63:P80" ca="1" si="24">VLOOKUP($AD63,INDIRECT("'"&amp;$B63&amp;"'!"&amp;"$P$39:$AD$42"),7,FALSE)/1000</f>
        <v>2.98E-3</v>
      </c>
      <c r="Q63" s="299">
        <f t="shared" ref="Q63:Q80" ca="1" si="25">VLOOKUP($AD63,INDIRECT("'"&amp;$B63&amp;"'!"&amp;"$P$39:$AD$42"),8,FALSE)</f>
        <v>2.4315972222222224</v>
      </c>
      <c r="R63" s="299">
        <v>3.1536000000000002E-2</v>
      </c>
      <c r="S63" s="699">
        <v>0.5</v>
      </c>
      <c r="T63" s="699">
        <f ca="1">HLOOKUP($S$2,INDIRECT("'"&amp;$B63&amp;"'!"&amp;"$P$6:$AC$19"),IF(H63=$AI$13,6,IF(H63=$AI$14,9,14)),FALSE)</f>
        <v>0</v>
      </c>
      <c r="U63" s="772"/>
      <c r="V63" s="199">
        <f ca="1">IF(IF(RIGHT(H63,2)="PH",(1-L63)+$W$2,IF(RIGHT(H63,2)="HT",(1-L63)+$W$1,IF(RIGHT(H63,2)="SH",(1-L63)+$W$3,"")))&gt;0,IF(RIGHT(H63,2)="PH",(1-L63)+$W$2,IF(RIGHT(H63,2)="HT",(1-L63)+$W$1,IF(RIGHT(H63,2)="SH",(1-L63)+$W$3,""))),0)</f>
        <v>0.3</v>
      </c>
      <c r="W63" s="298"/>
      <c r="X63" s="785">
        <f t="shared" ref="X63:X94" ca="1" si="26">IF(VLOOKUP($AD63,INDIRECT("'"&amp;$B63&amp;"'!"&amp;"$P$39:$AD$42"),11,FALSE)="Cf. the utilized electricity",0,VLOOKUP($AD63,INDIRECT("'"&amp;$B63&amp;"'!"&amp;"$P$39:$AD$42"),11,FALSE))</f>
        <v>8.3000000000000007</v>
      </c>
      <c r="Y63" s="299">
        <f t="shared" ref="Y63:Y80" ca="1" si="27">VLOOKUP($AD63,INDIRECT("'"&amp;$B63&amp;"'!"&amp;"$P$39:$AD$42"),12,FALSE)</f>
        <v>56</v>
      </c>
      <c r="Z63" s="299">
        <f t="shared" ref="Z63:Z80" ca="1" si="28">VLOOKUP($AD63,INDIRECT("'"&amp;$B63&amp;"'!"&amp;"$P$39:$AD$42"),13,FALSE)</f>
        <v>0.1</v>
      </c>
      <c r="AA63" s="299">
        <f t="shared" ref="AA63:AA80" ca="1" si="29">VLOOKUP($AD63,INDIRECT("'"&amp;$B63&amp;"'!"&amp;"$P$39:$AD$42"),14,FALSE)</f>
        <v>1</v>
      </c>
      <c r="AB63" s="299">
        <f t="shared" ref="AB63:AB80" ca="1" si="30">VLOOKUP($AD63,INDIRECT("'"&amp;$B63&amp;"'!"&amp;"$P$39:$AD$42"),15,FALSE)</f>
        <v>0.28999999999999998</v>
      </c>
      <c r="AD63" s="299">
        <v>2020</v>
      </c>
      <c r="AE63" s="299"/>
      <c r="AF63" s="220"/>
    </row>
    <row r="64" spans="2:32">
      <c r="B64" s="357" t="s">
        <v>920</v>
      </c>
      <c r="D64" s="212"/>
      <c r="E64" s="212"/>
      <c r="F64" s="224" t="s">
        <v>1149</v>
      </c>
      <c r="H64" s="174"/>
      <c r="I64" s="173" t="str">
        <f t="shared" si="21"/>
        <v>INDLWH</v>
      </c>
      <c r="J64" s="224">
        <f t="shared" ref="J64:J127" si="31">IF(AD64=2020,2011,AD64)</f>
        <v>2030</v>
      </c>
      <c r="K64" s="81"/>
      <c r="L64" s="199">
        <f t="shared" ca="1" si="22"/>
        <v>0.91</v>
      </c>
      <c r="M64" s="199"/>
      <c r="N64" s="81"/>
      <c r="O64" s="723">
        <f t="shared" ca="1" si="23"/>
        <v>3.4642500000000003</v>
      </c>
      <c r="P64" s="723">
        <f t="shared" ca="1" si="24"/>
        <v>2.98E-3</v>
      </c>
      <c r="Q64" s="81">
        <f t="shared" ca="1" si="25"/>
        <v>2.4729861111111116</v>
      </c>
      <c r="R64" s="300"/>
      <c r="S64" s="300"/>
      <c r="T64" s="300"/>
      <c r="U64" s="300"/>
      <c r="V64" s="199">
        <f ca="1">IF(IF(RIGHT(H63,2)="PH",(1-L64)+$W$2,IF(RIGHT(H63,2)="HT",(1-L64)+$W$1,IF(RIGHT(H63,2)="SH",(1-L64)+$W$3,"")))&gt;0,IF(RIGHT(H63,2)="PH",(1-L64)+$W$2,IF(RIGHT(H63,2)="HT",(1-L64)+$W$1,IF(RIGHT(H63,2)="SH",(1-L64)+$W$3,""))),0)</f>
        <v>0.28999999999999998</v>
      </c>
      <c r="W64" s="298"/>
      <c r="X64" s="698">
        <f t="shared" ca="1" si="26"/>
        <v>8.3000000000000007</v>
      </c>
      <c r="Y64" s="81">
        <f t="shared" ca="1" si="27"/>
        <v>45</v>
      </c>
      <c r="Z64" s="81">
        <f t="shared" ca="1" si="28"/>
        <v>0.1</v>
      </c>
      <c r="AA64" s="81">
        <f t="shared" ca="1" si="29"/>
        <v>1</v>
      </c>
      <c r="AB64" s="81">
        <f t="shared" ca="1" si="30"/>
        <v>0.28999999999999998</v>
      </c>
      <c r="AD64" s="81">
        <v>2030</v>
      </c>
      <c r="AE64" s="81"/>
      <c r="AF64" s="220"/>
    </row>
    <row r="65" spans="2:32">
      <c r="B65" s="357" t="s">
        <v>920</v>
      </c>
      <c r="D65" s="212"/>
      <c r="E65" s="212"/>
      <c r="F65" s="224" t="s">
        <v>1149</v>
      </c>
      <c r="H65" s="174"/>
      <c r="I65" s="173" t="str">
        <f t="shared" si="21"/>
        <v>INDLWH</v>
      </c>
      <c r="J65" s="224">
        <f t="shared" si="31"/>
        <v>2050</v>
      </c>
      <c r="K65" s="81"/>
      <c r="L65" s="199">
        <f t="shared" ca="1" si="22"/>
        <v>0.93</v>
      </c>
      <c r="M65" s="199"/>
      <c r="N65" s="81"/>
      <c r="O65" s="723">
        <f t="shared" ca="1" si="23"/>
        <v>3.3525</v>
      </c>
      <c r="P65" s="723">
        <f t="shared" ca="1" si="24"/>
        <v>2.98E-3</v>
      </c>
      <c r="Q65" s="81">
        <f t="shared" ca="1" si="25"/>
        <v>2.4936805555555561</v>
      </c>
      <c r="R65" s="300"/>
      <c r="S65" s="300"/>
      <c r="T65" s="300"/>
      <c r="U65" s="300"/>
      <c r="V65" s="199">
        <f ca="1">IF(IF(RIGHT(H63,2)="PH",(1-L65)+$W$2,IF(RIGHT(H63,2)="HT",(1-L65)+$W$1,IF(RIGHT(H63,2)="SH",(1-L65)+$W$3,"")))&gt;0,IF(RIGHT(H63,2)="PH",(1-L65)+$W$2,IF(RIGHT(H63,2)="HT",(1-L65)+$W$1,IF(RIGHT(H63,2)="SH",(1-L65)+$W$3,""))),0)</f>
        <v>0.26999999999999996</v>
      </c>
      <c r="W65" s="298"/>
      <c r="X65" s="698">
        <f t="shared" ca="1" si="26"/>
        <v>8.3000000000000007</v>
      </c>
      <c r="Y65" s="81">
        <f t="shared" ca="1" si="27"/>
        <v>11</v>
      </c>
      <c r="Z65" s="81">
        <f t="shared" ca="1" si="28"/>
        <v>0.1</v>
      </c>
      <c r="AA65" s="81">
        <f t="shared" ca="1" si="29"/>
        <v>1</v>
      </c>
      <c r="AB65" s="81">
        <f t="shared" ca="1" si="30"/>
        <v>0.28999999999999998</v>
      </c>
      <c r="AD65" s="81">
        <v>2050</v>
      </c>
      <c r="AE65" s="81"/>
      <c r="AF65" s="220"/>
    </row>
    <row r="66" spans="2:32">
      <c r="B66" s="357" t="s">
        <v>922</v>
      </c>
      <c r="D66" s="212" t="str">
        <f>"IND"&amp;RIGHT(H66,4)&amp;RIGHT(G66,3)&amp;"N"&amp;RIGHT(E66,1)</f>
        <v>INDLDPHELCN6</v>
      </c>
      <c r="E66" s="261" t="str">
        <f>"Industrial heating technology "&amp;$AJ$12&amp;" "&amp;RIGHT(H66,2)&amp;" - Dielectric heating - new 6"</f>
        <v>Industrial heating technology L PH - Dielectric heating - new 6</v>
      </c>
      <c r="F66" s="224" t="s">
        <v>1149</v>
      </c>
      <c r="G66" s="173" t="s">
        <v>499</v>
      </c>
      <c r="H66" s="174" t="str">
        <f>$AI$14</f>
        <v>ILDPH</v>
      </c>
      <c r="I66" s="173" t="str">
        <f t="shared" si="21"/>
        <v>INDLWH</v>
      </c>
      <c r="J66" s="224">
        <f t="shared" si="31"/>
        <v>2011</v>
      </c>
      <c r="K66" s="299">
        <v>2020</v>
      </c>
      <c r="L66" s="199">
        <f t="shared" ca="1" si="22"/>
        <v>0.95</v>
      </c>
      <c r="M66" s="199"/>
      <c r="N66" s="81">
        <f ca="1">VLOOKUP($AD66,INDIRECT("'"&amp;$B66&amp;"'!"&amp;"$P$39:$AD$42"),5,FALSE)</f>
        <v>30</v>
      </c>
      <c r="O66" s="723">
        <f t="shared" ca="1" si="23"/>
        <v>20.115000000000002</v>
      </c>
      <c r="P66" s="723">
        <f t="shared" ca="1" si="24"/>
        <v>0</v>
      </c>
      <c r="Q66" s="81">
        <f t="shared" ca="1" si="25"/>
        <v>94.828152777777774</v>
      </c>
      <c r="R66" s="81">
        <v>3.1536000000000002E-2</v>
      </c>
      <c r="S66" s="199">
        <v>0.5</v>
      </c>
      <c r="T66" s="199">
        <f ca="1">HLOOKUP($S$2,INDIRECT("'"&amp;$B66&amp;"'!"&amp;"$P$6:$AC$19"),IF(H66=$AI$13,6,IF(H66=$AI$14,9,14)),FALSE)</f>
        <v>0</v>
      </c>
      <c r="U66" s="772"/>
      <c r="V66" s="199">
        <f t="shared" ref="V66" ca="1" si="32">IF(IF(RIGHT(H66,2)="PH",(1-L66)+$W$2,IF(RIGHT(H66,2)="HT",(1-L66)+$W$1,IF(RIGHT(H66,2)="SH",(1-L66)+$W$3,"")))&gt;0,IF(RIGHT(H66,2)="PH",(1-L66)+$W$2,IF(RIGHT(H66,2)="HT",(1-L66)+$W$1,IF(RIGHT(H66,2)="SH",(1-L66)+$W$3,""))),0)</f>
        <v>0.25000000000000006</v>
      </c>
      <c r="W66" s="298"/>
      <c r="X66" s="698">
        <f t="shared" ca="1" si="26"/>
        <v>0</v>
      </c>
      <c r="Y66" s="81">
        <f t="shared" ca="1" si="27"/>
        <v>0</v>
      </c>
      <c r="Z66" s="81">
        <f t="shared" ca="1" si="28"/>
        <v>0</v>
      </c>
      <c r="AA66" s="81">
        <f t="shared" ca="1" si="29"/>
        <v>0</v>
      </c>
      <c r="AB66" s="81">
        <f t="shared" ca="1" si="30"/>
        <v>0</v>
      </c>
      <c r="AD66" s="81">
        <v>2020</v>
      </c>
      <c r="AE66" s="81"/>
      <c r="AF66" s="220"/>
    </row>
    <row r="67" spans="2:32">
      <c r="B67" s="357" t="s">
        <v>922</v>
      </c>
      <c r="D67" s="212"/>
      <c r="E67" s="212"/>
      <c r="F67" s="224" t="s">
        <v>1149</v>
      </c>
      <c r="H67" s="174"/>
      <c r="I67" s="173" t="str">
        <f t="shared" si="21"/>
        <v>INDLWH</v>
      </c>
      <c r="J67" s="224">
        <f t="shared" si="31"/>
        <v>2030</v>
      </c>
      <c r="K67" s="81"/>
      <c r="L67" s="199">
        <f t="shared" ca="1" si="22"/>
        <v>0.95</v>
      </c>
      <c r="M67" s="199"/>
      <c r="N67" s="81"/>
      <c r="O67" s="723">
        <f t="shared" ca="1" si="23"/>
        <v>19.511550000000003</v>
      </c>
      <c r="P67" s="723">
        <f t="shared" ca="1" si="24"/>
        <v>0</v>
      </c>
      <c r="Q67" s="81">
        <f t="shared" ca="1" si="25"/>
        <v>94.832291666666663</v>
      </c>
      <c r="R67" s="300"/>
      <c r="S67" s="300"/>
      <c r="T67" s="300"/>
      <c r="U67" s="300"/>
      <c r="V67" s="199">
        <f t="shared" ref="V67" ca="1" si="33">IF(IF(RIGHT(H66,2)="PH",(1-L67)+$W$2,IF(RIGHT(H66,2)="HT",(1-L67)+$W$1,IF(RIGHT(H66,2)="SH",(1-L67)+$W$3,"")))&gt;0,IF(RIGHT(H66,2)="PH",(1-L67)+$W$2,IF(RIGHT(H66,2)="HT",(1-L67)+$W$1,IF(RIGHT(H66,2)="SH",(1-L67)+$W$3,""))),0)</f>
        <v>0.25000000000000006</v>
      </c>
      <c r="W67" s="298"/>
      <c r="X67" s="698">
        <f t="shared" ca="1" si="26"/>
        <v>0</v>
      </c>
      <c r="Y67" s="81">
        <f t="shared" ca="1" si="27"/>
        <v>0</v>
      </c>
      <c r="Z67" s="81">
        <f t="shared" ca="1" si="28"/>
        <v>0</v>
      </c>
      <c r="AA67" s="81">
        <f t="shared" ca="1" si="29"/>
        <v>0</v>
      </c>
      <c r="AB67" s="81">
        <f t="shared" ca="1" si="30"/>
        <v>0</v>
      </c>
      <c r="AD67" s="81">
        <v>2030</v>
      </c>
      <c r="AE67" s="81"/>
      <c r="AF67" s="220"/>
    </row>
    <row r="68" spans="2:32">
      <c r="B68" s="357" t="s">
        <v>922</v>
      </c>
      <c r="D68" s="212"/>
      <c r="E68" s="212"/>
      <c r="F68" s="224" t="s">
        <v>1149</v>
      </c>
      <c r="H68" s="174"/>
      <c r="I68" s="173" t="str">
        <f t="shared" si="21"/>
        <v>INDLWH</v>
      </c>
      <c r="J68" s="224">
        <f t="shared" si="31"/>
        <v>2050</v>
      </c>
      <c r="K68" s="81"/>
      <c r="L68" s="199">
        <f t="shared" ca="1" si="22"/>
        <v>0.95</v>
      </c>
      <c r="M68" s="199"/>
      <c r="N68" s="81"/>
      <c r="O68" s="723">
        <f t="shared" ca="1" si="23"/>
        <v>18.1035</v>
      </c>
      <c r="P68" s="723">
        <f t="shared" ca="1" si="24"/>
        <v>0</v>
      </c>
      <c r="Q68" s="81">
        <f t="shared" ca="1" si="25"/>
        <v>94.834361111111107</v>
      </c>
      <c r="R68" s="300"/>
      <c r="S68" s="300"/>
      <c r="T68" s="300"/>
      <c r="U68" s="300"/>
      <c r="V68" s="199">
        <f t="shared" ref="V68" ca="1" si="34">IF(IF(RIGHT(H66,2)="PH",(1-L68)+$W$2,IF(RIGHT(H66,2)="HT",(1-L68)+$W$1,IF(RIGHT(H66,2)="SH",(1-L68)+$W$3,"")))&gt;0,IF(RIGHT(H66,2)="PH",(1-L68)+$W$2,IF(RIGHT(H66,2)="HT",(1-L68)+$W$1,IF(RIGHT(H66,2)="SH",(1-L68)+$W$3,""))),0)</f>
        <v>0.25000000000000006</v>
      </c>
      <c r="W68" s="298"/>
      <c r="X68" s="698">
        <f t="shared" ca="1" si="26"/>
        <v>0</v>
      </c>
      <c r="Y68" s="81">
        <f t="shared" ca="1" si="27"/>
        <v>0</v>
      </c>
      <c r="Z68" s="81">
        <f t="shared" ca="1" si="28"/>
        <v>0</v>
      </c>
      <c r="AA68" s="81">
        <f t="shared" ca="1" si="29"/>
        <v>0</v>
      </c>
      <c r="AB68" s="81">
        <f t="shared" ca="1" si="30"/>
        <v>0</v>
      </c>
      <c r="AD68" s="81">
        <v>2050</v>
      </c>
      <c r="AE68" s="81"/>
      <c r="AF68" s="220"/>
    </row>
    <row r="69" spans="2:32">
      <c r="B69" s="357" t="s">
        <v>1006</v>
      </c>
      <c r="D69" s="212" t="str">
        <f>"IND"&amp;RIGHT(H69,4)&amp;RIGHT(G69,3)&amp;"N"&amp;RIGHT(E69,1)</f>
        <v>INDLDPHELCN7</v>
      </c>
      <c r="E69" s="261" t="str">
        <f>"Industrial heating technology "&amp;$AJ$12&amp;" "&amp;RIGHT(H69,2)&amp;" - Infrared heating - new 7"</f>
        <v>Industrial heating technology L PH - Infrared heating - new 7</v>
      </c>
      <c r="F69" s="224" t="s">
        <v>1149</v>
      </c>
      <c r="G69" s="173" t="s">
        <v>499</v>
      </c>
      <c r="H69" s="174" t="str">
        <f>$AI$14</f>
        <v>ILDPH</v>
      </c>
      <c r="I69" s="173" t="str">
        <f t="shared" si="21"/>
        <v>INDLWH</v>
      </c>
      <c r="J69" s="224">
        <f t="shared" si="31"/>
        <v>2011</v>
      </c>
      <c r="K69" s="299">
        <v>2020</v>
      </c>
      <c r="L69" s="199">
        <f t="shared" ca="1" si="22"/>
        <v>0.96</v>
      </c>
      <c r="M69" s="199"/>
      <c r="N69" s="81">
        <f ca="1">VLOOKUP($AD69,INDIRECT("'"&amp;$B69&amp;"'!"&amp;"$P$39:$AD$42"),5,FALSE)</f>
        <v>30</v>
      </c>
      <c r="O69" s="723">
        <f t="shared" ca="1" si="23"/>
        <v>2.6074999999999999</v>
      </c>
      <c r="P69" s="723">
        <f t="shared" ca="1" si="24"/>
        <v>0</v>
      </c>
      <c r="Q69" s="81">
        <f t="shared" ca="1" si="25"/>
        <v>242.27606944444443</v>
      </c>
      <c r="R69" s="81">
        <v>3.1536000000000002E-2</v>
      </c>
      <c r="S69" s="199">
        <v>0.5</v>
      </c>
      <c r="T69" s="199">
        <f ca="1">HLOOKUP($S$2,INDIRECT("'"&amp;$B69&amp;"'!"&amp;"$P$6:$AC$19"),IF(H69=$AI$13,6,IF(H69=$AI$14,9,14)),FALSE)</f>
        <v>0</v>
      </c>
      <c r="U69" s="772"/>
      <c r="V69" s="199">
        <f t="shared" ref="V69" ca="1" si="35">IF(IF(RIGHT(H69,2)="PH",(1-L69)+$W$2,IF(RIGHT(H69,2)="HT",(1-L69)+$W$1,IF(RIGHT(H69,2)="SH",(1-L69)+$W$3,"")))&gt;0,IF(RIGHT(H69,2)="PH",(1-L69)+$W$2,IF(RIGHT(H69,2)="HT",(1-L69)+$W$1,IF(RIGHT(H69,2)="SH",(1-L69)+$W$3,""))),0)</f>
        <v>0.24000000000000005</v>
      </c>
      <c r="W69" s="298"/>
      <c r="X69" s="698">
        <f t="shared" ca="1" si="26"/>
        <v>0</v>
      </c>
      <c r="Y69" s="81">
        <f t="shared" ca="1" si="27"/>
        <v>0</v>
      </c>
      <c r="Z69" s="81">
        <f t="shared" ca="1" si="28"/>
        <v>0</v>
      </c>
      <c r="AA69" s="81">
        <f t="shared" ca="1" si="29"/>
        <v>0</v>
      </c>
      <c r="AB69" s="81">
        <f t="shared" ca="1" si="30"/>
        <v>0</v>
      </c>
      <c r="AD69" s="81">
        <v>2020</v>
      </c>
      <c r="AE69" s="81"/>
      <c r="AF69" s="220"/>
    </row>
    <row r="70" spans="2:32">
      <c r="B70" s="357" t="s">
        <v>1006</v>
      </c>
      <c r="D70" s="212"/>
      <c r="E70" s="212"/>
      <c r="F70" s="224" t="s">
        <v>1149</v>
      </c>
      <c r="H70" s="174"/>
      <c r="I70" s="173" t="str">
        <f t="shared" si="21"/>
        <v>INDLWH</v>
      </c>
      <c r="J70" s="224">
        <f t="shared" si="31"/>
        <v>2030</v>
      </c>
      <c r="K70" s="81"/>
      <c r="L70" s="199">
        <f t="shared" ca="1" si="22"/>
        <v>0.96</v>
      </c>
      <c r="M70" s="199"/>
      <c r="N70" s="81"/>
      <c r="O70" s="723">
        <f t="shared" ca="1" si="23"/>
        <v>2.5330000000000004</v>
      </c>
      <c r="P70" s="723">
        <f t="shared" ca="1" si="24"/>
        <v>0</v>
      </c>
      <c r="Q70" s="81">
        <f t="shared" ca="1" si="25"/>
        <v>242.28020833333332</v>
      </c>
      <c r="R70" s="300"/>
      <c r="S70" s="300"/>
      <c r="T70" s="300"/>
      <c r="U70" s="300"/>
      <c r="V70" s="199">
        <f t="shared" ref="V70" ca="1" si="36">IF(IF(RIGHT(H69,2)="PH",(1-L70)+$W$2,IF(RIGHT(H69,2)="HT",(1-L70)+$W$1,IF(RIGHT(H69,2)="SH",(1-L70)+$W$3,"")))&gt;0,IF(RIGHT(H69,2)="PH",(1-L70)+$W$2,IF(RIGHT(H69,2)="HT",(1-L70)+$W$1,IF(RIGHT(H69,2)="SH",(1-L70)+$W$3,""))),0)</f>
        <v>0.24000000000000005</v>
      </c>
      <c r="W70" s="298"/>
      <c r="X70" s="698">
        <f t="shared" ca="1" si="26"/>
        <v>0</v>
      </c>
      <c r="Y70" s="81">
        <f t="shared" ca="1" si="27"/>
        <v>0</v>
      </c>
      <c r="Z70" s="81">
        <f t="shared" ca="1" si="28"/>
        <v>0</v>
      </c>
      <c r="AA70" s="81">
        <f t="shared" ca="1" si="29"/>
        <v>0</v>
      </c>
      <c r="AB70" s="81">
        <f t="shared" ca="1" si="30"/>
        <v>0</v>
      </c>
      <c r="AD70" s="81">
        <v>2030</v>
      </c>
      <c r="AE70" s="81"/>
      <c r="AF70" s="220"/>
    </row>
    <row r="71" spans="2:32">
      <c r="B71" s="357" t="s">
        <v>1006</v>
      </c>
      <c r="D71" s="212"/>
      <c r="E71" s="212"/>
      <c r="F71" s="224" t="s">
        <v>1149</v>
      </c>
      <c r="H71" s="174"/>
      <c r="I71" s="174" t="str">
        <f t="shared" si="21"/>
        <v>INDLWH</v>
      </c>
      <c r="J71" s="224">
        <f t="shared" si="31"/>
        <v>2050</v>
      </c>
      <c r="K71" s="81"/>
      <c r="L71" s="199">
        <f t="shared" ca="1" si="22"/>
        <v>0.96</v>
      </c>
      <c r="M71" s="199"/>
      <c r="N71" s="81"/>
      <c r="O71" s="723">
        <f t="shared" ca="1" si="23"/>
        <v>2.3467500000000001</v>
      </c>
      <c r="P71" s="723">
        <f t="shared" ca="1" si="24"/>
        <v>0</v>
      </c>
      <c r="Q71" s="81">
        <f t="shared" ca="1" si="25"/>
        <v>242.28227777777775</v>
      </c>
      <c r="R71" s="300"/>
      <c r="S71" s="300"/>
      <c r="T71" s="300"/>
      <c r="U71" s="300"/>
      <c r="V71" s="199">
        <f t="shared" ref="V71" ca="1" si="37">IF(IF(RIGHT(H69,2)="PH",(1-L71)+$W$2,IF(RIGHT(H69,2)="HT",(1-L71)+$W$1,IF(RIGHT(H69,2)="SH",(1-L71)+$W$3,"")))&gt;0,IF(RIGHT(H69,2)="PH",(1-L71)+$W$2,IF(RIGHT(H69,2)="HT",(1-L71)+$W$1,IF(RIGHT(H69,2)="SH",(1-L71)+$W$3,""))),0)</f>
        <v>0.24000000000000005</v>
      </c>
      <c r="W71" s="298"/>
      <c r="X71" s="698">
        <f t="shared" ca="1" si="26"/>
        <v>0</v>
      </c>
      <c r="Y71" s="81">
        <f t="shared" ca="1" si="27"/>
        <v>0</v>
      </c>
      <c r="Z71" s="81">
        <f t="shared" ca="1" si="28"/>
        <v>0</v>
      </c>
      <c r="AA71" s="81">
        <f t="shared" ca="1" si="29"/>
        <v>0</v>
      </c>
      <c r="AB71" s="81">
        <f t="shared" ca="1" si="30"/>
        <v>0</v>
      </c>
      <c r="AD71" s="81">
        <v>2050</v>
      </c>
      <c r="AE71" s="81"/>
      <c r="AF71" s="220"/>
    </row>
    <row r="72" spans="2:32">
      <c r="B72" s="357" t="s">
        <v>1007</v>
      </c>
      <c r="D72" s="212" t="str">
        <f>"IND"&amp;RIGHT(H72,4)&amp;RIGHT(G72,3)&amp;"N"&amp;RIGHT(E72,1)</f>
        <v>INDLDPHELCN8</v>
      </c>
      <c r="E72" s="261" t="str">
        <f>"Industrial heating technology "&amp;$AJ$12&amp;" "&amp;RIGHT(H72,2)&amp;" - Electric boiler (Steam) - new 8"</f>
        <v>Industrial heating technology L PH - Electric boiler (Steam) - new 8</v>
      </c>
      <c r="F72" s="224" t="s">
        <v>1149</v>
      </c>
      <c r="G72" s="173" t="s">
        <v>499</v>
      </c>
      <c r="H72" s="174" t="str">
        <f>$AI$13</f>
        <v>ILDPH</v>
      </c>
      <c r="I72" s="174" t="str">
        <f t="shared" si="21"/>
        <v>INDLWH</v>
      </c>
      <c r="J72" s="224">
        <f t="shared" si="31"/>
        <v>2011</v>
      </c>
      <c r="K72" s="299">
        <v>2020</v>
      </c>
      <c r="L72" s="199">
        <f t="shared" ca="1" si="22"/>
        <v>0.99</v>
      </c>
      <c r="M72" s="199"/>
      <c r="N72" s="81">
        <f ca="1">VLOOKUP($AD72,INDIRECT("'"&amp;$B72&amp;"'!"&amp;"$P$39:$AD$42"),5,FALSE)</f>
        <v>25</v>
      </c>
      <c r="O72" s="723">
        <f t="shared" ca="1" si="23"/>
        <v>0.59599999999999997</v>
      </c>
      <c r="P72" s="723">
        <f t="shared" ca="1" si="24"/>
        <v>7.9714999999999994E-3</v>
      </c>
      <c r="Q72" s="81">
        <f t="shared" ca="1" si="25"/>
        <v>1.7900694444444445</v>
      </c>
      <c r="R72" s="81">
        <v>3.1536000000000002E-2</v>
      </c>
      <c r="S72" s="199">
        <v>0.5</v>
      </c>
      <c r="T72" s="199">
        <f ca="1">HLOOKUP($T$2,INDIRECT("'"&amp;$B72&amp;"'!"&amp;"$P$6:$AC$19"),IF(H72=$AI$13,6,IF(H72=$AI$14,9,14)),FALSE)</f>
        <v>1</v>
      </c>
      <c r="U72" s="772"/>
      <c r="V72" s="199">
        <f t="shared" ref="V72" ca="1" si="38">IF(IF(RIGHT(H72,2)="PH",(1-L72)+$W$2,IF(RIGHT(H72,2)="HT",(1-L72)+$W$1,IF(RIGHT(H72,2)="SH",(1-L72)+$W$3,"")))&gt;0,IF(RIGHT(H72,2)="PH",(1-L72)+$W$2,IF(RIGHT(H72,2)="HT",(1-L72)+$W$1,IF(RIGHT(H72,2)="SH",(1-L72)+$W$3,""))),0)</f>
        <v>0.21000000000000002</v>
      </c>
      <c r="W72" s="298"/>
      <c r="X72" s="698">
        <f t="shared" ca="1" si="26"/>
        <v>0</v>
      </c>
      <c r="Y72" s="81">
        <f t="shared" ca="1" si="27"/>
        <v>0</v>
      </c>
      <c r="Z72" s="81">
        <f t="shared" ca="1" si="28"/>
        <v>0</v>
      </c>
      <c r="AA72" s="81">
        <f t="shared" ca="1" si="29"/>
        <v>0</v>
      </c>
      <c r="AB72" s="81">
        <f t="shared" ca="1" si="30"/>
        <v>0</v>
      </c>
      <c r="AD72" s="81">
        <v>2020</v>
      </c>
      <c r="AE72" s="81"/>
      <c r="AF72" s="220"/>
    </row>
    <row r="73" spans="2:32">
      <c r="B73" s="357" t="s">
        <v>1007</v>
      </c>
      <c r="D73" s="212"/>
      <c r="E73" s="212"/>
      <c r="F73" s="224" t="s">
        <v>1149</v>
      </c>
      <c r="H73" s="174"/>
      <c r="I73" s="174" t="str">
        <f t="shared" si="21"/>
        <v>INDLWH</v>
      </c>
      <c r="J73" s="224">
        <f t="shared" si="31"/>
        <v>2030</v>
      </c>
      <c r="K73" s="81"/>
      <c r="L73" s="199">
        <f t="shared" ca="1" si="22"/>
        <v>0.99</v>
      </c>
      <c r="M73" s="199"/>
      <c r="N73" s="81"/>
      <c r="O73" s="723">
        <f t="shared" ca="1" si="23"/>
        <v>0.52150000000000007</v>
      </c>
      <c r="P73" s="723">
        <f t="shared" ca="1" si="24"/>
        <v>7.5989999999999999E-3</v>
      </c>
      <c r="Q73" s="81">
        <f t="shared" ca="1" si="25"/>
        <v>1.8107638888888888</v>
      </c>
      <c r="R73" s="300"/>
      <c r="S73" s="300"/>
      <c r="T73" s="300"/>
      <c r="U73" s="300"/>
      <c r="V73" s="199">
        <f t="shared" ref="V73" ca="1" si="39">IF(IF(RIGHT(H72,2)="PH",(1-L73)+$W$2,IF(RIGHT(H72,2)="HT",(1-L73)+$W$1,IF(RIGHT(H72,2)="SH",(1-L73)+$W$3,"")))&gt;0,IF(RIGHT(H72,2)="PH",(1-L73)+$W$2,IF(RIGHT(H72,2)="HT",(1-L73)+$W$1,IF(RIGHT(H72,2)="SH",(1-L73)+$W$3,""))),0)</f>
        <v>0.21000000000000002</v>
      </c>
      <c r="W73" s="298"/>
      <c r="X73" s="698">
        <f t="shared" ca="1" si="26"/>
        <v>0</v>
      </c>
      <c r="Y73" s="81">
        <f t="shared" ca="1" si="27"/>
        <v>0</v>
      </c>
      <c r="Z73" s="81">
        <f t="shared" ca="1" si="28"/>
        <v>0</v>
      </c>
      <c r="AA73" s="81">
        <f t="shared" ca="1" si="29"/>
        <v>0</v>
      </c>
      <c r="AB73" s="81">
        <f t="shared" ca="1" si="30"/>
        <v>0</v>
      </c>
      <c r="AD73" s="81">
        <v>2030</v>
      </c>
      <c r="AE73" s="81"/>
      <c r="AF73" s="220"/>
    </row>
    <row r="74" spans="2:32">
      <c r="B74" s="357" t="s">
        <v>1007</v>
      </c>
      <c r="D74" s="212"/>
      <c r="E74" s="212"/>
      <c r="F74" s="224" t="s">
        <v>1149</v>
      </c>
      <c r="H74" s="174"/>
      <c r="I74" s="174" t="str">
        <f t="shared" si="21"/>
        <v>INDLWH</v>
      </c>
      <c r="J74" s="224">
        <f t="shared" si="31"/>
        <v>2050</v>
      </c>
      <c r="K74" s="81"/>
      <c r="L74" s="199">
        <f t="shared" ca="1" si="22"/>
        <v>0.99</v>
      </c>
      <c r="M74" s="199"/>
      <c r="N74" s="81"/>
      <c r="O74" s="723">
        <f t="shared" ca="1" si="23"/>
        <v>0.52150000000000007</v>
      </c>
      <c r="P74" s="723">
        <f t="shared" ca="1" si="24"/>
        <v>6.8539999999999998E-3</v>
      </c>
      <c r="Q74" s="81">
        <f t="shared" ca="1" si="25"/>
        <v>1.6141666666666665</v>
      </c>
      <c r="R74" s="300"/>
      <c r="S74" s="300"/>
      <c r="T74" s="300"/>
      <c r="U74" s="300"/>
      <c r="V74" s="199">
        <f t="shared" ref="V74" ca="1" si="40">IF(IF(RIGHT(H72,2)="PH",(1-L74)+$W$2,IF(RIGHT(H72,2)="HT",(1-L74)+$W$1,IF(RIGHT(H72,2)="SH",(1-L74)+$W$3,"")))&gt;0,IF(RIGHT(H72,2)="PH",(1-L74)+$W$2,IF(RIGHT(H72,2)="HT",(1-L74)+$W$1,IF(RIGHT(H72,2)="SH",(1-L74)+$W$3,""))),0)</f>
        <v>0.21000000000000002</v>
      </c>
      <c r="W74" s="298"/>
      <c r="X74" s="698">
        <f t="shared" ca="1" si="26"/>
        <v>0</v>
      </c>
      <c r="Y74" s="81">
        <f t="shared" ca="1" si="27"/>
        <v>0</v>
      </c>
      <c r="Z74" s="81">
        <f t="shared" ca="1" si="28"/>
        <v>0</v>
      </c>
      <c r="AA74" s="81">
        <f t="shared" ca="1" si="29"/>
        <v>0</v>
      </c>
      <c r="AB74" s="81">
        <f t="shared" ca="1" si="30"/>
        <v>0</v>
      </c>
      <c r="AD74" s="81">
        <v>2050</v>
      </c>
      <c r="AE74" s="81"/>
      <c r="AF74" s="220"/>
    </row>
    <row r="75" spans="2:32">
      <c r="B75" s="357" t="s">
        <v>1007</v>
      </c>
      <c r="D75" s="212" t="str">
        <f>"IND"&amp;RIGHT(H75,4)&amp;RIGHT(G75,3)&amp;"N"&amp;RIGHT(E75,1)</f>
        <v>INDLDPHELCN8</v>
      </c>
      <c r="E75" s="261" t="str">
        <f>"Industrial heating technology "&amp;$AJ$12&amp;" "&amp;RIGHT(H75,2)&amp;" - Electric boiler (Steam) - new 8"</f>
        <v>Industrial heating technology L PH - Electric boiler (Steam) - new 8</v>
      </c>
      <c r="F75" s="224" t="s">
        <v>1149</v>
      </c>
      <c r="G75" s="173" t="s">
        <v>499</v>
      </c>
      <c r="H75" s="174" t="str">
        <f>$AI$14</f>
        <v>ILDPH</v>
      </c>
      <c r="I75" s="174" t="str">
        <f t="shared" si="21"/>
        <v>INDLWH</v>
      </c>
      <c r="J75" s="224">
        <f t="shared" si="31"/>
        <v>2011</v>
      </c>
      <c r="K75" s="299">
        <v>2020</v>
      </c>
      <c r="L75" s="199">
        <f t="shared" ca="1" si="22"/>
        <v>0.99</v>
      </c>
      <c r="M75" s="199"/>
      <c r="N75" s="81">
        <f ca="1">VLOOKUP($AD75,INDIRECT("'"&amp;$B75&amp;"'!"&amp;"$P$39:$AD$42"),5,FALSE)</f>
        <v>25</v>
      </c>
      <c r="O75" s="723">
        <f t="shared" ca="1" si="23"/>
        <v>0.59599999999999997</v>
      </c>
      <c r="P75" s="723">
        <f t="shared" ca="1" si="24"/>
        <v>7.9714999999999994E-3</v>
      </c>
      <c r="Q75" s="81">
        <f t="shared" ca="1" si="25"/>
        <v>1.7900694444444445</v>
      </c>
      <c r="R75" s="81">
        <v>3.1536000000000002E-2</v>
      </c>
      <c r="S75" s="199">
        <v>0.5</v>
      </c>
      <c r="T75" s="199">
        <f ca="1">HLOOKUP($T$2,INDIRECT("'"&amp;$B75&amp;"'!"&amp;"$P$6:$AC$19"),IF(H75=$AI$13,6,IF(H75=$AI$14,9,14)),FALSE)</f>
        <v>1</v>
      </c>
      <c r="U75" s="772"/>
      <c r="V75" s="199">
        <f t="shared" ref="V75" ca="1" si="41">IF(IF(RIGHT(H75,2)="PH",(1-L75)+$W$2,IF(RIGHT(H75,2)="HT",(1-L75)+$W$1,IF(RIGHT(H75,2)="SH",(1-L75)+$W$3,"")))&gt;0,IF(RIGHT(H75,2)="PH",(1-L75)+$W$2,IF(RIGHT(H75,2)="HT",(1-L75)+$W$1,IF(RIGHT(H75,2)="SH",(1-L75)+$W$3,""))),0)</f>
        <v>0.21000000000000002</v>
      </c>
      <c r="W75" s="298"/>
      <c r="X75" s="698">
        <f t="shared" ca="1" si="26"/>
        <v>0</v>
      </c>
      <c r="Y75" s="81">
        <f t="shared" ca="1" si="27"/>
        <v>0</v>
      </c>
      <c r="Z75" s="81">
        <f t="shared" ca="1" si="28"/>
        <v>0</v>
      </c>
      <c r="AA75" s="81">
        <f t="shared" ca="1" si="29"/>
        <v>0</v>
      </c>
      <c r="AB75" s="81">
        <f t="shared" ca="1" si="30"/>
        <v>0</v>
      </c>
      <c r="AD75" s="81">
        <v>2020</v>
      </c>
      <c r="AE75" s="81"/>
      <c r="AF75" s="220"/>
    </row>
    <row r="76" spans="2:32">
      <c r="B76" s="357" t="s">
        <v>1007</v>
      </c>
      <c r="D76" s="212"/>
      <c r="E76" s="212"/>
      <c r="F76" s="224" t="s">
        <v>1149</v>
      </c>
      <c r="H76" s="174"/>
      <c r="I76" s="174" t="str">
        <f t="shared" si="21"/>
        <v>INDLWH</v>
      </c>
      <c r="J76" s="224">
        <f t="shared" si="31"/>
        <v>2030</v>
      </c>
      <c r="K76" s="81"/>
      <c r="L76" s="199">
        <f t="shared" ca="1" si="22"/>
        <v>0.99</v>
      </c>
      <c r="M76" s="199"/>
      <c r="N76" s="81"/>
      <c r="O76" s="723">
        <f t="shared" ca="1" si="23"/>
        <v>0.52150000000000007</v>
      </c>
      <c r="P76" s="723">
        <f t="shared" ca="1" si="24"/>
        <v>7.5989999999999999E-3</v>
      </c>
      <c r="Q76" s="81">
        <f t="shared" ca="1" si="25"/>
        <v>1.8107638888888888</v>
      </c>
      <c r="R76" s="300"/>
      <c r="S76" s="300"/>
      <c r="T76" s="300"/>
      <c r="U76" s="300"/>
      <c r="V76" s="199">
        <f t="shared" ref="V76" ca="1" si="42">IF(IF(RIGHT(H75,2)="PH",(1-L76)+$W$2,IF(RIGHT(H75,2)="HT",(1-L76)+$W$1,IF(RIGHT(H75,2)="SH",(1-L76)+$W$3,"")))&gt;0,IF(RIGHT(H75,2)="PH",(1-L76)+$W$2,IF(RIGHT(H75,2)="HT",(1-L76)+$W$1,IF(RIGHT(H75,2)="SH",(1-L76)+$W$3,""))),0)</f>
        <v>0.21000000000000002</v>
      </c>
      <c r="W76" s="298"/>
      <c r="X76" s="698">
        <f t="shared" ca="1" si="26"/>
        <v>0</v>
      </c>
      <c r="Y76" s="81">
        <f t="shared" ca="1" si="27"/>
        <v>0</v>
      </c>
      <c r="Z76" s="81">
        <f t="shared" ca="1" si="28"/>
        <v>0</v>
      </c>
      <c r="AA76" s="81">
        <f t="shared" ca="1" si="29"/>
        <v>0</v>
      </c>
      <c r="AB76" s="81">
        <f t="shared" ca="1" si="30"/>
        <v>0</v>
      </c>
      <c r="AD76" s="81">
        <v>2030</v>
      </c>
      <c r="AE76" s="81"/>
      <c r="AF76" s="220"/>
    </row>
    <row r="77" spans="2:32">
      <c r="B77" s="357" t="s">
        <v>1007</v>
      </c>
      <c r="D77" s="212"/>
      <c r="E77" s="212"/>
      <c r="F77" s="224" t="s">
        <v>1149</v>
      </c>
      <c r="H77" s="174"/>
      <c r="I77" s="174" t="str">
        <f t="shared" si="21"/>
        <v>INDLWH</v>
      </c>
      <c r="J77" s="224">
        <f t="shared" si="31"/>
        <v>2050</v>
      </c>
      <c r="K77" s="81"/>
      <c r="L77" s="199">
        <f t="shared" ca="1" si="22"/>
        <v>0.99</v>
      </c>
      <c r="M77" s="199"/>
      <c r="N77" s="81"/>
      <c r="O77" s="723">
        <f t="shared" ca="1" si="23"/>
        <v>0.52150000000000007</v>
      </c>
      <c r="P77" s="723">
        <f t="shared" ca="1" si="24"/>
        <v>6.8539999999999998E-3</v>
      </c>
      <c r="Q77" s="81">
        <f t="shared" ca="1" si="25"/>
        <v>1.6141666666666665</v>
      </c>
      <c r="R77" s="300"/>
      <c r="S77" s="300"/>
      <c r="T77" s="300"/>
      <c r="U77" s="300"/>
      <c r="V77" s="199">
        <f t="shared" ref="V77" ca="1" si="43">IF(IF(RIGHT(H75,2)="PH",(1-L77)+$W$2,IF(RIGHT(H75,2)="HT",(1-L77)+$W$1,IF(RIGHT(H75,2)="SH",(1-L77)+$W$3,"")))&gt;0,IF(RIGHT(H75,2)="PH",(1-L77)+$W$2,IF(RIGHT(H75,2)="HT",(1-L77)+$W$1,IF(RIGHT(H75,2)="SH",(1-L77)+$W$3,""))),0)</f>
        <v>0.21000000000000002</v>
      </c>
      <c r="W77" s="298"/>
      <c r="X77" s="698">
        <f t="shared" ca="1" si="26"/>
        <v>0</v>
      </c>
      <c r="Y77" s="81">
        <f t="shared" ca="1" si="27"/>
        <v>0</v>
      </c>
      <c r="Z77" s="81">
        <f t="shared" ca="1" si="28"/>
        <v>0</v>
      </c>
      <c r="AA77" s="81">
        <f t="shared" ca="1" si="29"/>
        <v>0</v>
      </c>
      <c r="AB77" s="81">
        <f t="shared" ca="1" si="30"/>
        <v>0</v>
      </c>
      <c r="AD77" s="81">
        <v>2050</v>
      </c>
      <c r="AE77" s="706"/>
      <c r="AF77" s="220"/>
    </row>
    <row r="78" spans="2:32">
      <c r="B78" s="357" t="s">
        <v>1007</v>
      </c>
      <c r="D78" s="212" t="str">
        <f>"IND"&amp;RIGHT(H78,4)&amp;RIGHT(G78,3)&amp;"N"&amp;RIGHT(E78,1)</f>
        <v>INDLDSHELCN8</v>
      </c>
      <c r="E78" s="261" t="str">
        <f>"Industrial heating technology "&amp;$AJ$12&amp;" "&amp;RIGHT(H78,2)&amp;" - Electric boiler (Steam) - new 8"</f>
        <v>Industrial heating technology L SH - Electric boiler (Steam) - new 8</v>
      </c>
      <c r="F78" s="224" t="s">
        <v>1149</v>
      </c>
      <c r="G78" s="173" t="s">
        <v>499</v>
      </c>
      <c r="H78" s="174" t="str">
        <f>$AI$15</f>
        <v>ILDSH</v>
      </c>
      <c r="I78" s="174" t="str">
        <f t="shared" si="21"/>
        <v>INDLWH</v>
      </c>
      <c r="J78" s="224">
        <f t="shared" si="31"/>
        <v>2011</v>
      </c>
      <c r="K78" s="299">
        <v>2020</v>
      </c>
      <c r="L78" s="199">
        <f t="shared" ca="1" si="22"/>
        <v>0.99</v>
      </c>
      <c r="M78" s="199"/>
      <c r="N78" s="81">
        <f ca="1">VLOOKUP($AD78,INDIRECT("'"&amp;$B78&amp;"'!"&amp;"$P$39:$AD$42"),5,FALSE)</f>
        <v>25</v>
      </c>
      <c r="O78" s="723">
        <f t="shared" ca="1" si="23"/>
        <v>0.59599999999999997</v>
      </c>
      <c r="P78" s="723">
        <f t="shared" ca="1" si="24"/>
        <v>7.9714999999999994E-3</v>
      </c>
      <c r="Q78" s="81">
        <f t="shared" ca="1" si="25"/>
        <v>1.7900694444444445</v>
      </c>
      <c r="R78" s="81">
        <v>3.1536000000000002E-2</v>
      </c>
      <c r="S78" s="199">
        <v>0.5</v>
      </c>
      <c r="T78" s="199">
        <f ca="1">HLOOKUP($T$2,INDIRECT("'"&amp;$B78&amp;"'!"&amp;"$P$6:$AC$19"),IF(H78=$AI$13,6,IF(H78=$AI$14,9,14)),FALSE)</f>
        <v>1</v>
      </c>
      <c r="U78" s="772"/>
      <c r="V78" s="199">
        <f t="shared" ref="V78" ca="1" si="44">IF(IF(RIGHT(H78,2)="PH",(1-L78)+$W$2,IF(RIGHT(H78,2)="HT",(1-L78)+$W$1,IF(RIGHT(H78,2)="SH",(1-L78)+$W$3,"")))&gt;0,IF(RIGHT(H78,2)="PH",(1-L78)+$W$2,IF(RIGHT(H78,2)="HT",(1-L78)+$W$1,IF(RIGHT(H78,2)="SH",(1-L78)+$W$3,""))),0)</f>
        <v>1.0000000000000009E-2</v>
      </c>
      <c r="W78" s="298"/>
      <c r="X78" s="698">
        <f t="shared" ca="1" si="26"/>
        <v>0</v>
      </c>
      <c r="Y78" s="81">
        <f t="shared" ca="1" si="27"/>
        <v>0</v>
      </c>
      <c r="Z78" s="81">
        <f t="shared" ca="1" si="28"/>
        <v>0</v>
      </c>
      <c r="AA78" s="81">
        <f t="shared" ca="1" si="29"/>
        <v>0</v>
      </c>
      <c r="AB78" s="81">
        <f t="shared" ca="1" si="30"/>
        <v>0</v>
      </c>
      <c r="AC78" s="296"/>
      <c r="AD78" s="81">
        <v>2020</v>
      </c>
      <c r="AE78" s="81"/>
      <c r="AF78" s="710"/>
    </row>
    <row r="79" spans="2:32">
      <c r="B79" s="357" t="s">
        <v>1007</v>
      </c>
      <c r="D79" s="212"/>
      <c r="E79" s="212"/>
      <c r="F79" s="224" t="s">
        <v>1149</v>
      </c>
      <c r="H79" s="174"/>
      <c r="I79" s="174" t="str">
        <f t="shared" si="21"/>
        <v>INDLWH</v>
      </c>
      <c r="J79" s="224">
        <f t="shared" si="31"/>
        <v>2030</v>
      </c>
      <c r="K79" s="81"/>
      <c r="L79" s="199">
        <f t="shared" ca="1" si="22"/>
        <v>0.99</v>
      </c>
      <c r="M79" s="199"/>
      <c r="N79" s="81"/>
      <c r="O79" s="723">
        <f t="shared" ca="1" si="23"/>
        <v>0.52150000000000007</v>
      </c>
      <c r="P79" s="723">
        <f t="shared" ca="1" si="24"/>
        <v>7.5989999999999999E-3</v>
      </c>
      <c r="Q79" s="81">
        <f t="shared" ca="1" si="25"/>
        <v>1.8107638888888888</v>
      </c>
      <c r="R79" s="300"/>
      <c r="S79" s="300"/>
      <c r="T79" s="300"/>
      <c r="U79" s="300"/>
      <c r="V79" s="199">
        <f t="shared" ref="V79" ca="1" si="45">IF(IF(RIGHT(H78,2)="PH",(1-L79)+$W$2,IF(RIGHT(H78,2)="HT",(1-L79)+$W$1,IF(RIGHT(H78,2)="SH",(1-L79)+$W$3,"")))&gt;0,IF(RIGHT(H78,2)="PH",(1-L79)+$W$2,IF(RIGHT(H78,2)="HT",(1-L79)+$W$1,IF(RIGHT(H78,2)="SH",(1-L79)+$W$3,""))),0)</f>
        <v>1.0000000000000009E-2</v>
      </c>
      <c r="W79" s="298"/>
      <c r="X79" s="698">
        <f t="shared" ca="1" si="26"/>
        <v>0</v>
      </c>
      <c r="Y79" s="81">
        <f t="shared" ca="1" si="27"/>
        <v>0</v>
      </c>
      <c r="Z79" s="81">
        <f t="shared" ca="1" si="28"/>
        <v>0</v>
      </c>
      <c r="AA79" s="81">
        <f t="shared" ca="1" si="29"/>
        <v>0</v>
      </c>
      <c r="AB79" s="81">
        <f t="shared" ca="1" si="30"/>
        <v>0</v>
      </c>
      <c r="AC79" s="55"/>
      <c r="AD79" s="81">
        <v>2030</v>
      </c>
      <c r="AE79" s="81"/>
      <c r="AF79" s="700"/>
    </row>
    <row r="80" spans="2:32">
      <c r="B80" s="357" t="s">
        <v>1007</v>
      </c>
      <c r="D80" s="212"/>
      <c r="E80" s="212"/>
      <c r="F80" s="224" t="s">
        <v>1149</v>
      </c>
      <c r="H80" s="174"/>
      <c r="I80" s="174" t="str">
        <f t="shared" si="21"/>
        <v>INDLWH</v>
      </c>
      <c r="J80" s="224">
        <f t="shared" si="31"/>
        <v>2050</v>
      </c>
      <c r="K80" s="706"/>
      <c r="L80" s="199">
        <f t="shared" ca="1" si="22"/>
        <v>0.99</v>
      </c>
      <c r="M80" s="774"/>
      <c r="N80" s="706"/>
      <c r="O80" s="724">
        <f t="shared" ca="1" si="23"/>
        <v>0.52150000000000007</v>
      </c>
      <c r="P80" s="724">
        <f t="shared" ca="1" si="24"/>
        <v>6.8539999999999998E-3</v>
      </c>
      <c r="Q80" s="706">
        <f t="shared" ca="1" si="25"/>
        <v>1.6141666666666665</v>
      </c>
      <c r="R80" s="300"/>
      <c r="S80" s="300"/>
      <c r="T80" s="300"/>
      <c r="U80" s="300"/>
      <c r="V80" s="199">
        <f t="shared" ref="V80" ca="1" si="46">IF(IF(RIGHT(H78,2)="PH",(1-L80)+$W$2,IF(RIGHT(H78,2)="HT",(1-L80)+$W$1,IF(RIGHT(H78,2)="SH",(1-L80)+$W$3,"")))&gt;0,IF(RIGHT(H78,2)="PH",(1-L80)+$W$2,IF(RIGHT(H78,2)="HT",(1-L80)+$W$1,IF(RIGHT(H78,2)="SH",(1-L80)+$W$3,""))),0)</f>
        <v>1.0000000000000009E-2</v>
      </c>
      <c r="W80" s="298"/>
      <c r="X80" s="698">
        <f t="shared" ca="1" si="26"/>
        <v>0</v>
      </c>
      <c r="Y80" s="706">
        <f t="shared" ca="1" si="27"/>
        <v>0</v>
      </c>
      <c r="Z80" s="706">
        <f t="shared" ca="1" si="28"/>
        <v>0</v>
      </c>
      <c r="AA80" s="706">
        <f t="shared" ca="1" si="29"/>
        <v>0</v>
      </c>
      <c r="AB80" s="706">
        <f t="shared" ca="1" si="30"/>
        <v>0</v>
      </c>
      <c r="AC80" s="55"/>
      <c r="AD80" s="706">
        <v>2050</v>
      </c>
      <c r="AE80" s="81"/>
      <c r="AF80" s="700"/>
    </row>
    <row r="81" spans="1:33">
      <c r="B81" s="716" t="s">
        <v>1007</v>
      </c>
      <c r="C81" s="296"/>
      <c r="D81" s="707" t="str">
        <f>"IND"&amp;RIGHT(H81,4)&amp;RIGHT(G81,3)&amp;"N"&amp;RIGHT(E81,1)</f>
        <v>INDLDPHELCN9</v>
      </c>
      <c r="E81" s="707" t="str">
        <f>"Industrial heating technology "&amp;$AJ$12&amp;" "&amp;RIGHT(H81,2)&amp;" - Electric boiler (Hot Water) - new 9"</f>
        <v>Industrial heating technology L PH - Electric boiler (Hot Water) - new 9</v>
      </c>
      <c r="F81" s="224" t="s">
        <v>1149</v>
      </c>
      <c r="G81" s="708" t="s">
        <v>499</v>
      </c>
      <c r="H81" s="708" t="str">
        <f>$AI$14</f>
        <v>ILDPH</v>
      </c>
      <c r="I81" s="708" t="str">
        <f t="shared" si="21"/>
        <v>INDLWH</v>
      </c>
      <c r="J81" s="224">
        <f t="shared" si="31"/>
        <v>2011</v>
      </c>
      <c r="K81" s="299">
        <v>2020</v>
      </c>
      <c r="L81" s="199">
        <f t="shared" ref="L81:L86" ca="1" si="47">VLOOKUP($AD81,INDIRECT("'"&amp;$B81&amp;"'!"&amp;"$P$118:$AD$121"),3,FALSE)</f>
        <v>0.99</v>
      </c>
      <c r="M81" s="199"/>
      <c r="N81" s="81">
        <f ca="1">VLOOKUP($AD81,INDIRECT("'"&amp;$B81&amp;"'!"&amp;"$P$118:$AD$121"),5,FALSE)</f>
        <v>25</v>
      </c>
      <c r="O81" s="723">
        <f t="shared" ref="O81:O86" ca="1" si="48">VLOOKUP($AD81,INDIRECT("'"&amp;$B81&amp;"'!"&amp;"$P$118:$AD$121"),6,FALSE)/1000</f>
        <v>0.52150000000000007</v>
      </c>
      <c r="P81" s="723">
        <f t="shared" ref="P81:P86" ca="1" si="49">VLOOKUP($AD81,INDIRECT("'"&amp;$B81&amp;"'!"&amp;"$P$118:$AD$121"),7,FALSE)/1000</f>
        <v>7.9714999999999994E-3</v>
      </c>
      <c r="Q81" s="81">
        <f t="shared" ref="Q81:Q86" ca="1" si="50">VLOOKUP($AD81,INDIRECT("'"&amp;$B81&amp;"'!"&amp;"$P$118:$AD$121"),8,FALSE)</f>
        <v>1.7900694444444445</v>
      </c>
      <c r="R81" s="81">
        <v>3.1536000000000002E-2</v>
      </c>
      <c r="S81" s="199">
        <v>0.5</v>
      </c>
      <c r="T81" s="199">
        <f ca="1">HLOOKUP($T$2,INDIRECT("'"&amp;$B81&amp;"'!"&amp;"$P$85:$AC$98"),IF(H81=$AI$13,6,IF(H81=$AI$14,9,14)),FALSE)</f>
        <v>0</v>
      </c>
      <c r="U81" s="773"/>
      <c r="V81" s="199">
        <f t="shared" ref="V81" ca="1" si="51">IF(IF(RIGHT(H81,2)="PH",(1-L81)+$W$2,IF(RIGHT(H81,2)="HT",(1-L81)+$W$1,IF(RIGHT(H81,2)="SH",(1-L81)+$W$3,"")))&gt;0,IF(RIGHT(H81,2)="PH",(1-L81)+$W$2,IF(RIGHT(H81,2)="HT",(1-L81)+$W$1,IF(RIGHT(H81,2)="SH",(1-L81)+$W$3,""))),0)</f>
        <v>0.21000000000000002</v>
      </c>
      <c r="W81" s="709"/>
      <c r="X81" s="698">
        <f t="shared" ca="1" si="26"/>
        <v>0</v>
      </c>
      <c r="Y81" s="698">
        <f t="shared" ref="Y81:Y86" ca="1" si="52">VLOOKUP($AD81,INDIRECT("'"&amp;$B81&amp;"'!"&amp;"$P$118:$AD$121"),12,FALSE)</f>
        <v>0</v>
      </c>
      <c r="Z81" s="698">
        <f t="shared" ref="Z81:Z86" ca="1" si="53">VLOOKUP($AD81,INDIRECT("'"&amp;$B81&amp;"'!"&amp;"$P$118:$AD$121"),13,FALSE)</f>
        <v>0</v>
      </c>
      <c r="AA81" s="698">
        <f t="shared" ref="AA81:AA86" ca="1" si="54">VLOOKUP($AD81,INDIRECT("'"&amp;$B81&amp;"'!"&amp;"$P$118:$AD$121"),14,FALSE)</f>
        <v>0</v>
      </c>
      <c r="AB81" s="698">
        <f t="shared" ref="AB81:AB86" ca="1" si="55">VLOOKUP($AD81,INDIRECT("'"&amp;$B81&amp;"'!"&amp;"$P$118:$AD$121"),15,FALSE)</f>
        <v>0</v>
      </c>
      <c r="AC81" s="55"/>
      <c r="AD81" s="81">
        <v>2020</v>
      </c>
      <c r="AE81" s="81"/>
      <c r="AF81" s="700"/>
    </row>
    <row r="82" spans="1:33">
      <c r="B82" s="357" t="s">
        <v>1007</v>
      </c>
      <c r="C82" s="55"/>
      <c r="D82" s="261"/>
      <c r="E82" s="261"/>
      <c r="F82" s="224" t="s">
        <v>1149</v>
      </c>
      <c r="G82" s="55"/>
      <c r="H82" s="174"/>
      <c r="I82" s="174" t="str">
        <f t="shared" si="21"/>
        <v>INDLWH</v>
      </c>
      <c r="J82" s="224">
        <f t="shared" si="31"/>
        <v>2030</v>
      </c>
      <c r="K82" s="81"/>
      <c r="L82" s="199">
        <f t="shared" ca="1" si="47"/>
        <v>0.99</v>
      </c>
      <c r="M82" s="199"/>
      <c r="N82" s="81"/>
      <c r="O82" s="723">
        <f t="shared" ca="1" si="48"/>
        <v>0.44700000000000001</v>
      </c>
      <c r="P82" s="723">
        <f t="shared" ca="1" si="49"/>
        <v>7.5989999999999999E-3</v>
      </c>
      <c r="Q82" s="81">
        <f t="shared" ca="1" si="50"/>
        <v>1.8107638888888888</v>
      </c>
      <c r="R82" s="300"/>
      <c r="S82" s="300"/>
      <c r="T82" s="300"/>
      <c r="U82" s="300"/>
      <c r="V82" s="199">
        <f t="shared" ref="V82" ca="1" si="56">IF(IF(RIGHT(H81,2)="PH",(1-L82)+$W$2,IF(RIGHT(H81,2)="HT",(1-L82)+$W$1,IF(RIGHT(H81,2)="SH",(1-L82)+$W$3,"")))&gt;0,IF(RIGHT(H81,2)="PH",(1-L82)+$W$2,IF(RIGHT(H81,2)="HT",(1-L82)+$W$1,IF(RIGHT(H81,2)="SH",(1-L82)+$W$3,""))),0)</f>
        <v>0.21000000000000002</v>
      </c>
      <c r="W82" s="298"/>
      <c r="X82" s="698">
        <f t="shared" ca="1" si="26"/>
        <v>0</v>
      </c>
      <c r="Y82" s="698">
        <f t="shared" ca="1" si="52"/>
        <v>0</v>
      </c>
      <c r="Z82" s="698">
        <f t="shared" ca="1" si="53"/>
        <v>0</v>
      </c>
      <c r="AA82" s="698">
        <f t="shared" ca="1" si="54"/>
        <v>0</v>
      </c>
      <c r="AB82" s="698">
        <f t="shared" ca="1" si="55"/>
        <v>0</v>
      </c>
      <c r="AC82" s="55"/>
      <c r="AD82" s="81">
        <v>2030</v>
      </c>
      <c r="AE82" s="81"/>
      <c r="AF82" s="700"/>
    </row>
    <row r="83" spans="1:33">
      <c r="B83" s="357" t="s">
        <v>1007</v>
      </c>
      <c r="C83" s="55"/>
      <c r="D83" s="261"/>
      <c r="E83" s="261"/>
      <c r="F83" s="224" t="s">
        <v>1149</v>
      </c>
      <c r="G83" s="55"/>
      <c r="H83" s="174"/>
      <c r="I83" s="174" t="str">
        <f t="shared" si="21"/>
        <v>INDLWH</v>
      </c>
      <c r="J83" s="224">
        <f t="shared" si="31"/>
        <v>2050</v>
      </c>
      <c r="K83" s="81"/>
      <c r="L83" s="199">
        <f t="shared" ca="1" si="47"/>
        <v>0.99</v>
      </c>
      <c r="M83" s="199"/>
      <c r="N83" s="81"/>
      <c r="O83" s="723">
        <f t="shared" ca="1" si="48"/>
        <v>0.44700000000000001</v>
      </c>
      <c r="P83" s="723">
        <f t="shared" ca="1" si="49"/>
        <v>6.8539999999999998E-3</v>
      </c>
      <c r="Q83" s="81">
        <f t="shared" ca="1" si="50"/>
        <v>1.6141666666666665</v>
      </c>
      <c r="R83" s="300"/>
      <c r="S83" s="300"/>
      <c r="T83" s="300"/>
      <c r="U83" s="300"/>
      <c r="V83" s="199">
        <f t="shared" ref="V83" ca="1" si="57">IF(IF(RIGHT(H81,2)="PH",(1-L83)+$W$2,IF(RIGHT(H81,2)="HT",(1-L83)+$W$1,IF(RIGHT(H81,2)="SH",(1-L83)+$W$3,"")))&gt;0,IF(RIGHT(H81,2)="PH",(1-L83)+$W$2,IF(RIGHT(H81,2)="HT",(1-L83)+$W$1,IF(RIGHT(H81,2)="SH",(1-L83)+$W$3,""))),0)</f>
        <v>0.21000000000000002</v>
      </c>
      <c r="W83" s="298"/>
      <c r="X83" s="698">
        <f t="shared" ca="1" si="26"/>
        <v>0</v>
      </c>
      <c r="Y83" s="698">
        <f t="shared" ca="1" si="52"/>
        <v>0</v>
      </c>
      <c r="Z83" s="698">
        <f t="shared" ca="1" si="53"/>
        <v>0</v>
      </c>
      <c r="AA83" s="698">
        <f t="shared" ca="1" si="54"/>
        <v>0</v>
      </c>
      <c r="AB83" s="698">
        <f t="shared" ca="1" si="55"/>
        <v>0</v>
      </c>
      <c r="AC83" s="203"/>
      <c r="AD83" s="81">
        <v>2050</v>
      </c>
      <c r="AE83" s="81"/>
      <c r="AF83" s="705"/>
    </row>
    <row r="84" spans="1:33">
      <c r="B84" s="357" t="s">
        <v>1007</v>
      </c>
      <c r="C84" s="55"/>
      <c r="D84" s="261" t="str">
        <f>"IND"&amp;RIGHT(H84,4)&amp;RIGHT(G84,3)&amp;"N"&amp;RIGHT(E84,1)</f>
        <v>INDLDSHELCN9</v>
      </c>
      <c r="E84" s="261" t="str">
        <f>"Industrial heating technology "&amp;$AJ$12&amp;" "&amp;RIGHT(H84,2)&amp;" - Electric boiler (Hot Water) - new 9"</f>
        <v>Industrial heating technology L SH - Electric boiler (Hot Water) - new 9</v>
      </c>
      <c r="F84" s="224" t="s">
        <v>1149</v>
      </c>
      <c r="G84" s="174" t="s">
        <v>499</v>
      </c>
      <c r="H84" s="174" t="str">
        <f>$AI$15</f>
        <v>ILDSH</v>
      </c>
      <c r="I84" s="174" t="str">
        <f t="shared" si="21"/>
        <v>INDLWH</v>
      </c>
      <c r="J84" s="224">
        <f t="shared" si="31"/>
        <v>2011</v>
      </c>
      <c r="K84" s="299">
        <v>2020</v>
      </c>
      <c r="L84" s="199">
        <f t="shared" ca="1" si="47"/>
        <v>0.99</v>
      </c>
      <c r="M84" s="199"/>
      <c r="N84" s="81">
        <f ca="1">VLOOKUP($AD84,INDIRECT("'"&amp;$B84&amp;"'!"&amp;"$P$118:$AD$121"),5,FALSE)</f>
        <v>25</v>
      </c>
      <c r="O84" s="723">
        <f t="shared" ca="1" si="48"/>
        <v>0.52150000000000007</v>
      </c>
      <c r="P84" s="723">
        <f t="shared" ca="1" si="49"/>
        <v>7.9714999999999994E-3</v>
      </c>
      <c r="Q84" s="81">
        <f t="shared" ca="1" si="50"/>
        <v>1.7900694444444445</v>
      </c>
      <c r="R84" s="81">
        <v>3.1536000000000002E-2</v>
      </c>
      <c r="S84" s="199">
        <v>0.5</v>
      </c>
      <c r="T84" s="199">
        <f ca="1">HLOOKUP($T$2,INDIRECT("'"&amp;$B84&amp;"'!"&amp;"$P$85:$AC$98"),IF(H84=$AI$13,6,IF(H84=$AI$14,9,14)),FALSE)</f>
        <v>1</v>
      </c>
      <c r="U84" s="772"/>
      <c r="V84" s="199">
        <f t="shared" ref="V84" ca="1" si="58">IF(IF(RIGHT(H84,2)="PH",(1-L84)+$W$2,IF(RIGHT(H84,2)="HT",(1-L84)+$W$1,IF(RIGHT(H84,2)="SH",(1-L84)+$W$3,"")))&gt;0,IF(RIGHT(H84,2)="PH",(1-L84)+$W$2,IF(RIGHT(H84,2)="HT",(1-L84)+$W$1,IF(RIGHT(H84,2)="SH",(1-L84)+$W$3,""))),0)</f>
        <v>1.0000000000000009E-2</v>
      </c>
      <c r="W84" s="298"/>
      <c r="X84" s="698">
        <f t="shared" ca="1" si="26"/>
        <v>0</v>
      </c>
      <c r="Y84" s="698">
        <f t="shared" ca="1" si="52"/>
        <v>0</v>
      </c>
      <c r="Z84" s="698">
        <f t="shared" ca="1" si="53"/>
        <v>0</v>
      </c>
      <c r="AA84" s="698">
        <f t="shared" ca="1" si="54"/>
        <v>0</v>
      </c>
      <c r="AB84" s="698">
        <f t="shared" ca="1" si="55"/>
        <v>0</v>
      </c>
      <c r="AD84" s="81">
        <v>2020</v>
      </c>
      <c r="AE84" s="299"/>
      <c r="AF84" s="220"/>
    </row>
    <row r="85" spans="1:33">
      <c r="B85" s="357" t="s">
        <v>1007</v>
      </c>
      <c r="C85" s="55"/>
      <c r="D85" s="261"/>
      <c r="E85" s="261"/>
      <c r="F85" s="224" t="s">
        <v>1149</v>
      </c>
      <c r="G85" s="55"/>
      <c r="H85" s="174"/>
      <c r="I85" s="174" t="str">
        <f t="shared" si="21"/>
        <v>INDLWH</v>
      </c>
      <c r="J85" s="224">
        <f t="shared" si="31"/>
        <v>2030</v>
      </c>
      <c r="K85" s="81"/>
      <c r="L85" s="199">
        <f t="shared" ca="1" si="47"/>
        <v>0.99</v>
      </c>
      <c r="M85" s="199"/>
      <c r="N85" s="81"/>
      <c r="O85" s="723">
        <f t="shared" ca="1" si="48"/>
        <v>0.44700000000000001</v>
      </c>
      <c r="P85" s="723">
        <f t="shared" ca="1" si="49"/>
        <v>7.5989999999999999E-3</v>
      </c>
      <c r="Q85" s="81">
        <f t="shared" ca="1" si="50"/>
        <v>1.8107638888888888</v>
      </c>
      <c r="R85" s="300"/>
      <c r="S85" s="300"/>
      <c r="T85" s="300"/>
      <c r="U85" s="300"/>
      <c r="V85" s="199">
        <f t="shared" ref="V85" ca="1" si="59">IF(IF(RIGHT(H84,2)="PH",(1-L85)+$W$2,IF(RIGHT(H84,2)="HT",(1-L85)+$W$1,IF(RIGHT(H84,2)="SH",(1-L85)+$W$3,"")))&gt;0,IF(RIGHT(H84,2)="PH",(1-L85)+$W$2,IF(RIGHT(H84,2)="HT",(1-L85)+$W$1,IF(RIGHT(H84,2)="SH",(1-L85)+$W$3,""))),0)</f>
        <v>1.0000000000000009E-2</v>
      </c>
      <c r="W85" s="298"/>
      <c r="X85" s="698">
        <f t="shared" ca="1" si="26"/>
        <v>0</v>
      </c>
      <c r="Y85" s="698">
        <f t="shared" ca="1" si="52"/>
        <v>0</v>
      </c>
      <c r="Z85" s="698">
        <f t="shared" ca="1" si="53"/>
        <v>0</v>
      </c>
      <c r="AA85" s="698">
        <f t="shared" ca="1" si="54"/>
        <v>0</v>
      </c>
      <c r="AB85" s="698">
        <f t="shared" ca="1" si="55"/>
        <v>0</v>
      </c>
      <c r="AD85" s="81">
        <v>2030</v>
      </c>
      <c r="AE85" s="81"/>
      <c r="AF85" s="220"/>
    </row>
    <row r="86" spans="1:33">
      <c r="B86" s="356" t="s">
        <v>1007</v>
      </c>
      <c r="C86" s="203"/>
      <c r="D86" s="701"/>
      <c r="E86" s="701"/>
      <c r="F86" s="224" t="s">
        <v>1149</v>
      </c>
      <c r="G86" s="203"/>
      <c r="H86" s="702"/>
      <c r="I86" s="702" t="str">
        <f t="shared" si="21"/>
        <v>INDLWH</v>
      </c>
      <c r="J86" s="224">
        <f t="shared" si="31"/>
        <v>2050</v>
      </c>
      <c r="K86" s="81"/>
      <c r="L86" s="199">
        <f t="shared" ca="1" si="47"/>
        <v>0.99</v>
      </c>
      <c r="M86" s="199"/>
      <c r="N86" s="81"/>
      <c r="O86" s="723">
        <f t="shared" ca="1" si="48"/>
        <v>0.44700000000000001</v>
      </c>
      <c r="P86" s="723">
        <f t="shared" ca="1" si="49"/>
        <v>6.8539999999999998E-3</v>
      </c>
      <c r="Q86" s="81">
        <f t="shared" ca="1" si="50"/>
        <v>1.6141666666666665</v>
      </c>
      <c r="R86" s="703"/>
      <c r="S86" s="703"/>
      <c r="T86" s="703"/>
      <c r="U86" s="703"/>
      <c r="V86" s="199">
        <f t="shared" ref="V86" ca="1" si="60">IF(IF(RIGHT(H84,2)="PH",(1-L86)+$W$2,IF(RIGHT(H84,2)="HT",(1-L86)+$W$1,IF(RIGHT(H84,2)="SH",(1-L86)+$W$3,"")))&gt;0,IF(RIGHT(H84,2)="PH",(1-L86)+$W$2,IF(RIGHT(H84,2)="HT",(1-L86)+$W$1,IF(RIGHT(H84,2)="SH",(1-L86)+$W$3,""))),0)</f>
        <v>1.0000000000000009E-2</v>
      </c>
      <c r="W86" s="704"/>
      <c r="X86" s="698">
        <f t="shared" ca="1" si="26"/>
        <v>0</v>
      </c>
      <c r="Y86" s="698">
        <f t="shared" ca="1" si="52"/>
        <v>0</v>
      </c>
      <c r="Z86" s="698">
        <f t="shared" ca="1" si="53"/>
        <v>0</v>
      </c>
      <c r="AA86" s="698">
        <f t="shared" ca="1" si="54"/>
        <v>0</v>
      </c>
      <c r="AB86" s="698">
        <f t="shared" ca="1" si="55"/>
        <v>0</v>
      </c>
      <c r="AD86" s="81">
        <v>2050</v>
      </c>
      <c r="AE86" s="81"/>
      <c r="AF86" s="220"/>
    </row>
    <row r="87" spans="1:33">
      <c r="B87" s="357" t="s">
        <v>1008</v>
      </c>
      <c r="D87" s="212" t="str">
        <f>"IND"&amp;RIGHT(H87,4)&amp;RIGHT(G87,3)&amp;"N"&amp;RIGHT(E87,1)</f>
        <v>INDLDPHWCHN1</v>
      </c>
      <c r="E87" s="261" t="str">
        <f>"Industrial heating technology "&amp;$AJ$12&amp;" "&amp;RIGHT(H87,2)&amp;" - Wood chip boiler (Steam) - new 1"</f>
        <v>Industrial heating technology L PH - Wood chip boiler (Steam) - new 1</v>
      </c>
      <c r="F87" s="224" t="s">
        <v>1149</v>
      </c>
      <c r="G87" s="173" t="s">
        <v>498</v>
      </c>
      <c r="H87" s="174" t="str">
        <f>$AI$13</f>
        <v>ILDPH</v>
      </c>
      <c r="I87" s="174" t="str">
        <f t="shared" si="21"/>
        <v>INDLWH</v>
      </c>
      <c r="J87" s="224">
        <f t="shared" si="31"/>
        <v>2011</v>
      </c>
      <c r="K87" s="299">
        <v>2025</v>
      </c>
      <c r="L87" s="199">
        <f t="shared" ref="L87:L95" ca="1" si="61">VLOOKUP($AD87,INDIRECT("'"&amp;$B87&amp;"'!"&amp;"$P$39:$AD$42"),3,FALSE)</f>
        <v>0.89</v>
      </c>
      <c r="M87" s="699"/>
      <c r="N87" s="299">
        <f ca="1">VLOOKUP($AD87,INDIRECT("'"&amp;$B87&amp;"'!"&amp;"$P$39:$AD$42"),5,FALSE)</f>
        <v>25</v>
      </c>
      <c r="O87" s="725">
        <f t="shared" ref="O87:O95" ca="1" si="62">VLOOKUP($AD87,INDIRECT("'"&amp;$B87&amp;"'!"&amp;"$P$39:$AD$42"),6,FALSE)/1000</f>
        <v>4.6054545454545455</v>
      </c>
      <c r="P87" s="725">
        <f t="shared" ref="P87:P95" ca="1" si="63">VLOOKUP($AD87,INDIRECT("'"&amp;$B87&amp;"'!"&amp;"$P$39:$AD$42"),7,FALSE)/1000</f>
        <v>0.25106499999999998</v>
      </c>
      <c r="Q87" s="299">
        <f t="shared" ref="Q87:Q95" ca="1" si="64">VLOOKUP($AD87,INDIRECT("'"&amp;$B87&amp;"'!"&amp;"$P$39:$AD$42"),8,FALSE)</f>
        <v>5.7509861111111107</v>
      </c>
      <c r="R87" s="299">
        <v>3.1536000000000002E-2</v>
      </c>
      <c r="S87" s="699">
        <v>0.5</v>
      </c>
      <c r="T87" s="699">
        <f ca="1">HLOOKUP($T$2,INDIRECT("'"&amp;$B87&amp;"'!"&amp;"$P$6:$AC$19"),IF(H87=$AI$13,6,IF(H87=$AI$14,9,14)),FALSE)</f>
        <v>1</v>
      </c>
      <c r="U87" s="772"/>
      <c r="V87" s="199">
        <f t="shared" ref="V87" ca="1" si="65">IF(IF(RIGHT(H87,2)="PH",(1-L87)+$W$2,IF(RIGHT(H87,2)="HT",(1-L87)+$W$1,IF(RIGHT(H87,2)="SH",(1-L87)+$W$3,"")))&gt;0,IF(RIGHT(H87,2)="PH",(1-L87)+$W$2,IF(RIGHT(H87,2)="HT",(1-L87)+$W$1,IF(RIGHT(H87,2)="SH",(1-L87)+$W$3,""))),0)</f>
        <v>0.31</v>
      </c>
      <c r="W87" s="298"/>
      <c r="X87" s="698">
        <f t="shared" ca="1" si="26"/>
        <v>11</v>
      </c>
      <c r="Y87" s="299">
        <f t="shared" ref="Y87:Y95" ca="1" si="66">VLOOKUP($AD87,INDIRECT("'"&amp;$B87&amp;"'!"&amp;"$P$39:$AD$42"),12,FALSE)</f>
        <v>63</v>
      </c>
      <c r="Z87" s="299">
        <f t="shared" ref="Z87:Z95" ca="1" si="67">VLOOKUP($AD87,INDIRECT("'"&amp;$B87&amp;"'!"&amp;"$P$39:$AD$42"),13,FALSE)</f>
        <v>11</v>
      </c>
      <c r="AA87" s="299">
        <f t="shared" ref="AA87:AA95" ca="1" si="68">VLOOKUP($AD87,INDIRECT("'"&amp;$B87&amp;"'!"&amp;"$P$39:$AD$42"),14,FALSE)</f>
        <v>3</v>
      </c>
      <c r="AB87" s="299">
        <f t="shared" ref="AB87:AB95" ca="1" si="69">VLOOKUP($AD87,INDIRECT("'"&amp;$B87&amp;"'!"&amp;"$P$39:$AD$42"),15,FALSE)</f>
        <v>10</v>
      </c>
      <c r="AD87" s="299">
        <v>2020</v>
      </c>
      <c r="AE87" s="81"/>
      <c r="AF87" s="220"/>
    </row>
    <row r="88" spans="1:33">
      <c r="B88" s="357" t="s">
        <v>1008</v>
      </c>
      <c r="D88" s="212"/>
      <c r="E88" s="212"/>
      <c r="F88" s="224" t="s">
        <v>1149</v>
      </c>
      <c r="H88" s="174"/>
      <c r="I88" s="174" t="str">
        <f t="shared" si="21"/>
        <v>INDLWH</v>
      </c>
      <c r="J88" s="224">
        <f t="shared" si="31"/>
        <v>2030</v>
      </c>
      <c r="K88" s="81"/>
      <c r="L88" s="199">
        <f t="shared" ca="1" si="61"/>
        <v>0.89</v>
      </c>
      <c r="M88" s="199"/>
      <c r="N88" s="81"/>
      <c r="O88" s="723">
        <f t="shared" ca="1" si="62"/>
        <v>4.4022727272727264</v>
      </c>
      <c r="P88" s="723">
        <f t="shared" ca="1" si="63"/>
        <v>0.267455</v>
      </c>
      <c r="Q88" s="81">
        <f t="shared" ca="1" si="64"/>
        <v>5.8461805555555557</v>
      </c>
      <c r="R88" s="300"/>
      <c r="S88" s="300"/>
      <c r="T88" s="300"/>
      <c r="U88" s="300"/>
      <c r="V88" s="199">
        <f t="shared" ref="V88" ca="1" si="70">IF(IF(RIGHT(H87,2)="PH",(1-L88)+$W$2,IF(RIGHT(H87,2)="HT",(1-L88)+$W$1,IF(RIGHT(H87,2)="SH",(1-L88)+$W$3,"")))&gt;0,IF(RIGHT(H87,2)="PH",(1-L88)+$W$2,IF(RIGHT(H87,2)="HT",(1-L88)+$W$1,IF(RIGHT(H87,2)="SH",(1-L88)+$W$3,""))),0)</f>
        <v>0.31</v>
      </c>
      <c r="W88" s="298"/>
      <c r="X88" s="698">
        <f t="shared" ca="1" si="26"/>
        <v>11</v>
      </c>
      <c r="Y88" s="81">
        <f t="shared" ca="1" si="66"/>
        <v>49</v>
      </c>
      <c r="Z88" s="81">
        <f t="shared" ca="1" si="67"/>
        <v>8</v>
      </c>
      <c r="AA88" s="81">
        <f t="shared" ca="1" si="68"/>
        <v>3</v>
      </c>
      <c r="AB88" s="81">
        <f t="shared" ca="1" si="69"/>
        <v>10</v>
      </c>
      <c r="AD88" s="81">
        <v>2030</v>
      </c>
      <c r="AE88" s="81"/>
      <c r="AF88" s="220"/>
    </row>
    <row r="89" spans="1:33">
      <c r="B89" s="357" t="s">
        <v>1008</v>
      </c>
      <c r="D89" s="212"/>
      <c r="E89" s="212"/>
      <c r="F89" s="224" t="s">
        <v>1149</v>
      </c>
      <c r="H89" s="174"/>
      <c r="I89" s="174" t="str">
        <f t="shared" si="21"/>
        <v>INDLWH</v>
      </c>
      <c r="J89" s="224">
        <f t="shared" si="31"/>
        <v>2050</v>
      </c>
      <c r="K89" s="81"/>
      <c r="L89" s="199">
        <f t="shared" ca="1" si="61"/>
        <v>0.9</v>
      </c>
      <c r="M89" s="199"/>
      <c r="N89" s="81"/>
      <c r="O89" s="723">
        <f t="shared" ca="1" si="62"/>
        <v>3.9959090909090902</v>
      </c>
      <c r="P89" s="723">
        <f t="shared" ca="1" si="63"/>
        <v>0.25106499999999998</v>
      </c>
      <c r="Q89" s="81">
        <f t="shared" ca="1" si="64"/>
        <v>5.8937777777777782</v>
      </c>
      <c r="R89" s="300"/>
      <c r="S89" s="300"/>
      <c r="T89" s="300"/>
      <c r="U89" s="300"/>
      <c r="V89" s="199">
        <f t="shared" ref="V89" ca="1" si="71">IF(IF(RIGHT(H87,2)="PH",(1-L89)+$W$2,IF(RIGHT(H87,2)="HT",(1-L89)+$W$1,IF(RIGHT(H87,2)="SH",(1-L89)+$W$3,"")))&gt;0,IF(RIGHT(H87,2)="PH",(1-L89)+$W$2,IF(RIGHT(H87,2)="HT",(1-L89)+$W$1,IF(RIGHT(H87,2)="SH",(1-L89)+$W$3,""))),0)</f>
        <v>0.3</v>
      </c>
      <c r="W89" s="298"/>
      <c r="X89" s="698">
        <f t="shared" ca="1" si="26"/>
        <v>11</v>
      </c>
      <c r="Y89" s="81">
        <f t="shared" ca="1" si="66"/>
        <v>41</v>
      </c>
      <c r="Z89" s="81">
        <f t="shared" ca="1" si="67"/>
        <v>4</v>
      </c>
      <c r="AA89" s="81">
        <f t="shared" ca="1" si="68"/>
        <v>1</v>
      </c>
      <c r="AB89" s="81">
        <f t="shared" ca="1" si="69"/>
        <v>10</v>
      </c>
      <c r="AD89" s="81">
        <v>2050</v>
      </c>
      <c r="AE89" s="81"/>
      <c r="AF89" s="220"/>
    </row>
    <row r="90" spans="1:33" s="226" customFormat="1">
      <c r="A90" s="224"/>
      <c r="B90" s="357" t="s">
        <v>1008</v>
      </c>
      <c r="C90" s="224"/>
      <c r="D90" s="212" t="str">
        <f>"IND"&amp;RIGHT(H90,4)&amp;RIGHT(G90,3)&amp;"N"&amp;RIGHT(E90,1)</f>
        <v>INDLDPHWCHN1</v>
      </c>
      <c r="E90" s="261" t="str">
        <f>"Industrial heating technology "&amp;$AJ$12&amp;" "&amp;RIGHT(H90,2)&amp;" - Wood chip boiler (Steam) - new 1"</f>
        <v>Industrial heating technology L PH - Wood chip boiler (Steam) - new 1</v>
      </c>
      <c r="F90" s="224" t="s">
        <v>1149</v>
      </c>
      <c r="G90" s="173" t="s">
        <v>498</v>
      </c>
      <c r="H90" s="174" t="str">
        <f>$AI$14</f>
        <v>ILDPH</v>
      </c>
      <c r="I90" s="174" t="str">
        <f t="shared" si="21"/>
        <v>INDLWH</v>
      </c>
      <c r="J90" s="224">
        <f t="shared" si="31"/>
        <v>2011</v>
      </c>
      <c r="K90" s="299">
        <v>2025</v>
      </c>
      <c r="L90" s="199">
        <f t="shared" ca="1" si="61"/>
        <v>0.89</v>
      </c>
      <c r="M90" s="199"/>
      <c r="N90" s="81">
        <f ca="1">VLOOKUP($AD90,INDIRECT("'"&amp;$B90&amp;"'!"&amp;"$P$39:$AD$42"),5,FALSE)</f>
        <v>25</v>
      </c>
      <c r="O90" s="723">
        <f t="shared" ca="1" si="62"/>
        <v>4.6054545454545455</v>
      </c>
      <c r="P90" s="723">
        <f t="shared" ca="1" si="63"/>
        <v>0.25106499999999998</v>
      </c>
      <c r="Q90" s="81">
        <f t="shared" ca="1" si="64"/>
        <v>5.7509861111111107</v>
      </c>
      <c r="R90" s="81">
        <v>3.1536000000000002E-2</v>
      </c>
      <c r="S90" s="199">
        <v>0.5</v>
      </c>
      <c r="T90" s="199">
        <f ca="1">HLOOKUP($T$2,INDIRECT("'"&amp;$B90&amp;"'!"&amp;"$P$6:$AC$19"),IF(H90=$AI$13,6,IF(H90=$AI$14,9,14)),FALSE)</f>
        <v>1</v>
      </c>
      <c r="U90" s="772"/>
      <c r="V90" s="199">
        <f t="shared" ref="V90" ca="1" si="72">IF(IF(RIGHT(H90,2)="PH",(1-L90)+$W$2,IF(RIGHT(H90,2)="HT",(1-L90)+$W$1,IF(RIGHT(H90,2)="SH",(1-L90)+$W$3,"")))&gt;0,IF(RIGHT(H90,2)="PH",(1-L90)+$W$2,IF(RIGHT(H90,2)="HT",(1-L90)+$W$1,IF(RIGHT(H90,2)="SH",(1-L90)+$W$3,""))),0)</f>
        <v>0.31</v>
      </c>
      <c r="W90" s="298"/>
      <c r="X90" s="698">
        <f t="shared" ca="1" si="26"/>
        <v>11</v>
      </c>
      <c r="Y90" s="81">
        <f t="shared" ca="1" si="66"/>
        <v>63</v>
      </c>
      <c r="Z90" s="81">
        <f t="shared" ca="1" si="67"/>
        <v>11</v>
      </c>
      <c r="AA90" s="81">
        <f t="shared" ca="1" si="68"/>
        <v>3</v>
      </c>
      <c r="AB90" s="81">
        <f t="shared" ca="1" si="69"/>
        <v>10</v>
      </c>
      <c r="AC90" s="224"/>
      <c r="AD90" s="81">
        <v>2020</v>
      </c>
      <c r="AE90" s="81"/>
      <c r="AF90" s="220"/>
      <c r="AG90" s="224"/>
    </row>
    <row r="91" spans="1:33" s="226" customFormat="1">
      <c r="A91" s="224"/>
      <c r="B91" s="357" t="s">
        <v>1008</v>
      </c>
      <c r="C91" s="224"/>
      <c r="D91" s="212"/>
      <c r="E91" s="212"/>
      <c r="F91" s="224" t="s">
        <v>1149</v>
      </c>
      <c r="G91" s="224"/>
      <c r="H91" s="174"/>
      <c r="I91" s="174" t="str">
        <f t="shared" si="21"/>
        <v>INDLWH</v>
      </c>
      <c r="J91" s="224">
        <f t="shared" si="31"/>
        <v>2030</v>
      </c>
      <c r="K91" s="81"/>
      <c r="L91" s="199">
        <f t="shared" ca="1" si="61"/>
        <v>0.89</v>
      </c>
      <c r="M91" s="199"/>
      <c r="N91" s="81"/>
      <c r="O91" s="723">
        <f t="shared" ca="1" si="62"/>
        <v>4.4022727272727264</v>
      </c>
      <c r="P91" s="723">
        <f t="shared" ca="1" si="63"/>
        <v>0.267455</v>
      </c>
      <c r="Q91" s="81">
        <f t="shared" ca="1" si="64"/>
        <v>5.8461805555555557</v>
      </c>
      <c r="R91" s="300"/>
      <c r="S91" s="300"/>
      <c r="T91" s="300"/>
      <c r="U91" s="300"/>
      <c r="V91" s="199">
        <f t="shared" ref="V91" ca="1" si="73">IF(IF(RIGHT(H90,2)="PH",(1-L91)+$W$2,IF(RIGHT(H90,2)="HT",(1-L91)+$W$1,IF(RIGHT(H90,2)="SH",(1-L91)+$W$3,"")))&gt;0,IF(RIGHT(H90,2)="PH",(1-L91)+$W$2,IF(RIGHT(H90,2)="HT",(1-L91)+$W$1,IF(RIGHT(H90,2)="SH",(1-L91)+$W$3,""))),0)</f>
        <v>0.31</v>
      </c>
      <c r="W91" s="298"/>
      <c r="X91" s="698">
        <f t="shared" ca="1" si="26"/>
        <v>11</v>
      </c>
      <c r="Y91" s="81">
        <f t="shared" ca="1" si="66"/>
        <v>49</v>
      </c>
      <c r="Z91" s="81">
        <f t="shared" ca="1" si="67"/>
        <v>8</v>
      </c>
      <c r="AA91" s="81">
        <f t="shared" ca="1" si="68"/>
        <v>3</v>
      </c>
      <c r="AB91" s="81">
        <f t="shared" ca="1" si="69"/>
        <v>10</v>
      </c>
      <c r="AC91" s="224"/>
      <c r="AD91" s="81">
        <v>2030</v>
      </c>
      <c r="AE91" s="81"/>
      <c r="AF91" s="220"/>
    </row>
    <row r="92" spans="1:33" s="226" customFormat="1">
      <c r="A92" s="224"/>
      <c r="B92" s="357" t="s">
        <v>1008</v>
      </c>
      <c r="C92" s="224"/>
      <c r="D92" s="212"/>
      <c r="E92" s="212"/>
      <c r="F92" s="224" t="s">
        <v>1149</v>
      </c>
      <c r="G92" s="224"/>
      <c r="H92" s="174"/>
      <c r="I92" s="174" t="str">
        <f t="shared" si="21"/>
        <v>INDLWH</v>
      </c>
      <c r="J92" s="224">
        <f t="shared" si="31"/>
        <v>2050</v>
      </c>
      <c r="K92" s="81"/>
      <c r="L92" s="199">
        <f t="shared" ca="1" si="61"/>
        <v>0.9</v>
      </c>
      <c r="M92" s="199"/>
      <c r="N92" s="81"/>
      <c r="O92" s="723">
        <f t="shared" ca="1" si="62"/>
        <v>3.9959090909090902</v>
      </c>
      <c r="P92" s="723">
        <f t="shared" ca="1" si="63"/>
        <v>0.25106499999999998</v>
      </c>
      <c r="Q92" s="81">
        <f t="shared" ca="1" si="64"/>
        <v>5.8937777777777782</v>
      </c>
      <c r="R92" s="300"/>
      <c r="S92" s="300"/>
      <c r="T92" s="300"/>
      <c r="U92" s="300"/>
      <c r="V92" s="199">
        <f t="shared" ref="V92" ca="1" si="74">IF(IF(RIGHT(H90,2)="PH",(1-L92)+$W$2,IF(RIGHT(H90,2)="HT",(1-L92)+$W$1,IF(RIGHT(H90,2)="SH",(1-L92)+$W$3,"")))&gt;0,IF(RIGHT(H90,2)="PH",(1-L92)+$W$2,IF(RIGHT(H90,2)="HT",(1-L92)+$W$1,IF(RIGHT(H90,2)="SH",(1-L92)+$W$3,""))),0)</f>
        <v>0.3</v>
      </c>
      <c r="W92" s="298"/>
      <c r="X92" s="698">
        <f t="shared" ca="1" si="26"/>
        <v>11</v>
      </c>
      <c r="Y92" s="81">
        <f t="shared" ca="1" si="66"/>
        <v>41</v>
      </c>
      <c r="Z92" s="81">
        <f t="shared" ca="1" si="67"/>
        <v>4</v>
      </c>
      <c r="AA92" s="81">
        <f t="shared" ca="1" si="68"/>
        <v>1</v>
      </c>
      <c r="AB92" s="81">
        <f t="shared" ca="1" si="69"/>
        <v>10</v>
      </c>
      <c r="AC92" s="224"/>
      <c r="AD92" s="81">
        <v>2050</v>
      </c>
      <c r="AE92" s="706"/>
      <c r="AF92" s="220"/>
    </row>
    <row r="93" spans="1:33" s="226" customFormat="1">
      <c r="A93" s="224"/>
      <c r="B93" s="357" t="s">
        <v>1008</v>
      </c>
      <c r="C93" s="224"/>
      <c r="D93" s="212" t="str">
        <f>"IND"&amp;RIGHT(H93,4)&amp;RIGHT(G93,3)&amp;"N"&amp;RIGHT(E93,1)</f>
        <v>INDLDSHWCHN1</v>
      </c>
      <c r="E93" s="261" t="str">
        <f>"Industrial heating technology "&amp;$AJ$12&amp;" "&amp;RIGHT(H93,2)&amp;" - Wood chip boiler (Steam) - new 1"</f>
        <v>Industrial heating technology L SH - Wood chip boiler (Steam) - new 1</v>
      </c>
      <c r="F93" s="224" t="s">
        <v>1149</v>
      </c>
      <c r="G93" s="173" t="s">
        <v>498</v>
      </c>
      <c r="H93" s="174" t="str">
        <f>$AI$15</f>
        <v>ILDSH</v>
      </c>
      <c r="I93" s="174" t="str">
        <f t="shared" si="21"/>
        <v>INDLWH</v>
      </c>
      <c r="J93" s="224">
        <f t="shared" si="31"/>
        <v>2011</v>
      </c>
      <c r="K93" s="299">
        <v>2025</v>
      </c>
      <c r="L93" s="199">
        <f t="shared" ca="1" si="61"/>
        <v>0.89</v>
      </c>
      <c r="M93" s="199"/>
      <c r="N93" s="81">
        <f ca="1">VLOOKUP($AD93,INDIRECT("'"&amp;$B93&amp;"'!"&amp;"$P$39:$AD$42"),5,FALSE)</f>
        <v>25</v>
      </c>
      <c r="O93" s="723">
        <f t="shared" ca="1" si="62"/>
        <v>4.6054545454545455</v>
      </c>
      <c r="P93" s="723">
        <f t="shared" ca="1" si="63"/>
        <v>0.25106499999999998</v>
      </c>
      <c r="Q93" s="81">
        <f t="shared" ca="1" si="64"/>
        <v>5.7509861111111107</v>
      </c>
      <c r="R93" s="81">
        <v>3.1536000000000002E-2</v>
      </c>
      <c r="S93" s="199">
        <v>0.5</v>
      </c>
      <c r="T93" s="199">
        <f ca="1">HLOOKUP($T$2,INDIRECT("'"&amp;$B93&amp;"'!"&amp;"$P$6:$AC$19"),IF(H93=$AI$13,6,IF(H93=$AI$14,9,14)),FALSE)</f>
        <v>1</v>
      </c>
      <c r="U93" s="772"/>
      <c r="V93" s="199">
        <f t="shared" ref="V93" ca="1" si="75">IF(IF(RIGHT(H93,2)="PH",(1-L93)+$W$2,IF(RIGHT(H93,2)="HT",(1-L93)+$W$1,IF(RIGHT(H93,2)="SH",(1-L93)+$W$3,"")))&gt;0,IF(RIGHT(H93,2)="PH",(1-L93)+$W$2,IF(RIGHT(H93,2)="HT",(1-L93)+$W$1,IF(RIGHT(H93,2)="SH",(1-L93)+$W$3,""))),0)</f>
        <v>0.10999999999999999</v>
      </c>
      <c r="W93" s="298"/>
      <c r="X93" s="698">
        <f t="shared" ca="1" si="26"/>
        <v>11</v>
      </c>
      <c r="Y93" s="81">
        <f t="shared" ca="1" si="66"/>
        <v>63</v>
      </c>
      <c r="Z93" s="81">
        <f t="shared" ca="1" si="67"/>
        <v>11</v>
      </c>
      <c r="AA93" s="81">
        <f t="shared" ca="1" si="68"/>
        <v>3</v>
      </c>
      <c r="AB93" s="81">
        <f t="shared" ca="1" si="69"/>
        <v>10</v>
      </c>
      <c r="AC93" s="296"/>
      <c r="AD93" s="81">
        <v>2020</v>
      </c>
      <c r="AE93" s="81"/>
      <c r="AF93" s="710"/>
    </row>
    <row r="94" spans="1:33" s="226" customFormat="1">
      <c r="A94" s="224"/>
      <c r="B94" s="357" t="s">
        <v>1008</v>
      </c>
      <c r="C94" s="224"/>
      <c r="D94" s="212"/>
      <c r="E94" s="212"/>
      <c r="F94" s="224" t="s">
        <v>1149</v>
      </c>
      <c r="G94" s="224"/>
      <c r="H94" s="174"/>
      <c r="I94" s="174" t="str">
        <f t="shared" si="21"/>
        <v>INDLWH</v>
      </c>
      <c r="J94" s="224">
        <f t="shared" si="31"/>
        <v>2030</v>
      </c>
      <c r="K94" s="81"/>
      <c r="L94" s="199">
        <f t="shared" ca="1" si="61"/>
        <v>0.89</v>
      </c>
      <c r="M94" s="199"/>
      <c r="N94" s="81"/>
      <c r="O94" s="723">
        <f t="shared" ca="1" si="62"/>
        <v>4.4022727272727264</v>
      </c>
      <c r="P94" s="723">
        <f t="shared" ca="1" si="63"/>
        <v>0.267455</v>
      </c>
      <c r="Q94" s="81">
        <f t="shared" ca="1" si="64"/>
        <v>5.8461805555555557</v>
      </c>
      <c r="R94" s="300"/>
      <c r="S94" s="300"/>
      <c r="T94" s="300"/>
      <c r="U94" s="300"/>
      <c r="V94" s="199">
        <f t="shared" ref="V94" ca="1" si="76">IF(IF(RIGHT(H93,2)="PH",(1-L94)+$W$2,IF(RIGHT(H93,2)="HT",(1-L94)+$W$1,IF(RIGHT(H93,2)="SH",(1-L94)+$W$3,"")))&gt;0,IF(RIGHT(H93,2)="PH",(1-L94)+$W$2,IF(RIGHT(H93,2)="HT",(1-L94)+$W$1,IF(RIGHT(H93,2)="SH",(1-L94)+$W$3,""))),0)</f>
        <v>0.10999999999999999</v>
      </c>
      <c r="W94" s="298"/>
      <c r="X94" s="698">
        <f t="shared" ca="1" si="26"/>
        <v>11</v>
      </c>
      <c r="Y94" s="81">
        <f t="shared" ca="1" si="66"/>
        <v>49</v>
      </c>
      <c r="Z94" s="81">
        <f t="shared" ca="1" si="67"/>
        <v>8</v>
      </c>
      <c r="AA94" s="81">
        <f t="shared" ca="1" si="68"/>
        <v>3</v>
      </c>
      <c r="AB94" s="81">
        <f t="shared" ca="1" si="69"/>
        <v>10</v>
      </c>
      <c r="AC94" s="55"/>
      <c r="AD94" s="81">
        <v>2030</v>
      </c>
      <c r="AE94" s="81"/>
      <c r="AF94" s="700"/>
    </row>
    <row r="95" spans="1:33" s="226" customFormat="1">
      <c r="A95" s="224"/>
      <c r="B95" s="357" t="s">
        <v>1008</v>
      </c>
      <c r="C95" s="224"/>
      <c r="D95" s="212"/>
      <c r="E95" s="212"/>
      <c r="F95" s="224" t="s">
        <v>1149</v>
      </c>
      <c r="G95" s="224"/>
      <c r="H95" s="174"/>
      <c r="I95" s="174" t="str">
        <f t="shared" si="21"/>
        <v>INDLWH</v>
      </c>
      <c r="J95" s="224">
        <f t="shared" si="31"/>
        <v>2050</v>
      </c>
      <c r="K95" s="706"/>
      <c r="L95" s="199">
        <f t="shared" ca="1" si="61"/>
        <v>0.9</v>
      </c>
      <c r="M95" s="774"/>
      <c r="N95" s="706"/>
      <c r="O95" s="724">
        <f t="shared" ca="1" si="62"/>
        <v>3.9959090909090902</v>
      </c>
      <c r="P95" s="724">
        <f t="shared" ca="1" si="63"/>
        <v>0.25106499999999998</v>
      </c>
      <c r="Q95" s="706">
        <f t="shared" ca="1" si="64"/>
        <v>5.8937777777777782</v>
      </c>
      <c r="R95" s="300"/>
      <c r="S95" s="300"/>
      <c r="T95" s="300"/>
      <c r="U95" s="300"/>
      <c r="V95" s="199">
        <f t="shared" ref="V95" ca="1" si="77">IF(IF(RIGHT(H93,2)="PH",(1-L95)+$W$2,IF(RIGHT(H93,2)="HT",(1-L95)+$W$1,IF(RIGHT(H93,2)="SH",(1-L95)+$W$3,"")))&gt;0,IF(RIGHT(H93,2)="PH",(1-L95)+$W$2,IF(RIGHT(H93,2)="HT",(1-L95)+$W$1,IF(RIGHT(H93,2)="SH",(1-L95)+$W$3,""))),0)</f>
        <v>9.9999999999999978E-2</v>
      </c>
      <c r="W95" s="298"/>
      <c r="X95" s="698">
        <f t="shared" ref="X95:X126" ca="1" si="78">IF(VLOOKUP($AD95,INDIRECT("'"&amp;$B95&amp;"'!"&amp;"$P$39:$AD$42"),11,FALSE)="Cf. the utilized electricity",0,VLOOKUP($AD95,INDIRECT("'"&amp;$B95&amp;"'!"&amp;"$P$39:$AD$42"),11,FALSE))</f>
        <v>11</v>
      </c>
      <c r="Y95" s="706">
        <f t="shared" ca="1" si="66"/>
        <v>41</v>
      </c>
      <c r="Z95" s="706">
        <f t="shared" ca="1" si="67"/>
        <v>4</v>
      </c>
      <c r="AA95" s="706">
        <f t="shared" ca="1" si="68"/>
        <v>1</v>
      </c>
      <c r="AB95" s="706">
        <f t="shared" ca="1" si="69"/>
        <v>10</v>
      </c>
      <c r="AC95" s="55"/>
      <c r="AD95" s="706">
        <v>2050</v>
      </c>
      <c r="AE95" s="81"/>
      <c r="AF95" s="700"/>
    </row>
    <row r="96" spans="1:33">
      <c r="B96" s="716" t="s">
        <v>1008</v>
      </c>
      <c r="C96" s="296"/>
      <c r="D96" s="707" t="str">
        <f>"IND"&amp;RIGHT(H96,4)&amp;RIGHT(G96,3)&amp;"N"&amp;RIGHT(E96,1)</f>
        <v>INDLDPHWCHN2</v>
      </c>
      <c r="E96" s="707" t="str">
        <f>"Industrial heating technology "&amp;$AJ$12&amp;" "&amp;RIGHT(H96,2)&amp;" - Wood chip boiler (Steam - condensing) - new 2"</f>
        <v>Industrial heating technology L PH - Wood chip boiler (Steam - condensing) - new 2</v>
      </c>
      <c r="F96" s="224" t="s">
        <v>1149</v>
      </c>
      <c r="G96" s="708" t="s">
        <v>498</v>
      </c>
      <c r="H96" s="708" t="str">
        <f>$AI$14</f>
        <v>ILDPH</v>
      </c>
      <c r="I96" s="708" t="str">
        <f t="shared" si="21"/>
        <v>INDLWH</v>
      </c>
      <c r="J96" s="224">
        <f t="shared" si="31"/>
        <v>2011</v>
      </c>
      <c r="K96" s="299">
        <v>2025</v>
      </c>
      <c r="L96" s="199">
        <f t="shared" ref="L96:L101" ca="1" si="79">VLOOKUP($AD96,INDIRECT("'"&amp;$B96&amp;"'!"&amp;"$P$118:$AD$121"),3,FALSE)</f>
        <v>1.1618960947726835</v>
      </c>
      <c r="M96" s="199"/>
      <c r="N96" s="81">
        <f ca="1">VLOOKUP($AD96,INDIRECT("'"&amp;$B96&amp;"'!"&amp;"$P$118:$AD$121"),5,FALSE)</f>
        <v>25</v>
      </c>
      <c r="O96" s="723">
        <f t="shared" ref="O96:O101" ca="1" si="80">VLOOKUP($AD96,INDIRECT("'"&amp;$B96&amp;"'!"&amp;"$P$118:$AD$121"),6,FALSE)/1000</f>
        <v>5.0660000000000007</v>
      </c>
      <c r="P96" s="723">
        <f t="shared" ref="P96:P101" ca="1" si="81">VLOOKUP($AD96,INDIRECT("'"&amp;$B96&amp;"'!"&amp;"$P$118:$AD$121"),7,FALSE)/1000</f>
        <v>0.27564999999999995</v>
      </c>
      <c r="Q96" s="81">
        <f t="shared" ref="Q96:Q101" ca="1" si="82">VLOOKUP($AD96,INDIRECT("'"&amp;$B96&amp;"'!"&amp;"$P$118:$AD$121"),8,FALSE)</f>
        <v>5.7509861111111107</v>
      </c>
      <c r="R96" s="81">
        <v>3.1536000000000002E-2</v>
      </c>
      <c r="S96" s="199">
        <v>0.5</v>
      </c>
      <c r="T96" s="199">
        <f ca="1">HLOOKUP($T$2,INDIRECT("'"&amp;$B96&amp;"'!"&amp;"$P$85:$AC$98"),IF(H96=$AI$13,6,IF(H96=$AI$14,9,14)),FALSE)</f>
        <v>0</v>
      </c>
      <c r="U96" s="773"/>
      <c r="V96" s="199">
        <f t="shared" ref="V96" ca="1" si="83">IF(IF(RIGHT(H96,2)="PH",(1-L96)+$W$2,IF(RIGHT(H96,2)="HT",(1-L96)+$W$1,IF(RIGHT(H96,2)="SH",(1-L96)+$W$3,"")))&gt;0,IF(RIGHT(H96,2)="PH",(1-L96)+$W$2,IF(RIGHT(H96,2)="HT",(1-L96)+$W$1,IF(RIGHT(H96,2)="SH",(1-L96)+$W$3,""))),0)</f>
        <v>3.8103905227316492E-2</v>
      </c>
      <c r="W96" s="709"/>
      <c r="X96" s="698">
        <f t="shared" ca="1" si="78"/>
        <v>11</v>
      </c>
      <c r="Y96" s="698">
        <f t="shared" ref="Y96:Y101" ca="1" si="84">VLOOKUP($AD96,INDIRECT("'"&amp;$B96&amp;"'!"&amp;"$P$118:$AD$121"),12,FALSE)</f>
        <v>63</v>
      </c>
      <c r="Z96" s="698">
        <f t="shared" ref="Z96:Z101" ca="1" si="85">VLOOKUP($AD96,INDIRECT("'"&amp;$B96&amp;"'!"&amp;"$P$118:$AD$121"),13,FALSE)</f>
        <v>11</v>
      </c>
      <c r="AA96" s="698">
        <f t="shared" ref="AA96:AA101" ca="1" si="86">VLOOKUP($AD96,INDIRECT("'"&amp;$B96&amp;"'!"&amp;"$P$118:$AD$121"),14,FALSE)</f>
        <v>3</v>
      </c>
      <c r="AB96" s="698">
        <f t="shared" ref="AB96:AB101" ca="1" si="87">VLOOKUP($AD96,INDIRECT("'"&amp;$B96&amp;"'!"&amp;"$P$118:$AD$121"),15,FALSE)</f>
        <v>10</v>
      </c>
      <c r="AC96" s="55"/>
      <c r="AD96" s="81">
        <v>2020</v>
      </c>
      <c r="AE96" s="81"/>
      <c r="AF96" s="700"/>
      <c r="AG96" s="226"/>
    </row>
    <row r="97" spans="2:32">
      <c r="B97" s="357" t="s">
        <v>1008</v>
      </c>
      <c r="C97" s="55"/>
      <c r="D97" s="261"/>
      <c r="E97" s="261"/>
      <c r="F97" s="224" t="s">
        <v>1149</v>
      </c>
      <c r="G97" s="55"/>
      <c r="H97" s="174"/>
      <c r="I97" s="174" t="str">
        <f t="shared" si="21"/>
        <v>INDLWH</v>
      </c>
      <c r="J97" s="224">
        <f t="shared" si="31"/>
        <v>2030</v>
      </c>
      <c r="K97" s="81"/>
      <c r="L97" s="199">
        <f t="shared" ca="1" si="79"/>
        <v>1.1618960947726835</v>
      </c>
      <c r="M97" s="199"/>
      <c r="N97" s="81"/>
      <c r="O97" s="723">
        <f t="shared" ca="1" si="80"/>
        <v>4.8425000000000002</v>
      </c>
      <c r="P97" s="723">
        <f t="shared" ca="1" si="81"/>
        <v>0.267455</v>
      </c>
      <c r="Q97" s="81">
        <f t="shared" ca="1" si="82"/>
        <v>5.8461805555555557</v>
      </c>
      <c r="R97" s="300"/>
      <c r="S97" s="300"/>
      <c r="T97" s="300"/>
      <c r="U97" s="300"/>
      <c r="V97" s="199">
        <f t="shared" ref="V97" ca="1" si="88">IF(IF(RIGHT(H96,2)="PH",(1-L97)+$W$2,IF(RIGHT(H96,2)="HT",(1-L97)+$W$1,IF(RIGHT(H96,2)="SH",(1-L97)+$W$3,"")))&gt;0,IF(RIGHT(H96,2)="PH",(1-L97)+$W$2,IF(RIGHT(H96,2)="HT",(1-L97)+$W$1,IF(RIGHT(H96,2)="SH",(1-L97)+$W$3,""))),0)</f>
        <v>3.8103905227316492E-2</v>
      </c>
      <c r="W97" s="298"/>
      <c r="X97" s="698">
        <f t="shared" ca="1" si="78"/>
        <v>11</v>
      </c>
      <c r="Y97" s="698">
        <f t="shared" ca="1" si="84"/>
        <v>49</v>
      </c>
      <c r="Z97" s="698">
        <f t="shared" ca="1" si="85"/>
        <v>8</v>
      </c>
      <c r="AA97" s="698">
        <f t="shared" ca="1" si="86"/>
        <v>3</v>
      </c>
      <c r="AB97" s="698">
        <f t="shared" ca="1" si="87"/>
        <v>10</v>
      </c>
      <c r="AC97" s="55"/>
      <c r="AD97" s="81">
        <v>2030</v>
      </c>
      <c r="AE97" s="81"/>
      <c r="AF97" s="700"/>
    </row>
    <row r="98" spans="2:32">
      <c r="B98" s="357" t="s">
        <v>1008</v>
      </c>
      <c r="C98" s="55"/>
      <c r="D98" s="261"/>
      <c r="E98" s="261"/>
      <c r="F98" s="224" t="s">
        <v>1149</v>
      </c>
      <c r="G98" s="55"/>
      <c r="H98" s="174"/>
      <c r="I98" s="174" t="str">
        <f t="shared" si="21"/>
        <v>INDLWH</v>
      </c>
      <c r="J98" s="224">
        <f t="shared" si="31"/>
        <v>2050</v>
      </c>
      <c r="K98" s="81"/>
      <c r="L98" s="199">
        <f t="shared" ca="1" si="79"/>
        <v>1.1618960947726835</v>
      </c>
      <c r="M98" s="199"/>
      <c r="N98" s="81"/>
      <c r="O98" s="723">
        <f t="shared" ca="1" si="80"/>
        <v>4.3955000000000002</v>
      </c>
      <c r="P98" s="723">
        <f t="shared" ca="1" si="81"/>
        <v>0.25106499999999998</v>
      </c>
      <c r="Q98" s="81">
        <f t="shared" ca="1" si="82"/>
        <v>5.8937777777777782</v>
      </c>
      <c r="R98" s="300"/>
      <c r="S98" s="300"/>
      <c r="T98" s="300"/>
      <c r="U98" s="300"/>
      <c r="V98" s="199">
        <f t="shared" ref="V98" ca="1" si="89">IF(IF(RIGHT(H96,2)="PH",(1-L98)+$W$2,IF(RIGHT(H96,2)="HT",(1-L98)+$W$1,IF(RIGHT(H96,2)="SH",(1-L98)+$W$3,"")))&gt;0,IF(RIGHT(H96,2)="PH",(1-L98)+$W$2,IF(RIGHT(H96,2)="HT",(1-L98)+$W$1,IF(RIGHT(H96,2)="SH",(1-L98)+$W$3,""))),0)</f>
        <v>3.8103905227316492E-2</v>
      </c>
      <c r="W98" s="298"/>
      <c r="X98" s="698">
        <f t="shared" ca="1" si="78"/>
        <v>11</v>
      </c>
      <c r="Y98" s="698">
        <f t="shared" ca="1" si="84"/>
        <v>41</v>
      </c>
      <c r="Z98" s="698">
        <f t="shared" ca="1" si="85"/>
        <v>4</v>
      </c>
      <c r="AA98" s="698">
        <f t="shared" ca="1" si="86"/>
        <v>1</v>
      </c>
      <c r="AB98" s="698">
        <f t="shared" ca="1" si="87"/>
        <v>10</v>
      </c>
      <c r="AC98" s="203"/>
      <c r="AD98" s="81">
        <v>2050</v>
      </c>
      <c r="AE98" s="81"/>
      <c r="AF98" s="705"/>
    </row>
    <row r="99" spans="2:32">
      <c r="B99" s="357" t="s">
        <v>1008</v>
      </c>
      <c r="C99" s="55"/>
      <c r="D99" s="261" t="str">
        <f>"IND"&amp;RIGHT(H99,4)&amp;RIGHT(G99,3)&amp;"N"&amp;RIGHT(E99,1)</f>
        <v>INDLDSHWCHN2</v>
      </c>
      <c r="E99" s="261" t="str">
        <f>"Industrial heating technology "&amp;$AJ$12&amp;" "&amp;RIGHT(H99,2)&amp;" - Wood chip boiler (Steam - condensing) - new 2"</f>
        <v>Industrial heating technology L SH - Wood chip boiler (Steam - condensing) - new 2</v>
      </c>
      <c r="F99" s="224" t="s">
        <v>1149</v>
      </c>
      <c r="G99" s="174" t="s">
        <v>498</v>
      </c>
      <c r="H99" s="174" t="str">
        <f>$AI$15</f>
        <v>ILDSH</v>
      </c>
      <c r="I99" s="174" t="str">
        <f t="shared" si="21"/>
        <v>INDLWH</v>
      </c>
      <c r="J99" s="224">
        <f t="shared" si="31"/>
        <v>2011</v>
      </c>
      <c r="K99" s="299">
        <v>2025</v>
      </c>
      <c r="L99" s="199">
        <f t="shared" ca="1" si="79"/>
        <v>1.1618960947726835</v>
      </c>
      <c r="M99" s="199"/>
      <c r="N99" s="81">
        <f ca="1">VLOOKUP($AD99,INDIRECT("'"&amp;$B99&amp;"'!"&amp;"$P$118:$AD$121"),5,FALSE)</f>
        <v>25</v>
      </c>
      <c r="O99" s="723">
        <f t="shared" ca="1" si="80"/>
        <v>5.0660000000000007</v>
      </c>
      <c r="P99" s="723">
        <f t="shared" ca="1" si="81"/>
        <v>0.27564999999999995</v>
      </c>
      <c r="Q99" s="81">
        <f t="shared" ca="1" si="82"/>
        <v>5.7509861111111107</v>
      </c>
      <c r="R99" s="81">
        <v>3.1536000000000002E-2</v>
      </c>
      <c r="S99" s="199">
        <v>0.5</v>
      </c>
      <c r="T99" s="199">
        <f ca="1">HLOOKUP($T$2,INDIRECT("'"&amp;$B99&amp;"'!"&amp;"$P$85:$AC$98"),IF(H99=$AI$13,6,IF(H99=$AI$14,9,14)),FALSE)</f>
        <v>0</v>
      </c>
      <c r="U99" s="772"/>
      <c r="V99" s="199">
        <f t="shared" ref="V99" ca="1" si="90">IF(IF(RIGHT(H99,2)="PH",(1-L99)+$W$2,IF(RIGHT(H99,2)="HT",(1-L99)+$W$1,IF(RIGHT(H99,2)="SH",(1-L99)+$W$3,"")))&gt;0,IF(RIGHT(H99,2)="PH",(1-L99)+$W$2,IF(RIGHT(H99,2)="HT",(1-L99)+$W$1,IF(RIGHT(H99,2)="SH",(1-L99)+$W$3,""))),0)</f>
        <v>0</v>
      </c>
      <c r="W99" s="298"/>
      <c r="X99" s="698">
        <f t="shared" ca="1" si="78"/>
        <v>11</v>
      </c>
      <c r="Y99" s="698">
        <f t="shared" ca="1" si="84"/>
        <v>63</v>
      </c>
      <c r="Z99" s="698">
        <f t="shared" ca="1" si="85"/>
        <v>11</v>
      </c>
      <c r="AA99" s="698">
        <f t="shared" ca="1" si="86"/>
        <v>3</v>
      </c>
      <c r="AB99" s="698">
        <f t="shared" ca="1" si="87"/>
        <v>10</v>
      </c>
      <c r="AC99" s="296"/>
      <c r="AD99" s="81">
        <v>2020</v>
      </c>
      <c r="AE99" s="81"/>
      <c r="AF99" s="710"/>
    </row>
    <row r="100" spans="2:32">
      <c r="B100" s="357" t="s">
        <v>1008</v>
      </c>
      <c r="C100" s="55"/>
      <c r="D100" s="261"/>
      <c r="E100" s="261"/>
      <c r="F100" s="224" t="s">
        <v>1149</v>
      </c>
      <c r="G100" s="55"/>
      <c r="H100" s="174"/>
      <c r="I100" s="174" t="str">
        <f t="shared" si="21"/>
        <v>INDLWH</v>
      </c>
      <c r="J100" s="224">
        <f t="shared" si="31"/>
        <v>2030</v>
      </c>
      <c r="K100" s="81"/>
      <c r="L100" s="199">
        <f t="shared" ca="1" si="79"/>
        <v>1.1618960947726835</v>
      </c>
      <c r="M100" s="199"/>
      <c r="N100" s="81"/>
      <c r="O100" s="723">
        <f t="shared" ca="1" si="80"/>
        <v>4.8425000000000002</v>
      </c>
      <c r="P100" s="723">
        <f t="shared" ca="1" si="81"/>
        <v>0.267455</v>
      </c>
      <c r="Q100" s="81">
        <f t="shared" ca="1" si="82"/>
        <v>5.8461805555555557</v>
      </c>
      <c r="R100" s="300"/>
      <c r="S100" s="300"/>
      <c r="T100" s="300"/>
      <c r="U100" s="300"/>
      <c r="V100" s="199">
        <f t="shared" ref="V100" ca="1" si="91">IF(IF(RIGHT(H99,2)="PH",(1-L100)+$W$2,IF(RIGHT(H99,2)="HT",(1-L100)+$W$1,IF(RIGHT(H99,2)="SH",(1-L100)+$W$3,"")))&gt;0,IF(RIGHT(H99,2)="PH",(1-L100)+$W$2,IF(RIGHT(H99,2)="HT",(1-L100)+$W$1,IF(RIGHT(H99,2)="SH",(1-L100)+$W$3,""))),0)</f>
        <v>0</v>
      </c>
      <c r="W100" s="298"/>
      <c r="X100" s="698">
        <f t="shared" ca="1" si="78"/>
        <v>11</v>
      </c>
      <c r="Y100" s="698">
        <f t="shared" ca="1" si="84"/>
        <v>49</v>
      </c>
      <c r="Z100" s="698">
        <f t="shared" ca="1" si="85"/>
        <v>8</v>
      </c>
      <c r="AA100" s="698">
        <f t="shared" ca="1" si="86"/>
        <v>3</v>
      </c>
      <c r="AB100" s="698">
        <f t="shared" ca="1" si="87"/>
        <v>10</v>
      </c>
      <c r="AC100" s="55"/>
      <c r="AD100" s="81">
        <v>2030</v>
      </c>
      <c r="AE100" s="81"/>
      <c r="AF100" s="700"/>
    </row>
    <row r="101" spans="2:32">
      <c r="B101" s="356" t="s">
        <v>1008</v>
      </c>
      <c r="C101" s="203"/>
      <c r="D101" s="701"/>
      <c r="E101" s="701"/>
      <c r="F101" s="224" t="s">
        <v>1149</v>
      </c>
      <c r="G101" s="203"/>
      <c r="H101" s="702"/>
      <c r="I101" s="702" t="str">
        <f t="shared" si="21"/>
        <v>INDLWH</v>
      </c>
      <c r="J101" s="224">
        <f t="shared" si="31"/>
        <v>2050</v>
      </c>
      <c r="K101" s="81"/>
      <c r="L101" s="199">
        <f t="shared" ca="1" si="79"/>
        <v>1.1618960947726835</v>
      </c>
      <c r="M101" s="199"/>
      <c r="N101" s="81"/>
      <c r="O101" s="723">
        <f t="shared" ca="1" si="80"/>
        <v>4.3955000000000002</v>
      </c>
      <c r="P101" s="723">
        <f t="shared" ca="1" si="81"/>
        <v>0.25106499999999998</v>
      </c>
      <c r="Q101" s="81">
        <f t="shared" ca="1" si="82"/>
        <v>5.8937777777777782</v>
      </c>
      <c r="R101" s="703"/>
      <c r="S101" s="703"/>
      <c r="T101" s="703"/>
      <c r="U101" s="703"/>
      <c r="V101" s="199">
        <f t="shared" ref="V101" ca="1" si="92">IF(IF(RIGHT(H99,2)="PH",(1-L101)+$W$2,IF(RIGHT(H99,2)="HT",(1-L101)+$W$1,IF(RIGHT(H99,2)="SH",(1-L101)+$W$3,"")))&gt;0,IF(RIGHT(H99,2)="PH",(1-L101)+$W$2,IF(RIGHT(H99,2)="HT",(1-L101)+$W$1,IF(RIGHT(H99,2)="SH",(1-L101)+$W$3,""))),0)</f>
        <v>0</v>
      </c>
      <c r="W101" s="704"/>
      <c r="X101" s="698">
        <f t="shared" ca="1" si="78"/>
        <v>11</v>
      </c>
      <c r="Y101" s="698">
        <f t="shared" ca="1" si="84"/>
        <v>41</v>
      </c>
      <c r="Z101" s="698">
        <f t="shared" ca="1" si="85"/>
        <v>4</v>
      </c>
      <c r="AA101" s="698">
        <f t="shared" ca="1" si="86"/>
        <v>1</v>
      </c>
      <c r="AB101" s="698">
        <f t="shared" ca="1" si="87"/>
        <v>10</v>
      </c>
      <c r="AC101" s="55"/>
      <c r="AD101" s="81">
        <v>2050</v>
      </c>
      <c r="AE101" s="81"/>
      <c r="AF101" s="700"/>
    </row>
    <row r="102" spans="2:32">
      <c r="B102" s="717" t="s">
        <v>1008</v>
      </c>
      <c r="C102" s="712"/>
      <c r="D102" s="707" t="str">
        <f>"IND"&amp;RIGHT(H102,4)&amp;RIGHT(G102,3)&amp;"N"&amp;RIGHT(E102,1)</f>
        <v>INDLDPHWCHN3</v>
      </c>
      <c r="E102" s="707" t="str">
        <f>"Industrial heating technology "&amp;$AJ$12&amp;" "&amp;RIGHT(H102,2)&amp;" - Wood chip boiler (Hot Water) - new 3"</f>
        <v>Industrial heating technology L PH - Wood chip boiler (Hot Water) - new 3</v>
      </c>
      <c r="F102" s="224" t="s">
        <v>1149</v>
      </c>
      <c r="G102" s="708" t="s">
        <v>498</v>
      </c>
      <c r="H102" s="708" t="str">
        <f>$AI$14</f>
        <v>ILDPH</v>
      </c>
      <c r="I102" s="708" t="str">
        <f t="shared" si="21"/>
        <v>INDLWH</v>
      </c>
      <c r="J102" s="224">
        <f t="shared" si="31"/>
        <v>2011</v>
      </c>
      <c r="K102" s="299">
        <v>2025</v>
      </c>
      <c r="L102" s="199">
        <f t="shared" ref="L102:L107" ca="1" si="93">VLOOKUP($AD102,INDIRECT("'"&amp;$B102&amp;"'!"&amp;"$P$200:$AD$203"),3,FALSE)</f>
        <v>0.9</v>
      </c>
      <c r="M102" s="199"/>
      <c r="N102" s="81">
        <f ca="1">VLOOKUP($AD102,INDIRECT("'"&amp;$B102&amp;"'!"&amp;"$P$200:$AD$203"),5,FALSE)</f>
        <v>25</v>
      </c>
      <c r="O102" s="723">
        <f t="shared" ref="O102:O107" ca="1" si="94">VLOOKUP($AD102,INDIRECT("'"&amp;$B102&amp;"'!"&amp;"$P$200:$AD$203"),6,FALSE)/1000</f>
        <v>4.6054545454545437</v>
      </c>
      <c r="P102" s="723">
        <f t="shared" ref="P102:P107" ca="1" si="95">VLOOKUP($AD102,INDIRECT("'"&amp;$B102&amp;"'!"&amp;"$P$200:$AD$203"),7,FALSE)/1000</f>
        <v>0.25106499999999998</v>
      </c>
      <c r="Q102" s="81">
        <f t="shared" ref="Q102:Q107" ca="1" si="96">VLOOKUP($AD102,INDIRECT("'"&amp;$B102&amp;"'!"&amp;"$P$200:$AD$203"),8,FALSE)</f>
        <v>5.7509861111111107</v>
      </c>
      <c r="R102" s="81">
        <v>3.1536000000000002E-2</v>
      </c>
      <c r="S102" s="199">
        <v>0.5</v>
      </c>
      <c r="T102" s="199">
        <f ca="1">HLOOKUP($T$2,INDIRECT("'"&amp;$B102&amp;"'!"&amp;"$P$167:$AC$180"),IF(H102=$AI$13,6,IF(H102=$AI$14,9,14)),FALSE)</f>
        <v>0</v>
      </c>
      <c r="U102" s="773"/>
      <c r="V102" s="199">
        <f t="shared" ref="V102" ca="1" si="97">IF(IF(RIGHT(H102,2)="PH",(1-L102)+$W$2,IF(RIGHT(H102,2)="HT",(1-L102)+$W$1,IF(RIGHT(H102,2)="SH",(1-L102)+$W$3,"")))&gt;0,IF(RIGHT(H102,2)="PH",(1-L102)+$W$2,IF(RIGHT(H102,2)="HT",(1-L102)+$W$1,IF(RIGHT(H102,2)="SH",(1-L102)+$W$3,""))),0)</f>
        <v>0.3</v>
      </c>
      <c r="W102" s="709"/>
      <c r="X102" s="698">
        <f t="shared" ca="1" si="78"/>
        <v>11</v>
      </c>
      <c r="Y102" s="698">
        <f t="shared" ref="Y102:Y107" ca="1" si="98">VLOOKUP($AD102,INDIRECT("'"&amp;$B102&amp;"'!"&amp;"$P$200:$AD$203"),12,FALSE)</f>
        <v>63</v>
      </c>
      <c r="Z102" s="698">
        <f t="shared" ref="Z102:Z107" ca="1" si="99">VLOOKUP($AD102,INDIRECT("'"&amp;$B102&amp;"'!"&amp;"$P$200:$AD$203"),13,FALSE)</f>
        <v>11</v>
      </c>
      <c r="AA102" s="698">
        <f t="shared" ref="AA102:AA107" ca="1" si="100">VLOOKUP($AD102,INDIRECT("'"&amp;$B102&amp;"'!"&amp;"$P$200:$AD$203"),14,FALSE)</f>
        <v>3</v>
      </c>
      <c r="AB102" s="698">
        <f t="shared" ref="AB102:AB107" ca="1" si="101">VLOOKUP($AD102,INDIRECT("'"&amp;$B102&amp;"'!"&amp;"$P$200:$AD$203"),15,FALSE)</f>
        <v>10</v>
      </c>
      <c r="AC102" s="55"/>
      <c r="AD102" s="81">
        <v>2020</v>
      </c>
      <c r="AE102" s="81"/>
      <c r="AF102" s="700"/>
    </row>
    <row r="103" spans="2:32">
      <c r="B103" s="718" t="s">
        <v>1008</v>
      </c>
      <c r="C103" s="226"/>
      <c r="D103" s="261"/>
      <c r="E103" s="261"/>
      <c r="F103" s="224" t="s">
        <v>1149</v>
      </c>
      <c r="G103" s="55"/>
      <c r="H103" s="174"/>
      <c r="I103" s="174" t="str">
        <f t="shared" si="21"/>
        <v>INDLWH</v>
      </c>
      <c r="J103" s="224">
        <f t="shared" si="31"/>
        <v>2030</v>
      </c>
      <c r="K103" s="81"/>
      <c r="L103" s="199">
        <f t="shared" ca="1" si="93"/>
        <v>0.9</v>
      </c>
      <c r="M103" s="199"/>
      <c r="N103" s="81"/>
      <c r="O103" s="723">
        <f t="shared" ca="1" si="94"/>
        <v>4.4022727272727282</v>
      </c>
      <c r="P103" s="723">
        <f t="shared" ca="1" si="95"/>
        <v>0.267455</v>
      </c>
      <c r="Q103" s="81">
        <f t="shared" ca="1" si="96"/>
        <v>5.8461805555555557</v>
      </c>
      <c r="R103" s="300"/>
      <c r="S103" s="300"/>
      <c r="T103" s="300"/>
      <c r="U103" s="300"/>
      <c r="V103" s="199">
        <f t="shared" ref="V103" ca="1" si="102">IF(IF(RIGHT(H102,2)="PH",(1-L103)+$W$2,IF(RIGHT(H102,2)="HT",(1-L103)+$W$1,IF(RIGHT(H102,2)="SH",(1-L103)+$W$3,"")))&gt;0,IF(RIGHT(H102,2)="PH",(1-L103)+$W$2,IF(RIGHT(H102,2)="HT",(1-L103)+$W$1,IF(RIGHT(H102,2)="SH",(1-L103)+$W$3,""))),0)</f>
        <v>0.3</v>
      </c>
      <c r="W103" s="298"/>
      <c r="X103" s="698">
        <f t="shared" ca="1" si="78"/>
        <v>11</v>
      </c>
      <c r="Y103" s="698">
        <f t="shared" ca="1" si="98"/>
        <v>49</v>
      </c>
      <c r="Z103" s="698">
        <f t="shared" ca="1" si="99"/>
        <v>8</v>
      </c>
      <c r="AA103" s="698">
        <f t="shared" ca="1" si="100"/>
        <v>3</v>
      </c>
      <c r="AB103" s="698">
        <f t="shared" ca="1" si="101"/>
        <v>10</v>
      </c>
      <c r="AC103" s="55"/>
      <c r="AD103" s="81">
        <v>2030</v>
      </c>
      <c r="AE103" s="81"/>
      <c r="AF103" s="700"/>
    </row>
    <row r="104" spans="2:32">
      <c r="B104" s="718" t="s">
        <v>1008</v>
      </c>
      <c r="C104" s="226"/>
      <c r="D104" s="261"/>
      <c r="E104" s="261"/>
      <c r="F104" s="224" t="s">
        <v>1149</v>
      </c>
      <c r="G104" s="55"/>
      <c r="H104" s="174"/>
      <c r="I104" s="174" t="str">
        <f t="shared" si="21"/>
        <v>INDLWH</v>
      </c>
      <c r="J104" s="224">
        <f t="shared" si="31"/>
        <v>2050</v>
      </c>
      <c r="K104" s="81"/>
      <c r="L104" s="199">
        <f t="shared" ca="1" si="93"/>
        <v>0.91</v>
      </c>
      <c r="M104" s="199"/>
      <c r="N104" s="81"/>
      <c r="O104" s="723">
        <f t="shared" ca="1" si="94"/>
        <v>3.9959090909090884</v>
      </c>
      <c r="P104" s="723">
        <f t="shared" ca="1" si="95"/>
        <v>0.25106499999999998</v>
      </c>
      <c r="Q104" s="81">
        <f t="shared" ca="1" si="96"/>
        <v>5.8937777777777782</v>
      </c>
      <c r="R104" s="300"/>
      <c r="S104" s="300"/>
      <c r="T104" s="300"/>
      <c r="U104" s="300"/>
      <c r="V104" s="199">
        <f t="shared" ref="V104" ca="1" si="103">IF(IF(RIGHT(H102,2)="PH",(1-L104)+$W$2,IF(RIGHT(H102,2)="HT",(1-L104)+$W$1,IF(RIGHT(H102,2)="SH",(1-L104)+$W$3,"")))&gt;0,IF(RIGHT(H102,2)="PH",(1-L104)+$W$2,IF(RIGHT(H102,2)="HT",(1-L104)+$W$1,IF(RIGHT(H102,2)="SH",(1-L104)+$W$3,""))),0)</f>
        <v>0.28999999999999998</v>
      </c>
      <c r="W104" s="298"/>
      <c r="X104" s="698">
        <f t="shared" ca="1" si="78"/>
        <v>11</v>
      </c>
      <c r="Y104" s="698">
        <f t="shared" ca="1" si="98"/>
        <v>41</v>
      </c>
      <c r="Z104" s="698">
        <f t="shared" ca="1" si="99"/>
        <v>4</v>
      </c>
      <c r="AA104" s="698">
        <f t="shared" ca="1" si="100"/>
        <v>1</v>
      </c>
      <c r="AB104" s="698">
        <f t="shared" ca="1" si="101"/>
        <v>10</v>
      </c>
      <c r="AC104" s="203"/>
      <c r="AD104" s="81">
        <v>2050</v>
      </c>
      <c r="AE104" s="81"/>
      <c r="AF104" s="705"/>
    </row>
    <row r="105" spans="2:32">
      <c r="B105" s="718" t="s">
        <v>1008</v>
      </c>
      <c r="C105" s="226"/>
      <c r="D105" s="261" t="str">
        <f>"IND"&amp;RIGHT(H105,4)&amp;RIGHT(G105,3)&amp;"N"&amp;RIGHT(E105,1)</f>
        <v>INDLDSHWCHN3</v>
      </c>
      <c r="E105" s="261" t="str">
        <f>"Industrial heating technology "&amp;$AJ$12&amp;" "&amp;RIGHT(H105,2)&amp;" - Wood chip boiler (Hot Water) - new 3"</f>
        <v>Industrial heating technology L SH - Wood chip boiler (Hot Water) - new 3</v>
      </c>
      <c r="F105" s="224" t="s">
        <v>1149</v>
      </c>
      <c r="G105" s="174" t="s">
        <v>498</v>
      </c>
      <c r="H105" s="174" t="str">
        <f>$AI$15</f>
        <v>ILDSH</v>
      </c>
      <c r="I105" s="174" t="str">
        <f t="shared" si="21"/>
        <v>INDLWH</v>
      </c>
      <c r="J105" s="224">
        <f t="shared" si="31"/>
        <v>2011</v>
      </c>
      <c r="K105" s="299">
        <v>2025</v>
      </c>
      <c r="L105" s="199">
        <f t="shared" ca="1" si="93"/>
        <v>0.9</v>
      </c>
      <c r="M105" s="199"/>
      <c r="N105" s="81">
        <f ca="1">VLOOKUP($AD105,INDIRECT("'"&amp;$B105&amp;"'!"&amp;"$P$200:$AD$203"),5,FALSE)</f>
        <v>25</v>
      </c>
      <c r="O105" s="723">
        <f t="shared" ca="1" si="94"/>
        <v>4.6054545454545437</v>
      </c>
      <c r="P105" s="723">
        <f t="shared" ca="1" si="95"/>
        <v>0.25106499999999998</v>
      </c>
      <c r="Q105" s="81">
        <f t="shared" ca="1" si="96"/>
        <v>5.7509861111111107</v>
      </c>
      <c r="R105" s="81">
        <v>3.1536000000000002E-2</v>
      </c>
      <c r="S105" s="199">
        <v>0.5</v>
      </c>
      <c r="T105" s="199">
        <f ca="1">HLOOKUP($T$2,INDIRECT("'"&amp;$B105&amp;"'!"&amp;"$P$167:$AC$180"),IF(H105=$AI$13,6,IF(H105=$AI$14,9,14)),FALSE)</f>
        <v>1</v>
      </c>
      <c r="U105" s="773"/>
      <c r="V105" s="199">
        <f t="shared" ref="V105" ca="1" si="104">IF(IF(RIGHT(H105,2)="PH",(1-L105)+$W$2,IF(RIGHT(H105,2)="HT",(1-L105)+$W$1,IF(RIGHT(H105,2)="SH",(1-L105)+$W$3,"")))&gt;0,IF(RIGHT(H105,2)="PH",(1-L105)+$W$2,IF(RIGHT(H105,2)="HT",(1-L105)+$W$1,IF(RIGHT(H105,2)="SH",(1-L105)+$W$3,""))),0)</f>
        <v>9.9999999999999978E-2</v>
      </c>
      <c r="W105" s="709"/>
      <c r="X105" s="698">
        <f t="shared" ca="1" si="78"/>
        <v>11</v>
      </c>
      <c r="Y105" s="698">
        <f t="shared" ca="1" si="98"/>
        <v>63</v>
      </c>
      <c r="Z105" s="698">
        <f t="shared" ca="1" si="99"/>
        <v>11</v>
      </c>
      <c r="AA105" s="698">
        <f t="shared" ca="1" si="100"/>
        <v>3</v>
      </c>
      <c r="AB105" s="698">
        <f t="shared" ca="1" si="101"/>
        <v>10</v>
      </c>
      <c r="AC105" s="296"/>
      <c r="AD105" s="81">
        <v>2020</v>
      </c>
      <c r="AE105" s="81"/>
      <c r="AF105" s="710"/>
    </row>
    <row r="106" spans="2:32">
      <c r="B106" s="718" t="s">
        <v>1008</v>
      </c>
      <c r="C106" s="226"/>
      <c r="D106" s="261"/>
      <c r="E106" s="261"/>
      <c r="F106" s="224" t="s">
        <v>1149</v>
      </c>
      <c r="G106" s="55"/>
      <c r="H106" s="174"/>
      <c r="I106" s="174" t="str">
        <f t="shared" si="21"/>
        <v>INDLWH</v>
      </c>
      <c r="J106" s="224">
        <f t="shared" si="31"/>
        <v>2030</v>
      </c>
      <c r="K106" s="81"/>
      <c r="L106" s="199">
        <f t="shared" ca="1" si="93"/>
        <v>0.9</v>
      </c>
      <c r="M106" s="199"/>
      <c r="N106" s="81"/>
      <c r="O106" s="723">
        <f t="shared" ca="1" si="94"/>
        <v>4.4022727272727282</v>
      </c>
      <c r="P106" s="723">
        <f t="shared" ca="1" si="95"/>
        <v>0.267455</v>
      </c>
      <c r="Q106" s="81">
        <f t="shared" ca="1" si="96"/>
        <v>5.8461805555555557</v>
      </c>
      <c r="R106" s="300"/>
      <c r="S106" s="300"/>
      <c r="T106" s="300"/>
      <c r="U106" s="300"/>
      <c r="V106" s="199">
        <f t="shared" ref="V106" ca="1" si="105">IF(IF(RIGHT(H105,2)="PH",(1-L106)+$W$2,IF(RIGHT(H105,2)="HT",(1-L106)+$W$1,IF(RIGHT(H105,2)="SH",(1-L106)+$W$3,"")))&gt;0,IF(RIGHT(H105,2)="PH",(1-L106)+$W$2,IF(RIGHT(H105,2)="HT",(1-L106)+$W$1,IF(RIGHT(H105,2)="SH",(1-L106)+$W$3,""))),0)</f>
        <v>9.9999999999999978E-2</v>
      </c>
      <c r="W106" s="298"/>
      <c r="X106" s="698">
        <f t="shared" ca="1" si="78"/>
        <v>11</v>
      </c>
      <c r="Y106" s="698">
        <f t="shared" ca="1" si="98"/>
        <v>49</v>
      </c>
      <c r="Z106" s="698">
        <f t="shared" ca="1" si="99"/>
        <v>8</v>
      </c>
      <c r="AA106" s="698">
        <f t="shared" ca="1" si="100"/>
        <v>3</v>
      </c>
      <c r="AB106" s="698">
        <f t="shared" ca="1" si="101"/>
        <v>10</v>
      </c>
      <c r="AC106" s="55"/>
      <c r="AD106" s="81">
        <v>2030</v>
      </c>
      <c r="AE106" s="81"/>
      <c r="AF106" s="700"/>
    </row>
    <row r="107" spans="2:32">
      <c r="B107" s="719" t="s">
        <v>1008</v>
      </c>
      <c r="C107" s="713"/>
      <c r="D107" s="701"/>
      <c r="E107" s="701"/>
      <c r="F107" s="224" t="s">
        <v>1149</v>
      </c>
      <c r="G107" s="203"/>
      <c r="H107" s="702"/>
      <c r="I107" s="702" t="str">
        <f t="shared" si="21"/>
        <v>INDLWH</v>
      </c>
      <c r="J107" s="224">
        <f t="shared" si="31"/>
        <v>2050</v>
      </c>
      <c r="K107" s="81"/>
      <c r="L107" s="199">
        <f t="shared" ca="1" si="93"/>
        <v>0.91</v>
      </c>
      <c r="M107" s="199"/>
      <c r="N107" s="81"/>
      <c r="O107" s="723">
        <f t="shared" ca="1" si="94"/>
        <v>3.9959090909090884</v>
      </c>
      <c r="P107" s="723">
        <f t="shared" ca="1" si="95"/>
        <v>0.25106499999999998</v>
      </c>
      <c r="Q107" s="81">
        <f t="shared" ca="1" si="96"/>
        <v>5.8937777777777782</v>
      </c>
      <c r="R107" s="300"/>
      <c r="S107" s="300"/>
      <c r="T107" s="300"/>
      <c r="U107" s="300"/>
      <c r="V107" s="199">
        <f t="shared" ref="V107" ca="1" si="106">IF(IF(RIGHT(H105,2)="PH",(1-L107)+$W$2,IF(RIGHT(H105,2)="HT",(1-L107)+$W$1,IF(RIGHT(H105,2)="SH",(1-L107)+$W$3,"")))&gt;0,IF(RIGHT(H105,2)="PH",(1-L107)+$W$2,IF(RIGHT(H105,2)="HT",(1-L107)+$W$1,IF(RIGHT(H105,2)="SH",(1-L107)+$W$3,""))),0)</f>
        <v>8.9999999999999969E-2</v>
      </c>
      <c r="W107" s="298"/>
      <c r="X107" s="698">
        <f t="shared" ca="1" si="78"/>
        <v>11</v>
      </c>
      <c r="Y107" s="698">
        <f t="shared" ca="1" si="98"/>
        <v>41</v>
      </c>
      <c r="Z107" s="698">
        <f t="shared" ca="1" si="99"/>
        <v>4</v>
      </c>
      <c r="AA107" s="698">
        <f t="shared" ca="1" si="100"/>
        <v>1</v>
      </c>
      <c r="AB107" s="698">
        <f t="shared" ca="1" si="101"/>
        <v>10</v>
      </c>
      <c r="AC107" s="55"/>
      <c r="AD107" s="81">
        <v>2050</v>
      </c>
      <c r="AE107" s="81"/>
      <c r="AF107" s="700"/>
    </row>
    <row r="108" spans="2:32">
      <c r="B108" s="717" t="s">
        <v>1008</v>
      </c>
      <c r="C108" s="712"/>
      <c r="D108" s="707" t="str">
        <f>"IND"&amp;RIGHT(H108,4)&amp;RIGHT(G108,3)&amp;"N"&amp;RIGHT(E108,1)</f>
        <v>INDLDPHWCHN4</v>
      </c>
      <c r="E108" s="707" t="str">
        <f>"Industrial heating technology "&amp;$AJ$12&amp;" "&amp;RIGHT(H108,2)&amp;" - Wood chip boiler (Hot Water - condensing) - new 4"</f>
        <v>Industrial heating technology L PH - Wood chip boiler (Hot Water - condensing) - new 4</v>
      </c>
      <c r="F108" s="224" t="s">
        <v>1149</v>
      </c>
      <c r="G108" s="708" t="s">
        <v>498</v>
      </c>
      <c r="H108" s="708" t="str">
        <f>$AI$14</f>
        <v>ILDPH</v>
      </c>
      <c r="I108" s="708" t="str">
        <f t="shared" si="21"/>
        <v>INDLWH</v>
      </c>
      <c r="J108" s="224">
        <f t="shared" si="31"/>
        <v>2011</v>
      </c>
      <c r="K108" s="299">
        <v>2025</v>
      </c>
      <c r="L108" s="199">
        <f t="shared" ref="L108:L113" ca="1" si="107">VLOOKUP($AD108,INDIRECT("'"&amp;$B108&amp;"'!"&amp;"$P$279:$AD$282"),3,FALSE)</f>
        <v>1.1618960947726835</v>
      </c>
      <c r="M108" s="199"/>
      <c r="N108" s="81">
        <f ca="1">VLOOKUP($AD108,INDIRECT("'"&amp;$B108&amp;"'!"&amp;"$P$279:$AD$282"),5,FALSE)</f>
        <v>25</v>
      </c>
      <c r="O108" s="723">
        <f t="shared" ref="O108:O113" ca="1" si="108">VLOOKUP($AD108,INDIRECT("'"&amp;$B108&amp;"'!"&amp;"$P$279:$AD$282"),6,FALSE)/1000</f>
        <v>5.0660000000000007</v>
      </c>
      <c r="P108" s="723">
        <f t="shared" ref="P108:P113" ca="1" si="109">VLOOKUP($AD108,INDIRECT("'"&amp;$B108&amp;"'!"&amp;"$P$279:$AD$282"),7,FALSE)/1000</f>
        <v>0.27564999999999995</v>
      </c>
      <c r="Q108" s="81">
        <f t="shared" ref="Q108:Q113" ca="1" si="110">VLOOKUP($AD108,INDIRECT("'"&amp;$B108&amp;"'!"&amp;"$P$279:$AD$282"),8,FALSE)</f>
        <v>5.7509861111111107</v>
      </c>
      <c r="R108" s="81">
        <v>3.1536000000000002E-2</v>
      </c>
      <c r="S108" s="199">
        <v>0.5</v>
      </c>
      <c r="T108" s="199">
        <f ca="1">HLOOKUP($T$2,INDIRECT("'"&amp;$B108&amp;"'!"&amp;"$P$246:$AC$259"),IF(H108=$AI$13,6,IF(H108=$AI$14,9,14)),FALSE)</f>
        <v>0</v>
      </c>
      <c r="U108" s="773"/>
      <c r="V108" s="199">
        <f t="shared" ref="V108" ca="1" si="111">IF(IF(RIGHT(H108,2)="PH",(1-L108)+$W$2,IF(RIGHT(H108,2)="HT",(1-L108)+$W$1,IF(RIGHT(H108,2)="SH",(1-L108)+$W$3,"")))&gt;0,IF(RIGHT(H108,2)="PH",(1-L108)+$W$2,IF(RIGHT(H108,2)="HT",(1-L108)+$W$1,IF(RIGHT(H108,2)="SH",(1-L108)+$W$3,""))),0)</f>
        <v>3.8103905227316492E-2</v>
      </c>
      <c r="W108" s="709"/>
      <c r="X108" s="698">
        <f t="shared" ca="1" si="78"/>
        <v>11</v>
      </c>
      <c r="Y108" s="698">
        <f t="shared" ref="Y108:Y113" ca="1" si="112">VLOOKUP($AD108,INDIRECT("'"&amp;$B108&amp;"'!"&amp;"$P$279:$AD$282"),12,FALSE)</f>
        <v>63</v>
      </c>
      <c r="Z108" s="698">
        <f t="shared" ref="Z108:Z113" ca="1" si="113">VLOOKUP($AD108,INDIRECT("'"&amp;$B108&amp;"'!"&amp;"$P$279:$AD$282"),13,FALSE)</f>
        <v>11</v>
      </c>
      <c r="AA108" s="698">
        <f t="shared" ref="AA108:AA113" ca="1" si="114">VLOOKUP($AD108,INDIRECT("'"&amp;$B108&amp;"'!"&amp;"$P$279:$AD$282"),14,FALSE)</f>
        <v>3</v>
      </c>
      <c r="AB108" s="698">
        <f t="shared" ref="AB108:AB113" ca="1" si="115">VLOOKUP($AD108,INDIRECT("'"&amp;$B108&amp;"'!"&amp;"$P$279:$AD$282"),15,FALSE)</f>
        <v>10</v>
      </c>
      <c r="AC108" s="55"/>
      <c r="AD108" s="81">
        <v>2020</v>
      </c>
      <c r="AE108" s="81"/>
      <c r="AF108" s="700"/>
    </row>
    <row r="109" spans="2:32">
      <c r="B109" s="718" t="s">
        <v>1008</v>
      </c>
      <c r="C109" s="226"/>
      <c r="D109" s="261"/>
      <c r="E109" s="261"/>
      <c r="F109" s="224" t="s">
        <v>1149</v>
      </c>
      <c r="G109" s="55"/>
      <c r="H109" s="174"/>
      <c r="I109" s="174" t="str">
        <f t="shared" si="21"/>
        <v>INDLWH</v>
      </c>
      <c r="J109" s="224">
        <f t="shared" si="31"/>
        <v>2030</v>
      </c>
      <c r="K109" s="81"/>
      <c r="L109" s="199">
        <f t="shared" ca="1" si="107"/>
        <v>1.1618960947726835</v>
      </c>
      <c r="M109" s="199"/>
      <c r="N109" s="81"/>
      <c r="O109" s="723">
        <f t="shared" ca="1" si="108"/>
        <v>4.8425000000000002</v>
      </c>
      <c r="P109" s="723">
        <f t="shared" ca="1" si="109"/>
        <v>0.267455</v>
      </c>
      <c r="Q109" s="81">
        <f t="shared" ca="1" si="110"/>
        <v>5.8461805555555557</v>
      </c>
      <c r="R109" s="300"/>
      <c r="S109" s="300"/>
      <c r="T109" s="300"/>
      <c r="U109" s="300"/>
      <c r="V109" s="199">
        <f t="shared" ref="V109" ca="1" si="116">IF(IF(RIGHT(H108,2)="PH",(1-L109)+$W$2,IF(RIGHT(H108,2)="HT",(1-L109)+$W$1,IF(RIGHT(H108,2)="SH",(1-L109)+$W$3,"")))&gt;0,IF(RIGHT(H108,2)="PH",(1-L109)+$W$2,IF(RIGHT(H108,2)="HT",(1-L109)+$W$1,IF(RIGHT(H108,2)="SH",(1-L109)+$W$3,""))),0)</f>
        <v>3.8103905227316492E-2</v>
      </c>
      <c r="W109" s="298"/>
      <c r="X109" s="698">
        <f t="shared" ca="1" si="78"/>
        <v>11</v>
      </c>
      <c r="Y109" s="698">
        <f t="shared" ca="1" si="112"/>
        <v>49</v>
      </c>
      <c r="Z109" s="698">
        <f t="shared" ca="1" si="113"/>
        <v>8</v>
      </c>
      <c r="AA109" s="698">
        <f t="shared" ca="1" si="114"/>
        <v>3</v>
      </c>
      <c r="AB109" s="698">
        <f t="shared" ca="1" si="115"/>
        <v>10</v>
      </c>
      <c r="AC109" s="55"/>
      <c r="AD109" s="81">
        <v>2030</v>
      </c>
      <c r="AE109" s="81"/>
      <c r="AF109" s="700"/>
    </row>
    <row r="110" spans="2:32">
      <c r="B110" s="718" t="s">
        <v>1008</v>
      </c>
      <c r="C110" s="226"/>
      <c r="D110" s="261"/>
      <c r="E110" s="261"/>
      <c r="F110" s="224" t="s">
        <v>1149</v>
      </c>
      <c r="G110" s="55"/>
      <c r="H110" s="174"/>
      <c r="I110" s="174" t="str">
        <f t="shared" si="21"/>
        <v>INDLWH</v>
      </c>
      <c r="J110" s="224">
        <f t="shared" si="31"/>
        <v>2050</v>
      </c>
      <c r="K110" s="81"/>
      <c r="L110" s="199">
        <f t="shared" ca="1" si="107"/>
        <v>1.1618960947726835</v>
      </c>
      <c r="M110" s="199"/>
      <c r="N110" s="81"/>
      <c r="O110" s="723">
        <f t="shared" ca="1" si="108"/>
        <v>4.3955000000000002</v>
      </c>
      <c r="P110" s="723">
        <f t="shared" ca="1" si="109"/>
        <v>0.25106499999999998</v>
      </c>
      <c r="Q110" s="81">
        <f t="shared" ca="1" si="110"/>
        <v>5.8937777777777782</v>
      </c>
      <c r="R110" s="300"/>
      <c r="S110" s="300"/>
      <c r="T110" s="300"/>
      <c r="U110" s="300"/>
      <c r="V110" s="199">
        <f t="shared" ref="V110" ca="1" si="117">IF(IF(RIGHT(H108,2)="PH",(1-L110)+$W$2,IF(RIGHT(H108,2)="HT",(1-L110)+$W$1,IF(RIGHT(H108,2)="SH",(1-L110)+$W$3,"")))&gt;0,IF(RIGHT(H108,2)="PH",(1-L110)+$W$2,IF(RIGHT(H108,2)="HT",(1-L110)+$W$1,IF(RIGHT(H108,2)="SH",(1-L110)+$W$3,""))),0)</f>
        <v>3.8103905227316492E-2</v>
      </c>
      <c r="W110" s="298"/>
      <c r="X110" s="698">
        <f t="shared" ca="1" si="78"/>
        <v>11</v>
      </c>
      <c r="Y110" s="698">
        <f t="shared" ca="1" si="112"/>
        <v>41</v>
      </c>
      <c r="Z110" s="698">
        <f t="shared" ca="1" si="113"/>
        <v>4</v>
      </c>
      <c r="AA110" s="698">
        <f t="shared" ca="1" si="114"/>
        <v>1</v>
      </c>
      <c r="AB110" s="698">
        <f t="shared" ca="1" si="115"/>
        <v>10</v>
      </c>
      <c r="AC110" s="203"/>
      <c r="AD110" s="81">
        <v>2050</v>
      </c>
      <c r="AE110" s="81"/>
      <c r="AF110" s="705"/>
    </row>
    <row r="111" spans="2:32">
      <c r="B111" s="718" t="s">
        <v>1008</v>
      </c>
      <c r="C111" s="226"/>
      <c r="D111" s="261" t="str">
        <f>"IND"&amp;RIGHT(H111,4)&amp;RIGHT(G111,3)&amp;"N"&amp;RIGHT(E111,1)</f>
        <v>INDLDSHWCHN4</v>
      </c>
      <c r="E111" s="261" t="str">
        <f>"Industrial heating technology "&amp;$AJ$12&amp;" "&amp;RIGHT(H111,2)&amp;" - Wood chip boiler (Hot Water- condensing) - new 4"</f>
        <v>Industrial heating technology L SH - Wood chip boiler (Hot Water- condensing) - new 4</v>
      </c>
      <c r="F111" s="224" t="s">
        <v>1149</v>
      </c>
      <c r="G111" s="174" t="s">
        <v>498</v>
      </c>
      <c r="H111" s="174" t="str">
        <f>$AI$15</f>
        <v>ILDSH</v>
      </c>
      <c r="I111" s="174" t="str">
        <f t="shared" si="21"/>
        <v>INDLWH</v>
      </c>
      <c r="J111" s="224">
        <f t="shared" si="31"/>
        <v>2011</v>
      </c>
      <c r="K111" s="299">
        <v>2025</v>
      </c>
      <c r="L111" s="199">
        <f t="shared" ca="1" si="107"/>
        <v>1.1618960947726835</v>
      </c>
      <c r="M111" s="199"/>
      <c r="N111" s="81">
        <f ca="1">VLOOKUP($AD111,INDIRECT("'"&amp;$B111&amp;"'!"&amp;"$P$279:$AD$282"),5,FALSE)</f>
        <v>25</v>
      </c>
      <c r="O111" s="723">
        <f t="shared" ca="1" si="108"/>
        <v>5.0660000000000007</v>
      </c>
      <c r="P111" s="723">
        <f t="shared" ca="1" si="109"/>
        <v>0.27564999999999995</v>
      </c>
      <c r="Q111" s="81">
        <f t="shared" ca="1" si="110"/>
        <v>5.7509861111111107</v>
      </c>
      <c r="R111" s="81">
        <v>3.1536000000000002E-2</v>
      </c>
      <c r="S111" s="199">
        <v>0.5</v>
      </c>
      <c r="T111" s="199">
        <f ca="1">HLOOKUP($T$2,INDIRECT("'"&amp;$B111&amp;"'!"&amp;"$P$246:$AC$259"),IF(H111=$AI$13,6,IF(H111=$AI$14,9,14)),FALSE)</f>
        <v>0</v>
      </c>
      <c r="U111" s="773"/>
      <c r="V111" s="199">
        <f t="shared" ref="V111" ca="1" si="118">IF(IF(RIGHT(H111,2)="PH",(1-L111)+$W$2,IF(RIGHT(H111,2)="HT",(1-L111)+$W$1,IF(RIGHT(H111,2)="SH",(1-L111)+$W$3,"")))&gt;0,IF(RIGHT(H111,2)="PH",(1-L111)+$W$2,IF(RIGHT(H111,2)="HT",(1-L111)+$W$1,IF(RIGHT(H111,2)="SH",(1-L111)+$W$3,""))),0)</f>
        <v>0</v>
      </c>
      <c r="W111" s="709"/>
      <c r="X111" s="698">
        <f t="shared" ca="1" si="78"/>
        <v>11</v>
      </c>
      <c r="Y111" s="698">
        <f t="shared" ca="1" si="112"/>
        <v>63</v>
      </c>
      <c r="Z111" s="698">
        <f t="shared" ca="1" si="113"/>
        <v>11</v>
      </c>
      <c r="AA111" s="698">
        <f t="shared" ca="1" si="114"/>
        <v>3</v>
      </c>
      <c r="AB111" s="698">
        <f t="shared" ca="1" si="115"/>
        <v>10</v>
      </c>
      <c r="AD111" s="81">
        <v>2020</v>
      </c>
      <c r="AE111" s="81"/>
      <c r="AF111" s="220"/>
    </row>
    <row r="112" spans="2:32">
      <c r="B112" s="718" t="s">
        <v>1008</v>
      </c>
      <c r="C112" s="226"/>
      <c r="D112" s="261"/>
      <c r="E112" s="261"/>
      <c r="F112" s="224" t="s">
        <v>1149</v>
      </c>
      <c r="G112" s="55"/>
      <c r="H112" s="174"/>
      <c r="I112" s="174" t="str">
        <f t="shared" si="21"/>
        <v>INDLWH</v>
      </c>
      <c r="J112" s="224">
        <f t="shared" si="31"/>
        <v>2030</v>
      </c>
      <c r="K112" s="81"/>
      <c r="L112" s="199">
        <f t="shared" ca="1" si="107"/>
        <v>1.1618960947726835</v>
      </c>
      <c r="M112" s="199"/>
      <c r="N112" s="81"/>
      <c r="O112" s="723">
        <f t="shared" ca="1" si="108"/>
        <v>4.8425000000000002</v>
      </c>
      <c r="P112" s="723">
        <f t="shared" ca="1" si="109"/>
        <v>0.267455</v>
      </c>
      <c r="Q112" s="81">
        <f t="shared" ca="1" si="110"/>
        <v>5.8461805555555557</v>
      </c>
      <c r="R112" s="300"/>
      <c r="S112" s="300"/>
      <c r="T112" s="300"/>
      <c r="U112" s="300"/>
      <c r="V112" s="199">
        <f t="shared" ref="V112" ca="1" si="119">IF(IF(RIGHT(H111,2)="PH",(1-L112)+$W$2,IF(RIGHT(H111,2)="HT",(1-L112)+$W$1,IF(RIGHT(H111,2)="SH",(1-L112)+$W$3,"")))&gt;0,IF(RIGHT(H111,2)="PH",(1-L112)+$W$2,IF(RIGHT(H111,2)="HT",(1-L112)+$W$1,IF(RIGHT(H111,2)="SH",(1-L112)+$W$3,""))),0)</f>
        <v>0</v>
      </c>
      <c r="W112" s="298"/>
      <c r="X112" s="698">
        <f t="shared" ca="1" si="78"/>
        <v>11</v>
      </c>
      <c r="Y112" s="698">
        <f t="shared" ca="1" si="112"/>
        <v>49</v>
      </c>
      <c r="Z112" s="698">
        <f t="shared" ca="1" si="113"/>
        <v>8</v>
      </c>
      <c r="AA112" s="698">
        <f t="shared" ca="1" si="114"/>
        <v>3</v>
      </c>
      <c r="AB112" s="698">
        <f t="shared" ca="1" si="115"/>
        <v>10</v>
      </c>
      <c r="AD112" s="81">
        <v>2030</v>
      </c>
      <c r="AE112" s="81"/>
      <c r="AF112" s="220"/>
    </row>
    <row r="113" spans="2:32">
      <c r="B113" s="719" t="s">
        <v>1008</v>
      </c>
      <c r="C113" s="713"/>
      <c r="D113" s="701"/>
      <c r="E113" s="701"/>
      <c r="F113" s="224" t="s">
        <v>1149</v>
      </c>
      <c r="G113" s="203"/>
      <c r="H113" s="702"/>
      <c r="I113" s="702" t="str">
        <f t="shared" si="21"/>
        <v>INDLWH</v>
      </c>
      <c r="J113" s="224">
        <f t="shared" si="31"/>
        <v>2050</v>
      </c>
      <c r="K113" s="81"/>
      <c r="L113" s="199">
        <f t="shared" ca="1" si="107"/>
        <v>1.1618960947726835</v>
      </c>
      <c r="M113" s="199"/>
      <c r="N113" s="81"/>
      <c r="O113" s="723">
        <f t="shared" ca="1" si="108"/>
        <v>4.3955000000000002</v>
      </c>
      <c r="P113" s="723">
        <f t="shared" ca="1" si="109"/>
        <v>0.25106499999999998</v>
      </c>
      <c r="Q113" s="81">
        <f t="shared" ca="1" si="110"/>
        <v>5.8937777777777782</v>
      </c>
      <c r="R113" s="300"/>
      <c r="S113" s="300"/>
      <c r="T113" s="300"/>
      <c r="U113" s="300"/>
      <c r="V113" s="199">
        <f t="shared" ref="V113" ca="1" si="120">IF(IF(RIGHT(H111,2)="PH",(1-L113)+$W$2,IF(RIGHT(H111,2)="HT",(1-L113)+$W$1,IF(RIGHT(H111,2)="SH",(1-L113)+$W$3,"")))&gt;0,IF(RIGHT(H111,2)="PH",(1-L113)+$W$2,IF(RIGHT(H111,2)="HT",(1-L113)+$W$1,IF(RIGHT(H111,2)="SH",(1-L113)+$W$3,""))),0)</f>
        <v>0</v>
      </c>
      <c r="W113" s="714"/>
      <c r="X113" s="698">
        <f t="shared" ca="1" si="78"/>
        <v>11</v>
      </c>
      <c r="Y113" s="698">
        <f t="shared" ca="1" si="112"/>
        <v>41</v>
      </c>
      <c r="Z113" s="698">
        <f t="shared" ca="1" si="113"/>
        <v>4</v>
      </c>
      <c r="AA113" s="698">
        <f t="shared" ca="1" si="114"/>
        <v>1</v>
      </c>
      <c r="AB113" s="698">
        <f t="shared" ca="1" si="115"/>
        <v>10</v>
      </c>
      <c r="AD113" s="81">
        <v>2050</v>
      </c>
      <c r="AE113" s="81"/>
      <c r="AF113" s="220"/>
    </row>
    <row r="114" spans="2:32">
      <c r="B114" s="718" t="s">
        <v>1014</v>
      </c>
      <c r="C114" s="226"/>
      <c r="D114" s="212" t="str">
        <f>"IND"&amp;RIGHT(H114,4)&amp;RIGHT(G114,3)&amp;"N"&amp;RIGHT(E114,2)</f>
        <v>INDLDPHELCN10</v>
      </c>
      <c r="E114" s="261" t="str">
        <f>"Industrial heating technology "&amp;$AJ$12&amp;" "&amp;RIGHT(H114,2)&amp;" - Direct electric heating - new 10"</f>
        <v>Industrial heating technology L PH - Direct electric heating - new 10</v>
      </c>
      <c r="F114" s="224" t="s">
        <v>1149</v>
      </c>
      <c r="G114" s="173" t="s">
        <v>499</v>
      </c>
      <c r="H114" s="174" t="str">
        <f>$AI$13</f>
        <v>ILDPH</v>
      </c>
      <c r="I114" s="174" t="str">
        <f t="shared" si="21"/>
        <v>INDLWH</v>
      </c>
      <c r="J114" s="224">
        <f t="shared" si="31"/>
        <v>2011</v>
      </c>
      <c r="K114" s="299">
        <v>2020</v>
      </c>
      <c r="L114" s="199">
        <f t="shared" ref="L114:L128" ca="1" si="121">VLOOKUP($AD114,INDIRECT("'"&amp;$B114&amp;"'!"&amp;"$P$39:$AD$42"),3,FALSE)</f>
        <v>1</v>
      </c>
      <c r="M114" s="199"/>
      <c r="N114" s="81">
        <f ca="1">VLOOKUP($AD114,INDIRECT("'"&amp;$B114&amp;"'!"&amp;"$P$39:$AD$42"),5,FALSE)</f>
        <v>12.5</v>
      </c>
      <c r="O114" s="723">
        <f t="shared" ref="O114:O128" ca="1" si="122">VLOOKUP($AD114,INDIRECT("'"&amp;$B114&amp;"'!"&amp;"$P$39:$AD$42"),6,FALSE)/1000</f>
        <v>0.44700000000000001</v>
      </c>
      <c r="P114" s="723">
        <f t="shared" ref="P114:P128" ca="1" si="123">VLOOKUP($AD114,INDIRECT("'"&amp;$B114&amp;"'!"&amp;"$P$39:$AD$42"),7,FALSE)/1000</f>
        <v>0</v>
      </c>
      <c r="Q114" s="81">
        <f t="shared" ref="Q114:Q128" ca="1" si="124">VLOOKUP($AD114,INDIRECT("'"&amp;$B114&amp;"'!"&amp;"$P$39:$AD$42"),8,FALSE)</f>
        <v>0.37767361111111114</v>
      </c>
      <c r="R114" s="81">
        <v>3.1536000000000002E-2</v>
      </c>
      <c r="S114" s="199">
        <v>0.5</v>
      </c>
      <c r="T114" s="199">
        <f ca="1">HLOOKUP($S$2,INDIRECT("'"&amp;$B114&amp;"'!"&amp;"$P$6:$AC$19"),IF(H114=$AI$13,6,IF(H114=$AI$14,9,14)),FALSE)</f>
        <v>1</v>
      </c>
      <c r="U114" s="772"/>
      <c r="V114" s="199">
        <f t="shared" ref="V114" ca="1" si="125">IF(IF(RIGHT(H114,2)="PH",(1-L114)+$W$2,IF(RIGHT(H114,2)="HT",(1-L114)+$W$1,IF(RIGHT(H114,2)="SH",(1-L114)+$W$3,"")))&gt;0,IF(RIGHT(H114,2)="PH",(1-L114)+$W$2,IF(RIGHT(H114,2)="HT",(1-L114)+$W$1,IF(RIGHT(H114,2)="SH",(1-L114)+$W$3,""))),0)</f>
        <v>0.2</v>
      </c>
      <c r="W114" s="298"/>
      <c r="X114" s="698">
        <f t="shared" ca="1" si="78"/>
        <v>0</v>
      </c>
      <c r="Y114" s="81">
        <f t="shared" ref="Y114:Y128" ca="1" si="126">VLOOKUP($AD114,INDIRECT("'"&amp;$B114&amp;"'!"&amp;"$P$39:$AD$42"),12,FALSE)</f>
        <v>0</v>
      </c>
      <c r="Z114" s="81">
        <f t="shared" ref="Z114:Z128" ca="1" si="127">VLOOKUP($AD114,INDIRECT("'"&amp;$B114&amp;"'!"&amp;"$P$39:$AD$42"),13,FALSE)</f>
        <v>0</v>
      </c>
      <c r="AA114" s="81">
        <f t="shared" ref="AA114:AA128" ca="1" si="128">VLOOKUP($AD114,INDIRECT("'"&amp;$B114&amp;"'!"&amp;"$P$39:$AD$42"),14,FALSE)</f>
        <v>0</v>
      </c>
      <c r="AB114" s="81">
        <f t="shared" ref="AB114:AB128" ca="1" si="129">VLOOKUP($AD114,INDIRECT("'"&amp;$B114&amp;"'!"&amp;"$P$39:$AD$42"),15,FALSE)</f>
        <v>0</v>
      </c>
      <c r="AD114" s="81">
        <v>2020</v>
      </c>
      <c r="AE114" s="81"/>
      <c r="AF114" s="220"/>
    </row>
    <row r="115" spans="2:32">
      <c r="B115" s="718" t="s">
        <v>1014</v>
      </c>
      <c r="C115" s="226"/>
      <c r="D115" s="212"/>
      <c r="E115" s="212"/>
      <c r="F115" s="224" t="s">
        <v>1149</v>
      </c>
      <c r="H115" s="174"/>
      <c r="I115" s="174" t="str">
        <f t="shared" si="21"/>
        <v>INDLWH</v>
      </c>
      <c r="J115" s="224">
        <f t="shared" si="31"/>
        <v>2030</v>
      </c>
      <c r="K115" s="81"/>
      <c r="L115" s="199">
        <f t="shared" ca="1" si="121"/>
        <v>1</v>
      </c>
      <c r="M115" s="199"/>
      <c r="N115" s="81"/>
      <c r="O115" s="723">
        <f t="shared" ca="1" si="122"/>
        <v>0.44700000000000001</v>
      </c>
      <c r="P115" s="723">
        <f t="shared" ca="1" si="123"/>
        <v>0</v>
      </c>
      <c r="Q115" s="81">
        <f t="shared" ca="1" si="124"/>
        <v>0.38802083333333331</v>
      </c>
      <c r="R115" s="300"/>
      <c r="S115" s="300"/>
      <c r="T115" s="300"/>
      <c r="U115" s="300"/>
      <c r="V115" s="199">
        <f t="shared" ref="V115" ca="1" si="130">IF(IF(RIGHT(H114,2)="PH",(1-L115)+$W$2,IF(RIGHT(H114,2)="HT",(1-L115)+$W$1,IF(RIGHT(H114,2)="SH",(1-L115)+$W$3,"")))&gt;0,IF(RIGHT(H114,2)="PH",(1-L115)+$W$2,IF(RIGHT(H114,2)="HT",(1-L115)+$W$1,IF(RIGHT(H114,2)="SH",(1-L115)+$W$3,""))),0)</f>
        <v>0.2</v>
      </c>
      <c r="W115" s="298"/>
      <c r="X115" s="698">
        <f t="shared" ca="1" si="78"/>
        <v>0</v>
      </c>
      <c r="Y115" s="81">
        <f t="shared" ca="1" si="126"/>
        <v>0</v>
      </c>
      <c r="Z115" s="81">
        <f t="shared" ca="1" si="127"/>
        <v>0</v>
      </c>
      <c r="AA115" s="81">
        <f t="shared" ca="1" si="128"/>
        <v>0</v>
      </c>
      <c r="AB115" s="81">
        <f t="shared" ca="1" si="129"/>
        <v>0</v>
      </c>
      <c r="AD115" s="81">
        <v>2030</v>
      </c>
      <c r="AE115" s="81"/>
      <c r="AF115" s="220"/>
    </row>
    <row r="116" spans="2:32">
      <c r="B116" s="718" t="s">
        <v>1014</v>
      </c>
      <c r="C116" s="226"/>
      <c r="D116" s="212"/>
      <c r="E116" s="212"/>
      <c r="F116" s="224" t="s">
        <v>1149</v>
      </c>
      <c r="H116" s="174"/>
      <c r="I116" s="174" t="str">
        <f t="shared" si="21"/>
        <v>INDLWH</v>
      </c>
      <c r="J116" s="224">
        <f t="shared" si="31"/>
        <v>2050</v>
      </c>
      <c r="K116" s="81"/>
      <c r="L116" s="199">
        <f t="shared" ca="1" si="121"/>
        <v>1</v>
      </c>
      <c r="M116" s="199"/>
      <c r="N116" s="81"/>
      <c r="O116" s="723">
        <f t="shared" ca="1" si="122"/>
        <v>0.44700000000000001</v>
      </c>
      <c r="P116" s="723">
        <f t="shared" ca="1" si="123"/>
        <v>0</v>
      </c>
      <c r="Q116" s="81">
        <f t="shared" ca="1" si="124"/>
        <v>0.39319444444444446</v>
      </c>
      <c r="R116" s="300"/>
      <c r="S116" s="300"/>
      <c r="T116" s="300"/>
      <c r="U116" s="300"/>
      <c r="V116" s="199">
        <f t="shared" ref="V116" ca="1" si="131">IF(IF(RIGHT(H114,2)="PH",(1-L116)+$W$2,IF(RIGHT(H114,2)="HT",(1-L116)+$W$1,IF(RIGHT(H114,2)="SH",(1-L116)+$W$3,"")))&gt;0,IF(RIGHT(H114,2)="PH",(1-L116)+$W$2,IF(RIGHT(H114,2)="HT",(1-L116)+$W$1,IF(RIGHT(H114,2)="SH",(1-L116)+$W$3,""))),0)</f>
        <v>0.2</v>
      </c>
      <c r="W116" s="298"/>
      <c r="X116" s="698">
        <f t="shared" ca="1" si="78"/>
        <v>0</v>
      </c>
      <c r="Y116" s="81">
        <f t="shared" ca="1" si="126"/>
        <v>0</v>
      </c>
      <c r="Z116" s="81">
        <f t="shared" ca="1" si="127"/>
        <v>0</v>
      </c>
      <c r="AA116" s="81">
        <f t="shared" ca="1" si="128"/>
        <v>0</v>
      </c>
      <c r="AB116" s="81">
        <f t="shared" ca="1" si="129"/>
        <v>0</v>
      </c>
      <c r="AC116" s="203"/>
      <c r="AD116" s="81">
        <v>2050</v>
      </c>
      <c r="AE116" s="81"/>
      <c r="AF116" s="705"/>
    </row>
    <row r="117" spans="2:32">
      <c r="B117" s="718" t="s">
        <v>1014</v>
      </c>
      <c r="C117" s="226"/>
      <c r="D117" s="212" t="str">
        <f>"IND"&amp;RIGHT(H117,4)&amp;RIGHT(G117,3)&amp;"N"&amp;RIGHT(E117,2)</f>
        <v>INDLDPHELCN10</v>
      </c>
      <c r="E117" s="261" t="str">
        <f>"Industrial heating technology "&amp;$AJ$12&amp;" "&amp;RIGHT(H117,2)&amp;" - Direct electric heating - new 10"</f>
        <v>Industrial heating technology L PH - Direct electric heating - new 10</v>
      </c>
      <c r="F117" s="224" t="s">
        <v>1149</v>
      </c>
      <c r="G117" s="173" t="s">
        <v>499</v>
      </c>
      <c r="H117" s="174" t="str">
        <f>$AI$14</f>
        <v>ILDPH</v>
      </c>
      <c r="I117" s="174" t="str">
        <f t="shared" si="21"/>
        <v>INDLWH</v>
      </c>
      <c r="J117" s="224">
        <f t="shared" si="31"/>
        <v>2011</v>
      </c>
      <c r="K117" s="299">
        <v>2020</v>
      </c>
      <c r="L117" s="199">
        <f t="shared" ca="1" si="121"/>
        <v>1</v>
      </c>
      <c r="M117" s="199"/>
      <c r="N117" s="81">
        <f ca="1">VLOOKUP($AD117,INDIRECT("'"&amp;$B117&amp;"'!"&amp;"$P$39:$AD$42"),5,FALSE)</f>
        <v>12.5</v>
      </c>
      <c r="O117" s="723">
        <f t="shared" ca="1" si="122"/>
        <v>0.44700000000000001</v>
      </c>
      <c r="P117" s="723">
        <f t="shared" ca="1" si="123"/>
        <v>0</v>
      </c>
      <c r="Q117" s="81">
        <f t="shared" ca="1" si="124"/>
        <v>0.37767361111111114</v>
      </c>
      <c r="R117" s="81">
        <v>3.1536000000000002E-2</v>
      </c>
      <c r="S117" s="199">
        <v>0.5</v>
      </c>
      <c r="T117" s="199">
        <f ca="1">HLOOKUP($S$2,INDIRECT("'"&amp;$B117&amp;"'!"&amp;"$P$6:$AC$19"),IF(H117=$AI$13,6,IF(H117=$AI$14,9,14)),FALSE)</f>
        <v>1</v>
      </c>
      <c r="U117" s="772"/>
      <c r="V117" s="199">
        <f t="shared" ref="V117" ca="1" si="132">IF(IF(RIGHT(H117,2)="PH",(1-L117)+$W$2,IF(RIGHT(H117,2)="HT",(1-L117)+$W$1,IF(RIGHT(H117,2)="SH",(1-L117)+$W$3,"")))&gt;0,IF(RIGHT(H117,2)="PH",(1-L117)+$W$2,IF(RIGHT(H117,2)="HT",(1-L117)+$W$1,IF(RIGHT(H117,2)="SH",(1-L117)+$W$3,""))),0)</f>
        <v>0.2</v>
      </c>
      <c r="W117" s="298"/>
      <c r="X117" s="698">
        <f t="shared" ca="1" si="78"/>
        <v>0</v>
      </c>
      <c r="Y117" s="81">
        <f t="shared" ca="1" si="126"/>
        <v>0</v>
      </c>
      <c r="Z117" s="81">
        <f t="shared" ca="1" si="127"/>
        <v>0</v>
      </c>
      <c r="AA117" s="81">
        <f t="shared" ca="1" si="128"/>
        <v>0</v>
      </c>
      <c r="AB117" s="81">
        <f t="shared" ca="1" si="129"/>
        <v>0</v>
      </c>
      <c r="AD117" s="81">
        <v>2020</v>
      </c>
      <c r="AE117" s="299"/>
      <c r="AF117" s="220"/>
    </row>
    <row r="118" spans="2:32">
      <c r="B118" s="718" t="s">
        <v>1014</v>
      </c>
      <c r="C118" s="226"/>
      <c r="D118" s="212"/>
      <c r="E118" s="212"/>
      <c r="F118" s="224" t="s">
        <v>1149</v>
      </c>
      <c r="H118" s="174"/>
      <c r="I118" s="174" t="str">
        <f t="shared" si="21"/>
        <v>INDLWH</v>
      </c>
      <c r="J118" s="224">
        <f t="shared" si="31"/>
        <v>2030</v>
      </c>
      <c r="K118" s="81"/>
      <c r="L118" s="199">
        <f t="shared" ca="1" si="121"/>
        <v>1</v>
      </c>
      <c r="M118" s="199"/>
      <c r="N118" s="81"/>
      <c r="O118" s="723">
        <f t="shared" ca="1" si="122"/>
        <v>0.44700000000000001</v>
      </c>
      <c r="P118" s="723">
        <f t="shared" ca="1" si="123"/>
        <v>0</v>
      </c>
      <c r="Q118" s="81">
        <f t="shared" ca="1" si="124"/>
        <v>0.38802083333333331</v>
      </c>
      <c r="R118" s="300"/>
      <c r="S118" s="300"/>
      <c r="T118" s="300"/>
      <c r="U118" s="300"/>
      <c r="V118" s="199">
        <f t="shared" ref="V118" ca="1" si="133">IF(IF(RIGHT(H117,2)="PH",(1-L118)+$W$2,IF(RIGHT(H117,2)="HT",(1-L118)+$W$1,IF(RIGHT(H117,2)="SH",(1-L118)+$W$3,"")))&gt;0,IF(RIGHT(H117,2)="PH",(1-L118)+$W$2,IF(RIGHT(H117,2)="HT",(1-L118)+$W$1,IF(RIGHT(H117,2)="SH",(1-L118)+$W$3,""))),0)</f>
        <v>0.2</v>
      </c>
      <c r="W118" s="298"/>
      <c r="X118" s="698">
        <f t="shared" ca="1" si="78"/>
        <v>0</v>
      </c>
      <c r="Y118" s="81">
        <f t="shared" ca="1" si="126"/>
        <v>0</v>
      </c>
      <c r="Z118" s="81">
        <f t="shared" ca="1" si="127"/>
        <v>0</v>
      </c>
      <c r="AA118" s="81">
        <f t="shared" ca="1" si="128"/>
        <v>0</v>
      </c>
      <c r="AB118" s="81">
        <f t="shared" ca="1" si="129"/>
        <v>0</v>
      </c>
      <c r="AD118" s="81">
        <v>2030</v>
      </c>
      <c r="AE118" s="81"/>
      <c r="AF118" s="220"/>
    </row>
    <row r="119" spans="2:32">
      <c r="B119" s="719" t="s">
        <v>1014</v>
      </c>
      <c r="C119" s="713"/>
      <c r="D119" s="701"/>
      <c r="E119" s="701"/>
      <c r="F119" s="224" t="s">
        <v>1149</v>
      </c>
      <c r="G119" s="203"/>
      <c r="H119" s="702"/>
      <c r="I119" s="702" t="str">
        <f t="shared" si="21"/>
        <v>INDLWH</v>
      </c>
      <c r="J119" s="224">
        <f t="shared" si="31"/>
        <v>2050</v>
      </c>
      <c r="K119" s="81"/>
      <c r="L119" s="199">
        <f t="shared" ca="1" si="121"/>
        <v>1</v>
      </c>
      <c r="M119" s="199"/>
      <c r="N119" s="81"/>
      <c r="O119" s="723">
        <f t="shared" ca="1" si="122"/>
        <v>0.44700000000000001</v>
      </c>
      <c r="P119" s="723">
        <f t="shared" ca="1" si="123"/>
        <v>0</v>
      </c>
      <c r="Q119" s="81">
        <f t="shared" ca="1" si="124"/>
        <v>0.39319444444444446</v>
      </c>
      <c r="R119" s="703"/>
      <c r="S119" s="703"/>
      <c r="T119" s="703"/>
      <c r="U119" s="703"/>
      <c r="V119" s="199">
        <f t="shared" ref="V119" ca="1" si="134">IF(IF(RIGHT(H117,2)="PH",(1-L119)+$W$2,IF(RIGHT(H117,2)="HT",(1-L119)+$W$1,IF(RIGHT(H117,2)="SH",(1-L119)+$W$3,"")))&gt;0,IF(RIGHT(H117,2)="PH",(1-L119)+$W$2,IF(RIGHT(H117,2)="HT",(1-L119)+$W$1,IF(RIGHT(H117,2)="SH",(1-L119)+$W$3,""))),0)</f>
        <v>0.2</v>
      </c>
      <c r="W119" s="704"/>
      <c r="X119" s="698">
        <f t="shared" ca="1" si="78"/>
        <v>0</v>
      </c>
      <c r="Y119" s="81">
        <f t="shared" ca="1" si="126"/>
        <v>0</v>
      </c>
      <c r="Z119" s="81">
        <f t="shared" ca="1" si="127"/>
        <v>0</v>
      </c>
      <c r="AA119" s="81">
        <f t="shared" ca="1" si="128"/>
        <v>0</v>
      </c>
      <c r="AB119" s="81">
        <f t="shared" ca="1" si="129"/>
        <v>0</v>
      </c>
      <c r="AD119" s="81">
        <v>2050</v>
      </c>
      <c r="AE119" s="81"/>
      <c r="AF119" s="220"/>
    </row>
    <row r="120" spans="2:32">
      <c r="B120" s="718" t="s">
        <v>1009</v>
      </c>
      <c r="C120" s="226"/>
      <c r="D120" s="212" t="str">
        <f>"IND"&amp;RIGHT(H120,4)&amp;"DSL"&amp;"N"&amp;RIGHT(E120,1)</f>
        <v>INDLDPHDSLN1</v>
      </c>
      <c r="E120" s="261" t="str">
        <f>"Industrial heating technology "&amp;$AJ$12&amp;" "&amp;RIGHT(H120,2)&amp;" - Oil boiler (Steam) - new 1"</f>
        <v>Industrial heating technology L PH - Oil boiler (Steam) - new 1</v>
      </c>
      <c r="F120" s="224" t="s">
        <v>1149</v>
      </c>
      <c r="G120" s="173" t="s">
        <v>2081</v>
      </c>
      <c r="H120" s="174" t="str">
        <f>$AI$13</f>
        <v>ILDPH</v>
      </c>
      <c r="I120" s="174" t="str">
        <f t="shared" si="21"/>
        <v>INDLWH</v>
      </c>
      <c r="J120" s="224">
        <f t="shared" si="31"/>
        <v>2011</v>
      </c>
      <c r="K120" s="299">
        <v>2025</v>
      </c>
      <c r="L120" s="199">
        <f t="shared" ca="1" si="121"/>
        <v>0.94</v>
      </c>
      <c r="M120" s="699"/>
      <c r="N120" s="299">
        <f ca="1">VLOOKUP($AD120,INDIRECT("'"&amp;$B120&amp;"'!"&amp;"$P$39:$AD$42"),5,FALSE)</f>
        <v>25</v>
      </c>
      <c r="O120" s="725">
        <f t="shared" ca="1" si="122"/>
        <v>0.40975</v>
      </c>
      <c r="P120" s="725">
        <f t="shared" ca="1" si="123"/>
        <v>1.341E-2</v>
      </c>
      <c r="Q120" s="299">
        <f t="shared" ca="1" si="124"/>
        <v>2.0694444444444446</v>
      </c>
      <c r="R120" s="299">
        <v>3.1536000000000002E-2</v>
      </c>
      <c r="S120" s="699">
        <v>0.5</v>
      </c>
      <c r="T120" s="699">
        <f ca="1">HLOOKUP($T$2,INDIRECT("'"&amp;$B120&amp;"'!"&amp;"$P$6:$AC$19"),IF(H120=$AI$13,6,IF(H120=$AI$14,9,14)),FALSE)</f>
        <v>1</v>
      </c>
      <c r="U120" s="772"/>
      <c r="V120" s="199">
        <f t="shared" ref="V120" ca="1" si="135">IF(IF(RIGHT(H120,2)="PH",(1-L120)+$W$2,IF(RIGHT(H120,2)="HT",(1-L120)+$W$1,IF(RIGHT(H120,2)="SH",(1-L120)+$W$3,"")))&gt;0,IF(RIGHT(H120,2)="PH",(1-L120)+$W$2,IF(RIGHT(H120,2)="HT",(1-L120)+$W$1,IF(RIGHT(H120,2)="SH",(1-L120)+$W$3,""))),0)</f>
        <v>0.26000000000000006</v>
      </c>
      <c r="W120" s="298"/>
      <c r="X120" s="698">
        <f t="shared" ca="1" si="78"/>
        <v>0.5</v>
      </c>
      <c r="Y120" s="299">
        <f t="shared" ca="1" si="126"/>
        <v>25</v>
      </c>
      <c r="Z120" s="299">
        <f t="shared" ca="1" si="127"/>
        <v>0</v>
      </c>
      <c r="AA120" s="299">
        <f t="shared" ca="1" si="128"/>
        <v>0</v>
      </c>
      <c r="AB120" s="299">
        <f t="shared" ca="1" si="129"/>
        <v>0.1</v>
      </c>
      <c r="AD120" s="299">
        <v>2020</v>
      </c>
      <c r="AE120" s="81"/>
      <c r="AF120" s="220"/>
    </row>
    <row r="121" spans="2:32">
      <c r="B121" s="718" t="s">
        <v>1009</v>
      </c>
      <c r="C121" s="226"/>
      <c r="D121" s="212"/>
      <c r="E121" s="212"/>
      <c r="F121" s="224" t="s">
        <v>1149</v>
      </c>
      <c r="H121" s="174"/>
      <c r="I121" s="174" t="str">
        <f t="shared" si="21"/>
        <v>INDLWH</v>
      </c>
      <c r="J121" s="224">
        <f t="shared" si="31"/>
        <v>2030</v>
      </c>
      <c r="K121" s="81"/>
      <c r="L121" s="199">
        <f t="shared" ca="1" si="121"/>
        <v>0.95</v>
      </c>
      <c r="M121" s="199"/>
      <c r="N121" s="81"/>
      <c r="O121" s="723">
        <f t="shared" ca="1" si="122"/>
        <v>0.3469940346244772</v>
      </c>
      <c r="P121" s="723">
        <f t="shared" ca="1" si="123"/>
        <v>1.2664999999999999E-2</v>
      </c>
      <c r="Q121" s="81">
        <f t="shared" ca="1" si="124"/>
        <v>1.8625</v>
      </c>
      <c r="R121" s="300"/>
      <c r="S121" s="300"/>
      <c r="T121" s="300"/>
      <c r="U121" s="300"/>
      <c r="V121" s="199">
        <f t="shared" ref="V121" ca="1" si="136">IF(IF(RIGHT(H120,2)="PH",(1-L121)+$W$2,IF(RIGHT(H120,2)="HT",(1-L121)+$W$1,IF(RIGHT(H120,2)="SH",(1-L121)+$W$3,"")))&gt;0,IF(RIGHT(H120,2)="PH",(1-L121)+$W$2,IF(RIGHT(H120,2)="HT",(1-L121)+$W$1,IF(RIGHT(H120,2)="SH",(1-L121)+$W$3,""))),0)</f>
        <v>0.25000000000000006</v>
      </c>
      <c r="W121" s="298"/>
      <c r="X121" s="698">
        <f t="shared" ca="1" si="78"/>
        <v>0.5</v>
      </c>
      <c r="Y121" s="81">
        <f t="shared" ca="1" si="126"/>
        <v>20</v>
      </c>
      <c r="Z121" s="81">
        <f t="shared" ca="1" si="127"/>
        <v>0</v>
      </c>
      <c r="AA121" s="81">
        <f t="shared" ca="1" si="128"/>
        <v>0</v>
      </c>
      <c r="AB121" s="81">
        <f t="shared" ca="1" si="129"/>
        <v>0.1</v>
      </c>
      <c r="AD121" s="81">
        <v>2030</v>
      </c>
      <c r="AE121" s="81"/>
      <c r="AF121" s="220"/>
    </row>
    <row r="122" spans="2:32">
      <c r="B122" s="718" t="s">
        <v>1009</v>
      </c>
      <c r="C122" s="226"/>
      <c r="D122" s="212"/>
      <c r="E122" s="212"/>
      <c r="F122" s="224" t="s">
        <v>1149</v>
      </c>
      <c r="H122" s="174"/>
      <c r="I122" s="174" t="str">
        <f t="shared" si="21"/>
        <v>INDLWH</v>
      </c>
      <c r="J122" s="224">
        <f t="shared" si="31"/>
        <v>2050</v>
      </c>
      <c r="K122" s="81"/>
      <c r="L122" s="199">
        <f t="shared" ca="1" si="121"/>
        <v>0.96</v>
      </c>
      <c r="M122" s="199"/>
      <c r="N122" s="81"/>
      <c r="O122" s="723">
        <f t="shared" ca="1" si="122"/>
        <v>0.32813985758696651</v>
      </c>
      <c r="P122" s="723">
        <f t="shared" ca="1" si="123"/>
        <v>1.1175000000000001E-2</v>
      </c>
      <c r="Q122" s="81">
        <f t="shared" ca="1" si="124"/>
        <v>1.8625</v>
      </c>
      <c r="R122" s="300"/>
      <c r="S122" s="300"/>
      <c r="T122" s="300"/>
      <c r="U122" s="300"/>
      <c r="V122" s="199">
        <f t="shared" ref="V122" ca="1" si="137">IF(IF(RIGHT(H120,2)="PH",(1-L122)+$W$2,IF(RIGHT(H120,2)="HT",(1-L122)+$W$1,IF(RIGHT(H120,2)="SH",(1-L122)+$W$3,"")))&gt;0,IF(RIGHT(H120,2)="PH",(1-L122)+$W$2,IF(RIGHT(H120,2)="HT",(1-L122)+$W$1,IF(RIGHT(H120,2)="SH",(1-L122)+$W$3,""))),0)</f>
        <v>0.24000000000000005</v>
      </c>
      <c r="W122" s="298"/>
      <c r="X122" s="698">
        <f t="shared" ca="1" si="78"/>
        <v>0.5</v>
      </c>
      <c r="Y122" s="81">
        <f t="shared" ca="1" si="126"/>
        <v>15</v>
      </c>
      <c r="Z122" s="81">
        <f t="shared" ca="1" si="127"/>
        <v>0</v>
      </c>
      <c r="AA122" s="81">
        <f t="shared" ca="1" si="128"/>
        <v>0</v>
      </c>
      <c r="AB122" s="81">
        <f t="shared" ca="1" si="129"/>
        <v>0.1</v>
      </c>
      <c r="AD122" s="81">
        <v>2050</v>
      </c>
      <c r="AE122" s="81"/>
      <c r="AF122" s="220"/>
    </row>
    <row r="123" spans="2:32">
      <c r="B123" s="718" t="s">
        <v>1009</v>
      </c>
      <c r="C123" s="226"/>
      <c r="D123" s="212" t="str">
        <f>"IND"&amp;RIGHT(H123,4)&amp;"DSL"&amp;"N"&amp;RIGHT(E123,1)</f>
        <v>INDLDPHDSLN1</v>
      </c>
      <c r="E123" s="261" t="str">
        <f>"Industrial heating technology "&amp;$AJ$12&amp;" "&amp;RIGHT(H123,2)&amp;" - Oil boiler (Steam) - new 1"</f>
        <v>Industrial heating technology L PH - Oil boiler (Steam) - new 1</v>
      </c>
      <c r="F123" s="224" t="s">
        <v>1149</v>
      </c>
      <c r="G123" s="173" t="s">
        <v>2081</v>
      </c>
      <c r="H123" s="174" t="str">
        <f>$AI$14</f>
        <v>ILDPH</v>
      </c>
      <c r="I123" s="174" t="str">
        <f t="shared" si="21"/>
        <v>INDLWH</v>
      </c>
      <c r="J123" s="224">
        <f t="shared" si="31"/>
        <v>2011</v>
      </c>
      <c r="K123" s="299">
        <v>2025</v>
      </c>
      <c r="L123" s="199">
        <f t="shared" ca="1" si="121"/>
        <v>0.94</v>
      </c>
      <c r="M123" s="199"/>
      <c r="N123" s="81">
        <f ca="1">VLOOKUP($AD123,INDIRECT("'"&amp;$B123&amp;"'!"&amp;"$P$39:$AD$42"),5,FALSE)</f>
        <v>25</v>
      </c>
      <c r="O123" s="723">
        <f t="shared" ca="1" si="122"/>
        <v>0.40975</v>
      </c>
      <c r="P123" s="723">
        <f t="shared" ca="1" si="123"/>
        <v>1.341E-2</v>
      </c>
      <c r="Q123" s="81">
        <f t="shared" ca="1" si="124"/>
        <v>2.0694444444444446</v>
      </c>
      <c r="R123" s="81">
        <v>3.1536000000000002E-2</v>
      </c>
      <c r="S123" s="199">
        <v>0.5</v>
      </c>
      <c r="T123" s="199">
        <f ca="1">HLOOKUP($T$2,INDIRECT("'"&amp;$B123&amp;"'!"&amp;"$P$6:$AC$19"),IF(H123=$AI$13,6,IF(H123=$AI$14,9,14)),FALSE)</f>
        <v>1</v>
      </c>
      <c r="U123" s="772"/>
      <c r="V123" s="199">
        <f t="shared" ref="V123" ca="1" si="138">IF(IF(RIGHT(H123,2)="PH",(1-L123)+$W$2,IF(RIGHT(H123,2)="HT",(1-L123)+$W$1,IF(RIGHT(H123,2)="SH",(1-L123)+$W$3,"")))&gt;0,IF(RIGHT(H123,2)="PH",(1-L123)+$W$2,IF(RIGHT(H123,2)="HT",(1-L123)+$W$1,IF(RIGHT(H123,2)="SH",(1-L123)+$W$3,""))),0)</f>
        <v>0.26000000000000006</v>
      </c>
      <c r="W123" s="298"/>
      <c r="X123" s="698">
        <f t="shared" ca="1" si="78"/>
        <v>0.5</v>
      </c>
      <c r="Y123" s="81">
        <f t="shared" ca="1" si="126"/>
        <v>25</v>
      </c>
      <c r="Z123" s="81">
        <f t="shared" ca="1" si="127"/>
        <v>0</v>
      </c>
      <c r="AA123" s="81">
        <f t="shared" ca="1" si="128"/>
        <v>0</v>
      </c>
      <c r="AB123" s="81">
        <f t="shared" ca="1" si="129"/>
        <v>0.1</v>
      </c>
      <c r="AD123" s="81">
        <v>2020</v>
      </c>
      <c r="AE123" s="81"/>
      <c r="AF123" s="220"/>
    </row>
    <row r="124" spans="2:32">
      <c r="B124" s="718" t="s">
        <v>1009</v>
      </c>
      <c r="C124" s="226"/>
      <c r="D124" s="212"/>
      <c r="E124" s="212"/>
      <c r="F124" s="224" t="s">
        <v>1149</v>
      </c>
      <c r="H124" s="174"/>
      <c r="I124" s="174" t="str">
        <f t="shared" si="21"/>
        <v>INDLWH</v>
      </c>
      <c r="J124" s="224">
        <f t="shared" si="31"/>
        <v>2030</v>
      </c>
      <c r="K124" s="81"/>
      <c r="L124" s="199">
        <f t="shared" ca="1" si="121"/>
        <v>0.95</v>
      </c>
      <c r="M124" s="199"/>
      <c r="N124" s="81"/>
      <c r="O124" s="723">
        <f t="shared" ca="1" si="122"/>
        <v>0.3469940346244772</v>
      </c>
      <c r="P124" s="723">
        <f t="shared" ca="1" si="123"/>
        <v>1.2664999999999999E-2</v>
      </c>
      <c r="Q124" s="81">
        <f t="shared" ca="1" si="124"/>
        <v>1.8625</v>
      </c>
      <c r="R124" s="300"/>
      <c r="S124" s="300"/>
      <c r="T124" s="300"/>
      <c r="U124" s="300"/>
      <c r="V124" s="199">
        <f t="shared" ref="V124" ca="1" si="139">IF(IF(RIGHT(H123,2)="PH",(1-L124)+$W$2,IF(RIGHT(H123,2)="HT",(1-L124)+$W$1,IF(RIGHT(H123,2)="SH",(1-L124)+$W$3,"")))&gt;0,IF(RIGHT(H123,2)="PH",(1-L124)+$W$2,IF(RIGHT(H123,2)="HT",(1-L124)+$W$1,IF(RIGHT(H123,2)="SH",(1-L124)+$W$3,""))),0)</f>
        <v>0.25000000000000006</v>
      </c>
      <c r="W124" s="298"/>
      <c r="X124" s="698">
        <f t="shared" ca="1" si="78"/>
        <v>0.5</v>
      </c>
      <c r="Y124" s="81">
        <f t="shared" ca="1" si="126"/>
        <v>20</v>
      </c>
      <c r="Z124" s="81">
        <f t="shared" ca="1" si="127"/>
        <v>0</v>
      </c>
      <c r="AA124" s="81">
        <f t="shared" ca="1" si="128"/>
        <v>0</v>
      </c>
      <c r="AB124" s="81">
        <f t="shared" ca="1" si="129"/>
        <v>0.1</v>
      </c>
      <c r="AD124" s="81">
        <v>2030</v>
      </c>
      <c r="AE124" s="81"/>
      <c r="AF124" s="220"/>
    </row>
    <row r="125" spans="2:32">
      <c r="B125" s="718" t="s">
        <v>1009</v>
      </c>
      <c r="C125" s="226"/>
      <c r="D125" s="212"/>
      <c r="E125" s="212"/>
      <c r="F125" s="224" t="s">
        <v>1149</v>
      </c>
      <c r="H125" s="174"/>
      <c r="I125" s="174" t="str">
        <f t="shared" si="21"/>
        <v>INDLWH</v>
      </c>
      <c r="J125" s="224">
        <f t="shared" si="31"/>
        <v>2050</v>
      </c>
      <c r="K125" s="81"/>
      <c r="L125" s="199">
        <f t="shared" ca="1" si="121"/>
        <v>0.96</v>
      </c>
      <c r="M125" s="199"/>
      <c r="N125" s="81"/>
      <c r="O125" s="723">
        <f t="shared" ca="1" si="122"/>
        <v>0.32813985758696651</v>
      </c>
      <c r="P125" s="723">
        <f t="shared" ca="1" si="123"/>
        <v>1.1175000000000001E-2</v>
      </c>
      <c r="Q125" s="81">
        <f t="shared" ca="1" si="124"/>
        <v>1.8625</v>
      </c>
      <c r="R125" s="300"/>
      <c r="S125" s="300"/>
      <c r="T125" s="300"/>
      <c r="U125" s="300"/>
      <c r="V125" s="199">
        <f t="shared" ref="V125" ca="1" si="140">IF(IF(RIGHT(H123,2)="PH",(1-L125)+$W$2,IF(RIGHT(H123,2)="HT",(1-L125)+$W$1,IF(RIGHT(H123,2)="SH",(1-L125)+$W$3,"")))&gt;0,IF(RIGHT(H123,2)="PH",(1-L125)+$W$2,IF(RIGHT(H123,2)="HT",(1-L125)+$W$1,IF(RIGHT(H123,2)="SH",(1-L125)+$W$3,""))),0)</f>
        <v>0.24000000000000005</v>
      </c>
      <c r="W125" s="298"/>
      <c r="X125" s="698">
        <f t="shared" ca="1" si="78"/>
        <v>0.5</v>
      </c>
      <c r="Y125" s="81">
        <f t="shared" ca="1" si="126"/>
        <v>15</v>
      </c>
      <c r="Z125" s="81">
        <f t="shared" ca="1" si="127"/>
        <v>0</v>
      </c>
      <c r="AA125" s="81">
        <f t="shared" ca="1" si="128"/>
        <v>0</v>
      </c>
      <c r="AB125" s="81">
        <f t="shared" ca="1" si="129"/>
        <v>0.1</v>
      </c>
      <c r="AC125" s="203"/>
      <c r="AD125" s="81">
        <v>2050</v>
      </c>
      <c r="AE125" s="81"/>
      <c r="AF125" s="705"/>
    </row>
    <row r="126" spans="2:32">
      <c r="B126" s="718" t="s">
        <v>1009</v>
      </c>
      <c r="C126" s="226"/>
      <c r="D126" s="212" t="str">
        <f>"IND"&amp;RIGHT(H126,4)&amp;"DSL"&amp;"N"&amp;RIGHT(E126,1)</f>
        <v>INDLDSHDSLN1</v>
      </c>
      <c r="E126" s="261" t="str">
        <f>"Industrial heating technology "&amp;$AJ$12&amp;" "&amp;RIGHT(H126,2)&amp;" - Oil boiler (Steam) - new 1"</f>
        <v>Industrial heating technology L SH - Oil boiler (Steam) - new 1</v>
      </c>
      <c r="F126" s="224" t="s">
        <v>1149</v>
      </c>
      <c r="G126" s="173" t="s">
        <v>2081</v>
      </c>
      <c r="H126" s="174" t="str">
        <f>$AI$15</f>
        <v>ILDSH</v>
      </c>
      <c r="I126" s="174" t="str">
        <f t="shared" si="21"/>
        <v>INDLWH</v>
      </c>
      <c r="J126" s="224">
        <f t="shared" si="31"/>
        <v>2011</v>
      </c>
      <c r="K126" s="299">
        <v>2025</v>
      </c>
      <c r="L126" s="199">
        <f t="shared" ca="1" si="121"/>
        <v>0.94</v>
      </c>
      <c r="M126" s="199"/>
      <c r="N126" s="81">
        <f ca="1">VLOOKUP($AD126,INDIRECT("'"&amp;$B126&amp;"'!"&amp;"$P$39:$AD$42"),5,FALSE)</f>
        <v>25</v>
      </c>
      <c r="O126" s="723">
        <f t="shared" ca="1" si="122"/>
        <v>0.40975</v>
      </c>
      <c r="P126" s="723">
        <f t="shared" ca="1" si="123"/>
        <v>1.341E-2</v>
      </c>
      <c r="Q126" s="81">
        <f t="shared" ca="1" si="124"/>
        <v>2.0694444444444446</v>
      </c>
      <c r="R126" s="81">
        <v>3.1536000000000002E-2</v>
      </c>
      <c r="S126" s="199">
        <v>0.5</v>
      </c>
      <c r="T126" s="199">
        <f ca="1">HLOOKUP($T$2,INDIRECT("'"&amp;$B126&amp;"'!"&amp;"$P$6:$AC$19"),IF(H126=$AI$13,6,IF(H126=$AI$14,9,14)),FALSE)</f>
        <v>1</v>
      </c>
      <c r="U126" s="772"/>
      <c r="V126" s="199">
        <f t="shared" ref="V126" ca="1" si="141">IF(IF(RIGHT(H126,2)="PH",(1-L126)+$W$2,IF(RIGHT(H126,2)="HT",(1-L126)+$W$1,IF(RIGHT(H126,2)="SH",(1-L126)+$W$3,"")))&gt;0,IF(RIGHT(H126,2)="PH",(1-L126)+$W$2,IF(RIGHT(H126,2)="HT",(1-L126)+$W$1,IF(RIGHT(H126,2)="SH",(1-L126)+$W$3,""))),0)</f>
        <v>6.0000000000000053E-2</v>
      </c>
      <c r="W126" s="298"/>
      <c r="X126" s="698">
        <f t="shared" ca="1" si="78"/>
        <v>0.5</v>
      </c>
      <c r="Y126" s="81">
        <f t="shared" ca="1" si="126"/>
        <v>25</v>
      </c>
      <c r="Z126" s="81">
        <f t="shared" ca="1" si="127"/>
        <v>0</v>
      </c>
      <c r="AA126" s="81">
        <f t="shared" ca="1" si="128"/>
        <v>0</v>
      </c>
      <c r="AB126" s="81">
        <f t="shared" ca="1" si="129"/>
        <v>0.1</v>
      </c>
      <c r="AC126" s="296"/>
      <c r="AD126" s="81">
        <v>2020</v>
      </c>
      <c r="AE126" s="81"/>
      <c r="AF126" s="710"/>
    </row>
    <row r="127" spans="2:32">
      <c r="B127" s="718" t="s">
        <v>1009</v>
      </c>
      <c r="C127" s="226"/>
      <c r="D127" s="212"/>
      <c r="E127" s="212"/>
      <c r="F127" s="224" t="s">
        <v>1149</v>
      </c>
      <c r="H127" s="174"/>
      <c r="I127" s="174" t="str">
        <f t="shared" ref="I127:I182" si="142">$AI$20</f>
        <v>INDLWH</v>
      </c>
      <c r="J127" s="224">
        <f t="shared" si="31"/>
        <v>2030</v>
      </c>
      <c r="K127" s="81"/>
      <c r="L127" s="199">
        <f t="shared" ca="1" si="121"/>
        <v>0.95</v>
      </c>
      <c r="M127" s="199"/>
      <c r="N127" s="81"/>
      <c r="O127" s="723">
        <f t="shared" ca="1" si="122"/>
        <v>0.3469940346244772</v>
      </c>
      <c r="P127" s="723">
        <f t="shared" ca="1" si="123"/>
        <v>1.2664999999999999E-2</v>
      </c>
      <c r="Q127" s="81">
        <f t="shared" ca="1" si="124"/>
        <v>1.8625</v>
      </c>
      <c r="R127" s="300"/>
      <c r="S127" s="300"/>
      <c r="T127" s="300"/>
      <c r="U127" s="300"/>
      <c r="V127" s="199">
        <f t="shared" ref="V127" ca="1" si="143">IF(IF(RIGHT(H126,2)="PH",(1-L127)+$W$2,IF(RIGHT(H126,2)="HT",(1-L127)+$W$1,IF(RIGHT(H126,2)="SH",(1-L127)+$W$3,"")))&gt;0,IF(RIGHT(H126,2)="PH",(1-L127)+$W$2,IF(RIGHT(H126,2)="HT",(1-L127)+$W$1,IF(RIGHT(H126,2)="SH",(1-L127)+$W$3,""))),0)</f>
        <v>5.0000000000000044E-2</v>
      </c>
      <c r="W127" s="298"/>
      <c r="X127" s="698">
        <f t="shared" ref="X127:X158" ca="1" si="144">IF(VLOOKUP($AD127,INDIRECT("'"&amp;$B127&amp;"'!"&amp;"$P$39:$AD$42"),11,FALSE)="Cf. the utilized electricity",0,VLOOKUP($AD127,INDIRECT("'"&amp;$B127&amp;"'!"&amp;"$P$39:$AD$42"),11,FALSE))</f>
        <v>0.5</v>
      </c>
      <c r="Y127" s="81">
        <f t="shared" ca="1" si="126"/>
        <v>20</v>
      </c>
      <c r="Z127" s="81">
        <f t="shared" ca="1" si="127"/>
        <v>0</v>
      </c>
      <c r="AA127" s="81">
        <f t="shared" ca="1" si="128"/>
        <v>0</v>
      </c>
      <c r="AB127" s="81">
        <f t="shared" ca="1" si="129"/>
        <v>0.1</v>
      </c>
      <c r="AC127" s="55"/>
      <c r="AD127" s="81">
        <v>2030</v>
      </c>
      <c r="AE127" s="81"/>
      <c r="AF127" s="700"/>
    </row>
    <row r="128" spans="2:32">
      <c r="B128" s="719" t="s">
        <v>1009</v>
      </c>
      <c r="C128" s="713"/>
      <c r="D128" s="701"/>
      <c r="E128" s="701"/>
      <c r="F128" s="224" t="s">
        <v>1149</v>
      </c>
      <c r="G128" s="203"/>
      <c r="H128" s="702"/>
      <c r="I128" s="702" t="str">
        <f t="shared" si="142"/>
        <v>INDLWH</v>
      </c>
      <c r="J128" s="224">
        <f t="shared" ref="J128:J186" si="145">IF(AD128=2020,2011,AD128)</f>
        <v>2050</v>
      </c>
      <c r="K128" s="81"/>
      <c r="L128" s="199">
        <f t="shared" ca="1" si="121"/>
        <v>0.96</v>
      </c>
      <c r="M128" s="199"/>
      <c r="N128" s="81"/>
      <c r="O128" s="723">
        <f t="shared" ca="1" si="122"/>
        <v>0.32813985758696651</v>
      </c>
      <c r="P128" s="723">
        <f t="shared" ca="1" si="123"/>
        <v>1.1175000000000001E-2</v>
      </c>
      <c r="Q128" s="81">
        <f t="shared" ca="1" si="124"/>
        <v>1.8625</v>
      </c>
      <c r="R128" s="703"/>
      <c r="S128" s="703"/>
      <c r="T128" s="703"/>
      <c r="U128" s="703"/>
      <c r="V128" s="199">
        <f t="shared" ref="V128" ca="1" si="146">IF(IF(RIGHT(H126,2)="PH",(1-L128)+$W$2,IF(RIGHT(H126,2)="HT",(1-L128)+$W$1,IF(RIGHT(H126,2)="SH",(1-L128)+$W$3,"")))&gt;0,IF(RIGHT(H126,2)="PH",(1-L128)+$W$2,IF(RIGHT(H126,2)="HT",(1-L128)+$W$1,IF(RIGHT(H126,2)="SH",(1-L128)+$W$3,""))),0)</f>
        <v>4.0000000000000036E-2</v>
      </c>
      <c r="W128" s="704"/>
      <c r="X128" s="698">
        <f t="shared" ca="1" si="144"/>
        <v>0.5</v>
      </c>
      <c r="Y128" s="81">
        <f t="shared" ca="1" si="126"/>
        <v>15</v>
      </c>
      <c r="Z128" s="81">
        <f t="shared" ca="1" si="127"/>
        <v>0</v>
      </c>
      <c r="AA128" s="81">
        <f t="shared" ca="1" si="128"/>
        <v>0</v>
      </c>
      <c r="AB128" s="81">
        <f t="shared" ca="1" si="129"/>
        <v>0.1</v>
      </c>
      <c r="AC128" s="55"/>
      <c r="AD128" s="81">
        <v>2050</v>
      </c>
      <c r="AE128" s="81"/>
      <c r="AF128" s="700"/>
    </row>
    <row r="129" spans="2:32">
      <c r="B129" s="718" t="s">
        <v>1009</v>
      </c>
      <c r="C129" s="226"/>
      <c r="D129" s="212" t="str">
        <f>"IND"&amp;RIGHT(H129,4)&amp;"DSL"&amp;"N"&amp;RIGHT(E129,1)</f>
        <v>INDLDPHDSLN2</v>
      </c>
      <c r="E129" s="707" t="str">
        <f>"Industrial heating technology "&amp;$AJ$12&amp;" "&amp;RIGHT(H129,2)&amp;" - Oil boiler (Steam - condensing) - new 2"</f>
        <v>Industrial heating technology L PH - Oil boiler (Steam - condensing) - new 2</v>
      </c>
      <c r="F129" s="224" t="s">
        <v>1149</v>
      </c>
      <c r="G129" s="173" t="s">
        <v>2081</v>
      </c>
      <c r="H129" s="708" t="str">
        <f>$AI$14</f>
        <v>ILDPH</v>
      </c>
      <c r="I129" s="708" t="str">
        <f t="shared" si="142"/>
        <v>INDLWH</v>
      </c>
      <c r="J129" s="224">
        <f t="shared" si="145"/>
        <v>2011</v>
      </c>
      <c r="K129" s="299">
        <v>2025</v>
      </c>
      <c r="L129" s="199">
        <f t="shared" ref="L129:L134" ca="1" si="147">VLOOKUP($AD129,INDIRECT("'"&amp;$B129&amp;"'!"&amp;"$P$118:$AD$121"),3,FALSE)</f>
        <v>0.95</v>
      </c>
      <c r="M129" s="199"/>
      <c r="N129" s="81">
        <f ca="1">VLOOKUP($AD129,INDIRECT("'"&amp;$B129&amp;"'!"&amp;"$P$118:$AD$121"),5,FALSE)</f>
        <v>25</v>
      </c>
      <c r="O129" s="723">
        <f t="shared" ref="O129:O134" ca="1" si="148">VLOOKUP($AD129,INDIRECT("'"&amp;$B129&amp;"'!"&amp;"$P$118:$AD$121"),6,FALSE)/1000</f>
        <v>0.32780000000000004</v>
      </c>
      <c r="P129" s="723">
        <f t="shared" ref="P129:P134" ca="1" si="149">VLOOKUP($AD129,INDIRECT("'"&amp;$B129&amp;"'!"&amp;"$P$118:$AD$121"),7,FALSE)/1000</f>
        <v>1.341E-2</v>
      </c>
      <c r="Q129" s="81">
        <f t="shared" ref="Q129:Q134" ca="1" si="150">VLOOKUP($AD129,INDIRECT("'"&amp;$B129&amp;"'!"&amp;"$P$118:$AD$121"),8,FALSE)</f>
        <v>2.0694444444444446</v>
      </c>
      <c r="R129" s="81">
        <v>3.1536000000000002E-2</v>
      </c>
      <c r="S129" s="199">
        <v>0.5</v>
      </c>
      <c r="T129" s="199">
        <f ca="1">HLOOKUP($T$2,INDIRECT("'"&amp;$B129&amp;"'!"&amp;"$P$85:$AC$98"),IF(H129=$AI$13,6,IF(H129=$AI$14,9,14)),FALSE)</f>
        <v>0</v>
      </c>
      <c r="U129" s="773"/>
      <c r="V129" s="199">
        <f t="shared" ref="V129" ca="1" si="151">IF(IF(RIGHT(H129,2)="PH",(1-L129)+$W$2,IF(RIGHT(H129,2)="HT",(1-L129)+$W$1,IF(RIGHT(H129,2)="SH",(1-L129)+$W$3,"")))&gt;0,IF(RIGHT(H129,2)="PH",(1-L129)+$W$2,IF(RIGHT(H129,2)="HT",(1-L129)+$W$1,IF(RIGHT(H129,2)="SH",(1-L129)+$W$3,""))),0)</f>
        <v>0.25000000000000006</v>
      </c>
      <c r="W129" s="709"/>
      <c r="X129" s="698">
        <f t="shared" ca="1" si="144"/>
        <v>0.5</v>
      </c>
      <c r="Y129" s="698">
        <f t="shared" ref="Y129:Y134" ca="1" si="152">VLOOKUP($AD129,INDIRECT("'"&amp;$B129&amp;"'!"&amp;"$P$118:$AD$121"),12,FALSE)</f>
        <v>25</v>
      </c>
      <c r="Z129" s="698">
        <f t="shared" ref="Z129:Z134" ca="1" si="153">VLOOKUP($AD129,INDIRECT("'"&amp;$B129&amp;"'!"&amp;"$P$118:$AD$121"),13,FALSE)</f>
        <v>0</v>
      </c>
      <c r="AA129" s="698">
        <f t="shared" ref="AA129:AA134" ca="1" si="154">VLOOKUP($AD129,INDIRECT("'"&amp;$B129&amp;"'!"&amp;"$P$118:$AD$121"),14,FALSE)</f>
        <v>0</v>
      </c>
      <c r="AB129" s="698">
        <f t="shared" ref="AB129:AB134" ca="1" si="155">VLOOKUP($AD129,INDIRECT("'"&amp;$B129&amp;"'!"&amp;"$P$118:$AD$121"),15,FALSE)</f>
        <v>0.1</v>
      </c>
      <c r="AC129" s="55"/>
      <c r="AD129" s="81">
        <v>2020</v>
      </c>
      <c r="AE129" s="81"/>
      <c r="AF129" s="700"/>
    </row>
    <row r="130" spans="2:32">
      <c r="B130" s="718" t="s">
        <v>1009</v>
      </c>
      <c r="C130" s="226"/>
      <c r="D130" s="212"/>
      <c r="E130" s="261"/>
      <c r="F130" s="224" t="s">
        <v>1149</v>
      </c>
      <c r="G130" s="55"/>
      <c r="H130" s="174"/>
      <c r="I130" s="174" t="str">
        <f t="shared" si="142"/>
        <v>INDLWH</v>
      </c>
      <c r="J130" s="224">
        <f t="shared" si="145"/>
        <v>2030</v>
      </c>
      <c r="K130" s="81"/>
      <c r="L130" s="199">
        <f t="shared" ca="1" si="147"/>
        <v>0.96</v>
      </c>
      <c r="M130" s="199"/>
      <c r="N130" s="81"/>
      <c r="O130" s="723">
        <f t="shared" ca="1" si="148"/>
        <v>0.27759522769958173</v>
      </c>
      <c r="P130" s="723">
        <f t="shared" ca="1" si="149"/>
        <v>1.2664999999999999E-2</v>
      </c>
      <c r="Q130" s="81">
        <f t="shared" ca="1" si="150"/>
        <v>1.8625</v>
      </c>
      <c r="R130" s="300"/>
      <c r="S130" s="300"/>
      <c r="T130" s="300"/>
      <c r="U130" s="300"/>
      <c r="V130" s="199">
        <f t="shared" ref="V130" ca="1" si="156">IF(IF(RIGHT(H129,2)="PH",(1-L130)+$W$2,IF(RIGHT(H129,2)="HT",(1-L130)+$W$1,IF(RIGHT(H129,2)="SH",(1-L130)+$W$3,"")))&gt;0,IF(RIGHT(H129,2)="PH",(1-L130)+$W$2,IF(RIGHT(H129,2)="HT",(1-L130)+$W$1,IF(RIGHT(H129,2)="SH",(1-L130)+$W$3,""))),0)</f>
        <v>0.24000000000000005</v>
      </c>
      <c r="W130" s="298"/>
      <c r="X130" s="698">
        <f t="shared" ca="1" si="144"/>
        <v>0.5</v>
      </c>
      <c r="Y130" s="698">
        <f t="shared" ca="1" si="152"/>
        <v>20</v>
      </c>
      <c r="Z130" s="698">
        <f t="shared" ca="1" si="153"/>
        <v>0</v>
      </c>
      <c r="AA130" s="698">
        <f t="shared" ca="1" si="154"/>
        <v>0</v>
      </c>
      <c r="AB130" s="698">
        <f t="shared" ca="1" si="155"/>
        <v>0.1</v>
      </c>
      <c r="AC130" s="55"/>
      <c r="AD130" s="81">
        <v>2030</v>
      </c>
      <c r="AE130" s="81"/>
      <c r="AF130" s="700"/>
    </row>
    <row r="131" spans="2:32">
      <c r="B131" s="718" t="s">
        <v>1009</v>
      </c>
      <c r="C131" s="226"/>
      <c r="E131" s="261"/>
      <c r="F131" s="224" t="s">
        <v>1149</v>
      </c>
      <c r="G131" s="55"/>
      <c r="H131" s="174"/>
      <c r="I131" s="174" t="str">
        <f t="shared" si="142"/>
        <v>INDLWH</v>
      </c>
      <c r="J131" s="224">
        <f t="shared" si="145"/>
        <v>2050</v>
      </c>
      <c r="K131" s="81"/>
      <c r="L131" s="199">
        <f t="shared" ca="1" si="147"/>
        <v>0.97</v>
      </c>
      <c r="M131" s="199"/>
      <c r="N131" s="81"/>
      <c r="O131" s="723">
        <f t="shared" ca="1" si="148"/>
        <v>0.26251188606957326</v>
      </c>
      <c r="P131" s="723">
        <f t="shared" ca="1" si="149"/>
        <v>1.1175000000000001E-2</v>
      </c>
      <c r="Q131" s="81">
        <f t="shared" ca="1" si="150"/>
        <v>1.8625</v>
      </c>
      <c r="R131" s="300"/>
      <c r="S131" s="300"/>
      <c r="T131" s="300"/>
      <c r="U131" s="300"/>
      <c r="V131" s="199">
        <f t="shared" ref="V131" ca="1" si="157">IF(IF(RIGHT(H129,2)="PH",(1-L131)+$W$2,IF(RIGHT(H129,2)="HT",(1-L131)+$W$1,IF(RIGHT(H129,2)="SH",(1-L131)+$W$3,"")))&gt;0,IF(RIGHT(H129,2)="PH",(1-L131)+$W$2,IF(RIGHT(H129,2)="HT",(1-L131)+$W$1,IF(RIGHT(H129,2)="SH",(1-L131)+$W$3,""))),0)</f>
        <v>0.23000000000000004</v>
      </c>
      <c r="W131" s="298"/>
      <c r="X131" s="698">
        <f t="shared" ca="1" si="144"/>
        <v>0.5</v>
      </c>
      <c r="Y131" s="698">
        <f t="shared" ca="1" si="152"/>
        <v>15</v>
      </c>
      <c r="Z131" s="698">
        <f t="shared" ca="1" si="153"/>
        <v>0</v>
      </c>
      <c r="AA131" s="698">
        <f t="shared" ca="1" si="154"/>
        <v>0</v>
      </c>
      <c r="AB131" s="698">
        <f t="shared" ca="1" si="155"/>
        <v>0.1</v>
      </c>
      <c r="AC131" s="203"/>
      <c r="AD131" s="81">
        <v>2050</v>
      </c>
      <c r="AE131" s="81"/>
      <c r="AF131" s="705"/>
    </row>
    <row r="132" spans="2:32">
      <c r="B132" s="718" t="s">
        <v>1009</v>
      </c>
      <c r="C132" s="226"/>
      <c r="D132" s="212" t="str">
        <f>"IND"&amp;RIGHT(H132,4)&amp;"DSL"&amp;"N"&amp;RIGHT(E132,1)</f>
        <v>INDLDSHDSLN2</v>
      </c>
      <c r="E132" s="261" t="str">
        <f>"Industrial heating technology "&amp;$AJ$12&amp;" "&amp;RIGHT(H132,2)&amp;" - Oil boiler (Steam - condensing) - new 2"</f>
        <v>Industrial heating technology L SH - Oil boiler (Steam - condensing) - new 2</v>
      </c>
      <c r="F132" s="224" t="s">
        <v>1149</v>
      </c>
      <c r="G132" s="173" t="s">
        <v>2081</v>
      </c>
      <c r="H132" s="174" t="str">
        <f>$AI$15</f>
        <v>ILDSH</v>
      </c>
      <c r="I132" s="174" t="str">
        <f t="shared" si="142"/>
        <v>INDLWH</v>
      </c>
      <c r="J132" s="224">
        <f t="shared" si="145"/>
        <v>2011</v>
      </c>
      <c r="K132" s="299">
        <v>2025</v>
      </c>
      <c r="L132" s="199">
        <f t="shared" ca="1" si="147"/>
        <v>0.95</v>
      </c>
      <c r="M132" s="199"/>
      <c r="N132" s="81">
        <f ca="1">VLOOKUP($AD132,INDIRECT("'"&amp;$B132&amp;"'!"&amp;"$P$118:$AD$121"),5,FALSE)</f>
        <v>25</v>
      </c>
      <c r="O132" s="723">
        <f t="shared" ca="1" si="148"/>
        <v>0.32780000000000004</v>
      </c>
      <c r="P132" s="723">
        <f t="shared" ca="1" si="149"/>
        <v>1.341E-2</v>
      </c>
      <c r="Q132" s="81">
        <f t="shared" ca="1" si="150"/>
        <v>2.0694444444444446</v>
      </c>
      <c r="R132" s="81">
        <v>3.1536000000000002E-2</v>
      </c>
      <c r="S132" s="199">
        <v>0.5</v>
      </c>
      <c r="T132" s="199">
        <f ca="1">HLOOKUP($T$2,INDIRECT("'"&amp;$B132&amp;"'!"&amp;"$P$85:$AC$98"),IF(H132=$AI$13,6,IF(H132=$AI$14,9,14)),FALSE)</f>
        <v>1</v>
      </c>
      <c r="U132" s="772"/>
      <c r="V132" s="199">
        <f t="shared" ref="V132" ca="1" si="158">IF(IF(RIGHT(H132,2)="PH",(1-L132)+$W$2,IF(RIGHT(H132,2)="HT",(1-L132)+$W$1,IF(RIGHT(H132,2)="SH",(1-L132)+$W$3,"")))&gt;0,IF(RIGHT(H132,2)="PH",(1-L132)+$W$2,IF(RIGHT(H132,2)="HT",(1-L132)+$W$1,IF(RIGHT(H132,2)="SH",(1-L132)+$W$3,""))),0)</f>
        <v>5.0000000000000044E-2</v>
      </c>
      <c r="W132" s="298"/>
      <c r="X132" s="698">
        <f t="shared" ca="1" si="144"/>
        <v>0.5</v>
      </c>
      <c r="Y132" s="698">
        <f t="shared" ca="1" si="152"/>
        <v>25</v>
      </c>
      <c r="Z132" s="698">
        <f t="shared" ca="1" si="153"/>
        <v>0</v>
      </c>
      <c r="AA132" s="698">
        <f t="shared" ca="1" si="154"/>
        <v>0</v>
      </c>
      <c r="AB132" s="698">
        <f t="shared" ca="1" si="155"/>
        <v>0.1</v>
      </c>
      <c r="AD132" s="81">
        <v>2020</v>
      </c>
      <c r="AE132" s="299"/>
      <c r="AF132" s="220"/>
    </row>
    <row r="133" spans="2:32">
      <c r="B133" s="718" t="s">
        <v>1009</v>
      </c>
      <c r="C133" s="226"/>
      <c r="E133" s="261"/>
      <c r="F133" s="224" t="s">
        <v>1149</v>
      </c>
      <c r="G133" s="55"/>
      <c r="H133" s="174"/>
      <c r="I133" s="174" t="str">
        <f t="shared" si="142"/>
        <v>INDLWH</v>
      </c>
      <c r="J133" s="224">
        <f t="shared" si="145"/>
        <v>2030</v>
      </c>
      <c r="K133" s="81"/>
      <c r="L133" s="199">
        <f t="shared" ca="1" si="147"/>
        <v>0.96</v>
      </c>
      <c r="M133" s="199"/>
      <c r="N133" s="81"/>
      <c r="O133" s="723">
        <f t="shared" ca="1" si="148"/>
        <v>0.27759522769958173</v>
      </c>
      <c r="P133" s="723">
        <f t="shared" ca="1" si="149"/>
        <v>1.2664999999999999E-2</v>
      </c>
      <c r="Q133" s="81">
        <f t="shared" ca="1" si="150"/>
        <v>1.8625</v>
      </c>
      <c r="R133" s="300"/>
      <c r="S133" s="300"/>
      <c r="T133" s="300"/>
      <c r="U133" s="300"/>
      <c r="V133" s="199">
        <f t="shared" ref="V133" ca="1" si="159">IF(IF(RIGHT(H132,2)="PH",(1-L133)+$W$2,IF(RIGHT(H132,2)="HT",(1-L133)+$W$1,IF(RIGHT(H132,2)="SH",(1-L133)+$W$3,"")))&gt;0,IF(RIGHT(H132,2)="PH",(1-L133)+$W$2,IF(RIGHT(H132,2)="HT",(1-L133)+$W$1,IF(RIGHT(H132,2)="SH",(1-L133)+$W$3,""))),0)</f>
        <v>4.0000000000000036E-2</v>
      </c>
      <c r="W133" s="298"/>
      <c r="X133" s="698">
        <f t="shared" ca="1" si="144"/>
        <v>0.5</v>
      </c>
      <c r="Y133" s="698">
        <f t="shared" ca="1" si="152"/>
        <v>20</v>
      </c>
      <c r="Z133" s="698">
        <f t="shared" ca="1" si="153"/>
        <v>0</v>
      </c>
      <c r="AA133" s="698">
        <f t="shared" ca="1" si="154"/>
        <v>0</v>
      </c>
      <c r="AB133" s="698">
        <f t="shared" ca="1" si="155"/>
        <v>0.1</v>
      </c>
      <c r="AD133" s="81">
        <v>2030</v>
      </c>
      <c r="AE133" s="81"/>
      <c r="AF133" s="220"/>
    </row>
    <row r="134" spans="2:32">
      <c r="B134" s="719" t="s">
        <v>1009</v>
      </c>
      <c r="C134" s="713"/>
      <c r="D134" s="701"/>
      <c r="E134" s="701"/>
      <c r="F134" s="224" t="s">
        <v>1149</v>
      </c>
      <c r="G134" s="203"/>
      <c r="H134" s="702"/>
      <c r="I134" s="702" t="str">
        <f t="shared" si="142"/>
        <v>INDLWH</v>
      </c>
      <c r="J134" s="224">
        <f t="shared" si="145"/>
        <v>2050</v>
      </c>
      <c r="K134" s="81"/>
      <c r="L134" s="199">
        <f t="shared" ca="1" si="147"/>
        <v>0.97</v>
      </c>
      <c r="M134" s="199"/>
      <c r="N134" s="81"/>
      <c r="O134" s="723">
        <f t="shared" ca="1" si="148"/>
        <v>0.26251188606957326</v>
      </c>
      <c r="P134" s="723">
        <f t="shared" ca="1" si="149"/>
        <v>1.1175000000000001E-2</v>
      </c>
      <c r="Q134" s="81">
        <f t="shared" ca="1" si="150"/>
        <v>1.8625</v>
      </c>
      <c r="R134" s="703"/>
      <c r="S134" s="703"/>
      <c r="T134" s="703"/>
      <c r="U134" s="703"/>
      <c r="V134" s="199">
        <f t="shared" ref="V134" ca="1" si="160">IF(IF(RIGHT(H132,2)="PH",(1-L134)+$W$2,IF(RIGHT(H132,2)="HT",(1-L134)+$W$1,IF(RIGHT(H132,2)="SH",(1-L134)+$W$3,"")))&gt;0,IF(RIGHT(H132,2)="PH",(1-L134)+$W$2,IF(RIGHT(H132,2)="HT",(1-L134)+$W$1,IF(RIGHT(H132,2)="SH",(1-L134)+$W$3,""))),0)</f>
        <v>3.0000000000000027E-2</v>
      </c>
      <c r="W134" s="704"/>
      <c r="X134" s="698">
        <f t="shared" ca="1" si="144"/>
        <v>0.5</v>
      </c>
      <c r="Y134" s="698">
        <f t="shared" ca="1" si="152"/>
        <v>15</v>
      </c>
      <c r="Z134" s="698">
        <f t="shared" ca="1" si="153"/>
        <v>0</v>
      </c>
      <c r="AA134" s="698">
        <f t="shared" ca="1" si="154"/>
        <v>0</v>
      </c>
      <c r="AB134" s="698">
        <f t="shared" ca="1" si="155"/>
        <v>0.1</v>
      </c>
      <c r="AD134" s="81">
        <v>2050</v>
      </c>
      <c r="AE134" s="81"/>
      <c r="AF134" s="220"/>
    </row>
    <row r="135" spans="2:32">
      <c r="B135" s="718" t="s">
        <v>1010</v>
      </c>
      <c r="C135" s="226"/>
      <c r="D135" s="212" t="str">
        <f>"IND"&amp;RIGHT(H135,4)&amp;"GAS"&amp;"N"&amp;RIGHT(E135,1)</f>
        <v>INDLDPHGASN1</v>
      </c>
      <c r="E135" s="261" t="str">
        <f>"Industrial heating technology "&amp;$AJ$12&amp;" "&amp;RIGHT(H135,2)&amp;" - Gas boiler (Steam) - new 1"</f>
        <v>Industrial heating technology L PH - Gas boiler (Steam) - new 1</v>
      </c>
      <c r="F135" s="224" t="s">
        <v>1149</v>
      </c>
      <c r="G135" s="173" t="s">
        <v>2080</v>
      </c>
      <c r="H135" s="174" t="str">
        <f>$AI$13</f>
        <v>ILDPH</v>
      </c>
      <c r="I135" s="174" t="str">
        <f t="shared" si="142"/>
        <v>INDLWH</v>
      </c>
      <c r="J135" s="224">
        <f t="shared" si="145"/>
        <v>2011</v>
      </c>
      <c r="K135" s="299">
        <v>2011</v>
      </c>
      <c r="L135" s="199">
        <f t="shared" ref="L135:L143" ca="1" si="161">VLOOKUP($AD135,INDIRECT("'"&amp;$B135&amp;"'!"&amp;"$P$39:$AD$42"),3,FALSE)</f>
        <v>0.92</v>
      </c>
      <c r="M135" s="699"/>
      <c r="N135" s="299">
        <f ca="1">VLOOKUP($AD135,INDIRECT("'"&amp;$B135&amp;"'!"&amp;"$P$39:$AD$42"),5,FALSE)</f>
        <v>25</v>
      </c>
      <c r="O135" s="725">
        <f t="shared" ref="O135:O143" ca="1" si="162">VLOOKUP($AD135,INDIRECT("'"&amp;$B135&amp;"'!"&amp;"$P$39:$AD$42"),6,FALSE)/1000</f>
        <v>0.40636363636363632</v>
      </c>
      <c r="P135" s="725">
        <f t="shared" ref="P135:P143" ca="1" si="163">VLOOKUP($AD135,INDIRECT("'"&amp;$B135&amp;"'!"&amp;"$P$39:$AD$42"),7,FALSE)/1000</f>
        <v>1.49E-2</v>
      </c>
      <c r="Q135" s="299">
        <f t="shared" ref="Q135:Q143" ca="1" si="164">VLOOKUP($AD135,INDIRECT("'"&amp;$B135&amp;"'!"&amp;"$P$39:$AD$42"),8,FALSE)</f>
        <v>2.276388888888889</v>
      </c>
      <c r="R135" s="299">
        <v>3.1536000000000002E-2</v>
      </c>
      <c r="S135" s="699">
        <v>0.5</v>
      </c>
      <c r="T135" s="699">
        <f ca="1">HLOOKUP($T$2,INDIRECT("'"&amp;$B135&amp;"'!"&amp;"$P$6:$AC$19"),IF(H135=$AI$13,6,IF(H135=$AI$14,9,14)),FALSE)</f>
        <v>1</v>
      </c>
      <c r="U135" s="772"/>
      <c r="V135" s="199">
        <f t="shared" ref="V135" ca="1" si="165">IF(IF(RIGHT(H135,2)="PH",(1-L135)+$W$2,IF(RIGHT(H135,2)="HT",(1-L135)+$W$1,IF(RIGHT(H135,2)="SH",(1-L135)+$W$3,"")))&gt;0,IF(RIGHT(H135,2)="PH",(1-L135)+$W$2,IF(RIGHT(H135,2)="HT",(1-L135)+$W$1,IF(RIGHT(H135,2)="SH",(1-L135)+$W$3,""))),0)</f>
        <v>0.27999999999999997</v>
      </c>
      <c r="W135" s="298"/>
      <c r="X135" s="698">
        <f t="shared" ca="1" si="144"/>
        <v>0.3</v>
      </c>
      <c r="Y135" s="299">
        <f t="shared" ref="Y135:Y143" ca="1" si="166">VLOOKUP($AD135,INDIRECT("'"&amp;$B135&amp;"'!"&amp;"$P$39:$AD$42"),12,FALSE)</f>
        <v>9</v>
      </c>
      <c r="Z135" s="299">
        <f t="shared" ref="Z135:Z143" ca="1" si="167">VLOOKUP($AD135,INDIRECT("'"&amp;$B135&amp;"'!"&amp;"$P$39:$AD$42"),13,FALSE)</f>
        <v>3</v>
      </c>
      <c r="AA135" s="299">
        <f t="shared" ref="AA135:AA143" ca="1" si="168">VLOOKUP($AD135,INDIRECT("'"&amp;$B135&amp;"'!"&amp;"$P$39:$AD$42"),14,FALSE)</f>
        <v>1</v>
      </c>
      <c r="AB135" s="299">
        <f t="shared" ref="AB135:AB143" ca="1" si="169">VLOOKUP($AD135,INDIRECT("'"&amp;$B135&amp;"'!"&amp;"$P$39:$AD$42"),15,FALSE)</f>
        <v>0.1</v>
      </c>
      <c r="AD135" s="299">
        <v>2020</v>
      </c>
      <c r="AE135" s="81"/>
      <c r="AF135" s="220"/>
    </row>
    <row r="136" spans="2:32">
      <c r="B136" s="718" t="s">
        <v>1010</v>
      </c>
      <c r="C136" s="226"/>
      <c r="E136" s="212"/>
      <c r="F136" s="224" t="s">
        <v>1149</v>
      </c>
      <c r="H136" s="174"/>
      <c r="I136" s="174" t="str">
        <f t="shared" si="142"/>
        <v>INDLWH</v>
      </c>
      <c r="J136" s="224">
        <f t="shared" si="145"/>
        <v>2030</v>
      </c>
      <c r="K136" s="81"/>
      <c r="L136" s="199">
        <f t="shared" ca="1" si="161"/>
        <v>0.93</v>
      </c>
      <c r="M136" s="199"/>
      <c r="N136" s="81"/>
      <c r="O136" s="723">
        <f t="shared" ca="1" si="162"/>
        <v>0.33863636363636368</v>
      </c>
      <c r="P136" s="723">
        <f t="shared" ca="1" si="163"/>
        <v>1.4154999999999999E-2</v>
      </c>
      <c r="Q136" s="81">
        <f t="shared" ca="1" si="164"/>
        <v>2.0694444444444446</v>
      </c>
      <c r="R136" s="300"/>
      <c r="S136" s="300"/>
      <c r="T136" s="300"/>
      <c r="U136" s="300"/>
      <c r="V136" s="199">
        <f t="shared" ref="V136" ca="1" si="170">IF(IF(RIGHT(H135,2)="PH",(1-L136)+$W$2,IF(RIGHT(H135,2)="HT",(1-L136)+$W$1,IF(RIGHT(H135,2)="SH",(1-L136)+$W$3,"")))&gt;0,IF(RIGHT(H135,2)="PH",(1-L136)+$W$2,IF(RIGHT(H135,2)="HT",(1-L136)+$W$1,IF(RIGHT(H135,2)="SH",(1-L136)+$W$3,""))),0)</f>
        <v>0.26999999999999996</v>
      </c>
      <c r="W136" s="298"/>
      <c r="X136" s="698">
        <f t="shared" ca="1" si="144"/>
        <v>0.3</v>
      </c>
      <c r="Y136" s="81">
        <f t="shared" ca="1" si="166"/>
        <v>7</v>
      </c>
      <c r="Z136" s="81">
        <f t="shared" ca="1" si="167"/>
        <v>2</v>
      </c>
      <c r="AA136" s="81">
        <f t="shared" ca="1" si="168"/>
        <v>1</v>
      </c>
      <c r="AB136" s="81">
        <f t="shared" ca="1" si="169"/>
        <v>0.1</v>
      </c>
      <c r="AD136" s="81">
        <v>2030</v>
      </c>
      <c r="AE136" s="81"/>
      <c r="AF136" s="220"/>
    </row>
    <row r="137" spans="2:32">
      <c r="B137" s="718" t="s">
        <v>1010</v>
      </c>
      <c r="C137" s="226"/>
      <c r="E137" s="212"/>
      <c r="F137" s="224" t="s">
        <v>1149</v>
      </c>
      <c r="H137" s="174"/>
      <c r="I137" s="174" t="str">
        <f t="shared" si="142"/>
        <v>INDLWH</v>
      </c>
      <c r="J137" s="224">
        <f t="shared" si="145"/>
        <v>2050</v>
      </c>
      <c r="K137" s="81"/>
      <c r="L137" s="199">
        <f t="shared" ca="1" si="161"/>
        <v>0.94</v>
      </c>
      <c r="M137" s="199"/>
      <c r="N137" s="81"/>
      <c r="O137" s="723">
        <f t="shared" ca="1" si="162"/>
        <v>0.33863636363636368</v>
      </c>
      <c r="P137" s="723">
        <f t="shared" ca="1" si="163"/>
        <v>1.2664999999999999E-2</v>
      </c>
      <c r="Q137" s="81">
        <f t="shared" ca="1" si="164"/>
        <v>2.0694444444444446</v>
      </c>
      <c r="R137" s="300"/>
      <c r="S137" s="300"/>
      <c r="T137" s="300"/>
      <c r="U137" s="300"/>
      <c r="V137" s="199">
        <f t="shared" ref="V137" ca="1" si="171">IF(IF(RIGHT(H135,2)="PH",(1-L137)+$W$2,IF(RIGHT(H135,2)="HT",(1-L137)+$W$1,IF(RIGHT(H135,2)="SH",(1-L137)+$W$3,"")))&gt;0,IF(RIGHT(H135,2)="PH",(1-L137)+$W$2,IF(RIGHT(H135,2)="HT",(1-L137)+$W$1,IF(RIGHT(H135,2)="SH",(1-L137)+$W$3,""))),0)</f>
        <v>0.26000000000000006</v>
      </c>
      <c r="W137" s="298"/>
      <c r="X137" s="698">
        <f t="shared" ca="1" si="144"/>
        <v>0.3</v>
      </c>
      <c r="Y137" s="81">
        <f t="shared" ca="1" si="166"/>
        <v>6</v>
      </c>
      <c r="Z137" s="81">
        <f t="shared" ca="1" si="167"/>
        <v>2</v>
      </c>
      <c r="AA137" s="81">
        <f t="shared" ca="1" si="168"/>
        <v>1</v>
      </c>
      <c r="AB137" s="81">
        <f t="shared" ca="1" si="169"/>
        <v>0.1</v>
      </c>
      <c r="AD137" s="81">
        <v>2050</v>
      </c>
      <c r="AE137" s="81"/>
      <c r="AF137" s="220"/>
    </row>
    <row r="138" spans="2:32">
      <c r="B138" s="718" t="s">
        <v>1010</v>
      </c>
      <c r="C138" s="226"/>
      <c r="D138" s="212" t="str">
        <f>"IND"&amp;RIGHT(H138,4)&amp;"GAS"&amp;"N"&amp;RIGHT(E138,1)</f>
        <v>INDLDPHGASN1</v>
      </c>
      <c r="E138" s="261" t="str">
        <f>"Industrial heating technology "&amp;$AJ$12&amp;" "&amp;RIGHT(H138,2)&amp;" - Gas boiler (Steam) - new 1"</f>
        <v>Industrial heating technology L PH - Gas boiler (Steam) - new 1</v>
      </c>
      <c r="F138" s="224" t="s">
        <v>1149</v>
      </c>
      <c r="G138" s="173" t="s">
        <v>2080</v>
      </c>
      <c r="H138" s="174" t="str">
        <f>$AI$14</f>
        <v>ILDPH</v>
      </c>
      <c r="I138" s="174" t="str">
        <f t="shared" si="142"/>
        <v>INDLWH</v>
      </c>
      <c r="J138" s="224">
        <f t="shared" si="145"/>
        <v>2011</v>
      </c>
      <c r="K138" s="299">
        <f>J138</f>
        <v>2011</v>
      </c>
      <c r="L138" s="199">
        <f t="shared" ca="1" si="161"/>
        <v>0.92</v>
      </c>
      <c r="M138" s="199"/>
      <c r="N138" s="81">
        <f ca="1">VLOOKUP($AD138,INDIRECT("'"&amp;$B138&amp;"'!"&amp;"$P$39:$AD$42"),5,FALSE)</f>
        <v>25</v>
      </c>
      <c r="O138" s="723">
        <f t="shared" ca="1" si="162"/>
        <v>0.40636363636363632</v>
      </c>
      <c r="P138" s="723">
        <f t="shared" ca="1" si="163"/>
        <v>1.49E-2</v>
      </c>
      <c r="Q138" s="81">
        <f t="shared" ca="1" si="164"/>
        <v>2.276388888888889</v>
      </c>
      <c r="R138" s="81">
        <v>3.1536000000000002E-2</v>
      </c>
      <c r="S138" s="199">
        <v>0.5</v>
      </c>
      <c r="T138" s="199">
        <f ca="1">HLOOKUP($T$2,INDIRECT("'"&amp;$B138&amp;"'!"&amp;"$P$6:$AC$19"),IF(H138=$AI$13,6,IF(H138=$AI$14,9,14)),FALSE)</f>
        <v>1</v>
      </c>
      <c r="U138" s="772"/>
      <c r="V138" s="199">
        <f t="shared" ref="V138" ca="1" si="172">IF(IF(RIGHT(H138,2)="PH",(1-L138)+$W$2,IF(RIGHT(H138,2)="HT",(1-L138)+$W$1,IF(RIGHT(H138,2)="SH",(1-L138)+$W$3,"")))&gt;0,IF(RIGHT(H138,2)="PH",(1-L138)+$W$2,IF(RIGHT(H138,2)="HT",(1-L138)+$W$1,IF(RIGHT(H138,2)="SH",(1-L138)+$W$3,""))),0)</f>
        <v>0.27999999999999997</v>
      </c>
      <c r="W138" s="298"/>
      <c r="X138" s="698">
        <f t="shared" ca="1" si="144"/>
        <v>0.3</v>
      </c>
      <c r="Y138" s="81">
        <f t="shared" ca="1" si="166"/>
        <v>9</v>
      </c>
      <c r="Z138" s="81">
        <f t="shared" ca="1" si="167"/>
        <v>3</v>
      </c>
      <c r="AA138" s="81">
        <f t="shared" ca="1" si="168"/>
        <v>1</v>
      </c>
      <c r="AB138" s="81">
        <f t="shared" ca="1" si="169"/>
        <v>0.1</v>
      </c>
      <c r="AD138" s="81">
        <v>2020</v>
      </c>
      <c r="AE138" s="81"/>
      <c r="AF138" s="220"/>
    </row>
    <row r="139" spans="2:32">
      <c r="B139" s="718" t="s">
        <v>1010</v>
      </c>
      <c r="C139" s="226"/>
      <c r="E139" s="212"/>
      <c r="F139" s="224" t="s">
        <v>1149</v>
      </c>
      <c r="H139" s="174"/>
      <c r="I139" s="174" t="str">
        <f t="shared" si="142"/>
        <v>INDLWH</v>
      </c>
      <c r="J139" s="224">
        <f t="shared" si="145"/>
        <v>2030</v>
      </c>
      <c r="K139" s="81"/>
      <c r="L139" s="199">
        <f t="shared" ca="1" si="161"/>
        <v>0.93</v>
      </c>
      <c r="M139" s="199"/>
      <c r="N139" s="81"/>
      <c r="O139" s="723">
        <f t="shared" ca="1" si="162"/>
        <v>0.33863636363636368</v>
      </c>
      <c r="P139" s="723">
        <f t="shared" ca="1" si="163"/>
        <v>1.4154999999999999E-2</v>
      </c>
      <c r="Q139" s="81">
        <f t="shared" ca="1" si="164"/>
        <v>2.0694444444444446</v>
      </c>
      <c r="R139" s="300"/>
      <c r="S139" s="300"/>
      <c r="T139" s="300"/>
      <c r="U139" s="300"/>
      <c r="V139" s="199">
        <f t="shared" ref="V139" ca="1" si="173">IF(IF(RIGHT(H138,2)="PH",(1-L139)+$W$2,IF(RIGHT(H138,2)="HT",(1-L139)+$W$1,IF(RIGHT(H138,2)="SH",(1-L139)+$W$3,"")))&gt;0,IF(RIGHT(H138,2)="PH",(1-L139)+$W$2,IF(RIGHT(H138,2)="HT",(1-L139)+$W$1,IF(RIGHT(H138,2)="SH",(1-L139)+$W$3,""))),0)</f>
        <v>0.26999999999999996</v>
      </c>
      <c r="W139" s="298"/>
      <c r="X139" s="698">
        <f t="shared" ca="1" si="144"/>
        <v>0.3</v>
      </c>
      <c r="Y139" s="81">
        <f t="shared" ca="1" si="166"/>
        <v>7</v>
      </c>
      <c r="Z139" s="81">
        <f t="shared" ca="1" si="167"/>
        <v>2</v>
      </c>
      <c r="AA139" s="81">
        <f t="shared" ca="1" si="168"/>
        <v>1</v>
      </c>
      <c r="AB139" s="81">
        <f t="shared" ca="1" si="169"/>
        <v>0.1</v>
      </c>
      <c r="AD139" s="81">
        <v>2030</v>
      </c>
      <c r="AE139" s="81"/>
      <c r="AF139" s="220"/>
    </row>
    <row r="140" spans="2:32">
      <c r="B140" s="718" t="s">
        <v>1010</v>
      </c>
      <c r="C140" s="226"/>
      <c r="E140" s="212"/>
      <c r="F140" s="224" t="s">
        <v>1149</v>
      </c>
      <c r="H140" s="174"/>
      <c r="I140" s="174" t="str">
        <f t="shared" si="142"/>
        <v>INDLWH</v>
      </c>
      <c r="J140" s="224">
        <f t="shared" si="145"/>
        <v>2050</v>
      </c>
      <c r="K140" s="81"/>
      <c r="L140" s="199">
        <f t="shared" ca="1" si="161"/>
        <v>0.94</v>
      </c>
      <c r="M140" s="199"/>
      <c r="N140" s="81"/>
      <c r="O140" s="723">
        <f t="shared" ca="1" si="162"/>
        <v>0.33863636363636368</v>
      </c>
      <c r="P140" s="723">
        <f t="shared" ca="1" si="163"/>
        <v>1.2664999999999999E-2</v>
      </c>
      <c r="Q140" s="81">
        <f t="shared" ca="1" si="164"/>
        <v>2.0694444444444446</v>
      </c>
      <c r="R140" s="300"/>
      <c r="S140" s="300"/>
      <c r="T140" s="300"/>
      <c r="U140" s="300"/>
      <c r="V140" s="199">
        <f t="shared" ref="V140" ca="1" si="174">IF(IF(RIGHT(H138,2)="PH",(1-L140)+$W$2,IF(RIGHT(H138,2)="HT",(1-L140)+$W$1,IF(RIGHT(H138,2)="SH",(1-L140)+$W$3,"")))&gt;0,IF(RIGHT(H138,2)="PH",(1-L140)+$W$2,IF(RIGHT(H138,2)="HT",(1-L140)+$W$1,IF(RIGHT(H138,2)="SH",(1-L140)+$W$3,""))),0)</f>
        <v>0.26000000000000006</v>
      </c>
      <c r="W140" s="298"/>
      <c r="X140" s="698">
        <f t="shared" ca="1" si="144"/>
        <v>0.3</v>
      </c>
      <c r="Y140" s="81">
        <f t="shared" ca="1" si="166"/>
        <v>6</v>
      </c>
      <c r="Z140" s="81">
        <f t="shared" ca="1" si="167"/>
        <v>2</v>
      </c>
      <c r="AA140" s="81">
        <f t="shared" ca="1" si="168"/>
        <v>1</v>
      </c>
      <c r="AB140" s="81">
        <f t="shared" ca="1" si="169"/>
        <v>0.1</v>
      </c>
      <c r="AC140" s="203"/>
      <c r="AD140" s="81">
        <v>2050</v>
      </c>
      <c r="AE140" s="81"/>
      <c r="AF140" s="705"/>
    </row>
    <row r="141" spans="2:32">
      <c r="B141" s="718" t="s">
        <v>1010</v>
      </c>
      <c r="C141" s="226"/>
      <c r="D141" s="212" t="str">
        <f>"IND"&amp;RIGHT(H141,4)&amp;"GAS"&amp;"N"&amp;RIGHT(E141,1)</f>
        <v>INDLDSHGASN1</v>
      </c>
      <c r="E141" s="261" t="str">
        <f>"Industrial heating technology "&amp;$AJ$12&amp;" "&amp;RIGHT(H141,2)&amp;" - Gas boiler (Steam) - new 1"</f>
        <v>Industrial heating technology L SH - Gas boiler (Steam) - new 1</v>
      </c>
      <c r="F141" s="224" t="s">
        <v>1149</v>
      </c>
      <c r="G141" s="173" t="s">
        <v>2080</v>
      </c>
      <c r="H141" s="174" t="str">
        <f>$AI$15</f>
        <v>ILDSH</v>
      </c>
      <c r="I141" s="174" t="str">
        <f t="shared" si="142"/>
        <v>INDLWH</v>
      </c>
      <c r="J141" s="224">
        <f t="shared" si="145"/>
        <v>2011</v>
      </c>
      <c r="K141" s="299">
        <f>J141</f>
        <v>2011</v>
      </c>
      <c r="L141" s="199">
        <f t="shared" ca="1" si="161"/>
        <v>0.92</v>
      </c>
      <c r="M141" s="199"/>
      <c r="N141" s="81">
        <f ca="1">VLOOKUP($AD141,INDIRECT("'"&amp;$B141&amp;"'!"&amp;"$P$39:$AD$42"),5,FALSE)</f>
        <v>25</v>
      </c>
      <c r="O141" s="723">
        <f t="shared" ca="1" si="162"/>
        <v>0.40636363636363632</v>
      </c>
      <c r="P141" s="723">
        <f t="shared" ca="1" si="163"/>
        <v>1.49E-2</v>
      </c>
      <c r="Q141" s="81">
        <f t="shared" ca="1" si="164"/>
        <v>2.276388888888889</v>
      </c>
      <c r="R141" s="81">
        <v>3.1536000000000002E-2</v>
      </c>
      <c r="S141" s="199">
        <v>0.5</v>
      </c>
      <c r="T141" s="199">
        <f ca="1">HLOOKUP($T$2,INDIRECT("'"&amp;$B141&amp;"'!"&amp;"$P$6:$AC$19"),IF(H141=$AI$13,6,IF(H141=$AI$14,9,14)),FALSE)</f>
        <v>1</v>
      </c>
      <c r="U141" s="772"/>
      <c r="V141" s="199">
        <f t="shared" ref="V141" ca="1" si="175">IF(IF(RIGHT(H141,2)="PH",(1-L141)+$W$2,IF(RIGHT(H141,2)="HT",(1-L141)+$W$1,IF(RIGHT(H141,2)="SH",(1-L141)+$W$3,"")))&gt;0,IF(RIGHT(H141,2)="PH",(1-L141)+$W$2,IF(RIGHT(H141,2)="HT",(1-L141)+$W$1,IF(RIGHT(H141,2)="SH",(1-L141)+$W$3,""))),0)</f>
        <v>7.999999999999996E-2</v>
      </c>
      <c r="W141" s="298"/>
      <c r="X141" s="698">
        <f t="shared" ca="1" si="144"/>
        <v>0.3</v>
      </c>
      <c r="Y141" s="81">
        <f t="shared" ca="1" si="166"/>
        <v>9</v>
      </c>
      <c r="Z141" s="81">
        <f t="shared" ca="1" si="167"/>
        <v>3</v>
      </c>
      <c r="AA141" s="81">
        <f t="shared" ca="1" si="168"/>
        <v>1</v>
      </c>
      <c r="AB141" s="81">
        <f t="shared" ca="1" si="169"/>
        <v>0.1</v>
      </c>
      <c r="AC141" s="296"/>
      <c r="AD141" s="81">
        <v>2020</v>
      </c>
      <c r="AE141" s="81"/>
      <c r="AF141" s="710"/>
    </row>
    <row r="142" spans="2:32">
      <c r="B142" s="718" t="s">
        <v>1010</v>
      </c>
      <c r="C142" s="226"/>
      <c r="E142" s="212"/>
      <c r="F142" s="224" t="s">
        <v>1149</v>
      </c>
      <c r="H142" s="174"/>
      <c r="I142" s="174" t="str">
        <f t="shared" si="142"/>
        <v>INDLWH</v>
      </c>
      <c r="J142" s="224">
        <f t="shared" si="145"/>
        <v>2030</v>
      </c>
      <c r="K142" s="81"/>
      <c r="L142" s="199">
        <f t="shared" ca="1" si="161"/>
        <v>0.93</v>
      </c>
      <c r="M142" s="199"/>
      <c r="N142" s="81"/>
      <c r="O142" s="723">
        <f t="shared" ca="1" si="162"/>
        <v>0.33863636363636368</v>
      </c>
      <c r="P142" s="723">
        <f t="shared" ca="1" si="163"/>
        <v>1.4154999999999999E-2</v>
      </c>
      <c r="Q142" s="81">
        <f t="shared" ca="1" si="164"/>
        <v>2.0694444444444446</v>
      </c>
      <c r="R142" s="300"/>
      <c r="S142" s="300"/>
      <c r="T142" s="300"/>
      <c r="U142" s="300"/>
      <c r="V142" s="199">
        <f t="shared" ref="V142" ca="1" si="176">IF(IF(RIGHT(H141,2)="PH",(1-L142)+$W$2,IF(RIGHT(H141,2)="HT",(1-L142)+$W$1,IF(RIGHT(H141,2)="SH",(1-L142)+$W$3,"")))&gt;0,IF(RIGHT(H141,2)="PH",(1-L142)+$W$2,IF(RIGHT(H141,2)="HT",(1-L142)+$W$1,IF(RIGHT(H141,2)="SH",(1-L142)+$W$3,""))),0)</f>
        <v>6.9999999999999951E-2</v>
      </c>
      <c r="W142" s="298"/>
      <c r="X142" s="698">
        <f t="shared" ca="1" si="144"/>
        <v>0.3</v>
      </c>
      <c r="Y142" s="81">
        <f t="shared" ca="1" si="166"/>
        <v>7</v>
      </c>
      <c r="Z142" s="81">
        <f t="shared" ca="1" si="167"/>
        <v>2</v>
      </c>
      <c r="AA142" s="81">
        <f t="shared" ca="1" si="168"/>
        <v>1</v>
      </c>
      <c r="AB142" s="81">
        <f t="shared" ca="1" si="169"/>
        <v>0.1</v>
      </c>
      <c r="AC142" s="55"/>
      <c r="AD142" s="81">
        <v>2030</v>
      </c>
      <c r="AE142" s="81"/>
      <c r="AF142" s="700"/>
    </row>
    <row r="143" spans="2:32">
      <c r="B143" s="719" t="s">
        <v>1010</v>
      </c>
      <c r="C143" s="713"/>
      <c r="D143" s="203"/>
      <c r="E143" s="701"/>
      <c r="F143" s="224" t="s">
        <v>1149</v>
      </c>
      <c r="G143" s="203"/>
      <c r="H143" s="702"/>
      <c r="I143" s="702" t="str">
        <f t="shared" si="142"/>
        <v>INDLWH</v>
      </c>
      <c r="J143" s="224">
        <f t="shared" si="145"/>
        <v>2050</v>
      </c>
      <c r="K143" s="81"/>
      <c r="L143" s="199">
        <f t="shared" ca="1" si="161"/>
        <v>0.94</v>
      </c>
      <c r="M143" s="199"/>
      <c r="N143" s="81"/>
      <c r="O143" s="723">
        <f t="shared" ca="1" si="162"/>
        <v>0.33863636363636368</v>
      </c>
      <c r="P143" s="723">
        <f t="shared" ca="1" si="163"/>
        <v>1.2664999999999999E-2</v>
      </c>
      <c r="Q143" s="81">
        <f t="shared" ca="1" si="164"/>
        <v>2.0694444444444446</v>
      </c>
      <c r="R143" s="703"/>
      <c r="S143" s="703"/>
      <c r="T143" s="703"/>
      <c r="U143" s="703"/>
      <c r="V143" s="199">
        <f t="shared" ref="V143" ca="1" si="177">IF(IF(RIGHT(H141,2)="PH",(1-L143)+$W$2,IF(RIGHT(H141,2)="HT",(1-L143)+$W$1,IF(RIGHT(H141,2)="SH",(1-L143)+$W$3,"")))&gt;0,IF(RIGHT(H141,2)="PH",(1-L143)+$W$2,IF(RIGHT(H141,2)="HT",(1-L143)+$W$1,IF(RIGHT(H141,2)="SH",(1-L143)+$W$3,""))),0)</f>
        <v>6.0000000000000053E-2</v>
      </c>
      <c r="W143" s="704"/>
      <c r="X143" s="698">
        <f t="shared" ca="1" si="144"/>
        <v>0.3</v>
      </c>
      <c r="Y143" s="81">
        <f t="shared" ca="1" si="166"/>
        <v>6</v>
      </c>
      <c r="Z143" s="81">
        <f t="shared" ca="1" si="167"/>
        <v>2</v>
      </c>
      <c r="AA143" s="81">
        <f t="shared" ca="1" si="168"/>
        <v>1</v>
      </c>
      <c r="AB143" s="81">
        <f t="shared" ca="1" si="169"/>
        <v>0.1</v>
      </c>
      <c r="AC143" s="55"/>
      <c r="AD143" s="81">
        <v>2050</v>
      </c>
      <c r="AE143" s="81"/>
      <c r="AF143" s="700"/>
    </row>
    <row r="144" spans="2:32">
      <c r="B144" s="718" t="s">
        <v>1010</v>
      </c>
      <c r="C144" s="226"/>
      <c r="D144" s="212" t="str">
        <f>"IND"&amp;RIGHT(H144,4)&amp;"GAS"&amp;"N"&amp;RIGHT(E144,1)</f>
        <v>INDLDPHGASN2</v>
      </c>
      <c r="E144" s="707" t="str">
        <f>"Industrial heating technology "&amp;$AJ$12&amp;" "&amp;RIGHT(H144,2)&amp;" - Gas boiler (Steam - condensing) - new 2"</f>
        <v>Industrial heating technology L PH - Gas boiler (Steam - condensing) - new 2</v>
      </c>
      <c r="F144" s="224" t="s">
        <v>1149</v>
      </c>
      <c r="G144" s="173" t="s">
        <v>2080</v>
      </c>
      <c r="H144" s="708" t="str">
        <f>$AI$14</f>
        <v>ILDPH</v>
      </c>
      <c r="I144" s="708" t="str">
        <f t="shared" si="142"/>
        <v>INDLWH</v>
      </c>
      <c r="J144" s="224">
        <f t="shared" si="145"/>
        <v>2011</v>
      </c>
      <c r="K144" s="299">
        <f>J144</f>
        <v>2011</v>
      </c>
      <c r="L144" s="199">
        <f t="shared" ref="L144:L149" ca="1" si="178">VLOOKUP($AD144,INDIRECT("'"&amp;$B144&amp;"'!"&amp;"$P$118:$AD$121"),3,FALSE)</f>
        <v>1.01</v>
      </c>
      <c r="M144" s="199"/>
      <c r="N144" s="81">
        <f ca="1">VLOOKUP($AD144,INDIRECT("'"&amp;$B144&amp;"'!"&amp;"$P$118:$AD$121"),5,FALSE)</f>
        <v>25</v>
      </c>
      <c r="O144" s="723">
        <f t="shared" ref="O144:O149" ca="1" si="179">VLOOKUP($AD144,INDIRECT("'"&amp;$B144&amp;"'!"&amp;"$P$118:$AD$121"),6,FALSE)/1000</f>
        <v>0.44700000000000001</v>
      </c>
      <c r="P144" s="723">
        <f t="shared" ref="P144:P149" ca="1" si="180">VLOOKUP($AD144,INDIRECT("'"&amp;$B144&amp;"'!"&amp;"$P$118:$AD$121"),7,FALSE)/1000</f>
        <v>1.49E-2</v>
      </c>
      <c r="Q144" s="81">
        <f t="shared" ref="Q144:Q149" ca="1" si="181">VLOOKUP($AD144,INDIRECT("'"&amp;$B144&amp;"'!"&amp;"$P$118:$AD$121"),8,FALSE)</f>
        <v>2.276388888888889</v>
      </c>
      <c r="R144" s="81">
        <v>3.1536000000000002E-2</v>
      </c>
      <c r="S144" s="199">
        <v>0.5</v>
      </c>
      <c r="T144" s="199">
        <f ca="1">HLOOKUP($T$2,INDIRECT("'"&amp;$B144&amp;"'!"&amp;"$P$85:$AC$98"),IF(H144=$AI$13,6,IF(H144=$AI$14,9,14)),FALSE)</f>
        <v>0</v>
      </c>
      <c r="U144" s="773"/>
      <c r="V144" s="199">
        <f t="shared" ref="V144" ca="1" si="182">IF(IF(RIGHT(H144,2)="PH",(1-L144)+$W$2,IF(RIGHT(H144,2)="HT",(1-L144)+$W$1,IF(RIGHT(H144,2)="SH",(1-L144)+$W$3,"")))&gt;0,IF(RIGHT(H144,2)="PH",(1-L144)+$W$2,IF(RIGHT(H144,2)="HT",(1-L144)+$W$1,IF(RIGHT(H144,2)="SH",(1-L144)+$W$3,""))),0)</f>
        <v>0.19</v>
      </c>
      <c r="W144" s="709"/>
      <c r="X144" s="698">
        <f t="shared" ca="1" si="144"/>
        <v>0.3</v>
      </c>
      <c r="Y144" s="698">
        <f t="shared" ref="Y144:Y149" ca="1" si="183">VLOOKUP($AD144,INDIRECT("'"&amp;$B144&amp;"'!"&amp;"$P$118:$AD$121"),12,FALSE)</f>
        <v>9</v>
      </c>
      <c r="Z144" s="698">
        <f t="shared" ref="Z144:Z149" ca="1" si="184">VLOOKUP($AD144,INDIRECT("'"&amp;$B144&amp;"'!"&amp;"$P$118:$AD$121"),13,FALSE)</f>
        <v>3</v>
      </c>
      <c r="AA144" s="698">
        <f t="shared" ref="AA144:AA149" ca="1" si="185">VLOOKUP($AD144,INDIRECT("'"&amp;$B144&amp;"'!"&amp;"$P$118:$AD$121"),14,FALSE)</f>
        <v>1</v>
      </c>
      <c r="AB144" s="698">
        <f t="shared" ref="AB144:AB149" ca="1" si="186">VLOOKUP($AD144,INDIRECT("'"&amp;$B144&amp;"'!"&amp;"$P$118:$AD$121"),15,FALSE)</f>
        <v>0.1</v>
      </c>
      <c r="AC144" s="55"/>
      <c r="AD144" s="81">
        <v>2020</v>
      </c>
      <c r="AE144" s="81"/>
      <c r="AF144" s="700"/>
    </row>
    <row r="145" spans="1:32">
      <c r="B145" s="718" t="s">
        <v>1010</v>
      </c>
      <c r="C145" s="226"/>
      <c r="E145" s="261"/>
      <c r="F145" s="224" t="s">
        <v>1149</v>
      </c>
      <c r="G145" s="55"/>
      <c r="H145" s="174"/>
      <c r="I145" s="174" t="str">
        <f t="shared" si="142"/>
        <v>INDLWH</v>
      </c>
      <c r="J145" s="224">
        <f t="shared" si="145"/>
        <v>2030</v>
      </c>
      <c r="K145" s="81"/>
      <c r="L145" s="199">
        <f t="shared" ca="1" si="178"/>
        <v>1.03</v>
      </c>
      <c r="M145" s="199"/>
      <c r="N145" s="81"/>
      <c r="O145" s="723">
        <f t="shared" ca="1" si="179"/>
        <v>0.37250000000000005</v>
      </c>
      <c r="P145" s="723">
        <f t="shared" ca="1" si="180"/>
        <v>1.4154999999999999E-2</v>
      </c>
      <c r="Q145" s="81">
        <f t="shared" ca="1" si="181"/>
        <v>2.0694444444444446</v>
      </c>
      <c r="R145" s="300"/>
      <c r="S145" s="300"/>
      <c r="T145" s="300"/>
      <c r="U145" s="300"/>
      <c r="V145" s="199">
        <f t="shared" ref="V145" ca="1" si="187">IF(IF(RIGHT(H144,2)="PH",(1-L145)+$W$2,IF(RIGHT(H144,2)="HT",(1-L145)+$W$1,IF(RIGHT(H144,2)="SH",(1-L145)+$W$3,"")))&gt;0,IF(RIGHT(H144,2)="PH",(1-L145)+$W$2,IF(RIGHT(H144,2)="HT",(1-L145)+$W$1,IF(RIGHT(H144,2)="SH",(1-L145)+$W$3,""))),0)</f>
        <v>0.16999999999999998</v>
      </c>
      <c r="W145" s="298"/>
      <c r="X145" s="698">
        <f t="shared" ca="1" si="144"/>
        <v>0.3</v>
      </c>
      <c r="Y145" s="698">
        <f t="shared" ca="1" si="183"/>
        <v>7</v>
      </c>
      <c r="Z145" s="698">
        <f t="shared" ca="1" si="184"/>
        <v>2</v>
      </c>
      <c r="AA145" s="698">
        <f t="shared" ca="1" si="185"/>
        <v>1</v>
      </c>
      <c r="AB145" s="698">
        <f t="shared" ca="1" si="186"/>
        <v>0.1</v>
      </c>
      <c r="AC145" s="55"/>
      <c r="AD145" s="81">
        <v>2030</v>
      </c>
      <c r="AE145" s="81"/>
      <c r="AF145" s="700"/>
    </row>
    <row r="146" spans="1:32">
      <c r="A146" s="226"/>
      <c r="B146" s="718" t="s">
        <v>1010</v>
      </c>
      <c r="C146" s="226"/>
      <c r="E146" s="261"/>
      <c r="F146" s="224" t="s">
        <v>1149</v>
      </c>
      <c r="G146" s="55"/>
      <c r="H146" s="174"/>
      <c r="I146" s="174" t="str">
        <f t="shared" si="142"/>
        <v>INDLWH</v>
      </c>
      <c r="J146" s="224">
        <f t="shared" si="145"/>
        <v>2050</v>
      </c>
      <c r="K146" s="81"/>
      <c r="L146" s="199">
        <f t="shared" ca="1" si="178"/>
        <v>1.03</v>
      </c>
      <c r="M146" s="199"/>
      <c r="N146" s="81"/>
      <c r="O146" s="723">
        <f t="shared" ca="1" si="179"/>
        <v>0.37250000000000005</v>
      </c>
      <c r="P146" s="723">
        <f t="shared" ca="1" si="180"/>
        <v>1.2664999999999999E-2</v>
      </c>
      <c r="Q146" s="81">
        <f t="shared" ca="1" si="181"/>
        <v>2.0694444444444446</v>
      </c>
      <c r="R146" s="300"/>
      <c r="S146" s="300"/>
      <c r="T146" s="300"/>
      <c r="U146" s="300"/>
      <c r="V146" s="199">
        <f t="shared" ref="V146" ca="1" si="188">IF(IF(RIGHT(H144,2)="PH",(1-L146)+$W$2,IF(RIGHT(H144,2)="HT",(1-L146)+$W$1,IF(RIGHT(H144,2)="SH",(1-L146)+$W$3,"")))&gt;0,IF(RIGHT(H144,2)="PH",(1-L146)+$W$2,IF(RIGHT(H144,2)="HT",(1-L146)+$W$1,IF(RIGHT(H144,2)="SH",(1-L146)+$W$3,""))),0)</f>
        <v>0.16999999999999998</v>
      </c>
      <c r="W146" s="298"/>
      <c r="X146" s="698">
        <f t="shared" ca="1" si="144"/>
        <v>0.3</v>
      </c>
      <c r="Y146" s="698">
        <f t="shared" ca="1" si="183"/>
        <v>6</v>
      </c>
      <c r="Z146" s="698">
        <f t="shared" ca="1" si="184"/>
        <v>2</v>
      </c>
      <c r="AA146" s="698">
        <f t="shared" ca="1" si="185"/>
        <v>1</v>
      </c>
      <c r="AB146" s="698">
        <f t="shared" ca="1" si="186"/>
        <v>0.1</v>
      </c>
      <c r="AC146" s="203"/>
      <c r="AD146" s="81">
        <v>2050</v>
      </c>
      <c r="AE146" s="81"/>
      <c r="AF146" s="705"/>
    </row>
    <row r="147" spans="1:32">
      <c r="A147" s="226"/>
      <c r="B147" s="718" t="s">
        <v>1010</v>
      </c>
      <c r="C147" s="226"/>
      <c r="D147" s="212" t="str">
        <f>"IND"&amp;RIGHT(H147,4)&amp;"GAS"&amp;"N"&amp;RIGHT(E147,1)</f>
        <v>INDLDSHGASN2</v>
      </c>
      <c r="E147" s="261" t="str">
        <f>"Industrial heating technology "&amp;$AJ$12&amp;" "&amp;RIGHT(H147,2)&amp;" - Gas boiler (Steam - condensing) - new 2"</f>
        <v>Industrial heating technology L SH - Gas boiler (Steam - condensing) - new 2</v>
      </c>
      <c r="F147" s="224" t="s">
        <v>1149</v>
      </c>
      <c r="G147" s="173" t="s">
        <v>2080</v>
      </c>
      <c r="H147" s="174" t="str">
        <f>$AI$15</f>
        <v>ILDSH</v>
      </c>
      <c r="I147" s="174" t="str">
        <f t="shared" si="142"/>
        <v>INDLWH</v>
      </c>
      <c r="J147" s="224">
        <f t="shared" si="145"/>
        <v>2011</v>
      </c>
      <c r="K147" s="299">
        <f>J147</f>
        <v>2011</v>
      </c>
      <c r="L147" s="199">
        <f t="shared" ca="1" si="178"/>
        <v>1.01</v>
      </c>
      <c r="M147" s="199"/>
      <c r="N147" s="81">
        <f ca="1">VLOOKUP($AD147,INDIRECT("'"&amp;$B147&amp;"'!"&amp;"$P$118:$AD$121"),5,FALSE)</f>
        <v>25</v>
      </c>
      <c r="O147" s="723">
        <f t="shared" ca="1" si="179"/>
        <v>0.44700000000000001</v>
      </c>
      <c r="P147" s="723">
        <f t="shared" ca="1" si="180"/>
        <v>1.49E-2</v>
      </c>
      <c r="Q147" s="81">
        <f t="shared" ca="1" si="181"/>
        <v>2.276388888888889</v>
      </c>
      <c r="R147" s="81">
        <v>3.1536000000000002E-2</v>
      </c>
      <c r="S147" s="199">
        <v>0.5</v>
      </c>
      <c r="T147" s="199">
        <f ca="1">HLOOKUP($T$2,INDIRECT("'"&amp;$B147&amp;"'!"&amp;"$P$85:$AC$98"),IF(H147=$AI$13,6,IF(H147=$AI$14,9,14)),FALSE)</f>
        <v>0</v>
      </c>
      <c r="U147" s="772"/>
      <c r="V147" s="199">
        <f t="shared" ref="V147" ca="1" si="189">IF(IF(RIGHT(H147,2)="PH",(1-L147)+$W$2,IF(RIGHT(H147,2)="HT",(1-L147)+$W$1,IF(RIGHT(H147,2)="SH",(1-L147)+$W$3,"")))&gt;0,IF(RIGHT(H147,2)="PH",(1-L147)+$W$2,IF(RIGHT(H147,2)="HT",(1-L147)+$W$1,IF(RIGHT(H147,2)="SH",(1-L147)+$W$3,""))),0)</f>
        <v>0</v>
      </c>
      <c r="W147" s="298"/>
      <c r="X147" s="698">
        <f t="shared" ca="1" si="144"/>
        <v>0.3</v>
      </c>
      <c r="Y147" s="698">
        <f t="shared" ca="1" si="183"/>
        <v>9</v>
      </c>
      <c r="Z147" s="698">
        <f t="shared" ca="1" si="184"/>
        <v>3</v>
      </c>
      <c r="AA147" s="698">
        <f t="shared" ca="1" si="185"/>
        <v>1</v>
      </c>
      <c r="AB147" s="698">
        <f t="shared" ca="1" si="186"/>
        <v>0.1</v>
      </c>
      <c r="AC147" s="296"/>
      <c r="AD147" s="81">
        <v>2020</v>
      </c>
      <c r="AE147" s="81"/>
      <c r="AF147" s="710"/>
    </row>
    <row r="148" spans="1:32">
      <c r="A148" s="226"/>
      <c r="B148" s="718" t="s">
        <v>1010</v>
      </c>
      <c r="C148" s="226"/>
      <c r="E148" s="261"/>
      <c r="F148" s="224" t="s">
        <v>1149</v>
      </c>
      <c r="G148" s="55"/>
      <c r="H148" s="174"/>
      <c r="I148" s="174" t="str">
        <f t="shared" si="142"/>
        <v>INDLWH</v>
      </c>
      <c r="J148" s="224">
        <f t="shared" si="145"/>
        <v>2030</v>
      </c>
      <c r="K148" s="81"/>
      <c r="L148" s="199">
        <f t="shared" ca="1" si="178"/>
        <v>1.03</v>
      </c>
      <c r="M148" s="199"/>
      <c r="N148" s="81"/>
      <c r="O148" s="723">
        <f t="shared" ca="1" si="179"/>
        <v>0.37250000000000005</v>
      </c>
      <c r="P148" s="723">
        <f t="shared" ca="1" si="180"/>
        <v>1.4154999999999999E-2</v>
      </c>
      <c r="Q148" s="81">
        <f t="shared" ca="1" si="181"/>
        <v>2.0694444444444446</v>
      </c>
      <c r="R148" s="300"/>
      <c r="S148" s="300"/>
      <c r="T148" s="300"/>
      <c r="U148" s="300"/>
      <c r="V148" s="199">
        <f t="shared" ref="V148" ca="1" si="190">IF(IF(RIGHT(H147,2)="PH",(1-L148)+$W$2,IF(RIGHT(H147,2)="HT",(1-L148)+$W$1,IF(RIGHT(H147,2)="SH",(1-L148)+$W$3,"")))&gt;0,IF(RIGHT(H147,2)="PH",(1-L148)+$W$2,IF(RIGHT(H147,2)="HT",(1-L148)+$W$1,IF(RIGHT(H147,2)="SH",(1-L148)+$W$3,""))),0)</f>
        <v>0</v>
      </c>
      <c r="W148" s="298"/>
      <c r="X148" s="698">
        <f t="shared" ca="1" si="144"/>
        <v>0.3</v>
      </c>
      <c r="Y148" s="698">
        <f t="shared" ca="1" si="183"/>
        <v>7</v>
      </c>
      <c r="Z148" s="698">
        <f t="shared" ca="1" si="184"/>
        <v>2</v>
      </c>
      <c r="AA148" s="698">
        <f t="shared" ca="1" si="185"/>
        <v>1</v>
      </c>
      <c r="AB148" s="698">
        <f t="shared" ca="1" si="186"/>
        <v>0.1</v>
      </c>
      <c r="AC148" s="55"/>
      <c r="AD148" s="81">
        <v>2030</v>
      </c>
      <c r="AE148" s="81"/>
      <c r="AF148" s="700"/>
    </row>
    <row r="149" spans="1:32">
      <c r="A149" s="226"/>
      <c r="B149" s="719" t="s">
        <v>1010</v>
      </c>
      <c r="C149" s="713"/>
      <c r="D149" s="203"/>
      <c r="E149" s="701"/>
      <c r="F149" s="224" t="s">
        <v>1149</v>
      </c>
      <c r="G149" s="203"/>
      <c r="H149" s="702"/>
      <c r="I149" s="702" t="str">
        <f t="shared" si="142"/>
        <v>INDLWH</v>
      </c>
      <c r="J149" s="224">
        <f t="shared" si="145"/>
        <v>2050</v>
      </c>
      <c r="K149" s="81"/>
      <c r="L149" s="199">
        <f t="shared" ca="1" si="178"/>
        <v>1.03</v>
      </c>
      <c r="M149" s="199"/>
      <c r="N149" s="81"/>
      <c r="O149" s="723">
        <f t="shared" ca="1" si="179"/>
        <v>0.37250000000000005</v>
      </c>
      <c r="P149" s="723">
        <f t="shared" ca="1" si="180"/>
        <v>1.2664999999999999E-2</v>
      </c>
      <c r="Q149" s="81">
        <f t="shared" ca="1" si="181"/>
        <v>2.0694444444444446</v>
      </c>
      <c r="R149" s="703"/>
      <c r="S149" s="703"/>
      <c r="T149" s="703"/>
      <c r="U149" s="703"/>
      <c r="V149" s="199">
        <f t="shared" ref="V149" ca="1" si="191">IF(IF(RIGHT(H147,2)="PH",(1-L149)+$W$2,IF(RIGHT(H147,2)="HT",(1-L149)+$W$1,IF(RIGHT(H147,2)="SH",(1-L149)+$W$3,"")))&gt;0,IF(RIGHT(H147,2)="PH",(1-L149)+$W$2,IF(RIGHT(H147,2)="HT",(1-L149)+$W$1,IF(RIGHT(H147,2)="SH",(1-L149)+$W$3,""))),0)</f>
        <v>0</v>
      </c>
      <c r="W149" s="704"/>
      <c r="X149" s="698">
        <f t="shared" ca="1" si="144"/>
        <v>0.3</v>
      </c>
      <c r="Y149" s="698">
        <f t="shared" ca="1" si="183"/>
        <v>6</v>
      </c>
      <c r="Z149" s="698">
        <f t="shared" ca="1" si="184"/>
        <v>2</v>
      </c>
      <c r="AA149" s="698">
        <f t="shared" ca="1" si="185"/>
        <v>1</v>
      </c>
      <c r="AB149" s="698">
        <f t="shared" ca="1" si="186"/>
        <v>0.1</v>
      </c>
      <c r="AC149" s="55"/>
      <c r="AD149" s="81">
        <v>2050</v>
      </c>
      <c r="AE149" s="81"/>
      <c r="AF149" s="700"/>
    </row>
    <row r="150" spans="1:32">
      <c r="A150" s="226"/>
      <c r="B150" s="718" t="s">
        <v>1010</v>
      </c>
      <c r="C150" s="226"/>
      <c r="D150" s="212" t="str">
        <f>"IND"&amp;RIGHT(H150,4)&amp;"GAS"&amp;"N"&amp;RIGHT(E150,1)</f>
        <v>INDLDPHGASN3</v>
      </c>
      <c r="E150" s="707" t="str">
        <f>"Industrial heating technology "&amp;$AJ$12&amp;" "&amp;RIGHT(H150,2)&amp;" - Gas boiler (Hot Water) - new 3"</f>
        <v>Industrial heating technology L PH - Gas boiler (Hot Water) - new 3</v>
      </c>
      <c r="F150" s="224" t="s">
        <v>1149</v>
      </c>
      <c r="G150" s="173" t="s">
        <v>2080</v>
      </c>
      <c r="H150" s="708" t="str">
        <f>$AI$14</f>
        <v>ILDPH</v>
      </c>
      <c r="I150" s="708" t="str">
        <f t="shared" si="142"/>
        <v>INDLWH</v>
      </c>
      <c r="J150" s="224">
        <f t="shared" si="145"/>
        <v>2011</v>
      </c>
      <c r="K150" s="299">
        <f>J150</f>
        <v>2011</v>
      </c>
      <c r="L150" s="199">
        <f t="shared" ref="L150:L155" ca="1" si="192">VLOOKUP($AD150,INDIRECT("'"&amp;$B150&amp;"'!"&amp;"$P$200:$AD$203"),3,FALSE)</f>
        <v>0.93</v>
      </c>
      <c r="M150" s="199"/>
      <c r="N150" s="81">
        <f ca="1">VLOOKUP($AD150,INDIRECT("'"&amp;$B150&amp;"'!"&amp;"$P$200:$AD$203"),5,FALSE)</f>
        <v>25</v>
      </c>
      <c r="O150" s="723">
        <f t="shared" ref="O150:O155" ca="1" si="193">VLOOKUP($AD150,INDIRECT("'"&amp;$B150&amp;"'!"&amp;"$P$200:$AD$203"),6,FALSE)/1000</f>
        <v>0.3250909090909091</v>
      </c>
      <c r="P150" s="723">
        <f t="shared" ref="P150:P155" ca="1" si="194">VLOOKUP($AD150,INDIRECT("'"&amp;$B150&amp;"'!"&amp;"$P$200:$AD$203"),7,FALSE)/1000</f>
        <v>1.49E-2</v>
      </c>
      <c r="Q150" s="81">
        <f t="shared" ref="Q150:Q155" ca="1" si="195">VLOOKUP($AD150,INDIRECT("'"&amp;$B150&amp;"'!"&amp;"$P$200:$AD$203"),8,FALSE)</f>
        <v>2.276388888888889</v>
      </c>
      <c r="R150" s="81">
        <v>3.1536000000000002E-2</v>
      </c>
      <c r="S150" s="199">
        <v>0.5</v>
      </c>
      <c r="T150" s="199">
        <f ca="1">HLOOKUP($T$2,INDIRECT("'"&amp;$B150&amp;"'!"&amp;"$P$167:$AC$180"),IF(H150=$AI$13,6,IF(H150=$AI$14,9,14)),FALSE)</f>
        <v>0</v>
      </c>
      <c r="U150" s="773"/>
      <c r="V150" s="199">
        <f t="shared" ref="V150" ca="1" si="196">IF(IF(RIGHT(H150,2)="PH",(1-L150)+$W$2,IF(RIGHT(H150,2)="HT",(1-L150)+$W$1,IF(RIGHT(H150,2)="SH",(1-L150)+$W$3,"")))&gt;0,IF(RIGHT(H150,2)="PH",(1-L150)+$W$2,IF(RIGHT(H150,2)="HT",(1-L150)+$W$1,IF(RIGHT(H150,2)="SH",(1-L150)+$W$3,""))),0)</f>
        <v>0.26999999999999996</v>
      </c>
      <c r="W150" s="709"/>
      <c r="X150" s="698">
        <f t="shared" ca="1" si="144"/>
        <v>0.3</v>
      </c>
      <c r="Y150" s="698">
        <f t="shared" ref="Y150:Y155" ca="1" si="197">VLOOKUP($AD150,INDIRECT("'"&amp;$B150&amp;"'!"&amp;"$P$200:$AD$203"),12,FALSE)</f>
        <v>9</v>
      </c>
      <c r="Z150" s="698">
        <f t="shared" ref="Z150:Z155" ca="1" si="198">VLOOKUP($AD150,INDIRECT("'"&amp;$B150&amp;"'!"&amp;"$P$200:$AD$203"),13,FALSE)</f>
        <v>3</v>
      </c>
      <c r="AA150" s="698">
        <f t="shared" ref="AA150:AA155" ca="1" si="199">VLOOKUP($AD150,INDIRECT("'"&amp;$B150&amp;"'!"&amp;"$P$200:$AD$203"),14,FALSE)</f>
        <v>1</v>
      </c>
      <c r="AB150" s="698">
        <f t="shared" ref="AB150:AB155" ca="1" si="200">VLOOKUP($AD150,INDIRECT("'"&amp;$B150&amp;"'!"&amp;"$P$200:$AD$203"),15,FALSE)</f>
        <v>0.1</v>
      </c>
      <c r="AC150" s="55"/>
      <c r="AD150" s="81">
        <v>2020</v>
      </c>
      <c r="AE150" s="81"/>
      <c r="AF150" s="700"/>
    </row>
    <row r="151" spans="1:32">
      <c r="A151" s="226"/>
      <c r="B151" s="718" t="s">
        <v>1010</v>
      </c>
      <c r="C151" s="226"/>
      <c r="E151" s="261"/>
      <c r="F151" s="224" t="s">
        <v>1149</v>
      </c>
      <c r="G151" s="55"/>
      <c r="H151" s="174"/>
      <c r="I151" s="174" t="str">
        <f t="shared" si="142"/>
        <v>INDLWH</v>
      </c>
      <c r="J151" s="224">
        <f t="shared" si="145"/>
        <v>2030</v>
      </c>
      <c r="K151" s="81"/>
      <c r="L151" s="199">
        <f t="shared" ca="1" si="192"/>
        <v>0.94</v>
      </c>
      <c r="M151" s="199"/>
      <c r="N151" s="81"/>
      <c r="O151" s="723">
        <f t="shared" ca="1" si="193"/>
        <v>0.27090909090909093</v>
      </c>
      <c r="P151" s="723">
        <f t="shared" ca="1" si="194"/>
        <v>1.4154999999999999E-2</v>
      </c>
      <c r="Q151" s="81">
        <f t="shared" ca="1" si="195"/>
        <v>2.0694444444444446</v>
      </c>
      <c r="R151" s="300"/>
      <c r="S151" s="300"/>
      <c r="T151" s="300"/>
      <c r="U151" s="300"/>
      <c r="V151" s="199">
        <f t="shared" ref="V151" ca="1" si="201">IF(IF(RIGHT(H150,2)="PH",(1-L151)+$W$2,IF(RIGHT(H150,2)="HT",(1-L151)+$W$1,IF(RIGHT(H150,2)="SH",(1-L151)+$W$3,"")))&gt;0,IF(RIGHT(H150,2)="PH",(1-L151)+$W$2,IF(RIGHT(H150,2)="HT",(1-L151)+$W$1,IF(RIGHT(H150,2)="SH",(1-L151)+$W$3,""))),0)</f>
        <v>0.26000000000000006</v>
      </c>
      <c r="W151" s="298"/>
      <c r="X151" s="698">
        <f t="shared" ca="1" si="144"/>
        <v>0.3</v>
      </c>
      <c r="Y151" s="698">
        <f t="shared" ca="1" si="197"/>
        <v>7</v>
      </c>
      <c r="Z151" s="698">
        <f t="shared" ca="1" si="198"/>
        <v>2</v>
      </c>
      <c r="AA151" s="698">
        <f t="shared" ca="1" si="199"/>
        <v>1</v>
      </c>
      <c r="AB151" s="698">
        <f t="shared" ca="1" si="200"/>
        <v>0.1</v>
      </c>
      <c r="AC151" s="55"/>
      <c r="AD151" s="81">
        <v>2030</v>
      </c>
      <c r="AE151" s="81"/>
      <c r="AF151" s="700"/>
    </row>
    <row r="152" spans="1:32">
      <c r="B152" s="718" t="s">
        <v>1010</v>
      </c>
      <c r="C152" s="226"/>
      <c r="E152" s="261"/>
      <c r="F152" s="224" t="s">
        <v>1149</v>
      </c>
      <c r="G152" s="55"/>
      <c r="H152" s="174"/>
      <c r="I152" s="174" t="str">
        <f t="shared" si="142"/>
        <v>INDLWH</v>
      </c>
      <c r="J152" s="224">
        <f t="shared" si="145"/>
        <v>2050</v>
      </c>
      <c r="K152" s="81"/>
      <c r="L152" s="199">
        <f t="shared" ca="1" si="192"/>
        <v>0.95</v>
      </c>
      <c r="M152" s="199"/>
      <c r="N152" s="81"/>
      <c r="O152" s="723">
        <f t="shared" ca="1" si="193"/>
        <v>0.27090909090909093</v>
      </c>
      <c r="P152" s="723">
        <f t="shared" ca="1" si="194"/>
        <v>1.2664999999999999E-2</v>
      </c>
      <c r="Q152" s="81">
        <f t="shared" ca="1" si="195"/>
        <v>2.0694444444444446</v>
      </c>
      <c r="R152" s="300"/>
      <c r="S152" s="300"/>
      <c r="T152" s="300"/>
      <c r="U152" s="300"/>
      <c r="V152" s="199">
        <f t="shared" ref="V152" ca="1" si="202">IF(IF(RIGHT(H150,2)="PH",(1-L152)+$W$2,IF(RIGHT(H150,2)="HT",(1-L152)+$W$1,IF(RIGHT(H150,2)="SH",(1-L152)+$W$3,"")))&gt;0,IF(RIGHT(H150,2)="PH",(1-L152)+$W$2,IF(RIGHT(H150,2)="HT",(1-L152)+$W$1,IF(RIGHT(H150,2)="SH",(1-L152)+$W$3,""))),0)</f>
        <v>0.25000000000000006</v>
      </c>
      <c r="W152" s="720"/>
      <c r="X152" s="698">
        <f t="shared" ca="1" si="144"/>
        <v>0.3</v>
      </c>
      <c r="Y152" s="698">
        <f t="shared" ca="1" si="197"/>
        <v>6</v>
      </c>
      <c r="Z152" s="698">
        <f t="shared" ca="1" si="198"/>
        <v>2</v>
      </c>
      <c r="AA152" s="698">
        <f t="shared" ca="1" si="199"/>
        <v>1</v>
      </c>
      <c r="AB152" s="698">
        <f t="shared" ca="1" si="200"/>
        <v>0.1</v>
      </c>
      <c r="AC152" s="203"/>
      <c r="AD152" s="81">
        <v>2050</v>
      </c>
      <c r="AE152" s="81"/>
      <c r="AF152" s="705"/>
    </row>
    <row r="153" spans="1:32">
      <c r="B153" s="718" t="s">
        <v>1010</v>
      </c>
      <c r="C153" s="64"/>
      <c r="D153" s="212" t="str">
        <f>"IND"&amp;RIGHT(H153,4)&amp;"GAS"&amp;"N"&amp;RIGHT(E153,1)</f>
        <v>INDLDSHGASN3</v>
      </c>
      <c r="E153" s="261" t="str">
        <f>"Industrial heating technology "&amp;$AJ$12&amp;" "&amp;RIGHT(H153,2)&amp;" - Gas boiler (Hot Water) - new 3"</f>
        <v>Industrial heating technology L SH - Gas boiler (Hot Water) - new 3</v>
      </c>
      <c r="F153" s="224" t="s">
        <v>1149</v>
      </c>
      <c r="G153" s="173" t="s">
        <v>2080</v>
      </c>
      <c r="H153" s="174" t="str">
        <f>$AI$15</f>
        <v>ILDSH</v>
      </c>
      <c r="I153" s="174" t="str">
        <f t="shared" si="142"/>
        <v>INDLWH</v>
      </c>
      <c r="J153" s="224">
        <f t="shared" si="145"/>
        <v>2011</v>
      </c>
      <c r="K153" s="299">
        <f>J153</f>
        <v>2011</v>
      </c>
      <c r="L153" s="199">
        <f t="shared" ca="1" si="192"/>
        <v>0.93</v>
      </c>
      <c r="M153" s="199"/>
      <c r="N153" s="81">
        <f ca="1">VLOOKUP($AD153,INDIRECT("'"&amp;$B153&amp;"'!"&amp;"$P$200:$AD$203"),5,FALSE)</f>
        <v>25</v>
      </c>
      <c r="O153" s="723">
        <f t="shared" ca="1" si="193"/>
        <v>0.3250909090909091</v>
      </c>
      <c r="P153" s="723">
        <f t="shared" ca="1" si="194"/>
        <v>1.49E-2</v>
      </c>
      <c r="Q153" s="81">
        <f t="shared" ca="1" si="195"/>
        <v>2.276388888888889</v>
      </c>
      <c r="R153" s="81">
        <v>3.1536000000000002E-2</v>
      </c>
      <c r="S153" s="199">
        <v>0.5</v>
      </c>
      <c r="T153" s="199">
        <f ca="1">HLOOKUP($T$2,INDIRECT("'"&amp;$B153&amp;"'!"&amp;"$P$167:$AC$180"),IF(H153=$AI$13,6,IF(H153=$AI$14,9,14)),FALSE)</f>
        <v>1</v>
      </c>
      <c r="U153" s="772"/>
      <c r="V153" s="199">
        <f t="shared" ref="V153" ca="1" si="203">IF(IF(RIGHT(H153,2)="PH",(1-L153)+$W$2,IF(RIGHT(H153,2)="HT",(1-L153)+$W$1,IF(RIGHT(H153,2)="SH",(1-L153)+$W$3,"")))&gt;0,IF(RIGHT(H153,2)="PH",(1-L153)+$W$2,IF(RIGHT(H153,2)="HT",(1-L153)+$W$1,IF(RIGHT(H153,2)="SH",(1-L153)+$W$3,""))),0)</f>
        <v>6.9999999999999951E-2</v>
      </c>
      <c r="W153" s="298"/>
      <c r="X153" s="698">
        <f t="shared" ca="1" si="144"/>
        <v>0.3</v>
      </c>
      <c r="Y153" s="698">
        <f t="shared" ca="1" si="197"/>
        <v>9</v>
      </c>
      <c r="Z153" s="698">
        <f t="shared" ca="1" si="198"/>
        <v>3</v>
      </c>
      <c r="AA153" s="698">
        <f t="shared" ca="1" si="199"/>
        <v>1</v>
      </c>
      <c r="AB153" s="698">
        <f t="shared" ca="1" si="200"/>
        <v>0.1</v>
      </c>
      <c r="AC153" s="296"/>
      <c r="AD153" s="81">
        <v>2020</v>
      </c>
      <c r="AE153" s="81"/>
      <c r="AF153" s="710"/>
    </row>
    <row r="154" spans="1:32">
      <c r="B154" s="718" t="s">
        <v>1010</v>
      </c>
      <c r="C154" s="64"/>
      <c r="E154" s="261"/>
      <c r="F154" s="224" t="s">
        <v>1149</v>
      </c>
      <c r="G154" s="55"/>
      <c r="H154" s="174"/>
      <c r="I154" s="174" t="str">
        <f t="shared" si="142"/>
        <v>INDLWH</v>
      </c>
      <c r="J154" s="224">
        <f t="shared" si="145"/>
        <v>2030</v>
      </c>
      <c r="K154" s="81"/>
      <c r="L154" s="199">
        <f t="shared" ca="1" si="192"/>
        <v>0.94</v>
      </c>
      <c r="M154" s="199"/>
      <c r="N154" s="81"/>
      <c r="O154" s="723">
        <f t="shared" ca="1" si="193"/>
        <v>0.27090909090909093</v>
      </c>
      <c r="P154" s="723">
        <f t="shared" ca="1" si="194"/>
        <v>1.4154999999999999E-2</v>
      </c>
      <c r="Q154" s="81">
        <f t="shared" ca="1" si="195"/>
        <v>2.0694444444444446</v>
      </c>
      <c r="R154" s="300"/>
      <c r="S154" s="300"/>
      <c r="T154" s="300"/>
      <c r="U154" s="300"/>
      <c r="V154" s="199">
        <f t="shared" ref="V154" ca="1" si="204">IF(IF(RIGHT(H153,2)="PH",(1-L154)+$W$2,IF(RIGHT(H153,2)="HT",(1-L154)+$W$1,IF(RIGHT(H153,2)="SH",(1-L154)+$W$3,"")))&gt;0,IF(RIGHT(H153,2)="PH",(1-L154)+$W$2,IF(RIGHT(H153,2)="HT",(1-L154)+$W$1,IF(RIGHT(H153,2)="SH",(1-L154)+$W$3,""))),0)</f>
        <v>6.0000000000000053E-2</v>
      </c>
      <c r="W154" s="298"/>
      <c r="X154" s="698">
        <f t="shared" ca="1" si="144"/>
        <v>0.3</v>
      </c>
      <c r="Y154" s="698">
        <f t="shared" ca="1" si="197"/>
        <v>7</v>
      </c>
      <c r="Z154" s="698">
        <f t="shared" ca="1" si="198"/>
        <v>2</v>
      </c>
      <c r="AA154" s="698">
        <f t="shared" ca="1" si="199"/>
        <v>1</v>
      </c>
      <c r="AB154" s="698">
        <f t="shared" ca="1" si="200"/>
        <v>0.1</v>
      </c>
      <c r="AC154" s="55"/>
      <c r="AD154" s="81">
        <v>2030</v>
      </c>
      <c r="AE154" s="81"/>
      <c r="AF154" s="700"/>
    </row>
    <row r="155" spans="1:32">
      <c r="A155" s="226"/>
      <c r="B155" s="719" t="s">
        <v>1010</v>
      </c>
      <c r="C155" s="713"/>
      <c r="D155" s="203"/>
      <c r="E155" s="701"/>
      <c r="F155" s="224" t="s">
        <v>1149</v>
      </c>
      <c r="G155" s="203"/>
      <c r="H155" s="702"/>
      <c r="I155" s="702" t="str">
        <f t="shared" si="142"/>
        <v>INDLWH</v>
      </c>
      <c r="J155" s="224">
        <f t="shared" si="145"/>
        <v>2050</v>
      </c>
      <c r="K155" s="81"/>
      <c r="L155" s="199">
        <f t="shared" ca="1" si="192"/>
        <v>0.95</v>
      </c>
      <c r="M155" s="199"/>
      <c r="N155" s="81"/>
      <c r="O155" s="723">
        <f t="shared" ca="1" si="193"/>
        <v>0.27090909090909093</v>
      </c>
      <c r="P155" s="723">
        <f t="shared" ca="1" si="194"/>
        <v>1.2664999999999999E-2</v>
      </c>
      <c r="Q155" s="81">
        <f t="shared" ca="1" si="195"/>
        <v>2.0694444444444446</v>
      </c>
      <c r="R155" s="300"/>
      <c r="S155" s="300"/>
      <c r="T155" s="300"/>
      <c r="U155" s="300"/>
      <c r="V155" s="199">
        <f t="shared" ref="V155" ca="1" si="205">IF(IF(RIGHT(H153,2)="PH",(1-L155)+$W$2,IF(RIGHT(H153,2)="HT",(1-L155)+$W$1,IF(RIGHT(H153,2)="SH",(1-L155)+$W$3,"")))&gt;0,IF(RIGHT(H153,2)="PH",(1-L155)+$W$2,IF(RIGHT(H153,2)="HT",(1-L155)+$W$1,IF(RIGHT(H153,2)="SH",(1-L155)+$W$3,""))),0)</f>
        <v>5.0000000000000044E-2</v>
      </c>
      <c r="W155" s="298"/>
      <c r="X155" s="698">
        <f t="shared" ca="1" si="144"/>
        <v>0.3</v>
      </c>
      <c r="Y155" s="698">
        <f t="shared" ca="1" si="197"/>
        <v>6</v>
      </c>
      <c r="Z155" s="698">
        <f t="shared" ca="1" si="198"/>
        <v>2</v>
      </c>
      <c r="AA155" s="698">
        <f t="shared" ca="1" si="199"/>
        <v>1</v>
      </c>
      <c r="AB155" s="698">
        <f t="shared" ca="1" si="200"/>
        <v>0.1</v>
      </c>
      <c r="AC155" s="55"/>
      <c r="AD155" s="81">
        <v>2050</v>
      </c>
      <c r="AE155" s="81"/>
      <c r="AF155" s="700"/>
    </row>
    <row r="156" spans="1:32">
      <c r="B156" s="718" t="s">
        <v>1010</v>
      </c>
      <c r="C156" s="64"/>
      <c r="D156" s="212" t="str">
        <f>"IND"&amp;RIGHT(H156,4)&amp;"GAS"&amp;"N"&amp;RIGHT(E156,1)</f>
        <v>INDLDPHGASN4</v>
      </c>
      <c r="E156" s="707" t="str">
        <f>"Industrial heating technology "&amp;$AJ$12&amp;" "&amp;RIGHT(H156,2)&amp;" - Gas boiler (Hot Water - condensing) - new 4"</f>
        <v>Industrial heating technology L PH - Gas boiler (Hot Water - condensing) - new 4</v>
      </c>
      <c r="F156" s="224" t="s">
        <v>1149</v>
      </c>
      <c r="G156" s="173" t="s">
        <v>2080</v>
      </c>
      <c r="H156" s="708" t="str">
        <f>$AI$14</f>
        <v>ILDPH</v>
      </c>
      <c r="I156" s="708" t="str">
        <f t="shared" si="142"/>
        <v>INDLWH</v>
      </c>
      <c r="J156" s="224">
        <f t="shared" si="145"/>
        <v>2011</v>
      </c>
      <c r="K156" s="299">
        <f>J156</f>
        <v>2011</v>
      </c>
      <c r="L156" s="199">
        <f t="shared" ref="L156:L161" ca="1" si="206">VLOOKUP($AD156,INDIRECT("'"&amp;$B156&amp;"'!"&amp;"$P$279:$AD$282"),3,FALSE)</f>
        <v>1.01</v>
      </c>
      <c r="M156" s="199"/>
      <c r="N156" s="81">
        <f ca="1">VLOOKUP($AD156,INDIRECT("'"&amp;$B156&amp;"'!"&amp;"$P$279:$AD$282"),5,FALSE)</f>
        <v>25</v>
      </c>
      <c r="O156" s="723">
        <f t="shared" ref="O156:O161" ca="1" si="207">VLOOKUP($AD156,INDIRECT("'"&amp;$B156&amp;"'!"&amp;"$P$279:$AD$282"),6,FALSE)/1000</f>
        <v>0.35760000000000003</v>
      </c>
      <c r="P156" s="723">
        <f t="shared" ref="P156:P161" ca="1" si="208">VLOOKUP($AD156,INDIRECT("'"&amp;$B156&amp;"'!"&amp;"$P$279:$AD$282"),7,FALSE)/1000</f>
        <v>1.49E-2</v>
      </c>
      <c r="Q156" s="81">
        <f t="shared" ref="Q156:Q161" ca="1" si="209">VLOOKUP($AD156,INDIRECT("'"&amp;$B156&amp;"'!"&amp;"$P$279:$AD$282"),8,FALSE)</f>
        <v>2.276388888888889</v>
      </c>
      <c r="R156" s="81">
        <v>3.1536000000000002E-2</v>
      </c>
      <c r="S156" s="199">
        <v>0.5</v>
      </c>
      <c r="T156" s="199">
        <f ca="1">HLOOKUP($T$2,INDIRECT("'"&amp;$B156&amp;"'!"&amp;"$P$246:$AC$259"),IF(H156=$AI$13,6,IF(H156=$AI$14,9,14)),FALSE)</f>
        <v>0</v>
      </c>
      <c r="U156" s="773"/>
      <c r="V156" s="199">
        <f t="shared" ref="V156" ca="1" si="210">IF(IF(RIGHT(H156,2)="PH",(1-L156)+$W$2,IF(RIGHT(H156,2)="HT",(1-L156)+$W$1,IF(RIGHT(H156,2)="SH",(1-L156)+$W$3,"")))&gt;0,IF(RIGHT(H156,2)="PH",(1-L156)+$W$2,IF(RIGHT(H156,2)="HT",(1-L156)+$W$1,IF(RIGHT(H156,2)="SH",(1-L156)+$W$3,""))),0)</f>
        <v>0.19</v>
      </c>
      <c r="W156" s="709"/>
      <c r="X156" s="698">
        <f t="shared" ca="1" si="144"/>
        <v>0.3</v>
      </c>
      <c r="Y156" s="698">
        <f t="shared" ref="Y156:Y161" ca="1" si="211">VLOOKUP($AD156,INDIRECT("'"&amp;$B156&amp;"'!"&amp;"$P$279:$AD$282"),12,FALSE)</f>
        <v>9</v>
      </c>
      <c r="Z156" s="698">
        <f t="shared" ref="Z156:Z161" ca="1" si="212">VLOOKUP($AD156,INDIRECT("'"&amp;$B156&amp;"'!"&amp;"$P$279:$AD$282"),13,FALSE)</f>
        <v>3</v>
      </c>
      <c r="AA156" s="698">
        <f t="shared" ref="AA156:AA161" ca="1" si="213">VLOOKUP($AD156,INDIRECT("'"&amp;$B156&amp;"'!"&amp;"$P$279:$AD$282"),14,FALSE)</f>
        <v>1</v>
      </c>
      <c r="AB156" s="698">
        <f t="shared" ref="AB156:AB161" ca="1" si="214">VLOOKUP($AD156,INDIRECT("'"&amp;$B156&amp;"'!"&amp;"$P$279:$AD$282"),15,FALSE)</f>
        <v>0.1</v>
      </c>
      <c r="AC156" s="55"/>
      <c r="AD156" s="81">
        <v>2020</v>
      </c>
      <c r="AE156" s="81"/>
      <c r="AF156" s="700"/>
    </row>
    <row r="157" spans="1:32">
      <c r="B157" s="718" t="s">
        <v>1010</v>
      </c>
      <c r="C157" s="64"/>
      <c r="E157" s="261"/>
      <c r="F157" s="224" t="s">
        <v>1149</v>
      </c>
      <c r="G157" s="55"/>
      <c r="H157" s="174"/>
      <c r="I157" s="174" t="str">
        <f t="shared" si="142"/>
        <v>INDLWH</v>
      </c>
      <c r="J157" s="224">
        <f t="shared" si="145"/>
        <v>2030</v>
      </c>
      <c r="K157" s="81"/>
      <c r="L157" s="199">
        <f t="shared" ca="1" si="206"/>
        <v>1.03</v>
      </c>
      <c r="M157" s="199"/>
      <c r="N157" s="81"/>
      <c r="O157" s="723">
        <f t="shared" ca="1" si="207"/>
        <v>0.29800000000000004</v>
      </c>
      <c r="P157" s="723">
        <f t="shared" ca="1" si="208"/>
        <v>1.4154999999999999E-2</v>
      </c>
      <c r="Q157" s="81">
        <f t="shared" ca="1" si="209"/>
        <v>2.0694444444444446</v>
      </c>
      <c r="R157" s="300"/>
      <c r="S157" s="300"/>
      <c r="T157" s="300"/>
      <c r="U157" s="300"/>
      <c r="V157" s="199">
        <f t="shared" ref="V157" ca="1" si="215">IF(IF(RIGHT(H156,2)="PH",(1-L157)+$W$2,IF(RIGHT(H156,2)="HT",(1-L157)+$W$1,IF(RIGHT(H156,2)="SH",(1-L157)+$W$3,"")))&gt;0,IF(RIGHT(H156,2)="PH",(1-L157)+$W$2,IF(RIGHT(H156,2)="HT",(1-L157)+$W$1,IF(RIGHT(H156,2)="SH",(1-L157)+$W$3,""))),0)</f>
        <v>0.16999999999999998</v>
      </c>
      <c r="W157" s="298"/>
      <c r="X157" s="698">
        <f t="shared" ca="1" si="144"/>
        <v>0.3</v>
      </c>
      <c r="Y157" s="698">
        <f t="shared" ca="1" si="211"/>
        <v>7</v>
      </c>
      <c r="Z157" s="698">
        <f t="shared" ca="1" si="212"/>
        <v>2</v>
      </c>
      <c r="AA157" s="698">
        <f t="shared" ca="1" si="213"/>
        <v>1</v>
      </c>
      <c r="AB157" s="698">
        <f t="shared" ca="1" si="214"/>
        <v>0.1</v>
      </c>
      <c r="AC157" s="55"/>
      <c r="AD157" s="81">
        <v>2030</v>
      </c>
      <c r="AE157" s="81"/>
      <c r="AF157" s="700"/>
    </row>
    <row r="158" spans="1:32">
      <c r="B158" s="718" t="s">
        <v>1010</v>
      </c>
      <c r="C158" s="64"/>
      <c r="E158" s="261"/>
      <c r="F158" s="224" t="s">
        <v>1149</v>
      </c>
      <c r="G158" s="55"/>
      <c r="H158" s="174"/>
      <c r="I158" s="174" t="str">
        <f t="shared" si="142"/>
        <v>INDLWH</v>
      </c>
      <c r="J158" s="224">
        <f t="shared" si="145"/>
        <v>2050</v>
      </c>
      <c r="K158" s="81"/>
      <c r="L158" s="199">
        <f t="shared" ca="1" si="206"/>
        <v>1.03</v>
      </c>
      <c r="M158" s="199"/>
      <c r="N158" s="81"/>
      <c r="O158" s="723">
        <f t="shared" ca="1" si="207"/>
        <v>0.29800000000000004</v>
      </c>
      <c r="P158" s="723">
        <f t="shared" ca="1" si="208"/>
        <v>1.2664999999999999E-2</v>
      </c>
      <c r="Q158" s="81">
        <f t="shared" ca="1" si="209"/>
        <v>2.0694444444444446</v>
      </c>
      <c r="R158" s="300"/>
      <c r="S158" s="300"/>
      <c r="T158" s="300"/>
      <c r="U158" s="300"/>
      <c r="V158" s="199">
        <f t="shared" ref="V158" ca="1" si="216">IF(IF(RIGHT(H156,2)="PH",(1-L158)+$W$2,IF(RIGHT(H156,2)="HT",(1-L158)+$W$1,IF(RIGHT(H156,2)="SH",(1-L158)+$W$3,"")))&gt;0,IF(RIGHT(H156,2)="PH",(1-L158)+$W$2,IF(RIGHT(H156,2)="HT",(1-L158)+$W$1,IF(RIGHT(H156,2)="SH",(1-L158)+$W$3,""))),0)</f>
        <v>0.16999999999999998</v>
      </c>
      <c r="W158" s="298"/>
      <c r="X158" s="698">
        <f t="shared" ca="1" si="144"/>
        <v>0.3</v>
      </c>
      <c r="Y158" s="698">
        <f t="shared" ca="1" si="211"/>
        <v>6</v>
      </c>
      <c r="Z158" s="698">
        <f t="shared" ca="1" si="212"/>
        <v>2</v>
      </c>
      <c r="AA158" s="698">
        <f t="shared" ca="1" si="213"/>
        <v>1</v>
      </c>
      <c r="AB158" s="698">
        <f t="shared" ca="1" si="214"/>
        <v>0.1</v>
      </c>
      <c r="AC158" s="203"/>
      <c r="AD158" s="81">
        <v>2050</v>
      </c>
      <c r="AE158" s="81"/>
      <c r="AF158" s="705"/>
    </row>
    <row r="159" spans="1:32">
      <c r="A159" s="226"/>
      <c r="B159" s="718" t="s">
        <v>1010</v>
      </c>
      <c r="C159" s="64"/>
      <c r="D159" s="212" t="str">
        <f>"IND"&amp;RIGHT(H159,4)&amp;"GAS"&amp;"N"&amp;RIGHT(E159,1)</f>
        <v>INDLDSHGASN4</v>
      </c>
      <c r="E159" s="261" t="str">
        <f>"Industrial heating technology "&amp;$AJ$12&amp;" "&amp;RIGHT(H159,2)&amp;" - Gas boiler (Hot Water- condensing) - new 4"</f>
        <v>Industrial heating technology L SH - Gas boiler (Hot Water- condensing) - new 4</v>
      </c>
      <c r="F159" s="224" t="s">
        <v>1149</v>
      </c>
      <c r="G159" s="173" t="s">
        <v>2080</v>
      </c>
      <c r="H159" s="174" t="str">
        <f>$AI$15</f>
        <v>ILDSH</v>
      </c>
      <c r="I159" s="174" t="str">
        <f t="shared" si="142"/>
        <v>INDLWH</v>
      </c>
      <c r="J159" s="224">
        <f t="shared" si="145"/>
        <v>2011</v>
      </c>
      <c r="K159" s="299">
        <f>J159</f>
        <v>2011</v>
      </c>
      <c r="L159" s="199">
        <f t="shared" ca="1" si="206"/>
        <v>1.01</v>
      </c>
      <c r="M159" s="199"/>
      <c r="N159" s="81">
        <f ca="1">VLOOKUP($AD159,INDIRECT("'"&amp;$B159&amp;"'!"&amp;"$P$279:$AD$282"),5,FALSE)</f>
        <v>25</v>
      </c>
      <c r="O159" s="723">
        <f t="shared" ca="1" si="207"/>
        <v>0.35760000000000003</v>
      </c>
      <c r="P159" s="723">
        <f t="shared" ca="1" si="208"/>
        <v>1.49E-2</v>
      </c>
      <c r="Q159" s="81">
        <f t="shared" ca="1" si="209"/>
        <v>2.276388888888889</v>
      </c>
      <c r="R159" s="81">
        <v>3.1536000000000002E-2</v>
      </c>
      <c r="S159" s="199">
        <v>0.5</v>
      </c>
      <c r="T159" s="199">
        <f ca="1">HLOOKUP($T$2,INDIRECT("'"&amp;$B159&amp;"'!"&amp;"$P$246:$AC$259"),IF(H159=$AI$13,6,IF(H159=$AI$14,9,14)),FALSE)</f>
        <v>0</v>
      </c>
      <c r="U159" s="773"/>
      <c r="V159" s="199">
        <f t="shared" ref="V159" ca="1" si="217">IF(IF(RIGHT(H159,2)="PH",(1-L159)+$W$2,IF(RIGHT(H159,2)="HT",(1-L159)+$W$1,IF(RIGHT(H159,2)="SH",(1-L159)+$W$3,"")))&gt;0,IF(RIGHT(H159,2)="PH",(1-L159)+$W$2,IF(RIGHT(H159,2)="HT",(1-L159)+$W$1,IF(RIGHT(H159,2)="SH",(1-L159)+$W$3,""))),0)</f>
        <v>0</v>
      </c>
      <c r="W159" s="709"/>
      <c r="X159" s="698">
        <f t="shared" ref="X159:X177" ca="1" si="218">IF(VLOOKUP($AD159,INDIRECT("'"&amp;$B159&amp;"'!"&amp;"$P$39:$AD$42"),11,FALSE)="Cf. the utilized electricity",0,VLOOKUP($AD159,INDIRECT("'"&amp;$B159&amp;"'!"&amp;"$P$39:$AD$42"),11,FALSE))</f>
        <v>0.3</v>
      </c>
      <c r="Y159" s="698">
        <f t="shared" ca="1" si="211"/>
        <v>9</v>
      </c>
      <c r="Z159" s="698">
        <f t="shared" ca="1" si="212"/>
        <v>3</v>
      </c>
      <c r="AA159" s="698">
        <f t="shared" ca="1" si="213"/>
        <v>1</v>
      </c>
      <c r="AB159" s="698">
        <f t="shared" ca="1" si="214"/>
        <v>0.1</v>
      </c>
      <c r="AC159" s="296"/>
      <c r="AD159" s="81">
        <v>2020</v>
      </c>
      <c r="AE159" s="81"/>
      <c r="AF159" s="710"/>
    </row>
    <row r="160" spans="1:32">
      <c r="B160" s="718" t="s">
        <v>1010</v>
      </c>
      <c r="C160" s="64"/>
      <c r="E160" s="261"/>
      <c r="F160" s="224" t="s">
        <v>1149</v>
      </c>
      <c r="G160" s="55"/>
      <c r="H160" s="174"/>
      <c r="I160" s="174" t="str">
        <f t="shared" si="142"/>
        <v>INDLWH</v>
      </c>
      <c r="J160" s="224">
        <f t="shared" si="145"/>
        <v>2030</v>
      </c>
      <c r="K160" s="81"/>
      <c r="L160" s="199">
        <f t="shared" ca="1" si="206"/>
        <v>1.03</v>
      </c>
      <c r="M160" s="199"/>
      <c r="N160" s="81"/>
      <c r="O160" s="723">
        <f t="shared" ca="1" si="207"/>
        <v>0.29800000000000004</v>
      </c>
      <c r="P160" s="723">
        <f t="shared" ca="1" si="208"/>
        <v>1.4154999999999999E-2</v>
      </c>
      <c r="Q160" s="81">
        <f t="shared" ca="1" si="209"/>
        <v>2.0694444444444446</v>
      </c>
      <c r="R160" s="300"/>
      <c r="S160" s="300"/>
      <c r="T160" s="300"/>
      <c r="U160" s="300"/>
      <c r="V160" s="199">
        <f t="shared" ref="V160" ca="1" si="219">IF(IF(RIGHT(H159,2)="PH",(1-L160)+$W$2,IF(RIGHT(H159,2)="HT",(1-L160)+$W$1,IF(RIGHT(H159,2)="SH",(1-L160)+$W$3,"")))&gt;0,IF(RIGHT(H159,2)="PH",(1-L160)+$W$2,IF(RIGHT(H159,2)="HT",(1-L160)+$W$1,IF(RIGHT(H159,2)="SH",(1-L160)+$W$3,""))),0)</f>
        <v>0</v>
      </c>
      <c r="W160" s="298"/>
      <c r="X160" s="698">
        <f t="shared" ca="1" si="218"/>
        <v>0.3</v>
      </c>
      <c r="Y160" s="698">
        <f t="shared" ca="1" si="211"/>
        <v>7</v>
      </c>
      <c r="Z160" s="698">
        <f t="shared" ca="1" si="212"/>
        <v>2</v>
      </c>
      <c r="AA160" s="698">
        <f t="shared" ca="1" si="213"/>
        <v>1</v>
      </c>
      <c r="AB160" s="698">
        <f t="shared" ca="1" si="214"/>
        <v>0.1</v>
      </c>
      <c r="AC160" s="55"/>
      <c r="AD160" s="81">
        <v>2030</v>
      </c>
      <c r="AE160" s="81"/>
      <c r="AF160" s="700"/>
    </row>
    <row r="161" spans="1:32">
      <c r="B161" s="719" t="s">
        <v>1010</v>
      </c>
      <c r="C161" s="713"/>
      <c r="D161" s="701"/>
      <c r="E161" s="701"/>
      <c r="F161" s="224" t="s">
        <v>1149</v>
      </c>
      <c r="G161" s="203"/>
      <c r="H161" s="702"/>
      <c r="I161" s="702" t="str">
        <f t="shared" si="142"/>
        <v>INDLWH</v>
      </c>
      <c r="J161" s="224">
        <f t="shared" si="145"/>
        <v>2050</v>
      </c>
      <c r="K161" s="81"/>
      <c r="L161" s="199">
        <f t="shared" ca="1" si="206"/>
        <v>1.03</v>
      </c>
      <c r="M161" s="199"/>
      <c r="N161" s="81"/>
      <c r="O161" s="723">
        <f t="shared" ca="1" si="207"/>
        <v>0.29800000000000004</v>
      </c>
      <c r="P161" s="723">
        <f t="shared" ca="1" si="208"/>
        <v>1.2664999999999999E-2</v>
      </c>
      <c r="Q161" s="81">
        <f t="shared" ca="1" si="209"/>
        <v>2.0694444444444446</v>
      </c>
      <c r="R161" s="300"/>
      <c r="S161" s="300"/>
      <c r="T161" s="300"/>
      <c r="U161" s="300"/>
      <c r="V161" s="199">
        <f t="shared" ref="V161" ca="1" si="220">IF(IF(RIGHT(H159,2)="PH",(1-L161)+$W$2,IF(RIGHT(H159,2)="HT",(1-L161)+$W$1,IF(RIGHT(H159,2)="SH",(1-L161)+$W$3,"")))&gt;0,IF(RIGHT(H159,2)="PH",(1-L161)+$W$2,IF(RIGHT(H159,2)="HT",(1-L161)+$W$1,IF(RIGHT(H159,2)="SH",(1-L161)+$W$3,""))),0)</f>
        <v>0</v>
      </c>
      <c r="W161" s="714"/>
      <c r="X161" s="698">
        <f t="shared" ca="1" si="218"/>
        <v>0.3</v>
      </c>
      <c r="Y161" s="698">
        <f t="shared" ca="1" si="211"/>
        <v>6</v>
      </c>
      <c r="Z161" s="698">
        <f t="shared" ca="1" si="212"/>
        <v>2</v>
      </c>
      <c r="AA161" s="698">
        <f t="shared" ca="1" si="213"/>
        <v>1</v>
      </c>
      <c r="AB161" s="698">
        <f t="shared" ca="1" si="214"/>
        <v>0.1</v>
      </c>
      <c r="AC161" s="55"/>
      <c r="AD161" s="81">
        <v>2050</v>
      </c>
      <c r="AE161" s="81"/>
      <c r="AF161" s="700"/>
    </row>
    <row r="162" spans="1:32">
      <c r="B162" s="718" t="s">
        <v>1010</v>
      </c>
      <c r="C162" s="64"/>
      <c r="D162" s="212" t="str">
        <f>"IND"&amp;RIGHT(H162,4)&amp;"GAS"&amp;"N"&amp;RIGHT(E162,1)</f>
        <v>INDLDPHGASN5</v>
      </c>
      <c r="E162" s="707" t="str">
        <f>"Industrial heating technology "&amp;$AJ$12&amp;" "&amp;RIGHT(H162,2)&amp;" - Gas boiler (Direct firing) - new 5"</f>
        <v>Industrial heating technology L PH - Gas boiler (Direct firing) - new 5</v>
      </c>
      <c r="F162" s="224" t="s">
        <v>1149</v>
      </c>
      <c r="G162" s="173" t="s">
        <v>2080</v>
      </c>
      <c r="H162" s="174" t="str">
        <f>$AI$13</f>
        <v>ILDPH</v>
      </c>
      <c r="I162" s="174" t="str">
        <f t="shared" si="142"/>
        <v>INDLWH</v>
      </c>
      <c r="J162" s="224">
        <f t="shared" si="145"/>
        <v>2011</v>
      </c>
      <c r="K162" s="299">
        <f>J162</f>
        <v>2011</v>
      </c>
      <c r="L162" s="199">
        <f t="shared" ref="L162:L167" ca="1" si="221">VLOOKUP($AD162,INDIRECT("'"&amp;$B162&amp;"'!"&amp;"$P$345:$AD$348"),3,FALSE)</f>
        <v>1</v>
      </c>
      <c r="M162" s="199"/>
      <c r="N162" s="81">
        <f ca="1">VLOOKUP($AD162,INDIRECT("'"&amp;$B162&amp;"'!"&amp;"$P$345:$AD$348"),5,FALSE)</f>
        <v>15</v>
      </c>
      <c r="O162" s="723">
        <f t="shared" ref="O162:O167" ca="1" si="222">VLOOKUP($AD162,INDIRECT("'"&amp;$B162&amp;"'!"&amp;"$P$345:$AD$348"),6,FALSE)/1000</f>
        <v>0.11175</v>
      </c>
      <c r="P162" s="723">
        <f t="shared" ref="P162:P167" ca="1" si="223">VLOOKUP($AD162,INDIRECT("'"&amp;$B162&amp;"'!"&amp;"$P$345:$AD$348"),7,FALSE)/1000</f>
        <v>1.3545454545454561E-3</v>
      </c>
      <c r="Q162" s="81">
        <f t="shared" ref="Q162:Q167" ca="1" si="224">VLOOKUP($AD162,INDIRECT("'"&amp;$B162&amp;"'!"&amp;"$P$345:$AD$348"),8,FALSE)</f>
        <v>0.58461805555555546</v>
      </c>
      <c r="R162" s="81">
        <v>3.1536000000000002E-2</v>
      </c>
      <c r="S162" s="199">
        <v>0.5</v>
      </c>
      <c r="T162" s="199">
        <f ca="1">HLOOKUP($S$2,INDIRECT("'"&amp;$B162&amp;"'!"&amp;"$P$312:$AC$325"),IF(H162=$AI$13,6,IF(H162=$AI$14,9,14)),FALSE)</f>
        <v>1</v>
      </c>
      <c r="U162" s="773"/>
      <c r="V162" s="199">
        <f t="shared" ref="V162" ca="1" si="225">IF(IF(RIGHT(H162,2)="PH",(1-L162)+$W$2,IF(RIGHT(H162,2)="HT",(1-L162)+$W$1,IF(RIGHT(H162,2)="SH",(1-L162)+$W$3,"")))&gt;0,IF(RIGHT(H162,2)="PH",(1-L162)+$W$2,IF(RIGHT(H162,2)="HT",(1-L162)+$W$1,IF(RIGHT(H162,2)="SH",(1-L162)+$W$3,""))),0)</f>
        <v>0.2</v>
      </c>
      <c r="W162" s="709"/>
      <c r="X162" s="698">
        <f t="shared" ca="1" si="218"/>
        <v>0.3</v>
      </c>
      <c r="Y162" s="698">
        <f t="shared" ref="Y162:Y167" ca="1" si="226">VLOOKUP($AD162,INDIRECT("'"&amp;$B162&amp;"'!"&amp;"$P$345:$AD$348"),12,FALSE)</f>
        <v>9</v>
      </c>
      <c r="Z162" s="698">
        <f t="shared" ref="Z162:Z167" ca="1" si="227">VLOOKUP($AD162,INDIRECT("'"&amp;$B162&amp;"'!"&amp;"$P$345:$AD$348"),13,FALSE)</f>
        <v>3</v>
      </c>
      <c r="AA162" s="698">
        <f t="shared" ref="AA162:AA167" ca="1" si="228">VLOOKUP($AD162,INDIRECT("'"&amp;$B162&amp;"'!"&amp;"$P$345:$AD$348"),14,FALSE)</f>
        <v>1</v>
      </c>
      <c r="AB162" s="698">
        <f t="shared" ref="AB162:AB167" ca="1" si="229">VLOOKUP($AD162,INDIRECT("'"&amp;$B162&amp;"'!"&amp;"$P$345:$AD$348"),15,FALSE)</f>
        <v>0.1</v>
      </c>
      <c r="AC162" s="55"/>
      <c r="AD162" s="81">
        <v>2020</v>
      </c>
      <c r="AE162" s="81"/>
      <c r="AF162" s="700"/>
    </row>
    <row r="163" spans="1:32">
      <c r="B163" s="718" t="s">
        <v>1010</v>
      </c>
      <c r="C163" s="64"/>
      <c r="E163" s="261"/>
      <c r="F163" s="224" t="s">
        <v>1149</v>
      </c>
      <c r="G163" s="55"/>
      <c r="H163" s="174"/>
      <c r="I163" s="174" t="str">
        <f t="shared" si="142"/>
        <v>INDLWH</v>
      </c>
      <c r="J163" s="224">
        <f t="shared" si="145"/>
        <v>2030</v>
      </c>
      <c r="K163" s="81"/>
      <c r="L163" s="199">
        <f t="shared" ca="1" si="221"/>
        <v>1</v>
      </c>
      <c r="M163" s="199"/>
      <c r="N163" s="81"/>
      <c r="O163" s="723">
        <f t="shared" ca="1" si="222"/>
        <v>0.11175</v>
      </c>
      <c r="P163" s="723">
        <f t="shared" ca="1" si="223"/>
        <v>1.3206818181818161E-3</v>
      </c>
      <c r="Q163" s="81">
        <f t="shared" ca="1" si="224"/>
        <v>0.5742708333333334</v>
      </c>
      <c r="R163" s="300"/>
      <c r="S163" s="300"/>
      <c r="T163" s="300"/>
      <c r="U163" s="300"/>
      <c r="V163" s="199">
        <f t="shared" ref="V163" ca="1" si="230">IF(IF(RIGHT(H162,2)="PH",(1-L163)+$W$2,IF(RIGHT(H162,2)="HT",(1-L163)+$W$1,IF(RIGHT(H162,2)="SH",(1-L163)+$W$3,"")))&gt;0,IF(RIGHT(H162,2)="PH",(1-L163)+$W$2,IF(RIGHT(H162,2)="HT",(1-L163)+$W$1,IF(RIGHT(H162,2)="SH",(1-L163)+$W$3,""))),0)</f>
        <v>0.2</v>
      </c>
      <c r="W163" s="298"/>
      <c r="X163" s="698">
        <f t="shared" ca="1" si="218"/>
        <v>0.3</v>
      </c>
      <c r="Y163" s="698">
        <f t="shared" ca="1" si="226"/>
        <v>7</v>
      </c>
      <c r="Z163" s="698">
        <f t="shared" ca="1" si="227"/>
        <v>2</v>
      </c>
      <c r="AA163" s="698">
        <f t="shared" ca="1" si="228"/>
        <v>1</v>
      </c>
      <c r="AB163" s="698">
        <f t="shared" ca="1" si="229"/>
        <v>0.1</v>
      </c>
      <c r="AC163" s="55"/>
      <c r="AD163" s="81">
        <v>2030</v>
      </c>
      <c r="AE163" s="81"/>
      <c r="AF163" s="700"/>
    </row>
    <row r="164" spans="1:32">
      <c r="B164" s="718" t="s">
        <v>1010</v>
      </c>
      <c r="C164" s="64"/>
      <c r="E164" s="261"/>
      <c r="F164" s="224" t="s">
        <v>1149</v>
      </c>
      <c r="G164" s="55"/>
      <c r="H164" s="174"/>
      <c r="I164" s="174" t="str">
        <f t="shared" si="142"/>
        <v>INDLWH</v>
      </c>
      <c r="J164" s="224">
        <f t="shared" si="145"/>
        <v>2050</v>
      </c>
      <c r="K164" s="81"/>
      <c r="L164" s="199">
        <f t="shared" ca="1" si="221"/>
        <v>1</v>
      </c>
      <c r="M164" s="199"/>
      <c r="N164" s="81"/>
      <c r="O164" s="723">
        <f t="shared" ca="1" si="222"/>
        <v>0.11175</v>
      </c>
      <c r="P164" s="723">
        <f t="shared" ca="1" si="223"/>
        <v>1.1513636363636396E-3</v>
      </c>
      <c r="Q164" s="81">
        <f t="shared" ca="1" si="224"/>
        <v>0.57944444444444443</v>
      </c>
      <c r="R164" s="300"/>
      <c r="S164" s="300"/>
      <c r="T164" s="300"/>
      <c r="U164" s="300"/>
      <c r="V164" s="199">
        <f t="shared" ref="V164" ca="1" si="231">IF(IF(RIGHT(H162,2)="PH",(1-L164)+$W$2,IF(RIGHT(H162,2)="HT",(1-L164)+$W$1,IF(RIGHT(H162,2)="SH",(1-L164)+$W$3,"")))&gt;0,IF(RIGHT(H162,2)="PH",(1-L164)+$W$2,IF(RIGHT(H162,2)="HT",(1-L164)+$W$1,IF(RIGHT(H162,2)="SH",(1-L164)+$W$3,""))),0)</f>
        <v>0.2</v>
      </c>
      <c r="W164" s="298"/>
      <c r="X164" s="698">
        <f t="shared" ca="1" si="218"/>
        <v>0.3</v>
      </c>
      <c r="Y164" s="698">
        <f t="shared" ca="1" si="226"/>
        <v>6</v>
      </c>
      <c r="Z164" s="698">
        <f t="shared" ca="1" si="227"/>
        <v>2</v>
      </c>
      <c r="AA164" s="698">
        <f t="shared" ca="1" si="228"/>
        <v>1</v>
      </c>
      <c r="AB164" s="698">
        <f t="shared" ca="1" si="229"/>
        <v>0.1</v>
      </c>
      <c r="AC164" s="203"/>
      <c r="AD164" s="81">
        <v>2050</v>
      </c>
      <c r="AE164" s="81"/>
      <c r="AF164" s="700"/>
    </row>
    <row r="165" spans="1:32">
      <c r="B165" s="718" t="s">
        <v>1010</v>
      </c>
      <c r="C165" s="64"/>
      <c r="D165" s="212" t="str">
        <f>"IND"&amp;RIGHT(H165,4)&amp;"GAS"&amp;"N"&amp;RIGHT(E165,1)</f>
        <v>INDLDPHGASN5</v>
      </c>
      <c r="E165" s="261" t="str">
        <f>"Industrial heating technology "&amp;$AJ$12&amp;" "&amp;RIGHT(H165,2)&amp;" - Gas boiler (Direct firing) - new 5"</f>
        <v>Industrial heating technology L PH - Gas boiler (Direct firing) - new 5</v>
      </c>
      <c r="F165" s="224" t="s">
        <v>1149</v>
      </c>
      <c r="G165" s="173" t="s">
        <v>2080</v>
      </c>
      <c r="H165" s="174" t="str">
        <f>$AI$14</f>
        <v>ILDPH</v>
      </c>
      <c r="I165" s="721" t="str">
        <f t="shared" si="142"/>
        <v>INDLWH</v>
      </c>
      <c r="J165" s="224">
        <f t="shared" si="145"/>
        <v>2011</v>
      </c>
      <c r="K165" s="299">
        <f>J165</f>
        <v>2011</v>
      </c>
      <c r="L165" s="199">
        <f t="shared" ca="1" si="221"/>
        <v>1</v>
      </c>
      <c r="M165" s="199"/>
      <c r="N165" s="81">
        <f ca="1">VLOOKUP($AD165,INDIRECT("'"&amp;$B165&amp;"'!"&amp;"$P$279:$AD$282"),5,FALSE)</f>
        <v>25</v>
      </c>
      <c r="O165" s="723">
        <f t="shared" ca="1" si="222"/>
        <v>0.11175</v>
      </c>
      <c r="P165" s="723">
        <f t="shared" ca="1" si="223"/>
        <v>1.3545454545454561E-3</v>
      </c>
      <c r="Q165" s="81">
        <f t="shared" ca="1" si="224"/>
        <v>0.58461805555555546</v>
      </c>
      <c r="R165" s="81">
        <v>3.1536000000000002E-2</v>
      </c>
      <c r="S165" s="199">
        <v>0.5</v>
      </c>
      <c r="T165" s="199">
        <f ca="1">HLOOKUP($S$2,INDIRECT("'"&amp;$B165&amp;"'!"&amp;"$P$312:$AC$325"),IF(H165=$AI$13,6,IF(H165=$AI$14,9,14)),FALSE)</f>
        <v>1</v>
      </c>
      <c r="U165" s="773"/>
      <c r="V165" s="199">
        <f t="shared" ref="V165" ca="1" si="232">IF(IF(RIGHT(H165,2)="PH",(1-L165)+$W$2,IF(RIGHT(H165,2)="HT",(1-L165)+$W$1,IF(RIGHT(H165,2)="SH",(1-L165)+$W$3,"")))&gt;0,IF(RIGHT(H165,2)="PH",(1-L165)+$W$2,IF(RIGHT(H165,2)="HT",(1-L165)+$W$1,IF(RIGHT(H165,2)="SH",(1-L165)+$W$3,""))),0)</f>
        <v>0.2</v>
      </c>
      <c r="W165" s="709"/>
      <c r="X165" s="698">
        <f t="shared" ca="1" si="218"/>
        <v>0.3</v>
      </c>
      <c r="Y165" s="698">
        <f t="shared" ca="1" si="226"/>
        <v>9</v>
      </c>
      <c r="Z165" s="698">
        <f t="shared" ca="1" si="227"/>
        <v>3</v>
      </c>
      <c r="AA165" s="698">
        <f t="shared" ca="1" si="228"/>
        <v>1</v>
      </c>
      <c r="AB165" s="698">
        <f t="shared" ca="1" si="229"/>
        <v>0.1</v>
      </c>
      <c r="AD165" s="277">
        <v>2020</v>
      </c>
      <c r="AE165" s="273"/>
      <c r="AF165" s="830"/>
    </row>
    <row r="166" spans="1:32">
      <c r="B166" s="718" t="s">
        <v>1010</v>
      </c>
      <c r="C166" s="64"/>
      <c r="E166" s="261"/>
      <c r="F166" s="224" t="s">
        <v>1149</v>
      </c>
      <c r="G166" s="55"/>
      <c r="H166" s="174"/>
      <c r="I166" s="174" t="str">
        <f t="shared" si="142"/>
        <v>INDLWH</v>
      </c>
      <c r="J166" s="224">
        <f t="shared" si="145"/>
        <v>2030</v>
      </c>
      <c r="K166" s="81"/>
      <c r="L166" s="199">
        <f t="shared" ca="1" si="221"/>
        <v>1</v>
      </c>
      <c r="M166" s="199"/>
      <c r="N166" s="81"/>
      <c r="O166" s="723">
        <f t="shared" ca="1" si="222"/>
        <v>0.11175</v>
      </c>
      <c r="P166" s="723">
        <f t="shared" ca="1" si="223"/>
        <v>1.3206818181818161E-3</v>
      </c>
      <c r="Q166" s="81">
        <f t="shared" ca="1" si="224"/>
        <v>0.5742708333333334</v>
      </c>
      <c r="R166" s="300"/>
      <c r="S166" s="300"/>
      <c r="T166" s="300"/>
      <c r="U166" s="300"/>
      <c r="V166" s="199">
        <f t="shared" ref="V166" ca="1" si="233">IF(IF(RIGHT(H165,2)="PH",(1-L166)+$W$2,IF(RIGHT(H165,2)="HT",(1-L166)+$W$1,IF(RIGHT(H165,2)="SH",(1-L166)+$W$3,"")))&gt;0,IF(RIGHT(H165,2)="PH",(1-L166)+$W$2,IF(RIGHT(H165,2)="HT",(1-L166)+$W$1,IF(RIGHT(H165,2)="SH",(1-L166)+$W$3,""))),0)</f>
        <v>0.2</v>
      </c>
      <c r="W166" s="298"/>
      <c r="X166" s="698">
        <f t="shared" ca="1" si="218"/>
        <v>0.3</v>
      </c>
      <c r="Y166" s="698">
        <f t="shared" ca="1" si="226"/>
        <v>7</v>
      </c>
      <c r="Z166" s="698">
        <f t="shared" ca="1" si="227"/>
        <v>2</v>
      </c>
      <c r="AA166" s="698">
        <f t="shared" ca="1" si="228"/>
        <v>1</v>
      </c>
      <c r="AB166" s="698">
        <f t="shared" ca="1" si="229"/>
        <v>0.1</v>
      </c>
      <c r="AD166" s="81">
        <v>2030</v>
      </c>
      <c r="AE166" s="273"/>
      <c r="AF166" s="828"/>
    </row>
    <row r="167" spans="1:32">
      <c r="A167" s="169"/>
      <c r="B167" s="719" t="s">
        <v>1010</v>
      </c>
      <c r="C167" s="713"/>
      <c r="D167" s="701"/>
      <c r="E167" s="701"/>
      <c r="F167" s="224" t="s">
        <v>1149</v>
      </c>
      <c r="G167" s="203"/>
      <c r="H167" s="702"/>
      <c r="I167" s="702" t="str">
        <f t="shared" si="142"/>
        <v>INDLWH</v>
      </c>
      <c r="J167" s="224">
        <f t="shared" si="145"/>
        <v>2050</v>
      </c>
      <c r="K167" s="81"/>
      <c r="L167" s="199">
        <f t="shared" ca="1" si="221"/>
        <v>1</v>
      </c>
      <c r="M167" s="199"/>
      <c r="N167" s="81"/>
      <c r="O167" s="723">
        <f t="shared" ca="1" si="222"/>
        <v>0.11175</v>
      </c>
      <c r="P167" s="723">
        <f t="shared" ca="1" si="223"/>
        <v>1.1513636363636396E-3</v>
      </c>
      <c r="Q167" s="81">
        <f t="shared" ca="1" si="224"/>
        <v>0.57944444444444443</v>
      </c>
      <c r="R167" s="722"/>
      <c r="S167" s="703"/>
      <c r="T167" s="703"/>
      <c r="U167" s="703"/>
      <c r="V167" s="199">
        <f t="shared" ref="V167" ca="1" si="234">IF(IF(RIGHT(H165,2)="PH",(1-L167)+$W$2,IF(RIGHT(H165,2)="HT",(1-L167)+$W$1,IF(RIGHT(H165,2)="SH",(1-L167)+$W$3,"")))&gt;0,IF(RIGHT(H165,2)="PH",(1-L167)+$W$2,IF(RIGHT(H165,2)="HT",(1-L167)+$W$1,IF(RIGHT(H165,2)="SH",(1-L167)+$W$3,""))),0)</f>
        <v>0.2</v>
      </c>
      <c r="W167" s="714"/>
      <c r="X167" s="698">
        <f t="shared" ca="1" si="218"/>
        <v>0.3</v>
      </c>
      <c r="Y167" s="698">
        <f t="shared" ca="1" si="226"/>
        <v>6</v>
      </c>
      <c r="Z167" s="698">
        <f t="shared" ca="1" si="227"/>
        <v>2</v>
      </c>
      <c r="AA167" s="698">
        <f t="shared" ca="1" si="228"/>
        <v>1</v>
      </c>
      <c r="AB167" s="698">
        <f t="shared" ca="1" si="229"/>
        <v>0.1</v>
      </c>
      <c r="AD167" s="81">
        <v>2050</v>
      </c>
      <c r="AE167" s="273"/>
      <c r="AF167" s="828"/>
    </row>
    <row r="168" spans="1:32">
      <c r="A168" s="169"/>
      <c r="B168" s="718" t="s">
        <v>1099</v>
      </c>
      <c r="C168" s="226"/>
      <c r="D168" s="707" t="str">
        <f>"IND"&amp;RIGHT(H168,4)&amp;RIGHT(G168,3)&amp;"N"&amp;RIGHT(E168,1)</f>
        <v>INDLDPHCOAN1</v>
      </c>
      <c r="E168" s="261" t="str">
        <f>"Industrial heating technology "&amp;$AJ$12&amp;" "&amp;RIGHT(H168,2)&amp;" - Coal boiler (Steam) - new 1"</f>
        <v>Industrial heating technology L PH - Coal boiler (Steam) - new 1</v>
      </c>
      <c r="F168" s="224" t="s">
        <v>1149</v>
      </c>
      <c r="G168" s="55" t="s">
        <v>617</v>
      </c>
      <c r="H168" s="174" t="str">
        <f>$AI$13</f>
        <v>ILDPH</v>
      </c>
      <c r="I168" s="174" t="str">
        <f t="shared" si="142"/>
        <v>INDLWH</v>
      </c>
      <c r="J168" s="224">
        <f t="shared" si="145"/>
        <v>2011</v>
      </c>
      <c r="K168" s="299">
        <v>2025</v>
      </c>
      <c r="L168" s="199">
        <f t="shared" ref="L168:L176" ca="1" si="235">VLOOKUP($AD168,INDIRECT("'"&amp;$B168&amp;"'!"&amp;"$P$39:$AD$42"),3,FALSE)</f>
        <v>0.89</v>
      </c>
      <c r="M168" s="699"/>
      <c r="N168" s="299">
        <f ca="1">VLOOKUP($AD168,INDIRECT("'"&amp;$B168&amp;"'!"&amp;"$P$39:$AD$42"),5,FALSE)</f>
        <v>25</v>
      </c>
      <c r="O168" s="725">
        <f t="shared" ref="O168:O176" ca="1" si="236">VLOOKUP($AD168,INDIRECT("'"&amp;$B168&amp;"'!"&amp;"$P$39:$AD$42"),6,FALSE)/1000</f>
        <v>3.7250000000000001</v>
      </c>
      <c r="P168" s="725">
        <f t="shared" ref="P168:P176" ca="1" si="237">VLOOKUP($AD168,INDIRECT("'"&amp;$B168&amp;"'!"&amp;"$P$39:$AD$42"),7,FALSE)/1000</f>
        <v>0.25106499999999998</v>
      </c>
      <c r="Q168" s="299">
        <f t="shared" ref="Q168:Q176" ca="1" si="238">VLOOKUP($AD168,INDIRECT("'"&amp;$B168&amp;"'!"&amp;"$P$39:$AD$42"),8,FALSE)</f>
        <v>3.9381527777777778</v>
      </c>
      <c r="R168" s="299">
        <v>3.1536000000000002E-2</v>
      </c>
      <c r="S168" s="699">
        <v>0.5</v>
      </c>
      <c r="T168" s="699">
        <f ca="1">HLOOKUP($T$2,INDIRECT("'"&amp;$B168&amp;"'!"&amp;"$P$6:$AC$19"),IF(H168=$AI$13,6,IF(H168=$AI$14,9,14)),FALSE)</f>
        <v>1</v>
      </c>
      <c r="U168" s="772"/>
      <c r="V168" s="199">
        <f t="shared" ref="V168" ca="1" si="239">IF(IF(RIGHT(H168,2)="PH",(1-L168)+$W$2,IF(RIGHT(H168,2)="HT",(1-L168)+$W$1,IF(RIGHT(H168,2)="SH",(1-L168)+$W$3,"")))&gt;0,IF(RIGHT(H168,2)="PH",(1-L168)+$W$2,IF(RIGHT(H168,2)="HT",(1-L168)+$W$1,IF(RIGHT(H168,2)="SH",(1-L168)+$W$3,""))),0)</f>
        <v>0.31</v>
      </c>
      <c r="W168" s="298"/>
      <c r="X168" s="698">
        <f t="shared" ca="1" si="218"/>
        <v>8</v>
      </c>
      <c r="Y168" s="299">
        <f t="shared" ref="Y168:Y176" ca="1" si="240">VLOOKUP($AD168,INDIRECT("'"&amp;$B168&amp;"'!"&amp;"$P$39:$AD$42"),12,FALSE)</f>
        <v>35</v>
      </c>
      <c r="Z168" s="299">
        <f t="shared" ref="Z168:Z176" ca="1" si="241">VLOOKUP($AD168,INDIRECT("'"&amp;$B168&amp;"'!"&amp;"$P$39:$AD$42"),13,FALSE)</f>
        <v>1.5</v>
      </c>
      <c r="AA168" s="299">
        <f t="shared" ref="AA168:AA176" ca="1" si="242">VLOOKUP($AD168,INDIRECT("'"&amp;$B168&amp;"'!"&amp;"$P$39:$AD$42"),14,FALSE)</f>
        <v>0.8</v>
      </c>
      <c r="AB168" s="299">
        <f t="shared" ref="AB168:AB176" ca="1" si="243">VLOOKUP($AD168,INDIRECT("'"&amp;$B168&amp;"'!"&amp;"$P$39:$AD$42"),15,FALSE)</f>
        <v>2.1</v>
      </c>
      <c r="AD168" s="81">
        <v>2020</v>
      </c>
      <c r="AE168" s="273"/>
      <c r="AF168" s="828"/>
    </row>
    <row r="169" spans="1:32">
      <c r="A169" s="169"/>
      <c r="B169" s="718" t="s">
        <v>1099</v>
      </c>
      <c r="C169" s="226"/>
      <c r="D169" s="261"/>
      <c r="E169" s="261"/>
      <c r="F169" s="224" t="s">
        <v>1149</v>
      </c>
      <c r="G169" s="55"/>
      <c r="H169" s="174"/>
      <c r="I169" s="174" t="str">
        <f t="shared" si="142"/>
        <v>INDLWH</v>
      </c>
      <c r="J169" s="224">
        <f t="shared" si="145"/>
        <v>2030</v>
      </c>
      <c r="K169" s="81"/>
      <c r="L169" s="199">
        <f t="shared" ca="1" si="235"/>
        <v>0.89</v>
      </c>
      <c r="M169" s="772"/>
      <c r="N169" s="200"/>
      <c r="O169" s="725">
        <f t="shared" ca="1" si="236"/>
        <v>3.4699403462447704</v>
      </c>
      <c r="P169" s="725">
        <f t="shared" ca="1" si="237"/>
        <v>0.24287</v>
      </c>
      <c r="Q169" s="299">
        <f t="shared" ca="1" si="238"/>
        <v>3.9836805555555559</v>
      </c>
      <c r="R169" s="823"/>
      <c r="S169" s="300"/>
      <c r="T169" s="300"/>
      <c r="U169" s="300"/>
      <c r="V169" s="199">
        <f t="shared" ref="V169" ca="1" si="244">IF(IF(RIGHT(H168,2)="PH",(1-L169)+$W$2,IF(RIGHT(H168,2)="HT",(1-L169)+$W$1,IF(RIGHT(H168,2)="SH",(1-L169)+$W$3,"")))&gt;0,IF(RIGHT(H168,2)="PH",(1-L169)+$W$2,IF(RIGHT(H168,2)="HT",(1-L169)+$W$1,IF(RIGHT(H168,2)="SH",(1-L169)+$W$3,""))),0)</f>
        <v>0.31</v>
      </c>
      <c r="W169" s="298"/>
      <c r="X169" s="698">
        <f t="shared" ca="1" si="218"/>
        <v>8</v>
      </c>
      <c r="Y169" s="299">
        <f t="shared" ca="1" si="240"/>
        <v>35</v>
      </c>
      <c r="Z169" s="299">
        <f t="shared" ca="1" si="241"/>
        <v>1.5</v>
      </c>
      <c r="AA169" s="299">
        <f t="shared" ca="1" si="242"/>
        <v>0.8</v>
      </c>
      <c r="AB169" s="299">
        <f t="shared" ca="1" si="243"/>
        <v>2.1</v>
      </c>
      <c r="AD169" s="81">
        <v>2030</v>
      </c>
      <c r="AE169" s="273"/>
      <c r="AF169" s="828"/>
    </row>
    <row r="170" spans="1:32">
      <c r="A170" s="169"/>
      <c r="B170" s="718" t="s">
        <v>1099</v>
      </c>
      <c r="C170" s="226"/>
      <c r="D170" s="261"/>
      <c r="E170" s="261"/>
      <c r="F170" s="224" t="s">
        <v>1149</v>
      </c>
      <c r="G170" s="55"/>
      <c r="H170" s="174"/>
      <c r="I170" s="174" t="str">
        <f t="shared" si="142"/>
        <v>INDLWH</v>
      </c>
      <c r="J170" s="224">
        <f t="shared" si="145"/>
        <v>2050</v>
      </c>
      <c r="K170" s="81"/>
      <c r="L170" s="199">
        <f t="shared" ca="1" si="235"/>
        <v>0.91</v>
      </c>
      <c r="M170" s="772"/>
      <c r="N170" s="200"/>
      <c r="O170" s="725">
        <f t="shared" ca="1" si="236"/>
        <v>3.2813985758696647</v>
      </c>
      <c r="P170" s="725">
        <f t="shared" ca="1" si="237"/>
        <v>0.22797000000000001</v>
      </c>
      <c r="Q170" s="299">
        <f t="shared" ca="1" si="238"/>
        <v>4.0064444444444449</v>
      </c>
      <c r="R170" s="823"/>
      <c r="S170" s="300"/>
      <c r="T170" s="300"/>
      <c r="U170" s="300"/>
      <c r="V170" s="199">
        <f t="shared" ref="V170" ca="1" si="245">IF(IF(RIGHT(H168,2)="PH",(1-L170)+$W$2,IF(RIGHT(H168,2)="HT",(1-L170)+$W$1,IF(RIGHT(H168,2)="SH",(1-L170)+$W$3,"")))&gt;0,IF(RIGHT(H168,2)="PH",(1-L170)+$W$2,IF(RIGHT(H168,2)="HT",(1-L170)+$W$1,IF(RIGHT(H168,2)="SH",(1-L170)+$W$3,""))),0)</f>
        <v>0.28999999999999998</v>
      </c>
      <c r="W170" s="298"/>
      <c r="X170" s="698">
        <f t="shared" ca="1" si="218"/>
        <v>8</v>
      </c>
      <c r="Y170" s="299">
        <f t="shared" ca="1" si="240"/>
        <v>35</v>
      </c>
      <c r="Z170" s="299">
        <f t="shared" ca="1" si="241"/>
        <v>1.5</v>
      </c>
      <c r="AA170" s="299">
        <f t="shared" ca="1" si="242"/>
        <v>0.8</v>
      </c>
      <c r="AB170" s="299">
        <f t="shared" ca="1" si="243"/>
        <v>2.1</v>
      </c>
      <c r="AD170" s="81">
        <v>2050</v>
      </c>
      <c r="AE170" s="273"/>
      <c r="AF170" s="828"/>
    </row>
    <row r="171" spans="1:32">
      <c r="A171" s="169"/>
      <c r="B171" s="718" t="s">
        <v>1099</v>
      </c>
      <c r="C171" s="226"/>
      <c r="D171" s="261" t="str">
        <f>"IND"&amp;RIGHT(H171,4)&amp;RIGHT(G171,3)&amp;"N"&amp;RIGHT(E171,1)</f>
        <v>INDLDPHCOAN1</v>
      </c>
      <c r="E171" s="261" t="str">
        <f>"Industrial heating technology "&amp;$AJ$12&amp;" "&amp;RIGHT(H171,2)&amp;" - Coal boiler (Steam) - new 1"</f>
        <v>Industrial heating technology L PH - Coal boiler (Steam) - new 1</v>
      </c>
      <c r="F171" s="224" t="s">
        <v>1149</v>
      </c>
      <c r="G171" s="55" t="s">
        <v>617</v>
      </c>
      <c r="H171" s="174" t="str">
        <f>$AI$14</f>
        <v>ILDPH</v>
      </c>
      <c r="I171" s="174" t="str">
        <f t="shared" si="142"/>
        <v>INDLWH</v>
      </c>
      <c r="J171" s="224">
        <f t="shared" si="145"/>
        <v>2011</v>
      </c>
      <c r="K171" s="299">
        <v>2025</v>
      </c>
      <c r="L171" s="199">
        <f t="shared" ca="1" si="235"/>
        <v>0.89</v>
      </c>
      <c r="M171" s="199"/>
      <c r="N171" s="81">
        <f ca="1">VLOOKUP($AD171,INDIRECT("'"&amp;$B171&amp;"'!"&amp;"$P$39:$AD$42"),5,FALSE)</f>
        <v>25</v>
      </c>
      <c r="O171" s="725">
        <f t="shared" ca="1" si="236"/>
        <v>3.7250000000000001</v>
      </c>
      <c r="P171" s="725">
        <f t="shared" ca="1" si="237"/>
        <v>0.25106499999999998</v>
      </c>
      <c r="Q171" s="299">
        <f t="shared" ca="1" si="238"/>
        <v>3.9381527777777778</v>
      </c>
      <c r="R171" s="81">
        <v>3.1536000000000002E-2</v>
      </c>
      <c r="S171" s="199">
        <v>0.5</v>
      </c>
      <c r="T171" s="199">
        <f ca="1">HLOOKUP($T$2,INDIRECT("'"&amp;$B171&amp;"'!"&amp;"$P$6:$AC$19"),IF(H171=$AI$13,6,IF(H171=$AI$14,9,14)),FALSE)</f>
        <v>1</v>
      </c>
      <c r="U171" s="772"/>
      <c r="V171" s="199">
        <f t="shared" ref="V171" ca="1" si="246">IF(IF(RIGHT(H171,2)="PH",(1-L171)+$W$2,IF(RIGHT(H171,2)="HT",(1-L171)+$W$1,IF(RIGHT(H171,2)="SH",(1-L171)+$W$3,"")))&gt;0,IF(RIGHT(H171,2)="PH",(1-L171)+$W$2,IF(RIGHT(H171,2)="HT",(1-L171)+$W$1,IF(RIGHT(H171,2)="SH",(1-L171)+$W$3,""))),0)</f>
        <v>0.31</v>
      </c>
      <c r="W171" s="298"/>
      <c r="X171" s="698">
        <f t="shared" ca="1" si="218"/>
        <v>8</v>
      </c>
      <c r="Y171" s="299">
        <f t="shared" ca="1" si="240"/>
        <v>35</v>
      </c>
      <c r="Z171" s="299">
        <f t="shared" ca="1" si="241"/>
        <v>1.5</v>
      </c>
      <c r="AA171" s="299">
        <f t="shared" ca="1" si="242"/>
        <v>0.8</v>
      </c>
      <c r="AB171" s="299">
        <f t="shared" ca="1" si="243"/>
        <v>2.1</v>
      </c>
      <c r="AD171" s="81">
        <v>2020</v>
      </c>
      <c r="AE171" s="273"/>
      <c r="AF171" s="828"/>
    </row>
    <row r="172" spans="1:32">
      <c r="A172" s="169"/>
      <c r="B172" s="718" t="s">
        <v>1099</v>
      </c>
      <c r="C172" s="226"/>
      <c r="D172" s="261"/>
      <c r="E172" s="261"/>
      <c r="F172" s="224" t="s">
        <v>1149</v>
      </c>
      <c r="G172" s="55"/>
      <c r="H172" s="174"/>
      <c r="I172" s="174" t="str">
        <f t="shared" si="142"/>
        <v>INDLWH</v>
      </c>
      <c r="J172" s="224">
        <f t="shared" si="145"/>
        <v>2030</v>
      </c>
      <c r="K172" s="81"/>
      <c r="L172" s="199">
        <f t="shared" ca="1" si="235"/>
        <v>0.89</v>
      </c>
      <c r="M172" s="772"/>
      <c r="N172" s="200"/>
      <c r="O172" s="725">
        <f t="shared" ca="1" si="236"/>
        <v>3.4699403462447704</v>
      </c>
      <c r="P172" s="725">
        <f t="shared" ca="1" si="237"/>
        <v>0.24287</v>
      </c>
      <c r="Q172" s="299">
        <f t="shared" ca="1" si="238"/>
        <v>3.9836805555555559</v>
      </c>
      <c r="R172" s="823"/>
      <c r="S172" s="300"/>
      <c r="T172" s="300"/>
      <c r="U172" s="300"/>
      <c r="V172" s="199">
        <f t="shared" ref="V172" ca="1" si="247">IF(IF(RIGHT(H171,2)="PH",(1-L172)+$W$2,IF(RIGHT(H171,2)="HT",(1-L172)+$W$1,IF(RIGHT(H171,2)="SH",(1-L172)+$W$3,"")))&gt;0,IF(RIGHT(H171,2)="PH",(1-L172)+$W$2,IF(RIGHT(H171,2)="HT",(1-L172)+$W$1,IF(RIGHT(H171,2)="SH",(1-L172)+$W$3,""))),0)</f>
        <v>0.31</v>
      </c>
      <c r="W172" s="298"/>
      <c r="X172" s="698">
        <f t="shared" ca="1" si="218"/>
        <v>8</v>
      </c>
      <c r="Y172" s="299">
        <f t="shared" ca="1" si="240"/>
        <v>35</v>
      </c>
      <c r="Z172" s="299">
        <f t="shared" ca="1" si="241"/>
        <v>1.5</v>
      </c>
      <c r="AA172" s="299">
        <f t="shared" ca="1" si="242"/>
        <v>0.8</v>
      </c>
      <c r="AB172" s="299">
        <f t="shared" ca="1" si="243"/>
        <v>2.1</v>
      </c>
      <c r="AD172" s="81">
        <v>2030</v>
      </c>
      <c r="AE172" s="273"/>
      <c r="AF172" s="828"/>
    </row>
    <row r="173" spans="1:32">
      <c r="A173" s="169"/>
      <c r="B173" s="718" t="s">
        <v>1099</v>
      </c>
      <c r="C173" s="226"/>
      <c r="D173" s="261"/>
      <c r="E173" s="261"/>
      <c r="F173" s="224" t="s">
        <v>1149</v>
      </c>
      <c r="G173" s="55"/>
      <c r="H173" s="174"/>
      <c r="I173" s="174" t="str">
        <f t="shared" si="142"/>
        <v>INDLWH</v>
      </c>
      <c r="J173" s="224">
        <f t="shared" si="145"/>
        <v>2050</v>
      </c>
      <c r="K173" s="81"/>
      <c r="L173" s="199">
        <f t="shared" ca="1" si="235"/>
        <v>0.91</v>
      </c>
      <c r="M173" s="772"/>
      <c r="N173" s="200"/>
      <c r="O173" s="725">
        <f t="shared" ca="1" si="236"/>
        <v>3.2813985758696647</v>
      </c>
      <c r="P173" s="725">
        <f t="shared" ca="1" si="237"/>
        <v>0.22797000000000001</v>
      </c>
      <c r="Q173" s="299">
        <f t="shared" ca="1" si="238"/>
        <v>4.0064444444444449</v>
      </c>
      <c r="R173" s="823"/>
      <c r="S173" s="300"/>
      <c r="T173" s="300"/>
      <c r="U173" s="300"/>
      <c r="V173" s="199">
        <f t="shared" ref="V173" ca="1" si="248">IF(IF(RIGHT(H171,2)="PH",(1-L173)+$W$2,IF(RIGHT(H171,2)="HT",(1-L173)+$W$1,IF(RIGHT(H171,2)="SH",(1-L173)+$W$3,"")))&gt;0,IF(RIGHT(H171,2)="PH",(1-L173)+$W$2,IF(RIGHT(H171,2)="HT",(1-L173)+$W$1,IF(RIGHT(H171,2)="SH",(1-L173)+$W$3,""))),0)</f>
        <v>0.28999999999999998</v>
      </c>
      <c r="W173" s="298"/>
      <c r="X173" s="698">
        <f t="shared" ca="1" si="218"/>
        <v>8</v>
      </c>
      <c r="Y173" s="299">
        <f t="shared" ca="1" si="240"/>
        <v>35</v>
      </c>
      <c r="Z173" s="299">
        <f t="shared" ca="1" si="241"/>
        <v>1.5</v>
      </c>
      <c r="AA173" s="299">
        <f t="shared" ca="1" si="242"/>
        <v>0.8</v>
      </c>
      <c r="AB173" s="299">
        <f t="shared" ca="1" si="243"/>
        <v>2.1</v>
      </c>
      <c r="AD173" s="81">
        <v>2050</v>
      </c>
      <c r="AE173" s="273"/>
      <c r="AF173" s="828"/>
    </row>
    <row r="174" spans="1:32">
      <c r="A174" s="169"/>
      <c r="B174" s="718" t="s">
        <v>1099</v>
      </c>
      <c r="C174" s="226"/>
      <c r="D174" s="261" t="str">
        <f>"IND"&amp;RIGHT(H174,4)&amp;RIGHT(G174,3)&amp;"N"&amp;RIGHT(E174,1)</f>
        <v>INDLDSHCOAN1</v>
      </c>
      <c r="E174" s="261" t="str">
        <f>"Industrial heating technology "&amp;$AJ$12&amp;" "&amp;RIGHT(H174,2)&amp;" - Coal boiler (Steam) - new 1"</f>
        <v>Industrial heating technology L SH - Coal boiler (Steam) - new 1</v>
      </c>
      <c r="F174" s="224" t="s">
        <v>1149</v>
      </c>
      <c r="G174" s="55" t="s">
        <v>617</v>
      </c>
      <c r="H174" s="174" t="str">
        <f>$AI$15</f>
        <v>ILDSH</v>
      </c>
      <c r="I174" s="174" t="str">
        <f t="shared" si="142"/>
        <v>INDLWH</v>
      </c>
      <c r="J174" s="224">
        <f t="shared" si="145"/>
        <v>2011</v>
      </c>
      <c r="K174" s="299">
        <v>2025</v>
      </c>
      <c r="L174" s="199">
        <f t="shared" ca="1" si="235"/>
        <v>0.89</v>
      </c>
      <c r="M174" s="199"/>
      <c r="N174" s="81">
        <f ca="1">VLOOKUP($AD174,INDIRECT("'"&amp;$B174&amp;"'!"&amp;"$P$39:$AD$42"),5,FALSE)</f>
        <v>25</v>
      </c>
      <c r="O174" s="725">
        <f t="shared" ca="1" si="236"/>
        <v>3.7250000000000001</v>
      </c>
      <c r="P174" s="725">
        <f t="shared" ca="1" si="237"/>
        <v>0.25106499999999998</v>
      </c>
      <c r="Q174" s="299">
        <f t="shared" ca="1" si="238"/>
        <v>3.9381527777777778</v>
      </c>
      <c r="R174" s="81">
        <v>3.1536000000000002E-2</v>
      </c>
      <c r="S174" s="199">
        <v>0.5</v>
      </c>
      <c r="T174" s="199">
        <f ca="1">HLOOKUP($T$2,INDIRECT("'"&amp;$B174&amp;"'!"&amp;"$P$6:$AC$19"),IF(H174=$AI$13,6,IF(H174=$AI$14,9,14)),FALSE)</f>
        <v>1</v>
      </c>
      <c r="U174" s="772"/>
      <c r="V174" s="199">
        <f t="shared" ref="V174" ca="1" si="249">IF(IF(RIGHT(H174,2)="PH",(1-L174)+$W$2,IF(RIGHT(H174,2)="HT",(1-L174)+$W$1,IF(RIGHT(H174,2)="SH",(1-L174)+$W$3,"")))&gt;0,IF(RIGHT(H174,2)="PH",(1-L174)+$W$2,IF(RIGHT(H174,2)="HT",(1-L174)+$W$1,IF(RIGHT(H174,2)="SH",(1-L174)+$W$3,""))),0)</f>
        <v>0.10999999999999999</v>
      </c>
      <c r="W174" s="298"/>
      <c r="X174" s="698">
        <f t="shared" ca="1" si="218"/>
        <v>8</v>
      </c>
      <c r="Y174" s="299">
        <f t="shared" ca="1" si="240"/>
        <v>35</v>
      </c>
      <c r="Z174" s="299">
        <f t="shared" ca="1" si="241"/>
        <v>1.5</v>
      </c>
      <c r="AA174" s="299">
        <f t="shared" ca="1" si="242"/>
        <v>0.8</v>
      </c>
      <c r="AB174" s="299">
        <f t="shared" ca="1" si="243"/>
        <v>2.1</v>
      </c>
      <c r="AD174" s="81">
        <v>2020</v>
      </c>
      <c r="AE174" s="273"/>
      <c r="AF174" s="828"/>
    </row>
    <row r="175" spans="1:32">
      <c r="A175" s="169"/>
      <c r="B175" s="718" t="s">
        <v>1099</v>
      </c>
      <c r="C175" s="226"/>
      <c r="D175" s="261"/>
      <c r="E175" s="261"/>
      <c r="F175" s="224" t="s">
        <v>1149</v>
      </c>
      <c r="G175" s="55"/>
      <c r="H175" s="174"/>
      <c r="I175" s="174" t="str">
        <f t="shared" si="142"/>
        <v>INDLWH</v>
      </c>
      <c r="J175" s="224">
        <f t="shared" si="145"/>
        <v>2030</v>
      </c>
      <c r="K175" s="81"/>
      <c r="L175" s="199">
        <f t="shared" ca="1" si="235"/>
        <v>0.89</v>
      </c>
      <c r="M175" s="772"/>
      <c r="N175" s="200"/>
      <c r="O175" s="725">
        <f t="shared" ca="1" si="236"/>
        <v>3.4699403462447704</v>
      </c>
      <c r="P175" s="725">
        <f t="shared" ca="1" si="237"/>
        <v>0.24287</v>
      </c>
      <c r="Q175" s="299">
        <f t="shared" ca="1" si="238"/>
        <v>3.9836805555555559</v>
      </c>
      <c r="R175" s="823"/>
      <c r="S175" s="300"/>
      <c r="T175" s="300"/>
      <c r="U175" s="300"/>
      <c r="V175" s="199">
        <f t="shared" ref="V175" ca="1" si="250">IF(IF(RIGHT(H174,2)="PH",(1-L175)+$W$2,IF(RIGHT(H174,2)="HT",(1-L175)+$W$1,IF(RIGHT(H174,2)="SH",(1-L175)+$W$3,"")))&gt;0,IF(RIGHT(H174,2)="PH",(1-L175)+$W$2,IF(RIGHT(H174,2)="HT",(1-L175)+$W$1,IF(RIGHT(H174,2)="SH",(1-L175)+$W$3,""))),0)</f>
        <v>0.10999999999999999</v>
      </c>
      <c r="W175" s="298"/>
      <c r="X175" s="698">
        <f t="shared" ca="1" si="218"/>
        <v>8</v>
      </c>
      <c r="Y175" s="299">
        <f t="shared" ca="1" si="240"/>
        <v>35</v>
      </c>
      <c r="Z175" s="299">
        <f t="shared" ca="1" si="241"/>
        <v>1.5</v>
      </c>
      <c r="AA175" s="299">
        <f t="shared" ca="1" si="242"/>
        <v>0.8</v>
      </c>
      <c r="AB175" s="299">
        <f t="shared" ca="1" si="243"/>
        <v>2.1</v>
      </c>
      <c r="AD175" s="81">
        <v>2030</v>
      </c>
      <c r="AE175" s="273"/>
      <c r="AF175" s="828"/>
    </row>
    <row r="176" spans="1:32">
      <c r="A176" s="169"/>
      <c r="B176" s="719" t="s">
        <v>1099</v>
      </c>
      <c r="C176" s="713"/>
      <c r="D176" s="701"/>
      <c r="E176" s="701"/>
      <c r="F176" s="224" t="s">
        <v>1149</v>
      </c>
      <c r="G176" s="203"/>
      <c r="H176" s="702"/>
      <c r="I176" s="702" t="str">
        <f t="shared" si="142"/>
        <v>INDLWH</v>
      </c>
      <c r="J176" s="224">
        <f t="shared" si="145"/>
        <v>2050</v>
      </c>
      <c r="K176" s="81"/>
      <c r="L176" s="199">
        <f t="shared" ca="1" si="235"/>
        <v>0.91</v>
      </c>
      <c r="M176" s="826"/>
      <c r="N176" s="825"/>
      <c r="O176" s="725">
        <f t="shared" ca="1" si="236"/>
        <v>3.2813985758696647</v>
      </c>
      <c r="P176" s="725">
        <f t="shared" ca="1" si="237"/>
        <v>0.22797000000000001</v>
      </c>
      <c r="Q176" s="299">
        <f t="shared" ca="1" si="238"/>
        <v>4.0064444444444449</v>
      </c>
      <c r="R176" s="722"/>
      <c r="S176" s="703"/>
      <c r="T176" s="703"/>
      <c r="U176" s="703"/>
      <c r="V176" s="199">
        <f t="shared" ref="V176" ca="1" si="251">IF(IF(RIGHT(H174,2)="PH",(1-L176)+$W$2,IF(RIGHT(H174,2)="HT",(1-L176)+$W$1,IF(RIGHT(H174,2)="SH",(1-L176)+$W$3,"")))&gt;0,IF(RIGHT(H174,2)="PH",(1-L176)+$W$2,IF(RIGHT(H174,2)="HT",(1-L176)+$W$1,IF(RIGHT(H174,2)="SH",(1-L176)+$W$3,""))),0)</f>
        <v>8.9999999999999969E-2</v>
      </c>
      <c r="W176" s="704"/>
      <c r="X176" s="698">
        <f t="shared" ca="1" si="218"/>
        <v>8</v>
      </c>
      <c r="Y176" s="299">
        <f t="shared" ca="1" si="240"/>
        <v>35</v>
      </c>
      <c r="Z176" s="299">
        <f t="shared" ca="1" si="241"/>
        <v>1.5</v>
      </c>
      <c r="AA176" s="299">
        <f t="shared" ca="1" si="242"/>
        <v>0.8</v>
      </c>
      <c r="AB176" s="299">
        <f t="shared" ca="1" si="243"/>
        <v>2.1</v>
      </c>
      <c r="AC176" s="203"/>
      <c r="AD176" s="81">
        <v>2050</v>
      </c>
      <c r="AE176" s="273"/>
      <c r="AF176" s="829"/>
    </row>
    <row r="177" spans="1:32">
      <c r="A177" s="169"/>
      <c r="B177" s="718" t="s">
        <v>1099</v>
      </c>
      <c r="C177" s="226"/>
      <c r="D177" s="707" t="str">
        <f>"IND"&amp;RIGHT(H177,4)&amp;RIGHT(G177,3)&amp;"N"&amp;RIGHT(E177,1)</f>
        <v>INDLDPHCOAN2</v>
      </c>
      <c r="E177" s="261" t="str">
        <f>"Industrial heating technology "&amp;$AJ$12&amp;" "&amp;RIGHT(H177,2)&amp;" - Coal boiler (Hot Water) - new 2"</f>
        <v>Industrial heating technology L PH - Coal boiler (Hot Water) - new 2</v>
      </c>
      <c r="F177" s="224" t="s">
        <v>1149</v>
      </c>
      <c r="G177" s="55" t="s">
        <v>617</v>
      </c>
      <c r="H177" s="174" t="str">
        <f>$AI$14</f>
        <v>ILDPH</v>
      </c>
      <c r="I177" s="174" t="str">
        <f t="shared" si="142"/>
        <v>INDLWH</v>
      </c>
      <c r="J177" s="224">
        <f t="shared" si="145"/>
        <v>2011</v>
      </c>
      <c r="K177" s="299">
        <v>2025</v>
      </c>
      <c r="L177" s="199">
        <f t="shared" ref="L177:L182" ca="1" si="252">VLOOKUP($AD177,INDIRECT("'"&amp;$B177&amp;"'!"&amp;"$P$118:$AD$121"),3,FALSE)</f>
        <v>0.89</v>
      </c>
      <c r="M177" s="199"/>
      <c r="N177" s="81">
        <f ca="1">VLOOKUP($AD177,INDIRECT("'"&amp;$B177&amp;"'!"&amp;"$P$118:$AD$121"),5,FALSE)</f>
        <v>25</v>
      </c>
      <c r="O177" s="723">
        <f t="shared" ref="O177:O182" ca="1" si="253">VLOOKUP($AD177,INDIRECT("'"&amp;$B177&amp;"'!"&amp;"$P$118:$AD$121"),6,FALSE)/1000</f>
        <v>3.7250000000000001</v>
      </c>
      <c r="P177" s="723">
        <f t="shared" ref="P177:P182" ca="1" si="254">VLOOKUP($AD177,INDIRECT("'"&amp;$B177&amp;"'!"&amp;"$P$118:$AD$121"),7,FALSE)/1000</f>
        <v>0.25106499999999998</v>
      </c>
      <c r="Q177" s="81">
        <f t="shared" ref="Q177:Q182" ca="1" si="255">VLOOKUP($AD177,INDIRECT("'"&amp;$B177&amp;"'!"&amp;"$P$118:$AD$121"),8,FALSE)</f>
        <v>3.9381527777777778</v>
      </c>
      <c r="R177" s="81">
        <v>3.1536000000000002E-2</v>
      </c>
      <c r="S177" s="199">
        <v>0.5</v>
      </c>
      <c r="T177" s="199">
        <f ca="1">HLOOKUP($T$2,INDIRECT("'"&amp;$B177&amp;"'!"&amp;"$P$85:$AC$98"),IF(H177=$AI$13,6,IF(H177=$AI$14,9,14)),FALSE)</f>
        <v>0</v>
      </c>
      <c r="U177" s="773"/>
      <c r="V177" s="199">
        <f t="shared" ref="V177" ca="1" si="256">IF(IF(RIGHT(H177,2)="PH",(1-L177)+$W$2,IF(RIGHT(H177,2)="HT",(1-L177)+$W$1,IF(RIGHT(H177,2)="SH",(1-L177)+$W$3,"")))&gt;0,IF(RIGHT(H177,2)="PH",(1-L177)+$W$2,IF(RIGHT(H177,2)="HT",(1-L177)+$W$1,IF(RIGHT(H177,2)="SH",(1-L177)+$W$3,""))),0)</f>
        <v>0.31</v>
      </c>
      <c r="W177" s="709"/>
      <c r="X177" s="698">
        <f t="shared" ca="1" si="218"/>
        <v>8</v>
      </c>
      <c r="Y177" s="698">
        <f ca="1">VLOOKUP($AD177,INDIRECT("'"&amp;$B177&amp;"'!"&amp;"$P$118:$AD$121"),12,FALSE)</f>
        <v>35</v>
      </c>
      <c r="Z177" s="698">
        <f ca="1">VLOOKUP($AD177,INDIRECT("'"&amp;$B177&amp;"'!"&amp;"$P$118:$AD$121"),13,FALSE)</f>
        <v>1.5</v>
      </c>
      <c r="AA177" s="698">
        <f ca="1">VLOOKUP($AD177,INDIRECT("'"&amp;$B177&amp;"'!"&amp;"$P$118:$AD$121"),14,FALSE)</f>
        <v>0.8</v>
      </c>
      <c r="AB177" s="698">
        <f ca="1">VLOOKUP($AD177,INDIRECT("'"&amp;$B177&amp;"'!"&amp;"$P$118:$AD$121"),15,FALSE)</f>
        <v>2.1</v>
      </c>
      <c r="AC177" s="55"/>
      <c r="AD177" s="81">
        <v>2020</v>
      </c>
      <c r="AE177" s="273"/>
      <c r="AF177" s="828"/>
    </row>
    <row r="178" spans="1:32">
      <c r="A178" s="169"/>
      <c r="B178" s="718" t="s">
        <v>1099</v>
      </c>
      <c r="C178" s="226"/>
      <c r="D178" s="261"/>
      <c r="E178" s="261"/>
      <c r="F178" s="224" t="s">
        <v>1149</v>
      </c>
      <c r="G178" s="55"/>
      <c r="H178" s="174"/>
      <c r="I178" s="174" t="str">
        <f t="shared" si="142"/>
        <v>INDLWH</v>
      </c>
      <c r="J178" s="224">
        <f t="shared" si="145"/>
        <v>2030</v>
      </c>
      <c r="K178" s="81"/>
      <c r="L178" s="199">
        <f t="shared" ca="1" si="252"/>
        <v>0.89</v>
      </c>
      <c r="M178" s="772"/>
      <c r="N178" s="200"/>
      <c r="O178" s="723">
        <f t="shared" ca="1" si="253"/>
        <v>3.7250000000000001</v>
      </c>
      <c r="P178" s="723">
        <f t="shared" ca="1" si="254"/>
        <v>0.24287</v>
      </c>
      <c r="Q178" s="81">
        <f t="shared" ca="1" si="255"/>
        <v>3.9836805555555559</v>
      </c>
      <c r="R178" s="823"/>
      <c r="S178" s="300"/>
      <c r="T178" s="300"/>
      <c r="U178" s="300"/>
      <c r="V178" s="199">
        <f t="shared" ref="V178" ca="1" si="257">IF(IF(RIGHT(H177,2)="PH",(1-L178)+$W$2,IF(RIGHT(H177,2)="HT",(1-L178)+$W$1,IF(RIGHT(H177,2)="SH",(1-L178)+$W$3,"")))&gt;0,IF(RIGHT(H177,2)="PH",(1-L178)+$W$2,IF(RIGHT(H177,2)="HT",(1-L178)+$W$1,IF(RIGHT(H177,2)="SH",(1-L178)+$W$3,""))),0)</f>
        <v>0.31</v>
      </c>
      <c r="W178" s="298"/>
      <c r="X178" s="824"/>
      <c r="Y178" s="824"/>
      <c r="Z178" s="824"/>
      <c r="AA178" s="824"/>
      <c r="AB178" s="824"/>
      <c r="AD178" s="81">
        <v>2030</v>
      </c>
      <c r="AE178" s="273"/>
      <c r="AF178" s="828"/>
    </row>
    <row r="179" spans="1:32">
      <c r="A179" s="169"/>
      <c r="B179" s="718" t="s">
        <v>1099</v>
      </c>
      <c r="C179" s="226"/>
      <c r="D179" s="261"/>
      <c r="E179" s="261"/>
      <c r="F179" s="224" t="s">
        <v>1149</v>
      </c>
      <c r="G179" s="55"/>
      <c r="H179" s="174"/>
      <c r="I179" s="174" t="str">
        <f t="shared" si="142"/>
        <v>INDLWH</v>
      </c>
      <c r="J179" s="224">
        <f t="shared" si="145"/>
        <v>2050</v>
      </c>
      <c r="K179" s="81"/>
      <c r="L179" s="199">
        <f t="shared" ca="1" si="252"/>
        <v>0.91</v>
      </c>
      <c r="M179" s="772"/>
      <c r="N179" s="200"/>
      <c r="O179" s="723">
        <f t="shared" ca="1" si="253"/>
        <v>3.7250000000000001</v>
      </c>
      <c r="P179" s="723">
        <f t="shared" ca="1" si="254"/>
        <v>0.22797000000000001</v>
      </c>
      <c r="Q179" s="81">
        <f t="shared" ca="1" si="255"/>
        <v>4.0064444444444449</v>
      </c>
      <c r="R179" s="823"/>
      <c r="S179" s="300"/>
      <c r="T179" s="300"/>
      <c r="U179" s="300"/>
      <c r="V179" s="199">
        <f t="shared" ref="V179" ca="1" si="258">IF(IF(RIGHT(H177,2)="PH",(1-L179)+$W$2,IF(RIGHT(H177,2)="HT",(1-L179)+$W$1,IF(RIGHT(H177,2)="SH",(1-L179)+$W$3,"")))&gt;0,IF(RIGHT(H177,2)="PH",(1-L179)+$W$2,IF(RIGHT(H177,2)="HT",(1-L179)+$W$1,IF(RIGHT(H177,2)="SH",(1-L179)+$W$3,""))),0)</f>
        <v>0.28999999999999998</v>
      </c>
      <c r="W179" s="298"/>
      <c r="X179" s="824"/>
      <c r="Y179" s="824"/>
      <c r="Z179" s="824"/>
      <c r="AA179" s="824"/>
      <c r="AB179" s="824"/>
      <c r="AD179" s="81">
        <v>2050</v>
      </c>
      <c r="AE179" s="273"/>
      <c r="AF179" s="828"/>
    </row>
    <row r="180" spans="1:32">
      <c r="A180" s="169"/>
      <c r="B180" s="718" t="s">
        <v>1099</v>
      </c>
      <c r="C180" s="226"/>
      <c r="D180" s="261" t="str">
        <f>"IND"&amp;RIGHT(H180,4)&amp;RIGHT(G180,3)&amp;"N"&amp;RIGHT(E180,1)</f>
        <v>INDLDSHCOAN2</v>
      </c>
      <c r="E180" s="261" t="str">
        <f>"Industrial heating technology "&amp;$AJ$12&amp;" "&amp;RIGHT(H180,2)&amp;" - Coal boiler (Hot Water) - new 2"</f>
        <v>Industrial heating technology L SH - Coal boiler (Hot Water) - new 2</v>
      </c>
      <c r="F180" s="224" t="s">
        <v>1149</v>
      </c>
      <c r="G180" s="55" t="s">
        <v>617</v>
      </c>
      <c r="H180" s="174" t="str">
        <f>$AI$15</f>
        <v>ILDSH</v>
      </c>
      <c r="I180" s="174" t="str">
        <f t="shared" si="142"/>
        <v>INDLWH</v>
      </c>
      <c r="J180" s="224">
        <f t="shared" si="145"/>
        <v>2011</v>
      </c>
      <c r="K180" s="299">
        <v>2025</v>
      </c>
      <c r="L180" s="199">
        <f t="shared" ca="1" si="252"/>
        <v>0.89</v>
      </c>
      <c r="M180" s="199"/>
      <c r="N180" s="81">
        <f ca="1">VLOOKUP($AD180,INDIRECT("'"&amp;$B180&amp;"'!"&amp;"$P$118:$AD$121"),5,FALSE)</f>
        <v>25</v>
      </c>
      <c r="O180" s="723">
        <f t="shared" ca="1" si="253"/>
        <v>3.7250000000000001</v>
      </c>
      <c r="P180" s="723">
        <f t="shared" ca="1" si="254"/>
        <v>0.25106499999999998</v>
      </c>
      <c r="Q180" s="81">
        <f t="shared" ca="1" si="255"/>
        <v>3.9381527777777778</v>
      </c>
      <c r="R180" s="81">
        <v>3.1536000000000002E-2</v>
      </c>
      <c r="S180" s="199">
        <v>0.5</v>
      </c>
      <c r="T180" s="199">
        <f ca="1">HLOOKUP($T$2,INDIRECT("'"&amp;$B180&amp;"'!"&amp;"$P$85:$AC$98"),IF(H180=$AI$13,6,IF(H180=$AI$14,9,14)),FALSE)</f>
        <v>1</v>
      </c>
      <c r="U180" s="773"/>
      <c r="V180" s="199">
        <f t="shared" ref="V180" ca="1" si="259">IF(IF(RIGHT(H180,2)="PH",(1-L180)+$W$2,IF(RIGHT(H180,2)="HT",(1-L180)+$W$1,IF(RIGHT(H180,2)="SH",(1-L180)+$W$3,"")))&gt;0,IF(RIGHT(H180,2)="PH",(1-L180)+$W$2,IF(RIGHT(H180,2)="HT",(1-L180)+$W$1,IF(RIGHT(H180,2)="SH",(1-L180)+$W$3,""))),0)</f>
        <v>0.10999999999999999</v>
      </c>
      <c r="W180" s="709"/>
      <c r="X180" s="698">
        <f ca="1">IF(VLOOKUP($AD180,INDIRECT("'"&amp;$B180&amp;"'!"&amp;"$P$39:$AD$42"),11,FALSE)="Cf. the utilized electricity",0,VLOOKUP($AD180,INDIRECT("'"&amp;$B180&amp;"'!"&amp;"$P$39:$AD$42"),11,FALSE))</f>
        <v>8</v>
      </c>
      <c r="Y180" s="698">
        <f ca="1">VLOOKUP($AD180,INDIRECT("'"&amp;$B180&amp;"'!"&amp;"$P$118:$AD$121"),12,FALSE)</f>
        <v>35</v>
      </c>
      <c r="Z180" s="698">
        <f ca="1">VLOOKUP($AD180,INDIRECT("'"&amp;$B180&amp;"'!"&amp;"$P$118:$AD$121"),13,FALSE)</f>
        <v>1.5</v>
      </c>
      <c r="AA180" s="698">
        <f ca="1">VLOOKUP($AD180,INDIRECT("'"&amp;$B180&amp;"'!"&amp;"$P$118:$AD$121"),14,FALSE)</f>
        <v>0.8</v>
      </c>
      <c r="AB180" s="698">
        <f ca="1">VLOOKUP($AD180,INDIRECT("'"&amp;$B180&amp;"'!"&amp;"$P$118:$AD$121"),15,FALSE)</f>
        <v>2.1</v>
      </c>
      <c r="AC180" s="55"/>
      <c r="AD180" s="81">
        <v>2020</v>
      </c>
      <c r="AE180" s="273"/>
      <c r="AF180" s="828"/>
    </row>
    <row r="181" spans="1:32">
      <c r="A181" s="169"/>
      <c r="B181" s="718" t="s">
        <v>1099</v>
      </c>
      <c r="C181" s="226"/>
      <c r="D181" s="261"/>
      <c r="E181" s="261"/>
      <c r="F181" s="224" t="s">
        <v>1149</v>
      </c>
      <c r="G181" s="55"/>
      <c r="H181" s="174"/>
      <c r="I181" s="174" t="str">
        <f t="shared" si="142"/>
        <v>INDLWH</v>
      </c>
      <c r="J181" s="224">
        <f t="shared" si="145"/>
        <v>2030</v>
      </c>
      <c r="K181" s="200"/>
      <c r="L181" s="199">
        <f t="shared" ca="1" si="252"/>
        <v>0.89</v>
      </c>
      <c r="M181" s="772"/>
      <c r="N181" s="200"/>
      <c r="O181" s="723">
        <f t="shared" ca="1" si="253"/>
        <v>3.7250000000000001</v>
      </c>
      <c r="P181" s="723">
        <f t="shared" ca="1" si="254"/>
        <v>0.24287</v>
      </c>
      <c r="Q181" s="81">
        <f t="shared" ca="1" si="255"/>
        <v>3.9836805555555559</v>
      </c>
      <c r="R181" s="823"/>
      <c r="S181" s="300"/>
      <c r="T181" s="300"/>
      <c r="U181" s="300"/>
      <c r="V181" s="199">
        <f t="shared" ref="V181" ca="1" si="260">IF(IF(RIGHT(H180,2)="PH",(1-L181)+$W$2,IF(RIGHT(H180,2)="HT",(1-L181)+$W$1,IF(RIGHT(H180,2)="SH",(1-L181)+$W$3,"")))&gt;0,IF(RIGHT(H180,2)="PH",(1-L181)+$W$2,IF(RIGHT(H180,2)="HT",(1-L181)+$W$1,IF(RIGHT(H180,2)="SH",(1-L181)+$W$3,""))),0)</f>
        <v>0.10999999999999999</v>
      </c>
      <c r="W181" s="298"/>
      <c r="X181" s="824"/>
      <c r="Y181" s="824"/>
      <c r="Z181" s="824"/>
      <c r="AA181" s="824"/>
      <c r="AB181" s="824"/>
      <c r="AD181" s="81">
        <v>2030</v>
      </c>
      <c r="AE181" s="273"/>
      <c r="AF181" s="828"/>
    </row>
    <row r="182" spans="1:32">
      <c r="A182" s="831"/>
      <c r="B182" s="719" t="s">
        <v>1099</v>
      </c>
      <c r="C182" s="713"/>
      <c r="D182" s="701"/>
      <c r="E182" s="701"/>
      <c r="F182" s="224" t="s">
        <v>1149</v>
      </c>
      <c r="G182" s="203"/>
      <c r="H182" s="702"/>
      <c r="I182" s="266" t="str">
        <f t="shared" si="142"/>
        <v>INDLWH</v>
      </c>
      <c r="J182" s="224">
        <f t="shared" si="145"/>
        <v>2050</v>
      </c>
      <c r="K182" s="825"/>
      <c r="L182" s="199">
        <f t="shared" ca="1" si="252"/>
        <v>0.91</v>
      </c>
      <c r="M182" s="826"/>
      <c r="N182" s="825"/>
      <c r="O182" s="723">
        <f t="shared" ca="1" si="253"/>
        <v>3.7250000000000001</v>
      </c>
      <c r="P182" s="723">
        <f t="shared" ca="1" si="254"/>
        <v>0.22797000000000001</v>
      </c>
      <c r="Q182" s="81">
        <f t="shared" ca="1" si="255"/>
        <v>4.0064444444444449</v>
      </c>
      <c r="R182" s="722"/>
      <c r="S182" s="703"/>
      <c r="T182" s="703"/>
      <c r="U182" s="703"/>
      <c r="V182" s="199">
        <f t="shared" ref="V182" ca="1" si="261">IF(IF(RIGHT(H180,2)="PH",(1-L182)+$W$2,IF(RIGHT(H180,2)="HT",(1-L182)+$W$1,IF(RIGHT(H180,2)="SH",(1-L182)+$W$3,"")))&gt;0,IF(RIGHT(H180,2)="PH",(1-L182)+$W$2,IF(RIGHT(H180,2)="HT",(1-L182)+$W$1,IF(RIGHT(H180,2)="SH",(1-L182)+$W$3,""))),0)</f>
        <v>8.9999999999999969E-2</v>
      </c>
      <c r="W182" s="704"/>
      <c r="X182" s="827"/>
      <c r="Y182" s="827"/>
      <c r="Z182" s="827"/>
      <c r="AA182" s="827"/>
      <c r="AB182" s="827"/>
      <c r="AC182" s="203"/>
      <c r="AD182" s="81">
        <v>2050</v>
      </c>
      <c r="AE182" s="273"/>
      <c r="AF182" s="829"/>
    </row>
    <row r="183" spans="1:32">
      <c r="A183" s="831"/>
      <c r="B183" s="226" t="s">
        <v>576</v>
      </c>
      <c r="C183" s="901"/>
      <c r="D183" s="261" t="str">
        <f>"IND"&amp;RIGHT(H183,4)&amp;RIGHT(G183,3)&amp;"N"&amp;RIGHT(E183,1)</f>
        <v>INDLDSHSOLN1</v>
      </c>
      <c r="E183" s="261" t="str">
        <f>"Industrial heating technology "&amp;$AJ$12&amp;" "&amp;RIGHT(H183,2)&amp;" - Solar - new 1"</f>
        <v>Industrial heating technology L SH - Solar - new 1</v>
      </c>
      <c r="F183" s="224" t="s">
        <v>1149</v>
      </c>
      <c r="G183" s="55" t="s">
        <v>500</v>
      </c>
      <c r="H183" s="174" t="str">
        <f>$AI$15</f>
        <v>ILDSH</v>
      </c>
      <c r="I183" s="174"/>
      <c r="J183" s="224">
        <f t="shared" si="145"/>
        <v>2011</v>
      </c>
      <c r="K183" s="299">
        <v>2025</v>
      </c>
      <c r="L183" s="199">
        <f ca="1">VLOOKUP($AD183,INDIRECT("'"&amp;$B183&amp;"'!"&amp;"$J$40:$X$43"),3,FALSE)</f>
        <v>1</v>
      </c>
      <c r="M183" s="772"/>
      <c r="N183" s="199">
        <f ca="1">VLOOKUP($AD183,INDIRECT("'"&amp;$B183&amp;"'!"&amp;"$J$40:$X$43"),5,FALSE)</f>
        <v>25</v>
      </c>
      <c r="O183" s="199">
        <f ca="1">VLOOKUP($AD183,INDIRECT("'"&amp;$B183&amp;"'!"&amp;"$J$40:$X$43"),6,FALSE)/1000</f>
        <v>4.2857142857142865</v>
      </c>
      <c r="P183" s="199">
        <f ca="1">VLOOKUP($AD183,INDIRECT("'"&amp;$B183&amp;"'!"&amp;"$J$40:$X$43"),7,FALSE)/1000</f>
        <v>2.0660433158225668E-2</v>
      </c>
      <c r="Q183" s="199">
        <f ca="1">VLOOKUP($AD183,INDIRECT("'"&amp;$B183&amp;"'!"&amp;"$J$40:$X$43"),8,FALSE)</f>
        <v>0</v>
      </c>
      <c r="R183" s="81">
        <v>3.1536000000000002E-2</v>
      </c>
      <c r="S183" s="199">
        <v>8.5500000000000007E-2</v>
      </c>
      <c r="T183" s="199">
        <v>1</v>
      </c>
      <c r="U183" s="300"/>
      <c r="V183" s="199"/>
      <c r="W183" s="298"/>
      <c r="X183" s="698">
        <v>0</v>
      </c>
      <c r="Y183" s="81">
        <v>0</v>
      </c>
      <c r="Z183" s="81">
        <v>0</v>
      </c>
      <c r="AA183" s="81">
        <v>0</v>
      </c>
      <c r="AB183" s="81">
        <v>0</v>
      </c>
      <c r="AC183" s="55"/>
      <c r="AD183" s="81">
        <v>2020</v>
      </c>
      <c r="AE183" s="200"/>
      <c r="AF183" s="700"/>
    </row>
    <row r="184" spans="1:32">
      <c r="A184" s="831"/>
      <c r="B184" s="226" t="s">
        <v>576</v>
      </c>
      <c r="C184" s="902"/>
      <c r="D184" s="261"/>
      <c r="E184" s="261"/>
      <c r="F184" s="224" t="s">
        <v>1149</v>
      </c>
      <c r="G184" s="55"/>
      <c r="H184" s="174"/>
      <c r="I184" s="174"/>
      <c r="J184" s="224">
        <f t="shared" si="145"/>
        <v>2030</v>
      </c>
      <c r="K184" s="200"/>
      <c r="L184" s="199">
        <f ca="1">VLOOKUP($AD184,INDIRECT("'"&amp;$B184&amp;"'!"&amp;"$J$40:$X$43"),3,FALSE)</f>
        <v>1</v>
      </c>
      <c r="M184" s="772"/>
      <c r="N184" s="199">
        <f ca="1">VLOOKUP($AD184,INDIRECT("'"&amp;$B184&amp;"'!"&amp;"$J$40:$X$43"),5,FALSE)</f>
        <v>30</v>
      </c>
      <c r="O184" s="199">
        <f ca="1">VLOOKUP($AD184,INDIRECT("'"&amp;$B184&amp;"'!"&amp;"$J$40:$X$43"),6,FALSE)/1000</f>
        <v>3.9285714285714284</v>
      </c>
      <c r="P184" s="199">
        <f ca="1">VLOOKUP($AD184,INDIRECT("'"&amp;$B184&amp;"'!"&amp;"$J$40:$X$43"),7,FALSE)/1000</f>
        <v>2.328125E-2</v>
      </c>
      <c r="Q184" s="199">
        <f ca="1">VLOOKUP($AD184,INDIRECT("'"&amp;$B184&amp;"'!"&amp;"$J$40:$X$43"),8,FALSE)</f>
        <v>0</v>
      </c>
      <c r="R184" s="823"/>
      <c r="S184" s="300"/>
      <c r="T184" s="300"/>
      <c r="U184" s="300"/>
      <c r="V184" s="772"/>
      <c r="W184" s="298"/>
      <c r="X184" s="824"/>
      <c r="Y184" s="824"/>
      <c r="Z184" s="824"/>
      <c r="AA184" s="824"/>
      <c r="AB184" s="824"/>
      <c r="AC184" s="55"/>
      <c r="AD184" s="81">
        <v>2030</v>
      </c>
      <c r="AE184" s="200"/>
      <c r="AF184" s="700"/>
    </row>
    <row r="185" spans="1:32" s="203" customFormat="1">
      <c r="A185" s="900"/>
      <c r="B185" s="713" t="s">
        <v>576</v>
      </c>
      <c r="C185" s="903"/>
      <c r="D185" s="701"/>
      <c r="E185" s="701"/>
      <c r="F185" s="224" t="s">
        <v>1149</v>
      </c>
      <c r="H185" s="702"/>
      <c r="I185" s="702"/>
      <c r="J185" s="224">
        <f t="shared" si="145"/>
        <v>2050</v>
      </c>
      <c r="K185" s="825"/>
      <c r="L185" s="199">
        <f ca="1">VLOOKUP($AD185,INDIRECT("'"&amp;$B185&amp;"'!"&amp;"$J$40:$X$43"),3,FALSE)</f>
        <v>1</v>
      </c>
      <c r="M185" s="826"/>
      <c r="N185" s="199">
        <f ca="1">VLOOKUP($AD185,INDIRECT("'"&amp;$B185&amp;"'!"&amp;"$J$40:$X$43"),5,FALSE)</f>
        <v>30</v>
      </c>
      <c r="O185" s="199">
        <f ca="1">VLOOKUP($AD185,INDIRECT("'"&amp;$B185&amp;"'!"&amp;"$J$40:$X$43"),6,FALSE)/1000</f>
        <v>3.5714285714285721</v>
      </c>
      <c r="P185" s="199">
        <f ca="1">VLOOKUP($AD185,INDIRECT("'"&amp;$B185&amp;"'!"&amp;"$J$40:$X$43"),7,FALSE)/1000</f>
        <v>2.1498571428571429E-2</v>
      </c>
      <c r="Q185" s="199">
        <f ca="1">VLOOKUP($AD185,INDIRECT("'"&amp;$B185&amp;"'!"&amp;"$J$40:$X$43"),8,FALSE)</f>
        <v>0</v>
      </c>
      <c r="R185" s="722"/>
      <c r="S185" s="703"/>
      <c r="T185" s="703"/>
      <c r="U185" s="703"/>
      <c r="V185" s="826"/>
      <c r="W185" s="704"/>
      <c r="X185" s="827"/>
      <c r="Y185" s="827"/>
      <c r="Z185" s="827"/>
      <c r="AA185" s="827"/>
      <c r="AB185" s="827"/>
      <c r="AD185" s="81">
        <v>2050</v>
      </c>
      <c r="AE185" s="825"/>
      <c r="AF185" s="705"/>
    </row>
    <row r="186" spans="1:32">
      <c r="A186" s="169"/>
      <c r="D186" s="36" t="s">
        <v>503</v>
      </c>
      <c r="E186" s="36"/>
      <c r="F186" s="224" t="s">
        <v>1149</v>
      </c>
      <c r="H186" s="173"/>
      <c r="I186" s="173"/>
      <c r="J186" s="224">
        <f t="shared" si="145"/>
        <v>0</v>
      </c>
      <c r="K186" s="198"/>
      <c r="L186" s="204"/>
      <c r="M186" s="204"/>
      <c r="N186" s="204"/>
      <c r="O186" s="37"/>
      <c r="P186" s="37"/>
      <c r="Q186" s="205"/>
      <c r="R186" s="252"/>
      <c r="S186" s="274"/>
      <c r="T186" s="204"/>
      <c r="U186" s="204"/>
      <c r="V186" s="204"/>
      <c r="W186" s="204"/>
      <c r="X186" s="204"/>
      <c r="Y186" s="204"/>
      <c r="Z186" s="204"/>
      <c r="AA186" s="204"/>
      <c r="AB186" s="204"/>
    </row>
    <row r="187" spans="1:32">
      <c r="A187" s="169"/>
      <c r="D187" s="212" t="str">
        <f t="shared" ref="D187:D192" si="262">"IND"&amp;RIGHT(H187,4)&amp;RIGHT(G187,3)&amp;"N"&amp;RIGHT(E187,1)</f>
        <v>INDLDSHHCEN1</v>
      </c>
      <c r="E187" s="224" t="str">
        <f>"Industrial heating technology "&amp;$AJ$12&amp;" "&amp;RIGHT(H187,2)&amp;" - central district heating - within DH area - new 1"</f>
        <v>Industrial heating technology L SH - central district heating - within DH area - new 1</v>
      </c>
      <c r="F187" s="224" t="s">
        <v>1149</v>
      </c>
      <c r="G187" s="225" t="s">
        <v>501</v>
      </c>
      <c r="H187" s="225" t="str">
        <f>AI15</f>
        <v>ILDSH</v>
      </c>
      <c r="I187" s="225"/>
      <c r="J187" s="81">
        <v>2011</v>
      </c>
      <c r="K187" s="299">
        <v>2025</v>
      </c>
      <c r="L187" s="81">
        <v>0.96</v>
      </c>
      <c r="M187" s="81"/>
      <c r="N187" s="81">
        <v>30</v>
      </c>
      <c r="O187" s="253">
        <v>1.17</v>
      </c>
      <c r="P187" s="254">
        <f>'DH network'!$M$9</f>
        <v>5.8735799999999998E-2</v>
      </c>
      <c r="Q187" s="254">
        <f ca="1">Q31*0.95</f>
        <v>1.9463124999999999</v>
      </c>
      <c r="R187" s="201">
        <v>3.1536000000000002E-2</v>
      </c>
      <c r="S187" s="275">
        <v>0.5</v>
      </c>
      <c r="T187" s="228"/>
      <c r="U187" s="228"/>
      <c r="V187" s="228"/>
      <c r="W187" s="287"/>
      <c r="X187" s="278"/>
      <c r="Y187" s="61"/>
      <c r="Z187" s="61"/>
      <c r="AA187" s="61"/>
      <c r="AB187" s="61"/>
    </row>
    <row r="188" spans="1:32">
      <c r="A188" s="169"/>
      <c r="D188" s="212" t="str">
        <f t="shared" si="262"/>
        <v>INDLDPHHCEN1</v>
      </c>
      <c r="E188" s="224" t="str">
        <f>"Industrial heating technology "&amp;$AJ$12&amp;" "&amp;RIGHT(H188,2)&amp;" - central district heating - within DH area - new 1"</f>
        <v>Industrial heating technology L PH - central district heating - within DH area - new 1</v>
      </c>
      <c r="F188" s="224" t="s">
        <v>1149</v>
      </c>
      <c r="G188" s="225" t="s">
        <v>501</v>
      </c>
      <c r="H188" s="281" t="str">
        <f>AI14</f>
        <v>ILDPH</v>
      </c>
      <c r="I188" s="281"/>
      <c r="J188" s="81">
        <v>2011</v>
      </c>
      <c r="K188" s="299">
        <v>2025</v>
      </c>
      <c r="L188" s="81">
        <v>0.96</v>
      </c>
      <c r="M188" s="81"/>
      <c r="N188" s="81">
        <v>30</v>
      </c>
      <c r="O188" s="253">
        <v>1.17</v>
      </c>
      <c r="P188" s="254">
        <f>'DH network'!$M$9</f>
        <v>5.8735799999999998E-2</v>
      </c>
      <c r="Q188" s="254">
        <f ca="1">Q33*0.95</f>
        <v>6.4090694444444436</v>
      </c>
      <c r="R188" s="201">
        <v>3.1536000000000002E-2</v>
      </c>
      <c r="S188" s="275">
        <v>0.5</v>
      </c>
      <c r="T188" s="228">
        <v>0.05</v>
      </c>
      <c r="U188" s="228"/>
      <c r="V188" s="228"/>
      <c r="W188" s="287"/>
      <c r="X188" s="278"/>
      <c r="Y188" s="61"/>
      <c r="Z188" s="61"/>
      <c r="AA188" s="61"/>
      <c r="AB188" s="61"/>
      <c r="AC188" s="226"/>
      <c r="AD188" s="226"/>
      <c r="AE188" s="226"/>
      <c r="AF188" s="226"/>
    </row>
    <row r="189" spans="1:32">
      <c r="A189" s="169"/>
      <c r="D189" s="212" t="str">
        <f t="shared" si="262"/>
        <v>INDLDSHHSEN1</v>
      </c>
      <c r="E189" s="224" t="str">
        <f>"Industrial heating technology "&amp;$AJ$12&amp;" "&amp;RIGHT(H189,2)&amp;" - central district heating - within DH area - new 1"</f>
        <v>Industrial heating technology L SH - central district heating - within DH area - new 1</v>
      </c>
      <c r="F189" s="224" t="s">
        <v>1149</v>
      </c>
      <c r="G189" s="225" t="s">
        <v>2123</v>
      </c>
      <c r="H189" s="225" t="str">
        <f>H187</f>
        <v>ILDSH</v>
      </c>
      <c r="I189" s="225"/>
      <c r="J189" s="81">
        <f t="shared" ref="J189:L190" si="263">J187</f>
        <v>2011</v>
      </c>
      <c r="K189" s="81">
        <f t="shared" si="263"/>
        <v>2025</v>
      </c>
      <c r="L189" s="81">
        <f t="shared" si="263"/>
        <v>0.96</v>
      </c>
      <c r="M189" s="81"/>
      <c r="N189" s="81">
        <f t="shared" ref="N189:S190" si="264">N187</f>
        <v>30</v>
      </c>
      <c r="O189" s="81">
        <f t="shared" si="264"/>
        <v>1.17</v>
      </c>
      <c r="P189" s="81">
        <f t="shared" si="264"/>
        <v>5.8735799999999998E-2</v>
      </c>
      <c r="Q189" s="81">
        <f t="shared" ca="1" si="264"/>
        <v>1.9463124999999999</v>
      </c>
      <c r="R189" s="81">
        <f t="shared" si="264"/>
        <v>3.1536000000000002E-2</v>
      </c>
      <c r="S189" s="81">
        <f t="shared" si="264"/>
        <v>0.5</v>
      </c>
      <c r="T189" s="228"/>
      <c r="U189" s="228"/>
      <c r="V189" s="228"/>
      <c r="W189" s="287"/>
      <c r="X189" s="278"/>
      <c r="Y189" s="61"/>
      <c r="Z189" s="61"/>
      <c r="AA189" s="61"/>
      <c r="AB189" s="61"/>
    </row>
    <row r="190" spans="1:32">
      <c r="A190" s="169"/>
      <c r="D190" s="212" t="str">
        <f t="shared" si="262"/>
        <v>INDLDPHHSEN1</v>
      </c>
      <c r="E190" s="224" t="str">
        <f>"Industrial heating technology "&amp;$AJ$12&amp;" "&amp;RIGHT(H190,2)&amp;" - central district heating - within DH area - new 1"</f>
        <v>Industrial heating technology L PH - central district heating - within DH area - new 1</v>
      </c>
      <c r="F190" s="224" t="s">
        <v>1149</v>
      </c>
      <c r="G190" s="225" t="s">
        <v>2123</v>
      </c>
      <c r="H190" s="225" t="str">
        <f>H188</f>
        <v>ILDPH</v>
      </c>
      <c r="I190" s="281"/>
      <c r="J190" s="81">
        <f t="shared" si="263"/>
        <v>2011</v>
      </c>
      <c r="K190" s="81">
        <f t="shared" si="263"/>
        <v>2025</v>
      </c>
      <c r="L190" s="81">
        <f t="shared" si="263"/>
        <v>0.96</v>
      </c>
      <c r="M190" s="81"/>
      <c r="N190" s="81">
        <f t="shared" si="264"/>
        <v>30</v>
      </c>
      <c r="O190" s="81">
        <f t="shared" si="264"/>
        <v>1.17</v>
      </c>
      <c r="P190" s="81">
        <f t="shared" si="264"/>
        <v>5.8735799999999998E-2</v>
      </c>
      <c r="Q190" s="81">
        <f t="shared" ca="1" si="264"/>
        <v>6.4090694444444436</v>
      </c>
      <c r="R190" s="81">
        <f t="shared" si="264"/>
        <v>3.1536000000000002E-2</v>
      </c>
      <c r="S190" s="81">
        <f t="shared" si="264"/>
        <v>0.5</v>
      </c>
      <c r="T190" s="81">
        <f>T188</f>
        <v>0.05</v>
      </c>
      <c r="U190" s="228"/>
      <c r="V190" s="228"/>
      <c r="W190" s="287"/>
      <c r="X190" s="278"/>
      <c r="Y190" s="61"/>
      <c r="Z190" s="61"/>
      <c r="AA190" s="61"/>
      <c r="AB190" s="61"/>
      <c r="AC190" s="226"/>
      <c r="AD190" s="226"/>
      <c r="AE190" s="226"/>
      <c r="AF190" s="226"/>
    </row>
    <row r="191" spans="1:32">
      <c r="A191" s="169"/>
      <c r="D191" s="212" t="str">
        <f t="shared" si="262"/>
        <v>INDLDSHHDEN1</v>
      </c>
      <c r="E191" s="224" t="str">
        <f>"Industrial heating technology "&amp;$AJ$12&amp;" "&amp;RIGHT(H191,2)&amp;" - decentral district heating - within DH area - new 1"</f>
        <v>Industrial heating technology L SH - decentral district heating - within DH area - new 1</v>
      </c>
      <c r="F191" s="224" t="s">
        <v>1149</v>
      </c>
      <c r="G191" s="259" t="s">
        <v>502</v>
      </c>
      <c r="H191" s="265" t="str">
        <f>AI15</f>
        <v>ILDSH</v>
      </c>
      <c r="I191" s="265"/>
      <c r="J191" s="81">
        <v>2011</v>
      </c>
      <c r="K191" s="299">
        <v>2025</v>
      </c>
      <c r="L191" s="81">
        <f>L187</f>
        <v>0.96</v>
      </c>
      <c r="M191" s="81"/>
      <c r="N191" s="81">
        <v>30</v>
      </c>
      <c r="O191" s="253">
        <v>1.25</v>
      </c>
      <c r="P191" s="254">
        <f>'DH network'!$M$9</f>
        <v>5.8735799999999998E-2</v>
      </c>
      <c r="Q191" s="254">
        <f ca="1">Q187</f>
        <v>1.9463124999999999</v>
      </c>
      <c r="R191" s="201">
        <v>3.1536000000000002E-2</v>
      </c>
      <c r="S191" s="275">
        <v>0.5</v>
      </c>
      <c r="T191" s="228"/>
      <c r="U191" s="228"/>
      <c r="V191" s="228"/>
      <c r="W191" s="287"/>
      <c r="X191" s="278"/>
      <c r="Y191" s="61"/>
      <c r="Z191" s="61"/>
      <c r="AA191" s="61"/>
      <c r="AB191" s="61"/>
      <c r="AC191" s="226"/>
      <c r="AD191" s="226"/>
      <c r="AE191" s="226"/>
      <c r="AF191" s="226"/>
    </row>
    <row r="192" spans="1:32">
      <c r="A192" s="169"/>
      <c r="D192" s="212" t="str">
        <f t="shared" si="262"/>
        <v>INDLDPHHDEN1</v>
      </c>
      <c r="E192" s="224" t="str">
        <f>"Industrial heating technology "&amp;$AJ$12&amp;" "&amp;RIGHT(H192,2)&amp;" - decentral district heating - within DH area - new 1"</f>
        <v>Industrial heating technology L PH - decentral district heating - within DH area - new 1</v>
      </c>
      <c r="F192" s="224" t="s">
        <v>1149</v>
      </c>
      <c r="G192" s="259" t="s">
        <v>502</v>
      </c>
      <c r="H192" s="225" t="str">
        <f>AI14</f>
        <v>ILDPH</v>
      </c>
      <c r="I192" s="225"/>
      <c r="J192" s="81">
        <v>2011</v>
      </c>
      <c r="K192" s="299">
        <v>2025</v>
      </c>
      <c r="L192" s="81">
        <f>L188</f>
        <v>0.96</v>
      </c>
      <c r="M192" s="81"/>
      <c r="N192" s="81">
        <v>30</v>
      </c>
      <c r="O192" s="253">
        <v>1.25</v>
      </c>
      <c r="P192" s="254">
        <f>'DH network'!$M$9</f>
        <v>5.8735799999999998E-2</v>
      </c>
      <c r="Q192" s="254">
        <f ca="1">Q188</f>
        <v>6.4090694444444436</v>
      </c>
      <c r="R192" s="201">
        <v>3.1536000000000002E-2</v>
      </c>
      <c r="S192" s="275">
        <v>0.5</v>
      </c>
      <c r="T192" s="228">
        <v>0.05</v>
      </c>
      <c r="U192" s="228"/>
      <c r="V192" s="228"/>
      <c r="W192" s="287"/>
      <c r="X192" s="278"/>
      <c r="Y192" s="61"/>
      <c r="Z192" s="61"/>
      <c r="AA192" s="61"/>
      <c r="AB192" s="61"/>
      <c r="AC192" s="226"/>
      <c r="AD192" s="226"/>
      <c r="AE192" s="226"/>
      <c r="AF192" s="226"/>
    </row>
    <row r="193" spans="1:32">
      <c r="A193" s="169"/>
      <c r="B193" s="226"/>
      <c r="C193" s="226"/>
      <c r="D193" s="258" t="s">
        <v>497</v>
      </c>
      <c r="E193" s="258"/>
      <c r="F193" s="224" t="s">
        <v>1149</v>
      </c>
      <c r="G193" s="206"/>
      <c r="H193" s="225"/>
      <c r="I193" s="225"/>
      <c r="J193" s="200"/>
      <c r="K193" s="200"/>
      <c r="L193" s="200"/>
      <c r="M193" s="200"/>
      <c r="N193" s="200"/>
      <c r="O193" s="227"/>
      <c r="P193" s="227"/>
      <c r="Q193" s="227"/>
      <c r="R193" s="202"/>
      <c r="S193" s="228"/>
      <c r="T193" s="228"/>
      <c r="U193" s="228"/>
      <c r="V193" s="228"/>
      <c r="W193" s="287"/>
      <c r="X193" s="226"/>
      <c r="Y193" s="226"/>
      <c r="Z193" s="226"/>
      <c r="AA193" s="226"/>
      <c r="AB193" s="226"/>
      <c r="AC193" s="226"/>
      <c r="AD193" s="226"/>
      <c r="AE193" s="226"/>
      <c r="AF193" s="226"/>
    </row>
    <row r="194" spans="1:32">
      <c r="A194" s="169"/>
      <c r="B194" s="226"/>
      <c r="C194" s="226"/>
      <c r="D194" s="212" t="str">
        <f>"IND"&amp;RIGHT(H194,4)&amp;RIGHT(G194,3)&amp;"N"&amp;RIGHT(E194,1)</f>
        <v>INDLDLAELCN1</v>
      </c>
      <c r="E194" s="224" t="str">
        <f>"Industry "&amp;$AJ$12&amp;" "&amp;RIGHT(H194,2)&amp;" Electricity Light Appliance - New 1"</f>
        <v>Industry L LA Electricity Light Appliance - New 1</v>
      </c>
      <c r="F194" s="224" t="s">
        <v>1149</v>
      </c>
      <c r="G194" s="225" t="s">
        <v>499</v>
      </c>
      <c r="H194" s="225" t="str">
        <f>AI16</f>
        <v>ILDLA</v>
      </c>
      <c r="I194" s="225"/>
      <c r="J194" s="81">
        <v>2011</v>
      </c>
      <c r="K194" s="81">
        <v>2011</v>
      </c>
      <c r="L194" s="256">
        <v>1</v>
      </c>
      <c r="M194" s="256"/>
      <c r="N194" s="256">
        <v>10</v>
      </c>
      <c r="O194" s="254"/>
      <c r="P194" s="254"/>
      <c r="Q194" s="254"/>
      <c r="R194" s="201"/>
      <c r="S194" s="275">
        <v>0.9</v>
      </c>
      <c r="T194" s="228"/>
      <c r="U194" s="228"/>
      <c r="V194" s="228"/>
      <c r="W194" s="287"/>
      <c r="X194" s="279"/>
      <c r="Y194" s="255"/>
      <c r="Z194" s="255"/>
      <c r="AA194" s="255"/>
      <c r="AB194" s="255"/>
      <c r="AC194" s="226"/>
      <c r="AD194" s="226"/>
      <c r="AE194" s="226"/>
      <c r="AF194" s="226"/>
    </row>
    <row r="195" spans="1:32">
      <c r="A195" s="169"/>
      <c r="B195" s="226"/>
      <c r="C195" s="226"/>
      <c r="F195" s="224" t="s">
        <v>1149</v>
      </c>
      <c r="G195" s="225"/>
      <c r="H195" s="226"/>
      <c r="I195" s="226"/>
      <c r="J195" s="256">
        <v>2020</v>
      </c>
      <c r="K195" s="256"/>
      <c r="L195" s="256"/>
      <c r="M195" s="256"/>
      <c r="N195" s="256"/>
      <c r="O195" s="254"/>
      <c r="P195" s="254"/>
      <c r="Q195" s="254"/>
      <c r="R195" s="201"/>
      <c r="S195" s="275"/>
      <c r="T195" s="228"/>
      <c r="U195" s="228"/>
      <c r="V195" s="228"/>
      <c r="W195" s="287"/>
      <c r="X195" s="279"/>
      <c r="Y195" s="255"/>
      <c r="Z195" s="255"/>
      <c r="AA195" s="255"/>
      <c r="AB195" s="255"/>
      <c r="AC195" s="226"/>
      <c r="AD195" s="226"/>
      <c r="AE195" s="226"/>
      <c r="AF195" s="226"/>
    </row>
    <row r="196" spans="1:32">
      <c r="A196" s="169"/>
      <c r="B196" s="226"/>
      <c r="C196" s="226"/>
      <c r="F196" s="224" t="s">
        <v>1149</v>
      </c>
      <c r="G196" s="225"/>
      <c r="H196" s="225"/>
      <c r="I196" s="225"/>
      <c r="J196" s="256">
        <v>2030</v>
      </c>
      <c r="K196" s="256"/>
      <c r="L196" s="256"/>
      <c r="M196" s="256"/>
      <c r="N196" s="256"/>
      <c r="O196" s="254"/>
      <c r="P196" s="254"/>
      <c r="Q196" s="254"/>
      <c r="R196" s="201"/>
      <c r="S196" s="275"/>
      <c r="T196" s="228"/>
      <c r="U196" s="228"/>
      <c r="V196" s="228"/>
      <c r="W196" s="287"/>
      <c r="X196" s="279"/>
      <c r="Y196" s="255"/>
      <c r="Z196" s="255"/>
      <c r="AA196" s="255"/>
      <c r="AB196" s="255"/>
    </row>
    <row r="197" spans="1:32">
      <c r="A197" s="169"/>
      <c r="B197" s="226"/>
      <c r="C197" s="226"/>
      <c r="F197" s="224" t="s">
        <v>1149</v>
      </c>
      <c r="G197" s="225"/>
      <c r="H197" s="225"/>
      <c r="I197" s="225"/>
      <c r="J197" s="256">
        <v>2050</v>
      </c>
      <c r="K197" s="256"/>
      <c r="L197" s="256"/>
      <c r="M197" s="256"/>
      <c r="N197" s="256"/>
      <c r="O197" s="254"/>
      <c r="P197" s="254"/>
      <c r="Q197" s="254"/>
      <c r="R197" s="201"/>
      <c r="S197" s="275"/>
      <c r="T197" s="228"/>
      <c r="U197" s="228"/>
      <c r="V197" s="228"/>
      <c r="W197" s="287"/>
      <c r="X197" s="279"/>
      <c r="Y197" s="255"/>
      <c r="Z197" s="255"/>
      <c r="AA197" s="255"/>
      <c r="AB197" s="255"/>
    </row>
    <row r="198" spans="1:32">
      <c r="A198" s="169"/>
      <c r="B198" s="226"/>
      <c r="C198" s="226"/>
      <c r="D198" s="212" t="str">
        <f>"IND"&amp;RIGHT(H198,4)&amp;RIGHT(G198,3)&amp;"N"&amp;RIGHT(E198,1)</f>
        <v>INDLDEMELCN1</v>
      </c>
      <c r="E198" s="224" t="str">
        <f>"Industry "&amp;$AJ$12&amp;" "&amp;RIGHT(H198,2)&amp;" Electricity Motors - New 1"</f>
        <v>Industry L EM Electricity Motors - New 1</v>
      </c>
      <c r="F198" s="224" t="s">
        <v>1149</v>
      </c>
      <c r="G198" s="225" t="s">
        <v>499</v>
      </c>
      <c r="H198" s="225" t="str">
        <f>AI17</f>
        <v>ILDEM</v>
      </c>
      <c r="I198" s="225"/>
      <c r="J198" s="81">
        <v>2011</v>
      </c>
      <c r="K198" s="81">
        <v>2011</v>
      </c>
      <c r="L198" s="256">
        <v>1</v>
      </c>
      <c r="M198" s="256"/>
      <c r="N198" s="256">
        <v>10</v>
      </c>
      <c r="O198" s="254"/>
      <c r="P198" s="254"/>
      <c r="Q198" s="254"/>
      <c r="R198" s="201"/>
      <c r="S198" s="275">
        <v>0.9</v>
      </c>
      <c r="T198" s="228"/>
      <c r="U198" s="228"/>
      <c r="V198" s="228"/>
      <c r="W198" s="287"/>
      <c r="X198" s="279"/>
      <c r="Y198" s="255"/>
      <c r="Z198" s="255"/>
      <c r="AA198" s="255"/>
      <c r="AB198" s="255"/>
    </row>
    <row r="199" spans="1:32">
      <c r="A199" s="169"/>
      <c r="D199" s="170"/>
      <c r="E199" s="64"/>
      <c r="F199" s="224" t="s">
        <v>1149</v>
      </c>
      <c r="H199" s="173"/>
      <c r="I199" s="173"/>
      <c r="J199" s="256">
        <v>2020</v>
      </c>
      <c r="K199" s="257"/>
      <c r="L199" s="257"/>
      <c r="M199" s="257"/>
      <c r="N199" s="257"/>
      <c r="O199" s="61"/>
      <c r="P199" s="61"/>
      <c r="Q199" s="61"/>
      <c r="R199" s="61"/>
      <c r="S199" s="276"/>
      <c r="T199" s="55"/>
      <c r="U199" s="55"/>
      <c r="V199" s="55"/>
      <c r="W199" s="283"/>
      <c r="X199" s="278"/>
      <c r="Y199" s="61"/>
      <c r="Z199" s="61"/>
      <c r="AA199" s="61"/>
      <c r="AB199" s="61"/>
    </row>
    <row r="200" spans="1:32">
      <c r="A200" s="169"/>
      <c r="F200" s="224" t="s">
        <v>1149</v>
      </c>
      <c r="H200" s="173"/>
      <c r="I200" s="173"/>
      <c r="J200" s="256">
        <v>2030</v>
      </c>
      <c r="K200" s="257"/>
      <c r="L200" s="257"/>
      <c r="M200" s="257"/>
      <c r="N200" s="257"/>
      <c r="O200" s="61"/>
      <c r="P200" s="61"/>
      <c r="Q200" s="61"/>
      <c r="R200" s="61"/>
      <c r="S200" s="276"/>
      <c r="T200" s="55"/>
      <c r="U200" s="55"/>
      <c r="V200" s="55"/>
      <c r="W200" s="283"/>
      <c r="X200" s="278"/>
      <c r="Y200" s="61"/>
      <c r="Z200" s="61"/>
      <c r="AA200" s="61"/>
      <c r="AB200" s="61"/>
    </row>
    <row r="201" spans="1:32">
      <c r="A201" s="169"/>
      <c r="D201" s="203"/>
      <c r="E201" s="203"/>
      <c r="F201" s="224" t="s">
        <v>1149</v>
      </c>
      <c r="G201" s="203"/>
      <c r="H201" s="266"/>
      <c r="I201" s="266"/>
      <c r="J201" s="256">
        <v>2050</v>
      </c>
      <c r="K201" s="257"/>
      <c r="L201" s="257"/>
      <c r="M201" s="257"/>
      <c r="N201" s="257"/>
      <c r="O201" s="61"/>
      <c r="P201" s="61"/>
      <c r="Q201" s="61"/>
      <c r="R201" s="61"/>
      <c r="S201" s="276"/>
      <c r="T201" s="55"/>
      <c r="U201" s="55"/>
      <c r="V201" s="55"/>
      <c r="W201" s="283"/>
      <c r="X201" s="278"/>
      <c r="Y201" s="61"/>
      <c r="Z201" s="61"/>
      <c r="AA201" s="61"/>
      <c r="AB201" s="61"/>
    </row>
    <row r="202" spans="1:32">
      <c r="A202" s="169" t="s">
        <v>2057</v>
      </c>
      <c r="B202" s="224" t="s">
        <v>2064</v>
      </c>
      <c r="D202" s="212" t="str">
        <f>"IND"&amp;RIGHT(H202,4)&amp;"DSL"&amp;"N"&amp;RIGHT(E202,1)</f>
        <v>INDLDTFDSLN1</v>
      </c>
      <c r="E202" s="224" t="str">
        <f>"Industry "&amp;$AJ$12&amp;" "&amp;RIGHT(H202,2)&amp;" Tractors, Trucks, Fishing boats - New 1"</f>
        <v>Industry L TF Tractors, Trucks, Fishing boats - New 1</v>
      </c>
      <c r="F202" s="224" t="s">
        <v>1149</v>
      </c>
      <c r="G202" s="173" t="s">
        <v>2081</v>
      </c>
      <c r="H202" s="174" t="str">
        <f>$AI$18</f>
        <v>ILDTF</v>
      </c>
      <c r="I202" s="174"/>
      <c r="J202" s="81">
        <v>2011</v>
      </c>
      <c r="K202" s="81">
        <v>2011</v>
      </c>
      <c r="L202" s="1127">
        <f>L203</f>
        <v>1</v>
      </c>
      <c r="M202" s="256"/>
      <c r="N202" s="256">
        <v>20</v>
      </c>
      <c r="O202" s="1127">
        <f>O203</f>
        <v>30.836264040545181</v>
      </c>
      <c r="P202" s="254"/>
      <c r="Q202" s="254"/>
      <c r="R202" s="1126">
        <v>1</v>
      </c>
      <c r="S202" s="1127">
        <v>1</v>
      </c>
      <c r="T202" s="228"/>
      <c r="U202" s="228"/>
      <c r="V202" s="228"/>
      <c r="W202" s="287"/>
      <c r="X202" s="55"/>
      <c r="Y202" s="55"/>
      <c r="Z202" s="55"/>
      <c r="AA202" s="55"/>
      <c r="AB202" s="55"/>
    </row>
    <row r="203" spans="1:32">
      <c r="A203" s="169" t="s">
        <v>2057</v>
      </c>
      <c r="B203" s="224" t="s">
        <v>2064</v>
      </c>
      <c r="D203" s="55"/>
      <c r="E203" s="55"/>
      <c r="F203" s="224" t="s">
        <v>1149</v>
      </c>
      <c r="G203" s="55"/>
      <c r="H203" s="174"/>
      <c r="I203" s="174"/>
      <c r="J203" s="256">
        <v>2017</v>
      </c>
      <c r="K203" s="256"/>
      <c r="L203" s="1127">
        <f>1/SUMIFS(Transport!$AS$13:$AS$264,Transport!$D$13:$D$264,$B203,Transport!$E$13:$E$264,$A203,Transport!$A$13:$A$264,$J203)</f>
        <v>1</v>
      </c>
      <c r="M203" s="256"/>
      <c r="N203" s="256"/>
      <c r="O203" s="1127">
        <f>SUMIFS(Transport!$AT$13:$AT$264,Transport!$D$13:$D$264,$B203,Transport!$E$13:$E$264,$A203,Transport!$A$13:$A$264,$J203)/1000*6.5</f>
        <v>30.836264040545181</v>
      </c>
      <c r="P203" s="254"/>
      <c r="Q203" s="254"/>
      <c r="R203" s="1126"/>
      <c r="S203" s="275"/>
      <c r="T203" s="228"/>
      <c r="U203" s="228"/>
      <c r="V203" s="228"/>
      <c r="W203" s="228"/>
      <c r="X203" s="55"/>
      <c r="Y203" s="55"/>
      <c r="Z203" s="55"/>
      <c r="AA203" s="55"/>
      <c r="AB203" s="55"/>
    </row>
    <row r="204" spans="1:32">
      <c r="A204" s="169" t="s">
        <v>2057</v>
      </c>
      <c r="B204" s="224" t="s">
        <v>2064</v>
      </c>
      <c r="D204" s="55"/>
      <c r="E204" s="55"/>
      <c r="F204" s="224" t="s">
        <v>1149</v>
      </c>
      <c r="G204" s="55"/>
      <c r="J204" s="256">
        <v>2030</v>
      </c>
      <c r="K204" s="256"/>
      <c r="L204" s="1127">
        <f>1/SUMIFS(Transport!$AS$13:$AS$264,Transport!$D$13:$D$264,$B204,Transport!$E$13:$E$264,$A204,Transport!$A$13:$A$264,$J204)</f>
        <v>1.4579105312754643</v>
      </c>
      <c r="M204" s="256"/>
      <c r="N204" s="256"/>
      <c r="O204" s="1127">
        <f>SUMIFS(Transport!$AT$13:$AT$264,Transport!$D$13:$D$264,$B204,Transport!$E$13:$E$264,$A204,Transport!$A$13:$A$264,$J204)/1000*6.5</f>
        <v>31.806294618979205</v>
      </c>
      <c r="P204" s="254"/>
      <c r="Q204" s="254"/>
      <c r="R204" s="1126"/>
      <c r="S204" s="275"/>
      <c r="T204" s="228"/>
      <c r="U204" s="228"/>
      <c r="V204" s="228"/>
      <c r="W204" s="228"/>
      <c r="X204" s="55"/>
      <c r="Y204" s="55"/>
      <c r="Z204" s="55"/>
      <c r="AA204" s="55"/>
      <c r="AB204" s="55"/>
    </row>
    <row r="205" spans="1:32">
      <c r="A205" s="169" t="s">
        <v>2057</v>
      </c>
      <c r="B205" s="224" t="s">
        <v>2064</v>
      </c>
      <c r="D205" s="55"/>
      <c r="E205" s="55"/>
      <c r="F205" s="224" t="s">
        <v>1149</v>
      </c>
      <c r="G205" s="55"/>
      <c r="J205" s="256">
        <v>2050</v>
      </c>
      <c r="K205" s="256"/>
      <c r="L205" s="1127">
        <f>1/SUMIFS(Transport!$AS$13:$AS$264,Transport!$D$13:$D$264,$B205,Transport!$E$13:$E$264,$A205,Transport!$A$13:$A$264,$J205)</f>
        <v>1.612189818950156</v>
      </c>
      <c r="M205" s="256"/>
      <c r="N205" s="256"/>
      <c r="O205" s="1127">
        <f>SUMIFS(Transport!$AT$13:$AT$264,Transport!$D$13:$D$264,$B205,Transport!$E$13:$E$264,$A205,Transport!$A$13:$A$264,$J205)/1000*6.5</f>
        <v>32.165108628526795</v>
      </c>
      <c r="P205" s="254"/>
      <c r="Q205" s="254"/>
      <c r="R205" s="1126"/>
      <c r="S205" s="275"/>
      <c r="T205" s="228"/>
      <c r="U205" s="228"/>
      <c r="V205" s="228"/>
      <c r="W205" s="228"/>
      <c r="X205" s="55"/>
      <c r="Y205" s="55"/>
      <c r="Z205" s="55"/>
      <c r="AA205" s="55"/>
      <c r="AB205" s="55"/>
    </row>
    <row r="206" spans="1:32">
      <c r="A206" s="169" t="s">
        <v>2062</v>
      </c>
      <c r="B206" s="224" t="s">
        <v>2064</v>
      </c>
      <c r="D206" s="212" t="str">
        <f>"IND"&amp;RIGHT(H206,4)&amp;"H2G"&amp;"N"&amp;RIGHT(E206,1)</f>
        <v>INDLDTFH2GN2</v>
      </c>
      <c r="E206" s="224" t="str">
        <f>"Industry "&amp;$AJ$12&amp;" "&amp;RIGHT(H206,2)&amp;" Tractors, Trucks, Fishing boats - New 2"</f>
        <v>Industry L TF Tractors, Trucks, Fishing boats - New 2</v>
      </c>
      <c r="F206" s="224" t="s">
        <v>1149</v>
      </c>
      <c r="G206" s="55" t="s">
        <v>2077</v>
      </c>
      <c r="H206" s="174" t="str">
        <f>$AI$18</f>
        <v>ILDTF</v>
      </c>
      <c r="I206" s="174"/>
      <c r="J206" s="81">
        <v>2017</v>
      </c>
      <c r="K206" s="81">
        <v>2030</v>
      </c>
      <c r="L206" s="1127">
        <f>1/SUMIFS(Transport!$AS$13:$AS$264,Transport!$D$13:$D$264,$B206,Transport!$E$13:$E$264,$A206,Transport!$A$13:$A$264,$J206)</f>
        <v>1.6201914448931107</v>
      </c>
      <c r="M206" s="256"/>
      <c r="N206" s="256">
        <v>20</v>
      </c>
      <c r="O206" s="1127">
        <f>SUMIFS(Transport!$AT$13:$AT$264,Transport!$D$13:$D$264,$B206,Transport!$E$13:$E$264,$A206,Transport!$A$13:$A$264,$J206)/1000*6.5</f>
        <v>81.840656028484005</v>
      </c>
      <c r="P206" s="254"/>
      <c r="Q206" s="254"/>
      <c r="R206" s="1126">
        <v>1</v>
      </c>
      <c r="S206" s="1127">
        <v>1</v>
      </c>
      <c r="T206" s="228"/>
      <c r="U206" s="228"/>
      <c r="V206" s="228"/>
      <c r="W206" s="287"/>
      <c r="X206" s="55"/>
      <c r="Y206" s="55"/>
      <c r="Z206" s="55"/>
      <c r="AA206" s="55"/>
      <c r="AB206" s="55"/>
    </row>
    <row r="207" spans="1:32">
      <c r="A207" s="169" t="s">
        <v>2062</v>
      </c>
      <c r="B207" s="224" t="s">
        <v>2064</v>
      </c>
      <c r="D207" s="55"/>
      <c r="E207" s="55"/>
      <c r="F207" s="224" t="s">
        <v>1149</v>
      </c>
      <c r="G207" s="55"/>
      <c r="H207" s="174"/>
      <c r="I207" s="174"/>
      <c r="J207" s="256">
        <v>2017</v>
      </c>
      <c r="K207" s="256"/>
      <c r="L207" s="1127">
        <f>1/SUMIFS(Transport!$AS$13:$AS$264,Transport!$D$13:$D$264,$B207,Transport!$E$13:$E$264,$A207,Transport!$A$13:$A$264,$J207)</f>
        <v>1.6201914448931107</v>
      </c>
      <c r="M207" s="256"/>
      <c r="N207" s="256"/>
      <c r="O207" s="1127">
        <f>SUMIFS(Transport!$AT$13:$AT$264,Transport!$D$13:$D$264,$B207,Transport!$E$13:$E$264,$A207,Transport!$A$13:$A$264,$J207)/1000*6.5</f>
        <v>81.840656028484005</v>
      </c>
      <c r="P207" s="254"/>
      <c r="Q207" s="254"/>
      <c r="R207" s="1126"/>
      <c r="S207" s="275"/>
      <c r="T207" s="228"/>
      <c r="U207" s="228"/>
      <c r="V207" s="228"/>
      <c r="W207" s="228"/>
      <c r="X207" s="55"/>
      <c r="Y207" s="55"/>
      <c r="Z207" s="55"/>
      <c r="AA207" s="55"/>
      <c r="AB207" s="55"/>
    </row>
    <row r="208" spans="1:32">
      <c r="A208" s="169" t="s">
        <v>2062</v>
      </c>
      <c r="B208" s="224" t="s">
        <v>2064</v>
      </c>
      <c r="D208" s="55"/>
      <c r="E208" s="55"/>
      <c r="F208" s="224" t="s">
        <v>1149</v>
      </c>
      <c r="G208" s="55"/>
      <c r="J208" s="256">
        <v>2030</v>
      </c>
      <c r="K208" s="256"/>
      <c r="L208" s="1127">
        <f>1/SUMIFS(Transport!$AS$13:$AS$264,Transport!$D$13:$D$264,$B208,Transport!$E$13:$E$264,$A208,Transport!$A$13:$A$264,$J208)</f>
        <v>2.4143776559781225</v>
      </c>
      <c r="M208" s="256"/>
      <c r="N208" s="256"/>
      <c r="O208" s="1127">
        <f>SUMIFS(Transport!$AT$13:$AT$264,Transport!$D$13:$D$264,$B208,Transport!$E$13:$E$264,$A208,Transport!$A$13:$A$264,$J208)/1000*6.5</f>
        <v>34.253254247071318</v>
      </c>
      <c r="P208" s="254"/>
      <c r="Q208" s="254"/>
      <c r="R208" s="1126"/>
      <c r="S208" s="275"/>
      <c r="T208" s="228"/>
      <c r="U208" s="228"/>
      <c r="V208" s="228"/>
      <c r="W208" s="228"/>
      <c r="X208" s="55"/>
      <c r="Y208" s="55"/>
      <c r="Z208" s="55"/>
      <c r="AA208" s="55"/>
      <c r="AB208" s="55"/>
    </row>
    <row r="209" spans="1:28">
      <c r="A209" s="169" t="s">
        <v>2062</v>
      </c>
      <c r="B209" s="224" t="s">
        <v>2064</v>
      </c>
      <c r="D209" s="55"/>
      <c r="E209" s="55"/>
      <c r="F209" s="224" t="s">
        <v>1149</v>
      </c>
      <c r="G209" s="55"/>
      <c r="J209" s="256">
        <v>2050</v>
      </c>
      <c r="K209" s="256"/>
      <c r="L209" s="1127">
        <f>1/SUMIFS(Transport!$AS$13:$AS$264,Transport!$D$13:$D$264,$B209,Transport!$E$13:$E$264,$A209,Transport!$A$13:$A$264,$J209)</f>
        <v>2.9956358502626648</v>
      </c>
      <c r="M209" s="256"/>
      <c r="N209" s="256"/>
      <c r="O209" s="1127">
        <f>SUMIFS(Transport!$AT$13:$AT$264,Transport!$D$13:$D$264,$B209,Transport!$E$13:$E$264,$A209,Transport!$A$13:$A$264,$J209)/1000*6.5</f>
        <v>28.800352543800432</v>
      </c>
      <c r="P209" s="254"/>
      <c r="Q209" s="254"/>
      <c r="R209" s="1126"/>
      <c r="S209" s="275"/>
      <c r="T209" s="228"/>
      <c r="U209" s="228"/>
      <c r="V209" s="228"/>
      <c r="W209" s="228"/>
      <c r="X209" s="55"/>
      <c r="Y209" s="55"/>
      <c r="Z209" s="55"/>
      <c r="AA209" s="55"/>
      <c r="AB209" s="55"/>
    </row>
    <row r="210" spans="1:28">
      <c r="A210" s="169" t="s">
        <v>2061</v>
      </c>
      <c r="B210" s="224" t="s">
        <v>2064</v>
      </c>
      <c r="D210" s="212" t="str">
        <f>"IND"&amp;RIGHT(H210,4)&amp;"ELC"&amp;"N"&amp;RIGHT(E210,1)</f>
        <v>INDLDTFELCN3</v>
      </c>
      <c r="E210" s="224" t="str">
        <f>"Industry "&amp;$AJ$12&amp;" "&amp;RIGHT(H210,2)&amp;" Tractors, Trucks, Fishing boats - New 3"</f>
        <v>Industry L TF Tractors, Trucks, Fishing boats - New 3</v>
      </c>
      <c r="F210" s="224" t="s">
        <v>1149</v>
      </c>
      <c r="G210" s="55" t="s">
        <v>499</v>
      </c>
      <c r="H210" s="174" t="str">
        <f>$AI$18</f>
        <v>ILDTF</v>
      </c>
      <c r="I210" s="174"/>
      <c r="J210" s="81">
        <v>2017</v>
      </c>
      <c r="K210" s="81">
        <v>2025</v>
      </c>
      <c r="L210" s="1127">
        <f>1/SUMIFS(Transport!$AS$13:$AS$264,Transport!$D$13:$D$264,$B210,Transport!$E$13:$E$264,$A210,Transport!$A$13:$A$264,$J210)</f>
        <v>3.2991956437648962</v>
      </c>
      <c r="M210" s="256"/>
      <c r="N210" s="256">
        <v>20</v>
      </c>
      <c r="O210" s="1127">
        <f>SUMIFS(Transport!$AT$13:$AT$264,Transport!$D$13:$D$264,$B210,Transport!$E$13:$E$264,$A210,Transport!$A$13:$A$264,$J210)/1000*6.5</f>
        <v>72.592990417868862</v>
      </c>
      <c r="P210" s="254"/>
      <c r="Q210" s="254"/>
      <c r="R210" s="1126">
        <v>1</v>
      </c>
      <c r="S210" s="1127">
        <v>1</v>
      </c>
      <c r="T210" s="228"/>
      <c r="U210" s="228"/>
      <c r="V210" s="228"/>
      <c r="W210" s="287"/>
      <c r="X210" s="55"/>
      <c r="Y210" s="55"/>
      <c r="Z210" s="55"/>
      <c r="AA210" s="55"/>
      <c r="AB210" s="55"/>
    </row>
    <row r="211" spans="1:28">
      <c r="A211" s="169" t="s">
        <v>2061</v>
      </c>
      <c r="B211" s="224" t="s">
        <v>2064</v>
      </c>
      <c r="D211" s="55"/>
      <c r="E211" s="55"/>
      <c r="F211" s="224" t="s">
        <v>1149</v>
      </c>
      <c r="G211" s="55"/>
      <c r="H211" s="174"/>
      <c r="I211" s="174"/>
      <c r="J211" s="256">
        <v>2017</v>
      </c>
      <c r="K211" s="256"/>
      <c r="L211" s="1127">
        <f>1/SUMIFS(Transport!$AS$13:$AS$264,Transport!$D$13:$D$264,$B211,Transport!$E$13:$E$264,$A211,Transport!$A$13:$A$264,$J211)</f>
        <v>3.2991956437648962</v>
      </c>
      <c r="M211" s="256"/>
      <c r="N211" s="256"/>
      <c r="O211" s="1127">
        <f>SUMIFS(Transport!$AT$13:$AT$264,Transport!$D$13:$D$264,$B211,Transport!$E$13:$E$264,$A211,Transport!$A$13:$A$264,$J211)/1000*6.5</f>
        <v>72.592990417868862</v>
      </c>
      <c r="P211" s="254"/>
      <c r="Q211" s="254"/>
      <c r="R211" s="201"/>
      <c r="S211" s="275"/>
      <c r="T211" s="228"/>
      <c r="U211" s="228"/>
      <c r="V211" s="228"/>
      <c r="W211" s="228"/>
      <c r="X211" s="55"/>
      <c r="Y211" s="55"/>
      <c r="Z211" s="55"/>
      <c r="AA211" s="55"/>
      <c r="AB211" s="55"/>
    </row>
    <row r="212" spans="1:28">
      <c r="A212" s="169" t="s">
        <v>2061</v>
      </c>
      <c r="B212" s="224" t="s">
        <v>2064</v>
      </c>
      <c r="D212" s="55"/>
      <c r="E212" s="55"/>
      <c r="F212" s="224" t="s">
        <v>1149</v>
      </c>
      <c r="G212" s="55"/>
      <c r="J212" s="256">
        <v>2030</v>
      </c>
      <c r="K212" s="256"/>
      <c r="L212" s="1127">
        <f>1/SUMIFS(Transport!$AS$13:$AS$264,Transport!$D$13:$D$264,$B212,Transport!$E$13:$E$264,$A212,Transport!$A$13:$A$264,$J212)</f>
        <v>3.2991956437648962</v>
      </c>
      <c r="M212" s="256"/>
      <c r="N212" s="256"/>
      <c r="O212" s="1127">
        <f>SUMIFS(Transport!$AT$13:$AT$264,Transport!$D$13:$D$264,$B212,Transport!$E$13:$E$264,$A212,Transport!$A$13:$A$264,$J212)/1000*6.5</f>
        <v>35.973025982850046</v>
      </c>
      <c r="P212" s="254"/>
      <c r="Q212" s="254"/>
      <c r="R212" s="201"/>
      <c r="S212" s="275"/>
      <c r="T212" s="228"/>
      <c r="U212" s="228"/>
      <c r="V212" s="228"/>
      <c r="W212" s="228"/>
      <c r="X212" s="55"/>
      <c r="Y212" s="55"/>
      <c r="Z212" s="55"/>
      <c r="AA212" s="55"/>
      <c r="AB212" s="55"/>
    </row>
    <row r="213" spans="1:28">
      <c r="A213" s="169" t="s">
        <v>2061</v>
      </c>
      <c r="B213" s="224" t="s">
        <v>2064</v>
      </c>
      <c r="D213" s="55"/>
      <c r="E213" s="55"/>
      <c r="F213" s="224" t="s">
        <v>1149</v>
      </c>
      <c r="G213" s="55"/>
      <c r="J213" s="256">
        <v>2050</v>
      </c>
      <c r="K213" s="256"/>
      <c r="L213" s="1127">
        <f>1/SUMIFS(Transport!$AS$13:$AS$264,Transport!$D$13:$D$264,$B213,Transport!$E$13:$E$264,$A213,Transport!$A$13:$A$264,$J213)</f>
        <v>3.2991956437648962</v>
      </c>
      <c r="M213" s="256"/>
      <c r="N213" s="256"/>
      <c r="O213" s="1127">
        <f>SUMIFS(Transport!$AT$13:$AT$264,Transport!$D$13:$D$264,$B213,Transport!$E$13:$E$264,$A213,Transport!$A$13:$A$264,$J213)/1000*6.5</f>
        <v>28.759134300809922</v>
      </c>
      <c r="P213" s="254"/>
      <c r="Q213" s="254"/>
      <c r="R213" s="201"/>
      <c r="S213" s="275"/>
      <c r="T213" s="228"/>
      <c r="U213" s="228"/>
      <c r="V213" s="228"/>
      <c r="W213" s="228"/>
      <c r="X213" s="55"/>
      <c r="Y213" s="55"/>
      <c r="Z213" s="55"/>
      <c r="AA213" s="55"/>
      <c r="AB213" s="55"/>
    </row>
    <row r="214" spans="1:28">
      <c r="A214" s="169"/>
      <c r="D214" s="212" t="str">
        <f>"IND"&amp;RIGHT(H214,4)&amp;RIGHT(G214,3)&amp;"N"&amp;RIGHT(E214,1)</f>
        <v>INDLDFLELCN1</v>
      </c>
      <c r="E214" s="224" t="str">
        <f>"Industry "&amp;$AJ$12&amp;" "&amp;RIGHT(H202,2)&amp;" Forklifts - New 1"</f>
        <v>Industry L TF Forklifts - New 1</v>
      </c>
      <c r="F214" s="224" t="s">
        <v>1149</v>
      </c>
      <c r="G214" s="173" t="s">
        <v>2128</v>
      </c>
      <c r="H214" s="224" t="str">
        <f>AI19</f>
        <v>ILDFL</v>
      </c>
      <c r="J214" s="81">
        <v>2011</v>
      </c>
      <c r="K214" s="81">
        <v>2011</v>
      </c>
      <c r="L214" s="256">
        <v>1</v>
      </c>
      <c r="M214" s="256"/>
      <c r="N214" s="256">
        <v>10</v>
      </c>
      <c r="O214" s="254"/>
      <c r="P214" s="254"/>
      <c r="Q214" s="254"/>
      <c r="R214" s="201"/>
      <c r="S214" s="275">
        <v>0.9</v>
      </c>
      <c r="T214" s="228"/>
      <c r="U214" s="228"/>
      <c r="V214" s="228"/>
      <c r="W214" s="228"/>
      <c r="X214" s="55"/>
      <c r="Y214" s="55"/>
      <c r="Z214" s="55"/>
      <c r="AA214" s="55"/>
      <c r="AB214" s="55"/>
    </row>
    <row r="215" spans="1:28">
      <c r="A215" s="169"/>
      <c r="D215" s="55"/>
      <c r="E215" s="55"/>
      <c r="F215" s="224" t="s">
        <v>1149</v>
      </c>
      <c r="G215" s="55"/>
      <c r="H215" s="174"/>
      <c r="I215" s="174"/>
      <c r="J215" s="256">
        <v>2020</v>
      </c>
      <c r="K215" s="256"/>
      <c r="L215" s="256"/>
      <c r="M215" s="256"/>
      <c r="N215" s="257"/>
      <c r="O215" s="61"/>
      <c r="P215" s="61"/>
      <c r="Q215" s="61"/>
      <c r="R215" s="61"/>
      <c r="S215" s="276"/>
      <c r="T215" s="55"/>
      <c r="U215" s="55"/>
      <c r="V215" s="55"/>
      <c r="W215" s="55"/>
      <c r="X215" s="55"/>
      <c r="Y215" s="55"/>
      <c r="Z215" s="55"/>
      <c r="AA215" s="55"/>
      <c r="AB215" s="55"/>
    </row>
    <row r="216" spans="1:28">
      <c r="A216" s="169"/>
      <c r="D216" s="55"/>
      <c r="E216" s="55"/>
      <c r="F216" s="224" t="s">
        <v>1149</v>
      </c>
      <c r="G216" s="55"/>
      <c r="J216" s="256">
        <v>2030</v>
      </c>
      <c r="K216" s="256"/>
      <c r="L216" s="256"/>
      <c r="M216" s="256"/>
      <c r="N216" s="257"/>
      <c r="O216" s="61"/>
      <c r="P216" s="61"/>
      <c r="Q216" s="61"/>
      <c r="R216" s="61"/>
      <c r="S216" s="276"/>
      <c r="T216" s="55"/>
      <c r="U216" s="55"/>
      <c r="V216" s="55"/>
      <c r="W216" s="55"/>
      <c r="X216" s="55"/>
      <c r="Y216" s="55"/>
      <c r="Z216" s="55"/>
      <c r="AA216" s="55"/>
      <c r="AB216" s="55"/>
    </row>
    <row r="217" spans="1:28">
      <c r="A217" s="169"/>
      <c r="D217" s="55"/>
      <c r="E217" s="55"/>
      <c r="F217" s="224" t="s">
        <v>1149</v>
      </c>
      <c r="G217" s="55"/>
      <c r="H217" s="174"/>
      <c r="I217" s="174"/>
      <c r="J217" s="256">
        <v>2050</v>
      </c>
      <c r="K217" s="256"/>
      <c r="L217" s="256"/>
      <c r="M217" s="256"/>
      <c r="N217" s="257"/>
      <c r="O217" s="61"/>
      <c r="P217" s="61"/>
      <c r="Q217" s="61"/>
      <c r="R217" s="61"/>
      <c r="S217" s="276"/>
      <c r="T217" s="55"/>
      <c r="U217" s="55"/>
      <c r="V217" s="55"/>
      <c r="W217" s="55"/>
      <c r="X217" s="55"/>
      <c r="Y217" s="55"/>
      <c r="Z217" s="55"/>
      <c r="AA217" s="55"/>
      <c r="AB217" s="55"/>
    </row>
    <row r="218" spans="1:28">
      <c r="A218" s="169" t="s">
        <v>2107</v>
      </c>
      <c r="D218" s="212" t="str">
        <f>"IND"&amp;RIGHT(H218,4)&amp;RIGHT(G218,3)&amp;"N"&amp;RIGHT(E218,1)</f>
        <v>INDLDCOELCN1</v>
      </c>
      <c r="E218" s="224" t="str">
        <f>"Industry "&amp;$AJ$12&amp;" "&amp;RIGHT(H218,2)&amp;" Cooling - New 1"</f>
        <v>Industry L CO Cooling - New 1</v>
      </c>
      <c r="F218" s="224" t="s">
        <v>1149</v>
      </c>
      <c r="G218" s="173" t="s">
        <v>499</v>
      </c>
      <c r="H218" s="224" t="str">
        <f>AI21</f>
        <v>ILDCO</v>
      </c>
      <c r="J218" s="82">
        <v>2015</v>
      </c>
      <c r="K218" s="82">
        <v>2015</v>
      </c>
      <c r="L218" s="1128">
        <v>1</v>
      </c>
      <c r="M218" s="1129"/>
      <c r="N218" s="1129">
        <v>12</v>
      </c>
      <c r="O218" s="1130">
        <v>3.3525</v>
      </c>
      <c r="P218" s="1131">
        <v>0.31662500000000005</v>
      </c>
      <c r="Q218" s="1131"/>
      <c r="R218" s="1132">
        <v>3.1536000000000002E-2</v>
      </c>
      <c r="S218" s="1133">
        <v>8.3999999999999991E-2</v>
      </c>
    </row>
    <row r="219" spans="1:28">
      <c r="A219" s="169"/>
      <c r="F219" s="224" t="s">
        <v>1149</v>
      </c>
      <c r="H219" s="173"/>
      <c r="I219" s="173"/>
      <c r="J219" s="1129">
        <v>2020</v>
      </c>
      <c r="K219" s="1129"/>
      <c r="L219" s="1128">
        <v>1</v>
      </c>
      <c r="M219" s="1129"/>
      <c r="N219" s="257">
        <v>12</v>
      </c>
      <c r="O219" s="61">
        <v>3.1662499999999998</v>
      </c>
      <c r="P219" s="61">
        <v>0.30110722454958749</v>
      </c>
      <c r="Q219" s="61"/>
      <c r="R219" s="61">
        <v>3.1536000000000002E-2</v>
      </c>
      <c r="S219" s="276">
        <v>8.3999999999999991E-2</v>
      </c>
    </row>
    <row r="220" spans="1:28">
      <c r="A220" s="169"/>
      <c r="F220" s="224" t="s">
        <v>1149</v>
      </c>
      <c r="J220" s="1129">
        <v>2030</v>
      </c>
      <c r="K220" s="1129"/>
      <c r="L220" s="1128">
        <v>1</v>
      </c>
      <c r="M220" s="1129"/>
      <c r="N220" s="257">
        <v>12</v>
      </c>
      <c r="O220" s="61">
        <v>3.1662499999999998</v>
      </c>
      <c r="P220" s="61">
        <v>0.30110722454958749</v>
      </c>
      <c r="Q220" s="61"/>
      <c r="R220" s="61">
        <v>3.1536000000000002E-2</v>
      </c>
      <c r="S220" s="276">
        <v>8.3999999999999991E-2</v>
      </c>
    </row>
    <row r="221" spans="1:28">
      <c r="A221" s="169"/>
      <c r="F221" s="224" t="s">
        <v>1149</v>
      </c>
      <c r="H221" s="173"/>
      <c r="I221" s="173"/>
      <c r="J221" s="1129">
        <v>2050</v>
      </c>
      <c r="K221" s="1129"/>
      <c r="L221" s="1128">
        <v>1</v>
      </c>
      <c r="M221" s="1129"/>
      <c r="N221" s="257">
        <v>12</v>
      </c>
      <c r="O221" s="61">
        <v>3.1662499999999998</v>
      </c>
      <c r="P221" s="61">
        <v>0.30110722454958749</v>
      </c>
      <c r="Q221" s="61"/>
      <c r="R221" s="61">
        <v>3.1536000000000002E-2</v>
      </c>
      <c r="S221" s="276">
        <v>8.3999999999999991E-2</v>
      </c>
    </row>
    <row r="222" spans="1:28">
      <c r="A222" s="169"/>
    </row>
    <row r="223" spans="1:28">
      <c r="A223" s="169"/>
    </row>
    <row r="224" spans="1:28">
      <c r="A224" s="169"/>
    </row>
    <row r="225" spans="1:10">
      <c r="A225" s="169"/>
    </row>
    <row r="226" spans="1:10">
      <c r="A226" s="169"/>
      <c r="C226" s="207" t="s">
        <v>467</v>
      </c>
      <c r="D226" s="208"/>
      <c r="E226" s="208"/>
      <c r="F226" s="208"/>
      <c r="G226" s="208"/>
      <c r="H226" s="208"/>
      <c r="I226" s="208"/>
      <c r="J226" s="208"/>
    </row>
    <row r="227" spans="1:10">
      <c r="A227" s="169"/>
      <c r="C227" s="209" t="s">
        <v>466</v>
      </c>
      <c r="D227" s="209" t="s">
        <v>425</v>
      </c>
      <c r="E227" s="209" t="s">
        <v>465</v>
      </c>
      <c r="F227" s="209" t="s">
        <v>464</v>
      </c>
      <c r="G227" s="209" t="s">
        <v>463</v>
      </c>
      <c r="H227" s="209" t="s">
        <v>462</v>
      </c>
      <c r="I227" s="209" t="s">
        <v>461</v>
      </c>
      <c r="J227" s="209" t="s">
        <v>460</v>
      </c>
    </row>
    <row r="228" spans="1:10" ht="25" thickBot="1">
      <c r="A228" s="169"/>
      <c r="C228" s="210" t="s">
        <v>459</v>
      </c>
      <c r="D228" s="210" t="s">
        <v>458</v>
      </c>
      <c r="E228" s="210" t="s">
        <v>457</v>
      </c>
      <c r="F228" s="210" t="s">
        <v>456</v>
      </c>
      <c r="G228" s="210" t="s">
        <v>455</v>
      </c>
      <c r="H228" s="210" t="s">
        <v>454</v>
      </c>
      <c r="I228" s="210" t="s">
        <v>453</v>
      </c>
      <c r="J228" s="210" t="s">
        <v>452</v>
      </c>
    </row>
    <row r="229" spans="1:10">
      <c r="A229" s="169"/>
      <c r="C229" s="211" t="s">
        <v>504</v>
      </c>
      <c r="D229" s="212" t="str">
        <f>D9</f>
        <v>INDLDPHELCN1</v>
      </c>
      <c r="E229" s="212" t="str">
        <f t="shared" ref="E229:E260" si="265">VLOOKUP(D229,$D$9:$E$222,2,FALSE)</f>
        <v>Industrial heating technology L PH - Heat pump utilizing waste heat - new 1</v>
      </c>
      <c r="F229" s="211" t="s">
        <v>450</v>
      </c>
      <c r="G229" s="211" t="s">
        <v>449</v>
      </c>
      <c r="H229" s="263" t="s">
        <v>620</v>
      </c>
      <c r="I229" s="301"/>
      <c r="J229" s="208" t="s">
        <v>469</v>
      </c>
    </row>
    <row r="230" spans="1:10">
      <c r="A230" s="169"/>
      <c r="B230" s="301"/>
      <c r="C230" s="301"/>
      <c r="D230" s="212" t="str">
        <f t="shared" ref="D230:D238" ca="1" si="266">OFFSET($D$9,(ROW(D1)*6),0)</f>
        <v>INDLDSHELCN1</v>
      </c>
      <c r="E230" s="212" t="str">
        <f t="shared" ca="1" si="265"/>
        <v>Industrial heating technology L SH - Heat pump utilizing waste heat - new 1</v>
      </c>
      <c r="F230" s="262" t="s">
        <v>450</v>
      </c>
      <c r="G230" s="262" t="s">
        <v>449</v>
      </c>
      <c r="H230" s="263" t="s">
        <v>620</v>
      </c>
      <c r="I230" s="301"/>
      <c r="J230" s="264" t="s">
        <v>469</v>
      </c>
    </row>
    <row r="231" spans="1:10">
      <c r="A231" s="169"/>
      <c r="D231" s="212" t="str">
        <f t="shared" ca="1" si="266"/>
        <v>INDLDPHELCN2</v>
      </c>
      <c r="E231" s="212" t="str">
        <f t="shared" ca="1" si="265"/>
        <v>Industrial heating technology L PH - Heat driven heat pump utilizing waste heat - new 2</v>
      </c>
      <c r="F231" s="211" t="s">
        <v>450</v>
      </c>
      <c r="G231" s="211" t="s">
        <v>449</v>
      </c>
      <c r="H231" s="263" t="s">
        <v>620</v>
      </c>
      <c r="I231" s="208"/>
      <c r="J231" s="264" t="s">
        <v>469</v>
      </c>
    </row>
    <row r="232" spans="1:10">
      <c r="A232" s="169"/>
      <c r="B232" s="211"/>
      <c r="C232" s="211"/>
      <c r="D232" s="212" t="str">
        <f t="shared" ca="1" si="266"/>
        <v>INDLDSHELCN2</v>
      </c>
      <c r="E232" s="212" t="str">
        <f t="shared" ca="1" si="265"/>
        <v>Industrial heating technology L SH - Heat driven heat pump utilizing waste heat - new 2</v>
      </c>
      <c r="F232" s="262" t="s">
        <v>450</v>
      </c>
      <c r="G232" s="262" t="s">
        <v>449</v>
      </c>
      <c r="H232" s="263" t="s">
        <v>620</v>
      </c>
      <c r="I232" s="264"/>
      <c r="J232" s="264" t="s">
        <v>469</v>
      </c>
    </row>
    <row r="233" spans="1:10">
      <c r="A233" s="169"/>
      <c r="B233" s="211"/>
      <c r="C233" s="211"/>
      <c r="D233" s="212" t="str">
        <f t="shared" ca="1" si="266"/>
        <v>INDLDPHELCN3</v>
      </c>
      <c r="E233" s="212" t="str">
        <f t="shared" ca="1" si="265"/>
        <v>Industrial heating technology L PH - High Temp abs. Heat pump utilizing waste heat - new 3</v>
      </c>
      <c r="F233" s="262" t="s">
        <v>450</v>
      </c>
      <c r="G233" s="262" t="s">
        <v>449</v>
      </c>
      <c r="H233" s="263" t="s">
        <v>620</v>
      </c>
      <c r="I233" s="264"/>
      <c r="J233" s="264" t="s">
        <v>469</v>
      </c>
    </row>
    <row r="234" spans="1:10">
      <c r="A234" s="169"/>
      <c r="B234" s="211"/>
      <c r="C234" s="211"/>
      <c r="D234" s="212" t="str">
        <f t="shared" ca="1" si="266"/>
        <v>INDLDSHELCN3</v>
      </c>
      <c r="E234" s="212" t="str">
        <f t="shared" ca="1" si="265"/>
        <v>Industrial heating technology L SH - High Temp abs. Heat pump utilizing waste heat - new 3</v>
      </c>
      <c r="F234" s="262" t="s">
        <v>450</v>
      </c>
      <c r="G234" s="262" t="s">
        <v>449</v>
      </c>
      <c r="H234" s="263" t="s">
        <v>620</v>
      </c>
      <c r="I234" s="264"/>
      <c r="J234" s="264" t="s">
        <v>469</v>
      </c>
    </row>
    <row r="235" spans="1:10">
      <c r="A235" s="169"/>
      <c r="B235" s="211"/>
      <c r="C235" s="211"/>
      <c r="D235" s="212" t="str">
        <f t="shared" ca="1" si="266"/>
        <v>INDLDPHELCN4</v>
      </c>
      <c r="E235" s="212" t="str">
        <f t="shared" ca="1" si="265"/>
        <v>Industrial heating technology L PH - Booster Heat pump utilizing waste heat - new 4</v>
      </c>
      <c r="F235" s="262" t="s">
        <v>450</v>
      </c>
      <c r="G235" s="262" t="s">
        <v>449</v>
      </c>
      <c r="H235" s="263" t="s">
        <v>620</v>
      </c>
      <c r="I235" s="264"/>
      <c r="J235" s="264" t="s">
        <v>469</v>
      </c>
    </row>
    <row r="236" spans="1:10">
      <c r="A236" s="169"/>
      <c r="B236" s="211"/>
      <c r="C236" s="211"/>
      <c r="D236" s="212" t="str">
        <f t="shared" ca="1" si="266"/>
        <v>INDLDSHELCN4</v>
      </c>
      <c r="E236" s="212" t="str">
        <f t="shared" ca="1" si="265"/>
        <v>Industrial heating technology L SH - Booster Heat pump utilizing waste heat - new 4</v>
      </c>
      <c r="F236" s="262" t="s">
        <v>450</v>
      </c>
      <c r="G236" s="262" t="s">
        <v>449</v>
      </c>
      <c r="H236" s="263" t="s">
        <v>620</v>
      </c>
      <c r="I236" s="264"/>
      <c r="J236" s="264" t="s">
        <v>469</v>
      </c>
    </row>
    <row r="237" spans="1:10">
      <c r="A237" s="169"/>
      <c r="B237" s="211"/>
      <c r="C237" s="211"/>
      <c r="D237" s="212" t="str">
        <f t="shared" ca="1" si="266"/>
        <v>INDLDPHELCN5</v>
      </c>
      <c r="E237" s="212" t="str">
        <f t="shared" ca="1" si="265"/>
        <v>Industrial heating technology L PH - MVR utilizing waste heat - new 5</v>
      </c>
      <c r="F237" s="262" t="s">
        <v>450</v>
      </c>
      <c r="G237" s="262" t="s">
        <v>449</v>
      </c>
      <c r="H237" s="263"/>
      <c r="I237" s="264"/>
      <c r="J237" s="264" t="s">
        <v>469</v>
      </c>
    </row>
    <row r="238" spans="1:10">
      <c r="A238" s="169"/>
      <c r="B238" s="211"/>
      <c r="C238" s="211"/>
      <c r="D238" s="212" t="str">
        <f t="shared" ca="1" si="266"/>
        <v>INDLDPHWSTN1</v>
      </c>
      <c r="E238" s="212" t="str">
        <f t="shared" ca="1" si="265"/>
        <v>Industrial heating technology L PH - Hotdisc - new 1</v>
      </c>
      <c r="F238" s="262" t="s">
        <v>450</v>
      </c>
      <c r="G238" s="262" t="s">
        <v>449</v>
      </c>
      <c r="H238" s="263" t="s">
        <v>620</v>
      </c>
      <c r="I238" s="264"/>
      <c r="J238" s="264" t="s">
        <v>469</v>
      </c>
    </row>
    <row r="239" spans="1:10">
      <c r="A239" s="169"/>
      <c r="B239" s="211"/>
      <c r="C239" s="211"/>
      <c r="D239" s="212" t="str">
        <f t="shared" ref="D239:D278" ca="1" si="267">OFFSET($D$9,(ROW(D19)*3),0)</f>
        <v>INDLDPHELCN6</v>
      </c>
      <c r="E239" s="212" t="str">
        <f t="shared" ca="1" si="265"/>
        <v>Industrial heating technology L PH - Dielectric heating - new 6</v>
      </c>
      <c r="F239" s="262" t="s">
        <v>450</v>
      </c>
      <c r="G239" s="262" t="s">
        <v>449</v>
      </c>
      <c r="H239" s="263" t="s">
        <v>620</v>
      </c>
      <c r="I239" s="264"/>
      <c r="J239" s="264" t="s">
        <v>469</v>
      </c>
    </row>
    <row r="240" spans="1:10">
      <c r="A240" s="169"/>
      <c r="B240" s="211"/>
      <c r="C240" s="211"/>
      <c r="D240" s="212" t="str">
        <f t="shared" ca="1" si="267"/>
        <v>INDLDPHELCN7</v>
      </c>
      <c r="E240" s="212" t="str">
        <f t="shared" ca="1" si="265"/>
        <v>Industrial heating technology L PH - Infrared heating - new 7</v>
      </c>
      <c r="F240" s="262" t="s">
        <v>450</v>
      </c>
      <c r="G240" s="262" t="s">
        <v>449</v>
      </c>
      <c r="H240" s="263" t="s">
        <v>620</v>
      </c>
      <c r="I240" s="264"/>
      <c r="J240" s="264" t="s">
        <v>469</v>
      </c>
    </row>
    <row r="241" spans="1:16">
      <c r="A241" s="169"/>
      <c r="B241" s="211"/>
      <c r="C241" s="211"/>
      <c r="D241" s="212" t="str">
        <f t="shared" ca="1" si="267"/>
        <v>INDLDPHELCN8</v>
      </c>
      <c r="E241" s="212" t="str">
        <f t="shared" ca="1" si="265"/>
        <v>Industrial heating technology L PH - Electric boiler (Steam) - new 8</v>
      </c>
      <c r="F241" s="262" t="s">
        <v>450</v>
      </c>
      <c r="G241" s="262" t="s">
        <v>449</v>
      </c>
      <c r="H241" s="263" t="s">
        <v>620</v>
      </c>
      <c r="I241" s="264"/>
      <c r="J241" s="264" t="s">
        <v>469</v>
      </c>
    </row>
    <row r="242" spans="1:16">
      <c r="A242" s="169"/>
      <c r="B242" s="211"/>
      <c r="C242" s="211"/>
      <c r="D242" s="212" t="str">
        <f t="shared" ca="1" si="267"/>
        <v>INDLDPHELCN8</v>
      </c>
      <c r="E242" s="212" t="str">
        <f t="shared" ca="1" si="265"/>
        <v>Industrial heating technology L PH - Electric boiler (Steam) - new 8</v>
      </c>
      <c r="F242" s="262" t="s">
        <v>450</v>
      </c>
      <c r="G242" s="262" t="s">
        <v>449</v>
      </c>
      <c r="H242" s="263" t="s">
        <v>620</v>
      </c>
      <c r="I242" s="264"/>
      <c r="J242" s="264" t="s">
        <v>469</v>
      </c>
    </row>
    <row r="243" spans="1:16">
      <c r="A243" s="169"/>
      <c r="B243" s="211"/>
      <c r="C243" s="211"/>
      <c r="D243" s="212" t="str">
        <f t="shared" ca="1" si="267"/>
        <v>INDLDSHELCN8</v>
      </c>
      <c r="E243" s="212" t="str">
        <f t="shared" ca="1" si="265"/>
        <v>Industrial heating technology L SH - Electric boiler (Steam) - new 8</v>
      </c>
      <c r="F243" s="262" t="s">
        <v>450</v>
      </c>
      <c r="G243" s="262" t="s">
        <v>449</v>
      </c>
      <c r="H243" s="263" t="s">
        <v>620</v>
      </c>
      <c r="I243" s="264"/>
      <c r="J243" s="264" t="s">
        <v>469</v>
      </c>
      <c r="P243" s="173"/>
    </row>
    <row r="244" spans="1:16">
      <c r="A244" s="169"/>
      <c r="B244" s="211"/>
      <c r="C244" s="211"/>
      <c r="D244" s="212" t="str">
        <f t="shared" ca="1" si="267"/>
        <v>INDLDPHELCN9</v>
      </c>
      <c r="E244" s="212" t="str">
        <f t="shared" ca="1" si="265"/>
        <v>Industrial heating technology L PH - Electric boiler (Hot Water) - new 9</v>
      </c>
      <c r="F244" s="262" t="s">
        <v>450</v>
      </c>
      <c r="G244" s="262" t="s">
        <v>449</v>
      </c>
      <c r="H244" s="263" t="s">
        <v>620</v>
      </c>
      <c r="I244" s="264"/>
      <c r="J244" s="264" t="s">
        <v>469</v>
      </c>
      <c r="P244" s="173"/>
    </row>
    <row r="245" spans="1:16">
      <c r="A245" s="169"/>
      <c r="B245" s="211"/>
      <c r="C245" s="211"/>
      <c r="D245" s="212" t="str">
        <f t="shared" ca="1" si="267"/>
        <v>INDLDSHELCN9</v>
      </c>
      <c r="E245" s="212" t="str">
        <f t="shared" ca="1" si="265"/>
        <v>Industrial heating technology L SH - Electric boiler (Hot Water) - new 9</v>
      </c>
      <c r="F245" s="262" t="s">
        <v>450</v>
      </c>
      <c r="G245" s="262" t="s">
        <v>449</v>
      </c>
      <c r="H245" s="263" t="s">
        <v>620</v>
      </c>
      <c r="I245" s="264"/>
      <c r="J245" s="264" t="s">
        <v>469</v>
      </c>
      <c r="P245" s="173"/>
    </row>
    <row r="246" spans="1:16">
      <c r="A246" s="169"/>
      <c r="B246" s="211"/>
      <c r="C246" s="211"/>
      <c r="D246" s="212" t="str">
        <f t="shared" ca="1" si="267"/>
        <v>INDLDPHWCHN1</v>
      </c>
      <c r="E246" s="212" t="str">
        <f t="shared" ca="1" si="265"/>
        <v>Industrial heating technology L PH - Wood chip boiler (Steam) - new 1</v>
      </c>
      <c r="F246" s="262" t="s">
        <v>450</v>
      </c>
      <c r="G246" s="262" t="s">
        <v>449</v>
      </c>
      <c r="H246" s="263"/>
      <c r="I246" s="264"/>
      <c r="J246" s="264" t="s">
        <v>469</v>
      </c>
      <c r="P246" s="173"/>
    </row>
    <row r="247" spans="1:16">
      <c r="A247" s="169"/>
      <c r="B247" s="211"/>
      <c r="C247" s="211"/>
      <c r="D247" s="212" t="str">
        <f t="shared" ca="1" si="267"/>
        <v>INDLDPHWCHN1</v>
      </c>
      <c r="E247" s="212" t="str">
        <f t="shared" ca="1" si="265"/>
        <v>Industrial heating technology L PH - Wood chip boiler (Steam) - new 1</v>
      </c>
      <c r="F247" s="262" t="s">
        <v>450</v>
      </c>
      <c r="G247" s="262" t="s">
        <v>449</v>
      </c>
      <c r="H247" s="263"/>
      <c r="I247" s="264"/>
      <c r="J247" s="264" t="s">
        <v>469</v>
      </c>
      <c r="M247" s="171"/>
      <c r="N247" s="171"/>
      <c r="P247" s="173"/>
    </row>
    <row r="248" spans="1:16">
      <c r="A248" s="169"/>
      <c r="B248" s="211"/>
      <c r="C248" s="211"/>
      <c r="D248" s="212" t="str">
        <f t="shared" ca="1" si="267"/>
        <v>INDLDSHWCHN1</v>
      </c>
      <c r="E248" s="212" t="str">
        <f t="shared" ca="1" si="265"/>
        <v>Industrial heating technology L SH - Wood chip boiler (Steam) - new 1</v>
      </c>
      <c r="F248" s="262" t="s">
        <v>450</v>
      </c>
      <c r="G248" s="262" t="s">
        <v>449</v>
      </c>
      <c r="H248" s="263"/>
      <c r="I248" s="264"/>
      <c r="J248" s="264" t="s">
        <v>469</v>
      </c>
      <c r="M248" s="171"/>
      <c r="N248" s="171"/>
      <c r="P248" s="173"/>
    </row>
    <row r="249" spans="1:16">
      <c r="A249" s="169"/>
      <c r="B249" s="211"/>
      <c r="C249" s="211"/>
      <c r="D249" s="212" t="str">
        <f t="shared" ca="1" si="267"/>
        <v>INDLDPHWCHN2</v>
      </c>
      <c r="E249" s="212" t="str">
        <f t="shared" ca="1" si="265"/>
        <v>Industrial heating technology L PH - Wood chip boiler (Steam - condensing) - new 2</v>
      </c>
      <c r="F249" s="262" t="s">
        <v>450</v>
      </c>
      <c r="G249" s="262" t="s">
        <v>449</v>
      </c>
      <c r="H249" s="263"/>
      <c r="I249" s="264"/>
      <c r="J249" s="264" t="s">
        <v>469</v>
      </c>
      <c r="M249" s="171"/>
      <c r="N249" s="171"/>
      <c r="P249" s="173"/>
    </row>
    <row r="250" spans="1:16">
      <c r="A250" s="169"/>
      <c r="B250" s="212"/>
      <c r="C250" s="212"/>
      <c r="D250" s="212" t="str">
        <f t="shared" ca="1" si="267"/>
        <v>INDLDSHWCHN2</v>
      </c>
      <c r="E250" s="212" t="str">
        <f t="shared" ca="1" si="265"/>
        <v>Industrial heating technology L SH - Wood chip boiler (Steam - condensing) - new 2</v>
      </c>
      <c r="F250" s="262" t="s">
        <v>450</v>
      </c>
      <c r="G250" s="262" t="s">
        <v>449</v>
      </c>
      <c r="H250" s="263"/>
      <c r="I250" s="264"/>
      <c r="J250" s="264" t="s">
        <v>469</v>
      </c>
    </row>
    <row r="251" spans="1:16">
      <c r="A251" s="169"/>
      <c r="B251" s="212"/>
      <c r="C251" s="212"/>
      <c r="D251" s="212" t="str">
        <f t="shared" ca="1" si="267"/>
        <v>INDLDPHWCHN3</v>
      </c>
      <c r="E251" s="212" t="str">
        <f t="shared" ca="1" si="265"/>
        <v>Industrial heating technology L PH - Wood chip boiler (Hot Water) - new 3</v>
      </c>
      <c r="F251" s="262" t="s">
        <v>450</v>
      </c>
      <c r="G251" s="262" t="s">
        <v>449</v>
      </c>
      <c r="H251" s="261"/>
      <c r="I251" s="261"/>
      <c r="J251" s="264" t="s">
        <v>469</v>
      </c>
    </row>
    <row r="252" spans="1:16">
      <c r="A252" s="169"/>
      <c r="B252" s="212"/>
      <c r="C252" s="212"/>
      <c r="D252" s="212" t="str">
        <f t="shared" ca="1" si="267"/>
        <v>INDLDSHWCHN3</v>
      </c>
      <c r="E252" s="212" t="str">
        <f t="shared" ca="1" si="265"/>
        <v>Industrial heating technology L SH - Wood chip boiler (Hot Water) - new 3</v>
      </c>
      <c r="F252" s="262" t="s">
        <v>450</v>
      </c>
      <c r="G252" s="262" t="s">
        <v>449</v>
      </c>
      <c r="H252" s="261"/>
      <c r="I252" s="261"/>
      <c r="J252" s="264" t="s">
        <v>469</v>
      </c>
    </row>
    <row r="253" spans="1:16">
      <c r="A253" s="169"/>
      <c r="B253" s="212"/>
      <c r="C253" s="212"/>
      <c r="D253" s="212" t="str">
        <f t="shared" ca="1" si="267"/>
        <v>INDLDPHWCHN4</v>
      </c>
      <c r="E253" s="212" t="str">
        <f t="shared" ca="1" si="265"/>
        <v>Industrial heating technology L PH - Wood chip boiler (Hot Water - condensing) - new 4</v>
      </c>
      <c r="F253" s="262" t="s">
        <v>450</v>
      </c>
      <c r="G253" s="262" t="s">
        <v>449</v>
      </c>
      <c r="H253" s="261"/>
      <c r="I253" s="261"/>
      <c r="J253" s="264" t="s">
        <v>469</v>
      </c>
    </row>
    <row r="254" spans="1:16">
      <c r="A254" s="169"/>
      <c r="B254" s="212"/>
      <c r="C254" s="212"/>
      <c r="D254" s="212" t="str">
        <f t="shared" ca="1" si="267"/>
        <v>INDLDSHWCHN4</v>
      </c>
      <c r="E254" s="212" t="str">
        <f t="shared" ca="1" si="265"/>
        <v>Industrial heating technology L SH - Wood chip boiler (Hot Water- condensing) - new 4</v>
      </c>
      <c r="F254" s="262" t="s">
        <v>450</v>
      </c>
      <c r="G254" s="262" t="s">
        <v>449</v>
      </c>
      <c r="H254" s="261"/>
      <c r="I254" s="261"/>
      <c r="J254" s="264" t="s">
        <v>469</v>
      </c>
    </row>
    <row r="255" spans="1:16">
      <c r="B255" s="212"/>
      <c r="C255" s="212"/>
      <c r="D255" s="212" t="str">
        <f t="shared" ca="1" si="267"/>
        <v>INDLDPHELCN10</v>
      </c>
      <c r="E255" s="212" t="str">
        <f t="shared" ca="1" si="265"/>
        <v>Industrial heating technology L PH - Direct electric heating - new 10</v>
      </c>
      <c r="F255" s="262" t="s">
        <v>450</v>
      </c>
      <c r="G255" s="262" t="s">
        <v>449</v>
      </c>
      <c r="H255" s="261"/>
      <c r="I255" s="261"/>
      <c r="J255" s="264" t="s">
        <v>469</v>
      </c>
    </row>
    <row r="256" spans="1:16">
      <c r="B256" s="212"/>
      <c r="C256" s="212"/>
      <c r="D256" s="212" t="str">
        <f t="shared" ca="1" si="267"/>
        <v>INDLDPHELCN10</v>
      </c>
      <c r="E256" s="212" t="str">
        <f t="shared" ca="1" si="265"/>
        <v>Industrial heating technology L PH - Direct electric heating - new 10</v>
      </c>
      <c r="F256" s="262" t="s">
        <v>450</v>
      </c>
      <c r="G256" s="262" t="s">
        <v>449</v>
      </c>
      <c r="H256" s="261"/>
      <c r="I256" s="261"/>
      <c r="J256" s="264" t="s">
        <v>469</v>
      </c>
    </row>
    <row r="257" spans="1:10">
      <c r="B257" s="212"/>
      <c r="C257" s="212"/>
      <c r="D257" s="212" t="str">
        <f t="shared" ca="1" si="267"/>
        <v>INDLDPHDSLN1</v>
      </c>
      <c r="E257" s="212" t="str">
        <f t="shared" ca="1" si="265"/>
        <v>Industrial heating technology L PH - Oil boiler (Steam) - new 1</v>
      </c>
      <c r="F257" s="262" t="s">
        <v>450</v>
      </c>
      <c r="G257" s="262" t="s">
        <v>449</v>
      </c>
      <c r="H257" s="261"/>
      <c r="I257" s="261"/>
      <c r="J257" s="264" t="s">
        <v>469</v>
      </c>
    </row>
    <row r="258" spans="1:10">
      <c r="B258" s="212"/>
      <c r="C258" s="212"/>
      <c r="D258" s="212" t="str">
        <f t="shared" ca="1" si="267"/>
        <v>INDLDPHDSLN1</v>
      </c>
      <c r="E258" s="212" t="str">
        <f t="shared" ca="1" si="265"/>
        <v>Industrial heating technology L PH - Oil boiler (Steam) - new 1</v>
      </c>
      <c r="F258" s="262" t="s">
        <v>450</v>
      </c>
      <c r="G258" s="262" t="s">
        <v>449</v>
      </c>
      <c r="H258" s="261"/>
      <c r="I258" s="261"/>
      <c r="J258" s="264" t="s">
        <v>469</v>
      </c>
    </row>
    <row r="259" spans="1:10">
      <c r="B259" s="212"/>
      <c r="C259" s="212"/>
      <c r="D259" s="212" t="str">
        <f t="shared" ca="1" si="267"/>
        <v>INDLDSHDSLN1</v>
      </c>
      <c r="E259" s="212" t="str">
        <f t="shared" ca="1" si="265"/>
        <v>Industrial heating technology L SH - Oil boiler (Steam) - new 1</v>
      </c>
      <c r="F259" s="262" t="s">
        <v>450</v>
      </c>
      <c r="G259" s="262" t="s">
        <v>449</v>
      </c>
      <c r="H259" s="261"/>
      <c r="I259" s="261"/>
      <c r="J259" s="264" t="s">
        <v>469</v>
      </c>
    </row>
    <row r="260" spans="1:10">
      <c r="A260" s="214"/>
      <c r="B260" s="212"/>
      <c r="C260" s="212"/>
      <c r="D260" s="212" t="str">
        <f t="shared" ca="1" si="267"/>
        <v>INDLDPHDSLN2</v>
      </c>
      <c r="E260" s="212" t="str">
        <f t="shared" ca="1" si="265"/>
        <v>Industrial heating technology L PH - Oil boiler (Steam - condensing) - new 2</v>
      </c>
      <c r="F260" s="262" t="s">
        <v>450</v>
      </c>
      <c r="G260" s="262" t="s">
        <v>449</v>
      </c>
      <c r="H260" s="261"/>
      <c r="I260" s="261"/>
      <c r="J260" s="264" t="s">
        <v>469</v>
      </c>
    </row>
    <row r="261" spans="1:10">
      <c r="A261" s="214"/>
      <c r="B261" s="212"/>
      <c r="C261" s="212"/>
      <c r="D261" s="212" t="str">
        <f t="shared" ca="1" si="267"/>
        <v>INDLDSHDSLN2</v>
      </c>
      <c r="E261" s="212" t="str">
        <f t="shared" ref="E261:E290" ca="1" si="268">VLOOKUP(D261,$D$9:$E$222,2,FALSE)</f>
        <v>Industrial heating technology L SH - Oil boiler (Steam - condensing) - new 2</v>
      </c>
      <c r="F261" s="262" t="s">
        <v>450</v>
      </c>
      <c r="G261" s="262" t="s">
        <v>449</v>
      </c>
      <c r="H261" s="261"/>
      <c r="I261" s="261"/>
      <c r="J261" s="264" t="s">
        <v>469</v>
      </c>
    </row>
    <row r="262" spans="1:10">
      <c r="A262" s="214"/>
      <c r="B262" s="212"/>
      <c r="C262" s="212"/>
      <c r="D262" s="212" t="str">
        <f t="shared" ca="1" si="267"/>
        <v>INDLDPHGASN1</v>
      </c>
      <c r="E262" s="212" t="str">
        <f t="shared" ca="1" si="268"/>
        <v>Industrial heating technology L PH - Gas boiler (Steam) - new 1</v>
      </c>
      <c r="F262" s="262" t="s">
        <v>450</v>
      </c>
      <c r="G262" s="262" t="s">
        <v>449</v>
      </c>
      <c r="H262" s="261"/>
      <c r="I262" s="261"/>
      <c r="J262" s="264" t="s">
        <v>469</v>
      </c>
    </row>
    <row r="263" spans="1:10">
      <c r="A263" s="214"/>
      <c r="B263" s="212"/>
      <c r="C263" s="212"/>
      <c r="D263" s="212" t="str">
        <f t="shared" ca="1" si="267"/>
        <v>INDLDPHGASN1</v>
      </c>
      <c r="E263" s="212" t="str">
        <f t="shared" ca="1" si="268"/>
        <v>Industrial heating technology L PH - Gas boiler (Steam) - new 1</v>
      </c>
      <c r="F263" s="262" t="s">
        <v>450</v>
      </c>
      <c r="G263" s="262" t="s">
        <v>449</v>
      </c>
      <c r="H263" s="261"/>
      <c r="I263" s="261"/>
      <c r="J263" s="264" t="s">
        <v>469</v>
      </c>
    </row>
    <row r="264" spans="1:10">
      <c r="B264" s="212"/>
      <c r="C264" s="212"/>
      <c r="D264" s="212" t="str">
        <f t="shared" ca="1" si="267"/>
        <v>INDLDSHGASN1</v>
      </c>
      <c r="E264" s="212" t="str">
        <f t="shared" ca="1" si="268"/>
        <v>Industrial heating technology L SH - Gas boiler (Steam) - new 1</v>
      </c>
      <c r="F264" s="262" t="s">
        <v>450</v>
      </c>
      <c r="G264" s="262" t="s">
        <v>449</v>
      </c>
      <c r="H264" s="261"/>
      <c r="I264" s="261"/>
      <c r="J264" s="264" t="s">
        <v>469</v>
      </c>
    </row>
    <row r="265" spans="1:10">
      <c r="B265" s="212"/>
      <c r="C265" s="212"/>
      <c r="D265" s="212" t="str">
        <f t="shared" ca="1" si="267"/>
        <v>INDLDPHGASN2</v>
      </c>
      <c r="E265" s="212" t="str">
        <f t="shared" ca="1" si="268"/>
        <v>Industrial heating technology L PH - Gas boiler (Steam - condensing) - new 2</v>
      </c>
      <c r="F265" s="262" t="s">
        <v>450</v>
      </c>
      <c r="G265" s="262" t="s">
        <v>449</v>
      </c>
      <c r="H265" s="261"/>
      <c r="I265" s="261"/>
      <c r="J265" s="264" t="s">
        <v>469</v>
      </c>
    </row>
    <row r="266" spans="1:10">
      <c r="B266" s="212"/>
      <c r="C266" s="212"/>
      <c r="D266" s="212" t="str">
        <f t="shared" ca="1" si="267"/>
        <v>INDLDSHGASN2</v>
      </c>
      <c r="E266" s="212" t="str">
        <f t="shared" ca="1" si="268"/>
        <v>Industrial heating technology L SH - Gas boiler (Steam - condensing) - new 2</v>
      </c>
      <c r="F266" s="262" t="s">
        <v>450</v>
      </c>
      <c r="G266" s="262" t="s">
        <v>449</v>
      </c>
      <c r="H266" s="261"/>
      <c r="I266" s="261"/>
      <c r="J266" s="264" t="s">
        <v>469</v>
      </c>
    </row>
    <row r="267" spans="1:10">
      <c r="B267" s="212"/>
      <c r="C267" s="212"/>
      <c r="D267" s="212" t="str">
        <f t="shared" ca="1" si="267"/>
        <v>INDLDPHGASN3</v>
      </c>
      <c r="E267" s="212" t="str">
        <f t="shared" ca="1" si="268"/>
        <v>Industrial heating technology L PH - Gas boiler (Hot Water) - new 3</v>
      </c>
      <c r="F267" s="262" t="s">
        <v>450</v>
      </c>
      <c r="G267" s="262" t="s">
        <v>449</v>
      </c>
      <c r="H267" s="261"/>
      <c r="I267" s="261"/>
      <c r="J267" s="264" t="s">
        <v>469</v>
      </c>
    </row>
    <row r="268" spans="1:10">
      <c r="B268" s="212"/>
      <c r="C268" s="212"/>
      <c r="D268" s="212" t="str">
        <f t="shared" ca="1" si="267"/>
        <v>INDLDSHGASN3</v>
      </c>
      <c r="E268" s="212" t="str">
        <f t="shared" ca="1" si="268"/>
        <v>Industrial heating technology L SH - Gas boiler (Hot Water) - new 3</v>
      </c>
      <c r="F268" s="262" t="s">
        <v>450</v>
      </c>
      <c r="G268" s="262" t="s">
        <v>449</v>
      </c>
      <c r="H268" s="261"/>
      <c r="I268" s="261"/>
      <c r="J268" s="264" t="s">
        <v>469</v>
      </c>
    </row>
    <row r="269" spans="1:10">
      <c r="B269" s="212"/>
      <c r="C269" s="212"/>
      <c r="D269" s="212" t="str">
        <f t="shared" ca="1" si="267"/>
        <v>INDLDPHGASN4</v>
      </c>
      <c r="E269" s="212" t="str">
        <f t="shared" ca="1" si="268"/>
        <v>Industrial heating technology L PH - Gas boiler (Hot Water - condensing) - new 4</v>
      </c>
      <c r="F269" s="262" t="s">
        <v>450</v>
      </c>
      <c r="G269" s="262" t="s">
        <v>449</v>
      </c>
      <c r="H269" s="261"/>
      <c r="I269" s="261"/>
      <c r="J269" s="264" t="s">
        <v>469</v>
      </c>
    </row>
    <row r="270" spans="1:10">
      <c r="B270" s="212"/>
      <c r="C270" s="212"/>
      <c r="D270" s="212" t="str">
        <f t="shared" ca="1" si="267"/>
        <v>INDLDSHGASN4</v>
      </c>
      <c r="E270" s="212" t="str">
        <f t="shared" ca="1" si="268"/>
        <v>Industrial heating technology L SH - Gas boiler (Hot Water- condensing) - new 4</v>
      </c>
      <c r="F270" s="262" t="s">
        <v>450</v>
      </c>
      <c r="G270" s="262" t="s">
        <v>449</v>
      </c>
      <c r="H270" s="261"/>
      <c r="I270" s="261"/>
      <c r="J270" s="264" t="s">
        <v>469</v>
      </c>
    </row>
    <row r="271" spans="1:10">
      <c r="B271" s="212"/>
      <c r="C271" s="212"/>
      <c r="D271" s="212" t="str">
        <f t="shared" ca="1" si="267"/>
        <v>INDLDPHGASN5</v>
      </c>
      <c r="E271" s="212" t="str">
        <f t="shared" ca="1" si="268"/>
        <v>Industrial heating technology L PH - Gas boiler (Direct firing) - new 5</v>
      </c>
      <c r="F271" s="262" t="s">
        <v>450</v>
      </c>
      <c r="G271" s="262" t="s">
        <v>449</v>
      </c>
      <c r="H271" s="261"/>
      <c r="I271" s="261"/>
      <c r="J271" s="264" t="s">
        <v>469</v>
      </c>
    </row>
    <row r="272" spans="1:10">
      <c r="B272" s="212"/>
      <c r="C272" s="212"/>
      <c r="D272" s="212" t="str">
        <f t="shared" ca="1" si="267"/>
        <v>INDLDPHGASN5</v>
      </c>
      <c r="E272" s="212" t="str">
        <f t="shared" ca="1" si="268"/>
        <v>Industrial heating technology L PH - Gas boiler (Direct firing) - new 5</v>
      </c>
      <c r="F272" s="262" t="s">
        <v>450</v>
      </c>
      <c r="G272" s="262" t="s">
        <v>449</v>
      </c>
      <c r="H272" s="261"/>
      <c r="I272" s="261"/>
      <c r="J272" s="264" t="s">
        <v>469</v>
      </c>
    </row>
    <row r="273" spans="2:10">
      <c r="B273" s="212"/>
      <c r="C273" s="212"/>
      <c r="D273" s="212" t="str">
        <f t="shared" ca="1" si="267"/>
        <v>INDLDPHCOAN1</v>
      </c>
      <c r="E273" s="212" t="str">
        <f t="shared" ca="1" si="268"/>
        <v>Industrial heating technology L PH - Coal boiler (Steam) - new 1</v>
      </c>
      <c r="F273" s="262" t="s">
        <v>450</v>
      </c>
      <c r="G273" s="262" t="s">
        <v>449</v>
      </c>
      <c r="H273" s="261"/>
      <c r="I273" s="261"/>
      <c r="J273" s="264" t="s">
        <v>469</v>
      </c>
    </row>
    <row r="274" spans="2:10">
      <c r="B274" s="212"/>
      <c r="C274" s="212"/>
      <c r="D274" s="212" t="str">
        <f t="shared" ca="1" si="267"/>
        <v>INDLDPHCOAN1</v>
      </c>
      <c r="E274" s="212" t="str">
        <f t="shared" ca="1" si="268"/>
        <v>Industrial heating technology L PH - Coal boiler (Steam) - new 1</v>
      </c>
      <c r="F274" s="262" t="s">
        <v>450</v>
      </c>
      <c r="G274" s="262" t="s">
        <v>449</v>
      </c>
      <c r="H274" s="261"/>
      <c r="I274" s="261"/>
      <c r="J274" s="264" t="s">
        <v>469</v>
      </c>
    </row>
    <row r="275" spans="2:10">
      <c r="B275" s="212"/>
      <c r="C275" s="212"/>
      <c r="D275" s="212" t="str">
        <f t="shared" ca="1" si="267"/>
        <v>INDLDSHCOAN1</v>
      </c>
      <c r="E275" s="212" t="str">
        <f t="shared" ca="1" si="268"/>
        <v>Industrial heating technology L SH - Coal boiler (Steam) - new 1</v>
      </c>
      <c r="F275" s="262" t="s">
        <v>450</v>
      </c>
      <c r="G275" s="262" t="s">
        <v>449</v>
      </c>
      <c r="H275" s="261"/>
      <c r="I275" s="261"/>
      <c r="J275" s="264" t="s">
        <v>469</v>
      </c>
    </row>
    <row r="276" spans="2:10">
      <c r="B276" s="212"/>
      <c r="C276" s="212"/>
      <c r="D276" s="212" t="str">
        <f t="shared" ca="1" si="267"/>
        <v>INDLDPHCOAN2</v>
      </c>
      <c r="E276" s="212" t="str">
        <f t="shared" ca="1" si="268"/>
        <v>Industrial heating technology L PH - Coal boiler (Hot Water) - new 2</v>
      </c>
      <c r="F276" s="262" t="s">
        <v>450</v>
      </c>
      <c r="G276" s="262" t="s">
        <v>449</v>
      </c>
      <c r="H276" s="261"/>
      <c r="I276" s="261"/>
      <c r="J276" s="264" t="s">
        <v>469</v>
      </c>
    </row>
    <row r="277" spans="2:10">
      <c r="B277" s="212"/>
      <c r="C277" s="212"/>
      <c r="D277" s="212" t="str">
        <f t="shared" ca="1" si="267"/>
        <v>INDLDSHCOAN2</v>
      </c>
      <c r="E277" s="212" t="str">
        <f t="shared" ca="1" si="268"/>
        <v>Industrial heating technology L SH - Coal boiler (Hot Water) - new 2</v>
      </c>
      <c r="F277" s="262" t="s">
        <v>450</v>
      </c>
      <c r="G277" s="262" t="s">
        <v>449</v>
      </c>
      <c r="H277" s="261"/>
      <c r="I277" s="261"/>
      <c r="J277" s="264" t="s">
        <v>469</v>
      </c>
    </row>
    <row r="278" spans="2:10">
      <c r="B278" s="212"/>
      <c r="C278" s="212"/>
      <c r="D278" s="212" t="str">
        <f t="shared" ca="1" si="267"/>
        <v>INDLDSHSOLN1</v>
      </c>
      <c r="E278" s="212" t="str">
        <f t="shared" ca="1" si="268"/>
        <v>Industrial heating technology L SH - Solar - new 1</v>
      </c>
      <c r="F278" s="262" t="s">
        <v>450</v>
      </c>
      <c r="G278" s="262" t="s">
        <v>449</v>
      </c>
      <c r="H278" s="263" t="s">
        <v>620</v>
      </c>
      <c r="I278" s="261"/>
      <c r="J278" s="264" t="s">
        <v>469</v>
      </c>
    </row>
    <row r="279" spans="2:10">
      <c r="B279" s="212"/>
      <c r="C279" s="212"/>
      <c r="D279" s="889" t="str">
        <f>D187</f>
        <v>INDLDSHHCEN1</v>
      </c>
      <c r="E279" s="889" t="str">
        <f t="shared" si="268"/>
        <v>Industrial heating technology L SH - central district heating - within DH area - new 1</v>
      </c>
      <c r="F279" s="262" t="s">
        <v>450</v>
      </c>
      <c r="G279" s="262" t="s">
        <v>449</v>
      </c>
      <c r="H279" s="890"/>
      <c r="I279" s="890"/>
      <c r="J279" s="263" t="s">
        <v>469</v>
      </c>
    </row>
    <row r="280" spans="2:10">
      <c r="B280" s="212"/>
      <c r="C280" s="212"/>
      <c r="D280" s="889" t="str">
        <f>D188</f>
        <v>INDLDPHHCEN1</v>
      </c>
      <c r="E280" s="889" t="str">
        <f t="shared" si="268"/>
        <v>Industrial heating technology L PH - central district heating - within DH area - new 1</v>
      </c>
      <c r="F280" s="262" t="s">
        <v>450</v>
      </c>
      <c r="G280" s="262" t="s">
        <v>449</v>
      </c>
      <c r="H280" s="890"/>
      <c r="I280" s="890"/>
      <c r="J280" s="263" t="s">
        <v>469</v>
      </c>
    </row>
    <row r="281" spans="2:10">
      <c r="B281" s="212"/>
      <c r="C281" s="212"/>
      <c r="D281" s="889" t="str">
        <f>D189</f>
        <v>INDLDSHHSEN1</v>
      </c>
      <c r="E281" s="889" t="str">
        <f t="shared" si="268"/>
        <v>Industrial heating technology L SH - central district heating - within DH area - new 1</v>
      </c>
      <c r="F281" s="262" t="s">
        <v>450</v>
      </c>
      <c r="G281" s="262" t="s">
        <v>449</v>
      </c>
      <c r="H281" s="890"/>
      <c r="I281" s="890"/>
      <c r="J281" s="263" t="s">
        <v>469</v>
      </c>
    </row>
    <row r="282" spans="2:10">
      <c r="B282" s="212"/>
      <c r="C282" s="212"/>
      <c r="D282" s="889" t="str">
        <f>D190</f>
        <v>INDLDPHHSEN1</v>
      </c>
      <c r="E282" s="889" t="str">
        <f t="shared" si="268"/>
        <v>Industrial heating technology L PH - central district heating - within DH area - new 1</v>
      </c>
      <c r="F282" s="262" t="s">
        <v>450</v>
      </c>
      <c r="G282" s="262" t="s">
        <v>449</v>
      </c>
      <c r="H282" s="890"/>
      <c r="I282" s="890"/>
      <c r="J282" s="263" t="s">
        <v>469</v>
      </c>
    </row>
    <row r="283" spans="2:10">
      <c r="B283" s="212"/>
      <c r="C283" s="212"/>
      <c r="D283" s="212" t="str">
        <f t="shared" ref="D283" si="269">D191</f>
        <v>INDLDSHHDEN1</v>
      </c>
      <c r="E283" s="212" t="str">
        <f t="shared" si="268"/>
        <v>Industrial heating technology L SH - decentral district heating - within DH area - new 1</v>
      </c>
      <c r="F283" s="262" t="s">
        <v>450</v>
      </c>
      <c r="G283" s="262" t="s">
        <v>449</v>
      </c>
      <c r="H283" s="261"/>
      <c r="I283" s="261"/>
      <c r="J283" s="264" t="s">
        <v>469</v>
      </c>
    </row>
    <row r="284" spans="2:10">
      <c r="B284" s="212"/>
      <c r="C284" s="212"/>
      <c r="D284" s="212" t="str">
        <f>D192</f>
        <v>INDLDPHHDEN1</v>
      </c>
      <c r="E284" s="212" t="str">
        <f t="shared" si="268"/>
        <v>Industrial heating technology L PH - decentral district heating - within DH area - new 1</v>
      </c>
      <c r="F284" s="262" t="s">
        <v>450</v>
      </c>
      <c r="G284" s="262" t="s">
        <v>449</v>
      </c>
      <c r="H284" s="261"/>
      <c r="I284" s="261"/>
      <c r="J284" s="264" t="s">
        <v>469</v>
      </c>
    </row>
    <row r="285" spans="2:10">
      <c r="B285" s="212"/>
      <c r="C285" s="212"/>
      <c r="D285" s="212" t="str">
        <f>D194</f>
        <v>INDLDLAELCN1</v>
      </c>
      <c r="E285" s="212" t="str">
        <f t="shared" si="268"/>
        <v>Industry L LA Electricity Light Appliance - New 1</v>
      </c>
      <c r="F285" s="262" t="s">
        <v>450</v>
      </c>
      <c r="G285" s="262" t="s">
        <v>449</v>
      </c>
      <c r="H285" s="261"/>
      <c r="I285" s="261"/>
      <c r="J285" s="264" t="s">
        <v>469</v>
      </c>
    </row>
    <row r="286" spans="2:10">
      <c r="B286" s="212"/>
      <c r="C286" s="212"/>
      <c r="D286" s="212" t="str">
        <f>D198</f>
        <v>INDLDEMELCN1</v>
      </c>
      <c r="E286" s="212" t="str">
        <f t="shared" si="268"/>
        <v>Industry L EM Electricity Motors - New 1</v>
      </c>
      <c r="F286" s="262" t="s">
        <v>450</v>
      </c>
      <c r="G286" s="262" t="s">
        <v>449</v>
      </c>
      <c r="H286" s="261"/>
      <c r="I286" s="261"/>
      <c r="J286" s="264" t="s">
        <v>469</v>
      </c>
    </row>
    <row r="287" spans="2:10">
      <c r="B287" s="212"/>
      <c r="C287" s="212"/>
      <c r="D287" s="212" t="str">
        <f>D202</f>
        <v>INDLDTFDSLN1</v>
      </c>
      <c r="E287" s="212" t="str">
        <f t="shared" si="268"/>
        <v>Industry L TF Tractors, Trucks, Fishing boats - New 1</v>
      </c>
      <c r="F287" s="262" t="s">
        <v>450</v>
      </c>
      <c r="G287" s="262" t="s">
        <v>2078</v>
      </c>
      <c r="H287" s="261"/>
      <c r="I287" s="261"/>
      <c r="J287" s="264" t="s">
        <v>469</v>
      </c>
    </row>
    <row r="288" spans="2:10">
      <c r="B288" s="212"/>
      <c r="C288" s="212"/>
      <c r="D288" s="212" t="str">
        <f>D206</f>
        <v>INDLDTFH2GN2</v>
      </c>
      <c r="E288" s="212" t="str">
        <f t="shared" si="268"/>
        <v>Industry L TF Tractors, Trucks, Fishing boats - New 2</v>
      </c>
      <c r="F288" s="262" t="s">
        <v>450</v>
      </c>
      <c r="G288" s="262" t="s">
        <v>2078</v>
      </c>
      <c r="H288" s="261"/>
      <c r="I288" s="261"/>
      <c r="J288" s="264" t="s">
        <v>469</v>
      </c>
    </row>
    <row r="289" spans="2:10">
      <c r="B289" s="212"/>
      <c r="C289" s="212"/>
      <c r="D289" s="212" t="str">
        <f>D210</f>
        <v>INDLDTFELCN3</v>
      </c>
      <c r="E289" s="212" t="str">
        <f t="shared" si="268"/>
        <v>Industry L TF Tractors, Trucks, Fishing boats - New 3</v>
      </c>
      <c r="F289" s="262" t="s">
        <v>450</v>
      </c>
      <c r="G289" s="262" t="s">
        <v>2078</v>
      </c>
      <c r="H289" s="261"/>
      <c r="I289" s="261"/>
      <c r="J289" s="264" t="s">
        <v>469</v>
      </c>
    </row>
    <row r="290" spans="2:10">
      <c r="B290" s="212"/>
      <c r="C290" s="212"/>
      <c r="D290" s="212" t="str">
        <f>D214</f>
        <v>INDLDFLELCN1</v>
      </c>
      <c r="E290" s="212" t="str">
        <f t="shared" si="268"/>
        <v>Industry L TF Forklifts - New 1</v>
      </c>
      <c r="F290" s="262" t="s">
        <v>450</v>
      </c>
      <c r="G290" s="262" t="s">
        <v>449</v>
      </c>
      <c r="H290" s="261"/>
      <c r="I290" s="261"/>
      <c r="J290" s="264" t="s">
        <v>469</v>
      </c>
    </row>
    <row r="291" spans="2:10">
      <c r="B291" s="212"/>
      <c r="C291" s="212"/>
      <c r="D291" s="212" t="str">
        <f>D218</f>
        <v>INDLDCOELCN1</v>
      </c>
      <c r="E291" s="212" t="str">
        <f>E218</f>
        <v>Industry L CO Cooling - New 1</v>
      </c>
      <c r="F291" s="262" t="s">
        <v>450</v>
      </c>
      <c r="G291" s="262" t="s">
        <v>449</v>
      </c>
      <c r="H291" s="261" t="s">
        <v>620</v>
      </c>
      <c r="I291" s="261"/>
      <c r="J291" s="264"/>
    </row>
    <row r="292" spans="2:10">
      <c r="D292" s="212"/>
      <c r="E292" s="212"/>
    </row>
    <row r="293" spans="2:10">
      <c r="B293" s="213" t="s">
        <v>448</v>
      </c>
      <c r="C293" s="213"/>
      <c r="D293" s="214"/>
      <c r="E293" s="214"/>
      <c r="F293" s="214"/>
      <c r="G293" s="214"/>
      <c r="H293" s="214"/>
      <c r="I293" s="214"/>
      <c r="J293" s="214"/>
    </row>
    <row r="294" spans="2:10">
      <c r="B294" s="209" t="s">
        <v>447</v>
      </c>
      <c r="C294" s="209" t="s">
        <v>446</v>
      </c>
      <c r="D294" s="209" t="s">
        <v>445</v>
      </c>
      <c r="E294" s="209" t="s">
        <v>444</v>
      </c>
      <c r="F294" s="209" t="s">
        <v>435</v>
      </c>
      <c r="G294" s="209" t="s">
        <v>443</v>
      </c>
      <c r="H294" s="209" t="s">
        <v>442</v>
      </c>
      <c r="I294" s="209" t="s">
        <v>441</v>
      </c>
      <c r="J294" s="209" t="s">
        <v>440</v>
      </c>
    </row>
    <row r="295" spans="2:10" ht="25" thickBot="1">
      <c r="B295" s="215" t="s">
        <v>439</v>
      </c>
      <c r="C295" s="216" t="s">
        <v>438</v>
      </c>
      <c r="D295" s="216" t="s">
        <v>437</v>
      </c>
      <c r="E295" s="216" t="s">
        <v>436</v>
      </c>
      <c r="F295" s="216" t="s">
        <v>435</v>
      </c>
      <c r="G295" s="216" t="s">
        <v>434</v>
      </c>
      <c r="H295" s="216" t="s">
        <v>433</v>
      </c>
      <c r="I295" s="216" t="s">
        <v>432</v>
      </c>
      <c r="J295" s="216" t="s">
        <v>431</v>
      </c>
    </row>
    <row r="296" spans="2:10">
      <c r="B296" s="217" t="s">
        <v>430</v>
      </c>
      <c r="C296" s="218"/>
      <c r="D296" s="260" t="str">
        <f>"I"&amp;LEFT($AJ$12,1)&amp;"DSOx"</f>
        <v>ILDSOx</v>
      </c>
      <c r="E296" s="270" t="str">
        <f>"Industrial heating  heating technology "&amp;$AJ$12&amp;" - SOx emission"</f>
        <v>Industrial heating  heating technology L - SOx emission</v>
      </c>
      <c r="F296" s="219" t="s">
        <v>352</v>
      </c>
      <c r="G296" s="211"/>
      <c r="H296" s="211"/>
      <c r="I296" s="211"/>
      <c r="J296" s="211"/>
    </row>
    <row r="297" spans="2:10">
      <c r="B297" s="214"/>
      <c r="C297" s="214"/>
      <c r="D297" s="260" t="str">
        <f>"I"&amp;LEFT($AJ$12,1)&amp;"DNOx"</f>
        <v>ILDNOx</v>
      </c>
      <c r="E297" s="270" t="str">
        <f>"Industrial heating  heating technology "&amp;$AJ$12&amp;" - NOx emission"</f>
        <v>Industrial heating  heating technology L - NOx emission</v>
      </c>
      <c r="F297" s="219" t="s">
        <v>352</v>
      </c>
      <c r="G297" s="211"/>
      <c r="H297" s="214"/>
      <c r="I297" s="214"/>
      <c r="J297" s="214"/>
    </row>
    <row r="298" spans="2:10">
      <c r="B298" s="214"/>
      <c r="C298" s="214"/>
      <c r="D298" s="260" t="str">
        <f>"I"&amp;LEFT($AJ$12,1)&amp;"DCH4"</f>
        <v>ILDCH4</v>
      </c>
      <c r="E298" s="270" t="str">
        <f>"Industrial heating  heating technology "&amp;$AJ$12&amp;" - CH4 emission"</f>
        <v>Industrial heating  heating technology L - CH4 emission</v>
      </c>
      <c r="F298" s="219" t="s">
        <v>352</v>
      </c>
      <c r="G298" s="211"/>
      <c r="H298" s="214"/>
      <c r="I298" s="214"/>
      <c r="J298" s="214"/>
    </row>
    <row r="299" spans="2:10">
      <c r="B299" s="214"/>
      <c r="C299" s="214"/>
      <c r="D299" s="260" t="str">
        <f>"I"&amp;LEFT($AJ$12,1)&amp;"DNO2"</f>
        <v>ILDNO2</v>
      </c>
      <c r="E299" s="270" t="str">
        <f>"Industrial heating  heating technology "&amp;$AJ$12&amp;" - NO2 emission"</f>
        <v>Industrial heating  heating technology L - NO2 emission</v>
      </c>
      <c r="F299" s="219" t="s">
        <v>352</v>
      </c>
      <c r="G299" s="211"/>
      <c r="H299" s="214"/>
      <c r="I299" s="214"/>
      <c r="J299" s="214"/>
    </row>
    <row r="300" spans="2:10">
      <c r="B300" s="214"/>
      <c r="C300" s="214"/>
      <c r="D300" s="260" t="str">
        <f>"I"&amp;LEFT($AJ$12,1)&amp;"DPM"</f>
        <v>ILDPM</v>
      </c>
      <c r="E300" s="270" t="str">
        <f>"Industrial heating  heating technology "&amp;$AJ$12&amp;" - Particle emission"</f>
        <v>Industrial heating  heating technology L - Particle emission</v>
      </c>
      <c r="F300" s="219" t="s">
        <v>352</v>
      </c>
      <c r="G300" s="211"/>
      <c r="H300" s="214"/>
      <c r="I300" s="214"/>
      <c r="J300" s="214"/>
    </row>
    <row r="301" spans="2:10">
      <c r="B301" s="224" t="s">
        <v>1057</v>
      </c>
      <c r="D301" s="224" t="str">
        <f>AI20</f>
        <v>INDLWH</v>
      </c>
      <c r="E301" s="270" t="str">
        <f>"Industrial heating technology "&amp;$AJ$12&amp;" - Waste heat"</f>
        <v>Industrial heating technology L - Waste heat</v>
      </c>
      <c r="F301" s="263" t="s">
        <v>450</v>
      </c>
    </row>
  </sheetData>
  <pageMargins left="0.7" right="0.7" top="0.75" bottom="0.75" header="0.3" footer="0.3"/>
  <pageSetup paperSize="9" orientation="portrait"/>
  <legacyDrawing r:id="rId1"/>
  <extLst>
    <ext xmlns:x14="http://schemas.microsoft.com/office/spreadsheetml/2009/9/main" uri="{CCE6A557-97BC-4b89-ADB6-D9C93CAAB3DF}">
      <x14:dataValidations xmlns:xm="http://schemas.microsoft.com/office/excel/2006/main" count="1">
        <x14:dataValidation type="list" allowBlank="1" showInputMessage="1" showErrorMessage="1" xr:uid="{C5E4C00F-BD5E-4A8F-A893-4181AB4DD74A}">
          <x14:formula1>
            <xm:f>'Oil-fired boiler_NEW'!$T$4:$X$4</xm:f>
          </x14:formula1>
          <xm:sqref>E1</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CEE00E-A061-4F02-970F-A5767CED08CF}">
  <sheetPr>
    <tabColor rgb="FF00B050"/>
  </sheetPr>
  <dimension ref="A1:AJ301"/>
  <sheetViews>
    <sheetView tabSelected="1" topLeftCell="A197" zoomScale="70" zoomScaleNormal="70" workbookViewId="0">
      <selection activeCell="G215" sqref="G215"/>
    </sheetView>
  </sheetViews>
  <sheetFormatPr baseColWidth="10" defaultColWidth="9.1640625" defaultRowHeight="15"/>
  <cols>
    <col min="1" max="1" width="9.1640625" style="224"/>
    <col min="2" max="2" width="31.5" style="224" customWidth="1"/>
    <col min="3" max="3" width="11.5" style="224" bestFit="1" customWidth="1"/>
    <col min="4" max="4" width="19.83203125" style="224" customWidth="1"/>
    <col min="5" max="5" width="98.5" style="224" bestFit="1" customWidth="1"/>
    <col min="6" max="6" width="10.5" style="224" bestFit="1" customWidth="1"/>
    <col min="7" max="7" width="55.83203125" style="224" bestFit="1" customWidth="1"/>
    <col min="8" max="8" width="27.83203125" style="224" bestFit="1" customWidth="1"/>
    <col min="9" max="9" width="27.83203125" style="224" customWidth="1"/>
    <col min="10" max="10" width="10.1640625" style="224" bestFit="1" customWidth="1"/>
    <col min="11" max="11" width="8.5" style="224" bestFit="1" customWidth="1"/>
    <col min="12" max="12" width="6.5" style="224" bestFit="1" customWidth="1"/>
    <col min="13" max="13" width="6.5" style="224" customWidth="1"/>
    <col min="14" max="15" width="12.83203125" style="224" bestFit="1" customWidth="1"/>
    <col min="16" max="16" width="12.5" style="224" bestFit="1" customWidth="1"/>
    <col min="17" max="17" width="6.1640625" style="224" customWidth="1"/>
    <col min="18" max="18" width="8.1640625" style="224" bestFit="1" customWidth="1"/>
    <col min="19" max="19" width="11.83203125" style="224" bestFit="1" customWidth="1"/>
    <col min="20" max="20" width="11.5" style="224" bestFit="1" customWidth="1"/>
    <col min="21" max="21" width="18.1640625" style="224" bestFit="1" customWidth="1"/>
    <col min="22" max="22" width="11.83203125" style="224" customWidth="1"/>
    <col min="23" max="23" width="7.83203125" style="224" bestFit="1" customWidth="1"/>
    <col min="24" max="24" width="8.5" style="224" bestFit="1" customWidth="1"/>
    <col min="25" max="25" width="6.5" style="224" bestFit="1" customWidth="1"/>
    <col min="26" max="26" width="6.5" style="224" customWidth="1"/>
    <col min="27" max="27" width="8" style="224" customWidth="1"/>
    <col min="28" max="38" width="9.1640625" style="224"/>
    <col min="39" max="39" width="64.1640625" style="224" bestFit="1" customWidth="1"/>
    <col min="40" max="16384" width="9.1640625" style="224"/>
  </cols>
  <sheetData>
    <row r="1" spans="2:36" ht="14.5" customHeight="1">
      <c r="D1" s="728" t="s">
        <v>1016</v>
      </c>
      <c r="E1" s="729" t="s">
        <v>719</v>
      </c>
      <c r="N1" s="64"/>
      <c r="O1" s="64"/>
      <c r="P1" s="64"/>
      <c r="S1" s="727" t="s">
        <v>1004</v>
      </c>
      <c r="T1" s="776" t="s">
        <v>1003</v>
      </c>
      <c r="U1" s="775" t="s">
        <v>1053</v>
      </c>
      <c r="V1" s="776" t="s">
        <v>1054</v>
      </c>
      <c r="W1" s="780">
        <v>0.3</v>
      </c>
    </row>
    <row r="2" spans="2:36" ht="16" thickBot="1">
      <c r="E2" s="730" t="s">
        <v>1147</v>
      </c>
      <c r="N2" s="731"/>
      <c r="O2" s="731"/>
      <c r="P2" s="731"/>
      <c r="S2" s="726">
        <f>MATCH($E$1,$AJ$22:$AJ$35)</f>
        <v>13</v>
      </c>
      <c r="T2" s="778">
        <f>MATCH($E$1,$AJ$22:$AJ$35)+1</f>
        <v>14</v>
      </c>
      <c r="U2" s="779"/>
      <c r="V2" s="768" t="s">
        <v>1055</v>
      </c>
      <c r="W2" s="781">
        <v>0.2</v>
      </c>
    </row>
    <row r="3" spans="2:36" ht="16" thickBot="1">
      <c r="N3" s="731"/>
      <c r="O3" s="731"/>
      <c r="P3" s="731"/>
      <c r="S3" s="768"/>
      <c r="T3" s="768"/>
      <c r="U3" s="777"/>
      <c r="V3" s="778" t="s">
        <v>1056</v>
      </c>
      <c r="W3" s="782">
        <v>0</v>
      </c>
    </row>
    <row r="4" spans="2:36">
      <c r="N4" s="731"/>
      <c r="O4" s="731"/>
      <c r="P4" s="731"/>
      <c r="S4" s="768"/>
      <c r="T4" s="768"/>
      <c r="U4" s="768"/>
      <c r="V4" s="768"/>
    </row>
    <row r="5" spans="2:36">
      <c r="J5" s="172" t="s">
        <v>468</v>
      </c>
      <c r="N5" s="731"/>
      <c r="O5" s="731"/>
      <c r="P5" s="731"/>
      <c r="S5" s="768"/>
      <c r="T5" s="768"/>
      <c r="U5" s="768"/>
      <c r="V5" s="768"/>
    </row>
    <row r="6" spans="2:36" ht="26.25" customHeight="1">
      <c r="B6" s="166" t="s">
        <v>1015</v>
      </c>
      <c r="C6" s="46"/>
      <c r="D6" s="46" t="s">
        <v>425</v>
      </c>
      <c r="E6" s="46" t="s">
        <v>426</v>
      </c>
      <c r="F6" s="46" t="s">
        <v>689</v>
      </c>
      <c r="G6" s="46" t="s">
        <v>427</v>
      </c>
      <c r="H6" s="46" t="s">
        <v>428</v>
      </c>
      <c r="I6" s="771" t="s">
        <v>1049</v>
      </c>
      <c r="J6" s="46" t="s">
        <v>335</v>
      </c>
      <c r="K6" s="46" t="s">
        <v>336</v>
      </c>
      <c r="L6" s="47" t="s">
        <v>337</v>
      </c>
      <c r="M6" s="47" t="s">
        <v>1052</v>
      </c>
      <c r="N6" s="47" t="s">
        <v>339</v>
      </c>
      <c r="O6" s="48" t="s">
        <v>340</v>
      </c>
      <c r="P6" s="47" t="s">
        <v>341</v>
      </c>
      <c r="Q6" s="49" t="s">
        <v>342</v>
      </c>
      <c r="R6" s="49" t="s">
        <v>343</v>
      </c>
      <c r="S6" s="769" t="s">
        <v>344</v>
      </c>
      <c r="T6" s="770" t="s">
        <v>997</v>
      </c>
      <c r="U6" s="769" t="s">
        <v>1050</v>
      </c>
      <c r="V6" s="783" t="s">
        <v>1051</v>
      </c>
      <c r="W6" s="284"/>
      <c r="X6" s="280" t="str">
        <f>"FEMIS~"&amp;D296</f>
        <v>FEMIS~ITDSOx</v>
      </c>
      <c r="Y6" s="280" t="str">
        <f>"FEMIS~"&amp;D297</f>
        <v>FEMIS~ITDNOx</v>
      </c>
      <c r="Z6" s="280" t="str">
        <f>"FEMIS~"&amp;D298</f>
        <v>FEMIS~ITDCH4</v>
      </c>
      <c r="AA6" s="280" t="str">
        <f>"FEMIS~"&amp;D299</f>
        <v>FEMIS~ITDNO2</v>
      </c>
      <c r="AB6" s="280" t="str">
        <f>"FEMIS~"&amp;D300</f>
        <v>FEMIS~ITDPM</v>
      </c>
      <c r="AC6" s="224" t="s">
        <v>424</v>
      </c>
      <c r="AD6" s="224" t="s">
        <v>2001</v>
      </c>
      <c r="AE6" s="47" t="s">
        <v>338</v>
      </c>
      <c r="AF6" s="221" t="s">
        <v>473</v>
      </c>
    </row>
    <row r="7" spans="2:36" ht="16" thickBot="1">
      <c r="B7" s="715"/>
      <c r="C7" s="167"/>
      <c r="D7" s="167" t="s">
        <v>429</v>
      </c>
      <c r="E7" s="50"/>
      <c r="F7" s="50"/>
      <c r="G7" s="50"/>
      <c r="H7" s="50"/>
      <c r="I7" s="168"/>
      <c r="J7" s="50"/>
      <c r="K7" s="50"/>
      <c r="L7" s="51"/>
      <c r="M7" s="51"/>
      <c r="N7" s="51"/>
      <c r="O7" s="52"/>
      <c r="P7" s="50"/>
      <c r="Q7" s="50"/>
      <c r="R7" s="50"/>
      <c r="S7" s="50"/>
      <c r="T7" s="50"/>
      <c r="U7" s="50"/>
      <c r="V7" s="168"/>
      <c r="W7" s="285"/>
      <c r="X7" s="50"/>
      <c r="Y7" s="50"/>
      <c r="Z7" s="50"/>
      <c r="AA7" s="50"/>
      <c r="AB7" s="50"/>
      <c r="AE7" s="51"/>
      <c r="AF7" s="222"/>
    </row>
    <row r="8" spans="2:36">
      <c r="B8" s="357"/>
      <c r="D8" s="224" t="s">
        <v>451</v>
      </c>
      <c r="I8" s="357"/>
      <c r="J8" s="57"/>
      <c r="K8" s="57"/>
      <c r="L8" s="57"/>
      <c r="M8" s="57"/>
      <c r="N8" s="57"/>
      <c r="O8" s="57" t="s">
        <v>470</v>
      </c>
      <c r="P8" s="57" t="s">
        <v>471</v>
      </c>
      <c r="Q8" s="57" t="s">
        <v>472</v>
      </c>
      <c r="R8" s="57" t="s">
        <v>351</v>
      </c>
      <c r="S8" s="57" t="s">
        <v>351</v>
      </c>
      <c r="T8" s="57"/>
      <c r="U8" s="57"/>
      <c r="V8" s="784"/>
      <c r="W8" s="286"/>
      <c r="X8" s="57" t="s">
        <v>352</v>
      </c>
      <c r="Y8" s="57" t="s">
        <v>352</v>
      </c>
      <c r="Z8" s="57" t="s">
        <v>352</v>
      </c>
      <c r="AA8" s="57" t="s">
        <v>352</v>
      </c>
      <c r="AB8" s="57" t="s">
        <v>352</v>
      </c>
      <c r="AE8" s="57"/>
      <c r="AF8" s="220"/>
    </row>
    <row r="9" spans="2:36">
      <c r="B9" s="357" t="s">
        <v>998</v>
      </c>
      <c r="D9" s="212" t="str">
        <f>"IND"&amp;RIGHT(H9,4)&amp;RIGHT(G9,3)&amp;"N"&amp;RIGHT(E9,1)</f>
        <v>INDTDPHELCN1</v>
      </c>
      <c r="E9" s="261" t="str">
        <f>"Industrial heating technology "&amp;$AJ$12&amp;" "&amp;RIGHT(H9,2)&amp;" - Heat pump utilizing waste heat - new 1"</f>
        <v>Industrial heating technology Transport PH - Heat pump utilizing waste heat - new 1</v>
      </c>
      <c r="F9" s="224" t="s">
        <v>1149</v>
      </c>
      <c r="G9" s="173" t="s">
        <v>499</v>
      </c>
      <c r="H9" s="174" t="str">
        <f>$AI$14</f>
        <v>ITDPH</v>
      </c>
      <c r="I9" s="173"/>
      <c r="J9" s="224">
        <f>AD9</f>
        <v>2020</v>
      </c>
      <c r="K9" s="81">
        <v>2020</v>
      </c>
      <c r="L9" s="333">
        <v>1</v>
      </c>
      <c r="M9" s="199">
        <f ca="1">VLOOKUP($AD9,INDIRECT("'"&amp;$B9&amp;"'!"&amp;"$P$39:$AD$42"),3,FALSE)</f>
        <v>4.4754761904761899</v>
      </c>
      <c r="N9" s="81">
        <f ca="1">VLOOKUP($AD9,INDIRECT("'"&amp;$B9&amp;"'!"&amp;"$P$39:$AD$42"),5,FALSE)</f>
        <v>20</v>
      </c>
      <c r="O9" s="723">
        <f ca="1">VLOOKUP($AD9,INDIRECT("'"&amp;$B9&amp;"'!"&amp;"$P$39:$AD$42"),6,FALSE)/1000</f>
        <v>5.4385000000000003</v>
      </c>
      <c r="P9" s="723">
        <f ca="1">VLOOKUP($AD9,INDIRECT("'"&amp;$B9&amp;"'!"&amp;"$P$39:$AD$42"),7,FALSE)/1000</f>
        <v>1.49E-2</v>
      </c>
      <c r="Q9" s="81">
        <f ca="1">VLOOKUP($AD9,INDIRECT("'"&amp;$B9&amp;"'!"&amp;"$P$39:$AD$42"),8,FALSE)</f>
        <v>6.7463888888888883</v>
      </c>
      <c r="R9" s="81">
        <v>3.1536000000000002E-2</v>
      </c>
      <c r="S9" s="199">
        <v>0.5</v>
      </c>
      <c r="T9" s="199">
        <f ca="1">HLOOKUP($T$2,INDIRECT("'"&amp;$B9&amp;"'!"&amp;"$P$6:$AC$19"),IF(H9=$AI$13,6,IF(H9=$AI$14,9,14)),FALSE)</f>
        <v>0</v>
      </c>
      <c r="U9" s="199">
        <f ca="1">1/M9</f>
        <v>0.22343991062403579</v>
      </c>
      <c r="V9" s="199"/>
      <c r="W9" s="298"/>
      <c r="X9" s="698">
        <f ca="1">IF(VLOOKUP($AD9,INDIRECT("'"&amp;$B9&amp;"'!"&amp;"$P$39:$AD$42"),11,FALSE)="Cf. the utilized electricity",0,VLOOKUP($AD9,INDIRECT("'"&amp;$B9&amp;"'!"&amp;"$P$39:$AD$42"),11,FALSE))</f>
        <v>0</v>
      </c>
      <c r="Y9" s="81">
        <f ca="1">VLOOKUP($AD9,INDIRECT("'"&amp;$B9&amp;"'!"&amp;"$P$39:$AD$42"),12,FALSE)</f>
        <v>0</v>
      </c>
      <c r="Z9" s="81">
        <f ca="1">VLOOKUP($AD9,INDIRECT("'"&amp;$B9&amp;"'!"&amp;"$P$39:$AD$42"),13,FALSE)</f>
        <v>0</v>
      </c>
      <c r="AA9" s="81">
        <f ca="1">VLOOKUP($AD9,INDIRECT("'"&amp;$B9&amp;"'!"&amp;"$P$39:$AD$42"),14,FALSE)</f>
        <v>0</v>
      </c>
      <c r="AB9" s="81">
        <f ca="1">VLOOKUP($AD9,INDIRECT("'"&amp;$B9&amp;"'!"&amp;"$P$39:$AD$42"),15,FALSE)</f>
        <v>0</v>
      </c>
      <c r="AC9" s="226"/>
      <c r="AD9" s="81">
        <v>2020</v>
      </c>
      <c r="AE9" s="81"/>
      <c r="AF9" s="220"/>
    </row>
    <row r="10" spans="2:36">
      <c r="B10" s="357" t="s">
        <v>998</v>
      </c>
      <c r="D10" s="212"/>
      <c r="E10" s="261"/>
      <c r="F10" s="224" t="s">
        <v>1149</v>
      </c>
      <c r="G10" s="173" t="str">
        <f>$AI$20</f>
        <v>INDTWH</v>
      </c>
      <c r="H10" s="174"/>
      <c r="I10" s="174"/>
      <c r="K10" s="81"/>
      <c r="L10" s="333"/>
      <c r="M10" s="199"/>
      <c r="N10" s="81"/>
      <c r="O10" s="723"/>
      <c r="P10" s="723"/>
      <c r="Q10" s="81"/>
      <c r="R10" s="200"/>
      <c r="S10" s="772"/>
      <c r="T10" s="772"/>
      <c r="U10" s="199">
        <f ca="1">1-U9</f>
        <v>0.77656008937596421</v>
      </c>
      <c r="V10" s="772"/>
      <c r="W10" s="298"/>
      <c r="X10" s="698"/>
      <c r="Y10" s="81"/>
      <c r="Z10" s="81"/>
      <c r="AA10" s="81"/>
      <c r="AB10" s="81"/>
      <c r="AC10" s="226"/>
      <c r="AD10" s="81"/>
      <c r="AE10" s="81"/>
      <c r="AF10" s="220"/>
    </row>
    <row r="11" spans="2:36">
      <c r="B11" s="357" t="s">
        <v>998</v>
      </c>
      <c r="D11" s="212"/>
      <c r="E11" s="212"/>
      <c r="F11" s="224" t="s">
        <v>1149</v>
      </c>
      <c r="G11" s="173" t="s">
        <v>499</v>
      </c>
      <c r="H11" s="174" t="str">
        <f>$AI$14</f>
        <v>ITDPH</v>
      </c>
      <c r="I11" s="173"/>
      <c r="J11" s="224">
        <f>AD11</f>
        <v>2030</v>
      </c>
      <c r="K11" s="81"/>
      <c r="L11" s="333">
        <v>1</v>
      </c>
      <c r="M11" s="199">
        <f ca="1">VLOOKUP($AD11,INDIRECT("'"&amp;$B11&amp;"'!"&amp;"$P$39:$AD$42"),3,FALSE)</f>
        <v>4.5792982142857133</v>
      </c>
      <c r="N11" s="81"/>
      <c r="O11" s="723">
        <f ca="1">VLOOKUP($AD11,INDIRECT("'"&amp;$B11&amp;"'!"&amp;"$P$39:$AD$42"),6,FALSE)/1000</f>
        <v>4.8425000000000002</v>
      </c>
      <c r="P11" s="723">
        <f ca="1">VLOOKUP($AD11,INDIRECT("'"&amp;$B11&amp;"'!"&amp;"$P$39:$AD$42"),7,FALSE)/1000</f>
        <v>1.49E-2</v>
      </c>
      <c r="Q11" s="81">
        <f ca="1">VLOOKUP($AD11,INDIRECT("'"&amp;$B11&amp;"'!"&amp;"$P$39:$AD$42"),8,FALSE)</f>
        <v>6.6222222222222227</v>
      </c>
      <c r="R11" s="300"/>
      <c r="S11" s="300"/>
      <c r="T11" s="300"/>
      <c r="U11" s="199">
        <f ca="1">1/M11</f>
        <v>0.21837407244637849</v>
      </c>
      <c r="V11" s="199"/>
      <c r="W11" s="298"/>
      <c r="X11" s="698">
        <f ca="1">IF(VLOOKUP($AD11,INDIRECT("'"&amp;$B11&amp;"'!"&amp;"$P$39:$AD$42"),11,FALSE)="Cf. the utilized electricity",0,VLOOKUP($AD11,INDIRECT("'"&amp;$B11&amp;"'!"&amp;"$P$39:$AD$42"),11,FALSE))</f>
        <v>0</v>
      </c>
      <c r="Y11" s="81">
        <f ca="1">VLOOKUP($AD11,INDIRECT("'"&amp;$B11&amp;"'!"&amp;"$P$39:$AD$42"),12,FALSE)</f>
        <v>0</v>
      </c>
      <c r="Z11" s="81">
        <f ca="1">VLOOKUP($AD11,INDIRECT("'"&amp;$B11&amp;"'!"&amp;"$P$39:$AD$42"),13,FALSE)</f>
        <v>0</v>
      </c>
      <c r="AA11" s="81">
        <f ca="1">VLOOKUP($AD11,INDIRECT("'"&amp;$B11&amp;"'!"&amp;"$P$39:$AD$42"),14,FALSE)</f>
        <v>0</v>
      </c>
      <c r="AB11" s="81">
        <f ca="1">VLOOKUP($AD11,INDIRECT("'"&amp;$B11&amp;"'!"&amp;"$P$39:$AD$42"),15,FALSE)</f>
        <v>0</v>
      </c>
      <c r="AC11" s="226"/>
      <c r="AD11" s="81">
        <v>2030</v>
      </c>
      <c r="AE11" s="81"/>
      <c r="AF11" s="220"/>
    </row>
    <row r="12" spans="2:36">
      <c r="B12" s="357" t="s">
        <v>998</v>
      </c>
      <c r="D12" s="212"/>
      <c r="E12" s="212"/>
      <c r="F12" s="224" t="s">
        <v>1149</v>
      </c>
      <c r="G12" s="173" t="str">
        <f>$AI$20</f>
        <v>INDTWH</v>
      </c>
      <c r="H12" s="174"/>
      <c r="I12" s="174"/>
      <c r="K12" s="81"/>
      <c r="L12" s="333"/>
      <c r="M12" s="199"/>
      <c r="N12" s="81"/>
      <c r="O12" s="723"/>
      <c r="P12" s="723"/>
      <c r="Q12" s="81"/>
      <c r="R12" s="300"/>
      <c r="S12" s="300"/>
      <c r="T12" s="300"/>
      <c r="U12" s="199">
        <f ca="1">1-U11</f>
        <v>0.78162592755362148</v>
      </c>
      <c r="V12" s="300"/>
      <c r="W12" s="298"/>
      <c r="X12" s="698"/>
      <c r="Y12" s="81"/>
      <c r="Z12" s="81"/>
      <c r="AA12" s="81"/>
      <c r="AB12" s="81"/>
      <c r="AC12" s="226"/>
      <c r="AD12" s="81"/>
      <c r="AE12" s="81"/>
      <c r="AF12" s="220"/>
      <c r="AI12" s="224" t="s">
        <v>518</v>
      </c>
      <c r="AJ12" s="224" t="s">
        <v>2100</v>
      </c>
    </row>
    <row r="13" spans="2:36">
      <c r="B13" s="357" t="s">
        <v>998</v>
      </c>
      <c r="D13" s="212"/>
      <c r="E13" s="212"/>
      <c r="F13" s="224" t="s">
        <v>1149</v>
      </c>
      <c r="G13" s="173" t="s">
        <v>499</v>
      </c>
      <c r="H13" s="174" t="str">
        <f>$AI$14</f>
        <v>ITDPH</v>
      </c>
      <c r="I13" s="173"/>
      <c r="J13" s="224">
        <f>AD13</f>
        <v>2050</v>
      </c>
      <c r="K13" s="81"/>
      <c r="L13" s="333">
        <v>1</v>
      </c>
      <c r="M13" s="199">
        <f ca="1">VLOOKUP($AD13,INDIRECT("'"&amp;$B13&amp;"'!"&amp;"$P$39:$AD$42"),3,FALSE)</f>
        <v>4.7191030203571422</v>
      </c>
      <c r="N13" s="81"/>
      <c r="O13" s="723">
        <f ca="1">VLOOKUP($AD13,INDIRECT("'"&amp;$B13&amp;"'!"&amp;"$P$39:$AD$42"),6,FALSE)/1000</f>
        <v>4.3209999999999997</v>
      </c>
      <c r="P13" s="723">
        <f ca="1">VLOOKUP($AD13,INDIRECT("'"&amp;$B13&amp;"'!"&amp;"$P$39:$AD$42"),7,FALSE)/1000</f>
        <v>1.49E-2</v>
      </c>
      <c r="Q13" s="81">
        <f ca="1">VLOOKUP($AD13,INDIRECT("'"&amp;$B13&amp;"'!"&amp;"$P$39:$AD$42"),8,FALSE)</f>
        <v>6.4566666666666661</v>
      </c>
      <c r="R13" s="300"/>
      <c r="S13" s="300"/>
      <c r="T13" s="300"/>
      <c r="U13" s="199">
        <f ca="1">1/M13</f>
        <v>0.21190467673331698</v>
      </c>
      <c r="V13" s="199"/>
      <c r="W13" s="298"/>
      <c r="X13" s="698">
        <f ca="1">IF(VLOOKUP($AD13,INDIRECT("'"&amp;$B13&amp;"'!"&amp;"$P$39:$AD$42"),11,FALSE)="Cf. the utilized electricity",0,VLOOKUP($AD13,INDIRECT("'"&amp;$B13&amp;"'!"&amp;"$P$39:$AD$42"),11,FALSE))</f>
        <v>0</v>
      </c>
      <c r="Y13" s="81">
        <f ca="1">VLOOKUP($AD13,INDIRECT("'"&amp;$B13&amp;"'!"&amp;"$P$39:$AD$42"),12,FALSE)</f>
        <v>0</v>
      </c>
      <c r="Z13" s="81">
        <f ca="1">VLOOKUP($AD13,INDIRECT("'"&amp;$B13&amp;"'!"&amp;"$P$39:$AD$42"),13,FALSE)</f>
        <v>0</v>
      </c>
      <c r="AA13" s="81">
        <f ca="1">VLOOKUP($AD13,INDIRECT("'"&amp;$B13&amp;"'!"&amp;"$P$39:$AD$42"),14,FALSE)</f>
        <v>0</v>
      </c>
      <c r="AB13" s="81">
        <f ca="1">VLOOKUP($AD13,INDIRECT("'"&amp;$B13&amp;"'!"&amp;"$P$39:$AD$42"),15,FALSE)</f>
        <v>0</v>
      </c>
      <c r="AC13" s="226"/>
      <c r="AD13" s="81">
        <v>2050</v>
      </c>
      <c r="AE13" s="81"/>
      <c r="AF13" s="220"/>
      <c r="AI13" s="224" t="str">
        <f>"I"&amp;LEFT($AJ$12,1)&amp;"DPH"</f>
        <v>ITDPH</v>
      </c>
      <c r="AJ13" s="224" t="str">
        <f>"Industry "&amp;$AJ$12&amp;" Demand Heat High Temp. over 150C"</f>
        <v>Industry Transport Demand Heat High Temp. over 150C</v>
      </c>
    </row>
    <row r="14" spans="2:36">
      <c r="B14" s="357" t="s">
        <v>998</v>
      </c>
      <c r="D14" s="212"/>
      <c r="E14" s="212"/>
      <c r="F14" s="224" t="s">
        <v>1149</v>
      </c>
      <c r="G14" s="173" t="str">
        <f>$AI$20</f>
        <v>INDTWH</v>
      </c>
      <c r="H14" s="174"/>
      <c r="I14" s="174"/>
      <c r="K14" s="81"/>
      <c r="L14" s="333"/>
      <c r="M14" s="199"/>
      <c r="N14" s="81"/>
      <c r="O14" s="723"/>
      <c r="P14" s="723"/>
      <c r="Q14" s="81"/>
      <c r="R14" s="300"/>
      <c r="S14" s="300"/>
      <c r="T14" s="300"/>
      <c r="U14" s="199">
        <f ca="1">1-U13</f>
        <v>0.78809532326668297</v>
      </c>
      <c r="V14" s="300"/>
      <c r="W14" s="298"/>
      <c r="X14" s="698"/>
      <c r="Y14" s="81"/>
      <c r="Z14" s="81"/>
      <c r="AA14" s="81"/>
      <c r="AB14" s="81"/>
      <c r="AC14" s="226"/>
      <c r="AD14" s="81"/>
      <c r="AE14" s="81"/>
      <c r="AF14" s="220"/>
      <c r="AI14" s="224" t="str">
        <f>"I"&amp;LEFT($AJ$12,1)&amp;"DPH"</f>
        <v>ITDPH</v>
      </c>
      <c r="AJ14" s="224" t="str">
        <f>"Industry "&amp;$AJ$12&amp;" Demand Heat Medium Temp. up to 150C"</f>
        <v>Industry Transport Demand Heat Medium Temp. up to 150C</v>
      </c>
    </row>
    <row r="15" spans="2:36">
      <c r="B15" s="357" t="s">
        <v>998</v>
      </c>
      <c r="D15" s="212" t="str">
        <f>"IND"&amp;RIGHT(H15,4)&amp;RIGHT(G15,3)&amp;"N"&amp;RIGHT(E15,1)</f>
        <v>INDTDSHELCN1</v>
      </c>
      <c r="E15" s="261" t="str">
        <f>"Industrial heating technology "&amp;$AJ$12&amp;" "&amp;RIGHT(H15,2)&amp;" - Heat pump utilizing waste heat - new 1"</f>
        <v>Industrial heating technology Transport SH - Heat pump utilizing waste heat - new 1</v>
      </c>
      <c r="F15" s="224" t="s">
        <v>1149</v>
      </c>
      <c r="G15" s="173" t="s">
        <v>499</v>
      </c>
      <c r="H15" s="174" t="str">
        <f>$AI$15</f>
        <v>ITDSH</v>
      </c>
      <c r="I15" s="174"/>
      <c r="J15" s="224">
        <f>AD15</f>
        <v>2020</v>
      </c>
      <c r="K15" s="81">
        <v>2020</v>
      </c>
      <c r="L15" s="333">
        <v>1</v>
      </c>
      <c r="M15" s="199">
        <f ca="1">VLOOKUP($AD15,INDIRECT("'"&amp;$B15&amp;"'!"&amp;"$P$39:$AD$42"),3,FALSE)</f>
        <v>4.4754761904761899</v>
      </c>
      <c r="N15" s="81">
        <f ca="1">VLOOKUP($AD15,INDIRECT("'"&amp;$B15&amp;"'!"&amp;"$P$39:$AD$42"),5,FALSE)</f>
        <v>20</v>
      </c>
      <c r="O15" s="723">
        <f ca="1">VLOOKUP($AD15,INDIRECT("'"&amp;$B15&amp;"'!"&amp;"$P$39:$AD$42"),6,FALSE)/1000</f>
        <v>5.4385000000000003</v>
      </c>
      <c r="P15" s="723">
        <f ca="1">VLOOKUP($AD15,INDIRECT("'"&amp;$B15&amp;"'!"&amp;"$P$39:$AD$42"),7,FALSE)/1000</f>
        <v>1.49E-2</v>
      </c>
      <c r="Q15" s="81">
        <f ca="1">VLOOKUP($AD15,INDIRECT("'"&amp;$B15&amp;"'!"&amp;"$P$39:$AD$42"),8,FALSE)</f>
        <v>6.7463888888888883</v>
      </c>
      <c r="R15" s="81">
        <v>3.1536000000000002E-2</v>
      </c>
      <c r="S15" s="199">
        <v>0.5</v>
      </c>
      <c r="T15" s="199">
        <f ca="1">HLOOKUP($T$2,INDIRECT("'"&amp;$B15&amp;"'!"&amp;"$P$6:$AC$19"),IF(H15=$AI$13,6,IF(H15=$AI$14,9,14)),FALSE)</f>
        <v>1</v>
      </c>
      <c r="U15" s="199">
        <f ca="1">1/M15</f>
        <v>0.22343991062403579</v>
      </c>
      <c r="V15" s="199"/>
      <c r="W15" s="298"/>
      <c r="X15" s="698">
        <f ca="1">IF(VLOOKUP($AD15,INDIRECT("'"&amp;$B15&amp;"'!"&amp;"$P$39:$AD$42"),11,FALSE)="Cf. the utilized electricity",0,VLOOKUP($AD15,INDIRECT("'"&amp;$B15&amp;"'!"&amp;"$P$39:$AD$42"),11,FALSE))</f>
        <v>0</v>
      </c>
      <c r="Y15" s="81">
        <f ca="1">VLOOKUP($AD15,INDIRECT("'"&amp;$B15&amp;"'!"&amp;"$P$39:$AD$42"),12,FALSE)</f>
        <v>0</v>
      </c>
      <c r="Z15" s="81">
        <f ca="1">VLOOKUP($AD15,INDIRECT("'"&amp;$B15&amp;"'!"&amp;"$P$39:$AD$42"),13,FALSE)</f>
        <v>0</v>
      </c>
      <c r="AA15" s="81">
        <f ca="1">VLOOKUP($AD15,INDIRECT("'"&amp;$B15&amp;"'!"&amp;"$P$39:$AD$42"),14,FALSE)</f>
        <v>0</v>
      </c>
      <c r="AB15" s="81">
        <f ca="1">VLOOKUP($AD15,INDIRECT("'"&amp;$B15&amp;"'!"&amp;"$P$39:$AD$42"),15,FALSE)</f>
        <v>0</v>
      </c>
      <c r="AC15" s="226"/>
      <c r="AD15" s="81">
        <v>2020</v>
      </c>
      <c r="AE15" s="81"/>
      <c r="AF15" s="220"/>
      <c r="AI15" s="224" t="str">
        <f>"I"&amp;LEFT($AJ$12,1)&amp;"DSH"</f>
        <v>ITDSH</v>
      </c>
      <c r="AJ15" s="224" t="str">
        <f>"Industry "&amp;$AJ$12&amp;" Demand Heat Room Heat"</f>
        <v>Industry Transport Demand Heat Room Heat</v>
      </c>
    </row>
    <row r="16" spans="2:36">
      <c r="B16" s="357" t="s">
        <v>998</v>
      </c>
      <c r="D16" s="212"/>
      <c r="E16" s="261"/>
      <c r="F16" s="224" t="s">
        <v>1149</v>
      </c>
      <c r="G16" s="173" t="str">
        <f>$AI$20</f>
        <v>INDTWH</v>
      </c>
      <c r="H16" s="174"/>
      <c r="I16" s="174"/>
      <c r="K16" s="81"/>
      <c r="L16" s="333"/>
      <c r="M16" s="199"/>
      <c r="N16" s="81"/>
      <c r="O16" s="723"/>
      <c r="P16" s="723"/>
      <c r="Q16" s="81"/>
      <c r="R16" s="200"/>
      <c r="S16" s="772"/>
      <c r="T16" s="772"/>
      <c r="U16" s="199">
        <f ca="1">1-U15</f>
        <v>0.77656008937596421</v>
      </c>
      <c r="V16" s="772"/>
      <c r="W16" s="298"/>
      <c r="X16" s="698"/>
      <c r="Y16" s="81"/>
      <c r="Z16" s="81"/>
      <c r="AA16" s="81"/>
      <c r="AB16" s="81"/>
      <c r="AC16" s="226"/>
      <c r="AD16" s="81"/>
      <c r="AE16" s="81"/>
      <c r="AF16" s="220"/>
      <c r="AI16" s="64" t="str">
        <f>"I"&amp;LEFT($AJ$12,1)&amp;"DLA"</f>
        <v>ITDLA</v>
      </c>
      <c r="AJ16" s="224" t="str">
        <f>"Industry "&amp;$AJ$12&amp;" Demand Light Appliances"</f>
        <v>Industry Transport Demand Light Appliances</v>
      </c>
    </row>
    <row r="17" spans="2:36">
      <c r="B17" s="357" t="s">
        <v>998</v>
      </c>
      <c r="D17" s="212"/>
      <c r="E17" s="212"/>
      <c r="F17" s="224" t="s">
        <v>1149</v>
      </c>
      <c r="G17" s="173" t="s">
        <v>499</v>
      </c>
      <c r="H17" s="174" t="str">
        <f>$AI$15</f>
        <v>ITDSH</v>
      </c>
      <c r="I17" s="174"/>
      <c r="J17" s="224">
        <f>AD17</f>
        <v>2030</v>
      </c>
      <c r="K17" s="81"/>
      <c r="L17" s="333">
        <v>1</v>
      </c>
      <c r="M17" s="199">
        <f ca="1">VLOOKUP($AD17,INDIRECT("'"&amp;$B17&amp;"'!"&amp;"$P$39:$AD$42"),3,FALSE)</f>
        <v>4.5792982142857133</v>
      </c>
      <c r="N17" s="81"/>
      <c r="O17" s="723">
        <f ca="1">VLOOKUP($AD17,INDIRECT("'"&amp;$B17&amp;"'!"&amp;"$P$39:$AD$42"),6,FALSE)/1000</f>
        <v>4.8425000000000002</v>
      </c>
      <c r="P17" s="723">
        <f ca="1">VLOOKUP($AD17,INDIRECT("'"&amp;$B17&amp;"'!"&amp;"$P$39:$AD$42"),7,FALSE)/1000</f>
        <v>1.49E-2</v>
      </c>
      <c r="Q17" s="81">
        <f ca="1">VLOOKUP($AD17,INDIRECT("'"&amp;$B17&amp;"'!"&amp;"$P$39:$AD$42"),8,FALSE)</f>
        <v>6.6222222222222227</v>
      </c>
      <c r="R17" s="300"/>
      <c r="S17" s="300"/>
      <c r="T17" s="300"/>
      <c r="U17" s="199">
        <f ca="1">1/M17</f>
        <v>0.21837407244637849</v>
      </c>
      <c r="V17" s="199"/>
      <c r="W17" s="298"/>
      <c r="X17" s="698">
        <f ca="1">IF(VLOOKUP($AD17,INDIRECT("'"&amp;$B17&amp;"'!"&amp;"$P$39:$AD$42"),11,FALSE)="Cf. the utilized electricity",0,VLOOKUP($AD17,INDIRECT("'"&amp;$B17&amp;"'!"&amp;"$P$39:$AD$42"),11,FALSE))</f>
        <v>0</v>
      </c>
      <c r="Y17" s="81">
        <f ca="1">VLOOKUP($AD17,INDIRECT("'"&amp;$B17&amp;"'!"&amp;"$P$39:$AD$42"),12,FALSE)</f>
        <v>0</v>
      </c>
      <c r="Z17" s="81">
        <f ca="1">VLOOKUP($AD17,INDIRECT("'"&amp;$B17&amp;"'!"&amp;"$P$39:$AD$42"),13,FALSE)</f>
        <v>0</v>
      </c>
      <c r="AA17" s="81">
        <f ca="1">VLOOKUP($AD17,INDIRECT("'"&amp;$B17&amp;"'!"&amp;"$P$39:$AD$42"),14,FALSE)</f>
        <v>0</v>
      </c>
      <c r="AB17" s="81">
        <f ca="1">VLOOKUP($AD17,INDIRECT("'"&amp;$B17&amp;"'!"&amp;"$P$39:$AD$42"),15,FALSE)</f>
        <v>0</v>
      </c>
      <c r="AC17" s="226"/>
      <c r="AD17" s="81">
        <v>2030</v>
      </c>
      <c r="AE17" s="81"/>
      <c r="AF17" s="220"/>
      <c r="AI17" s="224" t="str">
        <f>"I"&amp;LEFT($AJ$12,1)&amp;"DEM"</f>
        <v>ITDEM</v>
      </c>
      <c r="AJ17" s="224" t="str">
        <f>"Industry "&amp;$AJ$12&amp;" Demand Electric Motors"</f>
        <v>Industry Transport Demand Electric Motors</v>
      </c>
    </row>
    <row r="18" spans="2:36">
      <c r="B18" s="357" t="s">
        <v>998</v>
      </c>
      <c r="D18" s="212"/>
      <c r="E18" s="212"/>
      <c r="F18" s="224" t="s">
        <v>1149</v>
      </c>
      <c r="G18" s="173" t="str">
        <f>$AI$20</f>
        <v>INDTWH</v>
      </c>
      <c r="H18" s="174"/>
      <c r="I18" s="174"/>
      <c r="K18" s="81"/>
      <c r="L18" s="333"/>
      <c r="M18" s="199"/>
      <c r="N18" s="81"/>
      <c r="O18" s="723"/>
      <c r="P18" s="723"/>
      <c r="Q18" s="81"/>
      <c r="R18" s="300"/>
      <c r="S18" s="300"/>
      <c r="T18" s="300"/>
      <c r="U18" s="199">
        <f ca="1">1-U17</f>
        <v>0.78162592755362148</v>
      </c>
      <c r="V18" s="300"/>
      <c r="W18" s="298"/>
      <c r="X18" s="698"/>
      <c r="Y18" s="81"/>
      <c r="Z18" s="81"/>
      <c r="AA18" s="81"/>
      <c r="AB18" s="81"/>
      <c r="AC18" s="226"/>
      <c r="AD18" s="81"/>
      <c r="AE18" s="81"/>
      <c r="AF18" s="220"/>
      <c r="AI18" s="224" t="str">
        <f>"I"&amp;LEFT($AJ$12,1)&amp;"DTF"</f>
        <v>ITDTF</v>
      </c>
      <c r="AJ18" s="224" t="str">
        <f>"Industry "&amp;$AJ$12&amp;" Demand Tractors, Trucks, Fishing boats, Forest machines"</f>
        <v>Industry Transport Demand Tractors, Trucks, Fishing boats, Forest machines</v>
      </c>
    </row>
    <row r="19" spans="2:36">
      <c r="B19" s="357" t="s">
        <v>998</v>
      </c>
      <c r="D19" s="212"/>
      <c r="E19" s="212"/>
      <c r="F19" s="224" t="s">
        <v>1149</v>
      </c>
      <c r="G19" s="173" t="s">
        <v>499</v>
      </c>
      <c r="H19" s="174" t="str">
        <f>$AI$15</f>
        <v>ITDSH</v>
      </c>
      <c r="I19" s="174"/>
      <c r="J19" s="224">
        <f>AD19</f>
        <v>2050</v>
      </c>
      <c r="K19" s="81"/>
      <c r="L19" s="333">
        <v>1</v>
      </c>
      <c r="M19" s="199">
        <f ca="1">VLOOKUP($AD19,INDIRECT("'"&amp;$B19&amp;"'!"&amp;"$P$39:$AD$42"),3,FALSE)</f>
        <v>4.7191030203571422</v>
      </c>
      <c r="N19" s="81"/>
      <c r="O19" s="723">
        <f ca="1">VLOOKUP($AD19,INDIRECT("'"&amp;$B19&amp;"'!"&amp;"$P$39:$AD$42"),6,FALSE)/1000</f>
        <v>4.3209999999999997</v>
      </c>
      <c r="P19" s="723">
        <f ca="1">VLOOKUP($AD19,INDIRECT("'"&amp;$B19&amp;"'!"&amp;"$P$39:$AD$42"),7,FALSE)/1000</f>
        <v>1.49E-2</v>
      </c>
      <c r="Q19" s="81">
        <f ca="1">VLOOKUP($AD19,INDIRECT("'"&amp;$B19&amp;"'!"&amp;"$P$39:$AD$42"),8,FALSE)</f>
        <v>6.4566666666666661</v>
      </c>
      <c r="R19" s="300"/>
      <c r="S19" s="300"/>
      <c r="T19" s="300"/>
      <c r="U19" s="199">
        <f ca="1">1/M19</f>
        <v>0.21190467673331698</v>
      </c>
      <c r="V19" s="199"/>
      <c r="W19" s="298"/>
      <c r="X19" s="698">
        <f ca="1">IF(VLOOKUP($AD19,INDIRECT("'"&amp;$B19&amp;"'!"&amp;"$P$39:$AD$42"),11,FALSE)="Cf. the utilized electricity",0,VLOOKUP($AD19,INDIRECT("'"&amp;$B19&amp;"'!"&amp;"$P$39:$AD$42"),11,FALSE))</f>
        <v>0</v>
      </c>
      <c r="Y19" s="81">
        <f ca="1">VLOOKUP($AD19,INDIRECT("'"&amp;$B19&amp;"'!"&amp;"$P$39:$AD$42"),12,FALSE)</f>
        <v>0</v>
      </c>
      <c r="Z19" s="81">
        <f ca="1">VLOOKUP($AD19,INDIRECT("'"&amp;$B19&amp;"'!"&amp;"$P$39:$AD$42"),13,FALSE)</f>
        <v>0</v>
      </c>
      <c r="AA19" s="81">
        <f ca="1">VLOOKUP($AD19,INDIRECT("'"&amp;$B19&amp;"'!"&amp;"$P$39:$AD$42"),14,FALSE)</f>
        <v>0</v>
      </c>
      <c r="AB19" s="81">
        <f ca="1">VLOOKUP($AD19,INDIRECT("'"&amp;$B19&amp;"'!"&amp;"$P$39:$AD$42"),15,FALSE)</f>
        <v>0</v>
      </c>
      <c r="AC19" s="226"/>
      <c r="AD19" s="81">
        <v>2050</v>
      </c>
      <c r="AE19" s="81"/>
      <c r="AF19" s="220"/>
      <c r="AI19" s="224" t="str">
        <f>"I"&amp;LEFT($AJ$12,1)&amp;"DFL"</f>
        <v>ITDFL</v>
      </c>
      <c r="AJ19" s="224" t="str">
        <f>"Industry "&amp;$AJ$12&amp;" Demand Forklifts"</f>
        <v>Industry Transport Demand Forklifts</v>
      </c>
    </row>
    <row r="20" spans="2:36">
      <c r="B20" s="357" t="s">
        <v>998</v>
      </c>
      <c r="D20" s="212"/>
      <c r="E20" s="212"/>
      <c r="F20" s="224" t="s">
        <v>1149</v>
      </c>
      <c r="G20" s="173" t="str">
        <f>$AI$20</f>
        <v>INDTWH</v>
      </c>
      <c r="H20" s="174"/>
      <c r="I20" s="174"/>
      <c r="K20" s="81"/>
      <c r="L20" s="333"/>
      <c r="M20" s="199"/>
      <c r="N20" s="81"/>
      <c r="O20" s="723"/>
      <c r="P20" s="723"/>
      <c r="Q20" s="81"/>
      <c r="R20" s="300"/>
      <c r="S20" s="300"/>
      <c r="T20" s="300"/>
      <c r="U20" s="199">
        <f ca="1">1-U19</f>
        <v>0.78809532326668297</v>
      </c>
      <c r="V20" s="300"/>
      <c r="W20" s="298"/>
      <c r="X20" s="698"/>
      <c r="Y20" s="81"/>
      <c r="Z20" s="81"/>
      <c r="AA20" s="81"/>
      <c r="AB20" s="81"/>
      <c r="AC20" s="226"/>
      <c r="AD20" s="81"/>
      <c r="AE20" s="81"/>
      <c r="AF20" s="220"/>
      <c r="AI20" s="36" t="str">
        <f>"IND"&amp;LEFT($AJ$12,1)&amp;"WH"</f>
        <v>INDTWH</v>
      </c>
      <c r="AJ20" s="224" t="str">
        <f>"Industry "&amp;$AJ$12&amp;" Waste Heat"</f>
        <v>Industry Transport Waste Heat</v>
      </c>
    </row>
    <row r="21" spans="2:36">
      <c r="B21" s="357" t="s">
        <v>999</v>
      </c>
      <c r="D21" s="212" t="str">
        <f>"IND"&amp;RIGHT(H21,4)&amp;RIGHT(G21,3)&amp;"N"&amp;RIGHT(E21,1)</f>
        <v>INDTDPHELCN2</v>
      </c>
      <c r="E21" s="261" t="str">
        <f>"Industrial heating technology "&amp;$AJ$12&amp;" "&amp;RIGHT(H21,2)&amp;" - Heat driven heat pump utilizing waste heat - new 2"</f>
        <v>Industrial heating technology Transport PH - Heat driven heat pump utilizing waste heat - new 2</v>
      </c>
      <c r="F21" s="224" t="s">
        <v>1149</v>
      </c>
      <c r="G21" s="173" t="s">
        <v>499</v>
      </c>
      <c r="H21" s="174" t="str">
        <f>$AI$14</f>
        <v>ITDPH</v>
      </c>
      <c r="I21" s="174"/>
      <c r="J21" s="224">
        <f t="shared" ref="J21" si="0">AD21</f>
        <v>2020</v>
      </c>
      <c r="K21" s="81">
        <v>2020</v>
      </c>
      <c r="L21" s="333">
        <v>1</v>
      </c>
      <c r="M21" s="199">
        <f ca="1">VLOOKUP($AD21,INDIRECT("'"&amp;$B21&amp;"'!"&amp;"$P$39:$AD$42"),3,FALSE)</f>
        <v>1.68</v>
      </c>
      <c r="N21" s="81">
        <f ca="1">VLOOKUP($AD21,INDIRECT("'"&amp;$B21&amp;"'!"&amp;"$P$39:$AD$42"),5,FALSE)</f>
        <v>20</v>
      </c>
      <c r="O21" s="723">
        <f ca="1">VLOOKUP($AD21,INDIRECT("'"&amp;$B21&amp;"'!"&amp;"$P$39:$AD$42"),6,FALSE)/1000</f>
        <v>4.1720000000000006</v>
      </c>
      <c r="P21" s="723">
        <f ca="1">VLOOKUP($AD21,INDIRECT("'"&amp;$B21&amp;"'!"&amp;"$P$39:$AD$42"),7,FALSE)/1000</f>
        <v>1.49E-2</v>
      </c>
      <c r="Q21" s="81">
        <f ca="1">VLOOKUP($AD21,INDIRECT("'"&amp;$B21&amp;"'!"&amp;"$P$39:$AD$42"),8,FALSE)</f>
        <v>2.0901388888888892</v>
      </c>
      <c r="R21" s="81">
        <v>3.1536000000000002E-2</v>
      </c>
      <c r="S21" s="199">
        <v>0.5</v>
      </c>
      <c r="T21" s="199">
        <f ca="1">HLOOKUP($T$2,INDIRECT("'"&amp;$B21&amp;"'!"&amp;"$P$6:$AC$19"),IF(H21=$AI$13,6,IF(H21=$AI$14,9,14)),FALSE)</f>
        <v>0</v>
      </c>
      <c r="U21" s="199">
        <f ca="1">1/M21</f>
        <v>0.59523809523809523</v>
      </c>
      <c r="V21" s="199"/>
      <c r="W21" s="298"/>
      <c r="X21" s="698">
        <f ca="1">IF(VLOOKUP($AD21,INDIRECT("'"&amp;$B21&amp;"'!"&amp;"$P$39:$AD$42"),11,FALSE)="Cf. the utilized electricity",0,VLOOKUP($AD21,INDIRECT("'"&amp;$B21&amp;"'!"&amp;"$P$39:$AD$42"),11,FALSE))</f>
        <v>0</v>
      </c>
      <c r="Y21" s="81">
        <f ca="1">VLOOKUP($AD21,INDIRECT("'"&amp;$B21&amp;"'!"&amp;"$P$39:$AD$42"),12,FALSE)</f>
        <v>0</v>
      </c>
      <c r="Z21" s="81">
        <f ca="1">VLOOKUP($AD21,INDIRECT("'"&amp;$B21&amp;"'!"&amp;"$P$39:$AD$42"),13,FALSE)</f>
        <v>0</v>
      </c>
      <c r="AA21" s="81">
        <f ca="1">VLOOKUP($AD21,INDIRECT("'"&amp;$B21&amp;"'!"&amp;"$P$39:$AD$42"),14,FALSE)</f>
        <v>0</v>
      </c>
      <c r="AB21" s="81">
        <f ca="1">VLOOKUP($AD21,INDIRECT("'"&amp;$B21&amp;"'!"&amp;"$P$39:$AD$42"),15,FALSE)</f>
        <v>0</v>
      </c>
      <c r="AC21" s="226"/>
      <c r="AD21" s="81">
        <v>2020</v>
      </c>
      <c r="AE21" s="81"/>
      <c r="AF21" s="220"/>
      <c r="AI21" s="224" t="str">
        <f>"I"&amp;LEFT($AJ$12,1)&amp;"DCO"</f>
        <v>ITDCO</v>
      </c>
      <c r="AJ21" s="224" t="str">
        <f>"Industry "&amp;$AJ$12&amp;" Cooling"</f>
        <v>Industry Transport Cooling</v>
      </c>
    </row>
    <row r="22" spans="2:36">
      <c r="B22" s="357" t="s">
        <v>999</v>
      </c>
      <c r="D22" s="212"/>
      <c r="E22" s="261"/>
      <c r="F22" s="224" t="s">
        <v>1149</v>
      </c>
      <c r="G22" s="173" t="str">
        <f>$AI$20</f>
        <v>INDTWH</v>
      </c>
      <c r="H22" s="174"/>
      <c r="I22" s="174"/>
      <c r="K22" s="81"/>
      <c r="L22" s="333"/>
      <c r="M22" s="199"/>
      <c r="N22" s="81"/>
      <c r="O22" s="723"/>
      <c r="P22" s="723"/>
      <c r="Q22" s="81"/>
      <c r="R22" s="200"/>
      <c r="S22" s="772"/>
      <c r="T22" s="772"/>
      <c r="U22" s="199">
        <f ca="1">1-U21</f>
        <v>0.40476190476190477</v>
      </c>
      <c r="V22" s="772"/>
      <c r="W22" s="298"/>
      <c r="X22" s="698"/>
      <c r="Y22" s="81"/>
      <c r="Z22" s="81"/>
      <c r="AA22" s="81"/>
      <c r="AB22" s="81"/>
      <c r="AC22" s="226"/>
      <c r="AD22" s="81"/>
      <c r="AE22" s="81"/>
      <c r="AF22" s="220"/>
      <c r="AI22" s="224">
        <v>1</v>
      </c>
    </row>
    <row r="23" spans="2:36">
      <c r="B23" s="357" t="s">
        <v>999</v>
      </c>
      <c r="D23" s="212"/>
      <c r="E23" s="212"/>
      <c r="F23" s="224" t="s">
        <v>1149</v>
      </c>
      <c r="G23" s="173" t="s">
        <v>499</v>
      </c>
      <c r="H23" s="174" t="str">
        <f>$AI$14</f>
        <v>ITDPH</v>
      </c>
      <c r="I23" s="174"/>
      <c r="J23" s="224">
        <f t="shared" ref="J23" si="1">AD23</f>
        <v>2030</v>
      </c>
      <c r="K23" s="81"/>
      <c r="L23" s="333">
        <v>1</v>
      </c>
      <c r="M23" s="199">
        <f ca="1">VLOOKUP($AD23,INDIRECT("'"&amp;$B23&amp;"'!"&amp;"$P$39:$AD$42"),3,FALSE)</f>
        <v>1.69</v>
      </c>
      <c r="N23" s="81"/>
      <c r="O23" s="723">
        <f ca="1">VLOOKUP($AD23,INDIRECT("'"&amp;$B23&amp;"'!"&amp;"$P$39:$AD$42"),6,FALSE)/1000</f>
        <v>3.7995000000000001</v>
      </c>
      <c r="P23" s="723">
        <f ca="1">VLOOKUP($AD23,INDIRECT("'"&amp;$B23&amp;"'!"&amp;"$P$39:$AD$42"),7,FALSE)/1000</f>
        <v>1.49E-2</v>
      </c>
      <c r="Q23" s="81">
        <f ca="1">VLOOKUP($AD23,INDIRECT("'"&amp;$B23&amp;"'!"&amp;"$P$39:$AD$42"),8,FALSE)</f>
        <v>2.0694444444444446</v>
      </c>
      <c r="R23" s="300"/>
      <c r="S23" s="300"/>
      <c r="T23" s="300"/>
      <c r="U23" s="199">
        <f ca="1">1/M23</f>
        <v>0.59171597633136097</v>
      </c>
      <c r="V23" s="199"/>
      <c r="W23" s="298"/>
      <c r="X23" s="698">
        <f ca="1">IF(VLOOKUP($AD23,INDIRECT("'"&amp;$B23&amp;"'!"&amp;"$P$39:$AD$42"),11,FALSE)="Cf. the utilized electricity",0,VLOOKUP($AD23,INDIRECT("'"&amp;$B23&amp;"'!"&amp;"$P$39:$AD$42"),11,FALSE))</f>
        <v>0</v>
      </c>
      <c r="Y23" s="81">
        <f ca="1">VLOOKUP($AD23,INDIRECT("'"&amp;$B23&amp;"'!"&amp;"$P$39:$AD$42"),12,FALSE)</f>
        <v>0</v>
      </c>
      <c r="Z23" s="81">
        <f ca="1">VLOOKUP($AD23,INDIRECT("'"&amp;$B23&amp;"'!"&amp;"$P$39:$AD$42"),13,FALSE)</f>
        <v>0</v>
      </c>
      <c r="AA23" s="81">
        <f ca="1">VLOOKUP($AD23,INDIRECT("'"&amp;$B23&amp;"'!"&amp;"$P$39:$AD$42"),14,FALSE)</f>
        <v>0</v>
      </c>
      <c r="AB23" s="81">
        <f ca="1">VLOOKUP($AD23,INDIRECT("'"&amp;$B23&amp;"'!"&amp;"$P$39:$AD$42"),15,FALSE)</f>
        <v>0</v>
      </c>
      <c r="AC23" s="226"/>
      <c r="AD23" s="81">
        <v>2030</v>
      </c>
      <c r="AE23" s="81"/>
      <c r="AF23" s="220"/>
      <c r="AI23" s="224">
        <v>2</v>
      </c>
    </row>
    <row r="24" spans="2:36" ht="14.5" customHeight="1">
      <c r="B24" s="357" t="s">
        <v>999</v>
      </c>
      <c r="D24" s="212"/>
      <c r="E24" s="212"/>
      <c r="F24" s="224" t="s">
        <v>1149</v>
      </c>
      <c r="G24" s="173" t="str">
        <f>$AI$20</f>
        <v>INDTWH</v>
      </c>
      <c r="H24" s="174"/>
      <c r="I24" s="174"/>
      <c r="K24" s="81"/>
      <c r="L24" s="333"/>
      <c r="M24" s="199"/>
      <c r="N24" s="81"/>
      <c r="O24" s="723"/>
      <c r="P24" s="723"/>
      <c r="Q24" s="81"/>
      <c r="R24" s="300"/>
      <c r="S24" s="300"/>
      <c r="T24" s="300"/>
      <c r="U24" s="199">
        <f ca="1">1-U23</f>
        <v>0.40828402366863903</v>
      </c>
      <c r="V24" s="300"/>
      <c r="W24" s="298"/>
      <c r="X24" s="698"/>
      <c r="Y24" s="81"/>
      <c r="Z24" s="81"/>
      <c r="AA24" s="81"/>
      <c r="AB24" s="81"/>
      <c r="AC24" s="226"/>
      <c r="AD24" s="81"/>
      <c r="AE24" s="81"/>
      <c r="AF24" s="220"/>
      <c r="AI24" s="224">
        <v>3</v>
      </c>
    </row>
    <row r="25" spans="2:36" ht="14.5" customHeight="1">
      <c r="B25" s="357" t="s">
        <v>999</v>
      </c>
      <c r="D25" s="212"/>
      <c r="E25" s="212"/>
      <c r="F25" s="224" t="s">
        <v>1149</v>
      </c>
      <c r="G25" s="173" t="s">
        <v>499</v>
      </c>
      <c r="H25" s="174" t="str">
        <f>$AI$14</f>
        <v>ITDPH</v>
      </c>
      <c r="I25" s="174"/>
      <c r="J25" s="224">
        <f t="shared" ref="J25" si="2">AD25</f>
        <v>2050</v>
      </c>
      <c r="K25" s="81"/>
      <c r="L25" s="333">
        <v>1</v>
      </c>
      <c r="M25" s="199">
        <f ca="1">VLOOKUP($AD25,INDIRECT("'"&amp;$B25&amp;"'!"&amp;"$P$39:$AD$42"),3,FALSE)</f>
        <v>1.71</v>
      </c>
      <c r="N25" s="81"/>
      <c r="O25" s="723">
        <f ca="1">VLOOKUP($AD25,INDIRECT("'"&amp;$B25&amp;"'!"&amp;"$P$39:$AD$42"),6,FALSE)/1000</f>
        <v>3.427</v>
      </c>
      <c r="P25" s="723">
        <f ca="1">VLOOKUP($AD25,INDIRECT("'"&amp;$B25&amp;"'!"&amp;"$P$39:$AD$42"),7,FALSE)/1000</f>
        <v>1.49E-2</v>
      </c>
      <c r="Q25" s="81">
        <f ca="1">VLOOKUP($AD25,INDIRECT("'"&amp;$B25&amp;"'!"&amp;"$P$39:$AD$42"),8,FALSE)</f>
        <v>2.0487500000000001</v>
      </c>
      <c r="R25" s="300"/>
      <c r="S25" s="300"/>
      <c r="T25" s="300"/>
      <c r="U25" s="199">
        <f ca="1">1/M25</f>
        <v>0.58479532163742687</v>
      </c>
      <c r="V25" s="199"/>
      <c r="W25" s="298"/>
      <c r="X25" s="698">
        <f ca="1">IF(VLOOKUP($AD25,INDIRECT("'"&amp;$B25&amp;"'!"&amp;"$P$39:$AD$42"),11,FALSE)="Cf. the utilized electricity",0,VLOOKUP($AD25,INDIRECT("'"&amp;$B25&amp;"'!"&amp;"$P$39:$AD$42"),11,FALSE))</f>
        <v>0</v>
      </c>
      <c r="Y25" s="81">
        <f ca="1">VLOOKUP($AD25,INDIRECT("'"&amp;$B25&amp;"'!"&amp;"$P$39:$AD$42"),12,FALSE)</f>
        <v>0</v>
      </c>
      <c r="Z25" s="81">
        <f ca="1">VLOOKUP($AD25,INDIRECT("'"&amp;$B25&amp;"'!"&amp;"$P$39:$AD$42"),13,FALSE)</f>
        <v>0</v>
      </c>
      <c r="AA25" s="81">
        <f ca="1">VLOOKUP($AD25,INDIRECT("'"&amp;$B25&amp;"'!"&amp;"$P$39:$AD$42"),14,FALSE)</f>
        <v>0</v>
      </c>
      <c r="AB25" s="81">
        <f ca="1">VLOOKUP($AD25,INDIRECT("'"&amp;$B25&amp;"'!"&amp;"$P$39:$AD$42"),15,FALSE)</f>
        <v>0</v>
      </c>
      <c r="AC25" s="226"/>
      <c r="AD25" s="81">
        <v>2050</v>
      </c>
      <c r="AE25" s="81"/>
      <c r="AF25" s="220"/>
      <c r="AI25" s="224">
        <v>4</v>
      </c>
    </row>
    <row r="26" spans="2:36" ht="15" customHeight="1">
      <c r="B26" s="357" t="s">
        <v>999</v>
      </c>
      <c r="D26" s="212"/>
      <c r="E26" s="212"/>
      <c r="F26" s="224" t="s">
        <v>1149</v>
      </c>
      <c r="G26" s="173" t="str">
        <f>$AI$20</f>
        <v>INDTWH</v>
      </c>
      <c r="H26" s="174"/>
      <c r="I26" s="174"/>
      <c r="K26" s="81"/>
      <c r="L26" s="333"/>
      <c r="M26" s="199"/>
      <c r="N26" s="81"/>
      <c r="O26" s="723"/>
      <c r="P26" s="723"/>
      <c r="Q26" s="81"/>
      <c r="R26" s="300"/>
      <c r="S26" s="300"/>
      <c r="T26" s="300"/>
      <c r="U26" s="199">
        <f ca="1">1-U25</f>
        <v>0.41520467836257313</v>
      </c>
      <c r="V26" s="300"/>
      <c r="W26" s="298"/>
      <c r="X26" s="698"/>
      <c r="Y26" s="81"/>
      <c r="Z26" s="81"/>
      <c r="AA26" s="81"/>
      <c r="AB26" s="81"/>
      <c r="AC26" s="226"/>
      <c r="AD26" s="81"/>
      <c r="AE26" s="81"/>
      <c r="AF26" s="220"/>
      <c r="AI26" s="224">
        <v>5</v>
      </c>
      <c r="AJ26" s="224" t="s">
        <v>715</v>
      </c>
    </row>
    <row r="27" spans="2:36">
      <c r="B27" s="357" t="s">
        <v>999</v>
      </c>
      <c r="D27" s="212" t="str">
        <f>"IND"&amp;RIGHT(H27,4)&amp;RIGHT(G27,3)&amp;"N"&amp;RIGHT(E27,1)</f>
        <v>INDTDSHELCN2</v>
      </c>
      <c r="E27" s="261" t="str">
        <f>"Industrial heating technology "&amp;$AJ$12&amp;" "&amp;RIGHT(H27,2)&amp;" - Heat driven heat pump utilizing waste heat - new 2"</f>
        <v>Industrial heating technology Transport SH - Heat driven heat pump utilizing waste heat - new 2</v>
      </c>
      <c r="F27" s="224" t="s">
        <v>1149</v>
      </c>
      <c r="G27" s="173" t="s">
        <v>499</v>
      </c>
      <c r="H27" s="174" t="str">
        <f>$AI$15</f>
        <v>ITDSH</v>
      </c>
      <c r="I27" s="174"/>
      <c r="J27" s="224">
        <f t="shared" ref="J27" si="3">AD27</f>
        <v>2020</v>
      </c>
      <c r="K27" s="81">
        <v>2020</v>
      </c>
      <c r="L27" s="333">
        <v>1</v>
      </c>
      <c r="M27" s="199">
        <f ca="1">VLOOKUP($AD27,INDIRECT("'"&amp;$B27&amp;"'!"&amp;"$P$39:$AD$42"),3,FALSE)</f>
        <v>1.68</v>
      </c>
      <c r="N27" s="81">
        <f ca="1">VLOOKUP($AD27,INDIRECT("'"&amp;$B27&amp;"'!"&amp;"$P$39:$AD$42"),5,FALSE)</f>
        <v>20</v>
      </c>
      <c r="O27" s="723">
        <f ca="1">VLOOKUP($AD27,INDIRECT("'"&amp;$B27&amp;"'!"&amp;"$P$39:$AD$42"),6,FALSE)/1000</f>
        <v>4.1720000000000006</v>
      </c>
      <c r="P27" s="723">
        <f ca="1">VLOOKUP($AD27,INDIRECT("'"&amp;$B27&amp;"'!"&amp;"$P$39:$AD$42"),7,FALSE)/1000</f>
        <v>1.49E-2</v>
      </c>
      <c r="Q27" s="81">
        <f ca="1">VLOOKUP($AD27,INDIRECT("'"&amp;$B27&amp;"'!"&amp;"$P$39:$AD$42"),8,FALSE)</f>
        <v>2.0901388888888892</v>
      </c>
      <c r="R27" s="81">
        <v>3.1536000000000002E-2</v>
      </c>
      <c r="S27" s="199">
        <v>0.5</v>
      </c>
      <c r="T27" s="199">
        <f ca="1">HLOOKUP($T$2,INDIRECT("'"&amp;$B27&amp;"'!"&amp;"$P$6:$AC$19"),IF(H27=$AI$13,6,IF(H27=$AI$14,9,14)),FALSE)</f>
        <v>1</v>
      </c>
      <c r="U27" s="199">
        <f ca="1">1/M27</f>
        <v>0.59523809523809523</v>
      </c>
      <c r="V27" s="199"/>
      <c r="W27" s="298"/>
      <c r="X27" s="698">
        <f ca="1">IF(VLOOKUP($AD27,INDIRECT("'"&amp;$B27&amp;"'!"&amp;"$P$39:$AD$42"),11,FALSE)="Cf. the utilized electricity",0,VLOOKUP($AD27,INDIRECT("'"&amp;$B27&amp;"'!"&amp;"$P$39:$AD$42"),11,FALSE))</f>
        <v>0</v>
      </c>
      <c r="Y27" s="81">
        <f ca="1">VLOOKUP($AD27,INDIRECT("'"&amp;$B27&amp;"'!"&amp;"$P$39:$AD$42"),12,FALSE)</f>
        <v>0</v>
      </c>
      <c r="Z27" s="81">
        <f ca="1">VLOOKUP($AD27,INDIRECT("'"&amp;$B27&amp;"'!"&amp;"$P$39:$AD$42"),13,FALSE)</f>
        <v>0</v>
      </c>
      <c r="AA27" s="81">
        <f ca="1">VLOOKUP($AD27,INDIRECT("'"&amp;$B27&amp;"'!"&amp;"$P$39:$AD$42"),14,FALSE)</f>
        <v>0</v>
      </c>
      <c r="AB27" s="81">
        <f ca="1">VLOOKUP($AD27,INDIRECT("'"&amp;$B27&amp;"'!"&amp;"$P$39:$AD$42"),15,FALSE)</f>
        <v>0</v>
      </c>
      <c r="AD27" s="81">
        <v>2020</v>
      </c>
      <c r="AE27" s="81"/>
      <c r="AF27" s="220"/>
      <c r="AI27" s="224">
        <v>6</v>
      </c>
    </row>
    <row r="28" spans="2:36" ht="15" customHeight="1">
      <c r="B28" s="357" t="s">
        <v>999</v>
      </c>
      <c r="D28" s="212"/>
      <c r="E28" s="261"/>
      <c r="F28" s="224" t="s">
        <v>1149</v>
      </c>
      <c r="G28" s="173" t="str">
        <f>$AI$20</f>
        <v>INDTWH</v>
      </c>
      <c r="H28" s="174"/>
      <c r="I28" s="174"/>
      <c r="K28" s="81"/>
      <c r="L28" s="333"/>
      <c r="M28" s="199"/>
      <c r="N28" s="81"/>
      <c r="O28" s="723"/>
      <c r="P28" s="723"/>
      <c r="Q28" s="81"/>
      <c r="R28" s="200"/>
      <c r="S28" s="772"/>
      <c r="T28" s="772"/>
      <c r="U28" s="199">
        <f ca="1">1-U27</f>
        <v>0.40476190476190477</v>
      </c>
      <c r="V28" s="772"/>
      <c r="W28" s="298"/>
      <c r="X28" s="698"/>
      <c r="Y28" s="81"/>
      <c r="Z28" s="81"/>
      <c r="AA28" s="81"/>
      <c r="AB28" s="81"/>
      <c r="AD28" s="81"/>
      <c r="AE28" s="81"/>
      <c r="AF28" s="220"/>
      <c r="AI28" s="224">
        <v>7</v>
      </c>
      <c r="AJ28" s="224" t="s">
        <v>716</v>
      </c>
    </row>
    <row r="29" spans="2:36">
      <c r="B29" s="357" t="s">
        <v>999</v>
      </c>
      <c r="D29" s="212"/>
      <c r="E29" s="212"/>
      <c r="F29" s="224" t="s">
        <v>1149</v>
      </c>
      <c r="G29" s="173" t="s">
        <v>499</v>
      </c>
      <c r="H29" s="174" t="str">
        <f>$AI$15</f>
        <v>ITDSH</v>
      </c>
      <c r="I29" s="174"/>
      <c r="J29" s="224">
        <f t="shared" ref="J29" si="4">AD29</f>
        <v>2030</v>
      </c>
      <c r="K29" s="81"/>
      <c r="L29" s="333">
        <v>1</v>
      </c>
      <c r="M29" s="199">
        <f ca="1">VLOOKUP($AD29,INDIRECT("'"&amp;$B29&amp;"'!"&amp;"$P$39:$AD$42"),3,FALSE)</f>
        <v>1.69</v>
      </c>
      <c r="N29" s="81"/>
      <c r="O29" s="723">
        <f ca="1">VLOOKUP($AD29,INDIRECT("'"&amp;$B29&amp;"'!"&amp;"$P$39:$AD$42"),6,FALSE)/1000</f>
        <v>3.7995000000000001</v>
      </c>
      <c r="P29" s="723">
        <f ca="1">VLOOKUP($AD29,INDIRECT("'"&amp;$B29&amp;"'!"&amp;"$P$39:$AD$42"),7,FALSE)/1000</f>
        <v>1.49E-2</v>
      </c>
      <c r="Q29" s="81">
        <f ca="1">VLOOKUP($AD29,INDIRECT("'"&amp;$B29&amp;"'!"&amp;"$P$39:$AD$42"),8,FALSE)</f>
        <v>2.0694444444444446</v>
      </c>
      <c r="R29" s="300"/>
      <c r="S29" s="300"/>
      <c r="T29" s="300"/>
      <c r="U29" s="199">
        <f ca="1">1/M29</f>
        <v>0.59171597633136097</v>
      </c>
      <c r="V29" s="199"/>
      <c r="W29" s="298"/>
      <c r="X29" s="698">
        <f ca="1">IF(VLOOKUP($AD29,INDIRECT("'"&amp;$B29&amp;"'!"&amp;"$P$39:$AD$42"),11,FALSE)="Cf. the utilized electricity",0,VLOOKUP($AD29,INDIRECT("'"&amp;$B29&amp;"'!"&amp;"$P$39:$AD$42"),11,FALSE))</f>
        <v>0</v>
      </c>
      <c r="Y29" s="81">
        <f ca="1">VLOOKUP($AD29,INDIRECT("'"&amp;$B29&amp;"'!"&amp;"$P$39:$AD$42"),12,FALSE)</f>
        <v>0</v>
      </c>
      <c r="Z29" s="81">
        <f ca="1">VLOOKUP($AD29,INDIRECT("'"&amp;$B29&amp;"'!"&amp;"$P$39:$AD$42"),13,FALSE)</f>
        <v>0</v>
      </c>
      <c r="AA29" s="81">
        <f ca="1">VLOOKUP($AD29,INDIRECT("'"&amp;$B29&amp;"'!"&amp;"$P$39:$AD$42"),14,FALSE)</f>
        <v>0</v>
      </c>
      <c r="AB29" s="81">
        <f ca="1">VLOOKUP($AD29,INDIRECT("'"&amp;$B29&amp;"'!"&amp;"$P$39:$AD$42"),15,FALSE)</f>
        <v>0</v>
      </c>
      <c r="AD29" s="81">
        <v>2030</v>
      </c>
      <c r="AE29" s="81"/>
      <c r="AF29" s="220"/>
      <c r="AI29" s="224">
        <v>8</v>
      </c>
    </row>
    <row r="30" spans="2:36" ht="15" customHeight="1">
      <c r="B30" s="357" t="s">
        <v>999</v>
      </c>
      <c r="D30" s="212"/>
      <c r="E30" s="212"/>
      <c r="F30" s="224" t="s">
        <v>1149</v>
      </c>
      <c r="G30" s="173" t="str">
        <f>$AI$20</f>
        <v>INDTWH</v>
      </c>
      <c r="H30" s="174"/>
      <c r="I30" s="174"/>
      <c r="K30" s="81"/>
      <c r="L30" s="333"/>
      <c r="M30" s="199"/>
      <c r="N30" s="81"/>
      <c r="O30" s="723"/>
      <c r="P30" s="723"/>
      <c r="Q30" s="81"/>
      <c r="R30" s="300"/>
      <c r="S30" s="300"/>
      <c r="T30" s="300"/>
      <c r="U30" s="199">
        <f ca="1">1-U29</f>
        <v>0.40828402366863903</v>
      </c>
      <c r="V30" s="300"/>
      <c r="W30" s="298"/>
      <c r="X30" s="698"/>
      <c r="Y30" s="81"/>
      <c r="Z30" s="81"/>
      <c r="AA30" s="81"/>
      <c r="AB30" s="81"/>
      <c r="AD30" s="81"/>
      <c r="AE30" s="81"/>
      <c r="AF30" s="220"/>
      <c r="AI30" s="224">
        <v>9</v>
      </c>
      <c r="AJ30" s="224" t="s">
        <v>717</v>
      </c>
    </row>
    <row r="31" spans="2:36">
      <c r="B31" s="357" t="s">
        <v>999</v>
      </c>
      <c r="D31" s="212"/>
      <c r="E31" s="212"/>
      <c r="F31" s="224" t="s">
        <v>1149</v>
      </c>
      <c r="G31" s="173" t="s">
        <v>499</v>
      </c>
      <c r="H31" s="174" t="str">
        <f>$AI$15</f>
        <v>ITDSH</v>
      </c>
      <c r="I31" s="174"/>
      <c r="J31" s="224">
        <f t="shared" ref="J31" si="5">AD31</f>
        <v>2050</v>
      </c>
      <c r="K31" s="81"/>
      <c r="L31" s="333">
        <v>1</v>
      </c>
      <c r="M31" s="199">
        <f ca="1">VLOOKUP($AD31,INDIRECT("'"&amp;$B31&amp;"'!"&amp;"$P$39:$AD$42"),3,FALSE)</f>
        <v>1.71</v>
      </c>
      <c r="N31" s="81"/>
      <c r="O31" s="723">
        <f ca="1">VLOOKUP($AD31,INDIRECT("'"&amp;$B31&amp;"'!"&amp;"$P$39:$AD$42"),6,FALSE)/1000</f>
        <v>3.427</v>
      </c>
      <c r="P31" s="723">
        <f ca="1">VLOOKUP($AD31,INDIRECT("'"&amp;$B31&amp;"'!"&amp;"$P$39:$AD$42"),7,FALSE)/1000</f>
        <v>1.49E-2</v>
      </c>
      <c r="Q31" s="81">
        <f ca="1">VLOOKUP($AD31,INDIRECT("'"&amp;$B31&amp;"'!"&amp;"$P$39:$AD$42"),8,FALSE)</f>
        <v>2.0487500000000001</v>
      </c>
      <c r="R31" s="300"/>
      <c r="S31" s="300"/>
      <c r="T31" s="300"/>
      <c r="U31" s="199">
        <f ca="1">1/M31</f>
        <v>0.58479532163742687</v>
      </c>
      <c r="V31" s="199"/>
      <c r="W31" s="298"/>
      <c r="X31" s="698">
        <f ca="1">IF(VLOOKUP($AD31,INDIRECT("'"&amp;$B31&amp;"'!"&amp;"$P$39:$AD$42"),11,FALSE)="Cf. the utilized electricity",0,VLOOKUP($AD31,INDIRECT("'"&amp;$B31&amp;"'!"&amp;"$P$39:$AD$42"),11,FALSE))</f>
        <v>0</v>
      </c>
      <c r="Y31" s="81">
        <f ca="1">VLOOKUP($AD31,INDIRECT("'"&amp;$B31&amp;"'!"&amp;"$P$39:$AD$42"),12,FALSE)</f>
        <v>0</v>
      </c>
      <c r="Z31" s="81">
        <f ca="1">VLOOKUP($AD31,INDIRECT("'"&amp;$B31&amp;"'!"&amp;"$P$39:$AD$42"),13,FALSE)</f>
        <v>0</v>
      </c>
      <c r="AA31" s="81">
        <f ca="1">VLOOKUP($AD31,INDIRECT("'"&amp;$B31&amp;"'!"&amp;"$P$39:$AD$42"),14,FALSE)</f>
        <v>0</v>
      </c>
      <c r="AB31" s="81">
        <f ca="1">VLOOKUP($AD31,INDIRECT("'"&amp;$B31&amp;"'!"&amp;"$P$39:$AD$42"),15,FALSE)</f>
        <v>0</v>
      </c>
      <c r="AD31" s="81">
        <v>2050</v>
      </c>
      <c r="AE31" s="81"/>
      <c r="AF31" s="220"/>
      <c r="AI31" s="224">
        <v>10</v>
      </c>
    </row>
    <row r="32" spans="2:36">
      <c r="B32" s="357" t="s">
        <v>999</v>
      </c>
      <c r="D32" s="212"/>
      <c r="E32" s="212"/>
      <c r="F32" s="224" t="s">
        <v>1149</v>
      </c>
      <c r="G32" s="173" t="str">
        <f>$AI$20</f>
        <v>INDTWH</v>
      </c>
      <c r="H32" s="174"/>
      <c r="I32" s="174"/>
      <c r="K32" s="81"/>
      <c r="L32" s="333"/>
      <c r="M32" s="199"/>
      <c r="N32" s="81"/>
      <c r="O32" s="723"/>
      <c r="P32" s="723"/>
      <c r="Q32" s="81"/>
      <c r="R32" s="300"/>
      <c r="S32" s="300"/>
      <c r="T32" s="300"/>
      <c r="U32" s="199">
        <f ca="1">1-U31</f>
        <v>0.41520467836257313</v>
      </c>
      <c r="V32" s="300"/>
      <c r="W32" s="298"/>
      <c r="X32" s="698"/>
      <c r="Y32" s="81"/>
      <c r="Z32" s="81"/>
      <c r="AA32" s="81"/>
      <c r="AB32" s="81"/>
      <c r="AD32" s="81"/>
      <c r="AE32" s="81"/>
      <c r="AF32" s="220"/>
      <c r="AI32" s="224">
        <v>11</v>
      </c>
      <c r="AJ32" s="224" t="s">
        <v>718</v>
      </c>
    </row>
    <row r="33" spans="2:36">
      <c r="B33" s="357" t="s">
        <v>1000</v>
      </c>
      <c r="D33" s="212" t="str">
        <f>"IND"&amp;RIGHT(H33,4)&amp;RIGHT(G33,3)&amp;"N"&amp;RIGHT(E33,1)</f>
        <v>INDTDPHELCN3</v>
      </c>
      <c r="E33" s="261" t="str">
        <f>"Industrial heating technology "&amp;$AJ$12&amp;" "&amp;RIGHT(H33,2)&amp;" - High Temp abs. Heat pump utilizing waste heat - new 3"</f>
        <v>Industrial heating technology Transport PH - High Temp abs. Heat pump utilizing waste heat - new 3</v>
      </c>
      <c r="F33" s="224" t="s">
        <v>1149</v>
      </c>
      <c r="G33" s="173" t="s">
        <v>499</v>
      </c>
      <c r="H33" s="174" t="str">
        <f>$AI$14</f>
        <v>ITDPH</v>
      </c>
      <c r="I33" s="174"/>
      <c r="J33" s="224">
        <f t="shared" ref="J33" si="6">AD33</f>
        <v>2020</v>
      </c>
      <c r="K33" s="81">
        <v>2020</v>
      </c>
      <c r="L33" s="333">
        <v>1</v>
      </c>
      <c r="M33" s="199">
        <f ca="1">VLOOKUP($AD33,INDIRECT("'"&amp;$B33&amp;"'!"&amp;"$P$39:$AD$42"),3,FALSE)</f>
        <v>2.75</v>
      </c>
      <c r="N33" s="81">
        <f ca="1">VLOOKUP($AD33,INDIRECT("'"&amp;$B33&amp;"'!"&amp;"$P$39:$AD$42"),5,FALSE)</f>
        <v>20</v>
      </c>
      <c r="O33" s="723">
        <f ca="1">VLOOKUP($AD33,INDIRECT("'"&amp;$B33&amp;"'!"&amp;"$P$39:$AD$42"),6,FALSE)/1000</f>
        <v>7.1394840000000004</v>
      </c>
      <c r="P33" s="723">
        <f ca="1">VLOOKUP($AD33,INDIRECT("'"&amp;$B33&amp;"'!"&amp;"$P$39:$AD$42"),7,FALSE)/1000</f>
        <v>7.2264999999999994E-3</v>
      </c>
      <c r="Q33" s="81">
        <f ca="1">VLOOKUP($AD33,INDIRECT("'"&amp;$B33&amp;"'!"&amp;"$P$39:$AD$42"),8,FALSE)</f>
        <v>6.7463888888888883</v>
      </c>
      <c r="R33" s="81">
        <v>3.1536000000000002E-2</v>
      </c>
      <c r="S33" s="199">
        <v>0.5</v>
      </c>
      <c r="T33" s="199">
        <f ca="1">HLOOKUP($T$2,INDIRECT("'"&amp;$B33&amp;"'!"&amp;"$P$6:$AC$19"),IF(H33=$AI$13,6,IF(H33=$AI$14,9,14)),FALSE)-T9</f>
        <v>0</v>
      </c>
      <c r="U33" s="199">
        <f ca="1">1/M33</f>
        <v>0.36363636363636365</v>
      </c>
      <c r="V33" s="199"/>
      <c r="W33" s="298"/>
      <c r="X33" s="698">
        <f ca="1">IF(VLOOKUP($AD33,INDIRECT("'"&amp;$B33&amp;"'!"&amp;"$P$39:$AD$42"),11,FALSE)="Cf. the utilized electricity",0,VLOOKUP($AD33,INDIRECT("'"&amp;$B33&amp;"'!"&amp;"$P$39:$AD$42"),11,FALSE))</f>
        <v>0</v>
      </c>
      <c r="Y33" s="81">
        <f ca="1">VLOOKUP($AD33,INDIRECT("'"&amp;$B33&amp;"'!"&amp;"$P$39:$AD$42"),12,FALSE)</f>
        <v>0</v>
      </c>
      <c r="Z33" s="81">
        <f ca="1">VLOOKUP($AD33,INDIRECT("'"&amp;$B33&amp;"'!"&amp;"$P$39:$AD$42"),13,FALSE)</f>
        <v>0</v>
      </c>
      <c r="AA33" s="81">
        <f ca="1">VLOOKUP($AD33,INDIRECT("'"&amp;$B33&amp;"'!"&amp;"$P$39:$AD$42"),14,FALSE)</f>
        <v>0</v>
      </c>
      <c r="AB33" s="81">
        <f ca="1">VLOOKUP($AD33,INDIRECT("'"&amp;$B33&amp;"'!"&amp;"$P$39:$AD$42"),15,FALSE)</f>
        <v>0</v>
      </c>
      <c r="AD33" s="81">
        <v>2020</v>
      </c>
      <c r="AE33" s="81"/>
      <c r="AF33" s="220"/>
      <c r="AI33" s="224">
        <v>12</v>
      </c>
    </row>
    <row r="34" spans="2:36">
      <c r="B34" s="357" t="s">
        <v>1000</v>
      </c>
      <c r="D34" s="212"/>
      <c r="E34" s="261"/>
      <c r="F34" s="224" t="s">
        <v>1149</v>
      </c>
      <c r="G34" s="173" t="str">
        <f>$AI$20</f>
        <v>INDTWH</v>
      </c>
      <c r="H34" s="174"/>
      <c r="I34" s="174"/>
      <c r="K34" s="81"/>
      <c r="L34" s="333"/>
      <c r="M34" s="199"/>
      <c r="N34" s="81"/>
      <c r="O34" s="723"/>
      <c r="P34" s="723"/>
      <c r="Q34" s="81"/>
      <c r="R34" s="200"/>
      <c r="S34" s="772"/>
      <c r="T34" s="772"/>
      <c r="U34" s="199">
        <f ca="1">1-U33</f>
        <v>0.63636363636363635</v>
      </c>
      <c r="V34" s="772"/>
      <c r="W34" s="298"/>
      <c r="X34" s="698"/>
      <c r="Y34" s="81"/>
      <c r="Z34" s="81"/>
      <c r="AA34" s="81"/>
      <c r="AB34" s="81"/>
      <c r="AD34" s="81"/>
      <c r="AE34" s="81"/>
      <c r="AF34" s="220"/>
      <c r="AI34" s="224">
        <v>13</v>
      </c>
      <c r="AJ34" s="224" t="s">
        <v>719</v>
      </c>
    </row>
    <row r="35" spans="2:36">
      <c r="B35" s="357" t="s">
        <v>1000</v>
      </c>
      <c r="D35" s="212"/>
      <c r="E35" s="212"/>
      <c r="F35" s="224" t="s">
        <v>1149</v>
      </c>
      <c r="G35" s="173" t="s">
        <v>499</v>
      </c>
      <c r="H35" s="174" t="str">
        <f>$AI$14</f>
        <v>ITDPH</v>
      </c>
      <c r="I35" s="174"/>
      <c r="J35" s="224">
        <f t="shared" ref="J35" si="7">AD35</f>
        <v>2030</v>
      </c>
      <c r="K35" s="81"/>
      <c r="L35" s="333">
        <v>1</v>
      </c>
      <c r="M35" s="199">
        <f ca="1">VLOOKUP($AD35,INDIRECT("'"&amp;$B35&amp;"'!"&amp;"$P$39:$AD$42"),3,FALSE)</f>
        <v>2.875</v>
      </c>
      <c r="N35" s="81"/>
      <c r="O35" s="723">
        <f ca="1">VLOOKUP($AD35,INDIRECT("'"&amp;$B35&amp;"'!"&amp;"$P$39:$AD$42"),6,FALSE)/1000</f>
        <v>6.3822660000000013</v>
      </c>
      <c r="P35" s="723">
        <f ca="1">VLOOKUP($AD35,INDIRECT("'"&amp;$B35&amp;"'!"&amp;"$P$39:$AD$42"),7,FALSE)/1000</f>
        <v>6.4814999999999994E-3</v>
      </c>
      <c r="Q35" s="81">
        <f ca="1">VLOOKUP($AD35,INDIRECT("'"&amp;$B35&amp;"'!"&amp;"$P$39:$AD$42"),8,FALSE)</f>
        <v>6.6222222222222227</v>
      </c>
      <c r="R35" s="300"/>
      <c r="S35" s="300"/>
      <c r="T35" s="300"/>
      <c r="U35" s="199">
        <f ca="1">1/M35</f>
        <v>0.34782608695652173</v>
      </c>
      <c r="V35" s="199"/>
      <c r="W35" s="298"/>
      <c r="X35" s="698">
        <f ca="1">IF(VLOOKUP($AD35,INDIRECT("'"&amp;$B35&amp;"'!"&amp;"$P$39:$AD$42"),11,FALSE)="Cf. the utilized electricity",0,VLOOKUP($AD35,INDIRECT("'"&amp;$B35&amp;"'!"&amp;"$P$39:$AD$42"),11,FALSE))</f>
        <v>0</v>
      </c>
      <c r="Y35" s="81">
        <f ca="1">VLOOKUP($AD35,INDIRECT("'"&amp;$B35&amp;"'!"&amp;"$P$39:$AD$42"),12,FALSE)</f>
        <v>0</v>
      </c>
      <c r="Z35" s="81">
        <f ca="1">VLOOKUP($AD35,INDIRECT("'"&amp;$B35&amp;"'!"&amp;"$P$39:$AD$42"),13,FALSE)</f>
        <v>0</v>
      </c>
      <c r="AA35" s="81">
        <f ca="1">VLOOKUP($AD35,INDIRECT("'"&amp;$B35&amp;"'!"&amp;"$P$39:$AD$42"),14,FALSE)</f>
        <v>0</v>
      </c>
      <c r="AB35" s="81">
        <f ca="1">VLOOKUP($AD35,INDIRECT("'"&amp;$B35&amp;"'!"&amp;"$P$39:$AD$42"),15,FALSE)</f>
        <v>0</v>
      </c>
      <c r="AD35" s="81">
        <v>2030</v>
      </c>
      <c r="AE35" s="81"/>
      <c r="AF35" s="220"/>
      <c r="AI35" s="224">
        <v>14</v>
      </c>
    </row>
    <row r="36" spans="2:36">
      <c r="B36" s="357" t="s">
        <v>1000</v>
      </c>
      <c r="D36" s="212"/>
      <c r="E36" s="212"/>
      <c r="F36" s="224" t="s">
        <v>1149</v>
      </c>
      <c r="G36" s="173" t="str">
        <f>$AI$20</f>
        <v>INDTWH</v>
      </c>
      <c r="H36" s="174"/>
      <c r="I36" s="174"/>
      <c r="K36" s="81"/>
      <c r="L36" s="333"/>
      <c r="M36" s="199"/>
      <c r="N36" s="81"/>
      <c r="O36" s="723"/>
      <c r="P36" s="723"/>
      <c r="Q36" s="81"/>
      <c r="R36" s="300"/>
      <c r="S36" s="300"/>
      <c r="T36" s="300"/>
      <c r="U36" s="199">
        <f ca="1">1-U35</f>
        <v>0.65217391304347827</v>
      </c>
      <c r="V36" s="300"/>
      <c r="W36" s="298"/>
      <c r="X36" s="698"/>
      <c r="Y36" s="81"/>
      <c r="Z36" s="81"/>
      <c r="AA36" s="81"/>
      <c r="AB36" s="81"/>
      <c r="AD36" s="81"/>
      <c r="AE36" s="81"/>
      <c r="AF36" s="220"/>
    </row>
    <row r="37" spans="2:36">
      <c r="B37" s="357" t="s">
        <v>1000</v>
      </c>
      <c r="D37" s="212"/>
      <c r="E37" s="212"/>
      <c r="F37" s="224" t="s">
        <v>1149</v>
      </c>
      <c r="G37" s="173" t="s">
        <v>499</v>
      </c>
      <c r="H37" s="174" t="str">
        <f>$AI$14</f>
        <v>ITDPH</v>
      </c>
      <c r="I37" s="174"/>
      <c r="J37" s="224">
        <f t="shared" ref="J37" si="8">AD37</f>
        <v>2050</v>
      </c>
      <c r="K37" s="81"/>
      <c r="L37" s="333">
        <v>1</v>
      </c>
      <c r="M37" s="199">
        <f ca="1">VLOOKUP($AD37,INDIRECT("'"&amp;$B37&amp;"'!"&amp;"$P$39:$AD$42"),3,FALSE)</f>
        <v>3.0249999999999999</v>
      </c>
      <c r="N37" s="81"/>
      <c r="O37" s="723">
        <f ca="1">VLOOKUP($AD37,INDIRECT("'"&amp;$B37&amp;"'!"&amp;"$P$39:$AD$42"),6,FALSE)/1000</f>
        <v>5.7365000000000004</v>
      </c>
      <c r="P37" s="723">
        <f ca="1">VLOOKUP($AD37,INDIRECT("'"&amp;$B37&amp;"'!"&amp;"$P$39:$AD$42"),7,FALSE)/1000</f>
        <v>5.3639999999999998E-3</v>
      </c>
      <c r="Q37" s="81">
        <f ca="1">VLOOKUP($AD37,INDIRECT("'"&amp;$B37&amp;"'!"&amp;"$P$39:$AD$42"),8,FALSE)</f>
        <v>6.4566666666666661</v>
      </c>
      <c r="R37" s="300"/>
      <c r="S37" s="300"/>
      <c r="T37" s="300"/>
      <c r="U37" s="199">
        <f ca="1">1/M37</f>
        <v>0.33057851239669422</v>
      </c>
      <c r="V37" s="199"/>
      <c r="W37" s="298"/>
      <c r="X37" s="698">
        <f ca="1">IF(VLOOKUP($AD37,INDIRECT("'"&amp;$B37&amp;"'!"&amp;"$P$39:$AD$42"),11,FALSE)="Cf. the utilized electricity",0,VLOOKUP($AD37,INDIRECT("'"&amp;$B37&amp;"'!"&amp;"$P$39:$AD$42"),11,FALSE))</f>
        <v>0</v>
      </c>
      <c r="Y37" s="81">
        <f ca="1">VLOOKUP($AD37,INDIRECT("'"&amp;$B37&amp;"'!"&amp;"$P$39:$AD$42"),12,FALSE)</f>
        <v>0</v>
      </c>
      <c r="Z37" s="81">
        <f ca="1">VLOOKUP($AD37,INDIRECT("'"&amp;$B37&amp;"'!"&amp;"$P$39:$AD$42"),13,FALSE)</f>
        <v>0</v>
      </c>
      <c r="AA37" s="81">
        <f ca="1">VLOOKUP($AD37,INDIRECT("'"&amp;$B37&amp;"'!"&amp;"$P$39:$AD$42"),14,FALSE)</f>
        <v>0</v>
      </c>
      <c r="AB37" s="81">
        <f ca="1">VLOOKUP($AD37,INDIRECT("'"&amp;$B37&amp;"'!"&amp;"$P$39:$AD$42"),15,FALSE)</f>
        <v>0</v>
      </c>
      <c r="AD37" s="81">
        <v>2050</v>
      </c>
      <c r="AE37" s="81"/>
      <c r="AF37" s="220"/>
    </row>
    <row r="38" spans="2:36">
      <c r="B38" s="357" t="s">
        <v>1000</v>
      </c>
      <c r="D38" s="212"/>
      <c r="E38" s="212"/>
      <c r="F38" s="224" t="s">
        <v>1149</v>
      </c>
      <c r="G38" s="173" t="str">
        <f>$AI$20</f>
        <v>INDTWH</v>
      </c>
      <c r="H38" s="174"/>
      <c r="I38" s="174"/>
      <c r="K38" s="81"/>
      <c r="L38" s="333"/>
      <c r="M38" s="199"/>
      <c r="N38" s="81"/>
      <c r="O38" s="723"/>
      <c r="P38" s="723"/>
      <c r="Q38" s="81"/>
      <c r="R38" s="300"/>
      <c r="S38" s="300"/>
      <c r="T38" s="300"/>
      <c r="U38" s="199">
        <f ca="1">1-U37</f>
        <v>0.66942148760330578</v>
      </c>
      <c r="V38" s="300"/>
      <c r="W38" s="298"/>
      <c r="X38" s="698"/>
      <c r="Y38" s="81"/>
      <c r="Z38" s="81"/>
      <c r="AA38" s="81"/>
      <c r="AB38" s="81"/>
      <c r="AD38" s="81"/>
      <c r="AE38" s="81"/>
      <c r="AF38" s="220"/>
    </row>
    <row r="39" spans="2:36">
      <c r="B39" s="357" t="s">
        <v>1000</v>
      </c>
      <c r="D39" s="212" t="str">
        <f>"IND"&amp;RIGHT(H39,4)&amp;RIGHT(G39,3)&amp;"N"&amp;RIGHT(E39,1)</f>
        <v>INDTDSHELCN3</v>
      </c>
      <c r="E39" s="261" t="str">
        <f>"Industrial heating technology "&amp;$AJ$12&amp;" "&amp;RIGHT(H39,2)&amp;" - High Temp abs. Heat pump utilizing waste heat - new 3"</f>
        <v>Industrial heating technology Transport SH - High Temp abs. Heat pump utilizing waste heat - new 3</v>
      </c>
      <c r="F39" s="224" t="s">
        <v>1149</v>
      </c>
      <c r="G39" s="173" t="s">
        <v>499</v>
      </c>
      <c r="H39" s="174" t="str">
        <f>$AI$15</f>
        <v>ITDSH</v>
      </c>
      <c r="I39" s="174"/>
      <c r="J39" s="224">
        <f t="shared" ref="J39" si="9">AD39</f>
        <v>2020</v>
      </c>
      <c r="K39" s="81">
        <v>2020</v>
      </c>
      <c r="L39" s="333">
        <v>1</v>
      </c>
      <c r="M39" s="199">
        <f ca="1">VLOOKUP($AD39,INDIRECT("'"&amp;$B39&amp;"'!"&amp;"$P$39:$AD$42"),3,FALSE)</f>
        <v>2.75</v>
      </c>
      <c r="N39" s="81">
        <f ca="1">VLOOKUP($AD39,INDIRECT("'"&amp;$B39&amp;"'!"&amp;"$P$39:$AD$42"),5,FALSE)</f>
        <v>20</v>
      </c>
      <c r="O39" s="723">
        <f ca="1">VLOOKUP($AD39,INDIRECT("'"&amp;$B39&amp;"'!"&amp;"$P$39:$AD$42"),6,FALSE)/1000</f>
        <v>7.1394840000000004</v>
      </c>
      <c r="P39" s="723">
        <f ca="1">VLOOKUP($AD39,INDIRECT("'"&amp;$B39&amp;"'!"&amp;"$P$39:$AD$42"),7,FALSE)/1000</f>
        <v>7.2264999999999994E-3</v>
      </c>
      <c r="Q39" s="81">
        <f ca="1">VLOOKUP($AD39,INDIRECT("'"&amp;$B39&amp;"'!"&amp;"$P$39:$AD$42"),8,FALSE)</f>
        <v>6.7463888888888883</v>
      </c>
      <c r="R39" s="81">
        <v>3.1536000000000002E-2</v>
      </c>
      <c r="S39" s="199">
        <v>0.5</v>
      </c>
      <c r="T39" s="199">
        <f ca="1">HLOOKUP($T$2,INDIRECT("'"&amp;$B39&amp;"'!"&amp;"$P$6:$AC$19"),IF(H39=$AI$13,6,IF(H39=$AI$14,9,14)),FALSE)</f>
        <v>1</v>
      </c>
      <c r="U39" s="199">
        <f ca="1">1/M39</f>
        <v>0.36363636363636365</v>
      </c>
      <c r="V39" s="199"/>
      <c r="W39" s="298"/>
      <c r="X39" s="698">
        <f ca="1">IF(VLOOKUP($AD39,INDIRECT("'"&amp;$B39&amp;"'!"&amp;"$P$39:$AD$42"),11,FALSE)="Cf. the utilized electricity",0,VLOOKUP($AD39,INDIRECT("'"&amp;$B39&amp;"'!"&amp;"$P$39:$AD$42"),11,FALSE))</f>
        <v>0</v>
      </c>
      <c r="Y39" s="81">
        <f ca="1">VLOOKUP($AD39,INDIRECT("'"&amp;$B39&amp;"'!"&amp;"$P$39:$AD$42"),12,FALSE)</f>
        <v>0</v>
      </c>
      <c r="Z39" s="81">
        <f ca="1">VLOOKUP($AD39,INDIRECT("'"&amp;$B39&amp;"'!"&amp;"$P$39:$AD$42"),13,FALSE)</f>
        <v>0</v>
      </c>
      <c r="AA39" s="81">
        <f ca="1">VLOOKUP($AD39,INDIRECT("'"&amp;$B39&amp;"'!"&amp;"$P$39:$AD$42"),14,FALSE)</f>
        <v>0</v>
      </c>
      <c r="AB39" s="81">
        <f ca="1">VLOOKUP($AD39,INDIRECT("'"&amp;$B39&amp;"'!"&amp;"$P$39:$AD$42"),15,FALSE)</f>
        <v>0</v>
      </c>
      <c r="AD39" s="81">
        <v>2020</v>
      </c>
      <c r="AE39" s="81"/>
      <c r="AF39" s="220"/>
    </row>
    <row r="40" spans="2:36">
      <c r="B40" s="357" t="s">
        <v>1000</v>
      </c>
      <c r="D40" s="212"/>
      <c r="E40" s="261"/>
      <c r="F40" s="224" t="s">
        <v>1149</v>
      </c>
      <c r="G40" s="173" t="str">
        <f>$AI$20</f>
        <v>INDTWH</v>
      </c>
      <c r="H40" s="174"/>
      <c r="I40" s="174"/>
      <c r="K40" s="81"/>
      <c r="L40" s="333"/>
      <c r="M40" s="199"/>
      <c r="N40" s="81"/>
      <c r="O40" s="723"/>
      <c r="P40" s="723"/>
      <c r="Q40" s="81"/>
      <c r="R40" s="200"/>
      <c r="S40" s="772"/>
      <c r="T40" s="772"/>
      <c r="U40" s="199">
        <f ca="1">1-U39</f>
        <v>0.63636363636363635</v>
      </c>
      <c r="V40" s="772"/>
      <c r="W40" s="298"/>
      <c r="X40" s="698"/>
      <c r="Y40" s="81"/>
      <c r="Z40" s="81"/>
      <c r="AA40" s="81"/>
      <c r="AB40" s="81"/>
      <c r="AD40" s="81"/>
      <c r="AE40" s="81"/>
      <c r="AF40" s="220"/>
    </row>
    <row r="41" spans="2:36">
      <c r="B41" s="357" t="s">
        <v>1000</v>
      </c>
      <c r="D41" s="212"/>
      <c r="E41" s="212"/>
      <c r="F41" s="224" t="s">
        <v>1149</v>
      </c>
      <c r="G41" s="173" t="s">
        <v>499</v>
      </c>
      <c r="H41" s="174" t="str">
        <f>$AI$15</f>
        <v>ITDSH</v>
      </c>
      <c r="I41" s="174"/>
      <c r="J41" s="224">
        <f t="shared" ref="J41" si="10">AD41</f>
        <v>2030</v>
      </c>
      <c r="K41" s="81"/>
      <c r="L41" s="333">
        <v>1</v>
      </c>
      <c r="M41" s="199">
        <f ca="1">VLOOKUP($AD41,INDIRECT("'"&amp;$B41&amp;"'!"&amp;"$P$39:$AD$42"),3,FALSE)</f>
        <v>2.875</v>
      </c>
      <c r="N41" s="81"/>
      <c r="O41" s="723">
        <f ca="1">VLOOKUP($AD41,INDIRECT("'"&amp;$B41&amp;"'!"&amp;"$P$39:$AD$42"),6,FALSE)/1000</f>
        <v>6.3822660000000013</v>
      </c>
      <c r="P41" s="723">
        <f ca="1">VLOOKUP($AD41,INDIRECT("'"&amp;$B41&amp;"'!"&amp;"$P$39:$AD$42"),7,FALSE)/1000</f>
        <v>6.4814999999999994E-3</v>
      </c>
      <c r="Q41" s="81">
        <f ca="1">VLOOKUP($AD41,INDIRECT("'"&amp;$B41&amp;"'!"&amp;"$P$39:$AD$42"),8,FALSE)</f>
        <v>6.6222222222222227</v>
      </c>
      <c r="R41" s="300"/>
      <c r="S41" s="300"/>
      <c r="T41" s="300"/>
      <c r="U41" s="199">
        <f ca="1">1/M41</f>
        <v>0.34782608695652173</v>
      </c>
      <c r="V41" s="199"/>
      <c r="W41" s="298"/>
      <c r="X41" s="698">
        <f ca="1">IF(VLOOKUP($AD41,INDIRECT("'"&amp;$B41&amp;"'!"&amp;"$P$39:$AD$42"),11,FALSE)="Cf. the utilized electricity",0,VLOOKUP($AD41,INDIRECT("'"&amp;$B41&amp;"'!"&amp;"$P$39:$AD$42"),11,FALSE))</f>
        <v>0</v>
      </c>
      <c r="Y41" s="81">
        <f ca="1">VLOOKUP($AD41,INDIRECT("'"&amp;$B41&amp;"'!"&amp;"$P$39:$AD$42"),12,FALSE)</f>
        <v>0</v>
      </c>
      <c r="Z41" s="81">
        <f ca="1">VLOOKUP($AD41,INDIRECT("'"&amp;$B41&amp;"'!"&amp;"$P$39:$AD$42"),13,FALSE)</f>
        <v>0</v>
      </c>
      <c r="AA41" s="81">
        <f ca="1">VLOOKUP($AD41,INDIRECT("'"&amp;$B41&amp;"'!"&amp;"$P$39:$AD$42"),14,FALSE)</f>
        <v>0</v>
      </c>
      <c r="AB41" s="81">
        <f ca="1">VLOOKUP($AD41,INDIRECT("'"&amp;$B41&amp;"'!"&amp;"$P$39:$AD$42"),15,FALSE)</f>
        <v>0</v>
      </c>
      <c r="AD41" s="81">
        <v>2030</v>
      </c>
      <c r="AE41" s="81"/>
      <c r="AF41" s="220"/>
    </row>
    <row r="42" spans="2:36">
      <c r="B42" s="357" t="s">
        <v>1000</v>
      </c>
      <c r="D42" s="212"/>
      <c r="E42" s="212"/>
      <c r="F42" s="224" t="s">
        <v>1149</v>
      </c>
      <c r="G42" s="173" t="str">
        <f>$AI$20</f>
        <v>INDTWH</v>
      </c>
      <c r="H42" s="174"/>
      <c r="I42" s="174"/>
      <c r="K42" s="81"/>
      <c r="L42" s="333"/>
      <c r="M42" s="199"/>
      <c r="N42" s="81"/>
      <c r="O42" s="723"/>
      <c r="P42" s="723"/>
      <c r="Q42" s="81"/>
      <c r="R42" s="300"/>
      <c r="S42" s="300"/>
      <c r="T42" s="300"/>
      <c r="U42" s="199">
        <f ca="1">1-U41</f>
        <v>0.65217391304347827</v>
      </c>
      <c r="V42" s="300"/>
      <c r="W42" s="298"/>
      <c r="X42" s="698"/>
      <c r="Y42" s="81"/>
      <c r="Z42" s="81"/>
      <c r="AA42" s="81"/>
      <c r="AB42" s="81"/>
      <c r="AD42" s="81"/>
      <c r="AE42" s="81"/>
      <c r="AF42" s="220"/>
    </row>
    <row r="43" spans="2:36">
      <c r="B43" s="357" t="s">
        <v>1000</v>
      </c>
      <c r="D43" s="212"/>
      <c r="E43" s="212"/>
      <c r="F43" s="224" t="s">
        <v>1149</v>
      </c>
      <c r="G43" s="173" t="s">
        <v>499</v>
      </c>
      <c r="H43" s="174" t="str">
        <f>$AI$15</f>
        <v>ITDSH</v>
      </c>
      <c r="I43" s="174"/>
      <c r="J43" s="224">
        <f t="shared" ref="J43" si="11">AD43</f>
        <v>2050</v>
      </c>
      <c r="K43" s="81"/>
      <c r="L43" s="333">
        <v>1</v>
      </c>
      <c r="M43" s="199">
        <f ca="1">VLOOKUP($AD43,INDIRECT("'"&amp;$B43&amp;"'!"&amp;"$P$39:$AD$42"),3,FALSE)</f>
        <v>3.0249999999999999</v>
      </c>
      <c r="N43" s="81"/>
      <c r="O43" s="723">
        <f ca="1">VLOOKUP($AD43,INDIRECT("'"&amp;$B43&amp;"'!"&amp;"$P$39:$AD$42"),6,FALSE)/1000</f>
        <v>5.7365000000000004</v>
      </c>
      <c r="P43" s="723">
        <f ca="1">VLOOKUP($AD43,INDIRECT("'"&amp;$B43&amp;"'!"&amp;"$P$39:$AD$42"),7,FALSE)/1000</f>
        <v>5.3639999999999998E-3</v>
      </c>
      <c r="Q43" s="81">
        <f ca="1">VLOOKUP($AD43,INDIRECT("'"&amp;$B43&amp;"'!"&amp;"$P$39:$AD$42"),8,FALSE)</f>
        <v>6.4566666666666661</v>
      </c>
      <c r="R43" s="300"/>
      <c r="S43" s="300"/>
      <c r="T43" s="300"/>
      <c r="U43" s="199">
        <f ca="1">1/M43</f>
        <v>0.33057851239669422</v>
      </c>
      <c r="V43" s="199"/>
      <c r="W43" s="298"/>
      <c r="X43" s="698">
        <f ca="1">IF(VLOOKUP($AD43,INDIRECT("'"&amp;$B43&amp;"'!"&amp;"$P$39:$AD$42"),11,FALSE)="Cf. the utilized electricity",0,VLOOKUP($AD43,INDIRECT("'"&amp;$B43&amp;"'!"&amp;"$P$39:$AD$42"),11,FALSE))</f>
        <v>0</v>
      </c>
      <c r="Y43" s="81">
        <f ca="1">VLOOKUP($AD43,INDIRECT("'"&amp;$B43&amp;"'!"&amp;"$P$39:$AD$42"),12,FALSE)</f>
        <v>0</v>
      </c>
      <c r="Z43" s="81">
        <f ca="1">VLOOKUP($AD43,INDIRECT("'"&amp;$B43&amp;"'!"&amp;"$P$39:$AD$42"),13,FALSE)</f>
        <v>0</v>
      </c>
      <c r="AA43" s="81">
        <f ca="1">VLOOKUP($AD43,INDIRECT("'"&amp;$B43&amp;"'!"&amp;"$P$39:$AD$42"),14,FALSE)</f>
        <v>0</v>
      </c>
      <c r="AB43" s="81">
        <f ca="1">VLOOKUP($AD43,INDIRECT("'"&amp;$B43&amp;"'!"&amp;"$P$39:$AD$42"),15,FALSE)</f>
        <v>0</v>
      </c>
      <c r="AD43" s="81">
        <v>2050</v>
      </c>
      <c r="AE43" s="81"/>
      <c r="AF43" s="220"/>
    </row>
    <row r="44" spans="2:36">
      <c r="B44" s="357" t="s">
        <v>1000</v>
      </c>
      <c r="D44" s="212"/>
      <c r="E44" s="212"/>
      <c r="F44" s="224" t="s">
        <v>1149</v>
      </c>
      <c r="G44" s="173" t="str">
        <f>$AI$20</f>
        <v>INDTWH</v>
      </c>
      <c r="H44" s="174"/>
      <c r="I44" s="174"/>
      <c r="K44" s="81"/>
      <c r="L44" s="333"/>
      <c r="M44" s="199"/>
      <c r="N44" s="81"/>
      <c r="O44" s="723"/>
      <c r="P44" s="723"/>
      <c r="Q44" s="81"/>
      <c r="R44" s="300"/>
      <c r="S44" s="300"/>
      <c r="T44" s="300"/>
      <c r="U44" s="199">
        <f ca="1">1-U43</f>
        <v>0.66942148760330578</v>
      </c>
      <c r="V44" s="300"/>
      <c r="W44" s="298"/>
      <c r="X44" s="698"/>
      <c r="Y44" s="81"/>
      <c r="Z44" s="81"/>
      <c r="AA44" s="81"/>
      <c r="AB44" s="81"/>
      <c r="AD44" s="81"/>
      <c r="AE44" s="81"/>
      <c r="AF44" s="220"/>
    </row>
    <row r="45" spans="2:36">
      <c r="B45" s="357" t="s">
        <v>1001</v>
      </c>
      <c r="D45" s="212" t="str">
        <f>"IND"&amp;RIGHT(H45,4)&amp;RIGHT(G45,3)&amp;"N"&amp;RIGHT(E45,1)</f>
        <v>INDTDPHELCN4</v>
      </c>
      <c r="E45" s="261" t="str">
        <f>"Industrial heating technology "&amp;$AJ$12&amp;" "&amp;RIGHT(H45,2)&amp;" - Booster Heat pump utilizing waste heat - new 4"</f>
        <v>Industrial heating technology Transport PH - Booster Heat pump utilizing waste heat - new 4</v>
      </c>
      <c r="F45" s="224" t="s">
        <v>1149</v>
      </c>
      <c r="G45" s="173" t="s">
        <v>499</v>
      </c>
      <c r="H45" s="174" t="str">
        <f>$AI$14</f>
        <v>ITDPH</v>
      </c>
      <c r="I45" s="174"/>
      <c r="J45" s="224">
        <f t="shared" ref="J45" si="12">AD45</f>
        <v>2020</v>
      </c>
      <c r="K45" s="81">
        <v>2020</v>
      </c>
      <c r="L45" s="333">
        <v>1</v>
      </c>
      <c r="M45" s="199">
        <f ca="1">VLOOKUP($AD45,INDIRECT("'"&amp;$B45&amp;"'!"&amp;"$P$39:$AD$42"),3,FALSE)</f>
        <v>1.93</v>
      </c>
      <c r="N45" s="81">
        <f ca="1">VLOOKUP($AD45,INDIRECT("'"&amp;$B45&amp;"'!"&amp;"$P$39:$AD$42"),5,FALSE)</f>
        <v>20</v>
      </c>
      <c r="O45" s="723">
        <f ca="1">VLOOKUP($AD45,INDIRECT("'"&amp;$B45&amp;"'!"&amp;"$P$39:$AD$42"),6,FALSE)/1000</f>
        <v>12.158890687341184</v>
      </c>
      <c r="P45" s="723">
        <f ca="1">VLOOKUP($AD45,INDIRECT("'"&amp;$B45&amp;"'!"&amp;"$P$39:$AD$42"),7,FALSE)/1000</f>
        <v>1.49E-2</v>
      </c>
      <c r="Q45" s="81">
        <f ca="1">VLOOKUP($AD45,INDIRECT("'"&amp;$B45&amp;"'!"&amp;"$P$39:$AD$42"),8,FALSE)</f>
        <v>7.1188888888888897</v>
      </c>
      <c r="R45" s="81">
        <v>3.1536000000000002E-2</v>
      </c>
      <c r="S45" s="199">
        <v>0.5</v>
      </c>
      <c r="T45" s="199">
        <f ca="1">HLOOKUP($T$2,INDIRECT("'"&amp;$B45&amp;"'!"&amp;"$P$6:$AC$19"),IF(H45=$AI$13,6,IF(H45=$AI$14,9,14)),FALSE)-T9</f>
        <v>0</v>
      </c>
      <c r="U45" s="199">
        <f ca="1">1/M45</f>
        <v>0.5181347150259068</v>
      </c>
      <c r="V45" s="199"/>
      <c r="W45" s="298"/>
      <c r="X45" s="698">
        <f ca="1">IF(VLOOKUP($AD45,INDIRECT("'"&amp;$B45&amp;"'!"&amp;"$P$39:$AD$42"),11,FALSE)="Cf. the utilized electricity",0,VLOOKUP($AD45,INDIRECT("'"&amp;$B45&amp;"'!"&amp;"$P$39:$AD$42"),11,FALSE))</f>
        <v>0</v>
      </c>
      <c r="Y45" s="81">
        <f ca="1">VLOOKUP($AD45,INDIRECT("'"&amp;$B45&amp;"'!"&amp;"$P$39:$AD$42"),12,FALSE)</f>
        <v>0</v>
      </c>
      <c r="Z45" s="81">
        <f ca="1">VLOOKUP($AD45,INDIRECT("'"&amp;$B45&amp;"'!"&amp;"$P$39:$AD$42"),13,FALSE)</f>
        <v>0</v>
      </c>
      <c r="AA45" s="81">
        <f ca="1">VLOOKUP($AD45,INDIRECT("'"&amp;$B45&amp;"'!"&amp;"$P$39:$AD$42"),14,FALSE)</f>
        <v>0</v>
      </c>
      <c r="AB45" s="81">
        <f ca="1">VLOOKUP($AD45,INDIRECT("'"&amp;$B45&amp;"'!"&amp;"$P$39:$AD$42"),15,FALSE)</f>
        <v>0</v>
      </c>
      <c r="AD45" s="81">
        <v>2020</v>
      </c>
      <c r="AE45" s="81"/>
      <c r="AF45" s="220"/>
    </row>
    <row r="46" spans="2:36">
      <c r="B46" s="357" t="s">
        <v>1001</v>
      </c>
      <c r="D46" s="212"/>
      <c r="E46" s="261"/>
      <c r="F46" s="224" t="s">
        <v>1149</v>
      </c>
      <c r="G46" s="173" t="str">
        <f>$AI$20</f>
        <v>INDTWH</v>
      </c>
      <c r="H46" s="174"/>
      <c r="I46" s="174"/>
      <c r="K46" s="81"/>
      <c r="L46" s="333"/>
      <c r="M46" s="199"/>
      <c r="N46" s="81"/>
      <c r="O46" s="723"/>
      <c r="P46" s="723"/>
      <c r="Q46" s="81"/>
      <c r="R46" s="200"/>
      <c r="S46" s="772"/>
      <c r="T46" s="772"/>
      <c r="U46" s="199">
        <f ca="1">1-U45</f>
        <v>0.4818652849740932</v>
      </c>
      <c r="V46" s="772"/>
      <c r="W46" s="298"/>
      <c r="X46" s="698"/>
      <c r="Y46" s="81"/>
      <c r="Z46" s="81"/>
      <c r="AA46" s="81"/>
      <c r="AB46" s="81"/>
      <c r="AD46" s="81"/>
      <c r="AE46" s="81"/>
      <c r="AF46" s="220"/>
    </row>
    <row r="47" spans="2:36">
      <c r="B47" s="357" t="s">
        <v>1001</v>
      </c>
      <c r="D47" s="212"/>
      <c r="E47" s="212"/>
      <c r="F47" s="224" t="s">
        <v>1149</v>
      </c>
      <c r="G47" s="173" t="s">
        <v>499</v>
      </c>
      <c r="H47" s="174" t="str">
        <f>$AI$14</f>
        <v>ITDPH</v>
      </c>
      <c r="I47" s="174"/>
      <c r="J47" s="224">
        <f t="shared" ref="J47" si="13">AD47</f>
        <v>2030</v>
      </c>
      <c r="K47" s="81"/>
      <c r="L47" s="333">
        <v>1</v>
      </c>
      <c r="M47" s="199">
        <f ca="1">VLOOKUP($AD47,INDIRECT("'"&amp;$B47&amp;"'!"&amp;"$P$39:$AD$42"),3,FALSE)</f>
        <v>1.9894000000000001</v>
      </c>
      <c r="N47" s="81"/>
      <c r="O47" s="723">
        <f ca="1">VLOOKUP($AD47,INDIRECT("'"&amp;$B47&amp;"'!"&amp;"$P$39:$AD$42"),6,FALSE)/1000</f>
        <v>9.8570539139933757</v>
      </c>
      <c r="P47" s="723">
        <f ca="1">VLOOKUP($AD47,INDIRECT("'"&amp;$B47&amp;"'!"&amp;"$P$39:$AD$42"),7,FALSE)/1000</f>
        <v>1.49E-2</v>
      </c>
      <c r="Q47" s="81">
        <f ca="1">VLOOKUP($AD47,INDIRECT("'"&amp;$B47&amp;"'!"&amp;"$P$39:$AD$42"),8,FALSE)</f>
        <v>6.9740277777777777</v>
      </c>
      <c r="R47" s="300"/>
      <c r="S47" s="300"/>
      <c r="T47" s="300"/>
      <c r="U47" s="199">
        <f ca="1">1/M47</f>
        <v>0.50266411983512616</v>
      </c>
      <c r="V47" s="199"/>
      <c r="W47" s="298"/>
      <c r="X47" s="698">
        <f ca="1">IF(VLOOKUP($AD47,INDIRECT("'"&amp;$B47&amp;"'!"&amp;"$P$39:$AD$42"),11,FALSE)="Cf. the utilized electricity",0,VLOOKUP($AD47,INDIRECT("'"&amp;$B47&amp;"'!"&amp;"$P$39:$AD$42"),11,FALSE))</f>
        <v>0</v>
      </c>
      <c r="Y47" s="81">
        <f ca="1">VLOOKUP($AD47,INDIRECT("'"&amp;$B47&amp;"'!"&amp;"$P$39:$AD$42"),12,FALSE)</f>
        <v>0</v>
      </c>
      <c r="Z47" s="81">
        <f ca="1">VLOOKUP($AD47,INDIRECT("'"&amp;$B47&amp;"'!"&amp;"$P$39:$AD$42"),13,FALSE)</f>
        <v>0</v>
      </c>
      <c r="AA47" s="81">
        <f ca="1">VLOOKUP($AD47,INDIRECT("'"&amp;$B47&amp;"'!"&amp;"$P$39:$AD$42"),14,FALSE)</f>
        <v>0</v>
      </c>
      <c r="AB47" s="81">
        <f ca="1">VLOOKUP($AD47,INDIRECT("'"&amp;$B47&amp;"'!"&amp;"$P$39:$AD$42"),15,FALSE)</f>
        <v>0</v>
      </c>
      <c r="AD47" s="81">
        <v>2030</v>
      </c>
      <c r="AE47" s="81"/>
      <c r="AF47" s="220"/>
    </row>
    <row r="48" spans="2:36">
      <c r="B48" s="357" t="s">
        <v>1001</v>
      </c>
      <c r="D48" s="212"/>
      <c r="E48" s="212"/>
      <c r="F48" s="224" t="s">
        <v>1149</v>
      </c>
      <c r="G48" s="173" t="str">
        <f>$AI$20</f>
        <v>INDTWH</v>
      </c>
      <c r="H48" s="174"/>
      <c r="I48" s="174"/>
      <c r="K48" s="81"/>
      <c r="L48" s="333"/>
      <c r="M48" s="199"/>
      <c r="N48" s="81"/>
      <c r="O48" s="723"/>
      <c r="P48" s="723"/>
      <c r="Q48" s="81"/>
      <c r="R48" s="300"/>
      <c r="S48" s="300"/>
      <c r="T48" s="300"/>
      <c r="U48" s="199">
        <f ca="1">1-U47</f>
        <v>0.49733588016487384</v>
      </c>
      <c r="V48" s="300"/>
      <c r="W48" s="298"/>
      <c r="X48" s="698"/>
      <c r="Y48" s="81"/>
      <c r="Z48" s="81"/>
      <c r="AA48" s="81"/>
      <c r="AB48" s="81"/>
      <c r="AD48" s="81"/>
      <c r="AE48" s="81"/>
      <c r="AF48" s="220"/>
    </row>
    <row r="49" spans="2:32">
      <c r="B49" s="357" t="s">
        <v>1001</v>
      </c>
      <c r="D49" s="212"/>
      <c r="E49" s="212"/>
      <c r="F49" s="224" t="s">
        <v>1149</v>
      </c>
      <c r="G49" s="173" t="s">
        <v>499</v>
      </c>
      <c r="H49" s="174" t="str">
        <f>$AI$14</f>
        <v>ITDPH</v>
      </c>
      <c r="I49" s="174"/>
      <c r="J49" s="224">
        <f t="shared" ref="J49" si="14">AD49</f>
        <v>2050</v>
      </c>
      <c r="K49" s="81"/>
      <c r="L49" s="333">
        <v>1</v>
      </c>
      <c r="M49" s="199">
        <f ca="1">VLOOKUP($AD49,INDIRECT("'"&amp;$B49&amp;"'!"&amp;"$P$39:$AD$42"),3,FALSE)</f>
        <v>2.0509898799999999</v>
      </c>
      <c r="N49" s="81"/>
      <c r="O49" s="723">
        <f ca="1">VLOOKUP($AD49,INDIRECT("'"&amp;$B49&amp;"'!"&amp;"$P$39:$AD$42"),6,FALSE)/1000</f>
        <v>6.955935359434223</v>
      </c>
      <c r="P49" s="723">
        <f ca="1">VLOOKUP($AD49,INDIRECT("'"&amp;$B49&amp;"'!"&amp;"$P$39:$AD$42"),7,FALSE)/1000</f>
        <v>1.49E-2</v>
      </c>
      <c r="Q49" s="81">
        <f ca="1">VLOOKUP($AD49,INDIRECT("'"&amp;$B49&amp;"'!"&amp;"$P$39:$AD$42"),8,FALSE)</f>
        <v>6.7877777777777784</v>
      </c>
      <c r="R49" s="300"/>
      <c r="S49" s="300"/>
      <c r="T49" s="300"/>
      <c r="U49" s="199">
        <f ca="1">1/M49</f>
        <v>0.48756944622271858</v>
      </c>
      <c r="V49" s="199"/>
      <c r="W49" s="298"/>
      <c r="X49" s="698">
        <f ca="1">IF(VLOOKUP($AD49,INDIRECT("'"&amp;$B49&amp;"'!"&amp;"$P$39:$AD$42"),11,FALSE)="Cf. the utilized electricity",0,VLOOKUP($AD49,INDIRECT("'"&amp;$B49&amp;"'!"&amp;"$P$39:$AD$42"),11,FALSE))</f>
        <v>0</v>
      </c>
      <c r="Y49" s="81">
        <f ca="1">VLOOKUP($AD49,INDIRECT("'"&amp;$B49&amp;"'!"&amp;"$P$39:$AD$42"),12,FALSE)</f>
        <v>0</v>
      </c>
      <c r="Z49" s="81">
        <f ca="1">VLOOKUP($AD49,INDIRECT("'"&amp;$B49&amp;"'!"&amp;"$P$39:$AD$42"),13,FALSE)</f>
        <v>0</v>
      </c>
      <c r="AA49" s="81">
        <f ca="1">VLOOKUP($AD49,INDIRECT("'"&amp;$B49&amp;"'!"&amp;"$P$39:$AD$42"),14,FALSE)</f>
        <v>0</v>
      </c>
      <c r="AB49" s="81">
        <f ca="1">VLOOKUP($AD49,INDIRECT("'"&amp;$B49&amp;"'!"&amp;"$P$39:$AD$42"),15,FALSE)</f>
        <v>0</v>
      </c>
      <c r="AD49" s="81">
        <v>2050</v>
      </c>
      <c r="AE49" s="81"/>
      <c r="AF49" s="220"/>
    </row>
    <row r="50" spans="2:32">
      <c r="B50" s="357" t="s">
        <v>1001</v>
      </c>
      <c r="D50" s="212"/>
      <c r="E50" s="212"/>
      <c r="F50" s="224" t="s">
        <v>1149</v>
      </c>
      <c r="G50" s="173" t="str">
        <f>$AI$20</f>
        <v>INDTWH</v>
      </c>
      <c r="H50" s="174"/>
      <c r="I50" s="174"/>
      <c r="K50" s="81"/>
      <c r="L50" s="333"/>
      <c r="M50" s="199"/>
      <c r="N50" s="81"/>
      <c r="O50" s="723"/>
      <c r="P50" s="723"/>
      <c r="Q50" s="81"/>
      <c r="R50" s="300"/>
      <c r="S50" s="300"/>
      <c r="T50" s="300"/>
      <c r="U50" s="199">
        <f ca="1">1-U49</f>
        <v>0.51243055377728142</v>
      </c>
      <c r="V50" s="300"/>
      <c r="W50" s="298"/>
      <c r="X50" s="698"/>
      <c r="Y50" s="81"/>
      <c r="Z50" s="81"/>
      <c r="AA50" s="81"/>
      <c r="AB50" s="81"/>
      <c r="AD50" s="81"/>
      <c r="AE50" s="81"/>
      <c r="AF50" s="220"/>
    </row>
    <row r="51" spans="2:32">
      <c r="B51" s="357" t="s">
        <v>1001</v>
      </c>
      <c r="D51" s="212" t="str">
        <f>"IND"&amp;RIGHT(H51,4)&amp;RIGHT(G51,3)&amp;"N"&amp;RIGHT(E51,1)</f>
        <v>INDTDSHELCN4</v>
      </c>
      <c r="E51" s="261" t="str">
        <f>"Industrial heating technology "&amp;$AJ$12&amp;" "&amp;RIGHT(H51,2)&amp;" - Booster Heat pump utilizing waste heat - new 4"</f>
        <v>Industrial heating technology Transport SH - Booster Heat pump utilizing waste heat - new 4</v>
      </c>
      <c r="F51" s="224" t="s">
        <v>1149</v>
      </c>
      <c r="G51" s="173" t="s">
        <v>499</v>
      </c>
      <c r="H51" s="174" t="str">
        <f>$AI$15</f>
        <v>ITDSH</v>
      </c>
      <c r="I51" s="174"/>
      <c r="J51" s="224">
        <f t="shared" ref="J51" si="15">AD51</f>
        <v>2020</v>
      </c>
      <c r="K51" s="81">
        <v>2020</v>
      </c>
      <c r="L51" s="333">
        <v>1</v>
      </c>
      <c r="M51" s="199">
        <f ca="1">VLOOKUP($AD51,INDIRECT("'"&amp;$B51&amp;"'!"&amp;"$P$39:$AD$42"),3,FALSE)</f>
        <v>1.93</v>
      </c>
      <c r="N51" s="81">
        <f ca="1">VLOOKUP($AD51,INDIRECT("'"&amp;$B51&amp;"'!"&amp;"$P$39:$AD$42"),5,FALSE)</f>
        <v>20</v>
      </c>
      <c r="O51" s="723">
        <f ca="1">VLOOKUP($AD51,INDIRECT("'"&amp;$B51&amp;"'!"&amp;"$P$39:$AD$42"),6,FALSE)/1000</f>
        <v>12.158890687341184</v>
      </c>
      <c r="P51" s="723">
        <f ca="1">VLOOKUP($AD51,INDIRECT("'"&amp;$B51&amp;"'!"&amp;"$P$39:$AD$42"),7,FALSE)/1000</f>
        <v>1.49E-2</v>
      </c>
      <c r="Q51" s="81">
        <f ca="1">VLOOKUP($AD51,INDIRECT("'"&amp;$B51&amp;"'!"&amp;"$P$39:$AD$42"),8,FALSE)</f>
        <v>7.1188888888888897</v>
      </c>
      <c r="R51" s="81">
        <v>3.1536000000000002E-2</v>
      </c>
      <c r="S51" s="199">
        <v>0.5</v>
      </c>
      <c r="T51" s="199">
        <f ca="1">HLOOKUP($T$2,INDIRECT("'"&amp;$B51&amp;"'!"&amp;"$P$6:$AC$19"),IF(H51=$AI$13,6,IF(H51=$AI$14,9,14)),FALSE)</f>
        <v>1</v>
      </c>
      <c r="U51" s="199">
        <f ca="1">1/M51</f>
        <v>0.5181347150259068</v>
      </c>
      <c r="V51" s="199"/>
      <c r="W51" s="298"/>
      <c r="X51" s="698">
        <f ca="1">IF(VLOOKUP($AD51,INDIRECT("'"&amp;$B51&amp;"'!"&amp;"$P$39:$AD$42"),11,FALSE)="Cf. the utilized electricity",0,VLOOKUP($AD51,INDIRECT("'"&amp;$B51&amp;"'!"&amp;"$P$39:$AD$42"),11,FALSE))</f>
        <v>0</v>
      </c>
      <c r="Y51" s="81">
        <f ca="1">VLOOKUP($AD51,INDIRECT("'"&amp;$B51&amp;"'!"&amp;"$P$39:$AD$42"),12,FALSE)</f>
        <v>0</v>
      </c>
      <c r="Z51" s="81">
        <f ca="1">VLOOKUP($AD51,INDIRECT("'"&amp;$B51&amp;"'!"&amp;"$P$39:$AD$42"),13,FALSE)</f>
        <v>0</v>
      </c>
      <c r="AA51" s="81">
        <f ca="1">VLOOKUP($AD51,INDIRECT("'"&amp;$B51&amp;"'!"&amp;"$P$39:$AD$42"),14,FALSE)</f>
        <v>0</v>
      </c>
      <c r="AB51" s="81">
        <f ca="1">VLOOKUP($AD51,INDIRECT("'"&amp;$B51&amp;"'!"&amp;"$P$39:$AD$42"),15,FALSE)</f>
        <v>0</v>
      </c>
      <c r="AD51" s="81">
        <v>2020</v>
      </c>
      <c r="AE51" s="81"/>
      <c r="AF51" s="220"/>
    </row>
    <row r="52" spans="2:32">
      <c r="B52" s="357" t="s">
        <v>1001</v>
      </c>
      <c r="D52" s="212"/>
      <c r="E52" s="261"/>
      <c r="F52" s="224" t="s">
        <v>1149</v>
      </c>
      <c r="G52" s="173" t="str">
        <f>$AI$20</f>
        <v>INDTWH</v>
      </c>
      <c r="H52" s="174"/>
      <c r="I52" s="174"/>
      <c r="K52" s="81"/>
      <c r="L52" s="333"/>
      <c r="M52" s="199"/>
      <c r="N52" s="81"/>
      <c r="O52" s="723"/>
      <c r="P52" s="723"/>
      <c r="Q52" s="81"/>
      <c r="R52" s="200"/>
      <c r="S52" s="772"/>
      <c r="T52" s="772"/>
      <c r="U52" s="199">
        <f ca="1">1-U51</f>
        <v>0.4818652849740932</v>
      </c>
      <c r="V52" s="772"/>
      <c r="W52" s="298"/>
      <c r="X52" s="698"/>
      <c r="Y52" s="81"/>
      <c r="Z52" s="81"/>
      <c r="AA52" s="81"/>
      <c r="AB52" s="81"/>
      <c r="AD52" s="81"/>
      <c r="AE52" s="81"/>
      <c r="AF52" s="220"/>
    </row>
    <row r="53" spans="2:32">
      <c r="B53" s="357" t="s">
        <v>1001</v>
      </c>
      <c r="D53" s="212"/>
      <c r="E53" s="212"/>
      <c r="F53" s="224" t="s">
        <v>1149</v>
      </c>
      <c r="G53" s="173" t="s">
        <v>499</v>
      </c>
      <c r="H53" s="174" t="str">
        <f>$AI$15</f>
        <v>ITDSH</v>
      </c>
      <c r="I53" s="174"/>
      <c r="J53" s="224">
        <f t="shared" ref="J53" si="16">AD53</f>
        <v>2030</v>
      </c>
      <c r="K53" s="81"/>
      <c r="L53" s="333">
        <v>1</v>
      </c>
      <c r="M53" s="199">
        <f ca="1">VLOOKUP($AD53,INDIRECT("'"&amp;$B53&amp;"'!"&amp;"$P$39:$AD$42"),3,FALSE)</f>
        <v>1.9894000000000001</v>
      </c>
      <c r="N53" s="81"/>
      <c r="O53" s="723">
        <f ca="1">VLOOKUP($AD53,INDIRECT("'"&amp;$B53&amp;"'!"&amp;"$P$39:$AD$42"),6,FALSE)/1000</f>
        <v>9.8570539139933757</v>
      </c>
      <c r="P53" s="723">
        <f ca="1">VLOOKUP($AD53,INDIRECT("'"&amp;$B53&amp;"'!"&amp;"$P$39:$AD$42"),7,FALSE)/1000</f>
        <v>1.49E-2</v>
      </c>
      <c r="Q53" s="81">
        <f ca="1">VLOOKUP($AD53,INDIRECT("'"&amp;$B53&amp;"'!"&amp;"$P$39:$AD$42"),8,FALSE)</f>
        <v>6.9740277777777777</v>
      </c>
      <c r="R53" s="300"/>
      <c r="S53" s="300"/>
      <c r="T53" s="300"/>
      <c r="U53" s="199">
        <f ca="1">1/M53</f>
        <v>0.50266411983512616</v>
      </c>
      <c r="V53" s="199"/>
      <c r="W53" s="298"/>
      <c r="X53" s="698">
        <f ca="1">IF(VLOOKUP($AD53,INDIRECT("'"&amp;$B53&amp;"'!"&amp;"$P$39:$AD$42"),11,FALSE)="Cf. the utilized electricity",0,VLOOKUP($AD53,INDIRECT("'"&amp;$B53&amp;"'!"&amp;"$P$39:$AD$42"),11,FALSE))</f>
        <v>0</v>
      </c>
      <c r="Y53" s="81">
        <f ca="1">VLOOKUP($AD53,INDIRECT("'"&amp;$B53&amp;"'!"&amp;"$P$39:$AD$42"),12,FALSE)</f>
        <v>0</v>
      </c>
      <c r="Z53" s="81">
        <f ca="1">VLOOKUP($AD53,INDIRECT("'"&amp;$B53&amp;"'!"&amp;"$P$39:$AD$42"),13,FALSE)</f>
        <v>0</v>
      </c>
      <c r="AA53" s="81">
        <f ca="1">VLOOKUP($AD53,INDIRECT("'"&amp;$B53&amp;"'!"&amp;"$P$39:$AD$42"),14,FALSE)</f>
        <v>0</v>
      </c>
      <c r="AB53" s="81">
        <f ca="1">VLOOKUP($AD53,INDIRECT("'"&amp;$B53&amp;"'!"&amp;"$P$39:$AD$42"),15,FALSE)</f>
        <v>0</v>
      </c>
      <c r="AD53" s="81">
        <v>2030</v>
      </c>
      <c r="AE53" s="81"/>
      <c r="AF53" s="220"/>
    </row>
    <row r="54" spans="2:32">
      <c r="B54" s="357" t="s">
        <v>1001</v>
      </c>
      <c r="D54" s="212"/>
      <c r="E54" s="212"/>
      <c r="F54" s="224" t="s">
        <v>1149</v>
      </c>
      <c r="G54" s="173" t="str">
        <f>$AI$20</f>
        <v>INDTWH</v>
      </c>
      <c r="H54" s="174"/>
      <c r="I54" s="174"/>
      <c r="K54" s="81"/>
      <c r="L54" s="333"/>
      <c r="M54" s="199"/>
      <c r="N54" s="81"/>
      <c r="O54" s="723"/>
      <c r="P54" s="723"/>
      <c r="Q54" s="81"/>
      <c r="R54" s="300"/>
      <c r="S54" s="300"/>
      <c r="T54" s="300"/>
      <c r="U54" s="199">
        <f ca="1">1-U53</f>
        <v>0.49733588016487384</v>
      </c>
      <c r="V54" s="300"/>
      <c r="W54" s="298"/>
      <c r="X54" s="698"/>
      <c r="Y54" s="81"/>
      <c r="Z54" s="81"/>
      <c r="AA54" s="81"/>
      <c r="AB54" s="81"/>
      <c r="AD54" s="81"/>
      <c r="AE54" s="81"/>
      <c r="AF54" s="220"/>
    </row>
    <row r="55" spans="2:32">
      <c r="B55" s="357" t="s">
        <v>1001</v>
      </c>
      <c r="D55" s="212"/>
      <c r="E55" s="212"/>
      <c r="F55" s="224" t="s">
        <v>1149</v>
      </c>
      <c r="G55" s="173" t="s">
        <v>499</v>
      </c>
      <c r="H55" s="174" t="str">
        <f>$AI$15</f>
        <v>ITDSH</v>
      </c>
      <c r="I55" s="174"/>
      <c r="J55" s="224">
        <f t="shared" ref="J55" si="17">AD55</f>
        <v>2050</v>
      </c>
      <c r="K55" s="81"/>
      <c r="L55" s="333">
        <v>1</v>
      </c>
      <c r="M55" s="199">
        <f ca="1">VLOOKUP($AD55,INDIRECT("'"&amp;$B55&amp;"'!"&amp;"$P$39:$AD$42"),3,FALSE)</f>
        <v>2.0509898799999999</v>
      </c>
      <c r="N55" s="81"/>
      <c r="O55" s="723">
        <f ca="1">VLOOKUP($AD55,INDIRECT("'"&amp;$B55&amp;"'!"&amp;"$P$39:$AD$42"),6,FALSE)/1000</f>
        <v>6.955935359434223</v>
      </c>
      <c r="P55" s="723">
        <f ca="1">VLOOKUP($AD55,INDIRECT("'"&amp;$B55&amp;"'!"&amp;"$P$39:$AD$42"),7,FALSE)/1000</f>
        <v>1.49E-2</v>
      </c>
      <c r="Q55" s="81">
        <f ca="1">VLOOKUP($AD55,INDIRECT("'"&amp;$B55&amp;"'!"&amp;"$P$39:$AD$42"),8,FALSE)</f>
        <v>6.7877777777777784</v>
      </c>
      <c r="R55" s="300"/>
      <c r="S55" s="300"/>
      <c r="T55" s="300"/>
      <c r="U55" s="199">
        <f ca="1">1/M55</f>
        <v>0.48756944622271858</v>
      </c>
      <c r="V55" s="199"/>
      <c r="W55" s="298"/>
      <c r="X55" s="698">
        <f ca="1">IF(VLOOKUP($AD55,INDIRECT("'"&amp;$B55&amp;"'!"&amp;"$P$39:$AD$42"),11,FALSE)="Cf. the utilized electricity",0,VLOOKUP($AD55,INDIRECT("'"&amp;$B55&amp;"'!"&amp;"$P$39:$AD$42"),11,FALSE))</f>
        <v>0</v>
      </c>
      <c r="Y55" s="81">
        <f ca="1">VLOOKUP($AD55,INDIRECT("'"&amp;$B55&amp;"'!"&amp;"$P$39:$AD$42"),12,FALSE)</f>
        <v>0</v>
      </c>
      <c r="Z55" s="81">
        <f ca="1">VLOOKUP($AD55,INDIRECT("'"&amp;$B55&amp;"'!"&amp;"$P$39:$AD$42"),13,FALSE)</f>
        <v>0</v>
      </c>
      <c r="AA55" s="81">
        <f ca="1">VLOOKUP($AD55,INDIRECT("'"&amp;$B55&amp;"'!"&amp;"$P$39:$AD$42"),14,FALSE)</f>
        <v>0</v>
      </c>
      <c r="AB55" s="81">
        <f ca="1">VLOOKUP($AD55,INDIRECT("'"&amp;$B55&amp;"'!"&amp;"$P$39:$AD$42"),15,FALSE)</f>
        <v>0</v>
      </c>
      <c r="AD55" s="81">
        <v>2050</v>
      </c>
      <c r="AE55" s="81"/>
      <c r="AF55" s="220"/>
    </row>
    <row r="56" spans="2:32">
      <c r="B56" s="357" t="s">
        <v>1001</v>
      </c>
      <c r="D56" s="212"/>
      <c r="E56" s="212"/>
      <c r="F56" s="224" t="s">
        <v>1149</v>
      </c>
      <c r="G56" s="173" t="str">
        <f>$AI$20</f>
        <v>INDTWH</v>
      </c>
      <c r="H56" s="174"/>
      <c r="I56" s="174"/>
      <c r="K56" s="81"/>
      <c r="L56" s="333"/>
      <c r="M56" s="199"/>
      <c r="N56" s="81"/>
      <c r="O56" s="723"/>
      <c r="P56" s="723"/>
      <c r="Q56" s="81"/>
      <c r="R56" s="300"/>
      <c r="S56" s="300"/>
      <c r="T56" s="300"/>
      <c r="U56" s="199">
        <f ca="1">1-U55</f>
        <v>0.51243055377728142</v>
      </c>
      <c r="V56" s="300"/>
      <c r="W56" s="298"/>
      <c r="X56" s="698"/>
      <c r="Y56" s="81"/>
      <c r="Z56" s="81"/>
      <c r="AA56" s="81"/>
      <c r="AB56" s="81"/>
      <c r="AD56" s="81"/>
      <c r="AE56" s="81"/>
      <c r="AF56" s="220"/>
    </row>
    <row r="57" spans="2:32">
      <c r="B57" s="357" t="s">
        <v>1002</v>
      </c>
      <c r="D57" s="212" t="str">
        <f>"IND"&amp;RIGHT(H57,4)&amp;RIGHT(G57,3)&amp;"N"&amp;RIGHT(E57,1)</f>
        <v>INDTDPHELCN5</v>
      </c>
      <c r="E57" s="261" t="str">
        <f>"Industrial heating technology "&amp;$AJ$12&amp;" "&amp;RIGHT(H57,2)&amp;" - MVR utilizing waste heat - new 5"</f>
        <v>Industrial heating technology Transport PH - MVR utilizing waste heat - new 5</v>
      </c>
      <c r="F57" s="224" t="s">
        <v>1149</v>
      </c>
      <c r="G57" s="173" t="s">
        <v>499</v>
      </c>
      <c r="H57" s="174" t="str">
        <f>$AI$14</f>
        <v>ITDPH</v>
      </c>
      <c r="I57" s="174"/>
      <c r="J57" s="224">
        <f t="shared" ref="J57" si="18">AD57</f>
        <v>2020</v>
      </c>
      <c r="K57" s="81">
        <v>2020</v>
      </c>
      <c r="L57" s="333">
        <v>1</v>
      </c>
      <c r="M57" s="199">
        <f ca="1">VLOOKUP($AD57,INDIRECT("'"&amp;$B57&amp;"'!"&amp;"$P$39:$AD$42"),3,FALSE)</f>
        <v>12.1</v>
      </c>
      <c r="N57" s="81">
        <f ca="1">VLOOKUP($AD57,INDIRECT("'"&amp;$B57&amp;"'!"&amp;"$P$39:$AD$42"),5,FALSE)</f>
        <v>25</v>
      </c>
      <c r="O57" s="723">
        <f ca="1">VLOOKUP($AD57,INDIRECT("'"&amp;$B57&amp;"'!"&amp;"$P$39:$AD$42"),6,FALSE)/1000</f>
        <v>2.6074999999999999</v>
      </c>
      <c r="P57" s="723">
        <f ca="1">VLOOKUP($AD57,INDIRECT("'"&amp;$B57&amp;"'!"&amp;"$P$39:$AD$42"),7,FALSE)/1000</f>
        <v>1.49E-2</v>
      </c>
      <c r="Q57" s="81">
        <f ca="1">VLOOKUP($AD57,INDIRECT("'"&amp;$B57&amp;"'!"&amp;"$P$39:$AD$42"),8,FALSE)</f>
        <v>5.2356944444444444</v>
      </c>
      <c r="R57" s="81">
        <v>3.1536000000000002E-2</v>
      </c>
      <c r="S57" s="199">
        <v>0.5</v>
      </c>
      <c r="T57" s="199">
        <f ca="1">HLOOKUP($T$2,INDIRECT("'"&amp;$B57&amp;"'!"&amp;"$P$6:$AC$19"),IF(H57=$AI$13,6,IF(H57=$AI$14,9,14)),FALSE)</f>
        <v>0</v>
      </c>
      <c r="U57" s="199">
        <f ca="1">1/M57</f>
        <v>8.2644628099173556E-2</v>
      </c>
      <c r="V57" s="199"/>
      <c r="W57" s="298"/>
      <c r="X57" s="698">
        <f ca="1">IF(VLOOKUP($AD57,INDIRECT("'"&amp;$B57&amp;"'!"&amp;"$P$39:$AD$42"),11,FALSE)="Cf. the utilized electricity",0,VLOOKUP($AD57,INDIRECT("'"&amp;$B57&amp;"'!"&amp;"$P$39:$AD$42"),11,FALSE))</f>
        <v>0</v>
      </c>
      <c r="Y57" s="81">
        <f ca="1">VLOOKUP($AD57,INDIRECT("'"&amp;$B57&amp;"'!"&amp;"$P$39:$AD$42"),12,FALSE)</f>
        <v>0</v>
      </c>
      <c r="Z57" s="81">
        <f ca="1">VLOOKUP($AD57,INDIRECT("'"&amp;$B57&amp;"'!"&amp;"$P$39:$AD$42"),13,FALSE)</f>
        <v>0</v>
      </c>
      <c r="AA57" s="81">
        <f ca="1">VLOOKUP($AD57,INDIRECT("'"&amp;$B57&amp;"'!"&amp;"$P$39:$AD$42"),14,FALSE)</f>
        <v>0</v>
      </c>
      <c r="AB57" s="81">
        <f ca="1">VLOOKUP($AD57,INDIRECT("'"&amp;$B57&amp;"'!"&amp;"$P$39:$AD$42"),15,FALSE)</f>
        <v>0</v>
      </c>
      <c r="AD57" s="81">
        <v>2020</v>
      </c>
      <c r="AE57" s="81"/>
      <c r="AF57" s="220"/>
    </row>
    <row r="58" spans="2:32">
      <c r="B58" s="357" t="s">
        <v>1002</v>
      </c>
      <c r="D58" s="212"/>
      <c r="E58" s="261"/>
      <c r="F58" s="224" t="s">
        <v>1149</v>
      </c>
      <c r="G58" s="173" t="str">
        <f>$AI$20</f>
        <v>INDTWH</v>
      </c>
      <c r="H58" s="174"/>
      <c r="I58" s="174"/>
      <c r="K58" s="81"/>
      <c r="L58" s="199"/>
      <c r="M58" s="199"/>
      <c r="N58" s="81"/>
      <c r="O58" s="723"/>
      <c r="P58" s="723"/>
      <c r="Q58" s="81"/>
      <c r="R58" s="200"/>
      <c r="S58" s="772"/>
      <c r="T58" s="772"/>
      <c r="U58" s="199">
        <f ca="1">1-U57</f>
        <v>0.9173553719008265</v>
      </c>
      <c r="V58" s="772"/>
      <c r="W58" s="298"/>
      <c r="X58" s="698"/>
      <c r="Y58" s="81"/>
      <c r="Z58" s="81"/>
      <c r="AA58" s="81"/>
      <c r="AB58" s="81"/>
      <c r="AD58" s="81"/>
      <c r="AE58" s="81"/>
      <c r="AF58" s="220"/>
    </row>
    <row r="59" spans="2:32">
      <c r="B59" s="357" t="s">
        <v>1002</v>
      </c>
      <c r="D59" s="212"/>
      <c r="E59" s="212"/>
      <c r="F59" s="224" t="s">
        <v>1149</v>
      </c>
      <c r="G59" s="173" t="s">
        <v>499</v>
      </c>
      <c r="H59" s="174" t="str">
        <f>$AI$14</f>
        <v>ITDPH</v>
      </c>
      <c r="I59" s="174"/>
      <c r="J59" s="224">
        <f t="shared" ref="J59" si="19">AD59</f>
        <v>2030</v>
      </c>
      <c r="K59" s="81"/>
      <c r="L59" s="333">
        <v>1</v>
      </c>
      <c r="M59" s="199">
        <f ca="1">VLOOKUP($AD59,INDIRECT("'"&amp;$B59&amp;"'!"&amp;"$P$39:$AD$42"),3,FALSE)</f>
        <v>12.7</v>
      </c>
      <c r="N59" s="81"/>
      <c r="O59" s="723">
        <f ca="1">VLOOKUP($AD59,INDIRECT("'"&amp;$B59&amp;"'!"&amp;"$P$39:$AD$42"),6,FALSE)/1000</f>
        <v>2.4585000000000004</v>
      </c>
      <c r="P59" s="723">
        <f ca="1">VLOOKUP($AD59,INDIRECT("'"&amp;$B59&amp;"'!"&amp;"$P$39:$AD$42"),7,FALSE)/1000</f>
        <v>1.49E-2</v>
      </c>
      <c r="Q59" s="81">
        <f ca="1">VLOOKUP($AD59,INDIRECT("'"&amp;$B59&amp;"'!"&amp;"$P$39:$AD$42"),8,FALSE)</f>
        <v>5.0701388888888888</v>
      </c>
      <c r="R59" s="300"/>
      <c r="S59" s="300"/>
      <c r="T59" s="300"/>
      <c r="U59" s="199">
        <f ca="1">1/M59</f>
        <v>7.874015748031496E-2</v>
      </c>
      <c r="V59" s="199"/>
      <c r="W59" s="298"/>
      <c r="X59" s="698">
        <f ca="1">IF(VLOOKUP($AD59,INDIRECT("'"&amp;$B59&amp;"'!"&amp;"$P$39:$AD$42"),11,FALSE)="Cf. the utilized electricity",0,VLOOKUP($AD59,INDIRECT("'"&amp;$B59&amp;"'!"&amp;"$P$39:$AD$42"),11,FALSE))</f>
        <v>0</v>
      </c>
      <c r="Y59" s="81">
        <f ca="1">VLOOKUP($AD59,INDIRECT("'"&amp;$B59&amp;"'!"&amp;"$P$39:$AD$42"),12,FALSE)</f>
        <v>0</v>
      </c>
      <c r="Z59" s="81">
        <f ca="1">VLOOKUP($AD59,INDIRECT("'"&amp;$B59&amp;"'!"&amp;"$P$39:$AD$42"),13,FALSE)</f>
        <v>0</v>
      </c>
      <c r="AA59" s="81">
        <f ca="1">VLOOKUP($AD59,INDIRECT("'"&amp;$B59&amp;"'!"&amp;"$P$39:$AD$42"),14,FALSE)</f>
        <v>0</v>
      </c>
      <c r="AB59" s="81">
        <f ca="1">VLOOKUP($AD59,INDIRECT("'"&amp;$B59&amp;"'!"&amp;"$P$39:$AD$42"),15,FALSE)</f>
        <v>0</v>
      </c>
      <c r="AD59" s="81">
        <v>2030</v>
      </c>
      <c r="AE59" s="81"/>
      <c r="AF59" s="220"/>
    </row>
    <row r="60" spans="2:32">
      <c r="B60" s="357" t="s">
        <v>1002</v>
      </c>
      <c r="D60" s="212"/>
      <c r="E60" s="212"/>
      <c r="F60" s="224" t="s">
        <v>1149</v>
      </c>
      <c r="G60" s="173" t="str">
        <f>$AI$20</f>
        <v>INDTWH</v>
      </c>
      <c r="H60" s="174"/>
      <c r="I60" s="174"/>
      <c r="K60" s="81"/>
      <c r="L60" s="199"/>
      <c r="M60" s="199"/>
      <c r="N60" s="81"/>
      <c r="O60" s="723"/>
      <c r="P60" s="723"/>
      <c r="Q60" s="81"/>
      <c r="R60" s="300"/>
      <c r="S60" s="300"/>
      <c r="T60" s="300"/>
      <c r="U60" s="199">
        <f ca="1">1-U59</f>
        <v>0.92125984251968507</v>
      </c>
      <c r="V60" s="300"/>
      <c r="W60" s="298"/>
      <c r="X60" s="698"/>
      <c r="Y60" s="81"/>
      <c r="Z60" s="81"/>
      <c r="AA60" s="81"/>
      <c r="AB60" s="81"/>
      <c r="AD60" s="81"/>
      <c r="AE60" s="81"/>
      <c r="AF60" s="220"/>
    </row>
    <row r="61" spans="2:32">
      <c r="B61" s="357" t="s">
        <v>1002</v>
      </c>
      <c r="D61" s="212"/>
      <c r="E61" s="212"/>
      <c r="F61" s="224" t="s">
        <v>1149</v>
      </c>
      <c r="G61" s="173" t="s">
        <v>499</v>
      </c>
      <c r="H61" s="174" t="str">
        <f>$AI$14</f>
        <v>ITDPH</v>
      </c>
      <c r="I61" s="174"/>
      <c r="J61" s="224">
        <f t="shared" ref="J61" si="20">AD61</f>
        <v>2050</v>
      </c>
      <c r="K61" s="81"/>
      <c r="L61" s="333">
        <v>1</v>
      </c>
      <c r="M61" s="199">
        <f ca="1">VLOOKUP($AD61,INDIRECT("'"&amp;$B61&amp;"'!"&amp;"$P$39:$AD$42"),3,FALSE)</f>
        <v>13.8</v>
      </c>
      <c r="N61" s="81"/>
      <c r="O61" s="723">
        <f ca="1">VLOOKUP($AD61,INDIRECT("'"&amp;$B61&amp;"'!"&amp;"$P$39:$AD$42"),6,FALSE)/1000</f>
        <v>2.3094999999999999</v>
      </c>
      <c r="P61" s="723">
        <f ca="1">VLOOKUP($AD61,INDIRECT("'"&amp;$B61&amp;"'!"&amp;"$P$39:$AD$42"),7,FALSE)/1000</f>
        <v>1.49E-2</v>
      </c>
      <c r="Q61" s="81">
        <f ca="1">VLOOKUP($AD61,INDIRECT("'"&amp;$B61&amp;"'!"&amp;"$P$39:$AD$42"),8,FALSE)</f>
        <v>4.8838888888888903</v>
      </c>
      <c r="R61" s="300"/>
      <c r="S61" s="300"/>
      <c r="T61" s="300"/>
      <c r="U61" s="199">
        <f ca="1">1/M61</f>
        <v>7.2463768115942032E-2</v>
      </c>
      <c r="V61" s="199"/>
      <c r="W61" s="298"/>
      <c r="X61" s="698">
        <f ca="1">IF(VLOOKUP($AD61,INDIRECT("'"&amp;$B61&amp;"'!"&amp;"$P$39:$AD$42"),11,FALSE)="Cf. the utilized electricity",0,VLOOKUP($AD61,INDIRECT("'"&amp;$B61&amp;"'!"&amp;"$P$39:$AD$42"),11,FALSE))</f>
        <v>0</v>
      </c>
      <c r="Y61" s="81">
        <f ca="1">VLOOKUP($AD61,INDIRECT("'"&amp;$B61&amp;"'!"&amp;"$P$39:$AD$42"),12,FALSE)</f>
        <v>0</v>
      </c>
      <c r="Z61" s="81">
        <f ca="1">VLOOKUP($AD61,INDIRECT("'"&amp;$B61&amp;"'!"&amp;"$P$39:$AD$42"),13,FALSE)</f>
        <v>0</v>
      </c>
      <c r="AA61" s="81">
        <f ca="1">VLOOKUP($AD61,INDIRECT("'"&amp;$B61&amp;"'!"&amp;"$P$39:$AD$42"),14,FALSE)</f>
        <v>0</v>
      </c>
      <c r="AB61" s="81">
        <f ca="1">VLOOKUP($AD61,INDIRECT("'"&amp;$B61&amp;"'!"&amp;"$P$39:$AD$42"),15,FALSE)</f>
        <v>0</v>
      </c>
      <c r="AD61" s="81">
        <v>2050</v>
      </c>
      <c r="AE61" s="81"/>
      <c r="AF61" s="220"/>
    </row>
    <row r="62" spans="2:32" ht="16" thickBot="1">
      <c r="B62" s="786" t="s">
        <v>1002</v>
      </c>
      <c r="C62" s="787"/>
      <c r="D62" s="732"/>
      <c r="E62" s="732"/>
      <c r="F62" s="224" t="s">
        <v>1149</v>
      </c>
      <c r="G62" s="788" t="str">
        <f>$AI$20</f>
        <v>INDTWH</v>
      </c>
      <c r="H62" s="788"/>
      <c r="I62" s="788"/>
      <c r="K62" s="789"/>
      <c r="L62" s="790"/>
      <c r="M62" s="790"/>
      <c r="N62" s="789"/>
      <c r="O62" s="791"/>
      <c r="P62" s="791"/>
      <c r="Q62" s="789"/>
      <c r="R62" s="792"/>
      <c r="S62" s="792"/>
      <c r="T62" s="792"/>
      <c r="U62" s="790">
        <f ca="1">1-U61</f>
        <v>0.92753623188405798</v>
      </c>
      <c r="V62" s="796"/>
      <c r="W62" s="793"/>
      <c r="X62" s="794"/>
      <c r="Y62" s="789"/>
      <c r="Z62" s="789"/>
      <c r="AA62" s="789"/>
      <c r="AB62" s="789"/>
      <c r="AC62" s="787"/>
      <c r="AD62" s="789"/>
      <c r="AE62" s="789"/>
      <c r="AF62" s="795"/>
    </row>
    <row r="63" spans="2:32">
      <c r="B63" s="357" t="s">
        <v>920</v>
      </c>
      <c r="D63" s="212" t="str">
        <f>"IND"&amp;RIGHT(H63,4)&amp;RIGHT(G63,3)&amp;"N"&amp;RIGHT(E63,1)</f>
        <v>INDTDPHWSTN1</v>
      </c>
      <c r="E63" s="261" t="str">
        <f>"Industrial heating technology "&amp;$AJ$12&amp;" "&amp;RIGHT(H63,2)&amp;" - Hotdisc - new 1"</f>
        <v>Industrial heating technology Transport PH - Hotdisc - new 1</v>
      </c>
      <c r="F63" s="224" t="s">
        <v>1149</v>
      </c>
      <c r="G63" s="832" t="s">
        <v>1005</v>
      </c>
      <c r="H63" s="174" t="str">
        <f>$AI$13</f>
        <v>ITDPH</v>
      </c>
      <c r="I63" s="173" t="str">
        <f t="shared" ref="I63:I126" si="21">$AI$20</f>
        <v>INDTWH</v>
      </c>
      <c r="J63" s="224">
        <f>IF(AD63=2020,2011,AD63)</f>
        <v>2011</v>
      </c>
      <c r="K63" s="299">
        <v>2025</v>
      </c>
      <c r="L63" s="699">
        <f t="shared" ref="L63:L80" ca="1" si="22">VLOOKUP($AD63,INDIRECT("'"&amp;$B63&amp;"'!"&amp;"$P$39:$AD$42"),3,FALSE)</f>
        <v>0.9</v>
      </c>
      <c r="M63" s="699"/>
      <c r="N63" s="299">
        <f ca="1">VLOOKUP($AD63,INDIRECT("'"&amp;$B63&amp;"'!"&amp;"$P$39:$AD$42"),5,FALSE)</f>
        <v>20</v>
      </c>
      <c r="O63" s="725">
        <f t="shared" ref="O63:O80" ca="1" si="23">VLOOKUP($AD63,INDIRECT("'"&amp;$B63&amp;"'!"&amp;"$P$39:$AD$42"),6,FALSE)/1000</f>
        <v>3.7250000000000001</v>
      </c>
      <c r="P63" s="725">
        <f t="shared" ref="P63:P80" ca="1" si="24">VLOOKUP($AD63,INDIRECT("'"&amp;$B63&amp;"'!"&amp;"$P$39:$AD$42"),7,FALSE)/1000</f>
        <v>2.98E-3</v>
      </c>
      <c r="Q63" s="299">
        <f t="shared" ref="Q63:Q80" ca="1" si="25">VLOOKUP($AD63,INDIRECT("'"&amp;$B63&amp;"'!"&amp;"$P$39:$AD$42"),8,FALSE)</f>
        <v>2.4315972222222224</v>
      </c>
      <c r="R63" s="299">
        <v>3.1536000000000002E-2</v>
      </c>
      <c r="S63" s="699">
        <v>0.5</v>
      </c>
      <c r="T63" s="699">
        <f ca="1">HLOOKUP($S$2,INDIRECT("'"&amp;$B63&amp;"'!"&amp;"$P$6:$AC$19"),IF(H63=$AI$13,6,IF(H63=$AI$14,9,14)),FALSE)</f>
        <v>0</v>
      </c>
      <c r="U63" s="772"/>
      <c r="V63" s="199">
        <f ca="1">IF(IF(RIGHT(H63,2)="PH",(1-L63)+$W$2,IF(RIGHT(H63,2)="HT",(1-L63)+$W$1,IF(RIGHT(H63,2)="SH",(1-L63)+$W$3,"")))&gt;0,IF(RIGHT(H63,2)="PH",(1-L63)+$W$2,IF(RIGHT(H63,2)="HT",(1-L63)+$W$1,IF(RIGHT(H63,2)="SH",(1-L63)+$W$3,""))),0)</f>
        <v>0.3</v>
      </c>
      <c r="W63" s="298"/>
      <c r="X63" s="785">
        <f t="shared" ref="X63:X94" ca="1" si="26">IF(VLOOKUP($AD63,INDIRECT("'"&amp;$B63&amp;"'!"&amp;"$P$39:$AD$42"),11,FALSE)="Cf. the utilized electricity",0,VLOOKUP($AD63,INDIRECT("'"&amp;$B63&amp;"'!"&amp;"$P$39:$AD$42"),11,FALSE))</f>
        <v>8.3000000000000007</v>
      </c>
      <c r="Y63" s="299">
        <f t="shared" ref="Y63:Y80" ca="1" si="27">VLOOKUP($AD63,INDIRECT("'"&amp;$B63&amp;"'!"&amp;"$P$39:$AD$42"),12,FALSE)</f>
        <v>56</v>
      </c>
      <c r="Z63" s="299">
        <f t="shared" ref="Z63:Z80" ca="1" si="28">VLOOKUP($AD63,INDIRECT("'"&amp;$B63&amp;"'!"&amp;"$P$39:$AD$42"),13,FALSE)</f>
        <v>0.1</v>
      </c>
      <c r="AA63" s="299">
        <f t="shared" ref="AA63:AA80" ca="1" si="29">VLOOKUP($AD63,INDIRECT("'"&amp;$B63&amp;"'!"&amp;"$P$39:$AD$42"),14,FALSE)</f>
        <v>1</v>
      </c>
      <c r="AB63" s="299">
        <f t="shared" ref="AB63:AB80" ca="1" si="30">VLOOKUP($AD63,INDIRECT("'"&amp;$B63&amp;"'!"&amp;"$P$39:$AD$42"),15,FALSE)</f>
        <v>0.28999999999999998</v>
      </c>
      <c r="AD63" s="299">
        <v>2020</v>
      </c>
      <c r="AE63" s="299"/>
      <c r="AF63" s="220"/>
    </row>
    <row r="64" spans="2:32">
      <c r="B64" s="357" t="s">
        <v>920</v>
      </c>
      <c r="D64" s="212"/>
      <c r="E64" s="212"/>
      <c r="F64" s="224" t="s">
        <v>1149</v>
      </c>
      <c r="H64" s="174"/>
      <c r="I64" s="173" t="str">
        <f t="shared" si="21"/>
        <v>INDTWH</v>
      </c>
      <c r="J64" s="224">
        <f t="shared" ref="J64:J127" si="31">IF(AD64=2020,2011,AD64)</f>
        <v>2030</v>
      </c>
      <c r="K64" s="81"/>
      <c r="L64" s="199">
        <f t="shared" ca="1" si="22"/>
        <v>0.91</v>
      </c>
      <c r="M64" s="199"/>
      <c r="N64" s="81"/>
      <c r="O64" s="723">
        <f t="shared" ca="1" si="23"/>
        <v>3.4642500000000003</v>
      </c>
      <c r="P64" s="723">
        <f t="shared" ca="1" si="24"/>
        <v>2.98E-3</v>
      </c>
      <c r="Q64" s="81">
        <f t="shared" ca="1" si="25"/>
        <v>2.4729861111111116</v>
      </c>
      <c r="R64" s="300"/>
      <c r="S64" s="300"/>
      <c r="T64" s="300"/>
      <c r="U64" s="300"/>
      <c r="V64" s="199">
        <f ca="1">IF(IF(RIGHT(H63,2)="PH",(1-L64)+$W$2,IF(RIGHT(H63,2)="HT",(1-L64)+$W$1,IF(RIGHT(H63,2)="SH",(1-L64)+$W$3,"")))&gt;0,IF(RIGHT(H63,2)="PH",(1-L64)+$W$2,IF(RIGHT(H63,2)="HT",(1-L64)+$W$1,IF(RIGHT(H63,2)="SH",(1-L64)+$W$3,""))),0)</f>
        <v>0.28999999999999998</v>
      </c>
      <c r="W64" s="298"/>
      <c r="X64" s="698">
        <f t="shared" ca="1" si="26"/>
        <v>8.3000000000000007</v>
      </c>
      <c r="Y64" s="81">
        <f t="shared" ca="1" si="27"/>
        <v>45</v>
      </c>
      <c r="Z64" s="81">
        <f t="shared" ca="1" si="28"/>
        <v>0.1</v>
      </c>
      <c r="AA64" s="81">
        <f t="shared" ca="1" si="29"/>
        <v>1</v>
      </c>
      <c r="AB64" s="81">
        <f t="shared" ca="1" si="30"/>
        <v>0.28999999999999998</v>
      </c>
      <c r="AD64" s="81">
        <v>2030</v>
      </c>
      <c r="AE64" s="81"/>
      <c r="AF64" s="220"/>
    </row>
    <row r="65" spans="2:32">
      <c r="B65" s="357" t="s">
        <v>920</v>
      </c>
      <c r="D65" s="212"/>
      <c r="E65" s="212"/>
      <c r="F65" s="224" t="s">
        <v>1149</v>
      </c>
      <c r="H65" s="174"/>
      <c r="I65" s="173" t="str">
        <f t="shared" si="21"/>
        <v>INDTWH</v>
      </c>
      <c r="J65" s="224">
        <f t="shared" si="31"/>
        <v>2050</v>
      </c>
      <c r="K65" s="81"/>
      <c r="L65" s="199">
        <f t="shared" ca="1" si="22"/>
        <v>0.93</v>
      </c>
      <c r="M65" s="199"/>
      <c r="N65" s="81"/>
      <c r="O65" s="723">
        <f t="shared" ca="1" si="23"/>
        <v>3.3525</v>
      </c>
      <c r="P65" s="723">
        <f t="shared" ca="1" si="24"/>
        <v>2.98E-3</v>
      </c>
      <c r="Q65" s="81">
        <f t="shared" ca="1" si="25"/>
        <v>2.4936805555555561</v>
      </c>
      <c r="R65" s="300"/>
      <c r="S65" s="300"/>
      <c r="T65" s="300"/>
      <c r="U65" s="300"/>
      <c r="V65" s="199">
        <f ca="1">IF(IF(RIGHT(H63,2)="PH",(1-L65)+$W$2,IF(RIGHT(H63,2)="HT",(1-L65)+$W$1,IF(RIGHT(H63,2)="SH",(1-L65)+$W$3,"")))&gt;0,IF(RIGHT(H63,2)="PH",(1-L65)+$W$2,IF(RIGHT(H63,2)="HT",(1-L65)+$W$1,IF(RIGHT(H63,2)="SH",(1-L65)+$W$3,""))),0)</f>
        <v>0.26999999999999996</v>
      </c>
      <c r="W65" s="298"/>
      <c r="X65" s="698">
        <f t="shared" ca="1" si="26"/>
        <v>8.3000000000000007</v>
      </c>
      <c r="Y65" s="81">
        <f t="shared" ca="1" si="27"/>
        <v>11</v>
      </c>
      <c r="Z65" s="81">
        <f t="shared" ca="1" si="28"/>
        <v>0.1</v>
      </c>
      <c r="AA65" s="81">
        <f t="shared" ca="1" si="29"/>
        <v>1</v>
      </c>
      <c r="AB65" s="81">
        <f t="shared" ca="1" si="30"/>
        <v>0.28999999999999998</v>
      </c>
      <c r="AD65" s="81">
        <v>2050</v>
      </c>
      <c r="AE65" s="81"/>
      <c r="AF65" s="220"/>
    </row>
    <row r="66" spans="2:32">
      <c r="B66" s="357" t="s">
        <v>922</v>
      </c>
      <c r="D66" s="212" t="str">
        <f>"IND"&amp;RIGHT(H66,4)&amp;RIGHT(G66,3)&amp;"N"&amp;RIGHT(E66,1)</f>
        <v>INDTDPHELCN6</v>
      </c>
      <c r="E66" s="261" t="str">
        <f>"Industrial heating technology "&amp;$AJ$12&amp;" "&amp;RIGHT(H66,2)&amp;" - Dielectric heating - new 6"</f>
        <v>Industrial heating technology Transport PH - Dielectric heating - new 6</v>
      </c>
      <c r="F66" s="224" t="s">
        <v>1149</v>
      </c>
      <c r="G66" s="173" t="s">
        <v>499</v>
      </c>
      <c r="H66" s="174" t="str">
        <f>$AI$14</f>
        <v>ITDPH</v>
      </c>
      <c r="I66" s="173" t="str">
        <f t="shared" si="21"/>
        <v>INDTWH</v>
      </c>
      <c r="J66" s="224">
        <f t="shared" si="31"/>
        <v>2011</v>
      </c>
      <c r="K66" s="299">
        <v>2020</v>
      </c>
      <c r="L66" s="199">
        <f t="shared" ca="1" si="22"/>
        <v>0.95</v>
      </c>
      <c r="M66" s="199"/>
      <c r="N66" s="81">
        <f ca="1">VLOOKUP($AD66,INDIRECT("'"&amp;$B66&amp;"'!"&amp;"$P$39:$AD$42"),5,FALSE)</f>
        <v>30</v>
      </c>
      <c r="O66" s="723">
        <f t="shared" ca="1" si="23"/>
        <v>20.115000000000002</v>
      </c>
      <c r="P66" s="723">
        <f t="shared" ca="1" si="24"/>
        <v>0</v>
      </c>
      <c r="Q66" s="81">
        <f t="shared" ca="1" si="25"/>
        <v>94.828152777777774</v>
      </c>
      <c r="R66" s="81">
        <v>3.1536000000000002E-2</v>
      </c>
      <c r="S66" s="199">
        <v>0.5</v>
      </c>
      <c r="T66" s="199">
        <f ca="1">HLOOKUP($S$2,INDIRECT("'"&amp;$B66&amp;"'!"&amp;"$P$6:$AC$19"),IF(H66=$AI$13,6,IF(H66=$AI$14,9,14)),FALSE)</f>
        <v>0</v>
      </c>
      <c r="U66" s="772"/>
      <c r="V66" s="199">
        <f t="shared" ref="V66" ca="1" si="32">IF(IF(RIGHT(H66,2)="PH",(1-L66)+$W$2,IF(RIGHT(H66,2)="HT",(1-L66)+$W$1,IF(RIGHT(H66,2)="SH",(1-L66)+$W$3,"")))&gt;0,IF(RIGHT(H66,2)="PH",(1-L66)+$W$2,IF(RIGHT(H66,2)="HT",(1-L66)+$W$1,IF(RIGHT(H66,2)="SH",(1-L66)+$W$3,""))),0)</f>
        <v>0.25000000000000006</v>
      </c>
      <c r="W66" s="298"/>
      <c r="X66" s="698">
        <f t="shared" ca="1" si="26"/>
        <v>0</v>
      </c>
      <c r="Y66" s="81">
        <f t="shared" ca="1" si="27"/>
        <v>0</v>
      </c>
      <c r="Z66" s="81">
        <f t="shared" ca="1" si="28"/>
        <v>0</v>
      </c>
      <c r="AA66" s="81">
        <f t="shared" ca="1" si="29"/>
        <v>0</v>
      </c>
      <c r="AB66" s="81">
        <f t="shared" ca="1" si="30"/>
        <v>0</v>
      </c>
      <c r="AD66" s="81">
        <v>2020</v>
      </c>
      <c r="AE66" s="81"/>
      <c r="AF66" s="220"/>
    </row>
    <row r="67" spans="2:32">
      <c r="B67" s="357" t="s">
        <v>922</v>
      </c>
      <c r="D67" s="212"/>
      <c r="E67" s="212"/>
      <c r="F67" s="224" t="s">
        <v>1149</v>
      </c>
      <c r="H67" s="174"/>
      <c r="I67" s="173" t="str">
        <f t="shared" si="21"/>
        <v>INDTWH</v>
      </c>
      <c r="J67" s="224">
        <f t="shared" si="31"/>
        <v>2030</v>
      </c>
      <c r="K67" s="81"/>
      <c r="L67" s="199">
        <f t="shared" ca="1" si="22"/>
        <v>0.95</v>
      </c>
      <c r="M67" s="199"/>
      <c r="N67" s="81"/>
      <c r="O67" s="723">
        <f t="shared" ca="1" si="23"/>
        <v>19.511550000000003</v>
      </c>
      <c r="P67" s="723">
        <f t="shared" ca="1" si="24"/>
        <v>0</v>
      </c>
      <c r="Q67" s="81">
        <f t="shared" ca="1" si="25"/>
        <v>94.832291666666663</v>
      </c>
      <c r="R67" s="300"/>
      <c r="S67" s="300"/>
      <c r="T67" s="300"/>
      <c r="U67" s="300"/>
      <c r="V67" s="199">
        <f t="shared" ref="V67" ca="1" si="33">IF(IF(RIGHT(H66,2)="PH",(1-L67)+$W$2,IF(RIGHT(H66,2)="HT",(1-L67)+$W$1,IF(RIGHT(H66,2)="SH",(1-L67)+$W$3,"")))&gt;0,IF(RIGHT(H66,2)="PH",(1-L67)+$W$2,IF(RIGHT(H66,2)="HT",(1-L67)+$W$1,IF(RIGHT(H66,2)="SH",(1-L67)+$W$3,""))),0)</f>
        <v>0.25000000000000006</v>
      </c>
      <c r="W67" s="298"/>
      <c r="X67" s="698">
        <f t="shared" ca="1" si="26"/>
        <v>0</v>
      </c>
      <c r="Y67" s="81">
        <f t="shared" ca="1" si="27"/>
        <v>0</v>
      </c>
      <c r="Z67" s="81">
        <f t="shared" ca="1" si="28"/>
        <v>0</v>
      </c>
      <c r="AA67" s="81">
        <f t="shared" ca="1" si="29"/>
        <v>0</v>
      </c>
      <c r="AB67" s="81">
        <f t="shared" ca="1" si="30"/>
        <v>0</v>
      </c>
      <c r="AD67" s="81">
        <v>2030</v>
      </c>
      <c r="AE67" s="81"/>
      <c r="AF67" s="220"/>
    </row>
    <row r="68" spans="2:32">
      <c r="B68" s="357" t="s">
        <v>922</v>
      </c>
      <c r="D68" s="212"/>
      <c r="E68" s="212"/>
      <c r="F68" s="224" t="s">
        <v>1149</v>
      </c>
      <c r="H68" s="174"/>
      <c r="I68" s="173" t="str">
        <f t="shared" si="21"/>
        <v>INDTWH</v>
      </c>
      <c r="J68" s="224">
        <f t="shared" si="31"/>
        <v>2050</v>
      </c>
      <c r="K68" s="81"/>
      <c r="L68" s="199">
        <f t="shared" ca="1" si="22"/>
        <v>0.95</v>
      </c>
      <c r="M68" s="199"/>
      <c r="N68" s="81"/>
      <c r="O68" s="723">
        <f t="shared" ca="1" si="23"/>
        <v>18.1035</v>
      </c>
      <c r="P68" s="723">
        <f t="shared" ca="1" si="24"/>
        <v>0</v>
      </c>
      <c r="Q68" s="81">
        <f t="shared" ca="1" si="25"/>
        <v>94.834361111111107</v>
      </c>
      <c r="R68" s="300"/>
      <c r="S68" s="300"/>
      <c r="T68" s="300"/>
      <c r="U68" s="300"/>
      <c r="V68" s="199">
        <f t="shared" ref="V68" ca="1" si="34">IF(IF(RIGHT(H66,2)="PH",(1-L68)+$W$2,IF(RIGHT(H66,2)="HT",(1-L68)+$W$1,IF(RIGHT(H66,2)="SH",(1-L68)+$W$3,"")))&gt;0,IF(RIGHT(H66,2)="PH",(1-L68)+$W$2,IF(RIGHT(H66,2)="HT",(1-L68)+$W$1,IF(RIGHT(H66,2)="SH",(1-L68)+$W$3,""))),0)</f>
        <v>0.25000000000000006</v>
      </c>
      <c r="W68" s="298"/>
      <c r="X68" s="698">
        <f t="shared" ca="1" si="26"/>
        <v>0</v>
      </c>
      <c r="Y68" s="81">
        <f t="shared" ca="1" si="27"/>
        <v>0</v>
      </c>
      <c r="Z68" s="81">
        <f t="shared" ca="1" si="28"/>
        <v>0</v>
      </c>
      <c r="AA68" s="81">
        <f t="shared" ca="1" si="29"/>
        <v>0</v>
      </c>
      <c r="AB68" s="81">
        <f t="shared" ca="1" si="30"/>
        <v>0</v>
      </c>
      <c r="AD68" s="81">
        <v>2050</v>
      </c>
      <c r="AE68" s="81"/>
      <c r="AF68" s="220"/>
    </row>
    <row r="69" spans="2:32">
      <c r="B69" s="357" t="s">
        <v>1006</v>
      </c>
      <c r="D69" s="212" t="str">
        <f>"IND"&amp;RIGHT(H69,4)&amp;RIGHT(G69,3)&amp;"N"&amp;RIGHT(E69,1)</f>
        <v>INDTDPHELCN7</v>
      </c>
      <c r="E69" s="261" t="str">
        <f>"Industrial heating technology "&amp;$AJ$12&amp;" "&amp;RIGHT(H69,2)&amp;" - Infrared heating - new 7"</f>
        <v>Industrial heating technology Transport PH - Infrared heating - new 7</v>
      </c>
      <c r="F69" s="224" t="s">
        <v>1149</v>
      </c>
      <c r="G69" s="173" t="s">
        <v>499</v>
      </c>
      <c r="H69" s="174" t="str">
        <f>$AI$14</f>
        <v>ITDPH</v>
      </c>
      <c r="I69" s="173" t="str">
        <f t="shared" si="21"/>
        <v>INDTWH</v>
      </c>
      <c r="J69" s="224">
        <f t="shared" si="31"/>
        <v>2011</v>
      </c>
      <c r="K69" s="299">
        <v>2020</v>
      </c>
      <c r="L69" s="199">
        <f t="shared" ca="1" si="22"/>
        <v>0.96</v>
      </c>
      <c r="M69" s="199"/>
      <c r="N69" s="81">
        <f ca="1">VLOOKUP($AD69,INDIRECT("'"&amp;$B69&amp;"'!"&amp;"$P$39:$AD$42"),5,FALSE)</f>
        <v>30</v>
      </c>
      <c r="O69" s="723">
        <f t="shared" ca="1" si="23"/>
        <v>2.6074999999999999</v>
      </c>
      <c r="P69" s="723">
        <f t="shared" ca="1" si="24"/>
        <v>0</v>
      </c>
      <c r="Q69" s="81">
        <f t="shared" ca="1" si="25"/>
        <v>242.27606944444443</v>
      </c>
      <c r="R69" s="81">
        <v>3.1536000000000002E-2</v>
      </c>
      <c r="S69" s="199">
        <v>0.5</v>
      </c>
      <c r="T69" s="199">
        <f ca="1">HLOOKUP($S$2,INDIRECT("'"&amp;$B69&amp;"'!"&amp;"$P$6:$AC$19"),IF(H69=$AI$13,6,IF(H69=$AI$14,9,14)),FALSE)</f>
        <v>0</v>
      </c>
      <c r="U69" s="772"/>
      <c r="V69" s="199">
        <f t="shared" ref="V69" ca="1" si="35">IF(IF(RIGHT(H69,2)="PH",(1-L69)+$W$2,IF(RIGHT(H69,2)="HT",(1-L69)+$W$1,IF(RIGHT(H69,2)="SH",(1-L69)+$W$3,"")))&gt;0,IF(RIGHT(H69,2)="PH",(1-L69)+$W$2,IF(RIGHT(H69,2)="HT",(1-L69)+$W$1,IF(RIGHT(H69,2)="SH",(1-L69)+$W$3,""))),0)</f>
        <v>0.24000000000000005</v>
      </c>
      <c r="W69" s="298"/>
      <c r="X69" s="698">
        <f t="shared" ca="1" si="26"/>
        <v>0</v>
      </c>
      <c r="Y69" s="81">
        <f t="shared" ca="1" si="27"/>
        <v>0</v>
      </c>
      <c r="Z69" s="81">
        <f t="shared" ca="1" si="28"/>
        <v>0</v>
      </c>
      <c r="AA69" s="81">
        <f t="shared" ca="1" si="29"/>
        <v>0</v>
      </c>
      <c r="AB69" s="81">
        <f t="shared" ca="1" si="30"/>
        <v>0</v>
      </c>
      <c r="AD69" s="81">
        <v>2020</v>
      </c>
      <c r="AE69" s="81"/>
      <c r="AF69" s="220"/>
    </row>
    <row r="70" spans="2:32">
      <c r="B70" s="357" t="s">
        <v>1006</v>
      </c>
      <c r="D70" s="212"/>
      <c r="E70" s="212"/>
      <c r="F70" s="224" t="s">
        <v>1149</v>
      </c>
      <c r="H70" s="174"/>
      <c r="I70" s="173" t="str">
        <f t="shared" si="21"/>
        <v>INDTWH</v>
      </c>
      <c r="J70" s="224">
        <f t="shared" si="31"/>
        <v>2030</v>
      </c>
      <c r="K70" s="81"/>
      <c r="L70" s="199">
        <f t="shared" ca="1" si="22"/>
        <v>0.96</v>
      </c>
      <c r="M70" s="199"/>
      <c r="N70" s="81"/>
      <c r="O70" s="723">
        <f t="shared" ca="1" si="23"/>
        <v>2.5330000000000004</v>
      </c>
      <c r="P70" s="723">
        <f t="shared" ca="1" si="24"/>
        <v>0</v>
      </c>
      <c r="Q70" s="81">
        <f t="shared" ca="1" si="25"/>
        <v>242.28020833333332</v>
      </c>
      <c r="R70" s="300"/>
      <c r="S70" s="300"/>
      <c r="T70" s="300"/>
      <c r="U70" s="300"/>
      <c r="V70" s="199">
        <f t="shared" ref="V70" ca="1" si="36">IF(IF(RIGHT(H69,2)="PH",(1-L70)+$W$2,IF(RIGHT(H69,2)="HT",(1-L70)+$W$1,IF(RIGHT(H69,2)="SH",(1-L70)+$W$3,"")))&gt;0,IF(RIGHT(H69,2)="PH",(1-L70)+$W$2,IF(RIGHT(H69,2)="HT",(1-L70)+$W$1,IF(RIGHT(H69,2)="SH",(1-L70)+$W$3,""))),0)</f>
        <v>0.24000000000000005</v>
      </c>
      <c r="W70" s="298"/>
      <c r="X70" s="698">
        <f t="shared" ca="1" si="26"/>
        <v>0</v>
      </c>
      <c r="Y70" s="81">
        <f t="shared" ca="1" si="27"/>
        <v>0</v>
      </c>
      <c r="Z70" s="81">
        <f t="shared" ca="1" si="28"/>
        <v>0</v>
      </c>
      <c r="AA70" s="81">
        <f t="shared" ca="1" si="29"/>
        <v>0</v>
      </c>
      <c r="AB70" s="81">
        <f t="shared" ca="1" si="30"/>
        <v>0</v>
      </c>
      <c r="AD70" s="81">
        <v>2030</v>
      </c>
      <c r="AE70" s="81"/>
      <c r="AF70" s="220"/>
    </row>
    <row r="71" spans="2:32">
      <c r="B71" s="357" t="s">
        <v>1006</v>
      </c>
      <c r="D71" s="212"/>
      <c r="E71" s="212"/>
      <c r="F71" s="224" t="s">
        <v>1149</v>
      </c>
      <c r="H71" s="174"/>
      <c r="I71" s="174" t="str">
        <f t="shared" si="21"/>
        <v>INDTWH</v>
      </c>
      <c r="J71" s="224">
        <f t="shared" si="31"/>
        <v>2050</v>
      </c>
      <c r="K71" s="81"/>
      <c r="L71" s="199">
        <f t="shared" ca="1" si="22"/>
        <v>0.96</v>
      </c>
      <c r="M71" s="199"/>
      <c r="N71" s="81"/>
      <c r="O71" s="723">
        <f t="shared" ca="1" si="23"/>
        <v>2.3467500000000001</v>
      </c>
      <c r="P71" s="723">
        <f t="shared" ca="1" si="24"/>
        <v>0</v>
      </c>
      <c r="Q71" s="81">
        <f t="shared" ca="1" si="25"/>
        <v>242.28227777777775</v>
      </c>
      <c r="R71" s="300"/>
      <c r="S71" s="300"/>
      <c r="T71" s="300"/>
      <c r="U71" s="300"/>
      <c r="V71" s="199">
        <f t="shared" ref="V71" ca="1" si="37">IF(IF(RIGHT(H69,2)="PH",(1-L71)+$W$2,IF(RIGHT(H69,2)="HT",(1-L71)+$W$1,IF(RIGHT(H69,2)="SH",(1-L71)+$W$3,"")))&gt;0,IF(RIGHT(H69,2)="PH",(1-L71)+$W$2,IF(RIGHT(H69,2)="HT",(1-L71)+$W$1,IF(RIGHT(H69,2)="SH",(1-L71)+$W$3,""))),0)</f>
        <v>0.24000000000000005</v>
      </c>
      <c r="W71" s="298"/>
      <c r="X71" s="698">
        <f t="shared" ca="1" si="26"/>
        <v>0</v>
      </c>
      <c r="Y71" s="81">
        <f t="shared" ca="1" si="27"/>
        <v>0</v>
      </c>
      <c r="Z71" s="81">
        <f t="shared" ca="1" si="28"/>
        <v>0</v>
      </c>
      <c r="AA71" s="81">
        <f t="shared" ca="1" si="29"/>
        <v>0</v>
      </c>
      <c r="AB71" s="81">
        <f t="shared" ca="1" si="30"/>
        <v>0</v>
      </c>
      <c r="AD71" s="81">
        <v>2050</v>
      </c>
      <c r="AE71" s="81"/>
      <c r="AF71" s="220"/>
    </row>
    <row r="72" spans="2:32">
      <c r="B72" s="357" t="s">
        <v>1007</v>
      </c>
      <c r="D72" s="212" t="str">
        <f>"IND"&amp;RIGHT(H72,4)&amp;RIGHT(G72,3)&amp;"N"&amp;RIGHT(E72,1)</f>
        <v>INDTDPHELCN8</v>
      </c>
      <c r="E72" s="261" t="str">
        <f>"Industrial heating technology "&amp;$AJ$12&amp;" "&amp;RIGHT(H72,2)&amp;" - Electric boiler (Steam) - new 8"</f>
        <v>Industrial heating technology Transport PH - Electric boiler (Steam) - new 8</v>
      </c>
      <c r="F72" s="224" t="s">
        <v>1149</v>
      </c>
      <c r="G72" s="173" t="s">
        <v>499</v>
      </c>
      <c r="H72" s="174" t="str">
        <f>$AI$13</f>
        <v>ITDPH</v>
      </c>
      <c r="I72" s="174" t="str">
        <f t="shared" si="21"/>
        <v>INDTWH</v>
      </c>
      <c r="J72" s="224">
        <f t="shared" si="31"/>
        <v>2011</v>
      </c>
      <c r="K72" s="299">
        <v>2020</v>
      </c>
      <c r="L72" s="199">
        <f t="shared" ca="1" si="22"/>
        <v>0.99</v>
      </c>
      <c r="M72" s="199"/>
      <c r="N72" s="81">
        <f ca="1">VLOOKUP($AD72,INDIRECT("'"&amp;$B72&amp;"'!"&amp;"$P$39:$AD$42"),5,FALSE)</f>
        <v>25</v>
      </c>
      <c r="O72" s="723">
        <f t="shared" ca="1" si="23"/>
        <v>0.59599999999999997</v>
      </c>
      <c r="P72" s="723">
        <f t="shared" ca="1" si="24"/>
        <v>7.9714999999999994E-3</v>
      </c>
      <c r="Q72" s="81">
        <f t="shared" ca="1" si="25"/>
        <v>1.7900694444444445</v>
      </c>
      <c r="R72" s="81">
        <v>3.1536000000000002E-2</v>
      </c>
      <c r="S72" s="199">
        <v>0.5</v>
      </c>
      <c r="T72" s="199">
        <f ca="1">HLOOKUP($T$2,INDIRECT("'"&amp;$B72&amp;"'!"&amp;"$P$6:$AC$19"),IF(H72=$AI$13,6,IF(H72=$AI$14,9,14)),FALSE)</f>
        <v>1</v>
      </c>
      <c r="U72" s="772"/>
      <c r="V72" s="199">
        <f t="shared" ref="V72" ca="1" si="38">IF(IF(RIGHT(H72,2)="PH",(1-L72)+$W$2,IF(RIGHT(H72,2)="HT",(1-L72)+$W$1,IF(RIGHT(H72,2)="SH",(1-L72)+$W$3,"")))&gt;0,IF(RIGHT(H72,2)="PH",(1-L72)+$W$2,IF(RIGHT(H72,2)="HT",(1-L72)+$W$1,IF(RIGHT(H72,2)="SH",(1-L72)+$W$3,""))),0)</f>
        <v>0.21000000000000002</v>
      </c>
      <c r="W72" s="298"/>
      <c r="X72" s="698">
        <f t="shared" ca="1" si="26"/>
        <v>0</v>
      </c>
      <c r="Y72" s="81">
        <f t="shared" ca="1" si="27"/>
        <v>0</v>
      </c>
      <c r="Z72" s="81">
        <f t="shared" ca="1" si="28"/>
        <v>0</v>
      </c>
      <c r="AA72" s="81">
        <f t="shared" ca="1" si="29"/>
        <v>0</v>
      </c>
      <c r="AB72" s="81">
        <f t="shared" ca="1" si="30"/>
        <v>0</v>
      </c>
      <c r="AD72" s="81">
        <v>2020</v>
      </c>
      <c r="AE72" s="81"/>
      <c r="AF72" s="220"/>
    </row>
    <row r="73" spans="2:32">
      <c r="B73" s="357" t="s">
        <v>1007</v>
      </c>
      <c r="D73" s="212"/>
      <c r="E73" s="212"/>
      <c r="F73" s="224" t="s">
        <v>1149</v>
      </c>
      <c r="H73" s="174"/>
      <c r="I73" s="174" t="str">
        <f t="shared" si="21"/>
        <v>INDTWH</v>
      </c>
      <c r="J73" s="224">
        <f t="shared" si="31"/>
        <v>2030</v>
      </c>
      <c r="K73" s="81"/>
      <c r="L73" s="199">
        <f t="shared" ca="1" si="22"/>
        <v>0.99</v>
      </c>
      <c r="M73" s="199"/>
      <c r="N73" s="81"/>
      <c r="O73" s="723">
        <f t="shared" ca="1" si="23"/>
        <v>0.52150000000000007</v>
      </c>
      <c r="P73" s="723">
        <f t="shared" ca="1" si="24"/>
        <v>7.5989999999999999E-3</v>
      </c>
      <c r="Q73" s="81">
        <f t="shared" ca="1" si="25"/>
        <v>1.8107638888888888</v>
      </c>
      <c r="R73" s="300"/>
      <c r="S73" s="300"/>
      <c r="T73" s="300"/>
      <c r="U73" s="300"/>
      <c r="V73" s="199">
        <f t="shared" ref="V73" ca="1" si="39">IF(IF(RIGHT(H72,2)="PH",(1-L73)+$W$2,IF(RIGHT(H72,2)="HT",(1-L73)+$W$1,IF(RIGHT(H72,2)="SH",(1-L73)+$W$3,"")))&gt;0,IF(RIGHT(H72,2)="PH",(1-L73)+$W$2,IF(RIGHT(H72,2)="HT",(1-L73)+$W$1,IF(RIGHT(H72,2)="SH",(1-L73)+$W$3,""))),0)</f>
        <v>0.21000000000000002</v>
      </c>
      <c r="W73" s="298"/>
      <c r="X73" s="698">
        <f t="shared" ca="1" si="26"/>
        <v>0</v>
      </c>
      <c r="Y73" s="81">
        <f t="shared" ca="1" si="27"/>
        <v>0</v>
      </c>
      <c r="Z73" s="81">
        <f t="shared" ca="1" si="28"/>
        <v>0</v>
      </c>
      <c r="AA73" s="81">
        <f t="shared" ca="1" si="29"/>
        <v>0</v>
      </c>
      <c r="AB73" s="81">
        <f t="shared" ca="1" si="30"/>
        <v>0</v>
      </c>
      <c r="AD73" s="81">
        <v>2030</v>
      </c>
      <c r="AE73" s="81"/>
      <c r="AF73" s="220"/>
    </row>
    <row r="74" spans="2:32">
      <c r="B74" s="357" t="s">
        <v>1007</v>
      </c>
      <c r="D74" s="212"/>
      <c r="E74" s="212"/>
      <c r="F74" s="224" t="s">
        <v>1149</v>
      </c>
      <c r="H74" s="174"/>
      <c r="I74" s="174" t="str">
        <f t="shared" si="21"/>
        <v>INDTWH</v>
      </c>
      <c r="J74" s="224">
        <f t="shared" si="31"/>
        <v>2050</v>
      </c>
      <c r="K74" s="81"/>
      <c r="L74" s="199">
        <f t="shared" ca="1" si="22"/>
        <v>0.99</v>
      </c>
      <c r="M74" s="199"/>
      <c r="N74" s="81"/>
      <c r="O74" s="723">
        <f t="shared" ca="1" si="23"/>
        <v>0.52150000000000007</v>
      </c>
      <c r="P74" s="723">
        <f t="shared" ca="1" si="24"/>
        <v>6.8539999999999998E-3</v>
      </c>
      <c r="Q74" s="81">
        <f t="shared" ca="1" si="25"/>
        <v>1.6141666666666665</v>
      </c>
      <c r="R74" s="300"/>
      <c r="S74" s="300"/>
      <c r="T74" s="300"/>
      <c r="U74" s="300"/>
      <c r="V74" s="199">
        <f t="shared" ref="V74" ca="1" si="40">IF(IF(RIGHT(H72,2)="PH",(1-L74)+$W$2,IF(RIGHT(H72,2)="HT",(1-L74)+$W$1,IF(RIGHT(H72,2)="SH",(1-L74)+$W$3,"")))&gt;0,IF(RIGHT(H72,2)="PH",(1-L74)+$W$2,IF(RIGHT(H72,2)="HT",(1-L74)+$W$1,IF(RIGHT(H72,2)="SH",(1-L74)+$W$3,""))),0)</f>
        <v>0.21000000000000002</v>
      </c>
      <c r="W74" s="298"/>
      <c r="X74" s="698">
        <f t="shared" ca="1" si="26"/>
        <v>0</v>
      </c>
      <c r="Y74" s="81">
        <f t="shared" ca="1" si="27"/>
        <v>0</v>
      </c>
      <c r="Z74" s="81">
        <f t="shared" ca="1" si="28"/>
        <v>0</v>
      </c>
      <c r="AA74" s="81">
        <f t="shared" ca="1" si="29"/>
        <v>0</v>
      </c>
      <c r="AB74" s="81">
        <f t="shared" ca="1" si="30"/>
        <v>0</v>
      </c>
      <c r="AD74" s="81">
        <v>2050</v>
      </c>
      <c r="AE74" s="81"/>
      <c r="AF74" s="220"/>
    </row>
    <row r="75" spans="2:32">
      <c r="B75" s="357" t="s">
        <v>1007</v>
      </c>
      <c r="D75" s="212" t="str">
        <f>"IND"&amp;RIGHT(H75,4)&amp;RIGHT(G75,3)&amp;"N"&amp;RIGHT(E75,1)</f>
        <v>INDTDPHELCN8</v>
      </c>
      <c r="E75" s="261" t="str">
        <f>"Industrial heating technology "&amp;$AJ$12&amp;" "&amp;RIGHT(H75,2)&amp;" - Electric boiler (Steam) - new 8"</f>
        <v>Industrial heating technology Transport PH - Electric boiler (Steam) - new 8</v>
      </c>
      <c r="F75" s="224" t="s">
        <v>1149</v>
      </c>
      <c r="G75" s="173" t="s">
        <v>499</v>
      </c>
      <c r="H75" s="174" t="str">
        <f>$AI$14</f>
        <v>ITDPH</v>
      </c>
      <c r="I75" s="174" t="str">
        <f t="shared" si="21"/>
        <v>INDTWH</v>
      </c>
      <c r="J75" s="224">
        <f t="shared" si="31"/>
        <v>2011</v>
      </c>
      <c r="K75" s="299">
        <v>2020</v>
      </c>
      <c r="L75" s="199">
        <f t="shared" ca="1" si="22"/>
        <v>0.99</v>
      </c>
      <c r="M75" s="199"/>
      <c r="N75" s="81">
        <f ca="1">VLOOKUP($AD75,INDIRECT("'"&amp;$B75&amp;"'!"&amp;"$P$39:$AD$42"),5,FALSE)</f>
        <v>25</v>
      </c>
      <c r="O75" s="723">
        <f t="shared" ca="1" si="23"/>
        <v>0.59599999999999997</v>
      </c>
      <c r="P75" s="723">
        <f t="shared" ca="1" si="24"/>
        <v>7.9714999999999994E-3</v>
      </c>
      <c r="Q75" s="81">
        <f t="shared" ca="1" si="25"/>
        <v>1.7900694444444445</v>
      </c>
      <c r="R75" s="81">
        <v>3.1536000000000002E-2</v>
      </c>
      <c r="S75" s="199">
        <v>0.5</v>
      </c>
      <c r="T75" s="199">
        <f ca="1">HLOOKUP($T$2,INDIRECT("'"&amp;$B75&amp;"'!"&amp;"$P$6:$AC$19"),IF(H75=$AI$13,6,IF(H75=$AI$14,9,14)),FALSE)</f>
        <v>1</v>
      </c>
      <c r="U75" s="772"/>
      <c r="V75" s="199">
        <f t="shared" ref="V75" ca="1" si="41">IF(IF(RIGHT(H75,2)="PH",(1-L75)+$W$2,IF(RIGHT(H75,2)="HT",(1-L75)+$W$1,IF(RIGHT(H75,2)="SH",(1-L75)+$W$3,"")))&gt;0,IF(RIGHT(H75,2)="PH",(1-L75)+$W$2,IF(RIGHT(H75,2)="HT",(1-L75)+$W$1,IF(RIGHT(H75,2)="SH",(1-L75)+$W$3,""))),0)</f>
        <v>0.21000000000000002</v>
      </c>
      <c r="W75" s="298"/>
      <c r="X75" s="698">
        <f t="shared" ca="1" si="26"/>
        <v>0</v>
      </c>
      <c r="Y75" s="81">
        <f t="shared" ca="1" si="27"/>
        <v>0</v>
      </c>
      <c r="Z75" s="81">
        <f t="shared" ca="1" si="28"/>
        <v>0</v>
      </c>
      <c r="AA75" s="81">
        <f t="shared" ca="1" si="29"/>
        <v>0</v>
      </c>
      <c r="AB75" s="81">
        <f t="shared" ca="1" si="30"/>
        <v>0</v>
      </c>
      <c r="AD75" s="81">
        <v>2020</v>
      </c>
      <c r="AE75" s="81"/>
      <c r="AF75" s="220"/>
    </row>
    <row r="76" spans="2:32">
      <c r="B76" s="357" t="s">
        <v>1007</v>
      </c>
      <c r="D76" s="212"/>
      <c r="E76" s="212"/>
      <c r="F76" s="224" t="s">
        <v>1149</v>
      </c>
      <c r="H76" s="174"/>
      <c r="I76" s="174" t="str">
        <f t="shared" si="21"/>
        <v>INDTWH</v>
      </c>
      <c r="J76" s="224">
        <f t="shared" si="31"/>
        <v>2030</v>
      </c>
      <c r="K76" s="81"/>
      <c r="L76" s="199">
        <f t="shared" ca="1" si="22"/>
        <v>0.99</v>
      </c>
      <c r="M76" s="199"/>
      <c r="N76" s="81"/>
      <c r="O76" s="723">
        <f t="shared" ca="1" si="23"/>
        <v>0.52150000000000007</v>
      </c>
      <c r="P76" s="723">
        <f t="shared" ca="1" si="24"/>
        <v>7.5989999999999999E-3</v>
      </c>
      <c r="Q76" s="81">
        <f t="shared" ca="1" si="25"/>
        <v>1.8107638888888888</v>
      </c>
      <c r="R76" s="300"/>
      <c r="S76" s="300"/>
      <c r="T76" s="300"/>
      <c r="U76" s="300"/>
      <c r="V76" s="199">
        <f t="shared" ref="V76" ca="1" si="42">IF(IF(RIGHT(H75,2)="PH",(1-L76)+$W$2,IF(RIGHT(H75,2)="HT",(1-L76)+$W$1,IF(RIGHT(H75,2)="SH",(1-L76)+$W$3,"")))&gt;0,IF(RIGHT(H75,2)="PH",(1-L76)+$W$2,IF(RIGHT(H75,2)="HT",(1-L76)+$W$1,IF(RIGHT(H75,2)="SH",(1-L76)+$W$3,""))),0)</f>
        <v>0.21000000000000002</v>
      </c>
      <c r="W76" s="298"/>
      <c r="X76" s="698">
        <f t="shared" ca="1" si="26"/>
        <v>0</v>
      </c>
      <c r="Y76" s="81">
        <f t="shared" ca="1" si="27"/>
        <v>0</v>
      </c>
      <c r="Z76" s="81">
        <f t="shared" ca="1" si="28"/>
        <v>0</v>
      </c>
      <c r="AA76" s="81">
        <f t="shared" ca="1" si="29"/>
        <v>0</v>
      </c>
      <c r="AB76" s="81">
        <f t="shared" ca="1" si="30"/>
        <v>0</v>
      </c>
      <c r="AD76" s="81">
        <v>2030</v>
      </c>
      <c r="AE76" s="81"/>
      <c r="AF76" s="220"/>
    </row>
    <row r="77" spans="2:32">
      <c r="B77" s="357" t="s">
        <v>1007</v>
      </c>
      <c r="D77" s="212"/>
      <c r="E77" s="212"/>
      <c r="F77" s="224" t="s">
        <v>1149</v>
      </c>
      <c r="H77" s="174"/>
      <c r="I77" s="174" t="str">
        <f t="shared" si="21"/>
        <v>INDTWH</v>
      </c>
      <c r="J77" s="224">
        <f t="shared" si="31"/>
        <v>2050</v>
      </c>
      <c r="K77" s="81"/>
      <c r="L77" s="199">
        <f t="shared" ca="1" si="22"/>
        <v>0.99</v>
      </c>
      <c r="M77" s="199"/>
      <c r="N77" s="81"/>
      <c r="O77" s="723">
        <f t="shared" ca="1" si="23"/>
        <v>0.52150000000000007</v>
      </c>
      <c r="P77" s="723">
        <f t="shared" ca="1" si="24"/>
        <v>6.8539999999999998E-3</v>
      </c>
      <c r="Q77" s="81">
        <f t="shared" ca="1" si="25"/>
        <v>1.6141666666666665</v>
      </c>
      <c r="R77" s="300"/>
      <c r="S77" s="300"/>
      <c r="T77" s="300"/>
      <c r="U77" s="300"/>
      <c r="V77" s="199">
        <f t="shared" ref="V77" ca="1" si="43">IF(IF(RIGHT(H75,2)="PH",(1-L77)+$W$2,IF(RIGHT(H75,2)="HT",(1-L77)+$W$1,IF(RIGHT(H75,2)="SH",(1-L77)+$W$3,"")))&gt;0,IF(RIGHT(H75,2)="PH",(1-L77)+$W$2,IF(RIGHT(H75,2)="HT",(1-L77)+$W$1,IF(RIGHT(H75,2)="SH",(1-L77)+$W$3,""))),0)</f>
        <v>0.21000000000000002</v>
      </c>
      <c r="W77" s="298"/>
      <c r="X77" s="698">
        <f t="shared" ca="1" si="26"/>
        <v>0</v>
      </c>
      <c r="Y77" s="81">
        <f t="shared" ca="1" si="27"/>
        <v>0</v>
      </c>
      <c r="Z77" s="81">
        <f t="shared" ca="1" si="28"/>
        <v>0</v>
      </c>
      <c r="AA77" s="81">
        <f t="shared" ca="1" si="29"/>
        <v>0</v>
      </c>
      <c r="AB77" s="81">
        <f t="shared" ca="1" si="30"/>
        <v>0</v>
      </c>
      <c r="AD77" s="81">
        <v>2050</v>
      </c>
      <c r="AE77" s="706"/>
      <c r="AF77" s="220"/>
    </row>
    <row r="78" spans="2:32">
      <c r="B78" s="357" t="s">
        <v>1007</v>
      </c>
      <c r="D78" s="212" t="str">
        <f>"IND"&amp;RIGHT(H78,4)&amp;RIGHT(G78,3)&amp;"N"&amp;RIGHT(E78,1)</f>
        <v>INDTDSHELCN8</v>
      </c>
      <c r="E78" s="261" t="str">
        <f>"Industrial heating technology "&amp;$AJ$12&amp;" "&amp;RIGHT(H78,2)&amp;" - Electric boiler (Steam) - new 8"</f>
        <v>Industrial heating technology Transport SH - Electric boiler (Steam) - new 8</v>
      </c>
      <c r="F78" s="224" t="s">
        <v>1149</v>
      </c>
      <c r="G78" s="173" t="s">
        <v>499</v>
      </c>
      <c r="H78" s="174" t="str">
        <f>$AI$15</f>
        <v>ITDSH</v>
      </c>
      <c r="I78" s="174" t="str">
        <f t="shared" si="21"/>
        <v>INDTWH</v>
      </c>
      <c r="J78" s="224">
        <f t="shared" si="31"/>
        <v>2011</v>
      </c>
      <c r="K78" s="299">
        <v>2020</v>
      </c>
      <c r="L78" s="199">
        <f t="shared" ca="1" si="22"/>
        <v>0.99</v>
      </c>
      <c r="M78" s="199"/>
      <c r="N78" s="81">
        <f ca="1">VLOOKUP($AD78,INDIRECT("'"&amp;$B78&amp;"'!"&amp;"$P$39:$AD$42"),5,FALSE)</f>
        <v>25</v>
      </c>
      <c r="O78" s="723">
        <f t="shared" ca="1" si="23"/>
        <v>0.59599999999999997</v>
      </c>
      <c r="P78" s="723">
        <f t="shared" ca="1" si="24"/>
        <v>7.9714999999999994E-3</v>
      </c>
      <c r="Q78" s="81">
        <f t="shared" ca="1" si="25"/>
        <v>1.7900694444444445</v>
      </c>
      <c r="R78" s="81">
        <v>3.1536000000000002E-2</v>
      </c>
      <c r="S78" s="199">
        <v>0.5</v>
      </c>
      <c r="T78" s="199">
        <f ca="1">HLOOKUP($T$2,INDIRECT("'"&amp;$B78&amp;"'!"&amp;"$P$6:$AC$19"),IF(H78=$AI$13,6,IF(H78=$AI$14,9,14)),FALSE)</f>
        <v>1</v>
      </c>
      <c r="U78" s="772"/>
      <c r="V78" s="199">
        <f t="shared" ref="V78" ca="1" si="44">IF(IF(RIGHT(H78,2)="PH",(1-L78)+$W$2,IF(RIGHT(H78,2)="HT",(1-L78)+$W$1,IF(RIGHT(H78,2)="SH",(1-L78)+$W$3,"")))&gt;0,IF(RIGHT(H78,2)="PH",(1-L78)+$W$2,IF(RIGHT(H78,2)="HT",(1-L78)+$W$1,IF(RIGHT(H78,2)="SH",(1-L78)+$W$3,""))),0)</f>
        <v>1.0000000000000009E-2</v>
      </c>
      <c r="W78" s="298"/>
      <c r="X78" s="698">
        <f t="shared" ca="1" si="26"/>
        <v>0</v>
      </c>
      <c r="Y78" s="81">
        <f t="shared" ca="1" si="27"/>
        <v>0</v>
      </c>
      <c r="Z78" s="81">
        <f t="shared" ca="1" si="28"/>
        <v>0</v>
      </c>
      <c r="AA78" s="81">
        <f t="shared" ca="1" si="29"/>
        <v>0</v>
      </c>
      <c r="AB78" s="81">
        <f t="shared" ca="1" si="30"/>
        <v>0</v>
      </c>
      <c r="AC78" s="296"/>
      <c r="AD78" s="81">
        <v>2020</v>
      </c>
      <c r="AE78" s="81"/>
      <c r="AF78" s="710"/>
    </row>
    <row r="79" spans="2:32">
      <c r="B79" s="357" t="s">
        <v>1007</v>
      </c>
      <c r="D79" s="212"/>
      <c r="E79" s="212"/>
      <c r="F79" s="224" t="s">
        <v>1149</v>
      </c>
      <c r="H79" s="174"/>
      <c r="I79" s="174" t="str">
        <f t="shared" si="21"/>
        <v>INDTWH</v>
      </c>
      <c r="J79" s="224">
        <f t="shared" si="31"/>
        <v>2030</v>
      </c>
      <c r="K79" s="81"/>
      <c r="L79" s="199">
        <f t="shared" ca="1" si="22"/>
        <v>0.99</v>
      </c>
      <c r="M79" s="199"/>
      <c r="N79" s="81"/>
      <c r="O79" s="723">
        <f t="shared" ca="1" si="23"/>
        <v>0.52150000000000007</v>
      </c>
      <c r="P79" s="723">
        <f t="shared" ca="1" si="24"/>
        <v>7.5989999999999999E-3</v>
      </c>
      <c r="Q79" s="81">
        <f t="shared" ca="1" si="25"/>
        <v>1.8107638888888888</v>
      </c>
      <c r="R79" s="300"/>
      <c r="S79" s="300"/>
      <c r="T79" s="300"/>
      <c r="U79" s="300"/>
      <c r="V79" s="199">
        <f t="shared" ref="V79" ca="1" si="45">IF(IF(RIGHT(H78,2)="PH",(1-L79)+$W$2,IF(RIGHT(H78,2)="HT",(1-L79)+$W$1,IF(RIGHT(H78,2)="SH",(1-L79)+$W$3,"")))&gt;0,IF(RIGHT(H78,2)="PH",(1-L79)+$W$2,IF(RIGHT(H78,2)="HT",(1-L79)+$W$1,IF(RIGHT(H78,2)="SH",(1-L79)+$W$3,""))),0)</f>
        <v>1.0000000000000009E-2</v>
      </c>
      <c r="W79" s="298"/>
      <c r="X79" s="698">
        <f t="shared" ca="1" si="26"/>
        <v>0</v>
      </c>
      <c r="Y79" s="81">
        <f t="shared" ca="1" si="27"/>
        <v>0</v>
      </c>
      <c r="Z79" s="81">
        <f t="shared" ca="1" si="28"/>
        <v>0</v>
      </c>
      <c r="AA79" s="81">
        <f t="shared" ca="1" si="29"/>
        <v>0</v>
      </c>
      <c r="AB79" s="81">
        <f t="shared" ca="1" si="30"/>
        <v>0</v>
      </c>
      <c r="AC79" s="55"/>
      <c r="AD79" s="81">
        <v>2030</v>
      </c>
      <c r="AE79" s="81"/>
      <c r="AF79" s="700"/>
    </row>
    <row r="80" spans="2:32">
      <c r="B80" s="357" t="s">
        <v>1007</v>
      </c>
      <c r="D80" s="212"/>
      <c r="E80" s="212"/>
      <c r="F80" s="224" t="s">
        <v>1149</v>
      </c>
      <c r="H80" s="174"/>
      <c r="I80" s="174" t="str">
        <f t="shared" si="21"/>
        <v>INDTWH</v>
      </c>
      <c r="J80" s="224">
        <f t="shared" si="31"/>
        <v>2050</v>
      </c>
      <c r="K80" s="706"/>
      <c r="L80" s="199">
        <f t="shared" ca="1" si="22"/>
        <v>0.99</v>
      </c>
      <c r="M80" s="774"/>
      <c r="N80" s="706"/>
      <c r="O80" s="724">
        <f t="shared" ca="1" si="23"/>
        <v>0.52150000000000007</v>
      </c>
      <c r="P80" s="724">
        <f t="shared" ca="1" si="24"/>
        <v>6.8539999999999998E-3</v>
      </c>
      <c r="Q80" s="706">
        <f t="shared" ca="1" si="25"/>
        <v>1.6141666666666665</v>
      </c>
      <c r="R80" s="300"/>
      <c r="S80" s="300"/>
      <c r="T80" s="300"/>
      <c r="U80" s="300"/>
      <c r="V80" s="199">
        <f t="shared" ref="V80" ca="1" si="46">IF(IF(RIGHT(H78,2)="PH",(1-L80)+$W$2,IF(RIGHT(H78,2)="HT",(1-L80)+$W$1,IF(RIGHT(H78,2)="SH",(1-L80)+$W$3,"")))&gt;0,IF(RIGHT(H78,2)="PH",(1-L80)+$W$2,IF(RIGHT(H78,2)="HT",(1-L80)+$W$1,IF(RIGHT(H78,2)="SH",(1-L80)+$W$3,""))),0)</f>
        <v>1.0000000000000009E-2</v>
      </c>
      <c r="W80" s="298"/>
      <c r="X80" s="698">
        <f t="shared" ca="1" si="26"/>
        <v>0</v>
      </c>
      <c r="Y80" s="706">
        <f t="shared" ca="1" si="27"/>
        <v>0</v>
      </c>
      <c r="Z80" s="706">
        <f t="shared" ca="1" si="28"/>
        <v>0</v>
      </c>
      <c r="AA80" s="706">
        <f t="shared" ca="1" si="29"/>
        <v>0</v>
      </c>
      <c r="AB80" s="706">
        <f t="shared" ca="1" si="30"/>
        <v>0</v>
      </c>
      <c r="AC80" s="55"/>
      <c r="AD80" s="706">
        <v>2050</v>
      </c>
      <c r="AE80" s="81"/>
      <c r="AF80" s="700"/>
    </row>
    <row r="81" spans="1:33">
      <c r="B81" s="716" t="s">
        <v>1007</v>
      </c>
      <c r="C81" s="296"/>
      <c r="D81" s="707" t="str">
        <f>"IND"&amp;RIGHT(H81,4)&amp;RIGHT(G81,3)&amp;"N"&amp;RIGHT(E81,1)</f>
        <v>INDTDPHELCN9</v>
      </c>
      <c r="E81" s="707" t="str">
        <f>"Industrial heating technology "&amp;$AJ$12&amp;" "&amp;RIGHT(H81,2)&amp;" - Electric boiler (Hot Water) - new 9"</f>
        <v>Industrial heating technology Transport PH - Electric boiler (Hot Water) - new 9</v>
      </c>
      <c r="F81" s="224" t="s">
        <v>1149</v>
      </c>
      <c r="G81" s="708" t="s">
        <v>499</v>
      </c>
      <c r="H81" s="708" t="str">
        <f>$AI$14</f>
        <v>ITDPH</v>
      </c>
      <c r="I81" s="708" t="str">
        <f t="shared" si="21"/>
        <v>INDTWH</v>
      </c>
      <c r="J81" s="224">
        <f t="shared" si="31"/>
        <v>2011</v>
      </c>
      <c r="K81" s="299">
        <v>2020</v>
      </c>
      <c r="L81" s="199">
        <f t="shared" ref="L81:L86" ca="1" si="47">VLOOKUP($AD81,INDIRECT("'"&amp;$B81&amp;"'!"&amp;"$P$118:$AD$121"),3,FALSE)</f>
        <v>0.99</v>
      </c>
      <c r="M81" s="199"/>
      <c r="N81" s="81">
        <f ca="1">VLOOKUP($AD81,INDIRECT("'"&amp;$B81&amp;"'!"&amp;"$P$118:$AD$121"),5,FALSE)</f>
        <v>25</v>
      </c>
      <c r="O81" s="723">
        <f t="shared" ref="O81:O86" ca="1" si="48">VLOOKUP($AD81,INDIRECT("'"&amp;$B81&amp;"'!"&amp;"$P$118:$AD$121"),6,FALSE)/1000</f>
        <v>0.52150000000000007</v>
      </c>
      <c r="P81" s="723">
        <f t="shared" ref="P81:P86" ca="1" si="49">VLOOKUP($AD81,INDIRECT("'"&amp;$B81&amp;"'!"&amp;"$P$118:$AD$121"),7,FALSE)/1000</f>
        <v>7.9714999999999994E-3</v>
      </c>
      <c r="Q81" s="81">
        <f t="shared" ref="Q81:Q86" ca="1" si="50">VLOOKUP($AD81,INDIRECT("'"&amp;$B81&amp;"'!"&amp;"$P$118:$AD$121"),8,FALSE)</f>
        <v>1.7900694444444445</v>
      </c>
      <c r="R81" s="81">
        <v>3.1536000000000002E-2</v>
      </c>
      <c r="S81" s="199">
        <v>0.5</v>
      </c>
      <c r="T81" s="199">
        <f ca="1">HLOOKUP($T$2,INDIRECT("'"&amp;$B81&amp;"'!"&amp;"$P$85:$AC$98"),IF(H81=$AI$13,6,IF(H81=$AI$14,9,14)),FALSE)</f>
        <v>0</v>
      </c>
      <c r="U81" s="773"/>
      <c r="V81" s="199">
        <f t="shared" ref="V81" ca="1" si="51">IF(IF(RIGHT(H81,2)="PH",(1-L81)+$W$2,IF(RIGHT(H81,2)="HT",(1-L81)+$W$1,IF(RIGHT(H81,2)="SH",(1-L81)+$W$3,"")))&gt;0,IF(RIGHT(H81,2)="PH",(1-L81)+$W$2,IF(RIGHT(H81,2)="HT",(1-L81)+$W$1,IF(RIGHT(H81,2)="SH",(1-L81)+$W$3,""))),0)</f>
        <v>0.21000000000000002</v>
      </c>
      <c r="W81" s="709"/>
      <c r="X81" s="698">
        <f t="shared" ca="1" si="26"/>
        <v>0</v>
      </c>
      <c r="Y81" s="698">
        <f t="shared" ref="Y81:Y86" ca="1" si="52">VLOOKUP($AD81,INDIRECT("'"&amp;$B81&amp;"'!"&amp;"$P$118:$AD$121"),12,FALSE)</f>
        <v>0</v>
      </c>
      <c r="Z81" s="698">
        <f t="shared" ref="Z81:Z86" ca="1" si="53">VLOOKUP($AD81,INDIRECT("'"&amp;$B81&amp;"'!"&amp;"$P$118:$AD$121"),13,FALSE)</f>
        <v>0</v>
      </c>
      <c r="AA81" s="698">
        <f t="shared" ref="AA81:AA86" ca="1" si="54">VLOOKUP($AD81,INDIRECT("'"&amp;$B81&amp;"'!"&amp;"$P$118:$AD$121"),14,FALSE)</f>
        <v>0</v>
      </c>
      <c r="AB81" s="698">
        <f t="shared" ref="AB81:AB86" ca="1" si="55">VLOOKUP($AD81,INDIRECT("'"&amp;$B81&amp;"'!"&amp;"$P$118:$AD$121"),15,FALSE)</f>
        <v>0</v>
      </c>
      <c r="AC81" s="55"/>
      <c r="AD81" s="81">
        <v>2020</v>
      </c>
      <c r="AE81" s="81"/>
      <c r="AF81" s="700"/>
    </row>
    <row r="82" spans="1:33">
      <c r="B82" s="357" t="s">
        <v>1007</v>
      </c>
      <c r="C82" s="55"/>
      <c r="D82" s="261"/>
      <c r="E82" s="261"/>
      <c r="F82" s="224" t="s">
        <v>1149</v>
      </c>
      <c r="G82" s="55"/>
      <c r="H82" s="174"/>
      <c r="I82" s="174" t="str">
        <f t="shared" si="21"/>
        <v>INDTWH</v>
      </c>
      <c r="J82" s="224">
        <f t="shared" si="31"/>
        <v>2030</v>
      </c>
      <c r="K82" s="81"/>
      <c r="L82" s="199">
        <f t="shared" ca="1" si="47"/>
        <v>0.99</v>
      </c>
      <c r="M82" s="199"/>
      <c r="N82" s="81"/>
      <c r="O82" s="723">
        <f t="shared" ca="1" si="48"/>
        <v>0.44700000000000001</v>
      </c>
      <c r="P82" s="723">
        <f t="shared" ca="1" si="49"/>
        <v>7.5989999999999999E-3</v>
      </c>
      <c r="Q82" s="81">
        <f t="shared" ca="1" si="50"/>
        <v>1.8107638888888888</v>
      </c>
      <c r="R82" s="300"/>
      <c r="S82" s="300"/>
      <c r="T82" s="300"/>
      <c r="U82" s="300"/>
      <c r="V82" s="199">
        <f t="shared" ref="V82" ca="1" si="56">IF(IF(RIGHT(H81,2)="PH",(1-L82)+$W$2,IF(RIGHT(H81,2)="HT",(1-L82)+$W$1,IF(RIGHT(H81,2)="SH",(1-L82)+$W$3,"")))&gt;0,IF(RIGHT(H81,2)="PH",(1-L82)+$W$2,IF(RIGHT(H81,2)="HT",(1-L82)+$W$1,IF(RIGHT(H81,2)="SH",(1-L82)+$W$3,""))),0)</f>
        <v>0.21000000000000002</v>
      </c>
      <c r="W82" s="298"/>
      <c r="X82" s="698">
        <f t="shared" ca="1" si="26"/>
        <v>0</v>
      </c>
      <c r="Y82" s="698">
        <f t="shared" ca="1" si="52"/>
        <v>0</v>
      </c>
      <c r="Z82" s="698">
        <f t="shared" ca="1" si="53"/>
        <v>0</v>
      </c>
      <c r="AA82" s="698">
        <f t="shared" ca="1" si="54"/>
        <v>0</v>
      </c>
      <c r="AB82" s="698">
        <f t="shared" ca="1" si="55"/>
        <v>0</v>
      </c>
      <c r="AC82" s="55"/>
      <c r="AD82" s="81">
        <v>2030</v>
      </c>
      <c r="AE82" s="81"/>
      <c r="AF82" s="700"/>
    </row>
    <row r="83" spans="1:33">
      <c r="B83" s="357" t="s">
        <v>1007</v>
      </c>
      <c r="C83" s="55"/>
      <c r="D83" s="261"/>
      <c r="E83" s="261"/>
      <c r="F83" s="224" t="s">
        <v>1149</v>
      </c>
      <c r="G83" s="55"/>
      <c r="H83" s="174"/>
      <c r="I83" s="174" t="str">
        <f t="shared" si="21"/>
        <v>INDTWH</v>
      </c>
      <c r="J83" s="224">
        <f t="shared" si="31"/>
        <v>2050</v>
      </c>
      <c r="K83" s="81"/>
      <c r="L83" s="199">
        <f t="shared" ca="1" si="47"/>
        <v>0.99</v>
      </c>
      <c r="M83" s="199"/>
      <c r="N83" s="81"/>
      <c r="O83" s="723">
        <f t="shared" ca="1" si="48"/>
        <v>0.44700000000000001</v>
      </c>
      <c r="P83" s="723">
        <f t="shared" ca="1" si="49"/>
        <v>6.8539999999999998E-3</v>
      </c>
      <c r="Q83" s="81">
        <f t="shared" ca="1" si="50"/>
        <v>1.6141666666666665</v>
      </c>
      <c r="R83" s="300"/>
      <c r="S83" s="300"/>
      <c r="T83" s="300"/>
      <c r="U83" s="300"/>
      <c r="V83" s="199">
        <f t="shared" ref="V83" ca="1" si="57">IF(IF(RIGHT(H81,2)="PH",(1-L83)+$W$2,IF(RIGHT(H81,2)="HT",(1-L83)+$W$1,IF(RIGHT(H81,2)="SH",(1-L83)+$W$3,"")))&gt;0,IF(RIGHT(H81,2)="PH",(1-L83)+$W$2,IF(RIGHT(H81,2)="HT",(1-L83)+$W$1,IF(RIGHT(H81,2)="SH",(1-L83)+$W$3,""))),0)</f>
        <v>0.21000000000000002</v>
      </c>
      <c r="W83" s="298"/>
      <c r="X83" s="698">
        <f t="shared" ca="1" si="26"/>
        <v>0</v>
      </c>
      <c r="Y83" s="698">
        <f t="shared" ca="1" si="52"/>
        <v>0</v>
      </c>
      <c r="Z83" s="698">
        <f t="shared" ca="1" si="53"/>
        <v>0</v>
      </c>
      <c r="AA83" s="698">
        <f t="shared" ca="1" si="54"/>
        <v>0</v>
      </c>
      <c r="AB83" s="698">
        <f t="shared" ca="1" si="55"/>
        <v>0</v>
      </c>
      <c r="AC83" s="203"/>
      <c r="AD83" s="81">
        <v>2050</v>
      </c>
      <c r="AE83" s="81"/>
      <c r="AF83" s="705"/>
    </row>
    <row r="84" spans="1:33">
      <c r="B84" s="357" t="s">
        <v>1007</v>
      </c>
      <c r="C84" s="55"/>
      <c r="D84" s="261" t="str">
        <f>"IND"&amp;RIGHT(H84,4)&amp;RIGHT(G84,3)&amp;"N"&amp;RIGHT(E84,1)</f>
        <v>INDTDSHELCN9</v>
      </c>
      <c r="E84" s="261" t="str">
        <f>"Industrial heating technology "&amp;$AJ$12&amp;" "&amp;RIGHT(H84,2)&amp;" - Electric boiler (Hot Water) - new 9"</f>
        <v>Industrial heating technology Transport SH - Electric boiler (Hot Water) - new 9</v>
      </c>
      <c r="F84" s="224" t="s">
        <v>1149</v>
      </c>
      <c r="G84" s="174" t="s">
        <v>499</v>
      </c>
      <c r="H84" s="174" t="str">
        <f>$AI$15</f>
        <v>ITDSH</v>
      </c>
      <c r="I84" s="174" t="str">
        <f t="shared" si="21"/>
        <v>INDTWH</v>
      </c>
      <c r="J84" s="224">
        <f t="shared" si="31"/>
        <v>2011</v>
      </c>
      <c r="K84" s="299">
        <v>2020</v>
      </c>
      <c r="L84" s="199">
        <f t="shared" ca="1" si="47"/>
        <v>0.99</v>
      </c>
      <c r="M84" s="199"/>
      <c r="N84" s="81">
        <f ca="1">VLOOKUP($AD84,INDIRECT("'"&amp;$B84&amp;"'!"&amp;"$P$118:$AD$121"),5,FALSE)</f>
        <v>25</v>
      </c>
      <c r="O84" s="723">
        <f t="shared" ca="1" si="48"/>
        <v>0.52150000000000007</v>
      </c>
      <c r="P84" s="723">
        <f t="shared" ca="1" si="49"/>
        <v>7.9714999999999994E-3</v>
      </c>
      <c r="Q84" s="81">
        <f t="shared" ca="1" si="50"/>
        <v>1.7900694444444445</v>
      </c>
      <c r="R84" s="81">
        <v>3.1536000000000002E-2</v>
      </c>
      <c r="S84" s="199">
        <v>0.5</v>
      </c>
      <c r="T84" s="199">
        <f ca="1">HLOOKUP($T$2,INDIRECT("'"&amp;$B84&amp;"'!"&amp;"$P$85:$AC$98"),IF(H84=$AI$13,6,IF(H84=$AI$14,9,14)),FALSE)</f>
        <v>1</v>
      </c>
      <c r="U84" s="772"/>
      <c r="V84" s="199">
        <f t="shared" ref="V84" ca="1" si="58">IF(IF(RIGHT(H84,2)="PH",(1-L84)+$W$2,IF(RIGHT(H84,2)="HT",(1-L84)+$W$1,IF(RIGHT(H84,2)="SH",(1-L84)+$W$3,"")))&gt;0,IF(RIGHT(H84,2)="PH",(1-L84)+$W$2,IF(RIGHT(H84,2)="HT",(1-L84)+$W$1,IF(RIGHT(H84,2)="SH",(1-L84)+$W$3,""))),0)</f>
        <v>1.0000000000000009E-2</v>
      </c>
      <c r="W84" s="298"/>
      <c r="X84" s="698">
        <f t="shared" ca="1" si="26"/>
        <v>0</v>
      </c>
      <c r="Y84" s="698">
        <f t="shared" ca="1" si="52"/>
        <v>0</v>
      </c>
      <c r="Z84" s="698">
        <f t="shared" ca="1" si="53"/>
        <v>0</v>
      </c>
      <c r="AA84" s="698">
        <f t="shared" ca="1" si="54"/>
        <v>0</v>
      </c>
      <c r="AB84" s="698">
        <f t="shared" ca="1" si="55"/>
        <v>0</v>
      </c>
      <c r="AD84" s="81">
        <v>2020</v>
      </c>
      <c r="AE84" s="299"/>
      <c r="AF84" s="220"/>
    </row>
    <row r="85" spans="1:33">
      <c r="B85" s="357" t="s">
        <v>1007</v>
      </c>
      <c r="C85" s="55"/>
      <c r="D85" s="261"/>
      <c r="E85" s="261"/>
      <c r="F85" s="224" t="s">
        <v>1149</v>
      </c>
      <c r="G85" s="55"/>
      <c r="H85" s="174"/>
      <c r="I85" s="174" t="str">
        <f t="shared" si="21"/>
        <v>INDTWH</v>
      </c>
      <c r="J85" s="224">
        <f t="shared" si="31"/>
        <v>2030</v>
      </c>
      <c r="K85" s="81"/>
      <c r="L85" s="199">
        <f t="shared" ca="1" si="47"/>
        <v>0.99</v>
      </c>
      <c r="M85" s="199"/>
      <c r="N85" s="81"/>
      <c r="O85" s="723">
        <f t="shared" ca="1" si="48"/>
        <v>0.44700000000000001</v>
      </c>
      <c r="P85" s="723">
        <f t="shared" ca="1" si="49"/>
        <v>7.5989999999999999E-3</v>
      </c>
      <c r="Q85" s="81">
        <f t="shared" ca="1" si="50"/>
        <v>1.8107638888888888</v>
      </c>
      <c r="R85" s="300"/>
      <c r="S85" s="300"/>
      <c r="T85" s="300"/>
      <c r="U85" s="300"/>
      <c r="V85" s="199">
        <f t="shared" ref="V85" ca="1" si="59">IF(IF(RIGHT(H84,2)="PH",(1-L85)+$W$2,IF(RIGHT(H84,2)="HT",(1-L85)+$W$1,IF(RIGHT(H84,2)="SH",(1-L85)+$W$3,"")))&gt;0,IF(RIGHT(H84,2)="PH",(1-L85)+$W$2,IF(RIGHT(H84,2)="HT",(1-L85)+$W$1,IF(RIGHT(H84,2)="SH",(1-L85)+$W$3,""))),0)</f>
        <v>1.0000000000000009E-2</v>
      </c>
      <c r="W85" s="298"/>
      <c r="X85" s="698">
        <f t="shared" ca="1" si="26"/>
        <v>0</v>
      </c>
      <c r="Y85" s="698">
        <f t="shared" ca="1" si="52"/>
        <v>0</v>
      </c>
      <c r="Z85" s="698">
        <f t="shared" ca="1" si="53"/>
        <v>0</v>
      </c>
      <c r="AA85" s="698">
        <f t="shared" ca="1" si="54"/>
        <v>0</v>
      </c>
      <c r="AB85" s="698">
        <f t="shared" ca="1" si="55"/>
        <v>0</v>
      </c>
      <c r="AD85" s="81">
        <v>2030</v>
      </c>
      <c r="AE85" s="81"/>
      <c r="AF85" s="220"/>
    </row>
    <row r="86" spans="1:33">
      <c r="B86" s="356" t="s">
        <v>1007</v>
      </c>
      <c r="C86" s="203"/>
      <c r="D86" s="701"/>
      <c r="E86" s="701"/>
      <c r="F86" s="224" t="s">
        <v>1149</v>
      </c>
      <c r="G86" s="203"/>
      <c r="H86" s="702"/>
      <c r="I86" s="702" t="str">
        <f t="shared" si="21"/>
        <v>INDTWH</v>
      </c>
      <c r="J86" s="224">
        <f t="shared" si="31"/>
        <v>2050</v>
      </c>
      <c r="K86" s="81"/>
      <c r="L86" s="199">
        <f t="shared" ca="1" si="47"/>
        <v>0.99</v>
      </c>
      <c r="M86" s="199"/>
      <c r="N86" s="81"/>
      <c r="O86" s="723">
        <f t="shared" ca="1" si="48"/>
        <v>0.44700000000000001</v>
      </c>
      <c r="P86" s="723">
        <f t="shared" ca="1" si="49"/>
        <v>6.8539999999999998E-3</v>
      </c>
      <c r="Q86" s="81">
        <f t="shared" ca="1" si="50"/>
        <v>1.6141666666666665</v>
      </c>
      <c r="R86" s="703"/>
      <c r="S86" s="703"/>
      <c r="T86" s="703"/>
      <c r="U86" s="703"/>
      <c r="V86" s="199">
        <f t="shared" ref="V86" ca="1" si="60">IF(IF(RIGHT(H84,2)="PH",(1-L86)+$W$2,IF(RIGHT(H84,2)="HT",(1-L86)+$W$1,IF(RIGHT(H84,2)="SH",(1-L86)+$W$3,"")))&gt;0,IF(RIGHT(H84,2)="PH",(1-L86)+$W$2,IF(RIGHT(H84,2)="HT",(1-L86)+$W$1,IF(RIGHT(H84,2)="SH",(1-L86)+$W$3,""))),0)</f>
        <v>1.0000000000000009E-2</v>
      </c>
      <c r="W86" s="704"/>
      <c r="X86" s="698">
        <f t="shared" ca="1" si="26"/>
        <v>0</v>
      </c>
      <c r="Y86" s="698">
        <f t="shared" ca="1" si="52"/>
        <v>0</v>
      </c>
      <c r="Z86" s="698">
        <f t="shared" ca="1" si="53"/>
        <v>0</v>
      </c>
      <c r="AA86" s="698">
        <f t="shared" ca="1" si="54"/>
        <v>0</v>
      </c>
      <c r="AB86" s="698">
        <f t="shared" ca="1" si="55"/>
        <v>0</v>
      </c>
      <c r="AD86" s="81">
        <v>2050</v>
      </c>
      <c r="AE86" s="81"/>
      <c r="AF86" s="220"/>
    </row>
    <row r="87" spans="1:33">
      <c r="B87" s="357" t="s">
        <v>1008</v>
      </c>
      <c r="D87" s="212" t="str">
        <f>"IND"&amp;RIGHT(H87,4)&amp;RIGHT(G87,3)&amp;"N"&amp;RIGHT(E87,1)</f>
        <v>INDTDPHWCHN1</v>
      </c>
      <c r="E87" s="261" t="str">
        <f>"Industrial heating technology "&amp;$AJ$12&amp;" "&amp;RIGHT(H87,2)&amp;" - Wood chip boiler (Steam) - new 1"</f>
        <v>Industrial heating technology Transport PH - Wood chip boiler (Steam) - new 1</v>
      </c>
      <c r="F87" s="224" t="s">
        <v>1149</v>
      </c>
      <c r="G87" s="173" t="s">
        <v>498</v>
      </c>
      <c r="H87" s="174" t="str">
        <f>$AI$13</f>
        <v>ITDPH</v>
      </c>
      <c r="I87" s="174" t="str">
        <f t="shared" si="21"/>
        <v>INDTWH</v>
      </c>
      <c r="J87" s="224">
        <f t="shared" si="31"/>
        <v>2011</v>
      </c>
      <c r="K87" s="299">
        <v>2025</v>
      </c>
      <c r="L87" s="199">
        <f t="shared" ref="L87:L95" ca="1" si="61">VLOOKUP($AD87,INDIRECT("'"&amp;$B87&amp;"'!"&amp;"$P$39:$AD$42"),3,FALSE)</f>
        <v>0.89</v>
      </c>
      <c r="M87" s="699"/>
      <c r="N87" s="299">
        <f ca="1">VLOOKUP($AD87,INDIRECT("'"&amp;$B87&amp;"'!"&amp;"$P$39:$AD$42"),5,FALSE)</f>
        <v>25</v>
      </c>
      <c r="O87" s="725">
        <f t="shared" ref="O87:O95" ca="1" si="62">VLOOKUP($AD87,INDIRECT("'"&amp;$B87&amp;"'!"&amp;"$P$39:$AD$42"),6,FALSE)/1000</f>
        <v>4.6054545454545455</v>
      </c>
      <c r="P87" s="725">
        <f t="shared" ref="P87:P95" ca="1" si="63">VLOOKUP($AD87,INDIRECT("'"&amp;$B87&amp;"'!"&amp;"$P$39:$AD$42"),7,FALSE)/1000</f>
        <v>0.25106499999999998</v>
      </c>
      <c r="Q87" s="299">
        <f t="shared" ref="Q87:Q95" ca="1" si="64">VLOOKUP($AD87,INDIRECT("'"&amp;$B87&amp;"'!"&amp;"$P$39:$AD$42"),8,FALSE)</f>
        <v>5.7509861111111107</v>
      </c>
      <c r="R87" s="299">
        <v>3.1536000000000002E-2</v>
      </c>
      <c r="S87" s="699">
        <v>0.5</v>
      </c>
      <c r="T87" s="699">
        <f ca="1">HLOOKUP($T$2,INDIRECT("'"&amp;$B87&amp;"'!"&amp;"$P$6:$AC$19"),IF(H87=$AI$13,6,IF(H87=$AI$14,9,14)),FALSE)</f>
        <v>1</v>
      </c>
      <c r="U87" s="772"/>
      <c r="V87" s="199">
        <f t="shared" ref="V87" ca="1" si="65">IF(IF(RIGHT(H87,2)="PH",(1-L87)+$W$2,IF(RIGHT(H87,2)="HT",(1-L87)+$W$1,IF(RIGHT(H87,2)="SH",(1-L87)+$W$3,"")))&gt;0,IF(RIGHT(H87,2)="PH",(1-L87)+$W$2,IF(RIGHT(H87,2)="HT",(1-L87)+$W$1,IF(RIGHT(H87,2)="SH",(1-L87)+$W$3,""))),0)</f>
        <v>0.31</v>
      </c>
      <c r="W87" s="298"/>
      <c r="X87" s="698">
        <f t="shared" ca="1" si="26"/>
        <v>11</v>
      </c>
      <c r="Y87" s="299">
        <f t="shared" ref="Y87:Y95" ca="1" si="66">VLOOKUP($AD87,INDIRECT("'"&amp;$B87&amp;"'!"&amp;"$P$39:$AD$42"),12,FALSE)</f>
        <v>63</v>
      </c>
      <c r="Z87" s="299">
        <f t="shared" ref="Z87:Z95" ca="1" si="67">VLOOKUP($AD87,INDIRECT("'"&amp;$B87&amp;"'!"&amp;"$P$39:$AD$42"),13,FALSE)</f>
        <v>11</v>
      </c>
      <c r="AA87" s="299">
        <f t="shared" ref="AA87:AA95" ca="1" si="68">VLOOKUP($AD87,INDIRECT("'"&amp;$B87&amp;"'!"&amp;"$P$39:$AD$42"),14,FALSE)</f>
        <v>3</v>
      </c>
      <c r="AB87" s="299">
        <f t="shared" ref="AB87:AB95" ca="1" si="69">VLOOKUP($AD87,INDIRECT("'"&amp;$B87&amp;"'!"&amp;"$P$39:$AD$42"),15,FALSE)</f>
        <v>10</v>
      </c>
      <c r="AD87" s="299">
        <v>2020</v>
      </c>
      <c r="AE87" s="81"/>
      <c r="AF87" s="220"/>
    </row>
    <row r="88" spans="1:33">
      <c r="B88" s="357" t="s">
        <v>1008</v>
      </c>
      <c r="D88" s="212"/>
      <c r="E88" s="212"/>
      <c r="F88" s="224" t="s">
        <v>1149</v>
      </c>
      <c r="H88" s="174"/>
      <c r="I88" s="174" t="str">
        <f t="shared" si="21"/>
        <v>INDTWH</v>
      </c>
      <c r="J88" s="224">
        <f t="shared" si="31"/>
        <v>2030</v>
      </c>
      <c r="K88" s="81"/>
      <c r="L88" s="199">
        <f t="shared" ca="1" si="61"/>
        <v>0.89</v>
      </c>
      <c r="M88" s="199"/>
      <c r="N88" s="81"/>
      <c r="O88" s="723">
        <f t="shared" ca="1" si="62"/>
        <v>4.4022727272727264</v>
      </c>
      <c r="P88" s="723">
        <f t="shared" ca="1" si="63"/>
        <v>0.267455</v>
      </c>
      <c r="Q88" s="81">
        <f t="shared" ca="1" si="64"/>
        <v>5.8461805555555557</v>
      </c>
      <c r="R88" s="300"/>
      <c r="S88" s="300"/>
      <c r="T88" s="300"/>
      <c r="U88" s="300"/>
      <c r="V88" s="199">
        <f t="shared" ref="V88" ca="1" si="70">IF(IF(RIGHT(H87,2)="PH",(1-L88)+$W$2,IF(RIGHT(H87,2)="HT",(1-L88)+$W$1,IF(RIGHT(H87,2)="SH",(1-L88)+$W$3,"")))&gt;0,IF(RIGHT(H87,2)="PH",(1-L88)+$W$2,IF(RIGHT(H87,2)="HT",(1-L88)+$W$1,IF(RIGHT(H87,2)="SH",(1-L88)+$W$3,""))),0)</f>
        <v>0.31</v>
      </c>
      <c r="W88" s="298"/>
      <c r="X88" s="698">
        <f t="shared" ca="1" si="26"/>
        <v>11</v>
      </c>
      <c r="Y88" s="81">
        <f t="shared" ca="1" si="66"/>
        <v>49</v>
      </c>
      <c r="Z88" s="81">
        <f t="shared" ca="1" si="67"/>
        <v>8</v>
      </c>
      <c r="AA88" s="81">
        <f t="shared" ca="1" si="68"/>
        <v>3</v>
      </c>
      <c r="AB88" s="81">
        <f t="shared" ca="1" si="69"/>
        <v>10</v>
      </c>
      <c r="AD88" s="81">
        <v>2030</v>
      </c>
      <c r="AE88" s="81"/>
      <c r="AF88" s="220"/>
    </row>
    <row r="89" spans="1:33">
      <c r="B89" s="357" t="s">
        <v>1008</v>
      </c>
      <c r="D89" s="212"/>
      <c r="E89" s="212"/>
      <c r="F89" s="224" t="s">
        <v>1149</v>
      </c>
      <c r="H89" s="174"/>
      <c r="I89" s="174" t="str">
        <f t="shared" si="21"/>
        <v>INDTWH</v>
      </c>
      <c r="J89" s="224">
        <f t="shared" si="31"/>
        <v>2050</v>
      </c>
      <c r="K89" s="81"/>
      <c r="L89" s="199">
        <f t="shared" ca="1" si="61"/>
        <v>0.9</v>
      </c>
      <c r="M89" s="199"/>
      <c r="N89" s="81"/>
      <c r="O89" s="723">
        <f t="shared" ca="1" si="62"/>
        <v>3.9959090909090902</v>
      </c>
      <c r="P89" s="723">
        <f t="shared" ca="1" si="63"/>
        <v>0.25106499999999998</v>
      </c>
      <c r="Q89" s="81">
        <f t="shared" ca="1" si="64"/>
        <v>5.8937777777777782</v>
      </c>
      <c r="R89" s="300"/>
      <c r="S89" s="300"/>
      <c r="T89" s="300"/>
      <c r="U89" s="300"/>
      <c r="V89" s="199">
        <f t="shared" ref="V89" ca="1" si="71">IF(IF(RIGHT(H87,2)="PH",(1-L89)+$W$2,IF(RIGHT(H87,2)="HT",(1-L89)+$W$1,IF(RIGHT(H87,2)="SH",(1-L89)+$W$3,"")))&gt;0,IF(RIGHT(H87,2)="PH",(1-L89)+$W$2,IF(RIGHT(H87,2)="HT",(1-L89)+$W$1,IF(RIGHT(H87,2)="SH",(1-L89)+$W$3,""))),0)</f>
        <v>0.3</v>
      </c>
      <c r="W89" s="298"/>
      <c r="X89" s="698">
        <f t="shared" ca="1" si="26"/>
        <v>11</v>
      </c>
      <c r="Y89" s="81">
        <f t="shared" ca="1" si="66"/>
        <v>41</v>
      </c>
      <c r="Z89" s="81">
        <f t="shared" ca="1" si="67"/>
        <v>4</v>
      </c>
      <c r="AA89" s="81">
        <f t="shared" ca="1" si="68"/>
        <v>1</v>
      </c>
      <c r="AB89" s="81">
        <f t="shared" ca="1" si="69"/>
        <v>10</v>
      </c>
      <c r="AD89" s="81">
        <v>2050</v>
      </c>
      <c r="AE89" s="81"/>
      <c r="AF89" s="220"/>
    </row>
    <row r="90" spans="1:33" s="226" customFormat="1">
      <c r="A90" s="224"/>
      <c r="B90" s="357" t="s">
        <v>1008</v>
      </c>
      <c r="C90" s="224"/>
      <c r="D90" s="212" t="str">
        <f>"IND"&amp;RIGHT(H90,4)&amp;RIGHT(G90,3)&amp;"N"&amp;RIGHT(E90,1)</f>
        <v>INDTDPHWCHN1</v>
      </c>
      <c r="E90" s="261" t="str">
        <f>"Industrial heating technology "&amp;$AJ$12&amp;" "&amp;RIGHT(H90,2)&amp;" - Wood chip boiler (Steam) - new 1"</f>
        <v>Industrial heating technology Transport PH - Wood chip boiler (Steam) - new 1</v>
      </c>
      <c r="F90" s="224" t="s">
        <v>1149</v>
      </c>
      <c r="G90" s="173" t="s">
        <v>498</v>
      </c>
      <c r="H90" s="174" t="str">
        <f>$AI$14</f>
        <v>ITDPH</v>
      </c>
      <c r="I90" s="174" t="str">
        <f t="shared" si="21"/>
        <v>INDTWH</v>
      </c>
      <c r="J90" s="224">
        <f t="shared" si="31"/>
        <v>2011</v>
      </c>
      <c r="K90" s="299">
        <v>2025</v>
      </c>
      <c r="L90" s="199">
        <f t="shared" ca="1" si="61"/>
        <v>0.89</v>
      </c>
      <c r="M90" s="199"/>
      <c r="N90" s="81">
        <f ca="1">VLOOKUP($AD90,INDIRECT("'"&amp;$B90&amp;"'!"&amp;"$P$39:$AD$42"),5,FALSE)</f>
        <v>25</v>
      </c>
      <c r="O90" s="723">
        <f t="shared" ca="1" si="62"/>
        <v>4.6054545454545455</v>
      </c>
      <c r="P90" s="723">
        <f t="shared" ca="1" si="63"/>
        <v>0.25106499999999998</v>
      </c>
      <c r="Q90" s="81">
        <f t="shared" ca="1" si="64"/>
        <v>5.7509861111111107</v>
      </c>
      <c r="R90" s="81">
        <v>3.1536000000000002E-2</v>
      </c>
      <c r="S90" s="199">
        <v>0.5</v>
      </c>
      <c r="T90" s="199">
        <f ca="1">HLOOKUP($T$2,INDIRECT("'"&amp;$B90&amp;"'!"&amp;"$P$6:$AC$19"),IF(H90=$AI$13,6,IF(H90=$AI$14,9,14)),FALSE)</f>
        <v>1</v>
      </c>
      <c r="U90" s="772"/>
      <c r="V90" s="199">
        <f t="shared" ref="V90" ca="1" si="72">IF(IF(RIGHT(H90,2)="PH",(1-L90)+$W$2,IF(RIGHT(H90,2)="HT",(1-L90)+$W$1,IF(RIGHT(H90,2)="SH",(1-L90)+$W$3,"")))&gt;0,IF(RIGHT(H90,2)="PH",(1-L90)+$W$2,IF(RIGHT(H90,2)="HT",(1-L90)+$W$1,IF(RIGHT(H90,2)="SH",(1-L90)+$W$3,""))),0)</f>
        <v>0.31</v>
      </c>
      <c r="W90" s="298"/>
      <c r="X90" s="698">
        <f t="shared" ca="1" si="26"/>
        <v>11</v>
      </c>
      <c r="Y90" s="81">
        <f t="shared" ca="1" si="66"/>
        <v>63</v>
      </c>
      <c r="Z90" s="81">
        <f t="shared" ca="1" si="67"/>
        <v>11</v>
      </c>
      <c r="AA90" s="81">
        <f t="shared" ca="1" si="68"/>
        <v>3</v>
      </c>
      <c r="AB90" s="81">
        <f t="shared" ca="1" si="69"/>
        <v>10</v>
      </c>
      <c r="AC90" s="224"/>
      <c r="AD90" s="81">
        <v>2020</v>
      </c>
      <c r="AE90" s="81"/>
      <c r="AF90" s="220"/>
      <c r="AG90" s="224"/>
    </row>
    <row r="91" spans="1:33" s="226" customFormat="1">
      <c r="A91" s="224"/>
      <c r="B91" s="357" t="s">
        <v>1008</v>
      </c>
      <c r="C91" s="224"/>
      <c r="D91" s="212"/>
      <c r="E91" s="212"/>
      <c r="F91" s="224" t="s">
        <v>1149</v>
      </c>
      <c r="G91" s="224"/>
      <c r="H91" s="174"/>
      <c r="I91" s="174" t="str">
        <f t="shared" si="21"/>
        <v>INDTWH</v>
      </c>
      <c r="J91" s="224">
        <f t="shared" si="31"/>
        <v>2030</v>
      </c>
      <c r="K91" s="81"/>
      <c r="L91" s="199">
        <f t="shared" ca="1" si="61"/>
        <v>0.89</v>
      </c>
      <c r="M91" s="199"/>
      <c r="N91" s="81"/>
      <c r="O91" s="723">
        <f t="shared" ca="1" si="62"/>
        <v>4.4022727272727264</v>
      </c>
      <c r="P91" s="723">
        <f t="shared" ca="1" si="63"/>
        <v>0.267455</v>
      </c>
      <c r="Q91" s="81">
        <f t="shared" ca="1" si="64"/>
        <v>5.8461805555555557</v>
      </c>
      <c r="R91" s="300"/>
      <c r="S91" s="300"/>
      <c r="T91" s="300"/>
      <c r="U91" s="300"/>
      <c r="V91" s="199">
        <f t="shared" ref="V91" ca="1" si="73">IF(IF(RIGHT(H90,2)="PH",(1-L91)+$W$2,IF(RIGHT(H90,2)="HT",(1-L91)+$W$1,IF(RIGHT(H90,2)="SH",(1-L91)+$W$3,"")))&gt;0,IF(RIGHT(H90,2)="PH",(1-L91)+$W$2,IF(RIGHT(H90,2)="HT",(1-L91)+$W$1,IF(RIGHT(H90,2)="SH",(1-L91)+$W$3,""))),0)</f>
        <v>0.31</v>
      </c>
      <c r="W91" s="298"/>
      <c r="X91" s="698">
        <f t="shared" ca="1" si="26"/>
        <v>11</v>
      </c>
      <c r="Y91" s="81">
        <f t="shared" ca="1" si="66"/>
        <v>49</v>
      </c>
      <c r="Z91" s="81">
        <f t="shared" ca="1" si="67"/>
        <v>8</v>
      </c>
      <c r="AA91" s="81">
        <f t="shared" ca="1" si="68"/>
        <v>3</v>
      </c>
      <c r="AB91" s="81">
        <f t="shared" ca="1" si="69"/>
        <v>10</v>
      </c>
      <c r="AC91" s="224"/>
      <c r="AD91" s="81">
        <v>2030</v>
      </c>
      <c r="AE91" s="81"/>
      <c r="AF91" s="220"/>
    </row>
    <row r="92" spans="1:33" s="226" customFormat="1">
      <c r="A92" s="224"/>
      <c r="B92" s="357" t="s">
        <v>1008</v>
      </c>
      <c r="C92" s="224"/>
      <c r="D92" s="212"/>
      <c r="E92" s="212"/>
      <c r="F92" s="224" t="s">
        <v>1149</v>
      </c>
      <c r="G92" s="224"/>
      <c r="H92" s="174"/>
      <c r="I92" s="174" t="str">
        <f t="shared" si="21"/>
        <v>INDTWH</v>
      </c>
      <c r="J92" s="224">
        <f t="shared" si="31"/>
        <v>2050</v>
      </c>
      <c r="K92" s="81"/>
      <c r="L92" s="199">
        <f t="shared" ca="1" si="61"/>
        <v>0.9</v>
      </c>
      <c r="M92" s="199"/>
      <c r="N92" s="81"/>
      <c r="O92" s="723">
        <f t="shared" ca="1" si="62"/>
        <v>3.9959090909090902</v>
      </c>
      <c r="P92" s="723">
        <f t="shared" ca="1" si="63"/>
        <v>0.25106499999999998</v>
      </c>
      <c r="Q92" s="81">
        <f t="shared" ca="1" si="64"/>
        <v>5.8937777777777782</v>
      </c>
      <c r="R92" s="300"/>
      <c r="S92" s="300"/>
      <c r="T92" s="300"/>
      <c r="U92" s="300"/>
      <c r="V92" s="199">
        <f t="shared" ref="V92" ca="1" si="74">IF(IF(RIGHT(H90,2)="PH",(1-L92)+$W$2,IF(RIGHT(H90,2)="HT",(1-L92)+$W$1,IF(RIGHT(H90,2)="SH",(1-L92)+$W$3,"")))&gt;0,IF(RIGHT(H90,2)="PH",(1-L92)+$W$2,IF(RIGHT(H90,2)="HT",(1-L92)+$W$1,IF(RIGHT(H90,2)="SH",(1-L92)+$W$3,""))),0)</f>
        <v>0.3</v>
      </c>
      <c r="W92" s="298"/>
      <c r="X92" s="698">
        <f t="shared" ca="1" si="26"/>
        <v>11</v>
      </c>
      <c r="Y92" s="81">
        <f t="shared" ca="1" si="66"/>
        <v>41</v>
      </c>
      <c r="Z92" s="81">
        <f t="shared" ca="1" si="67"/>
        <v>4</v>
      </c>
      <c r="AA92" s="81">
        <f t="shared" ca="1" si="68"/>
        <v>1</v>
      </c>
      <c r="AB92" s="81">
        <f t="shared" ca="1" si="69"/>
        <v>10</v>
      </c>
      <c r="AC92" s="224"/>
      <c r="AD92" s="81">
        <v>2050</v>
      </c>
      <c r="AE92" s="706"/>
      <c r="AF92" s="220"/>
    </row>
    <row r="93" spans="1:33" s="226" customFormat="1">
      <c r="A93" s="224"/>
      <c r="B93" s="357" t="s">
        <v>1008</v>
      </c>
      <c r="C93" s="224"/>
      <c r="D93" s="212" t="str">
        <f>"IND"&amp;RIGHT(H93,4)&amp;RIGHT(G93,3)&amp;"N"&amp;RIGHT(E93,1)</f>
        <v>INDTDSHWCHN1</v>
      </c>
      <c r="E93" s="261" t="str">
        <f>"Industrial heating technology "&amp;$AJ$12&amp;" "&amp;RIGHT(H93,2)&amp;" - Wood chip boiler (Steam) - new 1"</f>
        <v>Industrial heating technology Transport SH - Wood chip boiler (Steam) - new 1</v>
      </c>
      <c r="F93" s="224" t="s">
        <v>1149</v>
      </c>
      <c r="G93" s="173" t="s">
        <v>498</v>
      </c>
      <c r="H93" s="174" t="str">
        <f>$AI$15</f>
        <v>ITDSH</v>
      </c>
      <c r="I93" s="174" t="str">
        <f t="shared" si="21"/>
        <v>INDTWH</v>
      </c>
      <c r="J93" s="224">
        <f t="shared" si="31"/>
        <v>2011</v>
      </c>
      <c r="K93" s="299">
        <v>2025</v>
      </c>
      <c r="L93" s="199">
        <f t="shared" ca="1" si="61"/>
        <v>0.89</v>
      </c>
      <c r="M93" s="199"/>
      <c r="N93" s="81">
        <f ca="1">VLOOKUP($AD93,INDIRECT("'"&amp;$B93&amp;"'!"&amp;"$P$39:$AD$42"),5,FALSE)</f>
        <v>25</v>
      </c>
      <c r="O93" s="723">
        <f t="shared" ca="1" si="62"/>
        <v>4.6054545454545455</v>
      </c>
      <c r="P93" s="723">
        <f t="shared" ca="1" si="63"/>
        <v>0.25106499999999998</v>
      </c>
      <c r="Q93" s="81">
        <f t="shared" ca="1" si="64"/>
        <v>5.7509861111111107</v>
      </c>
      <c r="R93" s="81">
        <v>3.1536000000000002E-2</v>
      </c>
      <c r="S93" s="199">
        <v>0.5</v>
      </c>
      <c r="T93" s="199">
        <f ca="1">HLOOKUP($T$2,INDIRECT("'"&amp;$B93&amp;"'!"&amp;"$P$6:$AC$19"),IF(H93=$AI$13,6,IF(H93=$AI$14,9,14)),FALSE)</f>
        <v>1</v>
      </c>
      <c r="U93" s="772"/>
      <c r="V93" s="199">
        <f t="shared" ref="V93" ca="1" si="75">IF(IF(RIGHT(H93,2)="PH",(1-L93)+$W$2,IF(RIGHT(H93,2)="HT",(1-L93)+$W$1,IF(RIGHT(H93,2)="SH",(1-L93)+$W$3,"")))&gt;0,IF(RIGHT(H93,2)="PH",(1-L93)+$W$2,IF(RIGHT(H93,2)="HT",(1-L93)+$W$1,IF(RIGHT(H93,2)="SH",(1-L93)+$W$3,""))),0)</f>
        <v>0.10999999999999999</v>
      </c>
      <c r="W93" s="298"/>
      <c r="X93" s="698">
        <f t="shared" ca="1" si="26"/>
        <v>11</v>
      </c>
      <c r="Y93" s="81">
        <f t="shared" ca="1" si="66"/>
        <v>63</v>
      </c>
      <c r="Z93" s="81">
        <f t="shared" ca="1" si="67"/>
        <v>11</v>
      </c>
      <c r="AA93" s="81">
        <f t="shared" ca="1" si="68"/>
        <v>3</v>
      </c>
      <c r="AB93" s="81">
        <f t="shared" ca="1" si="69"/>
        <v>10</v>
      </c>
      <c r="AC93" s="296"/>
      <c r="AD93" s="81">
        <v>2020</v>
      </c>
      <c r="AE93" s="81"/>
      <c r="AF93" s="710"/>
    </row>
    <row r="94" spans="1:33" s="226" customFormat="1">
      <c r="A94" s="224"/>
      <c r="B94" s="357" t="s">
        <v>1008</v>
      </c>
      <c r="C94" s="224"/>
      <c r="D94" s="212"/>
      <c r="E94" s="212"/>
      <c r="F94" s="224" t="s">
        <v>1149</v>
      </c>
      <c r="G94" s="224"/>
      <c r="H94" s="174"/>
      <c r="I94" s="174" t="str">
        <f t="shared" si="21"/>
        <v>INDTWH</v>
      </c>
      <c r="J94" s="224">
        <f t="shared" si="31"/>
        <v>2030</v>
      </c>
      <c r="K94" s="81"/>
      <c r="L94" s="199">
        <f t="shared" ca="1" si="61"/>
        <v>0.89</v>
      </c>
      <c r="M94" s="199"/>
      <c r="N94" s="81"/>
      <c r="O94" s="723">
        <f t="shared" ca="1" si="62"/>
        <v>4.4022727272727264</v>
      </c>
      <c r="P94" s="723">
        <f t="shared" ca="1" si="63"/>
        <v>0.267455</v>
      </c>
      <c r="Q94" s="81">
        <f t="shared" ca="1" si="64"/>
        <v>5.8461805555555557</v>
      </c>
      <c r="R94" s="300"/>
      <c r="S94" s="300"/>
      <c r="T94" s="300"/>
      <c r="U94" s="300"/>
      <c r="V94" s="199">
        <f t="shared" ref="V94" ca="1" si="76">IF(IF(RIGHT(H93,2)="PH",(1-L94)+$W$2,IF(RIGHT(H93,2)="HT",(1-L94)+$W$1,IF(RIGHT(H93,2)="SH",(1-L94)+$W$3,"")))&gt;0,IF(RIGHT(H93,2)="PH",(1-L94)+$W$2,IF(RIGHT(H93,2)="HT",(1-L94)+$W$1,IF(RIGHT(H93,2)="SH",(1-L94)+$W$3,""))),0)</f>
        <v>0.10999999999999999</v>
      </c>
      <c r="W94" s="298"/>
      <c r="X94" s="698">
        <f t="shared" ca="1" si="26"/>
        <v>11</v>
      </c>
      <c r="Y94" s="81">
        <f t="shared" ca="1" si="66"/>
        <v>49</v>
      </c>
      <c r="Z94" s="81">
        <f t="shared" ca="1" si="67"/>
        <v>8</v>
      </c>
      <c r="AA94" s="81">
        <f t="shared" ca="1" si="68"/>
        <v>3</v>
      </c>
      <c r="AB94" s="81">
        <f t="shared" ca="1" si="69"/>
        <v>10</v>
      </c>
      <c r="AC94" s="55"/>
      <c r="AD94" s="81">
        <v>2030</v>
      </c>
      <c r="AE94" s="81"/>
      <c r="AF94" s="700"/>
    </row>
    <row r="95" spans="1:33" s="226" customFormat="1">
      <c r="A95" s="224"/>
      <c r="B95" s="357" t="s">
        <v>1008</v>
      </c>
      <c r="C95" s="224"/>
      <c r="D95" s="212"/>
      <c r="E95" s="212"/>
      <c r="F95" s="224" t="s">
        <v>1149</v>
      </c>
      <c r="G95" s="224"/>
      <c r="H95" s="174"/>
      <c r="I95" s="174" t="str">
        <f t="shared" si="21"/>
        <v>INDTWH</v>
      </c>
      <c r="J95" s="224">
        <f t="shared" si="31"/>
        <v>2050</v>
      </c>
      <c r="K95" s="706"/>
      <c r="L95" s="199">
        <f t="shared" ca="1" si="61"/>
        <v>0.9</v>
      </c>
      <c r="M95" s="774"/>
      <c r="N95" s="706"/>
      <c r="O95" s="724">
        <f t="shared" ca="1" si="62"/>
        <v>3.9959090909090902</v>
      </c>
      <c r="P95" s="724">
        <f t="shared" ca="1" si="63"/>
        <v>0.25106499999999998</v>
      </c>
      <c r="Q95" s="706">
        <f t="shared" ca="1" si="64"/>
        <v>5.8937777777777782</v>
      </c>
      <c r="R95" s="300"/>
      <c r="S95" s="300"/>
      <c r="T95" s="300"/>
      <c r="U95" s="300"/>
      <c r="V95" s="199">
        <f t="shared" ref="V95" ca="1" si="77">IF(IF(RIGHT(H93,2)="PH",(1-L95)+$W$2,IF(RIGHT(H93,2)="HT",(1-L95)+$W$1,IF(RIGHT(H93,2)="SH",(1-L95)+$W$3,"")))&gt;0,IF(RIGHT(H93,2)="PH",(1-L95)+$W$2,IF(RIGHT(H93,2)="HT",(1-L95)+$W$1,IF(RIGHT(H93,2)="SH",(1-L95)+$W$3,""))),0)</f>
        <v>9.9999999999999978E-2</v>
      </c>
      <c r="W95" s="298"/>
      <c r="X95" s="698">
        <f t="shared" ref="X95:X126" ca="1" si="78">IF(VLOOKUP($AD95,INDIRECT("'"&amp;$B95&amp;"'!"&amp;"$P$39:$AD$42"),11,FALSE)="Cf. the utilized electricity",0,VLOOKUP($AD95,INDIRECT("'"&amp;$B95&amp;"'!"&amp;"$P$39:$AD$42"),11,FALSE))</f>
        <v>11</v>
      </c>
      <c r="Y95" s="706">
        <f t="shared" ca="1" si="66"/>
        <v>41</v>
      </c>
      <c r="Z95" s="706">
        <f t="shared" ca="1" si="67"/>
        <v>4</v>
      </c>
      <c r="AA95" s="706">
        <f t="shared" ca="1" si="68"/>
        <v>1</v>
      </c>
      <c r="AB95" s="706">
        <f t="shared" ca="1" si="69"/>
        <v>10</v>
      </c>
      <c r="AC95" s="55"/>
      <c r="AD95" s="706">
        <v>2050</v>
      </c>
      <c r="AE95" s="81"/>
      <c r="AF95" s="700"/>
    </row>
    <row r="96" spans="1:33">
      <c r="B96" s="716" t="s">
        <v>1008</v>
      </c>
      <c r="C96" s="296"/>
      <c r="D96" s="707" t="str">
        <f>"IND"&amp;RIGHT(H96,4)&amp;RIGHT(G96,3)&amp;"N"&amp;RIGHT(E96,1)</f>
        <v>INDTDPHWCHN2</v>
      </c>
      <c r="E96" s="707" t="str">
        <f>"Industrial heating technology "&amp;$AJ$12&amp;" "&amp;RIGHT(H96,2)&amp;" - Wood chip boiler (Steam - condensing) - new 2"</f>
        <v>Industrial heating technology Transport PH - Wood chip boiler (Steam - condensing) - new 2</v>
      </c>
      <c r="F96" s="224" t="s">
        <v>1149</v>
      </c>
      <c r="G96" s="708" t="s">
        <v>498</v>
      </c>
      <c r="H96" s="708" t="str">
        <f>$AI$14</f>
        <v>ITDPH</v>
      </c>
      <c r="I96" s="708" t="str">
        <f t="shared" si="21"/>
        <v>INDTWH</v>
      </c>
      <c r="J96" s="224">
        <f t="shared" si="31"/>
        <v>2011</v>
      </c>
      <c r="K96" s="299">
        <v>2025</v>
      </c>
      <c r="L96" s="199">
        <f t="shared" ref="L96:L101" ca="1" si="79">VLOOKUP($AD96,INDIRECT("'"&amp;$B96&amp;"'!"&amp;"$P$118:$AD$121"),3,FALSE)</f>
        <v>1.1618960947726835</v>
      </c>
      <c r="M96" s="199"/>
      <c r="N96" s="81">
        <f ca="1">VLOOKUP($AD96,INDIRECT("'"&amp;$B96&amp;"'!"&amp;"$P$118:$AD$121"),5,FALSE)</f>
        <v>25</v>
      </c>
      <c r="O96" s="723">
        <f t="shared" ref="O96:O101" ca="1" si="80">VLOOKUP($AD96,INDIRECT("'"&amp;$B96&amp;"'!"&amp;"$P$118:$AD$121"),6,FALSE)/1000</f>
        <v>5.0660000000000007</v>
      </c>
      <c r="P96" s="723">
        <f t="shared" ref="P96:P101" ca="1" si="81">VLOOKUP($AD96,INDIRECT("'"&amp;$B96&amp;"'!"&amp;"$P$118:$AD$121"),7,FALSE)/1000</f>
        <v>0.27564999999999995</v>
      </c>
      <c r="Q96" s="81">
        <f t="shared" ref="Q96:Q101" ca="1" si="82">VLOOKUP($AD96,INDIRECT("'"&amp;$B96&amp;"'!"&amp;"$P$118:$AD$121"),8,FALSE)</f>
        <v>5.7509861111111107</v>
      </c>
      <c r="R96" s="81">
        <v>3.1536000000000002E-2</v>
      </c>
      <c r="S96" s="199">
        <v>0.5</v>
      </c>
      <c r="T96" s="199">
        <f ca="1">HLOOKUP($T$2,INDIRECT("'"&amp;$B96&amp;"'!"&amp;"$P$85:$AC$98"),IF(H96=$AI$13,6,IF(H96=$AI$14,9,14)),FALSE)</f>
        <v>0</v>
      </c>
      <c r="U96" s="773"/>
      <c r="V96" s="199">
        <f t="shared" ref="V96" ca="1" si="83">IF(IF(RIGHT(H96,2)="PH",(1-L96)+$W$2,IF(RIGHT(H96,2)="HT",(1-L96)+$W$1,IF(RIGHT(H96,2)="SH",(1-L96)+$W$3,"")))&gt;0,IF(RIGHT(H96,2)="PH",(1-L96)+$W$2,IF(RIGHT(H96,2)="HT",(1-L96)+$W$1,IF(RIGHT(H96,2)="SH",(1-L96)+$W$3,""))),0)</f>
        <v>3.8103905227316492E-2</v>
      </c>
      <c r="W96" s="709"/>
      <c r="X96" s="698">
        <f t="shared" ca="1" si="78"/>
        <v>11</v>
      </c>
      <c r="Y96" s="698">
        <f t="shared" ref="Y96:Y101" ca="1" si="84">VLOOKUP($AD96,INDIRECT("'"&amp;$B96&amp;"'!"&amp;"$P$118:$AD$121"),12,FALSE)</f>
        <v>63</v>
      </c>
      <c r="Z96" s="698">
        <f t="shared" ref="Z96:Z101" ca="1" si="85">VLOOKUP($AD96,INDIRECT("'"&amp;$B96&amp;"'!"&amp;"$P$118:$AD$121"),13,FALSE)</f>
        <v>11</v>
      </c>
      <c r="AA96" s="698">
        <f t="shared" ref="AA96:AA101" ca="1" si="86">VLOOKUP($AD96,INDIRECT("'"&amp;$B96&amp;"'!"&amp;"$P$118:$AD$121"),14,FALSE)</f>
        <v>3</v>
      </c>
      <c r="AB96" s="698">
        <f t="shared" ref="AB96:AB101" ca="1" si="87">VLOOKUP($AD96,INDIRECT("'"&amp;$B96&amp;"'!"&amp;"$P$118:$AD$121"),15,FALSE)</f>
        <v>10</v>
      </c>
      <c r="AC96" s="55"/>
      <c r="AD96" s="81">
        <v>2020</v>
      </c>
      <c r="AE96" s="81"/>
      <c r="AF96" s="700"/>
      <c r="AG96" s="226"/>
    </row>
    <row r="97" spans="2:32">
      <c r="B97" s="357" t="s">
        <v>1008</v>
      </c>
      <c r="C97" s="55"/>
      <c r="D97" s="261"/>
      <c r="E97" s="261"/>
      <c r="F97" s="224" t="s">
        <v>1149</v>
      </c>
      <c r="G97" s="55"/>
      <c r="H97" s="174"/>
      <c r="I97" s="174" t="str">
        <f t="shared" si="21"/>
        <v>INDTWH</v>
      </c>
      <c r="J97" s="224">
        <f t="shared" si="31"/>
        <v>2030</v>
      </c>
      <c r="K97" s="81"/>
      <c r="L97" s="199">
        <f t="shared" ca="1" si="79"/>
        <v>1.1618960947726835</v>
      </c>
      <c r="M97" s="199"/>
      <c r="N97" s="81"/>
      <c r="O97" s="723">
        <f t="shared" ca="1" si="80"/>
        <v>4.8425000000000002</v>
      </c>
      <c r="P97" s="723">
        <f t="shared" ca="1" si="81"/>
        <v>0.267455</v>
      </c>
      <c r="Q97" s="81">
        <f t="shared" ca="1" si="82"/>
        <v>5.8461805555555557</v>
      </c>
      <c r="R97" s="300"/>
      <c r="S97" s="300"/>
      <c r="T97" s="300"/>
      <c r="U97" s="300"/>
      <c r="V97" s="199">
        <f t="shared" ref="V97" ca="1" si="88">IF(IF(RIGHT(H96,2)="PH",(1-L97)+$W$2,IF(RIGHT(H96,2)="HT",(1-L97)+$W$1,IF(RIGHT(H96,2)="SH",(1-L97)+$W$3,"")))&gt;0,IF(RIGHT(H96,2)="PH",(1-L97)+$W$2,IF(RIGHT(H96,2)="HT",(1-L97)+$W$1,IF(RIGHT(H96,2)="SH",(1-L97)+$W$3,""))),0)</f>
        <v>3.8103905227316492E-2</v>
      </c>
      <c r="W97" s="298"/>
      <c r="X97" s="698">
        <f t="shared" ca="1" si="78"/>
        <v>11</v>
      </c>
      <c r="Y97" s="698">
        <f t="shared" ca="1" si="84"/>
        <v>49</v>
      </c>
      <c r="Z97" s="698">
        <f t="shared" ca="1" si="85"/>
        <v>8</v>
      </c>
      <c r="AA97" s="698">
        <f t="shared" ca="1" si="86"/>
        <v>3</v>
      </c>
      <c r="AB97" s="698">
        <f t="shared" ca="1" si="87"/>
        <v>10</v>
      </c>
      <c r="AC97" s="55"/>
      <c r="AD97" s="81">
        <v>2030</v>
      </c>
      <c r="AE97" s="81"/>
      <c r="AF97" s="700"/>
    </row>
    <row r="98" spans="2:32">
      <c r="B98" s="357" t="s">
        <v>1008</v>
      </c>
      <c r="C98" s="55"/>
      <c r="D98" s="261"/>
      <c r="E98" s="261"/>
      <c r="F98" s="224" t="s">
        <v>1149</v>
      </c>
      <c r="G98" s="55"/>
      <c r="H98" s="174"/>
      <c r="I98" s="174" t="str">
        <f t="shared" si="21"/>
        <v>INDTWH</v>
      </c>
      <c r="J98" s="224">
        <f t="shared" si="31"/>
        <v>2050</v>
      </c>
      <c r="K98" s="81"/>
      <c r="L98" s="199">
        <f t="shared" ca="1" si="79"/>
        <v>1.1618960947726835</v>
      </c>
      <c r="M98" s="199"/>
      <c r="N98" s="81"/>
      <c r="O98" s="723">
        <f t="shared" ca="1" si="80"/>
        <v>4.3955000000000002</v>
      </c>
      <c r="P98" s="723">
        <f t="shared" ca="1" si="81"/>
        <v>0.25106499999999998</v>
      </c>
      <c r="Q98" s="81">
        <f t="shared" ca="1" si="82"/>
        <v>5.8937777777777782</v>
      </c>
      <c r="R98" s="300"/>
      <c r="S98" s="300"/>
      <c r="T98" s="300"/>
      <c r="U98" s="300"/>
      <c r="V98" s="199">
        <f t="shared" ref="V98" ca="1" si="89">IF(IF(RIGHT(H96,2)="PH",(1-L98)+$W$2,IF(RIGHT(H96,2)="HT",(1-L98)+$W$1,IF(RIGHT(H96,2)="SH",(1-L98)+$W$3,"")))&gt;0,IF(RIGHT(H96,2)="PH",(1-L98)+$W$2,IF(RIGHT(H96,2)="HT",(1-L98)+$W$1,IF(RIGHT(H96,2)="SH",(1-L98)+$W$3,""))),0)</f>
        <v>3.8103905227316492E-2</v>
      </c>
      <c r="W98" s="298"/>
      <c r="X98" s="698">
        <f t="shared" ca="1" si="78"/>
        <v>11</v>
      </c>
      <c r="Y98" s="698">
        <f t="shared" ca="1" si="84"/>
        <v>41</v>
      </c>
      <c r="Z98" s="698">
        <f t="shared" ca="1" si="85"/>
        <v>4</v>
      </c>
      <c r="AA98" s="698">
        <f t="shared" ca="1" si="86"/>
        <v>1</v>
      </c>
      <c r="AB98" s="698">
        <f t="shared" ca="1" si="87"/>
        <v>10</v>
      </c>
      <c r="AC98" s="203"/>
      <c r="AD98" s="81">
        <v>2050</v>
      </c>
      <c r="AE98" s="81"/>
      <c r="AF98" s="705"/>
    </row>
    <row r="99" spans="2:32">
      <c r="B99" s="357" t="s">
        <v>1008</v>
      </c>
      <c r="C99" s="55"/>
      <c r="D99" s="261" t="str">
        <f>"IND"&amp;RIGHT(H99,4)&amp;RIGHT(G99,3)&amp;"N"&amp;RIGHT(E99,1)</f>
        <v>INDTDSHWCHN2</v>
      </c>
      <c r="E99" s="261" t="str">
        <f>"Industrial heating technology "&amp;$AJ$12&amp;" "&amp;RIGHT(H99,2)&amp;" - Wood chip boiler (Steam - condensing) - new 2"</f>
        <v>Industrial heating technology Transport SH - Wood chip boiler (Steam - condensing) - new 2</v>
      </c>
      <c r="F99" s="224" t="s">
        <v>1149</v>
      </c>
      <c r="G99" s="174" t="s">
        <v>498</v>
      </c>
      <c r="H99" s="174" t="str">
        <f>$AI$15</f>
        <v>ITDSH</v>
      </c>
      <c r="I99" s="174" t="str">
        <f t="shared" si="21"/>
        <v>INDTWH</v>
      </c>
      <c r="J99" s="224">
        <f t="shared" si="31"/>
        <v>2011</v>
      </c>
      <c r="K99" s="299">
        <v>2025</v>
      </c>
      <c r="L99" s="199">
        <f t="shared" ca="1" si="79"/>
        <v>1.1618960947726835</v>
      </c>
      <c r="M99" s="199"/>
      <c r="N99" s="81">
        <f ca="1">VLOOKUP($AD99,INDIRECT("'"&amp;$B99&amp;"'!"&amp;"$P$118:$AD$121"),5,FALSE)</f>
        <v>25</v>
      </c>
      <c r="O99" s="723">
        <f t="shared" ca="1" si="80"/>
        <v>5.0660000000000007</v>
      </c>
      <c r="P99" s="723">
        <f t="shared" ca="1" si="81"/>
        <v>0.27564999999999995</v>
      </c>
      <c r="Q99" s="81">
        <f t="shared" ca="1" si="82"/>
        <v>5.7509861111111107</v>
      </c>
      <c r="R99" s="81">
        <v>3.1536000000000002E-2</v>
      </c>
      <c r="S99" s="199">
        <v>0.5</v>
      </c>
      <c r="T99" s="199">
        <f ca="1">HLOOKUP($T$2,INDIRECT("'"&amp;$B99&amp;"'!"&amp;"$P$85:$AC$98"),IF(H99=$AI$13,6,IF(H99=$AI$14,9,14)),FALSE)</f>
        <v>0</v>
      </c>
      <c r="U99" s="772"/>
      <c r="V99" s="199">
        <f t="shared" ref="V99" ca="1" si="90">IF(IF(RIGHT(H99,2)="PH",(1-L99)+$W$2,IF(RIGHT(H99,2)="HT",(1-L99)+$W$1,IF(RIGHT(H99,2)="SH",(1-L99)+$W$3,"")))&gt;0,IF(RIGHT(H99,2)="PH",(1-L99)+$W$2,IF(RIGHT(H99,2)="HT",(1-L99)+$W$1,IF(RIGHT(H99,2)="SH",(1-L99)+$W$3,""))),0)</f>
        <v>0</v>
      </c>
      <c r="W99" s="298"/>
      <c r="X99" s="698">
        <f t="shared" ca="1" si="78"/>
        <v>11</v>
      </c>
      <c r="Y99" s="698">
        <f t="shared" ca="1" si="84"/>
        <v>63</v>
      </c>
      <c r="Z99" s="698">
        <f t="shared" ca="1" si="85"/>
        <v>11</v>
      </c>
      <c r="AA99" s="698">
        <f t="shared" ca="1" si="86"/>
        <v>3</v>
      </c>
      <c r="AB99" s="698">
        <f t="shared" ca="1" si="87"/>
        <v>10</v>
      </c>
      <c r="AC99" s="296"/>
      <c r="AD99" s="81">
        <v>2020</v>
      </c>
      <c r="AE99" s="81"/>
      <c r="AF99" s="710"/>
    </row>
    <row r="100" spans="2:32">
      <c r="B100" s="357" t="s">
        <v>1008</v>
      </c>
      <c r="C100" s="55"/>
      <c r="D100" s="261"/>
      <c r="E100" s="261"/>
      <c r="F100" s="224" t="s">
        <v>1149</v>
      </c>
      <c r="G100" s="55"/>
      <c r="H100" s="174"/>
      <c r="I100" s="174" t="str">
        <f t="shared" si="21"/>
        <v>INDTWH</v>
      </c>
      <c r="J100" s="224">
        <f t="shared" si="31"/>
        <v>2030</v>
      </c>
      <c r="K100" s="81"/>
      <c r="L100" s="199">
        <f t="shared" ca="1" si="79"/>
        <v>1.1618960947726835</v>
      </c>
      <c r="M100" s="199"/>
      <c r="N100" s="81"/>
      <c r="O100" s="723">
        <f t="shared" ca="1" si="80"/>
        <v>4.8425000000000002</v>
      </c>
      <c r="P100" s="723">
        <f t="shared" ca="1" si="81"/>
        <v>0.267455</v>
      </c>
      <c r="Q100" s="81">
        <f t="shared" ca="1" si="82"/>
        <v>5.8461805555555557</v>
      </c>
      <c r="R100" s="300"/>
      <c r="S100" s="300"/>
      <c r="T100" s="300"/>
      <c r="U100" s="300"/>
      <c r="V100" s="199">
        <f t="shared" ref="V100" ca="1" si="91">IF(IF(RIGHT(H99,2)="PH",(1-L100)+$W$2,IF(RIGHT(H99,2)="HT",(1-L100)+$W$1,IF(RIGHT(H99,2)="SH",(1-L100)+$W$3,"")))&gt;0,IF(RIGHT(H99,2)="PH",(1-L100)+$W$2,IF(RIGHT(H99,2)="HT",(1-L100)+$W$1,IF(RIGHT(H99,2)="SH",(1-L100)+$W$3,""))),0)</f>
        <v>0</v>
      </c>
      <c r="W100" s="298"/>
      <c r="X100" s="698">
        <f t="shared" ca="1" si="78"/>
        <v>11</v>
      </c>
      <c r="Y100" s="698">
        <f t="shared" ca="1" si="84"/>
        <v>49</v>
      </c>
      <c r="Z100" s="698">
        <f t="shared" ca="1" si="85"/>
        <v>8</v>
      </c>
      <c r="AA100" s="698">
        <f t="shared" ca="1" si="86"/>
        <v>3</v>
      </c>
      <c r="AB100" s="698">
        <f t="shared" ca="1" si="87"/>
        <v>10</v>
      </c>
      <c r="AC100" s="55"/>
      <c r="AD100" s="81">
        <v>2030</v>
      </c>
      <c r="AE100" s="81"/>
      <c r="AF100" s="700"/>
    </row>
    <row r="101" spans="2:32">
      <c r="B101" s="356" t="s">
        <v>1008</v>
      </c>
      <c r="C101" s="203"/>
      <c r="D101" s="701"/>
      <c r="E101" s="701"/>
      <c r="F101" s="224" t="s">
        <v>1149</v>
      </c>
      <c r="G101" s="203"/>
      <c r="H101" s="702"/>
      <c r="I101" s="702" t="str">
        <f t="shared" si="21"/>
        <v>INDTWH</v>
      </c>
      <c r="J101" s="224">
        <f t="shared" si="31"/>
        <v>2050</v>
      </c>
      <c r="K101" s="81"/>
      <c r="L101" s="199">
        <f t="shared" ca="1" si="79"/>
        <v>1.1618960947726835</v>
      </c>
      <c r="M101" s="199"/>
      <c r="N101" s="81"/>
      <c r="O101" s="723">
        <f t="shared" ca="1" si="80"/>
        <v>4.3955000000000002</v>
      </c>
      <c r="P101" s="723">
        <f t="shared" ca="1" si="81"/>
        <v>0.25106499999999998</v>
      </c>
      <c r="Q101" s="81">
        <f t="shared" ca="1" si="82"/>
        <v>5.8937777777777782</v>
      </c>
      <c r="R101" s="703"/>
      <c r="S101" s="703"/>
      <c r="T101" s="703"/>
      <c r="U101" s="703"/>
      <c r="V101" s="199">
        <f t="shared" ref="V101" ca="1" si="92">IF(IF(RIGHT(H99,2)="PH",(1-L101)+$W$2,IF(RIGHT(H99,2)="HT",(1-L101)+$W$1,IF(RIGHT(H99,2)="SH",(1-L101)+$W$3,"")))&gt;0,IF(RIGHT(H99,2)="PH",(1-L101)+$W$2,IF(RIGHT(H99,2)="HT",(1-L101)+$W$1,IF(RIGHT(H99,2)="SH",(1-L101)+$W$3,""))),0)</f>
        <v>0</v>
      </c>
      <c r="W101" s="704"/>
      <c r="X101" s="698">
        <f t="shared" ca="1" si="78"/>
        <v>11</v>
      </c>
      <c r="Y101" s="698">
        <f t="shared" ca="1" si="84"/>
        <v>41</v>
      </c>
      <c r="Z101" s="698">
        <f t="shared" ca="1" si="85"/>
        <v>4</v>
      </c>
      <c r="AA101" s="698">
        <f t="shared" ca="1" si="86"/>
        <v>1</v>
      </c>
      <c r="AB101" s="698">
        <f t="shared" ca="1" si="87"/>
        <v>10</v>
      </c>
      <c r="AC101" s="55"/>
      <c r="AD101" s="81">
        <v>2050</v>
      </c>
      <c r="AE101" s="81"/>
      <c r="AF101" s="700"/>
    </row>
    <row r="102" spans="2:32">
      <c r="B102" s="717" t="s">
        <v>1008</v>
      </c>
      <c r="C102" s="712"/>
      <c r="D102" s="707" t="str">
        <f>"IND"&amp;RIGHT(H102,4)&amp;RIGHT(G102,3)&amp;"N"&amp;RIGHT(E102,1)</f>
        <v>INDTDPHWCHN3</v>
      </c>
      <c r="E102" s="707" t="str">
        <f>"Industrial heating technology "&amp;$AJ$12&amp;" "&amp;RIGHT(H102,2)&amp;" - Wood chip boiler (Hot Water) - new 3"</f>
        <v>Industrial heating technology Transport PH - Wood chip boiler (Hot Water) - new 3</v>
      </c>
      <c r="F102" s="224" t="s">
        <v>1149</v>
      </c>
      <c r="G102" s="708" t="s">
        <v>498</v>
      </c>
      <c r="H102" s="708" t="str">
        <f>$AI$14</f>
        <v>ITDPH</v>
      </c>
      <c r="I102" s="708" t="str">
        <f t="shared" si="21"/>
        <v>INDTWH</v>
      </c>
      <c r="J102" s="224">
        <f t="shared" si="31"/>
        <v>2011</v>
      </c>
      <c r="K102" s="299">
        <v>2025</v>
      </c>
      <c r="L102" s="199">
        <f t="shared" ref="L102:L107" ca="1" si="93">VLOOKUP($AD102,INDIRECT("'"&amp;$B102&amp;"'!"&amp;"$P$200:$AD$203"),3,FALSE)</f>
        <v>0.9</v>
      </c>
      <c r="M102" s="199"/>
      <c r="N102" s="81">
        <f ca="1">VLOOKUP($AD102,INDIRECT("'"&amp;$B102&amp;"'!"&amp;"$P$200:$AD$203"),5,FALSE)</f>
        <v>25</v>
      </c>
      <c r="O102" s="723">
        <f t="shared" ref="O102:O107" ca="1" si="94">VLOOKUP($AD102,INDIRECT("'"&amp;$B102&amp;"'!"&amp;"$P$200:$AD$203"),6,FALSE)/1000</f>
        <v>4.6054545454545437</v>
      </c>
      <c r="P102" s="723">
        <f t="shared" ref="P102:P107" ca="1" si="95">VLOOKUP($AD102,INDIRECT("'"&amp;$B102&amp;"'!"&amp;"$P$200:$AD$203"),7,FALSE)/1000</f>
        <v>0.25106499999999998</v>
      </c>
      <c r="Q102" s="81">
        <f t="shared" ref="Q102:Q107" ca="1" si="96">VLOOKUP($AD102,INDIRECT("'"&amp;$B102&amp;"'!"&amp;"$P$200:$AD$203"),8,FALSE)</f>
        <v>5.7509861111111107</v>
      </c>
      <c r="R102" s="81">
        <v>3.1536000000000002E-2</v>
      </c>
      <c r="S102" s="199">
        <v>0.5</v>
      </c>
      <c r="T102" s="199">
        <f ca="1">HLOOKUP($T$2,INDIRECT("'"&amp;$B102&amp;"'!"&amp;"$P$167:$AC$180"),IF(H102=$AI$13,6,IF(H102=$AI$14,9,14)),FALSE)</f>
        <v>0</v>
      </c>
      <c r="U102" s="773"/>
      <c r="V102" s="199">
        <f t="shared" ref="V102" ca="1" si="97">IF(IF(RIGHT(H102,2)="PH",(1-L102)+$W$2,IF(RIGHT(H102,2)="HT",(1-L102)+$W$1,IF(RIGHT(H102,2)="SH",(1-L102)+$W$3,"")))&gt;0,IF(RIGHT(H102,2)="PH",(1-L102)+$W$2,IF(RIGHT(H102,2)="HT",(1-L102)+$W$1,IF(RIGHT(H102,2)="SH",(1-L102)+$W$3,""))),0)</f>
        <v>0.3</v>
      </c>
      <c r="W102" s="709"/>
      <c r="X102" s="698">
        <f t="shared" ca="1" si="78"/>
        <v>11</v>
      </c>
      <c r="Y102" s="698">
        <f t="shared" ref="Y102:Y107" ca="1" si="98">VLOOKUP($AD102,INDIRECT("'"&amp;$B102&amp;"'!"&amp;"$P$200:$AD$203"),12,FALSE)</f>
        <v>63</v>
      </c>
      <c r="Z102" s="698">
        <f t="shared" ref="Z102:Z107" ca="1" si="99">VLOOKUP($AD102,INDIRECT("'"&amp;$B102&amp;"'!"&amp;"$P$200:$AD$203"),13,FALSE)</f>
        <v>11</v>
      </c>
      <c r="AA102" s="698">
        <f t="shared" ref="AA102:AA107" ca="1" si="100">VLOOKUP($AD102,INDIRECT("'"&amp;$B102&amp;"'!"&amp;"$P$200:$AD$203"),14,FALSE)</f>
        <v>3</v>
      </c>
      <c r="AB102" s="698">
        <f t="shared" ref="AB102:AB107" ca="1" si="101">VLOOKUP($AD102,INDIRECT("'"&amp;$B102&amp;"'!"&amp;"$P$200:$AD$203"),15,FALSE)</f>
        <v>10</v>
      </c>
      <c r="AC102" s="55"/>
      <c r="AD102" s="81">
        <v>2020</v>
      </c>
      <c r="AE102" s="81"/>
      <c r="AF102" s="700"/>
    </row>
    <row r="103" spans="2:32">
      <c r="B103" s="718" t="s">
        <v>1008</v>
      </c>
      <c r="C103" s="226"/>
      <c r="D103" s="261"/>
      <c r="E103" s="261"/>
      <c r="F103" s="224" t="s">
        <v>1149</v>
      </c>
      <c r="G103" s="55"/>
      <c r="H103" s="174"/>
      <c r="I103" s="174" t="str">
        <f t="shared" si="21"/>
        <v>INDTWH</v>
      </c>
      <c r="J103" s="224">
        <f t="shared" si="31"/>
        <v>2030</v>
      </c>
      <c r="K103" s="81"/>
      <c r="L103" s="199">
        <f t="shared" ca="1" si="93"/>
        <v>0.9</v>
      </c>
      <c r="M103" s="199"/>
      <c r="N103" s="81"/>
      <c r="O103" s="723">
        <f t="shared" ca="1" si="94"/>
        <v>4.4022727272727282</v>
      </c>
      <c r="P103" s="723">
        <f t="shared" ca="1" si="95"/>
        <v>0.267455</v>
      </c>
      <c r="Q103" s="81">
        <f t="shared" ca="1" si="96"/>
        <v>5.8461805555555557</v>
      </c>
      <c r="R103" s="300"/>
      <c r="S103" s="300"/>
      <c r="T103" s="300"/>
      <c r="U103" s="300"/>
      <c r="V103" s="199">
        <f t="shared" ref="V103" ca="1" si="102">IF(IF(RIGHT(H102,2)="PH",(1-L103)+$W$2,IF(RIGHT(H102,2)="HT",(1-L103)+$W$1,IF(RIGHT(H102,2)="SH",(1-L103)+$W$3,"")))&gt;0,IF(RIGHT(H102,2)="PH",(1-L103)+$W$2,IF(RIGHT(H102,2)="HT",(1-L103)+$W$1,IF(RIGHT(H102,2)="SH",(1-L103)+$W$3,""))),0)</f>
        <v>0.3</v>
      </c>
      <c r="W103" s="298"/>
      <c r="X103" s="698">
        <f t="shared" ca="1" si="78"/>
        <v>11</v>
      </c>
      <c r="Y103" s="698">
        <f t="shared" ca="1" si="98"/>
        <v>49</v>
      </c>
      <c r="Z103" s="698">
        <f t="shared" ca="1" si="99"/>
        <v>8</v>
      </c>
      <c r="AA103" s="698">
        <f t="shared" ca="1" si="100"/>
        <v>3</v>
      </c>
      <c r="AB103" s="698">
        <f t="shared" ca="1" si="101"/>
        <v>10</v>
      </c>
      <c r="AC103" s="55"/>
      <c r="AD103" s="81">
        <v>2030</v>
      </c>
      <c r="AE103" s="81"/>
      <c r="AF103" s="700"/>
    </row>
    <row r="104" spans="2:32">
      <c r="B104" s="718" t="s">
        <v>1008</v>
      </c>
      <c r="C104" s="226"/>
      <c r="D104" s="261"/>
      <c r="E104" s="261"/>
      <c r="F104" s="224" t="s">
        <v>1149</v>
      </c>
      <c r="G104" s="55"/>
      <c r="H104" s="174"/>
      <c r="I104" s="174" t="str">
        <f t="shared" si="21"/>
        <v>INDTWH</v>
      </c>
      <c r="J104" s="224">
        <f t="shared" si="31"/>
        <v>2050</v>
      </c>
      <c r="K104" s="81"/>
      <c r="L104" s="199">
        <f t="shared" ca="1" si="93"/>
        <v>0.91</v>
      </c>
      <c r="M104" s="199"/>
      <c r="N104" s="81"/>
      <c r="O104" s="723">
        <f t="shared" ca="1" si="94"/>
        <v>3.9959090909090884</v>
      </c>
      <c r="P104" s="723">
        <f t="shared" ca="1" si="95"/>
        <v>0.25106499999999998</v>
      </c>
      <c r="Q104" s="81">
        <f t="shared" ca="1" si="96"/>
        <v>5.8937777777777782</v>
      </c>
      <c r="R104" s="300"/>
      <c r="S104" s="300"/>
      <c r="T104" s="300"/>
      <c r="U104" s="300"/>
      <c r="V104" s="199">
        <f t="shared" ref="V104" ca="1" si="103">IF(IF(RIGHT(H102,2)="PH",(1-L104)+$W$2,IF(RIGHT(H102,2)="HT",(1-L104)+$W$1,IF(RIGHT(H102,2)="SH",(1-L104)+$W$3,"")))&gt;0,IF(RIGHT(H102,2)="PH",(1-L104)+$W$2,IF(RIGHT(H102,2)="HT",(1-L104)+$W$1,IF(RIGHT(H102,2)="SH",(1-L104)+$W$3,""))),0)</f>
        <v>0.28999999999999998</v>
      </c>
      <c r="W104" s="298"/>
      <c r="X104" s="698">
        <f t="shared" ca="1" si="78"/>
        <v>11</v>
      </c>
      <c r="Y104" s="698">
        <f t="shared" ca="1" si="98"/>
        <v>41</v>
      </c>
      <c r="Z104" s="698">
        <f t="shared" ca="1" si="99"/>
        <v>4</v>
      </c>
      <c r="AA104" s="698">
        <f t="shared" ca="1" si="100"/>
        <v>1</v>
      </c>
      <c r="AB104" s="698">
        <f t="shared" ca="1" si="101"/>
        <v>10</v>
      </c>
      <c r="AC104" s="203"/>
      <c r="AD104" s="81">
        <v>2050</v>
      </c>
      <c r="AE104" s="81"/>
      <c r="AF104" s="705"/>
    </row>
    <row r="105" spans="2:32">
      <c r="B105" s="718" t="s">
        <v>1008</v>
      </c>
      <c r="C105" s="226"/>
      <c r="D105" s="261" t="str">
        <f>"IND"&amp;RIGHT(H105,4)&amp;RIGHT(G105,3)&amp;"N"&amp;RIGHT(E105,1)</f>
        <v>INDTDSHWCHN3</v>
      </c>
      <c r="E105" s="261" t="str">
        <f>"Industrial heating technology "&amp;$AJ$12&amp;" "&amp;RIGHT(H105,2)&amp;" - Wood chip boiler (Hot Water) - new 3"</f>
        <v>Industrial heating technology Transport SH - Wood chip boiler (Hot Water) - new 3</v>
      </c>
      <c r="F105" s="224" t="s">
        <v>1149</v>
      </c>
      <c r="G105" s="174" t="s">
        <v>498</v>
      </c>
      <c r="H105" s="174" t="str">
        <f>$AI$15</f>
        <v>ITDSH</v>
      </c>
      <c r="I105" s="174" t="str">
        <f t="shared" si="21"/>
        <v>INDTWH</v>
      </c>
      <c r="J105" s="224">
        <f t="shared" si="31"/>
        <v>2011</v>
      </c>
      <c r="K105" s="299">
        <v>2025</v>
      </c>
      <c r="L105" s="199">
        <f t="shared" ca="1" si="93"/>
        <v>0.9</v>
      </c>
      <c r="M105" s="199"/>
      <c r="N105" s="81">
        <f ca="1">VLOOKUP($AD105,INDIRECT("'"&amp;$B105&amp;"'!"&amp;"$P$200:$AD$203"),5,FALSE)</f>
        <v>25</v>
      </c>
      <c r="O105" s="723">
        <f t="shared" ca="1" si="94"/>
        <v>4.6054545454545437</v>
      </c>
      <c r="P105" s="723">
        <f t="shared" ca="1" si="95"/>
        <v>0.25106499999999998</v>
      </c>
      <c r="Q105" s="81">
        <f t="shared" ca="1" si="96"/>
        <v>5.7509861111111107</v>
      </c>
      <c r="R105" s="81">
        <v>3.1536000000000002E-2</v>
      </c>
      <c r="S105" s="199">
        <v>0.5</v>
      </c>
      <c r="T105" s="199">
        <f ca="1">HLOOKUP($T$2,INDIRECT("'"&amp;$B105&amp;"'!"&amp;"$P$167:$AC$180"),IF(H105=$AI$13,6,IF(H105=$AI$14,9,14)),FALSE)</f>
        <v>1</v>
      </c>
      <c r="U105" s="773"/>
      <c r="V105" s="199">
        <f t="shared" ref="V105" ca="1" si="104">IF(IF(RIGHT(H105,2)="PH",(1-L105)+$W$2,IF(RIGHT(H105,2)="HT",(1-L105)+$W$1,IF(RIGHT(H105,2)="SH",(1-L105)+$W$3,"")))&gt;0,IF(RIGHT(H105,2)="PH",(1-L105)+$W$2,IF(RIGHT(H105,2)="HT",(1-L105)+$W$1,IF(RIGHT(H105,2)="SH",(1-L105)+$W$3,""))),0)</f>
        <v>9.9999999999999978E-2</v>
      </c>
      <c r="W105" s="709"/>
      <c r="X105" s="698">
        <f t="shared" ca="1" si="78"/>
        <v>11</v>
      </c>
      <c r="Y105" s="698">
        <f t="shared" ca="1" si="98"/>
        <v>63</v>
      </c>
      <c r="Z105" s="698">
        <f t="shared" ca="1" si="99"/>
        <v>11</v>
      </c>
      <c r="AA105" s="698">
        <f t="shared" ca="1" si="100"/>
        <v>3</v>
      </c>
      <c r="AB105" s="698">
        <f t="shared" ca="1" si="101"/>
        <v>10</v>
      </c>
      <c r="AC105" s="296"/>
      <c r="AD105" s="81">
        <v>2020</v>
      </c>
      <c r="AE105" s="81"/>
      <c r="AF105" s="710"/>
    </row>
    <row r="106" spans="2:32">
      <c r="B106" s="718" t="s">
        <v>1008</v>
      </c>
      <c r="C106" s="226"/>
      <c r="D106" s="261"/>
      <c r="E106" s="261"/>
      <c r="F106" s="224" t="s">
        <v>1149</v>
      </c>
      <c r="G106" s="55"/>
      <c r="H106" s="174"/>
      <c r="I106" s="174" t="str">
        <f t="shared" si="21"/>
        <v>INDTWH</v>
      </c>
      <c r="J106" s="224">
        <f t="shared" si="31"/>
        <v>2030</v>
      </c>
      <c r="K106" s="81"/>
      <c r="L106" s="199">
        <f t="shared" ca="1" si="93"/>
        <v>0.9</v>
      </c>
      <c r="M106" s="199"/>
      <c r="N106" s="81"/>
      <c r="O106" s="723">
        <f t="shared" ca="1" si="94"/>
        <v>4.4022727272727282</v>
      </c>
      <c r="P106" s="723">
        <f t="shared" ca="1" si="95"/>
        <v>0.267455</v>
      </c>
      <c r="Q106" s="81">
        <f t="shared" ca="1" si="96"/>
        <v>5.8461805555555557</v>
      </c>
      <c r="R106" s="300"/>
      <c r="S106" s="300"/>
      <c r="T106" s="300"/>
      <c r="U106" s="300"/>
      <c r="V106" s="199">
        <f t="shared" ref="V106" ca="1" si="105">IF(IF(RIGHT(H105,2)="PH",(1-L106)+$W$2,IF(RIGHT(H105,2)="HT",(1-L106)+$W$1,IF(RIGHT(H105,2)="SH",(1-L106)+$W$3,"")))&gt;0,IF(RIGHT(H105,2)="PH",(1-L106)+$W$2,IF(RIGHT(H105,2)="HT",(1-L106)+$W$1,IF(RIGHT(H105,2)="SH",(1-L106)+$W$3,""))),0)</f>
        <v>9.9999999999999978E-2</v>
      </c>
      <c r="W106" s="298"/>
      <c r="X106" s="698">
        <f t="shared" ca="1" si="78"/>
        <v>11</v>
      </c>
      <c r="Y106" s="698">
        <f t="shared" ca="1" si="98"/>
        <v>49</v>
      </c>
      <c r="Z106" s="698">
        <f t="shared" ca="1" si="99"/>
        <v>8</v>
      </c>
      <c r="AA106" s="698">
        <f t="shared" ca="1" si="100"/>
        <v>3</v>
      </c>
      <c r="AB106" s="698">
        <f t="shared" ca="1" si="101"/>
        <v>10</v>
      </c>
      <c r="AC106" s="55"/>
      <c r="AD106" s="81">
        <v>2030</v>
      </c>
      <c r="AE106" s="81"/>
      <c r="AF106" s="700"/>
    </row>
    <row r="107" spans="2:32">
      <c r="B107" s="719" t="s">
        <v>1008</v>
      </c>
      <c r="C107" s="713"/>
      <c r="D107" s="701"/>
      <c r="E107" s="701"/>
      <c r="F107" s="224" t="s">
        <v>1149</v>
      </c>
      <c r="G107" s="203"/>
      <c r="H107" s="702"/>
      <c r="I107" s="702" t="str">
        <f t="shared" si="21"/>
        <v>INDTWH</v>
      </c>
      <c r="J107" s="224">
        <f t="shared" si="31"/>
        <v>2050</v>
      </c>
      <c r="K107" s="81"/>
      <c r="L107" s="199">
        <f t="shared" ca="1" si="93"/>
        <v>0.91</v>
      </c>
      <c r="M107" s="199"/>
      <c r="N107" s="81"/>
      <c r="O107" s="723">
        <f t="shared" ca="1" si="94"/>
        <v>3.9959090909090884</v>
      </c>
      <c r="P107" s="723">
        <f t="shared" ca="1" si="95"/>
        <v>0.25106499999999998</v>
      </c>
      <c r="Q107" s="81">
        <f t="shared" ca="1" si="96"/>
        <v>5.8937777777777782</v>
      </c>
      <c r="R107" s="300"/>
      <c r="S107" s="300"/>
      <c r="T107" s="300"/>
      <c r="U107" s="300"/>
      <c r="V107" s="199">
        <f t="shared" ref="V107" ca="1" si="106">IF(IF(RIGHT(H105,2)="PH",(1-L107)+$W$2,IF(RIGHT(H105,2)="HT",(1-L107)+$W$1,IF(RIGHT(H105,2)="SH",(1-L107)+$W$3,"")))&gt;0,IF(RIGHT(H105,2)="PH",(1-L107)+$W$2,IF(RIGHT(H105,2)="HT",(1-L107)+$W$1,IF(RIGHT(H105,2)="SH",(1-L107)+$W$3,""))),0)</f>
        <v>8.9999999999999969E-2</v>
      </c>
      <c r="W107" s="298"/>
      <c r="X107" s="698">
        <f t="shared" ca="1" si="78"/>
        <v>11</v>
      </c>
      <c r="Y107" s="698">
        <f t="shared" ca="1" si="98"/>
        <v>41</v>
      </c>
      <c r="Z107" s="698">
        <f t="shared" ca="1" si="99"/>
        <v>4</v>
      </c>
      <c r="AA107" s="698">
        <f t="shared" ca="1" si="100"/>
        <v>1</v>
      </c>
      <c r="AB107" s="698">
        <f t="shared" ca="1" si="101"/>
        <v>10</v>
      </c>
      <c r="AC107" s="55"/>
      <c r="AD107" s="81">
        <v>2050</v>
      </c>
      <c r="AE107" s="81"/>
      <c r="AF107" s="700"/>
    </row>
    <row r="108" spans="2:32">
      <c r="B108" s="717" t="s">
        <v>1008</v>
      </c>
      <c r="C108" s="712"/>
      <c r="D108" s="707" t="str">
        <f>"IND"&amp;RIGHT(H108,4)&amp;RIGHT(G108,3)&amp;"N"&amp;RIGHT(E108,1)</f>
        <v>INDTDPHWCHN4</v>
      </c>
      <c r="E108" s="707" t="str">
        <f>"Industrial heating technology "&amp;$AJ$12&amp;" "&amp;RIGHT(H108,2)&amp;" - Wood chip boiler (Hot Water - condensing) - new 4"</f>
        <v>Industrial heating technology Transport PH - Wood chip boiler (Hot Water - condensing) - new 4</v>
      </c>
      <c r="F108" s="224" t="s">
        <v>1149</v>
      </c>
      <c r="G108" s="708" t="s">
        <v>498</v>
      </c>
      <c r="H108" s="708" t="str">
        <f>$AI$14</f>
        <v>ITDPH</v>
      </c>
      <c r="I108" s="708" t="str">
        <f t="shared" si="21"/>
        <v>INDTWH</v>
      </c>
      <c r="J108" s="224">
        <f t="shared" si="31"/>
        <v>2011</v>
      </c>
      <c r="K108" s="299">
        <v>2025</v>
      </c>
      <c r="L108" s="199">
        <f t="shared" ref="L108:L113" ca="1" si="107">VLOOKUP($AD108,INDIRECT("'"&amp;$B108&amp;"'!"&amp;"$P$279:$AD$282"),3,FALSE)</f>
        <v>1.1618960947726835</v>
      </c>
      <c r="M108" s="199"/>
      <c r="N108" s="81">
        <f ca="1">VLOOKUP($AD108,INDIRECT("'"&amp;$B108&amp;"'!"&amp;"$P$279:$AD$282"),5,FALSE)</f>
        <v>25</v>
      </c>
      <c r="O108" s="723">
        <f t="shared" ref="O108:O113" ca="1" si="108">VLOOKUP($AD108,INDIRECT("'"&amp;$B108&amp;"'!"&amp;"$P$279:$AD$282"),6,FALSE)/1000</f>
        <v>5.0660000000000007</v>
      </c>
      <c r="P108" s="723">
        <f t="shared" ref="P108:P113" ca="1" si="109">VLOOKUP($AD108,INDIRECT("'"&amp;$B108&amp;"'!"&amp;"$P$279:$AD$282"),7,FALSE)/1000</f>
        <v>0.27564999999999995</v>
      </c>
      <c r="Q108" s="81">
        <f t="shared" ref="Q108:Q113" ca="1" si="110">VLOOKUP($AD108,INDIRECT("'"&amp;$B108&amp;"'!"&amp;"$P$279:$AD$282"),8,FALSE)</f>
        <v>5.7509861111111107</v>
      </c>
      <c r="R108" s="81">
        <v>3.1536000000000002E-2</v>
      </c>
      <c r="S108" s="199">
        <v>0.5</v>
      </c>
      <c r="T108" s="199">
        <f ca="1">HLOOKUP($T$2,INDIRECT("'"&amp;$B108&amp;"'!"&amp;"$P$246:$AC$259"),IF(H108=$AI$13,6,IF(H108=$AI$14,9,14)),FALSE)</f>
        <v>0</v>
      </c>
      <c r="U108" s="773"/>
      <c r="V108" s="199">
        <f t="shared" ref="V108" ca="1" si="111">IF(IF(RIGHT(H108,2)="PH",(1-L108)+$W$2,IF(RIGHT(H108,2)="HT",(1-L108)+$W$1,IF(RIGHT(H108,2)="SH",(1-L108)+$W$3,"")))&gt;0,IF(RIGHT(H108,2)="PH",(1-L108)+$W$2,IF(RIGHT(H108,2)="HT",(1-L108)+$W$1,IF(RIGHT(H108,2)="SH",(1-L108)+$W$3,""))),0)</f>
        <v>3.8103905227316492E-2</v>
      </c>
      <c r="W108" s="709"/>
      <c r="X108" s="698">
        <f t="shared" ca="1" si="78"/>
        <v>11</v>
      </c>
      <c r="Y108" s="698">
        <f t="shared" ref="Y108:Y113" ca="1" si="112">VLOOKUP($AD108,INDIRECT("'"&amp;$B108&amp;"'!"&amp;"$P$279:$AD$282"),12,FALSE)</f>
        <v>63</v>
      </c>
      <c r="Z108" s="698">
        <f t="shared" ref="Z108:Z113" ca="1" si="113">VLOOKUP($AD108,INDIRECT("'"&amp;$B108&amp;"'!"&amp;"$P$279:$AD$282"),13,FALSE)</f>
        <v>11</v>
      </c>
      <c r="AA108" s="698">
        <f t="shared" ref="AA108:AA113" ca="1" si="114">VLOOKUP($AD108,INDIRECT("'"&amp;$B108&amp;"'!"&amp;"$P$279:$AD$282"),14,FALSE)</f>
        <v>3</v>
      </c>
      <c r="AB108" s="698">
        <f t="shared" ref="AB108:AB113" ca="1" si="115">VLOOKUP($AD108,INDIRECT("'"&amp;$B108&amp;"'!"&amp;"$P$279:$AD$282"),15,FALSE)</f>
        <v>10</v>
      </c>
      <c r="AC108" s="55"/>
      <c r="AD108" s="81">
        <v>2020</v>
      </c>
      <c r="AE108" s="81"/>
      <c r="AF108" s="700"/>
    </row>
    <row r="109" spans="2:32">
      <c r="B109" s="718" t="s">
        <v>1008</v>
      </c>
      <c r="C109" s="226"/>
      <c r="D109" s="261"/>
      <c r="E109" s="261"/>
      <c r="F109" s="224" t="s">
        <v>1149</v>
      </c>
      <c r="G109" s="55"/>
      <c r="H109" s="174"/>
      <c r="I109" s="174" t="str">
        <f t="shared" si="21"/>
        <v>INDTWH</v>
      </c>
      <c r="J109" s="224">
        <f t="shared" si="31"/>
        <v>2030</v>
      </c>
      <c r="K109" s="81"/>
      <c r="L109" s="199">
        <f t="shared" ca="1" si="107"/>
        <v>1.1618960947726835</v>
      </c>
      <c r="M109" s="199"/>
      <c r="N109" s="81"/>
      <c r="O109" s="723">
        <f t="shared" ca="1" si="108"/>
        <v>4.8425000000000002</v>
      </c>
      <c r="P109" s="723">
        <f t="shared" ca="1" si="109"/>
        <v>0.267455</v>
      </c>
      <c r="Q109" s="81">
        <f t="shared" ca="1" si="110"/>
        <v>5.8461805555555557</v>
      </c>
      <c r="R109" s="300"/>
      <c r="S109" s="300"/>
      <c r="T109" s="300"/>
      <c r="U109" s="300"/>
      <c r="V109" s="199">
        <f t="shared" ref="V109" ca="1" si="116">IF(IF(RIGHT(H108,2)="PH",(1-L109)+$W$2,IF(RIGHT(H108,2)="HT",(1-L109)+$W$1,IF(RIGHT(H108,2)="SH",(1-L109)+$W$3,"")))&gt;0,IF(RIGHT(H108,2)="PH",(1-L109)+$W$2,IF(RIGHT(H108,2)="HT",(1-L109)+$W$1,IF(RIGHT(H108,2)="SH",(1-L109)+$W$3,""))),0)</f>
        <v>3.8103905227316492E-2</v>
      </c>
      <c r="W109" s="298"/>
      <c r="X109" s="698">
        <f t="shared" ca="1" si="78"/>
        <v>11</v>
      </c>
      <c r="Y109" s="698">
        <f t="shared" ca="1" si="112"/>
        <v>49</v>
      </c>
      <c r="Z109" s="698">
        <f t="shared" ca="1" si="113"/>
        <v>8</v>
      </c>
      <c r="AA109" s="698">
        <f t="shared" ca="1" si="114"/>
        <v>3</v>
      </c>
      <c r="AB109" s="698">
        <f t="shared" ca="1" si="115"/>
        <v>10</v>
      </c>
      <c r="AC109" s="55"/>
      <c r="AD109" s="81">
        <v>2030</v>
      </c>
      <c r="AE109" s="81"/>
      <c r="AF109" s="700"/>
    </row>
    <row r="110" spans="2:32">
      <c r="B110" s="718" t="s">
        <v>1008</v>
      </c>
      <c r="C110" s="226"/>
      <c r="D110" s="261"/>
      <c r="E110" s="261"/>
      <c r="F110" s="224" t="s">
        <v>1149</v>
      </c>
      <c r="G110" s="55"/>
      <c r="H110" s="174"/>
      <c r="I110" s="174" t="str">
        <f t="shared" si="21"/>
        <v>INDTWH</v>
      </c>
      <c r="J110" s="224">
        <f t="shared" si="31"/>
        <v>2050</v>
      </c>
      <c r="K110" s="81"/>
      <c r="L110" s="199">
        <f t="shared" ca="1" si="107"/>
        <v>1.1618960947726835</v>
      </c>
      <c r="M110" s="199"/>
      <c r="N110" s="81"/>
      <c r="O110" s="723">
        <f t="shared" ca="1" si="108"/>
        <v>4.3955000000000002</v>
      </c>
      <c r="P110" s="723">
        <f t="shared" ca="1" si="109"/>
        <v>0.25106499999999998</v>
      </c>
      <c r="Q110" s="81">
        <f t="shared" ca="1" si="110"/>
        <v>5.8937777777777782</v>
      </c>
      <c r="R110" s="300"/>
      <c r="S110" s="300"/>
      <c r="T110" s="300"/>
      <c r="U110" s="300"/>
      <c r="V110" s="199">
        <f t="shared" ref="V110" ca="1" si="117">IF(IF(RIGHT(H108,2)="PH",(1-L110)+$W$2,IF(RIGHT(H108,2)="HT",(1-L110)+$W$1,IF(RIGHT(H108,2)="SH",(1-L110)+$W$3,"")))&gt;0,IF(RIGHT(H108,2)="PH",(1-L110)+$W$2,IF(RIGHT(H108,2)="HT",(1-L110)+$W$1,IF(RIGHT(H108,2)="SH",(1-L110)+$W$3,""))),0)</f>
        <v>3.8103905227316492E-2</v>
      </c>
      <c r="W110" s="298"/>
      <c r="X110" s="698">
        <f t="shared" ca="1" si="78"/>
        <v>11</v>
      </c>
      <c r="Y110" s="698">
        <f t="shared" ca="1" si="112"/>
        <v>41</v>
      </c>
      <c r="Z110" s="698">
        <f t="shared" ca="1" si="113"/>
        <v>4</v>
      </c>
      <c r="AA110" s="698">
        <f t="shared" ca="1" si="114"/>
        <v>1</v>
      </c>
      <c r="AB110" s="698">
        <f t="shared" ca="1" si="115"/>
        <v>10</v>
      </c>
      <c r="AC110" s="203"/>
      <c r="AD110" s="81">
        <v>2050</v>
      </c>
      <c r="AE110" s="81"/>
      <c r="AF110" s="705"/>
    </row>
    <row r="111" spans="2:32">
      <c r="B111" s="718" t="s">
        <v>1008</v>
      </c>
      <c r="C111" s="226"/>
      <c r="D111" s="261" t="str">
        <f>"IND"&amp;RIGHT(H111,4)&amp;RIGHT(G111,3)&amp;"N"&amp;RIGHT(E111,1)</f>
        <v>INDTDSHWCHN4</v>
      </c>
      <c r="E111" s="261" t="str">
        <f>"Industrial heating technology "&amp;$AJ$12&amp;" "&amp;RIGHT(H111,2)&amp;" - Wood chip boiler (Hot Water- condensing) - new 4"</f>
        <v>Industrial heating technology Transport SH - Wood chip boiler (Hot Water- condensing) - new 4</v>
      </c>
      <c r="F111" s="224" t="s">
        <v>1149</v>
      </c>
      <c r="G111" s="174" t="s">
        <v>498</v>
      </c>
      <c r="H111" s="174" t="str">
        <f>$AI$15</f>
        <v>ITDSH</v>
      </c>
      <c r="I111" s="174" t="str">
        <f t="shared" si="21"/>
        <v>INDTWH</v>
      </c>
      <c r="J111" s="224">
        <f t="shared" si="31"/>
        <v>2011</v>
      </c>
      <c r="K111" s="299">
        <v>2025</v>
      </c>
      <c r="L111" s="199">
        <f t="shared" ca="1" si="107"/>
        <v>1.1618960947726835</v>
      </c>
      <c r="M111" s="199"/>
      <c r="N111" s="81">
        <f ca="1">VLOOKUP($AD111,INDIRECT("'"&amp;$B111&amp;"'!"&amp;"$P$279:$AD$282"),5,FALSE)</f>
        <v>25</v>
      </c>
      <c r="O111" s="723">
        <f t="shared" ca="1" si="108"/>
        <v>5.0660000000000007</v>
      </c>
      <c r="P111" s="723">
        <f t="shared" ca="1" si="109"/>
        <v>0.27564999999999995</v>
      </c>
      <c r="Q111" s="81">
        <f t="shared" ca="1" si="110"/>
        <v>5.7509861111111107</v>
      </c>
      <c r="R111" s="81">
        <v>3.1536000000000002E-2</v>
      </c>
      <c r="S111" s="199">
        <v>0.5</v>
      </c>
      <c r="T111" s="199">
        <f ca="1">HLOOKUP($T$2,INDIRECT("'"&amp;$B111&amp;"'!"&amp;"$P$246:$AC$259"),IF(H111=$AI$13,6,IF(H111=$AI$14,9,14)),FALSE)</f>
        <v>0</v>
      </c>
      <c r="U111" s="773"/>
      <c r="V111" s="199">
        <f t="shared" ref="V111" ca="1" si="118">IF(IF(RIGHT(H111,2)="PH",(1-L111)+$W$2,IF(RIGHT(H111,2)="HT",(1-L111)+$W$1,IF(RIGHT(H111,2)="SH",(1-L111)+$W$3,"")))&gt;0,IF(RIGHT(H111,2)="PH",(1-L111)+$W$2,IF(RIGHT(H111,2)="HT",(1-L111)+$W$1,IF(RIGHT(H111,2)="SH",(1-L111)+$W$3,""))),0)</f>
        <v>0</v>
      </c>
      <c r="W111" s="709"/>
      <c r="X111" s="698">
        <f t="shared" ca="1" si="78"/>
        <v>11</v>
      </c>
      <c r="Y111" s="698">
        <f t="shared" ca="1" si="112"/>
        <v>63</v>
      </c>
      <c r="Z111" s="698">
        <f t="shared" ca="1" si="113"/>
        <v>11</v>
      </c>
      <c r="AA111" s="698">
        <f t="shared" ca="1" si="114"/>
        <v>3</v>
      </c>
      <c r="AB111" s="698">
        <f t="shared" ca="1" si="115"/>
        <v>10</v>
      </c>
      <c r="AD111" s="81">
        <v>2020</v>
      </c>
      <c r="AE111" s="81"/>
      <c r="AF111" s="220"/>
    </row>
    <row r="112" spans="2:32">
      <c r="B112" s="718" t="s">
        <v>1008</v>
      </c>
      <c r="C112" s="226"/>
      <c r="D112" s="261"/>
      <c r="E112" s="261"/>
      <c r="F112" s="224" t="s">
        <v>1149</v>
      </c>
      <c r="G112" s="55"/>
      <c r="H112" s="174"/>
      <c r="I112" s="174" t="str">
        <f t="shared" si="21"/>
        <v>INDTWH</v>
      </c>
      <c r="J112" s="224">
        <f t="shared" si="31"/>
        <v>2030</v>
      </c>
      <c r="K112" s="81"/>
      <c r="L112" s="199">
        <f t="shared" ca="1" si="107"/>
        <v>1.1618960947726835</v>
      </c>
      <c r="M112" s="199"/>
      <c r="N112" s="81"/>
      <c r="O112" s="723">
        <f t="shared" ca="1" si="108"/>
        <v>4.8425000000000002</v>
      </c>
      <c r="P112" s="723">
        <f t="shared" ca="1" si="109"/>
        <v>0.267455</v>
      </c>
      <c r="Q112" s="81">
        <f t="shared" ca="1" si="110"/>
        <v>5.8461805555555557</v>
      </c>
      <c r="R112" s="300"/>
      <c r="S112" s="300"/>
      <c r="T112" s="300"/>
      <c r="U112" s="300"/>
      <c r="V112" s="199">
        <f t="shared" ref="V112" ca="1" si="119">IF(IF(RIGHT(H111,2)="PH",(1-L112)+$W$2,IF(RIGHT(H111,2)="HT",(1-L112)+$W$1,IF(RIGHT(H111,2)="SH",(1-L112)+$W$3,"")))&gt;0,IF(RIGHT(H111,2)="PH",(1-L112)+$W$2,IF(RIGHT(H111,2)="HT",(1-L112)+$W$1,IF(RIGHT(H111,2)="SH",(1-L112)+$W$3,""))),0)</f>
        <v>0</v>
      </c>
      <c r="W112" s="298"/>
      <c r="X112" s="698">
        <f t="shared" ca="1" si="78"/>
        <v>11</v>
      </c>
      <c r="Y112" s="698">
        <f t="shared" ca="1" si="112"/>
        <v>49</v>
      </c>
      <c r="Z112" s="698">
        <f t="shared" ca="1" si="113"/>
        <v>8</v>
      </c>
      <c r="AA112" s="698">
        <f t="shared" ca="1" si="114"/>
        <v>3</v>
      </c>
      <c r="AB112" s="698">
        <f t="shared" ca="1" si="115"/>
        <v>10</v>
      </c>
      <c r="AD112" s="81">
        <v>2030</v>
      </c>
      <c r="AE112" s="81"/>
      <c r="AF112" s="220"/>
    </row>
    <row r="113" spans="2:32">
      <c r="B113" s="719" t="s">
        <v>1008</v>
      </c>
      <c r="C113" s="713"/>
      <c r="D113" s="701"/>
      <c r="E113" s="701"/>
      <c r="F113" s="224" t="s">
        <v>1149</v>
      </c>
      <c r="G113" s="203"/>
      <c r="H113" s="702"/>
      <c r="I113" s="702" t="str">
        <f t="shared" si="21"/>
        <v>INDTWH</v>
      </c>
      <c r="J113" s="224">
        <f t="shared" si="31"/>
        <v>2050</v>
      </c>
      <c r="K113" s="81"/>
      <c r="L113" s="199">
        <f t="shared" ca="1" si="107"/>
        <v>1.1618960947726835</v>
      </c>
      <c r="M113" s="199"/>
      <c r="N113" s="81"/>
      <c r="O113" s="723">
        <f t="shared" ca="1" si="108"/>
        <v>4.3955000000000002</v>
      </c>
      <c r="P113" s="723">
        <f t="shared" ca="1" si="109"/>
        <v>0.25106499999999998</v>
      </c>
      <c r="Q113" s="81">
        <f t="shared" ca="1" si="110"/>
        <v>5.8937777777777782</v>
      </c>
      <c r="R113" s="300"/>
      <c r="S113" s="300"/>
      <c r="T113" s="300"/>
      <c r="U113" s="300"/>
      <c r="V113" s="199">
        <f t="shared" ref="V113" ca="1" si="120">IF(IF(RIGHT(H111,2)="PH",(1-L113)+$W$2,IF(RIGHT(H111,2)="HT",(1-L113)+$W$1,IF(RIGHT(H111,2)="SH",(1-L113)+$W$3,"")))&gt;0,IF(RIGHT(H111,2)="PH",(1-L113)+$W$2,IF(RIGHT(H111,2)="HT",(1-L113)+$W$1,IF(RIGHT(H111,2)="SH",(1-L113)+$W$3,""))),0)</f>
        <v>0</v>
      </c>
      <c r="W113" s="714"/>
      <c r="X113" s="698">
        <f t="shared" ca="1" si="78"/>
        <v>11</v>
      </c>
      <c r="Y113" s="698">
        <f t="shared" ca="1" si="112"/>
        <v>41</v>
      </c>
      <c r="Z113" s="698">
        <f t="shared" ca="1" si="113"/>
        <v>4</v>
      </c>
      <c r="AA113" s="698">
        <f t="shared" ca="1" si="114"/>
        <v>1</v>
      </c>
      <c r="AB113" s="698">
        <f t="shared" ca="1" si="115"/>
        <v>10</v>
      </c>
      <c r="AD113" s="81">
        <v>2050</v>
      </c>
      <c r="AE113" s="81"/>
      <c r="AF113" s="220"/>
    </row>
    <row r="114" spans="2:32">
      <c r="B114" s="718" t="s">
        <v>1014</v>
      </c>
      <c r="C114" s="226"/>
      <c r="D114" s="212" t="str">
        <f>"IND"&amp;RIGHT(H114,4)&amp;RIGHT(G114,3)&amp;"N"&amp;RIGHT(E114,2)</f>
        <v>INDTDPHELCN10</v>
      </c>
      <c r="E114" s="261" t="str">
        <f>"Industrial heating technology "&amp;$AJ$12&amp;" "&amp;RIGHT(H114,2)&amp;" - Direct electric heating - new 10"</f>
        <v>Industrial heating technology Transport PH - Direct electric heating - new 10</v>
      </c>
      <c r="F114" s="224" t="s">
        <v>1149</v>
      </c>
      <c r="G114" s="173" t="s">
        <v>499</v>
      </c>
      <c r="H114" s="174" t="str">
        <f>$AI$13</f>
        <v>ITDPH</v>
      </c>
      <c r="I114" s="174" t="str">
        <f t="shared" si="21"/>
        <v>INDTWH</v>
      </c>
      <c r="J114" s="224">
        <f t="shared" si="31"/>
        <v>2011</v>
      </c>
      <c r="K114" s="299">
        <v>2020</v>
      </c>
      <c r="L114" s="199">
        <f t="shared" ref="L114:L128" ca="1" si="121">VLOOKUP($AD114,INDIRECT("'"&amp;$B114&amp;"'!"&amp;"$P$39:$AD$42"),3,FALSE)</f>
        <v>1</v>
      </c>
      <c r="M114" s="199"/>
      <c r="N114" s="81">
        <f ca="1">VLOOKUP($AD114,INDIRECT("'"&amp;$B114&amp;"'!"&amp;"$P$39:$AD$42"),5,FALSE)</f>
        <v>12.5</v>
      </c>
      <c r="O114" s="723">
        <f t="shared" ref="O114:O128" ca="1" si="122">VLOOKUP($AD114,INDIRECT("'"&amp;$B114&amp;"'!"&amp;"$P$39:$AD$42"),6,FALSE)/1000</f>
        <v>0.44700000000000001</v>
      </c>
      <c r="P114" s="723">
        <f t="shared" ref="P114:P128" ca="1" si="123">VLOOKUP($AD114,INDIRECT("'"&amp;$B114&amp;"'!"&amp;"$P$39:$AD$42"),7,FALSE)/1000</f>
        <v>0</v>
      </c>
      <c r="Q114" s="81">
        <f t="shared" ref="Q114:Q128" ca="1" si="124">VLOOKUP($AD114,INDIRECT("'"&amp;$B114&amp;"'!"&amp;"$P$39:$AD$42"),8,FALSE)</f>
        <v>0.37767361111111114</v>
      </c>
      <c r="R114" s="81">
        <v>3.1536000000000002E-2</v>
      </c>
      <c r="S114" s="199">
        <v>0.5</v>
      </c>
      <c r="T114" s="199">
        <f ca="1">HLOOKUP($S$2,INDIRECT("'"&amp;$B114&amp;"'!"&amp;"$P$6:$AC$19"),IF(H114=$AI$13,6,IF(H114=$AI$14,9,14)),FALSE)</f>
        <v>0.05</v>
      </c>
      <c r="U114" s="772"/>
      <c r="V114" s="199">
        <f t="shared" ref="V114" ca="1" si="125">IF(IF(RIGHT(H114,2)="PH",(1-L114)+$W$2,IF(RIGHT(H114,2)="HT",(1-L114)+$W$1,IF(RIGHT(H114,2)="SH",(1-L114)+$W$3,"")))&gt;0,IF(RIGHT(H114,2)="PH",(1-L114)+$W$2,IF(RIGHT(H114,2)="HT",(1-L114)+$W$1,IF(RIGHT(H114,2)="SH",(1-L114)+$W$3,""))),0)</f>
        <v>0.2</v>
      </c>
      <c r="W114" s="298"/>
      <c r="X114" s="698">
        <f t="shared" ca="1" si="78"/>
        <v>0</v>
      </c>
      <c r="Y114" s="81">
        <f t="shared" ref="Y114:Y128" ca="1" si="126">VLOOKUP($AD114,INDIRECT("'"&amp;$B114&amp;"'!"&amp;"$P$39:$AD$42"),12,FALSE)</f>
        <v>0</v>
      </c>
      <c r="Z114" s="81">
        <f t="shared" ref="Z114:Z128" ca="1" si="127">VLOOKUP($AD114,INDIRECT("'"&amp;$B114&amp;"'!"&amp;"$P$39:$AD$42"),13,FALSE)</f>
        <v>0</v>
      </c>
      <c r="AA114" s="81">
        <f t="shared" ref="AA114:AA128" ca="1" si="128">VLOOKUP($AD114,INDIRECT("'"&amp;$B114&amp;"'!"&amp;"$P$39:$AD$42"),14,FALSE)</f>
        <v>0</v>
      </c>
      <c r="AB114" s="81">
        <f t="shared" ref="AB114:AB128" ca="1" si="129">VLOOKUP($AD114,INDIRECT("'"&amp;$B114&amp;"'!"&amp;"$P$39:$AD$42"),15,FALSE)</f>
        <v>0</v>
      </c>
      <c r="AD114" s="81">
        <v>2020</v>
      </c>
      <c r="AE114" s="81"/>
      <c r="AF114" s="220"/>
    </row>
    <row r="115" spans="2:32">
      <c r="B115" s="718" t="s">
        <v>1014</v>
      </c>
      <c r="C115" s="226"/>
      <c r="D115" s="212"/>
      <c r="E115" s="212"/>
      <c r="F115" s="224" t="s">
        <v>1149</v>
      </c>
      <c r="H115" s="174"/>
      <c r="I115" s="174" t="str">
        <f t="shared" si="21"/>
        <v>INDTWH</v>
      </c>
      <c r="J115" s="224">
        <f t="shared" si="31"/>
        <v>2030</v>
      </c>
      <c r="K115" s="81"/>
      <c r="L115" s="199">
        <f t="shared" ca="1" si="121"/>
        <v>1</v>
      </c>
      <c r="M115" s="199"/>
      <c r="N115" s="81"/>
      <c r="O115" s="723">
        <f t="shared" ca="1" si="122"/>
        <v>0.44700000000000001</v>
      </c>
      <c r="P115" s="723">
        <f t="shared" ca="1" si="123"/>
        <v>0</v>
      </c>
      <c r="Q115" s="81">
        <f t="shared" ca="1" si="124"/>
        <v>0.38802083333333331</v>
      </c>
      <c r="R115" s="300"/>
      <c r="S115" s="300"/>
      <c r="T115" s="300"/>
      <c r="U115" s="300"/>
      <c r="V115" s="199">
        <f t="shared" ref="V115" ca="1" si="130">IF(IF(RIGHT(H114,2)="PH",(1-L115)+$W$2,IF(RIGHT(H114,2)="HT",(1-L115)+$W$1,IF(RIGHT(H114,2)="SH",(1-L115)+$W$3,"")))&gt;0,IF(RIGHT(H114,2)="PH",(1-L115)+$W$2,IF(RIGHT(H114,2)="HT",(1-L115)+$W$1,IF(RIGHT(H114,2)="SH",(1-L115)+$W$3,""))),0)</f>
        <v>0.2</v>
      </c>
      <c r="W115" s="298"/>
      <c r="X115" s="698">
        <f t="shared" ca="1" si="78"/>
        <v>0</v>
      </c>
      <c r="Y115" s="81">
        <f t="shared" ca="1" si="126"/>
        <v>0</v>
      </c>
      <c r="Z115" s="81">
        <f t="shared" ca="1" si="127"/>
        <v>0</v>
      </c>
      <c r="AA115" s="81">
        <f t="shared" ca="1" si="128"/>
        <v>0</v>
      </c>
      <c r="AB115" s="81">
        <f t="shared" ca="1" si="129"/>
        <v>0</v>
      </c>
      <c r="AD115" s="81">
        <v>2030</v>
      </c>
      <c r="AE115" s="81"/>
      <c r="AF115" s="220"/>
    </row>
    <row r="116" spans="2:32">
      <c r="B116" s="718" t="s">
        <v>1014</v>
      </c>
      <c r="C116" s="226"/>
      <c r="D116" s="212"/>
      <c r="E116" s="212"/>
      <c r="F116" s="224" t="s">
        <v>1149</v>
      </c>
      <c r="H116" s="174"/>
      <c r="I116" s="174" t="str">
        <f t="shared" si="21"/>
        <v>INDTWH</v>
      </c>
      <c r="J116" s="224">
        <f t="shared" si="31"/>
        <v>2050</v>
      </c>
      <c r="K116" s="81"/>
      <c r="L116" s="199">
        <f t="shared" ca="1" si="121"/>
        <v>1</v>
      </c>
      <c r="M116" s="199"/>
      <c r="N116" s="81"/>
      <c r="O116" s="723">
        <f t="shared" ca="1" si="122"/>
        <v>0.44700000000000001</v>
      </c>
      <c r="P116" s="723">
        <f t="shared" ca="1" si="123"/>
        <v>0</v>
      </c>
      <c r="Q116" s="81">
        <f t="shared" ca="1" si="124"/>
        <v>0.39319444444444446</v>
      </c>
      <c r="R116" s="300"/>
      <c r="S116" s="300"/>
      <c r="T116" s="300"/>
      <c r="U116" s="300"/>
      <c r="V116" s="199">
        <f t="shared" ref="V116" ca="1" si="131">IF(IF(RIGHT(H114,2)="PH",(1-L116)+$W$2,IF(RIGHT(H114,2)="HT",(1-L116)+$W$1,IF(RIGHT(H114,2)="SH",(1-L116)+$W$3,"")))&gt;0,IF(RIGHT(H114,2)="PH",(1-L116)+$W$2,IF(RIGHT(H114,2)="HT",(1-L116)+$W$1,IF(RIGHT(H114,2)="SH",(1-L116)+$W$3,""))),0)</f>
        <v>0.2</v>
      </c>
      <c r="W116" s="298"/>
      <c r="X116" s="698">
        <f t="shared" ca="1" si="78"/>
        <v>0</v>
      </c>
      <c r="Y116" s="81">
        <f t="shared" ca="1" si="126"/>
        <v>0</v>
      </c>
      <c r="Z116" s="81">
        <f t="shared" ca="1" si="127"/>
        <v>0</v>
      </c>
      <c r="AA116" s="81">
        <f t="shared" ca="1" si="128"/>
        <v>0</v>
      </c>
      <c r="AB116" s="81">
        <f t="shared" ca="1" si="129"/>
        <v>0</v>
      </c>
      <c r="AC116" s="203"/>
      <c r="AD116" s="81">
        <v>2050</v>
      </c>
      <c r="AE116" s="81"/>
      <c r="AF116" s="705"/>
    </row>
    <row r="117" spans="2:32">
      <c r="B117" s="718" t="s">
        <v>1014</v>
      </c>
      <c r="C117" s="226"/>
      <c r="D117" s="212" t="str">
        <f>"IND"&amp;RIGHT(H117,4)&amp;RIGHT(G117,3)&amp;"N"&amp;RIGHT(E117,2)</f>
        <v>INDTDPHELCN10</v>
      </c>
      <c r="E117" s="261" t="str">
        <f>"Industrial heating technology "&amp;$AJ$12&amp;" "&amp;RIGHT(H117,2)&amp;" - Direct electric heating - new 10"</f>
        <v>Industrial heating technology Transport PH - Direct electric heating - new 10</v>
      </c>
      <c r="F117" s="224" t="s">
        <v>1149</v>
      </c>
      <c r="G117" s="173" t="s">
        <v>499</v>
      </c>
      <c r="H117" s="174" t="str">
        <f>$AI$14</f>
        <v>ITDPH</v>
      </c>
      <c r="I117" s="174" t="str">
        <f t="shared" si="21"/>
        <v>INDTWH</v>
      </c>
      <c r="J117" s="224">
        <f t="shared" si="31"/>
        <v>2011</v>
      </c>
      <c r="K117" s="299">
        <v>2020</v>
      </c>
      <c r="L117" s="199">
        <f t="shared" ca="1" si="121"/>
        <v>1</v>
      </c>
      <c r="M117" s="199"/>
      <c r="N117" s="81">
        <f ca="1">VLOOKUP($AD117,INDIRECT("'"&amp;$B117&amp;"'!"&amp;"$P$39:$AD$42"),5,FALSE)</f>
        <v>12.5</v>
      </c>
      <c r="O117" s="723">
        <f t="shared" ca="1" si="122"/>
        <v>0.44700000000000001</v>
      </c>
      <c r="P117" s="723">
        <f t="shared" ca="1" si="123"/>
        <v>0</v>
      </c>
      <c r="Q117" s="81">
        <f t="shared" ca="1" si="124"/>
        <v>0.37767361111111114</v>
      </c>
      <c r="R117" s="81">
        <v>3.1536000000000002E-2</v>
      </c>
      <c r="S117" s="199">
        <v>0.5</v>
      </c>
      <c r="T117" s="199">
        <f ca="1">HLOOKUP($S$2,INDIRECT("'"&amp;$B117&amp;"'!"&amp;"$P$6:$AC$19"),IF(H117=$AI$13,6,IF(H117=$AI$14,9,14)),FALSE)</f>
        <v>0.05</v>
      </c>
      <c r="U117" s="772"/>
      <c r="V117" s="199">
        <f t="shared" ref="V117" ca="1" si="132">IF(IF(RIGHT(H117,2)="PH",(1-L117)+$W$2,IF(RIGHT(H117,2)="HT",(1-L117)+$W$1,IF(RIGHT(H117,2)="SH",(1-L117)+$W$3,"")))&gt;0,IF(RIGHT(H117,2)="PH",(1-L117)+$W$2,IF(RIGHT(H117,2)="HT",(1-L117)+$W$1,IF(RIGHT(H117,2)="SH",(1-L117)+$W$3,""))),0)</f>
        <v>0.2</v>
      </c>
      <c r="W117" s="298"/>
      <c r="X117" s="698">
        <f t="shared" ca="1" si="78"/>
        <v>0</v>
      </c>
      <c r="Y117" s="81">
        <f t="shared" ca="1" si="126"/>
        <v>0</v>
      </c>
      <c r="Z117" s="81">
        <f t="shared" ca="1" si="127"/>
        <v>0</v>
      </c>
      <c r="AA117" s="81">
        <f t="shared" ca="1" si="128"/>
        <v>0</v>
      </c>
      <c r="AB117" s="81">
        <f t="shared" ca="1" si="129"/>
        <v>0</v>
      </c>
      <c r="AD117" s="81">
        <v>2020</v>
      </c>
      <c r="AE117" s="299"/>
      <c r="AF117" s="220"/>
    </row>
    <row r="118" spans="2:32">
      <c r="B118" s="718" t="s">
        <v>1014</v>
      </c>
      <c r="C118" s="226"/>
      <c r="D118" s="212"/>
      <c r="E118" s="212"/>
      <c r="F118" s="224" t="s">
        <v>1149</v>
      </c>
      <c r="H118" s="174"/>
      <c r="I118" s="174" t="str">
        <f t="shared" si="21"/>
        <v>INDTWH</v>
      </c>
      <c r="J118" s="224">
        <f t="shared" si="31"/>
        <v>2030</v>
      </c>
      <c r="K118" s="81"/>
      <c r="L118" s="199">
        <f t="shared" ca="1" si="121"/>
        <v>1</v>
      </c>
      <c r="M118" s="199"/>
      <c r="N118" s="81"/>
      <c r="O118" s="723">
        <f t="shared" ca="1" si="122"/>
        <v>0.44700000000000001</v>
      </c>
      <c r="P118" s="723">
        <f t="shared" ca="1" si="123"/>
        <v>0</v>
      </c>
      <c r="Q118" s="81">
        <f t="shared" ca="1" si="124"/>
        <v>0.38802083333333331</v>
      </c>
      <c r="R118" s="300"/>
      <c r="S118" s="300"/>
      <c r="T118" s="300"/>
      <c r="U118" s="300"/>
      <c r="V118" s="199">
        <f t="shared" ref="V118" ca="1" si="133">IF(IF(RIGHT(H117,2)="PH",(1-L118)+$W$2,IF(RIGHT(H117,2)="HT",(1-L118)+$W$1,IF(RIGHT(H117,2)="SH",(1-L118)+$W$3,"")))&gt;0,IF(RIGHT(H117,2)="PH",(1-L118)+$W$2,IF(RIGHT(H117,2)="HT",(1-L118)+$W$1,IF(RIGHT(H117,2)="SH",(1-L118)+$W$3,""))),0)</f>
        <v>0.2</v>
      </c>
      <c r="W118" s="298"/>
      <c r="X118" s="698">
        <f t="shared" ca="1" si="78"/>
        <v>0</v>
      </c>
      <c r="Y118" s="81">
        <f t="shared" ca="1" si="126"/>
        <v>0</v>
      </c>
      <c r="Z118" s="81">
        <f t="shared" ca="1" si="127"/>
        <v>0</v>
      </c>
      <c r="AA118" s="81">
        <f t="shared" ca="1" si="128"/>
        <v>0</v>
      </c>
      <c r="AB118" s="81">
        <f t="shared" ca="1" si="129"/>
        <v>0</v>
      </c>
      <c r="AD118" s="81">
        <v>2030</v>
      </c>
      <c r="AE118" s="81"/>
      <c r="AF118" s="220"/>
    </row>
    <row r="119" spans="2:32">
      <c r="B119" s="719" t="s">
        <v>1014</v>
      </c>
      <c r="C119" s="713"/>
      <c r="D119" s="701"/>
      <c r="E119" s="701"/>
      <c r="F119" s="224" t="s">
        <v>1149</v>
      </c>
      <c r="G119" s="203"/>
      <c r="H119" s="702"/>
      <c r="I119" s="702" t="str">
        <f t="shared" si="21"/>
        <v>INDTWH</v>
      </c>
      <c r="J119" s="224">
        <f t="shared" si="31"/>
        <v>2050</v>
      </c>
      <c r="K119" s="81"/>
      <c r="L119" s="199">
        <f t="shared" ca="1" si="121"/>
        <v>1</v>
      </c>
      <c r="M119" s="199"/>
      <c r="N119" s="81"/>
      <c r="O119" s="723">
        <f t="shared" ca="1" si="122"/>
        <v>0.44700000000000001</v>
      </c>
      <c r="P119" s="723">
        <f t="shared" ca="1" si="123"/>
        <v>0</v>
      </c>
      <c r="Q119" s="81">
        <f t="shared" ca="1" si="124"/>
        <v>0.39319444444444446</v>
      </c>
      <c r="R119" s="703"/>
      <c r="S119" s="703"/>
      <c r="T119" s="703"/>
      <c r="U119" s="703"/>
      <c r="V119" s="199">
        <f t="shared" ref="V119" ca="1" si="134">IF(IF(RIGHT(H117,2)="PH",(1-L119)+$W$2,IF(RIGHT(H117,2)="HT",(1-L119)+$W$1,IF(RIGHT(H117,2)="SH",(1-L119)+$W$3,"")))&gt;0,IF(RIGHT(H117,2)="PH",(1-L119)+$W$2,IF(RIGHT(H117,2)="HT",(1-L119)+$W$1,IF(RIGHT(H117,2)="SH",(1-L119)+$W$3,""))),0)</f>
        <v>0.2</v>
      </c>
      <c r="W119" s="704"/>
      <c r="X119" s="698">
        <f t="shared" ca="1" si="78"/>
        <v>0</v>
      </c>
      <c r="Y119" s="81">
        <f t="shared" ca="1" si="126"/>
        <v>0</v>
      </c>
      <c r="Z119" s="81">
        <f t="shared" ca="1" si="127"/>
        <v>0</v>
      </c>
      <c r="AA119" s="81">
        <f t="shared" ca="1" si="128"/>
        <v>0</v>
      </c>
      <c r="AB119" s="81">
        <f t="shared" ca="1" si="129"/>
        <v>0</v>
      </c>
      <c r="AD119" s="81">
        <v>2050</v>
      </c>
      <c r="AE119" s="81"/>
      <c r="AF119" s="220"/>
    </row>
    <row r="120" spans="2:32">
      <c r="B120" s="718" t="s">
        <v>1009</v>
      </c>
      <c r="C120" s="226"/>
      <c r="D120" s="212" t="str">
        <f>"IND"&amp;RIGHT(H120,4)&amp;"DSL"&amp;"N"&amp;RIGHT(E120,1)</f>
        <v>INDTDPHDSLN1</v>
      </c>
      <c r="E120" s="261" t="str">
        <f>"Industrial heating technology "&amp;$AJ$12&amp;" "&amp;RIGHT(H120,2)&amp;" - Oil boiler (Steam) - new 1"</f>
        <v>Industrial heating technology Transport PH - Oil boiler (Steam) - new 1</v>
      </c>
      <c r="F120" s="224" t="s">
        <v>1149</v>
      </c>
      <c r="G120" s="173" t="s">
        <v>2081</v>
      </c>
      <c r="H120" s="174" t="str">
        <f>$AI$13</f>
        <v>ITDPH</v>
      </c>
      <c r="I120" s="174" t="str">
        <f t="shared" si="21"/>
        <v>INDTWH</v>
      </c>
      <c r="J120" s="224">
        <f t="shared" si="31"/>
        <v>2011</v>
      </c>
      <c r="K120" s="299">
        <v>2025</v>
      </c>
      <c r="L120" s="199">
        <f t="shared" ca="1" si="121"/>
        <v>0.94</v>
      </c>
      <c r="M120" s="699"/>
      <c r="N120" s="299">
        <f ca="1">VLOOKUP($AD120,INDIRECT("'"&amp;$B120&amp;"'!"&amp;"$P$39:$AD$42"),5,FALSE)</f>
        <v>25</v>
      </c>
      <c r="O120" s="725">
        <f t="shared" ca="1" si="122"/>
        <v>0.40975</v>
      </c>
      <c r="P120" s="725">
        <f t="shared" ca="1" si="123"/>
        <v>1.341E-2</v>
      </c>
      <c r="Q120" s="299">
        <f t="shared" ca="1" si="124"/>
        <v>2.0694444444444446</v>
      </c>
      <c r="R120" s="299">
        <v>3.1536000000000002E-2</v>
      </c>
      <c r="S120" s="699">
        <v>0.5</v>
      </c>
      <c r="T120" s="699">
        <f ca="1">HLOOKUP($T$2,INDIRECT("'"&amp;$B120&amp;"'!"&amp;"$P$6:$AC$19"),IF(H120=$AI$13,6,IF(H120=$AI$14,9,14)),FALSE)</f>
        <v>1</v>
      </c>
      <c r="U120" s="772"/>
      <c r="V120" s="199">
        <f t="shared" ref="V120" ca="1" si="135">IF(IF(RIGHT(H120,2)="PH",(1-L120)+$W$2,IF(RIGHT(H120,2)="HT",(1-L120)+$W$1,IF(RIGHT(H120,2)="SH",(1-L120)+$W$3,"")))&gt;0,IF(RIGHT(H120,2)="PH",(1-L120)+$W$2,IF(RIGHT(H120,2)="HT",(1-L120)+$W$1,IF(RIGHT(H120,2)="SH",(1-L120)+$W$3,""))),0)</f>
        <v>0.26000000000000006</v>
      </c>
      <c r="W120" s="298"/>
      <c r="X120" s="698">
        <f t="shared" ca="1" si="78"/>
        <v>0.5</v>
      </c>
      <c r="Y120" s="299">
        <f t="shared" ca="1" si="126"/>
        <v>25</v>
      </c>
      <c r="Z120" s="299">
        <f t="shared" ca="1" si="127"/>
        <v>0</v>
      </c>
      <c r="AA120" s="299">
        <f t="shared" ca="1" si="128"/>
        <v>0</v>
      </c>
      <c r="AB120" s="299">
        <f t="shared" ca="1" si="129"/>
        <v>0.1</v>
      </c>
      <c r="AD120" s="299">
        <v>2020</v>
      </c>
      <c r="AE120" s="81"/>
      <c r="AF120" s="220"/>
    </row>
    <row r="121" spans="2:32">
      <c r="B121" s="718" t="s">
        <v>1009</v>
      </c>
      <c r="C121" s="226"/>
      <c r="D121" s="212"/>
      <c r="E121" s="212"/>
      <c r="F121" s="224" t="s">
        <v>1149</v>
      </c>
      <c r="H121" s="174"/>
      <c r="I121" s="174" t="str">
        <f t="shared" si="21"/>
        <v>INDTWH</v>
      </c>
      <c r="J121" s="224">
        <f t="shared" si="31"/>
        <v>2030</v>
      </c>
      <c r="K121" s="81"/>
      <c r="L121" s="199">
        <f t="shared" ca="1" si="121"/>
        <v>0.95</v>
      </c>
      <c r="M121" s="199"/>
      <c r="N121" s="81"/>
      <c r="O121" s="723">
        <f t="shared" ca="1" si="122"/>
        <v>0.3469940346244772</v>
      </c>
      <c r="P121" s="723">
        <f t="shared" ca="1" si="123"/>
        <v>1.2664999999999999E-2</v>
      </c>
      <c r="Q121" s="81">
        <f t="shared" ca="1" si="124"/>
        <v>1.8625</v>
      </c>
      <c r="R121" s="300"/>
      <c r="S121" s="300"/>
      <c r="T121" s="300"/>
      <c r="U121" s="300"/>
      <c r="V121" s="199">
        <f t="shared" ref="V121" ca="1" si="136">IF(IF(RIGHT(H120,2)="PH",(1-L121)+$W$2,IF(RIGHT(H120,2)="HT",(1-L121)+$W$1,IF(RIGHT(H120,2)="SH",(1-L121)+$W$3,"")))&gt;0,IF(RIGHT(H120,2)="PH",(1-L121)+$W$2,IF(RIGHT(H120,2)="HT",(1-L121)+$W$1,IF(RIGHT(H120,2)="SH",(1-L121)+$W$3,""))),0)</f>
        <v>0.25000000000000006</v>
      </c>
      <c r="W121" s="298"/>
      <c r="X121" s="698">
        <f t="shared" ca="1" si="78"/>
        <v>0.5</v>
      </c>
      <c r="Y121" s="81">
        <f t="shared" ca="1" si="126"/>
        <v>20</v>
      </c>
      <c r="Z121" s="81">
        <f t="shared" ca="1" si="127"/>
        <v>0</v>
      </c>
      <c r="AA121" s="81">
        <f t="shared" ca="1" si="128"/>
        <v>0</v>
      </c>
      <c r="AB121" s="81">
        <f t="shared" ca="1" si="129"/>
        <v>0.1</v>
      </c>
      <c r="AD121" s="81">
        <v>2030</v>
      </c>
      <c r="AE121" s="81"/>
      <c r="AF121" s="220"/>
    </row>
    <row r="122" spans="2:32">
      <c r="B122" s="718" t="s">
        <v>1009</v>
      </c>
      <c r="C122" s="226"/>
      <c r="D122" s="212"/>
      <c r="E122" s="212"/>
      <c r="F122" s="224" t="s">
        <v>1149</v>
      </c>
      <c r="H122" s="174"/>
      <c r="I122" s="174" t="str">
        <f t="shared" si="21"/>
        <v>INDTWH</v>
      </c>
      <c r="J122" s="224">
        <f t="shared" si="31"/>
        <v>2050</v>
      </c>
      <c r="K122" s="81"/>
      <c r="L122" s="199">
        <f t="shared" ca="1" si="121"/>
        <v>0.96</v>
      </c>
      <c r="M122" s="199"/>
      <c r="N122" s="81"/>
      <c r="O122" s="723">
        <f t="shared" ca="1" si="122"/>
        <v>0.32813985758696651</v>
      </c>
      <c r="P122" s="723">
        <f t="shared" ca="1" si="123"/>
        <v>1.1175000000000001E-2</v>
      </c>
      <c r="Q122" s="81">
        <f t="shared" ca="1" si="124"/>
        <v>1.8625</v>
      </c>
      <c r="R122" s="300"/>
      <c r="S122" s="300"/>
      <c r="T122" s="300"/>
      <c r="U122" s="300"/>
      <c r="V122" s="199">
        <f t="shared" ref="V122" ca="1" si="137">IF(IF(RIGHT(H120,2)="PH",(1-L122)+$W$2,IF(RIGHT(H120,2)="HT",(1-L122)+$W$1,IF(RIGHT(H120,2)="SH",(1-L122)+$W$3,"")))&gt;0,IF(RIGHT(H120,2)="PH",(1-L122)+$W$2,IF(RIGHT(H120,2)="HT",(1-L122)+$W$1,IF(RIGHT(H120,2)="SH",(1-L122)+$W$3,""))),0)</f>
        <v>0.24000000000000005</v>
      </c>
      <c r="W122" s="298"/>
      <c r="X122" s="698">
        <f t="shared" ca="1" si="78"/>
        <v>0.5</v>
      </c>
      <c r="Y122" s="81">
        <f t="shared" ca="1" si="126"/>
        <v>15</v>
      </c>
      <c r="Z122" s="81">
        <f t="shared" ca="1" si="127"/>
        <v>0</v>
      </c>
      <c r="AA122" s="81">
        <f t="shared" ca="1" si="128"/>
        <v>0</v>
      </c>
      <c r="AB122" s="81">
        <f t="shared" ca="1" si="129"/>
        <v>0.1</v>
      </c>
      <c r="AD122" s="81">
        <v>2050</v>
      </c>
      <c r="AE122" s="81"/>
      <c r="AF122" s="220"/>
    </row>
    <row r="123" spans="2:32">
      <c r="B123" s="718" t="s">
        <v>1009</v>
      </c>
      <c r="C123" s="226"/>
      <c r="D123" s="212" t="str">
        <f>"IND"&amp;RIGHT(H123,4)&amp;"DSL"&amp;"N"&amp;RIGHT(E123,1)</f>
        <v>INDTDPHDSLN1</v>
      </c>
      <c r="E123" s="261" t="str">
        <f>"Industrial heating technology "&amp;$AJ$12&amp;" "&amp;RIGHT(H123,2)&amp;" - Oil boiler (Steam) - new 1"</f>
        <v>Industrial heating technology Transport PH - Oil boiler (Steam) - new 1</v>
      </c>
      <c r="F123" s="224" t="s">
        <v>1149</v>
      </c>
      <c r="G123" s="173" t="s">
        <v>2081</v>
      </c>
      <c r="H123" s="174" t="str">
        <f>$AI$14</f>
        <v>ITDPH</v>
      </c>
      <c r="I123" s="174" t="str">
        <f t="shared" si="21"/>
        <v>INDTWH</v>
      </c>
      <c r="J123" s="224">
        <f t="shared" si="31"/>
        <v>2011</v>
      </c>
      <c r="K123" s="299">
        <v>2025</v>
      </c>
      <c r="L123" s="199">
        <f t="shared" ca="1" si="121"/>
        <v>0.94</v>
      </c>
      <c r="M123" s="199"/>
      <c r="N123" s="81">
        <f ca="1">VLOOKUP($AD123,INDIRECT("'"&amp;$B123&amp;"'!"&amp;"$P$39:$AD$42"),5,FALSE)</f>
        <v>25</v>
      </c>
      <c r="O123" s="723">
        <f t="shared" ca="1" si="122"/>
        <v>0.40975</v>
      </c>
      <c r="P123" s="723">
        <f t="shared" ca="1" si="123"/>
        <v>1.341E-2</v>
      </c>
      <c r="Q123" s="81">
        <f t="shared" ca="1" si="124"/>
        <v>2.0694444444444446</v>
      </c>
      <c r="R123" s="81">
        <v>3.1536000000000002E-2</v>
      </c>
      <c r="S123" s="199">
        <v>0.5</v>
      </c>
      <c r="T123" s="199">
        <f ca="1">HLOOKUP($T$2,INDIRECT("'"&amp;$B123&amp;"'!"&amp;"$P$6:$AC$19"),IF(H123=$AI$13,6,IF(H123=$AI$14,9,14)),FALSE)</f>
        <v>1</v>
      </c>
      <c r="U123" s="772"/>
      <c r="V123" s="199">
        <f t="shared" ref="V123" ca="1" si="138">IF(IF(RIGHT(H123,2)="PH",(1-L123)+$W$2,IF(RIGHT(H123,2)="HT",(1-L123)+$W$1,IF(RIGHT(H123,2)="SH",(1-L123)+$W$3,"")))&gt;0,IF(RIGHT(H123,2)="PH",(1-L123)+$W$2,IF(RIGHT(H123,2)="HT",(1-L123)+$W$1,IF(RIGHT(H123,2)="SH",(1-L123)+$W$3,""))),0)</f>
        <v>0.26000000000000006</v>
      </c>
      <c r="W123" s="298"/>
      <c r="X123" s="698">
        <f t="shared" ca="1" si="78"/>
        <v>0.5</v>
      </c>
      <c r="Y123" s="81">
        <f t="shared" ca="1" si="126"/>
        <v>25</v>
      </c>
      <c r="Z123" s="81">
        <f t="shared" ca="1" si="127"/>
        <v>0</v>
      </c>
      <c r="AA123" s="81">
        <f t="shared" ca="1" si="128"/>
        <v>0</v>
      </c>
      <c r="AB123" s="81">
        <f t="shared" ca="1" si="129"/>
        <v>0.1</v>
      </c>
      <c r="AD123" s="81">
        <v>2020</v>
      </c>
      <c r="AE123" s="81"/>
      <c r="AF123" s="220"/>
    </row>
    <row r="124" spans="2:32">
      <c r="B124" s="718" t="s">
        <v>1009</v>
      </c>
      <c r="C124" s="226"/>
      <c r="D124" s="212"/>
      <c r="E124" s="212"/>
      <c r="F124" s="224" t="s">
        <v>1149</v>
      </c>
      <c r="H124" s="174"/>
      <c r="I124" s="174" t="str">
        <f t="shared" si="21"/>
        <v>INDTWH</v>
      </c>
      <c r="J124" s="224">
        <f t="shared" si="31"/>
        <v>2030</v>
      </c>
      <c r="K124" s="81"/>
      <c r="L124" s="199">
        <f t="shared" ca="1" si="121"/>
        <v>0.95</v>
      </c>
      <c r="M124" s="199"/>
      <c r="N124" s="81"/>
      <c r="O124" s="723">
        <f t="shared" ca="1" si="122"/>
        <v>0.3469940346244772</v>
      </c>
      <c r="P124" s="723">
        <f t="shared" ca="1" si="123"/>
        <v>1.2664999999999999E-2</v>
      </c>
      <c r="Q124" s="81">
        <f t="shared" ca="1" si="124"/>
        <v>1.8625</v>
      </c>
      <c r="R124" s="300"/>
      <c r="S124" s="300"/>
      <c r="T124" s="300"/>
      <c r="U124" s="300"/>
      <c r="V124" s="199">
        <f t="shared" ref="V124" ca="1" si="139">IF(IF(RIGHT(H123,2)="PH",(1-L124)+$W$2,IF(RIGHT(H123,2)="HT",(1-L124)+$W$1,IF(RIGHT(H123,2)="SH",(1-L124)+$W$3,"")))&gt;0,IF(RIGHT(H123,2)="PH",(1-L124)+$W$2,IF(RIGHT(H123,2)="HT",(1-L124)+$W$1,IF(RIGHT(H123,2)="SH",(1-L124)+$W$3,""))),0)</f>
        <v>0.25000000000000006</v>
      </c>
      <c r="W124" s="298"/>
      <c r="X124" s="698">
        <f t="shared" ca="1" si="78"/>
        <v>0.5</v>
      </c>
      <c r="Y124" s="81">
        <f t="shared" ca="1" si="126"/>
        <v>20</v>
      </c>
      <c r="Z124" s="81">
        <f t="shared" ca="1" si="127"/>
        <v>0</v>
      </c>
      <c r="AA124" s="81">
        <f t="shared" ca="1" si="128"/>
        <v>0</v>
      </c>
      <c r="AB124" s="81">
        <f t="shared" ca="1" si="129"/>
        <v>0.1</v>
      </c>
      <c r="AD124" s="81">
        <v>2030</v>
      </c>
      <c r="AE124" s="81"/>
      <c r="AF124" s="220"/>
    </row>
    <row r="125" spans="2:32">
      <c r="B125" s="718" t="s">
        <v>1009</v>
      </c>
      <c r="C125" s="226"/>
      <c r="D125" s="212"/>
      <c r="E125" s="212"/>
      <c r="F125" s="224" t="s">
        <v>1149</v>
      </c>
      <c r="H125" s="174"/>
      <c r="I125" s="174" t="str">
        <f t="shared" si="21"/>
        <v>INDTWH</v>
      </c>
      <c r="J125" s="224">
        <f t="shared" si="31"/>
        <v>2050</v>
      </c>
      <c r="K125" s="81"/>
      <c r="L125" s="199">
        <f t="shared" ca="1" si="121"/>
        <v>0.96</v>
      </c>
      <c r="M125" s="199"/>
      <c r="N125" s="81"/>
      <c r="O125" s="723">
        <f t="shared" ca="1" si="122"/>
        <v>0.32813985758696651</v>
      </c>
      <c r="P125" s="723">
        <f t="shared" ca="1" si="123"/>
        <v>1.1175000000000001E-2</v>
      </c>
      <c r="Q125" s="81">
        <f t="shared" ca="1" si="124"/>
        <v>1.8625</v>
      </c>
      <c r="R125" s="300"/>
      <c r="S125" s="300"/>
      <c r="T125" s="300"/>
      <c r="U125" s="300"/>
      <c r="V125" s="199">
        <f t="shared" ref="V125" ca="1" si="140">IF(IF(RIGHT(H123,2)="PH",(1-L125)+$W$2,IF(RIGHT(H123,2)="HT",(1-L125)+$W$1,IF(RIGHT(H123,2)="SH",(1-L125)+$W$3,"")))&gt;0,IF(RIGHT(H123,2)="PH",(1-L125)+$W$2,IF(RIGHT(H123,2)="HT",(1-L125)+$W$1,IF(RIGHT(H123,2)="SH",(1-L125)+$W$3,""))),0)</f>
        <v>0.24000000000000005</v>
      </c>
      <c r="W125" s="298"/>
      <c r="X125" s="698">
        <f t="shared" ca="1" si="78"/>
        <v>0.5</v>
      </c>
      <c r="Y125" s="81">
        <f t="shared" ca="1" si="126"/>
        <v>15</v>
      </c>
      <c r="Z125" s="81">
        <f t="shared" ca="1" si="127"/>
        <v>0</v>
      </c>
      <c r="AA125" s="81">
        <f t="shared" ca="1" si="128"/>
        <v>0</v>
      </c>
      <c r="AB125" s="81">
        <f t="shared" ca="1" si="129"/>
        <v>0.1</v>
      </c>
      <c r="AC125" s="203"/>
      <c r="AD125" s="81">
        <v>2050</v>
      </c>
      <c r="AE125" s="81"/>
      <c r="AF125" s="705"/>
    </row>
    <row r="126" spans="2:32">
      <c r="B126" s="718" t="s">
        <v>1009</v>
      </c>
      <c r="C126" s="226"/>
      <c r="D126" s="212" t="str">
        <f>"IND"&amp;RIGHT(H126,4)&amp;"DSL"&amp;"N"&amp;RIGHT(E126,1)</f>
        <v>INDTDSHDSLN1</v>
      </c>
      <c r="E126" s="261" t="str">
        <f>"Industrial heating technology "&amp;$AJ$12&amp;" "&amp;RIGHT(H126,2)&amp;" - Oil boiler (Steam) - new 1"</f>
        <v>Industrial heating technology Transport SH - Oil boiler (Steam) - new 1</v>
      </c>
      <c r="F126" s="224" t="s">
        <v>1149</v>
      </c>
      <c r="G126" s="173" t="s">
        <v>2081</v>
      </c>
      <c r="H126" s="174" t="str">
        <f>$AI$15</f>
        <v>ITDSH</v>
      </c>
      <c r="I126" s="174" t="str">
        <f t="shared" si="21"/>
        <v>INDTWH</v>
      </c>
      <c r="J126" s="224">
        <f t="shared" si="31"/>
        <v>2011</v>
      </c>
      <c r="K126" s="299">
        <v>2025</v>
      </c>
      <c r="L126" s="199">
        <f t="shared" ca="1" si="121"/>
        <v>0.94</v>
      </c>
      <c r="M126" s="199"/>
      <c r="N126" s="81">
        <f ca="1">VLOOKUP($AD126,INDIRECT("'"&amp;$B126&amp;"'!"&amp;"$P$39:$AD$42"),5,FALSE)</f>
        <v>25</v>
      </c>
      <c r="O126" s="723">
        <f t="shared" ca="1" si="122"/>
        <v>0.40975</v>
      </c>
      <c r="P126" s="723">
        <f t="shared" ca="1" si="123"/>
        <v>1.341E-2</v>
      </c>
      <c r="Q126" s="81">
        <f t="shared" ca="1" si="124"/>
        <v>2.0694444444444446</v>
      </c>
      <c r="R126" s="81">
        <v>3.1536000000000002E-2</v>
      </c>
      <c r="S126" s="199">
        <v>0.5</v>
      </c>
      <c r="T126" s="199">
        <f ca="1">HLOOKUP($T$2,INDIRECT("'"&amp;$B126&amp;"'!"&amp;"$P$6:$AC$19"),IF(H126=$AI$13,6,IF(H126=$AI$14,9,14)),FALSE)</f>
        <v>1</v>
      </c>
      <c r="U126" s="772"/>
      <c r="V126" s="199">
        <f t="shared" ref="V126" ca="1" si="141">IF(IF(RIGHT(H126,2)="PH",(1-L126)+$W$2,IF(RIGHT(H126,2)="HT",(1-L126)+$W$1,IF(RIGHT(H126,2)="SH",(1-L126)+$W$3,"")))&gt;0,IF(RIGHT(H126,2)="PH",(1-L126)+$W$2,IF(RIGHT(H126,2)="HT",(1-L126)+$W$1,IF(RIGHT(H126,2)="SH",(1-L126)+$W$3,""))),0)</f>
        <v>6.0000000000000053E-2</v>
      </c>
      <c r="W126" s="298"/>
      <c r="X126" s="698">
        <f t="shared" ca="1" si="78"/>
        <v>0.5</v>
      </c>
      <c r="Y126" s="81">
        <f t="shared" ca="1" si="126"/>
        <v>25</v>
      </c>
      <c r="Z126" s="81">
        <f t="shared" ca="1" si="127"/>
        <v>0</v>
      </c>
      <c r="AA126" s="81">
        <f t="shared" ca="1" si="128"/>
        <v>0</v>
      </c>
      <c r="AB126" s="81">
        <f t="shared" ca="1" si="129"/>
        <v>0.1</v>
      </c>
      <c r="AC126" s="296"/>
      <c r="AD126" s="81">
        <v>2020</v>
      </c>
      <c r="AE126" s="81"/>
      <c r="AF126" s="710"/>
    </row>
    <row r="127" spans="2:32">
      <c r="B127" s="718" t="s">
        <v>1009</v>
      </c>
      <c r="C127" s="226"/>
      <c r="D127" s="212"/>
      <c r="E127" s="212"/>
      <c r="F127" s="224" t="s">
        <v>1149</v>
      </c>
      <c r="H127" s="174"/>
      <c r="I127" s="174" t="str">
        <f t="shared" ref="I127:I182" si="142">$AI$20</f>
        <v>INDTWH</v>
      </c>
      <c r="J127" s="224">
        <f t="shared" si="31"/>
        <v>2030</v>
      </c>
      <c r="K127" s="81"/>
      <c r="L127" s="199">
        <f t="shared" ca="1" si="121"/>
        <v>0.95</v>
      </c>
      <c r="M127" s="199"/>
      <c r="N127" s="81"/>
      <c r="O127" s="723">
        <f t="shared" ca="1" si="122"/>
        <v>0.3469940346244772</v>
      </c>
      <c r="P127" s="723">
        <f t="shared" ca="1" si="123"/>
        <v>1.2664999999999999E-2</v>
      </c>
      <c r="Q127" s="81">
        <f t="shared" ca="1" si="124"/>
        <v>1.8625</v>
      </c>
      <c r="R127" s="300"/>
      <c r="S127" s="300"/>
      <c r="T127" s="300"/>
      <c r="U127" s="300"/>
      <c r="V127" s="199">
        <f t="shared" ref="V127" ca="1" si="143">IF(IF(RIGHT(H126,2)="PH",(1-L127)+$W$2,IF(RIGHT(H126,2)="HT",(1-L127)+$W$1,IF(RIGHT(H126,2)="SH",(1-L127)+$W$3,"")))&gt;0,IF(RIGHT(H126,2)="PH",(1-L127)+$W$2,IF(RIGHT(H126,2)="HT",(1-L127)+$W$1,IF(RIGHT(H126,2)="SH",(1-L127)+$W$3,""))),0)</f>
        <v>5.0000000000000044E-2</v>
      </c>
      <c r="W127" s="298"/>
      <c r="X127" s="698">
        <f t="shared" ref="X127:X158" ca="1" si="144">IF(VLOOKUP($AD127,INDIRECT("'"&amp;$B127&amp;"'!"&amp;"$P$39:$AD$42"),11,FALSE)="Cf. the utilized electricity",0,VLOOKUP($AD127,INDIRECT("'"&amp;$B127&amp;"'!"&amp;"$P$39:$AD$42"),11,FALSE))</f>
        <v>0.5</v>
      </c>
      <c r="Y127" s="81">
        <f t="shared" ca="1" si="126"/>
        <v>20</v>
      </c>
      <c r="Z127" s="81">
        <f t="shared" ca="1" si="127"/>
        <v>0</v>
      </c>
      <c r="AA127" s="81">
        <f t="shared" ca="1" si="128"/>
        <v>0</v>
      </c>
      <c r="AB127" s="81">
        <f t="shared" ca="1" si="129"/>
        <v>0.1</v>
      </c>
      <c r="AC127" s="55"/>
      <c r="AD127" s="81">
        <v>2030</v>
      </c>
      <c r="AE127" s="81"/>
      <c r="AF127" s="700"/>
    </row>
    <row r="128" spans="2:32">
      <c r="B128" s="719" t="s">
        <v>1009</v>
      </c>
      <c r="C128" s="713"/>
      <c r="D128" s="701"/>
      <c r="E128" s="701"/>
      <c r="F128" s="224" t="s">
        <v>1149</v>
      </c>
      <c r="G128" s="203"/>
      <c r="H128" s="702"/>
      <c r="I128" s="702" t="str">
        <f t="shared" si="142"/>
        <v>INDTWH</v>
      </c>
      <c r="J128" s="224">
        <f t="shared" ref="J128:J186" si="145">IF(AD128=2020,2011,AD128)</f>
        <v>2050</v>
      </c>
      <c r="K128" s="81"/>
      <c r="L128" s="199">
        <f t="shared" ca="1" si="121"/>
        <v>0.96</v>
      </c>
      <c r="M128" s="199"/>
      <c r="N128" s="81"/>
      <c r="O128" s="723">
        <f t="shared" ca="1" si="122"/>
        <v>0.32813985758696651</v>
      </c>
      <c r="P128" s="723">
        <f t="shared" ca="1" si="123"/>
        <v>1.1175000000000001E-2</v>
      </c>
      <c r="Q128" s="81">
        <f t="shared" ca="1" si="124"/>
        <v>1.8625</v>
      </c>
      <c r="R128" s="703"/>
      <c r="S128" s="703"/>
      <c r="T128" s="703"/>
      <c r="U128" s="703"/>
      <c r="V128" s="199">
        <f t="shared" ref="V128" ca="1" si="146">IF(IF(RIGHT(H126,2)="PH",(1-L128)+$W$2,IF(RIGHT(H126,2)="HT",(1-L128)+$W$1,IF(RIGHT(H126,2)="SH",(1-L128)+$W$3,"")))&gt;0,IF(RIGHT(H126,2)="PH",(1-L128)+$W$2,IF(RIGHT(H126,2)="HT",(1-L128)+$W$1,IF(RIGHT(H126,2)="SH",(1-L128)+$W$3,""))),0)</f>
        <v>4.0000000000000036E-2</v>
      </c>
      <c r="W128" s="704"/>
      <c r="X128" s="698">
        <f t="shared" ca="1" si="144"/>
        <v>0.5</v>
      </c>
      <c r="Y128" s="81">
        <f t="shared" ca="1" si="126"/>
        <v>15</v>
      </c>
      <c r="Z128" s="81">
        <f t="shared" ca="1" si="127"/>
        <v>0</v>
      </c>
      <c r="AA128" s="81">
        <f t="shared" ca="1" si="128"/>
        <v>0</v>
      </c>
      <c r="AB128" s="81">
        <f t="shared" ca="1" si="129"/>
        <v>0.1</v>
      </c>
      <c r="AC128" s="55"/>
      <c r="AD128" s="81">
        <v>2050</v>
      </c>
      <c r="AE128" s="81"/>
      <c r="AF128" s="700"/>
    </row>
    <row r="129" spans="2:32">
      <c r="B129" s="718" t="s">
        <v>1009</v>
      </c>
      <c r="C129" s="226"/>
      <c r="D129" s="212" t="str">
        <f>"IND"&amp;RIGHT(H129,4)&amp;"DSL"&amp;"N"&amp;RIGHT(E129,1)</f>
        <v>INDTDPHDSLN2</v>
      </c>
      <c r="E129" s="707" t="str">
        <f>"Industrial heating technology "&amp;$AJ$12&amp;" "&amp;RIGHT(H129,2)&amp;" - Oil boiler (Steam - condensing) - new 2"</f>
        <v>Industrial heating technology Transport PH - Oil boiler (Steam - condensing) - new 2</v>
      </c>
      <c r="F129" s="224" t="s">
        <v>1149</v>
      </c>
      <c r="G129" s="173" t="s">
        <v>2081</v>
      </c>
      <c r="H129" s="708" t="str">
        <f>$AI$14</f>
        <v>ITDPH</v>
      </c>
      <c r="I129" s="708" t="str">
        <f t="shared" si="142"/>
        <v>INDTWH</v>
      </c>
      <c r="J129" s="224">
        <f t="shared" si="145"/>
        <v>2011</v>
      </c>
      <c r="K129" s="299">
        <v>2025</v>
      </c>
      <c r="L129" s="199">
        <f t="shared" ref="L129:L134" ca="1" si="147">VLOOKUP($AD129,INDIRECT("'"&amp;$B129&amp;"'!"&amp;"$P$118:$AD$121"),3,FALSE)</f>
        <v>0.95</v>
      </c>
      <c r="M129" s="199"/>
      <c r="N129" s="81">
        <f ca="1">VLOOKUP($AD129,INDIRECT("'"&amp;$B129&amp;"'!"&amp;"$P$118:$AD$121"),5,FALSE)</f>
        <v>25</v>
      </c>
      <c r="O129" s="723">
        <f t="shared" ref="O129:O134" ca="1" si="148">VLOOKUP($AD129,INDIRECT("'"&amp;$B129&amp;"'!"&amp;"$P$118:$AD$121"),6,FALSE)/1000</f>
        <v>0.32780000000000004</v>
      </c>
      <c r="P129" s="723">
        <f t="shared" ref="P129:P134" ca="1" si="149">VLOOKUP($AD129,INDIRECT("'"&amp;$B129&amp;"'!"&amp;"$P$118:$AD$121"),7,FALSE)/1000</f>
        <v>1.341E-2</v>
      </c>
      <c r="Q129" s="81">
        <f t="shared" ref="Q129:Q134" ca="1" si="150">VLOOKUP($AD129,INDIRECT("'"&amp;$B129&amp;"'!"&amp;"$P$118:$AD$121"),8,FALSE)</f>
        <v>2.0694444444444446</v>
      </c>
      <c r="R129" s="81">
        <v>3.1536000000000002E-2</v>
      </c>
      <c r="S129" s="199">
        <v>0.5</v>
      </c>
      <c r="T129" s="199">
        <f ca="1">HLOOKUP($T$2,INDIRECT("'"&amp;$B129&amp;"'!"&amp;"$P$85:$AC$98"),IF(H129=$AI$13,6,IF(H129=$AI$14,9,14)),FALSE)</f>
        <v>0</v>
      </c>
      <c r="U129" s="773"/>
      <c r="V129" s="199">
        <f t="shared" ref="V129" ca="1" si="151">IF(IF(RIGHT(H129,2)="PH",(1-L129)+$W$2,IF(RIGHT(H129,2)="HT",(1-L129)+$W$1,IF(RIGHT(H129,2)="SH",(1-L129)+$W$3,"")))&gt;0,IF(RIGHT(H129,2)="PH",(1-L129)+$W$2,IF(RIGHT(H129,2)="HT",(1-L129)+$W$1,IF(RIGHT(H129,2)="SH",(1-L129)+$W$3,""))),0)</f>
        <v>0.25000000000000006</v>
      </c>
      <c r="W129" s="709"/>
      <c r="X129" s="698">
        <f t="shared" ca="1" si="144"/>
        <v>0.5</v>
      </c>
      <c r="Y129" s="698">
        <f t="shared" ref="Y129:Y134" ca="1" si="152">VLOOKUP($AD129,INDIRECT("'"&amp;$B129&amp;"'!"&amp;"$P$118:$AD$121"),12,FALSE)</f>
        <v>25</v>
      </c>
      <c r="Z129" s="698">
        <f t="shared" ref="Z129:Z134" ca="1" si="153">VLOOKUP($AD129,INDIRECT("'"&amp;$B129&amp;"'!"&amp;"$P$118:$AD$121"),13,FALSE)</f>
        <v>0</v>
      </c>
      <c r="AA129" s="698">
        <f t="shared" ref="AA129:AA134" ca="1" si="154">VLOOKUP($AD129,INDIRECT("'"&amp;$B129&amp;"'!"&amp;"$P$118:$AD$121"),14,FALSE)</f>
        <v>0</v>
      </c>
      <c r="AB129" s="698">
        <f t="shared" ref="AB129:AB134" ca="1" si="155">VLOOKUP($AD129,INDIRECT("'"&amp;$B129&amp;"'!"&amp;"$P$118:$AD$121"),15,FALSE)</f>
        <v>0.1</v>
      </c>
      <c r="AC129" s="55"/>
      <c r="AD129" s="81">
        <v>2020</v>
      </c>
      <c r="AE129" s="81"/>
      <c r="AF129" s="700"/>
    </row>
    <row r="130" spans="2:32">
      <c r="B130" s="718" t="s">
        <v>1009</v>
      </c>
      <c r="C130" s="226"/>
      <c r="D130" s="212"/>
      <c r="E130" s="261"/>
      <c r="F130" s="224" t="s">
        <v>1149</v>
      </c>
      <c r="G130" s="55"/>
      <c r="H130" s="174"/>
      <c r="I130" s="174" t="str">
        <f t="shared" si="142"/>
        <v>INDTWH</v>
      </c>
      <c r="J130" s="224">
        <f t="shared" si="145"/>
        <v>2030</v>
      </c>
      <c r="K130" s="81"/>
      <c r="L130" s="199">
        <f t="shared" ca="1" si="147"/>
        <v>0.96</v>
      </c>
      <c r="M130" s="199"/>
      <c r="N130" s="81"/>
      <c r="O130" s="723">
        <f t="shared" ca="1" si="148"/>
        <v>0.27759522769958173</v>
      </c>
      <c r="P130" s="723">
        <f t="shared" ca="1" si="149"/>
        <v>1.2664999999999999E-2</v>
      </c>
      <c r="Q130" s="81">
        <f t="shared" ca="1" si="150"/>
        <v>1.8625</v>
      </c>
      <c r="R130" s="300"/>
      <c r="S130" s="300"/>
      <c r="T130" s="300"/>
      <c r="U130" s="300"/>
      <c r="V130" s="199">
        <f t="shared" ref="V130" ca="1" si="156">IF(IF(RIGHT(H129,2)="PH",(1-L130)+$W$2,IF(RIGHT(H129,2)="HT",(1-L130)+$W$1,IF(RIGHT(H129,2)="SH",(1-L130)+$W$3,"")))&gt;0,IF(RIGHT(H129,2)="PH",(1-L130)+$W$2,IF(RIGHT(H129,2)="HT",(1-L130)+$W$1,IF(RIGHT(H129,2)="SH",(1-L130)+$W$3,""))),0)</f>
        <v>0.24000000000000005</v>
      </c>
      <c r="W130" s="298"/>
      <c r="X130" s="698">
        <f t="shared" ca="1" si="144"/>
        <v>0.5</v>
      </c>
      <c r="Y130" s="698">
        <f t="shared" ca="1" si="152"/>
        <v>20</v>
      </c>
      <c r="Z130" s="698">
        <f t="shared" ca="1" si="153"/>
        <v>0</v>
      </c>
      <c r="AA130" s="698">
        <f t="shared" ca="1" si="154"/>
        <v>0</v>
      </c>
      <c r="AB130" s="698">
        <f t="shared" ca="1" si="155"/>
        <v>0.1</v>
      </c>
      <c r="AC130" s="55"/>
      <c r="AD130" s="81">
        <v>2030</v>
      </c>
      <c r="AE130" s="81"/>
      <c r="AF130" s="700"/>
    </row>
    <row r="131" spans="2:32">
      <c r="B131" s="718" t="s">
        <v>1009</v>
      </c>
      <c r="C131" s="226"/>
      <c r="E131" s="261"/>
      <c r="F131" s="224" t="s">
        <v>1149</v>
      </c>
      <c r="G131" s="55"/>
      <c r="H131" s="174"/>
      <c r="I131" s="174" t="str">
        <f t="shared" si="142"/>
        <v>INDTWH</v>
      </c>
      <c r="J131" s="224">
        <f t="shared" si="145"/>
        <v>2050</v>
      </c>
      <c r="K131" s="81"/>
      <c r="L131" s="199">
        <f t="shared" ca="1" si="147"/>
        <v>0.97</v>
      </c>
      <c r="M131" s="199"/>
      <c r="N131" s="81"/>
      <c r="O131" s="723">
        <f t="shared" ca="1" si="148"/>
        <v>0.26251188606957326</v>
      </c>
      <c r="P131" s="723">
        <f t="shared" ca="1" si="149"/>
        <v>1.1175000000000001E-2</v>
      </c>
      <c r="Q131" s="81">
        <f t="shared" ca="1" si="150"/>
        <v>1.8625</v>
      </c>
      <c r="R131" s="300"/>
      <c r="S131" s="300"/>
      <c r="T131" s="300"/>
      <c r="U131" s="300"/>
      <c r="V131" s="199">
        <f t="shared" ref="V131" ca="1" si="157">IF(IF(RIGHT(H129,2)="PH",(1-L131)+$W$2,IF(RIGHT(H129,2)="HT",(1-L131)+$W$1,IF(RIGHT(H129,2)="SH",(1-L131)+$W$3,"")))&gt;0,IF(RIGHT(H129,2)="PH",(1-L131)+$W$2,IF(RIGHT(H129,2)="HT",(1-L131)+$W$1,IF(RIGHT(H129,2)="SH",(1-L131)+$W$3,""))),0)</f>
        <v>0.23000000000000004</v>
      </c>
      <c r="W131" s="298"/>
      <c r="X131" s="698">
        <f t="shared" ca="1" si="144"/>
        <v>0.5</v>
      </c>
      <c r="Y131" s="698">
        <f t="shared" ca="1" si="152"/>
        <v>15</v>
      </c>
      <c r="Z131" s="698">
        <f t="shared" ca="1" si="153"/>
        <v>0</v>
      </c>
      <c r="AA131" s="698">
        <f t="shared" ca="1" si="154"/>
        <v>0</v>
      </c>
      <c r="AB131" s="698">
        <f t="shared" ca="1" si="155"/>
        <v>0.1</v>
      </c>
      <c r="AC131" s="203"/>
      <c r="AD131" s="81">
        <v>2050</v>
      </c>
      <c r="AE131" s="81"/>
      <c r="AF131" s="705"/>
    </row>
    <row r="132" spans="2:32">
      <c r="B132" s="718" t="s">
        <v>1009</v>
      </c>
      <c r="C132" s="226"/>
      <c r="D132" s="212" t="str">
        <f>"IND"&amp;RIGHT(H132,4)&amp;"DSL"&amp;"N"&amp;RIGHT(E132,1)</f>
        <v>INDTDSHDSLN2</v>
      </c>
      <c r="E132" s="261" t="str">
        <f>"Industrial heating technology "&amp;$AJ$12&amp;" "&amp;RIGHT(H132,2)&amp;" - Oil boiler (Steam - condensing) - new 2"</f>
        <v>Industrial heating technology Transport SH - Oil boiler (Steam - condensing) - new 2</v>
      </c>
      <c r="F132" s="224" t="s">
        <v>1149</v>
      </c>
      <c r="G132" s="173" t="s">
        <v>2081</v>
      </c>
      <c r="H132" s="174" t="str">
        <f>$AI$15</f>
        <v>ITDSH</v>
      </c>
      <c r="I132" s="174" t="str">
        <f t="shared" si="142"/>
        <v>INDTWH</v>
      </c>
      <c r="J132" s="224">
        <f t="shared" si="145"/>
        <v>2011</v>
      </c>
      <c r="K132" s="299">
        <v>2025</v>
      </c>
      <c r="L132" s="199">
        <f t="shared" ca="1" si="147"/>
        <v>0.95</v>
      </c>
      <c r="M132" s="199"/>
      <c r="N132" s="81">
        <f ca="1">VLOOKUP($AD132,INDIRECT("'"&amp;$B132&amp;"'!"&amp;"$P$118:$AD$121"),5,FALSE)</f>
        <v>25</v>
      </c>
      <c r="O132" s="723">
        <f t="shared" ca="1" si="148"/>
        <v>0.32780000000000004</v>
      </c>
      <c r="P132" s="723">
        <f t="shared" ca="1" si="149"/>
        <v>1.341E-2</v>
      </c>
      <c r="Q132" s="81">
        <f t="shared" ca="1" si="150"/>
        <v>2.0694444444444446</v>
      </c>
      <c r="R132" s="81">
        <v>3.1536000000000002E-2</v>
      </c>
      <c r="S132" s="199">
        <v>0.5</v>
      </c>
      <c r="T132" s="199">
        <f ca="1">HLOOKUP($T$2,INDIRECT("'"&amp;$B132&amp;"'!"&amp;"$P$85:$AC$98"),IF(H132=$AI$13,6,IF(H132=$AI$14,9,14)),FALSE)</f>
        <v>1</v>
      </c>
      <c r="U132" s="772"/>
      <c r="V132" s="199">
        <f t="shared" ref="V132" ca="1" si="158">IF(IF(RIGHT(H132,2)="PH",(1-L132)+$W$2,IF(RIGHT(H132,2)="HT",(1-L132)+$W$1,IF(RIGHT(H132,2)="SH",(1-L132)+$W$3,"")))&gt;0,IF(RIGHT(H132,2)="PH",(1-L132)+$W$2,IF(RIGHT(H132,2)="HT",(1-L132)+$W$1,IF(RIGHT(H132,2)="SH",(1-L132)+$W$3,""))),0)</f>
        <v>5.0000000000000044E-2</v>
      </c>
      <c r="W132" s="298"/>
      <c r="X132" s="698">
        <f t="shared" ca="1" si="144"/>
        <v>0.5</v>
      </c>
      <c r="Y132" s="698">
        <f t="shared" ca="1" si="152"/>
        <v>25</v>
      </c>
      <c r="Z132" s="698">
        <f t="shared" ca="1" si="153"/>
        <v>0</v>
      </c>
      <c r="AA132" s="698">
        <f t="shared" ca="1" si="154"/>
        <v>0</v>
      </c>
      <c r="AB132" s="698">
        <f t="shared" ca="1" si="155"/>
        <v>0.1</v>
      </c>
      <c r="AD132" s="81">
        <v>2020</v>
      </c>
      <c r="AE132" s="299"/>
      <c r="AF132" s="220"/>
    </row>
    <row r="133" spans="2:32">
      <c r="B133" s="718" t="s">
        <v>1009</v>
      </c>
      <c r="C133" s="226"/>
      <c r="E133" s="261"/>
      <c r="F133" s="224" t="s">
        <v>1149</v>
      </c>
      <c r="G133" s="55"/>
      <c r="H133" s="174"/>
      <c r="I133" s="174" t="str">
        <f t="shared" si="142"/>
        <v>INDTWH</v>
      </c>
      <c r="J133" s="224">
        <f t="shared" si="145"/>
        <v>2030</v>
      </c>
      <c r="K133" s="81"/>
      <c r="L133" s="199">
        <f t="shared" ca="1" si="147"/>
        <v>0.96</v>
      </c>
      <c r="M133" s="199"/>
      <c r="N133" s="81"/>
      <c r="O133" s="723">
        <f t="shared" ca="1" si="148"/>
        <v>0.27759522769958173</v>
      </c>
      <c r="P133" s="723">
        <f t="shared" ca="1" si="149"/>
        <v>1.2664999999999999E-2</v>
      </c>
      <c r="Q133" s="81">
        <f t="shared" ca="1" si="150"/>
        <v>1.8625</v>
      </c>
      <c r="R133" s="300"/>
      <c r="S133" s="300"/>
      <c r="T133" s="300"/>
      <c r="U133" s="300"/>
      <c r="V133" s="199">
        <f t="shared" ref="V133" ca="1" si="159">IF(IF(RIGHT(H132,2)="PH",(1-L133)+$W$2,IF(RIGHT(H132,2)="HT",(1-L133)+$W$1,IF(RIGHT(H132,2)="SH",(1-L133)+$W$3,"")))&gt;0,IF(RIGHT(H132,2)="PH",(1-L133)+$W$2,IF(RIGHT(H132,2)="HT",(1-L133)+$W$1,IF(RIGHT(H132,2)="SH",(1-L133)+$W$3,""))),0)</f>
        <v>4.0000000000000036E-2</v>
      </c>
      <c r="W133" s="298"/>
      <c r="X133" s="698">
        <f t="shared" ca="1" si="144"/>
        <v>0.5</v>
      </c>
      <c r="Y133" s="698">
        <f t="shared" ca="1" si="152"/>
        <v>20</v>
      </c>
      <c r="Z133" s="698">
        <f t="shared" ca="1" si="153"/>
        <v>0</v>
      </c>
      <c r="AA133" s="698">
        <f t="shared" ca="1" si="154"/>
        <v>0</v>
      </c>
      <c r="AB133" s="698">
        <f t="shared" ca="1" si="155"/>
        <v>0.1</v>
      </c>
      <c r="AD133" s="81">
        <v>2030</v>
      </c>
      <c r="AE133" s="81"/>
      <c r="AF133" s="220"/>
    </row>
    <row r="134" spans="2:32">
      <c r="B134" s="719" t="s">
        <v>1009</v>
      </c>
      <c r="C134" s="713"/>
      <c r="D134" s="701"/>
      <c r="E134" s="701"/>
      <c r="F134" s="224" t="s">
        <v>1149</v>
      </c>
      <c r="G134" s="203"/>
      <c r="H134" s="702"/>
      <c r="I134" s="702" t="str">
        <f t="shared" si="142"/>
        <v>INDTWH</v>
      </c>
      <c r="J134" s="224">
        <f t="shared" si="145"/>
        <v>2050</v>
      </c>
      <c r="K134" s="81"/>
      <c r="L134" s="199">
        <f t="shared" ca="1" si="147"/>
        <v>0.97</v>
      </c>
      <c r="M134" s="199"/>
      <c r="N134" s="81"/>
      <c r="O134" s="723">
        <f t="shared" ca="1" si="148"/>
        <v>0.26251188606957326</v>
      </c>
      <c r="P134" s="723">
        <f t="shared" ca="1" si="149"/>
        <v>1.1175000000000001E-2</v>
      </c>
      <c r="Q134" s="81">
        <f t="shared" ca="1" si="150"/>
        <v>1.8625</v>
      </c>
      <c r="R134" s="703"/>
      <c r="S134" s="703"/>
      <c r="T134" s="703"/>
      <c r="U134" s="703"/>
      <c r="V134" s="199">
        <f t="shared" ref="V134" ca="1" si="160">IF(IF(RIGHT(H132,2)="PH",(1-L134)+$W$2,IF(RIGHT(H132,2)="HT",(1-L134)+$W$1,IF(RIGHT(H132,2)="SH",(1-L134)+$W$3,"")))&gt;0,IF(RIGHT(H132,2)="PH",(1-L134)+$W$2,IF(RIGHT(H132,2)="HT",(1-L134)+$W$1,IF(RIGHT(H132,2)="SH",(1-L134)+$W$3,""))),0)</f>
        <v>3.0000000000000027E-2</v>
      </c>
      <c r="W134" s="704"/>
      <c r="X134" s="698">
        <f t="shared" ca="1" si="144"/>
        <v>0.5</v>
      </c>
      <c r="Y134" s="698">
        <f t="shared" ca="1" si="152"/>
        <v>15</v>
      </c>
      <c r="Z134" s="698">
        <f t="shared" ca="1" si="153"/>
        <v>0</v>
      </c>
      <c r="AA134" s="698">
        <f t="shared" ca="1" si="154"/>
        <v>0</v>
      </c>
      <c r="AB134" s="698">
        <f t="shared" ca="1" si="155"/>
        <v>0.1</v>
      </c>
      <c r="AD134" s="81">
        <v>2050</v>
      </c>
      <c r="AE134" s="81"/>
      <c r="AF134" s="220"/>
    </row>
    <row r="135" spans="2:32">
      <c r="B135" s="718" t="s">
        <v>1010</v>
      </c>
      <c r="C135" s="226"/>
      <c r="D135" s="212" t="str">
        <f>"IND"&amp;RIGHT(H135,4)&amp;"GAS"&amp;"N"&amp;RIGHT(E135,1)</f>
        <v>INDTDPHGASN1</v>
      </c>
      <c r="E135" s="261" t="str">
        <f>"Industrial heating technology "&amp;$AJ$12&amp;" "&amp;RIGHT(H135,2)&amp;" - Gas boiler (Steam) - new 1"</f>
        <v>Industrial heating technology Transport PH - Gas boiler (Steam) - new 1</v>
      </c>
      <c r="F135" s="224" t="s">
        <v>1149</v>
      </c>
      <c r="G135" s="173" t="s">
        <v>2080</v>
      </c>
      <c r="H135" s="174" t="str">
        <f>$AI$13</f>
        <v>ITDPH</v>
      </c>
      <c r="I135" s="174" t="str">
        <f t="shared" si="142"/>
        <v>INDTWH</v>
      </c>
      <c r="J135" s="224">
        <f t="shared" si="145"/>
        <v>2011</v>
      </c>
      <c r="K135" s="299">
        <v>2011</v>
      </c>
      <c r="L135" s="199">
        <f t="shared" ref="L135:L143" ca="1" si="161">VLOOKUP($AD135,INDIRECT("'"&amp;$B135&amp;"'!"&amp;"$P$39:$AD$42"),3,FALSE)</f>
        <v>0.92</v>
      </c>
      <c r="M135" s="699"/>
      <c r="N135" s="299">
        <f ca="1">VLOOKUP($AD135,INDIRECT("'"&amp;$B135&amp;"'!"&amp;"$P$39:$AD$42"),5,FALSE)</f>
        <v>25</v>
      </c>
      <c r="O135" s="725">
        <f t="shared" ref="O135:O143" ca="1" si="162">VLOOKUP($AD135,INDIRECT("'"&amp;$B135&amp;"'!"&amp;"$P$39:$AD$42"),6,FALSE)/1000</f>
        <v>0.40636363636363632</v>
      </c>
      <c r="P135" s="725">
        <f t="shared" ref="P135:P143" ca="1" si="163">VLOOKUP($AD135,INDIRECT("'"&amp;$B135&amp;"'!"&amp;"$P$39:$AD$42"),7,FALSE)/1000</f>
        <v>1.49E-2</v>
      </c>
      <c r="Q135" s="299">
        <f t="shared" ref="Q135:Q143" ca="1" si="164">VLOOKUP($AD135,INDIRECT("'"&amp;$B135&amp;"'!"&amp;"$P$39:$AD$42"),8,FALSE)</f>
        <v>2.276388888888889</v>
      </c>
      <c r="R135" s="299">
        <v>3.1536000000000002E-2</v>
      </c>
      <c r="S135" s="699">
        <v>0.5</v>
      </c>
      <c r="T135" s="699">
        <f ca="1">HLOOKUP($T$2,INDIRECT("'"&amp;$B135&amp;"'!"&amp;"$P$6:$AC$19"),IF(H135=$AI$13,6,IF(H135=$AI$14,9,14)),FALSE)</f>
        <v>1</v>
      </c>
      <c r="U135" s="772"/>
      <c r="V135" s="199">
        <f t="shared" ref="V135" ca="1" si="165">IF(IF(RIGHT(H135,2)="PH",(1-L135)+$W$2,IF(RIGHT(H135,2)="HT",(1-L135)+$W$1,IF(RIGHT(H135,2)="SH",(1-L135)+$W$3,"")))&gt;0,IF(RIGHT(H135,2)="PH",(1-L135)+$W$2,IF(RIGHT(H135,2)="HT",(1-L135)+$W$1,IF(RIGHT(H135,2)="SH",(1-L135)+$W$3,""))),0)</f>
        <v>0.27999999999999997</v>
      </c>
      <c r="W135" s="298"/>
      <c r="X135" s="698">
        <f t="shared" ca="1" si="144"/>
        <v>0.3</v>
      </c>
      <c r="Y135" s="299">
        <f t="shared" ref="Y135:Y143" ca="1" si="166">VLOOKUP($AD135,INDIRECT("'"&amp;$B135&amp;"'!"&amp;"$P$39:$AD$42"),12,FALSE)</f>
        <v>9</v>
      </c>
      <c r="Z135" s="299">
        <f t="shared" ref="Z135:Z143" ca="1" si="167">VLOOKUP($AD135,INDIRECT("'"&amp;$B135&amp;"'!"&amp;"$P$39:$AD$42"),13,FALSE)</f>
        <v>3</v>
      </c>
      <c r="AA135" s="299">
        <f t="shared" ref="AA135:AA143" ca="1" si="168">VLOOKUP($AD135,INDIRECT("'"&amp;$B135&amp;"'!"&amp;"$P$39:$AD$42"),14,FALSE)</f>
        <v>1</v>
      </c>
      <c r="AB135" s="299">
        <f t="shared" ref="AB135:AB143" ca="1" si="169">VLOOKUP($AD135,INDIRECT("'"&amp;$B135&amp;"'!"&amp;"$P$39:$AD$42"),15,FALSE)</f>
        <v>0.1</v>
      </c>
      <c r="AD135" s="299">
        <v>2020</v>
      </c>
      <c r="AE135" s="81"/>
      <c r="AF135" s="220"/>
    </row>
    <row r="136" spans="2:32">
      <c r="B136" s="718" t="s">
        <v>1010</v>
      </c>
      <c r="C136" s="226"/>
      <c r="E136" s="212"/>
      <c r="F136" s="224" t="s">
        <v>1149</v>
      </c>
      <c r="H136" s="174"/>
      <c r="I136" s="174" t="str">
        <f t="shared" si="142"/>
        <v>INDTWH</v>
      </c>
      <c r="J136" s="224">
        <f t="shared" si="145"/>
        <v>2030</v>
      </c>
      <c r="K136" s="81"/>
      <c r="L136" s="199">
        <f t="shared" ca="1" si="161"/>
        <v>0.93</v>
      </c>
      <c r="M136" s="199"/>
      <c r="N136" s="81"/>
      <c r="O136" s="723">
        <f t="shared" ca="1" si="162"/>
        <v>0.33863636363636368</v>
      </c>
      <c r="P136" s="723">
        <f t="shared" ca="1" si="163"/>
        <v>1.4154999999999999E-2</v>
      </c>
      <c r="Q136" s="81">
        <f t="shared" ca="1" si="164"/>
        <v>2.0694444444444446</v>
      </c>
      <c r="R136" s="300"/>
      <c r="S136" s="300"/>
      <c r="T136" s="300"/>
      <c r="U136" s="300"/>
      <c r="V136" s="199">
        <f t="shared" ref="V136" ca="1" si="170">IF(IF(RIGHT(H135,2)="PH",(1-L136)+$W$2,IF(RIGHT(H135,2)="HT",(1-L136)+$W$1,IF(RIGHT(H135,2)="SH",(1-L136)+$W$3,"")))&gt;0,IF(RIGHT(H135,2)="PH",(1-L136)+$W$2,IF(RIGHT(H135,2)="HT",(1-L136)+$W$1,IF(RIGHT(H135,2)="SH",(1-L136)+$W$3,""))),0)</f>
        <v>0.26999999999999996</v>
      </c>
      <c r="W136" s="298"/>
      <c r="X136" s="698">
        <f t="shared" ca="1" si="144"/>
        <v>0.3</v>
      </c>
      <c r="Y136" s="81">
        <f t="shared" ca="1" si="166"/>
        <v>7</v>
      </c>
      <c r="Z136" s="81">
        <f t="shared" ca="1" si="167"/>
        <v>2</v>
      </c>
      <c r="AA136" s="81">
        <f t="shared" ca="1" si="168"/>
        <v>1</v>
      </c>
      <c r="AB136" s="81">
        <f t="shared" ca="1" si="169"/>
        <v>0.1</v>
      </c>
      <c r="AD136" s="81">
        <v>2030</v>
      </c>
      <c r="AE136" s="81"/>
      <c r="AF136" s="220"/>
    </row>
    <row r="137" spans="2:32">
      <c r="B137" s="718" t="s">
        <v>1010</v>
      </c>
      <c r="C137" s="226"/>
      <c r="E137" s="212"/>
      <c r="F137" s="224" t="s">
        <v>1149</v>
      </c>
      <c r="H137" s="174"/>
      <c r="I137" s="174" t="str">
        <f t="shared" si="142"/>
        <v>INDTWH</v>
      </c>
      <c r="J137" s="224">
        <f t="shared" si="145"/>
        <v>2050</v>
      </c>
      <c r="K137" s="81"/>
      <c r="L137" s="199">
        <f t="shared" ca="1" si="161"/>
        <v>0.94</v>
      </c>
      <c r="M137" s="199"/>
      <c r="N137" s="81"/>
      <c r="O137" s="723">
        <f t="shared" ca="1" si="162"/>
        <v>0.33863636363636368</v>
      </c>
      <c r="P137" s="723">
        <f t="shared" ca="1" si="163"/>
        <v>1.2664999999999999E-2</v>
      </c>
      <c r="Q137" s="81">
        <f t="shared" ca="1" si="164"/>
        <v>2.0694444444444446</v>
      </c>
      <c r="R137" s="300"/>
      <c r="S137" s="300"/>
      <c r="T137" s="300"/>
      <c r="U137" s="300"/>
      <c r="V137" s="199">
        <f t="shared" ref="V137" ca="1" si="171">IF(IF(RIGHT(H135,2)="PH",(1-L137)+$W$2,IF(RIGHT(H135,2)="HT",(1-L137)+$W$1,IF(RIGHT(H135,2)="SH",(1-L137)+$W$3,"")))&gt;0,IF(RIGHT(H135,2)="PH",(1-L137)+$W$2,IF(RIGHT(H135,2)="HT",(1-L137)+$W$1,IF(RIGHT(H135,2)="SH",(1-L137)+$W$3,""))),0)</f>
        <v>0.26000000000000006</v>
      </c>
      <c r="W137" s="298"/>
      <c r="X137" s="698">
        <f t="shared" ca="1" si="144"/>
        <v>0.3</v>
      </c>
      <c r="Y137" s="81">
        <f t="shared" ca="1" si="166"/>
        <v>6</v>
      </c>
      <c r="Z137" s="81">
        <f t="shared" ca="1" si="167"/>
        <v>2</v>
      </c>
      <c r="AA137" s="81">
        <f t="shared" ca="1" si="168"/>
        <v>1</v>
      </c>
      <c r="AB137" s="81">
        <f t="shared" ca="1" si="169"/>
        <v>0.1</v>
      </c>
      <c r="AD137" s="81">
        <v>2050</v>
      </c>
      <c r="AE137" s="81"/>
      <c r="AF137" s="220"/>
    </row>
    <row r="138" spans="2:32">
      <c r="B138" s="718" t="s">
        <v>1010</v>
      </c>
      <c r="C138" s="226"/>
      <c r="D138" s="212" t="str">
        <f>"IND"&amp;RIGHT(H138,4)&amp;"GAS"&amp;"N"&amp;RIGHT(E138,1)</f>
        <v>INDTDPHGASN1</v>
      </c>
      <c r="E138" s="261" t="str">
        <f>"Industrial heating technology "&amp;$AJ$12&amp;" "&amp;RIGHT(H138,2)&amp;" - Gas boiler (Steam) - new 1"</f>
        <v>Industrial heating technology Transport PH - Gas boiler (Steam) - new 1</v>
      </c>
      <c r="F138" s="224" t="s">
        <v>1149</v>
      </c>
      <c r="G138" s="173" t="s">
        <v>2080</v>
      </c>
      <c r="H138" s="174" t="str">
        <f>$AI$14</f>
        <v>ITDPH</v>
      </c>
      <c r="I138" s="174" t="str">
        <f t="shared" si="142"/>
        <v>INDTWH</v>
      </c>
      <c r="J138" s="224">
        <f t="shared" si="145"/>
        <v>2011</v>
      </c>
      <c r="K138" s="299">
        <f>J138</f>
        <v>2011</v>
      </c>
      <c r="L138" s="199">
        <f t="shared" ca="1" si="161"/>
        <v>0.92</v>
      </c>
      <c r="M138" s="199"/>
      <c r="N138" s="81">
        <f ca="1">VLOOKUP($AD138,INDIRECT("'"&amp;$B138&amp;"'!"&amp;"$P$39:$AD$42"),5,FALSE)</f>
        <v>25</v>
      </c>
      <c r="O138" s="723">
        <f t="shared" ca="1" si="162"/>
        <v>0.40636363636363632</v>
      </c>
      <c r="P138" s="723">
        <f t="shared" ca="1" si="163"/>
        <v>1.49E-2</v>
      </c>
      <c r="Q138" s="81">
        <f t="shared" ca="1" si="164"/>
        <v>2.276388888888889</v>
      </c>
      <c r="R138" s="81">
        <v>3.1536000000000002E-2</v>
      </c>
      <c r="S138" s="199">
        <v>0.5</v>
      </c>
      <c r="T138" s="199">
        <f ca="1">HLOOKUP($T$2,INDIRECT("'"&amp;$B138&amp;"'!"&amp;"$P$6:$AC$19"),IF(H138=$AI$13,6,IF(H138=$AI$14,9,14)),FALSE)</f>
        <v>1</v>
      </c>
      <c r="U138" s="772"/>
      <c r="V138" s="199">
        <f t="shared" ref="V138" ca="1" si="172">IF(IF(RIGHT(H138,2)="PH",(1-L138)+$W$2,IF(RIGHT(H138,2)="HT",(1-L138)+$W$1,IF(RIGHT(H138,2)="SH",(1-L138)+$W$3,"")))&gt;0,IF(RIGHT(H138,2)="PH",(1-L138)+$W$2,IF(RIGHT(H138,2)="HT",(1-L138)+$W$1,IF(RIGHT(H138,2)="SH",(1-L138)+$W$3,""))),0)</f>
        <v>0.27999999999999997</v>
      </c>
      <c r="W138" s="298"/>
      <c r="X138" s="698">
        <f t="shared" ca="1" si="144"/>
        <v>0.3</v>
      </c>
      <c r="Y138" s="81">
        <f t="shared" ca="1" si="166"/>
        <v>9</v>
      </c>
      <c r="Z138" s="81">
        <f t="shared" ca="1" si="167"/>
        <v>3</v>
      </c>
      <c r="AA138" s="81">
        <f t="shared" ca="1" si="168"/>
        <v>1</v>
      </c>
      <c r="AB138" s="81">
        <f t="shared" ca="1" si="169"/>
        <v>0.1</v>
      </c>
      <c r="AD138" s="81">
        <v>2020</v>
      </c>
      <c r="AE138" s="81"/>
      <c r="AF138" s="220"/>
    </row>
    <row r="139" spans="2:32">
      <c r="B139" s="718" t="s">
        <v>1010</v>
      </c>
      <c r="C139" s="226"/>
      <c r="E139" s="212"/>
      <c r="F139" s="224" t="s">
        <v>1149</v>
      </c>
      <c r="H139" s="174"/>
      <c r="I139" s="174" t="str">
        <f t="shared" si="142"/>
        <v>INDTWH</v>
      </c>
      <c r="J139" s="224">
        <f t="shared" si="145"/>
        <v>2030</v>
      </c>
      <c r="K139" s="81"/>
      <c r="L139" s="199">
        <f t="shared" ca="1" si="161"/>
        <v>0.93</v>
      </c>
      <c r="M139" s="199"/>
      <c r="N139" s="81"/>
      <c r="O139" s="723">
        <f t="shared" ca="1" si="162"/>
        <v>0.33863636363636368</v>
      </c>
      <c r="P139" s="723">
        <f t="shared" ca="1" si="163"/>
        <v>1.4154999999999999E-2</v>
      </c>
      <c r="Q139" s="81">
        <f t="shared" ca="1" si="164"/>
        <v>2.0694444444444446</v>
      </c>
      <c r="R139" s="300"/>
      <c r="S139" s="300"/>
      <c r="T139" s="300"/>
      <c r="U139" s="300"/>
      <c r="V139" s="199">
        <f t="shared" ref="V139" ca="1" si="173">IF(IF(RIGHT(H138,2)="PH",(1-L139)+$W$2,IF(RIGHT(H138,2)="HT",(1-L139)+$W$1,IF(RIGHT(H138,2)="SH",(1-L139)+$W$3,"")))&gt;0,IF(RIGHT(H138,2)="PH",(1-L139)+$W$2,IF(RIGHT(H138,2)="HT",(1-L139)+$W$1,IF(RIGHT(H138,2)="SH",(1-L139)+$W$3,""))),0)</f>
        <v>0.26999999999999996</v>
      </c>
      <c r="W139" s="298"/>
      <c r="X139" s="698">
        <f t="shared" ca="1" si="144"/>
        <v>0.3</v>
      </c>
      <c r="Y139" s="81">
        <f t="shared" ca="1" si="166"/>
        <v>7</v>
      </c>
      <c r="Z139" s="81">
        <f t="shared" ca="1" si="167"/>
        <v>2</v>
      </c>
      <c r="AA139" s="81">
        <f t="shared" ca="1" si="168"/>
        <v>1</v>
      </c>
      <c r="AB139" s="81">
        <f t="shared" ca="1" si="169"/>
        <v>0.1</v>
      </c>
      <c r="AD139" s="81">
        <v>2030</v>
      </c>
      <c r="AE139" s="81"/>
      <c r="AF139" s="220"/>
    </row>
    <row r="140" spans="2:32">
      <c r="B140" s="718" t="s">
        <v>1010</v>
      </c>
      <c r="C140" s="226"/>
      <c r="E140" s="212"/>
      <c r="F140" s="224" t="s">
        <v>1149</v>
      </c>
      <c r="H140" s="174"/>
      <c r="I140" s="174" t="str">
        <f t="shared" si="142"/>
        <v>INDTWH</v>
      </c>
      <c r="J140" s="224">
        <f t="shared" si="145"/>
        <v>2050</v>
      </c>
      <c r="K140" s="81"/>
      <c r="L140" s="199">
        <f t="shared" ca="1" si="161"/>
        <v>0.94</v>
      </c>
      <c r="M140" s="199"/>
      <c r="N140" s="81"/>
      <c r="O140" s="723">
        <f t="shared" ca="1" si="162"/>
        <v>0.33863636363636368</v>
      </c>
      <c r="P140" s="723">
        <f t="shared" ca="1" si="163"/>
        <v>1.2664999999999999E-2</v>
      </c>
      <c r="Q140" s="81">
        <f t="shared" ca="1" si="164"/>
        <v>2.0694444444444446</v>
      </c>
      <c r="R140" s="300"/>
      <c r="S140" s="300"/>
      <c r="T140" s="300"/>
      <c r="U140" s="300"/>
      <c r="V140" s="199">
        <f t="shared" ref="V140" ca="1" si="174">IF(IF(RIGHT(H138,2)="PH",(1-L140)+$W$2,IF(RIGHT(H138,2)="HT",(1-L140)+$W$1,IF(RIGHT(H138,2)="SH",(1-L140)+$W$3,"")))&gt;0,IF(RIGHT(H138,2)="PH",(1-L140)+$W$2,IF(RIGHT(H138,2)="HT",(1-L140)+$W$1,IF(RIGHT(H138,2)="SH",(1-L140)+$W$3,""))),0)</f>
        <v>0.26000000000000006</v>
      </c>
      <c r="W140" s="298"/>
      <c r="X140" s="698">
        <f t="shared" ca="1" si="144"/>
        <v>0.3</v>
      </c>
      <c r="Y140" s="81">
        <f t="shared" ca="1" si="166"/>
        <v>6</v>
      </c>
      <c r="Z140" s="81">
        <f t="shared" ca="1" si="167"/>
        <v>2</v>
      </c>
      <c r="AA140" s="81">
        <f t="shared" ca="1" si="168"/>
        <v>1</v>
      </c>
      <c r="AB140" s="81">
        <f t="shared" ca="1" si="169"/>
        <v>0.1</v>
      </c>
      <c r="AC140" s="203"/>
      <c r="AD140" s="81">
        <v>2050</v>
      </c>
      <c r="AE140" s="81"/>
      <c r="AF140" s="705"/>
    </row>
    <row r="141" spans="2:32">
      <c r="B141" s="718" t="s">
        <v>1010</v>
      </c>
      <c r="C141" s="226"/>
      <c r="D141" s="212" t="str">
        <f>"IND"&amp;RIGHT(H141,4)&amp;"GAS"&amp;"N"&amp;RIGHT(E141,1)</f>
        <v>INDTDSHGASN1</v>
      </c>
      <c r="E141" s="261" t="str">
        <f>"Industrial heating technology "&amp;$AJ$12&amp;" "&amp;RIGHT(H141,2)&amp;" - Gas boiler (Steam) - new 1"</f>
        <v>Industrial heating technology Transport SH - Gas boiler (Steam) - new 1</v>
      </c>
      <c r="F141" s="224" t="s">
        <v>1149</v>
      </c>
      <c r="G141" s="173" t="s">
        <v>2080</v>
      </c>
      <c r="H141" s="174" t="str">
        <f>$AI$15</f>
        <v>ITDSH</v>
      </c>
      <c r="I141" s="174" t="str">
        <f t="shared" si="142"/>
        <v>INDTWH</v>
      </c>
      <c r="J141" s="224">
        <f t="shared" si="145"/>
        <v>2011</v>
      </c>
      <c r="K141" s="299">
        <f>J141</f>
        <v>2011</v>
      </c>
      <c r="L141" s="199">
        <f t="shared" ca="1" si="161"/>
        <v>0.92</v>
      </c>
      <c r="M141" s="199"/>
      <c r="N141" s="81">
        <f ca="1">VLOOKUP($AD141,INDIRECT("'"&amp;$B141&amp;"'!"&amp;"$P$39:$AD$42"),5,FALSE)</f>
        <v>25</v>
      </c>
      <c r="O141" s="723">
        <f t="shared" ca="1" si="162"/>
        <v>0.40636363636363632</v>
      </c>
      <c r="P141" s="723">
        <f t="shared" ca="1" si="163"/>
        <v>1.49E-2</v>
      </c>
      <c r="Q141" s="81">
        <f t="shared" ca="1" si="164"/>
        <v>2.276388888888889</v>
      </c>
      <c r="R141" s="81">
        <v>3.1536000000000002E-2</v>
      </c>
      <c r="S141" s="199">
        <v>0.5</v>
      </c>
      <c r="T141" s="199">
        <f ca="1">HLOOKUP($T$2,INDIRECT("'"&amp;$B141&amp;"'!"&amp;"$P$6:$AC$19"),IF(H141=$AI$13,6,IF(H141=$AI$14,9,14)),FALSE)</f>
        <v>1</v>
      </c>
      <c r="U141" s="772"/>
      <c r="V141" s="199">
        <f t="shared" ref="V141" ca="1" si="175">IF(IF(RIGHT(H141,2)="PH",(1-L141)+$W$2,IF(RIGHT(H141,2)="HT",(1-L141)+$W$1,IF(RIGHT(H141,2)="SH",(1-L141)+$W$3,"")))&gt;0,IF(RIGHT(H141,2)="PH",(1-L141)+$W$2,IF(RIGHT(H141,2)="HT",(1-L141)+$W$1,IF(RIGHT(H141,2)="SH",(1-L141)+$W$3,""))),0)</f>
        <v>7.999999999999996E-2</v>
      </c>
      <c r="W141" s="298"/>
      <c r="X141" s="698">
        <f t="shared" ca="1" si="144"/>
        <v>0.3</v>
      </c>
      <c r="Y141" s="81">
        <f t="shared" ca="1" si="166"/>
        <v>9</v>
      </c>
      <c r="Z141" s="81">
        <f t="shared" ca="1" si="167"/>
        <v>3</v>
      </c>
      <c r="AA141" s="81">
        <f t="shared" ca="1" si="168"/>
        <v>1</v>
      </c>
      <c r="AB141" s="81">
        <f t="shared" ca="1" si="169"/>
        <v>0.1</v>
      </c>
      <c r="AC141" s="296"/>
      <c r="AD141" s="81">
        <v>2020</v>
      </c>
      <c r="AE141" s="81"/>
      <c r="AF141" s="710"/>
    </row>
    <row r="142" spans="2:32">
      <c r="B142" s="718" t="s">
        <v>1010</v>
      </c>
      <c r="C142" s="226"/>
      <c r="E142" s="212"/>
      <c r="F142" s="224" t="s">
        <v>1149</v>
      </c>
      <c r="H142" s="174"/>
      <c r="I142" s="174" t="str">
        <f t="shared" si="142"/>
        <v>INDTWH</v>
      </c>
      <c r="J142" s="224">
        <f t="shared" si="145"/>
        <v>2030</v>
      </c>
      <c r="K142" s="81"/>
      <c r="L142" s="199">
        <f t="shared" ca="1" si="161"/>
        <v>0.93</v>
      </c>
      <c r="M142" s="199"/>
      <c r="N142" s="81"/>
      <c r="O142" s="723">
        <f t="shared" ca="1" si="162"/>
        <v>0.33863636363636368</v>
      </c>
      <c r="P142" s="723">
        <f t="shared" ca="1" si="163"/>
        <v>1.4154999999999999E-2</v>
      </c>
      <c r="Q142" s="81">
        <f t="shared" ca="1" si="164"/>
        <v>2.0694444444444446</v>
      </c>
      <c r="R142" s="300"/>
      <c r="S142" s="300"/>
      <c r="T142" s="300"/>
      <c r="U142" s="300"/>
      <c r="V142" s="199">
        <f t="shared" ref="V142" ca="1" si="176">IF(IF(RIGHT(H141,2)="PH",(1-L142)+$W$2,IF(RIGHT(H141,2)="HT",(1-L142)+$W$1,IF(RIGHT(H141,2)="SH",(1-L142)+$W$3,"")))&gt;0,IF(RIGHT(H141,2)="PH",(1-L142)+$W$2,IF(RIGHT(H141,2)="HT",(1-L142)+$W$1,IF(RIGHT(H141,2)="SH",(1-L142)+$W$3,""))),0)</f>
        <v>6.9999999999999951E-2</v>
      </c>
      <c r="W142" s="298"/>
      <c r="X142" s="698">
        <f t="shared" ca="1" si="144"/>
        <v>0.3</v>
      </c>
      <c r="Y142" s="81">
        <f t="shared" ca="1" si="166"/>
        <v>7</v>
      </c>
      <c r="Z142" s="81">
        <f t="shared" ca="1" si="167"/>
        <v>2</v>
      </c>
      <c r="AA142" s="81">
        <f t="shared" ca="1" si="168"/>
        <v>1</v>
      </c>
      <c r="AB142" s="81">
        <f t="shared" ca="1" si="169"/>
        <v>0.1</v>
      </c>
      <c r="AC142" s="55"/>
      <c r="AD142" s="81">
        <v>2030</v>
      </c>
      <c r="AE142" s="81"/>
      <c r="AF142" s="700"/>
    </row>
    <row r="143" spans="2:32">
      <c r="B143" s="719" t="s">
        <v>1010</v>
      </c>
      <c r="C143" s="713"/>
      <c r="D143" s="203"/>
      <c r="E143" s="701"/>
      <c r="F143" s="224" t="s">
        <v>1149</v>
      </c>
      <c r="G143" s="203"/>
      <c r="H143" s="702"/>
      <c r="I143" s="702" t="str">
        <f t="shared" si="142"/>
        <v>INDTWH</v>
      </c>
      <c r="J143" s="224">
        <f t="shared" si="145"/>
        <v>2050</v>
      </c>
      <c r="K143" s="81"/>
      <c r="L143" s="199">
        <f t="shared" ca="1" si="161"/>
        <v>0.94</v>
      </c>
      <c r="M143" s="199"/>
      <c r="N143" s="81"/>
      <c r="O143" s="723">
        <f t="shared" ca="1" si="162"/>
        <v>0.33863636363636368</v>
      </c>
      <c r="P143" s="723">
        <f t="shared" ca="1" si="163"/>
        <v>1.2664999999999999E-2</v>
      </c>
      <c r="Q143" s="81">
        <f t="shared" ca="1" si="164"/>
        <v>2.0694444444444446</v>
      </c>
      <c r="R143" s="703"/>
      <c r="S143" s="703"/>
      <c r="T143" s="703"/>
      <c r="U143" s="703"/>
      <c r="V143" s="199">
        <f t="shared" ref="V143" ca="1" si="177">IF(IF(RIGHT(H141,2)="PH",(1-L143)+$W$2,IF(RIGHT(H141,2)="HT",(1-L143)+$W$1,IF(RIGHT(H141,2)="SH",(1-L143)+$W$3,"")))&gt;0,IF(RIGHT(H141,2)="PH",(1-L143)+$W$2,IF(RIGHT(H141,2)="HT",(1-L143)+$W$1,IF(RIGHT(H141,2)="SH",(1-L143)+$W$3,""))),0)</f>
        <v>6.0000000000000053E-2</v>
      </c>
      <c r="W143" s="704"/>
      <c r="X143" s="698">
        <f t="shared" ca="1" si="144"/>
        <v>0.3</v>
      </c>
      <c r="Y143" s="81">
        <f t="shared" ca="1" si="166"/>
        <v>6</v>
      </c>
      <c r="Z143" s="81">
        <f t="shared" ca="1" si="167"/>
        <v>2</v>
      </c>
      <c r="AA143" s="81">
        <f t="shared" ca="1" si="168"/>
        <v>1</v>
      </c>
      <c r="AB143" s="81">
        <f t="shared" ca="1" si="169"/>
        <v>0.1</v>
      </c>
      <c r="AC143" s="55"/>
      <c r="AD143" s="81">
        <v>2050</v>
      </c>
      <c r="AE143" s="81"/>
      <c r="AF143" s="700"/>
    </row>
    <row r="144" spans="2:32">
      <c r="B144" s="718" t="s">
        <v>1010</v>
      </c>
      <c r="C144" s="226"/>
      <c r="D144" s="212" t="str">
        <f>"IND"&amp;RIGHT(H144,4)&amp;"GAS"&amp;"N"&amp;RIGHT(E144,1)</f>
        <v>INDTDPHGASN2</v>
      </c>
      <c r="E144" s="707" t="str">
        <f>"Industrial heating technology "&amp;$AJ$12&amp;" "&amp;RIGHT(H144,2)&amp;" - Gas boiler (Steam - condensing) - new 2"</f>
        <v>Industrial heating technology Transport PH - Gas boiler (Steam - condensing) - new 2</v>
      </c>
      <c r="F144" s="224" t="s">
        <v>1149</v>
      </c>
      <c r="G144" s="173" t="s">
        <v>2080</v>
      </c>
      <c r="H144" s="708" t="str">
        <f>$AI$14</f>
        <v>ITDPH</v>
      </c>
      <c r="I144" s="708" t="str">
        <f t="shared" si="142"/>
        <v>INDTWH</v>
      </c>
      <c r="J144" s="224">
        <f t="shared" si="145"/>
        <v>2011</v>
      </c>
      <c r="K144" s="299">
        <f>J144</f>
        <v>2011</v>
      </c>
      <c r="L144" s="199">
        <f t="shared" ref="L144:L149" ca="1" si="178">VLOOKUP($AD144,INDIRECT("'"&amp;$B144&amp;"'!"&amp;"$P$118:$AD$121"),3,FALSE)</f>
        <v>1.01</v>
      </c>
      <c r="M144" s="199"/>
      <c r="N144" s="81">
        <f ca="1">VLOOKUP($AD144,INDIRECT("'"&amp;$B144&amp;"'!"&amp;"$P$118:$AD$121"),5,FALSE)</f>
        <v>25</v>
      </c>
      <c r="O144" s="723">
        <f t="shared" ref="O144:O149" ca="1" si="179">VLOOKUP($AD144,INDIRECT("'"&amp;$B144&amp;"'!"&amp;"$P$118:$AD$121"),6,FALSE)/1000</f>
        <v>0.44700000000000001</v>
      </c>
      <c r="P144" s="723">
        <f t="shared" ref="P144:P149" ca="1" si="180">VLOOKUP($AD144,INDIRECT("'"&amp;$B144&amp;"'!"&amp;"$P$118:$AD$121"),7,FALSE)/1000</f>
        <v>1.49E-2</v>
      </c>
      <c r="Q144" s="81">
        <f t="shared" ref="Q144:Q149" ca="1" si="181">VLOOKUP($AD144,INDIRECT("'"&amp;$B144&amp;"'!"&amp;"$P$118:$AD$121"),8,FALSE)</f>
        <v>2.276388888888889</v>
      </c>
      <c r="R144" s="81">
        <v>3.1536000000000002E-2</v>
      </c>
      <c r="S144" s="199">
        <v>0.5</v>
      </c>
      <c r="T144" s="199">
        <f ca="1">HLOOKUP($T$2,INDIRECT("'"&amp;$B144&amp;"'!"&amp;"$P$85:$AC$98"),IF(H144=$AI$13,6,IF(H144=$AI$14,9,14)),FALSE)</f>
        <v>0</v>
      </c>
      <c r="U144" s="773"/>
      <c r="V144" s="199">
        <f t="shared" ref="V144" ca="1" si="182">IF(IF(RIGHT(H144,2)="PH",(1-L144)+$W$2,IF(RIGHT(H144,2)="HT",(1-L144)+$W$1,IF(RIGHT(H144,2)="SH",(1-L144)+$W$3,"")))&gt;0,IF(RIGHT(H144,2)="PH",(1-L144)+$W$2,IF(RIGHT(H144,2)="HT",(1-L144)+$W$1,IF(RIGHT(H144,2)="SH",(1-L144)+$W$3,""))),0)</f>
        <v>0.19</v>
      </c>
      <c r="W144" s="709"/>
      <c r="X144" s="698">
        <f t="shared" ca="1" si="144"/>
        <v>0.3</v>
      </c>
      <c r="Y144" s="698">
        <f t="shared" ref="Y144:Y149" ca="1" si="183">VLOOKUP($AD144,INDIRECT("'"&amp;$B144&amp;"'!"&amp;"$P$118:$AD$121"),12,FALSE)</f>
        <v>9</v>
      </c>
      <c r="Z144" s="698">
        <f t="shared" ref="Z144:Z149" ca="1" si="184">VLOOKUP($AD144,INDIRECT("'"&amp;$B144&amp;"'!"&amp;"$P$118:$AD$121"),13,FALSE)</f>
        <v>3</v>
      </c>
      <c r="AA144" s="698">
        <f t="shared" ref="AA144:AA149" ca="1" si="185">VLOOKUP($AD144,INDIRECT("'"&amp;$B144&amp;"'!"&amp;"$P$118:$AD$121"),14,FALSE)</f>
        <v>1</v>
      </c>
      <c r="AB144" s="698">
        <f t="shared" ref="AB144:AB149" ca="1" si="186">VLOOKUP($AD144,INDIRECT("'"&amp;$B144&amp;"'!"&amp;"$P$118:$AD$121"),15,FALSE)</f>
        <v>0.1</v>
      </c>
      <c r="AC144" s="55"/>
      <c r="AD144" s="81">
        <v>2020</v>
      </c>
      <c r="AE144" s="81"/>
      <c r="AF144" s="700"/>
    </row>
    <row r="145" spans="1:32">
      <c r="B145" s="718" t="s">
        <v>1010</v>
      </c>
      <c r="C145" s="226"/>
      <c r="E145" s="261"/>
      <c r="F145" s="224" t="s">
        <v>1149</v>
      </c>
      <c r="G145" s="55"/>
      <c r="H145" s="174"/>
      <c r="I145" s="174" t="str">
        <f t="shared" si="142"/>
        <v>INDTWH</v>
      </c>
      <c r="J145" s="224">
        <f t="shared" si="145"/>
        <v>2030</v>
      </c>
      <c r="K145" s="81"/>
      <c r="L145" s="199">
        <f t="shared" ca="1" si="178"/>
        <v>1.03</v>
      </c>
      <c r="M145" s="199"/>
      <c r="N145" s="81"/>
      <c r="O145" s="723">
        <f t="shared" ca="1" si="179"/>
        <v>0.37250000000000005</v>
      </c>
      <c r="P145" s="723">
        <f t="shared" ca="1" si="180"/>
        <v>1.4154999999999999E-2</v>
      </c>
      <c r="Q145" s="81">
        <f t="shared" ca="1" si="181"/>
        <v>2.0694444444444446</v>
      </c>
      <c r="R145" s="300"/>
      <c r="S145" s="300"/>
      <c r="T145" s="300"/>
      <c r="U145" s="300"/>
      <c r="V145" s="199">
        <f t="shared" ref="V145" ca="1" si="187">IF(IF(RIGHT(H144,2)="PH",(1-L145)+$W$2,IF(RIGHT(H144,2)="HT",(1-L145)+$W$1,IF(RIGHT(H144,2)="SH",(1-L145)+$W$3,"")))&gt;0,IF(RIGHT(H144,2)="PH",(1-L145)+$W$2,IF(RIGHT(H144,2)="HT",(1-L145)+$W$1,IF(RIGHT(H144,2)="SH",(1-L145)+$W$3,""))),0)</f>
        <v>0.16999999999999998</v>
      </c>
      <c r="W145" s="298"/>
      <c r="X145" s="698">
        <f t="shared" ca="1" si="144"/>
        <v>0.3</v>
      </c>
      <c r="Y145" s="698">
        <f t="shared" ca="1" si="183"/>
        <v>7</v>
      </c>
      <c r="Z145" s="698">
        <f t="shared" ca="1" si="184"/>
        <v>2</v>
      </c>
      <c r="AA145" s="698">
        <f t="shared" ca="1" si="185"/>
        <v>1</v>
      </c>
      <c r="AB145" s="698">
        <f t="shared" ca="1" si="186"/>
        <v>0.1</v>
      </c>
      <c r="AC145" s="55"/>
      <c r="AD145" s="81">
        <v>2030</v>
      </c>
      <c r="AE145" s="81"/>
      <c r="AF145" s="700"/>
    </row>
    <row r="146" spans="1:32">
      <c r="A146" s="226"/>
      <c r="B146" s="718" t="s">
        <v>1010</v>
      </c>
      <c r="C146" s="226"/>
      <c r="E146" s="261"/>
      <c r="F146" s="224" t="s">
        <v>1149</v>
      </c>
      <c r="G146" s="55"/>
      <c r="H146" s="174"/>
      <c r="I146" s="174" t="str">
        <f t="shared" si="142"/>
        <v>INDTWH</v>
      </c>
      <c r="J146" s="224">
        <f t="shared" si="145"/>
        <v>2050</v>
      </c>
      <c r="K146" s="81"/>
      <c r="L146" s="199">
        <f t="shared" ca="1" si="178"/>
        <v>1.03</v>
      </c>
      <c r="M146" s="199"/>
      <c r="N146" s="81"/>
      <c r="O146" s="723">
        <f t="shared" ca="1" si="179"/>
        <v>0.37250000000000005</v>
      </c>
      <c r="P146" s="723">
        <f t="shared" ca="1" si="180"/>
        <v>1.2664999999999999E-2</v>
      </c>
      <c r="Q146" s="81">
        <f t="shared" ca="1" si="181"/>
        <v>2.0694444444444446</v>
      </c>
      <c r="R146" s="300"/>
      <c r="S146" s="300"/>
      <c r="T146" s="300"/>
      <c r="U146" s="300"/>
      <c r="V146" s="199">
        <f t="shared" ref="V146" ca="1" si="188">IF(IF(RIGHT(H144,2)="PH",(1-L146)+$W$2,IF(RIGHT(H144,2)="HT",(1-L146)+$W$1,IF(RIGHT(H144,2)="SH",(1-L146)+$W$3,"")))&gt;0,IF(RIGHT(H144,2)="PH",(1-L146)+$W$2,IF(RIGHT(H144,2)="HT",(1-L146)+$W$1,IF(RIGHT(H144,2)="SH",(1-L146)+$W$3,""))),0)</f>
        <v>0.16999999999999998</v>
      </c>
      <c r="W146" s="298"/>
      <c r="X146" s="698">
        <f t="shared" ca="1" si="144"/>
        <v>0.3</v>
      </c>
      <c r="Y146" s="698">
        <f t="shared" ca="1" si="183"/>
        <v>6</v>
      </c>
      <c r="Z146" s="698">
        <f t="shared" ca="1" si="184"/>
        <v>2</v>
      </c>
      <c r="AA146" s="698">
        <f t="shared" ca="1" si="185"/>
        <v>1</v>
      </c>
      <c r="AB146" s="698">
        <f t="shared" ca="1" si="186"/>
        <v>0.1</v>
      </c>
      <c r="AC146" s="203"/>
      <c r="AD146" s="81">
        <v>2050</v>
      </c>
      <c r="AE146" s="81"/>
      <c r="AF146" s="705"/>
    </row>
    <row r="147" spans="1:32">
      <c r="A147" s="226"/>
      <c r="B147" s="718" t="s">
        <v>1010</v>
      </c>
      <c r="C147" s="226"/>
      <c r="D147" s="212" t="str">
        <f>"IND"&amp;RIGHT(H147,4)&amp;"GAS"&amp;"N"&amp;RIGHT(E147,1)</f>
        <v>INDTDSHGASN2</v>
      </c>
      <c r="E147" s="261" t="str">
        <f>"Industrial heating technology "&amp;$AJ$12&amp;" "&amp;RIGHT(H147,2)&amp;" - Gas boiler (Steam - condensing) - new 2"</f>
        <v>Industrial heating technology Transport SH - Gas boiler (Steam - condensing) - new 2</v>
      </c>
      <c r="F147" s="224" t="s">
        <v>1149</v>
      </c>
      <c r="G147" s="173" t="s">
        <v>2080</v>
      </c>
      <c r="H147" s="174" t="str">
        <f>$AI$15</f>
        <v>ITDSH</v>
      </c>
      <c r="I147" s="174" t="str">
        <f t="shared" si="142"/>
        <v>INDTWH</v>
      </c>
      <c r="J147" s="224">
        <f t="shared" si="145"/>
        <v>2011</v>
      </c>
      <c r="K147" s="299">
        <f>J147</f>
        <v>2011</v>
      </c>
      <c r="L147" s="199">
        <f t="shared" ca="1" si="178"/>
        <v>1.01</v>
      </c>
      <c r="M147" s="199"/>
      <c r="N147" s="81">
        <f ca="1">VLOOKUP($AD147,INDIRECT("'"&amp;$B147&amp;"'!"&amp;"$P$118:$AD$121"),5,FALSE)</f>
        <v>25</v>
      </c>
      <c r="O147" s="723">
        <f t="shared" ca="1" si="179"/>
        <v>0.44700000000000001</v>
      </c>
      <c r="P147" s="723">
        <f t="shared" ca="1" si="180"/>
        <v>1.49E-2</v>
      </c>
      <c r="Q147" s="81">
        <f t="shared" ca="1" si="181"/>
        <v>2.276388888888889</v>
      </c>
      <c r="R147" s="81">
        <v>3.1536000000000002E-2</v>
      </c>
      <c r="S147" s="199">
        <v>0.5</v>
      </c>
      <c r="T147" s="199">
        <f ca="1">HLOOKUP($T$2,INDIRECT("'"&amp;$B147&amp;"'!"&amp;"$P$85:$AC$98"),IF(H147=$AI$13,6,IF(H147=$AI$14,9,14)),FALSE)</f>
        <v>0</v>
      </c>
      <c r="U147" s="772"/>
      <c r="V147" s="199">
        <f t="shared" ref="V147" ca="1" si="189">IF(IF(RIGHT(H147,2)="PH",(1-L147)+$W$2,IF(RIGHT(H147,2)="HT",(1-L147)+$W$1,IF(RIGHT(H147,2)="SH",(1-L147)+$W$3,"")))&gt;0,IF(RIGHT(H147,2)="PH",(1-L147)+$W$2,IF(RIGHT(H147,2)="HT",(1-L147)+$W$1,IF(RIGHT(H147,2)="SH",(1-L147)+$W$3,""))),0)</f>
        <v>0</v>
      </c>
      <c r="W147" s="298"/>
      <c r="X147" s="698">
        <f t="shared" ca="1" si="144"/>
        <v>0.3</v>
      </c>
      <c r="Y147" s="698">
        <f t="shared" ca="1" si="183"/>
        <v>9</v>
      </c>
      <c r="Z147" s="698">
        <f t="shared" ca="1" si="184"/>
        <v>3</v>
      </c>
      <c r="AA147" s="698">
        <f t="shared" ca="1" si="185"/>
        <v>1</v>
      </c>
      <c r="AB147" s="698">
        <f t="shared" ca="1" si="186"/>
        <v>0.1</v>
      </c>
      <c r="AC147" s="296"/>
      <c r="AD147" s="81">
        <v>2020</v>
      </c>
      <c r="AE147" s="81"/>
      <c r="AF147" s="710"/>
    </row>
    <row r="148" spans="1:32">
      <c r="A148" s="226"/>
      <c r="B148" s="718" t="s">
        <v>1010</v>
      </c>
      <c r="C148" s="226"/>
      <c r="E148" s="261"/>
      <c r="F148" s="224" t="s">
        <v>1149</v>
      </c>
      <c r="G148" s="55"/>
      <c r="H148" s="174"/>
      <c r="I148" s="174" t="str">
        <f t="shared" si="142"/>
        <v>INDTWH</v>
      </c>
      <c r="J148" s="224">
        <f t="shared" si="145"/>
        <v>2030</v>
      </c>
      <c r="K148" s="81"/>
      <c r="L148" s="199">
        <f t="shared" ca="1" si="178"/>
        <v>1.03</v>
      </c>
      <c r="M148" s="199"/>
      <c r="N148" s="81"/>
      <c r="O148" s="723">
        <f t="shared" ca="1" si="179"/>
        <v>0.37250000000000005</v>
      </c>
      <c r="P148" s="723">
        <f t="shared" ca="1" si="180"/>
        <v>1.4154999999999999E-2</v>
      </c>
      <c r="Q148" s="81">
        <f t="shared" ca="1" si="181"/>
        <v>2.0694444444444446</v>
      </c>
      <c r="R148" s="300"/>
      <c r="S148" s="300"/>
      <c r="T148" s="300"/>
      <c r="U148" s="300"/>
      <c r="V148" s="199">
        <f t="shared" ref="V148" ca="1" si="190">IF(IF(RIGHT(H147,2)="PH",(1-L148)+$W$2,IF(RIGHT(H147,2)="HT",(1-L148)+$W$1,IF(RIGHT(H147,2)="SH",(1-L148)+$W$3,"")))&gt;0,IF(RIGHT(H147,2)="PH",(1-L148)+$W$2,IF(RIGHT(H147,2)="HT",(1-L148)+$W$1,IF(RIGHT(H147,2)="SH",(1-L148)+$W$3,""))),0)</f>
        <v>0</v>
      </c>
      <c r="W148" s="298"/>
      <c r="X148" s="698">
        <f t="shared" ca="1" si="144"/>
        <v>0.3</v>
      </c>
      <c r="Y148" s="698">
        <f t="shared" ca="1" si="183"/>
        <v>7</v>
      </c>
      <c r="Z148" s="698">
        <f t="shared" ca="1" si="184"/>
        <v>2</v>
      </c>
      <c r="AA148" s="698">
        <f t="shared" ca="1" si="185"/>
        <v>1</v>
      </c>
      <c r="AB148" s="698">
        <f t="shared" ca="1" si="186"/>
        <v>0.1</v>
      </c>
      <c r="AC148" s="55"/>
      <c r="AD148" s="81">
        <v>2030</v>
      </c>
      <c r="AE148" s="81"/>
      <c r="AF148" s="700"/>
    </row>
    <row r="149" spans="1:32">
      <c r="A149" s="226"/>
      <c r="B149" s="719" t="s">
        <v>1010</v>
      </c>
      <c r="C149" s="713"/>
      <c r="D149" s="203"/>
      <c r="E149" s="701"/>
      <c r="F149" s="224" t="s">
        <v>1149</v>
      </c>
      <c r="G149" s="203"/>
      <c r="H149" s="702"/>
      <c r="I149" s="702" t="str">
        <f t="shared" si="142"/>
        <v>INDTWH</v>
      </c>
      <c r="J149" s="224">
        <f t="shared" si="145"/>
        <v>2050</v>
      </c>
      <c r="K149" s="81"/>
      <c r="L149" s="199">
        <f t="shared" ca="1" si="178"/>
        <v>1.03</v>
      </c>
      <c r="M149" s="199"/>
      <c r="N149" s="81"/>
      <c r="O149" s="723">
        <f t="shared" ca="1" si="179"/>
        <v>0.37250000000000005</v>
      </c>
      <c r="P149" s="723">
        <f t="shared" ca="1" si="180"/>
        <v>1.2664999999999999E-2</v>
      </c>
      <c r="Q149" s="81">
        <f t="shared" ca="1" si="181"/>
        <v>2.0694444444444446</v>
      </c>
      <c r="R149" s="703"/>
      <c r="S149" s="703"/>
      <c r="T149" s="703"/>
      <c r="U149" s="703"/>
      <c r="V149" s="199">
        <f t="shared" ref="V149" ca="1" si="191">IF(IF(RIGHT(H147,2)="PH",(1-L149)+$W$2,IF(RIGHT(H147,2)="HT",(1-L149)+$W$1,IF(RIGHT(H147,2)="SH",(1-L149)+$W$3,"")))&gt;0,IF(RIGHT(H147,2)="PH",(1-L149)+$W$2,IF(RIGHT(H147,2)="HT",(1-L149)+$W$1,IF(RIGHT(H147,2)="SH",(1-L149)+$W$3,""))),0)</f>
        <v>0</v>
      </c>
      <c r="W149" s="704"/>
      <c r="X149" s="698">
        <f t="shared" ca="1" si="144"/>
        <v>0.3</v>
      </c>
      <c r="Y149" s="698">
        <f t="shared" ca="1" si="183"/>
        <v>6</v>
      </c>
      <c r="Z149" s="698">
        <f t="shared" ca="1" si="184"/>
        <v>2</v>
      </c>
      <c r="AA149" s="698">
        <f t="shared" ca="1" si="185"/>
        <v>1</v>
      </c>
      <c r="AB149" s="698">
        <f t="shared" ca="1" si="186"/>
        <v>0.1</v>
      </c>
      <c r="AC149" s="55"/>
      <c r="AD149" s="81">
        <v>2050</v>
      </c>
      <c r="AE149" s="81"/>
      <c r="AF149" s="700"/>
    </row>
    <row r="150" spans="1:32">
      <c r="A150" s="226"/>
      <c r="B150" s="718" t="s">
        <v>1010</v>
      </c>
      <c r="C150" s="226"/>
      <c r="D150" s="212" t="str">
        <f>"IND"&amp;RIGHT(H150,4)&amp;"GAS"&amp;"N"&amp;RIGHT(E150,1)</f>
        <v>INDTDPHGASN3</v>
      </c>
      <c r="E150" s="707" t="str">
        <f>"Industrial heating technology "&amp;$AJ$12&amp;" "&amp;RIGHT(H150,2)&amp;" - Gas boiler (Hot Water) - new 3"</f>
        <v>Industrial heating technology Transport PH - Gas boiler (Hot Water) - new 3</v>
      </c>
      <c r="F150" s="224" t="s">
        <v>1149</v>
      </c>
      <c r="G150" s="173" t="s">
        <v>2080</v>
      </c>
      <c r="H150" s="708" t="str">
        <f>$AI$14</f>
        <v>ITDPH</v>
      </c>
      <c r="I150" s="708" t="str">
        <f t="shared" si="142"/>
        <v>INDTWH</v>
      </c>
      <c r="J150" s="224">
        <f t="shared" si="145"/>
        <v>2011</v>
      </c>
      <c r="K150" s="299">
        <f>J150</f>
        <v>2011</v>
      </c>
      <c r="L150" s="199">
        <f t="shared" ref="L150:L155" ca="1" si="192">VLOOKUP($AD150,INDIRECT("'"&amp;$B150&amp;"'!"&amp;"$P$200:$AD$203"),3,FALSE)</f>
        <v>0.93</v>
      </c>
      <c r="M150" s="199"/>
      <c r="N150" s="81">
        <f ca="1">VLOOKUP($AD150,INDIRECT("'"&amp;$B150&amp;"'!"&amp;"$P$200:$AD$203"),5,FALSE)</f>
        <v>25</v>
      </c>
      <c r="O150" s="723">
        <f t="shared" ref="O150:O155" ca="1" si="193">VLOOKUP($AD150,INDIRECT("'"&amp;$B150&amp;"'!"&amp;"$P$200:$AD$203"),6,FALSE)/1000</f>
        <v>0.3250909090909091</v>
      </c>
      <c r="P150" s="723">
        <f t="shared" ref="P150:P155" ca="1" si="194">VLOOKUP($AD150,INDIRECT("'"&amp;$B150&amp;"'!"&amp;"$P$200:$AD$203"),7,FALSE)/1000</f>
        <v>1.49E-2</v>
      </c>
      <c r="Q150" s="81">
        <f t="shared" ref="Q150:Q155" ca="1" si="195">VLOOKUP($AD150,INDIRECT("'"&amp;$B150&amp;"'!"&amp;"$P$200:$AD$203"),8,FALSE)</f>
        <v>2.276388888888889</v>
      </c>
      <c r="R150" s="81">
        <v>3.1536000000000002E-2</v>
      </c>
      <c r="S150" s="199">
        <v>0.5</v>
      </c>
      <c r="T150" s="199">
        <f ca="1">HLOOKUP($T$2,INDIRECT("'"&amp;$B150&amp;"'!"&amp;"$P$167:$AC$180"),IF(H150=$AI$13,6,IF(H150=$AI$14,9,14)),FALSE)</f>
        <v>0</v>
      </c>
      <c r="U150" s="773"/>
      <c r="V150" s="199">
        <f t="shared" ref="V150" ca="1" si="196">IF(IF(RIGHT(H150,2)="PH",(1-L150)+$W$2,IF(RIGHT(H150,2)="HT",(1-L150)+$W$1,IF(RIGHT(H150,2)="SH",(1-L150)+$W$3,"")))&gt;0,IF(RIGHT(H150,2)="PH",(1-L150)+$W$2,IF(RIGHT(H150,2)="HT",(1-L150)+$W$1,IF(RIGHT(H150,2)="SH",(1-L150)+$W$3,""))),0)</f>
        <v>0.26999999999999996</v>
      </c>
      <c r="W150" s="709"/>
      <c r="X150" s="698">
        <f t="shared" ca="1" si="144"/>
        <v>0.3</v>
      </c>
      <c r="Y150" s="698">
        <f t="shared" ref="Y150:Y155" ca="1" si="197">VLOOKUP($AD150,INDIRECT("'"&amp;$B150&amp;"'!"&amp;"$P$200:$AD$203"),12,FALSE)</f>
        <v>9</v>
      </c>
      <c r="Z150" s="698">
        <f t="shared" ref="Z150:Z155" ca="1" si="198">VLOOKUP($AD150,INDIRECT("'"&amp;$B150&amp;"'!"&amp;"$P$200:$AD$203"),13,FALSE)</f>
        <v>3</v>
      </c>
      <c r="AA150" s="698">
        <f t="shared" ref="AA150:AA155" ca="1" si="199">VLOOKUP($AD150,INDIRECT("'"&amp;$B150&amp;"'!"&amp;"$P$200:$AD$203"),14,FALSE)</f>
        <v>1</v>
      </c>
      <c r="AB150" s="698">
        <f t="shared" ref="AB150:AB155" ca="1" si="200">VLOOKUP($AD150,INDIRECT("'"&amp;$B150&amp;"'!"&amp;"$P$200:$AD$203"),15,FALSE)</f>
        <v>0.1</v>
      </c>
      <c r="AC150" s="55"/>
      <c r="AD150" s="81">
        <v>2020</v>
      </c>
      <c r="AE150" s="81"/>
      <c r="AF150" s="700"/>
    </row>
    <row r="151" spans="1:32">
      <c r="A151" s="226"/>
      <c r="B151" s="718" t="s">
        <v>1010</v>
      </c>
      <c r="C151" s="226"/>
      <c r="E151" s="261"/>
      <c r="F151" s="224" t="s">
        <v>1149</v>
      </c>
      <c r="G151" s="55"/>
      <c r="H151" s="174"/>
      <c r="I151" s="174" t="str">
        <f t="shared" si="142"/>
        <v>INDTWH</v>
      </c>
      <c r="J151" s="224">
        <f t="shared" si="145"/>
        <v>2030</v>
      </c>
      <c r="K151" s="81"/>
      <c r="L151" s="199">
        <f t="shared" ca="1" si="192"/>
        <v>0.94</v>
      </c>
      <c r="M151" s="199"/>
      <c r="N151" s="81"/>
      <c r="O151" s="723">
        <f t="shared" ca="1" si="193"/>
        <v>0.27090909090909093</v>
      </c>
      <c r="P151" s="723">
        <f t="shared" ca="1" si="194"/>
        <v>1.4154999999999999E-2</v>
      </c>
      <c r="Q151" s="81">
        <f t="shared" ca="1" si="195"/>
        <v>2.0694444444444446</v>
      </c>
      <c r="R151" s="300"/>
      <c r="S151" s="300"/>
      <c r="T151" s="300"/>
      <c r="U151" s="300"/>
      <c r="V151" s="199">
        <f t="shared" ref="V151" ca="1" si="201">IF(IF(RIGHT(H150,2)="PH",(1-L151)+$W$2,IF(RIGHT(H150,2)="HT",(1-L151)+$W$1,IF(RIGHT(H150,2)="SH",(1-L151)+$W$3,"")))&gt;0,IF(RIGHT(H150,2)="PH",(1-L151)+$W$2,IF(RIGHT(H150,2)="HT",(1-L151)+$W$1,IF(RIGHT(H150,2)="SH",(1-L151)+$W$3,""))),0)</f>
        <v>0.26000000000000006</v>
      </c>
      <c r="W151" s="298"/>
      <c r="X151" s="698">
        <f t="shared" ca="1" si="144"/>
        <v>0.3</v>
      </c>
      <c r="Y151" s="698">
        <f t="shared" ca="1" si="197"/>
        <v>7</v>
      </c>
      <c r="Z151" s="698">
        <f t="shared" ca="1" si="198"/>
        <v>2</v>
      </c>
      <c r="AA151" s="698">
        <f t="shared" ca="1" si="199"/>
        <v>1</v>
      </c>
      <c r="AB151" s="698">
        <f t="shared" ca="1" si="200"/>
        <v>0.1</v>
      </c>
      <c r="AC151" s="55"/>
      <c r="AD151" s="81">
        <v>2030</v>
      </c>
      <c r="AE151" s="81"/>
      <c r="AF151" s="700"/>
    </row>
    <row r="152" spans="1:32">
      <c r="B152" s="718" t="s">
        <v>1010</v>
      </c>
      <c r="C152" s="226"/>
      <c r="E152" s="261"/>
      <c r="F152" s="224" t="s">
        <v>1149</v>
      </c>
      <c r="G152" s="55"/>
      <c r="H152" s="174"/>
      <c r="I152" s="174" t="str">
        <f t="shared" si="142"/>
        <v>INDTWH</v>
      </c>
      <c r="J152" s="224">
        <f t="shared" si="145"/>
        <v>2050</v>
      </c>
      <c r="K152" s="81"/>
      <c r="L152" s="199">
        <f t="shared" ca="1" si="192"/>
        <v>0.95</v>
      </c>
      <c r="M152" s="199"/>
      <c r="N152" s="81"/>
      <c r="O152" s="723">
        <f t="shared" ca="1" si="193"/>
        <v>0.27090909090909093</v>
      </c>
      <c r="P152" s="723">
        <f t="shared" ca="1" si="194"/>
        <v>1.2664999999999999E-2</v>
      </c>
      <c r="Q152" s="81">
        <f t="shared" ca="1" si="195"/>
        <v>2.0694444444444446</v>
      </c>
      <c r="R152" s="300"/>
      <c r="S152" s="300"/>
      <c r="T152" s="300"/>
      <c r="U152" s="300"/>
      <c r="V152" s="199">
        <f t="shared" ref="V152" ca="1" si="202">IF(IF(RIGHT(H150,2)="PH",(1-L152)+$W$2,IF(RIGHT(H150,2)="HT",(1-L152)+$W$1,IF(RIGHT(H150,2)="SH",(1-L152)+$W$3,"")))&gt;0,IF(RIGHT(H150,2)="PH",(1-L152)+$W$2,IF(RIGHT(H150,2)="HT",(1-L152)+$W$1,IF(RIGHT(H150,2)="SH",(1-L152)+$W$3,""))),0)</f>
        <v>0.25000000000000006</v>
      </c>
      <c r="W152" s="720"/>
      <c r="X152" s="698">
        <f t="shared" ca="1" si="144"/>
        <v>0.3</v>
      </c>
      <c r="Y152" s="698">
        <f t="shared" ca="1" si="197"/>
        <v>6</v>
      </c>
      <c r="Z152" s="698">
        <f t="shared" ca="1" si="198"/>
        <v>2</v>
      </c>
      <c r="AA152" s="698">
        <f t="shared" ca="1" si="199"/>
        <v>1</v>
      </c>
      <c r="AB152" s="698">
        <f t="shared" ca="1" si="200"/>
        <v>0.1</v>
      </c>
      <c r="AC152" s="203"/>
      <c r="AD152" s="81">
        <v>2050</v>
      </c>
      <c r="AE152" s="81"/>
      <c r="AF152" s="705"/>
    </row>
    <row r="153" spans="1:32">
      <c r="B153" s="718" t="s">
        <v>1010</v>
      </c>
      <c r="C153" s="64"/>
      <c r="D153" s="212" t="str">
        <f>"IND"&amp;RIGHT(H153,4)&amp;"GAS"&amp;"N"&amp;RIGHT(E153,1)</f>
        <v>INDTDSHGASN3</v>
      </c>
      <c r="E153" s="261" t="str">
        <f>"Industrial heating technology "&amp;$AJ$12&amp;" "&amp;RIGHT(H153,2)&amp;" - Gas boiler (Hot Water) - new 3"</f>
        <v>Industrial heating technology Transport SH - Gas boiler (Hot Water) - new 3</v>
      </c>
      <c r="F153" s="224" t="s">
        <v>1149</v>
      </c>
      <c r="G153" s="173" t="s">
        <v>2080</v>
      </c>
      <c r="H153" s="174" t="str">
        <f>$AI$15</f>
        <v>ITDSH</v>
      </c>
      <c r="I153" s="174" t="str">
        <f t="shared" si="142"/>
        <v>INDTWH</v>
      </c>
      <c r="J153" s="224">
        <f t="shared" si="145"/>
        <v>2011</v>
      </c>
      <c r="K153" s="299">
        <f>J153</f>
        <v>2011</v>
      </c>
      <c r="L153" s="199">
        <f t="shared" ca="1" si="192"/>
        <v>0.93</v>
      </c>
      <c r="M153" s="199"/>
      <c r="N153" s="81">
        <f ca="1">VLOOKUP($AD153,INDIRECT("'"&amp;$B153&amp;"'!"&amp;"$P$200:$AD$203"),5,FALSE)</f>
        <v>25</v>
      </c>
      <c r="O153" s="723">
        <f t="shared" ca="1" si="193"/>
        <v>0.3250909090909091</v>
      </c>
      <c r="P153" s="723">
        <f t="shared" ca="1" si="194"/>
        <v>1.49E-2</v>
      </c>
      <c r="Q153" s="81">
        <f t="shared" ca="1" si="195"/>
        <v>2.276388888888889</v>
      </c>
      <c r="R153" s="81">
        <v>3.1536000000000002E-2</v>
      </c>
      <c r="S153" s="199">
        <v>0.5</v>
      </c>
      <c r="T153" s="199">
        <f ca="1">HLOOKUP($T$2,INDIRECT("'"&amp;$B153&amp;"'!"&amp;"$P$167:$AC$180"),IF(H153=$AI$13,6,IF(H153=$AI$14,9,14)),FALSE)</f>
        <v>1</v>
      </c>
      <c r="U153" s="772"/>
      <c r="V153" s="199">
        <f t="shared" ref="V153" ca="1" si="203">IF(IF(RIGHT(H153,2)="PH",(1-L153)+$W$2,IF(RIGHT(H153,2)="HT",(1-L153)+$W$1,IF(RIGHT(H153,2)="SH",(1-L153)+$W$3,"")))&gt;0,IF(RIGHT(H153,2)="PH",(1-L153)+$W$2,IF(RIGHT(H153,2)="HT",(1-L153)+$W$1,IF(RIGHT(H153,2)="SH",(1-L153)+$W$3,""))),0)</f>
        <v>6.9999999999999951E-2</v>
      </c>
      <c r="W153" s="298"/>
      <c r="X153" s="698">
        <f t="shared" ca="1" si="144"/>
        <v>0.3</v>
      </c>
      <c r="Y153" s="698">
        <f t="shared" ca="1" si="197"/>
        <v>9</v>
      </c>
      <c r="Z153" s="698">
        <f t="shared" ca="1" si="198"/>
        <v>3</v>
      </c>
      <c r="AA153" s="698">
        <f t="shared" ca="1" si="199"/>
        <v>1</v>
      </c>
      <c r="AB153" s="698">
        <f t="shared" ca="1" si="200"/>
        <v>0.1</v>
      </c>
      <c r="AC153" s="296"/>
      <c r="AD153" s="81">
        <v>2020</v>
      </c>
      <c r="AE153" s="81"/>
      <c r="AF153" s="710"/>
    </row>
    <row r="154" spans="1:32">
      <c r="B154" s="718" t="s">
        <v>1010</v>
      </c>
      <c r="C154" s="64"/>
      <c r="E154" s="261"/>
      <c r="F154" s="224" t="s">
        <v>1149</v>
      </c>
      <c r="G154" s="55"/>
      <c r="H154" s="174"/>
      <c r="I154" s="174" t="str">
        <f t="shared" si="142"/>
        <v>INDTWH</v>
      </c>
      <c r="J154" s="224">
        <f t="shared" si="145"/>
        <v>2030</v>
      </c>
      <c r="K154" s="81"/>
      <c r="L154" s="199">
        <f t="shared" ca="1" si="192"/>
        <v>0.94</v>
      </c>
      <c r="M154" s="199"/>
      <c r="N154" s="81"/>
      <c r="O154" s="723">
        <f t="shared" ca="1" si="193"/>
        <v>0.27090909090909093</v>
      </c>
      <c r="P154" s="723">
        <f t="shared" ca="1" si="194"/>
        <v>1.4154999999999999E-2</v>
      </c>
      <c r="Q154" s="81">
        <f t="shared" ca="1" si="195"/>
        <v>2.0694444444444446</v>
      </c>
      <c r="R154" s="300"/>
      <c r="S154" s="300"/>
      <c r="T154" s="300"/>
      <c r="U154" s="300"/>
      <c r="V154" s="199">
        <f t="shared" ref="V154" ca="1" si="204">IF(IF(RIGHT(H153,2)="PH",(1-L154)+$W$2,IF(RIGHT(H153,2)="HT",(1-L154)+$W$1,IF(RIGHT(H153,2)="SH",(1-L154)+$W$3,"")))&gt;0,IF(RIGHT(H153,2)="PH",(1-L154)+$W$2,IF(RIGHT(H153,2)="HT",(1-L154)+$W$1,IF(RIGHT(H153,2)="SH",(1-L154)+$W$3,""))),0)</f>
        <v>6.0000000000000053E-2</v>
      </c>
      <c r="W154" s="298"/>
      <c r="X154" s="698">
        <f t="shared" ca="1" si="144"/>
        <v>0.3</v>
      </c>
      <c r="Y154" s="698">
        <f t="shared" ca="1" si="197"/>
        <v>7</v>
      </c>
      <c r="Z154" s="698">
        <f t="shared" ca="1" si="198"/>
        <v>2</v>
      </c>
      <c r="AA154" s="698">
        <f t="shared" ca="1" si="199"/>
        <v>1</v>
      </c>
      <c r="AB154" s="698">
        <f t="shared" ca="1" si="200"/>
        <v>0.1</v>
      </c>
      <c r="AC154" s="55"/>
      <c r="AD154" s="81">
        <v>2030</v>
      </c>
      <c r="AE154" s="81"/>
      <c r="AF154" s="700"/>
    </row>
    <row r="155" spans="1:32">
      <c r="A155" s="226"/>
      <c r="B155" s="719" t="s">
        <v>1010</v>
      </c>
      <c r="C155" s="713"/>
      <c r="D155" s="203"/>
      <c r="E155" s="701"/>
      <c r="F155" s="224" t="s">
        <v>1149</v>
      </c>
      <c r="G155" s="203"/>
      <c r="H155" s="702"/>
      <c r="I155" s="702" t="str">
        <f t="shared" si="142"/>
        <v>INDTWH</v>
      </c>
      <c r="J155" s="224">
        <f t="shared" si="145"/>
        <v>2050</v>
      </c>
      <c r="K155" s="81"/>
      <c r="L155" s="199">
        <f t="shared" ca="1" si="192"/>
        <v>0.95</v>
      </c>
      <c r="M155" s="199"/>
      <c r="N155" s="81"/>
      <c r="O155" s="723">
        <f t="shared" ca="1" si="193"/>
        <v>0.27090909090909093</v>
      </c>
      <c r="P155" s="723">
        <f t="shared" ca="1" si="194"/>
        <v>1.2664999999999999E-2</v>
      </c>
      <c r="Q155" s="81">
        <f t="shared" ca="1" si="195"/>
        <v>2.0694444444444446</v>
      </c>
      <c r="R155" s="300"/>
      <c r="S155" s="300"/>
      <c r="T155" s="300"/>
      <c r="U155" s="300"/>
      <c r="V155" s="199">
        <f t="shared" ref="V155" ca="1" si="205">IF(IF(RIGHT(H153,2)="PH",(1-L155)+$W$2,IF(RIGHT(H153,2)="HT",(1-L155)+$W$1,IF(RIGHT(H153,2)="SH",(1-L155)+$W$3,"")))&gt;0,IF(RIGHT(H153,2)="PH",(1-L155)+$W$2,IF(RIGHT(H153,2)="HT",(1-L155)+$W$1,IF(RIGHT(H153,2)="SH",(1-L155)+$W$3,""))),0)</f>
        <v>5.0000000000000044E-2</v>
      </c>
      <c r="W155" s="298"/>
      <c r="X155" s="698">
        <f t="shared" ca="1" si="144"/>
        <v>0.3</v>
      </c>
      <c r="Y155" s="698">
        <f t="shared" ca="1" si="197"/>
        <v>6</v>
      </c>
      <c r="Z155" s="698">
        <f t="shared" ca="1" si="198"/>
        <v>2</v>
      </c>
      <c r="AA155" s="698">
        <f t="shared" ca="1" si="199"/>
        <v>1</v>
      </c>
      <c r="AB155" s="698">
        <f t="shared" ca="1" si="200"/>
        <v>0.1</v>
      </c>
      <c r="AC155" s="55"/>
      <c r="AD155" s="81">
        <v>2050</v>
      </c>
      <c r="AE155" s="81"/>
      <c r="AF155" s="700"/>
    </row>
    <row r="156" spans="1:32">
      <c r="B156" s="718" t="s">
        <v>1010</v>
      </c>
      <c r="C156" s="64"/>
      <c r="D156" s="212" t="str">
        <f>"IND"&amp;RIGHT(H156,4)&amp;"GAS"&amp;"N"&amp;RIGHT(E156,1)</f>
        <v>INDTDPHGASN4</v>
      </c>
      <c r="E156" s="707" t="str">
        <f>"Industrial heating technology "&amp;$AJ$12&amp;" "&amp;RIGHT(H156,2)&amp;" - Gas boiler (Hot Water - condensing) - new 4"</f>
        <v>Industrial heating technology Transport PH - Gas boiler (Hot Water - condensing) - new 4</v>
      </c>
      <c r="F156" s="224" t="s">
        <v>1149</v>
      </c>
      <c r="G156" s="173" t="s">
        <v>2080</v>
      </c>
      <c r="H156" s="708" t="str">
        <f>$AI$14</f>
        <v>ITDPH</v>
      </c>
      <c r="I156" s="708" t="str">
        <f t="shared" si="142"/>
        <v>INDTWH</v>
      </c>
      <c r="J156" s="224">
        <f t="shared" si="145"/>
        <v>2011</v>
      </c>
      <c r="K156" s="299">
        <f>J156</f>
        <v>2011</v>
      </c>
      <c r="L156" s="199">
        <f t="shared" ref="L156:L161" ca="1" si="206">VLOOKUP($AD156,INDIRECT("'"&amp;$B156&amp;"'!"&amp;"$P$279:$AD$282"),3,FALSE)</f>
        <v>1.01</v>
      </c>
      <c r="M156" s="199"/>
      <c r="N156" s="81">
        <f ca="1">VLOOKUP($AD156,INDIRECT("'"&amp;$B156&amp;"'!"&amp;"$P$279:$AD$282"),5,FALSE)</f>
        <v>25</v>
      </c>
      <c r="O156" s="723">
        <f t="shared" ref="O156:O161" ca="1" si="207">VLOOKUP($AD156,INDIRECT("'"&amp;$B156&amp;"'!"&amp;"$P$279:$AD$282"),6,FALSE)/1000</f>
        <v>0.35760000000000003</v>
      </c>
      <c r="P156" s="723">
        <f t="shared" ref="P156:P161" ca="1" si="208">VLOOKUP($AD156,INDIRECT("'"&amp;$B156&amp;"'!"&amp;"$P$279:$AD$282"),7,FALSE)/1000</f>
        <v>1.49E-2</v>
      </c>
      <c r="Q156" s="81">
        <f t="shared" ref="Q156:Q161" ca="1" si="209">VLOOKUP($AD156,INDIRECT("'"&amp;$B156&amp;"'!"&amp;"$P$279:$AD$282"),8,FALSE)</f>
        <v>2.276388888888889</v>
      </c>
      <c r="R156" s="81">
        <v>3.1536000000000002E-2</v>
      </c>
      <c r="S156" s="199">
        <v>0.5</v>
      </c>
      <c r="T156" s="199">
        <f ca="1">HLOOKUP($T$2,INDIRECT("'"&amp;$B156&amp;"'!"&amp;"$P$246:$AC$259"),IF(H156=$AI$13,6,IF(H156=$AI$14,9,14)),FALSE)</f>
        <v>0</v>
      </c>
      <c r="U156" s="773"/>
      <c r="V156" s="199">
        <f t="shared" ref="V156" ca="1" si="210">IF(IF(RIGHT(H156,2)="PH",(1-L156)+$W$2,IF(RIGHT(H156,2)="HT",(1-L156)+$W$1,IF(RIGHT(H156,2)="SH",(1-L156)+$W$3,"")))&gt;0,IF(RIGHT(H156,2)="PH",(1-L156)+$W$2,IF(RIGHT(H156,2)="HT",(1-L156)+$W$1,IF(RIGHT(H156,2)="SH",(1-L156)+$W$3,""))),0)</f>
        <v>0.19</v>
      </c>
      <c r="W156" s="709"/>
      <c r="X156" s="698">
        <f t="shared" ca="1" si="144"/>
        <v>0.3</v>
      </c>
      <c r="Y156" s="698">
        <f t="shared" ref="Y156:Y161" ca="1" si="211">VLOOKUP($AD156,INDIRECT("'"&amp;$B156&amp;"'!"&amp;"$P$279:$AD$282"),12,FALSE)</f>
        <v>9</v>
      </c>
      <c r="Z156" s="698">
        <f t="shared" ref="Z156:Z161" ca="1" si="212">VLOOKUP($AD156,INDIRECT("'"&amp;$B156&amp;"'!"&amp;"$P$279:$AD$282"),13,FALSE)</f>
        <v>3</v>
      </c>
      <c r="AA156" s="698">
        <f t="shared" ref="AA156:AA161" ca="1" si="213">VLOOKUP($AD156,INDIRECT("'"&amp;$B156&amp;"'!"&amp;"$P$279:$AD$282"),14,FALSE)</f>
        <v>1</v>
      </c>
      <c r="AB156" s="698">
        <f t="shared" ref="AB156:AB161" ca="1" si="214">VLOOKUP($AD156,INDIRECT("'"&amp;$B156&amp;"'!"&amp;"$P$279:$AD$282"),15,FALSE)</f>
        <v>0.1</v>
      </c>
      <c r="AC156" s="55"/>
      <c r="AD156" s="81">
        <v>2020</v>
      </c>
      <c r="AE156" s="81"/>
      <c r="AF156" s="700"/>
    </row>
    <row r="157" spans="1:32">
      <c r="B157" s="718" t="s">
        <v>1010</v>
      </c>
      <c r="C157" s="64"/>
      <c r="E157" s="261"/>
      <c r="F157" s="224" t="s">
        <v>1149</v>
      </c>
      <c r="G157" s="55"/>
      <c r="H157" s="174"/>
      <c r="I157" s="174" t="str">
        <f t="shared" si="142"/>
        <v>INDTWH</v>
      </c>
      <c r="J157" s="224">
        <f t="shared" si="145"/>
        <v>2030</v>
      </c>
      <c r="K157" s="81"/>
      <c r="L157" s="199">
        <f t="shared" ca="1" si="206"/>
        <v>1.03</v>
      </c>
      <c r="M157" s="199"/>
      <c r="N157" s="81"/>
      <c r="O157" s="723">
        <f t="shared" ca="1" si="207"/>
        <v>0.29800000000000004</v>
      </c>
      <c r="P157" s="723">
        <f t="shared" ca="1" si="208"/>
        <v>1.4154999999999999E-2</v>
      </c>
      <c r="Q157" s="81">
        <f t="shared" ca="1" si="209"/>
        <v>2.0694444444444446</v>
      </c>
      <c r="R157" s="300"/>
      <c r="S157" s="300"/>
      <c r="T157" s="300"/>
      <c r="U157" s="300"/>
      <c r="V157" s="199">
        <f t="shared" ref="V157" ca="1" si="215">IF(IF(RIGHT(H156,2)="PH",(1-L157)+$W$2,IF(RIGHT(H156,2)="HT",(1-L157)+$W$1,IF(RIGHT(H156,2)="SH",(1-L157)+$W$3,"")))&gt;0,IF(RIGHT(H156,2)="PH",(1-L157)+$W$2,IF(RIGHT(H156,2)="HT",(1-L157)+$W$1,IF(RIGHT(H156,2)="SH",(1-L157)+$W$3,""))),0)</f>
        <v>0.16999999999999998</v>
      </c>
      <c r="W157" s="298"/>
      <c r="X157" s="698">
        <f t="shared" ca="1" si="144"/>
        <v>0.3</v>
      </c>
      <c r="Y157" s="698">
        <f t="shared" ca="1" si="211"/>
        <v>7</v>
      </c>
      <c r="Z157" s="698">
        <f t="shared" ca="1" si="212"/>
        <v>2</v>
      </c>
      <c r="AA157" s="698">
        <f t="shared" ca="1" si="213"/>
        <v>1</v>
      </c>
      <c r="AB157" s="698">
        <f t="shared" ca="1" si="214"/>
        <v>0.1</v>
      </c>
      <c r="AC157" s="55"/>
      <c r="AD157" s="81">
        <v>2030</v>
      </c>
      <c r="AE157" s="81"/>
      <c r="AF157" s="700"/>
    </row>
    <row r="158" spans="1:32">
      <c r="B158" s="718" t="s">
        <v>1010</v>
      </c>
      <c r="C158" s="64"/>
      <c r="E158" s="261"/>
      <c r="F158" s="224" t="s">
        <v>1149</v>
      </c>
      <c r="G158" s="55"/>
      <c r="H158" s="174"/>
      <c r="I158" s="174" t="str">
        <f t="shared" si="142"/>
        <v>INDTWH</v>
      </c>
      <c r="J158" s="224">
        <f t="shared" si="145"/>
        <v>2050</v>
      </c>
      <c r="K158" s="81"/>
      <c r="L158" s="199">
        <f t="shared" ca="1" si="206"/>
        <v>1.03</v>
      </c>
      <c r="M158" s="199"/>
      <c r="N158" s="81"/>
      <c r="O158" s="723">
        <f t="shared" ca="1" si="207"/>
        <v>0.29800000000000004</v>
      </c>
      <c r="P158" s="723">
        <f t="shared" ca="1" si="208"/>
        <v>1.2664999999999999E-2</v>
      </c>
      <c r="Q158" s="81">
        <f t="shared" ca="1" si="209"/>
        <v>2.0694444444444446</v>
      </c>
      <c r="R158" s="300"/>
      <c r="S158" s="300"/>
      <c r="T158" s="300"/>
      <c r="U158" s="300"/>
      <c r="V158" s="199">
        <f t="shared" ref="V158" ca="1" si="216">IF(IF(RIGHT(H156,2)="PH",(1-L158)+$W$2,IF(RIGHT(H156,2)="HT",(1-L158)+$W$1,IF(RIGHT(H156,2)="SH",(1-L158)+$W$3,"")))&gt;0,IF(RIGHT(H156,2)="PH",(1-L158)+$W$2,IF(RIGHT(H156,2)="HT",(1-L158)+$W$1,IF(RIGHT(H156,2)="SH",(1-L158)+$W$3,""))),0)</f>
        <v>0.16999999999999998</v>
      </c>
      <c r="W158" s="298"/>
      <c r="X158" s="698">
        <f t="shared" ca="1" si="144"/>
        <v>0.3</v>
      </c>
      <c r="Y158" s="698">
        <f t="shared" ca="1" si="211"/>
        <v>6</v>
      </c>
      <c r="Z158" s="698">
        <f t="shared" ca="1" si="212"/>
        <v>2</v>
      </c>
      <c r="AA158" s="698">
        <f t="shared" ca="1" si="213"/>
        <v>1</v>
      </c>
      <c r="AB158" s="698">
        <f t="shared" ca="1" si="214"/>
        <v>0.1</v>
      </c>
      <c r="AC158" s="203"/>
      <c r="AD158" s="81">
        <v>2050</v>
      </c>
      <c r="AE158" s="81"/>
      <c r="AF158" s="705"/>
    </row>
    <row r="159" spans="1:32">
      <c r="A159" s="226"/>
      <c r="B159" s="718" t="s">
        <v>1010</v>
      </c>
      <c r="C159" s="64"/>
      <c r="D159" s="212" t="str">
        <f>"IND"&amp;RIGHT(H159,4)&amp;"GAS"&amp;"N"&amp;RIGHT(E159,1)</f>
        <v>INDTDSHGASN4</v>
      </c>
      <c r="E159" s="261" t="str">
        <f>"Industrial heating technology "&amp;$AJ$12&amp;" "&amp;RIGHT(H159,2)&amp;" - Gas boiler (Hot Water- condensing) - new 4"</f>
        <v>Industrial heating technology Transport SH - Gas boiler (Hot Water- condensing) - new 4</v>
      </c>
      <c r="F159" s="224" t="s">
        <v>1149</v>
      </c>
      <c r="G159" s="173" t="s">
        <v>2080</v>
      </c>
      <c r="H159" s="174" t="str">
        <f>$AI$15</f>
        <v>ITDSH</v>
      </c>
      <c r="I159" s="174" t="str">
        <f t="shared" si="142"/>
        <v>INDTWH</v>
      </c>
      <c r="J159" s="224">
        <f t="shared" si="145"/>
        <v>2011</v>
      </c>
      <c r="K159" s="299">
        <f>J159</f>
        <v>2011</v>
      </c>
      <c r="L159" s="199">
        <f t="shared" ca="1" si="206"/>
        <v>1.01</v>
      </c>
      <c r="M159" s="199"/>
      <c r="N159" s="81">
        <f ca="1">VLOOKUP($AD159,INDIRECT("'"&amp;$B159&amp;"'!"&amp;"$P$279:$AD$282"),5,FALSE)</f>
        <v>25</v>
      </c>
      <c r="O159" s="723">
        <f t="shared" ca="1" si="207"/>
        <v>0.35760000000000003</v>
      </c>
      <c r="P159" s="723">
        <f t="shared" ca="1" si="208"/>
        <v>1.49E-2</v>
      </c>
      <c r="Q159" s="81">
        <f t="shared" ca="1" si="209"/>
        <v>2.276388888888889</v>
      </c>
      <c r="R159" s="81">
        <v>3.1536000000000002E-2</v>
      </c>
      <c r="S159" s="199">
        <v>0.5</v>
      </c>
      <c r="T159" s="199">
        <f ca="1">HLOOKUP($T$2,INDIRECT("'"&amp;$B159&amp;"'!"&amp;"$P$246:$AC$259"),IF(H159=$AI$13,6,IF(H159=$AI$14,9,14)),FALSE)</f>
        <v>0</v>
      </c>
      <c r="U159" s="773"/>
      <c r="V159" s="199">
        <f t="shared" ref="V159" ca="1" si="217">IF(IF(RIGHT(H159,2)="PH",(1-L159)+$W$2,IF(RIGHT(H159,2)="HT",(1-L159)+$W$1,IF(RIGHT(H159,2)="SH",(1-L159)+$W$3,"")))&gt;0,IF(RIGHT(H159,2)="PH",(1-L159)+$W$2,IF(RIGHT(H159,2)="HT",(1-L159)+$W$1,IF(RIGHT(H159,2)="SH",(1-L159)+$W$3,""))),0)</f>
        <v>0</v>
      </c>
      <c r="W159" s="709"/>
      <c r="X159" s="698">
        <f t="shared" ref="X159:X177" ca="1" si="218">IF(VLOOKUP($AD159,INDIRECT("'"&amp;$B159&amp;"'!"&amp;"$P$39:$AD$42"),11,FALSE)="Cf. the utilized electricity",0,VLOOKUP($AD159,INDIRECT("'"&amp;$B159&amp;"'!"&amp;"$P$39:$AD$42"),11,FALSE))</f>
        <v>0.3</v>
      </c>
      <c r="Y159" s="698">
        <f t="shared" ca="1" si="211"/>
        <v>9</v>
      </c>
      <c r="Z159" s="698">
        <f t="shared" ca="1" si="212"/>
        <v>3</v>
      </c>
      <c r="AA159" s="698">
        <f t="shared" ca="1" si="213"/>
        <v>1</v>
      </c>
      <c r="AB159" s="698">
        <f t="shared" ca="1" si="214"/>
        <v>0.1</v>
      </c>
      <c r="AC159" s="296"/>
      <c r="AD159" s="81">
        <v>2020</v>
      </c>
      <c r="AE159" s="81"/>
      <c r="AF159" s="710"/>
    </row>
    <row r="160" spans="1:32">
      <c r="B160" s="718" t="s">
        <v>1010</v>
      </c>
      <c r="C160" s="64"/>
      <c r="E160" s="261"/>
      <c r="F160" s="224" t="s">
        <v>1149</v>
      </c>
      <c r="G160" s="55"/>
      <c r="H160" s="174"/>
      <c r="I160" s="174" t="str">
        <f t="shared" si="142"/>
        <v>INDTWH</v>
      </c>
      <c r="J160" s="224">
        <f t="shared" si="145"/>
        <v>2030</v>
      </c>
      <c r="K160" s="81"/>
      <c r="L160" s="199">
        <f t="shared" ca="1" si="206"/>
        <v>1.03</v>
      </c>
      <c r="M160" s="199"/>
      <c r="N160" s="81"/>
      <c r="O160" s="723">
        <f t="shared" ca="1" si="207"/>
        <v>0.29800000000000004</v>
      </c>
      <c r="P160" s="723">
        <f t="shared" ca="1" si="208"/>
        <v>1.4154999999999999E-2</v>
      </c>
      <c r="Q160" s="81">
        <f t="shared" ca="1" si="209"/>
        <v>2.0694444444444446</v>
      </c>
      <c r="R160" s="300"/>
      <c r="S160" s="300"/>
      <c r="T160" s="300"/>
      <c r="U160" s="300"/>
      <c r="V160" s="199">
        <f t="shared" ref="V160" ca="1" si="219">IF(IF(RIGHT(H159,2)="PH",(1-L160)+$W$2,IF(RIGHT(H159,2)="HT",(1-L160)+$W$1,IF(RIGHT(H159,2)="SH",(1-L160)+$W$3,"")))&gt;0,IF(RIGHT(H159,2)="PH",(1-L160)+$W$2,IF(RIGHT(H159,2)="HT",(1-L160)+$W$1,IF(RIGHT(H159,2)="SH",(1-L160)+$W$3,""))),0)</f>
        <v>0</v>
      </c>
      <c r="W160" s="298"/>
      <c r="X160" s="698">
        <f t="shared" ca="1" si="218"/>
        <v>0.3</v>
      </c>
      <c r="Y160" s="698">
        <f t="shared" ca="1" si="211"/>
        <v>7</v>
      </c>
      <c r="Z160" s="698">
        <f t="shared" ca="1" si="212"/>
        <v>2</v>
      </c>
      <c r="AA160" s="698">
        <f t="shared" ca="1" si="213"/>
        <v>1</v>
      </c>
      <c r="AB160" s="698">
        <f t="shared" ca="1" si="214"/>
        <v>0.1</v>
      </c>
      <c r="AC160" s="55"/>
      <c r="AD160" s="81">
        <v>2030</v>
      </c>
      <c r="AE160" s="81"/>
      <c r="AF160" s="700"/>
    </row>
    <row r="161" spans="1:32">
      <c r="B161" s="719" t="s">
        <v>1010</v>
      </c>
      <c r="C161" s="713"/>
      <c r="D161" s="701"/>
      <c r="E161" s="701"/>
      <c r="F161" s="224" t="s">
        <v>1149</v>
      </c>
      <c r="G161" s="203"/>
      <c r="H161" s="702"/>
      <c r="I161" s="702" t="str">
        <f t="shared" si="142"/>
        <v>INDTWH</v>
      </c>
      <c r="J161" s="224">
        <f t="shared" si="145"/>
        <v>2050</v>
      </c>
      <c r="K161" s="81"/>
      <c r="L161" s="199">
        <f t="shared" ca="1" si="206"/>
        <v>1.03</v>
      </c>
      <c r="M161" s="199"/>
      <c r="N161" s="81"/>
      <c r="O161" s="723">
        <f t="shared" ca="1" si="207"/>
        <v>0.29800000000000004</v>
      </c>
      <c r="P161" s="723">
        <f t="shared" ca="1" si="208"/>
        <v>1.2664999999999999E-2</v>
      </c>
      <c r="Q161" s="81">
        <f t="shared" ca="1" si="209"/>
        <v>2.0694444444444446</v>
      </c>
      <c r="R161" s="300"/>
      <c r="S161" s="300"/>
      <c r="T161" s="300"/>
      <c r="U161" s="300"/>
      <c r="V161" s="199">
        <f t="shared" ref="V161" ca="1" si="220">IF(IF(RIGHT(H159,2)="PH",(1-L161)+$W$2,IF(RIGHT(H159,2)="HT",(1-L161)+$W$1,IF(RIGHT(H159,2)="SH",(1-L161)+$W$3,"")))&gt;0,IF(RIGHT(H159,2)="PH",(1-L161)+$W$2,IF(RIGHT(H159,2)="HT",(1-L161)+$W$1,IF(RIGHT(H159,2)="SH",(1-L161)+$W$3,""))),0)</f>
        <v>0</v>
      </c>
      <c r="W161" s="714"/>
      <c r="X161" s="698">
        <f t="shared" ca="1" si="218"/>
        <v>0.3</v>
      </c>
      <c r="Y161" s="698">
        <f t="shared" ca="1" si="211"/>
        <v>6</v>
      </c>
      <c r="Z161" s="698">
        <f t="shared" ca="1" si="212"/>
        <v>2</v>
      </c>
      <c r="AA161" s="698">
        <f t="shared" ca="1" si="213"/>
        <v>1</v>
      </c>
      <c r="AB161" s="698">
        <f t="shared" ca="1" si="214"/>
        <v>0.1</v>
      </c>
      <c r="AC161" s="55"/>
      <c r="AD161" s="81">
        <v>2050</v>
      </c>
      <c r="AE161" s="81"/>
      <c r="AF161" s="700"/>
    </row>
    <row r="162" spans="1:32">
      <c r="B162" s="718" t="s">
        <v>1010</v>
      </c>
      <c r="C162" s="64"/>
      <c r="D162" s="212" t="str">
        <f>"IND"&amp;RIGHT(H162,4)&amp;"GAS"&amp;"N"&amp;RIGHT(E162,1)</f>
        <v>INDTDPHGASN5</v>
      </c>
      <c r="E162" s="707" t="str">
        <f>"Industrial heating technology "&amp;$AJ$12&amp;" "&amp;RIGHT(H162,2)&amp;" - Gas boiler (Direct firing) - new 5"</f>
        <v>Industrial heating technology Transport PH - Gas boiler (Direct firing) - new 5</v>
      </c>
      <c r="F162" s="224" t="s">
        <v>1149</v>
      </c>
      <c r="G162" s="173" t="s">
        <v>2080</v>
      </c>
      <c r="H162" s="174" t="str">
        <f>$AI$13</f>
        <v>ITDPH</v>
      </c>
      <c r="I162" s="174" t="str">
        <f t="shared" si="142"/>
        <v>INDTWH</v>
      </c>
      <c r="J162" s="224">
        <f t="shared" si="145"/>
        <v>2011</v>
      </c>
      <c r="K162" s="299">
        <f>J162</f>
        <v>2011</v>
      </c>
      <c r="L162" s="199">
        <f t="shared" ref="L162:L167" ca="1" si="221">VLOOKUP($AD162,INDIRECT("'"&amp;$B162&amp;"'!"&amp;"$P$345:$AD$348"),3,FALSE)</f>
        <v>1</v>
      </c>
      <c r="M162" s="199"/>
      <c r="N162" s="81">
        <f ca="1">VLOOKUP($AD162,INDIRECT("'"&amp;$B162&amp;"'!"&amp;"$P$345:$AD$348"),5,FALSE)</f>
        <v>15</v>
      </c>
      <c r="O162" s="723">
        <f t="shared" ref="O162:O167" ca="1" si="222">VLOOKUP($AD162,INDIRECT("'"&amp;$B162&amp;"'!"&amp;"$P$345:$AD$348"),6,FALSE)/1000</f>
        <v>0.11175</v>
      </c>
      <c r="P162" s="723">
        <f t="shared" ref="P162:P167" ca="1" si="223">VLOOKUP($AD162,INDIRECT("'"&amp;$B162&amp;"'!"&amp;"$P$345:$AD$348"),7,FALSE)/1000</f>
        <v>1.3545454545454561E-3</v>
      </c>
      <c r="Q162" s="81">
        <f t="shared" ref="Q162:Q167" ca="1" si="224">VLOOKUP($AD162,INDIRECT("'"&amp;$B162&amp;"'!"&amp;"$P$345:$AD$348"),8,FALSE)</f>
        <v>0.58461805555555546</v>
      </c>
      <c r="R162" s="81">
        <v>3.1536000000000002E-2</v>
      </c>
      <c r="S162" s="199">
        <v>0.5</v>
      </c>
      <c r="T162" s="199">
        <f ca="1">HLOOKUP($S$2,INDIRECT("'"&amp;$B162&amp;"'!"&amp;"$P$312:$AC$325"),IF(H162=$AI$13,6,IF(H162=$AI$14,9,14)),FALSE)</f>
        <v>1</v>
      </c>
      <c r="U162" s="773"/>
      <c r="V162" s="199">
        <f t="shared" ref="V162" ca="1" si="225">IF(IF(RIGHT(H162,2)="PH",(1-L162)+$W$2,IF(RIGHT(H162,2)="HT",(1-L162)+$W$1,IF(RIGHT(H162,2)="SH",(1-L162)+$W$3,"")))&gt;0,IF(RIGHT(H162,2)="PH",(1-L162)+$W$2,IF(RIGHT(H162,2)="HT",(1-L162)+$W$1,IF(RIGHT(H162,2)="SH",(1-L162)+$W$3,""))),0)</f>
        <v>0.2</v>
      </c>
      <c r="W162" s="709"/>
      <c r="X162" s="698">
        <f t="shared" ca="1" si="218"/>
        <v>0.3</v>
      </c>
      <c r="Y162" s="698">
        <f t="shared" ref="Y162:Y167" ca="1" si="226">VLOOKUP($AD162,INDIRECT("'"&amp;$B162&amp;"'!"&amp;"$P$345:$AD$348"),12,FALSE)</f>
        <v>9</v>
      </c>
      <c r="Z162" s="698">
        <f t="shared" ref="Z162:Z167" ca="1" si="227">VLOOKUP($AD162,INDIRECT("'"&amp;$B162&amp;"'!"&amp;"$P$345:$AD$348"),13,FALSE)</f>
        <v>3</v>
      </c>
      <c r="AA162" s="698">
        <f t="shared" ref="AA162:AA167" ca="1" si="228">VLOOKUP($AD162,INDIRECT("'"&amp;$B162&amp;"'!"&amp;"$P$345:$AD$348"),14,FALSE)</f>
        <v>1</v>
      </c>
      <c r="AB162" s="698">
        <f t="shared" ref="AB162:AB167" ca="1" si="229">VLOOKUP($AD162,INDIRECT("'"&amp;$B162&amp;"'!"&amp;"$P$345:$AD$348"),15,FALSE)</f>
        <v>0.1</v>
      </c>
      <c r="AC162" s="55"/>
      <c r="AD162" s="81">
        <v>2020</v>
      </c>
      <c r="AE162" s="81"/>
      <c r="AF162" s="700"/>
    </row>
    <row r="163" spans="1:32">
      <c r="B163" s="718" t="s">
        <v>1010</v>
      </c>
      <c r="C163" s="64"/>
      <c r="E163" s="261"/>
      <c r="F163" s="224" t="s">
        <v>1149</v>
      </c>
      <c r="G163" s="55"/>
      <c r="H163" s="174"/>
      <c r="I163" s="174" t="str">
        <f t="shared" si="142"/>
        <v>INDTWH</v>
      </c>
      <c r="J163" s="224">
        <f t="shared" si="145"/>
        <v>2030</v>
      </c>
      <c r="K163" s="81"/>
      <c r="L163" s="199">
        <f t="shared" ca="1" si="221"/>
        <v>1</v>
      </c>
      <c r="M163" s="199"/>
      <c r="N163" s="81"/>
      <c r="O163" s="723">
        <f t="shared" ca="1" si="222"/>
        <v>0.11175</v>
      </c>
      <c r="P163" s="723">
        <f t="shared" ca="1" si="223"/>
        <v>1.3206818181818161E-3</v>
      </c>
      <c r="Q163" s="81">
        <f t="shared" ca="1" si="224"/>
        <v>0.5742708333333334</v>
      </c>
      <c r="R163" s="300"/>
      <c r="S163" s="300"/>
      <c r="T163" s="300"/>
      <c r="U163" s="300"/>
      <c r="V163" s="199">
        <f t="shared" ref="V163" ca="1" si="230">IF(IF(RIGHT(H162,2)="PH",(1-L163)+$W$2,IF(RIGHT(H162,2)="HT",(1-L163)+$W$1,IF(RIGHT(H162,2)="SH",(1-L163)+$W$3,"")))&gt;0,IF(RIGHT(H162,2)="PH",(1-L163)+$W$2,IF(RIGHT(H162,2)="HT",(1-L163)+$W$1,IF(RIGHT(H162,2)="SH",(1-L163)+$W$3,""))),0)</f>
        <v>0.2</v>
      </c>
      <c r="W163" s="298"/>
      <c r="X163" s="698">
        <f t="shared" ca="1" si="218"/>
        <v>0.3</v>
      </c>
      <c r="Y163" s="698">
        <f t="shared" ca="1" si="226"/>
        <v>7</v>
      </c>
      <c r="Z163" s="698">
        <f t="shared" ca="1" si="227"/>
        <v>2</v>
      </c>
      <c r="AA163" s="698">
        <f t="shared" ca="1" si="228"/>
        <v>1</v>
      </c>
      <c r="AB163" s="698">
        <f t="shared" ca="1" si="229"/>
        <v>0.1</v>
      </c>
      <c r="AC163" s="55"/>
      <c r="AD163" s="81">
        <v>2030</v>
      </c>
      <c r="AE163" s="81"/>
      <c r="AF163" s="700"/>
    </row>
    <row r="164" spans="1:32">
      <c r="B164" s="718" t="s">
        <v>1010</v>
      </c>
      <c r="C164" s="64"/>
      <c r="E164" s="261"/>
      <c r="F164" s="224" t="s">
        <v>1149</v>
      </c>
      <c r="G164" s="55"/>
      <c r="H164" s="174"/>
      <c r="I164" s="174" t="str">
        <f t="shared" si="142"/>
        <v>INDTWH</v>
      </c>
      <c r="J164" s="224">
        <f t="shared" si="145"/>
        <v>2050</v>
      </c>
      <c r="K164" s="81"/>
      <c r="L164" s="199">
        <f t="shared" ca="1" si="221"/>
        <v>1</v>
      </c>
      <c r="M164" s="199"/>
      <c r="N164" s="81"/>
      <c r="O164" s="723">
        <f t="shared" ca="1" si="222"/>
        <v>0.11175</v>
      </c>
      <c r="P164" s="723">
        <f t="shared" ca="1" si="223"/>
        <v>1.1513636363636396E-3</v>
      </c>
      <c r="Q164" s="81">
        <f t="shared" ca="1" si="224"/>
        <v>0.57944444444444443</v>
      </c>
      <c r="R164" s="300"/>
      <c r="S164" s="300"/>
      <c r="T164" s="300"/>
      <c r="U164" s="300"/>
      <c r="V164" s="199">
        <f t="shared" ref="V164" ca="1" si="231">IF(IF(RIGHT(H162,2)="PH",(1-L164)+$W$2,IF(RIGHT(H162,2)="HT",(1-L164)+$W$1,IF(RIGHT(H162,2)="SH",(1-L164)+$W$3,"")))&gt;0,IF(RIGHT(H162,2)="PH",(1-L164)+$W$2,IF(RIGHT(H162,2)="HT",(1-L164)+$W$1,IF(RIGHT(H162,2)="SH",(1-L164)+$W$3,""))),0)</f>
        <v>0.2</v>
      </c>
      <c r="W164" s="298"/>
      <c r="X164" s="698">
        <f t="shared" ca="1" si="218"/>
        <v>0.3</v>
      </c>
      <c r="Y164" s="698">
        <f t="shared" ca="1" si="226"/>
        <v>6</v>
      </c>
      <c r="Z164" s="698">
        <f t="shared" ca="1" si="227"/>
        <v>2</v>
      </c>
      <c r="AA164" s="698">
        <f t="shared" ca="1" si="228"/>
        <v>1</v>
      </c>
      <c r="AB164" s="698">
        <f t="shared" ca="1" si="229"/>
        <v>0.1</v>
      </c>
      <c r="AC164" s="203"/>
      <c r="AD164" s="81">
        <v>2050</v>
      </c>
      <c r="AE164" s="81"/>
      <c r="AF164" s="700"/>
    </row>
    <row r="165" spans="1:32">
      <c r="B165" s="718" t="s">
        <v>1010</v>
      </c>
      <c r="C165" s="64"/>
      <c r="D165" s="212" t="str">
        <f>"IND"&amp;RIGHT(H165,4)&amp;"GAS"&amp;"N"&amp;RIGHT(E165,1)</f>
        <v>INDTDPHGASN5</v>
      </c>
      <c r="E165" s="261" t="str">
        <f>"Industrial heating technology "&amp;$AJ$12&amp;" "&amp;RIGHT(H165,2)&amp;" - Gas boiler (Direct firing) - new 5"</f>
        <v>Industrial heating technology Transport PH - Gas boiler (Direct firing) - new 5</v>
      </c>
      <c r="F165" s="224" t="s">
        <v>1149</v>
      </c>
      <c r="G165" s="173" t="s">
        <v>2080</v>
      </c>
      <c r="H165" s="174" t="str">
        <f>$AI$14</f>
        <v>ITDPH</v>
      </c>
      <c r="I165" s="721" t="str">
        <f t="shared" si="142"/>
        <v>INDTWH</v>
      </c>
      <c r="J165" s="224">
        <f t="shared" si="145"/>
        <v>2011</v>
      </c>
      <c r="K165" s="299">
        <f>J165</f>
        <v>2011</v>
      </c>
      <c r="L165" s="199">
        <f t="shared" ca="1" si="221"/>
        <v>1</v>
      </c>
      <c r="M165" s="199"/>
      <c r="N165" s="81">
        <f ca="1">VLOOKUP($AD165,INDIRECT("'"&amp;$B165&amp;"'!"&amp;"$P$279:$AD$282"),5,FALSE)</f>
        <v>25</v>
      </c>
      <c r="O165" s="723">
        <f t="shared" ca="1" si="222"/>
        <v>0.11175</v>
      </c>
      <c r="P165" s="723">
        <f t="shared" ca="1" si="223"/>
        <v>1.3545454545454561E-3</v>
      </c>
      <c r="Q165" s="81">
        <f t="shared" ca="1" si="224"/>
        <v>0.58461805555555546</v>
      </c>
      <c r="R165" s="81">
        <v>3.1536000000000002E-2</v>
      </c>
      <c r="S165" s="199">
        <v>0.5</v>
      </c>
      <c r="T165" s="199">
        <f ca="1">HLOOKUP($S$2,INDIRECT("'"&amp;$B165&amp;"'!"&amp;"$P$312:$AC$325"),IF(H165=$AI$13,6,IF(H165=$AI$14,9,14)),FALSE)</f>
        <v>1</v>
      </c>
      <c r="U165" s="773"/>
      <c r="V165" s="199">
        <f t="shared" ref="V165" ca="1" si="232">IF(IF(RIGHT(H165,2)="PH",(1-L165)+$W$2,IF(RIGHT(H165,2)="HT",(1-L165)+$W$1,IF(RIGHT(H165,2)="SH",(1-L165)+$W$3,"")))&gt;0,IF(RIGHT(H165,2)="PH",(1-L165)+$W$2,IF(RIGHT(H165,2)="HT",(1-L165)+$W$1,IF(RIGHT(H165,2)="SH",(1-L165)+$W$3,""))),0)</f>
        <v>0.2</v>
      </c>
      <c r="W165" s="709"/>
      <c r="X165" s="698">
        <f t="shared" ca="1" si="218"/>
        <v>0.3</v>
      </c>
      <c r="Y165" s="698">
        <f t="shared" ca="1" si="226"/>
        <v>9</v>
      </c>
      <c r="Z165" s="698">
        <f t="shared" ca="1" si="227"/>
        <v>3</v>
      </c>
      <c r="AA165" s="698">
        <f t="shared" ca="1" si="228"/>
        <v>1</v>
      </c>
      <c r="AB165" s="698">
        <f t="shared" ca="1" si="229"/>
        <v>0.1</v>
      </c>
      <c r="AD165" s="277">
        <v>2020</v>
      </c>
      <c r="AE165" s="273"/>
      <c r="AF165" s="830"/>
    </row>
    <row r="166" spans="1:32">
      <c r="B166" s="718" t="s">
        <v>1010</v>
      </c>
      <c r="C166" s="64"/>
      <c r="E166" s="261"/>
      <c r="F166" s="224" t="s">
        <v>1149</v>
      </c>
      <c r="G166" s="55"/>
      <c r="H166" s="174"/>
      <c r="I166" s="174" t="str">
        <f t="shared" si="142"/>
        <v>INDTWH</v>
      </c>
      <c r="J166" s="224">
        <f t="shared" si="145"/>
        <v>2030</v>
      </c>
      <c r="K166" s="81"/>
      <c r="L166" s="199">
        <f t="shared" ca="1" si="221"/>
        <v>1</v>
      </c>
      <c r="M166" s="199"/>
      <c r="N166" s="81"/>
      <c r="O166" s="723">
        <f t="shared" ca="1" si="222"/>
        <v>0.11175</v>
      </c>
      <c r="P166" s="723">
        <f t="shared" ca="1" si="223"/>
        <v>1.3206818181818161E-3</v>
      </c>
      <c r="Q166" s="81">
        <f t="shared" ca="1" si="224"/>
        <v>0.5742708333333334</v>
      </c>
      <c r="R166" s="300"/>
      <c r="S166" s="300"/>
      <c r="T166" s="300"/>
      <c r="U166" s="300"/>
      <c r="V166" s="199">
        <f t="shared" ref="V166" ca="1" si="233">IF(IF(RIGHT(H165,2)="PH",(1-L166)+$W$2,IF(RIGHT(H165,2)="HT",(1-L166)+$W$1,IF(RIGHT(H165,2)="SH",(1-L166)+$W$3,"")))&gt;0,IF(RIGHT(H165,2)="PH",(1-L166)+$W$2,IF(RIGHT(H165,2)="HT",(1-L166)+$W$1,IF(RIGHT(H165,2)="SH",(1-L166)+$W$3,""))),0)</f>
        <v>0.2</v>
      </c>
      <c r="W166" s="298"/>
      <c r="X166" s="698">
        <f t="shared" ca="1" si="218"/>
        <v>0.3</v>
      </c>
      <c r="Y166" s="698">
        <f t="shared" ca="1" si="226"/>
        <v>7</v>
      </c>
      <c r="Z166" s="698">
        <f t="shared" ca="1" si="227"/>
        <v>2</v>
      </c>
      <c r="AA166" s="698">
        <f t="shared" ca="1" si="228"/>
        <v>1</v>
      </c>
      <c r="AB166" s="698">
        <f t="shared" ca="1" si="229"/>
        <v>0.1</v>
      </c>
      <c r="AD166" s="81">
        <v>2030</v>
      </c>
      <c r="AE166" s="273"/>
      <c r="AF166" s="828"/>
    </row>
    <row r="167" spans="1:32">
      <c r="A167" s="169"/>
      <c r="B167" s="719" t="s">
        <v>1010</v>
      </c>
      <c r="C167" s="713"/>
      <c r="D167" s="701"/>
      <c r="E167" s="701"/>
      <c r="F167" s="224" t="s">
        <v>1149</v>
      </c>
      <c r="G167" s="203"/>
      <c r="H167" s="702"/>
      <c r="I167" s="702" t="str">
        <f t="shared" si="142"/>
        <v>INDTWH</v>
      </c>
      <c r="J167" s="224">
        <f t="shared" si="145"/>
        <v>2050</v>
      </c>
      <c r="K167" s="81"/>
      <c r="L167" s="199">
        <f t="shared" ca="1" si="221"/>
        <v>1</v>
      </c>
      <c r="M167" s="199"/>
      <c r="N167" s="81"/>
      <c r="O167" s="723">
        <f t="shared" ca="1" si="222"/>
        <v>0.11175</v>
      </c>
      <c r="P167" s="723">
        <f t="shared" ca="1" si="223"/>
        <v>1.1513636363636396E-3</v>
      </c>
      <c r="Q167" s="81">
        <f t="shared" ca="1" si="224"/>
        <v>0.57944444444444443</v>
      </c>
      <c r="R167" s="722"/>
      <c r="S167" s="703"/>
      <c r="T167" s="703"/>
      <c r="U167" s="703"/>
      <c r="V167" s="199">
        <f t="shared" ref="V167" ca="1" si="234">IF(IF(RIGHT(H165,2)="PH",(1-L167)+$W$2,IF(RIGHT(H165,2)="HT",(1-L167)+$W$1,IF(RIGHT(H165,2)="SH",(1-L167)+$W$3,"")))&gt;0,IF(RIGHT(H165,2)="PH",(1-L167)+$W$2,IF(RIGHT(H165,2)="HT",(1-L167)+$W$1,IF(RIGHT(H165,2)="SH",(1-L167)+$W$3,""))),0)</f>
        <v>0.2</v>
      </c>
      <c r="W167" s="714"/>
      <c r="X167" s="698">
        <f t="shared" ca="1" si="218"/>
        <v>0.3</v>
      </c>
      <c r="Y167" s="698">
        <f t="shared" ca="1" si="226"/>
        <v>6</v>
      </c>
      <c r="Z167" s="698">
        <f t="shared" ca="1" si="227"/>
        <v>2</v>
      </c>
      <c r="AA167" s="698">
        <f t="shared" ca="1" si="228"/>
        <v>1</v>
      </c>
      <c r="AB167" s="698">
        <f t="shared" ca="1" si="229"/>
        <v>0.1</v>
      </c>
      <c r="AD167" s="81">
        <v>2050</v>
      </c>
      <c r="AE167" s="273"/>
      <c r="AF167" s="828"/>
    </row>
    <row r="168" spans="1:32">
      <c r="A168" s="169"/>
      <c r="B168" s="718" t="s">
        <v>1099</v>
      </c>
      <c r="C168" s="226"/>
      <c r="D168" s="707" t="str">
        <f>"IND"&amp;RIGHT(H168,4)&amp;RIGHT(G168,3)&amp;"N"&amp;RIGHT(E168,1)</f>
        <v>INDTDPHCOAN1</v>
      </c>
      <c r="E168" s="261" t="str">
        <f>"Industrial heating technology "&amp;$AJ$12&amp;" "&amp;RIGHT(H168,2)&amp;" - Coal boiler (Steam) - new 1"</f>
        <v>Industrial heating technology Transport PH - Coal boiler (Steam) - new 1</v>
      </c>
      <c r="F168" s="224" t="s">
        <v>1149</v>
      </c>
      <c r="G168" s="55" t="s">
        <v>617</v>
      </c>
      <c r="H168" s="174" t="str">
        <f>$AI$13</f>
        <v>ITDPH</v>
      </c>
      <c r="I168" s="174" t="str">
        <f t="shared" si="142"/>
        <v>INDTWH</v>
      </c>
      <c r="J168" s="224">
        <f t="shared" si="145"/>
        <v>2011</v>
      </c>
      <c r="K168" s="299">
        <v>2025</v>
      </c>
      <c r="L168" s="199">
        <f t="shared" ref="L168:L176" ca="1" si="235">VLOOKUP($AD168,INDIRECT("'"&amp;$B168&amp;"'!"&amp;"$P$39:$AD$42"),3,FALSE)</f>
        <v>0.89</v>
      </c>
      <c r="M168" s="699"/>
      <c r="N168" s="299">
        <f ca="1">VLOOKUP($AD168,INDIRECT("'"&amp;$B168&amp;"'!"&amp;"$P$39:$AD$42"),5,FALSE)</f>
        <v>25</v>
      </c>
      <c r="O168" s="725">
        <f t="shared" ref="O168:O176" ca="1" si="236">VLOOKUP($AD168,INDIRECT("'"&amp;$B168&amp;"'!"&amp;"$P$39:$AD$42"),6,FALSE)/1000</f>
        <v>3.7250000000000001</v>
      </c>
      <c r="P168" s="725">
        <f t="shared" ref="P168:P176" ca="1" si="237">VLOOKUP($AD168,INDIRECT("'"&amp;$B168&amp;"'!"&amp;"$P$39:$AD$42"),7,FALSE)/1000</f>
        <v>0.25106499999999998</v>
      </c>
      <c r="Q168" s="299">
        <f t="shared" ref="Q168:Q176" ca="1" si="238">VLOOKUP($AD168,INDIRECT("'"&amp;$B168&amp;"'!"&amp;"$P$39:$AD$42"),8,FALSE)</f>
        <v>3.9381527777777778</v>
      </c>
      <c r="R168" s="299">
        <v>3.1536000000000002E-2</v>
      </c>
      <c r="S168" s="699">
        <v>0.5</v>
      </c>
      <c r="T168" s="699">
        <f ca="1">HLOOKUP($T$2,INDIRECT("'"&amp;$B168&amp;"'!"&amp;"$P$6:$AC$19"),IF(H168=$AI$13,6,IF(H168=$AI$14,9,14)),FALSE)</f>
        <v>1</v>
      </c>
      <c r="U168" s="772"/>
      <c r="V168" s="199">
        <f t="shared" ref="V168" ca="1" si="239">IF(IF(RIGHT(H168,2)="PH",(1-L168)+$W$2,IF(RIGHT(H168,2)="HT",(1-L168)+$W$1,IF(RIGHT(H168,2)="SH",(1-L168)+$W$3,"")))&gt;0,IF(RIGHT(H168,2)="PH",(1-L168)+$W$2,IF(RIGHT(H168,2)="HT",(1-L168)+$W$1,IF(RIGHT(H168,2)="SH",(1-L168)+$W$3,""))),0)</f>
        <v>0.31</v>
      </c>
      <c r="W168" s="298"/>
      <c r="X168" s="698">
        <f t="shared" ca="1" si="218"/>
        <v>8</v>
      </c>
      <c r="Y168" s="299">
        <f t="shared" ref="Y168:Y176" ca="1" si="240">VLOOKUP($AD168,INDIRECT("'"&amp;$B168&amp;"'!"&amp;"$P$39:$AD$42"),12,FALSE)</f>
        <v>35</v>
      </c>
      <c r="Z168" s="299">
        <f t="shared" ref="Z168:Z176" ca="1" si="241">VLOOKUP($AD168,INDIRECT("'"&amp;$B168&amp;"'!"&amp;"$P$39:$AD$42"),13,FALSE)</f>
        <v>1.5</v>
      </c>
      <c r="AA168" s="299">
        <f t="shared" ref="AA168:AA176" ca="1" si="242">VLOOKUP($AD168,INDIRECT("'"&amp;$B168&amp;"'!"&amp;"$P$39:$AD$42"),14,FALSE)</f>
        <v>0.8</v>
      </c>
      <c r="AB168" s="299">
        <f t="shared" ref="AB168:AB176" ca="1" si="243">VLOOKUP($AD168,INDIRECT("'"&amp;$B168&amp;"'!"&amp;"$P$39:$AD$42"),15,FALSE)</f>
        <v>2.1</v>
      </c>
      <c r="AD168" s="81">
        <v>2020</v>
      </c>
      <c r="AE168" s="273"/>
      <c r="AF168" s="828"/>
    </row>
    <row r="169" spans="1:32">
      <c r="A169" s="169"/>
      <c r="B169" s="718" t="s">
        <v>1099</v>
      </c>
      <c r="C169" s="226"/>
      <c r="D169" s="261"/>
      <c r="E169" s="261"/>
      <c r="F169" s="224" t="s">
        <v>1149</v>
      </c>
      <c r="G169" s="55"/>
      <c r="H169" s="174"/>
      <c r="I169" s="174" t="str">
        <f t="shared" si="142"/>
        <v>INDTWH</v>
      </c>
      <c r="J169" s="224">
        <f t="shared" si="145"/>
        <v>2030</v>
      </c>
      <c r="K169" s="81"/>
      <c r="L169" s="199">
        <f t="shared" ca="1" si="235"/>
        <v>0.89</v>
      </c>
      <c r="M169" s="772"/>
      <c r="N169" s="200"/>
      <c r="O169" s="725">
        <f t="shared" ca="1" si="236"/>
        <v>3.4699403462447704</v>
      </c>
      <c r="P169" s="725">
        <f t="shared" ca="1" si="237"/>
        <v>0.24287</v>
      </c>
      <c r="Q169" s="299">
        <f t="shared" ca="1" si="238"/>
        <v>3.9836805555555559</v>
      </c>
      <c r="R169" s="823"/>
      <c r="S169" s="300"/>
      <c r="T169" s="300"/>
      <c r="U169" s="300"/>
      <c r="V169" s="199">
        <f t="shared" ref="V169" ca="1" si="244">IF(IF(RIGHT(H168,2)="PH",(1-L169)+$W$2,IF(RIGHT(H168,2)="HT",(1-L169)+$W$1,IF(RIGHT(H168,2)="SH",(1-L169)+$W$3,"")))&gt;0,IF(RIGHT(H168,2)="PH",(1-L169)+$W$2,IF(RIGHT(H168,2)="HT",(1-L169)+$W$1,IF(RIGHT(H168,2)="SH",(1-L169)+$W$3,""))),0)</f>
        <v>0.31</v>
      </c>
      <c r="W169" s="298"/>
      <c r="X169" s="698">
        <f t="shared" ca="1" si="218"/>
        <v>8</v>
      </c>
      <c r="Y169" s="299">
        <f t="shared" ca="1" si="240"/>
        <v>35</v>
      </c>
      <c r="Z169" s="299">
        <f t="shared" ca="1" si="241"/>
        <v>1.5</v>
      </c>
      <c r="AA169" s="299">
        <f t="shared" ca="1" si="242"/>
        <v>0.8</v>
      </c>
      <c r="AB169" s="299">
        <f t="shared" ca="1" si="243"/>
        <v>2.1</v>
      </c>
      <c r="AD169" s="81">
        <v>2030</v>
      </c>
      <c r="AE169" s="273"/>
      <c r="AF169" s="828"/>
    </row>
    <row r="170" spans="1:32">
      <c r="A170" s="169"/>
      <c r="B170" s="718" t="s">
        <v>1099</v>
      </c>
      <c r="C170" s="226"/>
      <c r="D170" s="261"/>
      <c r="E170" s="261"/>
      <c r="F170" s="224" t="s">
        <v>1149</v>
      </c>
      <c r="G170" s="55"/>
      <c r="H170" s="174"/>
      <c r="I170" s="174" t="str">
        <f t="shared" si="142"/>
        <v>INDTWH</v>
      </c>
      <c r="J170" s="224">
        <f t="shared" si="145"/>
        <v>2050</v>
      </c>
      <c r="K170" s="81"/>
      <c r="L170" s="199">
        <f t="shared" ca="1" si="235"/>
        <v>0.91</v>
      </c>
      <c r="M170" s="772"/>
      <c r="N170" s="200"/>
      <c r="O170" s="725">
        <f t="shared" ca="1" si="236"/>
        <v>3.2813985758696647</v>
      </c>
      <c r="P170" s="725">
        <f t="shared" ca="1" si="237"/>
        <v>0.22797000000000001</v>
      </c>
      <c r="Q170" s="299">
        <f t="shared" ca="1" si="238"/>
        <v>4.0064444444444449</v>
      </c>
      <c r="R170" s="823"/>
      <c r="S170" s="300"/>
      <c r="T170" s="300"/>
      <c r="U170" s="300"/>
      <c r="V170" s="199">
        <f t="shared" ref="V170" ca="1" si="245">IF(IF(RIGHT(H168,2)="PH",(1-L170)+$W$2,IF(RIGHT(H168,2)="HT",(1-L170)+$W$1,IF(RIGHT(H168,2)="SH",(1-L170)+$W$3,"")))&gt;0,IF(RIGHT(H168,2)="PH",(1-L170)+$W$2,IF(RIGHT(H168,2)="HT",(1-L170)+$W$1,IF(RIGHT(H168,2)="SH",(1-L170)+$W$3,""))),0)</f>
        <v>0.28999999999999998</v>
      </c>
      <c r="W170" s="298"/>
      <c r="X170" s="698">
        <f t="shared" ca="1" si="218"/>
        <v>8</v>
      </c>
      <c r="Y170" s="299">
        <f t="shared" ca="1" si="240"/>
        <v>35</v>
      </c>
      <c r="Z170" s="299">
        <f t="shared" ca="1" si="241"/>
        <v>1.5</v>
      </c>
      <c r="AA170" s="299">
        <f t="shared" ca="1" si="242"/>
        <v>0.8</v>
      </c>
      <c r="AB170" s="299">
        <f t="shared" ca="1" si="243"/>
        <v>2.1</v>
      </c>
      <c r="AD170" s="81">
        <v>2050</v>
      </c>
      <c r="AE170" s="273"/>
      <c r="AF170" s="828"/>
    </row>
    <row r="171" spans="1:32">
      <c r="A171" s="169"/>
      <c r="B171" s="718" t="s">
        <v>1099</v>
      </c>
      <c r="C171" s="226"/>
      <c r="D171" s="261" t="str">
        <f>"IND"&amp;RIGHT(H171,4)&amp;RIGHT(G171,3)&amp;"N"&amp;RIGHT(E171,1)</f>
        <v>INDTDPHCOAN1</v>
      </c>
      <c r="E171" s="261" t="str">
        <f>"Industrial heating technology "&amp;$AJ$12&amp;" "&amp;RIGHT(H171,2)&amp;" - Coal boiler (Steam) - new 1"</f>
        <v>Industrial heating technology Transport PH - Coal boiler (Steam) - new 1</v>
      </c>
      <c r="F171" s="224" t="s">
        <v>1149</v>
      </c>
      <c r="G171" s="55" t="s">
        <v>617</v>
      </c>
      <c r="H171" s="174" t="str">
        <f>$AI$14</f>
        <v>ITDPH</v>
      </c>
      <c r="I171" s="174" t="str">
        <f t="shared" si="142"/>
        <v>INDTWH</v>
      </c>
      <c r="J171" s="224">
        <f t="shared" si="145"/>
        <v>2011</v>
      </c>
      <c r="K171" s="299">
        <v>2025</v>
      </c>
      <c r="L171" s="199">
        <f t="shared" ca="1" si="235"/>
        <v>0.89</v>
      </c>
      <c r="M171" s="199"/>
      <c r="N171" s="81">
        <f ca="1">VLOOKUP($AD171,INDIRECT("'"&amp;$B171&amp;"'!"&amp;"$P$39:$AD$42"),5,FALSE)</f>
        <v>25</v>
      </c>
      <c r="O171" s="725">
        <f t="shared" ca="1" si="236"/>
        <v>3.7250000000000001</v>
      </c>
      <c r="P171" s="725">
        <f t="shared" ca="1" si="237"/>
        <v>0.25106499999999998</v>
      </c>
      <c r="Q171" s="299">
        <f t="shared" ca="1" si="238"/>
        <v>3.9381527777777778</v>
      </c>
      <c r="R171" s="81">
        <v>3.1536000000000002E-2</v>
      </c>
      <c r="S171" s="199">
        <v>0.5</v>
      </c>
      <c r="T171" s="199">
        <f ca="1">HLOOKUP($T$2,INDIRECT("'"&amp;$B171&amp;"'!"&amp;"$P$6:$AC$19"),IF(H171=$AI$13,6,IF(H171=$AI$14,9,14)),FALSE)</f>
        <v>1</v>
      </c>
      <c r="U171" s="772"/>
      <c r="V171" s="199">
        <f t="shared" ref="V171" ca="1" si="246">IF(IF(RIGHT(H171,2)="PH",(1-L171)+$W$2,IF(RIGHT(H171,2)="HT",(1-L171)+$W$1,IF(RIGHT(H171,2)="SH",(1-L171)+$W$3,"")))&gt;0,IF(RIGHT(H171,2)="PH",(1-L171)+$W$2,IF(RIGHT(H171,2)="HT",(1-L171)+$W$1,IF(RIGHT(H171,2)="SH",(1-L171)+$W$3,""))),0)</f>
        <v>0.31</v>
      </c>
      <c r="W171" s="298"/>
      <c r="X171" s="698">
        <f t="shared" ca="1" si="218"/>
        <v>8</v>
      </c>
      <c r="Y171" s="299">
        <f t="shared" ca="1" si="240"/>
        <v>35</v>
      </c>
      <c r="Z171" s="299">
        <f t="shared" ca="1" si="241"/>
        <v>1.5</v>
      </c>
      <c r="AA171" s="299">
        <f t="shared" ca="1" si="242"/>
        <v>0.8</v>
      </c>
      <c r="AB171" s="299">
        <f t="shared" ca="1" si="243"/>
        <v>2.1</v>
      </c>
      <c r="AD171" s="81">
        <v>2020</v>
      </c>
      <c r="AE171" s="273"/>
      <c r="AF171" s="828"/>
    </row>
    <row r="172" spans="1:32">
      <c r="A172" s="169"/>
      <c r="B172" s="718" t="s">
        <v>1099</v>
      </c>
      <c r="C172" s="226"/>
      <c r="D172" s="261"/>
      <c r="E172" s="261"/>
      <c r="F172" s="224" t="s">
        <v>1149</v>
      </c>
      <c r="G172" s="55"/>
      <c r="H172" s="174"/>
      <c r="I172" s="174" t="str">
        <f t="shared" si="142"/>
        <v>INDTWH</v>
      </c>
      <c r="J172" s="224">
        <f t="shared" si="145"/>
        <v>2030</v>
      </c>
      <c r="K172" s="81"/>
      <c r="L172" s="199">
        <f t="shared" ca="1" si="235"/>
        <v>0.89</v>
      </c>
      <c r="M172" s="772"/>
      <c r="N172" s="200"/>
      <c r="O172" s="725">
        <f t="shared" ca="1" si="236"/>
        <v>3.4699403462447704</v>
      </c>
      <c r="P172" s="725">
        <f t="shared" ca="1" si="237"/>
        <v>0.24287</v>
      </c>
      <c r="Q172" s="299">
        <f t="shared" ca="1" si="238"/>
        <v>3.9836805555555559</v>
      </c>
      <c r="R172" s="823"/>
      <c r="S172" s="300"/>
      <c r="T172" s="300"/>
      <c r="U172" s="300"/>
      <c r="V172" s="199">
        <f t="shared" ref="V172" ca="1" si="247">IF(IF(RIGHT(H171,2)="PH",(1-L172)+$W$2,IF(RIGHT(H171,2)="HT",(1-L172)+$W$1,IF(RIGHT(H171,2)="SH",(1-L172)+$W$3,"")))&gt;0,IF(RIGHT(H171,2)="PH",(1-L172)+$W$2,IF(RIGHT(H171,2)="HT",(1-L172)+$W$1,IF(RIGHT(H171,2)="SH",(1-L172)+$W$3,""))),0)</f>
        <v>0.31</v>
      </c>
      <c r="W172" s="298"/>
      <c r="X172" s="698">
        <f t="shared" ca="1" si="218"/>
        <v>8</v>
      </c>
      <c r="Y172" s="299">
        <f t="shared" ca="1" si="240"/>
        <v>35</v>
      </c>
      <c r="Z172" s="299">
        <f t="shared" ca="1" si="241"/>
        <v>1.5</v>
      </c>
      <c r="AA172" s="299">
        <f t="shared" ca="1" si="242"/>
        <v>0.8</v>
      </c>
      <c r="AB172" s="299">
        <f t="shared" ca="1" si="243"/>
        <v>2.1</v>
      </c>
      <c r="AD172" s="81">
        <v>2030</v>
      </c>
      <c r="AE172" s="273"/>
      <c r="AF172" s="828"/>
    </row>
    <row r="173" spans="1:32">
      <c r="A173" s="169"/>
      <c r="B173" s="718" t="s">
        <v>1099</v>
      </c>
      <c r="C173" s="226"/>
      <c r="D173" s="261"/>
      <c r="E173" s="261"/>
      <c r="F173" s="224" t="s">
        <v>1149</v>
      </c>
      <c r="G173" s="55"/>
      <c r="H173" s="174"/>
      <c r="I173" s="174" t="str">
        <f t="shared" si="142"/>
        <v>INDTWH</v>
      </c>
      <c r="J173" s="224">
        <f t="shared" si="145"/>
        <v>2050</v>
      </c>
      <c r="K173" s="81"/>
      <c r="L173" s="199">
        <f t="shared" ca="1" si="235"/>
        <v>0.91</v>
      </c>
      <c r="M173" s="772"/>
      <c r="N173" s="200"/>
      <c r="O173" s="725">
        <f t="shared" ca="1" si="236"/>
        <v>3.2813985758696647</v>
      </c>
      <c r="P173" s="725">
        <f t="shared" ca="1" si="237"/>
        <v>0.22797000000000001</v>
      </c>
      <c r="Q173" s="299">
        <f t="shared" ca="1" si="238"/>
        <v>4.0064444444444449</v>
      </c>
      <c r="R173" s="823"/>
      <c r="S173" s="300"/>
      <c r="T173" s="300"/>
      <c r="U173" s="300"/>
      <c r="V173" s="199">
        <f t="shared" ref="V173" ca="1" si="248">IF(IF(RIGHT(H171,2)="PH",(1-L173)+$W$2,IF(RIGHT(H171,2)="HT",(1-L173)+$W$1,IF(RIGHT(H171,2)="SH",(1-L173)+$W$3,"")))&gt;0,IF(RIGHT(H171,2)="PH",(1-L173)+$W$2,IF(RIGHT(H171,2)="HT",(1-L173)+$W$1,IF(RIGHT(H171,2)="SH",(1-L173)+$W$3,""))),0)</f>
        <v>0.28999999999999998</v>
      </c>
      <c r="W173" s="298"/>
      <c r="X173" s="698">
        <f t="shared" ca="1" si="218"/>
        <v>8</v>
      </c>
      <c r="Y173" s="299">
        <f t="shared" ca="1" si="240"/>
        <v>35</v>
      </c>
      <c r="Z173" s="299">
        <f t="shared" ca="1" si="241"/>
        <v>1.5</v>
      </c>
      <c r="AA173" s="299">
        <f t="shared" ca="1" si="242"/>
        <v>0.8</v>
      </c>
      <c r="AB173" s="299">
        <f t="shared" ca="1" si="243"/>
        <v>2.1</v>
      </c>
      <c r="AD173" s="81">
        <v>2050</v>
      </c>
      <c r="AE173" s="273"/>
      <c r="AF173" s="828"/>
    </row>
    <row r="174" spans="1:32">
      <c r="A174" s="169"/>
      <c r="B174" s="718" t="s">
        <v>1099</v>
      </c>
      <c r="C174" s="226"/>
      <c r="D174" s="261" t="str">
        <f>"IND"&amp;RIGHT(H174,4)&amp;RIGHT(G174,3)&amp;"N"&amp;RIGHT(E174,1)</f>
        <v>INDTDSHCOAN1</v>
      </c>
      <c r="E174" s="261" t="str">
        <f>"Industrial heating technology "&amp;$AJ$12&amp;" "&amp;RIGHT(H174,2)&amp;" - Coal boiler (Steam) - new 1"</f>
        <v>Industrial heating technology Transport SH - Coal boiler (Steam) - new 1</v>
      </c>
      <c r="F174" s="224" t="s">
        <v>1149</v>
      </c>
      <c r="G174" s="55" t="s">
        <v>617</v>
      </c>
      <c r="H174" s="174" t="str">
        <f>$AI$15</f>
        <v>ITDSH</v>
      </c>
      <c r="I174" s="174" t="str">
        <f t="shared" si="142"/>
        <v>INDTWH</v>
      </c>
      <c r="J174" s="224">
        <f t="shared" si="145"/>
        <v>2011</v>
      </c>
      <c r="K174" s="299">
        <v>2025</v>
      </c>
      <c r="L174" s="199">
        <f t="shared" ca="1" si="235"/>
        <v>0.89</v>
      </c>
      <c r="M174" s="199"/>
      <c r="N174" s="81">
        <f ca="1">VLOOKUP($AD174,INDIRECT("'"&amp;$B174&amp;"'!"&amp;"$P$39:$AD$42"),5,FALSE)</f>
        <v>25</v>
      </c>
      <c r="O174" s="725">
        <f t="shared" ca="1" si="236"/>
        <v>3.7250000000000001</v>
      </c>
      <c r="P174" s="725">
        <f t="shared" ca="1" si="237"/>
        <v>0.25106499999999998</v>
      </c>
      <c r="Q174" s="299">
        <f t="shared" ca="1" si="238"/>
        <v>3.9381527777777778</v>
      </c>
      <c r="R174" s="81">
        <v>3.1536000000000002E-2</v>
      </c>
      <c r="S174" s="199">
        <v>0.5</v>
      </c>
      <c r="T174" s="199">
        <f ca="1">HLOOKUP($T$2,INDIRECT("'"&amp;$B174&amp;"'!"&amp;"$P$6:$AC$19"),IF(H174=$AI$13,6,IF(H174=$AI$14,9,14)),FALSE)</f>
        <v>1</v>
      </c>
      <c r="U174" s="772"/>
      <c r="V174" s="199">
        <f t="shared" ref="V174" ca="1" si="249">IF(IF(RIGHT(H174,2)="PH",(1-L174)+$W$2,IF(RIGHT(H174,2)="HT",(1-L174)+$W$1,IF(RIGHT(H174,2)="SH",(1-L174)+$W$3,"")))&gt;0,IF(RIGHT(H174,2)="PH",(1-L174)+$W$2,IF(RIGHT(H174,2)="HT",(1-L174)+$W$1,IF(RIGHT(H174,2)="SH",(1-L174)+$W$3,""))),0)</f>
        <v>0.10999999999999999</v>
      </c>
      <c r="W174" s="298"/>
      <c r="X174" s="698">
        <f t="shared" ca="1" si="218"/>
        <v>8</v>
      </c>
      <c r="Y174" s="299">
        <f t="shared" ca="1" si="240"/>
        <v>35</v>
      </c>
      <c r="Z174" s="299">
        <f t="shared" ca="1" si="241"/>
        <v>1.5</v>
      </c>
      <c r="AA174" s="299">
        <f t="shared" ca="1" si="242"/>
        <v>0.8</v>
      </c>
      <c r="AB174" s="299">
        <f t="shared" ca="1" si="243"/>
        <v>2.1</v>
      </c>
      <c r="AD174" s="81">
        <v>2020</v>
      </c>
      <c r="AE174" s="273"/>
      <c r="AF174" s="828"/>
    </row>
    <row r="175" spans="1:32">
      <c r="A175" s="169"/>
      <c r="B175" s="718" t="s">
        <v>1099</v>
      </c>
      <c r="C175" s="226"/>
      <c r="D175" s="261"/>
      <c r="E175" s="261"/>
      <c r="F175" s="224" t="s">
        <v>1149</v>
      </c>
      <c r="G175" s="55"/>
      <c r="H175" s="174"/>
      <c r="I175" s="174" t="str">
        <f t="shared" si="142"/>
        <v>INDTWH</v>
      </c>
      <c r="J175" s="224">
        <f t="shared" si="145"/>
        <v>2030</v>
      </c>
      <c r="K175" s="81"/>
      <c r="L175" s="199">
        <f t="shared" ca="1" si="235"/>
        <v>0.89</v>
      </c>
      <c r="M175" s="772"/>
      <c r="N175" s="200"/>
      <c r="O175" s="725">
        <f t="shared" ca="1" si="236"/>
        <v>3.4699403462447704</v>
      </c>
      <c r="P175" s="725">
        <f t="shared" ca="1" si="237"/>
        <v>0.24287</v>
      </c>
      <c r="Q175" s="299">
        <f t="shared" ca="1" si="238"/>
        <v>3.9836805555555559</v>
      </c>
      <c r="R175" s="823"/>
      <c r="S175" s="300"/>
      <c r="T175" s="300"/>
      <c r="U175" s="300"/>
      <c r="V175" s="199">
        <f t="shared" ref="V175" ca="1" si="250">IF(IF(RIGHT(H174,2)="PH",(1-L175)+$W$2,IF(RIGHT(H174,2)="HT",(1-L175)+$W$1,IF(RIGHT(H174,2)="SH",(1-L175)+$W$3,"")))&gt;0,IF(RIGHT(H174,2)="PH",(1-L175)+$W$2,IF(RIGHT(H174,2)="HT",(1-L175)+$W$1,IF(RIGHT(H174,2)="SH",(1-L175)+$W$3,""))),0)</f>
        <v>0.10999999999999999</v>
      </c>
      <c r="W175" s="298"/>
      <c r="X175" s="698">
        <f t="shared" ca="1" si="218"/>
        <v>8</v>
      </c>
      <c r="Y175" s="299">
        <f t="shared" ca="1" si="240"/>
        <v>35</v>
      </c>
      <c r="Z175" s="299">
        <f t="shared" ca="1" si="241"/>
        <v>1.5</v>
      </c>
      <c r="AA175" s="299">
        <f t="shared" ca="1" si="242"/>
        <v>0.8</v>
      </c>
      <c r="AB175" s="299">
        <f t="shared" ca="1" si="243"/>
        <v>2.1</v>
      </c>
      <c r="AD175" s="81">
        <v>2030</v>
      </c>
      <c r="AE175" s="273"/>
      <c r="AF175" s="828"/>
    </row>
    <row r="176" spans="1:32">
      <c r="A176" s="169"/>
      <c r="B176" s="719" t="s">
        <v>1099</v>
      </c>
      <c r="C176" s="713"/>
      <c r="D176" s="701"/>
      <c r="E176" s="701"/>
      <c r="F176" s="224" t="s">
        <v>1149</v>
      </c>
      <c r="G176" s="203"/>
      <c r="H176" s="702"/>
      <c r="I176" s="702" t="str">
        <f t="shared" si="142"/>
        <v>INDTWH</v>
      </c>
      <c r="J176" s="224">
        <f t="shared" si="145"/>
        <v>2050</v>
      </c>
      <c r="K176" s="81"/>
      <c r="L176" s="199">
        <f t="shared" ca="1" si="235"/>
        <v>0.91</v>
      </c>
      <c r="M176" s="826"/>
      <c r="N176" s="825"/>
      <c r="O176" s="725">
        <f t="shared" ca="1" si="236"/>
        <v>3.2813985758696647</v>
      </c>
      <c r="P176" s="725">
        <f t="shared" ca="1" si="237"/>
        <v>0.22797000000000001</v>
      </c>
      <c r="Q176" s="299">
        <f t="shared" ca="1" si="238"/>
        <v>4.0064444444444449</v>
      </c>
      <c r="R176" s="722"/>
      <c r="S176" s="703"/>
      <c r="T176" s="703"/>
      <c r="U176" s="703"/>
      <c r="V176" s="199">
        <f t="shared" ref="V176" ca="1" si="251">IF(IF(RIGHT(H174,2)="PH",(1-L176)+$W$2,IF(RIGHT(H174,2)="HT",(1-L176)+$W$1,IF(RIGHT(H174,2)="SH",(1-L176)+$W$3,"")))&gt;0,IF(RIGHT(H174,2)="PH",(1-L176)+$W$2,IF(RIGHT(H174,2)="HT",(1-L176)+$W$1,IF(RIGHT(H174,2)="SH",(1-L176)+$W$3,""))),0)</f>
        <v>8.9999999999999969E-2</v>
      </c>
      <c r="W176" s="704"/>
      <c r="X176" s="698">
        <f t="shared" ca="1" si="218"/>
        <v>8</v>
      </c>
      <c r="Y176" s="299">
        <f t="shared" ca="1" si="240"/>
        <v>35</v>
      </c>
      <c r="Z176" s="299">
        <f t="shared" ca="1" si="241"/>
        <v>1.5</v>
      </c>
      <c r="AA176" s="299">
        <f t="shared" ca="1" si="242"/>
        <v>0.8</v>
      </c>
      <c r="AB176" s="299">
        <f t="shared" ca="1" si="243"/>
        <v>2.1</v>
      </c>
      <c r="AC176" s="203"/>
      <c r="AD176" s="81">
        <v>2050</v>
      </c>
      <c r="AE176" s="273"/>
      <c r="AF176" s="829"/>
    </row>
    <row r="177" spans="1:32">
      <c r="A177" s="169"/>
      <c r="B177" s="718" t="s">
        <v>1099</v>
      </c>
      <c r="C177" s="226"/>
      <c r="D177" s="707" t="str">
        <f>"IND"&amp;RIGHT(H177,4)&amp;RIGHT(G177,3)&amp;"N"&amp;RIGHT(E177,1)</f>
        <v>INDTDPHCOAN2</v>
      </c>
      <c r="E177" s="261" t="str">
        <f>"Industrial heating technology "&amp;$AJ$12&amp;" "&amp;RIGHT(H177,2)&amp;" - Coal boiler (Hot Water) - new 2"</f>
        <v>Industrial heating technology Transport PH - Coal boiler (Hot Water) - new 2</v>
      </c>
      <c r="F177" s="224" t="s">
        <v>1149</v>
      </c>
      <c r="G177" s="55" t="s">
        <v>617</v>
      </c>
      <c r="H177" s="174" t="str">
        <f>$AI$14</f>
        <v>ITDPH</v>
      </c>
      <c r="I177" s="174" t="str">
        <f t="shared" si="142"/>
        <v>INDTWH</v>
      </c>
      <c r="J177" s="224">
        <f t="shared" si="145"/>
        <v>2011</v>
      </c>
      <c r="K177" s="299">
        <v>2025</v>
      </c>
      <c r="L177" s="199">
        <f t="shared" ref="L177:L182" ca="1" si="252">VLOOKUP($AD177,INDIRECT("'"&amp;$B177&amp;"'!"&amp;"$P$118:$AD$121"),3,FALSE)</f>
        <v>0.89</v>
      </c>
      <c r="M177" s="199"/>
      <c r="N177" s="81">
        <f ca="1">VLOOKUP($AD177,INDIRECT("'"&amp;$B177&amp;"'!"&amp;"$P$118:$AD$121"),5,FALSE)</f>
        <v>25</v>
      </c>
      <c r="O177" s="723">
        <f t="shared" ref="O177:O182" ca="1" si="253">VLOOKUP($AD177,INDIRECT("'"&amp;$B177&amp;"'!"&amp;"$P$118:$AD$121"),6,FALSE)/1000</f>
        <v>3.7250000000000001</v>
      </c>
      <c r="P177" s="723">
        <f t="shared" ref="P177:P182" ca="1" si="254">VLOOKUP($AD177,INDIRECT("'"&amp;$B177&amp;"'!"&amp;"$P$118:$AD$121"),7,FALSE)/1000</f>
        <v>0.25106499999999998</v>
      </c>
      <c r="Q177" s="81">
        <f t="shared" ref="Q177:Q182" ca="1" si="255">VLOOKUP($AD177,INDIRECT("'"&amp;$B177&amp;"'!"&amp;"$P$118:$AD$121"),8,FALSE)</f>
        <v>3.9381527777777778</v>
      </c>
      <c r="R177" s="81">
        <v>3.1536000000000002E-2</v>
      </c>
      <c r="S177" s="199">
        <v>0.5</v>
      </c>
      <c r="T177" s="199">
        <f ca="1">HLOOKUP($T$2,INDIRECT("'"&amp;$B177&amp;"'!"&amp;"$P$85:$AC$98"),IF(H177=$AI$13,6,IF(H177=$AI$14,9,14)),FALSE)</f>
        <v>0</v>
      </c>
      <c r="U177" s="773"/>
      <c r="V177" s="199">
        <f t="shared" ref="V177" ca="1" si="256">IF(IF(RIGHT(H177,2)="PH",(1-L177)+$W$2,IF(RIGHT(H177,2)="HT",(1-L177)+$W$1,IF(RIGHT(H177,2)="SH",(1-L177)+$W$3,"")))&gt;0,IF(RIGHT(H177,2)="PH",(1-L177)+$W$2,IF(RIGHT(H177,2)="HT",(1-L177)+$W$1,IF(RIGHT(H177,2)="SH",(1-L177)+$W$3,""))),0)</f>
        <v>0.31</v>
      </c>
      <c r="W177" s="709"/>
      <c r="X177" s="698">
        <f t="shared" ca="1" si="218"/>
        <v>8</v>
      </c>
      <c r="Y177" s="698">
        <f ca="1">VLOOKUP($AD177,INDIRECT("'"&amp;$B177&amp;"'!"&amp;"$P$118:$AD$121"),12,FALSE)</f>
        <v>35</v>
      </c>
      <c r="Z177" s="698">
        <f ca="1">VLOOKUP($AD177,INDIRECT("'"&amp;$B177&amp;"'!"&amp;"$P$118:$AD$121"),13,FALSE)</f>
        <v>1.5</v>
      </c>
      <c r="AA177" s="698">
        <f ca="1">VLOOKUP($AD177,INDIRECT("'"&amp;$B177&amp;"'!"&amp;"$P$118:$AD$121"),14,FALSE)</f>
        <v>0.8</v>
      </c>
      <c r="AB177" s="698">
        <f ca="1">VLOOKUP($AD177,INDIRECT("'"&amp;$B177&amp;"'!"&amp;"$P$118:$AD$121"),15,FALSE)</f>
        <v>2.1</v>
      </c>
      <c r="AC177" s="55"/>
      <c r="AD177" s="81">
        <v>2020</v>
      </c>
      <c r="AE177" s="273"/>
      <c r="AF177" s="828"/>
    </row>
    <row r="178" spans="1:32">
      <c r="A178" s="169"/>
      <c r="B178" s="718" t="s">
        <v>1099</v>
      </c>
      <c r="C178" s="226"/>
      <c r="D178" s="261"/>
      <c r="E178" s="261"/>
      <c r="F178" s="224" t="s">
        <v>1149</v>
      </c>
      <c r="G178" s="55"/>
      <c r="H178" s="174"/>
      <c r="I178" s="174" t="str">
        <f t="shared" si="142"/>
        <v>INDTWH</v>
      </c>
      <c r="J178" s="224">
        <f t="shared" si="145"/>
        <v>2030</v>
      </c>
      <c r="K178" s="81"/>
      <c r="L178" s="199">
        <f t="shared" ca="1" si="252"/>
        <v>0.89</v>
      </c>
      <c r="M178" s="772"/>
      <c r="N178" s="200"/>
      <c r="O178" s="723">
        <f t="shared" ca="1" si="253"/>
        <v>3.7250000000000001</v>
      </c>
      <c r="P178" s="723">
        <f t="shared" ca="1" si="254"/>
        <v>0.24287</v>
      </c>
      <c r="Q178" s="81">
        <f t="shared" ca="1" si="255"/>
        <v>3.9836805555555559</v>
      </c>
      <c r="R178" s="823"/>
      <c r="S178" s="300"/>
      <c r="T178" s="300"/>
      <c r="U178" s="300"/>
      <c r="V178" s="199">
        <f t="shared" ref="V178" ca="1" si="257">IF(IF(RIGHT(H177,2)="PH",(1-L178)+$W$2,IF(RIGHT(H177,2)="HT",(1-L178)+$W$1,IF(RIGHT(H177,2)="SH",(1-L178)+$W$3,"")))&gt;0,IF(RIGHT(H177,2)="PH",(1-L178)+$W$2,IF(RIGHT(H177,2)="HT",(1-L178)+$W$1,IF(RIGHT(H177,2)="SH",(1-L178)+$W$3,""))),0)</f>
        <v>0.31</v>
      </c>
      <c r="W178" s="298"/>
      <c r="X178" s="824"/>
      <c r="Y178" s="824"/>
      <c r="Z178" s="824"/>
      <c r="AA178" s="824"/>
      <c r="AB178" s="824"/>
      <c r="AD178" s="81">
        <v>2030</v>
      </c>
      <c r="AE178" s="273"/>
      <c r="AF178" s="828"/>
    </row>
    <row r="179" spans="1:32">
      <c r="A179" s="169"/>
      <c r="B179" s="718" t="s">
        <v>1099</v>
      </c>
      <c r="C179" s="226"/>
      <c r="D179" s="261"/>
      <c r="E179" s="261"/>
      <c r="F179" s="224" t="s">
        <v>1149</v>
      </c>
      <c r="G179" s="55"/>
      <c r="H179" s="174"/>
      <c r="I179" s="174" t="str">
        <f t="shared" si="142"/>
        <v>INDTWH</v>
      </c>
      <c r="J179" s="224">
        <f t="shared" si="145"/>
        <v>2050</v>
      </c>
      <c r="K179" s="81"/>
      <c r="L179" s="199">
        <f t="shared" ca="1" si="252"/>
        <v>0.91</v>
      </c>
      <c r="M179" s="772"/>
      <c r="N179" s="200"/>
      <c r="O179" s="723">
        <f t="shared" ca="1" si="253"/>
        <v>3.7250000000000001</v>
      </c>
      <c r="P179" s="723">
        <f t="shared" ca="1" si="254"/>
        <v>0.22797000000000001</v>
      </c>
      <c r="Q179" s="81">
        <f t="shared" ca="1" si="255"/>
        <v>4.0064444444444449</v>
      </c>
      <c r="R179" s="823"/>
      <c r="S179" s="300"/>
      <c r="T179" s="300"/>
      <c r="U179" s="300"/>
      <c r="V179" s="199">
        <f t="shared" ref="V179" ca="1" si="258">IF(IF(RIGHT(H177,2)="PH",(1-L179)+$W$2,IF(RIGHT(H177,2)="HT",(1-L179)+$W$1,IF(RIGHT(H177,2)="SH",(1-L179)+$W$3,"")))&gt;0,IF(RIGHT(H177,2)="PH",(1-L179)+$W$2,IF(RIGHT(H177,2)="HT",(1-L179)+$W$1,IF(RIGHT(H177,2)="SH",(1-L179)+$W$3,""))),0)</f>
        <v>0.28999999999999998</v>
      </c>
      <c r="W179" s="298"/>
      <c r="X179" s="824"/>
      <c r="Y179" s="824"/>
      <c r="Z179" s="824"/>
      <c r="AA179" s="824"/>
      <c r="AB179" s="824"/>
      <c r="AD179" s="81">
        <v>2050</v>
      </c>
      <c r="AE179" s="273"/>
      <c r="AF179" s="828"/>
    </row>
    <row r="180" spans="1:32">
      <c r="A180" s="169"/>
      <c r="B180" s="718" t="s">
        <v>1099</v>
      </c>
      <c r="C180" s="226"/>
      <c r="D180" s="261" t="str">
        <f>"IND"&amp;RIGHT(H180,4)&amp;RIGHT(G180,3)&amp;"N"&amp;RIGHT(E180,1)</f>
        <v>INDTDSHCOAN2</v>
      </c>
      <c r="E180" s="261" t="str">
        <f>"Industrial heating technology "&amp;$AJ$12&amp;" "&amp;RIGHT(H180,2)&amp;" - Coal boiler (Hot Water) - new 2"</f>
        <v>Industrial heating technology Transport SH - Coal boiler (Hot Water) - new 2</v>
      </c>
      <c r="F180" s="224" t="s">
        <v>1149</v>
      </c>
      <c r="G180" s="55" t="s">
        <v>617</v>
      </c>
      <c r="H180" s="174" t="str">
        <f>$AI$15</f>
        <v>ITDSH</v>
      </c>
      <c r="I180" s="174" t="str">
        <f t="shared" si="142"/>
        <v>INDTWH</v>
      </c>
      <c r="J180" s="224">
        <f t="shared" si="145"/>
        <v>2011</v>
      </c>
      <c r="K180" s="299">
        <v>2025</v>
      </c>
      <c r="L180" s="199">
        <f t="shared" ca="1" si="252"/>
        <v>0.89</v>
      </c>
      <c r="M180" s="199"/>
      <c r="N180" s="81">
        <f ca="1">VLOOKUP($AD180,INDIRECT("'"&amp;$B180&amp;"'!"&amp;"$P$118:$AD$121"),5,FALSE)</f>
        <v>25</v>
      </c>
      <c r="O180" s="723">
        <f t="shared" ca="1" si="253"/>
        <v>3.7250000000000001</v>
      </c>
      <c r="P180" s="723">
        <f t="shared" ca="1" si="254"/>
        <v>0.25106499999999998</v>
      </c>
      <c r="Q180" s="81">
        <f t="shared" ca="1" si="255"/>
        <v>3.9381527777777778</v>
      </c>
      <c r="R180" s="81">
        <v>3.1536000000000002E-2</v>
      </c>
      <c r="S180" s="199">
        <v>0.5</v>
      </c>
      <c r="T180" s="199">
        <f ca="1">HLOOKUP($T$2,INDIRECT("'"&amp;$B180&amp;"'!"&amp;"$P$85:$AC$98"),IF(H180=$AI$13,6,IF(H180=$AI$14,9,14)),FALSE)</f>
        <v>1</v>
      </c>
      <c r="U180" s="773"/>
      <c r="V180" s="199">
        <f t="shared" ref="V180" ca="1" si="259">IF(IF(RIGHT(H180,2)="PH",(1-L180)+$W$2,IF(RIGHT(H180,2)="HT",(1-L180)+$W$1,IF(RIGHT(H180,2)="SH",(1-L180)+$W$3,"")))&gt;0,IF(RIGHT(H180,2)="PH",(1-L180)+$W$2,IF(RIGHT(H180,2)="HT",(1-L180)+$W$1,IF(RIGHT(H180,2)="SH",(1-L180)+$W$3,""))),0)</f>
        <v>0.10999999999999999</v>
      </c>
      <c r="W180" s="709"/>
      <c r="X180" s="698">
        <f ca="1">IF(VLOOKUP($AD180,INDIRECT("'"&amp;$B180&amp;"'!"&amp;"$P$39:$AD$42"),11,FALSE)="Cf. the utilized electricity",0,VLOOKUP($AD180,INDIRECT("'"&amp;$B180&amp;"'!"&amp;"$P$39:$AD$42"),11,FALSE))</f>
        <v>8</v>
      </c>
      <c r="Y180" s="698">
        <f ca="1">VLOOKUP($AD180,INDIRECT("'"&amp;$B180&amp;"'!"&amp;"$P$118:$AD$121"),12,FALSE)</f>
        <v>35</v>
      </c>
      <c r="Z180" s="698">
        <f ca="1">VLOOKUP($AD180,INDIRECT("'"&amp;$B180&amp;"'!"&amp;"$P$118:$AD$121"),13,FALSE)</f>
        <v>1.5</v>
      </c>
      <c r="AA180" s="698">
        <f ca="1">VLOOKUP($AD180,INDIRECT("'"&amp;$B180&amp;"'!"&amp;"$P$118:$AD$121"),14,FALSE)</f>
        <v>0.8</v>
      </c>
      <c r="AB180" s="698">
        <f ca="1">VLOOKUP($AD180,INDIRECT("'"&amp;$B180&amp;"'!"&amp;"$P$118:$AD$121"),15,FALSE)</f>
        <v>2.1</v>
      </c>
      <c r="AC180" s="55"/>
      <c r="AD180" s="81">
        <v>2020</v>
      </c>
      <c r="AE180" s="273"/>
      <c r="AF180" s="828"/>
    </row>
    <row r="181" spans="1:32">
      <c r="A181" s="169"/>
      <c r="B181" s="718" t="s">
        <v>1099</v>
      </c>
      <c r="C181" s="226"/>
      <c r="D181" s="261"/>
      <c r="E181" s="261"/>
      <c r="F181" s="224" t="s">
        <v>1149</v>
      </c>
      <c r="G181" s="55"/>
      <c r="H181" s="174"/>
      <c r="I181" s="174" t="str">
        <f t="shared" si="142"/>
        <v>INDTWH</v>
      </c>
      <c r="J181" s="224">
        <f t="shared" si="145"/>
        <v>2030</v>
      </c>
      <c r="K181" s="200"/>
      <c r="L181" s="199">
        <f t="shared" ca="1" si="252"/>
        <v>0.89</v>
      </c>
      <c r="M181" s="772"/>
      <c r="N181" s="200"/>
      <c r="O181" s="723">
        <f t="shared" ca="1" si="253"/>
        <v>3.7250000000000001</v>
      </c>
      <c r="P181" s="723">
        <f t="shared" ca="1" si="254"/>
        <v>0.24287</v>
      </c>
      <c r="Q181" s="81">
        <f t="shared" ca="1" si="255"/>
        <v>3.9836805555555559</v>
      </c>
      <c r="R181" s="823"/>
      <c r="S181" s="300"/>
      <c r="T181" s="300"/>
      <c r="U181" s="300"/>
      <c r="V181" s="199">
        <f t="shared" ref="V181" ca="1" si="260">IF(IF(RIGHT(H180,2)="PH",(1-L181)+$W$2,IF(RIGHT(H180,2)="HT",(1-L181)+$W$1,IF(RIGHT(H180,2)="SH",(1-L181)+$W$3,"")))&gt;0,IF(RIGHT(H180,2)="PH",(1-L181)+$W$2,IF(RIGHT(H180,2)="HT",(1-L181)+$W$1,IF(RIGHT(H180,2)="SH",(1-L181)+$W$3,""))),0)</f>
        <v>0.10999999999999999</v>
      </c>
      <c r="W181" s="298"/>
      <c r="X181" s="824"/>
      <c r="Y181" s="824"/>
      <c r="Z181" s="824"/>
      <c r="AA181" s="824"/>
      <c r="AB181" s="824"/>
      <c r="AD181" s="81">
        <v>2030</v>
      </c>
      <c r="AE181" s="273"/>
      <c r="AF181" s="828"/>
    </row>
    <row r="182" spans="1:32">
      <c r="A182" s="831"/>
      <c r="B182" s="719" t="s">
        <v>1099</v>
      </c>
      <c r="C182" s="713"/>
      <c r="D182" s="701"/>
      <c r="E182" s="701"/>
      <c r="F182" s="224" t="s">
        <v>1149</v>
      </c>
      <c r="G182" s="203"/>
      <c r="H182" s="702"/>
      <c r="I182" s="266" t="str">
        <f t="shared" si="142"/>
        <v>INDTWH</v>
      </c>
      <c r="J182" s="224">
        <f t="shared" si="145"/>
        <v>2050</v>
      </c>
      <c r="K182" s="825"/>
      <c r="L182" s="199">
        <f t="shared" ca="1" si="252"/>
        <v>0.91</v>
      </c>
      <c r="M182" s="826"/>
      <c r="N182" s="825"/>
      <c r="O182" s="723">
        <f t="shared" ca="1" si="253"/>
        <v>3.7250000000000001</v>
      </c>
      <c r="P182" s="723">
        <f t="shared" ca="1" si="254"/>
        <v>0.22797000000000001</v>
      </c>
      <c r="Q182" s="81">
        <f t="shared" ca="1" si="255"/>
        <v>4.0064444444444449</v>
      </c>
      <c r="R182" s="722"/>
      <c r="S182" s="703"/>
      <c r="T182" s="703"/>
      <c r="U182" s="703"/>
      <c r="V182" s="199">
        <f t="shared" ref="V182" ca="1" si="261">IF(IF(RIGHT(H180,2)="PH",(1-L182)+$W$2,IF(RIGHT(H180,2)="HT",(1-L182)+$W$1,IF(RIGHT(H180,2)="SH",(1-L182)+$W$3,"")))&gt;0,IF(RIGHT(H180,2)="PH",(1-L182)+$W$2,IF(RIGHT(H180,2)="HT",(1-L182)+$W$1,IF(RIGHT(H180,2)="SH",(1-L182)+$W$3,""))),0)</f>
        <v>8.9999999999999969E-2</v>
      </c>
      <c r="W182" s="704"/>
      <c r="X182" s="827"/>
      <c r="Y182" s="827"/>
      <c r="Z182" s="827"/>
      <c r="AA182" s="827"/>
      <c r="AB182" s="827"/>
      <c r="AC182" s="203"/>
      <c r="AD182" s="81">
        <v>2050</v>
      </c>
      <c r="AE182" s="273"/>
      <c r="AF182" s="829"/>
    </row>
    <row r="183" spans="1:32">
      <c r="A183" s="831"/>
      <c r="B183" s="226" t="s">
        <v>576</v>
      </c>
      <c r="C183" s="901"/>
      <c r="D183" s="261" t="str">
        <f>"IND"&amp;RIGHT(H183,4)&amp;RIGHT(G183,3)&amp;"N"&amp;RIGHT(E183,1)</f>
        <v>INDTDSHSOLN1</v>
      </c>
      <c r="E183" s="261" t="str">
        <f>"Industrial heating technology "&amp;$AJ$12&amp;" "&amp;RIGHT(H183,2)&amp;" - Solar - new 1"</f>
        <v>Industrial heating technology Transport SH - Solar - new 1</v>
      </c>
      <c r="F183" s="224" t="s">
        <v>1149</v>
      </c>
      <c r="G183" s="55" t="s">
        <v>500</v>
      </c>
      <c r="H183" s="174" t="str">
        <f>$AI$15</f>
        <v>ITDSH</v>
      </c>
      <c r="I183" s="174"/>
      <c r="J183" s="224">
        <f t="shared" si="145"/>
        <v>2011</v>
      </c>
      <c r="K183" s="299">
        <v>2025</v>
      </c>
      <c r="L183" s="199">
        <f ca="1">VLOOKUP($AD183,INDIRECT("'"&amp;$B183&amp;"'!"&amp;"$J$40:$X$43"),3,FALSE)</f>
        <v>1</v>
      </c>
      <c r="M183" s="772"/>
      <c r="N183" s="199">
        <f ca="1">VLOOKUP($AD183,INDIRECT("'"&amp;$B183&amp;"'!"&amp;"$J$40:$X$43"),5,FALSE)</f>
        <v>25</v>
      </c>
      <c r="O183" s="199">
        <f ca="1">VLOOKUP($AD183,INDIRECT("'"&amp;$B183&amp;"'!"&amp;"$J$40:$X$43"),6,FALSE)/1000</f>
        <v>4.2857142857142865</v>
      </c>
      <c r="P183" s="199">
        <f ca="1">VLOOKUP($AD183,INDIRECT("'"&amp;$B183&amp;"'!"&amp;"$J$40:$X$43"),7,FALSE)/1000</f>
        <v>2.0660433158225668E-2</v>
      </c>
      <c r="Q183" s="199">
        <f ca="1">VLOOKUP($AD183,INDIRECT("'"&amp;$B183&amp;"'!"&amp;"$J$40:$X$43"),8,FALSE)</f>
        <v>0</v>
      </c>
      <c r="R183" s="81">
        <v>3.1536000000000002E-2</v>
      </c>
      <c r="S183" s="199">
        <v>8.5500000000000007E-2</v>
      </c>
      <c r="T183" s="199">
        <v>1</v>
      </c>
      <c r="U183" s="300"/>
      <c r="V183" s="199"/>
      <c r="W183" s="298"/>
      <c r="X183" s="698">
        <v>0</v>
      </c>
      <c r="Y183" s="81">
        <v>0</v>
      </c>
      <c r="Z183" s="81">
        <v>0</v>
      </c>
      <c r="AA183" s="81">
        <v>0</v>
      </c>
      <c r="AB183" s="81">
        <v>0</v>
      </c>
      <c r="AC183" s="55"/>
      <c r="AD183" s="81">
        <v>2020</v>
      </c>
      <c r="AE183" s="200"/>
      <c r="AF183" s="700"/>
    </row>
    <row r="184" spans="1:32">
      <c r="A184" s="831"/>
      <c r="B184" s="226" t="s">
        <v>576</v>
      </c>
      <c r="C184" s="902"/>
      <c r="D184" s="261"/>
      <c r="E184" s="261"/>
      <c r="F184" s="224" t="s">
        <v>1149</v>
      </c>
      <c r="G184" s="55"/>
      <c r="H184" s="174"/>
      <c r="I184" s="174"/>
      <c r="J184" s="224">
        <f t="shared" si="145"/>
        <v>2030</v>
      </c>
      <c r="K184" s="200"/>
      <c r="L184" s="199">
        <f ca="1">VLOOKUP($AD184,INDIRECT("'"&amp;$B184&amp;"'!"&amp;"$J$40:$X$43"),3,FALSE)</f>
        <v>1</v>
      </c>
      <c r="M184" s="772"/>
      <c r="N184" s="199">
        <f ca="1">VLOOKUP($AD184,INDIRECT("'"&amp;$B184&amp;"'!"&amp;"$J$40:$X$43"),5,FALSE)</f>
        <v>30</v>
      </c>
      <c r="O184" s="199">
        <f ca="1">VLOOKUP($AD184,INDIRECT("'"&amp;$B184&amp;"'!"&amp;"$J$40:$X$43"),6,FALSE)/1000</f>
        <v>3.9285714285714284</v>
      </c>
      <c r="P184" s="199">
        <f ca="1">VLOOKUP($AD184,INDIRECT("'"&amp;$B184&amp;"'!"&amp;"$J$40:$X$43"),7,FALSE)/1000</f>
        <v>2.328125E-2</v>
      </c>
      <c r="Q184" s="199">
        <f ca="1">VLOOKUP($AD184,INDIRECT("'"&amp;$B184&amp;"'!"&amp;"$J$40:$X$43"),8,FALSE)</f>
        <v>0</v>
      </c>
      <c r="R184" s="823"/>
      <c r="S184" s="300"/>
      <c r="T184" s="300"/>
      <c r="U184" s="300"/>
      <c r="V184" s="772"/>
      <c r="W184" s="298"/>
      <c r="X184" s="824"/>
      <c r="Y184" s="824"/>
      <c r="Z184" s="824"/>
      <c r="AA184" s="824"/>
      <c r="AB184" s="824"/>
      <c r="AC184" s="55"/>
      <c r="AD184" s="81">
        <v>2030</v>
      </c>
      <c r="AE184" s="200"/>
      <c r="AF184" s="700"/>
    </row>
    <row r="185" spans="1:32" s="203" customFormat="1">
      <c r="A185" s="900"/>
      <c r="B185" s="713" t="s">
        <v>576</v>
      </c>
      <c r="C185" s="903"/>
      <c r="D185" s="701"/>
      <c r="E185" s="701"/>
      <c r="F185" s="224" t="s">
        <v>1149</v>
      </c>
      <c r="H185" s="702"/>
      <c r="I185" s="702"/>
      <c r="J185" s="224">
        <f t="shared" si="145"/>
        <v>2050</v>
      </c>
      <c r="K185" s="825"/>
      <c r="L185" s="199">
        <f ca="1">VLOOKUP($AD185,INDIRECT("'"&amp;$B185&amp;"'!"&amp;"$J$40:$X$43"),3,FALSE)</f>
        <v>1</v>
      </c>
      <c r="M185" s="826"/>
      <c r="N185" s="199">
        <f ca="1">VLOOKUP($AD185,INDIRECT("'"&amp;$B185&amp;"'!"&amp;"$J$40:$X$43"),5,FALSE)</f>
        <v>30</v>
      </c>
      <c r="O185" s="199">
        <f ca="1">VLOOKUP($AD185,INDIRECT("'"&amp;$B185&amp;"'!"&amp;"$J$40:$X$43"),6,FALSE)/1000</f>
        <v>3.5714285714285721</v>
      </c>
      <c r="P185" s="199">
        <f ca="1">VLOOKUP($AD185,INDIRECT("'"&amp;$B185&amp;"'!"&amp;"$J$40:$X$43"),7,FALSE)/1000</f>
        <v>2.1498571428571429E-2</v>
      </c>
      <c r="Q185" s="199">
        <f ca="1">VLOOKUP($AD185,INDIRECT("'"&amp;$B185&amp;"'!"&amp;"$J$40:$X$43"),8,FALSE)</f>
        <v>0</v>
      </c>
      <c r="R185" s="722"/>
      <c r="S185" s="703"/>
      <c r="T185" s="703"/>
      <c r="U185" s="703"/>
      <c r="V185" s="826"/>
      <c r="W185" s="704"/>
      <c r="X185" s="827"/>
      <c r="Y185" s="827"/>
      <c r="Z185" s="827"/>
      <c r="AA185" s="827"/>
      <c r="AB185" s="827"/>
      <c r="AD185" s="81">
        <v>2050</v>
      </c>
      <c r="AE185" s="825"/>
      <c r="AF185" s="705"/>
    </row>
    <row r="186" spans="1:32">
      <c r="A186" s="169"/>
      <c r="D186" s="36" t="s">
        <v>503</v>
      </c>
      <c r="E186" s="36"/>
      <c r="F186" s="224" t="s">
        <v>1149</v>
      </c>
      <c r="H186" s="173"/>
      <c r="I186" s="173"/>
      <c r="J186" s="224">
        <f t="shared" si="145"/>
        <v>0</v>
      </c>
      <c r="K186" s="198"/>
      <c r="L186" s="204"/>
      <c r="M186" s="204"/>
      <c r="N186" s="204"/>
      <c r="O186" s="37"/>
      <c r="P186" s="37"/>
      <c r="Q186" s="205"/>
      <c r="R186" s="252"/>
      <c r="S186" s="274"/>
      <c r="T186" s="204"/>
      <c r="U186" s="204"/>
      <c r="V186" s="204"/>
      <c r="W186" s="204"/>
      <c r="X186" s="204"/>
      <c r="Y186" s="204"/>
      <c r="Z186" s="204"/>
      <c r="AA186" s="204"/>
      <c r="AB186" s="204"/>
    </row>
    <row r="187" spans="1:32">
      <c r="A187" s="169"/>
      <c r="D187" s="212" t="str">
        <f t="shared" ref="D187:D192" si="262">"IND"&amp;RIGHT(H187,4)&amp;RIGHT(G187,3)&amp;"N"&amp;RIGHT(E187,1)</f>
        <v>INDTDSHHCEN1</v>
      </c>
      <c r="E187" s="224" t="str">
        <f>"Industrial heating technology "&amp;$AJ$12&amp;" "&amp;RIGHT(H187,2)&amp;" - central district heating - within DH area - new 1"</f>
        <v>Industrial heating technology Transport SH - central district heating - within DH area - new 1</v>
      </c>
      <c r="F187" s="224" t="s">
        <v>1149</v>
      </c>
      <c r="G187" s="225" t="s">
        <v>501</v>
      </c>
      <c r="H187" s="225" t="str">
        <f>AI15</f>
        <v>ITDSH</v>
      </c>
      <c r="I187" s="225"/>
      <c r="J187" s="81">
        <v>2011</v>
      </c>
      <c r="K187" s="299">
        <v>2025</v>
      </c>
      <c r="L187" s="81">
        <v>0.96</v>
      </c>
      <c r="M187" s="81"/>
      <c r="N187" s="81">
        <v>30</v>
      </c>
      <c r="O187" s="253">
        <v>1.17</v>
      </c>
      <c r="P187" s="254">
        <f>'DH network'!$M$9</f>
        <v>5.8735799999999998E-2</v>
      </c>
      <c r="Q187" s="254">
        <f ca="1">Q31*0.95</f>
        <v>1.9463124999999999</v>
      </c>
      <c r="R187" s="201">
        <v>3.1536000000000002E-2</v>
      </c>
      <c r="S187" s="275">
        <v>0.5</v>
      </c>
      <c r="T187" s="228"/>
      <c r="U187" s="228"/>
      <c r="V187" s="228"/>
      <c r="W187" s="287"/>
      <c r="X187" s="278"/>
      <c r="Y187" s="61"/>
      <c r="Z187" s="61"/>
      <c r="AA187" s="61"/>
      <c r="AB187" s="61"/>
    </row>
    <row r="188" spans="1:32">
      <c r="A188" s="169"/>
      <c r="D188" s="212" t="str">
        <f t="shared" si="262"/>
        <v>INDTDPHHCEN1</v>
      </c>
      <c r="E188" s="224" t="str">
        <f>"Industrial heating technology "&amp;$AJ$12&amp;" "&amp;RIGHT(H188,2)&amp;" - central district heating - within DH area - new 1"</f>
        <v>Industrial heating technology Transport PH - central district heating - within DH area - new 1</v>
      </c>
      <c r="F188" s="224" t="s">
        <v>1149</v>
      </c>
      <c r="G188" s="225" t="s">
        <v>501</v>
      </c>
      <c r="H188" s="281" t="str">
        <f>AI14</f>
        <v>ITDPH</v>
      </c>
      <c r="I188" s="281"/>
      <c r="J188" s="81">
        <v>2011</v>
      </c>
      <c r="K188" s="299">
        <v>2025</v>
      </c>
      <c r="L188" s="81">
        <v>0.96</v>
      </c>
      <c r="M188" s="81"/>
      <c r="N188" s="81">
        <v>30</v>
      </c>
      <c r="O188" s="253">
        <v>1.17</v>
      </c>
      <c r="P188" s="254">
        <f>'DH network'!$M$9</f>
        <v>5.8735799999999998E-2</v>
      </c>
      <c r="Q188" s="254">
        <f ca="1">Q33*0.95</f>
        <v>6.4090694444444436</v>
      </c>
      <c r="R188" s="201">
        <v>3.1536000000000002E-2</v>
      </c>
      <c r="S188" s="275">
        <v>0.5</v>
      </c>
      <c r="T188" s="228">
        <v>0.05</v>
      </c>
      <c r="U188" s="228"/>
      <c r="V188" s="228"/>
      <c r="W188" s="287"/>
      <c r="X188" s="278"/>
      <c r="Y188" s="61"/>
      <c r="Z188" s="61"/>
      <c r="AA188" s="61"/>
      <c r="AB188" s="61"/>
      <c r="AC188" s="226"/>
      <c r="AD188" s="226"/>
      <c r="AE188" s="226"/>
      <c r="AF188" s="226"/>
    </row>
    <row r="189" spans="1:32">
      <c r="A189" s="169"/>
      <c r="D189" s="212" t="str">
        <f t="shared" si="262"/>
        <v>INDTDSHHSEN1</v>
      </c>
      <c r="E189" s="224" t="str">
        <f>"Industrial heating technology "&amp;$AJ$12&amp;" "&amp;RIGHT(H189,2)&amp;" - central district heating - within DH area - new 1"</f>
        <v>Industrial heating technology Transport SH - central district heating - within DH area - new 1</v>
      </c>
      <c r="F189" s="224" t="s">
        <v>1149</v>
      </c>
      <c r="G189" s="225" t="s">
        <v>2123</v>
      </c>
      <c r="H189" s="225" t="str">
        <f>H187</f>
        <v>ITDSH</v>
      </c>
      <c r="I189" s="225"/>
      <c r="J189" s="81">
        <f t="shared" ref="J189:L190" si="263">J187</f>
        <v>2011</v>
      </c>
      <c r="K189" s="81">
        <f t="shared" si="263"/>
        <v>2025</v>
      </c>
      <c r="L189" s="81">
        <f t="shared" si="263"/>
        <v>0.96</v>
      </c>
      <c r="M189" s="81"/>
      <c r="N189" s="81">
        <f t="shared" ref="N189:S190" si="264">N187</f>
        <v>30</v>
      </c>
      <c r="O189" s="81">
        <f t="shared" si="264"/>
        <v>1.17</v>
      </c>
      <c r="P189" s="81">
        <f t="shared" si="264"/>
        <v>5.8735799999999998E-2</v>
      </c>
      <c r="Q189" s="81">
        <f t="shared" ca="1" si="264"/>
        <v>1.9463124999999999</v>
      </c>
      <c r="R189" s="81">
        <f t="shared" si="264"/>
        <v>3.1536000000000002E-2</v>
      </c>
      <c r="S189" s="81">
        <f t="shared" si="264"/>
        <v>0.5</v>
      </c>
      <c r="T189" s="228"/>
      <c r="U189" s="228"/>
      <c r="V189" s="228"/>
      <c r="W189" s="287"/>
      <c r="X189" s="278"/>
      <c r="Y189" s="61"/>
      <c r="Z189" s="61"/>
      <c r="AA189" s="61"/>
      <c r="AB189" s="61"/>
    </row>
    <row r="190" spans="1:32">
      <c r="A190" s="169"/>
      <c r="D190" s="212" t="str">
        <f t="shared" si="262"/>
        <v>INDTDPHHSEN1</v>
      </c>
      <c r="E190" s="224" t="str">
        <f>"Industrial heating technology "&amp;$AJ$12&amp;" "&amp;RIGHT(H190,2)&amp;" - central district heating - within DH area - new 1"</f>
        <v>Industrial heating technology Transport PH - central district heating - within DH area - new 1</v>
      </c>
      <c r="F190" s="224" t="s">
        <v>1149</v>
      </c>
      <c r="G190" s="225" t="s">
        <v>2123</v>
      </c>
      <c r="H190" s="225" t="str">
        <f>H188</f>
        <v>ITDPH</v>
      </c>
      <c r="I190" s="281"/>
      <c r="J190" s="81">
        <f t="shared" si="263"/>
        <v>2011</v>
      </c>
      <c r="K190" s="81">
        <f t="shared" si="263"/>
        <v>2025</v>
      </c>
      <c r="L190" s="81">
        <f t="shared" si="263"/>
        <v>0.96</v>
      </c>
      <c r="M190" s="81"/>
      <c r="N190" s="81">
        <f t="shared" si="264"/>
        <v>30</v>
      </c>
      <c r="O190" s="81">
        <f t="shared" si="264"/>
        <v>1.17</v>
      </c>
      <c r="P190" s="81">
        <f t="shared" si="264"/>
        <v>5.8735799999999998E-2</v>
      </c>
      <c r="Q190" s="81">
        <f t="shared" ca="1" si="264"/>
        <v>6.4090694444444436</v>
      </c>
      <c r="R190" s="81">
        <f t="shared" si="264"/>
        <v>3.1536000000000002E-2</v>
      </c>
      <c r="S190" s="81">
        <f t="shared" si="264"/>
        <v>0.5</v>
      </c>
      <c r="T190" s="81">
        <f>T188</f>
        <v>0.05</v>
      </c>
      <c r="U190" s="228"/>
      <c r="V190" s="228"/>
      <c r="W190" s="287"/>
      <c r="X190" s="278"/>
      <c r="Y190" s="61"/>
      <c r="Z190" s="61"/>
      <c r="AA190" s="61"/>
      <c r="AB190" s="61"/>
      <c r="AC190" s="226"/>
      <c r="AD190" s="226"/>
      <c r="AE190" s="226"/>
      <c r="AF190" s="226"/>
    </row>
    <row r="191" spans="1:32">
      <c r="A191" s="169"/>
      <c r="D191" s="212" t="str">
        <f t="shared" si="262"/>
        <v>INDTDSHHDEN1</v>
      </c>
      <c r="E191" s="224" t="str">
        <f>"Industrial heating technology "&amp;$AJ$12&amp;" "&amp;RIGHT(H191,2)&amp;" - decentral district heating - within DH area - new 1"</f>
        <v>Industrial heating technology Transport SH - decentral district heating - within DH area - new 1</v>
      </c>
      <c r="F191" s="224" t="s">
        <v>1149</v>
      </c>
      <c r="G191" s="259" t="s">
        <v>502</v>
      </c>
      <c r="H191" s="265" t="str">
        <f>AI15</f>
        <v>ITDSH</v>
      </c>
      <c r="I191" s="265"/>
      <c r="J191" s="81">
        <v>2011</v>
      </c>
      <c r="K191" s="299">
        <v>2025</v>
      </c>
      <c r="L191" s="81">
        <f>L187</f>
        <v>0.96</v>
      </c>
      <c r="M191" s="81"/>
      <c r="N191" s="81">
        <v>30</v>
      </c>
      <c r="O191" s="253">
        <v>1.25</v>
      </c>
      <c r="P191" s="254">
        <f>'DH network'!$M$9</f>
        <v>5.8735799999999998E-2</v>
      </c>
      <c r="Q191" s="254">
        <f ca="1">Q187</f>
        <v>1.9463124999999999</v>
      </c>
      <c r="R191" s="201">
        <v>3.1536000000000002E-2</v>
      </c>
      <c r="S191" s="275">
        <v>0.5</v>
      </c>
      <c r="T191" s="228"/>
      <c r="U191" s="228"/>
      <c r="V191" s="228"/>
      <c r="W191" s="287"/>
      <c r="X191" s="278"/>
      <c r="Y191" s="61"/>
      <c r="Z191" s="61"/>
      <c r="AA191" s="61"/>
      <c r="AB191" s="61"/>
      <c r="AC191" s="226"/>
      <c r="AD191" s="226"/>
      <c r="AE191" s="226"/>
      <c r="AF191" s="226"/>
    </row>
    <row r="192" spans="1:32">
      <c r="A192" s="169"/>
      <c r="D192" s="212" t="str">
        <f t="shared" si="262"/>
        <v>INDTDPHHDEN1</v>
      </c>
      <c r="E192" s="224" t="str">
        <f>"Industrial heating technology "&amp;$AJ$12&amp;" "&amp;RIGHT(H192,2)&amp;" - decentral district heating - within DH area - new 1"</f>
        <v>Industrial heating technology Transport PH - decentral district heating - within DH area - new 1</v>
      </c>
      <c r="F192" s="224" t="s">
        <v>1149</v>
      </c>
      <c r="G192" s="259" t="s">
        <v>502</v>
      </c>
      <c r="H192" s="225" t="str">
        <f>AI14</f>
        <v>ITDPH</v>
      </c>
      <c r="I192" s="225"/>
      <c r="J192" s="81">
        <v>2011</v>
      </c>
      <c r="K192" s="299">
        <v>2025</v>
      </c>
      <c r="L192" s="81">
        <f>L188</f>
        <v>0.96</v>
      </c>
      <c r="M192" s="81"/>
      <c r="N192" s="81">
        <v>30</v>
      </c>
      <c r="O192" s="253">
        <v>1.25</v>
      </c>
      <c r="P192" s="254">
        <f>'DH network'!$M$9</f>
        <v>5.8735799999999998E-2</v>
      </c>
      <c r="Q192" s="254">
        <f ca="1">Q188</f>
        <v>6.4090694444444436</v>
      </c>
      <c r="R192" s="201">
        <v>3.1536000000000002E-2</v>
      </c>
      <c r="S192" s="275">
        <v>0.5</v>
      </c>
      <c r="T192" s="228">
        <v>0.05</v>
      </c>
      <c r="U192" s="228"/>
      <c r="V192" s="228"/>
      <c r="W192" s="287"/>
      <c r="X192" s="278"/>
      <c r="Y192" s="61"/>
      <c r="Z192" s="61"/>
      <c r="AA192" s="61"/>
      <c r="AB192" s="61"/>
      <c r="AC192" s="226"/>
      <c r="AD192" s="226"/>
      <c r="AE192" s="226"/>
      <c r="AF192" s="226"/>
    </row>
    <row r="193" spans="1:32">
      <c r="A193" s="169"/>
      <c r="B193" s="226"/>
      <c r="C193" s="226"/>
      <c r="D193" s="258" t="s">
        <v>497</v>
      </c>
      <c r="E193" s="258"/>
      <c r="F193" s="224" t="s">
        <v>1149</v>
      </c>
      <c r="G193" s="206"/>
      <c r="H193" s="225"/>
      <c r="I193" s="225"/>
      <c r="J193" s="200"/>
      <c r="K193" s="200"/>
      <c r="L193" s="200"/>
      <c r="M193" s="200"/>
      <c r="N193" s="200"/>
      <c r="O193" s="227"/>
      <c r="P193" s="227"/>
      <c r="Q193" s="227"/>
      <c r="R193" s="202"/>
      <c r="S193" s="228"/>
      <c r="T193" s="228"/>
      <c r="U193" s="228"/>
      <c r="V193" s="228"/>
      <c r="W193" s="287"/>
      <c r="X193" s="226"/>
      <c r="Y193" s="226"/>
      <c r="Z193" s="226"/>
      <c r="AA193" s="226"/>
      <c r="AB193" s="226"/>
      <c r="AC193" s="226"/>
      <c r="AD193" s="226"/>
      <c r="AE193" s="226"/>
      <c r="AF193" s="226"/>
    </row>
    <row r="194" spans="1:32">
      <c r="A194" s="169"/>
      <c r="B194" s="226"/>
      <c r="C194" s="226"/>
      <c r="D194" s="212" t="str">
        <f>"IND"&amp;RIGHT(H194,4)&amp;RIGHT(G194,3)&amp;"N"&amp;RIGHT(E194,1)</f>
        <v>INDTDLAELCN1</v>
      </c>
      <c r="E194" s="224" t="str">
        <f>"Industry "&amp;$AJ$12&amp;" "&amp;RIGHT(H194,2)&amp;" Electricity Light Appliance - New 1"</f>
        <v>Industry Transport LA Electricity Light Appliance - New 1</v>
      </c>
      <c r="F194" s="224" t="s">
        <v>1149</v>
      </c>
      <c r="G194" s="225" t="s">
        <v>499</v>
      </c>
      <c r="H194" s="225" t="str">
        <f>AI16</f>
        <v>ITDLA</v>
      </c>
      <c r="I194" s="225"/>
      <c r="J194" s="81">
        <v>2011</v>
      </c>
      <c r="K194" s="81">
        <v>2011</v>
      </c>
      <c r="L194" s="256">
        <v>1</v>
      </c>
      <c r="M194" s="256"/>
      <c r="N194" s="256">
        <v>10</v>
      </c>
      <c r="O194" s="254"/>
      <c r="P194" s="254"/>
      <c r="Q194" s="254"/>
      <c r="R194" s="201"/>
      <c r="S194" s="275">
        <v>0.9</v>
      </c>
      <c r="T194" s="228"/>
      <c r="U194" s="228"/>
      <c r="V194" s="228"/>
      <c r="W194" s="287"/>
      <c r="X194" s="279"/>
      <c r="Y194" s="255"/>
      <c r="Z194" s="255"/>
      <c r="AA194" s="255"/>
      <c r="AB194" s="255"/>
      <c r="AC194" s="226"/>
      <c r="AD194" s="226"/>
      <c r="AE194" s="226"/>
      <c r="AF194" s="226"/>
    </row>
    <row r="195" spans="1:32">
      <c r="A195" s="169"/>
      <c r="B195" s="226"/>
      <c r="C195" s="226"/>
      <c r="F195" s="224" t="s">
        <v>1149</v>
      </c>
      <c r="G195" s="225"/>
      <c r="H195" s="226"/>
      <c r="I195" s="226"/>
      <c r="J195" s="256">
        <v>2020</v>
      </c>
      <c r="K195" s="256"/>
      <c r="L195" s="256"/>
      <c r="M195" s="256"/>
      <c r="N195" s="256"/>
      <c r="O195" s="254"/>
      <c r="P195" s="254"/>
      <c r="Q195" s="254"/>
      <c r="R195" s="201"/>
      <c r="S195" s="275"/>
      <c r="T195" s="228"/>
      <c r="U195" s="228"/>
      <c r="V195" s="228"/>
      <c r="W195" s="287"/>
      <c r="X195" s="279"/>
      <c r="Y195" s="255"/>
      <c r="Z195" s="255"/>
      <c r="AA195" s="255"/>
      <c r="AB195" s="255"/>
      <c r="AC195" s="226"/>
      <c r="AD195" s="226"/>
      <c r="AE195" s="226"/>
      <c r="AF195" s="226"/>
    </row>
    <row r="196" spans="1:32">
      <c r="A196" s="169"/>
      <c r="B196" s="226"/>
      <c r="C196" s="226"/>
      <c r="F196" s="224" t="s">
        <v>1149</v>
      </c>
      <c r="G196" s="225"/>
      <c r="H196" s="225"/>
      <c r="I196" s="225"/>
      <c r="J196" s="256">
        <v>2030</v>
      </c>
      <c r="K196" s="256"/>
      <c r="L196" s="256"/>
      <c r="M196" s="256"/>
      <c r="N196" s="256"/>
      <c r="O196" s="254"/>
      <c r="P196" s="254"/>
      <c r="Q196" s="254"/>
      <c r="R196" s="201"/>
      <c r="S196" s="275"/>
      <c r="T196" s="228"/>
      <c r="U196" s="228"/>
      <c r="V196" s="228"/>
      <c r="W196" s="287"/>
      <c r="X196" s="279"/>
      <c r="Y196" s="255"/>
      <c r="Z196" s="255"/>
      <c r="AA196" s="255"/>
      <c r="AB196" s="255"/>
    </row>
    <row r="197" spans="1:32">
      <c r="A197" s="169"/>
      <c r="B197" s="226"/>
      <c r="C197" s="226"/>
      <c r="F197" s="224" t="s">
        <v>1149</v>
      </c>
      <c r="G197" s="225"/>
      <c r="H197" s="225"/>
      <c r="I197" s="225"/>
      <c r="J197" s="256">
        <v>2050</v>
      </c>
      <c r="K197" s="256"/>
      <c r="L197" s="256"/>
      <c r="M197" s="256"/>
      <c r="N197" s="256"/>
      <c r="O197" s="254"/>
      <c r="P197" s="254"/>
      <c r="Q197" s="254"/>
      <c r="R197" s="201"/>
      <c r="S197" s="275"/>
      <c r="T197" s="228"/>
      <c r="U197" s="228"/>
      <c r="V197" s="228"/>
      <c r="W197" s="287"/>
      <c r="X197" s="279"/>
      <c r="Y197" s="255"/>
      <c r="Z197" s="255"/>
      <c r="AA197" s="255"/>
      <c r="AB197" s="255"/>
    </row>
    <row r="198" spans="1:32">
      <c r="A198" s="169"/>
      <c r="B198" s="226"/>
      <c r="C198" s="226"/>
      <c r="D198" s="212" t="str">
        <f>"IND"&amp;RIGHT(H198,4)&amp;RIGHT(G198,3)&amp;"N"&amp;RIGHT(E198,1)</f>
        <v>INDTDEMELCN1</v>
      </c>
      <c r="E198" s="224" t="str">
        <f>"Industry "&amp;$AJ$12&amp;" "&amp;RIGHT(H198,2)&amp;" Electricity Motors - New 1"</f>
        <v>Industry Transport EM Electricity Motors - New 1</v>
      </c>
      <c r="F198" s="224" t="s">
        <v>1149</v>
      </c>
      <c r="G198" s="225" t="s">
        <v>499</v>
      </c>
      <c r="H198" s="225" t="str">
        <f>AI17</f>
        <v>ITDEM</v>
      </c>
      <c r="I198" s="225"/>
      <c r="J198" s="81">
        <v>2011</v>
      </c>
      <c r="K198" s="81">
        <v>2011</v>
      </c>
      <c r="L198" s="256">
        <v>1</v>
      </c>
      <c r="M198" s="256"/>
      <c r="N198" s="256">
        <v>10</v>
      </c>
      <c r="O198" s="254"/>
      <c r="P198" s="254"/>
      <c r="Q198" s="254"/>
      <c r="R198" s="201"/>
      <c r="S198" s="275">
        <v>0.9</v>
      </c>
      <c r="T198" s="228"/>
      <c r="U198" s="228"/>
      <c r="V198" s="228"/>
      <c r="W198" s="287"/>
      <c r="X198" s="279"/>
      <c r="Y198" s="255"/>
      <c r="Z198" s="255"/>
      <c r="AA198" s="255"/>
      <c r="AB198" s="255"/>
    </row>
    <row r="199" spans="1:32">
      <c r="A199" s="169"/>
      <c r="D199" s="170"/>
      <c r="E199" s="64"/>
      <c r="F199" s="224" t="s">
        <v>1149</v>
      </c>
      <c r="H199" s="173"/>
      <c r="I199" s="173"/>
      <c r="J199" s="256">
        <v>2020</v>
      </c>
      <c r="K199" s="257"/>
      <c r="L199" s="257"/>
      <c r="M199" s="257"/>
      <c r="N199" s="257"/>
      <c r="O199" s="61"/>
      <c r="P199" s="61"/>
      <c r="Q199" s="61"/>
      <c r="R199" s="61"/>
      <c r="S199" s="276"/>
      <c r="T199" s="55"/>
      <c r="U199" s="55"/>
      <c r="V199" s="55"/>
      <c r="W199" s="283"/>
      <c r="X199" s="278"/>
      <c r="Y199" s="61"/>
      <c r="Z199" s="61"/>
      <c r="AA199" s="61"/>
      <c r="AB199" s="61"/>
    </row>
    <row r="200" spans="1:32">
      <c r="A200" s="169"/>
      <c r="F200" s="224" t="s">
        <v>1149</v>
      </c>
      <c r="H200" s="173"/>
      <c r="I200" s="173"/>
      <c r="J200" s="256">
        <v>2030</v>
      </c>
      <c r="K200" s="257"/>
      <c r="L200" s="257"/>
      <c r="M200" s="257"/>
      <c r="N200" s="257"/>
      <c r="O200" s="61"/>
      <c r="P200" s="61"/>
      <c r="Q200" s="61"/>
      <c r="R200" s="61"/>
      <c r="S200" s="276"/>
      <c r="T200" s="55"/>
      <c r="U200" s="55"/>
      <c r="V200" s="55"/>
      <c r="W200" s="283"/>
      <c r="X200" s="278"/>
      <c r="Y200" s="61"/>
      <c r="Z200" s="61"/>
      <c r="AA200" s="61"/>
      <c r="AB200" s="61"/>
    </row>
    <row r="201" spans="1:32">
      <c r="A201" s="169"/>
      <c r="D201" s="203"/>
      <c r="E201" s="203"/>
      <c r="F201" s="224" t="s">
        <v>1149</v>
      </c>
      <c r="G201" s="203"/>
      <c r="H201" s="266"/>
      <c r="I201" s="266"/>
      <c r="J201" s="256">
        <v>2050</v>
      </c>
      <c r="K201" s="257"/>
      <c r="L201" s="257"/>
      <c r="M201" s="257"/>
      <c r="N201" s="257"/>
      <c r="O201" s="61"/>
      <c r="P201" s="61"/>
      <c r="Q201" s="61"/>
      <c r="R201" s="61"/>
      <c r="S201" s="276"/>
      <c r="T201" s="55"/>
      <c r="U201" s="55"/>
      <c r="V201" s="55"/>
      <c r="W201" s="283"/>
      <c r="X201" s="278"/>
      <c r="Y201" s="61"/>
      <c r="Z201" s="61"/>
      <c r="AA201" s="61"/>
      <c r="AB201" s="61"/>
    </row>
    <row r="202" spans="1:32">
      <c r="A202" s="169" t="s">
        <v>2057</v>
      </c>
      <c r="B202" s="224" t="s">
        <v>2064</v>
      </c>
      <c r="D202" s="212" t="str">
        <f>"IND"&amp;RIGHT(H202,4)&amp;"DSL"&amp;"N"&amp;RIGHT(E202,1)</f>
        <v>INDTDTFDSLN1</v>
      </c>
      <c r="E202" s="224" t="str">
        <f>"Industry "&amp;$AJ$12&amp;" "&amp;RIGHT(H202,2)&amp;" Tractors, Trucks, Fishing boats - New 1"</f>
        <v>Industry Transport TF Tractors, Trucks, Fishing boats - New 1</v>
      </c>
      <c r="F202" s="224" t="s">
        <v>1149</v>
      </c>
      <c r="G202" s="173" t="s">
        <v>2081</v>
      </c>
      <c r="H202" s="174" t="str">
        <f>$AI$18</f>
        <v>ITDTF</v>
      </c>
      <c r="I202" s="174"/>
      <c r="J202" s="81">
        <v>2011</v>
      </c>
      <c r="K202" s="81">
        <v>2011</v>
      </c>
      <c r="L202" s="1127">
        <f>L203</f>
        <v>1</v>
      </c>
      <c r="M202" s="256"/>
      <c r="N202" s="256">
        <v>20</v>
      </c>
      <c r="O202" s="1127">
        <f>O203</f>
        <v>30.836264040545181</v>
      </c>
      <c r="P202" s="254"/>
      <c r="Q202" s="254"/>
      <c r="R202" s="1126">
        <v>1</v>
      </c>
      <c r="S202" s="1127">
        <v>1</v>
      </c>
      <c r="T202" s="228"/>
      <c r="U202" s="228"/>
      <c r="V202" s="228"/>
      <c r="W202" s="287"/>
      <c r="X202" s="55"/>
      <c r="Y202" s="55"/>
      <c r="Z202" s="55"/>
      <c r="AA202" s="55"/>
      <c r="AB202" s="55"/>
    </row>
    <row r="203" spans="1:32">
      <c r="A203" s="169" t="s">
        <v>2057</v>
      </c>
      <c r="B203" s="224" t="s">
        <v>2064</v>
      </c>
      <c r="D203" s="55"/>
      <c r="E203" s="55"/>
      <c r="F203" s="224" t="s">
        <v>1149</v>
      </c>
      <c r="G203" s="55"/>
      <c r="H203" s="174"/>
      <c r="I203" s="174"/>
      <c r="J203" s="256">
        <v>2017</v>
      </c>
      <c r="K203" s="256"/>
      <c r="L203" s="1127">
        <f>1/SUMIFS(Transport!$AS$13:$AS$264,Transport!$D$13:$D$264,$B203,Transport!$E$13:$E$264,$A203,Transport!$A$13:$A$264,$J203)</f>
        <v>1</v>
      </c>
      <c r="M203" s="256"/>
      <c r="N203" s="256"/>
      <c r="O203" s="1127">
        <f>SUMIFS(Transport!$AT$13:$AT$264,Transport!$D$13:$D$264,$B203,Transport!$E$13:$E$264,$A203,Transport!$A$13:$A$264,$J203)/1000*6.5</f>
        <v>30.836264040545181</v>
      </c>
      <c r="P203" s="254"/>
      <c r="Q203" s="254"/>
      <c r="R203" s="1126"/>
      <c r="S203" s="275"/>
      <c r="T203" s="228"/>
      <c r="U203" s="228"/>
      <c r="V203" s="228"/>
      <c r="W203" s="228"/>
      <c r="X203" s="55"/>
      <c r="Y203" s="55"/>
      <c r="Z203" s="55"/>
      <c r="AA203" s="55"/>
      <c r="AB203" s="55"/>
    </row>
    <row r="204" spans="1:32">
      <c r="A204" s="169" t="s">
        <v>2057</v>
      </c>
      <c r="B204" s="224" t="s">
        <v>2064</v>
      </c>
      <c r="D204" s="55"/>
      <c r="E204" s="55"/>
      <c r="F204" s="224" t="s">
        <v>1149</v>
      </c>
      <c r="G204" s="55"/>
      <c r="J204" s="256">
        <v>2030</v>
      </c>
      <c r="K204" s="256"/>
      <c r="L204" s="1127">
        <f>1/SUMIFS(Transport!$AS$13:$AS$264,Transport!$D$13:$D$264,$B204,Transport!$E$13:$E$264,$A204,Transport!$A$13:$A$264,$J204)</f>
        <v>1.4579105312754643</v>
      </c>
      <c r="M204" s="256"/>
      <c r="N204" s="256"/>
      <c r="O204" s="1127">
        <f>SUMIFS(Transport!$AT$13:$AT$264,Transport!$D$13:$D$264,$B204,Transport!$E$13:$E$264,$A204,Transport!$A$13:$A$264,$J204)/1000*6.5</f>
        <v>31.806294618979205</v>
      </c>
      <c r="P204" s="254"/>
      <c r="Q204" s="254"/>
      <c r="R204" s="1126"/>
      <c r="S204" s="275"/>
      <c r="T204" s="228"/>
      <c r="U204" s="228"/>
      <c r="V204" s="228"/>
      <c r="W204" s="228"/>
      <c r="X204" s="55"/>
      <c r="Y204" s="55"/>
      <c r="Z204" s="55"/>
      <c r="AA204" s="55"/>
      <c r="AB204" s="55"/>
    </row>
    <row r="205" spans="1:32">
      <c r="A205" s="169" t="s">
        <v>2057</v>
      </c>
      <c r="B205" s="224" t="s">
        <v>2064</v>
      </c>
      <c r="D205" s="55"/>
      <c r="E205" s="55"/>
      <c r="F205" s="224" t="s">
        <v>1149</v>
      </c>
      <c r="G205" s="55"/>
      <c r="J205" s="256">
        <v>2050</v>
      </c>
      <c r="K205" s="256"/>
      <c r="L205" s="1127">
        <f>1/SUMIFS(Transport!$AS$13:$AS$264,Transport!$D$13:$D$264,$B205,Transport!$E$13:$E$264,$A205,Transport!$A$13:$A$264,$J205)</f>
        <v>1.612189818950156</v>
      </c>
      <c r="M205" s="256"/>
      <c r="N205" s="256"/>
      <c r="O205" s="1127">
        <f>SUMIFS(Transport!$AT$13:$AT$264,Transport!$D$13:$D$264,$B205,Transport!$E$13:$E$264,$A205,Transport!$A$13:$A$264,$J205)/1000*6.5</f>
        <v>32.165108628526795</v>
      </c>
      <c r="P205" s="254"/>
      <c r="Q205" s="254"/>
      <c r="R205" s="1126"/>
      <c r="S205" s="275"/>
      <c r="T205" s="228"/>
      <c r="U205" s="228"/>
      <c r="V205" s="228"/>
      <c r="W205" s="228"/>
      <c r="X205" s="55"/>
      <c r="Y205" s="55"/>
      <c r="Z205" s="55"/>
      <c r="AA205" s="55"/>
      <c r="AB205" s="55"/>
    </row>
    <row r="206" spans="1:32">
      <c r="A206" s="169" t="s">
        <v>2062</v>
      </c>
      <c r="B206" s="224" t="s">
        <v>2064</v>
      </c>
      <c r="D206" s="212" t="str">
        <f>"IND"&amp;RIGHT(H206,4)&amp;"H2G"&amp;"N"&amp;RIGHT(E206,1)</f>
        <v>INDTDTFH2GN2</v>
      </c>
      <c r="E206" s="224" t="str">
        <f>"Industry "&amp;$AJ$12&amp;" "&amp;RIGHT(H206,2)&amp;" Tractors, Trucks, Fishing boats - New 2"</f>
        <v>Industry Transport TF Tractors, Trucks, Fishing boats - New 2</v>
      </c>
      <c r="F206" s="224" t="s">
        <v>1149</v>
      </c>
      <c r="G206" s="55" t="s">
        <v>2077</v>
      </c>
      <c r="H206" s="174" t="str">
        <f>$AI$18</f>
        <v>ITDTF</v>
      </c>
      <c r="I206" s="174"/>
      <c r="J206" s="81">
        <v>2017</v>
      </c>
      <c r="K206" s="81">
        <v>2030</v>
      </c>
      <c r="L206" s="1127">
        <f>1/SUMIFS(Transport!$AS$13:$AS$264,Transport!$D$13:$D$264,$B206,Transport!$E$13:$E$264,$A206,Transport!$A$13:$A$264,$J206)</f>
        <v>1.6201914448931107</v>
      </c>
      <c r="M206" s="256"/>
      <c r="N206" s="256">
        <v>20</v>
      </c>
      <c r="O206" s="1127">
        <f>SUMIFS(Transport!$AT$13:$AT$264,Transport!$D$13:$D$264,$B206,Transport!$E$13:$E$264,$A206,Transport!$A$13:$A$264,$J206)/1000*6.5</f>
        <v>81.840656028484005</v>
      </c>
      <c r="P206" s="254"/>
      <c r="Q206" s="254"/>
      <c r="R206" s="1126">
        <v>1</v>
      </c>
      <c r="S206" s="1127">
        <v>1</v>
      </c>
      <c r="T206" s="228"/>
      <c r="U206" s="228"/>
      <c r="V206" s="228"/>
      <c r="W206" s="287"/>
      <c r="X206" s="55"/>
      <c r="Y206" s="55"/>
      <c r="Z206" s="55"/>
      <c r="AA206" s="55"/>
      <c r="AB206" s="55"/>
    </row>
    <row r="207" spans="1:32">
      <c r="A207" s="169" t="s">
        <v>2062</v>
      </c>
      <c r="B207" s="224" t="s">
        <v>2064</v>
      </c>
      <c r="D207" s="55"/>
      <c r="E207" s="55"/>
      <c r="F207" s="224" t="s">
        <v>1149</v>
      </c>
      <c r="G207" s="55"/>
      <c r="H207" s="174"/>
      <c r="I207" s="174"/>
      <c r="J207" s="256">
        <v>2017</v>
      </c>
      <c r="K207" s="256"/>
      <c r="L207" s="1127">
        <f>1/SUMIFS(Transport!$AS$13:$AS$264,Transport!$D$13:$D$264,$B207,Transport!$E$13:$E$264,$A207,Transport!$A$13:$A$264,$J207)</f>
        <v>1.6201914448931107</v>
      </c>
      <c r="M207" s="256"/>
      <c r="N207" s="256"/>
      <c r="O207" s="1127">
        <f>SUMIFS(Transport!$AT$13:$AT$264,Transport!$D$13:$D$264,$B207,Transport!$E$13:$E$264,$A207,Transport!$A$13:$A$264,$J207)/1000*6.5</f>
        <v>81.840656028484005</v>
      </c>
      <c r="P207" s="254"/>
      <c r="Q207" s="254"/>
      <c r="R207" s="1126"/>
      <c r="S207" s="275"/>
      <c r="T207" s="228"/>
      <c r="U207" s="228"/>
      <c r="V207" s="228"/>
      <c r="W207" s="228"/>
      <c r="X207" s="55"/>
      <c r="Y207" s="55"/>
      <c r="Z207" s="55"/>
      <c r="AA207" s="55"/>
      <c r="AB207" s="55"/>
    </row>
    <row r="208" spans="1:32">
      <c r="A208" s="169" t="s">
        <v>2062</v>
      </c>
      <c r="B208" s="224" t="s">
        <v>2064</v>
      </c>
      <c r="D208" s="55"/>
      <c r="E208" s="55"/>
      <c r="F208" s="224" t="s">
        <v>1149</v>
      </c>
      <c r="G208" s="55"/>
      <c r="J208" s="256">
        <v>2030</v>
      </c>
      <c r="K208" s="256"/>
      <c r="L208" s="1127">
        <f>1/SUMIFS(Transport!$AS$13:$AS$264,Transport!$D$13:$D$264,$B208,Transport!$E$13:$E$264,$A208,Transport!$A$13:$A$264,$J208)</f>
        <v>2.4143776559781225</v>
      </c>
      <c r="M208" s="256"/>
      <c r="N208" s="256"/>
      <c r="O208" s="1127">
        <f>SUMIFS(Transport!$AT$13:$AT$264,Transport!$D$13:$D$264,$B208,Transport!$E$13:$E$264,$A208,Transport!$A$13:$A$264,$J208)/1000*6.5</f>
        <v>34.253254247071318</v>
      </c>
      <c r="P208" s="254"/>
      <c r="Q208" s="254"/>
      <c r="R208" s="1126"/>
      <c r="S208" s="275"/>
      <c r="T208" s="228"/>
      <c r="U208" s="228"/>
      <c r="V208" s="228"/>
      <c r="W208" s="228"/>
      <c r="X208" s="55"/>
      <c r="Y208" s="55"/>
      <c r="Z208" s="55"/>
      <c r="AA208" s="55"/>
      <c r="AB208" s="55"/>
    </row>
    <row r="209" spans="1:28">
      <c r="A209" s="169" t="s">
        <v>2062</v>
      </c>
      <c r="B209" s="224" t="s">
        <v>2064</v>
      </c>
      <c r="D209" s="55"/>
      <c r="E209" s="55"/>
      <c r="F209" s="224" t="s">
        <v>1149</v>
      </c>
      <c r="G209" s="55"/>
      <c r="J209" s="256">
        <v>2050</v>
      </c>
      <c r="K209" s="256"/>
      <c r="L209" s="1127">
        <f>1/SUMIFS(Transport!$AS$13:$AS$264,Transport!$D$13:$D$264,$B209,Transport!$E$13:$E$264,$A209,Transport!$A$13:$A$264,$J209)</f>
        <v>2.9956358502626648</v>
      </c>
      <c r="M209" s="256"/>
      <c r="N209" s="256"/>
      <c r="O209" s="1127">
        <f>SUMIFS(Transport!$AT$13:$AT$264,Transport!$D$13:$D$264,$B209,Transport!$E$13:$E$264,$A209,Transport!$A$13:$A$264,$J209)/1000*6.5</f>
        <v>28.800352543800432</v>
      </c>
      <c r="P209" s="254"/>
      <c r="Q209" s="254"/>
      <c r="R209" s="1126"/>
      <c r="S209" s="275"/>
      <c r="T209" s="228"/>
      <c r="U209" s="228"/>
      <c r="V209" s="228"/>
      <c r="W209" s="228"/>
      <c r="X209" s="55"/>
      <c r="Y209" s="55"/>
      <c r="Z209" s="55"/>
      <c r="AA209" s="55"/>
      <c r="AB209" s="55"/>
    </row>
    <row r="210" spans="1:28">
      <c r="A210" s="169" t="s">
        <v>2061</v>
      </c>
      <c r="B210" s="224" t="s">
        <v>2064</v>
      </c>
      <c r="D210" s="212" t="str">
        <f>"IND"&amp;RIGHT(H210,4)&amp;"ELC"&amp;"N"&amp;RIGHT(E210,1)</f>
        <v>INDTDTFELCN3</v>
      </c>
      <c r="E210" s="224" t="str">
        <f>"Industry "&amp;$AJ$12&amp;" "&amp;RIGHT(H210,2)&amp;" Tractors, Trucks, Fishing boats - New 3"</f>
        <v>Industry Transport TF Tractors, Trucks, Fishing boats - New 3</v>
      </c>
      <c r="F210" s="224" t="s">
        <v>1149</v>
      </c>
      <c r="G210" s="55" t="s">
        <v>499</v>
      </c>
      <c r="H210" s="174" t="str">
        <f>$AI$18</f>
        <v>ITDTF</v>
      </c>
      <c r="I210" s="174"/>
      <c r="J210" s="81">
        <v>2017</v>
      </c>
      <c r="K210" s="81">
        <v>2025</v>
      </c>
      <c r="L210" s="1127">
        <f>1/SUMIFS(Transport!$AS$13:$AS$264,Transport!$D$13:$D$264,$B210,Transport!$E$13:$E$264,$A210,Transport!$A$13:$A$264,$J210)</f>
        <v>3.2991956437648962</v>
      </c>
      <c r="M210" s="256"/>
      <c r="N210" s="256">
        <v>20</v>
      </c>
      <c r="O210" s="1127">
        <f>SUMIFS(Transport!$AT$13:$AT$264,Transport!$D$13:$D$264,$B210,Transport!$E$13:$E$264,$A210,Transport!$A$13:$A$264,$J210)/1000*6.5</f>
        <v>72.592990417868862</v>
      </c>
      <c r="P210" s="254"/>
      <c r="Q210" s="254"/>
      <c r="R210" s="1126">
        <v>1</v>
      </c>
      <c r="S210" s="1127">
        <v>1</v>
      </c>
      <c r="T210" s="228"/>
      <c r="U210" s="228"/>
      <c r="V210" s="228"/>
      <c r="W210" s="287"/>
      <c r="X210" s="55"/>
      <c r="Y210" s="55"/>
      <c r="Z210" s="55"/>
      <c r="AA210" s="55"/>
      <c r="AB210" s="55"/>
    </row>
    <row r="211" spans="1:28">
      <c r="A211" s="169" t="s">
        <v>2061</v>
      </c>
      <c r="B211" s="224" t="s">
        <v>2064</v>
      </c>
      <c r="D211" s="55"/>
      <c r="E211" s="55"/>
      <c r="F211" s="224" t="s">
        <v>1149</v>
      </c>
      <c r="G211" s="55"/>
      <c r="H211" s="174"/>
      <c r="I211" s="174"/>
      <c r="J211" s="256">
        <v>2017</v>
      </c>
      <c r="K211" s="256"/>
      <c r="L211" s="1127">
        <f>1/SUMIFS(Transport!$AS$13:$AS$264,Transport!$D$13:$D$264,$B211,Transport!$E$13:$E$264,$A211,Transport!$A$13:$A$264,$J211)</f>
        <v>3.2991956437648962</v>
      </c>
      <c r="M211" s="256"/>
      <c r="N211" s="256"/>
      <c r="O211" s="1127">
        <f>SUMIFS(Transport!$AT$13:$AT$264,Transport!$D$13:$D$264,$B211,Transport!$E$13:$E$264,$A211,Transport!$A$13:$A$264,$J211)/1000*6.5</f>
        <v>72.592990417868862</v>
      </c>
      <c r="P211" s="254"/>
      <c r="Q211" s="254"/>
      <c r="R211" s="201"/>
      <c r="S211" s="275"/>
      <c r="T211" s="228"/>
      <c r="U211" s="228"/>
      <c r="V211" s="228"/>
      <c r="W211" s="228"/>
      <c r="X211" s="55"/>
      <c r="Y211" s="55"/>
      <c r="Z211" s="55"/>
      <c r="AA211" s="55"/>
      <c r="AB211" s="55"/>
    </row>
    <row r="212" spans="1:28">
      <c r="A212" s="169" t="s">
        <v>2061</v>
      </c>
      <c r="B212" s="224" t="s">
        <v>2064</v>
      </c>
      <c r="D212" s="55"/>
      <c r="E212" s="55"/>
      <c r="F212" s="224" t="s">
        <v>1149</v>
      </c>
      <c r="G212" s="55"/>
      <c r="J212" s="256">
        <v>2030</v>
      </c>
      <c r="K212" s="256"/>
      <c r="L212" s="1127">
        <f>1/SUMIFS(Transport!$AS$13:$AS$264,Transport!$D$13:$D$264,$B212,Transport!$E$13:$E$264,$A212,Transport!$A$13:$A$264,$J212)</f>
        <v>3.2991956437648962</v>
      </c>
      <c r="M212" s="256"/>
      <c r="N212" s="256"/>
      <c r="O212" s="1127">
        <f>SUMIFS(Transport!$AT$13:$AT$264,Transport!$D$13:$D$264,$B212,Transport!$E$13:$E$264,$A212,Transport!$A$13:$A$264,$J212)/1000*6.5</f>
        <v>35.973025982850046</v>
      </c>
      <c r="P212" s="254"/>
      <c r="Q212" s="254"/>
      <c r="R212" s="201"/>
      <c r="S212" s="275"/>
      <c r="T212" s="228"/>
      <c r="U212" s="228"/>
      <c r="V212" s="228"/>
      <c r="W212" s="228"/>
      <c r="X212" s="55"/>
      <c r="Y212" s="55"/>
      <c r="Z212" s="55"/>
      <c r="AA212" s="55"/>
      <c r="AB212" s="55"/>
    </row>
    <row r="213" spans="1:28">
      <c r="A213" s="169" t="s">
        <v>2061</v>
      </c>
      <c r="B213" s="224" t="s">
        <v>2064</v>
      </c>
      <c r="D213" s="55"/>
      <c r="E213" s="55"/>
      <c r="F213" s="224" t="s">
        <v>1149</v>
      </c>
      <c r="G213" s="55"/>
      <c r="J213" s="256">
        <v>2050</v>
      </c>
      <c r="K213" s="256"/>
      <c r="L213" s="1127">
        <f>1/SUMIFS(Transport!$AS$13:$AS$264,Transport!$D$13:$D$264,$B213,Transport!$E$13:$E$264,$A213,Transport!$A$13:$A$264,$J213)</f>
        <v>3.2991956437648962</v>
      </c>
      <c r="M213" s="256"/>
      <c r="N213" s="256"/>
      <c r="O213" s="1127">
        <f>SUMIFS(Transport!$AT$13:$AT$264,Transport!$D$13:$D$264,$B213,Transport!$E$13:$E$264,$A213,Transport!$A$13:$A$264,$J213)/1000*6.5</f>
        <v>28.759134300809922</v>
      </c>
      <c r="P213" s="254"/>
      <c r="Q213" s="254"/>
      <c r="R213" s="201"/>
      <c r="S213" s="275"/>
      <c r="T213" s="228"/>
      <c r="U213" s="228"/>
      <c r="V213" s="228"/>
      <c r="W213" s="228"/>
      <c r="X213" s="55"/>
      <c r="Y213" s="55"/>
      <c r="Z213" s="55"/>
      <c r="AA213" s="55"/>
      <c r="AB213" s="55"/>
    </row>
    <row r="214" spans="1:28">
      <c r="A214" s="169"/>
      <c r="D214" s="212" t="str">
        <f>"IND"&amp;RIGHT(H214,4)&amp;RIGHT(G214,3)&amp;"N"&amp;RIGHT(E214,1)</f>
        <v>INDTDFLELCN1</v>
      </c>
      <c r="E214" s="224" t="str">
        <f>"Industry "&amp;$AJ$12&amp;" "&amp;RIGHT(H202,2)&amp;" Forklifts - New 1"</f>
        <v>Industry Transport TF Forklifts - New 1</v>
      </c>
      <c r="F214" s="224" t="s">
        <v>1149</v>
      </c>
      <c r="G214" s="173" t="s">
        <v>2128</v>
      </c>
      <c r="H214" s="224" t="str">
        <f>AI19</f>
        <v>ITDFL</v>
      </c>
      <c r="J214" s="81">
        <v>2011</v>
      </c>
      <c r="K214" s="81">
        <v>2011</v>
      </c>
      <c r="L214" s="256">
        <v>1</v>
      </c>
      <c r="M214" s="256"/>
      <c r="N214" s="256">
        <v>10</v>
      </c>
      <c r="O214" s="254"/>
      <c r="P214" s="254"/>
      <c r="Q214" s="254"/>
      <c r="R214" s="201"/>
      <c r="S214" s="275">
        <v>0.9</v>
      </c>
      <c r="T214" s="228"/>
      <c r="U214" s="228"/>
      <c r="V214" s="228"/>
      <c r="W214" s="228"/>
      <c r="X214" s="55"/>
      <c r="Y214" s="55"/>
      <c r="Z214" s="55"/>
      <c r="AA214" s="55"/>
      <c r="AB214" s="55"/>
    </row>
    <row r="215" spans="1:28">
      <c r="A215" s="169"/>
      <c r="D215" s="55"/>
      <c r="E215" s="55"/>
      <c r="F215" s="224" t="s">
        <v>1149</v>
      </c>
      <c r="G215" s="55"/>
      <c r="H215" s="174"/>
      <c r="I215" s="174"/>
      <c r="J215" s="256">
        <v>2020</v>
      </c>
      <c r="K215" s="256"/>
      <c r="L215" s="256"/>
      <c r="M215" s="256"/>
      <c r="N215" s="257"/>
      <c r="O215" s="61"/>
      <c r="P215" s="61"/>
      <c r="Q215" s="61"/>
      <c r="R215" s="61"/>
      <c r="S215" s="276"/>
      <c r="T215" s="55"/>
      <c r="U215" s="55"/>
      <c r="V215" s="55"/>
      <c r="W215" s="55"/>
      <c r="X215" s="55"/>
      <c r="Y215" s="55"/>
      <c r="Z215" s="55"/>
      <c r="AA215" s="55"/>
      <c r="AB215" s="55"/>
    </row>
    <row r="216" spans="1:28">
      <c r="A216" s="169"/>
      <c r="D216" s="55"/>
      <c r="E216" s="55"/>
      <c r="F216" s="224" t="s">
        <v>1149</v>
      </c>
      <c r="G216" s="55"/>
      <c r="J216" s="256">
        <v>2030</v>
      </c>
      <c r="K216" s="256"/>
      <c r="L216" s="256"/>
      <c r="M216" s="256"/>
      <c r="N216" s="257"/>
      <c r="O216" s="61"/>
      <c r="P216" s="61"/>
      <c r="Q216" s="61"/>
      <c r="R216" s="61"/>
      <c r="S216" s="276"/>
      <c r="T216" s="55"/>
      <c r="U216" s="55"/>
      <c r="V216" s="55"/>
      <c r="W216" s="55"/>
      <c r="X216" s="55"/>
      <c r="Y216" s="55"/>
      <c r="Z216" s="55"/>
      <c r="AA216" s="55"/>
      <c r="AB216" s="55"/>
    </row>
    <row r="217" spans="1:28">
      <c r="A217" s="169"/>
      <c r="D217" s="55"/>
      <c r="E217" s="55"/>
      <c r="F217" s="224" t="s">
        <v>1149</v>
      </c>
      <c r="G217" s="55"/>
      <c r="H217" s="174"/>
      <c r="I217" s="174"/>
      <c r="J217" s="256">
        <v>2050</v>
      </c>
      <c r="K217" s="256"/>
      <c r="L217" s="256"/>
      <c r="M217" s="256"/>
      <c r="N217" s="257"/>
      <c r="O217" s="61"/>
      <c r="P217" s="61"/>
      <c r="Q217" s="61"/>
      <c r="R217" s="61"/>
      <c r="S217" s="276"/>
      <c r="T217" s="55"/>
      <c r="U217" s="55"/>
      <c r="V217" s="55"/>
      <c r="W217" s="55"/>
      <c r="X217" s="55"/>
      <c r="Y217" s="55"/>
      <c r="Z217" s="55"/>
      <c r="AA217" s="55"/>
      <c r="AB217" s="55"/>
    </row>
    <row r="218" spans="1:28">
      <c r="A218" s="169" t="s">
        <v>2107</v>
      </c>
      <c r="D218" s="212" t="str">
        <f>"IND"&amp;RIGHT(H218,4)&amp;RIGHT(G218,3)&amp;"N"&amp;RIGHT(E218,1)</f>
        <v>INDTDCOELCN1</v>
      </c>
      <c r="E218" s="224" t="str">
        <f>"Industry "&amp;$AJ$12&amp;" "&amp;RIGHT(H218,2)&amp;" Cooling - New 1"</f>
        <v>Industry Transport CO Cooling - New 1</v>
      </c>
      <c r="F218" s="224" t="s">
        <v>1149</v>
      </c>
      <c r="G218" s="173" t="s">
        <v>499</v>
      </c>
      <c r="H218" s="224" t="str">
        <f>AI21</f>
        <v>ITDCO</v>
      </c>
      <c r="J218" s="82">
        <v>2015</v>
      </c>
      <c r="K218" s="82">
        <v>2015</v>
      </c>
      <c r="L218" s="1128">
        <v>1</v>
      </c>
      <c r="M218" s="1129"/>
      <c r="N218" s="1129">
        <v>12</v>
      </c>
      <c r="O218" s="1130">
        <v>3.3525</v>
      </c>
      <c r="P218" s="1131">
        <v>0.31662500000000005</v>
      </c>
      <c r="Q218" s="1131"/>
      <c r="R218" s="1132">
        <v>3.1536000000000002E-2</v>
      </c>
      <c r="S218" s="1133">
        <v>8.3999999999999991E-2</v>
      </c>
    </row>
    <row r="219" spans="1:28">
      <c r="A219" s="169"/>
      <c r="F219" s="224" t="s">
        <v>1149</v>
      </c>
      <c r="H219" s="173"/>
      <c r="I219" s="173"/>
      <c r="J219" s="1129">
        <v>2020</v>
      </c>
      <c r="K219" s="1129"/>
      <c r="L219" s="1128">
        <v>1</v>
      </c>
      <c r="M219" s="1129"/>
      <c r="N219" s="257">
        <v>12</v>
      </c>
      <c r="O219" s="61">
        <v>3.1662499999999998</v>
      </c>
      <c r="P219" s="61">
        <v>0.30110722454958749</v>
      </c>
      <c r="Q219" s="61"/>
      <c r="R219" s="61">
        <v>3.1536000000000002E-2</v>
      </c>
      <c r="S219" s="276">
        <v>8.3999999999999991E-2</v>
      </c>
    </row>
    <row r="220" spans="1:28">
      <c r="A220" s="169"/>
      <c r="F220" s="224" t="s">
        <v>1149</v>
      </c>
      <c r="J220" s="1129">
        <v>2030</v>
      </c>
      <c r="K220" s="1129"/>
      <c r="L220" s="1128">
        <v>1</v>
      </c>
      <c r="M220" s="1129"/>
      <c r="N220" s="257">
        <v>12</v>
      </c>
      <c r="O220" s="61">
        <v>3.1662499999999998</v>
      </c>
      <c r="P220" s="61">
        <v>0.30110722454958749</v>
      </c>
      <c r="Q220" s="61"/>
      <c r="R220" s="61">
        <v>3.1536000000000002E-2</v>
      </c>
      <c r="S220" s="276">
        <v>8.3999999999999991E-2</v>
      </c>
    </row>
    <row r="221" spans="1:28">
      <c r="A221" s="169"/>
      <c r="F221" s="224" t="s">
        <v>1149</v>
      </c>
      <c r="H221" s="173"/>
      <c r="I221" s="173"/>
      <c r="J221" s="1129">
        <v>2050</v>
      </c>
      <c r="K221" s="1129"/>
      <c r="L221" s="1128">
        <v>1</v>
      </c>
      <c r="M221" s="1129"/>
      <c r="N221" s="257">
        <v>12</v>
      </c>
      <c r="O221" s="61">
        <v>3.1662499999999998</v>
      </c>
      <c r="P221" s="61">
        <v>0.30110722454958749</v>
      </c>
      <c r="Q221" s="61"/>
      <c r="R221" s="61">
        <v>3.1536000000000002E-2</v>
      </c>
      <c r="S221" s="276">
        <v>8.3999999999999991E-2</v>
      </c>
    </row>
    <row r="222" spans="1:28">
      <c r="A222" s="169"/>
    </row>
    <row r="223" spans="1:28">
      <c r="A223" s="169"/>
    </row>
    <row r="224" spans="1:28">
      <c r="A224" s="169"/>
    </row>
    <row r="225" spans="1:10">
      <c r="A225" s="169"/>
    </row>
    <row r="226" spans="1:10">
      <c r="A226" s="169"/>
      <c r="C226" s="207" t="s">
        <v>467</v>
      </c>
      <c r="D226" s="208"/>
      <c r="E226" s="208"/>
      <c r="F226" s="208"/>
      <c r="G226" s="208"/>
      <c r="H226" s="208"/>
      <c r="I226" s="208"/>
      <c r="J226" s="208"/>
    </row>
    <row r="227" spans="1:10">
      <c r="A227" s="169"/>
      <c r="C227" s="209" t="s">
        <v>466</v>
      </c>
      <c r="D227" s="209" t="s">
        <v>425</v>
      </c>
      <c r="E227" s="209" t="s">
        <v>465</v>
      </c>
      <c r="F227" s="209" t="s">
        <v>464</v>
      </c>
      <c r="G227" s="209" t="s">
        <v>463</v>
      </c>
      <c r="H227" s="209" t="s">
        <v>462</v>
      </c>
      <c r="I227" s="209" t="s">
        <v>461</v>
      </c>
      <c r="J227" s="209" t="s">
        <v>460</v>
      </c>
    </row>
    <row r="228" spans="1:10" ht="25" thickBot="1">
      <c r="A228" s="169"/>
      <c r="C228" s="210" t="s">
        <v>459</v>
      </c>
      <c r="D228" s="210" t="s">
        <v>458</v>
      </c>
      <c r="E228" s="210" t="s">
        <v>457</v>
      </c>
      <c r="F228" s="210" t="s">
        <v>456</v>
      </c>
      <c r="G228" s="210" t="s">
        <v>455</v>
      </c>
      <c r="H228" s="210" t="s">
        <v>454</v>
      </c>
      <c r="I228" s="210" t="s">
        <v>453</v>
      </c>
      <c r="J228" s="210" t="s">
        <v>452</v>
      </c>
    </row>
    <row r="229" spans="1:10">
      <c r="A229" s="169"/>
      <c r="C229" s="211" t="s">
        <v>504</v>
      </c>
      <c r="D229" s="212" t="str">
        <f>D9</f>
        <v>INDTDPHELCN1</v>
      </c>
      <c r="E229" s="212" t="str">
        <f t="shared" ref="E229:E260" si="265">VLOOKUP(D229,$D$9:$E$222,2,FALSE)</f>
        <v>Industrial heating technology Transport PH - Heat pump utilizing waste heat - new 1</v>
      </c>
      <c r="F229" s="211" t="s">
        <v>450</v>
      </c>
      <c r="G229" s="211" t="s">
        <v>449</v>
      </c>
      <c r="H229" s="263" t="s">
        <v>620</v>
      </c>
      <c r="I229" s="301"/>
      <c r="J229" s="208" t="s">
        <v>469</v>
      </c>
    </row>
    <row r="230" spans="1:10">
      <c r="A230" s="169"/>
      <c r="B230" s="301"/>
      <c r="C230" s="301"/>
      <c r="D230" s="212" t="str">
        <f t="shared" ref="D230:D238" ca="1" si="266">OFFSET($D$9,(ROW(D1)*6),0)</f>
        <v>INDTDSHELCN1</v>
      </c>
      <c r="E230" s="212" t="str">
        <f t="shared" ca="1" si="265"/>
        <v>Industrial heating technology Transport SH - Heat pump utilizing waste heat - new 1</v>
      </c>
      <c r="F230" s="262" t="s">
        <v>450</v>
      </c>
      <c r="G230" s="262" t="s">
        <v>449</v>
      </c>
      <c r="H230" s="263" t="s">
        <v>620</v>
      </c>
      <c r="I230" s="301"/>
      <c r="J230" s="264" t="s">
        <v>469</v>
      </c>
    </row>
    <row r="231" spans="1:10">
      <c r="A231" s="169"/>
      <c r="D231" s="212" t="str">
        <f t="shared" ca="1" si="266"/>
        <v>INDTDPHELCN2</v>
      </c>
      <c r="E231" s="212" t="str">
        <f t="shared" ca="1" si="265"/>
        <v>Industrial heating technology Transport PH - Heat driven heat pump utilizing waste heat - new 2</v>
      </c>
      <c r="F231" s="211" t="s">
        <v>450</v>
      </c>
      <c r="G231" s="211" t="s">
        <v>449</v>
      </c>
      <c r="H231" s="263" t="s">
        <v>620</v>
      </c>
      <c r="I231" s="208"/>
      <c r="J231" s="264" t="s">
        <v>469</v>
      </c>
    </row>
    <row r="232" spans="1:10">
      <c r="A232" s="169"/>
      <c r="B232" s="211"/>
      <c r="C232" s="211"/>
      <c r="D232" s="212" t="str">
        <f t="shared" ca="1" si="266"/>
        <v>INDTDSHELCN2</v>
      </c>
      <c r="E232" s="212" t="str">
        <f t="shared" ca="1" si="265"/>
        <v>Industrial heating technology Transport SH - Heat driven heat pump utilizing waste heat - new 2</v>
      </c>
      <c r="F232" s="262" t="s">
        <v>450</v>
      </c>
      <c r="G232" s="262" t="s">
        <v>449</v>
      </c>
      <c r="H232" s="263" t="s">
        <v>620</v>
      </c>
      <c r="I232" s="264"/>
      <c r="J232" s="264" t="s">
        <v>469</v>
      </c>
    </row>
    <row r="233" spans="1:10">
      <c r="A233" s="169"/>
      <c r="B233" s="211"/>
      <c r="C233" s="211"/>
      <c r="D233" s="212" t="str">
        <f t="shared" ca="1" si="266"/>
        <v>INDTDPHELCN3</v>
      </c>
      <c r="E233" s="212" t="str">
        <f t="shared" ca="1" si="265"/>
        <v>Industrial heating technology Transport PH - High Temp abs. Heat pump utilizing waste heat - new 3</v>
      </c>
      <c r="F233" s="262" t="s">
        <v>450</v>
      </c>
      <c r="G233" s="262" t="s">
        <v>449</v>
      </c>
      <c r="H233" s="263" t="s">
        <v>620</v>
      </c>
      <c r="I233" s="264"/>
      <c r="J233" s="264" t="s">
        <v>469</v>
      </c>
    </row>
    <row r="234" spans="1:10">
      <c r="A234" s="169"/>
      <c r="B234" s="211"/>
      <c r="C234" s="211"/>
      <c r="D234" s="212" t="str">
        <f t="shared" ca="1" si="266"/>
        <v>INDTDSHELCN3</v>
      </c>
      <c r="E234" s="212" t="str">
        <f t="shared" ca="1" si="265"/>
        <v>Industrial heating technology Transport SH - High Temp abs. Heat pump utilizing waste heat - new 3</v>
      </c>
      <c r="F234" s="262" t="s">
        <v>450</v>
      </c>
      <c r="G234" s="262" t="s">
        <v>449</v>
      </c>
      <c r="H234" s="263" t="s">
        <v>620</v>
      </c>
      <c r="I234" s="264"/>
      <c r="J234" s="264" t="s">
        <v>469</v>
      </c>
    </row>
    <row r="235" spans="1:10">
      <c r="A235" s="169"/>
      <c r="B235" s="211"/>
      <c r="C235" s="211"/>
      <c r="D235" s="212" t="str">
        <f t="shared" ca="1" si="266"/>
        <v>INDTDPHELCN4</v>
      </c>
      <c r="E235" s="212" t="str">
        <f t="shared" ca="1" si="265"/>
        <v>Industrial heating technology Transport PH - Booster Heat pump utilizing waste heat - new 4</v>
      </c>
      <c r="F235" s="262" t="s">
        <v>450</v>
      </c>
      <c r="G235" s="262" t="s">
        <v>449</v>
      </c>
      <c r="H235" s="263" t="s">
        <v>620</v>
      </c>
      <c r="I235" s="264"/>
      <c r="J235" s="264" t="s">
        <v>469</v>
      </c>
    </row>
    <row r="236" spans="1:10">
      <c r="A236" s="169"/>
      <c r="B236" s="211"/>
      <c r="C236" s="211"/>
      <c r="D236" s="212" t="str">
        <f t="shared" ca="1" si="266"/>
        <v>INDTDSHELCN4</v>
      </c>
      <c r="E236" s="212" t="str">
        <f t="shared" ca="1" si="265"/>
        <v>Industrial heating technology Transport SH - Booster Heat pump utilizing waste heat - new 4</v>
      </c>
      <c r="F236" s="262" t="s">
        <v>450</v>
      </c>
      <c r="G236" s="262" t="s">
        <v>449</v>
      </c>
      <c r="H236" s="263" t="s">
        <v>620</v>
      </c>
      <c r="I236" s="264"/>
      <c r="J236" s="264" t="s">
        <v>469</v>
      </c>
    </row>
    <row r="237" spans="1:10">
      <c r="A237" s="169"/>
      <c r="B237" s="211"/>
      <c r="C237" s="211"/>
      <c r="D237" s="212" t="str">
        <f t="shared" ca="1" si="266"/>
        <v>INDTDPHELCN5</v>
      </c>
      <c r="E237" s="212" t="str">
        <f t="shared" ca="1" si="265"/>
        <v>Industrial heating technology Transport PH - MVR utilizing waste heat - new 5</v>
      </c>
      <c r="F237" s="262" t="s">
        <v>450</v>
      </c>
      <c r="G237" s="262" t="s">
        <v>449</v>
      </c>
      <c r="H237" s="263"/>
      <c r="I237" s="264"/>
      <c r="J237" s="264" t="s">
        <v>469</v>
      </c>
    </row>
    <row r="238" spans="1:10">
      <c r="A238" s="169"/>
      <c r="B238" s="211"/>
      <c r="C238" s="211"/>
      <c r="D238" s="212" t="str">
        <f t="shared" ca="1" si="266"/>
        <v>INDTDPHWSTN1</v>
      </c>
      <c r="E238" s="212" t="str">
        <f t="shared" ca="1" si="265"/>
        <v>Industrial heating technology Transport PH - Hotdisc - new 1</v>
      </c>
      <c r="F238" s="262" t="s">
        <v>450</v>
      </c>
      <c r="G238" s="262" t="s">
        <v>449</v>
      </c>
      <c r="H238" s="263" t="s">
        <v>620</v>
      </c>
      <c r="I238" s="264"/>
      <c r="J238" s="264" t="s">
        <v>469</v>
      </c>
    </row>
    <row r="239" spans="1:10">
      <c r="A239" s="169"/>
      <c r="B239" s="211"/>
      <c r="C239" s="211"/>
      <c r="D239" s="212" t="str">
        <f t="shared" ref="D239:D278" ca="1" si="267">OFFSET($D$9,(ROW(D19)*3),0)</f>
        <v>INDTDPHELCN6</v>
      </c>
      <c r="E239" s="212" t="str">
        <f t="shared" ca="1" si="265"/>
        <v>Industrial heating technology Transport PH - Dielectric heating - new 6</v>
      </c>
      <c r="F239" s="262" t="s">
        <v>450</v>
      </c>
      <c r="G239" s="262" t="s">
        <v>449</v>
      </c>
      <c r="H239" s="263" t="s">
        <v>620</v>
      </c>
      <c r="I239" s="264"/>
      <c r="J239" s="264" t="s">
        <v>469</v>
      </c>
    </row>
    <row r="240" spans="1:10">
      <c r="A240" s="169"/>
      <c r="B240" s="211"/>
      <c r="C240" s="211"/>
      <c r="D240" s="212" t="str">
        <f t="shared" ca="1" si="267"/>
        <v>INDTDPHELCN7</v>
      </c>
      <c r="E240" s="212" t="str">
        <f t="shared" ca="1" si="265"/>
        <v>Industrial heating technology Transport PH - Infrared heating - new 7</v>
      </c>
      <c r="F240" s="262" t="s">
        <v>450</v>
      </c>
      <c r="G240" s="262" t="s">
        <v>449</v>
      </c>
      <c r="H240" s="263" t="s">
        <v>620</v>
      </c>
      <c r="I240" s="264"/>
      <c r="J240" s="264" t="s">
        <v>469</v>
      </c>
    </row>
    <row r="241" spans="1:16">
      <c r="A241" s="169"/>
      <c r="B241" s="211"/>
      <c r="C241" s="211"/>
      <c r="D241" s="212" t="str">
        <f t="shared" ca="1" si="267"/>
        <v>INDTDPHELCN8</v>
      </c>
      <c r="E241" s="212" t="str">
        <f t="shared" ca="1" si="265"/>
        <v>Industrial heating technology Transport PH - Electric boiler (Steam) - new 8</v>
      </c>
      <c r="F241" s="262" t="s">
        <v>450</v>
      </c>
      <c r="G241" s="262" t="s">
        <v>449</v>
      </c>
      <c r="H241" s="263" t="s">
        <v>620</v>
      </c>
      <c r="I241" s="264"/>
      <c r="J241" s="264" t="s">
        <v>469</v>
      </c>
    </row>
    <row r="242" spans="1:16">
      <c r="A242" s="169"/>
      <c r="B242" s="211"/>
      <c r="C242" s="211"/>
      <c r="D242" s="212" t="str">
        <f t="shared" ca="1" si="267"/>
        <v>INDTDPHELCN8</v>
      </c>
      <c r="E242" s="212" t="str">
        <f t="shared" ca="1" si="265"/>
        <v>Industrial heating technology Transport PH - Electric boiler (Steam) - new 8</v>
      </c>
      <c r="F242" s="262" t="s">
        <v>450</v>
      </c>
      <c r="G242" s="262" t="s">
        <v>449</v>
      </c>
      <c r="H242" s="263" t="s">
        <v>620</v>
      </c>
      <c r="I242" s="264"/>
      <c r="J242" s="264" t="s">
        <v>469</v>
      </c>
    </row>
    <row r="243" spans="1:16">
      <c r="A243" s="169"/>
      <c r="B243" s="211"/>
      <c r="C243" s="211"/>
      <c r="D243" s="212" t="str">
        <f t="shared" ca="1" si="267"/>
        <v>INDTDSHELCN8</v>
      </c>
      <c r="E243" s="212" t="str">
        <f t="shared" ca="1" si="265"/>
        <v>Industrial heating technology Transport SH - Electric boiler (Steam) - new 8</v>
      </c>
      <c r="F243" s="262" t="s">
        <v>450</v>
      </c>
      <c r="G243" s="262" t="s">
        <v>449</v>
      </c>
      <c r="H243" s="263" t="s">
        <v>620</v>
      </c>
      <c r="I243" s="264"/>
      <c r="J243" s="264" t="s">
        <v>469</v>
      </c>
      <c r="P243" s="173"/>
    </row>
    <row r="244" spans="1:16">
      <c r="A244" s="169"/>
      <c r="B244" s="211"/>
      <c r="C244" s="211"/>
      <c r="D244" s="212" t="str">
        <f t="shared" ca="1" si="267"/>
        <v>INDTDPHELCN9</v>
      </c>
      <c r="E244" s="212" t="str">
        <f t="shared" ca="1" si="265"/>
        <v>Industrial heating technology Transport PH - Electric boiler (Hot Water) - new 9</v>
      </c>
      <c r="F244" s="262" t="s">
        <v>450</v>
      </c>
      <c r="G244" s="262" t="s">
        <v>449</v>
      </c>
      <c r="H244" s="263" t="s">
        <v>620</v>
      </c>
      <c r="I244" s="264"/>
      <c r="J244" s="264" t="s">
        <v>469</v>
      </c>
      <c r="P244" s="173"/>
    </row>
    <row r="245" spans="1:16">
      <c r="A245" s="169"/>
      <c r="B245" s="211"/>
      <c r="C245" s="211"/>
      <c r="D245" s="212" t="str">
        <f t="shared" ca="1" si="267"/>
        <v>INDTDSHELCN9</v>
      </c>
      <c r="E245" s="212" t="str">
        <f t="shared" ca="1" si="265"/>
        <v>Industrial heating technology Transport SH - Electric boiler (Hot Water) - new 9</v>
      </c>
      <c r="F245" s="262" t="s">
        <v>450</v>
      </c>
      <c r="G245" s="262" t="s">
        <v>449</v>
      </c>
      <c r="H245" s="263" t="s">
        <v>620</v>
      </c>
      <c r="I245" s="264"/>
      <c r="J245" s="264" t="s">
        <v>469</v>
      </c>
      <c r="P245" s="173"/>
    </row>
    <row r="246" spans="1:16">
      <c r="A246" s="169"/>
      <c r="B246" s="211"/>
      <c r="C246" s="211"/>
      <c r="D246" s="212" t="str">
        <f t="shared" ca="1" si="267"/>
        <v>INDTDPHWCHN1</v>
      </c>
      <c r="E246" s="212" t="str">
        <f t="shared" ca="1" si="265"/>
        <v>Industrial heating technology Transport PH - Wood chip boiler (Steam) - new 1</v>
      </c>
      <c r="F246" s="262" t="s">
        <v>450</v>
      </c>
      <c r="G246" s="262" t="s">
        <v>449</v>
      </c>
      <c r="H246" s="263"/>
      <c r="I246" s="264"/>
      <c r="J246" s="264" t="s">
        <v>469</v>
      </c>
      <c r="P246" s="173"/>
    </row>
    <row r="247" spans="1:16">
      <c r="A247" s="169"/>
      <c r="B247" s="211"/>
      <c r="C247" s="211"/>
      <c r="D247" s="212" t="str">
        <f t="shared" ca="1" si="267"/>
        <v>INDTDPHWCHN1</v>
      </c>
      <c r="E247" s="212" t="str">
        <f t="shared" ca="1" si="265"/>
        <v>Industrial heating technology Transport PH - Wood chip boiler (Steam) - new 1</v>
      </c>
      <c r="F247" s="262" t="s">
        <v>450</v>
      </c>
      <c r="G247" s="262" t="s">
        <v>449</v>
      </c>
      <c r="H247" s="263"/>
      <c r="I247" s="264"/>
      <c r="J247" s="264" t="s">
        <v>469</v>
      </c>
      <c r="M247" s="171"/>
      <c r="N247" s="171"/>
      <c r="P247" s="173"/>
    </row>
    <row r="248" spans="1:16">
      <c r="A248" s="169"/>
      <c r="B248" s="211"/>
      <c r="C248" s="211"/>
      <c r="D248" s="212" t="str">
        <f t="shared" ca="1" si="267"/>
        <v>INDTDSHWCHN1</v>
      </c>
      <c r="E248" s="212" t="str">
        <f t="shared" ca="1" si="265"/>
        <v>Industrial heating technology Transport SH - Wood chip boiler (Steam) - new 1</v>
      </c>
      <c r="F248" s="262" t="s">
        <v>450</v>
      </c>
      <c r="G248" s="262" t="s">
        <v>449</v>
      </c>
      <c r="H248" s="263"/>
      <c r="I248" s="264"/>
      <c r="J248" s="264" t="s">
        <v>469</v>
      </c>
      <c r="M248" s="171"/>
      <c r="N248" s="171"/>
      <c r="P248" s="173"/>
    </row>
    <row r="249" spans="1:16">
      <c r="A249" s="169"/>
      <c r="B249" s="211"/>
      <c r="C249" s="211"/>
      <c r="D249" s="212" t="str">
        <f t="shared" ca="1" si="267"/>
        <v>INDTDPHWCHN2</v>
      </c>
      <c r="E249" s="212" t="str">
        <f t="shared" ca="1" si="265"/>
        <v>Industrial heating technology Transport PH - Wood chip boiler (Steam - condensing) - new 2</v>
      </c>
      <c r="F249" s="262" t="s">
        <v>450</v>
      </c>
      <c r="G249" s="262" t="s">
        <v>449</v>
      </c>
      <c r="H249" s="263"/>
      <c r="I249" s="264"/>
      <c r="J249" s="264" t="s">
        <v>469</v>
      </c>
      <c r="M249" s="171"/>
      <c r="N249" s="171"/>
      <c r="P249" s="173"/>
    </row>
    <row r="250" spans="1:16">
      <c r="A250" s="169"/>
      <c r="B250" s="212"/>
      <c r="C250" s="212"/>
      <c r="D250" s="212" t="str">
        <f t="shared" ca="1" si="267"/>
        <v>INDTDSHWCHN2</v>
      </c>
      <c r="E250" s="212" t="str">
        <f t="shared" ca="1" si="265"/>
        <v>Industrial heating technology Transport SH - Wood chip boiler (Steam - condensing) - new 2</v>
      </c>
      <c r="F250" s="262" t="s">
        <v>450</v>
      </c>
      <c r="G250" s="262" t="s">
        <v>449</v>
      </c>
      <c r="H250" s="263"/>
      <c r="I250" s="264"/>
      <c r="J250" s="264" t="s">
        <v>469</v>
      </c>
    </row>
    <row r="251" spans="1:16">
      <c r="A251" s="169"/>
      <c r="B251" s="212"/>
      <c r="C251" s="212"/>
      <c r="D251" s="212" t="str">
        <f t="shared" ca="1" si="267"/>
        <v>INDTDPHWCHN3</v>
      </c>
      <c r="E251" s="212" t="str">
        <f t="shared" ca="1" si="265"/>
        <v>Industrial heating technology Transport PH - Wood chip boiler (Hot Water) - new 3</v>
      </c>
      <c r="F251" s="262" t="s">
        <v>450</v>
      </c>
      <c r="G251" s="262" t="s">
        <v>449</v>
      </c>
      <c r="H251" s="261"/>
      <c r="I251" s="261"/>
      <c r="J251" s="264" t="s">
        <v>469</v>
      </c>
    </row>
    <row r="252" spans="1:16">
      <c r="A252" s="169"/>
      <c r="B252" s="212"/>
      <c r="C252" s="212"/>
      <c r="D252" s="212" t="str">
        <f t="shared" ca="1" si="267"/>
        <v>INDTDSHWCHN3</v>
      </c>
      <c r="E252" s="212" t="str">
        <f t="shared" ca="1" si="265"/>
        <v>Industrial heating technology Transport SH - Wood chip boiler (Hot Water) - new 3</v>
      </c>
      <c r="F252" s="262" t="s">
        <v>450</v>
      </c>
      <c r="G252" s="262" t="s">
        <v>449</v>
      </c>
      <c r="H252" s="261"/>
      <c r="I252" s="261"/>
      <c r="J252" s="264" t="s">
        <v>469</v>
      </c>
    </row>
    <row r="253" spans="1:16">
      <c r="A253" s="169"/>
      <c r="B253" s="212"/>
      <c r="C253" s="212"/>
      <c r="D253" s="212" t="str">
        <f t="shared" ca="1" si="267"/>
        <v>INDTDPHWCHN4</v>
      </c>
      <c r="E253" s="212" t="str">
        <f t="shared" ca="1" si="265"/>
        <v>Industrial heating technology Transport PH - Wood chip boiler (Hot Water - condensing) - new 4</v>
      </c>
      <c r="F253" s="262" t="s">
        <v>450</v>
      </c>
      <c r="G253" s="262" t="s">
        <v>449</v>
      </c>
      <c r="H253" s="261"/>
      <c r="I253" s="261"/>
      <c r="J253" s="264" t="s">
        <v>469</v>
      </c>
    </row>
    <row r="254" spans="1:16">
      <c r="A254" s="169"/>
      <c r="B254" s="212"/>
      <c r="C254" s="212"/>
      <c r="D254" s="212" t="str">
        <f t="shared" ca="1" si="267"/>
        <v>INDTDSHWCHN4</v>
      </c>
      <c r="E254" s="212" t="str">
        <f t="shared" ca="1" si="265"/>
        <v>Industrial heating technology Transport SH - Wood chip boiler (Hot Water- condensing) - new 4</v>
      </c>
      <c r="F254" s="262" t="s">
        <v>450</v>
      </c>
      <c r="G254" s="262" t="s">
        <v>449</v>
      </c>
      <c r="H254" s="261"/>
      <c r="I254" s="261"/>
      <c r="J254" s="264" t="s">
        <v>469</v>
      </c>
    </row>
    <row r="255" spans="1:16">
      <c r="B255" s="212"/>
      <c r="C255" s="212"/>
      <c r="D255" s="212" t="str">
        <f t="shared" ca="1" si="267"/>
        <v>INDTDPHELCN10</v>
      </c>
      <c r="E255" s="212" t="str">
        <f t="shared" ca="1" si="265"/>
        <v>Industrial heating technology Transport PH - Direct electric heating - new 10</v>
      </c>
      <c r="F255" s="262" t="s">
        <v>450</v>
      </c>
      <c r="G255" s="262" t="s">
        <v>449</v>
      </c>
      <c r="H255" s="261"/>
      <c r="I255" s="261"/>
      <c r="J255" s="264" t="s">
        <v>469</v>
      </c>
    </row>
    <row r="256" spans="1:16">
      <c r="B256" s="212"/>
      <c r="C256" s="212"/>
      <c r="D256" s="212" t="str">
        <f t="shared" ca="1" si="267"/>
        <v>INDTDPHELCN10</v>
      </c>
      <c r="E256" s="212" t="str">
        <f t="shared" ca="1" si="265"/>
        <v>Industrial heating technology Transport PH - Direct electric heating - new 10</v>
      </c>
      <c r="F256" s="262" t="s">
        <v>450</v>
      </c>
      <c r="G256" s="262" t="s">
        <v>449</v>
      </c>
      <c r="H256" s="261"/>
      <c r="I256" s="261"/>
      <c r="J256" s="264" t="s">
        <v>469</v>
      </c>
    </row>
    <row r="257" spans="1:10">
      <c r="B257" s="212"/>
      <c r="C257" s="212"/>
      <c r="D257" s="212" t="str">
        <f t="shared" ca="1" si="267"/>
        <v>INDTDPHDSLN1</v>
      </c>
      <c r="E257" s="212" t="str">
        <f t="shared" ca="1" si="265"/>
        <v>Industrial heating technology Transport PH - Oil boiler (Steam) - new 1</v>
      </c>
      <c r="F257" s="262" t="s">
        <v>450</v>
      </c>
      <c r="G257" s="262" t="s">
        <v>449</v>
      </c>
      <c r="H257" s="261"/>
      <c r="I257" s="261"/>
      <c r="J257" s="264" t="s">
        <v>469</v>
      </c>
    </row>
    <row r="258" spans="1:10">
      <c r="B258" s="212"/>
      <c r="C258" s="212"/>
      <c r="D258" s="212" t="str">
        <f t="shared" ca="1" si="267"/>
        <v>INDTDPHDSLN1</v>
      </c>
      <c r="E258" s="212" t="str">
        <f t="shared" ca="1" si="265"/>
        <v>Industrial heating technology Transport PH - Oil boiler (Steam) - new 1</v>
      </c>
      <c r="F258" s="262" t="s">
        <v>450</v>
      </c>
      <c r="G258" s="262" t="s">
        <v>449</v>
      </c>
      <c r="H258" s="261"/>
      <c r="I258" s="261"/>
      <c r="J258" s="264" t="s">
        <v>469</v>
      </c>
    </row>
    <row r="259" spans="1:10">
      <c r="B259" s="212"/>
      <c r="C259" s="212"/>
      <c r="D259" s="212" t="str">
        <f t="shared" ca="1" si="267"/>
        <v>INDTDSHDSLN1</v>
      </c>
      <c r="E259" s="212" t="str">
        <f t="shared" ca="1" si="265"/>
        <v>Industrial heating technology Transport SH - Oil boiler (Steam) - new 1</v>
      </c>
      <c r="F259" s="262" t="s">
        <v>450</v>
      </c>
      <c r="G259" s="262" t="s">
        <v>449</v>
      </c>
      <c r="H259" s="261"/>
      <c r="I259" s="261"/>
      <c r="J259" s="264" t="s">
        <v>469</v>
      </c>
    </row>
    <row r="260" spans="1:10">
      <c r="A260" s="214"/>
      <c r="B260" s="212"/>
      <c r="C260" s="212"/>
      <c r="D260" s="212" t="str">
        <f t="shared" ca="1" si="267"/>
        <v>INDTDPHDSLN2</v>
      </c>
      <c r="E260" s="212" t="str">
        <f t="shared" ca="1" si="265"/>
        <v>Industrial heating technology Transport PH - Oil boiler (Steam - condensing) - new 2</v>
      </c>
      <c r="F260" s="262" t="s">
        <v>450</v>
      </c>
      <c r="G260" s="262" t="s">
        <v>449</v>
      </c>
      <c r="H260" s="261"/>
      <c r="I260" s="261"/>
      <c r="J260" s="264" t="s">
        <v>469</v>
      </c>
    </row>
    <row r="261" spans="1:10">
      <c r="A261" s="214"/>
      <c r="B261" s="212"/>
      <c r="C261" s="212"/>
      <c r="D261" s="212" t="str">
        <f t="shared" ca="1" si="267"/>
        <v>INDTDSHDSLN2</v>
      </c>
      <c r="E261" s="212" t="str">
        <f t="shared" ref="E261:E290" ca="1" si="268">VLOOKUP(D261,$D$9:$E$222,2,FALSE)</f>
        <v>Industrial heating technology Transport SH - Oil boiler (Steam - condensing) - new 2</v>
      </c>
      <c r="F261" s="262" t="s">
        <v>450</v>
      </c>
      <c r="G261" s="262" t="s">
        <v>449</v>
      </c>
      <c r="H261" s="261"/>
      <c r="I261" s="261"/>
      <c r="J261" s="264" t="s">
        <v>469</v>
      </c>
    </row>
    <row r="262" spans="1:10">
      <c r="A262" s="214"/>
      <c r="B262" s="212"/>
      <c r="C262" s="212"/>
      <c r="D262" s="212" t="str">
        <f t="shared" ca="1" si="267"/>
        <v>INDTDPHGASN1</v>
      </c>
      <c r="E262" s="212" t="str">
        <f t="shared" ca="1" si="268"/>
        <v>Industrial heating technology Transport PH - Gas boiler (Steam) - new 1</v>
      </c>
      <c r="F262" s="262" t="s">
        <v>450</v>
      </c>
      <c r="G262" s="262" t="s">
        <v>449</v>
      </c>
      <c r="H262" s="261"/>
      <c r="I262" s="261"/>
      <c r="J262" s="264" t="s">
        <v>469</v>
      </c>
    </row>
    <row r="263" spans="1:10">
      <c r="A263" s="214"/>
      <c r="B263" s="212"/>
      <c r="C263" s="212"/>
      <c r="D263" s="212" t="str">
        <f t="shared" ca="1" si="267"/>
        <v>INDTDPHGASN1</v>
      </c>
      <c r="E263" s="212" t="str">
        <f t="shared" ca="1" si="268"/>
        <v>Industrial heating technology Transport PH - Gas boiler (Steam) - new 1</v>
      </c>
      <c r="F263" s="262" t="s">
        <v>450</v>
      </c>
      <c r="G263" s="262" t="s">
        <v>449</v>
      </c>
      <c r="H263" s="261"/>
      <c r="I263" s="261"/>
      <c r="J263" s="264" t="s">
        <v>469</v>
      </c>
    </row>
    <row r="264" spans="1:10">
      <c r="B264" s="212"/>
      <c r="C264" s="212"/>
      <c r="D264" s="212" t="str">
        <f t="shared" ca="1" si="267"/>
        <v>INDTDSHGASN1</v>
      </c>
      <c r="E264" s="212" t="str">
        <f t="shared" ca="1" si="268"/>
        <v>Industrial heating technology Transport SH - Gas boiler (Steam) - new 1</v>
      </c>
      <c r="F264" s="262" t="s">
        <v>450</v>
      </c>
      <c r="G264" s="262" t="s">
        <v>449</v>
      </c>
      <c r="H264" s="261"/>
      <c r="I264" s="261"/>
      <c r="J264" s="264" t="s">
        <v>469</v>
      </c>
    </row>
    <row r="265" spans="1:10">
      <c r="B265" s="212"/>
      <c r="C265" s="212"/>
      <c r="D265" s="212" t="str">
        <f t="shared" ca="1" si="267"/>
        <v>INDTDPHGASN2</v>
      </c>
      <c r="E265" s="212" t="str">
        <f t="shared" ca="1" si="268"/>
        <v>Industrial heating technology Transport PH - Gas boiler (Steam - condensing) - new 2</v>
      </c>
      <c r="F265" s="262" t="s">
        <v>450</v>
      </c>
      <c r="G265" s="262" t="s">
        <v>449</v>
      </c>
      <c r="H265" s="261"/>
      <c r="I265" s="261"/>
      <c r="J265" s="264" t="s">
        <v>469</v>
      </c>
    </row>
    <row r="266" spans="1:10">
      <c r="B266" s="212"/>
      <c r="C266" s="212"/>
      <c r="D266" s="212" t="str">
        <f t="shared" ca="1" si="267"/>
        <v>INDTDSHGASN2</v>
      </c>
      <c r="E266" s="212" t="str">
        <f t="shared" ca="1" si="268"/>
        <v>Industrial heating technology Transport SH - Gas boiler (Steam - condensing) - new 2</v>
      </c>
      <c r="F266" s="262" t="s">
        <v>450</v>
      </c>
      <c r="G266" s="262" t="s">
        <v>449</v>
      </c>
      <c r="H266" s="261"/>
      <c r="I266" s="261"/>
      <c r="J266" s="264" t="s">
        <v>469</v>
      </c>
    </row>
    <row r="267" spans="1:10">
      <c r="B267" s="212"/>
      <c r="C267" s="212"/>
      <c r="D267" s="212" t="str">
        <f t="shared" ca="1" si="267"/>
        <v>INDTDPHGASN3</v>
      </c>
      <c r="E267" s="212" t="str">
        <f t="shared" ca="1" si="268"/>
        <v>Industrial heating technology Transport PH - Gas boiler (Hot Water) - new 3</v>
      </c>
      <c r="F267" s="262" t="s">
        <v>450</v>
      </c>
      <c r="G267" s="262" t="s">
        <v>449</v>
      </c>
      <c r="H267" s="261"/>
      <c r="I267" s="261"/>
      <c r="J267" s="264" t="s">
        <v>469</v>
      </c>
    </row>
    <row r="268" spans="1:10">
      <c r="B268" s="212"/>
      <c r="C268" s="212"/>
      <c r="D268" s="212" t="str">
        <f t="shared" ca="1" si="267"/>
        <v>INDTDSHGASN3</v>
      </c>
      <c r="E268" s="212" t="str">
        <f t="shared" ca="1" si="268"/>
        <v>Industrial heating technology Transport SH - Gas boiler (Hot Water) - new 3</v>
      </c>
      <c r="F268" s="262" t="s">
        <v>450</v>
      </c>
      <c r="G268" s="262" t="s">
        <v>449</v>
      </c>
      <c r="H268" s="261"/>
      <c r="I268" s="261"/>
      <c r="J268" s="264" t="s">
        <v>469</v>
      </c>
    </row>
    <row r="269" spans="1:10">
      <c r="B269" s="212"/>
      <c r="C269" s="212"/>
      <c r="D269" s="212" t="str">
        <f t="shared" ca="1" si="267"/>
        <v>INDTDPHGASN4</v>
      </c>
      <c r="E269" s="212" t="str">
        <f t="shared" ca="1" si="268"/>
        <v>Industrial heating technology Transport PH - Gas boiler (Hot Water - condensing) - new 4</v>
      </c>
      <c r="F269" s="262" t="s">
        <v>450</v>
      </c>
      <c r="G269" s="262" t="s">
        <v>449</v>
      </c>
      <c r="H269" s="261"/>
      <c r="I269" s="261"/>
      <c r="J269" s="264" t="s">
        <v>469</v>
      </c>
    </row>
    <row r="270" spans="1:10">
      <c r="B270" s="212"/>
      <c r="C270" s="212"/>
      <c r="D270" s="212" t="str">
        <f t="shared" ca="1" si="267"/>
        <v>INDTDSHGASN4</v>
      </c>
      <c r="E270" s="212" t="str">
        <f t="shared" ca="1" si="268"/>
        <v>Industrial heating technology Transport SH - Gas boiler (Hot Water- condensing) - new 4</v>
      </c>
      <c r="F270" s="262" t="s">
        <v>450</v>
      </c>
      <c r="G270" s="262" t="s">
        <v>449</v>
      </c>
      <c r="H270" s="261"/>
      <c r="I270" s="261"/>
      <c r="J270" s="264" t="s">
        <v>469</v>
      </c>
    </row>
    <row r="271" spans="1:10">
      <c r="B271" s="212"/>
      <c r="C271" s="212"/>
      <c r="D271" s="212" t="str">
        <f t="shared" ca="1" si="267"/>
        <v>INDTDPHGASN5</v>
      </c>
      <c r="E271" s="212" t="str">
        <f t="shared" ca="1" si="268"/>
        <v>Industrial heating technology Transport PH - Gas boiler (Direct firing) - new 5</v>
      </c>
      <c r="F271" s="262" t="s">
        <v>450</v>
      </c>
      <c r="G271" s="262" t="s">
        <v>449</v>
      </c>
      <c r="H271" s="261"/>
      <c r="I271" s="261"/>
      <c r="J271" s="264" t="s">
        <v>469</v>
      </c>
    </row>
    <row r="272" spans="1:10">
      <c r="B272" s="212"/>
      <c r="C272" s="212"/>
      <c r="D272" s="212" t="str">
        <f t="shared" ca="1" si="267"/>
        <v>INDTDPHGASN5</v>
      </c>
      <c r="E272" s="212" t="str">
        <f t="shared" ca="1" si="268"/>
        <v>Industrial heating technology Transport PH - Gas boiler (Direct firing) - new 5</v>
      </c>
      <c r="F272" s="262" t="s">
        <v>450</v>
      </c>
      <c r="G272" s="262" t="s">
        <v>449</v>
      </c>
      <c r="H272" s="261"/>
      <c r="I272" s="261"/>
      <c r="J272" s="264" t="s">
        <v>469</v>
      </c>
    </row>
    <row r="273" spans="2:10">
      <c r="B273" s="212"/>
      <c r="C273" s="212"/>
      <c r="D273" s="212" t="str">
        <f t="shared" ca="1" si="267"/>
        <v>INDTDPHCOAN1</v>
      </c>
      <c r="E273" s="212" t="str">
        <f t="shared" ca="1" si="268"/>
        <v>Industrial heating technology Transport PH - Coal boiler (Steam) - new 1</v>
      </c>
      <c r="F273" s="262" t="s">
        <v>450</v>
      </c>
      <c r="G273" s="262" t="s">
        <v>449</v>
      </c>
      <c r="H273" s="261"/>
      <c r="I273" s="261"/>
      <c r="J273" s="264" t="s">
        <v>469</v>
      </c>
    </row>
    <row r="274" spans="2:10">
      <c r="B274" s="212"/>
      <c r="C274" s="212"/>
      <c r="D274" s="212" t="str">
        <f t="shared" ca="1" si="267"/>
        <v>INDTDPHCOAN1</v>
      </c>
      <c r="E274" s="212" t="str">
        <f t="shared" ca="1" si="268"/>
        <v>Industrial heating technology Transport PH - Coal boiler (Steam) - new 1</v>
      </c>
      <c r="F274" s="262" t="s">
        <v>450</v>
      </c>
      <c r="G274" s="262" t="s">
        <v>449</v>
      </c>
      <c r="H274" s="261"/>
      <c r="I274" s="261"/>
      <c r="J274" s="264" t="s">
        <v>469</v>
      </c>
    </row>
    <row r="275" spans="2:10">
      <c r="B275" s="212"/>
      <c r="C275" s="212"/>
      <c r="D275" s="212" t="str">
        <f t="shared" ca="1" si="267"/>
        <v>INDTDSHCOAN1</v>
      </c>
      <c r="E275" s="212" t="str">
        <f t="shared" ca="1" si="268"/>
        <v>Industrial heating technology Transport SH - Coal boiler (Steam) - new 1</v>
      </c>
      <c r="F275" s="262" t="s">
        <v>450</v>
      </c>
      <c r="G275" s="262" t="s">
        <v>449</v>
      </c>
      <c r="H275" s="261"/>
      <c r="I275" s="261"/>
      <c r="J275" s="264" t="s">
        <v>469</v>
      </c>
    </row>
    <row r="276" spans="2:10">
      <c r="B276" s="212"/>
      <c r="C276" s="212"/>
      <c r="D276" s="212" t="str">
        <f t="shared" ca="1" si="267"/>
        <v>INDTDPHCOAN2</v>
      </c>
      <c r="E276" s="212" t="str">
        <f t="shared" ca="1" si="268"/>
        <v>Industrial heating technology Transport PH - Coal boiler (Hot Water) - new 2</v>
      </c>
      <c r="F276" s="262" t="s">
        <v>450</v>
      </c>
      <c r="G276" s="262" t="s">
        <v>449</v>
      </c>
      <c r="H276" s="261"/>
      <c r="I276" s="261"/>
      <c r="J276" s="264" t="s">
        <v>469</v>
      </c>
    </row>
    <row r="277" spans="2:10">
      <c r="B277" s="212"/>
      <c r="C277" s="212"/>
      <c r="D277" s="212" t="str">
        <f t="shared" ca="1" si="267"/>
        <v>INDTDSHCOAN2</v>
      </c>
      <c r="E277" s="212" t="str">
        <f t="shared" ca="1" si="268"/>
        <v>Industrial heating technology Transport SH - Coal boiler (Hot Water) - new 2</v>
      </c>
      <c r="F277" s="262" t="s">
        <v>450</v>
      </c>
      <c r="G277" s="262" t="s">
        <v>449</v>
      </c>
      <c r="H277" s="261"/>
      <c r="I277" s="261"/>
      <c r="J277" s="264" t="s">
        <v>469</v>
      </c>
    </row>
    <row r="278" spans="2:10">
      <c r="B278" s="212"/>
      <c r="C278" s="212"/>
      <c r="D278" s="212" t="str">
        <f t="shared" ca="1" si="267"/>
        <v>INDTDSHSOLN1</v>
      </c>
      <c r="E278" s="212" t="str">
        <f t="shared" ca="1" si="268"/>
        <v>Industrial heating technology Transport SH - Solar - new 1</v>
      </c>
      <c r="F278" s="262" t="s">
        <v>450</v>
      </c>
      <c r="G278" s="262" t="s">
        <v>449</v>
      </c>
      <c r="H278" s="263" t="s">
        <v>620</v>
      </c>
      <c r="I278" s="261"/>
      <c r="J278" s="264" t="s">
        <v>469</v>
      </c>
    </row>
    <row r="279" spans="2:10">
      <c r="B279" s="212"/>
      <c r="C279" s="212"/>
      <c r="D279" s="889" t="str">
        <f>D187</f>
        <v>INDTDSHHCEN1</v>
      </c>
      <c r="E279" s="889" t="str">
        <f t="shared" si="268"/>
        <v>Industrial heating technology Transport SH - central district heating - within DH area - new 1</v>
      </c>
      <c r="F279" s="262" t="s">
        <v>450</v>
      </c>
      <c r="G279" s="262" t="s">
        <v>449</v>
      </c>
      <c r="H279" s="890"/>
      <c r="I279" s="890"/>
      <c r="J279" s="263" t="s">
        <v>469</v>
      </c>
    </row>
    <row r="280" spans="2:10">
      <c r="B280" s="212"/>
      <c r="C280" s="212"/>
      <c r="D280" s="889" t="str">
        <f>D188</f>
        <v>INDTDPHHCEN1</v>
      </c>
      <c r="E280" s="889" t="str">
        <f t="shared" si="268"/>
        <v>Industrial heating technology Transport PH - central district heating - within DH area - new 1</v>
      </c>
      <c r="F280" s="262" t="s">
        <v>450</v>
      </c>
      <c r="G280" s="262" t="s">
        <v>449</v>
      </c>
      <c r="H280" s="890"/>
      <c r="I280" s="890"/>
      <c r="J280" s="263" t="s">
        <v>469</v>
      </c>
    </row>
    <row r="281" spans="2:10">
      <c r="B281" s="212"/>
      <c r="C281" s="212"/>
      <c r="D281" s="889" t="str">
        <f>D189</f>
        <v>INDTDSHHSEN1</v>
      </c>
      <c r="E281" s="889" t="str">
        <f t="shared" si="268"/>
        <v>Industrial heating technology Transport SH - central district heating - within DH area - new 1</v>
      </c>
      <c r="F281" s="262" t="s">
        <v>450</v>
      </c>
      <c r="G281" s="262" t="s">
        <v>449</v>
      </c>
      <c r="H281" s="890"/>
      <c r="I281" s="890"/>
      <c r="J281" s="263" t="s">
        <v>469</v>
      </c>
    </row>
    <row r="282" spans="2:10">
      <c r="B282" s="212"/>
      <c r="C282" s="212"/>
      <c r="D282" s="889" t="str">
        <f>D190</f>
        <v>INDTDPHHSEN1</v>
      </c>
      <c r="E282" s="889" t="str">
        <f t="shared" si="268"/>
        <v>Industrial heating technology Transport PH - central district heating - within DH area - new 1</v>
      </c>
      <c r="F282" s="262" t="s">
        <v>450</v>
      </c>
      <c r="G282" s="262" t="s">
        <v>449</v>
      </c>
      <c r="H282" s="890"/>
      <c r="I282" s="890"/>
      <c r="J282" s="263" t="s">
        <v>469</v>
      </c>
    </row>
    <row r="283" spans="2:10">
      <c r="B283" s="212"/>
      <c r="C283" s="212"/>
      <c r="D283" s="212" t="str">
        <f t="shared" ref="D283" si="269">D191</f>
        <v>INDTDSHHDEN1</v>
      </c>
      <c r="E283" s="212" t="str">
        <f t="shared" si="268"/>
        <v>Industrial heating technology Transport SH - decentral district heating - within DH area - new 1</v>
      </c>
      <c r="F283" s="262" t="s">
        <v>450</v>
      </c>
      <c r="G283" s="262" t="s">
        <v>449</v>
      </c>
      <c r="H283" s="261"/>
      <c r="I283" s="261"/>
      <c r="J283" s="264" t="s">
        <v>469</v>
      </c>
    </row>
    <row r="284" spans="2:10">
      <c r="B284" s="212"/>
      <c r="C284" s="212"/>
      <c r="D284" s="212" t="str">
        <f>D192</f>
        <v>INDTDPHHDEN1</v>
      </c>
      <c r="E284" s="212" t="str">
        <f t="shared" si="268"/>
        <v>Industrial heating technology Transport PH - decentral district heating - within DH area - new 1</v>
      </c>
      <c r="F284" s="262" t="s">
        <v>450</v>
      </c>
      <c r="G284" s="262" t="s">
        <v>449</v>
      </c>
      <c r="H284" s="261"/>
      <c r="I284" s="261"/>
      <c r="J284" s="264" t="s">
        <v>469</v>
      </c>
    </row>
    <row r="285" spans="2:10">
      <c r="B285" s="212"/>
      <c r="C285" s="212"/>
      <c r="D285" s="212" t="str">
        <f>D194</f>
        <v>INDTDLAELCN1</v>
      </c>
      <c r="E285" s="212" t="str">
        <f t="shared" si="268"/>
        <v>Industry Transport LA Electricity Light Appliance - New 1</v>
      </c>
      <c r="F285" s="262" t="s">
        <v>450</v>
      </c>
      <c r="G285" s="262" t="s">
        <v>449</v>
      </c>
      <c r="H285" s="261"/>
      <c r="I285" s="261"/>
      <c r="J285" s="264" t="s">
        <v>469</v>
      </c>
    </row>
    <row r="286" spans="2:10">
      <c r="B286" s="212"/>
      <c r="C286" s="212"/>
      <c r="D286" s="212" t="str">
        <f>D198</f>
        <v>INDTDEMELCN1</v>
      </c>
      <c r="E286" s="212" t="str">
        <f t="shared" si="268"/>
        <v>Industry Transport EM Electricity Motors - New 1</v>
      </c>
      <c r="F286" s="262" t="s">
        <v>450</v>
      </c>
      <c r="G286" s="262" t="s">
        <v>449</v>
      </c>
      <c r="H286" s="261"/>
      <c r="I286" s="261"/>
      <c r="J286" s="264" t="s">
        <v>469</v>
      </c>
    </row>
    <row r="287" spans="2:10">
      <c r="B287" s="212"/>
      <c r="C287" s="212"/>
      <c r="D287" s="212" t="str">
        <f>D202</f>
        <v>INDTDTFDSLN1</v>
      </c>
      <c r="E287" s="212" t="str">
        <f t="shared" si="268"/>
        <v>Industry Transport TF Tractors, Trucks, Fishing boats - New 1</v>
      </c>
      <c r="F287" s="262" t="s">
        <v>450</v>
      </c>
      <c r="G287" s="262" t="s">
        <v>2078</v>
      </c>
      <c r="H287" s="261"/>
      <c r="I287" s="261"/>
      <c r="J287" s="264" t="s">
        <v>469</v>
      </c>
    </row>
    <row r="288" spans="2:10">
      <c r="B288" s="212"/>
      <c r="C288" s="212"/>
      <c r="D288" s="212" t="str">
        <f>D206</f>
        <v>INDTDTFH2GN2</v>
      </c>
      <c r="E288" s="212" t="str">
        <f t="shared" si="268"/>
        <v>Industry Transport TF Tractors, Trucks, Fishing boats - New 2</v>
      </c>
      <c r="F288" s="262" t="s">
        <v>450</v>
      </c>
      <c r="G288" s="262" t="s">
        <v>2078</v>
      </c>
      <c r="H288" s="261"/>
      <c r="I288" s="261"/>
      <c r="J288" s="264" t="s">
        <v>469</v>
      </c>
    </row>
    <row r="289" spans="2:10">
      <c r="B289" s="212"/>
      <c r="C289" s="212"/>
      <c r="D289" s="212" t="str">
        <f>D210</f>
        <v>INDTDTFELCN3</v>
      </c>
      <c r="E289" s="212" t="str">
        <f t="shared" si="268"/>
        <v>Industry Transport TF Tractors, Trucks, Fishing boats - New 3</v>
      </c>
      <c r="F289" s="262" t="s">
        <v>450</v>
      </c>
      <c r="G289" s="262" t="s">
        <v>2078</v>
      </c>
      <c r="H289" s="261"/>
      <c r="I289" s="261"/>
      <c r="J289" s="264" t="s">
        <v>469</v>
      </c>
    </row>
    <row r="290" spans="2:10">
      <c r="B290" s="212"/>
      <c r="C290" s="212"/>
      <c r="D290" s="212" t="str">
        <f>D214</f>
        <v>INDTDFLELCN1</v>
      </c>
      <c r="E290" s="212" t="str">
        <f t="shared" si="268"/>
        <v>Industry Transport TF Forklifts - New 1</v>
      </c>
      <c r="F290" s="262" t="s">
        <v>450</v>
      </c>
      <c r="G290" s="262" t="s">
        <v>449</v>
      </c>
      <c r="H290" s="261"/>
      <c r="I290" s="261"/>
      <c r="J290" s="264" t="s">
        <v>469</v>
      </c>
    </row>
    <row r="291" spans="2:10">
      <c r="B291" s="212"/>
      <c r="C291" s="212"/>
      <c r="D291" s="212" t="str">
        <f>D218</f>
        <v>INDTDCOELCN1</v>
      </c>
      <c r="E291" s="212" t="str">
        <f>E218</f>
        <v>Industry Transport CO Cooling - New 1</v>
      </c>
      <c r="F291" s="262" t="s">
        <v>450</v>
      </c>
      <c r="G291" s="262" t="s">
        <v>449</v>
      </c>
      <c r="H291" s="261" t="s">
        <v>620</v>
      </c>
      <c r="I291" s="261"/>
      <c r="J291" s="264"/>
    </row>
    <row r="292" spans="2:10">
      <c r="D292" s="212"/>
      <c r="E292" s="212"/>
    </row>
    <row r="293" spans="2:10">
      <c r="B293" s="213" t="s">
        <v>448</v>
      </c>
      <c r="C293" s="213"/>
      <c r="D293" s="214"/>
      <c r="E293" s="214"/>
      <c r="F293" s="214"/>
      <c r="G293" s="214"/>
      <c r="H293" s="214"/>
      <c r="I293" s="214"/>
      <c r="J293" s="214"/>
    </row>
    <row r="294" spans="2:10">
      <c r="B294" s="209" t="s">
        <v>447</v>
      </c>
      <c r="C294" s="209" t="s">
        <v>446</v>
      </c>
      <c r="D294" s="209" t="s">
        <v>445</v>
      </c>
      <c r="E294" s="209" t="s">
        <v>444</v>
      </c>
      <c r="F294" s="209" t="s">
        <v>435</v>
      </c>
      <c r="G294" s="209" t="s">
        <v>443</v>
      </c>
      <c r="H294" s="209" t="s">
        <v>442</v>
      </c>
      <c r="I294" s="209" t="s">
        <v>441</v>
      </c>
      <c r="J294" s="209" t="s">
        <v>440</v>
      </c>
    </row>
    <row r="295" spans="2:10" ht="25" thickBot="1">
      <c r="B295" s="215" t="s">
        <v>439</v>
      </c>
      <c r="C295" s="216" t="s">
        <v>438</v>
      </c>
      <c r="D295" s="216" t="s">
        <v>437</v>
      </c>
      <c r="E295" s="216" t="s">
        <v>436</v>
      </c>
      <c r="F295" s="216" t="s">
        <v>435</v>
      </c>
      <c r="G295" s="216" t="s">
        <v>434</v>
      </c>
      <c r="H295" s="216" t="s">
        <v>433</v>
      </c>
      <c r="I295" s="216" t="s">
        <v>432</v>
      </c>
      <c r="J295" s="216" t="s">
        <v>431</v>
      </c>
    </row>
    <row r="296" spans="2:10">
      <c r="B296" s="217" t="s">
        <v>430</v>
      </c>
      <c r="C296" s="218"/>
      <c r="D296" s="260" t="str">
        <f>"I"&amp;LEFT($AJ$12,1)&amp;"DSOx"</f>
        <v>ITDSOx</v>
      </c>
      <c r="E296" s="270" t="str">
        <f>"Industrial heating  heating technology "&amp;$AJ$12&amp;" - SOx emission"</f>
        <v>Industrial heating  heating technology Transport - SOx emission</v>
      </c>
      <c r="F296" s="219" t="s">
        <v>352</v>
      </c>
      <c r="G296" s="211"/>
      <c r="H296" s="211"/>
      <c r="I296" s="211"/>
      <c r="J296" s="211"/>
    </row>
    <row r="297" spans="2:10">
      <c r="B297" s="214"/>
      <c r="C297" s="214"/>
      <c r="D297" s="260" t="str">
        <f>"I"&amp;LEFT($AJ$12,1)&amp;"DNOx"</f>
        <v>ITDNOx</v>
      </c>
      <c r="E297" s="270" t="str">
        <f>"Industrial heating  heating technology "&amp;$AJ$12&amp;" - NOx emission"</f>
        <v>Industrial heating  heating technology Transport - NOx emission</v>
      </c>
      <c r="F297" s="219" t="s">
        <v>352</v>
      </c>
      <c r="G297" s="211"/>
      <c r="H297" s="214"/>
      <c r="I297" s="214"/>
      <c r="J297" s="214"/>
    </row>
    <row r="298" spans="2:10">
      <c r="B298" s="214"/>
      <c r="C298" s="214"/>
      <c r="D298" s="260" t="str">
        <f>"I"&amp;LEFT($AJ$12,1)&amp;"DCH4"</f>
        <v>ITDCH4</v>
      </c>
      <c r="E298" s="270" t="str">
        <f>"Industrial heating  heating technology "&amp;$AJ$12&amp;" - CH4 emission"</f>
        <v>Industrial heating  heating technology Transport - CH4 emission</v>
      </c>
      <c r="F298" s="219" t="s">
        <v>352</v>
      </c>
      <c r="G298" s="211"/>
      <c r="H298" s="214"/>
      <c r="I298" s="214"/>
      <c r="J298" s="214"/>
    </row>
    <row r="299" spans="2:10">
      <c r="B299" s="214"/>
      <c r="C299" s="214"/>
      <c r="D299" s="260" t="str">
        <f>"I"&amp;LEFT($AJ$12,1)&amp;"DNO2"</f>
        <v>ITDNO2</v>
      </c>
      <c r="E299" s="270" t="str">
        <f>"Industrial heating  heating technology "&amp;$AJ$12&amp;" - NO2 emission"</f>
        <v>Industrial heating  heating technology Transport - NO2 emission</v>
      </c>
      <c r="F299" s="219" t="s">
        <v>352</v>
      </c>
      <c r="G299" s="211"/>
      <c r="H299" s="214"/>
      <c r="I299" s="214"/>
      <c r="J299" s="214"/>
    </row>
    <row r="300" spans="2:10">
      <c r="B300" s="214"/>
      <c r="C300" s="214"/>
      <c r="D300" s="260" t="str">
        <f>"I"&amp;LEFT($AJ$12,1)&amp;"DPM"</f>
        <v>ITDPM</v>
      </c>
      <c r="E300" s="270" t="str">
        <f>"Industrial heating  heating technology "&amp;$AJ$12&amp;" - Particle emission"</f>
        <v>Industrial heating  heating technology Transport - Particle emission</v>
      </c>
      <c r="F300" s="219" t="s">
        <v>352</v>
      </c>
      <c r="G300" s="211"/>
      <c r="H300" s="214"/>
      <c r="I300" s="214"/>
      <c r="J300" s="214"/>
    </row>
    <row r="301" spans="2:10">
      <c r="B301" s="224" t="s">
        <v>1057</v>
      </c>
      <c r="D301" s="224" t="str">
        <f>AI20</f>
        <v>INDTWH</v>
      </c>
      <c r="E301" s="270" t="str">
        <f>"Industrial heating technology "&amp;$AJ$12&amp;" - Waste heat"</f>
        <v>Industrial heating technology Transport - Waste heat</v>
      </c>
      <c r="F301" s="263" t="s">
        <v>450</v>
      </c>
    </row>
  </sheetData>
  <pageMargins left="0.7" right="0.7" top="0.75" bottom="0.75" header="0.3" footer="0.3"/>
  <pageSetup paperSize="9" orientation="portrait"/>
  <legacyDrawing r:id="rId1"/>
  <extLst>
    <ext xmlns:x14="http://schemas.microsoft.com/office/spreadsheetml/2009/9/main" uri="{CCE6A557-97BC-4b89-ADB6-D9C93CAAB3DF}">
      <x14:dataValidations xmlns:xm="http://schemas.microsoft.com/office/excel/2006/main" count="1">
        <x14:dataValidation type="list" allowBlank="1" showInputMessage="1" showErrorMessage="1" xr:uid="{8AE2F8FF-0AE3-4F75-A812-6EBFB44F3796}">
          <x14:formula1>
            <xm:f>'Oil-fired boiler_NEW'!$T$4:$X$4</xm:f>
          </x14:formula1>
          <xm:sqref>E1</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31D02-BE75-4EFB-B97F-D3EE64D18BEC}">
  <sheetPr>
    <tabColor rgb="FF00B050"/>
  </sheetPr>
  <dimension ref="A1:AP301"/>
  <sheetViews>
    <sheetView tabSelected="1" topLeftCell="V1" zoomScale="70" zoomScaleNormal="70" workbookViewId="0">
      <selection activeCell="G215" sqref="G215"/>
    </sheetView>
  </sheetViews>
  <sheetFormatPr baseColWidth="10" defaultColWidth="9.1640625" defaultRowHeight="15"/>
  <cols>
    <col min="1" max="1" width="9.1640625" style="224"/>
    <col min="2" max="2" width="31.5" style="224" customWidth="1"/>
    <col min="3" max="3" width="11.5" style="224" bestFit="1" customWidth="1"/>
    <col min="4" max="4" width="19.83203125" style="224" customWidth="1"/>
    <col min="5" max="5" width="98.5" style="224" bestFit="1" customWidth="1"/>
    <col min="6" max="6" width="10.5" style="224" bestFit="1" customWidth="1"/>
    <col min="7" max="7" width="55.83203125" style="224" bestFit="1" customWidth="1"/>
    <col min="8" max="8" width="27.83203125" style="224" bestFit="1" customWidth="1"/>
    <col min="9" max="9" width="27.83203125" style="224" customWidth="1"/>
    <col min="10" max="10" width="10.1640625" style="224" bestFit="1" customWidth="1"/>
    <col min="11" max="11" width="8.5" style="224" bestFit="1" customWidth="1"/>
    <col min="12" max="12" width="6.5" style="224" bestFit="1" customWidth="1"/>
    <col min="13" max="13" width="6.5" style="224" customWidth="1"/>
    <col min="14" max="15" width="12.83203125" style="224" bestFit="1" customWidth="1"/>
    <col min="16" max="16" width="12.5" style="224" bestFit="1" customWidth="1"/>
    <col min="17" max="17" width="6.1640625" style="224" customWidth="1"/>
    <col min="18" max="18" width="8.1640625" style="224" bestFit="1" customWidth="1"/>
    <col min="19" max="19" width="11.83203125" style="224" bestFit="1" customWidth="1"/>
    <col min="20" max="20" width="11.5" style="224" bestFit="1" customWidth="1"/>
    <col min="21" max="21" width="18.1640625" style="224" bestFit="1" customWidth="1"/>
    <col min="22" max="22" width="11.83203125" style="224" customWidth="1"/>
    <col min="23" max="23" width="7.83203125" style="224" bestFit="1" customWidth="1"/>
    <col min="24" max="24" width="8.5" style="224" bestFit="1" customWidth="1"/>
    <col min="25" max="25" width="6.5" style="224" bestFit="1" customWidth="1"/>
    <col min="26" max="26" width="6.5" style="224" customWidth="1"/>
    <col min="27" max="27" width="8" style="224" customWidth="1"/>
    <col min="28" max="38" width="9.1640625" style="224"/>
    <col min="39" max="39" width="64.1640625" style="224" bestFit="1" customWidth="1"/>
    <col min="40" max="16384" width="9.1640625" style="224"/>
  </cols>
  <sheetData>
    <row r="1" spans="2:42" ht="14.5" customHeight="1">
      <c r="D1" s="728" t="s">
        <v>1016</v>
      </c>
      <c r="E1" s="729" t="s">
        <v>716</v>
      </c>
      <c r="N1" s="64"/>
      <c r="O1" s="64"/>
      <c r="P1" s="64"/>
      <c r="S1" s="727" t="s">
        <v>1004</v>
      </c>
      <c r="T1" s="776" t="s">
        <v>1003</v>
      </c>
      <c r="U1" s="775" t="s">
        <v>1053</v>
      </c>
      <c r="V1" s="776" t="s">
        <v>1054</v>
      </c>
      <c r="W1" s="780">
        <v>0.3</v>
      </c>
    </row>
    <row r="2" spans="2:42" ht="16" thickBot="1">
      <c r="E2" s="730" t="s">
        <v>692</v>
      </c>
      <c r="N2" s="731"/>
      <c r="O2" s="731"/>
      <c r="P2" s="731"/>
      <c r="S2" s="726">
        <f>MATCH($E$1,$AJ$22:$AJ$35)</f>
        <v>7</v>
      </c>
      <c r="T2" s="778">
        <f>MATCH($E$1,$AJ$22:$AJ$35)+1</f>
        <v>8</v>
      </c>
      <c r="U2" s="779"/>
      <c r="V2" s="768" t="s">
        <v>1055</v>
      </c>
      <c r="W2" s="781">
        <v>0.2</v>
      </c>
    </row>
    <row r="3" spans="2:42" ht="16" thickBot="1">
      <c r="N3" s="731"/>
      <c r="O3" s="731"/>
      <c r="P3" s="731"/>
      <c r="S3" s="768"/>
      <c r="T3" s="768"/>
      <c r="U3" s="777"/>
      <c r="V3" s="778" t="s">
        <v>1056</v>
      </c>
      <c r="W3" s="782">
        <v>0</v>
      </c>
    </row>
    <row r="4" spans="2:42">
      <c r="N4" s="731"/>
      <c r="O4" s="731"/>
      <c r="P4" s="731"/>
      <c r="S4" s="768"/>
      <c r="T4" s="768"/>
      <c r="U4" s="768"/>
      <c r="V4" s="768"/>
    </row>
    <row r="5" spans="2:42">
      <c r="J5" s="172" t="s">
        <v>468</v>
      </c>
      <c r="N5" s="731"/>
      <c r="O5" s="731"/>
      <c r="P5" s="731"/>
      <c r="S5" s="768"/>
      <c r="T5" s="768"/>
      <c r="U5" s="768"/>
      <c r="V5" s="768"/>
    </row>
    <row r="6" spans="2:42" ht="26.25" customHeight="1">
      <c r="B6" s="166" t="s">
        <v>1015</v>
      </c>
      <c r="C6" s="46"/>
      <c r="D6" s="46" t="s">
        <v>425</v>
      </c>
      <c r="E6" s="46" t="s">
        <v>426</v>
      </c>
      <c r="F6" s="46" t="s">
        <v>689</v>
      </c>
      <c r="G6" s="46" t="s">
        <v>427</v>
      </c>
      <c r="H6" s="46" t="s">
        <v>428</v>
      </c>
      <c r="I6" s="771" t="s">
        <v>1049</v>
      </c>
      <c r="J6" s="46" t="s">
        <v>335</v>
      </c>
      <c r="K6" s="46" t="s">
        <v>336</v>
      </c>
      <c r="L6" s="47" t="s">
        <v>337</v>
      </c>
      <c r="M6" s="47" t="s">
        <v>1052</v>
      </c>
      <c r="N6" s="47" t="s">
        <v>339</v>
      </c>
      <c r="O6" s="48" t="s">
        <v>340</v>
      </c>
      <c r="P6" s="47" t="s">
        <v>341</v>
      </c>
      <c r="Q6" s="49" t="s">
        <v>342</v>
      </c>
      <c r="R6" s="49" t="s">
        <v>343</v>
      </c>
      <c r="S6" s="769" t="s">
        <v>344</v>
      </c>
      <c r="T6" s="770" t="s">
        <v>997</v>
      </c>
      <c r="U6" s="769" t="s">
        <v>1050</v>
      </c>
      <c r="V6" s="783" t="s">
        <v>1051</v>
      </c>
      <c r="W6" s="284"/>
      <c r="X6" s="280" t="str">
        <f>"FEMIS~"&amp;D296</f>
        <v>FEMIS~IPDSOx</v>
      </c>
      <c r="Y6" s="280" t="str">
        <f>"FEMIS~"&amp;D297</f>
        <v>FEMIS~IPDNOx</v>
      </c>
      <c r="Z6" s="280" t="str">
        <f>"FEMIS~"&amp;D298</f>
        <v>FEMIS~IPDCH4</v>
      </c>
      <c r="AA6" s="280" t="str">
        <f>"FEMIS~"&amp;D299</f>
        <v>FEMIS~IPDNO2</v>
      </c>
      <c r="AB6" s="280" t="str">
        <f>"FEMIS~"&amp;D300</f>
        <v>FEMIS~IPDPM</v>
      </c>
      <c r="AC6" s="224" t="s">
        <v>424</v>
      </c>
      <c r="AD6" s="224" t="s">
        <v>2001</v>
      </c>
      <c r="AE6" s="47" t="s">
        <v>338</v>
      </c>
      <c r="AF6" s="221" t="s">
        <v>473</v>
      </c>
    </row>
    <row r="7" spans="2:42" ht="16" thickBot="1">
      <c r="B7" s="715"/>
      <c r="C7" s="167"/>
      <c r="D7" s="167" t="s">
        <v>429</v>
      </c>
      <c r="E7" s="50"/>
      <c r="F7" s="50"/>
      <c r="G7" s="50"/>
      <c r="H7" s="50"/>
      <c r="I7" s="168"/>
      <c r="J7" s="50"/>
      <c r="K7" s="50"/>
      <c r="L7" s="51"/>
      <c r="M7" s="51"/>
      <c r="N7" s="51"/>
      <c r="O7" s="52"/>
      <c r="P7" s="50"/>
      <c r="Q7" s="50"/>
      <c r="R7" s="50"/>
      <c r="S7" s="50"/>
      <c r="T7" s="50"/>
      <c r="U7" s="50"/>
      <c r="V7" s="168"/>
      <c r="W7" s="285"/>
      <c r="X7" s="50"/>
      <c r="Y7" s="50"/>
      <c r="Z7" s="50"/>
      <c r="AA7" s="50"/>
      <c r="AB7" s="50"/>
      <c r="AE7" s="51"/>
      <c r="AF7" s="222"/>
    </row>
    <row r="8" spans="2:42">
      <c r="B8" s="357"/>
      <c r="D8" s="224" t="s">
        <v>451</v>
      </c>
      <c r="I8" s="357"/>
      <c r="J8" s="57"/>
      <c r="K8" s="57"/>
      <c r="L8" s="57"/>
      <c r="M8" s="57"/>
      <c r="N8" s="57"/>
      <c r="O8" s="57" t="s">
        <v>470</v>
      </c>
      <c r="P8" s="57" t="s">
        <v>471</v>
      </c>
      <c r="Q8" s="57" t="s">
        <v>472</v>
      </c>
      <c r="R8" s="57" t="s">
        <v>351</v>
      </c>
      <c r="S8" s="57" t="s">
        <v>351</v>
      </c>
      <c r="T8" s="57"/>
      <c r="U8" s="57"/>
      <c r="V8" s="784"/>
      <c r="W8" s="286"/>
      <c r="X8" s="57" t="s">
        <v>352</v>
      </c>
      <c r="Y8" s="57" t="s">
        <v>352</v>
      </c>
      <c r="Z8" s="57" t="s">
        <v>352</v>
      </c>
      <c r="AA8" s="57" t="s">
        <v>352</v>
      </c>
      <c r="AB8" s="57" t="s">
        <v>352</v>
      </c>
      <c r="AE8" s="57"/>
      <c r="AF8" s="220"/>
    </row>
    <row r="9" spans="2:42">
      <c r="B9" s="357" t="s">
        <v>998</v>
      </c>
      <c r="D9" s="212" t="str">
        <f>"IND"&amp;RIGHT(H9,4)&amp;RIGHT(G9,3)&amp;"N"&amp;RIGHT(E9,1)</f>
        <v>INDRDPHELCN1</v>
      </c>
      <c r="E9" s="261" t="str">
        <f>"Industrial heating technology "&amp;$AJ$12&amp;" "&amp;RIGHT(H9,2)&amp;" - Heat pump utilizing waste heat - new 1"</f>
        <v>Industrial heating technology Paper &amp; Pulp PH - Heat pump utilizing waste heat - new 1</v>
      </c>
      <c r="F9" s="224" t="s">
        <v>1149</v>
      </c>
      <c r="G9" s="173" t="s">
        <v>499</v>
      </c>
      <c r="H9" s="174" t="str">
        <f>$AI$14</f>
        <v>IRDPH</v>
      </c>
      <c r="I9" s="173"/>
      <c r="J9" s="224">
        <f>AD9</f>
        <v>2020</v>
      </c>
      <c r="K9" s="81">
        <v>2020</v>
      </c>
      <c r="L9" s="333">
        <v>1</v>
      </c>
      <c r="M9" s="199">
        <f ca="1">VLOOKUP($AD9,INDIRECT("'"&amp;$B9&amp;"'!"&amp;"$P$39:$AD$42"),3,FALSE)</f>
        <v>4.4754761904761899</v>
      </c>
      <c r="N9" s="81">
        <f ca="1">VLOOKUP($AD9,INDIRECT("'"&amp;$B9&amp;"'!"&amp;"$P$39:$AD$42"),5,FALSE)</f>
        <v>20</v>
      </c>
      <c r="O9" s="723">
        <f ca="1">VLOOKUP($AD9,INDIRECT("'"&amp;$B9&amp;"'!"&amp;"$P$39:$AD$42"),6,FALSE)/1000</f>
        <v>5.4385000000000003</v>
      </c>
      <c r="P9" s="723">
        <f ca="1">VLOOKUP($AD9,INDIRECT("'"&amp;$B9&amp;"'!"&amp;"$P$39:$AD$42"),7,FALSE)/1000</f>
        <v>1.49E-2</v>
      </c>
      <c r="Q9" s="81">
        <f ca="1">VLOOKUP($AD9,INDIRECT("'"&amp;$B9&amp;"'!"&amp;"$P$39:$AD$42"),8,FALSE)</f>
        <v>6.7463888888888883</v>
      </c>
      <c r="R9" s="81">
        <v>3.1536000000000002E-2</v>
      </c>
      <c r="S9" s="199">
        <v>0.5</v>
      </c>
      <c r="T9" s="199">
        <f ca="1">HLOOKUP($T$2,INDIRECT("'"&amp;$B9&amp;"'!"&amp;"$P$6:$AC$19"),IF(H9=$AI$13,6,IF(H9=$AI$14,9,14)),FALSE)</f>
        <v>0</v>
      </c>
      <c r="U9" s="199">
        <f ca="1">1/M9</f>
        <v>0.22343991062403579</v>
      </c>
      <c r="V9" s="199"/>
      <c r="W9" s="298"/>
      <c r="X9" s="698">
        <f ca="1">IF(VLOOKUP($AD9,INDIRECT("'"&amp;$B9&amp;"'!"&amp;"$P$39:$AD$42"),11,FALSE)="Cf. the utilized electricity",0,VLOOKUP($AD9,INDIRECT("'"&amp;$B9&amp;"'!"&amp;"$P$39:$AD$42"),11,FALSE))</f>
        <v>0</v>
      </c>
      <c r="Y9" s="81">
        <f ca="1">VLOOKUP($AD9,INDIRECT("'"&amp;$B9&amp;"'!"&amp;"$P$39:$AD$42"),12,FALSE)</f>
        <v>0</v>
      </c>
      <c r="Z9" s="81">
        <f ca="1">VLOOKUP($AD9,INDIRECT("'"&amp;$B9&amp;"'!"&amp;"$P$39:$AD$42"),13,FALSE)</f>
        <v>0</v>
      </c>
      <c r="AA9" s="81">
        <f ca="1">VLOOKUP($AD9,INDIRECT("'"&amp;$B9&amp;"'!"&amp;"$P$39:$AD$42"),14,FALSE)</f>
        <v>0</v>
      </c>
      <c r="AB9" s="81">
        <f ca="1">VLOOKUP($AD9,INDIRECT("'"&amp;$B9&amp;"'!"&amp;"$P$39:$AD$42"),15,FALSE)</f>
        <v>0</v>
      </c>
      <c r="AC9" s="226"/>
      <c r="AD9" s="81">
        <v>2020</v>
      </c>
      <c r="AE9" s="81"/>
      <c r="AF9" s="220"/>
    </row>
    <row r="10" spans="2:42">
      <c r="B10" s="357" t="s">
        <v>998</v>
      </c>
      <c r="D10" s="212"/>
      <c r="E10" s="261"/>
      <c r="F10" s="224" t="s">
        <v>1149</v>
      </c>
      <c r="G10" s="173" t="str">
        <f>$AI$20</f>
        <v>INDRWH</v>
      </c>
      <c r="H10" s="174"/>
      <c r="I10" s="174"/>
      <c r="K10" s="81"/>
      <c r="L10" s="333"/>
      <c r="M10" s="199"/>
      <c r="N10" s="81"/>
      <c r="O10" s="723"/>
      <c r="P10" s="723"/>
      <c r="Q10" s="81"/>
      <c r="R10" s="200"/>
      <c r="S10" s="772"/>
      <c r="T10" s="772"/>
      <c r="U10" s="199">
        <f ca="1">1-U9</f>
        <v>0.77656008937596421</v>
      </c>
      <c r="V10" s="772"/>
      <c r="W10" s="298"/>
      <c r="X10" s="698"/>
      <c r="Y10" s="81"/>
      <c r="Z10" s="81"/>
      <c r="AA10" s="81"/>
      <c r="AB10" s="81"/>
      <c r="AC10" s="226"/>
      <c r="AD10" s="81"/>
      <c r="AE10" s="81"/>
      <c r="AF10" s="220"/>
    </row>
    <row r="11" spans="2:42">
      <c r="B11" s="357" t="s">
        <v>998</v>
      </c>
      <c r="D11" s="212"/>
      <c r="E11" s="212"/>
      <c r="F11" s="224" t="s">
        <v>1149</v>
      </c>
      <c r="G11" s="173" t="s">
        <v>499</v>
      </c>
      <c r="H11" s="174" t="str">
        <f>$AI$14</f>
        <v>IRDPH</v>
      </c>
      <c r="I11" s="173"/>
      <c r="J11" s="224">
        <f>AD11</f>
        <v>2030</v>
      </c>
      <c r="K11" s="81"/>
      <c r="L11" s="333">
        <v>1</v>
      </c>
      <c r="M11" s="199">
        <f ca="1">VLOOKUP($AD11,INDIRECT("'"&amp;$B11&amp;"'!"&amp;"$P$39:$AD$42"),3,FALSE)</f>
        <v>4.5792982142857133</v>
      </c>
      <c r="N11" s="81"/>
      <c r="O11" s="723">
        <f ca="1">VLOOKUP($AD11,INDIRECT("'"&amp;$B11&amp;"'!"&amp;"$P$39:$AD$42"),6,FALSE)/1000</f>
        <v>4.8425000000000002</v>
      </c>
      <c r="P11" s="723">
        <f ca="1">VLOOKUP($AD11,INDIRECT("'"&amp;$B11&amp;"'!"&amp;"$P$39:$AD$42"),7,FALSE)/1000</f>
        <v>1.49E-2</v>
      </c>
      <c r="Q11" s="81">
        <f ca="1">VLOOKUP($AD11,INDIRECT("'"&amp;$B11&amp;"'!"&amp;"$P$39:$AD$42"),8,FALSE)</f>
        <v>6.6222222222222227</v>
      </c>
      <c r="R11" s="300"/>
      <c r="S11" s="300"/>
      <c r="T11" s="300"/>
      <c r="U11" s="199">
        <f ca="1">1/M11</f>
        <v>0.21837407244637849</v>
      </c>
      <c r="V11" s="199"/>
      <c r="W11" s="298"/>
      <c r="X11" s="698">
        <f ca="1">IF(VLOOKUP($AD11,INDIRECT("'"&amp;$B11&amp;"'!"&amp;"$P$39:$AD$42"),11,FALSE)="Cf. the utilized electricity",0,VLOOKUP($AD11,INDIRECT("'"&amp;$B11&amp;"'!"&amp;"$P$39:$AD$42"),11,FALSE))</f>
        <v>0</v>
      </c>
      <c r="Y11" s="81">
        <f ca="1">VLOOKUP($AD11,INDIRECT("'"&amp;$B11&amp;"'!"&amp;"$P$39:$AD$42"),12,FALSE)</f>
        <v>0</v>
      </c>
      <c r="Z11" s="81">
        <f ca="1">VLOOKUP($AD11,INDIRECT("'"&amp;$B11&amp;"'!"&amp;"$P$39:$AD$42"),13,FALSE)</f>
        <v>0</v>
      </c>
      <c r="AA11" s="81">
        <f ca="1">VLOOKUP($AD11,INDIRECT("'"&amp;$B11&amp;"'!"&amp;"$P$39:$AD$42"),14,FALSE)</f>
        <v>0</v>
      </c>
      <c r="AB11" s="81">
        <f ca="1">VLOOKUP($AD11,INDIRECT("'"&amp;$B11&amp;"'!"&amp;"$P$39:$AD$42"),15,FALSE)</f>
        <v>0</v>
      </c>
      <c r="AC11" s="226"/>
      <c r="AD11" s="81">
        <v>2030</v>
      </c>
      <c r="AE11" s="81"/>
      <c r="AF11" s="220"/>
    </row>
    <row r="12" spans="2:42">
      <c r="B12" s="357" t="s">
        <v>998</v>
      </c>
      <c r="D12" s="212"/>
      <c r="E12" s="212"/>
      <c r="F12" s="224" t="s">
        <v>1149</v>
      </c>
      <c r="G12" s="173" t="str">
        <f>$AI$20</f>
        <v>INDRWH</v>
      </c>
      <c r="H12" s="174"/>
      <c r="I12" s="174"/>
      <c r="K12" s="81"/>
      <c r="L12" s="333"/>
      <c r="M12" s="199"/>
      <c r="N12" s="81"/>
      <c r="O12" s="723"/>
      <c r="P12" s="723"/>
      <c r="Q12" s="81"/>
      <c r="R12" s="300"/>
      <c r="S12" s="300"/>
      <c r="T12" s="300"/>
      <c r="U12" s="199">
        <f ca="1">1-U11</f>
        <v>0.78162592755362148</v>
      </c>
      <c r="V12" s="300"/>
      <c r="W12" s="298"/>
      <c r="X12" s="698"/>
      <c r="Y12" s="81"/>
      <c r="Z12" s="81"/>
      <c r="AA12" s="81"/>
      <c r="AB12" s="81"/>
      <c r="AC12" s="226"/>
      <c r="AD12" s="81"/>
      <c r="AE12" s="81"/>
      <c r="AF12" s="220"/>
      <c r="AI12" s="224" t="s">
        <v>518</v>
      </c>
      <c r="AJ12" s="224" t="str">
        <f>E2</f>
        <v>Paper &amp; Pulp</v>
      </c>
    </row>
    <row r="13" spans="2:42">
      <c r="B13" s="357" t="s">
        <v>998</v>
      </c>
      <c r="D13" s="212"/>
      <c r="E13" s="212"/>
      <c r="F13" s="224" t="s">
        <v>1149</v>
      </c>
      <c r="G13" s="173" t="s">
        <v>499</v>
      </c>
      <c r="H13" s="174" t="str">
        <f>$AI$14</f>
        <v>IRDPH</v>
      </c>
      <c r="I13" s="173"/>
      <c r="J13" s="224">
        <f>AD13</f>
        <v>2050</v>
      </c>
      <c r="K13" s="81"/>
      <c r="L13" s="333">
        <v>1</v>
      </c>
      <c r="M13" s="199">
        <f ca="1">VLOOKUP($AD13,INDIRECT("'"&amp;$B13&amp;"'!"&amp;"$P$39:$AD$42"),3,FALSE)</f>
        <v>4.7191030203571422</v>
      </c>
      <c r="N13" s="81"/>
      <c r="O13" s="723">
        <f ca="1">VLOOKUP($AD13,INDIRECT("'"&amp;$B13&amp;"'!"&amp;"$P$39:$AD$42"),6,FALSE)/1000</f>
        <v>4.3209999999999997</v>
      </c>
      <c r="P13" s="723">
        <f ca="1">VLOOKUP($AD13,INDIRECT("'"&amp;$B13&amp;"'!"&amp;"$P$39:$AD$42"),7,FALSE)/1000</f>
        <v>1.49E-2</v>
      </c>
      <c r="Q13" s="81">
        <f ca="1">VLOOKUP($AD13,INDIRECT("'"&amp;$B13&amp;"'!"&amp;"$P$39:$AD$42"),8,FALSE)</f>
        <v>6.4566666666666661</v>
      </c>
      <c r="R13" s="300"/>
      <c r="S13" s="300"/>
      <c r="T13" s="300"/>
      <c r="U13" s="199">
        <f ca="1">1/M13</f>
        <v>0.21190467673331698</v>
      </c>
      <c r="V13" s="199"/>
      <c r="W13" s="298"/>
      <c r="X13" s="698">
        <f ca="1">IF(VLOOKUP($AD13,INDIRECT("'"&amp;$B13&amp;"'!"&amp;"$P$39:$AD$42"),11,FALSE)="Cf. the utilized electricity",0,VLOOKUP($AD13,INDIRECT("'"&amp;$B13&amp;"'!"&amp;"$P$39:$AD$42"),11,FALSE))</f>
        <v>0</v>
      </c>
      <c r="Y13" s="81">
        <f ca="1">VLOOKUP($AD13,INDIRECT("'"&amp;$B13&amp;"'!"&amp;"$P$39:$AD$42"),12,FALSE)</f>
        <v>0</v>
      </c>
      <c r="Z13" s="81">
        <f ca="1">VLOOKUP($AD13,INDIRECT("'"&amp;$B13&amp;"'!"&amp;"$P$39:$AD$42"),13,FALSE)</f>
        <v>0</v>
      </c>
      <c r="AA13" s="81">
        <f ca="1">VLOOKUP($AD13,INDIRECT("'"&amp;$B13&amp;"'!"&amp;"$P$39:$AD$42"),14,FALSE)</f>
        <v>0</v>
      </c>
      <c r="AB13" s="81">
        <f ca="1">VLOOKUP($AD13,INDIRECT("'"&amp;$B13&amp;"'!"&amp;"$P$39:$AD$42"),15,FALSE)</f>
        <v>0</v>
      </c>
      <c r="AC13" s="226"/>
      <c r="AD13" s="81">
        <v>2050</v>
      </c>
      <c r="AE13" s="81"/>
      <c r="AF13" s="220"/>
      <c r="AI13" s="224" t="str">
        <f>AO14</f>
        <v>IRDPH</v>
      </c>
      <c r="AJ13" s="224" t="str">
        <f>AP14</f>
        <v>Paper &amp; Pulp industry Demand Heat High Temp. over 150C</v>
      </c>
      <c r="AO13" s="224" t="s">
        <v>2098</v>
      </c>
      <c r="AP13" s="224" t="s">
        <v>1245</v>
      </c>
    </row>
    <row r="14" spans="2:42">
      <c r="B14" s="357" t="s">
        <v>998</v>
      </c>
      <c r="D14" s="212"/>
      <c r="E14" s="212"/>
      <c r="F14" s="224" t="s">
        <v>1149</v>
      </c>
      <c r="G14" s="173" t="str">
        <f>$AI$20</f>
        <v>INDRWH</v>
      </c>
      <c r="H14" s="174"/>
      <c r="I14" s="174"/>
      <c r="K14" s="81"/>
      <c r="L14" s="333"/>
      <c r="M14" s="199"/>
      <c r="N14" s="81"/>
      <c r="O14" s="723"/>
      <c r="P14" s="723"/>
      <c r="Q14" s="81"/>
      <c r="R14" s="300"/>
      <c r="S14" s="300"/>
      <c r="T14" s="300"/>
      <c r="U14" s="199">
        <f ca="1">1-U13</f>
        <v>0.78809532326668297</v>
      </c>
      <c r="V14" s="300"/>
      <c r="W14" s="298"/>
      <c r="X14" s="698"/>
      <c r="Y14" s="81"/>
      <c r="Z14" s="81"/>
      <c r="AA14" s="81"/>
      <c r="AB14" s="81"/>
      <c r="AC14" s="226"/>
      <c r="AD14" s="81"/>
      <c r="AE14" s="81"/>
      <c r="AF14" s="220"/>
      <c r="AI14" s="224" t="str">
        <f>AO13</f>
        <v>IRDPH</v>
      </c>
      <c r="AJ14" s="224" t="str">
        <f>AP13</f>
        <v>Paper &amp; Pulp industry Demand Heat Medium Temp. up to 150C</v>
      </c>
      <c r="AO14" s="224" t="s">
        <v>2098</v>
      </c>
      <c r="AP14" s="224" t="s">
        <v>1246</v>
      </c>
    </row>
    <row r="15" spans="2:42">
      <c r="B15" s="357" t="s">
        <v>998</v>
      </c>
      <c r="D15" s="212" t="str">
        <f>"IND"&amp;RIGHT(H15,4)&amp;RIGHT(G15,3)&amp;"N"&amp;RIGHT(E15,1)</f>
        <v>INDRDSHELCN1</v>
      </c>
      <c r="E15" s="261" t="str">
        <f>"Industrial heating technology "&amp;$AJ$12&amp;" "&amp;RIGHT(H15,2)&amp;" - Heat pump utilizing waste heat - new 1"</f>
        <v>Industrial heating technology Paper &amp; Pulp SH - Heat pump utilizing waste heat - new 1</v>
      </c>
      <c r="F15" s="224" t="s">
        <v>1149</v>
      </c>
      <c r="G15" s="173" t="s">
        <v>499</v>
      </c>
      <c r="H15" s="174" t="str">
        <f>$AI$15</f>
        <v>IRDSH</v>
      </c>
      <c r="I15" s="174"/>
      <c r="J15" s="224">
        <f>AD15</f>
        <v>2020</v>
      </c>
      <c r="K15" s="81">
        <v>2020</v>
      </c>
      <c r="L15" s="333">
        <v>1</v>
      </c>
      <c r="M15" s="199">
        <f ca="1">VLOOKUP($AD15,INDIRECT("'"&amp;$B15&amp;"'!"&amp;"$P$39:$AD$42"),3,FALSE)</f>
        <v>4.4754761904761899</v>
      </c>
      <c r="N15" s="81">
        <f ca="1">VLOOKUP($AD15,INDIRECT("'"&amp;$B15&amp;"'!"&amp;"$P$39:$AD$42"),5,FALSE)</f>
        <v>20</v>
      </c>
      <c r="O15" s="723">
        <f ca="1">VLOOKUP($AD15,INDIRECT("'"&amp;$B15&amp;"'!"&amp;"$P$39:$AD$42"),6,FALSE)/1000</f>
        <v>5.4385000000000003</v>
      </c>
      <c r="P15" s="723">
        <f ca="1">VLOOKUP($AD15,INDIRECT("'"&amp;$B15&amp;"'!"&amp;"$P$39:$AD$42"),7,FALSE)/1000</f>
        <v>1.49E-2</v>
      </c>
      <c r="Q15" s="81">
        <f ca="1">VLOOKUP($AD15,INDIRECT("'"&amp;$B15&amp;"'!"&amp;"$P$39:$AD$42"),8,FALSE)</f>
        <v>6.7463888888888883</v>
      </c>
      <c r="R15" s="81">
        <v>3.1536000000000002E-2</v>
      </c>
      <c r="S15" s="199">
        <v>0.5</v>
      </c>
      <c r="T15" s="199">
        <f ca="1">HLOOKUP($T$2,INDIRECT("'"&amp;$B15&amp;"'!"&amp;"$P$6:$AC$19"),IF(H15=$AI$13,6,IF(H15=$AI$14,9,14)),FALSE)</f>
        <v>1</v>
      </c>
      <c r="U15" s="199">
        <f ca="1">1/M15</f>
        <v>0.22343991062403579</v>
      </c>
      <c r="V15" s="199"/>
      <c r="W15" s="298"/>
      <c r="X15" s="698">
        <f ca="1">IF(VLOOKUP($AD15,INDIRECT("'"&amp;$B15&amp;"'!"&amp;"$P$39:$AD$42"),11,FALSE)="Cf. the utilized electricity",0,VLOOKUP($AD15,INDIRECT("'"&amp;$B15&amp;"'!"&amp;"$P$39:$AD$42"),11,FALSE))</f>
        <v>0</v>
      </c>
      <c r="Y15" s="81">
        <f ca="1">VLOOKUP($AD15,INDIRECT("'"&amp;$B15&amp;"'!"&amp;"$P$39:$AD$42"),12,FALSE)</f>
        <v>0</v>
      </c>
      <c r="Z15" s="81">
        <f ca="1">VLOOKUP($AD15,INDIRECT("'"&amp;$B15&amp;"'!"&amp;"$P$39:$AD$42"),13,FALSE)</f>
        <v>0</v>
      </c>
      <c r="AA15" s="81">
        <f ca="1">VLOOKUP($AD15,INDIRECT("'"&amp;$B15&amp;"'!"&amp;"$P$39:$AD$42"),14,FALSE)</f>
        <v>0</v>
      </c>
      <c r="AB15" s="81">
        <f ca="1">VLOOKUP($AD15,INDIRECT("'"&amp;$B15&amp;"'!"&amp;"$P$39:$AD$42"),15,FALSE)</f>
        <v>0</v>
      </c>
      <c r="AC15" s="226"/>
      <c r="AD15" s="81">
        <v>2020</v>
      </c>
      <c r="AE15" s="81"/>
      <c r="AF15" s="220"/>
      <c r="AI15" s="224" t="str">
        <f>AO15</f>
        <v>IRDSH</v>
      </c>
      <c r="AJ15" s="224" t="str">
        <f>AP15</f>
        <v>Paper &amp; Pulp industry Demand Heat Room Heat</v>
      </c>
      <c r="AO15" s="224" t="s">
        <v>2099</v>
      </c>
      <c r="AP15" s="224" t="s">
        <v>1247</v>
      </c>
    </row>
    <row r="16" spans="2:42">
      <c r="B16" s="357" t="s">
        <v>998</v>
      </c>
      <c r="D16" s="212"/>
      <c r="E16" s="261"/>
      <c r="F16" s="224" t="s">
        <v>1149</v>
      </c>
      <c r="G16" s="173" t="str">
        <f>$AI$20</f>
        <v>INDRWH</v>
      </c>
      <c r="H16" s="174"/>
      <c r="I16" s="174"/>
      <c r="K16" s="81"/>
      <c r="L16" s="333"/>
      <c r="M16" s="199"/>
      <c r="N16" s="81"/>
      <c r="O16" s="723"/>
      <c r="P16" s="723"/>
      <c r="Q16" s="81"/>
      <c r="R16" s="200"/>
      <c r="S16" s="772"/>
      <c r="T16" s="772"/>
      <c r="U16" s="199">
        <f ca="1">1-U15</f>
        <v>0.77656008937596421</v>
      </c>
      <c r="V16" s="772"/>
      <c r="W16" s="298"/>
      <c r="X16" s="698"/>
      <c r="Y16" s="81"/>
      <c r="Z16" s="81"/>
      <c r="AA16" s="81"/>
      <c r="AB16" s="81"/>
      <c r="AC16" s="226"/>
      <c r="AD16" s="81"/>
      <c r="AE16" s="81"/>
      <c r="AF16" s="220"/>
      <c r="AI16" s="224" t="str">
        <f t="shared" ref="AI16:AJ19" si="0">AO16</f>
        <v>IRDLA</v>
      </c>
      <c r="AJ16" s="224" t="str">
        <f t="shared" si="0"/>
        <v>Paper &amp; Pulp industry Demand Light</v>
      </c>
      <c r="AO16" s="224" t="s">
        <v>1248</v>
      </c>
      <c r="AP16" s="224" t="s">
        <v>1249</v>
      </c>
    </row>
    <row r="17" spans="2:42">
      <c r="B17" s="357" t="s">
        <v>998</v>
      </c>
      <c r="D17" s="212"/>
      <c r="E17" s="212"/>
      <c r="F17" s="224" t="s">
        <v>1149</v>
      </c>
      <c r="G17" s="173" t="s">
        <v>499</v>
      </c>
      <c r="H17" s="174" t="str">
        <f>$AI$15</f>
        <v>IRDSH</v>
      </c>
      <c r="I17" s="174"/>
      <c r="J17" s="224">
        <f>AD17</f>
        <v>2030</v>
      </c>
      <c r="K17" s="81"/>
      <c r="L17" s="333">
        <v>1</v>
      </c>
      <c r="M17" s="199">
        <f ca="1">VLOOKUP($AD17,INDIRECT("'"&amp;$B17&amp;"'!"&amp;"$P$39:$AD$42"),3,FALSE)</f>
        <v>4.5792982142857133</v>
      </c>
      <c r="N17" s="81"/>
      <c r="O17" s="723">
        <f ca="1">VLOOKUP($AD17,INDIRECT("'"&amp;$B17&amp;"'!"&amp;"$P$39:$AD$42"),6,FALSE)/1000</f>
        <v>4.8425000000000002</v>
      </c>
      <c r="P17" s="723">
        <f ca="1">VLOOKUP($AD17,INDIRECT("'"&amp;$B17&amp;"'!"&amp;"$P$39:$AD$42"),7,FALSE)/1000</f>
        <v>1.49E-2</v>
      </c>
      <c r="Q17" s="81">
        <f ca="1">VLOOKUP($AD17,INDIRECT("'"&amp;$B17&amp;"'!"&amp;"$P$39:$AD$42"),8,FALSE)</f>
        <v>6.6222222222222227</v>
      </c>
      <c r="R17" s="300"/>
      <c r="S17" s="300"/>
      <c r="T17" s="300"/>
      <c r="U17" s="199">
        <f ca="1">1/M17</f>
        <v>0.21837407244637849</v>
      </c>
      <c r="V17" s="199"/>
      <c r="W17" s="298"/>
      <c r="X17" s="698">
        <f ca="1">IF(VLOOKUP($AD17,INDIRECT("'"&amp;$B17&amp;"'!"&amp;"$P$39:$AD$42"),11,FALSE)="Cf. the utilized electricity",0,VLOOKUP($AD17,INDIRECT("'"&amp;$B17&amp;"'!"&amp;"$P$39:$AD$42"),11,FALSE))</f>
        <v>0</v>
      </c>
      <c r="Y17" s="81">
        <f ca="1">VLOOKUP($AD17,INDIRECT("'"&amp;$B17&amp;"'!"&amp;"$P$39:$AD$42"),12,FALSE)</f>
        <v>0</v>
      </c>
      <c r="Z17" s="81">
        <f ca="1">VLOOKUP($AD17,INDIRECT("'"&amp;$B17&amp;"'!"&amp;"$P$39:$AD$42"),13,FALSE)</f>
        <v>0</v>
      </c>
      <c r="AA17" s="81">
        <f ca="1">VLOOKUP($AD17,INDIRECT("'"&amp;$B17&amp;"'!"&amp;"$P$39:$AD$42"),14,FALSE)</f>
        <v>0</v>
      </c>
      <c r="AB17" s="81">
        <f ca="1">VLOOKUP($AD17,INDIRECT("'"&amp;$B17&amp;"'!"&amp;"$P$39:$AD$42"),15,FALSE)</f>
        <v>0</v>
      </c>
      <c r="AC17" s="226"/>
      <c r="AD17" s="81">
        <v>2030</v>
      </c>
      <c r="AE17" s="81"/>
      <c r="AF17" s="220"/>
      <c r="AI17" s="224" t="str">
        <f t="shared" si="0"/>
        <v>IRDEM</v>
      </c>
      <c r="AJ17" s="224" t="str">
        <f t="shared" si="0"/>
        <v>Paper &amp; Pulp industry Demand Electric Motors</v>
      </c>
      <c r="AO17" s="224" t="s">
        <v>1250</v>
      </c>
      <c r="AP17" s="224" t="s">
        <v>1251</v>
      </c>
    </row>
    <row r="18" spans="2:42">
      <c r="B18" s="357" t="s">
        <v>998</v>
      </c>
      <c r="D18" s="212"/>
      <c r="E18" s="212"/>
      <c r="F18" s="224" t="s">
        <v>1149</v>
      </c>
      <c r="G18" s="173" t="str">
        <f>$AI$20</f>
        <v>INDRWH</v>
      </c>
      <c r="H18" s="174"/>
      <c r="I18" s="174"/>
      <c r="K18" s="81"/>
      <c r="L18" s="333"/>
      <c r="M18" s="199"/>
      <c r="N18" s="81"/>
      <c r="O18" s="723"/>
      <c r="P18" s="723"/>
      <c r="Q18" s="81"/>
      <c r="R18" s="300"/>
      <c r="S18" s="300"/>
      <c r="T18" s="300"/>
      <c r="U18" s="199">
        <f ca="1">1-U17</f>
        <v>0.78162592755362148</v>
      </c>
      <c r="V18" s="300"/>
      <c r="W18" s="298"/>
      <c r="X18" s="698"/>
      <c r="Y18" s="81"/>
      <c r="Z18" s="81"/>
      <c r="AA18" s="81"/>
      <c r="AB18" s="81"/>
      <c r="AC18" s="226"/>
      <c r="AD18" s="81"/>
      <c r="AE18" s="81"/>
      <c r="AF18" s="220"/>
      <c r="AI18" s="224" t="str">
        <f t="shared" si="0"/>
        <v>IRDTF</v>
      </c>
      <c r="AJ18" s="224" t="str">
        <f t="shared" si="0"/>
        <v>Paper &amp; Pulp industry Demand Haulage Tractors, Trucks, Fishing boats, Forest machines</v>
      </c>
      <c r="AO18" s="224" t="s">
        <v>1252</v>
      </c>
      <c r="AP18" s="224" t="s">
        <v>1253</v>
      </c>
    </row>
    <row r="19" spans="2:42">
      <c r="B19" s="357" t="s">
        <v>998</v>
      </c>
      <c r="D19" s="212"/>
      <c r="E19" s="212"/>
      <c r="F19" s="224" t="s">
        <v>1149</v>
      </c>
      <c r="G19" s="173" t="s">
        <v>499</v>
      </c>
      <c r="H19" s="174" t="str">
        <f>$AI$15</f>
        <v>IRDSH</v>
      </c>
      <c r="I19" s="174"/>
      <c r="J19" s="224">
        <f>AD19</f>
        <v>2050</v>
      </c>
      <c r="K19" s="81"/>
      <c r="L19" s="333">
        <v>1</v>
      </c>
      <c r="M19" s="199">
        <f ca="1">VLOOKUP($AD19,INDIRECT("'"&amp;$B19&amp;"'!"&amp;"$P$39:$AD$42"),3,FALSE)</f>
        <v>4.7191030203571422</v>
      </c>
      <c r="N19" s="81"/>
      <c r="O19" s="723">
        <f ca="1">VLOOKUP($AD19,INDIRECT("'"&amp;$B19&amp;"'!"&amp;"$P$39:$AD$42"),6,FALSE)/1000</f>
        <v>4.3209999999999997</v>
      </c>
      <c r="P19" s="723">
        <f ca="1">VLOOKUP($AD19,INDIRECT("'"&amp;$B19&amp;"'!"&amp;"$P$39:$AD$42"),7,FALSE)/1000</f>
        <v>1.49E-2</v>
      </c>
      <c r="Q19" s="81">
        <f ca="1">VLOOKUP($AD19,INDIRECT("'"&amp;$B19&amp;"'!"&amp;"$P$39:$AD$42"),8,FALSE)</f>
        <v>6.4566666666666661</v>
      </c>
      <c r="R19" s="300"/>
      <c r="S19" s="300"/>
      <c r="T19" s="300"/>
      <c r="U19" s="199">
        <f ca="1">1/M19</f>
        <v>0.21190467673331698</v>
      </c>
      <c r="V19" s="199"/>
      <c r="W19" s="298"/>
      <c r="X19" s="698">
        <f ca="1">IF(VLOOKUP($AD19,INDIRECT("'"&amp;$B19&amp;"'!"&amp;"$P$39:$AD$42"),11,FALSE)="Cf. the utilized electricity",0,VLOOKUP($AD19,INDIRECT("'"&amp;$B19&amp;"'!"&amp;"$P$39:$AD$42"),11,FALSE))</f>
        <v>0</v>
      </c>
      <c r="Y19" s="81">
        <f ca="1">VLOOKUP($AD19,INDIRECT("'"&amp;$B19&amp;"'!"&amp;"$P$39:$AD$42"),12,FALSE)</f>
        <v>0</v>
      </c>
      <c r="Z19" s="81">
        <f ca="1">VLOOKUP($AD19,INDIRECT("'"&amp;$B19&amp;"'!"&amp;"$P$39:$AD$42"),13,FALSE)</f>
        <v>0</v>
      </c>
      <c r="AA19" s="81">
        <f ca="1">VLOOKUP($AD19,INDIRECT("'"&amp;$B19&amp;"'!"&amp;"$P$39:$AD$42"),14,FALSE)</f>
        <v>0</v>
      </c>
      <c r="AB19" s="81">
        <f ca="1">VLOOKUP($AD19,INDIRECT("'"&amp;$B19&amp;"'!"&amp;"$P$39:$AD$42"),15,FALSE)</f>
        <v>0</v>
      </c>
      <c r="AC19" s="226"/>
      <c r="AD19" s="81">
        <v>2050</v>
      </c>
      <c r="AE19" s="81"/>
      <c r="AF19" s="220"/>
      <c r="AI19" s="224" t="str">
        <f t="shared" si="0"/>
        <v>IRDFL</v>
      </c>
      <c r="AJ19" s="224" t="str">
        <f t="shared" si="0"/>
        <v>Paper &amp; Pulp industry Demand Haulage Forklifts</v>
      </c>
      <c r="AO19" s="224" t="s">
        <v>1254</v>
      </c>
      <c r="AP19" s="224" t="s">
        <v>1255</v>
      </c>
    </row>
    <row r="20" spans="2:42">
      <c r="B20" s="357" t="s">
        <v>998</v>
      </c>
      <c r="D20" s="212"/>
      <c r="E20" s="212"/>
      <c r="F20" s="224" t="s">
        <v>1149</v>
      </c>
      <c r="G20" s="173" t="str">
        <f>$AI$20</f>
        <v>INDRWH</v>
      </c>
      <c r="H20" s="174"/>
      <c r="I20" s="174"/>
      <c r="K20" s="81"/>
      <c r="L20" s="333"/>
      <c r="M20" s="199"/>
      <c r="N20" s="81"/>
      <c r="O20" s="723"/>
      <c r="P20" s="723"/>
      <c r="Q20" s="81"/>
      <c r="R20" s="300"/>
      <c r="S20" s="300"/>
      <c r="T20" s="300"/>
      <c r="U20" s="199">
        <f ca="1">1-U19</f>
        <v>0.78809532326668297</v>
      </c>
      <c r="V20" s="300"/>
      <c r="W20" s="298"/>
      <c r="X20" s="698"/>
      <c r="Y20" s="81"/>
      <c r="Z20" s="81"/>
      <c r="AA20" s="81"/>
      <c r="AB20" s="81"/>
      <c r="AC20" s="226"/>
      <c r="AD20" s="81"/>
      <c r="AE20" s="81"/>
      <c r="AF20" s="220"/>
      <c r="AI20" s="36" t="str">
        <f>"IND"&amp;MID(AI19,2,1)&amp;"WH"</f>
        <v>INDRWH</v>
      </c>
      <c r="AJ20" s="224" t="str">
        <f>$AJ$12&amp;" Industrial Waste Heat"</f>
        <v>Paper &amp; Pulp Industrial Waste Heat</v>
      </c>
    </row>
    <row r="21" spans="2:42">
      <c r="B21" s="357" t="s">
        <v>999</v>
      </c>
      <c r="D21" s="212" t="str">
        <f>"IND"&amp;RIGHT(H21,4)&amp;RIGHT(G21,3)&amp;"N"&amp;RIGHT(E21,1)</f>
        <v>INDRDPHELCN2</v>
      </c>
      <c r="E21" s="261" t="str">
        <f>"Industrial heating technology "&amp;$AJ$12&amp;" "&amp;RIGHT(H21,2)&amp;" - Heat driven heat pump utilizing waste heat - new 2"</f>
        <v>Industrial heating technology Paper &amp; Pulp PH - Heat driven heat pump utilizing waste heat - new 2</v>
      </c>
      <c r="F21" s="224" t="s">
        <v>1149</v>
      </c>
      <c r="G21" s="173" t="s">
        <v>499</v>
      </c>
      <c r="H21" s="174" t="str">
        <f>$AI$14</f>
        <v>IRDPH</v>
      </c>
      <c r="I21" s="174"/>
      <c r="J21" s="224">
        <f t="shared" ref="J21" si="1">AD21</f>
        <v>2020</v>
      </c>
      <c r="K21" s="81">
        <v>2020</v>
      </c>
      <c r="L21" s="333">
        <v>1</v>
      </c>
      <c r="M21" s="199">
        <f ca="1">VLOOKUP($AD21,INDIRECT("'"&amp;$B21&amp;"'!"&amp;"$P$39:$AD$42"),3,FALSE)</f>
        <v>1.68</v>
      </c>
      <c r="N21" s="81">
        <f ca="1">VLOOKUP($AD21,INDIRECT("'"&amp;$B21&amp;"'!"&amp;"$P$39:$AD$42"),5,FALSE)</f>
        <v>20</v>
      </c>
      <c r="O21" s="723">
        <f ca="1">VLOOKUP($AD21,INDIRECT("'"&amp;$B21&amp;"'!"&amp;"$P$39:$AD$42"),6,FALSE)/1000</f>
        <v>4.1720000000000006</v>
      </c>
      <c r="P21" s="723">
        <f ca="1">VLOOKUP($AD21,INDIRECT("'"&amp;$B21&amp;"'!"&amp;"$P$39:$AD$42"),7,FALSE)/1000</f>
        <v>1.49E-2</v>
      </c>
      <c r="Q21" s="81">
        <f ca="1">VLOOKUP($AD21,INDIRECT("'"&amp;$B21&amp;"'!"&amp;"$P$39:$AD$42"),8,FALSE)</f>
        <v>2.0901388888888892</v>
      </c>
      <c r="R21" s="81">
        <v>3.1536000000000002E-2</v>
      </c>
      <c r="S21" s="199">
        <v>0.5</v>
      </c>
      <c r="T21" s="199">
        <f ca="1">HLOOKUP($T$2,INDIRECT("'"&amp;$B21&amp;"'!"&amp;"$P$6:$AC$19"),IF(H21=$AI$13,6,IF(H21=$AI$14,9,14)),FALSE)</f>
        <v>0</v>
      </c>
      <c r="U21" s="199">
        <f ca="1">1/M21</f>
        <v>0.59523809523809523</v>
      </c>
      <c r="V21" s="199"/>
      <c r="W21" s="298"/>
      <c r="X21" s="698">
        <f ca="1">IF(VLOOKUP($AD21,INDIRECT("'"&amp;$B21&amp;"'!"&amp;"$P$39:$AD$42"),11,FALSE)="Cf. the utilized electricity",0,VLOOKUP($AD21,INDIRECT("'"&amp;$B21&amp;"'!"&amp;"$P$39:$AD$42"),11,FALSE))</f>
        <v>0</v>
      </c>
      <c r="Y21" s="81">
        <f ca="1">VLOOKUP($AD21,INDIRECT("'"&amp;$B21&amp;"'!"&amp;"$P$39:$AD$42"),12,FALSE)</f>
        <v>0</v>
      </c>
      <c r="Z21" s="81">
        <f ca="1">VLOOKUP($AD21,INDIRECT("'"&amp;$B21&amp;"'!"&amp;"$P$39:$AD$42"),13,FALSE)</f>
        <v>0</v>
      </c>
      <c r="AA21" s="81">
        <f ca="1">VLOOKUP($AD21,INDIRECT("'"&amp;$B21&amp;"'!"&amp;"$P$39:$AD$42"),14,FALSE)</f>
        <v>0</v>
      </c>
      <c r="AB21" s="81">
        <f ca="1">VLOOKUP($AD21,INDIRECT("'"&amp;$B21&amp;"'!"&amp;"$P$39:$AD$42"),15,FALSE)</f>
        <v>0</v>
      </c>
      <c r="AC21" s="226"/>
      <c r="AD21" s="81">
        <v>2020</v>
      </c>
      <c r="AE21" s="81"/>
      <c r="AF21" s="220"/>
      <c r="AI21" s="224" t="s">
        <v>2108</v>
      </c>
      <c r="AJ21" s="224" t="s">
        <v>2109</v>
      </c>
    </row>
    <row r="22" spans="2:42">
      <c r="B22" s="357" t="s">
        <v>999</v>
      </c>
      <c r="D22" s="212"/>
      <c r="E22" s="261"/>
      <c r="F22" s="224" t="s">
        <v>1149</v>
      </c>
      <c r="G22" s="173" t="str">
        <f>$AI$20</f>
        <v>INDRWH</v>
      </c>
      <c r="H22" s="174"/>
      <c r="I22" s="174"/>
      <c r="K22" s="81"/>
      <c r="L22" s="333"/>
      <c r="M22" s="199"/>
      <c r="N22" s="81"/>
      <c r="O22" s="723"/>
      <c r="P22" s="723"/>
      <c r="Q22" s="81"/>
      <c r="R22" s="200"/>
      <c r="S22" s="772"/>
      <c r="T22" s="772"/>
      <c r="U22" s="199">
        <f ca="1">1-U21</f>
        <v>0.40476190476190477</v>
      </c>
      <c r="V22" s="772"/>
      <c r="W22" s="298"/>
      <c r="X22" s="698"/>
      <c r="Y22" s="81"/>
      <c r="Z22" s="81"/>
      <c r="AA22" s="81"/>
      <c r="AB22" s="81"/>
      <c r="AC22" s="226"/>
      <c r="AD22" s="81"/>
      <c r="AE22" s="81"/>
      <c r="AF22" s="220"/>
      <c r="AI22" s="224">
        <v>1</v>
      </c>
    </row>
    <row r="23" spans="2:42">
      <c r="B23" s="357" t="s">
        <v>999</v>
      </c>
      <c r="D23" s="212"/>
      <c r="E23" s="212"/>
      <c r="F23" s="224" t="s">
        <v>1149</v>
      </c>
      <c r="G23" s="173" t="s">
        <v>499</v>
      </c>
      <c r="H23" s="174" t="str">
        <f>$AI$14</f>
        <v>IRDPH</v>
      </c>
      <c r="I23" s="174"/>
      <c r="J23" s="224">
        <f t="shared" ref="J23" si="2">AD23</f>
        <v>2030</v>
      </c>
      <c r="K23" s="81"/>
      <c r="L23" s="333">
        <v>1</v>
      </c>
      <c r="M23" s="199">
        <f ca="1">VLOOKUP($AD23,INDIRECT("'"&amp;$B23&amp;"'!"&amp;"$P$39:$AD$42"),3,FALSE)</f>
        <v>1.69</v>
      </c>
      <c r="N23" s="81"/>
      <c r="O23" s="723">
        <f ca="1">VLOOKUP($AD23,INDIRECT("'"&amp;$B23&amp;"'!"&amp;"$P$39:$AD$42"),6,FALSE)/1000</f>
        <v>3.7995000000000001</v>
      </c>
      <c r="P23" s="723">
        <f ca="1">VLOOKUP($AD23,INDIRECT("'"&amp;$B23&amp;"'!"&amp;"$P$39:$AD$42"),7,FALSE)/1000</f>
        <v>1.49E-2</v>
      </c>
      <c r="Q23" s="81">
        <f ca="1">VLOOKUP($AD23,INDIRECT("'"&amp;$B23&amp;"'!"&amp;"$P$39:$AD$42"),8,FALSE)</f>
        <v>2.0694444444444446</v>
      </c>
      <c r="R23" s="300"/>
      <c r="S23" s="300"/>
      <c r="T23" s="300"/>
      <c r="U23" s="199">
        <f ca="1">1/M23</f>
        <v>0.59171597633136097</v>
      </c>
      <c r="V23" s="199"/>
      <c r="W23" s="298"/>
      <c r="X23" s="698">
        <f ca="1">IF(VLOOKUP($AD23,INDIRECT("'"&amp;$B23&amp;"'!"&amp;"$P$39:$AD$42"),11,FALSE)="Cf. the utilized electricity",0,VLOOKUP($AD23,INDIRECT("'"&amp;$B23&amp;"'!"&amp;"$P$39:$AD$42"),11,FALSE))</f>
        <v>0</v>
      </c>
      <c r="Y23" s="81">
        <f ca="1">VLOOKUP($AD23,INDIRECT("'"&amp;$B23&amp;"'!"&amp;"$P$39:$AD$42"),12,FALSE)</f>
        <v>0</v>
      </c>
      <c r="Z23" s="81">
        <f ca="1">VLOOKUP($AD23,INDIRECT("'"&amp;$B23&amp;"'!"&amp;"$P$39:$AD$42"),13,FALSE)</f>
        <v>0</v>
      </c>
      <c r="AA23" s="81">
        <f ca="1">VLOOKUP($AD23,INDIRECT("'"&amp;$B23&amp;"'!"&amp;"$P$39:$AD$42"),14,FALSE)</f>
        <v>0</v>
      </c>
      <c r="AB23" s="81">
        <f ca="1">VLOOKUP($AD23,INDIRECT("'"&amp;$B23&amp;"'!"&amp;"$P$39:$AD$42"),15,FALSE)</f>
        <v>0</v>
      </c>
      <c r="AC23" s="226"/>
      <c r="AD23" s="81">
        <v>2030</v>
      </c>
      <c r="AE23" s="81"/>
      <c r="AF23" s="220"/>
      <c r="AI23" s="224">
        <v>2</v>
      </c>
    </row>
    <row r="24" spans="2:42" ht="14.5" customHeight="1">
      <c r="B24" s="357" t="s">
        <v>999</v>
      </c>
      <c r="D24" s="212"/>
      <c r="E24" s="212"/>
      <c r="F24" s="224" t="s">
        <v>1149</v>
      </c>
      <c r="G24" s="173" t="str">
        <f>$AI$20</f>
        <v>INDRWH</v>
      </c>
      <c r="H24" s="174"/>
      <c r="I24" s="174"/>
      <c r="K24" s="81"/>
      <c r="L24" s="333"/>
      <c r="M24" s="199"/>
      <c r="N24" s="81"/>
      <c r="O24" s="723"/>
      <c r="P24" s="723"/>
      <c r="Q24" s="81"/>
      <c r="R24" s="300"/>
      <c r="S24" s="300"/>
      <c r="T24" s="300"/>
      <c r="U24" s="199">
        <f ca="1">1-U23</f>
        <v>0.40828402366863903</v>
      </c>
      <c r="V24" s="300"/>
      <c r="W24" s="298"/>
      <c r="X24" s="698"/>
      <c r="Y24" s="81"/>
      <c r="Z24" s="81"/>
      <c r="AA24" s="81"/>
      <c r="AB24" s="81"/>
      <c r="AC24" s="226"/>
      <c r="AD24" s="81"/>
      <c r="AE24" s="81"/>
      <c r="AF24" s="220"/>
      <c r="AI24" s="224">
        <v>3</v>
      </c>
    </row>
    <row r="25" spans="2:42" ht="14.5" customHeight="1">
      <c r="B25" s="357" t="s">
        <v>999</v>
      </c>
      <c r="D25" s="212"/>
      <c r="E25" s="212"/>
      <c r="F25" s="224" t="s">
        <v>1149</v>
      </c>
      <c r="G25" s="173" t="s">
        <v>499</v>
      </c>
      <c r="H25" s="174" t="str">
        <f>$AI$14</f>
        <v>IRDPH</v>
      </c>
      <c r="I25" s="174"/>
      <c r="J25" s="224">
        <f t="shared" ref="J25" si="3">AD25</f>
        <v>2050</v>
      </c>
      <c r="K25" s="81"/>
      <c r="L25" s="333">
        <v>1</v>
      </c>
      <c r="M25" s="199">
        <f ca="1">VLOOKUP($AD25,INDIRECT("'"&amp;$B25&amp;"'!"&amp;"$P$39:$AD$42"),3,FALSE)</f>
        <v>1.71</v>
      </c>
      <c r="N25" s="81"/>
      <c r="O25" s="723">
        <f ca="1">VLOOKUP($AD25,INDIRECT("'"&amp;$B25&amp;"'!"&amp;"$P$39:$AD$42"),6,FALSE)/1000</f>
        <v>3.427</v>
      </c>
      <c r="P25" s="723">
        <f ca="1">VLOOKUP($AD25,INDIRECT("'"&amp;$B25&amp;"'!"&amp;"$P$39:$AD$42"),7,FALSE)/1000</f>
        <v>1.49E-2</v>
      </c>
      <c r="Q25" s="81">
        <f ca="1">VLOOKUP($AD25,INDIRECT("'"&amp;$B25&amp;"'!"&amp;"$P$39:$AD$42"),8,FALSE)</f>
        <v>2.0487500000000001</v>
      </c>
      <c r="R25" s="300"/>
      <c r="S25" s="300"/>
      <c r="T25" s="300"/>
      <c r="U25" s="199">
        <f ca="1">1/M25</f>
        <v>0.58479532163742687</v>
      </c>
      <c r="V25" s="199"/>
      <c r="W25" s="298"/>
      <c r="X25" s="698">
        <f ca="1">IF(VLOOKUP($AD25,INDIRECT("'"&amp;$B25&amp;"'!"&amp;"$P$39:$AD$42"),11,FALSE)="Cf. the utilized electricity",0,VLOOKUP($AD25,INDIRECT("'"&amp;$B25&amp;"'!"&amp;"$P$39:$AD$42"),11,FALSE))</f>
        <v>0</v>
      </c>
      <c r="Y25" s="81">
        <f ca="1">VLOOKUP($AD25,INDIRECT("'"&amp;$B25&amp;"'!"&amp;"$P$39:$AD$42"),12,FALSE)</f>
        <v>0</v>
      </c>
      <c r="Z25" s="81">
        <f ca="1">VLOOKUP($AD25,INDIRECT("'"&amp;$B25&amp;"'!"&amp;"$P$39:$AD$42"),13,FALSE)</f>
        <v>0</v>
      </c>
      <c r="AA25" s="81">
        <f ca="1">VLOOKUP($AD25,INDIRECT("'"&amp;$B25&amp;"'!"&amp;"$P$39:$AD$42"),14,FALSE)</f>
        <v>0</v>
      </c>
      <c r="AB25" s="81">
        <f ca="1">VLOOKUP($AD25,INDIRECT("'"&amp;$B25&amp;"'!"&amp;"$P$39:$AD$42"),15,FALSE)</f>
        <v>0</v>
      </c>
      <c r="AC25" s="226"/>
      <c r="AD25" s="81">
        <v>2050</v>
      </c>
      <c r="AE25" s="81"/>
      <c r="AF25" s="220"/>
      <c r="AI25" s="224">
        <v>4</v>
      </c>
    </row>
    <row r="26" spans="2:42" ht="15" customHeight="1">
      <c r="B26" s="357" t="s">
        <v>999</v>
      </c>
      <c r="D26" s="212"/>
      <c r="E26" s="212"/>
      <c r="F26" s="224" t="s">
        <v>1149</v>
      </c>
      <c r="G26" s="173" t="str">
        <f>$AI$20</f>
        <v>INDRWH</v>
      </c>
      <c r="H26" s="174"/>
      <c r="I26" s="174"/>
      <c r="K26" s="81"/>
      <c r="L26" s="333"/>
      <c r="M26" s="199"/>
      <c r="N26" s="81"/>
      <c r="O26" s="723"/>
      <c r="P26" s="723"/>
      <c r="Q26" s="81"/>
      <c r="R26" s="300"/>
      <c r="S26" s="300"/>
      <c r="T26" s="300"/>
      <c r="U26" s="199">
        <f ca="1">1-U25</f>
        <v>0.41520467836257313</v>
      </c>
      <c r="V26" s="300"/>
      <c r="W26" s="298"/>
      <c r="X26" s="698"/>
      <c r="Y26" s="81"/>
      <c r="Z26" s="81"/>
      <c r="AA26" s="81"/>
      <c r="AB26" s="81"/>
      <c r="AC26" s="226"/>
      <c r="AD26" s="81"/>
      <c r="AE26" s="81"/>
      <c r="AF26" s="220"/>
      <c r="AI26" s="224">
        <v>5</v>
      </c>
      <c r="AJ26" s="224" t="s">
        <v>715</v>
      </c>
    </row>
    <row r="27" spans="2:42">
      <c r="B27" s="357" t="s">
        <v>999</v>
      </c>
      <c r="D27" s="212" t="str">
        <f>"IND"&amp;RIGHT(H27,4)&amp;RIGHT(G27,3)&amp;"N"&amp;RIGHT(E27,1)</f>
        <v>INDRDSHELCN2</v>
      </c>
      <c r="E27" s="261" t="str">
        <f>"Industrial heating technology "&amp;$AJ$12&amp;" "&amp;RIGHT(H27,2)&amp;" - Heat driven heat pump utilizing waste heat - new 2"</f>
        <v>Industrial heating technology Paper &amp; Pulp SH - Heat driven heat pump utilizing waste heat - new 2</v>
      </c>
      <c r="F27" s="224" t="s">
        <v>1149</v>
      </c>
      <c r="G27" s="173" t="s">
        <v>499</v>
      </c>
      <c r="H27" s="174" t="str">
        <f>$AI$15</f>
        <v>IRDSH</v>
      </c>
      <c r="I27" s="174"/>
      <c r="J27" s="224">
        <f t="shared" ref="J27" si="4">AD27</f>
        <v>2020</v>
      </c>
      <c r="K27" s="81">
        <v>2020</v>
      </c>
      <c r="L27" s="333">
        <v>1</v>
      </c>
      <c r="M27" s="199">
        <f ca="1">VLOOKUP($AD27,INDIRECT("'"&amp;$B27&amp;"'!"&amp;"$P$39:$AD$42"),3,FALSE)</f>
        <v>1.68</v>
      </c>
      <c r="N27" s="81">
        <f ca="1">VLOOKUP($AD27,INDIRECT("'"&amp;$B27&amp;"'!"&amp;"$P$39:$AD$42"),5,FALSE)</f>
        <v>20</v>
      </c>
      <c r="O27" s="723">
        <f ca="1">VLOOKUP($AD27,INDIRECT("'"&amp;$B27&amp;"'!"&amp;"$P$39:$AD$42"),6,FALSE)/1000</f>
        <v>4.1720000000000006</v>
      </c>
      <c r="P27" s="723">
        <f ca="1">VLOOKUP($AD27,INDIRECT("'"&amp;$B27&amp;"'!"&amp;"$P$39:$AD$42"),7,FALSE)/1000</f>
        <v>1.49E-2</v>
      </c>
      <c r="Q27" s="81">
        <f ca="1">VLOOKUP($AD27,INDIRECT("'"&amp;$B27&amp;"'!"&amp;"$P$39:$AD$42"),8,FALSE)</f>
        <v>2.0901388888888892</v>
      </c>
      <c r="R27" s="81">
        <v>3.1536000000000002E-2</v>
      </c>
      <c r="S27" s="199">
        <v>0.5</v>
      </c>
      <c r="T27" s="199">
        <f ca="1">HLOOKUP($T$2,INDIRECT("'"&amp;$B27&amp;"'!"&amp;"$P$6:$AC$19"),IF(H27=$AI$13,6,IF(H27=$AI$14,9,14)),FALSE)</f>
        <v>1</v>
      </c>
      <c r="U27" s="199">
        <f ca="1">1/M27</f>
        <v>0.59523809523809523</v>
      </c>
      <c r="V27" s="199"/>
      <c r="W27" s="298"/>
      <c r="X27" s="698">
        <f ca="1">IF(VLOOKUP($AD27,INDIRECT("'"&amp;$B27&amp;"'!"&amp;"$P$39:$AD$42"),11,FALSE)="Cf. the utilized electricity",0,VLOOKUP($AD27,INDIRECT("'"&amp;$B27&amp;"'!"&amp;"$P$39:$AD$42"),11,FALSE))</f>
        <v>0</v>
      </c>
      <c r="Y27" s="81">
        <f ca="1">VLOOKUP($AD27,INDIRECT("'"&amp;$B27&amp;"'!"&amp;"$P$39:$AD$42"),12,FALSE)</f>
        <v>0</v>
      </c>
      <c r="Z27" s="81">
        <f ca="1">VLOOKUP($AD27,INDIRECT("'"&amp;$B27&amp;"'!"&amp;"$P$39:$AD$42"),13,FALSE)</f>
        <v>0</v>
      </c>
      <c r="AA27" s="81">
        <f ca="1">VLOOKUP($AD27,INDIRECT("'"&amp;$B27&amp;"'!"&amp;"$P$39:$AD$42"),14,FALSE)</f>
        <v>0</v>
      </c>
      <c r="AB27" s="81">
        <f ca="1">VLOOKUP($AD27,INDIRECT("'"&amp;$B27&amp;"'!"&amp;"$P$39:$AD$42"),15,FALSE)</f>
        <v>0</v>
      </c>
      <c r="AD27" s="81">
        <v>2020</v>
      </c>
      <c r="AE27" s="81"/>
      <c r="AF27" s="220"/>
      <c r="AI27" s="224">
        <v>6</v>
      </c>
    </row>
    <row r="28" spans="2:42" ht="15" customHeight="1">
      <c r="B28" s="357" t="s">
        <v>999</v>
      </c>
      <c r="D28" s="212"/>
      <c r="E28" s="261"/>
      <c r="F28" s="224" t="s">
        <v>1149</v>
      </c>
      <c r="G28" s="173" t="str">
        <f>$AI$20</f>
        <v>INDRWH</v>
      </c>
      <c r="H28" s="174"/>
      <c r="I28" s="174"/>
      <c r="K28" s="81"/>
      <c r="L28" s="333"/>
      <c r="M28" s="199"/>
      <c r="N28" s="81"/>
      <c r="O28" s="723"/>
      <c r="P28" s="723"/>
      <c r="Q28" s="81"/>
      <c r="R28" s="200"/>
      <c r="S28" s="772"/>
      <c r="T28" s="772"/>
      <c r="U28" s="199">
        <f ca="1">1-U27</f>
        <v>0.40476190476190477</v>
      </c>
      <c r="V28" s="772"/>
      <c r="W28" s="298"/>
      <c r="X28" s="698"/>
      <c r="Y28" s="81"/>
      <c r="Z28" s="81"/>
      <c r="AA28" s="81"/>
      <c r="AB28" s="81"/>
      <c r="AD28" s="81"/>
      <c r="AE28" s="81"/>
      <c r="AF28" s="220"/>
      <c r="AI28" s="224">
        <v>7</v>
      </c>
      <c r="AJ28" s="224" t="s">
        <v>716</v>
      </c>
    </row>
    <row r="29" spans="2:42">
      <c r="B29" s="357" t="s">
        <v>999</v>
      </c>
      <c r="D29" s="212"/>
      <c r="E29" s="212"/>
      <c r="F29" s="224" t="s">
        <v>1149</v>
      </c>
      <c r="G29" s="173" t="s">
        <v>499</v>
      </c>
      <c r="H29" s="174" t="str">
        <f>$AI$15</f>
        <v>IRDSH</v>
      </c>
      <c r="I29" s="174"/>
      <c r="J29" s="224">
        <f t="shared" ref="J29" si="5">AD29</f>
        <v>2030</v>
      </c>
      <c r="K29" s="81"/>
      <c r="L29" s="333">
        <v>1</v>
      </c>
      <c r="M29" s="199">
        <f ca="1">VLOOKUP($AD29,INDIRECT("'"&amp;$B29&amp;"'!"&amp;"$P$39:$AD$42"),3,FALSE)</f>
        <v>1.69</v>
      </c>
      <c r="N29" s="81"/>
      <c r="O29" s="723">
        <f ca="1">VLOOKUP($AD29,INDIRECT("'"&amp;$B29&amp;"'!"&amp;"$P$39:$AD$42"),6,FALSE)/1000</f>
        <v>3.7995000000000001</v>
      </c>
      <c r="P29" s="723">
        <f ca="1">VLOOKUP($AD29,INDIRECT("'"&amp;$B29&amp;"'!"&amp;"$P$39:$AD$42"),7,FALSE)/1000</f>
        <v>1.49E-2</v>
      </c>
      <c r="Q29" s="81">
        <f ca="1">VLOOKUP($AD29,INDIRECT("'"&amp;$B29&amp;"'!"&amp;"$P$39:$AD$42"),8,FALSE)</f>
        <v>2.0694444444444446</v>
      </c>
      <c r="R29" s="300"/>
      <c r="S29" s="300"/>
      <c r="T29" s="300"/>
      <c r="U29" s="199">
        <f ca="1">1/M29</f>
        <v>0.59171597633136097</v>
      </c>
      <c r="V29" s="199"/>
      <c r="W29" s="298"/>
      <c r="X29" s="698">
        <f ca="1">IF(VLOOKUP($AD29,INDIRECT("'"&amp;$B29&amp;"'!"&amp;"$P$39:$AD$42"),11,FALSE)="Cf. the utilized electricity",0,VLOOKUP($AD29,INDIRECT("'"&amp;$B29&amp;"'!"&amp;"$P$39:$AD$42"),11,FALSE))</f>
        <v>0</v>
      </c>
      <c r="Y29" s="81">
        <f ca="1">VLOOKUP($AD29,INDIRECT("'"&amp;$B29&amp;"'!"&amp;"$P$39:$AD$42"),12,FALSE)</f>
        <v>0</v>
      </c>
      <c r="Z29" s="81">
        <f ca="1">VLOOKUP($AD29,INDIRECT("'"&amp;$B29&amp;"'!"&amp;"$P$39:$AD$42"),13,FALSE)</f>
        <v>0</v>
      </c>
      <c r="AA29" s="81">
        <f ca="1">VLOOKUP($AD29,INDIRECT("'"&amp;$B29&amp;"'!"&amp;"$P$39:$AD$42"),14,FALSE)</f>
        <v>0</v>
      </c>
      <c r="AB29" s="81">
        <f ca="1">VLOOKUP($AD29,INDIRECT("'"&amp;$B29&amp;"'!"&amp;"$P$39:$AD$42"),15,FALSE)</f>
        <v>0</v>
      </c>
      <c r="AD29" s="81">
        <v>2030</v>
      </c>
      <c r="AE29" s="81"/>
      <c r="AF29" s="220"/>
      <c r="AI29" s="224">
        <v>8</v>
      </c>
    </row>
    <row r="30" spans="2:42" ht="15" customHeight="1">
      <c r="B30" s="357" t="s">
        <v>999</v>
      </c>
      <c r="D30" s="212"/>
      <c r="E30" s="212"/>
      <c r="F30" s="224" t="s">
        <v>1149</v>
      </c>
      <c r="G30" s="173" t="str">
        <f>$AI$20</f>
        <v>INDRWH</v>
      </c>
      <c r="H30" s="174"/>
      <c r="I30" s="174"/>
      <c r="K30" s="81"/>
      <c r="L30" s="333"/>
      <c r="M30" s="199"/>
      <c r="N30" s="81"/>
      <c r="O30" s="723"/>
      <c r="P30" s="723"/>
      <c r="Q30" s="81"/>
      <c r="R30" s="300"/>
      <c r="S30" s="300"/>
      <c r="T30" s="300"/>
      <c r="U30" s="199">
        <f ca="1">1-U29</f>
        <v>0.40828402366863903</v>
      </c>
      <c r="V30" s="300"/>
      <c r="W30" s="298"/>
      <c r="X30" s="698"/>
      <c r="Y30" s="81"/>
      <c r="Z30" s="81"/>
      <c r="AA30" s="81"/>
      <c r="AB30" s="81"/>
      <c r="AD30" s="81"/>
      <c r="AE30" s="81"/>
      <c r="AF30" s="220"/>
      <c r="AI30" s="224">
        <v>9</v>
      </c>
      <c r="AJ30" s="224" t="s">
        <v>717</v>
      </c>
    </row>
    <row r="31" spans="2:42">
      <c r="B31" s="357" t="s">
        <v>999</v>
      </c>
      <c r="D31" s="212"/>
      <c r="E31" s="212"/>
      <c r="F31" s="224" t="s">
        <v>1149</v>
      </c>
      <c r="G31" s="173" t="s">
        <v>499</v>
      </c>
      <c r="H31" s="174" t="str">
        <f>$AI$15</f>
        <v>IRDSH</v>
      </c>
      <c r="I31" s="174"/>
      <c r="J31" s="224">
        <f t="shared" ref="J31" si="6">AD31</f>
        <v>2050</v>
      </c>
      <c r="K31" s="81"/>
      <c r="L31" s="333">
        <v>1</v>
      </c>
      <c r="M31" s="199">
        <f ca="1">VLOOKUP($AD31,INDIRECT("'"&amp;$B31&amp;"'!"&amp;"$P$39:$AD$42"),3,FALSE)</f>
        <v>1.71</v>
      </c>
      <c r="N31" s="81"/>
      <c r="O31" s="723">
        <f ca="1">VLOOKUP($AD31,INDIRECT("'"&amp;$B31&amp;"'!"&amp;"$P$39:$AD$42"),6,FALSE)/1000</f>
        <v>3.427</v>
      </c>
      <c r="P31" s="723">
        <f ca="1">VLOOKUP($AD31,INDIRECT("'"&amp;$B31&amp;"'!"&amp;"$P$39:$AD$42"),7,FALSE)/1000</f>
        <v>1.49E-2</v>
      </c>
      <c r="Q31" s="81">
        <f ca="1">VLOOKUP($AD31,INDIRECT("'"&amp;$B31&amp;"'!"&amp;"$P$39:$AD$42"),8,FALSE)</f>
        <v>2.0487500000000001</v>
      </c>
      <c r="R31" s="300"/>
      <c r="S31" s="300"/>
      <c r="T31" s="300"/>
      <c r="U31" s="199">
        <f ca="1">1/M31</f>
        <v>0.58479532163742687</v>
      </c>
      <c r="V31" s="199"/>
      <c r="W31" s="298"/>
      <c r="X31" s="698">
        <f ca="1">IF(VLOOKUP($AD31,INDIRECT("'"&amp;$B31&amp;"'!"&amp;"$P$39:$AD$42"),11,FALSE)="Cf. the utilized electricity",0,VLOOKUP($AD31,INDIRECT("'"&amp;$B31&amp;"'!"&amp;"$P$39:$AD$42"),11,FALSE))</f>
        <v>0</v>
      </c>
      <c r="Y31" s="81">
        <f ca="1">VLOOKUP($AD31,INDIRECT("'"&amp;$B31&amp;"'!"&amp;"$P$39:$AD$42"),12,FALSE)</f>
        <v>0</v>
      </c>
      <c r="Z31" s="81">
        <f ca="1">VLOOKUP($AD31,INDIRECT("'"&amp;$B31&amp;"'!"&amp;"$P$39:$AD$42"),13,FALSE)</f>
        <v>0</v>
      </c>
      <c r="AA31" s="81">
        <f ca="1">VLOOKUP($AD31,INDIRECT("'"&amp;$B31&amp;"'!"&amp;"$P$39:$AD$42"),14,FALSE)</f>
        <v>0</v>
      </c>
      <c r="AB31" s="81">
        <f ca="1">VLOOKUP($AD31,INDIRECT("'"&amp;$B31&amp;"'!"&amp;"$P$39:$AD$42"),15,FALSE)</f>
        <v>0</v>
      </c>
      <c r="AD31" s="81">
        <v>2050</v>
      </c>
      <c r="AE31" s="81"/>
      <c r="AF31" s="220"/>
      <c r="AI31" s="224">
        <v>10</v>
      </c>
    </row>
    <row r="32" spans="2:42">
      <c r="B32" s="357" t="s">
        <v>999</v>
      </c>
      <c r="D32" s="212"/>
      <c r="E32" s="212"/>
      <c r="F32" s="224" t="s">
        <v>1149</v>
      </c>
      <c r="G32" s="173" t="str">
        <f>$AI$20</f>
        <v>INDRWH</v>
      </c>
      <c r="H32" s="174"/>
      <c r="I32" s="174"/>
      <c r="K32" s="81"/>
      <c r="L32" s="333"/>
      <c r="M32" s="199"/>
      <c r="N32" s="81"/>
      <c r="O32" s="723"/>
      <c r="P32" s="723"/>
      <c r="Q32" s="81"/>
      <c r="R32" s="300"/>
      <c r="S32" s="300"/>
      <c r="T32" s="300"/>
      <c r="U32" s="199">
        <f ca="1">1-U31</f>
        <v>0.41520467836257313</v>
      </c>
      <c r="V32" s="300"/>
      <c r="W32" s="298"/>
      <c r="X32" s="698"/>
      <c r="Y32" s="81"/>
      <c r="Z32" s="81"/>
      <c r="AA32" s="81"/>
      <c r="AB32" s="81"/>
      <c r="AD32" s="81"/>
      <c r="AE32" s="81"/>
      <c r="AF32" s="220"/>
      <c r="AI32" s="224">
        <v>11</v>
      </c>
      <c r="AJ32" s="224" t="s">
        <v>718</v>
      </c>
    </row>
    <row r="33" spans="2:36">
      <c r="B33" s="357" t="s">
        <v>1000</v>
      </c>
      <c r="D33" s="212" t="str">
        <f>"IND"&amp;RIGHT(H33,4)&amp;RIGHT(G33,3)&amp;"N"&amp;RIGHT(E33,1)</f>
        <v>INDRDPHELCN3</v>
      </c>
      <c r="E33" s="261" t="str">
        <f>"Industrial heating technology "&amp;$AJ$12&amp;" "&amp;RIGHT(H33,2)&amp;" - High Temp abs. Heat pump utilizing waste heat - new 3"</f>
        <v>Industrial heating technology Paper &amp; Pulp PH - High Temp abs. Heat pump utilizing waste heat - new 3</v>
      </c>
      <c r="F33" s="224" t="s">
        <v>1149</v>
      </c>
      <c r="G33" s="173" t="s">
        <v>499</v>
      </c>
      <c r="H33" s="174" t="str">
        <f>$AI$14</f>
        <v>IRDPH</v>
      </c>
      <c r="I33" s="174"/>
      <c r="J33" s="224">
        <f t="shared" ref="J33" si="7">AD33</f>
        <v>2020</v>
      </c>
      <c r="K33" s="81">
        <v>2020</v>
      </c>
      <c r="L33" s="333">
        <v>1</v>
      </c>
      <c r="M33" s="199">
        <f ca="1">VLOOKUP($AD33,INDIRECT("'"&amp;$B33&amp;"'!"&amp;"$P$39:$AD$42"),3,FALSE)</f>
        <v>2.75</v>
      </c>
      <c r="N33" s="81">
        <f ca="1">VLOOKUP($AD33,INDIRECT("'"&amp;$B33&amp;"'!"&amp;"$P$39:$AD$42"),5,FALSE)</f>
        <v>20</v>
      </c>
      <c r="O33" s="723">
        <f ca="1">VLOOKUP($AD33,INDIRECT("'"&amp;$B33&amp;"'!"&amp;"$P$39:$AD$42"),6,FALSE)/1000</f>
        <v>7.1394840000000004</v>
      </c>
      <c r="P33" s="723">
        <f ca="1">VLOOKUP($AD33,INDIRECT("'"&amp;$B33&amp;"'!"&amp;"$P$39:$AD$42"),7,FALSE)/1000</f>
        <v>7.2264999999999994E-3</v>
      </c>
      <c r="Q33" s="81">
        <f ca="1">VLOOKUP($AD33,INDIRECT("'"&amp;$B33&amp;"'!"&amp;"$P$39:$AD$42"),8,FALSE)</f>
        <v>6.7463888888888883</v>
      </c>
      <c r="R33" s="81">
        <v>3.1536000000000002E-2</v>
      </c>
      <c r="S33" s="199">
        <v>0.5</v>
      </c>
      <c r="T33" s="199">
        <f ca="1">HLOOKUP($T$2,INDIRECT("'"&amp;$B33&amp;"'!"&amp;"$P$6:$AC$19"),IF(H33=$AI$13,6,IF(H33=$AI$14,9,14)),FALSE)-T9</f>
        <v>0</v>
      </c>
      <c r="U33" s="199">
        <f ca="1">1/M33</f>
        <v>0.36363636363636365</v>
      </c>
      <c r="V33" s="199"/>
      <c r="W33" s="298"/>
      <c r="X33" s="698">
        <f ca="1">IF(VLOOKUP($AD33,INDIRECT("'"&amp;$B33&amp;"'!"&amp;"$P$39:$AD$42"),11,FALSE)="Cf. the utilized electricity",0,VLOOKUP($AD33,INDIRECT("'"&amp;$B33&amp;"'!"&amp;"$P$39:$AD$42"),11,FALSE))</f>
        <v>0</v>
      </c>
      <c r="Y33" s="81">
        <f ca="1">VLOOKUP($AD33,INDIRECT("'"&amp;$B33&amp;"'!"&amp;"$P$39:$AD$42"),12,FALSE)</f>
        <v>0</v>
      </c>
      <c r="Z33" s="81">
        <f ca="1">VLOOKUP($AD33,INDIRECT("'"&amp;$B33&amp;"'!"&amp;"$P$39:$AD$42"),13,FALSE)</f>
        <v>0</v>
      </c>
      <c r="AA33" s="81">
        <f ca="1">VLOOKUP($AD33,INDIRECT("'"&amp;$B33&amp;"'!"&amp;"$P$39:$AD$42"),14,FALSE)</f>
        <v>0</v>
      </c>
      <c r="AB33" s="81">
        <f ca="1">VLOOKUP($AD33,INDIRECT("'"&amp;$B33&amp;"'!"&amp;"$P$39:$AD$42"),15,FALSE)</f>
        <v>0</v>
      </c>
      <c r="AD33" s="81">
        <v>2020</v>
      </c>
      <c r="AE33" s="81"/>
      <c r="AF33" s="220"/>
      <c r="AI33" s="224">
        <v>12</v>
      </c>
    </row>
    <row r="34" spans="2:36">
      <c r="B34" s="357" t="s">
        <v>1000</v>
      </c>
      <c r="D34" s="212"/>
      <c r="E34" s="261"/>
      <c r="F34" s="224" t="s">
        <v>1149</v>
      </c>
      <c r="G34" s="173" t="str">
        <f>$AI$20</f>
        <v>INDRWH</v>
      </c>
      <c r="H34" s="174"/>
      <c r="I34" s="174"/>
      <c r="K34" s="81"/>
      <c r="L34" s="333"/>
      <c r="M34" s="199"/>
      <c r="N34" s="81"/>
      <c r="O34" s="723"/>
      <c r="P34" s="723"/>
      <c r="Q34" s="81"/>
      <c r="R34" s="200"/>
      <c r="S34" s="772"/>
      <c r="T34" s="772"/>
      <c r="U34" s="199">
        <f ca="1">1-U33</f>
        <v>0.63636363636363635</v>
      </c>
      <c r="V34" s="772"/>
      <c r="W34" s="298"/>
      <c r="X34" s="698"/>
      <c r="Y34" s="81"/>
      <c r="Z34" s="81"/>
      <c r="AA34" s="81"/>
      <c r="AB34" s="81"/>
      <c r="AD34" s="81"/>
      <c r="AE34" s="81"/>
      <c r="AF34" s="220"/>
      <c r="AI34" s="224">
        <v>13</v>
      </c>
      <c r="AJ34" s="224" t="s">
        <v>719</v>
      </c>
    </row>
    <row r="35" spans="2:36">
      <c r="B35" s="357" t="s">
        <v>1000</v>
      </c>
      <c r="D35" s="212"/>
      <c r="E35" s="212"/>
      <c r="F35" s="224" t="s">
        <v>1149</v>
      </c>
      <c r="G35" s="173" t="s">
        <v>499</v>
      </c>
      <c r="H35" s="174" t="str">
        <f>$AI$14</f>
        <v>IRDPH</v>
      </c>
      <c r="I35" s="174"/>
      <c r="J35" s="224">
        <f t="shared" ref="J35" si="8">AD35</f>
        <v>2030</v>
      </c>
      <c r="K35" s="81"/>
      <c r="L35" s="333">
        <v>1</v>
      </c>
      <c r="M35" s="199">
        <f ca="1">VLOOKUP($AD35,INDIRECT("'"&amp;$B35&amp;"'!"&amp;"$P$39:$AD$42"),3,FALSE)</f>
        <v>2.875</v>
      </c>
      <c r="N35" s="81"/>
      <c r="O35" s="723">
        <f ca="1">VLOOKUP($AD35,INDIRECT("'"&amp;$B35&amp;"'!"&amp;"$P$39:$AD$42"),6,FALSE)/1000</f>
        <v>6.3822660000000013</v>
      </c>
      <c r="P35" s="723">
        <f ca="1">VLOOKUP($AD35,INDIRECT("'"&amp;$B35&amp;"'!"&amp;"$P$39:$AD$42"),7,FALSE)/1000</f>
        <v>6.4814999999999994E-3</v>
      </c>
      <c r="Q35" s="81">
        <f ca="1">VLOOKUP($AD35,INDIRECT("'"&amp;$B35&amp;"'!"&amp;"$P$39:$AD$42"),8,FALSE)</f>
        <v>6.6222222222222227</v>
      </c>
      <c r="R35" s="300"/>
      <c r="S35" s="300"/>
      <c r="T35" s="300"/>
      <c r="U35" s="199">
        <f ca="1">1/M35</f>
        <v>0.34782608695652173</v>
      </c>
      <c r="V35" s="199"/>
      <c r="W35" s="298"/>
      <c r="X35" s="698">
        <f ca="1">IF(VLOOKUP($AD35,INDIRECT("'"&amp;$B35&amp;"'!"&amp;"$P$39:$AD$42"),11,FALSE)="Cf. the utilized electricity",0,VLOOKUP($AD35,INDIRECT("'"&amp;$B35&amp;"'!"&amp;"$P$39:$AD$42"),11,FALSE))</f>
        <v>0</v>
      </c>
      <c r="Y35" s="81">
        <f ca="1">VLOOKUP($AD35,INDIRECT("'"&amp;$B35&amp;"'!"&amp;"$P$39:$AD$42"),12,FALSE)</f>
        <v>0</v>
      </c>
      <c r="Z35" s="81">
        <f ca="1">VLOOKUP($AD35,INDIRECT("'"&amp;$B35&amp;"'!"&amp;"$P$39:$AD$42"),13,FALSE)</f>
        <v>0</v>
      </c>
      <c r="AA35" s="81">
        <f ca="1">VLOOKUP($AD35,INDIRECT("'"&amp;$B35&amp;"'!"&amp;"$P$39:$AD$42"),14,FALSE)</f>
        <v>0</v>
      </c>
      <c r="AB35" s="81">
        <f ca="1">VLOOKUP($AD35,INDIRECT("'"&amp;$B35&amp;"'!"&amp;"$P$39:$AD$42"),15,FALSE)</f>
        <v>0</v>
      </c>
      <c r="AD35" s="81">
        <v>2030</v>
      </c>
      <c r="AE35" s="81"/>
      <c r="AF35" s="220"/>
      <c r="AI35" s="224">
        <v>14</v>
      </c>
    </row>
    <row r="36" spans="2:36">
      <c r="B36" s="357" t="s">
        <v>1000</v>
      </c>
      <c r="D36" s="212"/>
      <c r="E36" s="212"/>
      <c r="F36" s="224" t="s">
        <v>1149</v>
      </c>
      <c r="G36" s="173" t="str">
        <f>$AI$20</f>
        <v>INDRWH</v>
      </c>
      <c r="H36" s="174"/>
      <c r="I36" s="174"/>
      <c r="K36" s="81"/>
      <c r="L36" s="333"/>
      <c r="M36" s="199"/>
      <c r="N36" s="81"/>
      <c r="O36" s="723"/>
      <c r="P36" s="723"/>
      <c r="Q36" s="81"/>
      <c r="R36" s="300"/>
      <c r="S36" s="300"/>
      <c r="T36" s="300"/>
      <c r="U36" s="199">
        <f ca="1">1-U35</f>
        <v>0.65217391304347827</v>
      </c>
      <c r="V36" s="300"/>
      <c r="W36" s="298"/>
      <c r="X36" s="698"/>
      <c r="Y36" s="81"/>
      <c r="Z36" s="81"/>
      <c r="AA36" s="81"/>
      <c r="AB36" s="81"/>
      <c r="AD36" s="81"/>
      <c r="AE36" s="81"/>
      <c r="AF36" s="220"/>
    </row>
    <row r="37" spans="2:36">
      <c r="B37" s="357" t="s">
        <v>1000</v>
      </c>
      <c r="D37" s="212"/>
      <c r="E37" s="212"/>
      <c r="F37" s="224" t="s">
        <v>1149</v>
      </c>
      <c r="G37" s="173" t="s">
        <v>499</v>
      </c>
      <c r="H37" s="174" t="str">
        <f>$AI$14</f>
        <v>IRDPH</v>
      </c>
      <c r="I37" s="174"/>
      <c r="J37" s="224">
        <f t="shared" ref="J37" si="9">AD37</f>
        <v>2050</v>
      </c>
      <c r="K37" s="81"/>
      <c r="L37" s="333">
        <v>1</v>
      </c>
      <c r="M37" s="199">
        <f ca="1">VLOOKUP($AD37,INDIRECT("'"&amp;$B37&amp;"'!"&amp;"$P$39:$AD$42"),3,FALSE)</f>
        <v>3.0249999999999999</v>
      </c>
      <c r="N37" s="81"/>
      <c r="O37" s="723">
        <f ca="1">VLOOKUP($AD37,INDIRECT("'"&amp;$B37&amp;"'!"&amp;"$P$39:$AD$42"),6,FALSE)/1000</f>
        <v>5.7365000000000004</v>
      </c>
      <c r="P37" s="723">
        <f ca="1">VLOOKUP($AD37,INDIRECT("'"&amp;$B37&amp;"'!"&amp;"$P$39:$AD$42"),7,FALSE)/1000</f>
        <v>5.3639999999999998E-3</v>
      </c>
      <c r="Q37" s="81">
        <f ca="1">VLOOKUP($AD37,INDIRECT("'"&amp;$B37&amp;"'!"&amp;"$P$39:$AD$42"),8,FALSE)</f>
        <v>6.4566666666666661</v>
      </c>
      <c r="R37" s="300"/>
      <c r="S37" s="300"/>
      <c r="T37" s="300"/>
      <c r="U37" s="199">
        <f ca="1">1/M37</f>
        <v>0.33057851239669422</v>
      </c>
      <c r="V37" s="199"/>
      <c r="W37" s="298"/>
      <c r="X37" s="698">
        <f ca="1">IF(VLOOKUP($AD37,INDIRECT("'"&amp;$B37&amp;"'!"&amp;"$P$39:$AD$42"),11,FALSE)="Cf. the utilized electricity",0,VLOOKUP($AD37,INDIRECT("'"&amp;$B37&amp;"'!"&amp;"$P$39:$AD$42"),11,FALSE))</f>
        <v>0</v>
      </c>
      <c r="Y37" s="81">
        <f ca="1">VLOOKUP($AD37,INDIRECT("'"&amp;$B37&amp;"'!"&amp;"$P$39:$AD$42"),12,FALSE)</f>
        <v>0</v>
      </c>
      <c r="Z37" s="81">
        <f ca="1">VLOOKUP($AD37,INDIRECT("'"&amp;$B37&amp;"'!"&amp;"$P$39:$AD$42"),13,FALSE)</f>
        <v>0</v>
      </c>
      <c r="AA37" s="81">
        <f ca="1">VLOOKUP($AD37,INDIRECT("'"&amp;$B37&amp;"'!"&amp;"$P$39:$AD$42"),14,FALSE)</f>
        <v>0</v>
      </c>
      <c r="AB37" s="81">
        <f ca="1">VLOOKUP($AD37,INDIRECT("'"&amp;$B37&amp;"'!"&amp;"$P$39:$AD$42"),15,FALSE)</f>
        <v>0</v>
      </c>
      <c r="AD37" s="81">
        <v>2050</v>
      </c>
      <c r="AE37" s="81"/>
      <c r="AF37" s="220"/>
    </row>
    <row r="38" spans="2:36">
      <c r="B38" s="357" t="s">
        <v>1000</v>
      </c>
      <c r="D38" s="212"/>
      <c r="E38" s="212"/>
      <c r="F38" s="224" t="s">
        <v>1149</v>
      </c>
      <c r="G38" s="173" t="str">
        <f>$AI$20</f>
        <v>INDRWH</v>
      </c>
      <c r="H38" s="174"/>
      <c r="I38" s="174"/>
      <c r="K38" s="81"/>
      <c r="L38" s="333"/>
      <c r="M38" s="199"/>
      <c r="N38" s="81"/>
      <c r="O38" s="723"/>
      <c r="P38" s="723"/>
      <c r="Q38" s="81"/>
      <c r="R38" s="300"/>
      <c r="S38" s="300"/>
      <c r="T38" s="300"/>
      <c r="U38" s="199">
        <f ca="1">1-U37</f>
        <v>0.66942148760330578</v>
      </c>
      <c r="V38" s="300"/>
      <c r="W38" s="298"/>
      <c r="X38" s="698"/>
      <c r="Y38" s="81"/>
      <c r="Z38" s="81"/>
      <c r="AA38" s="81"/>
      <c r="AB38" s="81"/>
      <c r="AD38" s="81"/>
      <c r="AE38" s="81"/>
      <c r="AF38" s="220"/>
    </row>
    <row r="39" spans="2:36">
      <c r="B39" s="357" t="s">
        <v>1000</v>
      </c>
      <c r="D39" s="212" t="str">
        <f>"IND"&amp;RIGHT(H39,4)&amp;RIGHT(G39,3)&amp;"N"&amp;RIGHT(E39,1)</f>
        <v>INDRDSHELCN3</v>
      </c>
      <c r="E39" s="261" t="str">
        <f>"Industrial heating technology "&amp;$AJ$12&amp;" "&amp;RIGHT(H39,2)&amp;" - High Temp abs. Heat pump utilizing waste heat - new 3"</f>
        <v>Industrial heating technology Paper &amp; Pulp SH - High Temp abs. Heat pump utilizing waste heat - new 3</v>
      </c>
      <c r="F39" s="224" t="s">
        <v>1149</v>
      </c>
      <c r="G39" s="173" t="s">
        <v>499</v>
      </c>
      <c r="H39" s="174" t="str">
        <f>$AI$15</f>
        <v>IRDSH</v>
      </c>
      <c r="I39" s="174"/>
      <c r="J39" s="224">
        <f t="shared" ref="J39" si="10">AD39</f>
        <v>2020</v>
      </c>
      <c r="K39" s="81">
        <v>2020</v>
      </c>
      <c r="L39" s="333">
        <v>1</v>
      </c>
      <c r="M39" s="199">
        <f ca="1">VLOOKUP($AD39,INDIRECT("'"&amp;$B39&amp;"'!"&amp;"$P$39:$AD$42"),3,FALSE)</f>
        <v>2.75</v>
      </c>
      <c r="N39" s="81">
        <f ca="1">VLOOKUP($AD39,INDIRECT("'"&amp;$B39&amp;"'!"&amp;"$P$39:$AD$42"),5,FALSE)</f>
        <v>20</v>
      </c>
      <c r="O39" s="723">
        <f ca="1">VLOOKUP($AD39,INDIRECT("'"&amp;$B39&amp;"'!"&amp;"$P$39:$AD$42"),6,FALSE)/1000</f>
        <v>7.1394840000000004</v>
      </c>
      <c r="P39" s="723">
        <f ca="1">VLOOKUP($AD39,INDIRECT("'"&amp;$B39&amp;"'!"&amp;"$P$39:$AD$42"),7,FALSE)/1000</f>
        <v>7.2264999999999994E-3</v>
      </c>
      <c r="Q39" s="81">
        <f ca="1">VLOOKUP($AD39,INDIRECT("'"&amp;$B39&amp;"'!"&amp;"$P$39:$AD$42"),8,FALSE)</f>
        <v>6.7463888888888883</v>
      </c>
      <c r="R39" s="81">
        <v>3.1536000000000002E-2</v>
      </c>
      <c r="S39" s="199">
        <v>0.5</v>
      </c>
      <c r="T39" s="199">
        <f ca="1">HLOOKUP($T$2,INDIRECT("'"&amp;$B39&amp;"'!"&amp;"$P$6:$AC$19"),IF(H39=$AI$13,6,IF(H39=$AI$14,9,14)),FALSE)</f>
        <v>1</v>
      </c>
      <c r="U39" s="199">
        <f ca="1">1/M39</f>
        <v>0.36363636363636365</v>
      </c>
      <c r="V39" s="199"/>
      <c r="W39" s="298"/>
      <c r="X39" s="698">
        <f ca="1">IF(VLOOKUP($AD39,INDIRECT("'"&amp;$B39&amp;"'!"&amp;"$P$39:$AD$42"),11,FALSE)="Cf. the utilized electricity",0,VLOOKUP($AD39,INDIRECT("'"&amp;$B39&amp;"'!"&amp;"$P$39:$AD$42"),11,FALSE))</f>
        <v>0</v>
      </c>
      <c r="Y39" s="81">
        <f ca="1">VLOOKUP($AD39,INDIRECT("'"&amp;$B39&amp;"'!"&amp;"$P$39:$AD$42"),12,FALSE)</f>
        <v>0</v>
      </c>
      <c r="Z39" s="81">
        <f ca="1">VLOOKUP($AD39,INDIRECT("'"&amp;$B39&amp;"'!"&amp;"$P$39:$AD$42"),13,FALSE)</f>
        <v>0</v>
      </c>
      <c r="AA39" s="81">
        <f ca="1">VLOOKUP($AD39,INDIRECT("'"&amp;$B39&amp;"'!"&amp;"$P$39:$AD$42"),14,FALSE)</f>
        <v>0</v>
      </c>
      <c r="AB39" s="81">
        <f ca="1">VLOOKUP($AD39,INDIRECT("'"&amp;$B39&amp;"'!"&amp;"$P$39:$AD$42"),15,FALSE)</f>
        <v>0</v>
      </c>
      <c r="AD39" s="81">
        <v>2020</v>
      </c>
      <c r="AE39" s="81"/>
      <c r="AF39" s="220"/>
    </row>
    <row r="40" spans="2:36">
      <c r="B40" s="357" t="s">
        <v>1000</v>
      </c>
      <c r="D40" s="212"/>
      <c r="E40" s="261"/>
      <c r="F40" s="224" t="s">
        <v>1149</v>
      </c>
      <c r="G40" s="173" t="str">
        <f>$AI$20</f>
        <v>INDRWH</v>
      </c>
      <c r="H40" s="174"/>
      <c r="I40" s="174"/>
      <c r="K40" s="81"/>
      <c r="L40" s="333"/>
      <c r="M40" s="199"/>
      <c r="N40" s="81"/>
      <c r="O40" s="723"/>
      <c r="P40" s="723"/>
      <c r="Q40" s="81"/>
      <c r="R40" s="200"/>
      <c r="S40" s="772"/>
      <c r="T40" s="772"/>
      <c r="U40" s="199">
        <f ca="1">1-U39</f>
        <v>0.63636363636363635</v>
      </c>
      <c r="V40" s="772"/>
      <c r="W40" s="298"/>
      <c r="X40" s="698"/>
      <c r="Y40" s="81"/>
      <c r="Z40" s="81"/>
      <c r="AA40" s="81"/>
      <c r="AB40" s="81"/>
      <c r="AD40" s="81"/>
      <c r="AE40" s="81"/>
      <c r="AF40" s="220"/>
    </row>
    <row r="41" spans="2:36">
      <c r="B41" s="357" t="s">
        <v>1000</v>
      </c>
      <c r="D41" s="212"/>
      <c r="E41" s="212"/>
      <c r="F41" s="224" t="s">
        <v>1149</v>
      </c>
      <c r="G41" s="173" t="s">
        <v>499</v>
      </c>
      <c r="H41" s="174" t="str">
        <f>$AI$15</f>
        <v>IRDSH</v>
      </c>
      <c r="I41" s="174"/>
      <c r="J41" s="224">
        <f t="shared" ref="J41" si="11">AD41</f>
        <v>2030</v>
      </c>
      <c r="K41" s="81"/>
      <c r="L41" s="333">
        <v>1</v>
      </c>
      <c r="M41" s="199">
        <f ca="1">VLOOKUP($AD41,INDIRECT("'"&amp;$B41&amp;"'!"&amp;"$P$39:$AD$42"),3,FALSE)</f>
        <v>2.875</v>
      </c>
      <c r="N41" s="81"/>
      <c r="O41" s="723">
        <f ca="1">VLOOKUP($AD41,INDIRECT("'"&amp;$B41&amp;"'!"&amp;"$P$39:$AD$42"),6,FALSE)/1000</f>
        <v>6.3822660000000013</v>
      </c>
      <c r="P41" s="723">
        <f ca="1">VLOOKUP($AD41,INDIRECT("'"&amp;$B41&amp;"'!"&amp;"$P$39:$AD$42"),7,FALSE)/1000</f>
        <v>6.4814999999999994E-3</v>
      </c>
      <c r="Q41" s="81">
        <f ca="1">VLOOKUP($AD41,INDIRECT("'"&amp;$B41&amp;"'!"&amp;"$P$39:$AD$42"),8,FALSE)</f>
        <v>6.6222222222222227</v>
      </c>
      <c r="R41" s="300"/>
      <c r="S41" s="300"/>
      <c r="T41" s="300"/>
      <c r="U41" s="199">
        <f ca="1">1/M41</f>
        <v>0.34782608695652173</v>
      </c>
      <c r="V41" s="199"/>
      <c r="W41" s="298"/>
      <c r="X41" s="698">
        <f ca="1">IF(VLOOKUP($AD41,INDIRECT("'"&amp;$B41&amp;"'!"&amp;"$P$39:$AD$42"),11,FALSE)="Cf. the utilized electricity",0,VLOOKUP($AD41,INDIRECT("'"&amp;$B41&amp;"'!"&amp;"$P$39:$AD$42"),11,FALSE))</f>
        <v>0</v>
      </c>
      <c r="Y41" s="81">
        <f ca="1">VLOOKUP($AD41,INDIRECT("'"&amp;$B41&amp;"'!"&amp;"$P$39:$AD$42"),12,FALSE)</f>
        <v>0</v>
      </c>
      <c r="Z41" s="81">
        <f ca="1">VLOOKUP($AD41,INDIRECT("'"&amp;$B41&amp;"'!"&amp;"$P$39:$AD$42"),13,FALSE)</f>
        <v>0</v>
      </c>
      <c r="AA41" s="81">
        <f ca="1">VLOOKUP($AD41,INDIRECT("'"&amp;$B41&amp;"'!"&amp;"$P$39:$AD$42"),14,FALSE)</f>
        <v>0</v>
      </c>
      <c r="AB41" s="81">
        <f ca="1">VLOOKUP($AD41,INDIRECT("'"&amp;$B41&amp;"'!"&amp;"$P$39:$AD$42"),15,FALSE)</f>
        <v>0</v>
      </c>
      <c r="AD41" s="81">
        <v>2030</v>
      </c>
      <c r="AE41" s="81"/>
      <c r="AF41" s="220"/>
    </row>
    <row r="42" spans="2:36">
      <c r="B42" s="357" t="s">
        <v>1000</v>
      </c>
      <c r="D42" s="212"/>
      <c r="E42" s="212"/>
      <c r="F42" s="224" t="s">
        <v>1149</v>
      </c>
      <c r="G42" s="173" t="str">
        <f>$AI$20</f>
        <v>INDRWH</v>
      </c>
      <c r="H42" s="174"/>
      <c r="I42" s="174"/>
      <c r="K42" s="81"/>
      <c r="L42" s="333"/>
      <c r="M42" s="199"/>
      <c r="N42" s="81"/>
      <c r="O42" s="723"/>
      <c r="P42" s="723"/>
      <c r="Q42" s="81"/>
      <c r="R42" s="300"/>
      <c r="S42" s="300"/>
      <c r="T42" s="300"/>
      <c r="U42" s="199">
        <f ca="1">1-U41</f>
        <v>0.65217391304347827</v>
      </c>
      <c r="V42" s="300"/>
      <c r="W42" s="298"/>
      <c r="X42" s="698"/>
      <c r="Y42" s="81"/>
      <c r="Z42" s="81"/>
      <c r="AA42" s="81"/>
      <c r="AB42" s="81"/>
      <c r="AD42" s="81"/>
      <c r="AE42" s="81"/>
      <c r="AF42" s="220"/>
    </row>
    <row r="43" spans="2:36">
      <c r="B43" s="357" t="s">
        <v>1000</v>
      </c>
      <c r="D43" s="212"/>
      <c r="E43" s="212"/>
      <c r="F43" s="224" t="s">
        <v>1149</v>
      </c>
      <c r="G43" s="173" t="s">
        <v>499</v>
      </c>
      <c r="H43" s="174" t="str">
        <f>$AI$15</f>
        <v>IRDSH</v>
      </c>
      <c r="I43" s="174"/>
      <c r="J43" s="224">
        <f t="shared" ref="J43" si="12">AD43</f>
        <v>2050</v>
      </c>
      <c r="K43" s="81"/>
      <c r="L43" s="333">
        <v>1</v>
      </c>
      <c r="M43" s="199">
        <f ca="1">VLOOKUP($AD43,INDIRECT("'"&amp;$B43&amp;"'!"&amp;"$P$39:$AD$42"),3,FALSE)</f>
        <v>3.0249999999999999</v>
      </c>
      <c r="N43" s="81"/>
      <c r="O43" s="723">
        <f ca="1">VLOOKUP($AD43,INDIRECT("'"&amp;$B43&amp;"'!"&amp;"$P$39:$AD$42"),6,FALSE)/1000</f>
        <v>5.7365000000000004</v>
      </c>
      <c r="P43" s="723">
        <f ca="1">VLOOKUP($AD43,INDIRECT("'"&amp;$B43&amp;"'!"&amp;"$P$39:$AD$42"),7,FALSE)/1000</f>
        <v>5.3639999999999998E-3</v>
      </c>
      <c r="Q43" s="81">
        <f ca="1">VLOOKUP($AD43,INDIRECT("'"&amp;$B43&amp;"'!"&amp;"$P$39:$AD$42"),8,FALSE)</f>
        <v>6.4566666666666661</v>
      </c>
      <c r="R43" s="300"/>
      <c r="S43" s="300"/>
      <c r="T43" s="300"/>
      <c r="U43" s="199">
        <f ca="1">1/M43</f>
        <v>0.33057851239669422</v>
      </c>
      <c r="V43" s="199"/>
      <c r="W43" s="298"/>
      <c r="X43" s="698">
        <f ca="1">IF(VLOOKUP($AD43,INDIRECT("'"&amp;$B43&amp;"'!"&amp;"$P$39:$AD$42"),11,FALSE)="Cf. the utilized electricity",0,VLOOKUP($AD43,INDIRECT("'"&amp;$B43&amp;"'!"&amp;"$P$39:$AD$42"),11,FALSE))</f>
        <v>0</v>
      </c>
      <c r="Y43" s="81">
        <f ca="1">VLOOKUP($AD43,INDIRECT("'"&amp;$B43&amp;"'!"&amp;"$P$39:$AD$42"),12,FALSE)</f>
        <v>0</v>
      </c>
      <c r="Z43" s="81">
        <f ca="1">VLOOKUP($AD43,INDIRECT("'"&amp;$B43&amp;"'!"&amp;"$P$39:$AD$42"),13,FALSE)</f>
        <v>0</v>
      </c>
      <c r="AA43" s="81">
        <f ca="1">VLOOKUP($AD43,INDIRECT("'"&amp;$B43&amp;"'!"&amp;"$P$39:$AD$42"),14,FALSE)</f>
        <v>0</v>
      </c>
      <c r="AB43" s="81">
        <f ca="1">VLOOKUP($AD43,INDIRECT("'"&amp;$B43&amp;"'!"&amp;"$P$39:$AD$42"),15,FALSE)</f>
        <v>0</v>
      </c>
      <c r="AD43" s="81">
        <v>2050</v>
      </c>
      <c r="AE43" s="81"/>
      <c r="AF43" s="220"/>
    </row>
    <row r="44" spans="2:36">
      <c r="B44" s="357" t="s">
        <v>1000</v>
      </c>
      <c r="D44" s="212"/>
      <c r="E44" s="212"/>
      <c r="F44" s="224" t="s">
        <v>1149</v>
      </c>
      <c r="G44" s="173" t="str">
        <f>$AI$20</f>
        <v>INDRWH</v>
      </c>
      <c r="H44" s="174"/>
      <c r="I44" s="174"/>
      <c r="K44" s="81"/>
      <c r="L44" s="333"/>
      <c r="M44" s="199"/>
      <c r="N44" s="81"/>
      <c r="O44" s="723"/>
      <c r="P44" s="723"/>
      <c r="Q44" s="81"/>
      <c r="R44" s="300"/>
      <c r="S44" s="300"/>
      <c r="T44" s="300"/>
      <c r="U44" s="199">
        <f ca="1">1-U43</f>
        <v>0.66942148760330578</v>
      </c>
      <c r="V44" s="300"/>
      <c r="W44" s="298"/>
      <c r="X44" s="698"/>
      <c r="Y44" s="81"/>
      <c r="Z44" s="81"/>
      <c r="AA44" s="81"/>
      <c r="AB44" s="81"/>
      <c r="AD44" s="81"/>
      <c r="AE44" s="81"/>
      <c r="AF44" s="220"/>
    </row>
    <row r="45" spans="2:36">
      <c r="B45" s="357" t="s">
        <v>1001</v>
      </c>
      <c r="D45" s="212" t="str">
        <f>"IND"&amp;RIGHT(H45,4)&amp;RIGHT(G45,3)&amp;"N"&amp;RIGHT(E45,1)</f>
        <v>INDRDPHELCN4</v>
      </c>
      <c r="E45" s="261" t="str">
        <f>"Industrial heating technology "&amp;$AJ$12&amp;" "&amp;RIGHT(H45,2)&amp;" - Booster Heat pump utilizing waste heat - new 4"</f>
        <v>Industrial heating technology Paper &amp; Pulp PH - Booster Heat pump utilizing waste heat - new 4</v>
      </c>
      <c r="F45" s="224" t="s">
        <v>1149</v>
      </c>
      <c r="G45" s="173" t="s">
        <v>499</v>
      </c>
      <c r="H45" s="174" t="str">
        <f>$AI$14</f>
        <v>IRDPH</v>
      </c>
      <c r="I45" s="174"/>
      <c r="J45" s="224">
        <f t="shared" ref="J45" si="13">AD45</f>
        <v>2020</v>
      </c>
      <c r="K45" s="81">
        <v>2020</v>
      </c>
      <c r="L45" s="333">
        <v>1</v>
      </c>
      <c r="M45" s="199">
        <f ca="1">VLOOKUP($AD45,INDIRECT("'"&amp;$B45&amp;"'!"&amp;"$P$39:$AD$42"),3,FALSE)</f>
        <v>1.93</v>
      </c>
      <c r="N45" s="81">
        <f ca="1">VLOOKUP($AD45,INDIRECT("'"&amp;$B45&amp;"'!"&amp;"$P$39:$AD$42"),5,FALSE)</f>
        <v>20</v>
      </c>
      <c r="O45" s="723">
        <f ca="1">VLOOKUP($AD45,INDIRECT("'"&amp;$B45&amp;"'!"&amp;"$P$39:$AD$42"),6,FALSE)/1000</f>
        <v>12.158890687341184</v>
      </c>
      <c r="P45" s="723">
        <f ca="1">VLOOKUP($AD45,INDIRECT("'"&amp;$B45&amp;"'!"&amp;"$P$39:$AD$42"),7,FALSE)/1000</f>
        <v>1.49E-2</v>
      </c>
      <c r="Q45" s="81">
        <f ca="1">VLOOKUP($AD45,INDIRECT("'"&amp;$B45&amp;"'!"&amp;"$P$39:$AD$42"),8,FALSE)</f>
        <v>7.1188888888888897</v>
      </c>
      <c r="R45" s="81">
        <v>3.1536000000000002E-2</v>
      </c>
      <c r="S45" s="199">
        <v>0.5</v>
      </c>
      <c r="T45" s="199">
        <f ca="1">HLOOKUP($T$2,INDIRECT("'"&amp;$B45&amp;"'!"&amp;"$P$6:$AC$19"),IF(H45=$AI$13,6,IF(H45=$AI$14,9,14)),FALSE)-T9</f>
        <v>0</v>
      </c>
      <c r="U45" s="199">
        <f ca="1">1/M45</f>
        <v>0.5181347150259068</v>
      </c>
      <c r="V45" s="199"/>
      <c r="W45" s="298"/>
      <c r="X45" s="698">
        <f ca="1">IF(VLOOKUP($AD45,INDIRECT("'"&amp;$B45&amp;"'!"&amp;"$P$39:$AD$42"),11,FALSE)="Cf. the utilized electricity",0,VLOOKUP($AD45,INDIRECT("'"&amp;$B45&amp;"'!"&amp;"$P$39:$AD$42"),11,FALSE))</f>
        <v>0</v>
      </c>
      <c r="Y45" s="81">
        <f ca="1">VLOOKUP($AD45,INDIRECT("'"&amp;$B45&amp;"'!"&amp;"$P$39:$AD$42"),12,FALSE)</f>
        <v>0</v>
      </c>
      <c r="Z45" s="81">
        <f ca="1">VLOOKUP($AD45,INDIRECT("'"&amp;$B45&amp;"'!"&amp;"$P$39:$AD$42"),13,FALSE)</f>
        <v>0</v>
      </c>
      <c r="AA45" s="81">
        <f ca="1">VLOOKUP($AD45,INDIRECT("'"&amp;$B45&amp;"'!"&amp;"$P$39:$AD$42"),14,FALSE)</f>
        <v>0</v>
      </c>
      <c r="AB45" s="81">
        <f ca="1">VLOOKUP($AD45,INDIRECT("'"&amp;$B45&amp;"'!"&amp;"$P$39:$AD$42"),15,FALSE)</f>
        <v>0</v>
      </c>
      <c r="AD45" s="81">
        <v>2020</v>
      </c>
      <c r="AE45" s="81"/>
      <c r="AF45" s="220"/>
    </row>
    <row r="46" spans="2:36">
      <c r="B46" s="357" t="s">
        <v>1001</v>
      </c>
      <c r="D46" s="212"/>
      <c r="E46" s="261"/>
      <c r="F46" s="224" t="s">
        <v>1149</v>
      </c>
      <c r="G46" s="173" t="str">
        <f>$AI$20</f>
        <v>INDRWH</v>
      </c>
      <c r="H46" s="174"/>
      <c r="I46" s="174"/>
      <c r="K46" s="81"/>
      <c r="L46" s="333"/>
      <c r="M46" s="199"/>
      <c r="N46" s="81"/>
      <c r="O46" s="723"/>
      <c r="P46" s="723"/>
      <c r="Q46" s="81"/>
      <c r="R46" s="200"/>
      <c r="S46" s="772"/>
      <c r="T46" s="772"/>
      <c r="U46" s="199">
        <f ca="1">1-U45</f>
        <v>0.4818652849740932</v>
      </c>
      <c r="V46" s="772"/>
      <c r="W46" s="298"/>
      <c r="X46" s="698"/>
      <c r="Y46" s="81"/>
      <c r="Z46" s="81"/>
      <c r="AA46" s="81"/>
      <c r="AB46" s="81"/>
      <c r="AD46" s="81"/>
      <c r="AE46" s="81"/>
      <c r="AF46" s="220"/>
    </row>
    <row r="47" spans="2:36">
      <c r="B47" s="357" t="s">
        <v>1001</v>
      </c>
      <c r="D47" s="212"/>
      <c r="E47" s="212"/>
      <c r="F47" s="224" t="s">
        <v>1149</v>
      </c>
      <c r="G47" s="173" t="s">
        <v>499</v>
      </c>
      <c r="H47" s="174" t="str">
        <f>$AI$14</f>
        <v>IRDPH</v>
      </c>
      <c r="I47" s="174"/>
      <c r="J47" s="224">
        <f t="shared" ref="J47" si="14">AD47</f>
        <v>2030</v>
      </c>
      <c r="K47" s="81"/>
      <c r="L47" s="333">
        <v>1</v>
      </c>
      <c r="M47" s="199">
        <f ca="1">VLOOKUP($AD47,INDIRECT("'"&amp;$B47&amp;"'!"&amp;"$P$39:$AD$42"),3,FALSE)</f>
        <v>1.9894000000000001</v>
      </c>
      <c r="N47" s="81"/>
      <c r="O47" s="723">
        <f ca="1">VLOOKUP($AD47,INDIRECT("'"&amp;$B47&amp;"'!"&amp;"$P$39:$AD$42"),6,FALSE)/1000</f>
        <v>9.8570539139933757</v>
      </c>
      <c r="P47" s="723">
        <f ca="1">VLOOKUP($AD47,INDIRECT("'"&amp;$B47&amp;"'!"&amp;"$P$39:$AD$42"),7,FALSE)/1000</f>
        <v>1.49E-2</v>
      </c>
      <c r="Q47" s="81">
        <f ca="1">VLOOKUP($AD47,INDIRECT("'"&amp;$B47&amp;"'!"&amp;"$P$39:$AD$42"),8,FALSE)</f>
        <v>6.9740277777777777</v>
      </c>
      <c r="R47" s="300"/>
      <c r="S47" s="300"/>
      <c r="T47" s="300"/>
      <c r="U47" s="199">
        <f ca="1">1/M47</f>
        <v>0.50266411983512616</v>
      </c>
      <c r="V47" s="199"/>
      <c r="W47" s="298"/>
      <c r="X47" s="698">
        <f ca="1">IF(VLOOKUP($AD47,INDIRECT("'"&amp;$B47&amp;"'!"&amp;"$P$39:$AD$42"),11,FALSE)="Cf. the utilized electricity",0,VLOOKUP($AD47,INDIRECT("'"&amp;$B47&amp;"'!"&amp;"$P$39:$AD$42"),11,FALSE))</f>
        <v>0</v>
      </c>
      <c r="Y47" s="81">
        <f ca="1">VLOOKUP($AD47,INDIRECT("'"&amp;$B47&amp;"'!"&amp;"$P$39:$AD$42"),12,FALSE)</f>
        <v>0</v>
      </c>
      <c r="Z47" s="81">
        <f ca="1">VLOOKUP($AD47,INDIRECT("'"&amp;$B47&amp;"'!"&amp;"$P$39:$AD$42"),13,FALSE)</f>
        <v>0</v>
      </c>
      <c r="AA47" s="81">
        <f ca="1">VLOOKUP($AD47,INDIRECT("'"&amp;$B47&amp;"'!"&amp;"$P$39:$AD$42"),14,FALSE)</f>
        <v>0</v>
      </c>
      <c r="AB47" s="81">
        <f ca="1">VLOOKUP($AD47,INDIRECT("'"&amp;$B47&amp;"'!"&amp;"$P$39:$AD$42"),15,FALSE)</f>
        <v>0</v>
      </c>
      <c r="AD47" s="81">
        <v>2030</v>
      </c>
      <c r="AE47" s="81"/>
      <c r="AF47" s="220"/>
    </row>
    <row r="48" spans="2:36">
      <c r="B48" s="357" t="s">
        <v>1001</v>
      </c>
      <c r="D48" s="212"/>
      <c r="E48" s="212"/>
      <c r="F48" s="224" t="s">
        <v>1149</v>
      </c>
      <c r="G48" s="173" t="str">
        <f>$AI$20</f>
        <v>INDRWH</v>
      </c>
      <c r="H48" s="174"/>
      <c r="I48" s="174"/>
      <c r="K48" s="81"/>
      <c r="L48" s="333"/>
      <c r="M48" s="199"/>
      <c r="N48" s="81"/>
      <c r="O48" s="723"/>
      <c r="P48" s="723"/>
      <c r="Q48" s="81"/>
      <c r="R48" s="300"/>
      <c r="S48" s="300"/>
      <c r="T48" s="300"/>
      <c r="U48" s="199">
        <f ca="1">1-U47</f>
        <v>0.49733588016487384</v>
      </c>
      <c r="V48" s="300"/>
      <c r="W48" s="298"/>
      <c r="X48" s="698"/>
      <c r="Y48" s="81"/>
      <c r="Z48" s="81"/>
      <c r="AA48" s="81"/>
      <c r="AB48" s="81"/>
      <c r="AD48" s="81"/>
      <c r="AE48" s="81"/>
      <c r="AF48" s="220"/>
    </row>
    <row r="49" spans="2:32">
      <c r="B49" s="357" t="s">
        <v>1001</v>
      </c>
      <c r="D49" s="212"/>
      <c r="E49" s="212"/>
      <c r="F49" s="224" t="s">
        <v>1149</v>
      </c>
      <c r="G49" s="173" t="s">
        <v>499</v>
      </c>
      <c r="H49" s="174" t="str">
        <f>$AI$14</f>
        <v>IRDPH</v>
      </c>
      <c r="I49" s="174"/>
      <c r="J49" s="224">
        <f t="shared" ref="J49" si="15">AD49</f>
        <v>2050</v>
      </c>
      <c r="K49" s="81"/>
      <c r="L49" s="333">
        <v>1</v>
      </c>
      <c r="M49" s="199">
        <f ca="1">VLOOKUP($AD49,INDIRECT("'"&amp;$B49&amp;"'!"&amp;"$P$39:$AD$42"),3,FALSE)</f>
        <v>2.0509898799999999</v>
      </c>
      <c r="N49" s="81"/>
      <c r="O49" s="723">
        <f ca="1">VLOOKUP($AD49,INDIRECT("'"&amp;$B49&amp;"'!"&amp;"$P$39:$AD$42"),6,FALSE)/1000</f>
        <v>6.955935359434223</v>
      </c>
      <c r="P49" s="723">
        <f ca="1">VLOOKUP($AD49,INDIRECT("'"&amp;$B49&amp;"'!"&amp;"$P$39:$AD$42"),7,FALSE)/1000</f>
        <v>1.49E-2</v>
      </c>
      <c r="Q49" s="81">
        <f ca="1">VLOOKUP($AD49,INDIRECT("'"&amp;$B49&amp;"'!"&amp;"$P$39:$AD$42"),8,FALSE)</f>
        <v>6.7877777777777784</v>
      </c>
      <c r="R49" s="300"/>
      <c r="S49" s="300"/>
      <c r="T49" s="300"/>
      <c r="U49" s="199">
        <f ca="1">1/M49</f>
        <v>0.48756944622271858</v>
      </c>
      <c r="V49" s="199"/>
      <c r="W49" s="298"/>
      <c r="X49" s="698">
        <f ca="1">IF(VLOOKUP($AD49,INDIRECT("'"&amp;$B49&amp;"'!"&amp;"$P$39:$AD$42"),11,FALSE)="Cf. the utilized electricity",0,VLOOKUP($AD49,INDIRECT("'"&amp;$B49&amp;"'!"&amp;"$P$39:$AD$42"),11,FALSE))</f>
        <v>0</v>
      </c>
      <c r="Y49" s="81">
        <f ca="1">VLOOKUP($AD49,INDIRECT("'"&amp;$B49&amp;"'!"&amp;"$P$39:$AD$42"),12,FALSE)</f>
        <v>0</v>
      </c>
      <c r="Z49" s="81">
        <f ca="1">VLOOKUP($AD49,INDIRECT("'"&amp;$B49&amp;"'!"&amp;"$P$39:$AD$42"),13,FALSE)</f>
        <v>0</v>
      </c>
      <c r="AA49" s="81">
        <f ca="1">VLOOKUP($AD49,INDIRECT("'"&amp;$B49&amp;"'!"&amp;"$P$39:$AD$42"),14,FALSE)</f>
        <v>0</v>
      </c>
      <c r="AB49" s="81">
        <f ca="1">VLOOKUP($AD49,INDIRECT("'"&amp;$B49&amp;"'!"&amp;"$P$39:$AD$42"),15,FALSE)</f>
        <v>0</v>
      </c>
      <c r="AD49" s="81">
        <v>2050</v>
      </c>
      <c r="AE49" s="81"/>
      <c r="AF49" s="220"/>
    </row>
    <row r="50" spans="2:32">
      <c r="B50" s="357" t="s">
        <v>1001</v>
      </c>
      <c r="D50" s="212"/>
      <c r="E50" s="212"/>
      <c r="F50" s="224" t="s">
        <v>1149</v>
      </c>
      <c r="G50" s="173" t="str">
        <f>$AI$20</f>
        <v>INDRWH</v>
      </c>
      <c r="H50" s="174"/>
      <c r="I50" s="174"/>
      <c r="K50" s="81"/>
      <c r="L50" s="333"/>
      <c r="M50" s="199"/>
      <c r="N50" s="81"/>
      <c r="O50" s="723"/>
      <c r="P50" s="723"/>
      <c r="Q50" s="81"/>
      <c r="R50" s="300"/>
      <c r="S50" s="300"/>
      <c r="T50" s="300"/>
      <c r="U50" s="199">
        <f ca="1">1-U49</f>
        <v>0.51243055377728142</v>
      </c>
      <c r="V50" s="300"/>
      <c r="W50" s="298"/>
      <c r="X50" s="698"/>
      <c r="Y50" s="81"/>
      <c r="Z50" s="81"/>
      <c r="AA50" s="81"/>
      <c r="AB50" s="81"/>
      <c r="AD50" s="81"/>
      <c r="AE50" s="81"/>
      <c r="AF50" s="220"/>
    </row>
    <row r="51" spans="2:32">
      <c r="B51" s="357" t="s">
        <v>1001</v>
      </c>
      <c r="D51" s="212" t="str">
        <f>"IND"&amp;RIGHT(H51,4)&amp;RIGHT(G51,3)&amp;"N"&amp;RIGHT(E51,1)</f>
        <v>INDRDSHELCN4</v>
      </c>
      <c r="E51" s="261" t="str">
        <f>"Industrial heating technology "&amp;$AJ$12&amp;" "&amp;RIGHT(H51,2)&amp;" - Booster Heat pump utilizing waste heat - new 4"</f>
        <v>Industrial heating technology Paper &amp; Pulp SH - Booster Heat pump utilizing waste heat - new 4</v>
      </c>
      <c r="F51" s="224" t="s">
        <v>1149</v>
      </c>
      <c r="G51" s="173" t="s">
        <v>499</v>
      </c>
      <c r="H51" s="174" t="str">
        <f>$AI$15</f>
        <v>IRDSH</v>
      </c>
      <c r="I51" s="174"/>
      <c r="J51" s="224">
        <f t="shared" ref="J51" si="16">AD51</f>
        <v>2020</v>
      </c>
      <c r="K51" s="81">
        <v>2020</v>
      </c>
      <c r="L51" s="333">
        <v>1</v>
      </c>
      <c r="M51" s="199">
        <f ca="1">VLOOKUP($AD51,INDIRECT("'"&amp;$B51&amp;"'!"&amp;"$P$39:$AD$42"),3,FALSE)</f>
        <v>1.93</v>
      </c>
      <c r="N51" s="81">
        <f ca="1">VLOOKUP($AD51,INDIRECT("'"&amp;$B51&amp;"'!"&amp;"$P$39:$AD$42"),5,FALSE)</f>
        <v>20</v>
      </c>
      <c r="O51" s="723">
        <f ca="1">VLOOKUP($AD51,INDIRECT("'"&amp;$B51&amp;"'!"&amp;"$P$39:$AD$42"),6,FALSE)/1000</f>
        <v>12.158890687341184</v>
      </c>
      <c r="P51" s="723">
        <f ca="1">VLOOKUP($AD51,INDIRECT("'"&amp;$B51&amp;"'!"&amp;"$P$39:$AD$42"),7,FALSE)/1000</f>
        <v>1.49E-2</v>
      </c>
      <c r="Q51" s="81">
        <f ca="1">VLOOKUP($AD51,INDIRECT("'"&amp;$B51&amp;"'!"&amp;"$P$39:$AD$42"),8,FALSE)</f>
        <v>7.1188888888888897</v>
      </c>
      <c r="R51" s="81">
        <v>3.1536000000000002E-2</v>
      </c>
      <c r="S51" s="199">
        <v>0.5</v>
      </c>
      <c r="T51" s="199">
        <f ca="1">HLOOKUP($T$2,INDIRECT("'"&amp;$B51&amp;"'!"&amp;"$P$6:$AC$19"),IF(H51=$AI$13,6,IF(H51=$AI$14,9,14)),FALSE)</f>
        <v>1</v>
      </c>
      <c r="U51" s="199">
        <f ca="1">1/M51</f>
        <v>0.5181347150259068</v>
      </c>
      <c r="V51" s="199"/>
      <c r="W51" s="298"/>
      <c r="X51" s="698">
        <f ca="1">IF(VLOOKUP($AD51,INDIRECT("'"&amp;$B51&amp;"'!"&amp;"$P$39:$AD$42"),11,FALSE)="Cf. the utilized electricity",0,VLOOKUP($AD51,INDIRECT("'"&amp;$B51&amp;"'!"&amp;"$P$39:$AD$42"),11,FALSE))</f>
        <v>0</v>
      </c>
      <c r="Y51" s="81">
        <f ca="1">VLOOKUP($AD51,INDIRECT("'"&amp;$B51&amp;"'!"&amp;"$P$39:$AD$42"),12,FALSE)</f>
        <v>0</v>
      </c>
      <c r="Z51" s="81">
        <f ca="1">VLOOKUP($AD51,INDIRECT("'"&amp;$B51&amp;"'!"&amp;"$P$39:$AD$42"),13,FALSE)</f>
        <v>0</v>
      </c>
      <c r="AA51" s="81">
        <f ca="1">VLOOKUP($AD51,INDIRECT("'"&amp;$B51&amp;"'!"&amp;"$P$39:$AD$42"),14,FALSE)</f>
        <v>0</v>
      </c>
      <c r="AB51" s="81">
        <f ca="1">VLOOKUP($AD51,INDIRECT("'"&amp;$B51&amp;"'!"&amp;"$P$39:$AD$42"),15,FALSE)</f>
        <v>0</v>
      </c>
      <c r="AD51" s="81">
        <v>2020</v>
      </c>
      <c r="AE51" s="81"/>
      <c r="AF51" s="220"/>
    </row>
    <row r="52" spans="2:32">
      <c r="B52" s="357" t="s">
        <v>1001</v>
      </c>
      <c r="D52" s="212"/>
      <c r="E52" s="261"/>
      <c r="F52" s="224" t="s">
        <v>1149</v>
      </c>
      <c r="G52" s="173" t="str">
        <f>$AI$20</f>
        <v>INDRWH</v>
      </c>
      <c r="H52" s="174"/>
      <c r="I52" s="174"/>
      <c r="K52" s="81"/>
      <c r="L52" s="333"/>
      <c r="M52" s="199"/>
      <c r="N52" s="81"/>
      <c r="O52" s="723"/>
      <c r="P52" s="723"/>
      <c r="Q52" s="81"/>
      <c r="R52" s="200"/>
      <c r="S52" s="772"/>
      <c r="T52" s="772"/>
      <c r="U52" s="199">
        <f ca="1">1-U51</f>
        <v>0.4818652849740932</v>
      </c>
      <c r="V52" s="772"/>
      <c r="W52" s="298"/>
      <c r="X52" s="698"/>
      <c r="Y52" s="81"/>
      <c r="Z52" s="81"/>
      <c r="AA52" s="81"/>
      <c r="AB52" s="81"/>
      <c r="AD52" s="81"/>
      <c r="AE52" s="81"/>
      <c r="AF52" s="220"/>
    </row>
    <row r="53" spans="2:32">
      <c r="B53" s="357" t="s">
        <v>1001</v>
      </c>
      <c r="D53" s="212"/>
      <c r="E53" s="212"/>
      <c r="F53" s="224" t="s">
        <v>1149</v>
      </c>
      <c r="G53" s="173" t="s">
        <v>499</v>
      </c>
      <c r="H53" s="174" t="str">
        <f>$AI$15</f>
        <v>IRDSH</v>
      </c>
      <c r="I53" s="174"/>
      <c r="J53" s="224">
        <f t="shared" ref="J53" si="17">AD53</f>
        <v>2030</v>
      </c>
      <c r="K53" s="81"/>
      <c r="L53" s="333">
        <v>1</v>
      </c>
      <c r="M53" s="199">
        <f ca="1">VLOOKUP($AD53,INDIRECT("'"&amp;$B53&amp;"'!"&amp;"$P$39:$AD$42"),3,FALSE)</f>
        <v>1.9894000000000001</v>
      </c>
      <c r="N53" s="81"/>
      <c r="O53" s="723">
        <f ca="1">VLOOKUP($AD53,INDIRECT("'"&amp;$B53&amp;"'!"&amp;"$P$39:$AD$42"),6,FALSE)/1000</f>
        <v>9.8570539139933757</v>
      </c>
      <c r="P53" s="723">
        <f ca="1">VLOOKUP($AD53,INDIRECT("'"&amp;$B53&amp;"'!"&amp;"$P$39:$AD$42"),7,FALSE)/1000</f>
        <v>1.49E-2</v>
      </c>
      <c r="Q53" s="81">
        <f ca="1">VLOOKUP($AD53,INDIRECT("'"&amp;$B53&amp;"'!"&amp;"$P$39:$AD$42"),8,FALSE)</f>
        <v>6.9740277777777777</v>
      </c>
      <c r="R53" s="300"/>
      <c r="S53" s="300"/>
      <c r="T53" s="300"/>
      <c r="U53" s="199">
        <f ca="1">1/M53</f>
        <v>0.50266411983512616</v>
      </c>
      <c r="V53" s="199"/>
      <c r="W53" s="298"/>
      <c r="X53" s="698">
        <f ca="1">IF(VLOOKUP($AD53,INDIRECT("'"&amp;$B53&amp;"'!"&amp;"$P$39:$AD$42"),11,FALSE)="Cf. the utilized electricity",0,VLOOKUP($AD53,INDIRECT("'"&amp;$B53&amp;"'!"&amp;"$P$39:$AD$42"),11,FALSE))</f>
        <v>0</v>
      </c>
      <c r="Y53" s="81">
        <f ca="1">VLOOKUP($AD53,INDIRECT("'"&amp;$B53&amp;"'!"&amp;"$P$39:$AD$42"),12,FALSE)</f>
        <v>0</v>
      </c>
      <c r="Z53" s="81">
        <f ca="1">VLOOKUP($AD53,INDIRECT("'"&amp;$B53&amp;"'!"&amp;"$P$39:$AD$42"),13,FALSE)</f>
        <v>0</v>
      </c>
      <c r="AA53" s="81">
        <f ca="1">VLOOKUP($AD53,INDIRECT("'"&amp;$B53&amp;"'!"&amp;"$P$39:$AD$42"),14,FALSE)</f>
        <v>0</v>
      </c>
      <c r="AB53" s="81">
        <f ca="1">VLOOKUP($AD53,INDIRECT("'"&amp;$B53&amp;"'!"&amp;"$P$39:$AD$42"),15,FALSE)</f>
        <v>0</v>
      </c>
      <c r="AD53" s="81">
        <v>2030</v>
      </c>
      <c r="AE53" s="81"/>
      <c r="AF53" s="220"/>
    </row>
    <row r="54" spans="2:32">
      <c r="B54" s="357" t="s">
        <v>1001</v>
      </c>
      <c r="D54" s="212"/>
      <c r="E54" s="212"/>
      <c r="F54" s="224" t="s">
        <v>1149</v>
      </c>
      <c r="G54" s="173" t="str">
        <f>$AI$20</f>
        <v>INDRWH</v>
      </c>
      <c r="H54" s="174"/>
      <c r="I54" s="174"/>
      <c r="K54" s="81"/>
      <c r="L54" s="333"/>
      <c r="M54" s="199"/>
      <c r="N54" s="81"/>
      <c r="O54" s="723"/>
      <c r="P54" s="723"/>
      <c r="Q54" s="81"/>
      <c r="R54" s="300"/>
      <c r="S54" s="300"/>
      <c r="T54" s="300"/>
      <c r="U54" s="199">
        <f ca="1">1-U53</f>
        <v>0.49733588016487384</v>
      </c>
      <c r="V54" s="300"/>
      <c r="W54" s="298"/>
      <c r="X54" s="698"/>
      <c r="Y54" s="81"/>
      <c r="Z54" s="81"/>
      <c r="AA54" s="81"/>
      <c r="AB54" s="81"/>
      <c r="AD54" s="81"/>
      <c r="AE54" s="81"/>
      <c r="AF54" s="220"/>
    </row>
    <row r="55" spans="2:32">
      <c r="B55" s="357" t="s">
        <v>1001</v>
      </c>
      <c r="D55" s="212"/>
      <c r="E55" s="212"/>
      <c r="F55" s="224" t="s">
        <v>1149</v>
      </c>
      <c r="G55" s="173" t="s">
        <v>499</v>
      </c>
      <c r="H55" s="174" t="str">
        <f>$AI$15</f>
        <v>IRDSH</v>
      </c>
      <c r="I55" s="174"/>
      <c r="J55" s="224">
        <f t="shared" ref="J55" si="18">AD55</f>
        <v>2050</v>
      </c>
      <c r="K55" s="81"/>
      <c r="L55" s="333">
        <v>1</v>
      </c>
      <c r="M55" s="199">
        <f ca="1">VLOOKUP($AD55,INDIRECT("'"&amp;$B55&amp;"'!"&amp;"$P$39:$AD$42"),3,FALSE)</f>
        <v>2.0509898799999999</v>
      </c>
      <c r="N55" s="81"/>
      <c r="O55" s="723">
        <f ca="1">VLOOKUP($AD55,INDIRECT("'"&amp;$B55&amp;"'!"&amp;"$P$39:$AD$42"),6,FALSE)/1000</f>
        <v>6.955935359434223</v>
      </c>
      <c r="P55" s="723">
        <f ca="1">VLOOKUP($AD55,INDIRECT("'"&amp;$B55&amp;"'!"&amp;"$P$39:$AD$42"),7,FALSE)/1000</f>
        <v>1.49E-2</v>
      </c>
      <c r="Q55" s="81">
        <f ca="1">VLOOKUP($AD55,INDIRECT("'"&amp;$B55&amp;"'!"&amp;"$P$39:$AD$42"),8,FALSE)</f>
        <v>6.7877777777777784</v>
      </c>
      <c r="R55" s="300"/>
      <c r="S55" s="300"/>
      <c r="T55" s="300"/>
      <c r="U55" s="199">
        <f ca="1">1/M55</f>
        <v>0.48756944622271858</v>
      </c>
      <c r="V55" s="199"/>
      <c r="W55" s="298"/>
      <c r="X55" s="698">
        <f ca="1">IF(VLOOKUP($AD55,INDIRECT("'"&amp;$B55&amp;"'!"&amp;"$P$39:$AD$42"),11,FALSE)="Cf. the utilized electricity",0,VLOOKUP($AD55,INDIRECT("'"&amp;$B55&amp;"'!"&amp;"$P$39:$AD$42"),11,FALSE))</f>
        <v>0</v>
      </c>
      <c r="Y55" s="81">
        <f ca="1">VLOOKUP($AD55,INDIRECT("'"&amp;$B55&amp;"'!"&amp;"$P$39:$AD$42"),12,FALSE)</f>
        <v>0</v>
      </c>
      <c r="Z55" s="81">
        <f ca="1">VLOOKUP($AD55,INDIRECT("'"&amp;$B55&amp;"'!"&amp;"$P$39:$AD$42"),13,FALSE)</f>
        <v>0</v>
      </c>
      <c r="AA55" s="81">
        <f ca="1">VLOOKUP($AD55,INDIRECT("'"&amp;$B55&amp;"'!"&amp;"$P$39:$AD$42"),14,FALSE)</f>
        <v>0</v>
      </c>
      <c r="AB55" s="81">
        <f ca="1">VLOOKUP($AD55,INDIRECT("'"&amp;$B55&amp;"'!"&amp;"$P$39:$AD$42"),15,FALSE)</f>
        <v>0</v>
      </c>
      <c r="AD55" s="81">
        <v>2050</v>
      </c>
      <c r="AE55" s="81"/>
      <c r="AF55" s="220"/>
    </row>
    <row r="56" spans="2:32">
      <c r="B56" s="357" t="s">
        <v>1001</v>
      </c>
      <c r="D56" s="212"/>
      <c r="E56" s="212"/>
      <c r="F56" s="224" t="s">
        <v>1149</v>
      </c>
      <c r="G56" s="173" t="str">
        <f>$AI$20</f>
        <v>INDRWH</v>
      </c>
      <c r="H56" s="174"/>
      <c r="I56" s="174"/>
      <c r="K56" s="81"/>
      <c r="L56" s="333"/>
      <c r="M56" s="199"/>
      <c r="N56" s="81"/>
      <c r="O56" s="723"/>
      <c r="P56" s="723"/>
      <c r="Q56" s="81"/>
      <c r="R56" s="300"/>
      <c r="S56" s="300"/>
      <c r="T56" s="300"/>
      <c r="U56" s="199">
        <f ca="1">1-U55</f>
        <v>0.51243055377728142</v>
      </c>
      <c r="V56" s="300"/>
      <c r="W56" s="298"/>
      <c r="X56" s="698"/>
      <c r="Y56" s="81"/>
      <c r="Z56" s="81"/>
      <c r="AA56" s="81"/>
      <c r="AB56" s="81"/>
      <c r="AD56" s="81"/>
      <c r="AE56" s="81"/>
      <c r="AF56" s="220"/>
    </row>
    <row r="57" spans="2:32">
      <c r="B57" s="357" t="s">
        <v>1002</v>
      </c>
      <c r="D57" s="212" t="str">
        <f>"IND"&amp;RIGHT(H57,4)&amp;RIGHT(G57,3)&amp;"N"&amp;RIGHT(E57,1)</f>
        <v>INDRDPHELCN5</v>
      </c>
      <c r="E57" s="261" t="str">
        <f>"Industrial heating technology "&amp;$AJ$12&amp;" "&amp;RIGHT(H57,2)&amp;" - MVR utilizing waste heat - new 5"</f>
        <v>Industrial heating technology Paper &amp; Pulp PH - MVR utilizing waste heat - new 5</v>
      </c>
      <c r="F57" s="224" t="s">
        <v>1149</v>
      </c>
      <c r="G57" s="173" t="s">
        <v>499</v>
      </c>
      <c r="H57" s="174" t="str">
        <f>$AI$14</f>
        <v>IRDPH</v>
      </c>
      <c r="I57" s="174"/>
      <c r="J57" s="224">
        <f t="shared" ref="J57" si="19">AD57</f>
        <v>2020</v>
      </c>
      <c r="K57" s="81">
        <v>2020</v>
      </c>
      <c r="L57" s="333">
        <v>1</v>
      </c>
      <c r="M57" s="199">
        <f ca="1">VLOOKUP($AD57,INDIRECT("'"&amp;$B57&amp;"'!"&amp;"$P$39:$AD$42"),3,FALSE)</f>
        <v>12.1</v>
      </c>
      <c r="N57" s="81">
        <f ca="1">VLOOKUP($AD57,INDIRECT("'"&amp;$B57&amp;"'!"&amp;"$P$39:$AD$42"),5,FALSE)</f>
        <v>25</v>
      </c>
      <c r="O57" s="723">
        <f ca="1">VLOOKUP($AD57,INDIRECT("'"&amp;$B57&amp;"'!"&amp;"$P$39:$AD$42"),6,FALSE)/1000</f>
        <v>2.6074999999999999</v>
      </c>
      <c r="P57" s="723">
        <f ca="1">VLOOKUP($AD57,INDIRECT("'"&amp;$B57&amp;"'!"&amp;"$P$39:$AD$42"),7,FALSE)/1000</f>
        <v>1.49E-2</v>
      </c>
      <c r="Q57" s="81">
        <f ca="1">VLOOKUP($AD57,INDIRECT("'"&amp;$B57&amp;"'!"&amp;"$P$39:$AD$42"),8,FALSE)</f>
        <v>5.2356944444444444</v>
      </c>
      <c r="R57" s="81">
        <v>3.1536000000000002E-2</v>
      </c>
      <c r="S57" s="199">
        <v>0.5</v>
      </c>
      <c r="T57" s="199">
        <f ca="1">HLOOKUP($T$2,INDIRECT("'"&amp;$B57&amp;"'!"&amp;"$P$6:$AC$19"),IF(H57=$AI$13,6,IF(H57=$AI$14,9,14)),FALSE)</f>
        <v>0</v>
      </c>
      <c r="U57" s="199">
        <f ca="1">1/M57</f>
        <v>8.2644628099173556E-2</v>
      </c>
      <c r="V57" s="199"/>
      <c r="W57" s="298"/>
      <c r="X57" s="698">
        <f ca="1">IF(VLOOKUP($AD57,INDIRECT("'"&amp;$B57&amp;"'!"&amp;"$P$39:$AD$42"),11,FALSE)="Cf. the utilized electricity",0,VLOOKUP($AD57,INDIRECT("'"&amp;$B57&amp;"'!"&amp;"$P$39:$AD$42"),11,FALSE))</f>
        <v>0</v>
      </c>
      <c r="Y57" s="81">
        <f ca="1">VLOOKUP($AD57,INDIRECT("'"&amp;$B57&amp;"'!"&amp;"$P$39:$AD$42"),12,FALSE)</f>
        <v>0</v>
      </c>
      <c r="Z57" s="81">
        <f ca="1">VLOOKUP($AD57,INDIRECT("'"&amp;$B57&amp;"'!"&amp;"$P$39:$AD$42"),13,FALSE)</f>
        <v>0</v>
      </c>
      <c r="AA57" s="81">
        <f ca="1">VLOOKUP($AD57,INDIRECT("'"&amp;$B57&amp;"'!"&amp;"$P$39:$AD$42"),14,FALSE)</f>
        <v>0</v>
      </c>
      <c r="AB57" s="81">
        <f ca="1">VLOOKUP($AD57,INDIRECT("'"&amp;$B57&amp;"'!"&amp;"$P$39:$AD$42"),15,FALSE)</f>
        <v>0</v>
      </c>
      <c r="AD57" s="81">
        <v>2020</v>
      </c>
      <c r="AE57" s="81"/>
      <c r="AF57" s="220"/>
    </row>
    <row r="58" spans="2:32">
      <c r="B58" s="357" t="s">
        <v>1002</v>
      </c>
      <c r="D58" s="212"/>
      <c r="E58" s="261"/>
      <c r="F58" s="224" t="s">
        <v>1149</v>
      </c>
      <c r="G58" s="173" t="str">
        <f>$AI$20</f>
        <v>INDRWH</v>
      </c>
      <c r="H58" s="174"/>
      <c r="I58" s="174"/>
      <c r="K58" s="81"/>
      <c r="L58" s="199"/>
      <c r="M58" s="199"/>
      <c r="N58" s="81"/>
      <c r="O58" s="723"/>
      <c r="P58" s="723"/>
      <c r="Q58" s="81"/>
      <c r="R58" s="200"/>
      <c r="S58" s="772"/>
      <c r="T58" s="772"/>
      <c r="U58" s="199">
        <f ca="1">1-U57</f>
        <v>0.9173553719008265</v>
      </c>
      <c r="V58" s="772"/>
      <c r="W58" s="298"/>
      <c r="X58" s="698"/>
      <c r="Y58" s="81"/>
      <c r="Z58" s="81"/>
      <c r="AA58" s="81"/>
      <c r="AB58" s="81"/>
      <c r="AD58" s="81"/>
      <c r="AE58" s="81"/>
      <c r="AF58" s="220"/>
    </row>
    <row r="59" spans="2:32">
      <c r="B59" s="357" t="s">
        <v>1002</v>
      </c>
      <c r="D59" s="212"/>
      <c r="E59" s="212"/>
      <c r="F59" s="224" t="s">
        <v>1149</v>
      </c>
      <c r="G59" s="173" t="s">
        <v>499</v>
      </c>
      <c r="H59" s="174" t="str">
        <f>$AI$14</f>
        <v>IRDPH</v>
      </c>
      <c r="I59" s="174"/>
      <c r="J59" s="224">
        <f t="shared" ref="J59" si="20">AD59</f>
        <v>2030</v>
      </c>
      <c r="K59" s="81"/>
      <c r="L59" s="333">
        <v>1</v>
      </c>
      <c r="M59" s="199">
        <f ca="1">VLOOKUP($AD59,INDIRECT("'"&amp;$B59&amp;"'!"&amp;"$P$39:$AD$42"),3,FALSE)</f>
        <v>12.7</v>
      </c>
      <c r="N59" s="81"/>
      <c r="O59" s="723">
        <f ca="1">VLOOKUP($AD59,INDIRECT("'"&amp;$B59&amp;"'!"&amp;"$P$39:$AD$42"),6,FALSE)/1000</f>
        <v>2.4585000000000004</v>
      </c>
      <c r="P59" s="723">
        <f ca="1">VLOOKUP($AD59,INDIRECT("'"&amp;$B59&amp;"'!"&amp;"$P$39:$AD$42"),7,FALSE)/1000</f>
        <v>1.49E-2</v>
      </c>
      <c r="Q59" s="81">
        <f ca="1">VLOOKUP($AD59,INDIRECT("'"&amp;$B59&amp;"'!"&amp;"$P$39:$AD$42"),8,FALSE)</f>
        <v>5.0701388888888888</v>
      </c>
      <c r="R59" s="300"/>
      <c r="S59" s="300"/>
      <c r="T59" s="300"/>
      <c r="U59" s="199">
        <f ca="1">1/M59</f>
        <v>7.874015748031496E-2</v>
      </c>
      <c r="V59" s="199"/>
      <c r="W59" s="298"/>
      <c r="X59" s="698">
        <f ca="1">IF(VLOOKUP($AD59,INDIRECT("'"&amp;$B59&amp;"'!"&amp;"$P$39:$AD$42"),11,FALSE)="Cf. the utilized electricity",0,VLOOKUP($AD59,INDIRECT("'"&amp;$B59&amp;"'!"&amp;"$P$39:$AD$42"),11,FALSE))</f>
        <v>0</v>
      </c>
      <c r="Y59" s="81">
        <f ca="1">VLOOKUP($AD59,INDIRECT("'"&amp;$B59&amp;"'!"&amp;"$P$39:$AD$42"),12,FALSE)</f>
        <v>0</v>
      </c>
      <c r="Z59" s="81">
        <f ca="1">VLOOKUP($AD59,INDIRECT("'"&amp;$B59&amp;"'!"&amp;"$P$39:$AD$42"),13,FALSE)</f>
        <v>0</v>
      </c>
      <c r="AA59" s="81">
        <f ca="1">VLOOKUP($AD59,INDIRECT("'"&amp;$B59&amp;"'!"&amp;"$P$39:$AD$42"),14,FALSE)</f>
        <v>0</v>
      </c>
      <c r="AB59" s="81">
        <f ca="1">VLOOKUP($AD59,INDIRECT("'"&amp;$B59&amp;"'!"&amp;"$P$39:$AD$42"),15,FALSE)</f>
        <v>0</v>
      </c>
      <c r="AD59" s="81">
        <v>2030</v>
      </c>
      <c r="AE59" s="81"/>
      <c r="AF59" s="220"/>
    </row>
    <row r="60" spans="2:32">
      <c r="B60" s="357" t="s">
        <v>1002</v>
      </c>
      <c r="D60" s="212"/>
      <c r="E60" s="212"/>
      <c r="F60" s="224" t="s">
        <v>1149</v>
      </c>
      <c r="G60" s="173" t="str">
        <f>$AI$20</f>
        <v>INDRWH</v>
      </c>
      <c r="H60" s="174"/>
      <c r="I60" s="174"/>
      <c r="K60" s="81"/>
      <c r="L60" s="199"/>
      <c r="M60" s="199"/>
      <c r="N60" s="81"/>
      <c r="O60" s="723"/>
      <c r="P60" s="723"/>
      <c r="Q60" s="81"/>
      <c r="R60" s="300"/>
      <c r="S60" s="300"/>
      <c r="T60" s="300"/>
      <c r="U60" s="199">
        <f ca="1">1-U59</f>
        <v>0.92125984251968507</v>
      </c>
      <c r="V60" s="300"/>
      <c r="W60" s="298"/>
      <c r="X60" s="698"/>
      <c r="Y60" s="81"/>
      <c r="Z60" s="81"/>
      <c r="AA60" s="81"/>
      <c r="AB60" s="81"/>
      <c r="AD60" s="81"/>
      <c r="AE60" s="81"/>
      <c r="AF60" s="220"/>
    </row>
    <row r="61" spans="2:32">
      <c r="B61" s="357" t="s">
        <v>1002</v>
      </c>
      <c r="D61" s="212"/>
      <c r="E61" s="212"/>
      <c r="F61" s="224" t="s">
        <v>1149</v>
      </c>
      <c r="G61" s="173" t="s">
        <v>499</v>
      </c>
      <c r="H61" s="174" t="str">
        <f>$AI$14</f>
        <v>IRDPH</v>
      </c>
      <c r="I61" s="174"/>
      <c r="J61" s="224">
        <f t="shared" ref="J61" si="21">AD61</f>
        <v>2050</v>
      </c>
      <c r="K61" s="81"/>
      <c r="L61" s="333">
        <v>1</v>
      </c>
      <c r="M61" s="199">
        <f ca="1">VLOOKUP($AD61,INDIRECT("'"&amp;$B61&amp;"'!"&amp;"$P$39:$AD$42"),3,FALSE)</f>
        <v>13.8</v>
      </c>
      <c r="N61" s="81"/>
      <c r="O61" s="723">
        <f ca="1">VLOOKUP($AD61,INDIRECT("'"&amp;$B61&amp;"'!"&amp;"$P$39:$AD$42"),6,FALSE)/1000</f>
        <v>2.3094999999999999</v>
      </c>
      <c r="P61" s="723">
        <f ca="1">VLOOKUP($AD61,INDIRECT("'"&amp;$B61&amp;"'!"&amp;"$P$39:$AD$42"),7,FALSE)/1000</f>
        <v>1.49E-2</v>
      </c>
      <c r="Q61" s="81">
        <f ca="1">VLOOKUP($AD61,INDIRECT("'"&amp;$B61&amp;"'!"&amp;"$P$39:$AD$42"),8,FALSE)</f>
        <v>4.8838888888888903</v>
      </c>
      <c r="R61" s="300"/>
      <c r="S61" s="300"/>
      <c r="T61" s="300"/>
      <c r="U61" s="199">
        <f ca="1">1/M61</f>
        <v>7.2463768115942032E-2</v>
      </c>
      <c r="V61" s="199"/>
      <c r="W61" s="298"/>
      <c r="X61" s="698">
        <f ca="1">IF(VLOOKUP($AD61,INDIRECT("'"&amp;$B61&amp;"'!"&amp;"$P$39:$AD$42"),11,FALSE)="Cf. the utilized electricity",0,VLOOKUP($AD61,INDIRECT("'"&amp;$B61&amp;"'!"&amp;"$P$39:$AD$42"),11,FALSE))</f>
        <v>0</v>
      </c>
      <c r="Y61" s="81">
        <f ca="1">VLOOKUP($AD61,INDIRECT("'"&amp;$B61&amp;"'!"&amp;"$P$39:$AD$42"),12,FALSE)</f>
        <v>0</v>
      </c>
      <c r="Z61" s="81">
        <f ca="1">VLOOKUP($AD61,INDIRECT("'"&amp;$B61&amp;"'!"&amp;"$P$39:$AD$42"),13,FALSE)</f>
        <v>0</v>
      </c>
      <c r="AA61" s="81">
        <f ca="1">VLOOKUP($AD61,INDIRECT("'"&amp;$B61&amp;"'!"&amp;"$P$39:$AD$42"),14,FALSE)</f>
        <v>0</v>
      </c>
      <c r="AB61" s="81">
        <f ca="1">VLOOKUP($AD61,INDIRECT("'"&amp;$B61&amp;"'!"&amp;"$P$39:$AD$42"),15,FALSE)</f>
        <v>0</v>
      </c>
      <c r="AD61" s="81">
        <v>2050</v>
      </c>
      <c r="AE61" s="81"/>
      <c r="AF61" s="220"/>
    </row>
    <row r="62" spans="2:32" ht="16" thickBot="1">
      <c r="B62" s="786" t="s">
        <v>1002</v>
      </c>
      <c r="C62" s="787"/>
      <c r="D62" s="732"/>
      <c r="E62" s="732"/>
      <c r="F62" s="224" t="s">
        <v>1149</v>
      </c>
      <c r="G62" s="788" t="str">
        <f>$AI$20</f>
        <v>INDRWH</v>
      </c>
      <c r="H62" s="788"/>
      <c r="I62" s="788"/>
      <c r="K62" s="789"/>
      <c r="L62" s="790"/>
      <c r="M62" s="790"/>
      <c r="N62" s="789"/>
      <c r="O62" s="791"/>
      <c r="P62" s="791"/>
      <c r="Q62" s="789"/>
      <c r="R62" s="792"/>
      <c r="S62" s="792"/>
      <c r="T62" s="792"/>
      <c r="U62" s="790">
        <f ca="1">1-U61</f>
        <v>0.92753623188405798</v>
      </c>
      <c r="V62" s="796"/>
      <c r="W62" s="793"/>
      <c r="X62" s="794"/>
      <c r="Y62" s="789"/>
      <c r="Z62" s="789"/>
      <c r="AA62" s="789"/>
      <c r="AB62" s="789"/>
      <c r="AC62" s="787"/>
      <c r="AD62" s="789"/>
      <c r="AE62" s="789"/>
      <c r="AF62" s="795"/>
    </row>
    <row r="63" spans="2:32">
      <c r="B63" s="357" t="s">
        <v>920</v>
      </c>
      <c r="D63" s="212" t="str">
        <f>"IND"&amp;RIGHT(H63,4)&amp;RIGHT(G63,3)&amp;"N"&amp;RIGHT(E63,1)</f>
        <v>INDRDPHWSTN1</v>
      </c>
      <c r="E63" s="261" t="str">
        <f>"Industrial heating technology "&amp;$AJ$12&amp;" "&amp;RIGHT(H63,2)&amp;" - Hotdisc - new 1"</f>
        <v>Industrial heating technology Paper &amp; Pulp PH - Hotdisc - new 1</v>
      </c>
      <c r="F63" s="224" t="s">
        <v>1149</v>
      </c>
      <c r="G63" s="832" t="s">
        <v>1005</v>
      </c>
      <c r="H63" s="174" t="str">
        <f>$AI$13</f>
        <v>IRDPH</v>
      </c>
      <c r="I63" s="173" t="str">
        <f t="shared" ref="I63:I126" si="22">$AI$20</f>
        <v>INDRWH</v>
      </c>
      <c r="J63" s="224">
        <f>IF(AD63=2020,2011,AD63)</f>
        <v>2011</v>
      </c>
      <c r="K63" s="299">
        <v>2025</v>
      </c>
      <c r="L63" s="699">
        <f t="shared" ref="L63:L80" ca="1" si="23">VLOOKUP($AD63,INDIRECT("'"&amp;$B63&amp;"'!"&amp;"$P$39:$AD$42"),3,FALSE)</f>
        <v>0.9</v>
      </c>
      <c r="M63" s="699"/>
      <c r="N63" s="299">
        <f ca="1">VLOOKUP($AD63,INDIRECT("'"&amp;$B63&amp;"'!"&amp;"$P$39:$AD$42"),5,FALSE)</f>
        <v>20</v>
      </c>
      <c r="O63" s="725">
        <f t="shared" ref="O63:O80" ca="1" si="24">VLOOKUP($AD63,INDIRECT("'"&amp;$B63&amp;"'!"&amp;"$P$39:$AD$42"),6,FALSE)/1000</f>
        <v>3.7250000000000001</v>
      </c>
      <c r="P63" s="725">
        <f t="shared" ref="P63:P80" ca="1" si="25">VLOOKUP($AD63,INDIRECT("'"&amp;$B63&amp;"'!"&amp;"$P$39:$AD$42"),7,FALSE)/1000</f>
        <v>2.98E-3</v>
      </c>
      <c r="Q63" s="299">
        <f t="shared" ref="Q63:Q80" ca="1" si="26">VLOOKUP($AD63,INDIRECT("'"&amp;$B63&amp;"'!"&amp;"$P$39:$AD$42"),8,FALSE)</f>
        <v>2.4315972222222224</v>
      </c>
      <c r="R63" s="299">
        <v>3.1536000000000002E-2</v>
      </c>
      <c r="S63" s="699">
        <v>0.5</v>
      </c>
      <c r="T63" s="699">
        <f ca="1">HLOOKUP($S$2,INDIRECT("'"&amp;$B63&amp;"'!"&amp;"$P$6:$AC$19"),IF(H63=$AI$13,6,IF(H63=$AI$14,9,14)),FALSE)</f>
        <v>0</v>
      </c>
      <c r="U63" s="772"/>
      <c r="V63" s="199">
        <f ca="1">IF(IF(RIGHT(H63,2)="PH",(1-L63)+$W$2,IF(RIGHT(H63,2)="HT",(1-L63)+$W$1,IF(RIGHT(H63,2)="SH",(1-L63)+$W$3,"")))&gt;0,IF(RIGHT(H63,2)="PH",(1-L63)+$W$2,IF(RIGHT(H63,2)="HT",(1-L63)+$W$1,IF(RIGHT(H63,2)="SH",(1-L63)+$W$3,""))),0)</f>
        <v>0.3</v>
      </c>
      <c r="W63" s="298"/>
      <c r="X63" s="785">
        <f t="shared" ref="X63:X94" ca="1" si="27">IF(VLOOKUP($AD63,INDIRECT("'"&amp;$B63&amp;"'!"&amp;"$P$39:$AD$42"),11,FALSE)="Cf. the utilized electricity",0,VLOOKUP($AD63,INDIRECT("'"&amp;$B63&amp;"'!"&amp;"$P$39:$AD$42"),11,FALSE))</f>
        <v>8.3000000000000007</v>
      </c>
      <c r="Y63" s="299">
        <f t="shared" ref="Y63:Y80" ca="1" si="28">VLOOKUP($AD63,INDIRECT("'"&amp;$B63&amp;"'!"&amp;"$P$39:$AD$42"),12,FALSE)</f>
        <v>56</v>
      </c>
      <c r="Z63" s="299">
        <f t="shared" ref="Z63:Z80" ca="1" si="29">VLOOKUP($AD63,INDIRECT("'"&amp;$B63&amp;"'!"&amp;"$P$39:$AD$42"),13,FALSE)</f>
        <v>0.1</v>
      </c>
      <c r="AA63" s="299">
        <f t="shared" ref="AA63:AA80" ca="1" si="30">VLOOKUP($AD63,INDIRECT("'"&amp;$B63&amp;"'!"&amp;"$P$39:$AD$42"),14,FALSE)</f>
        <v>1</v>
      </c>
      <c r="AB63" s="299">
        <f t="shared" ref="AB63:AB80" ca="1" si="31">VLOOKUP($AD63,INDIRECT("'"&amp;$B63&amp;"'!"&amp;"$P$39:$AD$42"),15,FALSE)</f>
        <v>0.28999999999999998</v>
      </c>
      <c r="AD63" s="299">
        <v>2020</v>
      </c>
      <c r="AE63" s="299"/>
      <c r="AF63" s="220"/>
    </row>
    <row r="64" spans="2:32">
      <c r="B64" s="357" t="s">
        <v>920</v>
      </c>
      <c r="D64" s="212"/>
      <c r="E64" s="212"/>
      <c r="F64" s="224" t="s">
        <v>1149</v>
      </c>
      <c r="H64" s="174"/>
      <c r="I64" s="173" t="str">
        <f t="shared" si="22"/>
        <v>INDRWH</v>
      </c>
      <c r="J64" s="224">
        <f t="shared" ref="J64:J127" si="32">IF(AD64=2020,2011,AD64)</f>
        <v>2030</v>
      </c>
      <c r="K64" s="81"/>
      <c r="L64" s="199">
        <f t="shared" ca="1" si="23"/>
        <v>0.91</v>
      </c>
      <c r="M64" s="199"/>
      <c r="N64" s="81"/>
      <c r="O64" s="723">
        <f t="shared" ca="1" si="24"/>
        <v>3.4642500000000003</v>
      </c>
      <c r="P64" s="723">
        <f t="shared" ca="1" si="25"/>
        <v>2.98E-3</v>
      </c>
      <c r="Q64" s="81">
        <f t="shared" ca="1" si="26"/>
        <v>2.4729861111111116</v>
      </c>
      <c r="R64" s="300"/>
      <c r="S64" s="300"/>
      <c r="T64" s="300"/>
      <c r="U64" s="300"/>
      <c r="V64" s="199">
        <f ca="1">IF(IF(RIGHT(H63,2)="PH",(1-L64)+$W$2,IF(RIGHT(H63,2)="HT",(1-L64)+$W$1,IF(RIGHT(H63,2)="SH",(1-L64)+$W$3,"")))&gt;0,IF(RIGHT(H63,2)="PH",(1-L64)+$W$2,IF(RIGHT(H63,2)="HT",(1-L64)+$W$1,IF(RIGHT(H63,2)="SH",(1-L64)+$W$3,""))),0)</f>
        <v>0.28999999999999998</v>
      </c>
      <c r="W64" s="298"/>
      <c r="X64" s="698">
        <f t="shared" ca="1" si="27"/>
        <v>8.3000000000000007</v>
      </c>
      <c r="Y64" s="81">
        <f t="shared" ca="1" si="28"/>
        <v>45</v>
      </c>
      <c r="Z64" s="81">
        <f t="shared" ca="1" si="29"/>
        <v>0.1</v>
      </c>
      <c r="AA64" s="81">
        <f t="shared" ca="1" si="30"/>
        <v>1</v>
      </c>
      <c r="AB64" s="81">
        <f t="shared" ca="1" si="31"/>
        <v>0.28999999999999998</v>
      </c>
      <c r="AD64" s="81">
        <v>2030</v>
      </c>
      <c r="AE64" s="81"/>
      <c r="AF64" s="220"/>
    </row>
    <row r="65" spans="2:32">
      <c r="B65" s="357" t="s">
        <v>920</v>
      </c>
      <c r="D65" s="212"/>
      <c r="E65" s="212"/>
      <c r="F65" s="224" t="s">
        <v>1149</v>
      </c>
      <c r="H65" s="174"/>
      <c r="I65" s="173" t="str">
        <f t="shared" si="22"/>
        <v>INDRWH</v>
      </c>
      <c r="J65" s="224">
        <f t="shared" si="32"/>
        <v>2050</v>
      </c>
      <c r="K65" s="81"/>
      <c r="L65" s="199">
        <f t="shared" ca="1" si="23"/>
        <v>0.93</v>
      </c>
      <c r="M65" s="199"/>
      <c r="N65" s="81"/>
      <c r="O65" s="723">
        <f t="shared" ca="1" si="24"/>
        <v>3.3525</v>
      </c>
      <c r="P65" s="723">
        <f t="shared" ca="1" si="25"/>
        <v>2.98E-3</v>
      </c>
      <c r="Q65" s="81">
        <f t="shared" ca="1" si="26"/>
        <v>2.4936805555555561</v>
      </c>
      <c r="R65" s="300"/>
      <c r="S65" s="300"/>
      <c r="T65" s="300"/>
      <c r="U65" s="300"/>
      <c r="V65" s="199">
        <f ca="1">IF(IF(RIGHT(H63,2)="PH",(1-L65)+$W$2,IF(RIGHT(H63,2)="HT",(1-L65)+$W$1,IF(RIGHT(H63,2)="SH",(1-L65)+$W$3,"")))&gt;0,IF(RIGHT(H63,2)="PH",(1-L65)+$W$2,IF(RIGHT(H63,2)="HT",(1-L65)+$W$1,IF(RIGHT(H63,2)="SH",(1-L65)+$W$3,""))),0)</f>
        <v>0.26999999999999996</v>
      </c>
      <c r="W65" s="298"/>
      <c r="X65" s="698">
        <f t="shared" ca="1" si="27"/>
        <v>8.3000000000000007</v>
      </c>
      <c r="Y65" s="81">
        <f t="shared" ca="1" si="28"/>
        <v>11</v>
      </c>
      <c r="Z65" s="81">
        <f t="shared" ca="1" si="29"/>
        <v>0.1</v>
      </c>
      <c r="AA65" s="81">
        <f t="shared" ca="1" si="30"/>
        <v>1</v>
      </c>
      <c r="AB65" s="81">
        <f t="shared" ca="1" si="31"/>
        <v>0.28999999999999998</v>
      </c>
      <c r="AD65" s="81">
        <v>2050</v>
      </c>
      <c r="AE65" s="81"/>
      <c r="AF65" s="220"/>
    </row>
    <row r="66" spans="2:32">
      <c r="B66" s="357" t="s">
        <v>922</v>
      </c>
      <c r="D66" s="212" t="str">
        <f>"IND"&amp;RIGHT(H66,4)&amp;RIGHT(G66,3)&amp;"N"&amp;RIGHT(E66,1)</f>
        <v>INDRDPHELCN6</v>
      </c>
      <c r="E66" s="261" t="str">
        <f>"Industrial heating technology "&amp;$AJ$12&amp;" "&amp;RIGHT(H66,2)&amp;" - Dielectric heating - new 6"</f>
        <v>Industrial heating technology Paper &amp; Pulp PH - Dielectric heating - new 6</v>
      </c>
      <c r="F66" s="224" t="s">
        <v>1149</v>
      </c>
      <c r="G66" s="173" t="s">
        <v>499</v>
      </c>
      <c r="H66" s="174" t="str">
        <f>$AI$14</f>
        <v>IRDPH</v>
      </c>
      <c r="I66" s="173" t="str">
        <f t="shared" si="22"/>
        <v>INDRWH</v>
      </c>
      <c r="J66" s="224">
        <f t="shared" si="32"/>
        <v>2011</v>
      </c>
      <c r="K66" s="299">
        <v>2020</v>
      </c>
      <c r="L66" s="199">
        <f t="shared" ca="1" si="23"/>
        <v>0.95</v>
      </c>
      <c r="M66" s="199"/>
      <c r="N66" s="81">
        <f ca="1">VLOOKUP($AD66,INDIRECT("'"&amp;$B66&amp;"'!"&amp;"$P$39:$AD$42"),5,FALSE)</f>
        <v>30</v>
      </c>
      <c r="O66" s="723">
        <f t="shared" ca="1" si="24"/>
        <v>20.115000000000002</v>
      </c>
      <c r="P66" s="723">
        <f t="shared" ca="1" si="25"/>
        <v>0</v>
      </c>
      <c r="Q66" s="81">
        <f t="shared" ca="1" si="26"/>
        <v>94.828152777777774</v>
      </c>
      <c r="R66" s="81">
        <v>3.1536000000000002E-2</v>
      </c>
      <c r="S66" s="199">
        <v>0.5</v>
      </c>
      <c r="T66" s="199">
        <f ca="1">HLOOKUP($S$2,INDIRECT("'"&amp;$B66&amp;"'!"&amp;"$P$6:$AC$19"),IF(H66=$AI$13,6,IF(H66=$AI$14,9,14)),FALSE)</f>
        <v>0</v>
      </c>
      <c r="U66" s="772"/>
      <c r="V66" s="199">
        <f t="shared" ref="V66" ca="1" si="33">IF(IF(RIGHT(H66,2)="PH",(1-L66)+$W$2,IF(RIGHT(H66,2)="HT",(1-L66)+$W$1,IF(RIGHT(H66,2)="SH",(1-L66)+$W$3,"")))&gt;0,IF(RIGHT(H66,2)="PH",(1-L66)+$W$2,IF(RIGHT(H66,2)="HT",(1-L66)+$W$1,IF(RIGHT(H66,2)="SH",(1-L66)+$W$3,""))),0)</f>
        <v>0.25000000000000006</v>
      </c>
      <c r="W66" s="298"/>
      <c r="X66" s="698">
        <f t="shared" ca="1" si="27"/>
        <v>0</v>
      </c>
      <c r="Y66" s="81">
        <f t="shared" ca="1" si="28"/>
        <v>0</v>
      </c>
      <c r="Z66" s="81">
        <f t="shared" ca="1" si="29"/>
        <v>0</v>
      </c>
      <c r="AA66" s="81">
        <f t="shared" ca="1" si="30"/>
        <v>0</v>
      </c>
      <c r="AB66" s="81">
        <f t="shared" ca="1" si="31"/>
        <v>0</v>
      </c>
      <c r="AD66" s="81">
        <v>2020</v>
      </c>
      <c r="AE66" s="81"/>
      <c r="AF66" s="220"/>
    </row>
    <row r="67" spans="2:32">
      <c r="B67" s="357" t="s">
        <v>922</v>
      </c>
      <c r="D67" s="212"/>
      <c r="E67" s="212"/>
      <c r="F67" s="224" t="s">
        <v>1149</v>
      </c>
      <c r="H67" s="174"/>
      <c r="I67" s="173" t="str">
        <f t="shared" si="22"/>
        <v>INDRWH</v>
      </c>
      <c r="J67" s="224">
        <f t="shared" si="32"/>
        <v>2030</v>
      </c>
      <c r="K67" s="81"/>
      <c r="L67" s="199">
        <f t="shared" ca="1" si="23"/>
        <v>0.95</v>
      </c>
      <c r="M67" s="199"/>
      <c r="N67" s="81"/>
      <c r="O67" s="723">
        <f t="shared" ca="1" si="24"/>
        <v>19.511550000000003</v>
      </c>
      <c r="P67" s="723">
        <f t="shared" ca="1" si="25"/>
        <v>0</v>
      </c>
      <c r="Q67" s="81">
        <f t="shared" ca="1" si="26"/>
        <v>94.832291666666663</v>
      </c>
      <c r="R67" s="300"/>
      <c r="S67" s="300"/>
      <c r="T67" s="300"/>
      <c r="U67" s="300"/>
      <c r="V67" s="199">
        <f t="shared" ref="V67" ca="1" si="34">IF(IF(RIGHT(H66,2)="PH",(1-L67)+$W$2,IF(RIGHT(H66,2)="HT",(1-L67)+$W$1,IF(RIGHT(H66,2)="SH",(1-L67)+$W$3,"")))&gt;0,IF(RIGHT(H66,2)="PH",(1-L67)+$W$2,IF(RIGHT(H66,2)="HT",(1-L67)+$W$1,IF(RIGHT(H66,2)="SH",(1-L67)+$W$3,""))),0)</f>
        <v>0.25000000000000006</v>
      </c>
      <c r="W67" s="298"/>
      <c r="X67" s="698">
        <f t="shared" ca="1" si="27"/>
        <v>0</v>
      </c>
      <c r="Y67" s="81">
        <f t="shared" ca="1" si="28"/>
        <v>0</v>
      </c>
      <c r="Z67" s="81">
        <f t="shared" ca="1" si="29"/>
        <v>0</v>
      </c>
      <c r="AA67" s="81">
        <f t="shared" ca="1" si="30"/>
        <v>0</v>
      </c>
      <c r="AB67" s="81">
        <f t="shared" ca="1" si="31"/>
        <v>0</v>
      </c>
      <c r="AD67" s="81">
        <v>2030</v>
      </c>
      <c r="AE67" s="81"/>
      <c r="AF67" s="220"/>
    </row>
    <row r="68" spans="2:32">
      <c r="B68" s="357" t="s">
        <v>922</v>
      </c>
      <c r="D68" s="212"/>
      <c r="E68" s="212"/>
      <c r="F68" s="224" t="s">
        <v>1149</v>
      </c>
      <c r="H68" s="174"/>
      <c r="I68" s="173" t="str">
        <f t="shared" si="22"/>
        <v>INDRWH</v>
      </c>
      <c r="J68" s="224">
        <f t="shared" si="32"/>
        <v>2050</v>
      </c>
      <c r="K68" s="81"/>
      <c r="L68" s="199">
        <f t="shared" ca="1" si="23"/>
        <v>0.95</v>
      </c>
      <c r="M68" s="199"/>
      <c r="N68" s="81"/>
      <c r="O68" s="723">
        <f t="shared" ca="1" si="24"/>
        <v>18.1035</v>
      </c>
      <c r="P68" s="723">
        <f t="shared" ca="1" si="25"/>
        <v>0</v>
      </c>
      <c r="Q68" s="81">
        <f t="shared" ca="1" si="26"/>
        <v>94.834361111111107</v>
      </c>
      <c r="R68" s="300"/>
      <c r="S68" s="300"/>
      <c r="T68" s="300"/>
      <c r="U68" s="300"/>
      <c r="V68" s="199">
        <f t="shared" ref="V68" ca="1" si="35">IF(IF(RIGHT(H66,2)="PH",(1-L68)+$W$2,IF(RIGHT(H66,2)="HT",(1-L68)+$W$1,IF(RIGHT(H66,2)="SH",(1-L68)+$W$3,"")))&gt;0,IF(RIGHT(H66,2)="PH",(1-L68)+$W$2,IF(RIGHT(H66,2)="HT",(1-L68)+$W$1,IF(RIGHT(H66,2)="SH",(1-L68)+$W$3,""))),0)</f>
        <v>0.25000000000000006</v>
      </c>
      <c r="W68" s="298"/>
      <c r="X68" s="698">
        <f t="shared" ca="1" si="27"/>
        <v>0</v>
      </c>
      <c r="Y68" s="81">
        <f t="shared" ca="1" si="28"/>
        <v>0</v>
      </c>
      <c r="Z68" s="81">
        <f t="shared" ca="1" si="29"/>
        <v>0</v>
      </c>
      <c r="AA68" s="81">
        <f t="shared" ca="1" si="30"/>
        <v>0</v>
      </c>
      <c r="AB68" s="81">
        <f t="shared" ca="1" si="31"/>
        <v>0</v>
      </c>
      <c r="AD68" s="81">
        <v>2050</v>
      </c>
      <c r="AE68" s="81"/>
      <c r="AF68" s="220"/>
    </row>
    <row r="69" spans="2:32">
      <c r="B69" s="357" t="s">
        <v>1006</v>
      </c>
      <c r="D69" s="212" t="str">
        <f>"IND"&amp;RIGHT(H69,4)&amp;RIGHT(G69,3)&amp;"N"&amp;RIGHT(E69,1)</f>
        <v>INDRDPHELCN7</v>
      </c>
      <c r="E69" s="261" t="str">
        <f>"Industrial heating technology "&amp;$AJ$12&amp;" "&amp;RIGHT(H69,2)&amp;" - Infrared heating - new 7"</f>
        <v>Industrial heating technology Paper &amp; Pulp PH - Infrared heating - new 7</v>
      </c>
      <c r="F69" s="224" t="s">
        <v>1149</v>
      </c>
      <c r="G69" s="173" t="s">
        <v>499</v>
      </c>
      <c r="H69" s="174" t="str">
        <f>$AI$14</f>
        <v>IRDPH</v>
      </c>
      <c r="I69" s="173" t="str">
        <f t="shared" si="22"/>
        <v>INDRWH</v>
      </c>
      <c r="J69" s="224">
        <f t="shared" si="32"/>
        <v>2011</v>
      </c>
      <c r="K69" s="299">
        <v>2020</v>
      </c>
      <c r="L69" s="199">
        <f t="shared" ca="1" si="23"/>
        <v>0.96</v>
      </c>
      <c r="M69" s="199"/>
      <c r="N69" s="81">
        <f ca="1">VLOOKUP($AD69,INDIRECT("'"&amp;$B69&amp;"'!"&amp;"$P$39:$AD$42"),5,FALSE)</f>
        <v>30</v>
      </c>
      <c r="O69" s="723">
        <f t="shared" ca="1" si="24"/>
        <v>2.6074999999999999</v>
      </c>
      <c r="P69" s="723">
        <f t="shared" ca="1" si="25"/>
        <v>0</v>
      </c>
      <c r="Q69" s="81">
        <f t="shared" ca="1" si="26"/>
        <v>242.27606944444443</v>
      </c>
      <c r="R69" s="81">
        <v>3.1536000000000002E-2</v>
      </c>
      <c r="S69" s="199">
        <v>0.5</v>
      </c>
      <c r="T69" s="199">
        <f ca="1">HLOOKUP($S$2,INDIRECT("'"&amp;$B69&amp;"'!"&amp;"$P$6:$AC$19"),IF(H69=$AI$13,6,IF(H69=$AI$14,9,14)),FALSE)</f>
        <v>0</v>
      </c>
      <c r="U69" s="772"/>
      <c r="V69" s="199">
        <f t="shared" ref="V69" ca="1" si="36">IF(IF(RIGHT(H69,2)="PH",(1-L69)+$W$2,IF(RIGHT(H69,2)="HT",(1-L69)+$W$1,IF(RIGHT(H69,2)="SH",(1-L69)+$W$3,"")))&gt;0,IF(RIGHT(H69,2)="PH",(1-L69)+$W$2,IF(RIGHT(H69,2)="HT",(1-L69)+$W$1,IF(RIGHT(H69,2)="SH",(1-L69)+$W$3,""))),0)</f>
        <v>0.24000000000000005</v>
      </c>
      <c r="W69" s="298"/>
      <c r="X69" s="698">
        <f t="shared" ca="1" si="27"/>
        <v>0</v>
      </c>
      <c r="Y69" s="81">
        <f t="shared" ca="1" si="28"/>
        <v>0</v>
      </c>
      <c r="Z69" s="81">
        <f t="shared" ca="1" si="29"/>
        <v>0</v>
      </c>
      <c r="AA69" s="81">
        <f t="shared" ca="1" si="30"/>
        <v>0</v>
      </c>
      <c r="AB69" s="81">
        <f t="shared" ca="1" si="31"/>
        <v>0</v>
      </c>
      <c r="AD69" s="81">
        <v>2020</v>
      </c>
      <c r="AE69" s="81"/>
      <c r="AF69" s="220"/>
    </row>
    <row r="70" spans="2:32">
      <c r="B70" s="357" t="s">
        <v>1006</v>
      </c>
      <c r="D70" s="212"/>
      <c r="E70" s="212"/>
      <c r="F70" s="224" t="s">
        <v>1149</v>
      </c>
      <c r="H70" s="174"/>
      <c r="I70" s="173" t="str">
        <f t="shared" si="22"/>
        <v>INDRWH</v>
      </c>
      <c r="J70" s="224">
        <f t="shared" si="32"/>
        <v>2030</v>
      </c>
      <c r="K70" s="81"/>
      <c r="L70" s="199">
        <f t="shared" ca="1" si="23"/>
        <v>0.96</v>
      </c>
      <c r="M70" s="199"/>
      <c r="N70" s="81"/>
      <c r="O70" s="723">
        <f t="shared" ca="1" si="24"/>
        <v>2.5330000000000004</v>
      </c>
      <c r="P70" s="723">
        <f t="shared" ca="1" si="25"/>
        <v>0</v>
      </c>
      <c r="Q70" s="81">
        <f t="shared" ca="1" si="26"/>
        <v>242.28020833333332</v>
      </c>
      <c r="R70" s="300"/>
      <c r="S70" s="300"/>
      <c r="T70" s="300"/>
      <c r="U70" s="300"/>
      <c r="V70" s="199">
        <f t="shared" ref="V70" ca="1" si="37">IF(IF(RIGHT(H69,2)="PH",(1-L70)+$W$2,IF(RIGHT(H69,2)="HT",(1-L70)+$W$1,IF(RIGHT(H69,2)="SH",(1-L70)+$W$3,"")))&gt;0,IF(RIGHT(H69,2)="PH",(1-L70)+$W$2,IF(RIGHT(H69,2)="HT",(1-L70)+$W$1,IF(RIGHT(H69,2)="SH",(1-L70)+$W$3,""))),0)</f>
        <v>0.24000000000000005</v>
      </c>
      <c r="W70" s="298"/>
      <c r="X70" s="698">
        <f t="shared" ca="1" si="27"/>
        <v>0</v>
      </c>
      <c r="Y70" s="81">
        <f t="shared" ca="1" si="28"/>
        <v>0</v>
      </c>
      <c r="Z70" s="81">
        <f t="shared" ca="1" si="29"/>
        <v>0</v>
      </c>
      <c r="AA70" s="81">
        <f t="shared" ca="1" si="30"/>
        <v>0</v>
      </c>
      <c r="AB70" s="81">
        <f t="shared" ca="1" si="31"/>
        <v>0</v>
      </c>
      <c r="AD70" s="81">
        <v>2030</v>
      </c>
      <c r="AE70" s="81"/>
      <c r="AF70" s="220"/>
    </row>
    <row r="71" spans="2:32">
      <c r="B71" s="357" t="s">
        <v>1006</v>
      </c>
      <c r="D71" s="212"/>
      <c r="E71" s="212"/>
      <c r="F71" s="224" t="s">
        <v>1149</v>
      </c>
      <c r="H71" s="174"/>
      <c r="I71" s="174" t="str">
        <f t="shared" si="22"/>
        <v>INDRWH</v>
      </c>
      <c r="J71" s="224">
        <f t="shared" si="32"/>
        <v>2050</v>
      </c>
      <c r="K71" s="81"/>
      <c r="L71" s="199">
        <f t="shared" ca="1" si="23"/>
        <v>0.96</v>
      </c>
      <c r="M71" s="199"/>
      <c r="N71" s="81"/>
      <c r="O71" s="723">
        <f t="shared" ca="1" si="24"/>
        <v>2.3467500000000001</v>
      </c>
      <c r="P71" s="723">
        <f t="shared" ca="1" si="25"/>
        <v>0</v>
      </c>
      <c r="Q71" s="81">
        <f t="shared" ca="1" si="26"/>
        <v>242.28227777777775</v>
      </c>
      <c r="R71" s="300"/>
      <c r="S71" s="300"/>
      <c r="T71" s="300"/>
      <c r="U71" s="300"/>
      <c r="V71" s="199">
        <f t="shared" ref="V71" ca="1" si="38">IF(IF(RIGHT(H69,2)="PH",(1-L71)+$W$2,IF(RIGHT(H69,2)="HT",(1-L71)+$W$1,IF(RIGHT(H69,2)="SH",(1-L71)+$W$3,"")))&gt;0,IF(RIGHT(H69,2)="PH",(1-L71)+$W$2,IF(RIGHT(H69,2)="HT",(1-L71)+$W$1,IF(RIGHT(H69,2)="SH",(1-L71)+$W$3,""))),0)</f>
        <v>0.24000000000000005</v>
      </c>
      <c r="W71" s="298"/>
      <c r="X71" s="698">
        <f t="shared" ca="1" si="27"/>
        <v>0</v>
      </c>
      <c r="Y71" s="81">
        <f t="shared" ca="1" si="28"/>
        <v>0</v>
      </c>
      <c r="Z71" s="81">
        <f t="shared" ca="1" si="29"/>
        <v>0</v>
      </c>
      <c r="AA71" s="81">
        <f t="shared" ca="1" si="30"/>
        <v>0</v>
      </c>
      <c r="AB71" s="81">
        <f t="shared" ca="1" si="31"/>
        <v>0</v>
      </c>
      <c r="AD71" s="81">
        <v>2050</v>
      </c>
      <c r="AE71" s="81"/>
      <c r="AF71" s="220"/>
    </row>
    <row r="72" spans="2:32">
      <c r="B72" s="357" t="s">
        <v>1007</v>
      </c>
      <c r="D72" s="212" t="str">
        <f>"IND"&amp;RIGHT(H72,4)&amp;RIGHT(G72,3)&amp;"N"&amp;RIGHT(E72,1)</f>
        <v>INDRDPHELCN8</v>
      </c>
      <c r="E72" s="261" t="str">
        <f>"Industrial heating technology "&amp;$AJ$12&amp;" "&amp;RIGHT(H72,2)&amp;" - Electric boiler (Steam) - new 8"</f>
        <v>Industrial heating technology Paper &amp; Pulp PH - Electric boiler (Steam) - new 8</v>
      </c>
      <c r="F72" s="224" t="s">
        <v>1149</v>
      </c>
      <c r="G72" s="173" t="s">
        <v>499</v>
      </c>
      <c r="H72" s="174" t="str">
        <f>$AI$13</f>
        <v>IRDPH</v>
      </c>
      <c r="I72" s="174" t="str">
        <f t="shared" si="22"/>
        <v>INDRWH</v>
      </c>
      <c r="J72" s="224">
        <f t="shared" si="32"/>
        <v>2011</v>
      </c>
      <c r="K72" s="299">
        <v>2020</v>
      </c>
      <c r="L72" s="199">
        <f t="shared" ca="1" si="23"/>
        <v>0.99</v>
      </c>
      <c r="M72" s="199"/>
      <c r="N72" s="81">
        <f ca="1">VLOOKUP($AD72,INDIRECT("'"&amp;$B72&amp;"'!"&amp;"$P$39:$AD$42"),5,FALSE)</f>
        <v>25</v>
      </c>
      <c r="O72" s="723">
        <f t="shared" ca="1" si="24"/>
        <v>0.59599999999999997</v>
      </c>
      <c r="P72" s="723">
        <f t="shared" ca="1" si="25"/>
        <v>7.9714999999999994E-3</v>
      </c>
      <c r="Q72" s="81">
        <f t="shared" ca="1" si="26"/>
        <v>1.7900694444444445</v>
      </c>
      <c r="R72" s="81">
        <v>3.1536000000000002E-2</v>
      </c>
      <c r="S72" s="199">
        <v>0.5</v>
      </c>
      <c r="T72" s="199">
        <f ca="1">HLOOKUP($T$2,INDIRECT("'"&amp;$B72&amp;"'!"&amp;"$P$6:$AC$19"),IF(H72=$AI$13,6,IF(H72=$AI$14,9,14)),FALSE)</f>
        <v>1</v>
      </c>
      <c r="U72" s="772"/>
      <c r="V72" s="199">
        <f t="shared" ref="V72" ca="1" si="39">IF(IF(RIGHT(H72,2)="PH",(1-L72)+$W$2,IF(RIGHT(H72,2)="HT",(1-L72)+$W$1,IF(RIGHT(H72,2)="SH",(1-L72)+$W$3,"")))&gt;0,IF(RIGHT(H72,2)="PH",(1-L72)+$W$2,IF(RIGHT(H72,2)="HT",(1-L72)+$W$1,IF(RIGHT(H72,2)="SH",(1-L72)+$W$3,""))),0)</f>
        <v>0.21000000000000002</v>
      </c>
      <c r="W72" s="298"/>
      <c r="X72" s="698">
        <f t="shared" ca="1" si="27"/>
        <v>0</v>
      </c>
      <c r="Y72" s="81">
        <f t="shared" ca="1" si="28"/>
        <v>0</v>
      </c>
      <c r="Z72" s="81">
        <f t="shared" ca="1" si="29"/>
        <v>0</v>
      </c>
      <c r="AA72" s="81">
        <f t="shared" ca="1" si="30"/>
        <v>0</v>
      </c>
      <c r="AB72" s="81">
        <f t="shared" ca="1" si="31"/>
        <v>0</v>
      </c>
      <c r="AD72" s="81">
        <v>2020</v>
      </c>
      <c r="AE72" s="81"/>
      <c r="AF72" s="220"/>
    </row>
    <row r="73" spans="2:32">
      <c r="B73" s="357" t="s">
        <v>1007</v>
      </c>
      <c r="D73" s="212"/>
      <c r="E73" s="212"/>
      <c r="F73" s="224" t="s">
        <v>1149</v>
      </c>
      <c r="H73" s="174"/>
      <c r="I73" s="174" t="str">
        <f t="shared" si="22"/>
        <v>INDRWH</v>
      </c>
      <c r="J73" s="224">
        <f t="shared" si="32"/>
        <v>2030</v>
      </c>
      <c r="K73" s="81"/>
      <c r="L73" s="199">
        <f t="shared" ca="1" si="23"/>
        <v>0.99</v>
      </c>
      <c r="M73" s="199"/>
      <c r="N73" s="81"/>
      <c r="O73" s="723">
        <f t="shared" ca="1" si="24"/>
        <v>0.52150000000000007</v>
      </c>
      <c r="P73" s="723">
        <f t="shared" ca="1" si="25"/>
        <v>7.5989999999999999E-3</v>
      </c>
      <c r="Q73" s="81">
        <f t="shared" ca="1" si="26"/>
        <v>1.8107638888888888</v>
      </c>
      <c r="R73" s="300"/>
      <c r="S73" s="300"/>
      <c r="T73" s="300"/>
      <c r="U73" s="300"/>
      <c r="V73" s="199">
        <f t="shared" ref="V73" ca="1" si="40">IF(IF(RIGHT(H72,2)="PH",(1-L73)+$W$2,IF(RIGHT(H72,2)="HT",(1-L73)+$W$1,IF(RIGHT(H72,2)="SH",(1-L73)+$W$3,"")))&gt;0,IF(RIGHT(H72,2)="PH",(1-L73)+$W$2,IF(RIGHT(H72,2)="HT",(1-L73)+$W$1,IF(RIGHT(H72,2)="SH",(1-L73)+$W$3,""))),0)</f>
        <v>0.21000000000000002</v>
      </c>
      <c r="W73" s="298"/>
      <c r="X73" s="698">
        <f t="shared" ca="1" si="27"/>
        <v>0</v>
      </c>
      <c r="Y73" s="81">
        <f t="shared" ca="1" si="28"/>
        <v>0</v>
      </c>
      <c r="Z73" s="81">
        <f t="shared" ca="1" si="29"/>
        <v>0</v>
      </c>
      <c r="AA73" s="81">
        <f t="shared" ca="1" si="30"/>
        <v>0</v>
      </c>
      <c r="AB73" s="81">
        <f t="shared" ca="1" si="31"/>
        <v>0</v>
      </c>
      <c r="AD73" s="81">
        <v>2030</v>
      </c>
      <c r="AE73" s="81"/>
      <c r="AF73" s="220"/>
    </row>
    <row r="74" spans="2:32">
      <c r="B74" s="357" t="s">
        <v>1007</v>
      </c>
      <c r="D74" s="212"/>
      <c r="E74" s="212"/>
      <c r="F74" s="224" t="s">
        <v>1149</v>
      </c>
      <c r="H74" s="174"/>
      <c r="I74" s="174" t="str">
        <f t="shared" si="22"/>
        <v>INDRWH</v>
      </c>
      <c r="J74" s="224">
        <f t="shared" si="32"/>
        <v>2050</v>
      </c>
      <c r="K74" s="81"/>
      <c r="L74" s="199">
        <f t="shared" ca="1" si="23"/>
        <v>0.99</v>
      </c>
      <c r="M74" s="199"/>
      <c r="N74" s="81"/>
      <c r="O74" s="723">
        <f t="shared" ca="1" si="24"/>
        <v>0.52150000000000007</v>
      </c>
      <c r="P74" s="723">
        <f t="shared" ca="1" si="25"/>
        <v>6.8539999999999998E-3</v>
      </c>
      <c r="Q74" s="81">
        <f t="shared" ca="1" si="26"/>
        <v>1.6141666666666665</v>
      </c>
      <c r="R74" s="300"/>
      <c r="S74" s="300"/>
      <c r="T74" s="300"/>
      <c r="U74" s="300"/>
      <c r="V74" s="199">
        <f t="shared" ref="V74" ca="1" si="41">IF(IF(RIGHT(H72,2)="PH",(1-L74)+$W$2,IF(RIGHT(H72,2)="HT",(1-L74)+$W$1,IF(RIGHT(H72,2)="SH",(1-L74)+$W$3,"")))&gt;0,IF(RIGHT(H72,2)="PH",(1-L74)+$W$2,IF(RIGHT(H72,2)="HT",(1-L74)+$W$1,IF(RIGHT(H72,2)="SH",(1-L74)+$W$3,""))),0)</f>
        <v>0.21000000000000002</v>
      </c>
      <c r="W74" s="298"/>
      <c r="X74" s="698">
        <f t="shared" ca="1" si="27"/>
        <v>0</v>
      </c>
      <c r="Y74" s="81">
        <f t="shared" ca="1" si="28"/>
        <v>0</v>
      </c>
      <c r="Z74" s="81">
        <f t="shared" ca="1" si="29"/>
        <v>0</v>
      </c>
      <c r="AA74" s="81">
        <f t="shared" ca="1" si="30"/>
        <v>0</v>
      </c>
      <c r="AB74" s="81">
        <f t="shared" ca="1" si="31"/>
        <v>0</v>
      </c>
      <c r="AD74" s="81">
        <v>2050</v>
      </c>
      <c r="AE74" s="81"/>
      <c r="AF74" s="220"/>
    </row>
    <row r="75" spans="2:32">
      <c r="B75" s="357" t="s">
        <v>1007</v>
      </c>
      <c r="D75" s="212" t="str">
        <f>"IND"&amp;RIGHT(H75,4)&amp;RIGHT(G75,3)&amp;"N"&amp;RIGHT(E75,1)</f>
        <v>INDRDPHELCN8</v>
      </c>
      <c r="E75" s="261" t="str">
        <f>"Industrial heating technology "&amp;$AJ$12&amp;" "&amp;RIGHT(H75,2)&amp;" - Electric boiler (Steam) - new 8"</f>
        <v>Industrial heating technology Paper &amp; Pulp PH - Electric boiler (Steam) - new 8</v>
      </c>
      <c r="F75" s="224" t="s">
        <v>1149</v>
      </c>
      <c r="G75" s="173" t="s">
        <v>499</v>
      </c>
      <c r="H75" s="174" t="str">
        <f>$AI$14</f>
        <v>IRDPH</v>
      </c>
      <c r="I75" s="174" t="str">
        <f t="shared" si="22"/>
        <v>INDRWH</v>
      </c>
      <c r="J75" s="224">
        <f t="shared" si="32"/>
        <v>2011</v>
      </c>
      <c r="K75" s="299">
        <v>2020</v>
      </c>
      <c r="L75" s="199">
        <f t="shared" ca="1" si="23"/>
        <v>0.99</v>
      </c>
      <c r="M75" s="199"/>
      <c r="N75" s="81">
        <f ca="1">VLOOKUP($AD75,INDIRECT("'"&amp;$B75&amp;"'!"&amp;"$P$39:$AD$42"),5,FALSE)</f>
        <v>25</v>
      </c>
      <c r="O75" s="723">
        <f t="shared" ca="1" si="24"/>
        <v>0.59599999999999997</v>
      </c>
      <c r="P75" s="723">
        <f t="shared" ca="1" si="25"/>
        <v>7.9714999999999994E-3</v>
      </c>
      <c r="Q75" s="81">
        <f t="shared" ca="1" si="26"/>
        <v>1.7900694444444445</v>
      </c>
      <c r="R75" s="81">
        <v>3.1536000000000002E-2</v>
      </c>
      <c r="S75" s="199">
        <v>0.5</v>
      </c>
      <c r="T75" s="199">
        <f ca="1">HLOOKUP($T$2,INDIRECT("'"&amp;$B75&amp;"'!"&amp;"$P$6:$AC$19"),IF(H75=$AI$13,6,IF(H75=$AI$14,9,14)),FALSE)</f>
        <v>1</v>
      </c>
      <c r="U75" s="772"/>
      <c r="V75" s="199">
        <f t="shared" ref="V75" ca="1" si="42">IF(IF(RIGHT(H75,2)="PH",(1-L75)+$W$2,IF(RIGHT(H75,2)="HT",(1-L75)+$W$1,IF(RIGHT(H75,2)="SH",(1-L75)+$W$3,"")))&gt;0,IF(RIGHT(H75,2)="PH",(1-L75)+$W$2,IF(RIGHT(H75,2)="HT",(1-L75)+$W$1,IF(RIGHT(H75,2)="SH",(1-L75)+$W$3,""))),0)</f>
        <v>0.21000000000000002</v>
      </c>
      <c r="W75" s="298"/>
      <c r="X75" s="698">
        <f t="shared" ca="1" si="27"/>
        <v>0</v>
      </c>
      <c r="Y75" s="81">
        <f t="shared" ca="1" si="28"/>
        <v>0</v>
      </c>
      <c r="Z75" s="81">
        <f t="shared" ca="1" si="29"/>
        <v>0</v>
      </c>
      <c r="AA75" s="81">
        <f t="shared" ca="1" si="30"/>
        <v>0</v>
      </c>
      <c r="AB75" s="81">
        <f t="shared" ca="1" si="31"/>
        <v>0</v>
      </c>
      <c r="AD75" s="81">
        <v>2020</v>
      </c>
      <c r="AE75" s="81"/>
      <c r="AF75" s="220"/>
    </row>
    <row r="76" spans="2:32">
      <c r="B76" s="357" t="s">
        <v>1007</v>
      </c>
      <c r="D76" s="212"/>
      <c r="E76" s="212"/>
      <c r="F76" s="224" t="s">
        <v>1149</v>
      </c>
      <c r="H76" s="174"/>
      <c r="I76" s="174" t="str">
        <f t="shared" si="22"/>
        <v>INDRWH</v>
      </c>
      <c r="J76" s="224">
        <f t="shared" si="32"/>
        <v>2030</v>
      </c>
      <c r="K76" s="81"/>
      <c r="L76" s="199">
        <f t="shared" ca="1" si="23"/>
        <v>0.99</v>
      </c>
      <c r="M76" s="199"/>
      <c r="N76" s="81"/>
      <c r="O76" s="723">
        <f t="shared" ca="1" si="24"/>
        <v>0.52150000000000007</v>
      </c>
      <c r="P76" s="723">
        <f t="shared" ca="1" si="25"/>
        <v>7.5989999999999999E-3</v>
      </c>
      <c r="Q76" s="81">
        <f t="shared" ca="1" si="26"/>
        <v>1.8107638888888888</v>
      </c>
      <c r="R76" s="300"/>
      <c r="S76" s="300"/>
      <c r="T76" s="300"/>
      <c r="U76" s="300"/>
      <c r="V76" s="199">
        <f t="shared" ref="V76" ca="1" si="43">IF(IF(RIGHT(H75,2)="PH",(1-L76)+$W$2,IF(RIGHT(H75,2)="HT",(1-L76)+$W$1,IF(RIGHT(H75,2)="SH",(1-L76)+$W$3,"")))&gt;0,IF(RIGHT(H75,2)="PH",(1-L76)+$W$2,IF(RIGHT(H75,2)="HT",(1-L76)+$W$1,IF(RIGHT(H75,2)="SH",(1-L76)+$W$3,""))),0)</f>
        <v>0.21000000000000002</v>
      </c>
      <c r="W76" s="298"/>
      <c r="X76" s="698">
        <f t="shared" ca="1" si="27"/>
        <v>0</v>
      </c>
      <c r="Y76" s="81">
        <f t="shared" ca="1" si="28"/>
        <v>0</v>
      </c>
      <c r="Z76" s="81">
        <f t="shared" ca="1" si="29"/>
        <v>0</v>
      </c>
      <c r="AA76" s="81">
        <f t="shared" ca="1" si="30"/>
        <v>0</v>
      </c>
      <c r="AB76" s="81">
        <f t="shared" ca="1" si="31"/>
        <v>0</v>
      </c>
      <c r="AD76" s="81">
        <v>2030</v>
      </c>
      <c r="AE76" s="81"/>
      <c r="AF76" s="220"/>
    </row>
    <row r="77" spans="2:32">
      <c r="B77" s="357" t="s">
        <v>1007</v>
      </c>
      <c r="D77" s="212"/>
      <c r="E77" s="212"/>
      <c r="F77" s="224" t="s">
        <v>1149</v>
      </c>
      <c r="H77" s="174"/>
      <c r="I77" s="174" t="str">
        <f t="shared" si="22"/>
        <v>INDRWH</v>
      </c>
      <c r="J77" s="224">
        <f t="shared" si="32"/>
        <v>2050</v>
      </c>
      <c r="K77" s="81"/>
      <c r="L77" s="199">
        <f t="shared" ca="1" si="23"/>
        <v>0.99</v>
      </c>
      <c r="M77" s="199"/>
      <c r="N77" s="81"/>
      <c r="O77" s="723">
        <f t="shared" ca="1" si="24"/>
        <v>0.52150000000000007</v>
      </c>
      <c r="P77" s="723">
        <f t="shared" ca="1" si="25"/>
        <v>6.8539999999999998E-3</v>
      </c>
      <c r="Q77" s="81">
        <f t="shared" ca="1" si="26"/>
        <v>1.6141666666666665</v>
      </c>
      <c r="R77" s="300"/>
      <c r="S77" s="300"/>
      <c r="T77" s="300"/>
      <c r="U77" s="300"/>
      <c r="V77" s="199">
        <f t="shared" ref="V77" ca="1" si="44">IF(IF(RIGHT(H75,2)="PH",(1-L77)+$W$2,IF(RIGHT(H75,2)="HT",(1-L77)+$W$1,IF(RIGHT(H75,2)="SH",(1-L77)+$W$3,"")))&gt;0,IF(RIGHT(H75,2)="PH",(1-L77)+$W$2,IF(RIGHT(H75,2)="HT",(1-L77)+$W$1,IF(RIGHT(H75,2)="SH",(1-L77)+$W$3,""))),0)</f>
        <v>0.21000000000000002</v>
      </c>
      <c r="W77" s="298"/>
      <c r="X77" s="698">
        <f t="shared" ca="1" si="27"/>
        <v>0</v>
      </c>
      <c r="Y77" s="81">
        <f t="shared" ca="1" si="28"/>
        <v>0</v>
      </c>
      <c r="Z77" s="81">
        <f t="shared" ca="1" si="29"/>
        <v>0</v>
      </c>
      <c r="AA77" s="81">
        <f t="shared" ca="1" si="30"/>
        <v>0</v>
      </c>
      <c r="AB77" s="81">
        <f t="shared" ca="1" si="31"/>
        <v>0</v>
      </c>
      <c r="AD77" s="81">
        <v>2050</v>
      </c>
      <c r="AE77" s="706"/>
      <c r="AF77" s="220"/>
    </row>
    <row r="78" spans="2:32">
      <c r="B78" s="357" t="s">
        <v>1007</v>
      </c>
      <c r="D78" s="212" t="str">
        <f>"IND"&amp;RIGHT(H78,4)&amp;RIGHT(G78,3)&amp;"N"&amp;RIGHT(E78,1)</f>
        <v>INDRDSHELCN8</v>
      </c>
      <c r="E78" s="261" t="str">
        <f>"Industrial heating technology "&amp;$AJ$12&amp;" "&amp;RIGHT(H78,2)&amp;" - Electric boiler (Steam) - new 8"</f>
        <v>Industrial heating technology Paper &amp; Pulp SH - Electric boiler (Steam) - new 8</v>
      </c>
      <c r="F78" s="224" t="s">
        <v>1149</v>
      </c>
      <c r="G78" s="173" t="s">
        <v>499</v>
      </c>
      <c r="H78" s="174" t="str">
        <f>$AI$15</f>
        <v>IRDSH</v>
      </c>
      <c r="I78" s="174" t="str">
        <f t="shared" si="22"/>
        <v>INDRWH</v>
      </c>
      <c r="J78" s="224">
        <f t="shared" si="32"/>
        <v>2011</v>
      </c>
      <c r="K78" s="299">
        <v>2020</v>
      </c>
      <c r="L78" s="199">
        <f t="shared" ca="1" si="23"/>
        <v>0.99</v>
      </c>
      <c r="M78" s="199"/>
      <c r="N78" s="81">
        <f ca="1">VLOOKUP($AD78,INDIRECT("'"&amp;$B78&amp;"'!"&amp;"$P$39:$AD$42"),5,FALSE)</f>
        <v>25</v>
      </c>
      <c r="O78" s="723">
        <f t="shared" ca="1" si="24"/>
        <v>0.59599999999999997</v>
      </c>
      <c r="P78" s="723">
        <f t="shared" ca="1" si="25"/>
        <v>7.9714999999999994E-3</v>
      </c>
      <c r="Q78" s="81">
        <f t="shared" ca="1" si="26"/>
        <v>1.7900694444444445</v>
      </c>
      <c r="R78" s="81">
        <v>3.1536000000000002E-2</v>
      </c>
      <c r="S78" s="199">
        <v>0.5</v>
      </c>
      <c r="T78" s="199">
        <f ca="1">HLOOKUP($T$2,INDIRECT("'"&amp;$B78&amp;"'!"&amp;"$P$6:$AC$19"),IF(H78=$AI$13,6,IF(H78=$AI$14,9,14)),FALSE)</f>
        <v>1</v>
      </c>
      <c r="U78" s="772"/>
      <c r="V78" s="199">
        <f t="shared" ref="V78" ca="1" si="45">IF(IF(RIGHT(H78,2)="PH",(1-L78)+$W$2,IF(RIGHT(H78,2)="HT",(1-L78)+$W$1,IF(RIGHT(H78,2)="SH",(1-L78)+$W$3,"")))&gt;0,IF(RIGHT(H78,2)="PH",(1-L78)+$W$2,IF(RIGHT(H78,2)="HT",(1-L78)+$W$1,IF(RIGHT(H78,2)="SH",(1-L78)+$W$3,""))),0)</f>
        <v>1.0000000000000009E-2</v>
      </c>
      <c r="W78" s="298"/>
      <c r="X78" s="698">
        <f t="shared" ca="1" si="27"/>
        <v>0</v>
      </c>
      <c r="Y78" s="81">
        <f t="shared" ca="1" si="28"/>
        <v>0</v>
      </c>
      <c r="Z78" s="81">
        <f t="shared" ca="1" si="29"/>
        <v>0</v>
      </c>
      <c r="AA78" s="81">
        <f t="shared" ca="1" si="30"/>
        <v>0</v>
      </c>
      <c r="AB78" s="81">
        <f t="shared" ca="1" si="31"/>
        <v>0</v>
      </c>
      <c r="AC78" s="296"/>
      <c r="AD78" s="81">
        <v>2020</v>
      </c>
      <c r="AE78" s="81"/>
      <c r="AF78" s="710"/>
    </row>
    <row r="79" spans="2:32">
      <c r="B79" s="357" t="s">
        <v>1007</v>
      </c>
      <c r="D79" s="212"/>
      <c r="E79" s="212"/>
      <c r="F79" s="224" t="s">
        <v>1149</v>
      </c>
      <c r="H79" s="174"/>
      <c r="I79" s="174" t="str">
        <f t="shared" si="22"/>
        <v>INDRWH</v>
      </c>
      <c r="J79" s="224">
        <f t="shared" si="32"/>
        <v>2030</v>
      </c>
      <c r="K79" s="81"/>
      <c r="L79" s="199">
        <f t="shared" ca="1" si="23"/>
        <v>0.99</v>
      </c>
      <c r="M79" s="199"/>
      <c r="N79" s="81"/>
      <c r="O79" s="723">
        <f t="shared" ca="1" si="24"/>
        <v>0.52150000000000007</v>
      </c>
      <c r="P79" s="723">
        <f t="shared" ca="1" si="25"/>
        <v>7.5989999999999999E-3</v>
      </c>
      <c r="Q79" s="81">
        <f t="shared" ca="1" si="26"/>
        <v>1.8107638888888888</v>
      </c>
      <c r="R79" s="300"/>
      <c r="S79" s="300"/>
      <c r="T79" s="300"/>
      <c r="U79" s="300"/>
      <c r="V79" s="199">
        <f t="shared" ref="V79" ca="1" si="46">IF(IF(RIGHT(H78,2)="PH",(1-L79)+$W$2,IF(RIGHT(H78,2)="HT",(1-L79)+$W$1,IF(RIGHT(H78,2)="SH",(1-L79)+$W$3,"")))&gt;0,IF(RIGHT(H78,2)="PH",(1-L79)+$W$2,IF(RIGHT(H78,2)="HT",(1-L79)+$W$1,IF(RIGHT(H78,2)="SH",(1-L79)+$W$3,""))),0)</f>
        <v>1.0000000000000009E-2</v>
      </c>
      <c r="W79" s="298"/>
      <c r="X79" s="698">
        <f t="shared" ca="1" si="27"/>
        <v>0</v>
      </c>
      <c r="Y79" s="81">
        <f t="shared" ca="1" si="28"/>
        <v>0</v>
      </c>
      <c r="Z79" s="81">
        <f t="shared" ca="1" si="29"/>
        <v>0</v>
      </c>
      <c r="AA79" s="81">
        <f t="shared" ca="1" si="30"/>
        <v>0</v>
      </c>
      <c r="AB79" s="81">
        <f t="shared" ca="1" si="31"/>
        <v>0</v>
      </c>
      <c r="AC79" s="55"/>
      <c r="AD79" s="81">
        <v>2030</v>
      </c>
      <c r="AE79" s="81"/>
      <c r="AF79" s="700"/>
    </row>
    <row r="80" spans="2:32">
      <c r="B80" s="357" t="s">
        <v>1007</v>
      </c>
      <c r="D80" s="212"/>
      <c r="E80" s="212"/>
      <c r="F80" s="224" t="s">
        <v>1149</v>
      </c>
      <c r="H80" s="174"/>
      <c r="I80" s="174" t="str">
        <f t="shared" si="22"/>
        <v>INDRWH</v>
      </c>
      <c r="J80" s="224">
        <f t="shared" si="32"/>
        <v>2050</v>
      </c>
      <c r="K80" s="706"/>
      <c r="L80" s="199">
        <f t="shared" ca="1" si="23"/>
        <v>0.99</v>
      </c>
      <c r="M80" s="774"/>
      <c r="N80" s="706"/>
      <c r="O80" s="724">
        <f t="shared" ca="1" si="24"/>
        <v>0.52150000000000007</v>
      </c>
      <c r="P80" s="724">
        <f t="shared" ca="1" si="25"/>
        <v>6.8539999999999998E-3</v>
      </c>
      <c r="Q80" s="706">
        <f t="shared" ca="1" si="26"/>
        <v>1.6141666666666665</v>
      </c>
      <c r="R80" s="300"/>
      <c r="S80" s="300"/>
      <c r="T80" s="300"/>
      <c r="U80" s="300"/>
      <c r="V80" s="199">
        <f t="shared" ref="V80" ca="1" si="47">IF(IF(RIGHT(H78,2)="PH",(1-L80)+$W$2,IF(RIGHT(H78,2)="HT",(1-L80)+$W$1,IF(RIGHT(H78,2)="SH",(1-L80)+$W$3,"")))&gt;0,IF(RIGHT(H78,2)="PH",(1-L80)+$W$2,IF(RIGHT(H78,2)="HT",(1-L80)+$W$1,IF(RIGHT(H78,2)="SH",(1-L80)+$W$3,""))),0)</f>
        <v>1.0000000000000009E-2</v>
      </c>
      <c r="W80" s="298"/>
      <c r="X80" s="698">
        <f t="shared" ca="1" si="27"/>
        <v>0</v>
      </c>
      <c r="Y80" s="706">
        <f t="shared" ca="1" si="28"/>
        <v>0</v>
      </c>
      <c r="Z80" s="706">
        <f t="shared" ca="1" si="29"/>
        <v>0</v>
      </c>
      <c r="AA80" s="706">
        <f t="shared" ca="1" si="30"/>
        <v>0</v>
      </c>
      <c r="AB80" s="706">
        <f t="shared" ca="1" si="31"/>
        <v>0</v>
      </c>
      <c r="AC80" s="55"/>
      <c r="AD80" s="706">
        <v>2050</v>
      </c>
      <c r="AE80" s="81"/>
      <c r="AF80" s="700"/>
    </row>
    <row r="81" spans="1:33">
      <c r="B81" s="716" t="s">
        <v>1007</v>
      </c>
      <c r="C81" s="296"/>
      <c r="D81" s="707" t="str">
        <f>"IND"&amp;RIGHT(H81,4)&amp;RIGHT(G81,3)&amp;"N"&amp;RIGHT(E81,1)</f>
        <v>INDRDPHELCN9</v>
      </c>
      <c r="E81" s="707" t="str">
        <f>"Industrial heating technology "&amp;$AJ$12&amp;" "&amp;RIGHT(H81,2)&amp;" - Electric boiler (Hot Water) - new 9"</f>
        <v>Industrial heating technology Paper &amp; Pulp PH - Electric boiler (Hot Water) - new 9</v>
      </c>
      <c r="F81" s="224" t="s">
        <v>1149</v>
      </c>
      <c r="G81" s="708" t="s">
        <v>499</v>
      </c>
      <c r="H81" s="708" t="str">
        <f>$AI$14</f>
        <v>IRDPH</v>
      </c>
      <c r="I81" s="708" t="str">
        <f t="shared" si="22"/>
        <v>INDRWH</v>
      </c>
      <c r="J81" s="224">
        <f t="shared" si="32"/>
        <v>2011</v>
      </c>
      <c r="K81" s="299">
        <v>2020</v>
      </c>
      <c r="L81" s="199">
        <f t="shared" ref="L81:L86" ca="1" si="48">VLOOKUP($AD81,INDIRECT("'"&amp;$B81&amp;"'!"&amp;"$P$118:$AD$121"),3,FALSE)</f>
        <v>0.99</v>
      </c>
      <c r="M81" s="199"/>
      <c r="N81" s="81">
        <f ca="1">VLOOKUP($AD81,INDIRECT("'"&amp;$B81&amp;"'!"&amp;"$P$118:$AD$121"),5,FALSE)</f>
        <v>25</v>
      </c>
      <c r="O81" s="723">
        <f t="shared" ref="O81:O86" ca="1" si="49">VLOOKUP($AD81,INDIRECT("'"&amp;$B81&amp;"'!"&amp;"$P$118:$AD$121"),6,FALSE)/1000</f>
        <v>0.52150000000000007</v>
      </c>
      <c r="P81" s="723">
        <f t="shared" ref="P81:P86" ca="1" si="50">VLOOKUP($AD81,INDIRECT("'"&amp;$B81&amp;"'!"&amp;"$P$118:$AD$121"),7,FALSE)/1000</f>
        <v>7.9714999999999994E-3</v>
      </c>
      <c r="Q81" s="81">
        <f t="shared" ref="Q81:Q86" ca="1" si="51">VLOOKUP($AD81,INDIRECT("'"&amp;$B81&amp;"'!"&amp;"$P$118:$AD$121"),8,FALSE)</f>
        <v>1.7900694444444445</v>
      </c>
      <c r="R81" s="81">
        <v>3.1536000000000002E-2</v>
      </c>
      <c r="S81" s="199">
        <v>0.5</v>
      </c>
      <c r="T81" s="199">
        <f ca="1">HLOOKUP($T$2,INDIRECT("'"&amp;$B81&amp;"'!"&amp;"$P$85:$AC$98"),IF(H81=$AI$13,6,IF(H81=$AI$14,9,14)),FALSE)</f>
        <v>0</v>
      </c>
      <c r="U81" s="773"/>
      <c r="V81" s="199">
        <f t="shared" ref="V81" ca="1" si="52">IF(IF(RIGHT(H81,2)="PH",(1-L81)+$W$2,IF(RIGHT(H81,2)="HT",(1-L81)+$W$1,IF(RIGHT(H81,2)="SH",(1-L81)+$W$3,"")))&gt;0,IF(RIGHT(H81,2)="PH",(1-L81)+$W$2,IF(RIGHT(H81,2)="HT",(1-L81)+$W$1,IF(RIGHT(H81,2)="SH",(1-L81)+$W$3,""))),0)</f>
        <v>0.21000000000000002</v>
      </c>
      <c r="W81" s="709"/>
      <c r="X81" s="698">
        <f t="shared" ca="1" si="27"/>
        <v>0</v>
      </c>
      <c r="Y81" s="698">
        <f t="shared" ref="Y81:Y86" ca="1" si="53">VLOOKUP($AD81,INDIRECT("'"&amp;$B81&amp;"'!"&amp;"$P$118:$AD$121"),12,FALSE)</f>
        <v>0</v>
      </c>
      <c r="Z81" s="698">
        <f t="shared" ref="Z81:Z86" ca="1" si="54">VLOOKUP($AD81,INDIRECT("'"&amp;$B81&amp;"'!"&amp;"$P$118:$AD$121"),13,FALSE)</f>
        <v>0</v>
      </c>
      <c r="AA81" s="698">
        <f t="shared" ref="AA81:AA86" ca="1" si="55">VLOOKUP($AD81,INDIRECT("'"&amp;$B81&amp;"'!"&amp;"$P$118:$AD$121"),14,FALSE)</f>
        <v>0</v>
      </c>
      <c r="AB81" s="698">
        <f t="shared" ref="AB81:AB86" ca="1" si="56">VLOOKUP($AD81,INDIRECT("'"&amp;$B81&amp;"'!"&amp;"$P$118:$AD$121"),15,FALSE)</f>
        <v>0</v>
      </c>
      <c r="AC81" s="55"/>
      <c r="AD81" s="81">
        <v>2020</v>
      </c>
      <c r="AE81" s="81"/>
      <c r="AF81" s="700"/>
    </row>
    <row r="82" spans="1:33">
      <c r="B82" s="357" t="s">
        <v>1007</v>
      </c>
      <c r="C82" s="55"/>
      <c r="D82" s="261"/>
      <c r="E82" s="261"/>
      <c r="F82" s="224" t="s">
        <v>1149</v>
      </c>
      <c r="G82" s="55"/>
      <c r="H82" s="174"/>
      <c r="I82" s="174" t="str">
        <f t="shared" si="22"/>
        <v>INDRWH</v>
      </c>
      <c r="J82" s="224">
        <f t="shared" si="32"/>
        <v>2030</v>
      </c>
      <c r="K82" s="81"/>
      <c r="L82" s="199">
        <f t="shared" ca="1" si="48"/>
        <v>0.99</v>
      </c>
      <c r="M82" s="199"/>
      <c r="N82" s="81"/>
      <c r="O82" s="723">
        <f t="shared" ca="1" si="49"/>
        <v>0.44700000000000001</v>
      </c>
      <c r="P82" s="723">
        <f t="shared" ca="1" si="50"/>
        <v>7.5989999999999999E-3</v>
      </c>
      <c r="Q82" s="81">
        <f t="shared" ca="1" si="51"/>
        <v>1.8107638888888888</v>
      </c>
      <c r="R82" s="300"/>
      <c r="S82" s="300"/>
      <c r="T82" s="300"/>
      <c r="U82" s="300"/>
      <c r="V82" s="199">
        <f t="shared" ref="V82" ca="1" si="57">IF(IF(RIGHT(H81,2)="PH",(1-L82)+$W$2,IF(RIGHT(H81,2)="HT",(1-L82)+$W$1,IF(RIGHT(H81,2)="SH",(1-L82)+$W$3,"")))&gt;0,IF(RIGHT(H81,2)="PH",(1-L82)+$W$2,IF(RIGHT(H81,2)="HT",(1-L82)+$W$1,IF(RIGHT(H81,2)="SH",(1-L82)+$W$3,""))),0)</f>
        <v>0.21000000000000002</v>
      </c>
      <c r="W82" s="298"/>
      <c r="X82" s="698">
        <f t="shared" ca="1" si="27"/>
        <v>0</v>
      </c>
      <c r="Y82" s="698">
        <f t="shared" ca="1" si="53"/>
        <v>0</v>
      </c>
      <c r="Z82" s="698">
        <f t="shared" ca="1" si="54"/>
        <v>0</v>
      </c>
      <c r="AA82" s="698">
        <f t="shared" ca="1" si="55"/>
        <v>0</v>
      </c>
      <c r="AB82" s="698">
        <f t="shared" ca="1" si="56"/>
        <v>0</v>
      </c>
      <c r="AC82" s="55"/>
      <c r="AD82" s="81">
        <v>2030</v>
      </c>
      <c r="AE82" s="81"/>
      <c r="AF82" s="700"/>
    </row>
    <row r="83" spans="1:33">
      <c r="B83" s="357" t="s">
        <v>1007</v>
      </c>
      <c r="C83" s="55"/>
      <c r="D83" s="261"/>
      <c r="E83" s="261"/>
      <c r="F83" s="224" t="s">
        <v>1149</v>
      </c>
      <c r="G83" s="55"/>
      <c r="H83" s="174"/>
      <c r="I83" s="174" t="str">
        <f t="shared" si="22"/>
        <v>INDRWH</v>
      </c>
      <c r="J83" s="224">
        <f t="shared" si="32"/>
        <v>2050</v>
      </c>
      <c r="K83" s="81"/>
      <c r="L83" s="199">
        <f t="shared" ca="1" si="48"/>
        <v>0.99</v>
      </c>
      <c r="M83" s="199"/>
      <c r="N83" s="81"/>
      <c r="O83" s="723">
        <f t="shared" ca="1" si="49"/>
        <v>0.44700000000000001</v>
      </c>
      <c r="P83" s="723">
        <f t="shared" ca="1" si="50"/>
        <v>6.8539999999999998E-3</v>
      </c>
      <c r="Q83" s="81">
        <f t="shared" ca="1" si="51"/>
        <v>1.6141666666666665</v>
      </c>
      <c r="R83" s="300"/>
      <c r="S83" s="300"/>
      <c r="T83" s="300"/>
      <c r="U83" s="300"/>
      <c r="V83" s="199">
        <f t="shared" ref="V83" ca="1" si="58">IF(IF(RIGHT(H81,2)="PH",(1-L83)+$W$2,IF(RIGHT(H81,2)="HT",(1-L83)+$W$1,IF(RIGHT(H81,2)="SH",(1-L83)+$W$3,"")))&gt;0,IF(RIGHT(H81,2)="PH",(1-L83)+$W$2,IF(RIGHT(H81,2)="HT",(1-L83)+$W$1,IF(RIGHT(H81,2)="SH",(1-L83)+$W$3,""))),0)</f>
        <v>0.21000000000000002</v>
      </c>
      <c r="W83" s="298"/>
      <c r="X83" s="698">
        <f t="shared" ca="1" si="27"/>
        <v>0</v>
      </c>
      <c r="Y83" s="698">
        <f t="shared" ca="1" si="53"/>
        <v>0</v>
      </c>
      <c r="Z83" s="698">
        <f t="shared" ca="1" si="54"/>
        <v>0</v>
      </c>
      <c r="AA83" s="698">
        <f t="shared" ca="1" si="55"/>
        <v>0</v>
      </c>
      <c r="AB83" s="698">
        <f t="shared" ca="1" si="56"/>
        <v>0</v>
      </c>
      <c r="AC83" s="203"/>
      <c r="AD83" s="81">
        <v>2050</v>
      </c>
      <c r="AE83" s="81"/>
      <c r="AF83" s="705"/>
    </row>
    <row r="84" spans="1:33">
      <c r="B84" s="357" t="s">
        <v>1007</v>
      </c>
      <c r="C84" s="55"/>
      <c r="D84" s="261" t="str">
        <f>"IND"&amp;RIGHT(H84,4)&amp;RIGHT(G84,3)&amp;"N"&amp;RIGHT(E84,1)</f>
        <v>INDRDSHELCN9</v>
      </c>
      <c r="E84" s="261" t="str">
        <f>"Industrial heating technology "&amp;$AJ$12&amp;" "&amp;RIGHT(H84,2)&amp;" - Electric boiler (Hot Water) - new 9"</f>
        <v>Industrial heating technology Paper &amp; Pulp SH - Electric boiler (Hot Water) - new 9</v>
      </c>
      <c r="F84" s="224" t="s">
        <v>1149</v>
      </c>
      <c r="G84" s="174" t="s">
        <v>499</v>
      </c>
      <c r="H84" s="174" t="str">
        <f>$AI$15</f>
        <v>IRDSH</v>
      </c>
      <c r="I84" s="174" t="str">
        <f t="shared" si="22"/>
        <v>INDRWH</v>
      </c>
      <c r="J84" s="224">
        <f t="shared" si="32"/>
        <v>2011</v>
      </c>
      <c r="K84" s="299">
        <v>2020</v>
      </c>
      <c r="L84" s="199">
        <f t="shared" ca="1" si="48"/>
        <v>0.99</v>
      </c>
      <c r="M84" s="199"/>
      <c r="N84" s="81">
        <f ca="1">VLOOKUP($AD84,INDIRECT("'"&amp;$B84&amp;"'!"&amp;"$P$118:$AD$121"),5,FALSE)</f>
        <v>25</v>
      </c>
      <c r="O84" s="723">
        <f t="shared" ca="1" si="49"/>
        <v>0.52150000000000007</v>
      </c>
      <c r="P84" s="723">
        <f t="shared" ca="1" si="50"/>
        <v>7.9714999999999994E-3</v>
      </c>
      <c r="Q84" s="81">
        <f t="shared" ca="1" si="51"/>
        <v>1.7900694444444445</v>
      </c>
      <c r="R84" s="81">
        <v>3.1536000000000002E-2</v>
      </c>
      <c r="S84" s="199">
        <v>0.5</v>
      </c>
      <c r="T84" s="199">
        <f ca="1">HLOOKUP($T$2,INDIRECT("'"&amp;$B84&amp;"'!"&amp;"$P$85:$AC$98"),IF(H84=$AI$13,6,IF(H84=$AI$14,9,14)),FALSE)</f>
        <v>1</v>
      </c>
      <c r="U84" s="772"/>
      <c r="V84" s="199">
        <f t="shared" ref="V84" ca="1" si="59">IF(IF(RIGHT(H84,2)="PH",(1-L84)+$W$2,IF(RIGHT(H84,2)="HT",(1-L84)+$W$1,IF(RIGHT(H84,2)="SH",(1-L84)+$W$3,"")))&gt;0,IF(RIGHT(H84,2)="PH",(1-L84)+$W$2,IF(RIGHT(H84,2)="HT",(1-L84)+$W$1,IF(RIGHT(H84,2)="SH",(1-L84)+$W$3,""))),0)</f>
        <v>1.0000000000000009E-2</v>
      </c>
      <c r="W84" s="298"/>
      <c r="X84" s="698">
        <f t="shared" ca="1" si="27"/>
        <v>0</v>
      </c>
      <c r="Y84" s="698">
        <f t="shared" ca="1" si="53"/>
        <v>0</v>
      </c>
      <c r="Z84" s="698">
        <f t="shared" ca="1" si="54"/>
        <v>0</v>
      </c>
      <c r="AA84" s="698">
        <f t="shared" ca="1" si="55"/>
        <v>0</v>
      </c>
      <c r="AB84" s="698">
        <f t="shared" ca="1" si="56"/>
        <v>0</v>
      </c>
      <c r="AD84" s="81">
        <v>2020</v>
      </c>
      <c r="AE84" s="299"/>
      <c r="AF84" s="220"/>
    </row>
    <row r="85" spans="1:33">
      <c r="B85" s="357" t="s">
        <v>1007</v>
      </c>
      <c r="C85" s="55"/>
      <c r="D85" s="261"/>
      <c r="E85" s="261"/>
      <c r="F85" s="224" t="s">
        <v>1149</v>
      </c>
      <c r="G85" s="55"/>
      <c r="H85" s="174"/>
      <c r="I85" s="174" t="str">
        <f t="shared" si="22"/>
        <v>INDRWH</v>
      </c>
      <c r="J85" s="224">
        <f t="shared" si="32"/>
        <v>2030</v>
      </c>
      <c r="K85" s="81"/>
      <c r="L85" s="199">
        <f t="shared" ca="1" si="48"/>
        <v>0.99</v>
      </c>
      <c r="M85" s="199"/>
      <c r="N85" s="81"/>
      <c r="O85" s="723">
        <f t="shared" ca="1" si="49"/>
        <v>0.44700000000000001</v>
      </c>
      <c r="P85" s="723">
        <f t="shared" ca="1" si="50"/>
        <v>7.5989999999999999E-3</v>
      </c>
      <c r="Q85" s="81">
        <f t="shared" ca="1" si="51"/>
        <v>1.8107638888888888</v>
      </c>
      <c r="R85" s="300"/>
      <c r="S85" s="300"/>
      <c r="T85" s="300"/>
      <c r="U85" s="300"/>
      <c r="V85" s="199">
        <f t="shared" ref="V85" ca="1" si="60">IF(IF(RIGHT(H84,2)="PH",(1-L85)+$W$2,IF(RIGHT(H84,2)="HT",(1-L85)+$W$1,IF(RIGHT(H84,2)="SH",(1-L85)+$W$3,"")))&gt;0,IF(RIGHT(H84,2)="PH",(1-L85)+$W$2,IF(RIGHT(H84,2)="HT",(1-L85)+$W$1,IF(RIGHT(H84,2)="SH",(1-L85)+$W$3,""))),0)</f>
        <v>1.0000000000000009E-2</v>
      </c>
      <c r="W85" s="298"/>
      <c r="X85" s="698">
        <f t="shared" ca="1" si="27"/>
        <v>0</v>
      </c>
      <c r="Y85" s="698">
        <f t="shared" ca="1" si="53"/>
        <v>0</v>
      </c>
      <c r="Z85" s="698">
        <f t="shared" ca="1" si="54"/>
        <v>0</v>
      </c>
      <c r="AA85" s="698">
        <f t="shared" ca="1" si="55"/>
        <v>0</v>
      </c>
      <c r="AB85" s="698">
        <f t="shared" ca="1" si="56"/>
        <v>0</v>
      </c>
      <c r="AD85" s="81">
        <v>2030</v>
      </c>
      <c r="AE85" s="81"/>
      <c r="AF85" s="220"/>
    </row>
    <row r="86" spans="1:33">
      <c r="B86" s="356" t="s">
        <v>1007</v>
      </c>
      <c r="C86" s="203"/>
      <c r="D86" s="701"/>
      <c r="E86" s="701"/>
      <c r="F86" s="224" t="s">
        <v>1149</v>
      </c>
      <c r="G86" s="203"/>
      <c r="H86" s="702"/>
      <c r="I86" s="702" t="str">
        <f t="shared" si="22"/>
        <v>INDRWH</v>
      </c>
      <c r="J86" s="224">
        <f t="shared" si="32"/>
        <v>2050</v>
      </c>
      <c r="K86" s="81"/>
      <c r="L86" s="199">
        <f t="shared" ca="1" si="48"/>
        <v>0.99</v>
      </c>
      <c r="M86" s="199"/>
      <c r="N86" s="81"/>
      <c r="O86" s="723">
        <f t="shared" ca="1" si="49"/>
        <v>0.44700000000000001</v>
      </c>
      <c r="P86" s="723">
        <f t="shared" ca="1" si="50"/>
        <v>6.8539999999999998E-3</v>
      </c>
      <c r="Q86" s="81">
        <f t="shared" ca="1" si="51"/>
        <v>1.6141666666666665</v>
      </c>
      <c r="R86" s="703"/>
      <c r="S86" s="703"/>
      <c r="T86" s="703"/>
      <c r="U86" s="703"/>
      <c r="V86" s="199">
        <f t="shared" ref="V86" ca="1" si="61">IF(IF(RIGHT(H84,2)="PH",(1-L86)+$W$2,IF(RIGHT(H84,2)="HT",(1-L86)+$W$1,IF(RIGHT(H84,2)="SH",(1-L86)+$W$3,"")))&gt;0,IF(RIGHT(H84,2)="PH",(1-L86)+$W$2,IF(RIGHT(H84,2)="HT",(1-L86)+$W$1,IF(RIGHT(H84,2)="SH",(1-L86)+$W$3,""))),0)</f>
        <v>1.0000000000000009E-2</v>
      </c>
      <c r="W86" s="704"/>
      <c r="X86" s="698">
        <f t="shared" ca="1" si="27"/>
        <v>0</v>
      </c>
      <c r="Y86" s="698">
        <f t="shared" ca="1" si="53"/>
        <v>0</v>
      </c>
      <c r="Z86" s="698">
        <f t="shared" ca="1" si="54"/>
        <v>0</v>
      </c>
      <c r="AA86" s="698">
        <f t="shared" ca="1" si="55"/>
        <v>0</v>
      </c>
      <c r="AB86" s="698">
        <f t="shared" ca="1" si="56"/>
        <v>0</v>
      </c>
      <c r="AD86" s="81">
        <v>2050</v>
      </c>
      <c r="AE86" s="81"/>
      <c r="AF86" s="220"/>
    </row>
    <row r="87" spans="1:33">
      <c r="B87" s="357" t="s">
        <v>1008</v>
      </c>
      <c r="D87" s="212" t="str">
        <f>"IND"&amp;RIGHT(H87,4)&amp;RIGHT(G87,3)&amp;"N"&amp;RIGHT(E87,1)</f>
        <v>INDRDPHWCHN1</v>
      </c>
      <c r="E87" s="261" t="str">
        <f>"Industrial heating technology "&amp;$AJ$12&amp;" "&amp;RIGHT(H87,2)&amp;" - Wood chip boiler (Steam) - new 1"</f>
        <v>Industrial heating technology Paper &amp; Pulp PH - Wood chip boiler (Steam) - new 1</v>
      </c>
      <c r="F87" s="224" t="s">
        <v>1149</v>
      </c>
      <c r="G87" s="173" t="s">
        <v>498</v>
      </c>
      <c r="H87" s="174" t="str">
        <f>$AI$13</f>
        <v>IRDPH</v>
      </c>
      <c r="I87" s="174" t="str">
        <f t="shared" si="22"/>
        <v>INDRWH</v>
      </c>
      <c r="J87" s="224">
        <f t="shared" si="32"/>
        <v>2011</v>
      </c>
      <c r="K87" s="299">
        <v>2025</v>
      </c>
      <c r="L87" s="199">
        <f t="shared" ref="L87:L95" ca="1" si="62">VLOOKUP($AD87,INDIRECT("'"&amp;$B87&amp;"'!"&amp;"$P$39:$AD$42"),3,FALSE)</f>
        <v>0.89</v>
      </c>
      <c r="M87" s="699"/>
      <c r="N87" s="299">
        <f ca="1">VLOOKUP($AD87,INDIRECT("'"&amp;$B87&amp;"'!"&amp;"$P$39:$AD$42"),5,FALSE)</f>
        <v>25</v>
      </c>
      <c r="O87" s="725">
        <f t="shared" ref="O87:O95" ca="1" si="63">VLOOKUP($AD87,INDIRECT("'"&amp;$B87&amp;"'!"&amp;"$P$39:$AD$42"),6,FALSE)/1000</f>
        <v>4.6054545454545455</v>
      </c>
      <c r="P87" s="725">
        <f t="shared" ref="P87:P95" ca="1" si="64">VLOOKUP($AD87,INDIRECT("'"&amp;$B87&amp;"'!"&amp;"$P$39:$AD$42"),7,FALSE)/1000</f>
        <v>0.25106499999999998</v>
      </c>
      <c r="Q87" s="299">
        <f t="shared" ref="Q87:Q95" ca="1" si="65">VLOOKUP($AD87,INDIRECT("'"&amp;$B87&amp;"'!"&amp;"$P$39:$AD$42"),8,FALSE)</f>
        <v>5.7509861111111107</v>
      </c>
      <c r="R87" s="299">
        <v>3.1536000000000002E-2</v>
      </c>
      <c r="S87" s="699">
        <v>0.5</v>
      </c>
      <c r="T87" s="699">
        <f ca="1">HLOOKUP($T$2,INDIRECT("'"&amp;$B87&amp;"'!"&amp;"$P$6:$AC$19"),IF(H87=$AI$13,6,IF(H87=$AI$14,9,14)),FALSE)</f>
        <v>1</v>
      </c>
      <c r="U87" s="772"/>
      <c r="V87" s="199">
        <f t="shared" ref="V87" ca="1" si="66">IF(IF(RIGHT(H87,2)="PH",(1-L87)+$W$2,IF(RIGHT(H87,2)="HT",(1-L87)+$W$1,IF(RIGHT(H87,2)="SH",(1-L87)+$W$3,"")))&gt;0,IF(RIGHT(H87,2)="PH",(1-L87)+$W$2,IF(RIGHT(H87,2)="HT",(1-L87)+$W$1,IF(RIGHT(H87,2)="SH",(1-L87)+$W$3,""))),0)</f>
        <v>0.31</v>
      </c>
      <c r="W87" s="298"/>
      <c r="X87" s="698">
        <f t="shared" ca="1" si="27"/>
        <v>11</v>
      </c>
      <c r="Y87" s="299">
        <f t="shared" ref="Y87:Y95" ca="1" si="67">VLOOKUP($AD87,INDIRECT("'"&amp;$B87&amp;"'!"&amp;"$P$39:$AD$42"),12,FALSE)</f>
        <v>63</v>
      </c>
      <c r="Z87" s="299">
        <f t="shared" ref="Z87:Z95" ca="1" si="68">VLOOKUP($AD87,INDIRECT("'"&amp;$B87&amp;"'!"&amp;"$P$39:$AD$42"),13,FALSE)</f>
        <v>11</v>
      </c>
      <c r="AA87" s="299">
        <f t="shared" ref="AA87:AA95" ca="1" si="69">VLOOKUP($AD87,INDIRECT("'"&amp;$B87&amp;"'!"&amp;"$P$39:$AD$42"),14,FALSE)</f>
        <v>3</v>
      </c>
      <c r="AB87" s="299">
        <f t="shared" ref="AB87:AB95" ca="1" si="70">VLOOKUP($AD87,INDIRECT("'"&amp;$B87&amp;"'!"&amp;"$P$39:$AD$42"),15,FALSE)</f>
        <v>10</v>
      </c>
      <c r="AD87" s="299">
        <v>2020</v>
      </c>
      <c r="AE87" s="81"/>
      <c r="AF87" s="220"/>
    </row>
    <row r="88" spans="1:33">
      <c r="B88" s="357" t="s">
        <v>1008</v>
      </c>
      <c r="D88" s="212"/>
      <c r="E88" s="212"/>
      <c r="F88" s="224" t="s">
        <v>1149</v>
      </c>
      <c r="H88" s="174"/>
      <c r="I88" s="174" t="str">
        <f t="shared" si="22"/>
        <v>INDRWH</v>
      </c>
      <c r="J88" s="224">
        <f t="shared" si="32"/>
        <v>2030</v>
      </c>
      <c r="K88" s="81"/>
      <c r="L88" s="199">
        <f t="shared" ca="1" si="62"/>
        <v>0.89</v>
      </c>
      <c r="M88" s="199"/>
      <c r="N88" s="81"/>
      <c r="O88" s="723">
        <f t="shared" ca="1" si="63"/>
        <v>4.4022727272727264</v>
      </c>
      <c r="P88" s="723">
        <f t="shared" ca="1" si="64"/>
        <v>0.267455</v>
      </c>
      <c r="Q88" s="81">
        <f t="shared" ca="1" si="65"/>
        <v>5.8461805555555557</v>
      </c>
      <c r="R88" s="300"/>
      <c r="S88" s="300"/>
      <c r="T88" s="300"/>
      <c r="U88" s="300"/>
      <c r="V88" s="199">
        <f t="shared" ref="V88" ca="1" si="71">IF(IF(RIGHT(H87,2)="PH",(1-L88)+$W$2,IF(RIGHT(H87,2)="HT",(1-L88)+$W$1,IF(RIGHT(H87,2)="SH",(1-L88)+$W$3,"")))&gt;0,IF(RIGHT(H87,2)="PH",(1-L88)+$W$2,IF(RIGHT(H87,2)="HT",(1-L88)+$W$1,IF(RIGHT(H87,2)="SH",(1-L88)+$W$3,""))),0)</f>
        <v>0.31</v>
      </c>
      <c r="W88" s="298"/>
      <c r="X88" s="698">
        <f t="shared" ca="1" si="27"/>
        <v>11</v>
      </c>
      <c r="Y88" s="81">
        <f t="shared" ca="1" si="67"/>
        <v>49</v>
      </c>
      <c r="Z88" s="81">
        <f t="shared" ca="1" si="68"/>
        <v>8</v>
      </c>
      <c r="AA88" s="81">
        <f t="shared" ca="1" si="69"/>
        <v>3</v>
      </c>
      <c r="AB88" s="81">
        <f t="shared" ca="1" si="70"/>
        <v>10</v>
      </c>
      <c r="AD88" s="81">
        <v>2030</v>
      </c>
      <c r="AE88" s="81"/>
      <c r="AF88" s="220"/>
    </row>
    <row r="89" spans="1:33">
      <c r="B89" s="357" t="s">
        <v>1008</v>
      </c>
      <c r="D89" s="212"/>
      <c r="E89" s="212"/>
      <c r="F89" s="224" t="s">
        <v>1149</v>
      </c>
      <c r="H89" s="174"/>
      <c r="I89" s="174" t="str">
        <f t="shared" si="22"/>
        <v>INDRWH</v>
      </c>
      <c r="J89" s="224">
        <f t="shared" si="32"/>
        <v>2050</v>
      </c>
      <c r="K89" s="81"/>
      <c r="L89" s="199">
        <f t="shared" ca="1" si="62"/>
        <v>0.9</v>
      </c>
      <c r="M89" s="199"/>
      <c r="N89" s="81"/>
      <c r="O89" s="723">
        <f t="shared" ca="1" si="63"/>
        <v>3.9959090909090902</v>
      </c>
      <c r="P89" s="723">
        <f t="shared" ca="1" si="64"/>
        <v>0.25106499999999998</v>
      </c>
      <c r="Q89" s="81">
        <f t="shared" ca="1" si="65"/>
        <v>5.8937777777777782</v>
      </c>
      <c r="R89" s="300"/>
      <c r="S89" s="300"/>
      <c r="T89" s="300"/>
      <c r="U89" s="300"/>
      <c r="V89" s="199">
        <f t="shared" ref="V89" ca="1" si="72">IF(IF(RIGHT(H87,2)="PH",(1-L89)+$W$2,IF(RIGHT(H87,2)="HT",(1-L89)+$W$1,IF(RIGHT(H87,2)="SH",(1-L89)+$W$3,"")))&gt;0,IF(RIGHT(H87,2)="PH",(1-L89)+$W$2,IF(RIGHT(H87,2)="HT",(1-L89)+$W$1,IF(RIGHT(H87,2)="SH",(1-L89)+$W$3,""))),0)</f>
        <v>0.3</v>
      </c>
      <c r="W89" s="298"/>
      <c r="X89" s="698">
        <f t="shared" ca="1" si="27"/>
        <v>11</v>
      </c>
      <c r="Y89" s="81">
        <f t="shared" ca="1" si="67"/>
        <v>41</v>
      </c>
      <c r="Z89" s="81">
        <f t="shared" ca="1" si="68"/>
        <v>4</v>
      </c>
      <c r="AA89" s="81">
        <f t="shared" ca="1" si="69"/>
        <v>1</v>
      </c>
      <c r="AB89" s="81">
        <f t="shared" ca="1" si="70"/>
        <v>10</v>
      </c>
      <c r="AD89" s="81">
        <v>2050</v>
      </c>
      <c r="AE89" s="81"/>
      <c r="AF89" s="220"/>
    </row>
    <row r="90" spans="1:33" s="226" customFormat="1">
      <c r="A90" s="224"/>
      <c r="B90" s="357" t="s">
        <v>1008</v>
      </c>
      <c r="C90" s="224"/>
      <c r="D90" s="212" t="str">
        <f>"IND"&amp;RIGHT(H90,4)&amp;RIGHT(G90,3)&amp;"N"&amp;RIGHT(E90,1)</f>
        <v>INDRDPHWCHN1</v>
      </c>
      <c r="E90" s="261" t="str">
        <f>"Industrial heating technology "&amp;$AJ$12&amp;" "&amp;RIGHT(H90,2)&amp;" - Wood chip boiler (Steam) - new 1"</f>
        <v>Industrial heating technology Paper &amp; Pulp PH - Wood chip boiler (Steam) - new 1</v>
      </c>
      <c r="F90" s="224" t="s">
        <v>1149</v>
      </c>
      <c r="G90" s="173" t="s">
        <v>498</v>
      </c>
      <c r="H90" s="174" t="str">
        <f>$AI$14</f>
        <v>IRDPH</v>
      </c>
      <c r="I90" s="174" t="str">
        <f t="shared" si="22"/>
        <v>INDRWH</v>
      </c>
      <c r="J90" s="224">
        <f t="shared" si="32"/>
        <v>2011</v>
      </c>
      <c r="K90" s="299">
        <v>2025</v>
      </c>
      <c r="L90" s="199">
        <f t="shared" ca="1" si="62"/>
        <v>0.89</v>
      </c>
      <c r="M90" s="199"/>
      <c r="N90" s="81">
        <f ca="1">VLOOKUP($AD90,INDIRECT("'"&amp;$B90&amp;"'!"&amp;"$P$39:$AD$42"),5,FALSE)</f>
        <v>25</v>
      </c>
      <c r="O90" s="723">
        <f t="shared" ca="1" si="63"/>
        <v>4.6054545454545455</v>
      </c>
      <c r="P90" s="723">
        <f t="shared" ca="1" si="64"/>
        <v>0.25106499999999998</v>
      </c>
      <c r="Q90" s="81">
        <f t="shared" ca="1" si="65"/>
        <v>5.7509861111111107</v>
      </c>
      <c r="R90" s="81">
        <v>3.1536000000000002E-2</v>
      </c>
      <c r="S90" s="199">
        <v>0.5</v>
      </c>
      <c r="T90" s="199">
        <f ca="1">HLOOKUP($T$2,INDIRECT("'"&amp;$B90&amp;"'!"&amp;"$P$6:$AC$19"),IF(H90=$AI$13,6,IF(H90=$AI$14,9,14)),FALSE)</f>
        <v>1</v>
      </c>
      <c r="U90" s="772"/>
      <c r="V90" s="199">
        <f t="shared" ref="V90" ca="1" si="73">IF(IF(RIGHT(H90,2)="PH",(1-L90)+$W$2,IF(RIGHT(H90,2)="HT",(1-L90)+$W$1,IF(RIGHT(H90,2)="SH",(1-L90)+$W$3,"")))&gt;0,IF(RIGHT(H90,2)="PH",(1-L90)+$W$2,IF(RIGHT(H90,2)="HT",(1-L90)+$W$1,IF(RIGHT(H90,2)="SH",(1-L90)+$W$3,""))),0)</f>
        <v>0.31</v>
      </c>
      <c r="W90" s="298"/>
      <c r="X90" s="698">
        <f t="shared" ca="1" si="27"/>
        <v>11</v>
      </c>
      <c r="Y90" s="81">
        <f t="shared" ca="1" si="67"/>
        <v>63</v>
      </c>
      <c r="Z90" s="81">
        <f t="shared" ca="1" si="68"/>
        <v>11</v>
      </c>
      <c r="AA90" s="81">
        <f t="shared" ca="1" si="69"/>
        <v>3</v>
      </c>
      <c r="AB90" s="81">
        <f t="shared" ca="1" si="70"/>
        <v>10</v>
      </c>
      <c r="AC90" s="224"/>
      <c r="AD90" s="81">
        <v>2020</v>
      </c>
      <c r="AE90" s="81"/>
      <c r="AF90" s="220"/>
      <c r="AG90" s="224"/>
    </row>
    <row r="91" spans="1:33" s="226" customFormat="1">
      <c r="A91" s="224"/>
      <c r="B91" s="357" t="s">
        <v>1008</v>
      </c>
      <c r="C91" s="224"/>
      <c r="D91" s="212"/>
      <c r="E91" s="212"/>
      <c r="F91" s="224" t="s">
        <v>1149</v>
      </c>
      <c r="G91" s="224"/>
      <c r="H91" s="174"/>
      <c r="I91" s="174" t="str">
        <f t="shared" si="22"/>
        <v>INDRWH</v>
      </c>
      <c r="J91" s="224">
        <f t="shared" si="32"/>
        <v>2030</v>
      </c>
      <c r="K91" s="81"/>
      <c r="L91" s="199">
        <f t="shared" ca="1" si="62"/>
        <v>0.89</v>
      </c>
      <c r="M91" s="199"/>
      <c r="N91" s="81"/>
      <c r="O91" s="723">
        <f t="shared" ca="1" si="63"/>
        <v>4.4022727272727264</v>
      </c>
      <c r="P91" s="723">
        <f t="shared" ca="1" si="64"/>
        <v>0.267455</v>
      </c>
      <c r="Q91" s="81">
        <f t="shared" ca="1" si="65"/>
        <v>5.8461805555555557</v>
      </c>
      <c r="R91" s="300"/>
      <c r="S91" s="300"/>
      <c r="T91" s="300"/>
      <c r="U91" s="300"/>
      <c r="V91" s="199">
        <f t="shared" ref="V91" ca="1" si="74">IF(IF(RIGHT(H90,2)="PH",(1-L91)+$W$2,IF(RIGHT(H90,2)="HT",(1-L91)+$W$1,IF(RIGHT(H90,2)="SH",(1-L91)+$W$3,"")))&gt;0,IF(RIGHT(H90,2)="PH",(1-L91)+$W$2,IF(RIGHT(H90,2)="HT",(1-L91)+$W$1,IF(RIGHT(H90,2)="SH",(1-L91)+$W$3,""))),0)</f>
        <v>0.31</v>
      </c>
      <c r="W91" s="298"/>
      <c r="X91" s="698">
        <f t="shared" ca="1" si="27"/>
        <v>11</v>
      </c>
      <c r="Y91" s="81">
        <f t="shared" ca="1" si="67"/>
        <v>49</v>
      </c>
      <c r="Z91" s="81">
        <f t="shared" ca="1" si="68"/>
        <v>8</v>
      </c>
      <c r="AA91" s="81">
        <f t="shared" ca="1" si="69"/>
        <v>3</v>
      </c>
      <c r="AB91" s="81">
        <f t="shared" ca="1" si="70"/>
        <v>10</v>
      </c>
      <c r="AC91" s="224"/>
      <c r="AD91" s="81">
        <v>2030</v>
      </c>
      <c r="AE91" s="81"/>
      <c r="AF91" s="220"/>
    </row>
    <row r="92" spans="1:33" s="226" customFormat="1">
      <c r="A92" s="224"/>
      <c r="B92" s="357" t="s">
        <v>1008</v>
      </c>
      <c r="C92" s="224"/>
      <c r="D92" s="212"/>
      <c r="E92" s="212"/>
      <c r="F92" s="224" t="s">
        <v>1149</v>
      </c>
      <c r="G92" s="224"/>
      <c r="H92" s="174"/>
      <c r="I92" s="174" t="str">
        <f t="shared" si="22"/>
        <v>INDRWH</v>
      </c>
      <c r="J92" s="224">
        <f t="shared" si="32"/>
        <v>2050</v>
      </c>
      <c r="K92" s="81"/>
      <c r="L92" s="199">
        <f t="shared" ca="1" si="62"/>
        <v>0.9</v>
      </c>
      <c r="M92" s="199"/>
      <c r="N92" s="81"/>
      <c r="O92" s="723">
        <f t="shared" ca="1" si="63"/>
        <v>3.9959090909090902</v>
      </c>
      <c r="P92" s="723">
        <f t="shared" ca="1" si="64"/>
        <v>0.25106499999999998</v>
      </c>
      <c r="Q92" s="81">
        <f t="shared" ca="1" si="65"/>
        <v>5.8937777777777782</v>
      </c>
      <c r="R92" s="300"/>
      <c r="S92" s="300"/>
      <c r="T92" s="300"/>
      <c r="U92" s="300"/>
      <c r="V92" s="199">
        <f t="shared" ref="V92" ca="1" si="75">IF(IF(RIGHT(H90,2)="PH",(1-L92)+$W$2,IF(RIGHT(H90,2)="HT",(1-L92)+$W$1,IF(RIGHT(H90,2)="SH",(1-L92)+$W$3,"")))&gt;0,IF(RIGHT(H90,2)="PH",(1-L92)+$W$2,IF(RIGHT(H90,2)="HT",(1-L92)+$W$1,IF(RIGHT(H90,2)="SH",(1-L92)+$W$3,""))),0)</f>
        <v>0.3</v>
      </c>
      <c r="W92" s="298"/>
      <c r="X92" s="698">
        <f t="shared" ca="1" si="27"/>
        <v>11</v>
      </c>
      <c r="Y92" s="81">
        <f t="shared" ca="1" si="67"/>
        <v>41</v>
      </c>
      <c r="Z92" s="81">
        <f t="shared" ca="1" si="68"/>
        <v>4</v>
      </c>
      <c r="AA92" s="81">
        <f t="shared" ca="1" si="69"/>
        <v>1</v>
      </c>
      <c r="AB92" s="81">
        <f t="shared" ca="1" si="70"/>
        <v>10</v>
      </c>
      <c r="AC92" s="224"/>
      <c r="AD92" s="81">
        <v>2050</v>
      </c>
      <c r="AE92" s="706"/>
      <c r="AF92" s="220"/>
    </row>
    <row r="93" spans="1:33" s="226" customFormat="1">
      <c r="A93" s="224"/>
      <c r="B93" s="357" t="s">
        <v>1008</v>
      </c>
      <c r="C93" s="224"/>
      <c r="D93" s="212" t="str">
        <f>"IND"&amp;RIGHT(H93,4)&amp;RIGHT(G93,3)&amp;"N"&amp;RIGHT(E93,1)</f>
        <v>INDRDSHWCHN1</v>
      </c>
      <c r="E93" s="261" t="str">
        <f>"Industrial heating technology "&amp;$AJ$12&amp;" "&amp;RIGHT(H93,2)&amp;" - Wood chip boiler (Steam) - new 1"</f>
        <v>Industrial heating technology Paper &amp; Pulp SH - Wood chip boiler (Steam) - new 1</v>
      </c>
      <c r="F93" s="224" t="s">
        <v>1149</v>
      </c>
      <c r="G93" s="173" t="s">
        <v>498</v>
      </c>
      <c r="H93" s="174" t="str">
        <f>$AI$15</f>
        <v>IRDSH</v>
      </c>
      <c r="I93" s="174" t="str">
        <f t="shared" si="22"/>
        <v>INDRWH</v>
      </c>
      <c r="J93" s="224">
        <f t="shared" si="32"/>
        <v>2011</v>
      </c>
      <c r="K93" s="299">
        <v>2025</v>
      </c>
      <c r="L93" s="199">
        <f t="shared" ca="1" si="62"/>
        <v>0.89</v>
      </c>
      <c r="M93" s="199"/>
      <c r="N93" s="81">
        <f ca="1">VLOOKUP($AD93,INDIRECT("'"&amp;$B93&amp;"'!"&amp;"$P$39:$AD$42"),5,FALSE)</f>
        <v>25</v>
      </c>
      <c r="O93" s="723">
        <f t="shared" ca="1" si="63"/>
        <v>4.6054545454545455</v>
      </c>
      <c r="P93" s="723">
        <f t="shared" ca="1" si="64"/>
        <v>0.25106499999999998</v>
      </c>
      <c r="Q93" s="81">
        <f t="shared" ca="1" si="65"/>
        <v>5.7509861111111107</v>
      </c>
      <c r="R93" s="81">
        <v>3.1536000000000002E-2</v>
      </c>
      <c r="S93" s="199">
        <v>0.5</v>
      </c>
      <c r="T93" s="199">
        <f ca="1">HLOOKUP($T$2,INDIRECT("'"&amp;$B93&amp;"'!"&amp;"$P$6:$AC$19"),IF(H93=$AI$13,6,IF(H93=$AI$14,9,14)),FALSE)</f>
        <v>1</v>
      </c>
      <c r="U93" s="772"/>
      <c r="V93" s="199">
        <f t="shared" ref="V93" ca="1" si="76">IF(IF(RIGHT(H93,2)="PH",(1-L93)+$W$2,IF(RIGHT(H93,2)="HT",(1-L93)+$W$1,IF(RIGHT(H93,2)="SH",(1-L93)+$W$3,"")))&gt;0,IF(RIGHT(H93,2)="PH",(1-L93)+$W$2,IF(RIGHT(H93,2)="HT",(1-L93)+$W$1,IF(RIGHT(H93,2)="SH",(1-L93)+$W$3,""))),0)</f>
        <v>0.10999999999999999</v>
      </c>
      <c r="W93" s="298"/>
      <c r="X93" s="698">
        <f t="shared" ca="1" si="27"/>
        <v>11</v>
      </c>
      <c r="Y93" s="81">
        <f t="shared" ca="1" si="67"/>
        <v>63</v>
      </c>
      <c r="Z93" s="81">
        <f t="shared" ca="1" si="68"/>
        <v>11</v>
      </c>
      <c r="AA93" s="81">
        <f t="shared" ca="1" si="69"/>
        <v>3</v>
      </c>
      <c r="AB93" s="81">
        <f t="shared" ca="1" si="70"/>
        <v>10</v>
      </c>
      <c r="AC93" s="296"/>
      <c r="AD93" s="81">
        <v>2020</v>
      </c>
      <c r="AE93" s="81"/>
      <c r="AF93" s="710"/>
    </row>
    <row r="94" spans="1:33" s="226" customFormat="1">
      <c r="A94" s="224"/>
      <c r="B94" s="357" t="s">
        <v>1008</v>
      </c>
      <c r="C94" s="224"/>
      <c r="D94" s="212"/>
      <c r="E94" s="212"/>
      <c r="F94" s="224" t="s">
        <v>1149</v>
      </c>
      <c r="G94" s="224"/>
      <c r="H94" s="174"/>
      <c r="I94" s="174" t="str">
        <f t="shared" si="22"/>
        <v>INDRWH</v>
      </c>
      <c r="J94" s="224">
        <f t="shared" si="32"/>
        <v>2030</v>
      </c>
      <c r="K94" s="81"/>
      <c r="L94" s="199">
        <f t="shared" ca="1" si="62"/>
        <v>0.89</v>
      </c>
      <c r="M94" s="199"/>
      <c r="N94" s="81"/>
      <c r="O94" s="723">
        <f t="shared" ca="1" si="63"/>
        <v>4.4022727272727264</v>
      </c>
      <c r="P94" s="723">
        <f t="shared" ca="1" si="64"/>
        <v>0.267455</v>
      </c>
      <c r="Q94" s="81">
        <f t="shared" ca="1" si="65"/>
        <v>5.8461805555555557</v>
      </c>
      <c r="R94" s="300"/>
      <c r="S94" s="300"/>
      <c r="T94" s="300"/>
      <c r="U94" s="300"/>
      <c r="V94" s="199">
        <f t="shared" ref="V94" ca="1" si="77">IF(IF(RIGHT(H93,2)="PH",(1-L94)+$W$2,IF(RIGHT(H93,2)="HT",(1-L94)+$W$1,IF(RIGHT(H93,2)="SH",(1-L94)+$W$3,"")))&gt;0,IF(RIGHT(H93,2)="PH",(1-L94)+$W$2,IF(RIGHT(H93,2)="HT",(1-L94)+$W$1,IF(RIGHT(H93,2)="SH",(1-L94)+$W$3,""))),0)</f>
        <v>0.10999999999999999</v>
      </c>
      <c r="W94" s="298"/>
      <c r="X94" s="698">
        <f t="shared" ca="1" si="27"/>
        <v>11</v>
      </c>
      <c r="Y94" s="81">
        <f t="shared" ca="1" si="67"/>
        <v>49</v>
      </c>
      <c r="Z94" s="81">
        <f t="shared" ca="1" si="68"/>
        <v>8</v>
      </c>
      <c r="AA94" s="81">
        <f t="shared" ca="1" si="69"/>
        <v>3</v>
      </c>
      <c r="AB94" s="81">
        <f t="shared" ca="1" si="70"/>
        <v>10</v>
      </c>
      <c r="AC94" s="55"/>
      <c r="AD94" s="81">
        <v>2030</v>
      </c>
      <c r="AE94" s="81"/>
      <c r="AF94" s="700"/>
    </row>
    <row r="95" spans="1:33" s="226" customFormat="1">
      <c r="A95" s="224"/>
      <c r="B95" s="357" t="s">
        <v>1008</v>
      </c>
      <c r="C95" s="224"/>
      <c r="D95" s="212"/>
      <c r="E95" s="212"/>
      <c r="F95" s="224" t="s">
        <v>1149</v>
      </c>
      <c r="G95" s="224"/>
      <c r="H95" s="174"/>
      <c r="I95" s="174" t="str">
        <f t="shared" si="22"/>
        <v>INDRWH</v>
      </c>
      <c r="J95" s="224">
        <f t="shared" si="32"/>
        <v>2050</v>
      </c>
      <c r="K95" s="706"/>
      <c r="L95" s="199">
        <f t="shared" ca="1" si="62"/>
        <v>0.9</v>
      </c>
      <c r="M95" s="774"/>
      <c r="N95" s="706"/>
      <c r="O95" s="724">
        <f t="shared" ca="1" si="63"/>
        <v>3.9959090909090902</v>
      </c>
      <c r="P95" s="724">
        <f t="shared" ca="1" si="64"/>
        <v>0.25106499999999998</v>
      </c>
      <c r="Q95" s="706">
        <f t="shared" ca="1" si="65"/>
        <v>5.8937777777777782</v>
      </c>
      <c r="R95" s="300"/>
      <c r="S95" s="300"/>
      <c r="T95" s="300"/>
      <c r="U95" s="300"/>
      <c r="V95" s="199">
        <f t="shared" ref="V95" ca="1" si="78">IF(IF(RIGHT(H93,2)="PH",(1-L95)+$W$2,IF(RIGHT(H93,2)="HT",(1-L95)+$W$1,IF(RIGHT(H93,2)="SH",(1-L95)+$W$3,"")))&gt;0,IF(RIGHT(H93,2)="PH",(1-L95)+$W$2,IF(RIGHT(H93,2)="HT",(1-L95)+$W$1,IF(RIGHT(H93,2)="SH",(1-L95)+$W$3,""))),0)</f>
        <v>9.9999999999999978E-2</v>
      </c>
      <c r="W95" s="298"/>
      <c r="X95" s="698">
        <f t="shared" ref="X95:X126" ca="1" si="79">IF(VLOOKUP($AD95,INDIRECT("'"&amp;$B95&amp;"'!"&amp;"$P$39:$AD$42"),11,FALSE)="Cf. the utilized electricity",0,VLOOKUP($AD95,INDIRECT("'"&amp;$B95&amp;"'!"&amp;"$P$39:$AD$42"),11,FALSE))</f>
        <v>11</v>
      </c>
      <c r="Y95" s="706">
        <f t="shared" ca="1" si="67"/>
        <v>41</v>
      </c>
      <c r="Z95" s="706">
        <f t="shared" ca="1" si="68"/>
        <v>4</v>
      </c>
      <c r="AA95" s="706">
        <f t="shared" ca="1" si="69"/>
        <v>1</v>
      </c>
      <c r="AB95" s="706">
        <f t="shared" ca="1" si="70"/>
        <v>10</v>
      </c>
      <c r="AC95" s="55"/>
      <c r="AD95" s="706">
        <v>2050</v>
      </c>
      <c r="AE95" s="81"/>
      <c r="AF95" s="700"/>
    </row>
    <row r="96" spans="1:33">
      <c r="B96" s="716" t="s">
        <v>1008</v>
      </c>
      <c r="C96" s="296"/>
      <c r="D96" s="707" t="str">
        <f>"IND"&amp;RIGHT(H96,4)&amp;RIGHT(G96,3)&amp;"N"&amp;RIGHT(E96,1)</f>
        <v>INDRDPHWCHN2</v>
      </c>
      <c r="E96" s="707" t="str">
        <f>"Industrial heating technology "&amp;$AJ$12&amp;" "&amp;RIGHT(H96,2)&amp;" - Wood chip boiler (Steam - condensing) - new 2"</f>
        <v>Industrial heating technology Paper &amp; Pulp PH - Wood chip boiler (Steam - condensing) - new 2</v>
      </c>
      <c r="F96" s="224" t="s">
        <v>1149</v>
      </c>
      <c r="G96" s="708" t="s">
        <v>498</v>
      </c>
      <c r="H96" s="708" t="str">
        <f>$AI$14</f>
        <v>IRDPH</v>
      </c>
      <c r="I96" s="708" t="str">
        <f t="shared" si="22"/>
        <v>INDRWH</v>
      </c>
      <c r="J96" s="224">
        <f t="shared" si="32"/>
        <v>2011</v>
      </c>
      <c r="K96" s="299">
        <v>2025</v>
      </c>
      <c r="L96" s="199">
        <f t="shared" ref="L96:L101" ca="1" si="80">VLOOKUP($AD96,INDIRECT("'"&amp;$B96&amp;"'!"&amp;"$P$118:$AD$121"),3,FALSE)</f>
        <v>1.1618960947726835</v>
      </c>
      <c r="M96" s="199"/>
      <c r="N96" s="81">
        <f ca="1">VLOOKUP($AD96,INDIRECT("'"&amp;$B96&amp;"'!"&amp;"$P$118:$AD$121"),5,FALSE)</f>
        <v>25</v>
      </c>
      <c r="O96" s="723">
        <f t="shared" ref="O96:O101" ca="1" si="81">VLOOKUP($AD96,INDIRECT("'"&amp;$B96&amp;"'!"&amp;"$P$118:$AD$121"),6,FALSE)/1000</f>
        <v>5.0660000000000007</v>
      </c>
      <c r="P96" s="723">
        <f t="shared" ref="P96:P101" ca="1" si="82">VLOOKUP($AD96,INDIRECT("'"&amp;$B96&amp;"'!"&amp;"$P$118:$AD$121"),7,FALSE)/1000</f>
        <v>0.27564999999999995</v>
      </c>
      <c r="Q96" s="81">
        <f t="shared" ref="Q96:Q101" ca="1" si="83">VLOOKUP($AD96,INDIRECT("'"&amp;$B96&amp;"'!"&amp;"$P$118:$AD$121"),8,FALSE)</f>
        <v>5.7509861111111107</v>
      </c>
      <c r="R96" s="81">
        <v>3.1536000000000002E-2</v>
      </c>
      <c r="S96" s="199">
        <v>0.5</v>
      </c>
      <c r="T96" s="199">
        <f ca="1">HLOOKUP($T$2,INDIRECT("'"&amp;$B96&amp;"'!"&amp;"$P$85:$AC$98"),IF(H96=$AI$13,6,IF(H96=$AI$14,9,14)),FALSE)</f>
        <v>0</v>
      </c>
      <c r="U96" s="773"/>
      <c r="V96" s="199">
        <f t="shared" ref="V96" ca="1" si="84">IF(IF(RIGHT(H96,2)="PH",(1-L96)+$W$2,IF(RIGHT(H96,2)="HT",(1-L96)+$W$1,IF(RIGHT(H96,2)="SH",(1-L96)+$W$3,"")))&gt;0,IF(RIGHT(H96,2)="PH",(1-L96)+$W$2,IF(RIGHT(H96,2)="HT",(1-L96)+$W$1,IF(RIGHT(H96,2)="SH",(1-L96)+$W$3,""))),0)</f>
        <v>3.8103905227316492E-2</v>
      </c>
      <c r="W96" s="709"/>
      <c r="X96" s="698">
        <f t="shared" ca="1" si="79"/>
        <v>11</v>
      </c>
      <c r="Y96" s="698">
        <f t="shared" ref="Y96:Y101" ca="1" si="85">VLOOKUP($AD96,INDIRECT("'"&amp;$B96&amp;"'!"&amp;"$P$118:$AD$121"),12,FALSE)</f>
        <v>63</v>
      </c>
      <c r="Z96" s="698">
        <f t="shared" ref="Z96:Z101" ca="1" si="86">VLOOKUP($AD96,INDIRECT("'"&amp;$B96&amp;"'!"&amp;"$P$118:$AD$121"),13,FALSE)</f>
        <v>11</v>
      </c>
      <c r="AA96" s="698">
        <f t="shared" ref="AA96:AA101" ca="1" si="87">VLOOKUP($AD96,INDIRECT("'"&amp;$B96&amp;"'!"&amp;"$P$118:$AD$121"),14,FALSE)</f>
        <v>3</v>
      </c>
      <c r="AB96" s="698">
        <f t="shared" ref="AB96:AB101" ca="1" si="88">VLOOKUP($AD96,INDIRECT("'"&amp;$B96&amp;"'!"&amp;"$P$118:$AD$121"),15,FALSE)</f>
        <v>10</v>
      </c>
      <c r="AC96" s="55"/>
      <c r="AD96" s="81">
        <v>2020</v>
      </c>
      <c r="AE96" s="81"/>
      <c r="AF96" s="700"/>
      <c r="AG96" s="226"/>
    </row>
    <row r="97" spans="2:32">
      <c r="B97" s="357" t="s">
        <v>1008</v>
      </c>
      <c r="C97" s="55"/>
      <c r="D97" s="261"/>
      <c r="E97" s="261"/>
      <c r="F97" s="224" t="s">
        <v>1149</v>
      </c>
      <c r="G97" s="55"/>
      <c r="H97" s="174"/>
      <c r="I97" s="174" t="str">
        <f t="shared" si="22"/>
        <v>INDRWH</v>
      </c>
      <c r="J97" s="224">
        <f t="shared" si="32"/>
        <v>2030</v>
      </c>
      <c r="K97" s="81"/>
      <c r="L97" s="199">
        <f t="shared" ca="1" si="80"/>
        <v>1.1618960947726835</v>
      </c>
      <c r="M97" s="199"/>
      <c r="N97" s="81"/>
      <c r="O97" s="723">
        <f t="shared" ca="1" si="81"/>
        <v>4.8425000000000002</v>
      </c>
      <c r="P97" s="723">
        <f t="shared" ca="1" si="82"/>
        <v>0.267455</v>
      </c>
      <c r="Q97" s="81">
        <f t="shared" ca="1" si="83"/>
        <v>5.8461805555555557</v>
      </c>
      <c r="R97" s="300"/>
      <c r="S97" s="300"/>
      <c r="T97" s="300"/>
      <c r="U97" s="300"/>
      <c r="V97" s="199">
        <f t="shared" ref="V97" ca="1" si="89">IF(IF(RIGHT(H96,2)="PH",(1-L97)+$W$2,IF(RIGHT(H96,2)="HT",(1-L97)+$W$1,IF(RIGHT(H96,2)="SH",(1-L97)+$W$3,"")))&gt;0,IF(RIGHT(H96,2)="PH",(1-L97)+$W$2,IF(RIGHT(H96,2)="HT",(1-L97)+$W$1,IF(RIGHT(H96,2)="SH",(1-L97)+$W$3,""))),0)</f>
        <v>3.8103905227316492E-2</v>
      </c>
      <c r="W97" s="298"/>
      <c r="X97" s="698">
        <f t="shared" ca="1" si="79"/>
        <v>11</v>
      </c>
      <c r="Y97" s="698">
        <f t="shared" ca="1" si="85"/>
        <v>49</v>
      </c>
      <c r="Z97" s="698">
        <f t="shared" ca="1" si="86"/>
        <v>8</v>
      </c>
      <c r="AA97" s="698">
        <f t="shared" ca="1" si="87"/>
        <v>3</v>
      </c>
      <c r="AB97" s="698">
        <f t="shared" ca="1" si="88"/>
        <v>10</v>
      </c>
      <c r="AC97" s="55"/>
      <c r="AD97" s="81">
        <v>2030</v>
      </c>
      <c r="AE97" s="81"/>
      <c r="AF97" s="700"/>
    </row>
    <row r="98" spans="2:32">
      <c r="B98" s="357" t="s">
        <v>1008</v>
      </c>
      <c r="C98" s="55"/>
      <c r="D98" s="261"/>
      <c r="E98" s="261"/>
      <c r="F98" s="224" t="s">
        <v>1149</v>
      </c>
      <c r="G98" s="55"/>
      <c r="H98" s="174"/>
      <c r="I98" s="174" t="str">
        <f t="shared" si="22"/>
        <v>INDRWH</v>
      </c>
      <c r="J98" s="224">
        <f t="shared" si="32"/>
        <v>2050</v>
      </c>
      <c r="K98" s="81"/>
      <c r="L98" s="199">
        <f t="shared" ca="1" si="80"/>
        <v>1.1618960947726835</v>
      </c>
      <c r="M98" s="199"/>
      <c r="N98" s="81"/>
      <c r="O98" s="723">
        <f t="shared" ca="1" si="81"/>
        <v>4.3955000000000002</v>
      </c>
      <c r="P98" s="723">
        <f t="shared" ca="1" si="82"/>
        <v>0.25106499999999998</v>
      </c>
      <c r="Q98" s="81">
        <f t="shared" ca="1" si="83"/>
        <v>5.8937777777777782</v>
      </c>
      <c r="R98" s="300"/>
      <c r="S98" s="300"/>
      <c r="T98" s="300"/>
      <c r="U98" s="300"/>
      <c r="V98" s="199">
        <f t="shared" ref="V98" ca="1" si="90">IF(IF(RIGHT(H96,2)="PH",(1-L98)+$W$2,IF(RIGHT(H96,2)="HT",(1-L98)+$W$1,IF(RIGHT(H96,2)="SH",(1-L98)+$W$3,"")))&gt;0,IF(RIGHT(H96,2)="PH",(1-L98)+$W$2,IF(RIGHT(H96,2)="HT",(1-L98)+$W$1,IF(RIGHT(H96,2)="SH",(1-L98)+$W$3,""))),0)</f>
        <v>3.8103905227316492E-2</v>
      </c>
      <c r="W98" s="298"/>
      <c r="X98" s="698">
        <f t="shared" ca="1" si="79"/>
        <v>11</v>
      </c>
      <c r="Y98" s="698">
        <f t="shared" ca="1" si="85"/>
        <v>41</v>
      </c>
      <c r="Z98" s="698">
        <f t="shared" ca="1" si="86"/>
        <v>4</v>
      </c>
      <c r="AA98" s="698">
        <f t="shared" ca="1" si="87"/>
        <v>1</v>
      </c>
      <c r="AB98" s="698">
        <f t="shared" ca="1" si="88"/>
        <v>10</v>
      </c>
      <c r="AC98" s="203"/>
      <c r="AD98" s="81">
        <v>2050</v>
      </c>
      <c r="AE98" s="81"/>
      <c r="AF98" s="705"/>
    </row>
    <row r="99" spans="2:32">
      <c r="B99" s="357" t="s">
        <v>1008</v>
      </c>
      <c r="C99" s="55"/>
      <c r="D99" s="261" t="str">
        <f>"IND"&amp;RIGHT(H99,4)&amp;RIGHT(G99,3)&amp;"N"&amp;RIGHT(E99,1)</f>
        <v>INDRDSHWCHN2</v>
      </c>
      <c r="E99" s="261" t="str">
        <f>"Industrial heating technology "&amp;$AJ$12&amp;" "&amp;RIGHT(H99,2)&amp;" - Wood chip boiler (Steam - condensing) - new 2"</f>
        <v>Industrial heating technology Paper &amp; Pulp SH - Wood chip boiler (Steam - condensing) - new 2</v>
      </c>
      <c r="F99" s="224" t="s">
        <v>1149</v>
      </c>
      <c r="G99" s="174" t="s">
        <v>498</v>
      </c>
      <c r="H99" s="174" t="str">
        <f>$AI$15</f>
        <v>IRDSH</v>
      </c>
      <c r="I99" s="174" t="str">
        <f t="shared" si="22"/>
        <v>INDRWH</v>
      </c>
      <c r="J99" s="224">
        <f t="shared" si="32"/>
        <v>2011</v>
      </c>
      <c r="K99" s="299">
        <v>2025</v>
      </c>
      <c r="L99" s="199">
        <f t="shared" ca="1" si="80"/>
        <v>1.1618960947726835</v>
      </c>
      <c r="M99" s="199"/>
      <c r="N99" s="81">
        <f ca="1">VLOOKUP($AD99,INDIRECT("'"&amp;$B99&amp;"'!"&amp;"$P$118:$AD$121"),5,FALSE)</f>
        <v>25</v>
      </c>
      <c r="O99" s="723">
        <f t="shared" ca="1" si="81"/>
        <v>5.0660000000000007</v>
      </c>
      <c r="P99" s="723">
        <f t="shared" ca="1" si="82"/>
        <v>0.27564999999999995</v>
      </c>
      <c r="Q99" s="81">
        <f t="shared" ca="1" si="83"/>
        <v>5.7509861111111107</v>
      </c>
      <c r="R99" s="81">
        <v>3.1536000000000002E-2</v>
      </c>
      <c r="S99" s="199">
        <v>0.5</v>
      </c>
      <c r="T99" s="199">
        <f ca="1">HLOOKUP($T$2,INDIRECT("'"&amp;$B99&amp;"'!"&amp;"$P$85:$AC$98"),IF(H99=$AI$13,6,IF(H99=$AI$14,9,14)),FALSE)</f>
        <v>0</v>
      </c>
      <c r="U99" s="772"/>
      <c r="V99" s="199">
        <f t="shared" ref="V99" ca="1" si="91">IF(IF(RIGHT(H99,2)="PH",(1-L99)+$W$2,IF(RIGHT(H99,2)="HT",(1-L99)+$W$1,IF(RIGHT(H99,2)="SH",(1-L99)+$W$3,"")))&gt;0,IF(RIGHT(H99,2)="PH",(1-L99)+$W$2,IF(RIGHT(H99,2)="HT",(1-L99)+$W$1,IF(RIGHT(H99,2)="SH",(1-L99)+$W$3,""))),0)</f>
        <v>0</v>
      </c>
      <c r="W99" s="298"/>
      <c r="X99" s="698">
        <f t="shared" ca="1" si="79"/>
        <v>11</v>
      </c>
      <c r="Y99" s="698">
        <f t="shared" ca="1" si="85"/>
        <v>63</v>
      </c>
      <c r="Z99" s="698">
        <f t="shared" ca="1" si="86"/>
        <v>11</v>
      </c>
      <c r="AA99" s="698">
        <f t="shared" ca="1" si="87"/>
        <v>3</v>
      </c>
      <c r="AB99" s="698">
        <f t="shared" ca="1" si="88"/>
        <v>10</v>
      </c>
      <c r="AC99" s="296"/>
      <c r="AD99" s="81">
        <v>2020</v>
      </c>
      <c r="AE99" s="81"/>
      <c r="AF99" s="710"/>
    </row>
    <row r="100" spans="2:32">
      <c r="B100" s="357" t="s">
        <v>1008</v>
      </c>
      <c r="C100" s="55"/>
      <c r="D100" s="261"/>
      <c r="E100" s="261"/>
      <c r="F100" s="224" t="s">
        <v>1149</v>
      </c>
      <c r="G100" s="55"/>
      <c r="H100" s="174"/>
      <c r="I100" s="174" t="str">
        <f t="shared" si="22"/>
        <v>INDRWH</v>
      </c>
      <c r="J100" s="224">
        <f t="shared" si="32"/>
        <v>2030</v>
      </c>
      <c r="K100" s="81"/>
      <c r="L100" s="199">
        <f t="shared" ca="1" si="80"/>
        <v>1.1618960947726835</v>
      </c>
      <c r="M100" s="199"/>
      <c r="N100" s="81"/>
      <c r="O100" s="723">
        <f t="shared" ca="1" si="81"/>
        <v>4.8425000000000002</v>
      </c>
      <c r="P100" s="723">
        <f t="shared" ca="1" si="82"/>
        <v>0.267455</v>
      </c>
      <c r="Q100" s="81">
        <f t="shared" ca="1" si="83"/>
        <v>5.8461805555555557</v>
      </c>
      <c r="R100" s="300"/>
      <c r="S100" s="300"/>
      <c r="T100" s="300"/>
      <c r="U100" s="300"/>
      <c r="V100" s="199">
        <f t="shared" ref="V100" ca="1" si="92">IF(IF(RIGHT(H99,2)="PH",(1-L100)+$W$2,IF(RIGHT(H99,2)="HT",(1-L100)+$W$1,IF(RIGHT(H99,2)="SH",(1-L100)+$W$3,"")))&gt;0,IF(RIGHT(H99,2)="PH",(1-L100)+$W$2,IF(RIGHT(H99,2)="HT",(1-L100)+$W$1,IF(RIGHT(H99,2)="SH",(1-L100)+$W$3,""))),0)</f>
        <v>0</v>
      </c>
      <c r="W100" s="298"/>
      <c r="X100" s="698">
        <f t="shared" ca="1" si="79"/>
        <v>11</v>
      </c>
      <c r="Y100" s="698">
        <f t="shared" ca="1" si="85"/>
        <v>49</v>
      </c>
      <c r="Z100" s="698">
        <f t="shared" ca="1" si="86"/>
        <v>8</v>
      </c>
      <c r="AA100" s="698">
        <f t="shared" ca="1" si="87"/>
        <v>3</v>
      </c>
      <c r="AB100" s="698">
        <f t="shared" ca="1" si="88"/>
        <v>10</v>
      </c>
      <c r="AC100" s="55"/>
      <c r="AD100" s="81">
        <v>2030</v>
      </c>
      <c r="AE100" s="81"/>
      <c r="AF100" s="700"/>
    </row>
    <row r="101" spans="2:32">
      <c r="B101" s="356" t="s">
        <v>1008</v>
      </c>
      <c r="C101" s="203"/>
      <c r="D101" s="701"/>
      <c r="E101" s="701"/>
      <c r="F101" s="224" t="s">
        <v>1149</v>
      </c>
      <c r="G101" s="203"/>
      <c r="H101" s="702"/>
      <c r="I101" s="702" t="str">
        <f t="shared" si="22"/>
        <v>INDRWH</v>
      </c>
      <c r="J101" s="224">
        <f t="shared" si="32"/>
        <v>2050</v>
      </c>
      <c r="K101" s="81"/>
      <c r="L101" s="199">
        <f t="shared" ca="1" si="80"/>
        <v>1.1618960947726835</v>
      </c>
      <c r="M101" s="199"/>
      <c r="N101" s="81"/>
      <c r="O101" s="723">
        <f t="shared" ca="1" si="81"/>
        <v>4.3955000000000002</v>
      </c>
      <c r="P101" s="723">
        <f t="shared" ca="1" si="82"/>
        <v>0.25106499999999998</v>
      </c>
      <c r="Q101" s="81">
        <f t="shared" ca="1" si="83"/>
        <v>5.8937777777777782</v>
      </c>
      <c r="R101" s="703"/>
      <c r="S101" s="703"/>
      <c r="T101" s="703"/>
      <c r="U101" s="703"/>
      <c r="V101" s="199">
        <f t="shared" ref="V101" ca="1" si="93">IF(IF(RIGHT(H99,2)="PH",(1-L101)+$W$2,IF(RIGHT(H99,2)="HT",(1-L101)+$W$1,IF(RIGHT(H99,2)="SH",(1-L101)+$W$3,"")))&gt;0,IF(RIGHT(H99,2)="PH",(1-L101)+$W$2,IF(RIGHT(H99,2)="HT",(1-L101)+$W$1,IF(RIGHT(H99,2)="SH",(1-L101)+$W$3,""))),0)</f>
        <v>0</v>
      </c>
      <c r="W101" s="704"/>
      <c r="X101" s="698">
        <f t="shared" ca="1" si="79"/>
        <v>11</v>
      </c>
      <c r="Y101" s="698">
        <f t="shared" ca="1" si="85"/>
        <v>41</v>
      </c>
      <c r="Z101" s="698">
        <f t="shared" ca="1" si="86"/>
        <v>4</v>
      </c>
      <c r="AA101" s="698">
        <f t="shared" ca="1" si="87"/>
        <v>1</v>
      </c>
      <c r="AB101" s="698">
        <f t="shared" ca="1" si="88"/>
        <v>10</v>
      </c>
      <c r="AC101" s="55"/>
      <c r="AD101" s="81">
        <v>2050</v>
      </c>
      <c r="AE101" s="81"/>
      <c r="AF101" s="700"/>
    </row>
    <row r="102" spans="2:32">
      <c r="B102" s="717" t="s">
        <v>1008</v>
      </c>
      <c r="C102" s="712"/>
      <c r="D102" s="707" t="str">
        <f>"IND"&amp;RIGHT(H102,4)&amp;RIGHT(G102,3)&amp;"N"&amp;RIGHT(E102,1)</f>
        <v>INDRDPHWCHN3</v>
      </c>
      <c r="E102" s="707" t="str">
        <f>"Industrial heating technology "&amp;$AJ$12&amp;" "&amp;RIGHT(H102,2)&amp;" - Wood chip boiler (Hot Water) - new 3"</f>
        <v>Industrial heating technology Paper &amp; Pulp PH - Wood chip boiler (Hot Water) - new 3</v>
      </c>
      <c r="F102" s="224" t="s">
        <v>1149</v>
      </c>
      <c r="G102" s="708" t="s">
        <v>498</v>
      </c>
      <c r="H102" s="708" t="str">
        <f>$AI$14</f>
        <v>IRDPH</v>
      </c>
      <c r="I102" s="708" t="str">
        <f t="shared" si="22"/>
        <v>INDRWH</v>
      </c>
      <c r="J102" s="224">
        <f t="shared" si="32"/>
        <v>2011</v>
      </c>
      <c r="K102" s="299">
        <v>2025</v>
      </c>
      <c r="L102" s="199">
        <f t="shared" ref="L102:L107" ca="1" si="94">VLOOKUP($AD102,INDIRECT("'"&amp;$B102&amp;"'!"&amp;"$P$200:$AD$203"),3,FALSE)</f>
        <v>0.9</v>
      </c>
      <c r="M102" s="199"/>
      <c r="N102" s="81">
        <f ca="1">VLOOKUP($AD102,INDIRECT("'"&amp;$B102&amp;"'!"&amp;"$P$200:$AD$203"),5,FALSE)</f>
        <v>25</v>
      </c>
      <c r="O102" s="723">
        <f t="shared" ref="O102:O107" ca="1" si="95">VLOOKUP($AD102,INDIRECT("'"&amp;$B102&amp;"'!"&amp;"$P$200:$AD$203"),6,FALSE)/1000</f>
        <v>4.6054545454545437</v>
      </c>
      <c r="P102" s="723">
        <f t="shared" ref="P102:P107" ca="1" si="96">VLOOKUP($AD102,INDIRECT("'"&amp;$B102&amp;"'!"&amp;"$P$200:$AD$203"),7,FALSE)/1000</f>
        <v>0.25106499999999998</v>
      </c>
      <c r="Q102" s="81">
        <f t="shared" ref="Q102:Q107" ca="1" si="97">VLOOKUP($AD102,INDIRECT("'"&amp;$B102&amp;"'!"&amp;"$P$200:$AD$203"),8,FALSE)</f>
        <v>5.7509861111111107</v>
      </c>
      <c r="R102" s="81">
        <v>3.1536000000000002E-2</v>
      </c>
      <c r="S102" s="199">
        <v>0.5</v>
      </c>
      <c r="T102" s="199">
        <f ca="1">HLOOKUP($T$2,INDIRECT("'"&amp;$B102&amp;"'!"&amp;"$P$167:$AC$180"),IF(H102=$AI$13,6,IF(H102=$AI$14,9,14)),FALSE)</f>
        <v>0</v>
      </c>
      <c r="U102" s="773"/>
      <c r="V102" s="199">
        <f t="shared" ref="V102" ca="1" si="98">IF(IF(RIGHT(H102,2)="PH",(1-L102)+$W$2,IF(RIGHT(H102,2)="HT",(1-L102)+$W$1,IF(RIGHT(H102,2)="SH",(1-L102)+$W$3,"")))&gt;0,IF(RIGHT(H102,2)="PH",(1-L102)+$W$2,IF(RIGHT(H102,2)="HT",(1-L102)+$W$1,IF(RIGHT(H102,2)="SH",(1-L102)+$W$3,""))),0)</f>
        <v>0.3</v>
      </c>
      <c r="W102" s="709"/>
      <c r="X102" s="698">
        <f t="shared" ca="1" si="79"/>
        <v>11</v>
      </c>
      <c r="Y102" s="698">
        <f t="shared" ref="Y102:Y107" ca="1" si="99">VLOOKUP($AD102,INDIRECT("'"&amp;$B102&amp;"'!"&amp;"$P$200:$AD$203"),12,FALSE)</f>
        <v>63</v>
      </c>
      <c r="Z102" s="698">
        <f t="shared" ref="Z102:Z107" ca="1" si="100">VLOOKUP($AD102,INDIRECT("'"&amp;$B102&amp;"'!"&amp;"$P$200:$AD$203"),13,FALSE)</f>
        <v>11</v>
      </c>
      <c r="AA102" s="698">
        <f t="shared" ref="AA102:AA107" ca="1" si="101">VLOOKUP($AD102,INDIRECT("'"&amp;$B102&amp;"'!"&amp;"$P$200:$AD$203"),14,FALSE)</f>
        <v>3</v>
      </c>
      <c r="AB102" s="698">
        <f t="shared" ref="AB102:AB107" ca="1" si="102">VLOOKUP($AD102,INDIRECT("'"&amp;$B102&amp;"'!"&amp;"$P$200:$AD$203"),15,FALSE)</f>
        <v>10</v>
      </c>
      <c r="AC102" s="55"/>
      <c r="AD102" s="81">
        <v>2020</v>
      </c>
      <c r="AE102" s="81"/>
      <c r="AF102" s="700"/>
    </row>
    <row r="103" spans="2:32">
      <c r="B103" s="718" t="s">
        <v>1008</v>
      </c>
      <c r="C103" s="226"/>
      <c r="D103" s="261"/>
      <c r="E103" s="261"/>
      <c r="F103" s="224" t="s">
        <v>1149</v>
      </c>
      <c r="G103" s="55"/>
      <c r="H103" s="174"/>
      <c r="I103" s="174" t="str">
        <f t="shared" si="22"/>
        <v>INDRWH</v>
      </c>
      <c r="J103" s="224">
        <f t="shared" si="32"/>
        <v>2030</v>
      </c>
      <c r="K103" s="81"/>
      <c r="L103" s="199">
        <f t="shared" ca="1" si="94"/>
        <v>0.9</v>
      </c>
      <c r="M103" s="199"/>
      <c r="N103" s="81"/>
      <c r="O103" s="723">
        <f t="shared" ca="1" si="95"/>
        <v>4.4022727272727282</v>
      </c>
      <c r="P103" s="723">
        <f t="shared" ca="1" si="96"/>
        <v>0.267455</v>
      </c>
      <c r="Q103" s="81">
        <f t="shared" ca="1" si="97"/>
        <v>5.8461805555555557</v>
      </c>
      <c r="R103" s="300"/>
      <c r="S103" s="300"/>
      <c r="T103" s="300"/>
      <c r="U103" s="300"/>
      <c r="V103" s="199">
        <f t="shared" ref="V103" ca="1" si="103">IF(IF(RIGHT(H102,2)="PH",(1-L103)+$W$2,IF(RIGHT(H102,2)="HT",(1-L103)+$W$1,IF(RIGHT(H102,2)="SH",(1-L103)+$W$3,"")))&gt;0,IF(RIGHT(H102,2)="PH",(1-L103)+$W$2,IF(RIGHT(H102,2)="HT",(1-L103)+$W$1,IF(RIGHT(H102,2)="SH",(1-L103)+$W$3,""))),0)</f>
        <v>0.3</v>
      </c>
      <c r="W103" s="298"/>
      <c r="X103" s="698">
        <f t="shared" ca="1" si="79"/>
        <v>11</v>
      </c>
      <c r="Y103" s="698">
        <f t="shared" ca="1" si="99"/>
        <v>49</v>
      </c>
      <c r="Z103" s="698">
        <f t="shared" ca="1" si="100"/>
        <v>8</v>
      </c>
      <c r="AA103" s="698">
        <f t="shared" ca="1" si="101"/>
        <v>3</v>
      </c>
      <c r="AB103" s="698">
        <f t="shared" ca="1" si="102"/>
        <v>10</v>
      </c>
      <c r="AC103" s="55"/>
      <c r="AD103" s="81">
        <v>2030</v>
      </c>
      <c r="AE103" s="81"/>
      <c r="AF103" s="700"/>
    </row>
    <row r="104" spans="2:32">
      <c r="B104" s="718" t="s">
        <v>1008</v>
      </c>
      <c r="C104" s="226"/>
      <c r="D104" s="261"/>
      <c r="E104" s="261"/>
      <c r="F104" s="224" t="s">
        <v>1149</v>
      </c>
      <c r="G104" s="55"/>
      <c r="H104" s="174"/>
      <c r="I104" s="174" t="str">
        <f t="shared" si="22"/>
        <v>INDRWH</v>
      </c>
      <c r="J104" s="224">
        <f t="shared" si="32"/>
        <v>2050</v>
      </c>
      <c r="K104" s="81"/>
      <c r="L104" s="199">
        <f t="shared" ca="1" si="94"/>
        <v>0.91</v>
      </c>
      <c r="M104" s="199"/>
      <c r="N104" s="81"/>
      <c r="O104" s="723">
        <f t="shared" ca="1" si="95"/>
        <v>3.9959090909090884</v>
      </c>
      <c r="P104" s="723">
        <f t="shared" ca="1" si="96"/>
        <v>0.25106499999999998</v>
      </c>
      <c r="Q104" s="81">
        <f t="shared" ca="1" si="97"/>
        <v>5.8937777777777782</v>
      </c>
      <c r="R104" s="300"/>
      <c r="S104" s="300"/>
      <c r="T104" s="300"/>
      <c r="U104" s="300"/>
      <c r="V104" s="199">
        <f t="shared" ref="V104" ca="1" si="104">IF(IF(RIGHT(H102,2)="PH",(1-L104)+$W$2,IF(RIGHT(H102,2)="HT",(1-L104)+$W$1,IF(RIGHT(H102,2)="SH",(1-L104)+$W$3,"")))&gt;0,IF(RIGHT(H102,2)="PH",(1-L104)+$W$2,IF(RIGHT(H102,2)="HT",(1-L104)+$W$1,IF(RIGHT(H102,2)="SH",(1-L104)+$W$3,""))),0)</f>
        <v>0.28999999999999998</v>
      </c>
      <c r="W104" s="298"/>
      <c r="X104" s="698">
        <f t="shared" ca="1" si="79"/>
        <v>11</v>
      </c>
      <c r="Y104" s="698">
        <f t="shared" ca="1" si="99"/>
        <v>41</v>
      </c>
      <c r="Z104" s="698">
        <f t="shared" ca="1" si="100"/>
        <v>4</v>
      </c>
      <c r="AA104" s="698">
        <f t="shared" ca="1" si="101"/>
        <v>1</v>
      </c>
      <c r="AB104" s="698">
        <f t="shared" ca="1" si="102"/>
        <v>10</v>
      </c>
      <c r="AC104" s="203"/>
      <c r="AD104" s="81">
        <v>2050</v>
      </c>
      <c r="AE104" s="81"/>
      <c r="AF104" s="705"/>
    </row>
    <row r="105" spans="2:32">
      <c r="B105" s="718" t="s">
        <v>1008</v>
      </c>
      <c r="C105" s="226"/>
      <c r="D105" s="261" t="str">
        <f>"IND"&amp;RIGHT(H105,4)&amp;RIGHT(G105,3)&amp;"N"&amp;RIGHT(E105,1)</f>
        <v>INDRDSHWCHN3</v>
      </c>
      <c r="E105" s="261" t="str">
        <f>"Industrial heating technology "&amp;$AJ$12&amp;" "&amp;RIGHT(H105,2)&amp;" - Wood chip boiler (Hot Water) - new 3"</f>
        <v>Industrial heating technology Paper &amp; Pulp SH - Wood chip boiler (Hot Water) - new 3</v>
      </c>
      <c r="F105" s="224" t="s">
        <v>1149</v>
      </c>
      <c r="G105" s="174" t="s">
        <v>498</v>
      </c>
      <c r="H105" s="174" t="str">
        <f>$AI$15</f>
        <v>IRDSH</v>
      </c>
      <c r="I105" s="174" t="str">
        <f t="shared" si="22"/>
        <v>INDRWH</v>
      </c>
      <c r="J105" s="224">
        <f t="shared" si="32"/>
        <v>2011</v>
      </c>
      <c r="K105" s="299">
        <v>2025</v>
      </c>
      <c r="L105" s="199">
        <f t="shared" ca="1" si="94"/>
        <v>0.9</v>
      </c>
      <c r="M105" s="199"/>
      <c r="N105" s="81">
        <f ca="1">VLOOKUP($AD105,INDIRECT("'"&amp;$B105&amp;"'!"&amp;"$P$200:$AD$203"),5,FALSE)</f>
        <v>25</v>
      </c>
      <c r="O105" s="723">
        <f t="shared" ca="1" si="95"/>
        <v>4.6054545454545437</v>
      </c>
      <c r="P105" s="723">
        <f t="shared" ca="1" si="96"/>
        <v>0.25106499999999998</v>
      </c>
      <c r="Q105" s="81">
        <f t="shared" ca="1" si="97"/>
        <v>5.7509861111111107</v>
      </c>
      <c r="R105" s="81">
        <v>3.1536000000000002E-2</v>
      </c>
      <c r="S105" s="199">
        <v>0.5</v>
      </c>
      <c r="T105" s="199">
        <f ca="1">HLOOKUP($T$2,INDIRECT("'"&amp;$B105&amp;"'!"&amp;"$P$167:$AC$180"),IF(H105=$AI$13,6,IF(H105=$AI$14,9,14)),FALSE)</f>
        <v>1</v>
      </c>
      <c r="U105" s="773"/>
      <c r="V105" s="199">
        <f t="shared" ref="V105" ca="1" si="105">IF(IF(RIGHT(H105,2)="PH",(1-L105)+$W$2,IF(RIGHT(H105,2)="HT",(1-L105)+$W$1,IF(RIGHT(H105,2)="SH",(1-L105)+$W$3,"")))&gt;0,IF(RIGHT(H105,2)="PH",(1-L105)+$W$2,IF(RIGHT(H105,2)="HT",(1-L105)+$W$1,IF(RIGHT(H105,2)="SH",(1-L105)+$W$3,""))),0)</f>
        <v>9.9999999999999978E-2</v>
      </c>
      <c r="W105" s="709"/>
      <c r="X105" s="698">
        <f t="shared" ca="1" si="79"/>
        <v>11</v>
      </c>
      <c r="Y105" s="698">
        <f t="shared" ca="1" si="99"/>
        <v>63</v>
      </c>
      <c r="Z105" s="698">
        <f t="shared" ca="1" si="100"/>
        <v>11</v>
      </c>
      <c r="AA105" s="698">
        <f t="shared" ca="1" si="101"/>
        <v>3</v>
      </c>
      <c r="AB105" s="698">
        <f t="shared" ca="1" si="102"/>
        <v>10</v>
      </c>
      <c r="AC105" s="296"/>
      <c r="AD105" s="81">
        <v>2020</v>
      </c>
      <c r="AE105" s="81"/>
      <c r="AF105" s="710"/>
    </row>
    <row r="106" spans="2:32">
      <c r="B106" s="718" t="s">
        <v>1008</v>
      </c>
      <c r="C106" s="226"/>
      <c r="D106" s="261"/>
      <c r="E106" s="261"/>
      <c r="F106" s="224" t="s">
        <v>1149</v>
      </c>
      <c r="G106" s="55"/>
      <c r="H106" s="174"/>
      <c r="I106" s="174" t="str">
        <f t="shared" si="22"/>
        <v>INDRWH</v>
      </c>
      <c r="J106" s="224">
        <f t="shared" si="32"/>
        <v>2030</v>
      </c>
      <c r="K106" s="81"/>
      <c r="L106" s="199">
        <f t="shared" ca="1" si="94"/>
        <v>0.9</v>
      </c>
      <c r="M106" s="199"/>
      <c r="N106" s="81"/>
      <c r="O106" s="723">
        <f t="shared" ca="1" si="95"/>
        <v>4.4022727272727282</v>
      </c>
      <c r="P106" s="723">
        <f t="shared" ca="1" si="96"/>
        <v>0.267455</v>
      </c>
      <c r="Q106" s="81">
        <f t="shared" ca="1" si="97"/>
        <v>5.8461805555555557</v>
      </c>
      <c r="R106" s="300"/>
      <c r="S106" s="300"/>
      <c r="T106" s="300"/>
      <c r="U106" s="300"/>
      <c r="V106" s="199">
        <f t="shared" ref="V106" ca="1" si="106">IF(IF(RIGHT(H105,2)="PH",(1-L106)+$W$2,IF(RIGHT(H105,2)="HT",(1-L106)+$W$1,IF(RIGHT(H105,2)="SH",(1-L106)+$W$3,"")))&gt;0,IF(RIGHT(H105,2)="PH",(1-L106)+$W$2,IF(RIGHT(H105,2)="HT",(1-L106)+$W$1,IF(RIGHT(H105,2)="SH",(1-L106)+$W$3,""))),0)</f>
        <v>9.9999999999999978E-2</v>
      </c>
      <c r="W106" s="298"/>
      <c r="X106" s="698">
        <f t="shared" ca="1" si="79"/>
        <v>11</v>
      </c>
      <c r="Y106" s="698">
        <f t="shared" ca="1" si="99"/>
        <v>49</v>
      </c>
      <c r="Z106" s="698">
        <f t="shared" ca="1" si="100"/>
        <v>8</v>
      </c>
      <c r="AA106" s="698">
        <f t="shared" ca="1" si="101"/>
        <v>3</v>
      </c>
      <c r="AB106" s="698">
        <f t="shared" ca="1" si="102"/>
        <v>10</v>
      </c>
      <c r="AC106" s="55"/>
      <c r="AD106" s="81">
        <v>2030</v>
      </c>
      <c r="AE106" s="81"/>
      <c r="AF106" s="700"/>
    </row>
    <row r="107" spans="2:32">
      <c r="B107" s="719" t="s">
        <v>1008</v>
      </c>
      <c r="C107" s="713"/>
      <c r="D107" s="701"/>
      <c r="E107" s="701"/>
      <c r="F107" s="224" t="s">
        <v>1149</v>
      </c>
      <c r="G107" s="203"/>
      <c r="H107" s="702"/>
      <c r="I107" s="702" t="str">
        <f t="shared" si="22"/>
        <v>INDRWH</v>
      </c>
      <c r="J107" s="224">
        <f t="shared" si="32"/>
        <v>2050</v>
      </c>
      <c r="K107" s="81"/>
      <c r="L107" s="199">
        <f t="shared" ca="1" si="94"/>
        <v>0.91</v>
      </c>
      <c r="M107" s="199"/>
      <c r="N107" s="81"/>
      <c r="O107" s="723">
        <f t="shared" ca="1" si="95"/>
        <v>3.9959090909090884</v>
      </c>
      <c r="P107" s="723">
        <f t="shared" ca="1" si="96"/>
        <v>0.25106499999999998</v>
      </c>
      <c r="Q107" s="81">
        <f t="shared" ca="1" si="97"/>
        <v>5.8937777777777782</v>
      </c>
      <c r="R107" s="300"/>
      <c r="S107" s="300"/>
      <c r="T107" s="300"/>
      <c r="U107" s="300"/>
      <c r="V107" s="199">
        <f t="shared" ref="V107" ca="1" si="107">IF(IF(RIGHT(H105,2)="PH",(1-L107)+$W$2,IF(RIGHT(H105,2)="HT",(1-L107)+$W$1,IF(RIGHT(H105,2)="SH",(1-L107)+$W$3,"")))&gt;0,IF(RIGHT(H105,2)="PH",(1-L107)+$W$2,IF(RIGHT(H105,2)="HT",(1-L107)+$W$1,IF(RIGHT(H105,2)="SH",(1-L107)+$W$3,""))),0)</f>
        <v>8.9999999999999969E-2</v>
      </c>
      <c r="W107" s="298"/>
      <c r="X107" s="698">
        <f t="shared" ca="1" si="79"/>
        <v>11</v>
      </c>
      <c r="Y107" s="698">
        <f t="shared" ca="1" si="99"/>
        <v>41</v>
      </c>
      <c r="Z107" s="698">
        <f t="shared" ca="1" si="100"/>
        <v>4</v>
      </c>
      <c r="AA107" s="698">
        <f t="shared" ca="1" si="101"/>
        <v>1</v>
      </c>
      <c r="AB107" s="698">
        <f t="shared" ca="1" si="102"/>
        <v>10</v>
      </c>
      <c r="AC107" s="55"/>
      <c r="AD107" s="81">
        <v>2050</v>
      </c>
      <c r="AE107" s="81"/>
      <c r="AF107" s="700"/>
    </row>
    <row r="108" spans="2:32">
      <c r="B108" s="717" t="s">
        <v>1008</v>
      </c>
      <c r="C108" s="712"/>
      <c r="D108" s="707" t="str">
        <f>"IND"&amp;RIGHT(H108,4)&amp;RIGHT(G108,3)&amp;"N"&amp;RIGHT(E108,1)</f>
        <v>INDRDPHWCHN4</v>
      </c>
      <c r="E108" s="707" t="str">
        <f>"Industrial heating technology "&amp;$AJ$12&amp;" "&amp;RIGHT(H108,2)&amp;" - Wood chip boiler (Hot Water - condensing) - new 4"</f>
        <v>Industrial heating technology Paper &amp; Pulp PH - Wood chip boiler (Hot Water - condensing) - new 4</v>
      </c>
      <c r="F108" s="224" t="s">
        <v>1149</v>
      </c>
      <c r="G108" s="708" t="s">
        <v>498</v>
      </c>
      <c r="H108" s="708" t="str">
        <f>$AI$14</f>
        <v>IRDPH</v>
      </c>
      <c r="I108" s="708" t="str">
        <f t="shared" si="22"/>
        <v>INDRWH</v>
      </c>
      <c r="J108" s="224">
        <f t="shared" si="32"/>
        <v>2011</v>
      </c>
      <c r="K108" s="299">
        <v>2025</v>
      </c>
      <c r="L108" s="199">
        <f t="shared" ref="L108:L113" ca="1" si="108">VLOOKUP($AD108,INDIRECT("'"&amp;$B108&amp;"'!"&amp;"$P$279:$AD$282"),3,FALSE)</f>
        <v>1.1618960947726835</v>
      </c>
      <c r="M108" s="199"/>
      <c r="N108" s="81">
        <f ca="1">VLOOKUP($AD108,INDIRECT("'"&amp;$B108&amp;"'!"&amp;"$P$279:$AD$282"),5,FALSE)</f>
        <v>25</v>
      </c>
      <c r="O108" s="723">
        <f t="shared" ref="O108:O113" ca="1" si="109">VLOOKUP($AD108,INDIRECT("'"&amp;$B108&amp;"'!"&amp;"$P$279:$AD$282"),6,FALSE)/1000</f>
        <v>5.0660000000000007</v>
      </c>
      <c r="P108" s="723">
        <f t="shared" ref="P108:P113" ca="1" si="110">VLOOKUP($AD108,INDIRECT("'"&amp;$B108&amp;"'!"&amp;"$P$279:$AD$282"),7,FALSE)/1000</f>
        <v>0.27564999999999995</v>
      </c>
      <c r="Q108" s="81">
        <f t="shared" ref="Q108:Q113" ca="1" si="111">VLOOKUP($AD108,INDIRECT("'"&amp;$B108&amp;"'!"&amp;"$P$279:$AD$282"),8,FALSE)</f>
        <v>5.7509861111111107</v>
      </c>
      <c r="R108" s="81">
        <v>3.1536000000000002E-2</v>
      </c>
      <c r="S108" s="199">
        <v>0.5</v>
      </c>
      <c r="T108" s="199">
        <f ca="1">HLOOKUP($T$2,INDIRECT("'"&amp;$B108&amp;"'!"&amp;"$P$246:$AC$259"),IF(H108=$AI$13,6,IF(H108=$AI$14,9,14)),FALSE)</f>
        <v>0</v>
      </c>
      <c r="U108" s="773"/>
      <c r="V108" s="199">
        <f t="shared" ref="V108" ca="1" si="112">IF(IF(RIGHT(H108,2)="PH",(1-L108)+$W$2,IF(RIGHT(H108,2)="HT",(1-L108)+$W$1,IF(RIGHT(H108,2)="SH",(1-L108)+$W$3,"")))&gt;0,IF(RIGHT(H108,2)="PH",(1-L108)+$W$2,IF(RIGHT(H108,2)="HT",(1-L108)+$W$1,IF(RIGHT(H108,2)="SH",(1-L108)+$W$3,""))),0)</f>
        <v>3.8103905227316492E-2</v>
      </c>
      <c r="W108" s="709"/>
      <c r="X108" s="698">
        <f t="shared" ca="1" si="79"/>
        <v>11</v>
      </c>
      <c r="Y108" s="698">
        <f t="shared" ref="Y108:Y113" ca="1" si="113">VLOOKUP($AD108,INDIRECT("'"&amp;$B108&amp;"'!"&amp;"$P$279:$AD$282"),12,FALSE)</f>
        <v>63</v>
      </c>
      <c r="Z108" s="698">
        <f t="shared" ref="Z108:Z113" ca="1" si="114">VLOOKUP($AD108,INDIRECT("'"&amp;$B108&amp;"'!"&amp;"$P$279:$AD$282"),13,FALSE)</f>
        <v>11</v>
      </c>
      <c r="AA108" s="698">
        <f t="shared" ref="AA108:AA113" ca="1" si="115">VLOOKUP($AD108,INDIRECT("'"&amp;$B108&amp;"'!"&amp;"$P$279:$AD$282"),14,FALSE)</f>
        <v>3</v>
      </c>
      <c r="AB108" s="698">
        <f t="shared" ref="AB108:AB113" ca="1" si="116">VLOOKUP($AD108,INDIRECT("'"&amp;$B108&amp;"'!"&amp;"$P$279:$AD$282"),15,FALSE)</f>
        <v>10</v>
      </c>
      <c r="AC108" s="55"/>
      <c r="AD108" s="81">
        <v>2020</v>
      </c>
      <c r="AE108" s="81"/>
      <c r="AF108" s="700"/>
    </row>
    <row r="109" spans="2:32">
      <c r="B109" s="718" t="s">
        <v>1008</v>
      </c>
      <c r="C109" s="226"/>
      <c r="D109" s="261"/>
      <c r="E109" s="261"/>
      <c r="F109" s="224" t="s">
        <v>1149</v>
      </c>
      <c r="G109" s="55"/>
      <c r="H109" s="174"/>
      <c r="I109" s="174" t="str">
        <f t="shared" si="22"/>
        <v>INDRWH</v>
      </c>
      <c r="J109" s="224">
        <f t="shared" si="32"/>
        <v>2030</v>
      </c>
      <c r="K109" s="81"/>
      <c r="L109" s="199">
        <f t="shared" ca="1" si="108"/>
        <v>1.1618960947726835</v>
      </c>
      <c r="M109" s="199"/>
      <c r="N109" s="81"/>
      <c r="O109" s="723">
        <f t="shared" ca="1" si="109"/>
        <v>4.8425000000000002</v>
      </c>
      <c r="P109" s="723">
        <f t="shared" ca="1" si="110"/>
        <v>0.267455</v>
      </c>
      <c r="Q109" s="81">
        <f t="shared" ca="1" si="111"/>
        <v>5.8461805555555557</v>
      </c>
      <c r="R109" s="300"/>
      <c r="S109" s="300"/>
      <c r="T109" s="300"/>
      <c r="U109" s="300"/>
      <c r="V109" s="199">
        <f t="shared" ref="V109" ca="1" si="117">IF(IF(RIGHT(H108,2)="PH",(1-L109)+$W$2,IF(RIGHT(H108,2)="HT",(1-L109)+$W$1,IF(RIGHT(H108,2)="SH",(1-L109)+$W$3,"")))&gt;0,IF(RIGHT(H108,2)="PH",(1-L109)+$W$2,IF(RIGHT(H108,2)="HT",(1-L109)+$W$1,IF(RIGHT(H108,2)="SH",(1-L109)+$W$3,""))),0)</f>
        <v>3.8103905227316492E-2</v>
      </c>
      <c r="W109" s="298"/>
      <c r="X109" s="698">
        <f t="shared" ca="1" si="79"/>
        <v>11</v>
      </c>
      <c r="Y109" s="698">
        <f t="shared" ca="1" si="113"/>
        <v>49</v>
      </c>
      <c r="Z109" s="698">
        <f t="shared" ca="1" si="114"/>
        <v>8</v>
      </c>
      <c r="AA109" s="698">
        <f t="shared" ca="1" si="115"/>
        <v>3</v>
      </c>
      <c r="AB109" s="698">
        <f t="shared" ca="1" si="116"/>
        <v>10</v>
      </c>
      <c r="AC109" s="55"/>
      <c r="AD109" s="81">
        <v>2030</v>
      </c>
      <c r="AE109" s="81"/>
      <c r="AF109" s="700"/>
    </row>
    <row r="110" spans="2:32">
      <c r="B110" s="718" t="s">
        <v>1008</v>
      </c>
      <c r="C110" s="226"/>
      <c r="D110" s="261"/>
      <c r="E110" s="261"/>
      <c r="F110" s="224" t="s">
        <v>1149</v>
      </c>
      <c r="G110" s="55"/>
      <c r="H110" s="174"/>
      <c r="I110" s="174" t="str">
        <f t="shared" si="22"/>
        <v>INDRWH</v>
      </c>
      <c r="J110" s="224">
        <f t="shared" si="32"/>
        <v>2050</v>
      </c>
      <c r="K110" s="81"/>
      <c r="L110" s="199">
        <f t="shared" ca="1" si="108"/>
        <v>1.1618960947726835</v>
      </c>
      <c r="M110" s="199"/>
      <c r="N110" s="81"/>
      <c r="O110" s="723">
        <f t="shared" ca="1" si="109"/>
        <v>4.3955000000000002</v>
      </c>
      <c r="P110" s="723">
        <f t="shared" ca="1" si="110"/>
        <v>0.25106499999999998</v>
      </c>
      <c r="Q110" s="81">
        <f t="shared" ca="1" si="111"/>
        <v>5.8937777777777782</v>
      </c>
      <c r="R110" s="300"/>
      <c r="S110" s="300"/>
      <c r="T110" s="300"/>
      <c r="U110" s="300"/>
      <c r="V110" s="199">
        <f t="shared" ref="V110" ca="1" si="118">IF(IF(RIGHT(H108,2)="PH",(1-L110)+$W$2,IF(RIGHT(H108,2)="HT",(1-L110)+$W$1,IF(RIGHT(H108,2)="SH",(1-L110)+$W$3,"")))&gt;0,IF(RIGHT(H108,2)="PH",(1-L110)+$W$2,IF(RIGHT(H108,2)="HT",(1-L110)+$W$1,IF(RIGHT(H108,2)="SH",(1-L110)+$W$3,""))),0)</f>
        <v>3.8103905227316492E-2</v>
      </c>
      <c r="W110" s="298"/>
      <c r="X110" s="698">
        <f t="shared" ca="1" si="79"/>
        <v>11</v>
      </c>
      <c r="Y110" s="698">
        <f t="shared" ca="1" si="113"/>
        <v>41</v>
      </c>
      <c r="Z110" s="698">
        <f t="shared" ca="1" si="114"/>
        <v>4</v>
      </c>
      <c r="AA110" s="698">
        <f t="shared" ca="1" si="115"/>
        <v>1</v>
      </c>
      <c r="AB110" s="698">
        <f t="shared" ca="1" si="116"/>
        <v>10</v>
      </c>
      <c r="AC110" s="203"/>
      <c r="AD110" s="81">
        <v>2050</v>
      </c>
      <c r="AE110" s="81"/>
      <c r="AF110" s="705"/>
    </row>
    <row r="111" spans="2:32">
      <c r="B111" s="718" t="s">
        <v>1008</v>
      </c>
      <c r="C111" s="226"/>
      <c r="D111" s="261" t="str">
        <f>"IND"&amp;RIGHT(H111,4)&amp;RIGHT(G111,3)&amp;"N"&amp;RIGHT(E111,1)</f>
        <v>INDRDSHWCHN4</v>
      </c>
      <c r="E111" s="261" t="str">
        <f>"Industrial heating technology "&amp;$AJ$12&amp;" "&amp;RIGHT(H111,2)&amp;" - Wood chip boiler (Hot Water- condensing) - new 4"</f>
        <v>Industrial heating technology Paper &amp; Pulp SH - Wood chip boiler (Hot Water- condensing) - new 4</v>
      </c>
      <c r="F111" s="224" t="s">
        <v>1149</v>
      </c>
      <c r="G111" s="174" t="s">
        <v>498</v>
      </c>
      <c r="H111" s="174" t="str">
        <f>$AI$15</f>
        <v>IRDSH</v>
      </c>
      <c r="I111" s="174" t="str">
        <f t="shared" si="22"/>
        <v>INDRWH</v>
      </c>
      <c r="J111" s="224">
        <f t="shared" si="32"/>
        <v>2011</v>
      </c>
      <c r="K111" s="299">
        <v>2025</v>
      </c>
      <c r="L111" s="199">
        <f t="shared" ca="1" si="108"/>
        <v>1.1618960947726835</v>
      </c>
      <c r="M111" s="199"/>
      <c r="N111" s="81">
        <f ca="1">VLOOKUP($AD111,INDIRECT("'"&amp;$B111&amp;"'!"&amp;"$P$279:$AD$282"),5,FALSE)</f>
        <v>25</v>
      </c>
      <c r="O111" s="723">
        <f t="shared" ca="1" si="109"/>
        <v>5.0660000000000007</v>
      </c>
      <c r="P111" s="723">
        <f t="shared" ca="1" si="110"/>
        <v>0.27564999999999995</v>
      </c>
      <c r="Q111" s="81">
        <f t="shared" ca="1" si="111"/>
        <v>5.7509861111111107</v>
      </c>
      <c r="R111" s="81">
        <v>3.1536000000000002E-2</v>
      </c>
      <c r="S111" s="199">
        <v>0.5</v>
      </c>
      <c r="T111" s="199">
        <f ca="1">HLOOKUP($T$2,INDIRECT("'"&amp;$B111&amp;"'!"&amp;"$P$246:$AC$259"),IF(H111=$AI$13,6,IF(H111=$AI$14,9,14)),FALSE)</f>
        <v>0</v>
      </c>
      <c r="U111" s="773"/>
      <c r="V111" s="199">
        <f t="shared" ref="V111" ca="1" si="119">IF(IF(RIGHT(H111,2)="PH",(1-L111)+$W$2,IF(RIGHT(H111,2)="HT",(1-L111)+$W$1,IF(RIGHT(H111,2)="SH",(1-L111)+$W$3,"")))&gt;0,IF(RIGHT(H111,2)="PH",(1-L111)+$W$2,IF(RIGHT(H111,2)="HT",(1-L111)+$W$1,IF(RIGHT(H111,2)="SH",(1-L111)+$W$3,""))),0)</f>
        <v>0</v>
      </c>
      <c r="W111" s="709"/>
      <c r="X111" s="698">
        <f t="shared" ca="1" si="79"/>
        <v>11</v>
      </c>
      <c r="Y111" s="698">
        <f t="shared" ca="1" si="113"/>
        <v>63</v>
      </c>
      <c r="Z111" s="698">
        <f t="shared" ca="1" si="114"/>
        <v>11</v>
      </c>
      <c r="AA111" s="698">
        <f t="shared" ca="1" si="115"/>
        <v>3</v>
      </c>
      <c r="AB111" s="698">
        <f t="shared" ca="1" si="116"/>
        <v>10</v>
      </c>
      <c r="AD111" s="81">
        <v>2020</v>
      </c>
      <c r="AE111" s="81"/>
      <c r="AF111" s="220"/>
    </row>
    <row r="112" spans="2:32">
      <c r="B112" s="718" t="s">
        <v>1008</v>
      </c>
      <c r="C112" s="226"/>
      <c r="D112" s="261"/>
      <c r="E112" s="261"/>
      <c r="F112" s="224" t="s">
        <v>1149</v>
      </c>
      <c r="G112" s="55"/>
      <c r="H112" s="174"/>
      <c r="I112" s="174" t="str">
        <f t="shared" si="22"/>
        <v>INDRWH</v>
      </c>
      <c r="J112" s="224">
        <f t="shared" si="32"/>
        <v>2030</v>
      </c>
      <c r="K112" s="81"/>
      <c r="L112" s="199">
        <f t="shared" ca="1" si="108"/>
        <v>1.1618960947726835</v>
      </c>
      <c r="M112" s="199"/>
      <c r="N112" s="81"/>
      <c r="O112" s="723">
        <f t="shared" ca="1" si="109"/>
        <v>4.8425000000000002</v>
      </c>
      <c r="P112" s="723">
        <f t="shared" ca="1" si="110"/>
        <v>0.267455</v>
      </c>
      <c r="Q112" s="81">
        <f t="shared" ca="1" si="111"/>
        <v>5.8461805555555557</v>
      </c>
      <c r="R112" s="300"/>
      <c r="S112" s="300"/>
      <c r="T112" s="300"/>
      <c r="U112" s="300"/>
      <c r="V112" s="199">
        <f t="shared" ref="V112" ca="1" si="120">IF(IF(RIGHT(H111,2)="PH",(1-L112)+$W$2,IF(RIGHT(H111,2)="HT",(1-L112)+$W$1,IF(RIGHT(H111,2)="SH",(1-L112)+$W$3,"")))&gt;0,IF(RIGHT(H111,2)="PH",(1-L112)+$W$2,IF(RIGHT(H111,2)="HT",(1-L112)+$W$1,IF(RIGHT(H111,2)="SH",(1-L112)+$W$3,""))),0)</f>
        <v>0</v>
      </c>
      <c r="W112" s="298"/>
      <c r="X112" s="698">
        <f t="shared" ca="1" si="79"/>
        <v>11</v>
      </c>
      <c r="Y112" s="698">
        <f t="shared" ca="1" si="113"/>
        <v>49</v>
      </c>
      <c r="Z112" s="698">
        <f t="shared" ca="1" si="114"/>
        <v>8</v>
      </c>
      <c r="AA112" s="698">
        <f t="shared" ca="1" si="115"/>
        <v>3</v>
      </c>
      <c r="AB112" s="698">
        <f t="shared" ca="1" si="116"/>
        <v>10</v>
      </c>
      <c r="AD112" s="81">
        <v>2030</v>
      </c>
      <c r="AE112" s="81"/>
      <c r="AF112" s="220"/>
    </row>
    <row r="113" spans="2:32">
      <c r="B113" s="719" t="s">
        <v>1008</v>
      </c>
      <c r="C113" s="713"/>
      <c r="D113" s="701"/>
      <c r="E113" s="701"/>
      <c r="F113" s="224" t="s">
        <v>1149</v>
      </c>
      <c r="G113" s="203"/>
      <c r="H113" s="702"/>
      <c r="I113" s="702" t="str">
        <f t="shared" si="22"/>
        <v>INDRWH</v>
      </c>
      <c r="J113" s="224">
        <f t="shared" si="32"/>
        <v>2050</v>
      </c>
      <c r="K113" s="81"/>
      <c r="L113" s="199">
        <f t="shared" ca="1" si="108"/>
        <v>1.1618960947726835</v>
      </c>
      <c r="M113" s="199"/>
      <c r="N113" s="81"/>
      <c r="O113" s="723">
        <f t="shared" ca="1" si="109"/>
        <v>4.3955000000000002</v>
      </c>
      <c r="P113" s="723">
        <f t="shared" ca="1" si="110"/>
        <v>0.25106499999999998</v>
      </c>
      <c r="Q113" s="81">
        <f t="shared" ca="1" si="111"/>
        <v>5.8937777777777782</v>
      </c>
      <c r="R113" s="300"/>
      <c r="S113" s="300"/>
      <c r="T113" s="300"/>
      <c r="U113" s="300"/>
      <c r="V113" s="199">
        <f t="shared" ref="V113" ca="1" si="121">IF(IF(RIGHT(H111,2)="PH",(1-L113)+$W$2,IF(RIGHT(H111,2)="HT",(1-L113)+$W$1,IF(RIGHT(H111,2)="SH",(1-L113)+$W$3,"")))&gt;0,IF(RIGHT(H111,2)="PH",(1-L113)+$W$2,IF(RIGHT(H111,2)="HT",(1-L113)+$W$1,IF(RIGHT(H111,2)="SH",(1-L113)+$W$3,""))),0)</f>
        <v>0</v>
      </c>
      <c r="W113" s="714"/>
      <c r="X113" s="698">
        <f t="shared" ca="1" si="79"/>
        <v>11</v>
      </c>
      <c r="Y113" s="698">
        <f t="shared" ca="1" si="113"/>
        <v>41</v>
      </c>
      <c r="Z113" s="698">
        <f t="shared" ca="1" si="114"/>
        <v>4</v>
      </c>
      <c r="AA113" s="698">
        <f t="shared" ca="1" si="115"/>
        <v>1</v>
      </c>
      <c r="AB113" s="698">
        <f t="shared" ca="1" si="116"/>
        <v>10</v>
      </c>
      <c r="AD113" s="81">
        <v>2050</v>
      </c>
      <c r="AE113" s="81"/>
      <c r="AF113" s="220"/>
    </row>
    <row r="114" spans="2:32">
      <c r="B114" s="718" t="s">
        <v>1014</v>
      </c>
      <c r="C114" s="226"/>
      <c r="D114" s="212" t="str">
        <f>"IND"&amp;RIGHT(H114,4)&amp;RIGHT(G114,3)&amp;"N"&amp;RIGHT(E114,2)</f>
        <v>INDRDPHELCN10</v>
      </c>
      <c r="E114" s="261" t="str">
        <f>"Industrial heating technology "&amp;$AJ$12&amp;" "&amp;RIGHT(H114,2)&amp;" - Direct electric heating - new 10"</f>
        <v>Industrial heating technology Paper &amp; Pulp PH - Direct electric heating - new 10</v>
      </c>
      <c r="F114" s="224" t="s">
        <v>1149</v>
      </c>
      <c r="G114" s="173" t="s">
        <v>499</v>
      </c>
      <c r="H114" s="174" t="str">
        <f>$AI$13</f>
        <v>IRDPH</v>
      </c>
      <c r="I114" s="174" t="str">
        <f t="shared" si="22"/>
        <v>INDRWH</v>
      </c>
      <c r="J114" s="224">
        <f t="shared" si="32"/>
        <v>2011</v>
      </c>
      <c r="K114" s="299">
        <v>2020</v>
      </c>
      <c r="L114" s="199">
        <f t="shared" ref="L114:L128" ca="1" si="122">VLOOKUP($AD114,INDIRECT("'"&amp;$B114&amp;"'!"&amp;"$P$39:$AD$42"),3,FALSE)</f>
        <v>1</v>
      </c>
      <c r="M114" s="199"/>
      <c r="N114" s="81">
        <f ca="1">VLOOKUP($AD114,INDIRECT("'"&amp;$B114&amp;"'!"&amp;"$P$39:$AD$42"),5,FALSE)</f>
        <v>12.5</v>
      </c>
      <c r="O114" s="723">
        <f t="shared" ref="O114:O128" ca="1" si="123">VLOOKUP($AD114,INDIRECT("'"&amp;$B114&amp;"'!"&amp;"$P$39:$AD$42"),6,FALSE)/1000</f>
        <v>0.44700000000000001</v>
      </c>
      <c r="P114" s="723">
        <f t="shared" ref="P114:P128" ca="1" si="124">VLOOKUP($AD114,INDIRECT("'"&amp;$B114&amp;"'!"&amp;"$P$39:$AD$42"),7,FALSE)/1000</f>
        <v>0</v>
      </c>
      <c r="Q114" s="81">
        <f t="shared" ref="Q114:Q128" ca="1" si="125">VLOOKUP($AD114,INDIRECT("'"&amp;$B114&amp;"'!"&amp;"$P$39:$AD$42"),8,FALSE)</f>
        <v>0.37767361111111114</v>
      </c>
      <c r="R114" s="81">
        <v>3.1536000000000002E-2</v>
      </c>
      <c r="S114" s="199">
        <v>0.5</v>
      </c>
      <c r="T114" s="199">
        <f ca="1">HLOOKUP($S$2,INDIRECT("'"&amp;$B114&amp;"'!"&amp;"$P$6:$AC$19"),IF(H114=$AI$13,6,IF(H114=$AI$14,9,14)),FALSE)</f>
        <v>1</v>
      </c>
      <c r="U114" s="772"/>
      <c r="V114" s="199">
        <f t="shared" ref="V114" ca="1" si="126">IF(IF(RIGHT(H114,2)="PH",(1-L114)+$W$2,IF(RIGHT(H114,2)="HT",(1-L114)+$W$1,IF(RIGHT(H114,2)="SH",(1-L114)+$W$3,"")))&gt;0,IF(RIGHT(H114,2)="PH",(1-L114)+$W$2,IF(RIGHT(H114,2)="HT",(1-L114)+$W$1,IF(RIGHT(H114,2)="SH",(1-L114)+$W$3,""))),0)</f>
        <v>0.2</v>
      </c>
      <c r="W114" s="298"/>
      <c r="X114" s="698">
        <f t="shared" ca="1" si="79"/>
        <v>0</v>
      </c>
      <c r="Y114" s="81">
        <f t="shared" ref="Y114:Y128" ca="1" si="127">VLOOKUP($AD114,INDIRECT("'"&amp;$B114&amp;"'!"&amp;"$P$39:$AD$42"),12,FALSE)</f>
        <v>0</v>
      </c>
      <c r="Z114" s="81">
        <f t="shared" ref="Z114:Z128" ca="1" si="128">VLOOKUP($AD114,INDIRECT("'"&amp;$B114&amp;"'!"&amp;"$P$39:$AD$42"),13,FALSE)</f>
        <v>0</v>
      </c>
      <c r="AA114" s="81">
        <f t="shared" ref="AA114:AA128" ca="1" si="129">VLOOKUP($AD114,INDIRECT("'"&amp;$B114&amp;"'!"&amp;"$P$39:$AD$42"),14,FALSE)</f>
        <v>0</v>
      </c>
      <c r="AB114" s="81">
        <f t="shared" ref="AB114:AB128" ca="1" si="130">VLOOKUP($AD114,INDIRECT("'"&amp;$B114&amp;"'!"&amp;"$P$39:$AD$42"),15,FALSE)</f>
        <v>0</v>
      </c>
      <c r="AD114" s="81">
        <v>2020</v>
      </c>
      <c r="AE114" s="81"/>
      <c r="AF114" s="220"/>
    </row>
    <row r="115" spans="2:32">
      <c r="B115" s="718" t="s">
        <v>1014</v>
      </c>
      <c r="C115" s="226"/>
      <c r="D115" s="212"/>
      <c r="E115" s="212"/>
      <c r="F115" s="224" t="s">
        <v>1149</v>
      </c>
      <c r="H115" s="174"/>
      <c r="I115" s="174" t="str">
        <f t="shared" si="22"/>
        <v>INDRWH</v>
      </c>
      <c r="J115" s="224">
        <f t="shared" si="32"/>
        <v>2030</v>
      </c>
      <c r="K115" s="81"/>
      <c r="L115" s="199">
        <f t="shared" ca="1" si="122"/>
        <v>1</v>
      </c>
      <c r="M115" s="199"/>
      <c r="N115" s="81"/>
      <c r="O115" s="723">
        <f t="shared" ca="1" si="123"/>
        <v>0.44700000000000001</v>
      </c>
      <c r="P115" s="723">
        <f t="shared" ca="1" si="124"/>
        <v>0</v>
      </c>
      <c r="Q115" s="81">
        <f t="shared" ca="1" si="125"/>
        <v>0.38802083333333331</v>
      </c>
      <c r="R115" s="300"/>
      <c r="S115" s="300"/>
      <c r="T115" s="300"/>
      <c r="U115" s="300"/>
      <c r="V115" s="199">
        <f t="shared" ref="V115" ca="1" si="131">IF(IF(RIGHT(H114,2)="PH",(1-L115)+$W$2,IF(RIGHT(H114,2)="HT",(1-L115)+$W$1,IF(RIGHT(H114,2)="SH",(1-L115)+$W$3,"")))&gt;0,IF(RIGHT(H114,2)="PH",(1-L115)+$W$2,IF(RIGHT(H114,2)="HT",(1-L115)+$W$1,IF(RIGHT(H114,2)="SH",(1-L115)+$W$3,""))),0)</f>
        <v>0.2</v>
      </c>
      <c r="W115" s="298"/>
      <c r="X115" s="698">
        <f t="shared" ca="1" si="79"/>
        <v>0</v>
      </c>
      <c r="Y115" s="81">
        <f t="shared" ca="1" si="127"/>
        <v>0</v>
      </c>
      <c r="Z115" s="81">
        <f t="shared" ca="1" si="128"/>
        <v>0</v>
      </c>
      <c r="AA115" s="81">
        <f t="shared" ca="1" si="129"/>
        <v>0</v>
      </c>
      <c r="AB115" s="81">
        <f t="shared" ca="1" si="130"/>
        <v>0</v>
      </c>
      <c r="AD115" s="81">
        <v>2030</v>
      </c>
      <c r="AE115" s="81"/>
      <c r="AF115" s="220"/>
    </row>
    <row r="116" spans="2:32">
      <c r="B116" s="718" t="s">
        <v>1014</v>
      </c>
      <c r="C116" s="226"/>
      <c r="D116" s="212"/>
      <c r="E116" s="212"/>
      <c r="F116" s="224" t="s">
        <v>1149</v>
      </c>
      <c r="H116" s="174"/>
      <c r="I116" s="174" t="str">
        <f t="shared" si="22"/>
        <v>INDRWH</v>
      </c>
      <c r="J116" s="224">
        <f t="shared" si="32"/>
        <v>2050</v>
      </c>
      <c r="K116" s="81"/>
      <c r="L116" s="199">
        <f t="shared" ca="1" si="122"/>
        <v>1</v>
      </c>
      <c r="M116" s="199"/>
      <c r="N116" s="81"/>
      <c r="O116" s="723">
        <f t="shared" ca="1" si="123"/>
        <v>0.44700000000000001</v>
      </c>
      <c r="P116" s="723">
        <f t="shared" ca="1" si="124"/>
        <v>0</v>
      </c>
      <c r="Q116" s="81">
        <f t="shared" ca="1" si="125"/>
        <v>0.39319444444444446</v>
      </c>
      <c r="R116" s="300"/>
      <c r="S116" s="300"/>
      <c r="T116" s="300"/>
      <c r="U116" s="300"/>
      <c r="V116" s="199">
        <f t="shared" ref="V116" ca="1" si="132">IF(IF(RIGHT(H114,2)="PH",(1-L116)+$W$2,IF(RIGHT(H114,2)="HT",(1-L116)+$W$1,IF(RIGHT(H114,2)="SH",(1-L116)+$W$3,"")))&gt;0,IF(RIGHT(H114,2)="PH",(1-L116)+$W$2,IF(RIGHT(H114,2)="HT",(1-L116)+$W$1,IF(RIGHT(H114,2)="SH",(1-L116)+$W$3,""))),0)</f>
        <v>0.2</v>
      </c>
      <c r="W116" s="298"/>
      <c r="X116" s="698">
        <f t="shared" ca="1" si="79"/>
        <v>0</v>
      </c>
      <c r="Y116" s="81">
        <f t="shared" ca="1" si="127"/>
        <v>0</v>
      </c>
      <c r="Z116" s="81">
        <f t="shared" ca="1" si="128"/>
        <v>0</v>
      </c>
      <c r="AA116" s="81">
        <f t="shared" ca="1" si="129"/>
        <v>0</v>
      </c>
      <c r="AB116" s="81">
        <f t="shared" ca="1" si="130"/>
        <v>0</v>
      </c>
      <c r="AC116" s="203"/>
      <c r="AD116" s="81">
        <v>2050</v>
      </c>
      <c r="AE116" s="81"/>
      <c r="AF116" s="705"/>
    </row>
    <row r="117" spans="2:32">
      <c r="B117" s="718" t="s">
        <v>1014</v>
      </c>
      <c r="C117" s="226"/>
      <c r="D117" s="212" t="str">
        <f>"IND"&amp;RIGHT(H117,4)&amp;RIGHT(G117,3)&amp;"N"&amp;RIGHT(E117,2)</f>
        <v>INDRDPHELCN10</v>
      </c>
      <c r="E117" s="261" t="str">
        <f>"Industrial heating technology "&amp;$AJ$12&amp;" "&amp;RIGHT(H117,2)&amp;" - Direct electric heating - new 10"</f>
        <v>Industrial heating technology Paper &amp; Pulp PH - Direct electric heating - new 10</v>
      </c>
      <c r="F117" s="224" t="s">
        <v>1149</v>
      </c>
      <c r="G117" s="173" t="s">
        <v>499</v>
      </c>
      <c r="H117" s="174" t="str">
        <f>$AI$14</f>
        <v>IRDPH</v>
      </c>
      <c r="I117" s="174" t="str">
        <f t="shared" si="22"/>
        <v>INDRWH</v>
      </c>
      <c r="J117" s="224">
        <f t="shared" si="32"/>
        <v>2011</v>
      </c>
      <c r="K117" s="299">
        <v>2020</v>
      </c>
      <c r="L117" s="199">
        <f t="shared" ca="1" si="122"/>
        <v>1</v>
      </c>
      <c r="M117" s="199"/>
      <c r="N117" s="81">
        <f ca="1">VLOOKUP($AD117,INDIRECT("'"&amp;$B117&amp;"'!"&amp;"$P$39:$AD$42"),5,FALSE)</f>
        <v>12.5</v>
      </c>
      <c r="O117" s="723">
        <f t="shared" ca="1" si="123"/>
        <v>0.44700000000000001</v>
      </c>
      <c r="P117" s="723">
        <f t="shared" ca="1" si="124"/>
        <v>0</v>
      </c>
      <c r="Q117" s="81">
        <f t="shared" ca="1" si="125"/>
        <v>0.37767361111111114</v>
      </c>
      <c r="R117" s="81">
        <v>3.1536000000000002E-2</v>
      </c>
      <c r="S117" s="199">
        <v>0.5</v>
      </c>
      <c r="T117" s="199">
        <f ca="1">HLOOKUP($S$2,INDIRECT("'"&amp;$B117&amp;"'!"&amp;"$P$6:$AC$19"),IF(H117=$AI$13,6,IF(H117=$AI$14,9,14)),FALSE)</f>
        <v>1</v>
      </c>
      <c r="U117" s="772"/>
      <c r="V117" s="199">
        <f t="shared" ref="V117" ca="1" si="133">IF(IF(RIGHT(H117,2)="PH",(1-L117)+$W$2,IF(RIGHT(H117,2)="HT",(1-L117)+$W$1,IF(RIGHT(H117,2)="SH",(1-L117)+$W$3,"")))&gt;0,IF(RIGHT(H117,2)="PH",(1-L117)+$W$2,IF(RIGHT(H117,2)="HT",(1-L117)+$W$1,IF(RIGHT(H117,2)="SH",(1-L117)+$W$3,""))),0)</f>
        <v>0.2</v>
      </c>
      <c r="W117" s="298"/>
      <c r="X117" s="698">
        <f t="shared" ca="1" si="79"/>
        <v>0</v>
      </c>
      <c r="Y117" s="81">
        <f t="shared" ca="1" si="127"/>
        <v>0</v>
      </c>
      <c r="Z117" s="81">
        <f t="shared" ca="1" si="128"/>
        <v>0</v>
      </c>
      <c r="AA117" s="81">
        <f t="shared" ca="1" si="129"/>
        <v>0</v>
      </c>
      <c r="AB117" s="81">
        <f t="shared" ca="1" si="130"/>
        <v>0</v>
      </c>
      <c r="AD117" s="81">
        <v>2020</v>
      </c>
      <c r="AE117" s="299"/>
      <c r="AF117" s="220"/>
    </row>
    <row r="118" spans="2:32">
      <c r="B118" s="718" t="s">
        <v>1014</v>
      </c>
      <c r="C118" s="226"/>
      <c r="D118" s="212"/>
      <c r="E118" s="212"/>
      <c r="F118" s="224" t="s">
        <v>1149</v>
      </c>
      <c r="H118" s="174"/>
      <c r="I118" s="174" t="str">
        <f t="shared" si="22"/>
        <v>INDRWH</v>
      </c>
      <c r="J118" s="224">
        <f t="shared" si="32"/>
        <v>2030</v>
      </c>
      <c r="K118" s="81"/>
      <c r="L118" s="199">
        <f t="shared" ca="1" si="122"/>
        <v>1</v>
      </c>
      <c r="M118" s="199"/>
      <c r="N118" s="81"/>
      <c r="O118" s="723">
        <f t="shared" ca="1" si="123"/>
        <v>0.44700000000000001</v>
      </c>
      <c r="P118" s="723">
        <f t="shared" ca="1" si="124"/>
        <v>0</v>
      </c>
      <c r="Q118" s="81">
        <f t="shared" ca="1" si="125"/>
        <v>0.38802083333333331</v>
      </c>
      <c r="R118" s="300"/>
      <c r="S118" s="300"/>
      <c r="T118" s="300"/>
      <c r="U118" s="300"/>
      <c r="V118" s="199">
        <f t="shared" ref="V118" ca="1" si="134">IF(IF(RIGHT(H117,2)="PH",(1-L118)+$W$2,IF(RIGHT(H117,2)="HT",(1-L118)+$W$1,IF(RIGHT(H117,2)="SH",(1-L118)+$W$3,"")))&gt;0,IF(RIGHT(H117,2)="PH",(1-L118)+$W$2,IF(RIGHT(H117,2)="HT",(1-L118)+$W$1,IF(RIGHT(H117,2)="SH",(1-L118)+$W$3,""))),0)</f>
        <v>0.2</v>
      </c>
      <c r="W118" s="298"/>
      <c r="X118" s="698">
        <f t="shared" ca="1" si="79"/>
        <v>0</v>
      </c>
      <c r="Y118" s="81">
        <f t="shared" ca="1" si="127"/>
        <v>0</v>
      </c>
      <c r="Z118" s="81">
        <f t="shared" ca="1" si="128"/>
        <v>0</v>
      </c>
      <c r="AA118" s="81">
        <f t="shared" ca="1" si="129"/>
        <v>0</v>
      </c>
      <c r="AB118" s="81">
        <f t="shared" ca="1" si="130"/>
        <v>0</v>
      </c>
      <c r="AD118" s="81">
        <v>2030</v>
      </c>
      <c r="AE118" s="81"/>
      <c r="AF118" s="220"/>
    </row>
    <row r="119" spans="2:32">
      <c r="B119" s="719" t="s">
        <v>1014</v>
      </c>
      <c r="C119" s="713"/>
      <c r="D119" s="701"/>
      <c r="E119" s="701"/>
      <c r="F119" s="224" t="s">
        <v>1149</v>
      </c>
      <c r="G119" s="203"/>
      <c r="H119" s="702"/>
      <c r="I119" s="702" t="str">
        <f t="shared" si="22"/>
        <v>INDRWH</v>
      </c>
      <c r="J119" s="224">
        <f t="shared" si="32"/>
        <v>2050</v>
      </c>
      <c r="K119" s="81"/>
      <c r="L119" s="199">
        <f t="shared" ca="1" si="122"/>
        <v>1</v>
      </c>
      <c r="M119" s="199"/>
      <c r="N119" s="81"/>
      <c r="O119" s="723">
        <f t="shared" ca="1" si="123"/>
        <v>0.44700000000000001</v>
      </c>
      <c r="P119" s="723">
        <f t="shared" ca="1" si="124"/>
        <v>0</v>
      </c>
      <c r="Q119" s="81">
        <f t="shared" ca="1" si="125"/>
        <v>0.39319444444444446</v>
      </c>
      <c r="R119" s="703"/>
      <c r="S119" s="703"/>
      <c r="T119" s="703"/>
      <c r="U119" s="703"/>
      <c r="V119" s="199">
        <f t="shared" ref="V119" ca="1" si="135">IF(IF(RIGHT(H117,2)="PH",(1-L119)+$W$2,IF(RIGHT(H117,2)="HT",(1-L119)+$W$1,IF(RIGHT(H117,2)="SH",(1-L119)+$W$3,"")))&gt;0,IF(RIGHT(H117,2)="PH",(1-L119)+$W$2,IF(RIGHT(H117,2)="HT",(1-L119)+$W$1,IF(RIGHT(H117,2)="SH",(1-L119)+$W$3,""))),0)</f>
        <v>0.2</v>
      </c>
      <c r="W119" s="704"/>
      <c r="X119" s="698">
        <f t="shared" ca="1" si="79"/>
        <v>0</v>
      </c>
      <c r="Y119" s="81">
        <f t="shared" ca="1" si="127"/>
        <v>0</v>
      </c>
      <c r="Z119" s="81">
        <f t="shared" ca="1" si="128"/>
        <v>0</v>
      </c>
      <c r="AA119" s="81">
        <f t="shared" ca="1" si="129"/>
        <v>0</v>
      </c>
      <c r="AB119" s="81">
        <f t="shared" ca="1" si="130"/>
        <v>0</v>
      </c>
      <c r="AD119" s="81">
        <v>2050</v>
      </c>
      <c r="AE119" s="81"/>
      <c r="AF119" s="220"/>
    </row>
    <row r="120" spans="2:32">
      <c r="B120" s="718" t="s">
        <v>1009</v>
      </c>
      <c r="C120" s="226"/>
      <c r="D120" s="212" t="str">
        <f>"IND"&amp;RIGHT(H120,4)&amp;"DSL"&amp;"N"&amp;RIGHT(E120,1)</f>
        <v>INDRDPHDSLN1</v>
      </c>
      <c r="E120" s="261" t="str">
        <f>"Industrial heating technology "&amp;$AJ$12&amp;" "&amp;RIGHT(H120,2)&amp;" - Oil boiler (Steam) - new 1"</f>
        <v>Industrial heating technology Paper &amp; Pulp PH - Oil boiler (Steam) - new 1</v>
      </c>
      <c r="F120" s="224" t="s">
        <v>1149</v>
      </c>
      <c r="G120" s="173" t="s">
        <v>2081</v>
      </c>
      <c r="H120" s="174" t="str">
        <f>$AI$13</f>
        <v>IRDPH</v>
      </c>
      <c r="I120" s="174" t="str">
        <f t="shared" si="22"/>
        <v>INDRWH</v>
      </c>
      <c r="J120" s="224">
        <f t="shared" si="32"/>
        <v>2011</v>
      </c>
      <c r="K120" s="299">
        <v>2025</v>
      </c>
      <c r="L120" s="199">
        <f t="shared" ca="1" si="122"/>
        <v>0.94</v>
      </c>
      <c r="M120" s="699"/>
      <c r="N120" s="299">
        <f ca="1">VLOOKUP($AD120,INDIRECT("'"&amp;$B120&amp;"'!"&amp;"$P$39:$AD$42"),5,FALSE)</f>
        <v>25</v>
      </c>
      <c r="O120" s="725">
        <f t="shared" ca="1" si="123"/>
        <v>0.40975</v>
      </c>
      <c r="P120" s="725">
        <f t="shared" ca="1" si="124"/>
        <v>1.341E-2</v>
      </c>
      <c r="Q120" s="299">
        <f t="shared" ca="1" si="125"/>
        <v>2.0694444444444446</v>
      </c>
      <c r="R120" s="299">
        <v>3.1536000000000002E-2</v>
      </c>
      <c r="S120" s="699">
        <v>0.5</v>
      </c>
      <c r="T120" s="699">
        <f ca="1">HLOOKUP($T$2,INDIRECT("'"&amp;$B120&amp;"'!"&amp;"$P$6:$AC$19"),IF(H120=$AI$13,6,IF(H120=$AI$14,9,14)),FALSE)</f>
        <v>1</v>
      </c>
      <c r="U120" s="772"/>
      <c r="V120" s="199">
        <f t="shared" ref="V120" ca="1" si="136">IF(IF(RIGHT(H120,2)="PH",(1-L120)+$W$2,IF(RIGHT(H120,2)="HT",(1-L120)+$W$1,IF(RIGHT(H120,2)="SH",(1-L120)+$W$3,"")))&gt;0,IF(RIGHT(H120,2)="PH",(1-L120)+$W$2,IF(RIGHT(H120,2)="HT",(1-L120)+$W$1,IF(RIGHT(H120,2)="SH",(1-L120)+$W$3,""))),0)</f>
        <v>0.26000000000000006</v>
      </c>
      <c r="W120" s="298"/>
      <c r="X120" s="698">
        <f t="shared" ca="1" si="79"/>
        <v>0.5</v>
      </c>
      <c r="Y120" s="299">
        <f t="shared" ca="1" si="127"/>
        <v>25</v>
      </c>
      <c r="Z120" s="299">
        <f t="shared" ca="1" si="128"/>
        <v>0</v>
      </c>
      <c r="AA120" s="299">
        <f t="shared" ca="1" si="129"/>
        <v>0</v>
      </c>
      <c r="AB120" s="299">
        <f t="shared" ca="1" si="130"/>
        <v>0.1</v>
      </c>
      <c r="AD120" s="299">
        <v>2020</v>
      </c>
      <c r="AE120" s="81"/>
      <c r="AF120" s="220"/>
    </row>
    <row r="121" spans="2:32">
      <c r="B121" s="718" t="s">
        <v>1009</v>
      </c>
      <c r="C121" s="226"/>
      <c r="D121" s="212"/>
      <c r="E121" s="212"/>
      <c r="F121" s="224" t="s">
        <v>1149</v>
      </c>
      <c r="H121" s="174"/>
      <c r="I121" s="174" t="str">
        <f t="shared" si="22"/>
        <v>INDRWH</v>
      </c>
      <c r="J121" s="224">
        <f t="shared" si="32"/>
        <v>2030</v>
      </c>
      <c r="K121" s="81"/>
      <c r="L121" s="199">
        <f t="shared" ca="1" si="122"/>
        <v>0.95</v>
      </c>
      <c r="M121" s="199"/>
      <c r="N121" s="81"/>
      <c r="O121" s="723">
        <f t="shared" ca="1" si="123"/>
        <v>0.3469940346244772</v>
      </c>
      <c r="P121" s="723">
        <f t="shared" ca="1" si="124"/>
        <v>1.2664999999999999E-2</v>
      </c>
      <c r="Q121" s="81">
        <f t="shared" ca="1" si="125"/>
        <v>1.8625</v>
      </c>
      <c r="R121" s="300"/>
      <c r="S121" s="300"/>
      <c r="T121" s="300"/>
      <c r="U121" s="300"/>
      <c r="V121" s="199">
        <f t="shared" ref="V121" ca="1" si="137">IF(IF(RIGHT(H120,2)="PH",(1-L121)+$W$2,IF(RIGHT(H120,2)="HT",(1-L121)+$W$1,IF(RIGHT(H120,2)="SH",(1-L121)+$W$3,"")))&gt;0,IF(RIGHT(H120,2)="PH",(1-L121)+$W$2,IF(RIGHT(H120,2)="HT",(1-L121)+$W$1,IF(RIGHT(H120,2)="SH",(1-L121)+$W$3,""))),0)</f>
        <v>0.25000000000000006</v>
      </c>
      <c r="W121" s="298"/>
      <c r="X121" s="698">
        <f t="shared" ca="1" si="79"/>
        <v>0.5</v>
      </c>
      <c r="Y121" s="81">
        <f t="shared" ca="1" si="127"/>
        <v>20</v>
      </c>
      <c r="Z121" s="81">
        <f t="shared" ca="1" si="128"/>
        <v>0</v>
      </c>
      <c r="AA121" s="81">
        <f t="shared" ca="1" si="129"/>
        <v>0</v>
      </c>
      <c r="AB121" s="81">
        <f t="shared" ca="1" si="130"/>
        <v>0.1</v>
      </c>
      <c r="AD121" s="81">
        <v>2030</v>
      </c>
      <c r="AE121" s="81"/>
      <c r="AF121" s="220"/>
    </row>
    <row r="122" spans="2:32">
      <c r="B122" s="718" t="s">
        <v>1009</v>
      </c>
      <c r="C122" s="226"/>
      <c r="D122" s="212"/>
      <c r="E122" s="212"/>
      <c r="F122" s="224" t="s">
        <v>1149</v>
      </c>
      <c r="H122" s="174"/>
      <c r="I122" s="174" t="str">
        <f t="shared" si="22"/>
        <v>INDRWH</v>
      </c>
      <c r="J122" s="224">
        <f t="shared" si="32"/>
        <v>2050</v>
      </c>
      <c r="K122" s="81"/>
      <c r="L122" s="199">
        <f t="shared" ca="1" si="122"/>
        <v>0.96</v>
      </c>
      <c r="M122" s="199"/>
      <c r="N122" s="81"/>
      <c r="O122" s="723">
        <f t="shared" ca="1" si="123"/>
        <v>0.32813985758696651</v>
      </c>
      <c r="P122" s="723">
        <f t="shared" ca="1" si="124"/>
        <v>1.1175000000000001E-2</v>
      </c>
      <c r="Q122" s="81">
        <f t="shared" ca="1" si="125"/>
        <v>1.8625</v>
      </c>
      <c r="R122" s="300"/>
      <c r="S122" s="300"/>
      <c r="T122" s="300"/>
      <c r="U122" s="300"/>
      <c r="V122" s="199">
        <f t="shared" ref="V122" ca="1" si="138">IF(IF(RIGHT(H120,2)="PH",(1-L122)+$W$2,IF(RIGHT(H120,2)="HT",(1-L122)+$W$1,IF(RIGHT(H120,2)="SH",(1-L122)+$W$3,"")))&gt;0,IF(RIGHT(H120,2)="PH",(1-L122)+$W$2,IF(RIGHT(H120,2)="HT",(1-L122)+$W$1,IF(RIGHT(H120,2)="SH",(1-L122)+$W$3,""))),0)</f>
        <v>0.24000000000000005</v>
      </c>
      <c r="W122" s="298"/>
      <c r="X122" s="698">
        <f t="shared" ca="1" si="79"/>
        <v>0.5</v>
      </c>
      <c r="Y122" s="81">
        <f t="shared" ca="1" si="127"/>
        <v>15</v>
      </c>
      <c r="Z122" s="81">
        <f t="shared" ca="1" si="128"/>
        <v>0</v>
      </c>
      <c r="AA122" s="81">
        <f t="shared" ca="1" si="129"/>
        <v>0</v>
      </c>
      <c r="AB122" s="81">
        <f t="shared" ca="1" si="130"/>
        <v>0.1</v>
      </c>
      <c r="AD122" s="81">
        <v>2050</v>
      </c>
      <c r="AE122" s="81"/>
      <c r="AF122" s="220"/>
    </row>
    <row r="123" spans="2:32">
      <c r="B123" s="718" t="s">
        <v>1009</v>
      </c>
      <c r="C123" s="226"/>
      <c r="D123" s="212" t="str">
        <f>"IND"&amp;RIGHT(H123,4)&amp;"DSL"&amp;"N"&amp;RIGHT(E123,1)</f>
        <v>INDRDPHDSLN1</v>
      </c>
      <c r="E123" s="261" t="str">
        <f>"Industrial heating technology "&amp;$AJ$12&amp;" "&amp;RIGHT(H123,2)&amp;" - Oil boiler (Steam) - new 1"</f>
        <v>Industrial heating technology Paper &amp; Pulp PH - Oil boiler (Steam) - new 1</v>
      </c>
      <c r="F123" s="224" t="s">
        <v>1149</v>
      </c>
      <c r="G123" s="173" t="s">
        <v>2081</v>
      </c>
      <c r="H123" s="174" t="str">
        <f>$AI$14</f>
        <v>IRDPH</v>
      </c>
      <c r="I123" s="174" t="str">
        <f t="shared" si="22"/>
        <v>INDRWH</v>
      </c>
      <c r="J123" s="224">
        <f t="shared" si="32"/>
        <v>2011</v>
      </c>
      <c r="K123" s="299">
        <v>2025</v>
      </c>
      <c r="L123" s="199">
        <f t="shared" ca="1" si="122"/>
        <v>0.94</v>
      </c>
      <c r="M123" s="199"/>
      <c r="N123" s="81">
        <f ca="1">VLOOKUP($AD123,INDIRECT("'"&amp;$B123&amp;"'!"&amp;"$P$39:$AD$42"),5,FALSE)</f>
        <v>25</v>
      </c>
      <c r="O123" s="723">
        <f t="shared" ca="1" si="123"/>
        <v>0.40975</v>
      </c>
      <c r="P123" s="723">
        <f t="shared" ca="1" si="124"/>
        <v>1.341E-2</v>
      </c>
      <c r="Q123" s="81">
        <f t="shared" ca="1" si="125"/>
        <v>2.0694444444444446</v>
      </c>
      <c r="R123" s="81">
        <v>3.1536000000000002E-2</v>
      </c>
      <c r="S123" s="199">
        <v>0.5</v>
      </c>
      <c r="T123" s="199">
        <f ca="1">HLOOKUP($T$2,INDIRECT("'"&amp;$B123&amp;"'!"&amp;"$P$6:$AC$19"),IF(H123=$AI$13,6,IF(H123=$AI$14,9,14)),FALSE)</f>
        <v>1</v>
      </c>
      <c r="U123" s="772"/>
      <c r="V123" s="199">
        <f t="shared" ref="V123" ca="1" si="139">IF(IF(RIGHT(H123,2)="PH",(1-L123)+$W$2,IF(RIGHT(H123,2)="HT",(1-L123)+$W$1,IF(RIGHT(H123,2)="SH",(1-L123)+$W$3,"")))&gt;0,IF(RIGHT(H123,2)="PH",(1-L123)+$W$2,IF(RIGHT(H123,2)="HT",(1-L123)+$W$1,IF(RIGHT(H123,2)="SH",(1-L123)+$W$3,""))),0)</f>
        <v>0.26000000000000006</v>
      </c>
      <c r="W123" s="298"/>
      <c r="X123" s="698">
        <f t="shared" ca="1" si="79"/>
        <v>0.5</v>
      </c>
      <c r="Y123" s="81">
        <f t="shared" ca="1" si="127"/>
        <v>25</v>
      </c>
      <c r="Z123" s="81">
        <f t="shared" ca="1" si="128"/>
        <v>0</v>
      </c>
      <c r="AA123" s="81">
        <f t="shared" ca="1" si="129"/>
        <v>0</v>
      </c>
      <c r="AB123" s="81">
        <f t="shared" ca="1" si="130"/>
        <v>0.1</v>
      </c>
      <c r="AD123" s="81">
        <v>2020</v>
      </c>
      <c r="AE123" s="81"/>
      <c r="AF123" s="220"/>
    </row>
    <row r="124" spans="2:32">
      <c r="B124" s="718" t="s">
        <v>1009</v>
      </c>
      <c r="C124" s="226"/>
      <c r="D124" s="212"/>
      <c r="E124" s="212"/>
      <c r="F124" s="224" t="s">
        <v>1149</v>
      </c>
      <c r="H124" s="174"/>
      <c r="I124" s="174" t="str">
        <f t="shared" si="22"/>
        <v>INDRWH</v>
      </c>
      <c r="J124" s="224">
        <f t="shared" si="32"/>
        <v>2030</v>
      </c>
      <c r="K124" s="81"/>
      <c r="L124" s="199">
        <f t="shared" ca="1" si="122"/>
        <v>0.95</v>
      </c>
      <c r="M124" s="199"/>
      <c r="N124" s="81"/>
      <c r="O124" s="723">
        <f t="shared" ca="1" si="123"/>
        <v>0.3469940346244772</v>
      </c>
      <c r="P124" s="723">
        <f t="shared" ca="1" si="124"/>
        <v>1.2664999999999999E-2</v>
      </c>
      <c r="Q124" s="81">
        <f t="shared" ca="1" si="125"/>
        <v>1.8625</v>
      </c>
      <c r="R124" s="300"/>
      <c r="S124" s="300"/>
      <c r="T124" s="300"/>
      <c r="U124" s="300"/>
      <c r="V124" s="199">
        <f t="shared" ref="V124" ca="1" si="140">IF(IF(RIGHT(H123,2)="PH",(1-L124)+$W$2,IF(RIGHT(H123,2)="HT",(1-L124)+$W$1,IF(RIGHT(H123,2)="SH",(1-L124)+$W$3,"")))&gt;0,IF(RIGHT(H123,2)="PH",(1-L124)+$W$2,IF(RIGHT(H123,2)="HT",(1-L124)+$W$1,IF(RIGHT(H123,2)="SH",(1-L124)+$W$3,""))),0)</f>
        <v>0.25000000000000006</v>
      </c>
      <c r="W124" s="298"/>
      <c r="X124" s="698">
        <f t="shared" ca="1" si="79"/>
        <v>0.5</v>
      </c>
      <c r="Y124" s="81">
        <f t="shared" ca="1" si="127"/>
        <v>20</v>
      </c>
      <c r="Z124" s="81">
        <f t="shared" ca="1" si="128"/>
        <v>0</v>
      </c>
      <c r="AA124" s="81">
        <f t="shared" ca="1" si="129"/>
        <v>0</v>
      </c>
      <c r="AB124" s="81">
        <f t="shared" ca="1" si="130"/>
        <v>0.1</v>
      </c>
      <c r="AD124" s="81">
        <v>2030</v>
      </c>
      <c r="AE124" s="81"/>
      <c r="AF124" s="220"/>
    </row>
    <row r="125" spans="2:32">
      <c r="B125" s="718" t="s">
        <v>1009</v>
      </c>
      <c r="C125" s="226"/>
      <c r="D125" s="212"/>
      <c r="E125" s="212"/>
      <c r="F125" s="224" t="s">
        <v>1149</v>
      </c>
      <c r="H125" s="174"/>
      <c r="I125" s="174" t="str">
        <f t="shared" si="22"/>
        <v>INDRWH</v>
      </c>
      <c r="J125" s="224">
        <f t="shared" si="32"/>
        <v>2050</v>
      </c>
      <c r="K125" s="81"/>
      <c r="L125" s="199">
        <f t="shared" ca="1" si="122"/>
        <v>0.96</v>
      </c>
      <c r="M125" s="199"/>
      <c r="N125" s="81"/>
      <c r="O125" s="723">
        <f t="shared" ca="1" si="123"/>
        <v>0.32813985758696651</v>
      </c>
      <c r="P125" s="723">
        <f t="shared" ca="1" si="124"/>
        <v>1.1175000000000001E-2</v>
      </c>
      <c r="Q125" s="81">
        <f t="shared" ca="1" si="125"/>
        <v>1.8625</v>
      </c>
      <c r="R125" s="300"/>
      <c r="S125" s="300"/>
      <c r="T125" s="300"/>
      <c r="U125" s="300"/>
      <c r="V125" s="199">
        <f t="shared" ref="V125" ca="1" si="141">IF(IF(RIGHT(H123,2)="PH",(1-L125)+$W$2,IF(RIGHT(H123,2)="HT",(1-L125)+$W$1,IF(RIGHT(H123,2)="SH",(1-L125)+$W$3,"")))&gt;0,IF(RIGHT(H123,2)="PH",(1-L125)+$W$2,IF(RIGHT(H123,2)="HT",(1-L125)+$W$1,IF(RIGHT(H123,2)="SH",(1-L125)+$W$3,""))),0)</f>
        <v>0.24000000000000005</v>
      </c>
      <c r="W125" s="298"/>
      <c r="X125" s="698">
        <f t="shared" ca="1" si="79"/>
        <v>0.5</v>
      </c>
      <c r="Y125" s="81">
        <f t="shared" ca="1" si="127"/>
        <v>15</v>
      </c>
      <c r="Z125" s="81">
        <f t="shared" ca="1" si="128"/>
        <v>0</v>
      </c>
      <c r="AA125" s="81">
        <f t="shared" ca="1" si="129"/>
        <v>0</v>
      </c>
      <c r="AB125" s="81">
        <f t="shared" ca="1" si="130"/>
        <v>0.1</v>
      </c>
      <c r="AC125" s="203"/>
      <c r="AD125" s="81">
        <v>2050</v>
      </c>
      <c r="AE125" s="81"/>
      <c r="AF125" s="705"/>
    </row>
    <row r="126" spans="2:32">
      <c r="B126" s="718" t="s">
        <v>1009</v>
      </c>
      <c r="C126" s="226"/>
      <c r="D126" s="212" t="str">
        <f>"IND"&amp;RIGHT(H126,4)&amp;"DSL"&amp;"N"&amp;RIGHT(E126,1)</f>
        <v>INDRDSHDSLN1</v>
      </c>
      <c r="E126" s="261" t="str">
        <f>"Industrial heating technology "&amp;$AJ$12&amp;" "&amp;RIGHT(H126,2)&amp;" - Oil boiler (Steam) - new 1"</f>
        <v>Industrial heating technology Paper &amp; Pulp SH - Oil boiler (Steam) - new 1</v>
      </c>
      <c r="F126" s="224" t="s">
        <v>1149</v>
      </c>
      <c r="G126" s="173" t="s">
        <v>2081</v>
      </c>
      <c r="H126" s="174" t="str">
        <f>$AI$15</f>
        <v>IRDSH</v>
      </c>
      <c r="I126" s="174" t="str">
        <f t="shared" si="22"/>
        <v>INDRWH</v>
      </c>
      <c r="J126" s="224">
        <f t="shared" si="32"/>
        <v>2011</v>
      </c>
      <c r="K126" s="299">
        <v>2025</v>
      </c>
      <c r="L126" s="199">
        <f t="shared" ca="1" si="122"/>
        <v>0.94</v>
      </c>
      <c r="M126" s="199"/>
      <c r="N126" s="81">
        <f ca="1">VLOOKUP($AD126,INDIRECT("'"&amp;$B126&amp;"'!"&amp;"$P$39:$AD$42"),5,FALSE)</f>
        <v>25</v>
      </c>
      <c r="O126" s="723">
        <f t="shared" ca="1" si="123"/>
        <v>0.40975</v>
      </c>
      <c r="P126" s="723">
        <f t="shared" ca="1" si="124"/>
        <v>1.341E-2</v>
      </c>
      <c r="Q126" s="81">
        <f t="shared" ca="1" si="125"/>
        <v>2.0694444444444446</v>
      </c>
      <c r="R126" s="81">
        <v>3.1536000000000002E-2</v>
      </c>
      <c r="S126" s="199">
        <v>0.5</v>
      </c>
      <c r="T126" s="199">
        <f ca="1">HLOOKUP($T$2,INDIRECT("'"&amp;$B126&amp;"'!"&amp;"$P$6:$AC$19"),IF(H126=$AI$13,6,IF(H126=$AI$14,9,14)),FALSE)</f>
        <v>1</v>
      </c>
      <c r="U126" s="772"/>
      <c r="V126" s="199">
        <f t="shared" ref="V126" ca="1" si="142">IF(IF(RIGHT(H126,2)="PH",(1-L126)+$W$2,IF(RIGHT(H126,2)="HT",(1-L126)+$W$1,IF(RIGHT(H126,2)="SH",(1-L126)+$W$3,"")))&gt;0,IF(RIGHT(H126,2)="PH",(1-L126)+$W$2,IF(RIGHT(H126,2)="HT",(1-L126)+$W$1,IF(RIGHT(H126,2)="SH",(1-L126)+$W$3,""))),0)</f>
        <v>6.0000000000000053E-2</v>
      </c>
      <c r="W126" s="298"/>
      <c r="X126" s="698">
        <f t="shared" ca="1" si="79"/>
        <v>0.5</v>
      </c>
      <c r="Y126" s="81">
        <f t="shared" ca="1" si="127"/>
        <v>25</v>
      </c>
      <c r="Z126" s="81">
        <f t="shared" ca="1" si="128"/>
        <v>0</v>
      </c>
      <c r="AA126" s="81">
        <f t="shared" ca="1" si="129"/>
        <v>0</v>
      </c>
      <c r="AB126" s="81">
        <f t="shared" ca="1" si="130"/>
        <v>0.1</v>
      </c>
      <c r="AC126" s="296"/>
      <c r="AD126" s="81">
        <v>2020</v>
      </c>
      <c r="AE126" s="81"/>
      <c r="AF126" s="710"/>
    </row>
    <row r="127" spans="2:32">
      <c r="B127" s="718" t="s">
        <v>1009</v>
      </c>
      <c r="C127" s="226"/>
      <c r="D127" s="212"/>
      <c r="E127" s="212"/>
      <c r="F127" s="224" t="s">
        <v>1149</v>
      </c>
      <c r="H127" s="174"/>
      <c r="I127" s="174" t="str">
        <f t="shared" ref="I127:I182" si="143">$AI$20</f>
        <v>INDRWH</v>
      </c>
      <c r="J127" s="224">
        <f t="shared" si="32"/>
        <v>2030</v>
      </c>
      <c r="K127" s="81"/>
      <c r="L127" s="199">
        <f t="shared" ca="1" si="122"/>
        <v>0.95</v>
      </c>
      <c r="M127" s="199"/>
      <c r="N127" s="81"/>
      <c r="O127" s="723">
        <f t="shared" ca="1" si="123"/>
        <v>0.3469940346244772</v>
      </c>
      <c r="P127" s="723">
        <f t="shared" ca="1" si="124"/>
        <v>1.2664999999999999E-2</v>
      </c>
      <c r="Q127" s="81">
        <f t="shared" ca="1" si="125"/>
        <v>1.8625</v>
      </c>
      <c r="R127" s="300"/>
      <c r="S127" s="300"/>
      <c r="T127" s="300"/>
      <c r="U127" s="300"/>
      <c r="V127" s="199">
        <f t="shared" ref="V127" ca="1" si="144">IF(IF(RIGHT(H126,2)="PH",(1-L127)+$W$2,IF(RIGHT(H126,2)="HT",(1-L127)+$W$1,IF(RIGHT(H126,2)="SH",(1-L127)+$W$3,"")))&gt;0,IF(RIGHT(H126,2)="PH",(1-L127)+$W$2,IF(RIGHT(H126,2)="HT",(1-L127)+$W$1,IF(RIGHT(H126,2)="SH",(1-L127)+$W$3,""))),0)</f>
        <v>5.0000000000000044E-2</v>
      </c>
      <c r="W127" s="298"/>
      <c r="X127" s="698">
        <f t="shared" ref="X127:X158" ca="1" si="145">IF(VLOOKUP($AD127,INDIRECT("'"&amp;$B127&amp;"'!"&amp;"$P$39:$AD$42"),11,FALSE)="Cf. the utilized electricity",0,VLOOKUP($AD127,INDIRECT("'"&amp;$B127&amp;"'!"&amp;"$P$39:$AD$42"),11,FALSE))</f>
        <v>0.5</v>
      </c>
      <c r="Y127" s="81">
        <f t="shared" ca="1" si="127"/>
        <v>20</v>
      </c>
      <c r="Z127" s="81">
        <f t="shared" ca="1" si="128"/>
        <v>0</v>
      </c>
      <c r="AA127" s="81">
        <f t="shared" ca="1" si="129"/>
        <v>0</v>
      </c>
      <c r="AB127" s="81">
        <f t="shared" ca="1" si="130"/>
        <v>0.1</v>
      </c>
      <c r="AC127" s="55"/>
      <c r="AD127" s="81">
        <v>2030</v>
      </c>
      <c r="AE127" s="81"/>
      <c r="AF127" s="700"/>
    </row>
    <row r="128" spans="2:32">
      <c r="B128" s="719" t="s">
        <v>1009</v>
      </c>
      <c r="C128" s="713"/>
      <c r="D128" s="701"/>
      <c r="E128" s="701"/>
      <c r="F128" s="224" t="s">
        <v>1149</v>
      </c>
      <c r="G128" s="203"/>
      <c r="H128" s="702"/>
      <c r="I128" s="702" t="str">
        <f t="shared" si="143"/>
        <v>INDRWH</v>
      </c>
      <c r="J128" s="224">
        <f t="shared" ref="J128:J186" si="146">IF(AD128=2020,2011,AD128)</f>
        <v>2050</v>
      </c>
      <c r="K128" s="81"/>
      <c r="L128" s="199">
        <f t="shared" ca="1" si="122"/>
        <v>0.96</v>
      </c>
      <c r="M128" s="199"/>
      <c r="N128" s="81"/>
      <c r="O128" s="723">
        <f t="shared" ca="1" si="123"/>
        <v>0.32813985758696651</v>
      </c>
      <c r="P128" s="723">
        <f t="shared" ca="1" si="124"/>
        <v>1.1175000000000001E-2</v>
      </c>
      <c r="Q128" s="81">
        <f t="shared" ca="1" si="125"/>
        <v>1.8625</v>
      </c>
      <c r="R128" s="703"/>
      <c r="S128" s="703"/>
      <c r="T128" s="703"/>
      <c r="U128" s="703"/>
      <c r="V128" s="199">
        <f t="shared" ref="V128" ca="1" si="147">IF(IF(RIGHT(H126,2)="PH",(1-L128)+$W$2,IF(RIGHT(H126,2)="HT",(1-L128)+$W$1,IF(RIGHT(H126,2)="SH",(1-L128)+$W$3,"")))&gt;0,IF(RIGHT(H126,2)="PH",(1-L128)+$W$2,IF(RIGHT(H126,2)="HT",(1-L128)+$W$1,IF(RIGHT(H126,2)="SH",(1-L128)+$W$3,""))),0)</f>
        <v>4.0000000000000036E-2</v>
      </c>
      <c r="W128" s="704"/>
      <c r="X128" s="698">
        <f t="shared" ca="1" si="145"/>
        <v>0.5</v>
      </c>
      <c r="Y128" s="81">
        <f t="shared" ca="1" si="127"/>
        <v>15</v>
      </c>
      <c r="Z128" s="81">
        <f t="shared" ca="1" si="128"/>
        <v>0</v>
      </c>
      <c r="AA128" s="81">
        <f t="shared" ca="1" si="129"/>
        <v>0</v>
      </c>
      <c r="AB128" s="81">
        <f t="shared" ca="1" si="130"/>
        <v>0.1</v>
      </c>
      <c r="AC128" s="55"/>
      <c r="AD128" s="81">
        <v>2050</v>
      </c>
      <c r="AE128" s="81"/>
      <c r="AF128" s="700"/>
    </row>
    <row r="129" spans="2:32">
      <c r="B129" s="718" t="s">
        <v>1009</v>
      </c>
      <c r="C129" s="226"/>
      <c r="D129" s="212" t="str">
        <f>"IND"&amp;RIGHT(H129,4)&amp;"DSL"&amp;"N"&amp;RIGHT(E129,1)</f>
        <v>INDRDPHDSLN2</v>
      </c>
      <c r="E129" s="707" t="str">
        <f>"Industrial heating technology "&amp;$AJ$12&amp;" "&amp;RIGHT(H129,2)&amp;" - Oil boiler (Steam - condensing) - new 2"</f>
        <v>Industrial heating technology Paper &amp; Pulp PH - Oil boiler (Steam - condensing) - new 2</v>
      </c>
      <c r="F129" s="224" t="s">
        <v>1149</v>
      </c>
      <c r="G129" s="173" t="s">
        <v>2081</v>
      </c>
      <c r="H129" s="708" t="str">
        <f>$AI$14</f>
        <v>IRDPH</v>
      </c>
      <c r="I129" s="708" t="str">
        <f t="shared" si="143"/>
        <v>INDRWH</v>
      </c>
      <c r="J129" s="224">
        <f t="shared" si="146"/>
        <v>2011</v>
      </c>
      <c r="K129" s="299">
        <v>2025</v>
      </c>
      <c r="L129" s="199">
        <f t="shared" ref="L129:L134" ca="1" si="148">VLOOKUP($AD129,INDIRECT("'"&amp;$B129&amp;"'!"&amp;"$P$118:$AD$121"),3,FALSE)</f>
        <v>0.95</v>
      </c>
      <c r="M129" s="199"/>
      <c r="N129" s="81">
        <f ca="1">VLOOKUP($AD129,INDIRECT("'"&amp;$B129&amp;"'!"&amp;"$P$118:$AD$121"),5,FALSE)</f>
        <v>25</v>
      </c>
      <c r="O129" s="723">
        <f t="shared" ref="O129:O134" ca="1" si="149">VLOOKUP($AD129,INDIRECT("'"&amp;$B129&amp;"'!"&amp;"$P$118:$AD$121"),6,FALSE)/1000</f>
        <v>0.32780000000000004</v>
      </c>
      <c r="P129" s="723">
        <f t="shared" ref="P129:P134" ca="1" si="150">VLOOKUP($AD129,INDIRECT("'"&amp;$B129&amp;"'!"&amp;"$P$118:$AD$121"),7,FALSE)/1000</f>
        <v>1.341E-2</v>
      </c>
      <c r="Q129" s="81">
        <f t="shared" ref="Q129:Q134" ca="1" si="151">VLOOKUP($AD129,INDIRECT("'"&amp;$B129&amp;"'!"&amp;"$P$118:$AD$121"),8,FALSE)</f>
        <v>2.0694444444444446</v>
      </c>
      <c r="R129" s="81">
        <v>3.1536000000000002E-2</v>
      </c>
      <c r="S129" s="199">
        <v>0.5</v>
      </c>
      <c r="T129" s="199">
        <f ca="1">HLOOKUP($T$2,INDIRECT("'"&amp;$B129&amp;"'!"&amp;"$P$85:$AC$98"),IF(H129=$AI$13,6,IF(H129=$AI$14,9,14)),FALSE)</f>
        <v>0</v>
      </c>
      <c r="U129" s="773"/>
      <c r="V129" s="199">
        <f t="shared" ref="V129" ca="1" si="152">IF(IF(RIGHT(H129,2)="PH",(1-L129)+$W$2,IF(RIGHT(H129,2)="HT",(1-L129)+$W$1,IF(RIGHT(H129,2)="SH",(1-L129)+$W$3,"")))&gt;0,IF(RIGHT(H129,2)="PH",(1-L129)+$W$2,IF(RIGHT(H129,2)="HT",(1-L129)+$W$1,IF(RIGHT(H129,2)="SH",(1-L129)+$W$3,""))),0)</f>
        <v>0.25000000000000006</v>
      </c>
      <c r="W129" s="709"/>
      <c r="X129" s="698">
        <f t="shared" ca="1" si="145"/>
        <v>0.5</v>
      </c>
      <c r="Y129" s="698">
        <f t="shared" ref="Y129:Y134" ca="1" si="153">VLOOKUP($AD129,INDIRECT("'"&amp;$B129&amp;"'!"&amp;"$P$118:$AD$121"),12,FALSE)</f>
        <v>25</v>
      </c>
      <c r="Z129" s="698">
        <f t="shared" ref="Z129:Z134" ca="1" si="154">VLOOKUP($AD129,INDIRECT("'"&amp;$B129&amp;"'!"&amp;"$P$118:$AD$121"),13,FALSE)</f>
        <v>0</v>
      </c>
      <c r="AA129" s="698">
        <f t="shared" ref="AA129:AA134" ca="1" si="155">VLOOKUP($AD129,INDIRECT("'"&amp;$B129&amp;"'!"&amp;"$P$118:$AD$121"),14,FALSE)</f>
        <v>0</v>
      </c>
      <c r="AB129" s="698">
        <f t="shared" ref="AB129:AB134" ca="1" si="156">VLOOKUP($AD129,INDIRECT("'"&amp;$B129&amp;"'!"&amp;"$P$118:$AD$121"),15,FALSE)</f>
        <v>0.1</v>
      </c>
      <c r="AC129" s="55"/>
      <c r="AD129" s="81">
        <v>2020</v>
      </c>
      <c r="AE129" s="81"/>
      <c r="AF129" s="700"/>
    </row>
    <row r="130" spans="2:32">
      <c r="B130" s="718" t="s">
        <v>1009</v>
      </c>
      <c r="C130" s="226"/>
      <c r="D130" s="212"/>
      <c r="E130" s="261"/>
      <c r="F130" s="224" t="s">
        <v>1149</v>
      </c>
      <c r="G130" s="55"/>
      <c r="H130" s="174"/>
      <c r="I130" s="174" t="str">
        <f t="shared" si="143"/>
        <v>INDRWH</v>
      </c>
      <c r="J130" s="224">
        <f t="shared" si="146"/>
        <v>2030</v>
      </c>
      <c r="K130" s="81"/>
      <c r="L130" s="199">
        <f t="shared" ca="1" si="148"/>
        <v>0.96</v>
      </c>
      <c r="M130" s="199"/>
      <c r="N130" s="81"/>
      <c r="O130" s="723">
        <f t="shared" ca="1" si="149"/>
        <v>0.27759522769958173</v>
      </c>
      <c r="P130" s="723">
        <f t="shared" ca="1" si="150"/>
        <v>1.2664999999999999E-2</v>
      </c>
      <c r="Q130" s="81">
        <f t="shared" ca="1" si="151"/>
        <v>1.8625</v>
      </c>
      <c r="R130" s="300"/>
      <c r="S130" s="300"/>
      <c r="T130" s="300"/>
      <c r="U130" s="300"/>
      <c r="V130" s="199">
        <f t="shared" ref="V130" ca="1" si="157">IF(IF(RIGHT(H129,2)="PH",(1-L130)+$W$2,IF(RIGHT(H129,2)="HT",(1-L130)+$W$1,IF(RIGHT(H129,2)="SH",(1-L130)+$W$3,"")))&gt;0,IF(RIGHT(H129,2)="PH",(1-L130)+$W$2,IF(RIGHT(H129,2)="HT",(1-L130)+$W$1,IF(RIGHT(H129,2)="SH",(1-L130)+$W$3,""))),0)</f>
        <v>0.24000000000000005</v>
      </c>
      <c r="W130" s="298"/>
      <c r="X130" s="698">
        <f t="shared" ca="1" si="145"/>
        <v>0.5</v>
      </c>
      <c r="Y130" s="698">
        <f t="shared" ca="1" si="153"/>
        <v>20</v>
      </c>
      <c r="Z130" s="698">
        <f t="shared" ca="1" si="154"/>
        <v>0</v>
      </c>
      <c r="AA130" s="698">
        <f t="shared" ca="1" si="155"/>
        <v>0</v>
      </c>
      <c r="AB130" s="698">
        <f t="shared" ca="1" si="156"/>
        <v>0.1</v>
      </c>
      <c r="AC130" s="55"/>
      <c r="AD130" s="81">
        <v>2030</v>
      </c>
      <c r="AE130" s="81"/>
      <c r="AF130" s="700"/>
    </row>
    <row r="131" spans="2:32">
      <c r="B131" s="718" t="s">
        <v>1009</v>
      </c>
      <c r="C131" s="226"/>
      <c r="E131" s="261"/>
      <c r="F131" s="224" t="s">
        <v>1149</v>
      </c>
      <c r="G131" s="55"/>
      <c r="H131" s="174"/>
      <c r="I131" s="174" t="str">
        <f t="shared" si="143"/>
        <v>INDRWH</v>
      </c>
      <c r="J131" s="224">
        <f t="shared" si="146"/>
        <v>2050</v>
      </c>
      <c r="K131" s="81"/>
      <c r="L131" s="199">
        <f t="shared" ca="1" si="148"/>
        <v>0.97</v>
      </c>
      <c r="M131" s="199"/>
      <c r="N131" s="81"/>
      <c r="O131" s="723">
        <f t="shared" ca="1" si="149"/>
        <v>0.26251188606957326</v>
      </c>
      <c r="P131" s="723">
        <f t="shared" ca="1" si="150"/>
        <v>1.1175000000000001E-2</v>
      </c>
      <c r="Q131" s="81">
        <f t="shared" ca="1" si="151"/>
        <v>1.8625</v>
      </c>
      <c r="R131" s="300"/>
      <c r="S131" s="300"/>
      <c r="T131" s="300"/>
      <c r="U131" s="300"/>
      <c r="V131" s="199">
        <f t="shared" ref="V131" ca="1" si="158">IF(IF(RIGHT(H129,2)="PH",(1-L131)+$W$2,IF(RIGHT(H129,2)="HT",(1-L131)+$W$1,IF(RIGHT(H129,2)="SH",(1-L131)+$W$3,"")))&gt;0,IF(RIGHT(H129,2)="PH",(1-L131)+$W$2,IF(RIGHT(H129,2)="HT",(1-L131)+$W$1,IF(RIGHT(H129,2)="SH",(1-L131)+$W$3,""))),0)</f>
        <v>0.23000000000000004</v>
      </c>
      <c r="W131" s="298"/>
      <c r="X131" s="698">
        <f t="shared" ca="1" si="145"/>
        <v>0.5</v>
      </c>
      <c r="Y131" s="698">
        <f t="shared" ca="1" si="153"/>
        <v>15</v>
      </c>
      <c r="Z131" s="698">
        <f t="shared" ca="1" si="154"/>
        <v>0</v>
      </c>
      <c r="AA131" s="698">
        <f t="shared" ca="1" si="155"/>
        <v>0</v>
      </c>
      <c r="AB131" s="698">
        <f t="shared" ca="1" si="156"/>
        <v>0.1</v>
      </c>
      <c r="AC131" s="203"/>
      <c r="AD131" s="81">
        <v>2050</v>
      </c>
      <c r="AE131" s="81"/>
      <c r="AF131" s="705"/>
    </row>
    <row r="132" spans="2:32">
      <c r="B132" s="718" t="s">
        <v>1009</v>
      </c>
      <c r="C132" s="226"/>
      <c r="D132" s="212" t="str">
        <f>"IND"&amp;RIGHT(H132,4)&amp;"DSL"&amp;"N"&amp;RIGHT(E132,1)</f>
        <v>INDRDSHDSLN2</v>
      </c>
      <c r="E132" s="261" t="str">
        <f>"Industrial heating technology "&amp;$AJ$12&amp;" "&amp;RIGHT(H132,2)&amp;" - Oil boiler (Steam - condensing) - new 2"</f>
        <v>Industrial heating technology Paper &amp; Pulp SH - Oil boiler (Steam - condensing) - new 2</v>
      </c>
      <c r="F132" s="224" t="s">
        <v>1149</v>
      </c>
      <c r="G132" s="173" t="s">
        <v>2081</v>
      </c>
      <c r="H132" s="174" t="str">
        <f>$AI$15</f>
        <v>IRDSH</v>
      </c>
      <c r="I132" s="174" t="str">
        <f t="shared" si="143"/>
        <v>INDRWH</v>
      </c>
      <c r="J132" s="224">
        <f t="shared" si="146"/>
        <v>2011</v>
      </c>
      <c r="K132" s="299">
        <v>2025</v>
      </c>
      <c r="L132" s="199">
        <f t="shared" ca="1" si="148"/>
        <v>0.95</v>
      </c>
      <c r="M132" s="199"/>
      <c r="N132" s="81">
        <f ca="1">VLOOKUP($AD132,INDIRECT("'"&amp;$B132&amp;"'!"&amp;"$P$118:$AD$121"),5,FALSE)</f>
        <v>25</v>
      </c>
      <c r="O132" s="723">
        <f t="shared" ca="1" si="149"/>
        <v>0.32780000000000004</v>
      </c>
      <c r="P132" s="723">
        <f t="shared" ca="1" si="150"/>
        <v>1.341E-2</v>
      </c>
      <c r="Q132" s="81">
        <f t="shared" ca="1" si="151"/>
        <v>2.0694444444444446</v>
      </c>
      <c r="R132" s="81">
        <v>3.1536000000000002E-2</v>
      </c>
      <c r="S132" s="199">
        <v>0.5</v>
      </c>
      <c r="T132" s="199">
        <f ca="1">HLOOKUP($T$2,INDIRECT("'"&amp;$B132&amp;"'!"&amp;"$P$85:$AC$98"),IF(H132=$AI$13,6,IF(H132=$AI$14,9,14)),FALSE)</f>
        <v>1</v>
      </c>
      <c r="U132" s="772"/>
      <c r="V132" s="199">
        <f t="shared" ref="V132" ca="1" si="159">IF(IF(RIGHT(H132,2)="PH",(1-L132)+$W$2,IF(RIGHT(H132,2)="HT",(1-L132)+$W$1,IF(RIGHT(H132,2)="SH",(1-L132)+$W$3,"")))&gt;0,IF(RIGHT(H132,2)="PH",(1-L132)+$W$2,IF(RIGHT(H132,2)="HT",(1-L132)+$W$1,IF(RIGHT(H132,2)="SH",(1-L132)+$W$3,""))),0)</f>
        <v>5.0000000000000044E-2</v>
      </c>
      <c r="W132" s="298"/>
      <c r="X132" s="698">
        <f t="shared" ca="1" si="145"/>
        <v>0.5</v>
      </c>
      <c r="Y132" s="698">
        <f t="shared" ca="1" si="153"/>
        <v>25</v>
      </c>
      <c r="Z132" s="698">
        <f t="shared" ca="1" si="154"/>
        <v>0</v>
      </c>
      <c r="AA132" s="698">
        <f t="shared" ca="1" si="155"/>
        <v>0</v>
      </c>
      <c r="AB132" s="698">
        <f t="shared" ca="1" si="156"/>
        <v>0.1</v>
      </c>
      <c r="AD132" s="81">
        <v>2020</v>
      </c>
      <c r="AE132" s="299"/>
      <c r="AF132" s="220"/>
    </row>
    <row r="133" spans="2:32">
      <c r="B133" s="718" t="s">
        <v>1009</v>
      </c>
      <c r="C133" s="226"/>
      <c r="E133" s="261"/>
      <c r="F133" s="224" t="s">
        <v>1149</v>
      </c>
      <c r="G133" s="55"/>
      <c r="H133" s="174"/>
      <c r="I133" s="174" t="str">
        <f t="shared" si="143"/>
        <v>INDRWH</v>
      </c>
      <c r="J133" s="224">
        <f t="shared" si="146"/>
        <v>2030</v>
      </c>
      <c r="K133" s="81"/>
      <c r="L133" s="199">
        <f t="shared" ca="1" si="148"/>
        <v>0.96</v>
      </c>
      <c r="M133" s="199"/>
      <c r="N133" s="81"/>
      <c r="O133" s="723">
        <f t="shared" ca="1" si="149"/>
        <v>0.27759522769958173</v>
      </c>
      <c r="P133" s="723">
        <f t="shared" ca="1" si="150"/>
        <v>1.2664999999999999E-2</v>
      </c>
      <c r="Q133" s="81">
        <f t="shared" ca="1" si="151"/>
        <v>1.8625</v>
      </c>
      <c r="R133" s="300"/>
      <c r="S133" s="300"/>
      <c r="T133" s="300"/>
      <c r="U133" s="300"/>
      <c r="V133" s="199">
        <f t="shared" ref="V133" ca="1" si="160">IF(IF(RIGHT(H132,2)="PH",(1-L133)+$W$2,IF(RIGHT(H132,2)="HT",(1-L133)+$W$1,IF(RIGHT(H132,2)="SH",(1-L133)+$W$3,"")))&gt;0,IF(RIGHT(H132,2)="PH",(1-L133)+$W$2,IF(RIGHT(H132,2)="HT",(1-L133)+$W$1,IF(RIGHT(H132,2)="SH",(1-L133)+$W$3,""))),0)</f>
        <v>4.0000000000000036E-2</v>
      </c>
      <c r="W133" s="298"/>
      <c r="X133" s="698">
        <f t="shared" ca="1" si="145"/>
        <v>0.5</v>
      </c>
      <c r="Y133" s="698">
        <f t="shared" ca="1" si="153"/>
        <v>20</v>
      </c>
      <c r="Z133" s="698">
        <f t="shared" ca="1" si="154"/>
        <v>0</v>
      </c>
      <c r="AA133" s="698">
        <f t="shared" ca="1" si="155"/>
        <v>0</v>
      </c>
      <c r="AB133" s="698">
        <f t="shared" ca="1" si="156"/>
        <v>0.1</v>
      </c>
      <c r="AD133" s="81">
        <v>2030</v>
      </c>
      <c r="AE133" s="81"/>
      <c r="AF133" s="220"/>
    </row>
    <row r="134" spans="2:32">
      <c r="B134" s="719" t="s">
        <v>1009</v>
      </c>
      <c r="C134" s="713"/>
      <c r="D134" s="701"/>
      <c r="E134" s="701"/>
      <c r="F134" s="224" t="s">
        <v>1149</v>
      </c>
      <c r="G134" s="203"/>
      <c r="H134" s="702"/>
      <c r="I134" s="702" t="str">
        <f t="shared" si="143"/>
        <v>INDRWH</v>
      </c>
      <c r="J134" s="224">
        <f t="shared" si="146"/>
        <v>2050</v>
      </c>
      <c r="K134" s="81"/>
      <c r="L134" s="199">
        <f t="shared" ca="1" si="148"/>
        <v>0.97</v>
      </c>
      <c r="M134" s="199"/>
      <c r="N134" s="81"/>
      <c r="O134" s="723">
        <f t="shared" ca="1" si="149"/>
        <v>0.26251188606957326</v>
      </c>
      <c r="P134" s="723">
        <f t="shared" ca="1" si="150"/>
        <v>1.1175000000000001E-2</v>
      </c>
      <c r="Q134" s="81">
        <f t="shared" ca="1" si="151"/>
        <v>1.8625</v>
      </c>
      <c r="R134" s="703"/>
      <c r="S134" s="703"/>
      <c r="T134" s="703"/>
      <c r="U134" s="703"/>
      <c r="V134" s="199">
        <f t="shared" ref="V134" ca="1" si="161">IF(IF(RIGHT(H132,2)="PH",(1-L134)+$W$2,IF(RIGHT(H132,2)="HT",(1-L134)+$W$1,IF(RIGHT(H132,2)="SH",(1-L134)+$W$3,"")))&gt;0,IF(RIGHT(H132,2)="PH",(1-L134)+$W$2,IF(RIGHT(H132,2)="HT",(1-L134)+$W$1,IF(RIGHT(H132,2)="SH",(1-L134)+$W$3,""))),0)</f>
        <v>3.0000000000000027E-2</v>
      </c>
      <c r="W134" s="704"/>
      <c r="X134" s="698">
        <f t="shared" ca="1" si="145"/>
        <v>0.5</v>
      </c>
      <c r="Y134" s="698">
        <f t="shared" ca="1" si="153"/>
        <v>15</v>
      </c>
      <c r="Z134" s="698">
        <f t="shared" ca="1" si="154"/>
        <v>0</v>
      </c>
      <c r="AA134" s="698">
        <f t="shared" ca="1" si="155"/>
        <v>0</v>
      </c>
      <c r="AB134" s="698">
        <f t="shared" ca="1" si="156"/>
        <v>0.1</v>
      </c>
      <c r="AD134" s="81">
        <v>2050</v>
      </c>
      <c r="AE134" s="81"/>
      <c r="AF134" s="220"/>
    </row>
    <row r="135" spans="2:32">
      <c r="B135" s="718" t="s">
        <v>1010</v>
      </c>
      <c r="C135" s="226"/>
      <c r="D135" s="212" t="str">
        <f>"IND"&amp;RIGHT(H135,4)&amp;"GAS"&amp;"N"&amp;RIGHT(E135,1)</f>
        <v>INDRDPHGASN1</v>
      </c>
      <c r="E135" s="261" t="str">
        <f>"Industrial heating technology "&amp;$AJ$12&amp;" "&amp;RIGHT(H135,2)&amp;" - Gas boiler (Steam) - new 1"</f>
        <v>Industrial heating technology Paper &amp; Pulp PH - Gas boiler (Steam) - new 1</v>
      </c>
      <c r="F135" s="224" t="s">
        <v>1149</v>
      </c>
      <c r="G135" s="173" t="s">
        <v>2080</v>
      </c>
      <c r="H135" s="174" t="str">
        <f>$AI$13</f>
        <v>IRDPH</v>
      </c>
      <c r="I135" s="174" t="str">
        <f t="shared" si="143"/>
        <v>INDRWH</v>
      </c>
      <c r="J135" s="224">
        <f t="shared" si="146"/>
        <v>2011</v>
      </c>
      <c r="K135" s="299">
        <v>2011</v>
      </c>
      <c r="L135" s="199">
        <f t="shared" ref="L135:L143" ca="1" si="162">VLOOKUP($AD135,INDIRECT("'"&amp;$B135&amp;"'!"&amp;"$P$39:$AD$42"),3,FALSE)</f>
        <v>0.92</v>
      </c>
      <c r="M135" s="699"/>
      <c r="N135" s="299">
        <f ca="1">VLOOKUP($AD135,INDIRECT("'"&amp;$B135&amp;"'!"&amp;"$P$39:$AD$42"),5,FALSE)</f>
        <v>25</v>
      </c>
      <c r="O135" s="725">
        <f t="shared" ref="O135:O143" ca="1" si="163">VLOOKUP($AD135,INDIRECT("'"&amp;$B135&amp;"'!"&amp;"$P$39:$AD$42"),6,FALSE)/1000</f>
        <v>0.40636363636363632</v>
      </c>
      <c r="P135" s="725">
        <f t="shared" ref="P135:P143" ca="1" si="164">VLOOKUP($AD135,INDIRECT("'"&amp;$B135&amp;"'!"&amp;"$P$39:$AD$42"),7,FALSE)/1000</f>
        <v>1.49E-2</v>
      </c>
      <c r="Q135" s="299">
        <f t="shared" ref="Q135:Q143" ca="1" si="165">VLOOKUP($AD135,INDIRECT("'"&amp;$B135&amp;"'!"&amp;"$P$39:$AD$42"),8,FALSE)</f>
        <v>2.276388888888889</v>
      </c>
      <c r="R135" s="299">
        <v>3.1536000000000002E-2</v>
      </c>
      <c r="S135" s="699">
        <v>0.5</v>
      </c>
      <c r="T135" s="699">
        <f ca="1">HLOOKUP($T$2,INDIRECT("'"&amp;$B135&amp;"'!"&amp;"$P$6:$AC$19"),IF(H135=$AI$13,6,IF(H135=$AI$14,9,14)),FALSE)</f>
        <v>1</v>
      </c>
      <c r="U135" s="772"/>
      <c r="V135" s="199">
        <f t="shared" ref="V135" ca="1" si="166">IF(IF(RIGHT(H135,2)="PH",(1-L135)+$W$2,IF(RIGHT(H135,2)="HT",(1-L135)+$W$1,IF(RIGHT(H135,2)="SH",(1-L135)+$W$3,"")))&gt;0,IF(RIGHT(H135,2)="PH",(1-L135)+$W$2,IF(RIGHT(H135,2)="HT",(1-L135)+$W$1,IF(RIGHT(H135,2)="SH",(1-L135)+$W$3,""))),0)</f>
        <v>0.27999999999999997</v>
      </c>
      <c r="W135" s="298"/>
      <c r="X135" s="698">
        <f t="shared" ca="1" si="145"/>
        <v>0.3</v>
      </c>
      <c r="Y135" s="299">
        <f t="shared" ref="Y135:Y143" ca="1" si="167">VLOOKUP($AD135,INDIRECT("'"&amp;$B135&amp;"'!"&amp;"$P$39:$AD$42"),12,FALSE)</f>
        <v>9</v>
      </c>
      <c r="Z135" s="299">
        <f t="shared" ref="Z135:Z143" ca="1" si="168">VLOOKUP($AD135,INDIRECT("'"&amp;$B135&amp;"'!"&amp;"$P$39:$AD$42"),13,FALSE)</f>
        <v>3</v>
      </c>
      <c r="AA135" s="299">
        <f t="shared" ref="AA135:AA143" ca="1" si="169">VLOOKUP($AD135,INDIRECT("'"&amp;$B135&amp;"'!"&amp;"$P$39:$AD$42"),14,FALSE)</f>
        <v>1</v>
      </c>
      <c r="AB135" s="299">
        <f t="shared" ref="AB135:AB143" ca="1" si="170">VLOOKUP($AD135,INDIRECT("'"&amp;$B135&amp;"'!"&amp;"$P$39:$AD$42"),15,FALSE)</f>
        <v>0.1</v>
      </c>
      <c r="AD135" s="299">
        <v>2020</v>
      </c>
      <c r="AE135" s="81"/>
      <c r="AF135" s="220"/>
    </row>
    <row r="136" spans="2:32">
      <c r="B136" s="718" t="s">
        <v>1010</v>
      </c>
      <c r="C136" s="226"/>
      <c r="E136" s="212"/>
      <c r="F136" s="224" t="s">
        <v>1149</v>
      </c>
      <c r="H136" s="174"/>
      <c r="I136" s="174" t="str">
        <f t="shared" si="143"/>
        <v>INDRWH</v>
      </c>
      <c r="J136" s="224">
        <f t="shared" si="146"/>
        <v>2030</v>
      </c>
      <c r="K136" s="81"/>
      <c r="L136" s="199">
        <f t="shared" ca="1" si="162"/>
        <v>0.93</v>
      </c>
      <c r="M136" s="199"/>
      <c r="N136" s="81"/>
      <c r="O136" s="723">
        <f t="shared" ca="1" si="163"/>
        <v>0.33863636363636368</v>
      </c>
      <c r="P136" s="723">
        <f t="shared" ca="1" si="164"/>
        <v>1.4154999999999999E-2</v>
      </c>
      <c r="Q136" s="81">
        <f t="shared" ca="1" si="165"/>
        <v>2.0694444444444446</v>
      </c>
      <c r="R136" s="300"/>
      <c r="S136" s="300"/>
      <c r="T136" s="300"/>
      <c r="U136" s="300"/>
      <c r="V136" s="199">
        <f t="shared" ref="V136" ca="1" si="171">IF(IF(RIGHT(H135,2)="PH",(1-L136)+$W$2,IF(RIGHT(H135,2)="HT",(1-L136)+$W$1,IF(RIGHT(H135,2)="SH",(1-L136)+$W$3,"")))&gt;0,IF(RIGHT(H135,2)="PH",(1-L136)+$W$2,IF(RIGHT(H135,2)="HT",(1-L136)+$W$1,IF(RIGHT(H135,2)="SH",(1-L136)+$W$3,""))),0)</f>
        <v>0.26999999999999996</v>
      </c>
      <c r="W136" s="298"/>
      <c r="X136" s="698">
        <f t="shared" ca="1" si="145"/>
        <v>0.3</v>
      </c>
      <c r="Y136" s="81">
        <f t="shared" ca="1" si="167"/>
        <v>7</v>
      </c>
      <c r="Z136" s="81">
        <f t="shared" ca="1" si="168"/>
        <v>2</v>
      </c>
      <c r="AA136" s="81">
        <f t="shared" ca="1" si="169"/>
        <v>1</v>
      </c>
      <c r="AB136" s="81">
        <f t="shared" ca="1" si="170"/>
        <v>0.1</v>
      </c>
      <c r="AD136" s="81">
        <v>2030</v>
      </c>
      <c r="AE136" s="81"/>
      <c r="AF136" s="220"/>
    </row>
    <row r="137" spans="2:32">
      <c r="B137" s="718" t="s">
        <v>1010</v>
      </c>
      <c r="C137" s="226"/>
      <c r="E137" s="212"/>
      <c r="F137" s="224" t="s">
        <v>1149</v>
      </c>
      <c r="H137" s="174"/>
      <c r="I137" s="174" t="str">
        <f t="shared" si="143"/>
        <v>INDRWH</v>
      </c>
      <c r="J137" s="224">
        <f t="shared" si="146"/>
        <v>2050</v>
      </c>
      <c r="K137" s="81"/>
      <c r="L137" s="199">
        <f t="shared" ca="1" si="162"/>
        <v>0.94</v>
      </c>
      <c r="M137" s="199"/>
      <c r="N137" s="81"/>
      <c r="O137" s="723">
        <f t="shared" ca="1" si="163"/>
        <v>0.33863636363636368</v>
      </c>
      <c r="P137" s="723">
        <f t="shared" ca="1" si="164"/>
        <v>1.2664999999999999E-2</v>
      </c>
      <c r="Q137" s="81">
        <f t="shared" ca="1" si="165"/>
        <v>2.0694444444444446</v>
      </c>
      <c r="R137" s="300"/>
      <c r="S137" s="300"/>
      <c r="T137" s="300"/>
      <c r="U137" s="300"/>
      <c r="V137" s="199">
        <f t="shared" ref="V137" ca="1" si="172">IF(IF(RIGHT(H135,2)="PH",(1-L137)+$W$2,IF(RIGHT(H135,2)="HT",(1-L137)+$W$1,IF(RIGHT(H135,2)="SH",(1-L137)+$W$3,"")))&gt;0,IF(RIGHT(H135,2)="PH",(1-L137)+$W$2,IF(RIGHT(H135,2)="HT",(1-L137)+$W$1,IF(RIGHT(H135,2)="SH",(1-L137)+$W$3,""))),0)</f>
        <v>0.26000000000000006</v>
      </c>
      <c r="W137" s="298"/>
      <c r="X137" s="698">
        <f t="shared" ca="1" si="145"/>
        <v>0.3</v>
      </c>
      <c r="Y137" s="81">
        <f t="shared" ca="1" si="167"/>
        <v>6</v>
      </c>
      <c r="Z137" s="81">
        <f t="shared" ca="1" si="168"/>
        <v>2</v>
      </c>
      <c r="AA137" s="81">
        <f t="shared" ca="1" si="169"/>
        <v>1</v>
      </c>
      <c r="AB137" s="81">
        <f t="shared" ca="1" si="170"/>
        <v>0.1</v>
      </c>
      <c r="AD137" s="81">
        <v>2050</v>
      </c>
      <c r="AE137" s="81"/>
      <c r="AF137" s="220"/>
    </row>
    <row r="138" spans="2:32">
      <c r="B138" s="718" t="s">
        <v>1010</v>
      </c>
      <c r="C138" s="226"/>
      <c r="D138" s="212" t="str">
        <f>"IND"&amp;RIGHT(H138,4)&amp;"GAS"&amp;"N"&amp;RIGHT(E138,1)</f>
        <v>INDRDPHGASN1</v>
      </c>
      <c r="E138" s="261" t="str">
        <f>"Industrial heating technology "&amp;$AJ$12&amp;" "&amp;RIGHT(H138,2)&amp;" - Gas boiler (Steam) - new 1"</f>
        <v>Industrial heating technology Paper &amp; Pulp PH - Gas boiler (Steam) - new 1</v>
      </c>
      <c r="F138" s="224" t="s">
        <v>1149</v>
      </c>
      <c r="G138" s="173" t="s">
        <v>2080</v>
      </c>
      <c r="H138" s="174" t="str">
        <f>$AI$14</f>
        <v>IRDPH</v>
      </c>
      <c r="I138" s="174" t="str">
        <f t="shared" si="143"/>
        <v>INDRWH</v>
      </c>
      <c r="J138" s="224">
        <f t="shared" si="146"/>
        <v>2011</v>
      </c>
      <c r="K138" s="299">
        <f>J138</f>
        <v>2011</v>
      </c>
      <c r="L138" s="199">
        <f t="shared" ca="1" si="162"/>
        <v>0.92</v>
      </c>
      <c r="M138" s="199"/>
      <c r="N138" s="81">
        <f ca="1">VLOOKUP($AD138,INDIRECT("'"&amp;$B138&amp;"'!"&amp;"$P$39:$AD$42"),5,FALSE)</f>
        <v>25</v>
      </c>
      <c r="O138" s="723">
        <f t="shared" ca="1" si="163"/>
        <v>0.40636363636363632</v>
      </c>
      <c r="P138" s="723">
        <f t="shared" ca="1" si="164"/>
        <v>1.49E-2</v>
      </c>
      <c r="Q138" s="81">
        <f t="shared" ca="1" si="165"/>
        <v>2.276388888888889</v>
      </c>
      <c r="R138" s="81">
        <v>3.1536000000000002E-2</v>
      </c>
      <c r="S138" s="199">
        <v>0.5</v>
      </c>
      <c r="T138" s="199">
        <f ca="1">HLOOKUP($T$2,INDIRECT("'"&amp;$B138&amp;"'!"&amp;"$P$6:$AC$19"),IF(H138=$AI$13,6,IF(H138=$AI$14,9,14)),FALSE)</f>
        <v>1</v>
      </c>
      <c r="U138" s="772"/>
      <c r="V138" s="199">
        <f t="shared" ref="V138" ca="1" si="173">IF(IF(RIGHT(H138,2)="PH",(1-L138)+$W$2,IF(RIGHT(H138,2)="HT",(1-L138)+$W$1,IF(RIGHT(H138,2)="SH",(1-L138)+$W$3,"")))&gt;0,IF(RIGHT(H138,2)="PH",(1-L138)+$W$2,IF(RIGHT(H138,2)="HT",(1-L138)+$W$1,IF(RIGHT(H138,2)="SH",(1-L138)+$W$3,""))),0)</f>
        <v>0.27999999999999997</v>
      </c>
      <c r="W138" s="298"/>
      <c r="X138" s="698">
        <f t="shared" ca="1" si="145"/>
        <v>0.3</v>
      </c>
      <c r="Y138" s="81">
        <f t="shared" ca="1" si="167"/>
        <v>9</v>
      </c>
      <c r="Z138" s="81">
        <f t="shared" ca="1" si="168"/>
        <v>3</v>
      </c>
      <c r="AA138" s="81">
        <f t="shared" ca="1" si="169"/>
        <v>1</v>
      </c>
      <c r="AB138" s="81">
        <f t="shared" ca="1" si="170"/>
        <v>0.1</v>
      </c>
      <c r="AD138" s="81">
        <v>2020</v>
      </c>
      <c r="AE138" s="81"/>
      <c r="AF138" s="220"/>
    </row>
    <row r="139" spans="2:32">
      <c r="B139" s="718" t="s">
        <v>1010</v>
      </c>
      <c r="C139" s="226"/>
      <c r="E139" s="212"/>
      <c r="F139" s="224" t="s">
        <v>1149</v>
      </c>
      <c r="H139" s="174"/>
      <c r="I139" s="174" t="str">
        <f t="shared" si="143"/>
        <v>INDRWH</v>
      </c>
      <c r="J139" s="224">
        <f t="shared" si="146"/>
        <v>2030</v>
      </c>
      <c r="K139" s="81"/>
      <c r="L139" s="199">
        <f t="shared" ca="1" si="162"/>
        <v>0.93</v>
      </c>
      <c r="M139" s="199"/>
      <c r="N139" s="81"/>
      <c r="O139" s="723">
        <f t="shared" ca="1" si="163"/>
        <v>0.33863636363636368</v>
      </c>
      <c r="P139" s="723">
        <f t="shared" ca="1" si="164"/>
        <v>1.4154999999999999E-2</v>
      </c>
      <c r="Q139" s="81">
        <f t="shared" ca="1" si="165"/>
        <v>2.0694444444444446</v>
      </c>
      <c r="R139" s="300"/>
      <c r="S139" s="300"/>
      <c r="T139" s="300"/>
      <c r="U139" s="300"/>
      <c r="V139" s="199">
        <f t="shared" ref="V139" ca="1" si="174">IF(IF(RIGHT(H138,2)="PH",(1-L139)+$W$2,IF(RIGHT(H138,2)="HT",(1-L139)+$W$1,IF(RIGHT(H138,2)="SH",(1-L139)+$W$3,"")))&gt;0,IF(RIGHT(H138,2)="PH",(1-L139)+$W$2,IF(RIGHT(H138,2)="HT",(1-L139)+$W$1,IF(RIGHT(H138,2)="SH",(1-L139)+$W$3,""))),0)</f>
        <v>0.26999999999999996</v>
      </c>
      <c r="W139" s="298"/>
      <c r="X139" s="698">
        <f t="shared" ca="1" si="145"/>
        <v>0.3</v>
      </c>
      <c r="Y139" s="81">
        <f t="shared" ca="1" si="167"/>
        <v>7</v>
      </c>
      <c r="Z139" s="81">
        <f t="shared" ca="1" si="168"/>
        <v>2</v>
      </c>
      <c r="AA139" s="81">
        <f t="shared" ca="1" si="169"/>
        <v>1</v>
      </c>
      <c r="AB139" s="81">
        <f t="shared" ca="1" si="170"/>
        <v>0.1</v>
      </c>
      <c r="AD139" s="81">
        <v>2030</v>
      </c>
      <c r="AE139" s="81"/>
      <c r="AF139" s="220"/>
    </row>
    <row r="140" spans="2:32">
      <c r="B140" s="718" t="s">
        <v>1010</v>
      </c>
      <c r="C140" s="226"/>
      <c r="E140" s="212"/>
      <c r="F140" s="224" t="s">
        <v>1149</v>
      </c>
      <c r="H140" s="174"/>
      <c r="I140" s="174" t="str">
        <f t="shared" si="143"/>
        <v>INDRWH</v>
      </c>
      <c r="J140" s="224">
        <f t="shared" si="146"/>
        <v>2050</v>
      </c>
      <c r="K140" s="81"/>
      <c r="L140" s="199">
        <f t="shared" ca="1" si="162"/>
        <v>0.94</v>
      </c>
      <c r="M140" s="199"/>
      <c r="N140" s="81"/>
      <c r="O140" s="723">
        <f t="shared" ca="1" si="163"/>
        <v>0.33863636363636368</v>
      </c>
      <c r="P140" s="723">
        <f t="shared" ca="1" si="164"/>
        <v>1.2664999999999999E-2</v>
      </c>
      <c r="Q140" s="81">
        <f t="shared" ca="1" si="165"/>
        <v>2.0694444444444446</v>
      </c>
      <c r="R140" s="300"/>
      <c r="S140" s="300"/>
      <c r="T140" s="300"/>
      <c r="U140" s="300"/>
      <c r="V140" s="199">
        <f t="shared" ref="V140" ca="1" si="175">IF(IF(RIGHT(H138,2)="PH",(1-L140)+$W$2,IF(RIGHT(H138,2)="HT",(1-L140)+$W$1,IF(RIGHT(H138,2)="SH",(1-L140)+$W$3,"")))&gt;0,IF(RIGHT(H138,2)="PH",(1-L140)+$W$2,IF(RIGHT(H138,2)="HT",(1-L140)+$W$1,IF(RIGHT(H138,2)="SH",(1-L140)+$W$3,""))),0)</f>
        <v>0.26000000000000006</v>
      </c>
      <c r="W140" s="298"/>
      <c r="X140" s="698">
        <f t="shared" ca="1" si="145"/>
        <v>0.3</v>
      </c>
      <c r="Y140" s="81">
        <f t="shared" ca="1" si="167"/>
        <v>6</v>
      </c>
      <c r="Z140" s="81">
        <f t="shared" ca="1" si="168"/>
        <v>2</v>
      </c>
      <c r="AA140" s="81">
        <f t="shared" ca="1" si="169"/>
        <v>1</v>
      </c>
      <c r="AB140" s="81">
        <f t="shared" ca="1" si="170"/>
        <v>0.1</v>
      </c>
      <c r="AC140" s="203"/>
      <c r="AD140" s="81">
        <v>2050</v>
      </c>
      <c r="AE140" s="81"/>
      <c r="AF140" s="705"/>
    </row>
    <row r="141" spans="2:32">
      <c r="B141" s="718" t="s">
        <v>1010</v>
      </c>
      <c r="C141" s="226"/>
      <c r="D141" s="212" t="str">
        <f>"IND"&amp;RIGHT(H141,4)&amp;"GAS"&amp;"N"&amp;RIGHT(E141,1)</f>
        <v>INDRDSHGASN1</v>
      </c>
      <c r="E141" s="261" t="str">
        <f>"Industrial heating technology "&amp;$AJ$12&amp;" "&amp;RIGHT(H141,2)&amp;" - Gas boiler (Steam) - new 1"</f>
        <v>Industrial heating technology Paper &amp; Pulp SH - Gas boiler (Steam) - new 1</v>
      </c>
      <c r="F141" s="224" t="s">
        <v>1149</v>
      </c>
      <c r="G141" s="173" t="s">
        <v>2080</v>
      </c>
      <c r="H141" s="174" t="str">
        <f>$AI$15</f>
        <v>IRDSH</v>
      </c>
      <c r="I141" s="174" t="str">
        <f t="shared" si="143"/>
        <v>INDRWH</v>
      </c>
      <c r="J141" s="224">
        <f t="shared" si="146"/>
        <v>2011</v>
      </c>
      <c r="K141" s="299">
        <f>J141</f>
        <v>2011</v>
      </c>
      <c r="L141" s="199">
        <f t="shared" ca="1" si="162"/>
        <v>0.92</v>
      </c>
      <c r="M141" s="199"/>
      <c r="N141" s="81">
        <f ca="1">VLOOKUP($AD141,INDIRECT("'"&amp;$B141&amp;"'!"&amp;"$P$39:$AD$42"),5,FALSE)</f>
        <v>25</v>
      </c>
      <c r="O141" s="723">
        <f t="shared" ca="1" si="163"/>
        <v>0.40636363636363632</v>
      </c>
      <c r="P141" s="723">
        <f t="shared" ca="1" si="164"/>
        <v>1.49E-2</v>
      </c>
      <c r="Q141" s="81">
        <f t="shared" ca="1" si="165"/>
        <v>2.276388888888889</v>
      </c>
      <c r="R141" s="81">
        <v>3.1536000000000002E-2</v>
      </c>
      <c r="S141" s="199">
        <v>0.5</v>
      </c>
      <c r="T141" s="199">
        <f ca="1">HLOOKUP($T$2,INDIRECT("'"&amp;$B141&amp;"'!"&amp;"$P$6:$AC$19"),IF(H141=$AI$13,6,IF(H141=$AI$14,9,14)),FALSE)</f>
        <v>1</v>
      </c>
      <c r="U141" s="772"/>
      <c r="V141" s="199">
        <f t="shared" ref="V141" ca="1" si="176">IF(IF(RIGHT(H141,2)="PH",(1-L141)+$W$2,IF(RIGHT(H141,2)="HT",(1-L141)+$W$1,IF(RIGHT(H141,2)="SH",(1-L141)+$W$3,"")))&gt;0,IF(RIGHT(H141,2)="PH",(1-L141)+$W$2,IF(RIGHT(H141,2)="HT",(1-L141)+$W$1,IF(RIGHT(H141,2)="SH",(1-L141)+$W$3,""))),0)</f>
        <v>7.999999999999996E-2</v>
      </c>
      <c r="W141" s="298"/>
      <c r="X141" s="698">
        <f t="shared" ca="1" si="145"/>
        <v>0.3</v>
      </c>
      <c r="Y141" s="81">
        <f t="shared" ca="1" si="167"/>
        <v>9</v>
      </c>
      <c r="Z141" s="81">
        <f t="shared" ca="1" si="168"/>
        <v>3</v>
      </c>
      <c r="AA141" s="81">
        <f t="shared" ca="1" si="169"/>
        <v>1</v>
      </c>
      <c r="AB141" s="81">
        <f t="shared" ca="1" si="170"/>
        <v>0.1</v>
      </c>
      <c r="AC141" s="296"/>
      <c r="AD141" s="81">
        <v>2020</v>
      </c>
      <c r="AE141" s="81"/>
      <c r="AF141" s="710"/>
    </row>
    <row r="142" spans="2:32">
      <c r="B142" s="718" t="s">
        <v>1010</v>
      </c>
      <c r="C142" s="226"/>
      <c r="E142" s="212"/>
      <c r="F142" s="224" t="s">
        <v>1149</v>
      </c>
      <c r="H142" s="174"/>
      <c r="I142" s="174" t="str">
        <f t="shared" si="143"/>
        <v>INDRWH</v>
      </c>
      <c r="J142" s="224">
        <f t="shared" si="146"/>
        <v>2030</v>
      </c>
      <c r="K142" s="81"/>
      <c r="L142" s="199">
        <f t="shared" ca="1" si="162"/>
        <v>0.93</v>
      </c>
      <c r="M142" s="199"/>
      <c r="N142" s="81"/>
      <c r="O142" s="723">
        <f t="shared" ca="1" si="163"/>
        <v>0.33863636363636368</v>
      </c>
      <c r="P142" s="723">
        <f t="shared" ca="1" si="164"/>
        <v>1.4154999999999999E-2</v>
      </c>
      <c r="Q142" s="81">
        <f t="shared" ca="1" si="165"/>
        <v>2.0694444444444446</v>
      </c>
      <c r="R142" s="300"/>
      <c r="S142" s="300"/>
      <c r="T142" s="300"/>
      <c r="U142" s="300"/>
      <c r="V142" s="199">
        <f t="shared" ref="V142" ca="1" si="177">IF(IF(RIGHT(H141,2)="PH",(1-L142)+$W$2,IF(RIGHT(H141,2)="HT",(1-L142)+$W$1,IF(RIGHT(H141,2)="SH",(1-L142)+$W$3,"")))&gt;0,IF(RIGHT(H141,2)="PH",(1-L142)+$W$2,IF(RIGHT(H141,2)="HT",(1-L142)+$W$1,IF(RIGHT(H141,2)="SH",(1-L142)+$W$3,""))),0)</f>
        <v>6.9999999999999951E-2</v>
      </c>
      <c r="W142" s="298"/>
      <c r="X142" s="698">
        <f t="shared" ca="1" si="145"/>
        <v>0.3</v>
      </c>
      <c r="Y142" s="81">
        <f t="shared" ca="1" si="167"/>
        <v>7</v>
      </c>
      <c r="Z142" s="81">
        <f t="shared" ca="1" si="168"/>
        <v>2</v>
      </c>
      <c r="AA142" s="81">
        <f t="shared" ca="1" si="169"/>
        <v>1</v>
      </c>
      <c r="AB142" s="81">
        <f t="shared" ca="1" si="170"/>
        <v>0.1</v>
      </c>
      <c r="AC142" s="55"/>
      <c r="AD142" s="81">
        <v>2030</v>
      </c>
      <c r="AE142" s="81"/>
      <c r="AF142" s="700"/>
    </row>
    <row r="143" spans="2:32">
      <c r="B143" s="719" t="s">
        <v>1010</v>
      </c>
      <c r="C143" s="713"/>
      <c r="D143" s="203"/>
      <c r="E143" s="701"/>
      <c r="F143" s="224" t="s">
        <v>1149</v>
      </c>
      <c r="G143" s="203"/>
      <c r="H143" s="702"/>
      <c r="I143" s="702" t="str">
        <f t="shared" si="143"/>
        <v>INDRWH</v>
      </c>
      <c r="J143" s="224">
        <f t="shared" si="146"/>
        <v>2050</v>
      </c>
      <c r="K143" s="81"/>
      <c r="L143" s="199">
        <f t="shared" ca="1" si="162"/>
        <v>0.94</v>
      </c>
      <c r="M143" s="199"/>
      <c r="N143" s="81"/>
      <c r="O143" s="723">
        <f t="shared" ca="1" si="163"/>
        <v>0.33863636363636368</v>
      </c>
      <c r="P143" s="723">
        <f t="shared" ca="1" si="164"/>
        <v>1.2664999999999999E-2</v>
      </c>
      <c r="Q143" s="81">
        <f t="shared" ca="1" si="165"/>
        <v>2.0694444444444446</v>
      </c>
      <c r="R143" s="703"/>
      <c r="S143" s="703"/>
      <c r="T143" s="703"/>
      <c r="U143" s="703"/>
      <c r="V143" s="199">
        <f t="shared" ref="V143" ca="1" si="178">IF(IF(RIGHT(H141,2)="PH",(1-L143)+$W$2,IF(RIGHT(H141,2)="HT",(1-L143)+$W$1,IF(RIGHT(H141,2)="SH",(1-L143)+$W$3,"")))&gt;0,IF(RIGHT(H141,2)="PH",(1-L143)+$W$2,IF(RIGHT(H141,2)="HT",(1-L143)+$W$1,IF(RIGHT(H141,2)="SH",(1-L143)+$W$3,""))),0)</f>
        <v>6.0000000000000053E-2</v>
      </c>
      <c r="W143" s="704"/>
      <c r="X143" s="698">
        <f t="shared" ca="1" si="145"/>
        <v>0.3</v>
      </c>
      <c r="Y143" s="81">
        <f t="shared" ca="1" si="167"/>
        <v>6</v>
      </c>
      <c r="Z143" s="81">
        <f t="shared" ca="1" si="168"/>
        <v>2</v>
      </c>
      <c r="AA143" s="81">
        <f t="shared" ca="1" si="169"/>
        <v>1</v>
      </c>
      <c r="AB143" s="81">
        <f t="shared" ca="1" si="170"/>
        <v>0.1</v>
      </c>
      <c r="AC143" s="55"/>
      <c r="AD143" s="81">
        <v>2050</v>
      </c>
      <c r="AE143" s="81"/>
      <c r="AF143" s="700"/>
    </row>
    <row r="144" spans="2:32">
      <c r="B144" s="718" t="s">
        <v>1010</v>
      </c>
      <c r="C144" s="226"/>
      <c r="D144" s="212" t="str">
        <f>"IND"&amp;RIGHT(H144,4)&amp;"GAS"&amp;"N"&amp;RIGHT(E144,1)</f>
        <v>INDRDPHGASN2</v>
      </c>
      <c r="E144" s="707" t="str">
        <f>"Industrial heating technology "&amp;$AJ$12&amp;" "&amp;RIGHT(H144,2)&amp;" - Gas boiler (Steam - condensing) - new 2"</f>
        <v>Industrial heating technology Paper &amp; Pulp PH - Gas boiler (Steam - condensing) - new 2</v>
      </c>
      <c r="F144" s="224" t="s">
        <v>1149</v>
      </c>
      <c r="G144" s="173" t="s">
        <v>2080</v>
      </c>
      <c r="H144" s="708" t="str">
        <f>$AI$14</f>
        <v>IRDPH</v>
      </c>
      <c r="I144" s="708" t="str">
        <f t="shared" si="143"/>
        <v>INDRWH</v>
      </c>
      <c r="J144" s="224">
        <f t="shared" si="146"/>
        <v>2011</v>
      </c>
      <c r="K144" s="299">
        <f>J144</f>
        <v>2011</v>
      </c>
      <c r="L144" s="199">
        <f t="shared" ref="L144:L149" ca="1" si="179">VLOOKUP($AD144,INDIRECT("'"&amp;$B144&amp;"'!"&amp;"$P$118:$AD$121"),3,FALSE)</f>
        <v>1.01</v>
      </c>
      <c r="M144" s="199"/>
      <c r="N144" s="81">
        <f ca="1">VLOOKUP($AD144,INDIRECT("'"&amp;$B144&amp;"'!"&amp;"$P$118:$AD$121"),5,FALSE)</f>
        <v>25</v>
      </c>
      <c r="O144" s="723">
        <f t="shared" ref="O144:O149" ca="1" si="180">VLOOKUP($AD144,INDIRECT("'"&amp;$B144&amp;"'!"&amp;"$P$118:$AD$121"),6,FALSE)/1000</f>
        <v>0.44700000000000001</v>
      </c>
      <c r="P144" s="723">
        <f t="shared" ref="P144:P149" ca="1" si="181">VLOOKUP($AD144,INDIRECT("'"&amp;$B144&amp;"'!"&amp;"$P$118:$AD$121"),7,FALSE)/1000</f>
        <v>1.49E-2</v>
      </c>
      <c r="Q144" s="81">
        <f t="shared" ref="Q144:Q149" ca="1" si="182">VLOOKUP($AD144,INDIRECT("'"&amp;$B144&amp;"'!"&amp;"$P$118:$AD$121"),8,FALSE)</f>
        <v>2.276388888888889</v>
      </c>
      <c r="R144" s="81">
        <v>3.1536000000000002E-2</v>
      </c>
      <c r="S144" s="199">
        <v>0.5</v>
      </c>
      <c r="T144" s="199">
        <f ca="1">HLOOKUP($T$2,INDIRECT("'"&amp;$B144&amp;"'!"&amp;"$P$85:$AC$98"),IF(H144=$AI$13,6,IF(H144=$AI$14,9,14)),FALSE)</f>
        <v>0</v>
      </c>
      <c r="U144" s="773"/>
      <c r="V144" s="199">
        <f t="shared" ref="V144" ca="1" si="183">IF(IF(RIGHT(H144,2)="PH",(1-L144)+$W$2,IF(RIGHT(H144,2)="HT",(1-L144)+$W$1,IF(RIGHT(H144,2)="SH",(1-L144)+$W$3,"")))&gt;0,IF(RIGHT(H144,2)="PH",(1-L144)+$W$2,IF(RIGHT(H144,2)="HT",(1-L144)+$W$1,IF(RIGHT(H144,2)="SH",(1-L144)+$W$3,""))),0)</f>
        <v>0.19</v>
      </c>
      <c r="W144" s="709"/>
      <c r="X144" s="698">
        <f t="shared" ca="1" si="145"/>
        <v>0.3</v>
      </c>
      <c r="Y144" s="698">
        <f t="shared" ref="Y144:Y149" ca="1" si="184">VLOOKUP($AD144,INDIRECT("'"&amp;$B144&amp;"'!"&amp;"$P$118:$AD$121"),12,FALSE)</f>
        <v>9</v>
      </c>
      <c r="Z144" s="698">
        <f t="shared" ref="Z144:Z149" ca="1" si="185">VLOOKUP($AD144,INDIRECT("'"&amp;$B144&amp;"'!"&amp;"$P$118:$AD$121"),13,FALSE)</f>
        <v>3</v>
      </c>
      <c r="AA144" s="698">
        <f t="shared" ref="AA144:AA149" ca="1" si="186">VLOOKUP($AD144,INDIRECT("'"&amp;$B144&amp;"'!"&amp;"$P$118:$AD$121"),14,FALSE)</f>
        <v>1</v>
      </c>
      <c r="AB144" s="698">
        <f t="shared" ref="AB144:AB149" ca="1" si="187">VLOOKUP($AD144,INDIRECT("'"&amp;$B144&amp;"'!"&amp;"$P$118:$AD$121"),15,FALSE)</f>
        <v>0.1</v>
      </c>
      <c r="AC144" s="55"/>
      <c r="AD144" s="81">
        <v>2020</v>
      </c>
      <c r="AE144" s="81"/>
      <c r="AF144" s="700"/>
    </row>
    <row r="145" spans="1:32">
      <c r="B145" s="718" t="s">
        <v>1010</v>
      </c>
      <c r="C145" s="226"/>
      <c r="E145" s="261"/>
      <c r="F145" s="224" t="s">
        <v>1149</v>
      </c>
      <c r="G145" s="55"/>
      <c r="H145" s="174"/>
      <c r="I145" s="174" t="str">
        <f t="shared" si="143"/>
        <v>INDRWH</v>
      </c>
      <c r="J145" s="224">
        <f t="shared" si="146"/>
        <v>2030</v>
      </c>
      <c r="K145" s="81"/>
      <c r="L145" s="199">
        <f t="shared" ca="1" si="179"/>
        <v>1.03</v>
      </c>
      <c r="M145" s="199"/>
      <c r="N145" s="81"/>
      <c r="O145" s="723">
        <f t="shared" ca="1" si="180"/>
        <v>0.37250000000000005</v>
      </c>
      <c r="P145" s="723">
        <f t="shared" ca="1" si="181"/>
        <v>1.4154999999999999E-2</v>
      </c>
      <c r="Q145" s="81">
        <f t="shared" ca="1" si="182"/>
        <v>2.0694444444444446</v>
      </c>
      <c r="R145" s="300"/>
      <c r="S145" s="300"/>
      <c r="T145" s="300"/>
      <c r="U145" s="300"/>
      <c r="V145" s="199">
        <f t="shared" ref="V145" ca="1" si="188">IF(IF(RIGHT(H144,2)="PH",(1-L145)+$W$2,IF(RIGHT(H144,2)="HT",(1-L145)+$W$1,IF(RIGHT(H144,2)="SH",(1-L145)+$W$3,"")))&gt;0,IF(RIGHT(H144,2)="PH",(1-L145)+$W$2,IF(RIGHT(H144,2)="HT",(1-L145)+$W$1,IF(RIGHT(H144,2)="SH",(1-L145)+$W$3,""))),0)</f>
        <v>0.16999999999999998</v>
      </c>
      <c r="W145" s="298"/>
      <c r="X145" s="698">
        <f t="shared" ca="1" si="145"/>
        <v>0.3</v>
      </c>
      <c r="Y145" s="698">
        <f t="shared" ca="1" si="184"/>
        <v>7</v>
      </c>
      <c r="Z145" s="698">
        <f t="shared" ca="1" si="185"/>
        <v>2</v>
      </c>
      <c r="AA145" s="698">
        <f t="shared" ca="1" si="186"/>
        <v>1</v>
      </c>
      <c r="AB145" s="698">
        <f t="shared" ca="1" si="187"/>
        <v>0.1</v>
      </c>
      <c r="AC145" s="55"/>
      <c r="AD145" s="81">
        <v>2030</v>
      </c>
      <c r="AE145" s="81"/>
      <c r="AF145" s="700"/>
    </row>
    <row r="146" spans="1:32">
      <c r="A146" s="226"/>
      <c r="B146" s="718" t="s">
        <v>1010</v>
      </c>
      <c r="C146" s="226"/>
      <c r="E146" s="261"/>
      <c r="F146" s="224" t="s">
        <v>1149</v>
      </c>
      <c r="G146" s="55"/>
      <c r="H146" s="174"/>
      <c r="I146" s="174" t="str">
        <f t="shared" si="143"/>
        <v>INDRWH</v>
      </c>
      <c r="J146" s="224">
        <f t="shared" si="146"/>
        <v>2050</v>
      </c>
      <c r="K146" s="81"/>
      <c r="L146" s="199">
        <f t="shared" ca="1" si="179"/>
        <v>1.03</v>
      </c>
      <c r="M146" s="199"/>
      <c r="N146" s="81"/>
      <c r="O146" s="723">
        <f t="shared" ca="1" si="180"/>
        <v>0.37250000000000005</v>
      </c>
      <c r="P146" s="723">
        <f t="shared" ca="1" si="181"/>
        <v>1.2664999999999999E-2</v>
      </c>
      <c r="Q146" s="81">
        <f t="shared" ca="1" si="182"/>
        <v>2.0694444444444446</v>
      </c>
      <c r="R146" s="300"/>
      <c r="S146" s="300"/>
      <c r="T146" s="300"/>
      <c r="U146" s="300"/>
      <c r="V146" s="199">
        <f t="shared" ref="V146" ca="1" si="189">IF(IF(RIGHT(H144,2)="PH",(1-L146)+$W$2,IF(RIGHT(H144,2)="HT",(1-L146)+$W$1,IF(RIGHT(H144,2)="SH",(1-L146)+$W$3,"")))&gt;0,IF(RIGHT(H144,2)="PH",(1-L146)+$W$2,IF(RIGHT(H144,2)="HT",(1-L146)+$W$1,IF(RIGHT(H144,2)="SH",(1-L146)+$W$3,""))),0)</f>
        <v>0.16999999999999998</v>
      </c>
      <c r="W146" s="298"/>
      <c r="X146" s="698">
        <f t="shared" ca="1" si="145"/>
        <v>0.3</v>
      </c>
      <c r="Y146" s="698">
        <f t="shared" ca="1" si="184"/>
        <v>6</v>
      </c>
      <c r="Z146" s="698">
        <f t="shared" ca="1" si="185"/>
        <v>2</v>
      </c>
      <c r="AA146" s="698">
        <f t="shared" ca="1" si="186"/>
        <v>1</v>
      </c>
      <c r="AB146" s="698">
        <f t="shared" ca="1" si="187"/>
        <v>0.1</v>
      </c>
      <c r="AC146" s="203"/>
      <c r="AD146" s="81">
        <v>2050</v>
      </c>
      <c r="AE146" s="81"/>
      <c r="AF146" s="705"/>
    </row>
    <row r="147" spans="1:32">
      <c r="A147" s="226"/>
      <c r="B147" s="718" t="s">
        <v>1010</v>
      </c>
      <c r="C147" s="226"/>
      <c r="D147" s="212" t="str">
        <f>"IND"&amp;RIGHT(H147,4)&amp;"GAS"&amp;"N"&amp;RIGHT(E147,1)</f>
        <v>INDRDSHGASN2</v>
      </c>
      <c r="E147" s="261" t="str">
        <f>"Industrial heating technology "&amp;$AJ$12&amp;" "&amp;RIGHT(H147,2)&amp;" - Gas boiler (Steam - condensing) - new 2"</f>
        <v>Industrial heating technology Paper &amp; Pulp SH - Gas boiler (Steam - condensing) - new 2</v>
      </c>
      <c r="F147" s="224" t="s">
        <v>1149</v>
      </c>
      <c r="G147" s="173" t="s">
        <v>2080</v>
      </c>
      <c r="H147" s="174" t="str">
        <f>$AI$15</f>
        <v>IRDSH</v>
      </c>
      <c r="I147" s="174" t="str">
        <f t="shared" si="143"/>
        <v>INDRWH</v>
      </c>
      <c r="J147" s="224">
        <f t="shared" si="146"/>
        <v>2011</v>
      </c>
      <c r="K147" s="299">
        <f>J147</f>
        <v>2011</v>
      </c>
      <c r="L147" s="199">
        <f t="shared" ca="1" si="179"/>
        <v>1.01</v>
      </c>
      <c r="M147" s="199"/>
      <c r="N147" s="81">
        <f ca="1">VLOOKUP($AD147,INDIRECT("'"&amp;$B147&amp;"'!"&amp;"$P$118:$AD$121"),5,FALSE)</f>
        <v>25</v>
      </c>
      <c r="O147" s="723">
        <f t="shared" ca="1" si="180"/>
        <v>0.44700000000000001</v>
      </c>
      <c r="P147" s="723">
        <f t="shared" ca="1" si="181"/>
        <v>1.49E-2</v>
      </c>
      <c r="Q147" s="81">
        <f t="shared" ca="1" si="182"/>
        <v>2.276388888888889</v>
      </c>
      <c r="R147" s="81">
        <v>3.1536000000000002E-2</v>
      </c>
      <c r="S147" s="199">
        <v>0.5</v>
      </c>
      <c r="T147" s="199">
        <f ca="1">HLOOKUP($T$2,INDIRECT("'"&amp;$B147&amp;"'!"&amp;"$P$85:$AC$98"),IF(H147=$AI$13,6,IF(H147=$AI$14,9,14)),FALSE)</f>
        <v>0</v>
      </c>
      <c r="U147" s="772"/>
      <c r="V147" s="199">
        <f t="shared" ref="V147" ca="1" si="190">IF(IF(RIGHT(H147,2)="PH",(1-L147)+$W$2,IF(RIGHT(H147,2)="HT",(1-L147)+$W$1,IF(RIGHT(H147,2)="SH",(1-L147)+$W$3,"")))&gt;0,IF(RIGHT(H147,2)="PH",(1-L147)+$W$2,IF(RIGHT(H147,2)="HT",(1-L147)+$W$1,IF(RIGHT(H147,2)="SH",(1-L147)+$W$3,""))),0)</f>
        <v>0</v>
      </c>
      <c r="W147" s="298"/>
      <c r="X147" s="698">
        <f t="shared" ca="1" si="145"/>
        <v>0.3</v>
      </c>
      <c r="Y147" s="698">
        <f t="shared" ca="1" si="184"/>
        <v>9</v>
      </c>
      <c r="Z147" s="698">
        <f t="shared" ca="1" si="185"/>
        <v>3</v>
      </c>
      <c r="AA147" s="698">
        <f t="shared" ca="1" si="186"/>
        <v>1</v>
      </c>
      <c r="AB147" s="698">
        <f t="shared" ca="1" si="187"/>
        <v>0.1</v>
      </c>
      <c r="AC147" s="296"/>
      <c r="AD147" s="81">
        <v>2020</v>
      </c>
      <c r="AE147" s="81"/>
      <c r="AF147" s="710"/>
    </row>
    <row r="148" spans="1:32">
      <c r="A148" s="226"/>
      <c r="B148" s="718" t="s">
        <v>1010</v>
      </c>
      <c r="C148" s="226"/>
      <c r="E148" s="261"/>
      <c r="F148" s="224" t="s">
        <v>1149</v>
      </c>
      <c r="G148" s="55"/>
      <c r="H148" s="174"/>
      <c r="I148" s="174" t="str">
        <f t="shared" si="143"/>
        <v>INDRWH</v>
      </c>
      <c r="J148" s="224">
        <f t="shared" si="146"/>
        <v>2030</v>
      </c>
      <c r="K148" s="81"/>
      <c r="L148" s="199">
        <f t="shared" ca="1" si="179"/>
        <v>1.03</v>
      </c>
      <c r="M148" s="199"/>
      <c r="N148" s="81"/>
      <c r="O148" s="723">
        <f t="shared" ca="1" si="180"/>
        <v>0.37250000000000005</v>
      </c>
      <c r="P148" s="723">
        <f t="shared" ca="1" si="181"/>
        <v>1.4154999999999999E-2</v>
      </c>
      <c r="Q148" s="81">
        <f t="shared" ca="1" si="182"/>
        <v>2.0694444444444446</v>
      </c>
      <c r="R148" s="300"/>
      <c r="S148" s="300"/>
      <c r="T148" s="300"/>
      <c r="U148" s="300"/>
      <c r="V148" s="199">
        <f t="shared" ref="V148" ca="1" si="191">IF(IF(RIGHT(H147,2)="PH",(1-L148)+$W$2,IF(RIGHT(H147,2)="HT",(1-L148)+$W$1,IF(RIGHT(H147,2)="SH",(1-L148)+$W$3,"")))&gt;0,IF(RIGHT(H147,2)="PH",(1-L148)+$W$2,IF(RIGHT(H147,2)="HT",(1-L148)+$W$1,IF(RIGHT(H147,2)="SH",(1-L148)+$W$3,""))),0)</f>
        <v>0</v>
      </c>
      <c r="W148" s="298"/>
      <c r="X148" s="698">
        <f t="shared" ca="1" si="145"/>
        <v>0.3</v>
      </c>
      <c r="Y148" s="698">
        <f t="shared" ca="1" si="184"/>
        <v>7</v>
      </c>
      <c r="Z148" s="698">
        <f t="shared" ca="1" si="185"/>
        <v>2</v>
      </c>
      <c r="AA148" s="698">
        <f t="shared" ca="1" si="186"/>
        <v>1</v>
      </c>
      <c r="AB148" s="698">
        <f t="shared" ca="1" si="187"/>
        <v>0.1</v>
      </c>
      <c r="AC148" s="55"/>
      <c r="AD148" s="81">
        <v>2030</v>
      </c>
      <c r="AE148" s="81"/>
      <c r="AF148" s="700"/>
    </row>
    <row r="149" spans="1:32">
      <c r="A149" s="226"/>
      <c r="B149" s="719" t="s">
        <v>1010</v>
      </c>
      <c r="C149" s="713"/>
      <c r="D149" s="203"/>
      <c r="E149" s="701"/>
      <c r="F149" s="224" t="s">
        <v>1149</v>
      </c>
      <c r="G149" s="203"/>
      <c r="H149" s="702"/>
      <c r="I149" s="702" t="str">
        <f t="shared" si="143"/>
        <v>INDRWH</v>
      </c>
      <c r="J149" s="224">
        <f t="shared" si="146"/>
        <v>2050</v>
      </c>
      <c r="K149" s="81"/>
      <c r="L149" s="199">
        <f t="shared" ca="1" si="179"/>
        <v>1.03</v>
      </c>
      <c r="M149" s="199"/>
      <c r="N149" s="81"/>
      <c r="O149" s="723">
        <f t="shared" ca="1" si="180"/>
        <v>0.37250000000000005</v>
      </c>
      <c r="P149" s="723">
        <f t="shared" ca="1" si="181"/>
        <v>1.2664999999999999E-2</v>
      </c>
      <c r="Q149" s="81">
        <f t="shared" ca="1" si="182"/>
        <v>2.0694444444444446</v>
      </c>
      <c r="R149" s="703"/>
      <c r="S149" s="703"/>
      <c r="T149" s="703"/>
      <c r="U149" s="703"/>
      <c r="V149" s="199">
        <f t="shared" ref="V149" ca="1" si="192">IF(IF(RIGHT(H147,2)="PH",(1-L149)+$W$2,IF(RIGHT(H147,2)="HT",(1-L149)+$W$1,IF(RIGHT(H147,2)="SH",(1-L149)+$W$3,"")))&gt;0,IF(RIGHT(H147,2)="PH",(1-L149)+$W$2,IF(RIGHT(H147,2)="HT",(1-L149)+$W$1,IF(RIGHT(H147,2)="SH",(1-L149)+$W$3,""))),0)</f>
        <v>0</v>
      </c>
      <c r="W149" s="704"/>
      <c r="X149" s="698">
        <f t="shared" ca="1" si="145"/>
        <v>0.3</v>
      </c>
      <c r="Y149" s="698">
        <f t="shared" ca="1" si="184"/>
        <v>6</v>
      </c>
      <c r="Z149" s="698">
        <f t="shared" ca="1" si="185"/>
        <v>2</v>
      </c>
      <c r="AA149" s="698">
        <f t="shared" ca="1" si="186"/>
        <v>1</v>
      </c>
      <c r="AB149" s="698">
        <f t="shared" ca="1" si="187"/>
        <v>0.1</v>
      </c>
      <c r="AC149" s="55"/>
      <c r="AD149" s="81">
        <v>2050</v>
      </c>
      <c r="AE149" s="81"/>
      <c r="AF149" s="700"/>
    </row>
    <row r="150" spans="1:32">
      <c r="A150" s="226"/>
      <c r="B150" s="718" t="s">
        <v>1010</v>
      </c>
      <c r="C150" s="226"/>
      <c r="D150" s="212" t="str">
        <f>"IND"&amp;RIGHT(H150,4)&amp;"GAS"&amp;"N"&amp;RIGHT(E150,1)</f>
        <v>INDRDPHGASN3</v>
      </c>
      <c r="E150" s="707" t="str">
        <f>"Industrial heating technology "&amp;$AJ$12&amp;" "&amp;RIGHT(H150,2)&amp;" - Gas boiler (Hot Water) - new 3"</f>
        <v>Industrial heating technology Paper &amp; Pulp PH - Gas boiler (Hot Water) - new 3</v>
      </c>
      <c r="F150" s="224" t="s">
        <v>1149</v>
      </c>
      <c r="G150" s="173" t="s">
        <v>2080</v>
      </c>
      <c r="H150" s="708" t="str">
        <f>$AI$14</f>
        <v>IRDPH</v>
      </c>
      <c r="I150" s="708" t="str">
        <f t="shared" si="143"/>
        <v>INDRWH</v>
      </c>
      <c r="J150" s="224">
        <f t="shared" si="146"/>
        <v>2011</v>
      </c>
      <c r="K150" s="299">
        <f>J150</f>
        <v>2011</v>
      </c>
      <c r="L150" s="199">
        <f t="shared" ref="L150:L155" ca="1" si="193">VLOOKUP($AD150,INDIRECT("'"&amp;$B150&amp;"'!"&amp;"$P$200:$AD$203"),3,FALSE)</f>
        <v>0.93</v>
      </c>
      <c r="M150" s="199"/>
      <c r="N150" s="81">
        <f ca="1">VLOOKUP($AD150,INDIRECT("'"&amp;$B150&amp;"'!"&amp;"$P$200:$AD$203"),5,FALSE)</f>
        <v>25</v>
      </c>
      <c r="O150" s="723">
        <f t="shared" ref="O150:O155" ca="1" si="194">VLOOKUP($AD150,INDIRECT("'"&amp;$B150&amp;"'!"&amp;"$P$200:$AD$203"),6,FALSE)/1000</f>
        <v>0.3250909090909091</v>
      </c>
      <c r="P150" s="723">
        <f t="shared" ref="P150:P155" ca="1" si="195">VLOOKUP($AD150,INDIRECT("'"&amp;$B150&amp;"'!"&amp;"$P$200:$AD$203"),7,FALSE)/1000</f>
        <v>1.49E-2</v>
      </c>
      <c r="Q150" s="81">
        <f t="shared" ref="Q150:Q155" ca="1" si="196">VLOOKUP($AD150,INDIRECT("'"&amp;$B150&amp;"'!"&amp;"$P$200:$AD$203"),8,FALSE)</f>
        <v>2.276388888888889</v>
      </c>
      <c r="R150" s="81">
        <v>3.1536000000000002E-2</v>
      </c>
      <c r="S150" s="199">
        <v>0.5</v>
      </c>
      <c r="T150" s="199">
        <f ca="1">HLOOKUP($T$2,INDIRECT("'"&amp;$B150&amp;"'!"&amp;"$P$167:$AC$180"),IF(H150=$AI$13,6,IF(H150=$AI$14,9,14)),FALSE)</f>
        <v>0</v>
      </c>
      <c r="U150" s="773"/>
      <c r="V150" s="199">
        <f t="shared" ref="V150" ca="1" si="197">IF(IF(RIGHT(H150,2)="PH",(1-L150)+$W$2,IF(RIGHT(H150,2)="HT",(1-L150)+$W$1,IF(RIGHT(H150,2)="SH",(1-L150)+$W$3,"")))&gt;0,IF(RIGHT(H150,2)="PH",(1-L150)+$W$2,IF(RIGHT(H150,2)="HT",(1-L150)+$W$1,IF(RIGHT(H150,2)="SH",(1-L150)+$W$3,""))),0)</f>
        <v>0.26999999999999996</v>
      </c>
      <c r="W150" s="709"/>
      <c r="X150" s="698">
        <f t="shared" ca="1" si="145"/>
        <v>0.3</v>
      </c>
      <c r="Y150" s="698">
        <f t="shared" ref="Y150:Y155" ca="1" si="198">VLOOKUP($AD150,INDIRECT("'"&amp;$B150&amp;"'!"&amp;"$P$200:$AD$203"),12,FALSE)</f>
        <v>9</v>
      </c>
      <c r="Z150" s="698">
        <f t="shared" ref="Z150:Z155" ca="1" si="199">VLOOKUP($AD150,INDIRECT("'"&amp;$B150&amp;"'!"&amp;"$P$200:$AD$203"),13,FALSE)</f>
        <v>3</v>
      </c>
      <c r="AA150" s="698">
        <f t="shared" ref="AA150:AA155" ca="1" si="200">VLOOKUP($AD150,INDIRECT("'"&amp;$B150&amp;"'!"&amp;"$P$200:$AD$203"),14,FALSE)</f>
        <v>1</v>
      </c>
      <c r="AB150" s="698">
        <f t="shared" ref="AB150:AB155" ca="1" si="201">VLOOKUP($AD150,INDIRECT("'"&amp;$B150&amp;"'!"&amp;"$P$200:$AD$203"),15,FALSE)</f>
        <v>0.1</v>
      </c>
      <c r="AC150" s="55"/>
      <c r="AD150" s="81">
        <v>2020</v>
      </c>
      <c r="AE150" s="81"/>
      <c r="AF150" s="700"/>
    </row>
    <row r="151" spans="1:32">
      <c r="A151" s="226"/>
      <c r="B151" s="718" t="s">
        <v>1010</v>
      </c>
      <c r="C151" s="226"/>
      <c r="E151" s="261"/>
      <c r="F151" s="224" t="s">
        <v>1149</v>
      </c>
      <c r="G151" s="55"/>
      <c r="H151" s="174"/>
      <c r="I151" s="174" t="str">
        <f t="shared" si="143"/>
        <v>INDRWH</v>
      </c>
      <c r="J151" s="224">
        <f t="shared" si="146"/>
        <v>2030</v>
      </c>
      <c r="K151" s="81"/>
      <c r="L151" s="199">
        <f t="shared" ca="1" si="193"/>
        <v>0.94</v>
      </c>
      <c r="M151" s="199"/>
      <c r="N151" s="81"/>
      <c r="O151" s="723">
        <f t="shared" ca="1" si="194"/>
        <v>0.27090909090909093</v>
      </c>
      <c r="P151" s="723">
        <f t="shared" ca="1" si="195"/>
        <v>1.4154999999999999E-2</v>
      </c>
      <c r="Q151" s="81">
        <f t="shared" ca="1" si="196"/>
        <v>2.0694444444444446</v>
      </c>
      <c r="R151" s="300"/>
      <c r="S151" s="300"/>
      <c r="T151" s="300"/>
      <c r="U151" s="300"/>
      <c r="V151" s="199">
        <f t="shared" ref="V151" ca="1" si="202">IF(IF(RIGHT(H150,2)="PH",(1-L151)+$W$2,IF(RIGHT(H150,2)="HT",(1-L151)+$W$1,IF(RIGHT(H150,2)="SH",(1-L151)+$W$3,"")))&gt;0,IF(RIGHT(H150,2)="PH",(1-L151)+$W$2,IF(RIGHT(H150,2)="HT",(1-L151)+$W$1,IF(RIGHT(H150,2)="SH",(1-L151)+$W$3,""))),0)</f>
        <v>0.26000000000000006</v>
      </c>
      <c r="W151" s="298"/>
      <c r="X151" s="698">
        <f t="shared" ca="1" si="145"/>
        <v>0.3</v>
      </c>
      <c r="Y151" s="698">
        <f t="shared" ca="1" si="198"/>
        <v>7</v>
      </c>
      <c r="Z151" s="698">
        <f t="shared" ca="1" si="199"/>
        <v>2</v>
      </c>
      <c r="AA151" s="698">
        <f t="shared" ca="1" si="200"/>
        <v>1</v>
      </c>
      <c r="AB151" s="698">
        <f t="shared" ca="1" si="201"/>
        <v>0.1</v>
      </c>
      <c r="AC151" s="55"/>
      <c r="AD151" s="81">
        <v>2030</v>
      </c>
      <c r="AE151" s="81"/>
      <c r="AF151" s="700"/>
    </row>
    <row r="152" spans="1:32">
      <c r="B152" s="718" t="s">
        <v>1010</v>
      </c>
      <c r="C152" s="226"/>
      <c r="E152" s="261"/>
      <c r="F152" s="224" t="s">
        <v>1149</v>
      </c>
      <c r="G152" s="55"/>
      <c r="H152" s="174"/>
      <c r="I152" s="174" t="str">
        <f t="shared" si="143"/>
        <v>INDRWH</v>
      </c>
      <c r="J152" s="224">
        <f t="shared" si="146"/>
        <v>2050</v>
      </c>
      <c r="K152" s="81"/>
      <c r="L152" s="199">
        <f t="shared" ca="1" si="193"/>
        <v>0.95</v>
      </c>
      <c r="M152" s="199"/>
      <c r="N152" s="81"/>
      <c r="O152" s="723">
        <f t="shared" ca="1" si="194"/>
        <v>0.27090909090909093</v>
      </c>
      <c r="P152" s="723">
        <f t="shared" ca="1" si="195"/>
        <v>1.2664999999999999E-2</v>
      </c>
      <c r="Q152" s="81">
        <f t="shared" ca="1" si="196"/>
        <v>2.0694444444444446</v>
      </c>
      <c r="R152" s="300"/>
      <c r="S152" s="300"/>
      <c r="T152" s="300"/>
      <c r="U152" s="300"/>
      <c r="V152" s="199">
        <f t="shared" ref="V152" ca="1" si="203">IF(IF(RIGHT(H150,2)="PH",(1-L152)+$W$2,IF(RIGHT(H150,2)="HT",(1-L152)+$W$1,IF(RIGHT(H150,2)="SH",(1-L152)+$W$3,"")))&gt;0,IF(RIGHT(H150,2)="PH",(1-L152)+$W$2,IF(RIGHT(H150,2)="HT",(1-L152)+$W$1,IF(RIGHT(H150,2)="SH",(1-L152)+$W$3,""))),0)</f>
        <v>0.25000000000000006</v>
      </c>
      <c r="W152" s="720"/>
      <c r="X152" s="698">
        <f t="shared" ca="1" si="145"/>
        <v>0.3</v>
      </c>
      <c r="Y152" s="698">
        <f t="shared" ca="1" si="198"/>
        <v>6</v>
      </c>
      <c r="Z152" s="698">
        <f t="shared" ca="1" si="199"/>
        <v>2</v>
      </c>
      <c r="AA152" s="698">
        <f t="shared" ca="1" si="200"/>
        <v>1</v>
      </c>
      <c r="AB152" s="698">
        <f t="shared" ca="1" si="201"/>
        <v>0.1</v>
      </c>
      <c r="AC152" s="203"/>
      <c r="AD152" s="81">
        <v>2050</v>
      </c>
      <c r="AE152" s="81"/>
      <c r="AF152" s="705"/>
    </row>
    <row r="153" spans="1:32">
      <c r="B153" s="718" t="s">
        <v>1010</v>
      </c>
      <c r="C153" s="64"/>
      <c r="D153" s="212" t="str">
        <f>"IND"&amp;RIGHT(H153,4)&amp;"GAS"&amp;"N"&amp;RIGHT(E153,1)</f>
        <v>INDRDSHGASN3</v>
      </c>
      <c r="E153" s="261" t="str">
        <f>"Industrial heating technology "&amp;$AJ$12&amp;" "&amp;RIGHT(H153,2)&amp;" - Gas boiler (Hot Water) - new 3"</f>
        <v>Industrial heating technology Paper &amp; Pulp SH - Gas boiler (Hot Water) - new 3</v>
      </c>
      <c r="F153" s="224" t="s">
        <v>1149</v>
      </c>
      <c r="G153" s="173" t="s">
        <v>2080</v>
      </c>
      <c r="H153" s="174" t="str">
        <f>$AI$15</f>
        <v>IRDSH</v>
      </c>
      <c r="I153" s="174" t="str">
        <f t="shared" si="143"/>
        <v>INDRWH</v>
      </c>
      <c r="J153" s="224">
        <f t="shared" si="146"/>
        <v>2011</v>
      </c>
      <c r="K153" s="299">
        <f>J153</f>
        <v>2011</v>
      </c>
      <c r="L153" s="199">
        <f t="shared" ca="1" si="193"/>
        <v>0.93</v>
      </c>
      <c r="M153" s="199"/>
      <c r="N153" s="81">
        <f ca="1">VLOOKUP($AD153,INDIRECT("'"&amp;$B153&amp;"'!"&amp;"$P$200:$AD$203"),5,FALSE)</f>
        <v>25</v>
      </c>
      <c r="O153" s="723">
        <f t="shared" ca="1" si="194"/>
        <v>0.3250909090909091</v>
      </c>
      <c r="P153" s="723">
        <f t="shared" ca="1" si="195"/>
        <v>1.49E-2</v>
      </c>
      <c r="Q153" s="81">
        <f t="shared" ca="1" si="196"/>
        <v>2.276388888888889</v>
      </c>
      <c r="R153" s="81">
        <v>3.1536000000000002E-2</v>
      </c>
      <c r="S153" s="199">
        <v>0.5</v>
      </c>
      <c r="T153" s="199">
        <f ca="1">HLOOKUP($T$2,INDIRECT("'"&amp;$B153&amp;"'!"&amp;"$P$167:$AC$180"),IF(H153=$AI$13,6,IF(H153=$AI$14,9,14)),FALSE)</f>
        <v>1</v>
      </c>
      <c r="U153" s="772"/>
      <c r="V153" s="199">
        <f t="shared" ref="V153" ca="1" si="204">IF(IF(RIGHT(H153,2)="PH",(1-L153)+$W$2,IF(RIGHT(H153,2)="HT",(1-L153)+$W$1,IF(RIGHT(H153,2)="SH",(1-L153)+$W$3,"")))&gt;0,IF(RIGHT(H153,2)="PH",(1-L153)+$W$2,IF(RIGHT(H153,2)="HT",(1-L153)+$W$1,IF(RIGHT(H153,2)="SH",(1-L153)+$W$3,""))),0)</f>
        <v>6.9999999999999951E-2</v>
      </c>
      <c r="W153" s="298"/>
      <c r="X153" s="698">
        <f t="shared" ca="1" si="145"/>
        <v>0.3</v>
      </c>
      <c r="Y153" s="698">
        <f t="shared" ca="1" si="198"/>
        <v>9</v>
      </c>
      <c r="Z153" s="698">
        <f t="shared" ca="1" si="199"/>
        <v>3</v>
      </c>
      <c r="AA153" s="698">
        <f t="shared" ca="1" si="200"/>
        <v>1</v>
      </c>
      <c r="AB153" s="698">
        <f t="shared" ca="1" si="201"/>
        <v>0.1</v>
      </c>
      <c r="AC153" s="296"/>
      <c r="AD153" s="81">
        <v>2020</v>
      </c>
      <c r="AE153" s="81"/>
      <c r="AF153" s="710"/>
    </row>
    <row r="154" spans="1:32">
      <c r="B154" s="718" t="s">
        <v>1010</v>
      </c>
      <c r="C154" s="64"/>
      <c r="E154" s="261"/>
      <c r="F154" s="224" t="s">
        <v>1149</v>
      </c>
      <c r="G154" s="55"/>
      <c r="H154" s="174"/>
      <c r="I154" s="174" t="str">
        <f t="shared" si="143"/>
        <v>INDRWH</v>
      </c>
      <c r="J154" s="224">
        <f t="shared" si="146"/>
        <v>2030</v>
      </c>
      <c r="K154" s="81"/>
      <c r="L154" s="199">
        <f t="shared" ca="1" si="193"/>
        <v>0.94</v>
      </c>
      <c r="M154" s="199"/>
      <c r="N154" s="81"/>
      <c r="O154" s="723">
        <f t="shared" ca="1" si="194"/>
        <v>0.27090909090909093</v>
      </c>
      <c r="P154" s="723">
        <f t="shared" ca="1" si="195"/>
        <v>1.4154999999999999E-2</v>
      </c>
      <c r="Q154" s="81">
        <f t="shared" ca="1" si="196"/>
        <v>2.0694444444444446</v>
      </c>
      <c r="R154" s="300"/>
      <c r="S154" s="300"/>
      <c r="T154" s="300"/>
      <c r="U154" s="300"/>
      <c r="V154" s="199">
        <f t="shared" ref="V154" ca="1" si="205">IF(IF(RIGHT(H153,2)="PH",(1-L154)+$W$2,IF(RIGHT(H153,2)="HT",(1-L154)+$W$1,IF(RIGHT(H153,2)="SH",(1-L154)+$W$3,"")))&gt;0,IF(RIGHT(H153,2)="PH",(1-L154)+$W$2,IF(RIGHT(H153,2)="HT",(1-L154)+$W$1,IF(RIGHT(H153,2)="SH",(1-L154)+$W$3,""))),0)</f>
        <v>6.0000000000000053E-2</v>
      </c>
      <c r="W154" s="298"/>
      <c r="X154" s="698">
        <f t="shared" ca="1" si="145"/>
        <v>0.3</v>
      </c>
      <c r="Y154" s="698">
        <f t="shared" ca="1" si="198"/>
        <v>7</v>
      </c>
      <c r="Z154" s="698">
        <f t="shared" ca="1" si="199"/>
        <v>2</v>
      </c>
      <c r="AA154" s="698">
        <f t="shared" ca="1" si="200"/>
        <v>1</v>
      </c>
      <c r="AB154" s="698">
        <f t="shared" ca="1" si="201"/>
        <v>0.1</v>
      </c>
      <c r="AC154" s="55"/>
      <c r="AD154" s="81">
        <v>2030</v>
      </c>
      <c r="AE154" s="81"/>
      <c r="AF154" s="700"/>
    </row>
    <row r="155" spans="1:32">
      <c r="A155" s="226"/>
      <c r="B155" s="719" t="s">
        <v>1010</v>
      </c>
      <c r="C155" s="713"/>
      <c r="D155" s="203"/>
      <c r="E155" s="701"/>
      <c r="F155" s="224" t="s">
        <v>1149</v>
      </c>
      <c r="G155" s="203"/>
      <c r="H155" s="702"/>
      <c r="I155" s="702" t="str">
        <f t="shared" si="143"/>
        <v>INDRWH</v>
      </c>
      <c r="J155" s="224">
        <f t="shared" si="146"/>
        <v>2050</v>
      </c>
      <c r="K155" s="81"/>
      <c r="L155" s="199">
        <f t="shared" ca="1" si="193"/>
        <v>0.95</v>
      </c>
      <c r="M155" s="199"/>
      <c r="N155" s="81"/>
      <c r="O155" s="723">
        <f t="shared" ca="1" si="194"/>
        <v>0.27090909090909093</v>
      </c>
      <c r="P155" s="723">
        <f t="shared" ca="1" si="195"/>
        <v>1.2664999999999999E-2</v>
      </c>
      <c r="Q155" s="81">
        <f t="shared" ca="1" si="196"/>
        <v>2.0694444444444446</v>
      </c>
      <c r="R155" s="300"/>
      <c r="S155" s="300"/>
      <c r="T155" s="300"/>
      <c r="U155" s="300"/>
      <c r="V155" s="199">
        <f t="shared" ref="V155" ca="1" si="206">IF(IF(RIGHT(H153,2)="PH",(1-L155)+$W$2,IF(RIGHT(H153,2)="HT",(1-L155)+$W$1,IF(RIGHT(H153,2)="SH",(1-L155)+$W$3,"")))&gt;0,IF(RIGHT(H153,2)="PH",(1-L155)+$W$2,IF(RIGHT(H153,2)="HT",(1-L155)+$W$1,IF(RIGHT(H153,2)="SH",(1-L155)+$W$3,""))),0)</f>
        <v>5.0000000000000044E-2</v>
      </c>
      <c r="W155" s="298"/>
      <c r="X155" s="698">
        <f t="shared" ca="1" si="145"/>
        <v>0.3</v>
      </c>
      <c r="Y155" s="698">
        <f t="shared" ca="1" si="198"/>
        <v>6</v>
      </c>
      <c r="Z155" s="698">
        <f t="shared" ca="1" si="199"/>
        <v>2</v>
      </c>
      <c r="AA155" s="698">
        <f t="shared" ca="1" si="200"/>
        <v>1</v>
      </c>
      <c r="AB155" s="698">
        <f t="shared" ca="1" si="201"/>
        <v>0.1</v>
      </c>
      <c r="AC155" s="55"/>
      <c r="AD155" s="81">
        <v>2050</v>
      </c>
      <c r="AE155" s="81"/>
      <c r="AF155" s="700"/>
    </row>
    <row r="156" spans="1:32">
      <c r="B156" s="718" t="s">
        <v>1010</v>
      </c>
      <c r="C156" s="64"/>
      <c r="D156" s="212" t="str">
        <f>"IND"&amp;RIGHT(H156,4)&amp;"GAS"&amp;"N"&amp;RIGHT(E156,1)</f>
        <v>INDRDPHGASN4</v>
      </c>
      <c r="E156" s="707" t="str">
        <f>"Industrial heating technology "&amp;$AJ$12&amp;" "&amp;RIGHT(H156,2)&amp;" - Gas boiler (Hot Water - condensing) - new 4"</f>
        <v>Industrial heating technology Paper &amp; Pulp PH - Gas boiler (Hot Water - condensing) - new 4</v>
      </c>
      <c r="F156" s="224" t="s">
        <v>1149</v>
      </c>
      <c r="G156" s="173" t="s">
        <v>2080</v>
      </c>
      <c r="H156" s="708" t="str">
        <f>$AI$14</f>
        <v>IRDPH</v>
      </c>
      <c r="I156" s="708" t="str">
        <f t="shared" si="143"/>
        <v>INDRWH</v>
      </c>
      <c r="J156" s="224">
        <f t="shared" si="146"/>
        <v>2011</v>
      </c>
      <c r="K156" s="299">
        <f>J156</f>
        <v>2011</v>
      </c>
      <c r="L156" s="199">
        <f t="shared" ref="L156:L161" ca="1" si="207">VLOOKUP($AD156,INDIRECT("'"&amp;$B156&amp;"'!"&amp;"$P$279:$AD$282"),3,FALSE)</f>
        <v>1.01</v>
      </c>
      <c r="M156" s="199"/>
      <c r="N156" s="81">
        <f ca="1">VLOOKUP($AD156,INDIRECT("'"&amp;$B156&amp;"'!"&amp;"$P$279:$AD$282"),5,FALSE)</f>
        <v>25</v>
      </c>
      <c r="O156" s="723">
        <f t="shared" ref="O156:O161" ca="1" si="208">VLOOKUP($AD156,INDIRECT("'"&amp;$B156&amp;"'!"&amp;"$P$279:$AD$282"),6,FALSE)/1000</f>
        <v>0.35760000000000003</v>
      </c>
      <c r="P156" s="723">
        <f t="shared" ref="P156:P161" ca="1" si="209">VLOOKUP($AD156,INDIRECT("'"&amp;$B156&amp;"'!"&amp;"$P$279:$AD$282"),7,FALSE)/1000</f>
        <v>1.49E-2</v>
      </c>
      <c r="Q156" s="81">
        <f t="shared" ref="Q156:Q161" ca="1" si="210">VLOOKUP($AD156,INDIRECT("'"&amp;$B156&amp;"'!"&amp;"$P$279:$AD$282"),8,FALSE)</f>
        <v>2.276388888888889</v>
      </c>
      <c r="R156" s="81">
        <v>3.1536000000000002E-2</v>
      </c>
      <c r="S156" s="199">
        <v>0.5</v>
      </c>
      <c r="T156" s="199">
        <f ca="1">HLOOKUP($T$2,INDIRECT("'"&amp;$B156&amp;"'!"&amp;"$P$246:$AC$259"),IF(H156=$AI$13,6,IF(H156=$AI$14,9,14)),FALSE)</f>
        <v>0</v>
      </c>
      <c r="U156" s="773"/>
      <c r="V156" s="199">
        <f t="shared" ref="V156" ca="1" si="211">IF(IF(RIGHT(H156,2)="PH",(1-L156)+$W$2,IF(RIGHT(H156,2)="HT",(1-L156)+$W$1,IF(RIGHT(H156,2)="SH",(1-L156)+$W$3,"")))&gt;0,IF(RIGHT(H156,2)="PH",(1-L156)+$W$2,IF(RIGHT(H156,2)="HT",(1-L156)+$W$1,IF(RIGHT(H156,2)="SH",(1-L156)+$W$3,""))),0)</f>
        <v>0.19</v>
      </c>
      <c r="W156" s="709"/>
      <c r="X156" s="698">
        <f t="shared" ca="1" si="145"/>
        <v>0.3</v>
      </c>
      <c r="Y156" s="698">
        <f t="shared" ref="Y156:Y161" ca="1" si="212">VLOOKUP($AD156,INDIRECT("'"&amp;$B156&amp;"'!"&amp;"$P$279:$AD$282"),12,FALSE)</f>
        <v>9</v>
      </c>
      <c r="Z156" s="698">
        <f t="shared" ref="Z156:Z161" ca="1" si="213">VLOOKUP($AD156,INDIRECT("'"&amp;$B156&amp;"'!"&amp;"$P$279:$AD$282"),13,FALSE)</f>
        <v>3</v>
      </c>
      <c r="AA156" s="698">
        <f t="shared" ref="AA156:AA161" ca="1" si="214">VLOOKUP($AD156,INDIRECT("'"&amp;$B156&amp;"'!"&amp;"$P$279:$AD$282"),14,FALSE)</f>
        <v>1</v>
      </c>
      <c r="AB156" s="698">
        <f t="shared" ref="AB156:AB161" ca="1" si="215">VLOOKUP($AD156,INDIRECT("'"&amp;$B156&amp;"'!"&amp;"$P$279:$AD$282"),15,FALSE)</f>
        <v>0.1</v>
      </c>
      <c r="AC156" s="55"/>
      <c r="AD156" s="81">
        <v>2020</v>
      </c>
      <c r="AE156" s="81"/>
      <c r="AF156" s="700"/>
    </row>
    <row r="157" spans="1:32">
      <c r="B157" s="718" t="s">
        <v>1010</v>
      </c>
      <c r="C157" s="64"/>
      <c r="E157" s="261"/>
      <c r="F157" s="224" t="s">
        <v>1149</v>
      </c>
      <c r="G157" s="55"/>
      <c r="H157" s="174"/>
      <c r="I157" s="174" t="str">
        <f t="shared" si="143"/>
        <v>INDRWH</v>
      </c>
      <c r="J157" s="224">
        <f t="shared" si="146"/>
        <v>2030</v>
      </c>
      <c r="K157" s="81"/>
      <c r="L157" s="199">
        <f t="shared" ca="1" si="207"/>
        <v>1.03</v>
      </c>
      <c r="M157" s="199"/>
      <c r="N157" s="81"/>
      <c r="O157" s="723">
        <f t="shared" ca="1" si="208"/>
        <v>0.29800000000000004</v>
      </c>
      <c r="P157" s="723">
        <f t="shared" ca="1" si="209"/>
        <v>1.4154999999999999E-2</v>
      </c>
      <c r="Q157" s="81">
        <f t="shared" ca="1" si="210"/>
        <v>2.0694444444444446</v>
      </c>
      <c r="R157" s="300"/>
      <c r="S157" s="300"/>
      <c r="T157" s="300"/>
      <c r="U157" s="300"/>
      <c r="V157" s="199">
        <f t="shared" ref="V157" ca="1" si="216">IF(IF(RIGHT(H156,2)="PH",(1-L157)+$W$2,IF(RIGHT(H156,2)="HT",(1-L157)+$W$1,IF(RIGHT(H156,2)="SH",(1-L157)+$W$3,"")))&gt;0,IF(RIGHT(H156,2)="PH",(1-L157)+$W$2,IF(RIGHT(H156,2)="HT",(1-L157)+$W$1,IF(RIGHT(H156,2)="SH",(1-L157)+$W$3,""))),0)</f>
        <v>0.16999999999999998</v>
      </c>
      <c r="W157" s="298"/>
      <c r="X157" s="698">
        <f t="shared" ca="1" si="145"/>
        <v>0.3</v>
      </c>
      <c r="Y157" s="698">
        <f t="shared" ca="1" si="212"/>
        <v>7</v>
      </c>
      <c r="Z157" s="698">
        <f t="shared" ca="1" si="213"/>
        <v>2</v>
      </c>
      <c r="AA157" s="698">
        <f t="shared" ca="1" si="214"/>
        <v>1</v>
      </c>
      <c r="AB157" s="698">
        <f t="shared" ca="1" si="215"/>
        <v>0.1</v>
      </c>
      <c r="AC157" s="55"/>
      <c r="AD157" s="81">
        <v>2030</v>
      </c>
      <c r="AE157" s="81"/>
      <c r="AF157" s="700"/>
    </row>
    <row r="158" spans="1:32">
      <c r="B158" s="718" t="s">
        <v>1010</v>
      </c>
      <c r="C158" s="64"/>
      <c r="E158" s="261"/>
      <c r="F158" s="224" t="s">
        <v>1149</v>
      </c>
      <c r="G158" s="55"/>
      <c r="H158" s="174"/>
      <c r="I158" s="174" t="str">
        <f t="shared" si="143"/>
        <v>INDRWH</v>
      </c>
      <c r="J158" s="224">
        <f t="shared" si="146"/>
        <v>2050</v>
      </c>
      <c r="K158" s="81"/>
      <c r="L158" s="199">
        <f t="shared" ca="1" si="207"/>
        <v>1.03</v>
      </c>
      <c r="M158" s="199"/>
      <c r="N158" s="81"/>
      <c r="O158" s="723">
        <f t="shared" ca="1" si="208"/>
        <v>0.29800000000000004</v>
      </c>
      <c r="P158" s="723">
        <f t="shared" ca="1" si="209"/>
        <v>1.2664999999999999E-2</v>
      </c>
      <c r="Q158" s="81">
        <f t="shared" ca="1" si="210"/>
        <v>2.0694444444444446</v>
      </c>
      <c r="R158" s="300"/>
      <c r="S158" s="300"/>
      <c r="T158" s="300"/>
      <c r="U158" s="300"/>
      <c r="V158" s="199">
        <f t="shared" ref="V158" ca="1" si="217">IF(IF(RIGHT(H156,2)="PH",(1-L158)+$W$2,IF(RIGHT(H156,2)="HT",(1-L158)+$W$1,IF(RIGHT(H156,2)="SH",(1-L158)+$W$3,"")))&gt;0,IF(RIGHT(H156,2)="PH",(1-L158)+$W$2,IF(RIGHT(H156,2)="HT",(1-L158)+$W$1,IF(RIGHT(H156,2)="SH",(1-L158)+$W$3,""))),0)</f>
        <v>0.16999999999999998</v>
      </c>
      <c r="W158" s="298"/>
      <c r="X158" s="698">
        <f t="shared" ca="1" si="145"/>
        <v>0.3</v>
      </c>
      <c r="Y158" s="698">
        <f t="shared" ca="1" si="212"/>
        <v>6</v>
      </c>
      <c r="Z158" s="698">
        <f t="shared" ca="1" si="213"/>
        <v>2</v>
      </c>
      <c r="AA158" s="698">
        <f t="shared" ca="1" si="214"/>
        <v>1</v>
      </c>
      <c r="AB158" s="698">
        <f t="shared" ca="1" si="215"/>
        <v>0.1</v>
      </c>
      <c r="AC158" s="203"/>
      <c r="AD158" s="81">
        <v>2050</v>
      </c>
      <c r="AE158" s="81"/>
      <c r="AF158" s="705"/>
    </row>
    <row r="159" spans="1:32">
      <c r="A159" s="226"/>
      <c r="B159" s="718" t="s">
        <v>1010</v>
      </c>
      <c r="C159" s="64"/>
      <c r="D159" s="212" t="str">
        <f>"IND"&amp;RIGHT(H159,4)&amp;"GAS"&amp;"N"&amp;RIGHT(E159,1)</f>
        <v>INDRDSHGASN4</v>
      </c>
      <c r="E159" s="261" t="str">
        <f>"Industrial heating technology "&amp;$AJ$12&amp;" "&amp;RIGHT(H159,2)&amp;" - Gas boiler (Hot Water- condensing) - new 4"</f>
        <v>Industrial heating technology Paper &amp; Pulp SH - Gas boiler (Hot Water- condensing) - new 4</v>
      </c>
      <c r="F159" s="224" t="s">
        <v>1149</v>
      </c>
      <c r="G159" s="173" t="s">
        <v>2080</v>
      </c>
      <c r="H159" s="174" t="str">
        <f>$AI$15</f>
        <v>IRDSH</v>
      </c>
      <c r="I159" s="174" t="str">
        <f t="shared" si="143"/>
        <v>INDRWH</v>
      </c>
      <c r="J159" s="224">
        <f t="shared" si="146"/>
        <v>2011</v>
      </c>
      <c r="K159" s="299">
        <f>J159</f>
        <v>2011</v>
      </c>
      <c r="L159" s="199">
        <f t="shared" ca="1" si="207"/>
        <v>1.01</v>
      </c>
      <c r="M159" s="199"/>
      <c r="N159" s="81">
        <f ca="1">VLOOKUP($AD159,INDIRECT("'"&amp;$B159&amp;"'!"&amp;"$P$279:$AD$282"),5,FALSE)</f>
        <v>25</v>
      </c>
      <c r="O159" s="723">
        <f t="shared" ca="1" si="208"/>
        <v>0.35760000000000003</v>
      </c>
      <c r="P159" s="723">
        <f t="shared" ca="1" si="209"/>
        <v>1.49E-2</v>
      </c>
      <c r="Q159" s="81">
        <f t="shared" ca="1" si="210"/>
        <v>2.276388888888889</v>
      </c>
      <c r="R159" s="81">
        <v>3.1536000000000002E-2</v>
      </c>
      <c r="S159" s="199">
        <v>0.5</v>
      </c>
      <c r="T159" s="199">
        <f ca="1">HLOOKUP($T$2,INDIRECT("'"&amp;$B159&amp;"'!"&amp;"$P$246:$AC$259"),IF(H159=$AI$13,6,IF(H159=$AI$14,9,14)),FALSE)</f>
        <v>0</v>
      </c>
      <c r="U159" s="773"/>
      <c r="V159" s="199">
        <f t="shared" ref="V159" ca="1" si="218">IF(IF(RIGHT(H159,2)="PH",(1-L159)+$W$2,IF(RIGHT(H159,2)="HT",(1-L159)+$W$1,IF(RIGHT(H159,2)="SH",(1-L159)+$W$3,"")))&gt;0,IF(RIGHT(H159,2)="PH",(1-L159)+$W$2,IF(RIGHT(H159,2)="HT",(1-L159)+$W$1,IF(RIGHT(H159,2)="SH",(1-L159)+$W$3,""))),0)</f>
        <v>0</v>
      </c>
      <c r="W159" s="709"/>
      <c r="X159" s="698">
        <f t="shared" ref="X159:X177" ca="1" si="219">IF(VLOOKUP($AD159,INDIRECT("'"&amp;$B159&amp;"'!"&amp;"$P$39:$AD$42"),11,FALSE)="Cf. the utilized electricity",0,VLOOKUP($AD159,INDIRECT("'"&amp;$B159&amp;"'!"&amp;"$P$39:$AD$42"),11,FALSE))</f>
        <v>0.3</v>
      </c>
      <c r="Y159" s="698">
        <f t="shared" ca="1" si="212"/>
        <v>9</v>
      </c>
      <c r="Z159" s="698">
        <f t="shared" ca="1" si="213"/>
        <v>3</v>
      </c>
      <c r="AA159" s="698">
        <f t="shared" ca="1" si="214"/>
        <v>1</v>
      </c>
      <c r="AB159" s="698">
        <f t="shared" ca="1" si="215"/>
        <v>0.1</v>
      </c>
      <c r="AC159" s="296"/>
      <c r="AD159" s="81">
        <v>2020</v>
      </c>
      <c r="AE159" s="81"/>
      <c r="AF159" s="710"/>
    </row>
    <row r="160" spans="1:32">
      <c r="B160" s="718" t="s">
        <v>1010</v>
      </c>
      <c r="C160" s="64"/>
      <c r="E160" s="261"/>
      <c r="F160" s="224" t="s">
        <v>1149</v>
      </c>
      <c r="G160" s="55"/>
      <c r="H160" s="174"/>
      <c r="I160" s="174" t="str">
        <f t="shared" si="143"/>
        <v>INDRWH</v>
      </c>
      <c r="J160" s="224">
        <f t="shared" si="146"/>
        <v>2030</v>
      </c>
      <c r="K160" s="81"/>
      <c r="L160" s="199">
        <f t="shared" ca="1" si="207"/>
        <v>1.03</v>
      </c>
      <c r="M160" s="199"/>
      <c r="N160" s="81"/>
      <c r="O160" s="723">
        <f t="shared" ca="1" si="208"/>
        <v>0.29800000000000004</v>
      </c>
      <c r="P160" s="723">
        <f t="shared" ca="1" si="209"/>
        <v>1.4154999999999999E-2</v>
      </c>
      <c r="Q160" s="81">
        <f t="shared" ca="1" si="210"/>
        <v>2.0694444444444446</v>
      </c>
      <c r="R160" s="300"/>
      <c r="S160" s="300"/>
      <c r="T160" s="300"/>
      <c r="U160" s="300"/>
      <c r="V160" s="199">
        <f t="shared" ref="V160" ca="1" si="220">IF(IF(RIGHT(H159,2)="PH",(1-L160)+$W$2,IF(RIGHT(H159,2)="HT",(1-L160)+$W$1,IF(RIGHT(H159,2)="SH",(1-L160)+$W$3,"")))&gt;0,IF(RIGHT(H159,2)="PH",(1-L160)+$W$2,IF(RIGHT(H159,2)="HT",(1-L160)+$W$1,IF(RIGHT(H159,2)="SH",(1-L160)+$W$3,""))),0)</f>
        <v>0</v>
      </c>
      <c r="W160" s="298"/>
      <c r="X160" s="698">
        <f t="shared" ca="1" si="219"/>
        <v>0.3</v>
      </c>
      <c r="Y160" s="698">
        <f t="shared" ca="1" si="212"/>
        <v>7</v>
      </c>
      <c r="Z160" s="698">
        <f t="shared" ca="1" si="213"/>
        <v>2</v>
      </c>
      <c r="AA160" s="698">
        <f t="shared" ca="1" si="214"/>
        <v>1</v>
      </c>
      <c r="AB160" s="698">
        <f t="shared" ca="1" si="215"/>
        <v>0.1</v>
      </c>
      <c r="AC160" s="55"/>
      <c r="AD160" s="81">
        <v>2030</v>
      </c>
      <c r="AE160" s="81"/>
      <c r="AF160" s="700"/>
    </row>
    <row r="161" spans="1:32">
      <c r="B161" s="719" t="s">
        <v>1010</v>
      </c>
      <c r="C161" s="713"/>
      <c r="D161" s="701"/>
      <c r="E161" s="701"/>
      <c r="F161" s="224" t="s">
        <v>1149</v>
      </c>
      <c r="G161" s="203"/>
      <c r="H161" s="702"/>
      <c r="I161" s="702" t="str">
        <f t="shared" si="143"/>
        <v>INDRWH</v>
      </c>
      <c r="J161" s="224">
        <f t="shared" si="146"/>
        <v>2050</v>
      </c>
      <c r="K161" s="81"/>
      <c r="L161" s="199">
        <f t="shared" ca="1" si="207"/>
        <v>1.03</v>
      </c>
      <c r="M161" s="199"/>
      <c r="N161" s="81"/>
      <c r="O161" s="723">
        <f t="shared" ca="1" si="208"/>
        <v>0.29800000000000004</v>
      </c>
      <c r="P161" s="723">
        <f t="shared" ca="1" si="209"/>
        <v>1.2664999999999999E-2</v>
      </c>
      <c r="Q161" s="81">
        <f t="shared" ca="1" si="210"/>
        <v>2.0694444444444446</v>
      </c>
      <c r="R161" s="300"/>
      <c r="S161" s="300"/>
      <c r="T161" s="300"/>
      <c r="U161" s="300"/>
      <c r="V161" s="199">
        <f t="shared" ref="V161" ca="1" si="221">IF(IF(RIGHT(H159,2)="PH",(1-L161)+$W$2,IF(RIGHT(H159,2)="HT",(1-L161)+$W$1,IF(RIGHT(H159,2)="SH",(1-L161)+$W$3,"")))&gt;0,IF(RIGHT(H159,2)="PH",(1-L161)+$W$2,IF(RIGHT(H159,2)="HT",(1-L161)+$W$1,IF(RIGHT(H159,2)="SH",(1-L161)+$W$3,""))),0)</f>
        <v>0</v>
      </c>
      <c r="W161" s="714"/>
      <c r="X161" s="698">
        <f t="shared" ca="1" si="219"/>
        <v>0.3</v>
      </c>
      <c r="Y161" s="698">
        <f t="shared" ca="1" si="212"/>
        <v>6</v>
      </c>
      <c r="Z161" s="698">
        <f t="shared" ca="1" si="213"/>
        <v>2</v>
      </c>
      <c r="AA161" s="698">
        <f t="shared" ca="1" si="214"/>
        <v>1</v>
      </c>
      <c r="AB161" s="698">
        <f t="shared" ca="1" si="215"/>
        <v>0.1</v>
      </c>
      <c r="AC161" s="55"/>
      <c r="AD161" s="81">
        <v>2050</v>
      </c>
      <c r="AE161" s="81"/>
      <c r="AF161" s="700"/>
    </row>
    <row r="162" spans="1:32">
      <c r="B162" s="718" t="s">
        <v>1010</v>
      </c>
      <c r="C162" s="64"/>
      <c r="D162" s="212" t="str">
        <f>"IND"&amp;RIGHT(H162,4)&amp;"GAS"&amp;"N"&amp;RIGHT(E162,1)</f>
        <v>INDRDPHGASN5</v>
      </c>
      <c r="E162" s="707" t="str">
        <f>"Industrial heating technology "&amp;$AJ$12&amp;" "&amp;RIGHT(H162,2)&amp;" - Gas boiler (Direct firing) - new 5"</f>
        <v>Industrial heating technology Paper &amp; Pulp PH - Gas boiler (Direct firing) - new 5</v>
      </c>
      <c r="F162" s="224" t="s">
        <v>1149</v>
      </c>
      <c r="G162" s="173" t="s">
        <v>2080</v>
      </c>
      <c r="H162" s="174" t="str">
        <f>$AI$13</f>
        <v>IRDPH</v>
      </c>
      <c r="I162" s="174" t="str">
        <f t="shared" si="143"/>
        <v>INDRWH</v>
      </c>
      <c r="J162" s="224">
        <f t="shared" si="146"/>
        <v>2011</v>
      </c>
      <c r="K162" s="299">
        <f>J162</f>
        <v>2011</v>
      </c>
      <c r="L162" s="199">
        <f t="shared" ref="L162:L167" ca="1" si="222">VLOOKUP($AD162,INDIRECT("'"&amp;$B162&amp;"'!"&amp;"$P$345:$AD$348"),3,FALSE)</f>
        <v>1</v>
      </c>
      <c r="M162" s="199"/>
      <c r="N162" s="81">
        <f ca="1">VLOOKUP($AD162,INDIRECT("'"&amp;$B162&amp;"'!"&amp;"$P$345:$AD$348"),5,FALSE)</f>
        <v>15</v>
      </c>
      <c r="O162" s="723">
        <f t="shared" ref="O162:O167" ca="1" si="223">VLOOKUP($AD162,INDIRECT("'"&amp;$B162&amp;"'!"&amp;"$P$345:$AD$348"),6,FALSE)/1000</f>
        <v>0.11175</v>
      </c>
      <c r="P162" s="723">
        <f t="shared" ref="P162:P167" ca="1" si="224">VLOOKUP($AD162,INDIRECT("'"&amp;$B162&amp;"'!"&amp;"$P$345:$AD$348"),7,FALSE)/1000</f>
        <v>1.3545454545454561E-3</v>
      </c>
      <c r="Q162" s="81">
        <f t="shared" ref="Q162:Q167" ca="1" si="225">VLOOKUP($AD162,INDIRECT("'"&amp;$B162&amp;"'!"&amp;"$P$345:$AD$348"),8,FALSE)</f>
        <v>0.58461805555555546</v>
      </c>
      <c r="R162" s="81">
        <v>3.1536000000000002E-2</v>
      </c>
      <c r="S162" s="199">
        <v>0.5</v>
      </c>
      <c r="T162" s="199">
        <f ca="1">HLOOKUP($S$2,INDIRECT("'"&amp;$B162&amp;"'!"&amp;"$P$312:$AC$325"),IF(H162=$AI$13,6,IF(H162=$AI$14,9,14)),FALSE)</f>
        <v>1</v>
      </c>
      <c r="U162" s="773"/>
      <c r="V162" s="199">
        <f t="shared" ref="V162" ca="1" si="226">IF(IF(RIGHT(H162,2)="PH",(1-L162)+$W$2,IF(RIGHT(H162,2)="HT",(1-L162)+$W$1,IF(RIGHT(H162,2)="SH",(1-L162)+$W$3,"")))&gt;0,IF(RIGHT(H162,2)="PH",(1-L162)+$W$2,IF(RIGHT(H162,2)="HT",(1-L162)+$W$1,IF(RIGHT(H162,2)="SH",(1-L162)+$W$3,""))),0)</f>
        <v>0.2</v>
      </c>
      <c r="W162" s="709"/>
      <c r="X162" s="698">
        <f t="shared" ca="1" si="219"/>
        <v>0.3</v>
      </c>
      <c r="Y162" s="698">
        <f t="shared" ref="Y162:Y167" ca="1" si="227">VLOOKUP($AD162,INDIRECT("'"&amp;$B162&amp;"'!"&amp;"$P$345:$AD$348"),12,FALSE)</f>
        <v>9</v>
      </c>
      <c r="Z162" s="698">
        <f t="shared" ref="Z162:Z167" ca="1" si="228">VLOOKUP($AD162,INDIRECT("'"&amp;$B162&amp;"'!"&amp;"$P$345:$AD$348"),13,FALSE)</f>
        <v>3</v>
      </c>
      <c r="AA162" s="698">
        <f t="shared" ref="AA162:AA167" ca="1" si="229">VLOOKUP($AD162,INDIRECT("'"&amp;$B162&amp;"'!"&amp;"$P$345:$AD$348"),14,FALSE)</f>
        <v>1</v>
      </c>
      <c r="AB162" s="698">
        <f t="shared" ref="AB162:AB167" ca="1" si="230">VLOOKUP($AD162,INDIRECT("'"&amp;$B162&amp;"'!"&amp;"$P$345:$AD$348"),15,FALSE)</f>
        <v>0.1</v>
      </c>
      <c r="AC162" s="55"/>
      <c r="AD162" s="81">
        <v>2020</v>
      </c>
      <c r="AE162" s="81"/>
      <c r="AF162" s="700"/>
    </row>
    <row r="163" spans="1:32">
      <c r="B163" s="718" t="s">
        <v>1010</v>
      </c>
      <c r="C163" s="64"/>
      <c r="E163" s="261"/>
      <c r="F163" s="224" t="s">
        <v>1149</v>
      </c>
      <c r="G163" s="55"/>
      <c r="H163" s="174"/>
      <c r="I163" s="174" t="str">
        <f t="shared" si="143"/>
        <v>INDRWH</v>
      </c>
      <c r="J163" s="224">
        <f t="shared" si="146"/>
        <v>2030</v>
      </c>
      <c r="K163" s="81"/>
      <c r="L163" s="199">
        <f t="shared" ca="1" si="222"/>
        <v>1</v>
      </c>
      <c r="M163" s="199"/>
      <c r="N163" s="81"/>
      <c r="O163" s="723">
        <f t="shared" ca="1" si="223"/>
        <v>0.11175</v>
      </c>
      <c r="P163" s="723">
        <f t="shared" ca="1" si="224"/>
        <v>1.3206818181818161E-3</v>
      </c>
      <c r="Q163" s="81">
        <f t="shared" ca="1" si="225"/>
        <v>0.5742708333333334</v>
      </c>
      <c r="R163" s="300"/>
      <c r="S163" s="300"/>
      <c r="T163" s="300"/>
      <c r="U163" s="300"/>
      <c r="V163" s="199">
        <f t="shared" ref="V163" ca="1" si="231">IF(IF(RIGHT(H162,2)="PH",(1-L163)+$W$2,IF(RIGHT(H162,2)="HT",(1-L163)+$W$1,IF(RIGHT(H162,2)="SH",(1-L163)+$W$3,"")))&gt;0,IF(RIGHT(H162,2)="PH",(1-L163)+$W$2,IF(RIGHT(H162,2)="HT",(1-L163)+$W$1,IF(RIGHT(H162,2)="SH",(1-L163)+$W$3,""))),0)</f>
        <v>0.2</v>
      </c>
      <c r="W163" s="298"/>
      <c r="X163" s="698">
        <f t="shared" ca="1" si="219"/>
        <v>0.3</v>
      </c>
      <c r="Y163" s="698">
        <f t="shared" ca="1" si="227"/>
        <v>7</v>
      </c>
      <c r="Z163" s="698">
        <f t="shared" ca="1" si="228"/>
        <v>2</v>
      </c>
      <c r="AA163" s="698">
        <f t="shared" ca="1" si="229"/>
        <v>1</v>
      </c>
      <c r="AB163" s="698">
        <f t="shared" ca="1" si="230"/>
        <v>0.1</v>
      </c>
      <c r="AC163" s="55"/>
      <c r="AD163" s="81">
        <v>2030</v>
      </c>
      <c r="AE163" s="81"/>
      <c r="AF163" s="700"/>
    </row>
    <row r="164" spans="1:32">
      <c r="B164" s="718" t="s">
        <v>1010</v>
      </c>
      <c r="C164" s="64"/>
      <c r="E164" s="261"/>
      <c r="F164" s="224" t="s">
        <v>1149</v>
      </c>
      <c r="G164" s="55"/>
      <c r="H164" s="174"/>
      <c r="I164" s="174" t="str">
        <f t="shared" si="143"/>
        <v>INDRWH</v>
      </c>
      <c r="J164" s="224">
        <f t="shared" si="146"/>
        <v>2050</v>
      </c>
      <c r="K164" s="81"/>
      <c r="L164" s="199">
        <f t="shared" ca="1" si="222"/>
        <v>1</v>
      </c>
      <c r="M164" s="199"/>
      <c r="N164" s="81"/>
      <c r="O164" s="723">
        <f t="shared" ca="1" si="223"/>
        <v>0.11175</v>
      </c>
      <c r="P164" s="723">
        <f t="shared" ca="1" si="224"/>
        <v>1.1513636363636396E-3</v>
      </c>
      <c r="Q164" s="81">
        <f t="shared" ca="1" si="225"/>
        <v>0.57944444444444443</v>
      </c>
      <c r="R164" s="300"/>
      <c r="S164" s="300"/>
      <c r="T164" s="300"/>
      <c r="U164" s="300"/>
      <c r="V164" s="199">
        <f t="shared" ref="V164" ca="1" si="232">IF(IF(RIGHT(H162,2)="PH",(1-L164)+$W$2,IF(RIGHT(H162,2)="HT",(1-L164)+$W$1,IF(RIGHT(H162,2)="SH",(1-L164)+$W$3,"")))&gt;0,IF(RIGHT(H162,2)="PH",(1-L164)+$W$2,IF(RIGHT(H162,2)="HT",(1-L164)+$W$1,IF(RIGHT(H162,2)="SH",(1-L164)+$W$3,""))),0)</f>
        <v>0.2</v>
      </c>
      <c r="W164" s="298"/>
      <c r="X164" s="698">
        <f t="shared" ca="1" si="219"/>
        <v>0.3</v>
      </c>
      <c r="Y164" s="698">
        <f t="shared" ca="1" si="227"/>
        <v>6</v>
      </c>
      <c r="Z164" s="698">
        <f t="shared" ca="1" si="228"/>
        <v>2</v>
      </c>
      <c r="AA164" s="698">
        <f t="shared" ca="1" si="229"/>
        <v>1</v>
      </c>
      <c r="AB164" s="698">
        <f t="shared" ca="1" si="230"/>
        <v>0.1</v>
      </c>
      <c r="AC164" s="203"/>
      <c r="AD164" s="81">
        <v>2050</v>
      </c>
      <c r="AE164" s="81"/>
      <c r="AF164" s="700"/>
    </row>
    <row r="165" spans="1:32">
      <c r="B165" s="718" t="s">
        <v>1010</v>
      </c>
      <c r="C165" s="64"/>
      <c r="D165" s="212" t="str">
        <f>"IND"&amp;RIGHT(H165,4)&amp;"GAS"&amp;"N"&amp;RIGHT(E165,1)</f>
        <v>INDRDPHGASN5</v>
      </c>
      <c r="E165" s="261" t="str">
        <f>"Industrial heating technology "&amp;$AJ$12&amp;" "&amp;RIGHT(H165,2)&amp;" - Gas boiler (Direct firing) - new 5"</f>
        <v>Industrial heating technology Paper &amp; Pulp PH - Gas boiler (Direct firing) - new 5</v>
      </c>
      <c r="F165" s="224" t="s">
        <v>1149</v>
      </c>
      <c r="G165" s="173" t="s">
        <v>2080</v>
      </c>
      <c r="H165" s="174" t="str">
        <f>$AI$14</f>
        <v>IRDPH</v>
      </c>
      <c r="I165" s="721" t="str">
        <f t="shared" si="143"/>
        <v>INDRWH</v>
      </c>
      <c r="J165" s="224">
        <f t="shared" si="146"/>
        <v>2011</v>
      </c>
      <c r="K165" s="299">
        <f>J165</f>
        <v>2011</v>
      </c>
      <c r="L165" s="199">
        <f t="shared" ca="1" si="222"/>
        <v>1</v>
      </c>
      <c r="M165" s="199"/>
      <c r="N165" s="81">
        <f ca="1">VLOOKUP($AD165,INDIRECT("'"&amp;$B165&amp;"'!"&amp;"$P$279:$AD$282"),5,FALSE)</f>
        <v>25</v>
      </c>
      <c r="O165" s="723">
        <f t="shared" ca="1" si="223"/>
        <v>0.11175</v>
      </c>
      <c r="P165" s="723">
        <f t="shared" ca="1" si="224"/>
        <v>1.3545454545454561E-3</v>
      </c>
      <c r="Q165" s="81">
        <f t="shared" ca="1" si="225"/>
        <v>0.58461805555555546</v>
      </c>
      <c r="R165" s="81">
        <v>3.1536000000000002E-2</v>
      </c>
      <c r="S165" s="199">
        <v>0.5</v>
      </c>
      <c r="T165" s="199">
        <f ca="1">HLOOKUP($S$2,INDIRECT("'"&amp;$B165&amp;"'!"&amp;"$P$312:$AC$325"),IF(H165=$AI$13,6,IF(H165=$AI$14,9,14)),FALSE)</f>
        <v>1</v>
      </c>
      <c r="U165" s="773"/>
      <c r="V165" s="199">
        <f t="shared" ref="V165" ca="1" si="233">IF(IF(RIGHT(H165,2)="PH",(1-L165)+$W$2,IF(RIGHT(H165,2)="HT",(1-L165)+$W$1,IF(RIGHT(H165,2)="SH",(1-L165)+$W$3,"")))&gt;0,IF(RIGHT(H165,2)="PH",(1-L165)+$W$2,IF(RIGHT(H165,2)="HT",(1-L165)+$W$1,IF(RIGHT(H165,2)="SH",(1-L165)+$W$3,""))),0)</f>
        <v>0.2</v>
      </c>
      <c r="W165" s="709"/>
      <c r="X165" s="698">
        <f t="shared" ca="1" si="219"/>
        <v>0.3</v>
      </c>
      <c r="Y165" s="698">
        <f t="shared" ca="1" si="227"/>
        <v>9</v>
      </c>
      <c r="Z165" s="698">
        <f t="shared" ca="1" si="228"/>
        <v>3</v>
      </c>
      <c r="AA165" s="698">
        <f t="shared" ca="1" si="229"/>
        <v>1</v>
      </c>
      <c r="AB165" s="698">
        <f t="shared" ca="1" si="230"/>
        <v>0.1</v>
      </c>
      <c r="AD165" s="277">
        <v>2020</v>
      </c>
      <c r="AE165" s="273"/>
      <c r="AF165" s="830"/>
    </row>
    <row r="166" spans="1:32">
      <c r="B166" s="718" t="s">
        <v>1010</v>
      </c>
      <c r="C166" s="64"/>
      <c r="E166" s="261"/>
      <c r="F166" s="224" t="s">
        <v>1149</v>
      </c>
      <c r="G166" s="55"/>
      <c r="H166" s="174"/>
      <c r="I166" s="174" t="str">
        <f t="shared" si="143"/>
        <v>INDRWH</v>
      </c>
      <c r="J166" s="224">
        <f t="shared" si="146"/>
        <v>2030</v>
      </c>
      <c r="K166" s="81"/>
      <c r="L166" s="199">
        <f t="shared" ca="1" si="222"/>
        <v>1</v>
      </c>
      <c r="M166" s="199"/>
      <c r="N166" s="81"/>
      <c r="O166" s="723">
        <f t="shared" ca="1" si="223"/>
        <v>0.11175</v>
      </c>
      <c r="P166" s="723">
        <f t="shared" ca="1" si="224"/>
        <v>1.3206818181818161E-3</v>
      </c>
      <c r="Q166" s="81">
        <f t="shared" ca="1" si="225"/>
        <v>0.5742708333333334</v>
      </c>
      <c r="R166" s="300"/>
      <c r="S166" s="300"/>
      <c r="T166" s="300"/>
      <c r="U166" s="300"/>
      <c r="V166" s="199">
        <f t="shared" ref="V166" ca="1" si="234">IF(IF(RIGHT(H165,2)="PH",(1-L166)+$W$2,IF(RIGHT(H165,2)="HT",(1-L166)+$W$1,IF(RIGHT(H165,2)="SH",(1-L166)+$W$3,"")))&gt;0,IF(RIGHT(H165,2)="PH",(1-L166)+$W$2,IF(RIGHT(H165,2)="HT",(1-L166)+$W$1,IF(RIGHT(H165,2)="SH",(1-L166)+$W$3,""))),0)</f>
        <v>0.2</v>
      </c>
      <c r="W166" s="298"/>
      <c r="X166" s="698">
        <f t="shared" ca="1" si="219"/>
        <v>0.3</v>
      </c>
      <c r="Y166" s="698">
        <f t="shared" ca="1" si="227"/>
        <v>7</v>
      </c>
      <c r="Z166" s="698">
        <f t="shared" ca="1" si="228"/>
        <v>2</v>
      </c>
      <c r="AA166" s="698">
        <f t="shared" ca="1" si="229"/>
        <v>1</v>
      </c>
      <c r="AB166" s="698">
        <f t="shared" ca="1" si="230"/>
        <v>0.1</v>
      </c>
      <c r="AD166" s="81">
        <v>2030</v>
      </c>
      <c r="AE166" s="273"/>
      <c r="AF166" s="828"/>
    </row>
    <row r="167" spans="1:32">
      <c r="A167" s="169"/>
      <c r="B167" s="719" t="s">
        <v>1010</v>
      </c>
      <c r="C167" s="713"/>
      <c r="D167" s="701"/>
      <c r="E167" s="701"/>
      <c r="F167" s="224" t="s">
        <v>1149</v>
      </c>
      <c r="G167" s="203"/>
      <c r="H167" s="702"/>
      <c r="I167" s="702" t="str">
        <f t="shared" si="143"/>
        <v>INDRWH</v>
      </c>
      <c r="J167" s="224">
        <f t="shared" si="146"/>
        <v>2050</v>
      </c>
      <c r="K167" s="81"/>
      <c r="L167" s="199">
        <f t="shared" ca="1" si="222"/>
        <v>1</v>
      </c>
      <c r="M167" s="199"/>
      <c r="N167" s="81"/>
      <c r="O167" s="723">
        <f t="shared" ca="1" si="223"/>
        <v>0.11175</v>
      </c>
      <c r="P167" s="723">
        <f t="shared" ca="1" si="224"/>
        <v>1.1513636363636396E-3</v>
      </c>
      <c r="Q167" s="81">
        <f t="shared" ca="1" si="225"/>
        <v>0.57944444444444443</v>
      </c>
      <c r="R167" s="722"/>
      <c r="S167" s="703"/>
      <c r="T167" s="703"/>
      <c r="U167" s="703"/>
      <c r="V167" s="199">
        <f t="shared" ref="V167" ca="1" si="235">IF(IF(RIGHT(H165,2)="PH",(1-L167)+$W$2,IF(RIGHT(H165,2)="HT",(1-L167)+$W$1,IF(RIGHT(H165,2)="SH",(1-L167)+$W$3,"")))&gt;0,IF(RIGHT(H165,2)="PH",(1-L167)+$W$2,IF(RIGHT(H165,2)="HT",(1-L167)+$W$1,IF(RIGHT(H165,2)="SH",(1-L167)+$W$3,""))),0)</f>
        <v>0.2</v>
      </c>
      <c r="W167" s="714"/>
      <c r="X167" s="698">
        <f t="shared" ca="1" si="219"/>
        <v>0.3</v>
      </c>
      <c r="Y167" s="698">
        <f t="shared" ca="1" si="227"/>
        <v>6</v>
      </c>
      <c r="Z167" s="698">
        <f t="shared" ca="1" si="228"/>
        <v>2</v>
      </c>
      <c r="AA167" s="698">
        <f t="shared" ca="1" si="229"/>
        <v>1</v>
      </c>
      <c r="AB167" s="698">
        <f t="shared" ca="1" si="230"/>
        <v>0.1</v>
      </c>
      <c r="AD167" s="81">
        <v>2050</v>
      </c>
      <c r="AE167" s="273"/>
      <c r="AF167" s="828"/>
    </row>
    <row r="168" spans="1:32">
      <c r="A168" s="169"/>
      <c r="B168" s="718" t="s">
        <v>1099</v>
      </c>
      <c r="C168" s="226"/>
      <c r="D168" s="707" t="str">
        <f>"IND"&amp;RIGHT(H168,4)&amp;RIGHT(G168,3)&amp;"N"&amp;RIGHT(E168,1)</f>
        <v>INDRDPHCOAN1</v>
      </c>
      <c r="E168" s="261" t="str">
        <f>"Industrial heating technology "&amp;$AJ$12&amp;" "&amp;RIGHT(H168,2)&amp;" - Coal boiler (Steam) - new 1"</f>
        <v>Industrial heating technology Paper &amp; Pulp PH - Coal boiler (Steam) - new 1</v>
      </c>
      <c r="F168" s="224" t="s">
        <v>1149</v>
      </c>
      <c r="G168" s="55" t="s">
        <v>617</v>
      </c>
      <c r="H168" s="174" t="str">
        <f>$AI$13</f>
        <v>IRDPH</v>
      </c>
      <c r="I168" s="174" t="str">
        <f t="shared" si="143"/>
        <v>INDRWH</v>
      </c>
      <c r="J168" s="224">
        <f t="shared" si="146"/>
        <v>2011</v>
      </c>
      <c r="K168" s="299">
        <v>2025</v>
      </c>
      <c r="L168" s="199">
        <f t="shared" ref="L168:L176" ca="1" si="236">VLOOKUP($AD168,INDIRECT("'"&amp;$B168&amp;"'!"&amp;"$P$39:$AD$42"),3,FALSE)</f>
        <v>0.89</v>
      </c>
      <c r="M168" s="699"/>
      <c r="N168" s="299">
        <f ca="1">VLOOKUP($AD168,INDIRECT("'"&amp;$B168&amp;"'!"&amp;"$P$39:$AD$42"),5,FALSE)</f>
        <v>25</v>
      </c>
      <c r="O168" s="725">
        <f t="shared" ref="O168:O176" ca="1" si="237">VLOOKUP($AD168,INDIRECT("'"&amp;$B168&amp;"'!"&amp;"$P$39:$AD$42"),6,FALSE)/1000</f>
        <v>3.7250000000000001</v>
      </c>
      <c r="P168" s="725">
        <f t="shared" ref="P168:P176" ca="1" si="238">VLOOKUP($AD168,INDIRECT("'"&amp;$B168&amp;"'!"&amp;"$P$39:$AD$42"),7,FALSE)/1000</f>
        <v>0.25106499999999998</v>
      </c>
      <c r="Q168" s="299">
        <f t="shared" ref="Q168:Q176" ca="1" si="239">VLOOKUP($AD168,INDIRECT("'"&amp;$B168&amp;"'!"&amp;"$P$39:$AD$42"),8,FALSE)</f>
        <v>3.9381527777777778</v>
      </c>
      <c r="R168" s="299">
        <v>3.1536000000000002E-2</v>
      </c>
      <c r="S168" s="699">
        <v>0.5</v>
      </c>
      <c r="T168" s="699">
        <f ca="1">HLOOKUP($T$2,INDIRECT("'"&amp;$B168&amp;"'!"&amp;"$P$6:$AC$19"),IF(H168=$AI$13,6,IF(H168=$AI$14,9,14)),FALSE)</f>
        <v>1</v>
      </c>
      <c r="U168" s="772"/>
      <c r="V168" s="199">
        <f t="shared" ref="V168" ca="1" si="240">IF(IF(RIGHT(H168,2)="PH",(1-L168)+$W$2,IF(RIGHT(H168,2)="HT",(1-L168)+$W$1,IF(RIGHT(H168,2)="SH",(1-L168)+$W$3,"")))&gt;0,IF(RIGHT(H168,2)="PH",(1-L168)+$W$2,IF(RIGHT(H168,2)="HT",(1-L168)+$W$1,IF(RIGHT(H168,2)="SH",(1-L168)+$W$3,""))),0)</f>
        <v>0.31</v>
      </c>
      <c r="W168" s="298"/>
      <c r="X168" s="698">
        <f t="shared" ca="1" si="219"/>
        <v>8</v>
      </c>
      <c r="Y168" s="299">
        <f t="shared" ref="Y168:Y176" ca="1" si="241">VLOOKUP($AD168,INDIRECT("'"&amp;$B168&amp;"'!"&amp;"$P$39:$AD$42"),12,FALSE)</f>
        <v>35</v>
      </c>
      <c r="Z168" s="299">
        <f t="shared" ref="Z168:Z176" ca="1" si="242">VLOOKUP($AD168,INDIRECT("'"&amp;$B168&amp;"'!"&amp;"$P$39:$AD$42"),13,FALSE)</f>
        <v>1.5</v>
      </c>
      <c r="AA168" s="299">
        <f t="shared" ref="AA168:AA176" ca="1" si="243">VLOOKUP($AD168,INDIRECT("'"&amp;$B168&amp;"'!"&amp;"$P$39:$AD$42"),14,FALSE)</f>
        <v>0.8</v>
      </c>
      <c r="AB168" s="299">
        <f t="shared" ref="AB168:AB176" ca="1" si="244">VLOOKUP($AD168,INDIRECT("'"&amp;$B168&amp;"'!"&amp;"$P$39:$AD$42"),15,FALSE)</f>
        <v>2.1</v>
      </c>
      <c r="AD168" s="81">
        <v>2020</v>
      </c>
      <c r="AE168" s="273"/>
      <c r="AF168" s="828"/>
    </row>
    <row r="169" spans="1:32">
      <c r="A169" s="169"/>
      <c r="B169" s="718" t="s">
        <v>1099</v>
      </c>
      <c r="C169" s="226"/>
      <c r="D169" s="261"/>
      <c r="E169" s="261"/>
      <c r="F169" s="224" t="s">
        <v>1149</v>
      </c>
      <c r="G169" s="55"/>
      <c r="H169" s="174"/>
      <c r="I169" s="174" t="str">
        <f t="shared" si="143"/>
        <v>INDRWH</v>
      </c>
      <c r="J169" s="224">
        <f t="shared" si="146"/>
        <v>2030</v>
      </c>
      <c r="K169" s="81"/>
      <c r="L169" s="199">
        <f t="shared" ca="1" si="236"/>
        <v>0.89</v>
      </c>
      <c r="M169" s="772"/>
      <c r="N169" s="200"/>
      <c r="O169" s="725">
        <f t="shared" ca="1" si="237"/>
        <v>3.4699403462447704</v>
      </c>
      <c r="P169" s="725">
        <f t="shared" ca="1" si="238"/>
        <v>0.24287</v>
      </c>
      <c r="Q169" s="299">
        <f t="shared" ca="1" si="239"/>
        <v>3.9836805555555559</v>
      </c>
      <c r="R169" s="823"/>
      <c r="S169" s="300"/>
      <c r="T169" s="300"/>
      <c r="U169" s="300"/>
      <c r="V169" s="199">
        <f t="shared" ref="V169" ca="1" si="245">IF(IF(RIGHT(H168,2)="PH",(1-L169)+$W$2,IF(RIGHT(H168,2)="HT",(1-L169)+$W$1,IF(RIGHT(H168,2)="SH",(1-L169)+$W$3,"")))&gt;0,IF(RIGHT(H168,2)="PH",(1-L169)+$W$2,IF(RIGHT(H168,2)="HT",(1-L169)+$W$1,IF(RIGHT(H168,2)="SH",(1-L169)+$W$3,""))),0)</f>
        <v>0.31</v>
      </c>
      <c r="W169" s="298"/>
      <c r="X169" s="698">
        <f t="shared" ca="1" si="219"/>
        <v>8</v>
      </c>
      <c r="Y169" s="299">
        <f t="shared" ca="1" si="241"/>
        <v>35</v>
      </c>
      <c r="Z169" s="299">
        <f t="shared" ca="1" si="242"/>
        <v>1.5</v>
      </c>
      <c r="AA169" s="299">
        <f t="shared" ca="1" si="243"/>
        <v>0.8</v>
      </c>
      <c r="AB169" s="299">
        <f t="shared" ca="1" si="244"/>
        <v>2.1</v>
      </c>
      <c r="AD169" s="81">
        <v>2030</v>
      </c>
      <c r="AE169" s="273"/>
      <c r="AF169" s="828"/>
    </row>
    <row r="170" spans="1:32">
      <c r="A170" s="169"/>
      <c r="B170" s="718" t="s">
        <v>1099</v>
      </c>
      <c r="C170" s="226"/>
      <c r="D170" s="261"/>
      <c r="E170" s="261"/>
      <c r="F170" s="224" t="s">
        <v>1149</v>
      </c>
      <c r="G170" s="55"/>
      <c r="H170" s="174"/>
      <c r="I170" s="174" t="str">
        <f t="shared" si="143"/>
        <v>INDRWH</v>
      </c>
      <c r="J170" s="224">
        <f t="shared" si="146"/>
        <v>2050</v>
      </c>
      <c r="K170" s="81"/>
      <c r="L170" s="199">
        <f t="shared" ca="1" si="236"/>
        <v>0.91</v>
      </c>
      <c r="M170" s="772"/>
      <c r="N170" s="200"/>
      <c r="O170" s="725">
        <f t="shared" ca="1" si="237"/>
        <v>3.2813985758696647</v>
      </c>
      <c r="P170" s="725">
        <f t="shared" ca="1" si="238"/>
        <v>0.22797000000000001</v>
      </c>
      <c r="Q170" s="299">
        <f t="shared" ca="1" si="239"/>
        <v>4.0064444444444449</v>
      </c>
      <c r="R170" s="823"/>
      <c r="S170" s="300"/>
      <c r="T170" s="300"/>
      <c r="U170" s="300"/>
      <c r="V170" s="199">
        <f t="shared" ref="V170" ca="1" si="246">IF(IF(RIGHT(H168,2)="PH",(1-L170)+$W$2,IF(RIGHT(H168,2)="HT",(1-L170)+$W$1,IF(RIGHT(H168,2)="SH",(1-L170)+$W$3,"")))&gt;0,IF(RIGHT(H168,2)="PH",(1-L170)+$W$2,IF(RIGHT(H168,2)="HT",(1-L170)+$W$1,IF(RIGHT(H168,2)="SH",(1-L170)+$W$3,""))),0)</f>
        <v>0.28999999999999998</v>
      </c>
      <c r="W170" s="298"/>
      <c r="X170" s="698">
        <f t="shared" ca="1" si="219"/>
        <v>8</v>
      </c>
      <c r="Y170" s="299">
        <f t="shared" ca="1" si="241"/>
        <v>35</v>
      </c>
      <c r="Z170" s="299">
        <f t="shared" ca="1" si="242"/>
        <v>1.5</v>
      </c>
      <c r="AA170" s="299">
        <f t="shared" ca="1" si="243"/>
        <v>0.8</v>
      </c>
      <c r="AB170" s="299">
        <f t="shared" ca="1" si="244"/>
        <v>2.1</v>
      </c>
      <c r="AD170" s="81">
        <v>2050</v>
      </c>
      <c r="AE170" s="273"/>
      <c r="AF170" s="828"/>
    </row>
    <row r="171" spans="1:32">
      <c r="A171" s="169"/>
      <c r="B171" s="718" t="s">
        <v>1099</v>
      </c>
      <c r="C171" s="226"/>
      <c r="D171" s="261" t="str">
        <f>"IND"&amp;RIGHT(H171,4)&amp;RIGHT(G171,3)&amp;"N"&amp;RIGHT(E171,1)</f>
        <v>INDRDPHCOAN1</v>
      </c>
      <c r="E171" s="261" t="str">
        <f>"Industrial heating technology "&amp;$AJ$12&amp;" "&amp;RIGHT(H171,2)&amp;" - Coal boiler (Steam) - new 1"</f>
        <v>Industrial heating technology Paper &amp; Pulp PH - Coal boiler (Steam) - new 1</v>
      </c>
      <c r="F171" s="224" t="s">
        <v>1149</v>
      </c>
      <c r="G171" s="55" t="s">
        <v>617</v>
      </c>
      <c r="H171" s="174" t="str">
        <f>$AI$14</f>
        <v>IRDPH</v>
      </c>
      <c r="I171" s="174" t="str">
        <f t="shared" si="143"/>
        <v>INDRWH</v>
      </c>
      <c r="J171" s="224">
        <f t="shared" si="146"/>
        <v>2011</v>
      </c>
      <c r="K171" s="299">
        <v>2025</v>
      </c>
      <c r="L171" s="199">
        <f t="shared" ca="1" si="236"/>
        <v>0.89</v>
      </c>
      <c r="M171" s="199"/>
      <c r="N171" s="81">
        <f ca="1">VLOOKUP($AD171,INDIRECT("'"&amp;$B171&amp;"'!"&amp;"$P$39:$AD$42"),5,FALSE)</f>
        <v>25</v>
      </c>
      <c r="O171" s="725">
        <f t="shared" ca="1" si="237"/>
        <v>3.7250000000000001</v>
      </c>
      <c r="P171" s="725">
        <f t="shared" ca="1" si="238"/>
        <v>0.25106499999999998</v>
      </c>
      <c r="Q171" s="299">
        <f t="shared" ca="1" si="239"/>
        <v>3.9381527777777778</v>
      </c>
      <c r="R171" s="81">
        <v>3.1536000000000002E-2</v>
      </c>
      <c r="S171" s="199">
        <v>0.5</v>
      </c>
      <c r="T171" s="199">
        <f ca="1">HLOOKUP($T$2,INDIRECT("'"&amp;$B171&amp;"'!"&amp;"$P$6:$AC$19"),IF(H171=$AI$13,6,IF(H171=$AI$14,9,14)),FALSE)</f>
        <v>1</v>
      </c>
      <c r="U171" s="772"/>
      <c r="V171" s="199">
        <f t="shared" ref="V171" ca="1" si="247">IF(IF(RIGHT(H171,2)="PH",(1-L171)+$W$2,IF(RIGHT(H171,2)="HT",(1-L171)+$W$1,IF(RIGHT(H171,2)="SH",(1-L171)+$W$3,"")))&gt;0,IF(RIGHT(H171,2)="PH",(1-L171)+$W$2,IF(RIGHT(H171,2)="HT",(1-L171)+$W$1,IF(RIGHT(H171,2)="SH",(1-L171)+$W$3,""))),0)</f>
        <v>0.31</v>
      </c>
      <c r="W171" s="298"/>
      <c r="X171" s="698">
        <f t="shared" ca="1" si="219"/>
        <v>8</v>
      </c>
      <c r="Y171" s="299">
        <f t="shared" ca="1" si="241"/>
        <v>35</v>
      </c>
      <c r="Z171" s="299">
        <f t="shared" ca="1" si="242"/>
        <v>1.5</v>
      </c>
      <c r="AA171" s="299">
        <f t="shared" ca="1" si="243"/>
        <v>0.8</v>
      </c>
      <c r="AB171" s="299">
        <f t="shared" ca="1" si="244"/>
        <v>2.1</v>
      </c>
      <c r="AD171" s="81">
        <v>2020</v>
      </c>
      <c r="AE171" s="273"/>
      <c r="AF171" s="828"/>
    </row>
    <row r="172" spans="1:32">
      <c r="A172" s="169"/>
      <c r="B172" s="718" t="s">
        <v>1099</v>
      </c>
      <c r="C172" s="226"/>
      <c r="D172" s="261"/>
      <c r="E172" s="261"/>
      <c r="F172" s="224" t="s">
        <v>1149</v>
      </c>
      <c r="G172" s="55"/>
      <c r="H172" s="174"/>
      <c r="I172" s="174" t="str">
        <f t="shared" si="143"/>
        <v>INDRWH</v>
      </c>
      <c r="J172" s="224">
        <f t="shared" si="146"/>
        <v>2030</v>
      </c>
      <c r="K172" s="81"/>
      <c r="L172" s="199">
        <f t="shared" ca="1" si="236"/>
        <v>0.89</v>
      </c>
      <c r="M172" s="772"/>
      <c r="N172" s="200"/>
      <c r="O172" s="725">
        <f t="shared" ca="1" si="237"/>
        <v>3.4699403462447704</v>
      </c>
      <c r="P172" s="725">
        <f t="shared" ca="1" si="238"/>
        <v>0.24287</v>
      </c>
      <c r="Q172" s="299">
        <f t="shared" ca="1" si="239"/>
        <v>3.9836805555555559</v>
      </c>
      <c r="R172" s="823"/>
      <c r="S172" s="300"/>
      <c r="T172" s="300"/>
      <c r="U172" s="300"/>
      <c r="V172" s="199">
        <f t="shared" ref="V172" ca="1" si="248">IF(IF(RIGHT(H171,2)="PH",(1-L172)+$W$2,IF(RIGHT(H171,2)="HT",(1-L172)+$W$1,IF(RIGHT(H171,2)="SH",(1-L172)+$W$3,"")))&gt;0,IF(RIGHT(H171,2)="PH",(1-L172)+$W$2,IF(RIGHT(H171,2)="HT",(1-L172)+$W$1,IF(RIGHT(H171,2)="SH",(1-L172)+$W$3,""))),0)</f>
        <v>0.31</v>
      </c>
      <c r="W172" s="298"/>
      <c r="X172" s="698">
        <f t="shared" ca="1" si="219"/>
        <v>8</v>
      </c>
      <c r="Y172" s="299">
        <f t="shared" ca="1" si="241"/>
        <v>35</v>
      </c>
      <c r="Z172" s="299">
        <f t="shared" ca="1" si="242"/>
        <v>1.5</v>
      </c>
      <c r="AA172" s="299">
        <f t="shared" ca="1" si="243"/>
        <v>0.8</v>
      </c>
      <c r="AB172" s="299">
        <f t="shared" ca="1" si="244"/>
        <v>2.1</v>
      </c>
      <c r="AD172" s="81">
        <v>2030</v>
      </c>
      <c r="AE172" s="273"/>
      <c r="AF172" s="828"/>
    </row>
    <row r="173" spans="1:32">
      <c r="A173" s="169"/>
      <c r="B173" s="718" t="s">
        <v>1099</v>
      </c>
      <c r="C173" s="226"/>
      <c r="D173" s="261"/>
      <c r="E173" s="261"/>
      <c r="F173" s="224" t="s">
        <v>1149</v>
      </c>
      <c r="G173" s="55"/>
      <c r="H173" s="174"/>
      <c r="I173" s="174" t="str">
        <f t="shared" si="143"/>
        <v>INDRWH</v>
      </c>
      <c r="J173" s="224">
        <f t="shared" si="146"/>
        <v>2050</v>
      </c>
      <c r="K173" s="81"/>
      <c r="L173" s="199">
        <f t="shared" ca="1" si="236"/>
        <v>0.91</v>
      </c>
      <c r="M173" s="772"/>
      <c r="N173" s="200"/>
      <c r="O173" s="725">
        <f t="shared" ca="1" si="237"/>
        <v>3.2813985758696647</v>
      </c>
      <c r="P173" s="725">
        <f t="shared" ca="1" si="238"/>
        <v>0.22797000000000001</v>
      </c>
      <c r="Q173" s="299">
        <f t="shared" ca="1" si="239"/>
        <v>4.0064444444444449</v>
      </c>
      <c r="R173" s="823"/>
      <c r="S173" s="300"/>
      <c r="T173" s="300"/>
      <c r="U173" s="300"/>
      <c r="V173" s="199">
        <f t="shared" ref="V173" ca="1" si="249">IF(IF(RIGHT(H171,2)="PH",(1-L173)+$W$2,IF(RIGHT(H171,2)="HT",(1-L173)+$W$1,IF(RIGHT(H171,2)="SH",(1-L173)+$W$3,"")))&gt;0,IF(RIGHT(H171,2)="PH",(1-L173)+$W$2,IF(RIGHT(H171,2)="HT",(1-L173)+$W$1,IF(RIGHT(H171,2)="SH",(1-L173)+$W$3,""))),0)</f>
        <v>0.28999999999999998</v>
      </c>
      <c r="W173" s="298"/>
      <c r="X173" s="698">
        <f t="shared" ca="1" si="219"/>
        <v>8</v>
      </c>
      <c r="Y173" s="299">
        <f t="shared" ca="1" si="241"/>
        <v>35</v>
      </c>
      <c r="Z173" s="299">
        <f t="shared" ca="1" si="242"/>
        <v>1.5</v>
      </c>
      <c r="AA173" s="299">
        <f t="shared" ca="1" si="243"/>
        <v>0.8</v>
      </c>
      <c r="AB173" s="299">
        <f t="shared" ca="1" si="244"/>
        <v>2.1</v>
      </c>
      <c r="AD173" s="81">
        <v>2050</v>
      </c>
      <c r="AE173" s="273"/>
      <c r="AF173" s="828"/>
    </row>
    <row r="174" spans="1:32">
      <c r="A174" s="169"/>
      <c r="B174" s="718" t="s">
        <v>1099</v>
      </c>
      <c r="C174" s="226"/>
      <c r="D174" s="261" t="str">
        <f>"IND"&amp;RIGHT(H174,4)&amp;RIGHT(G174,3)&amp;"N"&amp;RIGHT(E174,1)</f>
        <v>INDRDSHCOAN1</v>
      </c>
      <c r="E174" s="261" t="str">
        <f>"Industrial heating technology "&amp;$AJ$12&amp;" "&amp;RIGHT(H174,2)&amp;" - Coal boiler (Steam) - new 1"</f>
        <v>Industrial heating technology Paper &amp; Pulp SH - Coal boiler (Steam) - new 1</v>
      </c>
      <c r="F174" s="224" t="s">
        <v>1149</v>
      </c>
      <c r="G174" s="55" t="s">
        <v>617</v>
      </c>
      <c r="H174" s="174" t="str">
        <f>$AI$15</f>
        <v>IRDSH</v>
      </c>
      <c r="I174" s="174" t="str">
        <f t="shared" si="143"/>
        <v>INDRWH</v>
      </c>
      <c r="J174" s="224">
        <f t="shared" si="146"/>
        <v>2011</v>
      </c>
      <c r="K174" s="299">
        <v>2025</v>
      </c>
      <c r="L174" s="199">
        <f t="shared" ca="1" si="236"/>
        <v>0.89</v>
      </c>
      <c r="M174" s="199"/>
      <c r="N174" s="81">
        <f ca="1">VLOOKUP($AD174,INDIRECT("'"&amp;$B174&amp;"'!"&amp;"$P$39:$AD$42"),5,FALSE)</f>
        <v>25</v>
      </c>
      <c r="O174" s="725">
        <f t="shared" ca="1" si="237"/>
        <v>3.7250000000000001</v>
      </c>
      <c r="P174" s="725">
        <f t="shared" ca="1" si="238"/>
        <v>0.25106499999999998</v>
      </c>
      <c r="Q174" s="299">
        <f t="shared" ca="1" si="239"/>
        <v>3.9381527777777778</v>
      </c>
      <c r="R174" s="81">
        <v>3.1536000000000002E-2</v>
      </c>
      <c r="S174" s="199">
        <v>0.5</v>
      </c>
      <c r="T174" s="199">
        <f ca="1">HLOOKUP($T$2,INDIRECT("'"&amp;$B174&amp;"'!"&amp;"$P$6:$AC$19"),IF(H174=$AI$13,6,IF(H174=$AI$14,9,14)),FALSE)</f>
        <v>1</v>
      </c>
      <c r="U174" s="772"/>
      <c r="V174" s="199">
        <f t="shared" ref="V174" ca="1" si="250">IF(IF(RIGHT(H174,2)="PH",(1-L174)+$W$2,IF(RIGHT(H174,2)="HT",(1-L174)+$W$1,IF(RIGHT(H174,2)="SH",(1-L174)+$W$3,"")))&gt;0,IF(RIGHT(H174,2)="PH",(1-L174)+$W$2,IF(RIGHT(H174,2)="HT",(1-L174)+$W$1,IF(RIGHT(H174,2)="SH",(1-L174)+$W$3,""))),0)</f>
        <v>0.10999999999999999</v>
      </c>
      <c r="W174" s="298"/>
      <c r="X174" s="698">
        <f t="shared" ca="1" si="219"/>
        <v>8</v>
      </c>
      <c r="Y174" s="299">
        <f t="shared" ca="1" si="241"/>
        <v>35</v>
      </c>
      <c r="Z174" s="299">
        <f t="shared" ca="1" si="242"/>
        <v>1.5</v>
      </c>
      <c r="AA174" s="299">
        <f t="shared" ca="1" si="243"/>
        <v>0.8</v>
      </c>
      <c r="AB174" s="299">
        <f t="shared" ca="1" si="244"/>
        <v>2.1</v>
      </c>
      <c r="AD174" s="81">
        <v>2020</v>
      </c>
      <c r="AE174" s="273"/>
      <c r="AF174" s="828"/>
    </row>
    <row r="175" spans="1:32">
      <c r="A175" s="169"/>
      <c r="B175" s="718" t="s">
        <v>1099</v>
      </c>
      <c r="C175" s="226"/>
      <c r="D175" s="261"/>
      <c r="E175" s="261"/>
      <c r="F175" s="224" t="s">
        <v>1149</v>
      </c>
      <c r="G175" s="55"/>
      <c r="H175" s="174"/>
      <c r="I175" s="174" t="str">
        <f t="shared" si="143"/>
        <v>INDRWH</v>
      </c>
      <c r="J175" s="224">
        <f t="shared" si="146"/>
        <v>2030</v>
      </c>
      <c r="K175" s="81"/>
      <c r="L175" s="199">
        <f t="shared" ca="1" si="236"/>
        <v>0.89</v>
      </c>
      <c r="M175" s="772"/>
      <c r="N175" s="200"/>
      <c r="O175" s="725">
        <f t="shared" ca="1" si="237"/>
        <v>3.4699403462447704</v>
      </c>
      <c r="P175" s="725">
        <f t="shared" ca="1" si="238"/>
        <v>0.24287</v>
      </c>
      <c r="Q175" s="299">
        <f t="shared" ca="1" si="239"/>
        <v>3.9836805555555559</v>
      </c>
      <c r="R175" s="823"/>
      <c r="S175" s="300"/>
      <c r="T175" s="300"/>
      <c r="U175" s="300"/>
      <c r="V175" s="199">
        <f t="shared" ref="V175" ca="1" si="251">IF(IF(RIGHT(H174,2)="PH",(1-L175)+$W$2,IF(RIGHT(H174,2)="HT",(1-L175)+$W$1,IF(RIGHT(H174,2)="SH",(1-L175)+$W$3,"")))&gt;0,IF(RIGHT(H174,2)="PH",(1-L175)+$W$2,IF(RIGHT(H174,2)="HT",(1-L175)+$W$1,IF(RIGHT(H174,2)="SH",(1-L175)+$W$3,""))),0)</f>
        <v>0.10999999999999999</v>
      </c>
      <c r="W175" s="298"/>
      <c r="X175" s="698">
        <f t="shared" ca="1" si="219"/>
        <v>8</v>
      </c>
      <c r="Y175" s="299">
        <f t="shared" ca="1" si="241"/>
        <v>35</v>
      </c>
      <c r="Z175" s="299">
        <f t="shared" ca="1" si="242"/>
        <v>1.5</v>
      </c>
      <c r="AA175" s="299">
        <f t="shared" ca="1" si="243"/>
        <v>0.8</v>
      </c>
      <c r="AB175" s="299">
        <f t="shared" ca="1" si="244"/>
        <v>2.1</v>
      </c>
      <c r="AD175" s="81">
        <v>2030</v>
      </c>
      <c r="AE175" s="273"/>
      <c r="AF175" s="828"/>
    </row>
    <row r="176" spans="1:32">
      <c r="A176" s="169"/>
      <c r="B176" s="719" t="s">
        <v>1099</v>
      </c>
      <c r="C176" s="713"/>
      <c r="D176" s="701"/>
      <c r="E176" s="701"/>
      <c r="F176" s="224" t="s">
        <v>1149</v>
      </c>
      <c r="G176" s="203"/>
      <c r="H176" s="702"/>
      <c r="I176" s="702" t="str">
        <f t="shared" si="143"/>
        <v>INDRWH</v>
      </c>
      <c r="J176" s="224">
        <f t="shared" si="146"/>
        <v>2050</v>
      </c>
      <c r="K176" s="81"/>
      <c r="L176" s="199">
        <f t="shared" ca="1" si="236"/>
        <v>0.91</v>
      </c>
      <c r="M176" s="826"/>
      <c r="N176" s="825"/>
      <c r="O176" s="725">
        <f t="shared" ca="1" si="237"/>
        <v>3.2813985758696647</v>
      </c>
      <c r="P176" s="725">
        <f t="shared" ca="1" si="238"/>
        <v>0.22797000000000001</v>
      </c>
      <c r="Q176" s="299">
        <f t="shared" ca="1" si="239"/>
        <v>4.0064444444444449</v>
      </c>
      <c r="R176" s="722"/>
      <c r="S176" s="703"/>
      <c r="T176" s="703"/>
      <c r="U176" s="703"/>
      <c r="V176" s="199">
        <f t="shared" ref="V176" ca="1" si="252">IF(IF(RIGHT(H174,2)="PH",(1-L176)+$W$2,IF(RIGHT(H174,2)="HT",(1-L176)+$W$1,IF(RIGHT(H174,2)="SH",(1-L176)+$W$3,"")))&gt;0,IF(RIGHT(H174,2)="PH",(1-L176)+$W$2,IF(RIGHT(H174,2)="HT",(1-L176)+$W$1,IF(RIGHT(H174,2)="SH",(1-L176)+$W$3,""))),0)</f>
        <v>8.9999999999999969E-2</v>
      </c>
      <c r="W176" s="704"/>
      <c r="X176" s="698">
        <f t="shared" ca="1" si="219"/>
        <v>8</v>
      </c>
      <c r="Y176" s="299">
        <f t="shared" ca="1" si="241"/>
        <v>35</v>
      </c>
      <c r="Z176" s="299">
        <f t="shared" ca="1" si="242"/>
        <v>1.5</v>
      </c>
      <c r="AA176" s="299">
        <f t="shared" ca="1" si="243"/>
        <v>0.8</v>
      </c>
      <c r="AB176" s="299">
        <f t="shared" ca="1" si="244"/>
        <v>2.1</v>
      </c>
      <c r="AC176" s="203"/>
      <c r="AD176" s="81">
        <v>2050</v>
      </c>
      <c r="AE176" s="273"/>
      <c r="AF176" s="829"/>
    </row>
    <row r="177" spans="1:32">
      <c r="A177" s="169"/>
      <c r="B177" s="718" t="s">
        <v>1099</v>
      </c>
      <c r="C177" s="226"/>
      <c r="D177" s="707" t="str">
        <f>"IND"&amp;RIGHT(H177,4)&amp;RIGHT(G177,3)&amp;"N"&amp;RIGHT(E177,1)</f>
        <v>INDRDPHCOAN2</v>
      </c>
      <c r="E177" s="261" t="str">
        <f>"Industrial heating technology "&amp;$AJ$12&amp;" "&amp;RIGHT(H177,2)&amp;" - Coal boiler (Hot Water) - new 2"</f>
        <v>Industrial heating technology Paper &amp; Pulp PH - Coal boiler (Hot Water) - new 2</v>
      </c>
      <c r="F177" s="224" t="s">
        <v>1149</v>
      </c>
      <c r="G177" s="55" t="s">
        <v>617</v>
      </c>
      <c r="H177" s="174" t="str">
        <f>$AI$14</f>
        <v>IRDPH</v>
      </c>
      <c r="I177" s="174" t="str">
        <f t="shared" si="143"/>
        <v>INDRWH</v>
      </c>
      <c r="J177" s="224">
        <f t="shared" si="146"/>
        <v>2011</v>
      </c>
      <c r="K177" s="299">
        <v>2025</v>
      </c>
      <c r="L177" s="199">
        <f t="shared" ref="L177:L182" ca="1" si="253">VLOOKUP($AD177,INDIRECT("'"&amp;$B177&amp;"'!"&amp;"$P$118:$AD$121"),3,FALSE)</f>
        <v>0.89</v>
      </c>
      <c r="M177" s="199"/>
      <c r="N177" s="81">
        <f ca="1">VLOOKUP($AD177,INDIRECT("'"&amp;$B177&amp;"'!"&amp;"$P$118:$AD$121"),5,FALSE)</f>
        <v>25</v>
      </c>
      <c r="O177" s="723">
        <f t="shared" ref="O177:O182" ca="1" si="254">VLOOKUP($AD177,INDIRECT("'"&amp;$B177&amp;"'!"&amp;"$P$118:$AD$121"),6,FALSE)/1000</f>
        <v>3.7250000000000001</v>
      </c>
      <c r="P177" s="723">
        <f t="shared" ref="P177:P182" ca="1" si="255">VLOOKUP($AD177,INDIRECT("'"&amp;$B177&amp;"'!"&amp;"$P$118:$AD$121"),7,FALSE)/1000</f>
        <v>0.25106499999999998</v>
      </c>
      <c r="Q177" s="81">
        <f t="shared" ref="Q177:Q182" ca="1" si="256">VLOOKUP($AD177,INDIRECT("'"&amp;$B177&amp;"'!"&amp;"$P$118:$AD$121"),8,FALSE)</f>
        <v>3.9381527777777778</v>
      </c>
      <c r="R177" s="81">
        <v>3.1536000000000002E-2</v>
      </c>
      <c r="S177" s="199">
        <v>0.5</v>
      </c>
      <c r="T177" s="199">
        <f ca="1">HLOOKUP($T$2,INDIRECT("'"&amp;$B177&amp;"'!"&amp;"$P$85:$AC$98"),IF(H177=$AI$13,6,IF(H177=$AI$14,9,14)),FALSE)</f>
        <v>0</v>
      </c>
      <c r="U177" s="773"/>
      <c r="V177" s="199">
        <f t="shared" ref="V177" ca="1" si="257">IF(IF(RIGHT(H177,2)="PH",(1-L177)+$W$2,IF(RIGHT(H177,2)="HT",(1-L177)+$W$1,IF(RIGHT(H177,2)="SH",(1-L177)+$W$3,"")))&gt;0,IF(RIGHT(H177,2)="PH",(1-L177)+$W$2,IF(RIGHT(H177,2)="HT",(1-L177)+$W$1,IF(RIGHT(H177,2)="SH",(1-L177)+$W$3,""))),0)</f>
        <v>0.31</v>
      </c>
      <c r="W177" s="709"/>
      <c r="X177" s="698">
        <f t="shared" ca="1" si="219"/>
        <v>8</v>
      </c>
      <c r="Y177" s="698">
        <f ca="1">VLOOKUP($AD177,INDIRECT("'"&amp;$B177&amp;"'!"&amp;"$P$118:$AD$121"),12,FALSE)</f>
        <v>35</v>
      </c>
      <c r="Z177" s="698">
        <f ca="1">VLOOKUP($AD177,INDIRECT("'"&amp;$B177&amp;"'!"&amp;"$P$118:$AD$121"),13,FALSE)</f>
        <v>1.5</v>
      </c>
      <c r="AA177" s="698">
        <f ca="1">VLOOKUP($AD177,INDIRECT("'"&amp;$B177&amp;"'!"&amp;"$P$118:$AD$121"),14,FALSE)</f>
        <v>0.8</v>
      </c>
      <c r="AB177" s="698">
        <f ca="1">VLOOKUP($AD177,INDIRECT("'"&amp;$B177&amp;"'!"&amp;"$P$118:$AD$121"),15,FALSE)</f>
        <v>2.1</v>
      </c>
      <c r="AC177" s="55"/>
      <c r="AD177" s="81">
        <v>2020</v>
      </c>
      <c r="AE177" s="273"/>
      <c r="AF177" s="828"/>
    </row>
    <row r="178" spans="1:32">
      <c r="A178" s="169"/>
      <c r="B178" s="718" t="s">
        <v>1099</v>
      </c>
      <c r="C178" s="226"/>
      <c r="D178" s="261"/>
      <c r="E178" s="261"/>
      <c r="F178" s="224" t="s">
        <v>1149</v>
      </c>
      <c r="G178" s="55"/>
      <c r="H178" s="174"/>
      <c r="I178" s="174" t="str">
        <f t="shared" si="143"/>
        <v>INDRWH</v>
      </c>
      <c r="J178" s="224">
        <f t="shared" si="146"/>
        <v>2030</v>
      </c>
      <c r="K178" s="81"/>
      <c r="L178" s="199">
        <f t="shared" ca="1" si="253"/>
        <v>0.89</v>
      </c>
      <c r="M178" s="772"/>
      <c r="N178" s="200"/>
      <c r="O178" s="723">
        <f t="shared" ca="1" si="254"/>
        <v>3.7250000000000001</v>
      </c>
      <c r="P178" s="723">
        <f t="shared" ca="1" si="255"/>
        <v>0.24287</v>
      </c>
      <c r="Q178" s="81">
        <f t="shared" ca="1" si="256"/>
        <v>3.9836805555555559</v>
      </c>
      <c r="R178" s="823"/>
      <c r="S178" s="300"/>
      <c r="T178" s="300"/>
      <c r="U178" s="300"/>
      <c r="V178" s="199">
        <f t="shared" ref="V178" ca="1" si="258">IF(IF(RIGHT(H177,2)="PH",(1-L178)+$W$2,IF(RIGHT(H177,2)="HT",(1-L178)+$W$1,IF(RIGHT(H177,2)="SH",(1-L178)+$W$3,"")))&gt;0,IF(RIGHT(H177,2)="PH",(1-L178)+$W$2,IF(RIGHT(H177,2)="HT",(1-L178)+$W$1,IF(RIGHT(H177,2)="SH",(1-L178)+$W$3,""))),0)</f>
        <v>0.31</v>
      </c>
      <c r="W178" s="298"/>
      <c r="X178" s="824"/>
      <c r="Y178" s="824"/>
      <c r="Z178" s="824"/>
      <c r="AA178" s="824"/>
      <c r="AB178" s="824"/>
      <c r="AD178" s="81">
        <v>2030</v>
      </c>
      <c r="AE178" s="273"/>
      <c r="AF178" s="828"/>
    </row>
    <row r="179" spans="1:32">
      <c r="A179" s="169"/>
      <c r="B179" s="718" t="s">
        <v>1099</v>
      </c>
      <c r="C179" s="226"/>
      <c r="D179" s="261"/>
      <c r="E179" s="261"/>
      <c r="F179" s="224" t="s">
        <v>1149</v>
      </c>
      <c r="G179" s="55"/>
      <c r="H179" s="174"/>
      <c r="I179" s="174" t="str">
        <f t="shared" si="143"/>
        <v>INDRWH</v>
      </c>
      <c r="J179" s="224">
        <f t="shared" si="146"/>
        <v>2050</v>
      </c>
      <c r="K179" s="81"/>
      <c r="L179" s="199">
        <f t="shared" ca="1" si="253"/>
        <v>0.91</v>
      </c>
      <c r="M179" s="772"/>
      <c r="N179" s="200"/>
      <c r="O179" s="723">
        <f t="shared" ca="1" si="254"/>
        <v>3.7250000000000001</v>
      </c>
      <c r="P179" s="723">
        <f t="shared" ca="1" si="255"/>
        <v>0.22797000000000001</v>
      </c>
      <c r="Q179" s="81">
        <f t="shared" ca="1" si="256"/>
        <v>4.0064444444444449</v>
      </c>
      <c r="R179" s="823"/>
      <c r="S179" s="300"/>
      <c r="T179" s="300"/>
      <c r="U179" s="300"/>
      <c r="V179" s="199">
        <f t="shared" ref="V179" ca="1" si="259">IF(IF(RIGHT(H177,2)="PH",(1-L179)+$W$2,IF(RIGHT(H177,2)="HT",(1-L179)+$W$1,IF(RIGHT(H177,2)="SH",(1-L179)+$W$3,"")))&gt;0,IF(RIGHT(H177,2)="PH",(1-L179)+$W$2,IF(RIGHT(H177,2)="HT",(1-L179)+$W$1,IF(RIGHT(H177,2)="SH",(1-L179)+$W$3,""))),0)</f>
        <v>0.28999999999999998</v>
      </c>
      <c r="W179" s="298"/>
      <c r="X179" s="824"/>
      <c r="Y179" s="824"/>
      <c r="Z179" s="824"/>
      <c r="AA179" s="824"/>
      <c r="AB179" s="824"/>
      <c r="AD179" s="81">
        <v>2050</v>
      </c>
      <c r="AE179" s="273"/>
      <c r="AF179" s="828"/>
    </row>
    <row r="180" spans="1:32">
      <c r="A180" s="169"/>
      <c r="B180" s="718" t="s">
        <v>1099</v>
      </c>
      <c r="C180" s="226"/>
      <c r="D180" s="261" t="str">
        <f>"IND"&amp;RIGHT(H180,4)&amp;RIGHT(G180,3)&amp;"N"&amp;RIGHT(E180,1)</f>
        <v>INDRDSHCOAN2</v>
      </c>
      <c r="E180" s="261" t="str">
        <f>"Industrial heating technology "&amp;$AJ$12&amp;" "&amp;RIGHT(H180,2)&amp;" - Coal boiler (Hot Water) - new 2"</f>
        <v>Industrial heating technology Paper &amp; Pulp SH - Coal boiler (Hot Water) - new 2</v>
      </c>
      <c r="F180" s="224" t="s">
        <v>1149</v>
      </c>
      <c r="G180" s="55" t="s">
        <v>617</v>
      </c>
      <c r="H180" s="174" t="str">
        <f>$AI$15</f>
        <v>IRDSH</v>
      </c>
      <c r="I180" s="174" t="str">
        <f t="shared" si="143"/>
        <v>INDRWH</v>
      </c>
      <c r="J180" s="224">
        <f t="shared" si="146"/>
        <v>2011</v>
      </c>
      <c r="K180" s="299">
        <v>2025</v>
      </c>
      <c r="L180" s="199">
        <f t="shared" ca="1" si="253"/>
        <v>0.89</v>
      </c>
      <c r="M180" s="199"/>
      <c r="N180" s="81">
        <f ca="1">VLOOKUP($AD180,INDIRECT("'"&amp;$B180&amp;"'!"&amp;"$P$118:$AD$121"),5,FALSE)</f>
        <v>25</v>
      </c>
      <c r="O180" s="723">
        <f t="shared" ca="1" si="254"/>
        <v>3.7250000000000001</v>
      </c>
      <c r="P180" s="723">
        <f t="shared" ca="1" si="255"/>
        <v>0.25106499999999998</v>
      </c>
      <c r="Q180" s="81">
        <f t="shared" ca="1" si="256"/>
        <v>3.9381527777777778</v>
      </c>
      <c r="R180" s="81">
        <v>3.1536000000000002E-2</v>
      </c>
      <c r="S180" s="199">
        <v>0.5</v>
      </c>
      <c r="T180" s="199">
        <f ca="1">HLOOKUP($T$2,INDIRECT("'"&amp;$B180&amp;"'!"&amp;"$P$85:$AC$98"),IF(H180=$AI$13,6,IF(H180=$AI$14,9,14)),FALSE)</f>
        <v>1</v>
      </c>
      <c r="U180" s="773"/>
      <c r="V180" s="199">
        <f t="shared" ref="V180" ca="1" si="260">IF(IF(RIGHT(H180,2)="PH",(1-L180)+$W$2,IF(RIGHT(H180,2)="HT",(1-L180)+$W$1,IF(RIGHT(H180,2)="SH",(1-L180)+$W$3,"")))&gt;0,IF(RIGHT(H180,2)="PH",(1-L180)+$W$2,IF(RIGHT(H180,2)="HT",(1-L180)+$W$1,IF(RIGHT(H180,2)="SH",(1-L180)+$W$3,""))),0)</f>
        <v>0.10999999999999999</v>
      </c>
      <c r="W180" s="709"/>
      <c r="X180" s="698">
        <f ca="1">IF(VLOOKUP($AD180,INDIRECT("'"&amp;$B180&amp;"'!"&amp;"$P$39:$AD$42"),11,FALSE)="Cf. the utilized electricity",0,VLOOKUP($AD180,INDIRECT("'"&amp;$B180&amp;"'!"&amp;"$P$39:$AD$42"),11,FALSE))</f>
        <v>8</v>
      </c>
      <c r="Y180" s="698">
        <f ca="1">VLOOKUP($AD180,INDIRECT("'"&amp;$B180&amp;"'!"&amp;"$P$118:$AD$121"),12,FALSE)</f>
        <v>35</v>
      </c>
      <c r="Z180" s="698">
        <f ca="1">VLOOKUP($AD180,INDIRECT("'"&amp;$B180&amp;"'!"&amp;"$P$118:$AD$121"),13,FALSE)</f>
        <v>1.5</v>
      </c>
      <c r="AA180" s="698">
        <f ca="1">VLOOKUP($AD180,INDIRECT("'"&amp;$B180&amp;"'!"&amp;"$P$118:$AD$121"),14,FALSE)</f>
        <v>0.8</v>
      </c>
      <c r="AB180" s="698">
        <f ca="1">VLOOKUP($AD180,INDIRECT("'"&amp;$B180&amp;"'!"&amp;"$P$118:$AD$121"),15,FALSE)</f>
        <v>2.1</v>
      </c>
      <c r="AC180" s="55"/>
      <c r="AD180" s="81">
        <v>2020</v>
      </c>
      <c r="AE180" s="273"/>
      <c r="AF180" s="828"/>
    </row>
    <row r="181" spans="1:32">
      <c r="A181" s="169"/>
      <c r="B181" s="718" t="s">
        <v>1099</v>
      </c>
      <c r="C181" s="226"/>
      <c r="D181" s="261"/>
      <c r="E181" s="261"/>
      <c r="F181" s="224" t="s">
        <v>1149</v>
      </c>
      <c r="G181" s="55"/>
      <c r="H181" s="174"/>
      <c r="I181" s="174" t="str">
        <f t="shared" si="143"/>
        <v>INDRWH</v>
      </c>
      <c r="J181" s="224">
        <f t="shared" si="146"/>
        <v>2030</v>
      </c>
      <c r="K181" s="200"/>
      <c r="L181" s="199">
        <f t="shared" ca="1" si="253"/>
        <v>0.89</v>
      </c>
      <c r="M181" s="772"/>
      <c r="N181" s="200"/>
      <c r="O181" s="723">
        <f t="shared" ca="1" si="254"/>
        <v>3.7250000000000001</v>
      </c>
      <c r="P181" s="723">
        <f t="shared" ca="1" si="255"/>
        <v>0.24287</v>
      </c>
      <c r="Q181" s="81">
        <f t="shared" ca="1" si="256"/>
        <v>3.9836805555555559</v>
      </c>
      <c r="R181" s="823"/>
      <c r="S181" s="300"/>
      <c r="T181" s="300"/>
      <c r="U181" s="300"/>
      <c r="V181" s="199">
        <f t="shared" ref="V181" ca="1" si="261">IF(IF(RIGHT(H180,2)="PH",(1-L181)+$W$2,IF(RIGHT(H180,2)="HT",(1-L181)+$W$1,IF(RIGHT(H180,2)="SH",(1-L181)+$W$3,"")))&gt;0,IF(RIGHT(H180,2)="PH",(1-L181)+$W$2,IF(RIGHT(H180,2)="HT",(1-L181)+$W$1,IF(RIGHT(H180,2)="SH",(1-L181)+$W$3,""))),0)</f>
        <v>0.10999999999999999</v>
      </c>
      <c r="W181" s="298"/>
      <c r="X181" s="824"/>
      <c r="Y181" s="824"/>
      <c r="Z181" s="824"/>
      <c r="AA181" s="824"/>
      <c r="AB181" s="824"/>
      <c r="AD181" s="81">
        <v>2030</v>
      </c>
      <c r="AE181" s="273"/>
      <c r="AF181" s="828"/>
    </row>
    <row r="182" spans="1:32">
      <c r="A182" s="831"/>
      <c r="B182" s="719" t="s">
        <v>1099</v>
      </c>
      <c r="C182" s="713"/>
      <c r="D182" s="701"/>
      <c r="E182" s="701"/>
      <c r="F182" s="224" t="s">
        <v>1149</v>
      </c>
      <c r="G182" s="203"/>
      <c r="H182" s="702"/>
      <c r="I182" s="266" t="str">
        <f t="shared" si="143"/>
        <v>INDRWH</v>
      </c>
      <c r="J182" s="224">
        <f t="shared" si="146"/>
        <v>2050</v>
      </c>
      <c r="K182" s="825"/>
      <c r="L182" s="199">
        <f t="shared" ca="1" si="253"/>
        <v>0.91</v>
      </c>
      <c r="M182" s="826"/>
      <c r="N182" s="825"/>
      <c r="O182" s="723">
        <f t="shared" ca="1" si="254"/>
        <v>3.7250000000000001</v>
      </c>
      <c r="P182" s="723">
        <f t="shared" ca="1" si="255"/>
        <v>0.22797000000000001</v>
      </c>
      <c r="Q182" s="81">
        <f t="shared" ca="1" si="256"/>
        <v>4.0064444444444449</v>
      </c>
      <c r="R182" s="722"/>
      <c r="S182" s="703"/>
      <c r="T182" s="703"/>
      <c r="U182" s="703"/>
      <c r="V182" s="199">
        <f t="shared" ref="V182" ca="1" si="262">IF(IF(RIGHT(H180,2)="PH",(1-L182)+$W$2,IF(RIGHT(H180,2)="HT",(1-L182)+$W$1,IF(RIGHT(H180,2)="SH",(1-L182)+$W$3,"")))&gt;0,IF(RIGHT(H180,2)="PH",(1-L182)+$W$2,IF(RIGHT(H180,2)="HT",(1-L182)+$W$1,IF(RIGHT(H180,2)="SH",(1-L182)+$W$3,""))),0)</f>
        <v>8.9999999999999969E-2</v>
      </c>
      <c r="W182" s="704"/>
      <c r="X182" s="827"/>
      <c r="Y182" s="827"/>
      <c r="Z182" s="827"/>
      <c r="AA182" s="827"/>
      <c r="AB182" s="827"/>
      <c r="AC182" s="203"/>
      <c r="AD182" s="81">
        <v>2050</v>
      </c>
      <c r="AE182" s="273"/>
      <c r="AF182" s="829"/>
    </row>
    <row r="183" spans="1:32">
      <c r="A183" s="831"/>
      <c r="B183" s="226" t="s">
        <v>576</v>
      </c>
      <c r="C183" s="901"/>
      <c r="D183" s="261" t="str">
        <f>"IND"&amp;RIGHT(H183,4)&amp;RIGHT(G183,3)&amp;"N"&amp;RIGHT(E183,1)</f>
        <v>INDRDSHSOLN1</v>
      </c>
      <c r="E183" s="261" t="str">
        <f>"Industrial heating technology "&amp;$AJ$12&amp;" "&amp;RIGHT(H183,2)&amp;" - Solar - new 1"</f>
        <v>Industrial heating technology Paper &amp; Pulp SH - Solar - new 1</v>
      </c>
      <c r="F183" s="224" t="s">
        <v>1149</v>
      </c>
      <c r="G183" s="55" t="s">
        <v>500</v>
      </c>
      <c r="H183" s="174" t="str">
        <f>$AI$15</f>
        <v>IRDSH</v>
      </c>
      <c r="I183" s="174"/>
      <c r="J183" s="224">
        <f t="shared" si="146"/>
        <v>2011</v>
      </c>
      <c r="K183" s="299">
        <v>2025</v>
      </c>
      <c r="L183" s="199">
        <f ca="1">VLOOKUP($AD183,INDIRECT("'"&amp;$B183&amp;"'!"&amp;"$J$40:$X$43"),3,FALSE)</f>
        <v>1</v>
      </c>
      <c r="M183" s="772"/>
      <c r="N183" s="199">
        <f ca="1">VLOOKUP($AD183,INDIRECT("'"&amp;$B183&amp;"'!"&amp;"$J$40:$X$43"),5,FALSE)</f>
        <v>25</v>
      </c>
      <c r="O183" s="199">
        <f ca="1">VLOOKUP($AD183,INDIRECT("'"&amp;$B183&amp;"'!"&amp;"$J$40:$X$43"),6,FALSE)/1000</f>
        <v>4.2857142857142865</v>
      </c>
      <c r="P183" s="199">
        <f ca="1">VLOOKUP($AD183,INDIRECT("'"&amp;$B183&amp;"'!"&amp;"$J$40:$X$43"),7,FALSE)/1000</f>
        <v>2.0660433158225668E-2</v>
      </c>
      <c r="Q183" s="199">
        <f ca="1">VLOOKUP($AD183,INDIRECT("'"&amp;$B183&amp;"'!"&amp;"$J$40:$X$43"),8,FALSE)</f>
        <v>0</v>
      </c>
      <c r="R183" s="81">
        <v>3.1536000000000002E-2</v>
      </c>
      <c r="S183" s="199">
        <v>8.5500000000000007E-2</v>
      </c>
      <c r="T183" s="199">
        <v>1</v>
      </c>
      <c r="U183" s="300"/>
      <c r="V183" s="199"/>
      <c r="W183" s="298"/>
      <c r="X183" s="698">
        <v>0</v>
      </c>
      <c r="Y183" s="81">
        <v>0</v>
      </c>
      <c r="Z183" s="81">
        <v>0</v>
      </c>
      <c r="AA183" s="81">
        <v>0</v>
      </c>
      <c r="AB183" s="81">
        <v>0</v>
      </c>
      <c r="AC183" s="55"/>
      <c r="AD183" s="81">
        <v>2020</v>
      </c>
      <c r="AE183" s="200"/>
      <c r="AF183" s="700"/>
    </row>
    <row r="184" spans="1:32">
      <c r="A184" s="831"/>
      <c r="B184" s="226" t="s">
        <v>576</v>
      </c>
      <c r="C184" s="902"/>
      <c r="D184" s="261"/>
      <c r="E184" s="261"/>
      <c r="F184" s="224" t="s">
        <v>1149</v>
      </c>
      <c r="G184" s="55"/>
      <c r="H184" s="174"/>
      <c r="I184" s="174"/>
      <c r="J184" s="224">
        <f t="shared" si="146"/>
        <v>2030</v>
      </c>
      <c r="K184" s="200"/>
      <c r="L184" s="199">
        <f ca="1">VLOOKUP($AD184,INDIRECT("'"&amp;$B184&amp;"'!"&amp;"$J$40:$X$43"),3,FALSE)</f>
        <v>1</v>
      </c>
      <c r="M184" s="772"/>
      <c r="N184" s="199">
        <f ca="1">VLOOKUP($AD184,INDIRECT("'"&amp;$B184&amp;"'!"&amp;"$J$40:$X$43"),5,FALSE)</f>
        <v>30</v>
      </c>
      <c r="O184" s="199">
        <f ca="1">VLOOKUP($AD184,INDIRECT("'"&amp;$B184&amp;"'!"&amp;"$J$40:$X$43"),6,FALSE)/1000</f>
        <v>3.9285714285714284</v>
      </c>
      <c r="P184" s="199">
        <f ca="1">VLOOKUP($AD184,INDIRECT("'"&amp;$B184&amp;"'!"&amp;"$J$40:$X$43"),7,FALSE)/1000</f>
        <v>2.328125E-2</v>
      </c>
      <c r="Q184" s="199">
        <f ca="1">VLOOKUP($AD184,INDIRECT("'"&amp;$B184&amp;"'!"&amp;"$J$40:$X$43"),8,FALSE)</f>
        <v>0</v>
      </c>
      <c r="R184" s="823"/>
      <c r="S184" s="300"/>
      <c r="T184" s="300"/>
      <c r="U184" s="300"/>
      <c r="V184" s="772"/>
      <c r="W184" s="298"/>
      <c r="X184" s="824"/>
      <c r="Y184" s="824"/>
      <c r="Z184" s="824"/>
      <c r="AA184" s="824"/>
      <c r="AB184" s="824"/>
      <c r="AC184" s="55"/>
      <c r="AD184" s="81">
        <v>2030</v>
      </c>
      <c r="AE184" s="200"/>
      <c r="AF184" s="700"/>
    </row>
    <row r="185" spans="1:32" s="203" customFormat="1">
      <c r="A185" s="900"/>
      <c r="B185" s="713" t="s">
        <v>576</v>
      </c>
      <c r="C185" s="903"/>
      <c r="D185" s="701"/>
      <c r="E185" s="701"/>
      <c r="F185" s="224" t="s">
        <v>1149</v>
      </c>
      <c r="H185" s="702"/>
      <c r="I185" s="702"/>
      <c r="J185" s="224">
        <f t="shared" si="146"/>
        <v>2050</v>
      </c>
      <c r="K185" s="825"/>
      <c r="L185" s="199">
        <f ca="1">VLOOKUP($AD185,INDIRECT("'"&amp;$B185&amp;"'!"&amp;"$J$40:$X$43"),3,FALSE)</f>
        <v>1</v>
      </c>
      <c r="M185" s="826"/>
      <c r="N185" s="199">
        <f ca="1">VLOOKUP($AD185,INDIRECT("'"&amp;$B185&amp;"'!"&amp;"$J$40:$X$43"),5,FALSE)</f>
        <v>30</v>
      </c>
      <c r="O185" s="199">
        <f ca="1">VLOOKUP($AD185,INDIRECT("'"&amp;$B185&amp;"'!"&amp;"$J$40:$X$43"),6,FALSE)/1000</f>
        <v>3.5714285714285721</v>
      </c>
      <c r="P185" s="199">
        <f ca="1">VLOOKUP($AD185,INDIRECT("'"&amp;$B185&amp;"'!"&amp;"$J$40:$X$43"),7,FALSE)/1000</f>
        <v>2.1498571428571429E-2</v>
      </c>
      <c r="Q185" s="199">
        <f ca="1">VLOOKUP($AD185,INDIRECT("'"&amp;$B185&amp;"'!"&amp;"$J$40:$X$43"),8,FALSE)</f>
        <v>0</v>
      </c>
      <c r="R185" s="722"/>
      <c r="S185" s="703"/>
      <c r="T185" s="703"/>
      <c r="U185" s="703"/>
      <c r="V185" s="826"/>
      <c r="W185" s="704"/>
      <c r="X185" s="827"/>
      <c r="Y185" s="827"/>
      <c r="Z185" s="827"/>
      <c r="AA185" s="827"/>
      <c r="AB185" s="827"/>
      <c r="AD185" s="81">
        <v>2050</v>
      </c>
      <c r="AE185" s="825"/>
      <c r="AF185" s="705"/>
    </row>
    <row r="186" spans="1:32">
      <c r="A186" s="169"/>
      <c r="D186" s="36" t="s">
        <v>503</v>
      </c>
      <c r="E186" s="36"/>
      <c r="F186" s="224" t="s">
        <v>1149</v>
      </c>
      <c r="H186" s="173"/>
      <c r="I186" s="173"/>
      <c r="J186" s="224">
        <f t="shared" si="146"/>
        <v>0</v>
      </c>
      <c r="K186" s="198"/>
      <c r="L186" s="204"/>
      <c r="M186" s="204"/>
      <c r="N186" s="204"/>
      <c r="O186" s="37"/>
      <c r="P186" s="37"/>
      <c r="Q186" s="205"/>
      <c r="R186" s="252"/>
      <c r="S186" s="274"/>
      <c r="T186" s="204"/>
      <c r="U186" s="204"/>
      <c r="V186" s="204"/>
      <c r="W186" s="204"/>
      <c r="X186" s="204"/>
      <c r="Y186" s="204"/>
      <c r="Z186" s="204"/>
      <c r="AA186" s="204"/>
      <c r="AB186" s="204"/>
    </row>
    <row r="187" spans="1:32">
      <c r="A187" s="169"/>
      <c r="D187" s="212" t="str">
        <f t="shared" ref="D187:D192" si="263">"IND"&amp;RIGHT(H187,4)&amp;RIGHT(G187,3)&amp;"N"&amp;RIGHT(E187,1)</f>
        <v>INDRDSHHCEN1</v>
      </c>
      <c r="E187" s="224" t="str">
        <f>"Industrial heating technology "&amp;$AJ$12&amp;" "&amp;RIGHT(H187,2)&amp;" - central district heating - within DH area - new 1"</f>
        <v>Industrial heating technology Paper &amp; Pulp SH - central district heating - within DH area - new 1</v>
      </c>
      <c r="F187" s="224" t="s">
        <v>1149</v>
      </c>
      <c r="G187" s="225" t="s">
        <v>501</v>
      </c>
      <c r="H187" s="225" t="str">
        <f>AI15</f>
        <v>IRDSH</v>
      </c>
      <c r="I187" s="225"/>
      <c r="J187" s="81">
        <v>2011</v>
      </c>
      <c r="K187" s="299">
        <v>2025</v>
      </c>
      <c r="L187" s="81">
        <v>0.96</v>
      </c>
      <c r="M187" s="81"/>
      <c r="N187" s="81">
        <v>30</v>
      </c>
      <c r="O187" s="253">
        <v>1.17</v>
      </c>
      <c r="P187" s="254">
        <f>'DH network'!$M$9</f>
        <v>5.8735799999999998E-2</v>
      </c>
      <c r="Q187" s="254">
        <f ca="1">Q31*0.95</f>
        <v>1.9463124999999999</v>
      </c>
      <c r="R187" s="201">
        <v>3.1536000000000002E-2</v>
      </c>
      <c r="S187" s="275">
        <v>0.5</v>
      </c>
      <c r="T187" s="228"/>
      <c r="U187" s="228"/>
      <c r="V187" s="228"/>
      <c r="W187" s="287"/>
      <c r="X187" s="278"/>
      <c r="Y187" s="61"/>
      <c r="Z187" s="61"/>
      <c r="AA187" s="61"/>
      <c r="AB187" s="61"/>
    </row>
    <row r="188" spans="1:32">
      <c r="A188" s="169"/>
      <c r="D188" s="212" t="str">
        <f t="shared" si="263"/>
        <v>INDRDPHHCEN1</v>
      </c>
      <c r="E188" s="224" t="str">
        <f>"Industrial heating technology "&amp;$AJ$12&amp;" "&amp;RIGHT(H188,2)&amp;" - central district heating - within DH area - new 1"</f>
        <v>Industrial heating technology Paper &amp; Pulp PH - central district heating - within DH area - new 1</v>
      </c>
      <c r="F188" s="224" t="s">
        <v>1149</v>
      </c>
      <c r="G188" s="225" t="s">
        <v>501</v>
      </c>
      <c r="H188" s="281" t="str">
        <f>AI14</f>
        <v>IRDPH</v>
      </c>
      <c r="I188" s="281"/>
      <c r="J188" s="81">
        <v>2011</v>
      </c>
      <c r="K188" s="299">
        <v>2025</v>
      </c>
      <c r="L188" s="81">
        <v>0.96</v>
      </c>
      <c r="M188" s="81"/>
      <c r="N188" s="81">
        <v>30</v>
      </c>
      <c r="O188" s="253">
        <v>1.17</v>
      </c>
      <c r="P188" s="254">
        <f>'DH network'!$M$9</f>
        <v>5.8735799999999998E-2</v>
      </c>
      <c r="Q188" s="254">
        <f ca="1">Q33*0.95</f>
        <v>6.4090694444444436</v>
      </c>
      <c r="R188" s="201">
        <v>3.1536000000000002E-2</v>
      </c>
      <c r="S188" s="275">
        <v>0.5</v>
      </c>
      <c r="T188" s="228">
        <v>0.05</v>
      </c>
      <c r="U188" s="228"/>
      <c r="V188" s="228"/>
      <c r="W188" s="287"/>
      <c r="X188" s="278"/>
      <c r="Y188" s="61"/>
      <c r="Z188" s="61"/>
      <c r="AA188" s="61"/>
      <c r="AB188" s="61"/>
      <c r="AC188" s="226"/>
      <c r="AD188" s="226"/>
      <c r="AE188" s="226"/>
      <c r="AF188" s="226"/>
    </row>
    <row r="189" spans="1:32">
      <c r="A189" s="169"/>
      <c r="D189" s="212" t="str">
        <f t="shared" si="263"/>
        <v>INDRDSHHSEN1</v>
      </c>
      <c r="E189" s="224" t="str">
        <f>"Industrial heating technology "&amp;$AJ$12&amp;" "&amp;RIGHT(H189,2)&amp;" - central district heating - within DH area - new 1"</f>
        <v>Industrial heating technology Paper &amp; Pulp SH - central district heating - within DH area - new 1</v>
      </c>
      <c r="F189" s="224" t="s">
        <v>1149</v>
      </c>
      <c r="G189" s="225" t="s">
        <v>2123</v>
      </c>
      <c r="H189" s="225" t="str">
        <f>H187</f>
        <v>IRDSH</v>
      </c>
      <c r="I189" s="225"/>
      <c r="J189" s="81">
        <f t="shared" ref="J189:L190" si="264">J187</f>
        <v>2011</v>
      </c>
      <c r="K189" s="81">
        <f t="shared" si="264"/>
        <v>2025</v>
      </c>
      <c r="L189" s="81">
        <f t="shared" si="264"/>
        <v>0.96</v>
      </c>
      <c r="M189" s="81"/>
      <c r="N189" s="81">
        <f t="shared" ref="N189:S190" si="265">N187</f>
        <v>30</v>
      </c>
      <c r="O189" s="81">
        <f t="shared" si="265"/>
        <v>1.17</v>
      </c>
      <c r="P189" s="81">
        <f t="shared" si="265"/>
        <v>5.8735799999999998E-2</v>
      </c>
      <c r="Q189" s="81">
        <f t="shared" ca="1" si="265"/>
        <v>1.9463124999999999</v>
      </c>
      <c r="R189" s="81">
        <f t="shared" si="265"/>
        <v>3.1536000000000002E-2</v>
      </c>
      <c r="S189" s="81">
        <f t="shared" si="265"/>
        <v>0.5</v>
      </c>
      <c r="T189" s="228"/>
      <c r="U189" s="228"/>
      <c r="V189" s="228"/>
      <c r="W189" s="287"/>
      <c r="X189" s="278"/>
      <c r="Y189" s="61"/>
      <c r="Z189" s="61"/>
      <c r="AA189" s="61"/>
      <c r="AB189" s="61"/>
    </row>
    <row r="190" spans="1:32">
      <c r="A190" s="169"/>
      <c r="D190" s="212" t="str">
        <f t="shared" si="263"/>
        <v>INDRDPHHSEN1</v>
      </c>
      <c r="E190" s="224" t="str">
        <f>"Industrial heating technology "&amp;$AJ$12&amp;" "&amp;RIGHT(H190,2)&amp;" - central district heating - within DH area - new 1"</f>
        <v>Industrial heating technology Paper &amp; Pulp PH - central district heating - within DH area - new 1</v>
      </c>
      <c r="F190" s="224" t="s">
        <v>1149</v>
      </c>
      <c r="G190" s="225" t="s">
        <v>2123</v>
      </c>
      <c r="H190" s="225" t="str">
        <f>H188</f>
        <v>IRDPH</v>
      </c>
      <c r="I190" s="281"/>
      <c r="J190" s="81">
        <f t="shared" si="264"/>
        <v>2011</v>
      </c>
      <c r="K190" s="81">
        <f t="shared" si="264"/>
        <v>2025</v>
      </c>
      <c r="L190" s="81">
        <f t="shared" si="264"/>
        <v>0.96</v>
      </c>
      <c r="M190" s="81"/>
      <c r="N190" s="81">
        <f t="shared" si="265"/>
        <v>30</v>
      </c>
      <c r="O190" s="81">
        <f t="shared" si="265"/>
        <v>1.17</v>
      </c>
      <c r="P190" s="81">
        <f t="shared" si="265"/>
        <v>5.8735799999999998E-2</v>
      </c>
      <c r="Q190" s="81">
        <f t="shared" ca="1" si="265"/>
        <v>6.4090694444444436</v>
      </c>
      <c r="R190" s="81">
        <f t="shared" si="265"/>
        <v>3.1536000000000002E-2</v>
      </c>
      <c r="S190" s="81">
        <f t="shared" si="265"/>
        <v>0.5</v>
      </c>
      <c r="T190" s="81">
        <f>T188</f>
        <v>0.05</v>
      </c>
      <c r="U190" s="228"/>
      <c r="V190" s="228"/>
      <c r="W190" s="287"/>
      <c r="X190" s="278"/>
      <c r="Y190" s="61"/>
      <c r="Z190" s="61"/>
      <c r="AA190" s="61"/>
      <c r="AB190" s="61"/>
      <c r="AC190" s="226"/>
      <c r="AD190" s="226"/>
      <c r="AE190" s="226"/>
      <c r="AF190" s="226"/>
    </row>
    <row r="191" spans="1:32">
      <c r="A191" s="169"/>
      <c r="D191" s="212" t="str">
        <f t="shared" si="263"/>
        <v>INDRDSHHDEN1</v>
      </c>
      <c r="E191" s="224" t="str">
        <f>"Industrial heating technology "&amp;$AJ$12&amp;" "&amp;RIGHT(H191,2)&amp;" - decentral district heating - within DH area - new 1"</f>
        <v>Industrial heating technology Paper &amp; Pulp SH - decentral district heating - within DH area - new 1</v>
      </c>
      <c r="F191" s="224" t="s">
        <v>1149</v>
      </c>
      <c r="G191" s="259" t="s">
        <v>502</v>
      </c>
      <c r="H191" s="265" t="str">
        <f>AI15</f>
        <v>IRDSH</v>
      </c>
      <c r="I191" s="265"/>
      <c r="J191" s="81">
        <v>2011</v>
      </c>
      <c r="K191" s="299">
        <v>2025</v>
      </c>
      <c r="L191" s="81">
        <f>L187</f>
        <v>0.96</v>
      </c>
      <c r="M191" s="81"/>
      <c r="N191" s="81">
        <v>30</v>
      </c>
      <c r="O191" s="253">
        <v>1.25</v>
      </c>
      <c r="P191" s="254">
        <f>'DH network'!$M$9</f>
        <v>5.8735799999999998E-2</v>
      </c>
      <c r="Q191" s="254">
        <f ca="1">Q187</f>
        <v>1.9463124999999999</v>
      </c>
      <c r="R191" s="201">
        <v>3.1536000000000002E-2</v>
      </c>
      <c r="S191" s="275">
        <v>0.5</v>
      </c>
      <c r="T191" s="228"/>
      <c r="U191" s="228"/>
      <c r="V191" s="228"/>
      <c r="W191" s="287"/>
      <c r="X191" s="278"/>
      <c r="Y191" s="61"/>
      <c r="Z191" s="61"/>
      <c r="AA191" s="61"/>
      <c r="AB191" s="61"/>
      <c r="AC191" s="226"/>
      <c r="AD191" s="226"/>
      <c r="AE191" s="226"/>
      <c r="AF191" s="226"/>
    </row>
    <row r="192" spans="1:32">
      <c r="A192" s="169"/>
      <c r="D192" s="212" t="str">
        <f t="shared" si="263"/>
        <v>INDRDPHHDEN1</v>
      </c>
      <c r="E192" s="224" t="str">
        <f>"Industrial heating technology "&amp;$AJ$12&amp;" "&amp;RIGHT(H192,2)&amp;" - decentral district heating - within DH area - new 1"</f>
        <v>Industrial heating technology Paper &amp; Pulp PH - decentral district heating - within DH area - new 1</v>
      </c>
      <c r="F192" s="224" t="s">
        <v>1149</v>
      </c>
      <c r="G192" s="259" t="s">
        <v>502</v>
      </c>
      <c r="H192" s="225" t="str">
        <f>AI14</f>
        <v>IRDPH</v>
      </c>
      <c r="I192" s="225"/>
      <c r="J192" s="81">
        <v>2011</v>
      </c>
      <c r="K192" s="299">
        <v>2025</v>
      </c>
      <c r="L192" s="81">
        <f>L188</f>
        <v>0.96</v>
      </c>
      <c r="M192" s="81"/>
      <c r="N192" s="81">
        <v>30</v>
      </c>
      <c r="O192" s="253">
        <v>1.25</v>
      </c>
      <c r="P192" s="254">
        <f>'DH network'!$M$9</f>
        <v>5.8735799999999998E-2</v>
      </c>
      <c r="Q192" s="254">
        <f ca="1">Q188</f>
        <v>6.4090694444444436</v>
      </c>
      <c r="R192" s="201">
        <v>3.1536000000000002E-2</v>
      </c>
      <c r="S192" s="275">
        <v>0.5</v>
      </c>
      <c r="T192" s="228">
        <v>0.05</v>
      </c>
      <c r="U192" s="228"/>
      <c r="V192" s="228"/>
      <c r="W192" s="287"/>
      <c r="X192" s="278"/>
      <c r="Y192" s="61"/>
      <c r="Z192" s="61"/>
      <c r="AA192" s="61"/>
      <c r="AB192" s="61"/>
      <c r="AC192" s="226"/>
      <c r="AD192" s="226"/>
      <c r="AE192" s="226"/>
      <c r="AF192" s="226"/>
    </row>
    <row r="193" spans="1:32">
      <c r="A193" s="169"/>
      <c r="B193" s="226"/>
      <c r="C193" s="226"/>
      <c r="D193" s="258" t="s">
        <v>497</v>
      </c>
      <c r="E193" s="258"/>
      <c r="F193" s="224" t="s">
        <v>1149</v>
      </c>
      <c r="G193" s="206"/>
      <c r="H193" s="225"/>
      <c r="I193" s="225"/>
      <c r="J193" s="200"/>
      <c r="K193" s="200"/>
      <c r="L193" s="200"/>
      <c r="M193" s="200"/>
      <c r="N193" s="200"/>
      <c r="O193" s="227"/>
      <c r="P193" s="227"/>
      <c r="Q193" s="227"/>
      <c r="R193" s="202"/>
      <c r="S193" s="228"/>
      <c r="T193" s="228"/>
      <c r="U193" s="228"/>
      <c r="V193" s="228"/>
      <c r="W193" s="287"/>
      <c r="X193" s="226"/>
      <c r="Y193" s="226"/>
      <c r="Z193" s="226"/>
      <c r="AA193" s="226"/>
      <c r="AB193" s="226"/>
      <c r="AC193" s="226"/>
      <c r="AD193" s="226"/>
      <c r="AE193" s="226"/>
      <c r="AF193" s="226"/>
    </row>
    <row r="194" spans="1:32">
      <c r="A194" s="169"/>
      <c r="B194" s="226"/>
      <c r="C194" s="226"/>
      <c r="D194" s="212" t="str">
        <f>"IND"&amp;RIGHT(H194,4)&amp;RIGHT(G194,3)&amp;"N"&amp;RIGHT(E194,1)</f>
        <v>INDRDLAELCN1</v>
      </c>
      <c r="E194" s="224" t="str">
        <f>"Industry "&amp;$AJ$12&amp;" "&amp;RIGHT(H194,2)&amp;" Electricity Light Appliance - New 1"</f>
        <v>Industry Paper &amp; Pulp LA Electricity Light Appliance - New 1</v>
      </c>
      <c r="F194" s="224" t="s">
        <v>1149</v>
      </c>
      <c r="G194" s="225" t="s">
        <v>499</v>
      </c>
      <c r="H194" s="225" t="str">
        <f>AI16</f>
        <v>IRDLA</v>
      </c>
      <c r="I194" s="225"/>
      <c r="J194" s="81">
        <v>2011</v>
      </c>
      <c r="K194" s="81">
        <v>2011</v>
      </c>
      <c r="L194" s="256">
        <v>1</v>
      </c>
      <c r="M194" s="256"/>
      <c r="N194" s="256">
        <v>10</v>
      </c>
      <c r="O194" s="254"/>
      <c r="P194" s="254"/>
      <c r="Q194" s="254"/>
      <c r="R194" s="201"/>
      <c r="S194" s="275">
        <v>0.9</v>
      </c>
      <c r="T194" s="228"/>
      <c r="U194" s="228"/>
      <c r="V194" s="228"/>
      <c r="W194" s="287"/>
      <c r="X194" s="279"/>
      <c r="Y194" s="255"/>
      <c r="Z194" s="255"/>
      <c r="AA194" s="255"/>
      <c r="AB194" s="255"/>
      <c r="AC194" s="226"/>
      <c r="AD194" s="226"/>
      <c r="AE194" s="226"/>
      <c r="AF194" s="226"/>
    </row>
    <row r="195" spans="1:32">
      <c r="A195" s="169"/>
      <c r="B195" s="226"/>
      <c r="C195" s="226"/>
      <c r="F195" s="224" t="s">
        <v>1149</v>
      </c>
      <c r="G195" s="225"/>
      <c r="H195" s="226"/>
      <c r="I195" s="226"/>
      <c r="J195" s="256">
        <v>2020</v>
      </c>
      <c r="K195" s="256"/>
      <c r="L195" s="256"/>
      <c r="M195" s="256"/>
      <c r="N195" s="256"/>
      <c r="O195" s="254"/>
      <c r="P195" s="254"/>
      <c r="Q195" s="254"/>
      <c r="R195" s="201"/>
      <c r="S195" s="275"/>
      <c r="T195" s="228"/>
      <c r="U195" s="228"/>
      <c r="V195" s="228"/>
      <c r="W195" s="287"/>
      <c r="X195" s="279"/>
      <c r="Y195" s="255"/>
      <c r="Z195" s="255"/>
      <c r="AA195" s="255"/>
      <c r="AB195" s="255"/>
      <c r="AC195" s="226"/>
      <c r="AD195" s="226"/>
      <c r="AE195" s="226"/>
      <c r="AF195" s="226"/>
    </row>
    <row r="196" spans="1:32">
      <c r="A196" s="169"/>
      <c r="B196" s="226"/>
      <c r="C196" s="226"/>
      <c r="F196" s="224" t="s">
        <v>1149</v>
      </c>
      <c r="G196" s="225"/>
      <c r="H196" s="225"/>
      <c r="I196" s="225"/>
      <c r="J196" s="256">
        <v>2030</v>
      </c>
      <c r="K196" s="256"/>
      <c r="L196" s="256"/>
      <c r="M196" s="256"/>
      <c r="N196" s="256"/>
      <c r="O196" s="254"/>
      <c r="P196" s="254"/>
      <c r="Q196" s="254"/>
      <c r="R196" s="201"/>
      <c r="S196" s="275"/>
      <c r="T196" s="228"/>
      <c r="U196" s="228"/>
      <c r="V196" s="228"/>
      <c r="W196" s="287"/>
      <c r="X196" s="279"/>
      <c r="Y196" s="255"/>
      <c r="Z196" s="255"/>
      <c r="AA196" s="255"/>
      <c r="AB196" s="255"/>
    </row>
    <row r="197" spans="1:32">
      <c r="A197" s="169"/>
      <c r="B197" s="226"/>
      <c r="C197" s="226"/>
      <c r="F197" s="224" t="s">
        <v>1149</v>
      </c>
      <c r="G197" s="225"/>
      <c r="H197" s="225"/>
      <c r="I197" s="225"/>
      <c r="J197" s="256">
        <v>2050</v>
      </c>
      <c r="K197" s="256"/>
      <c r="L197" s="256"/>
      <c r="M197" s="256"/>
      <c r="N197" s="256"/>
      <c r="O197" s="254"/>
      <c r="P197" s="254"/>
      <c r="Q197" s="254"/>
      <c r="R197" s="201"/>
      <c r="S197" s="275"/>
      <c r="T197" s="228"/>
      <c r="U197" s="228"/>
      <c r="V197" s="228"/>
      <c r="W197" s="287"/>
      <c r="X197" s="279"/>
      <c r="Y197" s="255"/>
      <c r="Z197" s="255"/>
      <c r="AA197" s="255"/>
      <c r="AB197" s="255"/>
    </row>
    <row r="198" spans="1:32">
      <c r="A198" s="169"/>
      <c r="B198" s="226"/>
      <c r="C198" s="226"/>
      <c r="D198" s="212" t="str">
        <f>"IND"&amp;RIGHT(H198,4)&amp;RIGHT(G198,3)&amp;"N"&amp;RIGHT(E198,1)</f>
        <v>INDRDEMELCN1</v>
      </c>
      <c r="E198" s="224" t="str">
        <f>"Industry "&amp;$AJ$12&amp;" "&amp;RIGHT(H198,2)&amp;" Electricity Motors - New 1"</f>
        <v>Industry Paper &amp; Pulp EM Electricity Motors - New 1</v>
      </c>
      <c r="F198" s="224" t="s">
        <v>1149</v>
      </c>
      <c r="G198" s="225" t="s">
        <v>499</v>
      </c>
      <c r="H198" s="225" t="str">
        <f>AI17</f>
        <v>IRDEM</v>
      </c>
      <c r="I198" s="225"/>
      <c r="J198" s="81">
        <v>2011</v>
      </c>
      <c r="K198" s="81">
        <v>2011</v>
      </c>
      <c r="L198" s="256">
        <v>1</v>
      </c>
      <c r="M198" s="256"/>
      <c r="N198" s="256">
        <v>10</v>
      </c>
      <c r="O198" s="254"/>
      <c r="P198" s="254"/>
      <c r="Q198" s="254"/>
      <c r="R198" s="201"/>
      <c r="S198" s="275">
        <v>0.9</v>
      </c>
      <c r="T198" s="228"/>
      <c r="U198" s="228"/>
      <c r="V198" s="228"/>
      <c r="W198" s="287"/>
      <c r="X198" s="279"/>
      <c r="Y198" s="255"/>
      <c r="Z198" s="255"/>
      <c r="AA198" s="255"/>
      <c r="AB198" s="255"/>
    </row>
    <row r="199" spans="1:32">
      <c r="A199" s="169"/>
      <c r="D199" s="170"/>
      <c r="E199" s="64"/>
      <c r="F199" s="224" t="s">
        <v>1149</v>
      </c>
      <c r="H199" s="173"/>
      <c r="I199" s="173"/>
      <c r="J199" s="256">
        <v>2020</v>
      </c>
      <c r="K199" s="257"/>
      <c r="L199" s="257"/>
      <c r="M199" s="257"/>
      <c r="N199" s="257"/>
      <c r="O199" s="61"/>
      <c r="P199" s="61"/>
      <c r="Q199" s="61"/>
      <c r="R199" s="61"/>
      <c r="S199" s="276"/>
      <c r="T199" s="55"/>
      <c r="U199" s="55"/>
      <c r="V199" s="55"/>
      <c r="W199" s="283"/>
      <c r="X199" s="278"/>
      <c r="Y199" s="61"/>
      <c r="Z199" s="61"/>
      <c r="AA199" s="61"/>
      <c r="AB199" s="61"/>
    </row>
    <row r="200" spans="1:32">
      <c r="A200" s="169"/>
      <c r="F200" s="224" t="s">
        <v>1149</v>
      </c>
      <c r="H200" s="173"/>
      <c r="I200" s="173"/>
      <c r="J200" s="256">
        <v>2030</v>
      </c>
      <c r="K200" s="257"/>
      <c r="L200" s="257"/>
      <c r="M200" s="257"/>
      <c r="N200" s="257"/>
      <c r="O200" s="61"/>
      <c r="P200" s="61"/>
      <c r="Q200" s="61"/>
      <c r="R200" s="61"/>
      <c r="S200" s="276"/>
      <c r="T200" s="55"/>
      <c r="U200" s="55"/>
      <c r="V200" s="55"/>
      <c r="W200" s="283"/>
      <c r="X200" s="278"/>
      <c r="Y200" s="61"/>
      <c r="Z200" s="61"/>
      <c r="AA200" s="61"/>
      <c r="AB200" s="61"/>
    </row>
    <row r="201" spans="1:32">
      <c r="A201" s="169"/>
      <c r="D201" s="203"/>
      <c r="E201" s="203"/>
      <c r="F201" s="224" t="s">
        <v>1149</v>
      </c>
      <c r="G201" s="203"/>
      <c r="H201" s="266"/>
      <c r="I201" s="266"/>
      <c r="J201" s="256">
        <v>2050</v>
      </c>
      <c r="K201" s="257"/>
      <c r="L201" s="257"/>
      <c r="M201" s="257"/>
      <c r="N201" s="257"/>
      <c r="O201" s="61"/>
      <c r="P201" s="61"/>
      <c r="Q201" s="61"/>
      <c r="R201" s="61"/>
      <c r="S201" s="276"/>
      <c r="T201" s="55"/>
      <c r="U201" s="55"/>
      <c r="V201" s="55"/>
      <c r="W201" s="283"/>
      <c r="X201" s="278"/>
      <c r="Y201" s="61"/>
      <c r="Z201" s="61"/>
      <c r="AA201" s="61"/>
      <c r="AB201" s="61"/>
    </row>
    <row r="202" spans="1:32">
      <c r="A202" s="169" t="s">
        <v>2057</v>
      </c>
      <c r="B202" s="224" t="s">
        <v>2064</v>
      </c>
      <c r="D202" s="212" t="str">
        <f>"IND"&amp;RIGHT(H202,4)&amp;"DSL"&amp;"N"&amp;RIGHT(E202,1)</f>
        <v>INDRDTFDSLN1</v>
      </c>
      <c r="E202" s="224" t="str">
        <f>"Industry "&amp;$AJ$12&amp;" "&amp;RIGHT(H202,2)&amp;" Tractors, Trucks, Fishing boats - New 1"</f>
        <v>Industry Paper &amp; Pulp TF Tractors, Trucks, Fishing boats - New 1</v>
      </c>
      <c r="F202" s="224" t="s">
        <v>1149</v>
      </c>
      <c r="G202" s="173" t="s">
        <v>2081</v>
      </c>
      <c r="H202" s="174" t="str">
        <f>$AI$18</f>
        <v>IRDTF</v>
      </c>
      <c r="I202" s="174"/>
      <c r="J202" s="81">
        <v>2011</v>
      </c>
      <c r="K202" s="81">
        <v>2011</v>
      </c>
      <c r="L202" s="1127">
        <f>L203</f>
        <v>1</v>
      </c>
      <c r="M202" s="256"/>
      <c r="N202" s="256">
        <v>20</v>
      </c>
      <c r="O202" s="1127">
        <f>O203</f>
        <v>30.836264040545181</v>
      </c>
      <c r="P202" s="254"/>
      <c r="Q202" s="254"/>
      <c r="R202" s="1126">
        <v>1</v>
      </c>
      <c r="S202" s="1127">
        <v>1</v>
      </c>
      <c r="T202" s="228"/>
      <c r="U202" s="228"/>
      <c r="V202" s="228"/>
      <c r="W202" s="287"/>
      <c r="X202" s="55"/>
      <c r="Y202" s="55"/>
      <c r="Z202" s="55"/>
      <c r="AA202" s="55"/>
      <c r="AB202" s="55"/>
    </row>
    <row r="203" spans="1:32">
      <c r="A203" s="169" t="s">
        <v>2057</v>
      </c>
      <c r="B203" s="224" t="s">
        <v>2064</v>
      </c>
      <c r="D203" s="55"/>
      <c r="E203" s="55"/>
      <c r="F203" s="224" t="s">
        <v>1149</v>
      </c>
      <c r="G203" s="55"/>
      <c r="H203" s="174"/>
      <c r="I203" s="174"/>
      <c r="J203" s="256">
        <v>2017</v>
      </c>
      <c r="K203" s="256"/>
      <c r="L203" s="1127">
        <f>1/SUMIFS(Transport!$AS$13:$AS$264,Transport!$D$13:$D$264,$B203,Transport!$E$13:$E$264,$A203,Transport!$A$13:$A$264,$J203)</f>
        <v>1</v>
      </c>
      <c r="M203" s="256"/>
      <c r="N203" s="256"/>
      <c r="O203" s="1127">
        <f>SUMIFS(Transport!$AT$13:$AT$264,Transport!$D$13:$D$264,$B203,Transport!$E$13:$E$264,$A203,Transport!$A$13:$A$264,$J203)/1000*6.5</f>
        <v>30.836264040545181</v>
      </c>
      <c r="P203" s="254"/>
      <c r="Q203" s="254"/>
      <c r="R203" s="1126"/>
      <c r="S203" s="275"/>
      <c r="T203" s="228"/>
      <c r="U203" s="228"/>
      <c r="V203" s="228"/>
      <c r="W203" s="228"/>
      <c r="X203" s="55"/>
      <c r="Y203" s="55"/>
      <c r="Z203" s="55"/>
      <c r="AA203" s="55"/>
      <c r="AB203" s="55"/>
    </row>
    <row r="204" spans="1:32">
      <c r="A204" s="169" t="s">
        <v>2057</v>
      </c>
      <c r="B204" s="224" t="s">
        <v>2064</v>
      </c>
      <c r="D204" s="55"/>
      <c r="E204" s="55"/>
      <c r="F204" s="224" t="s">
        <v>1149</v>
      </c>
      <c r="G204" s="55"/>
      <c r="J204" s="256">
        <v>2030</v>
      </c>
      <c r="K204" s="256"/>
      <c r="L204" s="1127">
        <f>1/SUMIFS(Transport!$AS$13:$AS$264,Transport!$D$13:$D$264,$B204,Transport!$E$13:$E$264,$A204,Transport!$A$13:$A$264,$J204)</f>
        <v>1.4579105312754643</v>
      </c>
      <c r="M204" s="256"/>
      <c r="N204" s="256"/>
      <c r="O204" s="1127">
        <f>SUMIFS(Transport!$AT$13:$AT$264,Transport!$D$13:$D$264,$B204,Transport!$E$13:$E$264,$A204,Transport!$A$13:$A$264,$J204)/1000*6.5</f>
        <v>31.806294618979205</v>
      </c>
      <c r="P204" s="254"/>
      <c r="Q204" s="254"/>
      <c r="R204" s="1126"/>
      <c r="S204" s="275"/>
      <c r="T204" s="228"/>
      <c r="U204" s="228"/>
      <c r="V204" s="228"/>
      <c r="W204" s="228"/>
      <c r="X204" s="55"/>
      <c r="Y204" s="55"/>
      <c r="Z204" s="55"/>
      <c r="AA204" s="55"/>
      <c r="AB204" s="55"/>
    </row>
    <row r="205" spans="1:32">
      <c r="A205" s="169" t="s">
        <v>2057</v>
      </c>
      <c r="B205" s="224" t="s">
        <v>2064</v>
      </c>
      <c r="D205" s="55"/>
      <c r="E205" s="55"/>
      <c r="F205" s="224" t="s">
        <v>1149</v>
      </c>
      <c r="G205" s="55"/>
      <c r="J205" s="256">
        <v>2050</v>
      </c>
      <c r="K205" s="256"/>
      <c r="L205" s="1127">
        <f>1/SUMIFS(Transport!$AS$13:$AS$264,Transport!$D$13:$D$264,$B205,Transport!$E$13:$E$264,$A205,Transport!$A$13:$A$264,$J205)</f>
        <v>1.612189818950156</v>
      </c>
      <c r="M205" s="256"/>
      <c r="N205" s="256"/>
      <c r="O205" s="1127">
        <f>SUMIFS(Transport!$AT$13:$AT$264,Transport!$D$13:$D$264,$B205,Transport!$E$13:$E$264,$A205,Transport!$A$13:$A$264,$J205)/1000*6.5</f>
        <v>32.165108628526795</v>
      </c>
      <c r="P205" s="254"/>
      <c r="Q205" s="254"/>
      <c r="R205" s="1126"/>
      <c r="S205" s="275"/>
      <c r="T205" s="228"/>
      <c r="U205" s="228"/>
      <c r="V205" s="228"/>
      <c r="W205" s="228"/>
      <c r="X205" s="55"/>
      <c r="Y205" s="55"/>
      <c r="Z205" s="55"/>
      <c r="AA205" s="55"/>
      <c r="AB205" s="55"/>
    </row>
    <row r="206" spans="1:32">
      <c r="A206" s="169" t="s">
        <v>2062</v>
      </c>
      <c r="B206" s="224" t="s">
        <v>2064</v>
      </c>
      <c r="D206" s="212" t="str">
        <f>"IND"&amp;RIGHT(H206,4)&amp;"H2G"&amp;"N"&amp;RIGHT(E206,1)</f>
        <v>INDRDTFH2GN2</v>
      </c>
      <c r="E206" s="224" t="str">
        <f>"Industry "&amp;$AJ$12&amp;" "&amp;RIGHT(H206,2)&amp;" Tractors, Trucks, Fishing boats - New 2"</f>
        <v>Industry Paper &amp; Pulp TF Tractors, Trucks, Fishing boats - New 2</v>
      </c>
      <c r="F206" s="224" t="s">
        <v>1149</v>
      </c>
      <c r="G206" s="55" t="s">
        <v>2077</v>
      </c>
      <c r="H206" s="174" t="str">
        <f>$AI$18</f>
        <v>IRDTF</v>
      </c>
      <c r="I206" s="174"/>
      <c r="J206" s="81">
        <v>2017</v>
      </c>
      <c r="K206" s="81">
        <v>2030</v>
      </c>
      <c r="L206" s="1127">
        <f>1/SUMIFS(Transport!$AS$13:$AS$264,Transport!$D$13:$D$264,$B206,Transport!$E$13:$E$264,$A206,Transport!$A$13:$A$264,$J206)</f>
        <v>1.6201914448931107</v>
      </c>
      <c r="M206" s="256"/>
      <c r="N206" s="256">
        <v>20</v>
      </c>
      <c r="O206" s="1127">
        <f>SUMIFS(Transport!$AT$13:$AT$264,Transport!$D$13:$D$264,$B206,Transport!$E$13:$E$264,$A206,Transport!$A$13:$A$264,$J206)/1000*6.5</f>
        <v>81.840656028484005</v>
      </c>
      <c r="P206" s="254"/>
      <c r="Q206" s="254"/>
      <c r="R206" s="1126">
        <v>1</v>
      </c>
      <c r="S206" s="1127">
        <v>1</v>
      </c>
      <c r="T206" s="228"/>
      <c r="U206" s="228"/>
      <c r="V206" s="228"/>
      <c r="W206" s="287"/>
      <c r="X206" s="55"/>
      <c r="Y206" s="55"/>
      <c r="Z206" s="55"/>
      <c r="AA206" s="55"/>
      <c r="AB206" s="55"/>
    </row>
    <row r="207" spans="1:32">
      <c r="A207" s="169" t="s">
        <v>2062</v>
      </c>
      <c r="B207" s="224" t="s">
        <v>2064</v>
      </c>
      <c r="D207" s="55"/>
      <c r="E207" s="55"/>
      <c r="F207" s="224" t="s">
        <v>1149</v>
      </c>
      <c r="G207" s="55"/>
      <c r="H207" s="174"/>
      <c r="I207" s="174"/>
      <c r="J207" s="256">
        <v>2017</v>
      </c>
      <c r="K207" s="256"/>
      <c r="L207" s="1127">
        <f>1/SUMIFS(Transport!$AS$13:$AS$264,Transport!$D$13:$D$264,$B207,Transport!$E$13:$E$264,$A207,Transport!$A$13:$A$264,$J207)</f>
        <v>1.6201914448931107</v>
      </c>
      <c r="M207" s="256"/>
      <c r="N207" s="256"/>
      <c r="O207" s="1127">
        <f>SUMIFS(Transport!$AT$13:$AT$264,Transport!$D$13:$D$264,$B207,Transport!$E$13:$E$264,$A207,Transport!$A$13:$A$264,$J207)/1000*6.5</f>
        <v>81.840656028484005</v>
      </c>
      <c r="P207" s="254"/>
      <c r="Q207" s="254"/>
      <c r="R207" s="1126"/>
      <c r="S207" s="275"/>
      <c r="T207" s="228"/>
      <c r="U207" s="228"/>
      <c r="V207" s="228"/>
      <c r="W207" s="228"/>
      <c r="X207" s="55"/>
      <c r="Y207" s="55"/>
      <c r="Z207" s="55"/>
      <c r="AA207" s="55"/>
      <c r="AB207" s="55"/>
    </row>
    <row r="208" spans="1:32">
      <c r="A208" s="169" t="s">
        <v>2062</v>
      </c>
      <c r="B208" s="224" t="s">
        <v>2064</v>
      </c>
      <c r="D208" s="55"/>
      <c r="E208" s="55"/>
      <c r="F208" s="224" t="s">
        <v>1149</v>
      </c>
      <c r="G208" s="55"/>
      <c r="J208" s="256">
        <v>2030</v>
      </c>
      <c r="K208" s="256"/>
      <c r="L208" s="1127">
        <f>1/SUMIFS(Transport!$AS$13:$AS$264,Transport!$D$13:$D$264,$B208,Transport!$E$13:$E$264,$A208,Transport!$A$13:$A$264,$J208)</f>
        <v>2.4143776559781225</v>
      </c>
      <c r="M208" s="256"/>
      <c r="N208" s="256"/>
      <c r="O208" s="1127">
        <f>SUMIFS(Transport!$AT$13:$AT$264,Transport!$D$13:$D$264,$B208,Transport!$E$13:$E$264,$A208,Transport!$A$13:$A$264,$J208)/1000*6.5</f>
        <v>34.253254247071318</v>
      </c>
      <c r="P208" s="254"/>
      <c r="Q208" s="254"/>
      <c r="R208" s="1126"/>
      <c r="S208" s="275"/>
      <c r="T208" s="228"/>
      <c r="U208" s="228"/>
      <c r="V208" s="228"/>
      <c r="W208" s="228"/>
      <c r="X208" s="55"/>
      <c r="Y208" s="55"/>
      <c r="Z208" s="55"/>
      <c r="AA208" s="55"/>
      <c r="AB208" s="55"/>
    </row>
    <row r="209" spans="1:28">
      <c r="A209" s="169" t="s">
        <v>2062</v>
      </c>
      <c r="B209" s="224" t="s">
        <v>2064</v>
      </c>
      <c r="D209" s="55"/>
      <c r="E209" s="55"/>
      <c r="F209" s="224" t="s">
        <v>1149</v>
      </c>
      <c r="G209" s="55"/>
      <c r="J209" s="256">
        <v>2050</v>
      </c>
      <c r="K209" s="256"/>
      <c r="L209" s="1127">
        <f>1/SUMIFS(Transport!$AS$13:$AS$264,Transport!$D$13:$D$264,$B209,Transport!$E$13:$E$264,$A209,Transport!$A$13:$A$264,$J209)</f>
        <v>2.9956358502626648</v>
      </c>
      <c r="M209" s="256"/>
      <c r="N209" s="256"/>
      <c r="O209" s="1127">
        <f>SUMIFS(Transport!$AT$13:$AT$264,Transport!$D$13:$D$264,$B209,Transport!$E$13:$E$264,$A209,Transport!$A$13:$A$264,$J209)/1000*6.5</f>
        <v>28.800352543800432</v>
      </c>
      <c r="P209" s="254"/>
      <c r="Q209" s="254"/>
      <c r="R209" s="1126"/>
      <c r="S209" s="275"/>
      <c r="T209" s="228"/>
      <c r="U209" s="228"/>
      <c r="V209" s="228"/>
      <c r="W209" s="228"/>
      <c r="X209" s="55"/>
      <c r="Y209" s="55"/>
      <c r="Z209" s="55"/>
      <c r="AA209" s="55"/>
      <c r="AB209" s="55"/>
    </row>
    <row r="210" spans="1:28">
      <c r="A210" s="169" t="s">
        <v>2061</v>
      </c>
      <c r="B210" s="224" t="s">
        <v>2064</v>
      </c>
      <c r="D210" s="212" t="str">
        <f>"IND"&amp;RIGHT(H210,4)&amp;"ELC"&amp;"N"&amp;RIGHT(E210,1)</f>
        <v>INDRDTFELCN3</v>
      </c>
      <c r="E210" s="224" t="str">
        <f>"Industry "&amp;$AJ$12&amp;" "&amp;RIGHT(H210,2)&amp;" Tractors, Trucks, Fishing boats - New 3"</f>
        <v>Industry Paper &amp; Pulp TF Tractors, Trucks, Fishing boats - New 3</v>
      </c>
      <c r="F210" s="224" t="s">
        <v>1149</v>
      </c>
      <c r="G210" s="55" t="s">
        <v>499</v>
      </c>
      <c r="H210" s="174" t="str">
        <f>$AI$18</f>
        <v>IRDTF</v>
      </c>
      <c r="I210" s="174"/>
      <c r="J210" s="81">
        <v>2017</v>
      </c>
      <c r="K210" s="81">
        <v>2025</v>
      </c>
      <c r="L210" s="1127">
        <f>1/SUMIFS(Transport!$AS$13:$AS$264,Transport!$D$13:$D$264,$B210,Transport!$E$13:$E$264,$A210,Transport!$A$13:$A$264,$J210)</f>
        <v>3.2991956437648962</v>
      </c>
      <c r="M210" s="256"/>
      <c r="N210" s="256">
        <v>20</v>
      </c>
      <c r="O210" s="1127">
        <f>SUMIFS(Transport!$AT$13:$AT$264,Transport!$D$13:$D$264,$B210,Transport!$E$13:$E$264,$A210,Transport!$A$13:$A$264,$J210)/1000*6.5</f>
        <v>72.592990417868862</v>
      </c>
      <c r="P210" s="254"/>
      <c r="Q210" s="254"/>
      <c r="R210" s="1126">
        <v>1</v>
      </c>
      <c r="S210" s="1127">
        <v>1</v>
      </c>
      <c r="T210" s="228"/>
      <c r="U210" s="228"/>
      <c r="V210" s="228"/>
      <c r="W210" s="287"/>
      <c r="X210" s="55"/>
      <c r="Y210" s="55"/>
      <c r="Z210" s="55"/>
      <c r="AA210" s="55"/>
      <c r="AB210" s="55"/>
    </row>
    <row r="211" spans="1:28">
      <c r="A211" s="169" t="s">
        <v>2061</v>
      </c>
      <c r="B211" s="224" t="s">
        <v>2064</v>
      </c>
      <c r="D211" s="55"/>
      <c r="E211" s="55"/>
      <c r="F211" s="224" t="s">
        <v>1149</v>
      </c>
      <c r="G211" s="55"/>
      <c r="H211" s="174"/>
      <c r="I211" s="174"/>
      <c r="J211" s="256">
        <v>2017</v>
      </c>
      <c r="K211" s="256"/>
      <c r="L211" s="1127">
        <f>1/SUMIFS(Transport!$AS$13:$AS$264,Transport!$D$13:$D$264,$B211,Transport!$E$13:$E$264,$A211,Transport!$A$13:$A$264,$J211)</f>
        <v>3.2991956437648962</v>
      </c>
      <c r="M211" s="256"/>
      <c r="N211" s="256"/>
      <c r="O211" s="1127">
        <f>SUMIFS(Transport!$AT$13:$AT$264,Transport!$D$13:$D$264,$B211,Transport!$E$13:$E$264,$A211,Transport!$A$13:$A$264,$J211)/1000*6.5</f>
        <v>72.592990417868862</v>
      </c>
      <c r="P211" s="254"/>
      <c r="Q211" s="254"/>
      <c r="R211" s="201"/>
      <c r="S211" s="275"/>
      <c r="T211" s="228"/>
      <c r="U211" s="228"/>
      <c r="V211" s="228"/>
      <c r="W211" s="228"/>
      <c r="X211" s="55"/>
      <c r="Y211" s="55"/>
      <c r="Z211" s="55"/>
      <c r="AA211" s="55"/>
      <c r="AB211" s="55"/>
    </row>
    <row r="212" spans="1:28">
      <c r="A212" s="169" t="s">
        <v>2061</v>
      </c>
      <c r="B212" s="224" t="s">
        <v>2064</v>
      </c>
      <c r="D212" s="55"/>
      <c r="E212" s="55"/>
      <c r="F212" s="224" t="s">
        <v>1149</v>
      </c>
      <c r="G212" s="55"/>
      <c r="J212" s="256">
        <v>2030</v>
      </c>
      <c r="K212" s="256"/>
      <c r="L212" s="1127">
        <f>1/SUMIFS(Transport!$AS$13:$AS$264,Transport!$D$13:$D$264,$B212,Transport!$E$13:$E$264,$A212,Transport!$A$13:$A$264,$J212)</f>
        <v>3.2991956437648962</v>
      </c>
      <c r="M212" s="256"/>
      <c r="N212" s="256"/>
      <c r="O212" s="1127">
        <f>SUMIFS(Transport!$AT$13:$AT$264,Transport!$D$13:$D$264,$B212,Transport!$E$13:$E$264,$A212,Transport!$A$13:$A$264,$J212)/1000*6.5</f>
        <v>35.973025982850046</v>
      </c>
      <c r="P212" s="254"/>
      <c r="Q212" s="254"/>
      <c r="R212" s="201"/>
      <c r="S212" s="275"/>
      <c r="T212" s="228"/>
      <c r="U212" s="228"/>
      <c r="V212" s="228"/>
      <c r="W212" s="228"/>
      <c r="X212" s="55"/>
      <c r="Y212" s="55"/>
      <c r="Z212" s="55"/>
      <c r="AA212" s="55"/>
      <c r="AB212" s="55"/>
    </row>
    <row r="213" spans="1:28">
      <c r="A213" s="169" t="s">
        <v>2061</v>
      </c>
      <c r="B213" s="224" t="s">
        <v>2064</v>
      </c>
      <c r="D213" s="55"/>
      <c r="E213" s="55"/>
      <c r="F213" s="224" t="s">
        <v>1149</v>
      </c>
      <c r="G213" s="55"/>
      <c r="J213" s="256">
        <v>2050</v>
      </c>
      <c r="K213" s="256"/>
      <c r="L213" s="1127">
        <f>1/SUMIFS(Transport!$AS$13:$AS$264,Transport!$D$13:$D$264,$B213,Transport!$E$13:$E$264,$A213,Transport!$A$13:$A$264,$J213)</f>
        <v>3.2991956437648962</v>
      </c>
      <c r="M213" s="256"/>
      <c r="N213" s="256"/>
      <c r="O213" s="1127">
        <f>SUMIFS(Transport!$AT$13:$AT$264,Transport!$D$13:$D$264,$B213,Transport!$E$13:$E$264,$A213,Transport!$A$13:$A$264,$J213)/1000*6.5</f>
        <v>28.759134300809922</v>
      </c>
      <c r="P213" s="254"/>
      <c r="Q213" s="254"/>
      <c r="R213" s="201"/>
      <c r="S213" s="275"/>
      <c r="T213" s="228"/>
      <c r="U213" s="228"/>
      <c r="V213" s="228"/>
      <c r="W213" s="228"/>
      <c r="X213" s="55"/>
      <c r="Y213" s="55"/>
      <c r="Z213" s="55"/>
      <c r="AA213" s="55"/>
      <c r="AB213" s="55"/>
    </row>
    <row r="214" spans="1:28">
      <c r="A214" s="169"/>
      <c r="D214" s="212" t="str">
        <f>"IND"&amp;RIGHT(H214,4)&amp;RIGHT(G214,3)&amp;"N"&amp;RIGHT(E214,1)</f>
        <v>INDRDFLELCN1</v>
      </c>
      <c r="E214" s="224" t="str">
        <f>"Industry "&amp;$AJ$12&amp;" "&amp;RIGHT(H202,2)&amp;" Forklifts - New 1"</f>
        <v>Industry Paper &amp; Pulp TF Forklifts - New 1</v>
      </c>
      <c r="F214" s="224" t="s">
        <v>1149</v>
      </c>
      <c r="G214" s="173" t="s">
        <v>2128</v>
      </c>
      <c r="H214" s="224" t="str">
        <f>AI19</f>
        <v>IRDFL</v>
      </c>
      <c r="J214" s="81">
        <v>2011</v>
      </c>
      <c r="K214" s="81">
        <v>2011</v>
      </c>
      <c r="L214" s="256">
        <v>1</v>
      </c>
      <c r="M214" s="256"/>
      <c r="N214" s="256">
        <v>10</v>
      </c>
      <c r="O214" s="254"/>
      <c r="P214" s="254"/>
      <c r="Q214" s="254"/>
      <c r="R214" s="201"/>
      <c r="S214" s="275">
        <v>0.9</v>
      </c>
      <c r="T214" s="228"/>
      <c r="U214" s="228"/>
      <c r="V214" s="228"/>
      <c r="W214" s="228"/>
      <c r="X214" s="55"/>
      <c r="Y214" s="55"/>
      <c r="Z214" s="55"/>
      <c r="AA214" s="55"/>
      <c r="AB214" s="55"/>
    </row>
    <row r="215" spans="1:28">
      <c r="A215" s="169"/>
      <c r="D215" s="55"/>
      <c r="E215" s="55"/>
      <c r="F215" s="224" t="s">
        <v>1149</v>
      </c>
      <c r="G215" s="55"/>
      <c r="H215" s="174"/>
      <c r="I215" s="174"/>
      <c r="J215" s="256">
        <v>2020</v>
      </c>
      <c r="K215" s="256"/>
      <c r="L215" s="256"/>
      <c r="M215" s="256"/>
      <c r="N215" s="257"/>
      <c r="O215" s="61"/>
      <c r="P215" s="61"/>
      <c r="Q215" s="61"/>
      <c r="R215" s="61"/>
      <c r="S215" s="276"/>
      <c r="T215" s="55"/>
      <c r="U215" s="55"/>
      <c r="V215" s="55"/>
      <c r="W215" s="55"/>
      <c r="X215" s="55"/>
      <c r="Y215" s="55"/>
      <c r="Z215" s="55"/>
      <c r="AA215" s="55"/>
      <c r="AB215" s="55"/>
    </row>
    <row r="216" spans="1:28">
      <c r="A216" s="169"/>
      <c r="D216" s="55"/>
      <c r="E216" s="55"/>
      <c r="F216" s="224" t="s">
        <v>1149</v>
      </c>
      <c r="G216" s="55"/>
      <c r="J216" s="256">
        <v>2030</v>
      </c>
      <c r="K216" s="256"/>
      <c r="L216" s="256"/>
      <c r="M216" s="256"/>
      <c r="N216" s="257"/>
      <c r="O216" s="61"/>
      <c r="P216" s="61"/>
      <c r="Q216" s="61"/>
      <c r="R216" s="61"/>
      <c r="S216" s="276"/>
      <c r="T216" s="55"/>
      <c r="U216" s="55"/>
      <c r="V216" s="55"/>
      <c r="W216" s="55"/>
      <c r="X216" s="55"/>
      <c r="Y216" s="55"/>
      <c r="Z216" s="55"/>
      <c r="AA216" s="55"/>
      <c r="AB216" s="55"/>
    </row>
    <row r="217" spans="1:28">
      <c r="A217" s="169"/>
      <c r="D217" s="55"/>
      <c r="E217" s="55"/>
      <c r="F217" s="224" t="s">
        <v>1149</v>
      </c>
      <c r="G217" s="55"/>
      <c r="H217" s="174"/>
      <c r="I217" s="174"/>
      <c r="J217" s="256">
        <v>2050</v>
      </c>
      <c r="K217" s="256"/>
      <c r="L217" s="256"/>
      <c r="M217" s="256"/>
      <c r="N217" s="257"/>
      <c r="O217" s="61"/>
      <c r="P217" s="61"/>
      <c r="Q217" s="61"/>
      <c r="R217" s="61"/>
      <c r="S217" s="276"/>
      <c r="T217" s="55"/>
      <c r="U217" s="55"/>
      <c r="V217" s="55"/>
      <c r="W217" s="55"/>
      <c r="X217" s="55"/>
      <c r="Y217" s="55"/>
      <c r="Z217" s="55"/>
      <c r="AA217" s="55"/>
      <c r="AB217" s="55"/>
    </row>
    <row r="218" spans="1:28">
      <c r="A218" s="169" t="s">
        <v>2107</v>
      </c>
      <c r="D218" s="212" t="str">
        <f>"IND"&amp;RIGHT(H218,4)&amp;RIGHT(G218,3)&amp;"N"&amp;RIGHT(E218,1)</f>
        <v>INDRDCOELCN1</v>
      </c>
      <c r="E218" s="224" t="str">
        <f>"Industry "&amp;$AJ$12&amp;" "&amp;RIGHT(H218,2)&amp;" Cooling - New 1"</f>
        <v>Industry Paper &amp; Pulp CO Cooling - New 1</v>
      </c>
      <c r="F218" s="224" t="s">
        <v>1149</v>
      </c>
      <c r="G218" s="173" t="s">
        <v>499</v>
      </c>
      <c r="H218" s="224" t="str">
        <f>AI21</f>
        <v>IRDCO</v>
      </c>
      <c r="J218" s="82">
        <v>2015</v>
      </c>
      <c r="K218" s="82">
        <v>2015</v>
      </c>
      <c r="L218" s="1128">
        <v>1</v>
      </c>
      <c r="M218" s="1129"/>
      <c r="N218" s="1129">
        <v>12</v>
      </c>
      <c r="O218" s="1130">
        <v>3.3525</v>
      </c>
      <c r="P218" s="1131">
        <v>0.31662500000000005</v>
      </c>
      <c r="Q218" s="1131"/>
      <c r="R218" s="1132">
        <v>3.1536000000000002E-2</v>
      </c>
      <c r="S218" s="1133">
        <v>8.3999999999999991E-2</v>
      </c>
    </row>
    <row r="219" spans="1:28">
      <c r="A219" s="169"/>
      <c r="F219" s="224" t="s">
        <v>1149</v>
      </c>
      <c r="H219" s="173"/>
      <c r="I219" s="173"/>
      <c r="J219" s="1129">
        <v>2020</v>
      </c>
      <c r="K219" s="1129"/>
      <c r="L219" s="1128">
        <v>1</v>
      </c>
      <c r="M219" s="1129"/>
      <c r="N219" s="257">
        <v>12</v>
      </c>
      <c r="O219" s="61">
        <v>3.1662499999999998</v>
      </c>
      <c r="P219" s="61">
        <v>0.30110722454958749</v>
      </c>
      <c r="Q219" s="61"/>
      <c r="R219" s="61">
        <v>3.1536000000000002E-2</v>
      </c>
      <c r="S219" s="276">
        <v>8.3999999999999991E-2</v>
      </c>
    </row>
    <row r="220" spans="1:28">
      <c r="A220" s="169"/>
      <c r="F220" s="224" t="s">
        <v>1149</v>
      </c>
      <c r="J220" s="1129">
        <v>2030</v>
      </c>
      <c r="K220" s="1129"/>
      <c r="L220" s="1128">
        <v>1</v>
      </c>
      <c r="M220" s="1129"/>
      <c r="N220" s="257">
        <v>12</v>
      </c>
      <c r="O220" s="61">
        <v>3.1662499999999998</v>
      </c>
      <c r="P220" s="61">
        <v>0.30110722454958749</v>
      </c>
      <c r="Q220" s="61"/>
      <c r="R220" s="61">
        <v>3.1536000000000002E-2</v>
      </c>
      <c r="S220" s="276">
        <v>8.3999999999999991E-2</v>
      </c>
    </row>
    <row r="221" spans="1:28">
      <c r="A221" s="169"/>
      <c r="F221" s="224" t="s">
        <v>1149</v>
      </c>
      <c r="H221" s="173"/>
      <c r="I221" s="173"/>
      <c r="J221" s="1129">
        <v>2050</v>
      </c>
      <c r="K221" s="1129"/>
      <c r="L221" s="1128">
        <v>1</v>
      </c>
      <c r="M221" s="1129"/>
      <c r="N221" s="257">
        <v>12</v>
      </c>
      <c r="O221" s="61">
        <v>3.1662499999999998</v>
      </c>
      <c r="P221" s="61">
        <v>0.30110722454958749</v>
      </c>
      <c r="Q221" s="61"/>
      <c r="R221" s="61">
        <v>3.1536000000000002E-2</v>
      </c>
      <c r="S221" s="276">
        <v>8.3999999999999991E-2</v>
      </c>
    </row>
    <row r="222" spans="1:28">
      <c r="A222" s="169"/>
    </row>
    <row r="223" spans="1:28">
      <c r="A223" s="169"/>
    </row>
    <row r="224" spans="1:28">
      <c r="A224" s="169"/>
    </row>
    <row r="225" spans="1:10">
      <c r="A225" s="169"/>
    </row>
    <row r="226" spans="1:10">
      <c r="A226" s="169"/>
      <c r="C226" s="207" t="s">
        <v>467</v>
      </c>
      <c r="D226" s="208"/>
      <c r="E226" s="208"/>
      <c r="F226" s="208"/>
      <c r="G226" s="208"/>
      <c r="H226" s="208"/>
      <c r="I226" s="208"/>
      <c r="J226" s="208"/>
    </row>
    <row r="227" spans="1:10">
      <c r="A227" s="169"/>
      <c r="C227" s="209" t="s">
        <v>466</v>
      </c>
      <c r="D227" s="209" t="s">
        <v>425</v>
      </c>
      <c r="E227" s="209" t="s">
        <v>465</v>
      </c>
      <c r="F227" s="209" t="s">
        <v>464</v>
      </c>
      <c r="G227" s="209" t="s">
        <v>463</v>
      </c>
      <c r="H227" s="209" t="s">
        <v>462</v>
      </c>
      <c r="I227" s="209" t="s">
        <v>461</v>
      </c>
      <c r="J227" s="209" t="s">
        <v>460</v>
      </c>
    </row>
    <row r="228" spans="1:10" ht="25" thickBot="1">
      <c r="A228" s="169"/>
      <c r="C228" s="210" t="s">
        <v>459</v>
      </c>
      <c r="D228" s="210" t="s">
        <v>458</v>
      </c>
      <c r="E228" s="210" t="s">
        <v>457</v>
      </c>
      <c r="F228" s="210" t="s">
        <v>456</v>
      </c>
      <c r="G228" s="210" t="s">
        <v>455</v>
      </c>
      <c r="H228" s="210" t="s">
        <v>454</v>
      </c>
      <c r="I228" s="210" t="s">
        <v>453</v>
      </c>
      <c r="J228" s="210" t="s">
        <v>452</v>
      </c>
    </row>
    <row r="229" spans="1:10">
      <c r="A229" s="169"/>
      <c r="C229" s="211" t="s">
        <v>504</v>
      </c>
      <c r="D229" s="212" t="str">
        <f>D9</f>
        <v>INDRDPHELCN1</v>
      </c>
      <c r="E229" s="212" t="str">
        <f t="shared" ref="E229:E260" si="266">VLOOKUP(D229,$D$9:$E$222,2,FALSE)</f>
        <v>Industrial heating technology Paper &amp; Pulp PH - Heat pump utilizing waste heat - new 1</v>
      </c>
      <c r="F229" s="211" t="s">
        <v>450</v>
      </c>
      <c r="G229" s="211" t="s">
        <v>449</v>
      </c>
      <c r="H229" s="263" t="s">
        <v>620</v>
      </c>
      <c r="I229" s="301"/>
      <c r="J229" s="208" t="s">
        <v>469</v>
      </c>
    </row>
    <row r="230" spans="1:10">
      <c r="A230" s="169"/>
      <c r="B230" s="301"/>
      <c r="C230" s="301"/>
      <c r="D230" s="212" t="str">
        <f t="shared" ref="D230:D238" ca="1" si="267">OFFSET($D$9,(ROW(D1)*6),0)</f>
        <v>INDRDSHELCN1</v>
      </c>
      <c r="E230" s="212" t="str">
        <f t="shared" ca="1" si="266"/>
        <v>Industrial heating technology Paper &amp; Pulp SH - Heat pump utilizing waste heat - new 1</v>
      </c>
      <c r="F230" s="262" t="s">
        <v>450</v>
      </c>
      <c r="G230" s="262" t="s">
        <v>449</v>
      </c>
      <c r="H230" s="263" t="s">
        <v>620</v>
      </c>
      <c r="I230" s="301"/>
      <c r="J230" s="264" t="s">
        <v>469</v>
      </c>
    </row>
    <row r="231" spans="1:10">
      <c r="A231" s="169"/>
      <c r="D231" s="212" t="str">
        <f t="shared" ca="1" si="267"/>
        <v>INDRDPHELCN2</v>
      </c>
      <c r="E231" s="212" t="str">
        <f t="shared" ca="1" si="266"/>
        <v>Industrial heating technology Paper &amp; Pulp PH - Heat driven heat pump utilizing waste heat - new 2</v>
      </c>
      <c r="F231" s="211" t="s">
        <v>450</v>
      </c>
      <c r="G231" s="211" t="s">
        <v>449</v>
      </c>
      <c r="H231" s="263" t="s">
        <v>620</v>
      </c>
      <c r="I231" s="208"/>
      <c r="J231" s="264" t="s">
        <v>469</v>
      </c>
    </row>
    <row r="232" spans="1:10">
      <c r="A232" s="169"/>
      <c r="B232" s="211"/>
      <c r="C232" s="211"/>
      <c r="D232" s="212" t="str">
        <f t="shared" ca="1" si="267"/>
        <v>INDRDSHELCN2</v>
      </c>
      <c r="E232" s="212" t="str">
        <f t="shared" ca="1" si="266"/>
        <v>Industrial heating technology Paper &amp; Pulp SH - Heat driven heat pump utilizing waste heat - new 2</v>
      </c>
      <c r="F232" s="262" t="s">
        <v>450</v>
      </c>
      <c r="G232" s="262" t="s">
        <v>449</v>
      </c>
      <c r="H232" s="263" t="s">
        <v>620</v>
      </c>
      <c r="I232" s="264"/>
      <c r="J232" s="264" t="s">
        <v>469</v>
      </c>
    </row>
    <row r="233" spans="1:10">
      <c r="A233" s="169"/>
      <c r="B233" s="211"/>
      <c r="C233" s="211"/>
      <c r="D233" s="212" t="str">
        <f t="shared" ca="1" si="267"/>
        <v>INDRDPHELCN3</v>
      </c>
      <c r="E233" s="212" t="str">
        <f t="shared" ca="1" si="266"/>
        <v>Industrial heating technology Paper &amp; Pulp PH - High Temp abs. Heat pump utilizing waste heat - new 3</v>
      </c>
      <c r="F233" s="262" t="s">
        <v>450</v>
      </c>
      <c r="G233" s="262" t="s">
        <v>449</v>
      </c>
      <c r="H233" s="263" t="s">
        <v>620</v>
      </c>
      <c r="I233" s="264"/>
      <c r="J233" s="264" t="s">
        <v>469</v>
      </c>
    </row>
    <row r="234" spans="1:10">
      <c r="A234" s="169"/>
      <c r="B234" s="211"/>
      <c r="C234" s="211"/>
      <c r="D234" s="212" t="str">
        <f t="shared" ca="1" si="267"/>
        <v>INDRDSHELCN3</v>
      </c>
      <c r="E234" s="212" t="str">
        <f t="shared" ca="1" si="266"/>
        <v>Industrial heating technology Paper &amp; Pulp SH - High Temp abs. Heat pump utilizing waste heat - new 3</v>
      </c>
      <c r="F234" s="262" t="s">
        <v>450</v>
      </c>
      <c r="G234" s="262" t="s">
        <v>449</v>
      </c>
      <c r="H234" s="263" t="s">
        <v>620</v>
      </c>
      <c r="I234" s="264"/>
      <c r="J234" s="264" t="s">
        <v>469</v>
      </c>
    </row>
    <row r="235" spans="1:10">
      <c r="A235" s="169"/>
      <c r="B235" s="211"/>
      <c r="C235" s="211"/>
      <c r="D235" s="212" t="str">
        <f t="shared" ca="1" si="267"/>
        <v>INDRDPHELCN4</v>
      </c>
      <c r="E235" s="212" t="str">
        <f t="shared" ca="1" si="266"/>
        <v>Industrial heating technology Paper &amp; Pulp PH - Booster Heat pump utilizing waste heat - new 4</v>
      </c>
      <c r="F235" s="262" t="s">
        <v>450</v>
      </c>
      <c r="G235" s="262" t="s">
        <v>449</v>
      </c>
      <c r="H235" s="263" t="s">
        <v>620</v>
      </c>
      <c r="I235" s="264"/>
      <c r="J235" s="264" t="s">
        <v>469</v>
      </c>
    </row>
    <row r="236" spans="1:10">
      <c r="A236" s="169"/>
      <c r="B236" s="211"/>
      <c r="C236" s="211"/>
      <c r="D236" s="212" t="str">
        <f t="shared" ca="1" si="267"/>
        <v>INDRDSHELCN4</v>
      </c>
      <c r="E236" s="212" t="str">
        <f t="shared" ca="1" si="266"/>
        <v>Industrial heating technology Paper &amp; Pulp SH - Booster Heat pump utilizing waste heat - new 4</v>
      </c>
      <c r="F236" s="262" t="s">
        <v>450</v>
      </c>
      <c r="G236" s="262" t="s">
        <v>449</v>
      </c>
      <c r="H236" s="263" t="s">
        <v>620</v>
      </c>
      <c r="I236" s="264"/>
      <c r="J236" s="264" t="s">
        <v>469</v>
      </c>
    </row>
    <row r="237" spans="1:10">
      <c r="A237" s="169"/>
      <c r="B237" s="211"/>
      <c r="C237" s="211"/>
      <c r="D237" s="212" t="str">
        <f t="shared" ca="1" si="267"/>
        <v>INDRDPHELCN5</v>
      </c>
      <c r="E237" s="212" t="str">
        <f t="shared" ca="1" si="266"/>
        <v>Industrial heating technology Paper &amp; Pulp PH - MVR utilizing waste heat - new 5</v>
      </c>
      <c r="F237" s="262" t="s">
        <v>450</v>
      </c>
      <c r="G237" s="262" t="s">
        <v>449</v>
      </c>
      <c r="H237" s="263"/>
      <c r="I237" s="264"/>
      <c r="J237" s="264" t="s">
        <v>469</v>
      </c>
    </row>
    <row r="238" spans="1:10">
      <c r="A238" s="169"/>
      <c r="B238" s="211"/>
      <c r="C238" s="211"/>
      <c r="D238" s="212" t="str">
        <f t="shared" ca="1" si="267"/>
        <v>INDRDPHWSTN1</v>
      </c>
      <c r="E238" s="212" t="str">
        <f t="shared" ca="1" si="266"/>
        <v>Industrial heating technology Paper &amp; Pulp PH - Hotdisc - new 1</v>
      </c>
      <c r="F238" s="262" t="s">
        <v>450</v>
      </c>
      <c r="G238" s="262" t="s">
        <v>449</v>
      </c>
      <c r="H238" s="263" t="s">
        <v>620</v>
      </c>
      <c r="I238" s="264"/>
      <c r="J238" s="264" t="s">
        <v>469</v>
      </c>
    </row>
    <row r="239" spans="1:10">
      <c r="A239" s="169"/>
      <c r="B239" s="211"/>
      <c r="C239" s="211"/>
      <c r="D239" s="212" t="str">
        <f t="shared" ref="D239:D278" ca="1" si="268">OFFSET($D$9,(ROW(D19)*3),0)</f>
        <v>INDRDPHELCN6</v>
      </c>
      <c r="E239" s="212" t="str">
        <f t="shared" ca="1" si="266"/>
        <v>Industrial heating technology Paper &amp; Pulp PH - Dielectric heating - new 6</v>
      </c>
      <c r="F239" s="262" t="s">
        <v>450</v>
      </c>
      <c r="G239" s="262" t="s">
        <v>449</v>
      </c>
      <c r="H239" s="263" t="s">
        <v>620</v>
      </c>
      <c r="I239" s="264"/>
      <c r="J239" s="264" t="s">
        <v>469</v>
      </c>
    </row>
    <row r="240" spans="1:10">
      <c r="A240" s="169"/>
      <c r="B240" s="211"/>
      <c r="C240" s="211"/>
      <c r="D240" s="212" t="str">
        <f t="shared" ca="1" si="268"/>
        <v>INDRDPHELCN7</v>
      </c>
      <c r="E240" s="212" t="str">
        <f t="shared" ca="1" si="266"/>
        <v>Industrial heating technology Paper &amp; Pulp PH - Infrared heating - new 7</v>
      </c>
      <c r="F240" s="262" t="s">
        <v>450</v>
      </c>
      <c r="G240" s="262" t="s">
        <v>449</v>
      </c>
      <c r="H240" s="263" t="s">
        <v>620</v>
      </c>
      <c r="I240" s="264"/>
      <c r="J240" s="264" t="s">
        <v>469</v>
      </c>
    </row>
    <row r="241" spans="1:16">
      <c r="A241" s="169"/>
      <c r="B241" s="211"/>
      <c r="C241" s="211"/>
      <c r="D241" s="212" t="str">
        <f t="shared" ca="1" si="268"/>
        <v>INDRDPHELCN8</v>
      </c>
      <c r="E241" s="212" t="str">
        <f t="shared" ca="1" si="266"/>
        <v>Industrial heating technology Paper &amp; Pulp PH - Electric boiler (Steam) - new 8</v>
      </c>
      <c r="F241" s="262" t="s">
        <v>450</v>
      </c>
      <c r="G241" s="262" t="s">
        <v>449</v>
      </c>
      <c r="H241" s="263" t="s">
        <v>620</v>
      </c>
      <c r="I241" s="264"/>
      <c r="J241" s="264" t="s">
        <v>469</v>
      </c>
    </row>
    <row r="242" spans="1:16">
      <c r="A242" s="169"/>
      <c r="B242" s="211"/>
      <c r="C242" s="211"/>
      <c r="D242" s="212" t="str">
        <f t="shared" ca="1" si="268"/>
        <v>INDRDPHELCN8</v>
      </c>
      <c r="E242" s="212" t="str">
        <f t="shared" ca="1" si="266"/>
        <v>Industrial heating technology Paper &amp; Pulp PH - Electric boiler (Steam) - new 8</v>
      </c>
      <c r="F242" s="262" t="s">
        <v>450</v>
      </c>
      <c r="G242" s="262" t="s">
        <v>449</v>
      </c>
      <c r="H242" s="263" t="s">
        <v>620</v>
      </c>
      <c r="I242" s="264"/>
      <c r="J242" s="264" t="s">
        <v>469</v>
      </c>
    </row>
    <row r="243" spans="1:16">
      <c r="A243" s="169"/>
      <c r="B243" s="211"/>
      <c r="C243" s="211"/>
      <c r="D243" s="212" t="str">
        <f t="shared" ca="1" si="268"/>
        <v>INDRDSHELCN8</v>
      </c>
      <c r="E243" s="212" t="str">
        <f t="shared" ca="1" si="266"/>
        <v>Industrial heating technology Paper &amp; Pulp SH - Electric boiler (Steam) - new 8</v>
      </c>
      <c r="F243" s="262" t="s">
        <v>450</v>
      </c>
      <c r="G243" s="262" t="s">
        <v>449</v>
      </c>
      <c r="H243" s="263" t="s">
        <v>620</v>
      </c>
      <c r="I243" s="264"/>
      <c r="J243" s="264" t="s">
        <v>469</v>
      </c>
      <c r="P243" s="173"/>
    </row>
    <row r="244" spans="1:16">
      <c r="A244" s="169"/>
      <c r="B244" s="211"/>
      <c r="C244" s="211"/>
      <c r="D244" s="212" t="str">
        <f t="shared" ca="1" si="268"/>
        <v>INDRDPHELCN9</v>
      </c>
      <c r="E244" s="212" t="str">
        <f t="shared" ca="1" si="266"/>
        <v>Industrial heating technology Paper &amp; Pulp PH - Electric boiler (Hot Water) - new 9</v>
      </c>
      <c r="F244" s="262" t="s">
        <v>450</v>
      </c>
      <c r="G244" s="262" t="s">
        <v>449</v>
      </c>
      <c r="H244" s="263" t="s">
        <v>620</v>
      </c>
      <c r="I244" s="264"/>
      <c r="J244" s="264" t="s">
        <v>469</v>
      </c>
      <c r="P244" s="173"/>
    </row>
    <row r="245" spans="1:16">
      <c r="A245" s="169"/>
      <c r="B245" s="211"/>
      <c r="C245" s="211"/>
      <c r="D245" s="212" t="str">
        <f t="shared" ca="1" si="268"/>
        <v>INDRDSHELCN9</v>
      </c>
      <c r="E245" s="212" t="str">
        <f t="shared" ca="1" si="266"/>
        <v>Industrial heating technology Paper &amp; Pulp SH - Electric boiler (Hot Water) - new 9</v>
      </c>
      <c r="F245" s="262" t="s">
        <v>450</v>
      </c>
      <c r="G245" s="262" t="s">
        <v>449</v>
      </c>
      <c r="H245" s="263" t="s">
        <v>620</v>
      </c>
      <c r="I245" s="264"/>
      <c r="J245" s="264" t="s">
        <v>469</v>
      </c>
      <c r="P245" s="173"/>
    </row>
    <row r="246" spans="1:16">
      <c r="A246" s="169"/>
      <c r="B246" s="211"/>
      <c r="C246" s="211"/>
      <c r="D246" s="212" t="str">
        <f t="shared" ca="1" si="268"/>
        <v>INDRDPHWCHN1</v>
      </c>
      <c r="E246" s="212" t="str">
        <f t="shared" ca="1" si="266"/>
        <v>Industrial heating technology Paper &amp; Pulp PH - Wood chip boiler (Steam) - new 1</v>
      </c>
      <c r="F246" s="262" t="s">
        <v>450</v>
      </c>
      <c r="G246" s="262" t="s">
        <v>449</v>
      </c>
      <c r="H246" s="263"/>
      <c r="I246" s="264"/>
      <c r="J246" s="264" t="s">
        <v>469</v>
      </c>
      <c r="P246" s="173"/>
    </row>
    <row r="247" spans="1:16">
      <c r="A247" s="169"/>
      <c r="B247" s="211"/>
      <c r="C247" s="211"/>
      <c r="D247" s="212" t="str">
        <f t="shared" ca="1" si="268"/>
        <v>INDRDPHWCHN1</v>
      </c>
      <c r="E247" s="212" t="str">
        <f t="shared" ca="1" si="266"/>
        <v>Industrial heating technology Paper &amp; Pulp PH - Wood chip boiler (Steam) - new 1</v>
      </c>
      <c r="F247" s="262" t="s">
        <v>450</v>
      </c>
      <c r="G247" s="262" t="s">
        <v>449</v>
      </c>
      <c r="H247" s="263"/>
      <c r="I247" s="264"/>
      <c r="J247" s="264" t="s">
        <v>469</v>
      </c>
      <c r="M247" s="171"/>
      <c r="N247" s="171"/>
      <c r="P247" s="173"/>
    </row>
    <row r="248" spans="1:16">
      <c r="A248" s="169"/>
      <c r="B248" s="211"/>
      <c r="C248" s="211"/>
      <c r="D248" s="212" t="str">
        <f t="shared" ca="1" si="268"/>
        <v>INDRDSHWCHN1</v>
      </c>
      <c r="E248" s="212" t="str">
        <f t="shared" ca="1" si="266"/>
        <v>Industrial heating technology Paper &amp; Pulp SH - Wood chip boiler (Steam) - new 1</v>
      </c>
      <c r="F248" s="262" t="s">
        <v>450</v>
      </c>
      <c r="G248" s="262" t="s">
        <v>449</v>
      </c>
      <c r="H248" s="263"/>
      <c r="I248" s="264"/>
      <c r="J248" s="264" t="s">
        <v>469</v>
      </c>
      <c r="M248" s="171"/>
      <c r="N248" s="171"/>
      <c r="P248" s="173"/>
    </row>
    <row r="249" spans="1:16">
      <c r="A249" s="169"/>
      <c r="B249" s="211"/>
      <c r="C249" s="211"/>
      <c r="D249" s="212" t="str">
        <f t="shared" ca="1" si="268"/>
        <v>INDRDPHWCHN2</v>
      </c>
      <c r="E249" s="212" t="str">
        <f t="shared" ca="1" si="266"/>
        <v>Industrial heating technology Paper &amp; Pulp PH - Wood chip boiler (Steam - condensing) - new 2</v>
      </c>
      <c r="F249" s="262" t="s">
        <v>450</v>
      </c>
      <c r="G249" s="262" t="s">
        <v>449</v>
      </c>
      <c r="H249" s="263"/>
      <c r="I249" s="264"/>
      <c r="J249" s="264" t="s">
        <v>469</v>
      </c>
      <c r="M249" s="171"/>
      <c r="N249" s="171"/>
      <c r="P249" s="173"/>
    </row>
    <row r="250" spans="1:16">
      <c r="A250" s="169"/>
      <c r="B250" s="212"/>
      <c r="C250" s="212"/>
      <c r="D250" s="212" t="str">
        <f t="shared" ca="1" si="268"/>
        <v>INDRDSHWCHN2</v>
      </c>
      <c r="E250" s="212" t="str">
        <f t="shared" ca="1" si="266"/>
        <v>Industrial heating technology Paper &amp; Pulp SH - Wood chip boiler (Steam - condensing) - new 2</v>
      </c>
      <c r="F250" s="262" t="s">
        <v>450</v>
      </c>
      <c r="G250" s="262" t="s">
        <v>449</v>
      </c>
      <c r="H250" s="263"/>
      <c r="I250" s="264"/>
      <c r="J250" s="264" t="s">
        <v>469</v>
      </c>
    </row>
    <row r="251" spans="1:16">
      <c r="A251" s="169"/>
      <c r="B251" s="212"/>
      <c r="C251" s="212"/>
      <c r="D251" s="212" t="str">
        <f t="shared" ca="1" si="268"/>
        <v>INDRDPHWCHN3</v>
      </c>
      <c r="E251" s="212" t="str">
        <f t="shared" ca="1" si="266"/>
        <v>Industrial heating technology Paper &amp; Pulp PH - Wood chip boiler (Hot Water) - new 3</v>
      </c>
      <c r="F251" s="262" t="s">
        <v>450</v>
      </c>
      <c r="G251" s="262" t="s">
        <v>449</v>
      </c>
      <c r="H251" s="261"/>
      <c r="I251" s="261"/>
      <c r="J251" s="264" t="s">
        <v>469</v>
      </c>
    </row>
    <row r="252" spans="1:16">
      <c r="A252" s="169"/>
      <c r="B252" s="212"/>
      <c r="C252" s="212"/>
      <c r="D252" s="212" t="str">
        <f t="shared" ca="1" si="268"/>
        <v>INDRDSHWCHN3</v>
      </c>
      <c r="E252" s="212" t="str">
        <f t="shared" ca="1" si="266"/>
        <v>Industrial heating technology Paper &amp; Pulp SH - Wood chip boiler (Hot Water) - new 3</v>
      </c>
      <c r="F252" s="262" t="s">
        <v>450</v>
      </c>
      <c r="G252" s="262" t="s">
        <v>449</v>
      </c>
      <c r="H252" s="261"/>
      <c r="I252" s="261"/>
      <c r="J252" s="264" t="s">
        <v>469</v>
      </c>
    </row>
    <row r="253" spans="1:16">
      <c r="A253" s="169"/>
      <c r="B253" s="212"/>
      <c r="C253" s="212"/>
      <c r="D253" s="212" t="str">
        <f t="shared" ca="1" si="268"/>
        <v>INDRDPHWCHN4</v>
      </c>
      <c r="E253" s="212" t="str">
        <f t="shared" ca="1" si="266"/>
        <v>Industrial heating technology Paper &amp; Pulp PH - Wood chip boiler (Hot Water - condensing) - new 4</v>
      </c>
      <c r="F253" s="262" t="s">
        <v>450</v>
      </c>
      <c r="G253" s="262" t="s">
        <v>449</v>
      </c>
      <c r="H253" s="261"/>
      <c r="I253" s="261"/>
      <c r="J253" s="264" t="s">
        <v>469</v>
      </c>
    </row>
    <row r="254" spans="1:16">
      <c r="A254" s="169"/>
      <c r="B254" s="212"/>
      <c r="C254" s="212"/>
      <c r="D254" s="212" t="str">
        <f t="shared" ca="1" si="268"/>
        <v>INDRDSHWCHN4</v>
      </c>
      <c r="E254" s="212" t="str">
        <f t="shared" ca="1" si="266"/>
        <v>Industrial heating technology Paper &amp; Pulp SH - Wood chip boiler (Hot Water- condensing) - new 4</v>
      </c>
      <c r="F254" s="262" t="s">
        <v>450</v>
      </c>
      <c r="G254" s="262" t="s">
        <v>449</v>
      </c>
      <c r="H254" s="261"/>
      <c r="I254" s="261"/>
      <c r="J254" s="264" t="s">
        <v>469</v>
      </c>
    </row>
    <row r="255" spans="1:16">
      <c r="B255" s="212"/>
      <c r="C255" s="212"/>
      <c r="D255" s="212" t="str">
        <f t="shared" ca="1" si="268"/>
        <v>INDRDPHELCN10</v>
      </c>
      <c r="E255" s="212" t="str">
        <f t="shared" ca="1" si="266"/>
        <v>Industrial heating technology Paper &amp; Pulp PH - Direct electric heating - new 10</v>
      </c>
      <c r="F255" s="262" t="s">
        <v>450</v>
      </c>
      <c r="G255" s="262" t="s">
        <v>449</v>
      </c>
      <c r="H255" s="261"/>
      <c r="I255" s="261"/>
      <c r="J255" s="264" t="s">
        <v>469</v>
      </c>
    </row>
    <row r="256" spans="1:16">
      <c r="B256" s="212"/>
      <c r="C256" s="212"/>
      <c r="D256" s="212" t="str">
        <f t="shared" ca="1" si="268"/>
        <v>INDRDPHELCN10</v>
      </c>
      <c r="E256" s="212" t="str">
        <f t="shared" ca="1" si="266"/>
        <v>Industrial heating technology Paper &amp; Pulp PH - Direct electric heating - new 10</v>
      </c>
      <c r="F256" s="262" t="s">
        <v>450</v>
      </c>
      <c r="G256" s="262" t="s">
        <v>449</v>
      </c>
      <c r="H256" s="261"/>
      <c r="I256" s="261"/>
      <c r="J256" s="264" t="s">
        <v>469</v>
      </c>
    </row>
    <row r="257" spans="1:10">
      <c r="B257" s="212"/>
      <c r="C257" s="212"/>
      <c r="D257" s="212" t="str">
        <f t="shared" ca="1" si="268"/>
        <v>INDRDPHDSLN1</v>
      </c>
      <c r="E257" s="212" t="str">
        <f t="shared" ca="1" si="266"/>
        <v>Industrial heating technology Paper &amp; Pulp PH - Oil boiler (Steam) - new 1</v>
      </c>
      <c r="F257" s="262" t="s">
        <v>450</v>
      </c>
      <c r="G257" s="262" t="s">
        <v>449</v>
      </c>
      <c r="H257" s="261"/>
      <c r="I257" s="261"/>
      <c r="J257" s="264" t="s">
        <v>469</v>
      </c>
    </row>
    <row r="258" spans="1:10">
      <c r="B258" s="212"/>
      <c r="C258" s="212"/>
      <c r="D258" s="212" t="str">
        <f t="shared" ca="1" si="268"/>
        <v>INDRDPHDSLN1</v>
      </c>
      <c r="E258" s="212" t="str">
        <f t="shared" ca="1" si="266"/>
        <v>Industrial heating technology Paper &amp; Pulp PH - Oil boiler (Steam) - new 1</v>
      </c>
      <c r="F258" s="262" t="s">
        <v>450</v>
      </c>
      <c r="G258" s="262" t="s">
        <v>449</v>
      </c>
      <c r="H258" s="261"/>
      <c r="I258" s="261"/>
      <c r="J258" s="264" t="s">
        <v>469</v>
      </c>
    </row>
    <row r="259" spans="1:10">
      <c r="B259" s="212"/>
      <c r="C259" s="212"/>
      <c r="D259" s="212" t="str">
        <f t="shared" ca="1" si="268"/>
        <v>INDRDSHDSLN1</v>
      </c>
      <c r="E259" s="212" t="str">
        <f t="shared" ca="1" si="266"/>
        <v>Industrial heating technology Paper &amp; Pulp SH - Oil boiler (Steam) - new 1</v>
      </c>
      <c r="F259" s="262" t="s">
        <v>450</v>
      </c>
      <c r="G259" s="262" t="s">
        <v>449</v>
      </c>
      <c r="H259" s="261"/>
      <c r="I259" s="261"/>
      <c r="J259" s="264" t="s">
        <v>469</v>
      </c>
    </row>
    <row r="260" spans="1:10">
      <c r="A260" s="214"/>
      <c r="B260" s="212"/>
      <c r="C260" s="212"/>
      <c r="D260" s="212" t="str">
        <f t="shared" ca="1" si="268"/>
        <v>INDRDPHDSLN2</v>
      </c>
      <c r="E260" s="212" t="str">
        <f t="shared" ca="1" si="266"/>
        <v>Industrial heating technology Paper &amp; Pulp PH - Oil boiler (Steam - condensing) - new 2</v>
      </c>
      <c r="F260" s="262" t="s">
        <v>450</v>
      </c>
      <c r="G260" s="262" t="s">
        <v>449</v>
      </c>
      <c r="H260" s="261"/>
      <c r="I260" s="261"/>
      <c r="J260" s="264" t="s">
        <v>469</v>
      </c>
    </row>
    <row r="261" spans="1:10">
      <c r="A261" s="214"/>
      <c r="B261" s="212"/>
      <c r="C261" s="212"/>
      <c r="D261" s="212" t="str">
        <f t="shared" ca="1" si="268"/>
        <v>INDRDSHDSLN2</v>
      </c>
      <c r="E261" s="212" t="str">
        <f t="shared" ref="E261:E290" ca="1" si="269">VLOOKUP(D261,$D$9:$E$222,2,FALSE)</f>
        <v>Industrial heating technology Paper &amp; Pulp SH - Oil boiler (Steam - condensing) - new 2</v>
      </c>
      <c r="F261" s="262" t="s">
        <v>450</v>
      </c>
      <c r="G261" s="262" t="s">
        <v>449</v>
      </c>
      <c r="H261" s="261"/>
      <c r="I261" s="261"/>
      <c r="J261" s="264" t="s">
        <v>469</v>
      </c>
    </row>
    <row r="262" spans="1:10">
      <c r="A262" s="214"/>
      <c r="B262" s="212"/>
      <c r="C262" s="212"/>
      <c r="D262" s="212" t="str">
        <f t="shared" ca="1" si="268"/>
        <v>INDRDPHGASN1</v>
      </c>
      <c r="E262" s="212" t="str">
        <f t="shared" ca="1" si="269"/>
        <v>Industrial heating technology Paper &amp; Pulp PH - Gas boiler (Steam) - new 1</v>
      </c>
      <c r="F262" s="262" t="s">
        <v>450</v>
      </c>
      <c r="G262" s="262" t="s">
        <v>449</v>
      </c>
      <c r="H262" s="261"/>
      <c r="I262" s="261"/>
      <c r="J262" s="264" t="s">
        <v>469</v>
      </c>
    </row>
    <row r="263" spans="1:10">
      <c r="A263" s="214"/>
      <c r="B263" s="212"/>
      <c r="C263" s="212"/>
      <c r="D263" s="212" t="str">
        <f t="shared" ca="1" si="268"/>
        <v>INDRDPHGASN1</v>
      </c>
      <c r="E263" s="212" t="str">
        <f t="shared" ca="1" si="269"/>
        <v>Industrial heating technology Paper &amp; Pulp PH - Gas boiler (Steam) - new 1</v>
      </c>
      <c r="F263" s="262" t="s">
        <v>450</v>
      </c>
      <c r="G263" s="262" t="s">
        <v>449</v>
      </c>
      <c r="H263" s="261"/>
      <c r="I263" s="261"/>
      <c r="J263" s="264" t="s">
        <v>469</v>
      </c>
    </row>
    <row r="264" spans="1:10">
      <c r="B264" s="212"/>
      <c r="C264" s="212"/>
      <c r="D264" s="212" t="str">
        <f t="shared" ca="1" si="268"/>
        <v>INDRDSHGASN1</v>
      </c>
      <c r="E264" s="212" t="str">
        <f t="shared" ca="1" si="269"/>
        <v>Industrial heating technology Paper &amp; Pulp SH - Gas boiler (Steam) - new 1</v>
      </c>
      <c r="F264" s="262" t="s">
        <v>450</v>
      </c>
      <c r="G264" s="262" t="s">
        <v>449</v>
      </c>
      <c r="H264" s="261"/>
      <c r="I264" s="261"/>
      <c r="J264" s="264" t="s">
        <v>469</v>
      </c>
    </row>
    <row r="265" spans="1:10">
      <c r="B265" s="212"/>
      <c r="C265" s="212"/>
      <c r="D265" s="212" t="str">
        <f t="shared" ca="1" si="268"/>
        <v>INDRDPHGASN2</v>
      </c>
      <c r="E265" s="212" t="str">
        <f t="shared" ca="1" si="269"/>
        <v>Industrial heating technology Paper &amp; Pulp PH - Gas boiler (Steam - condensing) - new 2</v>
      </c>
      <c r="F265" s="262" t="s">
        <v>450</v>
      </c>
      <c r="G265" s="262" t="s">
        <v>449</v>
      </c>
      <c r="H265" s="261"/>
      <c r="I265" s="261"/>
      <c r="J265" s="264" t="s">
        <v>469</v>
      </c>
    </row>
    <row r="266" spans="1:10">
      <c r="B266" s="212"/>
      <c r="C266" s="212"/>
      <c r="D266" s="212" t="str">
        <f t="shared" ca="1" si="268"/>
        <v>INDRDSHGASN2</v>
      </c>
      <c r="E266" s="212" t="str">
        <f t="shared" ca="1" si="269"/>
        <v>Industrial heating technology Paper &amp; Pulp SH - Gas boiler (Steam - condensing) - new 2</v>
      </c>
      <c r="F266" s="262" t="s">
        <v>450</v>
      </c>
      <c r="G266" s="262" t="s">
        <v>449</v>
      </c>
      <c r="H266" s="261"/>
      <c r="I266" s="261"/>
      <c r="J266" s="264" t="s">
        <v>469</v>
      </c>
    </row>
    <row r="267" spans="1:10">
      <c r="B267" s="212"/>
      <c r="C267" s="212"/>
      <c r="D267" s="212" t="str">
        <f t="shared" ca="1" si="268"/>
        <v>INDRDPHGASN3</v>
      </c>
      <c r="E267" s="212" t="str">
        <f t="shared" ca="1" si="269"/>
        <v>Industrial heating technology Paper &amp; Pulp PH - Gas boiler (Hot Water) - new 3</v>
      </c>
      <c r="F267" s="262" t="s">
        <v>450</v>
      </c>
      <c r="G267" s="262" t="s">
        <v>449</v>
      </c>
      <c r="H267" s="261"/>
      <c r="I267" s="261"/>
      <c r="J267" s="264" t="s">
        <v>469</v>
      </c>
    </row>
    <row r="268" spans="1:10">
      <c r="B268" s="212"/>
      <c r="C268" s="212"/>
      <c r="D268" s="212" t="str">
        <f t="shared" ca="1" si="268"/>
        <v>INDRDSHGASN3</v>
      </c>
      <c r="E268" s="212" t="str">
        <f t="shared" ca="1" si="269"/>
        <v>Industrial heating technology Paper &amp; Pulp SH - Gas boiler (Hot Water) - new 3</v>
      </c>
      <c r="F268" s="262" t="s">
        <v>450</v>
      </c>
      <c r="G268" s="262" t="s">
        <v>449</v>
      </c>
      <c r="H268" s="261"/>
      <c r="I268" s="261"/>
      <c r="J268" s="264" t="s">
        <v>469</v>
      </c>
    </row>
    <row r="269" spans="1:10">
      <c r="B269" s="212"/>
      <c r="C269" s="212"/>
      <c r="D269" s="212" t="str">
        <f t="shared" ca="1" si="268"/>
        <v>INDRDPHGASN4</v>
      </c>
      <c r="E269" s="212" t="str">
        <f t="shared" ca="1" si="269"/>
        <v>Industrial heating technology Paper &amp; Pulp PH - Gas boiler (Hot Water - condensing) - new 4</v>
      </c>
      <c r="F269" s="262" t="s">
        <v>450</v>
      </c>
      <c r="G269" s="262" t="s">
        <v>449</v>
      </c>
      <c r="H269" s="261"/>
      <c r="I269" s="261"/>
      <c r="J269" s="264" t="s">
        <v>469</v>
      </c>
    </row>
    <row r="270" spans="1:10">
      <c r="B270" s="212"/>
      <c r="C270" s="212"/>
      <c r="D270" s="212" t="str">
        <f t="shared" ca="1" si="268"/>
        <v>INDRDSHGASN4</v>
      </c>
      <c r="E270" s="212" t="str">
        <f t="shared" ca="1" si="269"/>
        <v>Industrial heating technology Paper &amp; Pulp SH - Gas boiler (Hot Water- condensing) - new 4</v>
      </c>
      <c r="F270" s="262" t="s">
        <v>450</v>
      </c>
      <c r="G270" s="262" t="s">
        <v>449</v>
      </c>
      <c r="H270" s="261"/>
      <c r="I270" s="261"/>
      <c r="J270" s="264" t="s">
        <v>469</v>
      </c>
    </row>
    <row r="271" spans="1:10">
      <c r="B271" s="212"/>
      <c r="C271" s="212"/>
      <c r="D271" s="212" t="str">
        <f t="shared" ca="1" si="268"/>
        <v>INDRDPHGASN5</v>
      </c>
      <c r="E271" s="212" t="str">
        <f t="shared" ca="1" si="269"/>
        <v>Industrial heating technology Paper &amp; Pulp PH - Gas boiler (Direct firing) - new 5</v>
      </c>
      <c r="F271" s="262" t="s">
        <v>450</v>
      </c>
      <c r="G271" s="262" t="s">
        <v>449</v>
      </c>
      <c r="H271" s="261"/>
      <c r="I271" s="261"/>
      <c r="J271" s="264" t="s">
        <v>469</v>
      </c>
    </row>
    <row r="272" spans="1:10">
      <c r="B272" s="212"/>
      <c r="C272" s="212"/>
      <c r="D272" s="212" t="str">
        <f t="shared" ca="1" si="268"/>
        <v>INDRDPHGASN5</v>
      </c>
      <c r="E272" s="212" t="str">
        <f t="shared" ca="1" si="269"/>
        <v>Industrial heating technology Paper &amp; Pulp PH - Gas boiler (Direct firing) - new 5</v>
      </c>
      <c r="F272" s="262" t="s">
        <v>450</v>
      </c>
      <c r="G272" s="262" t="s">
        <v>449</v>
      </c>
      <c r="H272" s="261"/>
      <c r="I272" s="261"/>
      <c r="J272" s="264" t="s">
        <v>469</v>
      </c>
    </row>
    <row r="273" spans="2:10">
      <c r="B273" s="212"/>
      <c r="C273" s="212"/>
      <c r="D273" s="212" t="str">
        <f t="shared" ca="1" si="268"/>
        <v>INDRDPHCOAN1</v>
      </c>
      <c r="E273" s="212" t="str">
        <f t="shared" ca="1" si="269"/>
        <v>Industrial heating technology Paper &amp; Pulp PH - Coal boiler (Steam) - new 1</v>
      </c>
      <c r="F273" s="262" t="s">
        <v>450</v>
      </c>
      <c r="G273" s="262" t="s">
        <v>449</v>
      </c>
      <c r="H273" s="261"/>
      <c r="I273" s="261"/>
      <c r="J273" s="264" t="s">
        <v>469</v>
      </c>
    </row>
    <row r="274" spans="2:10">
      <c r="B274" s="212"/>
      <c r="C274" s="212"/>
      <c r="D274" s="212" t="str">
        <f t="shared" ca="1" si="268"/>
        <v>INDRDPHCOAN1</v>
      </c>
      <c r="E274" s="212" t="str">
        <f t="shared" ca="1" si="269"/>
        <v>Industrial heating technology Paper &amp; Pulp PH - Coal boiler (Steam) - new 1</v>
      </c>
      <c r="F274" s="262" t="s">
        <v>450</v>
      </c>
      <c r="G274" s="262" t="s">
        <v>449</v>
      </c>
      <c r="H274" s="261"/>
      <c r="I274" s="261"/>
      <c r="J274" s="264" t="s">
        <v>469</v>
      </c>
    </row>
    <row r="275" spans="2:10">
      <c r="B275" s="212"/>
      <c r="C275" s="212"/>
      <c r="D275" s="212" t="str">
        <f t="shared" ca="1" si="268"/>
        <v>INDRDSHCOAN1</v>
      </c>
      <c r="E275" s="212" t="str">
        <f t="shared" ca="1" si="269"/>
        <v>Industrial heating technology Paper &amp; Pulp SH - Coal boiler (Steam) - new 1</v>
      </c>
      <c r="F275" s="262" t="s">
        <v>450</v>
      </c>
      <c r="G275" s="262" t="s">
        <v>449</v>
      </c>
      <c r="H275" s="261"/>
      <c r="I275" s="261"/>
      <c r="J275" s="264" t="s">
        <v>469</v>
      </c>
    </row>
    <row r="276" spans="2:10">
      <c r="B276" s="212"/>
      <c r="C276" s="212"/>
      <c r="D276" s="212" t="str">
        <f t="shared" ca="1" si="268"/>
        <v>INDRDPHCOAN2</v>
      </c>
      <c r="E276" s="212" t="str">
        <f t="shared" ca="1" si="269"/>
        <v>Industrial heating technology Paper &amp; Pulp PH - Coal boiler (Hot Water) - new 2</v>
      </c>
      <c r="F276" s="262" t="s">
        <v>450</v>
      </c>
      <c r="G276" s="262" t="s">
        <v>449</v>
      </c>
      <c r="H276" s="261"/>
      <c r="I276" s="261"/>
      <c r="J276" s="264" t="s">
        <v>469</v>
      </c>
    </row>
    <row r="277" spans="2:10">
      <c r="B277" s="212"/>
      <c r="C277" s="212"/>
      <c r="D277" s="212" t="str">
        <f t="shared" ca="1" si="268"/>
        <v>INDRDSHCOAN2</v>
      </c>
      <c r="E277" s="212" t="str">
        <f t="shared" ca="1" si="269"/>
        <v>Industrial heating technology Paper &amp; Pulp SH - Coal boiler (Hot Water) - new 2</v>
      </c>
      <c r="F277" s="262" t="s">
        <v>450</v>
      </c>
      <c r="G277" s="262" t="s">
        <v>449</v>
      </c>
      <c r="H277" s="261"/>
      <c r="I277" s="261"/>
      <c r="J277" s="264" t="s">
        <v>469</v>
      </c>
    </row>
    <row r="278" spans="2:10">
      <c r="B278" s="212"/>
      <c r="C278" s="212"/>
      <c r="D278" s="212" t="str">
        <f t="shared" ca="1" si="268"/>
        <v>INDRDSHSOLN1</v>
      </c>
      <c r="E278" s="212" t="str">
        <f t="shared" ca="1" si="269"/>
        <v>Industrial heating technology Paper &amp; Pulp SH - Solar - new 1</v>
      </c>
      <c r="F278" s="262" t="s">
        <v>450</v>
      </c>
      <c r="G278" s="262" t="s">
        <v>449</v>
      </c>
      <c r="H278" s="263" t="s">
        <v>620</v>
      </c>
      <c r="I278" s="261"/>
      <c r="J278" s="264" t="s">
        <v>469</v>
      </c>
    </row>
    <row r="279" spans="2:10">
      <c r="B279" s="212"/>
      <c r="C279" s="212"/>
      <c r="D279" s="889" t="str">
        <f>D187</f>
        <v>INDRDSHHCEN1</v>
      </c>
      <c r="E279" s="889" t="str">
        <f t="shared" si="269"/>
        <v>Industrial heating technology Paper &amp; Pulp SH - central district heating - within DH area - new 1</v>
      </c>
      <c r="F279" s="262" t="s">
        <v>450</v>
      </c>
      <c r="G279" s="262" t="s">
        <v>449</v>
      </c>
      <c r="H279" s="890"/>
      <c r="I279" s="890"/>
      <c r="J279" s="263" t="s">
        <v>469</v>
      </c>
    </row>
    <row r="280" spans="2:10">
      <c r="B280" s="212"/>
      <c r="C280" s="212"/>
      <c r="D280" s="889" t="str">
        <f>D188</f>
        <v>INDRDPHHCEN1</v>
      </c>
      <c r="E280" s="889" t="str">
        <f t="shared" si="269"/>
        <v>Industrial heating technology Paper &amp; Pulp PH - central district heating - within DH area - new 1</v>
      </c>
      <c r="F280" s="262" t="s">
        <v>450</v>
      </c>
      <c r="G280" s="262" t="s">
        <v>449</v>
      </c>
      <c r="H280" s="890"/>
      <c r="I280" s="890"/>
      <c r="J280" s="263" t="s">
        <v>469</v>
      </c>
    </row>
    <row r="281" spans="2:10">
      <c r="B281" s="212"/>
      <c r="C281" s="212"/>
      <c r="D281" s="889" t="str">
        <f>D189</f>
        <v>INDRDSHHSEN1</v>
      </c>
      <c r="E281" s="889" t="str">
        <f t="shared" si="269"/>
        <v>Industrial heating technology Paper &amp; Pulp SH - central district heating - within DH area - new 1</v>
      </c>
      <c r="F281" s="262" t="s">
        <v>450</v>
      </c>
      <c r="G281" s="262" t="s">
        <v>449</v>
      </c>
      <c r="H281" s="890"/>
      <c r="I281" s="890"/>
      <c r="J281" s="263" t="s">
        <v>469</v>
      </c>
    </row>
    <row r="282" spans="2:10">
      <c r="B282" s="212"/>
      <c r="C282" s="212"/>
      <c r="D282" s="889" t="str">
        <f>D190</f>
        <v>INDRDPHHSEN1</v>
      </c>
      <c r="E282" s="889" t="str">
        <f t="shared" si="269"/>
        <v>Industrial heating technology Paper &amp; Pulp PH - central district heating - within DH area - new 1</v>
      </c>
      <c r="F282" s="262" t="s">
        <v>450</v>
      </c>
      <c r="G282" s="262" t="s">
        <v>449</v>
      </c>
      <c r="H282" s="890"/>
      <c r="I282" s="890"/>
      <c r="J282" s="263" t="s">
        <v>469</v>
      </c>
    </row>
    <row r="283" spans="2:10">
      <c r="B283" s="212"/>
      <c r="C283" s="212"/>
      <c r="D283" s="212" t="str">
        <f t="shared" ref="D283" si="270">D191</f>
        <v>INDRDSHHDEN1</v>
      </c>
      <c r="E283" s="212" t="str">
        <f t="shared" si="269"/>
        <v>Industrial heating technology Paper &amp; Pulp SH - decentral district heating - within DH area - new 1</v>
      </c>
      <c r="F283" s="262" t="s">
        <v>450</v>
      </c>
      <c r="G283" s="262" t="s">
        <v>449</v>
      </c>
      <c r="H283" s="261"/>
      <c r="I283" s="261"/>
      <c r="J283" s="264" t="s">
        <v>469</v>
      </c>
    </row>
    <row r="284" spans="2:10">
      <c r="B284" s="212"/>
      <c r="C284" s="212"/>
      <c r="D284" s="212" t="str">
        <f>D192</f>
        <v>INDRDPHHDEN1</v>
      </c>
      <c r="E284" s="212" t="str">
        <f t="shared" si="269"/>
        <v>Industrial heating technology Paper &amp; Pulp PH - decentral district heating - within DH area - new 1</v>
      </c>
      <c r="F284" s="262" t="s">
        <v>450</v>
      </c>
      <c r="G284" s="262" t="s">
        <v>449</v>
      </c>
      <c r="H284" s="261"/>
      <c r="I284" s="261"/>
      <c r="J284" s="264" t="s">
        <v>469</v>
      </c>
    </row>
    <row r="285" spans="2:10">
      <c r="B285" s="212"/>
      <c r="C285" s="212"/>
      <c r="D285" s="212" t="str">
        <f>D194</f>
        <v>INDRDLAELCN1</v>
      </c>
      <c r="E285" s="212" t="str">
        <f t="shared" si="269"/>
        <v>Industry Paper &amp; Pulp LA Electricity Light Appliance - New 1</v>
      </c>
      <c r="F285" s="262" t="s">
        <v>450</v>
      </c>
      <c r="G285" s="262" t="s">
        <v>449</v>
      </c>
      <c r="H285" s="261"/>
      <c r="I285" s="261"/>
      <c r="J285" s="264" t="s">
        <v>469</v>
      </c>
    </row>
    <row r="286" spans="2:10">
      <c r="B286" s="212"/>
      <c r="C286" s="212"/>
      <c r="D286" s="212" t="str">
        <f>D198</f>
        <v>INDRDEMELCN1</v>
      </c>
      <c r="E286" s="212" t="str">
        <f t="shared" si="269"/>
        <v>Industry Paper &amp; Pulp EM Electricity Motors - New 1</v>
      </c>
      <c r="F286" s="262" t="s">
        <v>450</v>
      </c>
      <c r="G286" s="262" t="s">
        <v>449</v>
      </c>
      <c r="H286" s="261"/>
      <c r="I286" s="261"/>
      <c r="J286" s="264" t="s">
        <v>469</v>
      </c>
    </row>
    <row r="287" spans="2:10">
      <c r="B287" s="212"/>
      <c r="C287" s="212"/>
      <c r="D287" s="212" t="str">
        <f>D202</f>
        <v>INDRDTFDSLN1</v>
      </c>
      <c r="E287" s="212" t="str">
        <f t="shared" si="269"/>
        <v>Industry Paper &amp; Pulp TF Tractors, Trucks, Fishing boats - New 1</v>
      </c>
      <c r="F287" s="262" t="s">
        <v>450</v>
      </c>
      <c r="G287" s="262" t="s">
        <v>2078</v>
      </c>
      <c r="H287" s="261"/>
      <c r="I287" s="261"/>
      <c r="J287" s="264" t="s">
        <v>469</v>
      </c>
    </row>
    <row r="288" spans="2:10">
      <c r="B288" s="212"/>
      <c r="C288" s="212"/>
      <c r="D288" s="212" t="str">
        <f>D206</f>
        <v>INDRDTFH2GN2</v>
      </c>
      <c r="E288" s="212" t="str">
        <f t="shared" si="269"/>
        <v>Industry Paper &amp; Pulp TF Tractors, Trucks, Fishing boats - New 2</v>
      </c>
      <c r="F288" s="262" t="s">
        <v>450</v>
      </c>
      <c r="G288" s="262" t="s">
        <v>2078</v>
      </c>
      <c r="H288" s="261"/>
      <c r="I288" s="261"/>
      <c r="J288" s="264" t="s">
        <v>469</v>
      </c>
    </row>
    <row r="289" spans="2:10">
      <c r="B289" s="212"/>
      <c r="C289" s="212"/>
      <c r="D289" s="212" t="str">
        <f>D210</f>
        <v>INDRDTFELCN3</v>
      </c>
      <c r="E289" s="212" t="str">
        <f t="shared" si="269"/>
        <v>Industry Paper &amp; Pulp TF Tractors, Trucks, Fishing boats - New 3</v>
      </c>
      <c r="F289" s="262" t="s">
        <v>450</v>
      </c>
      <c r="G289" s="262" t="s">
        <v>2078</v>
      </c>
      <c r="H289" s="261"/>
      <c r="I289" s="261"/>
      <c r="J289" s="264" t="s">
        <v>469</v>
      </c>
    </row>
    <row r="290" spans="2:10">
      <c r="B290" s="212"/>
      <c r="C290" s="212"/>
      <c r="D290" s="212" t="str">
        <f>D214</f>
        <v>INDRDFLELCN1</v>
      </c>
      <c r="E290" s="212" t="str">
        <f t="shared" si="269"/>
        <v>Industry Paper &amp; Pulp TF Forklifts - New 1</v>
      </c>
      <c r="F290" s="262" t="s">
        <v>450</v>
      </c>
      <c r="G290" s="262" t="s">
        <v>449</v>
      </c>
      <c r="H290" s="261"/>
      <c r="I290" s="261"/>
      <c r="J290" s="264" t="s">
        <v>469</v>
      </c>
    </row>
    <row r="291" spans="2:10">
      <c r="B291" s="212"/>
      <c r="C291" s="212"/>
      <c r="D291" s="212" t="str">
        <f>D218</f>
        <v>INDRDCOELCN1</v>
      </c>
      <c r="E291" s="212" t="str">
        <f>E218</f>
        <v>Industry Paper &amp; Pulp CO Cooling - New 1</v>
      </c>
      <c r="F291" s="262" t="s">
        <v>450</v>
      </c>
      <c r="G291" s="262" t="s">
        <v>449</v>
      </c>
      <c r="H291" s="261" t="s">
        <v>620</v>
      </c>
      <c r="I291" s="261"/>
      <c r="J291" s="264"/>
    </row>
    <row r="292" spans="2:10">
      <c r="D292" s="212"/>
      <c r="E292" s="212"/>
    </row>
    <row r="293" spans="2:10">
      <c r="B293" s="213" t="s">
        <v>448</v>
      </c>
      <c r="C293" s="213"/>
      <c r="D293" s="214"/>
      <c r="E293" s="214"/>
      <c r="F293" s="214"/>
      <c r="G293" s="214"/>
      <c r="H293" s="214"/>
      <c r="I293" s="214"/>
      <c r="J293" s="214"/>
    </row>
    <row r="294" spans="2:10">
      <c r="B294" s="209" t="s">
        <v>447</v>
      </c>
      <c r="C294" s="209" t="s">
        <v>446</v>
      </c>
      <c r="D294" s="209" t="s">
        <v>445</v>
      </c>
      <c r="E294" s="209" t="s">
        <v>444</v>
      </c>
      <c r="F294" s="209" t="s">
        <v>435</v>
      </c>
      <c r="G294" s="209" t="s">
        <v>443</v>
      </c>
      <c r="H294" s="209" t="s">
        <v>442</v>
      </c>
      <c r="I294" s="209" t="s">
        <v>441</v>
      </c>
      <c r="J294" s="209" t="s">
        <v>440</v>
      </c>
    </row>
    <row r="295" spans="2:10" ht="25" thickBot="1">
      <c r="B295" s="215" t="s">
        <v>439</v>
      </c>
      <c r="C295" s="216" t="s">
        <v>438</v>
      </c>
      <c r="D295" s="216" t="s">
        <v>437</v>
      </c>
      <c r="E295" s="216" t="s">
        <v>436</v>
      </c>
      <c r="F295" s="216" t="s">
        <v>435</v>
      </c>
      <c r="G295" s="216" t="s">
        <v>434</v>
      </c>
      <c r="H295" s="216" t="s">
        <v>433</v>
      </c>
      <c r="I295" s="216" t="s">
        <v>432</v>
      </c>
      <c r="J295" s="216" t="s">
        <v>431</v>
      </c>
    </row>
    <row r="296" spans="2:10">
      <c r="B296" s="217" t="s">
        <v>430</v>
      </c>
      <c r="C296" s="218"/>
      <c r="D296" s="260" t="str">
        <f>"I"&amp;LEFT($AJ$12,1)&amp;"DSOx"</f>
        <v>IPDSOx</v>
      </c>
      <c r="E296" s="270" t="str">
        <f>"Industrial heating  heating technology "&amp;$AJ$12&amp;" - SOx emission"</f>
        <v>Industrial heating  heating technology Paper &amp; Pulp - SOx emission</v>
      </c>
      <c r="F296" s="219" t="s">
        <v>352</v>
      </c>
      <c r="G296" s="211"/>
      <c r="H296" s="211"/>
      <c r="I296" s="211"/>
      <c r="J296" s="211"/>
    </row>
    <row r="297" spans="2:10">
      <c r="B297" s="214"/>
      <c r="C297" s="214"/>
      <c r="D297" s="260" t="str">
        <f>"I"&amp;LEFT($AJ$12,1)&amp;"DNOx"</f>
        <v>IPDNOx</v>
      </c>
      <c r="E297" s="270" t="str">
        <f>"Industrial heating  heating technology "&amp;$AJ$12&amp;" - NOx emission"</f>
        <v>Industrial heating  heating technology Paper &amp; Pulp - NOx emission</v>
      </c>
      <c r="F297" s="219" t="s">
        <v>352</v>
      </c>
      <c r="G297" s="211"/>
      <c r="H297" s="214"/>
      <c r="I297" s="214"/>
      <c r="J297" s="214"/>
    </row>
    <row r="298" spans="2:10">
      <c r="B298" s="214"/>
      <c r="C298" s="214"/>
      <c r="D298" s="260" t="str">
        <f>"I"&amp;LEFT($AJ$12,1)&amp;"DCH4"</f>
        <v>IPDCH4</v>
      </c>
      <c r="E298" s="270" t="str">
        <f>"Industrial heating  heating technology "&amp;$AJ$12&amp;" - CH4 emission"</f>
        <v>Industrial heating  heating technology Paper &amp; Pulp - CH4 emission</v>
      </c>
      <c r="F298" s="219" t="s">
        <v>352</v>
      </c>
      <c r="G298" s="211"/>
      <c r="H298" s="214"/>
      <c r="I298" s="214"/>
      <c r="J298" s="214"/>
    </row>
    <row r="299" spans="2:10">
      <c r="B299" s="214"/>
      <c r="C299" s="214"/>
      <c r="D299" s="260" t="str">
        <f>"I"&amp;LEFT($AJ$12,1)&amp;"DNO2"</f>
        <v>IPDNO2</v>
      </c>
      <c r="E299" s="270" t="str">
        <f>"Industrial heating  heating technology "&amp;$AJ$12&amp;" - NO2 emission"</f>
        <v>Industrial heating  heating technology Paper &amp; Pulp - NO2 emission</v>
      </c>
      <c r="F299" s="219" t="s">
        <v>352</v>
      </c>
      <c r="G299" s="211"/>
      <c r="H299" s="214"/>
      <c r="I299" s="214"/>
      <c r="J299" s="214"/>
    </row>
    <row r="300" spans="2:10">
      <c r="B300" s="214"/>
      <c r="C300" s="214"/>
      <c r="D300" s="260" t="str">
        <f>"I"&amp;LEFT($AJ$12,1)&amp;"DPM"</f>
        <v>IPDPM</v>
      </c>
      <c r="E300" s="270" t="str">
        <f>"Industrial heating  heating technology "&amp;$AJ$12&amp;" - Particle emission"</f>
        <v>Industrial heating  heating technology Paper &amp; Pulp - Particle emission</v>
      </c>
      <c r="F300" s="219" t="s">
        <v>352</v>
      </c>
      <c r="G300" s="211"/>
      <c r="H300" s="214"/>
      <c r="I300" s="214"/>
      <c r="J300" s="214"/>
    </row>
    <row r="301" spans="2:10">
      <c r="B301" s="224" t="s">
        <v>1057</v>
      </c>
      <c r="D301" s="224" t="str">
        <f>AI20</f>
        <v>INDRWH</v>
      </c>
      <c r="E301" s="270" t="str">
        <f>"Industrial heating technology "&amp;$AJ$12&amp;" - Waste heat"</f>
        <v>Industrial heating technology Paper &amp; Pulp - Waste heat</v>
      </c>
      <c r="F301" s="263" t="s">
        <v>450</v>
      </c>
    </row>
  </sheetData>
  <pageMargins left="0.7" right="0.7" top="0.75" bottom="0.75" header="0.3" footer="0.3"/>
  <pageSetup paperSize="9" orientation="portrait"/>
  <legacyDrawing r:id="rId1"/>
  <extLst>
    <ext xmlns:x14="http://schemas.microsoft.com/office/spreadsheetml/2009/9/main" uri="{CCE6A557-97BC-4b89-ADB6-D9C93CAAB3DF}">
      <x14:dataValidations xmlns:xm="http://schemas.microsoft.com/office/excel/2006/main" count="1">
        <x14:dataValidation type="list" allowBlank="1" showInputMessage="1" showErrorMessage="1" xr:uid="{46800020-93E0-4B93-9BA4-1763BE2C01EC}">
          <x14:formula1>
            <xm:f>'Oil-fired boiler_NEW'!$T$4:$X$4</xm:f>
          </x14:formula1>
          <xm:sqref>E1</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E9998-164B-4976-8107-9F99D05D7716}">
  <sheetPr>
    <tabColor rgb="FF00B050"/>
  </sheetPr>
  <dimension ref="A1:AP301"/>
  <sheetViews>
    <sheetView tabSelected="1" topLeftCell="W6" zoomScale="70" zoomScaleNormal="70" workbookViewId="0">
      <selection activeCell="G215" sqref="G215"/>
    </sheetView>
  </sheetViews>
  <sheetFormatPr baseColWidth="10" defaultColWidth="9.1640625" defaultRowHeight="15"/>
  <cols>
    <col min="1" max="1" width="9.1640625" style="224"/>
    <col min="2" max="2" width="31.5" style="224" customWidth="1"/>
    <col min="3" max="3" width="11.5" style="224" bestFit="1" customWidth="1"/>
    <col min="4" max="4" width="19.83203125" style="224" customWidth="1"/>
    <col min="5" max="5" width="98.5" style="224" bestFit="1" customWidth="1"/>
    <col min="6" max="6" width="10.5" style="224" bestFit="1" customWidth="1"/>
    <col min="7" max="7" width="55.83203125" style="224" bestFit="1" customWidth="1"/>
    <col min="8" max="8" width="27.83203125" style="224" bestFit="1" customWidth="1"/>
    <col min="9" max="9" width="27.83203125" style="224" customWidth="1"/>
    <col min="10" max="10" width="10.1640625" style="224" bestFit="1" customWidth="1"/>
    <col min="11" max="11" width="8.5" style="224" bestFit="1" customWidth="1"/>
    <col min="12" max="12" width="6.5" style="224" bestFit="1" customWidth="1"/>
    <col min="13" max="13" width="6.5" style="224" customWidth="1"/>
    <col min="14" max="15" width="12.83203125" style="224" bestFit="1" customWidth="1"/>
    <col min="16" max="16" width="12.5" style="224" bestFit="1" customWidth="1"/>
    <col min="17" max="17" width="6.1640625" style="224" customWidth="1"/>
    <col min="18" max="18" width="8.1640625" style="224" bestFit="1" customWidth="1"/>
    <col min="19" max="19" width="11.83203125" style="224" bestFit="1" customWidth="1"/>
    <col min="20" max="20" width="11.5" style="224" bestFit="1" customWidth="1"/>
    <col min="21" max="21" width="18.1640625" style="224" bestFit="1" customWidth="1"/>
    <col min="22" max="22" width="11.83203125" style="224" customWidth="1"/>
    <col min="23" max="23" width="7.83203125" style="224" bestFit="1" customWidth="1"/>
    <col min="24" max="24" width="8.5" style="224" bestFit="1" customWidth="1"/>
    <col min="25" max="25" width="6.5" style="224" bestFit="1" customWidth="1"/>
    <col min="26" max="26" width="6.5" style="224" customWidth="1"/>
    <col min="27" max="27" width="8" style="224" customWidth="1"/>
    <col min="28" max="38" width="9.1640625" style="224"/>
    <col min="39" max="39" width="64.1640625" style="224" bestFit="1" customWidth="1"/>
    <col min="40" max="16384" width="9.1640625" style="224"/>
  </cols>
  <sheetData>
    <row r="1" spans="2:42" ht="14.5" customHeight="1">
      <c r="D1" s="728" t="s">
        <v>1016</v>
      </c>
      <c r="E1" s="729" t="s">
        <v>716</v>
      </c>
      <c r="N1" s="64"/>
      <c r="O1" s="64"/>
      <c r="P1" s="64"/>
      <c r="S1" s="727" t="s">
        <v>1004</v>
      </c>
      <c r="T1" s="776" t="s">
        <v>1003</v>
      </c>
      <c r="U1" s="775" t="s">
        <v>1053</v>
      </c>
      <c r="V1" s="776" t="s">
        <v>1054</v>
      </c>
      <c r="W1" s="780">
        <v>0.3</v>
      </c>
    </row>
    <row r="2" spans="2:42" ht="16" thickBot="1">
      <c r="E2" s="730" t="s">
        <v>695</v>
      </c>
      <c r="N2" s="731"/>
      <c r="O2" s="731"/>
      <c r="P2" s="731"/>
      <c r="S2" s="726">
        <f>MATCH($E$1,$AJ$22:$AJ$35)</f>
        <v>7</v>
      </c>
      <c r="T2" s="778">
        <f>MATCH($E$1,$AJ$22:$AJ$35)+1</f>
        <v>8</v>
      </c>
      <c r="U2" s="779"/>
      <c r="V2" s="768" t="s">
        <v>1055</v>
      </c>
      <c r="W2" s="781">
        <v>0.2</v>
      </c>
    </row>
    <row r="3" spans="2:42" ht="16" thickBot="1">
      <c r="N3" s="731"/>
      <c r="O3" s="731"/>
      <c r="P3" s="731"/>
      <c r="S3" s="768"/>
      <c r="T3" s="768"/>
      <c r="U3" s="777"/>
      <c r="V3" s="778" t="s">
        <v>1056</v>
      </c>
      <c r="W3" s="782">
        <v>0</v>
      </c>
    </row>
    <row r="4" spans="2:42">
      <c r="N4" s="731"/>
      <c r="O4" s="731"/>
      <c r="P4" s="731"/>
      <c r="S4" s="768"/>
      <c r="T4" s="768"/>
      <c r="U4" s="768"/>
      <c r="V4" s="768"/>
    </row>
    <row r="5" spans="2:42">
      <c r="J5" s="172" t="s">
        <v>468</v>
      </c>
      <c r="N5" s="731"/>
      <c r="O5" s="731"/>
      <c r="P5" s="731"/>
      <c r="S5" s="768"/>
      <c r="T5" s="768"/>
      <c r="U5" s="768"/>
      <c r="V5" s="768"/>
    </row>
    <row r="6" spans="2:42" ht="26.25" customHeight="1">
      <c r="B6" s="166" t="s">
        <v>1015</v>
      </c>
      <c r="C6" s="46"/>
      <c r="D6" s="46" t="s">
        <v>425</v>
      </c>
      <c r="E6" s="46" t="s">
        <v>426</v>
      </c>
      <c r="F6" s="46" t="s">
        <v>689</v>
      </c>
      <c r="G6" s="46" t="s">
        <v>427</v>
      </c>
      <c r="H6" s="46" t="s">
        <v>428</v>
      </c>
      <c r="I6" s="771" t="s">
        <v>1049</v>
      </c>
      <c r="J6" s="46" t="s">
        <v>335</v>
      </c>
      <c r="K6" s="46" t="s">
        <v>336</v>
      </c>
      <c r="L6" s="47" t="s">
        <v>337</v>
      </c>
      <c r="M6" s="47" t="s">
        <v>1052</v>
      </c>
      <c r="N6" s="47" t="s">
        <v>339</v>
      </c>
      <c r="O6" s="48" t="s">
        <v>340</v>
      </c>
      <c r="P6" s="47" t="s">
        <v>341</v>
      </c>
      <c r="Q6" s="49" t="s">
        <v>342</v>
      </c>
      <c r="R6" s="49" t="s">
        <v>343</v>
      </c>
      <c r="S6" s="769" t="s">
        <v>344</v>
      </c>
      <c r="T6" s="770" t="s">
        <v>997</v>
      </c>
      <c r="U6" s="769" t="s">
        <v>1050</v>
      </c>
      <c r="V6" s="783" t="s">
        <v>1051</v>
      </c>
      <c r="W6" s="284"/>
      <c r="X6" s="280" t="str">
        <f>"FEMIS~"&amp;D296</f>
        <v>FEMIS~IWDSOx</v>
      </c>
      <c r="Y6" s="280" t="str">
        <f>"FEMIS~"&amp;D297</f>
        <v>FEMIS~IWDNOx</v>
      </c>
      <c r="Z6" s="280" t="str">
        <f>"FEMIS~"&amp;D298</f>
        <v>FEMIS~IWDCH4</v>
      </c>
      <c r="AA6" s="280" t="str">
        <f>"FEMIS~"&amp;D299</f>
        <v>FEMIS~IWDNO2</v>
      </c>
      <c r="AB6" s="280" t="str">
        <f>"FEMIS~"&amp;D300</f>
        <v>FEMIS~IWDPM</v>
      </c>
      <c r="AC6" s="224" t="s">
        <v>424</v>
      </c>
      <c r="AD6" s="224" t="s">
        <v>2001</v>
      </c>
      <c r="AE6" s="47" t="s">
        <v>338</v>
      </c>
      <c r="AF6" s="221" t="s">
        <v>473</v>
      </c>
    </row>
    <row r="7" spans="2:42" ht="16" thickBot="1">
      <c r="B7" s="715"/>
      <c r="C7" s="167"/>
      <c r="D7" s="167" t="s">
        <v>429</v>
      </c>
      <c r="E7" s="50"/>
      <c r="F7" s="50"/>
      <c r="G7" s="50"/>
      <c r="H7" s="50"/>
      <c r="I7" s="168"/>
      <c r="J7" s="50"/>
      <c r="K7" s="50"/>
      <c r="L7" s="51"/>
      <c r="M7" s="51"/>
      <c r="N7" s="51"/>
      <c r="O7" s="52"/>
      <c r="P7" s="50"/>
      <c r="Q7" s="50"/>
      <c r="R7" s="50"/>
      <c r="S7" s="50"/>
      <c r="T7" s="50"/>
      <c r="U7" s="50"/>
      <c r="V7" s="168"/>
      <c r="W7" s="285"/>
      <c r="X7" s="50"/>
      <c r="Y7" s="50"/>
      <c r="Z7" s="50"/>
      <c r="AA7" s="50"/>
      <c r="AB7" s="50"/>
      <c r="AE7" s="51"/>
      <c r="AF7" s="222"/>
    </row>
    <row r="8" spans="2:42">
      <c r="B8" s="357"/>
      <c r="D8" s="224" t="s">
        <v>451</v>
      </c>
      <c r="I8" s="357"/>
      <c r="J8" s="57"/>
      <c r="K8" s="57"/>
      <c r="L8" s="57"/>
      <c r="M8" s="57"/>
      <c r="N8" s="57"/>
      <c r="O8" s="57" t="s">
        <v>470</v>
      </c>
      <c r="P8" s="57" t="s">
        <v>471</v>
      </c>
      <c r="Q8" s="57" t="s">
        <v>472</v>
      </c>
      <c r="R8" s="57" t="s">
        <v>351</v>
      </c>
      <c r="S8" s="57" t="s">
        <v>351</v>
      </c>
      <c r="T8" s="57"/>
      <c r="U8" s="57"/>
      <c r="V8" s="784"/>
      <c r="W8" s="286"/>
      <c r="X8" s="57" t="s">
        <v>352</v>
      </c>
      <c r="Y8" s="57" t="s">
        <v>352</v>
      </c>
      <c r="Z8" s="57" t="s">
        <v>352</v>
      </c>
      <c r="AA8" s="57" t="s">
        <v>352</v>
      </c>
      <c r="AB8" s="57" t="s">
        <v>352</v>
      </c>
      <c r="AE8" s="57"/>
      <c r="AF8" s="220"/>
    </row>
    <row r="9" spans="2:42">
      <c r="B9" s="357" t="s">
        <v>998</v>
      </c>
      <c r="D9" s="212" t="str">
        <f>"IND"&amp;RIGHT(H9,4)&amp;RIGHT(G9,3)&amp;"N"&amp;RIGHT(E9,1)</f>
        <v>INDWDPHELCN1</v>
      </c>
      <c r="E9" s="261" t="str">
        <f>"Industrial heating technology "&amp;$AJ$12&amp;" "&amp;RIGHT(H9,2)&amp;" - Heat pump utilizing waste heat - new 1"</f>
        <v>Industrial heating technology Wood products PH - Heat pump utilizing waste heat - new 1</v>
      </c>
      <c r="F9" s="224" t="s">
        <v>1149</v>
      </c>
      <c r="G9" s="173" t="s">
        <v>499</v>
      </c>
      <c r="H9" s="174" t="str">
        <f>$AI$14</f>
        <v>IWDPH</v>
      </c>
      <c r="I9" s="173"/>
      <c r="J9" s="224">
        <f>AD9</f>
        <v>2020</v>
      </c>
      <c r="K9" s="81">
        <v>2020</v>
      </c>
      <c r="L9" s="333">
        <v>1</v>
      </c>
      <c r="M9" s="199">
        <f ca="1">VLOOKUP($AD9,INDIRECT("'"&amp;$B9&amp;"'!"&amp;"$P$39:$AD$42"),3,FALSE)</f>
        <v>4.4754761904761899</v>
      </c>
      <c r="N9" s="81">
        <f ca="1">VLOOKUP($AD9,INDIRECT("'"&amp;$B9&amp;"'!"&amp;"$P$39:$AD$42"),5,FALSE)</f>
        <v>20</v>
      </c>
      <c r="O9" s="723">
        <f ca="1">VLOOKUP($AD9,INDIRECT("'"&amp;$B9&amp;"'!"&amp;"$P$39:$AD$42"),6,FALSE)/1000</f>
        <v>5.4385000000000003</v>
      </c>
      <c r="P9" s="723">
        <f ca="1">VLOOKUP($AD9,INDIRECT("'"&amp;$B9&amp;"'!"&amp;"$P$39:$AD$42"),7,FALSE)/1000</f>
        <v>1.49E-2</v>
      </c>
      <c r="Q9" s="81">
        <f ca="1">VLOOKUP($AD9,INDIRECT("'"&amp;$B9&amp;"'!"&amp;"$P$39:$AD$42"),8,FALSE)</f>
        <v>6.7463888888888883</v>
      </c>
      <c r="R9" s="81">
        <v>3.1536000000000002E-2</v>
      </c>
      <c r="S9" s="199">
        <v>0.5</v>
      </c>
      <c r="T9" s="199">
        <f ca="1">HLOOKUP($T$2,INDIRECT("'"&amp;$B9&amp;"'!"&amp;"$P$6:$AC$19"),IF(H9=$AI$13,6,IF(H9=$AI$14,9,14)),FALSE)</f>
        <v>0</v>
      </c>
      <c r="U9" s="199">
        <f ca="1">1/M9</f>
        <v>0.22343991062403579</v>
      </c>
      <c r="V9" s="199"/>
      <c r="W9" s="298"/>
      <c r="X9" s="698">
        <f ca="1">IF(VLOOKUP($AD9,INDIRECT("'"&amp;$B9&amp;"'!"&amp;"$P$39:$AD$42"),11,FALSE)="Cf. the utilized electricity",0,VLOOKUP($AD9,INDIRECT("'"&amp;$B9&amp;"'!"&amp;"$P$39:$AD$42"),11,FALSE))</f>
        <v>0</v>
      </c>
      <c r="Y9" s="81">
        <f ca="1">VLOOKUP($AD9,INDIRECT("'"&amp;$B9&amp;"'!"&amp;"$P$39:$AD$42"),12,FALSE)</f>
        <v>0</v>
      </c>
      <c r="Z9" s="81">
        <f ca="1">VLOOKUP($AD9,INDIRECT("'"&amp;$B9&amp;"'!"&amp;"$P$39:$AD$42"),13,FALSE)</f>
        <v>0</v>
      </c>
      <c r="AA9" s="81">
        <f ca="1">VLOOKUP($AD9,INDIRECT("'"&amp;$B9&amp;"'!"&amp;"$P$39:$AD$42"),14,FALSE)</f>
        <v>0</v>
      </c>
      <c r="AB9" s="81">
        <f ca="1">VLOOKUP($AD9,INDIRECT("'"&amp;$B9&amp;"'!"&amp;"$P$39:$AD$42"),15,FALSE)</f>
        <v>0</v>
      </c>
      <c r="AC9" s="226"/>
      <c r="AD9" s="81">
        <v>2020</v>
      </c>
      <c r="AE9" s="81"/>
      <c r="AF9" s="220"/>
    </row>
    <row r="10" spans="2:42">
      <c r="B10" s="357" t="s">
        <v>998</v>
      </c>
      <c r="D10" s="212"/>
      <c r="E10" s="261"/>
      <c r="F10" s="224" t="s">
        <v>1149</v>
      </c>
      <c r="G10" s="173" t="str">
        <f>$AI$20</f>
        <v>INDWWH</v>
      </c>
      <c r="H10" s="174"/>
      <c r="I10" s="174"/>
      <c r="K10" s="81"/>
      <c r="L10" s="333"/>
      <c r="M10" s="199"/>
      <c r="N10" s="81"/>
      <c r="O10" s="723"/>
      <c r="P10" s="723"/>
      <c r="Q10" s="81"/>
      <c r="R10" s="200"/>
      <c r="S10" s="772"/>
      <c r="T10" s="772"/>
      <c r="U10" s="199">
        <f ca="1">1-U9</f>
        <v>0.77656008937596421</v>
      </c>
      <c r="V10" s="772"/>
      <c r="W10" s="298"/>
      <c r="X10" s="698"/>
      <c r="Y10" s="81"/>
      <c r="Z10" s="81"/>
      <c r="AA10" s="81"/>
      <c r="AB10" s="81"/>
      <c r="AC10" s="226"/>
      <c r="AD10" s="81"/>
      <c r="AE10" s="81"/>
      <c r="AF10" s="220"/>
    </row>
    <row r="11" spans="2:42">
      <c r="B11" s="357" t="s">
        <v>998</v>
      </c>
      <c r="D11" s="212"/>
      <c r="E11" s="212"/>
      <c r="F11" s="224" t="s">
        <v>1149</v>
      </c>
      <c r="G11" s="173" t="s">
        <v>499</v>
      </c>
      <c r="H11" s="174" t="str">
        <f>$AI$14</f>
        <v>IWDPH</v>
      </c>
      <c r="I11" s="173"/>
      <c r="J11" s="224">
        <f>AD11</f>
        <v>2030</v>
      </c>
      <c r="K11" s="81"/>
      <c r="L11" s="333">
        <v>1</v>
      </c>
      <c r="M11" s="199">
        <f ca="1">VLOOKUP($AD11,INDIRECT("'"&amp;$B11&amp;"'!"&amp;"$P$39:$AD$42"),3,FALSE)</f>
        <v>4.5792982142857133</v>
      </c>
      <c r="N11" s="81"/>
      <c r="O11" s="723">
        <f ca="1">VLOOKUP($AD11,INDIRECT("'"&amp;$B11&amp;"'!"&amp;"$P$39:$AD$42"),6,FALSE)/1000</f>
        <v>4.8425000000000002</v>
      </c>
      <c r="P11" s="723">
        <f ca="1">VLOOKUP($AD11,INDIRECT("'"&amp;$B11&amp;"'!"&amp;"$P$39:$AD$42"),7,FALSE)/1000</f>
        <v>1.49E-2</v>
      </c>
      <c r="Q11" s="81">
        <f ca="1">VLOOKUP($AD11,INDIRECT("'"&amp;$B11&amp;"'!"&amp;"$P$39:$AD$42"),8,FALSE)</f>
        <v>6.6222222222222227</v>
      </c>
      <c r="R11" s="300"/>
      <c r="S11" s="300"/>
      <c r="T11" s="300"/>
      <c r="U11" s="199">
        <f ca="1">1/M11</f>
        <v>0.21837407244637849</v>
      </c>
      <c r="V11" s="199"/>
      <c r="W11" s="298"/>
      <c r="X11" s="698">
        <f ca="1">IF(VLOOKUP($AD11,INDIRECT("'"&amp;$B11&amp;"'!"&amp;"$P$39:$AD$42"),11,FALSE)="Cf. the utilized electricity",0,VLOOKUP($AD11,INDIRECT("'"&amp;$B11&amp;"'!"&amp;"$P$39:$AD$42"),11,FALSE))</f>
        <v>0</v>
      </c>
      <c r="Y11" s="81">
        <f ca="1">VLOOKUP($AD11,INDIRECT("'"&amp;$B11&amp;"'!"&amp;"$P$39:$AD$42"),12,FALSE)</f>
        <v>0</v>
      </c>
      <c r="Z11" s="81">
        <f ca="1">VLOOKUP($AD11,INDIRECT("'"&amp;$B11&amp;"'!"&amp;"$P$39:$AD$42"),13,FALSE)</f>
        <v>0</v>
      </c>
      <c r="AA11" s="81">
        <f ca="1">VLOOKUP($AD11,INDIRECT("'"&amp;$B11&amp;"'!"&amp;"$P$39:$AD$42"),14,FALSE)</f>
        <v>0</v>
      </c>
      <c r="AB11" s="81">
        <f ca="1">VLOOKUP($AD11,INDIRECT("'"&amp;$B11&amp;"'!"&amp;"$P$39:$AD$42"),15,FALSE)</f>
        <v>0</v>
      </c>
      <c r="AC11" s="226"/>
      <c r="AD11" s="81">
        <v>2030</v>
      </c>
      <c r="AE11" s="81"/>
      <c r="AF11" s="220"/>
    </row>
    <row r="12" spans="2:42">
      <c r="B12" s="357" t="s">
        <v>998</v>
      </c>
      <c r="D12" s="212"/>
      <c r="E12" s="212"/>
      <c r="F12" s="224" t="s">
        <v>1149</v>
      </c>
      <c r="G12" s="173" t="str">
        <f>$AI$20</f>
        <v>INDWWH</v>
      </c>
      <c r="H12" s="174"/>
      <c r="I12" s="174"/>
      <c r="K12" s="81"/>
      <c r="L12" s="333"/>
      <c r="M12" s="199"/>
      <c r="N12" s="81"/>
      <c r="O12" s="723"/>
      <c r="P12" s="723"/>
      <c r="Q12" s="81"/>
      <c r="R12" s="300"/>
      <c r="S12" s="300"/>
      <c r="T12" s="300"/>
      <c r="U12" s="199">
        <f ca="1">1-U11</f>
        <v>0.78162592755362148</v>
      </c>
      <c r="V12" s="300"/>
      <c r="W12" s="298"/>
      <c r="X12" s="698"/>
      <c r="Y12" s="81"/>
      <c r="Z12" s="81"/>
      <c r="AA12" s="81"/>
      <c r="AB12" s="81"/>
      <c r="AC12" s="226"/>
      <c r="AD12" s="81"/>
      <c r="AE12" s="81"/>
      <c r="AF12" s="220"/>
      <c r="AI12" s="224" t="s">
        <v>518</v>
      </c>
      <c r="AJ12" s="224" t="str">
        <f>E2</f>
        <v>Wood products</v>
      </c>
    </row>
    <row r="13" spans="2:42">
      <c r="B13" s="357" t="s">
        <v>998</v>
      </c>
      <c r="D13" s="212"/>
      <c r="E13" s="212"/>
      <c r="F13" s="224" t="s">
        <v>1149</v>
      </c>
      <c r="G13" s="173" t="s">
        <v>499</v>
      </c>
      <c r="H13" s="174" t="str">
        <f>$AI$14</f>
        <v>IWDPH</v>
      </c>
      <c r="I13" s="173"/>
      <c r="J13" s="224">
        <f>AD13</f>
        <v>2050</v>
      </c>
      <c r="K13" s="81"/>
      <c r="L13" s="333">
        <v>1</v>
      </c>
      <c r="M13" s="199">
        <f ca="1">VLOOKUP($AD13,INDIRECT("'"&amp;$B13&amp;"'!"&amp;"$P$39:$AD$42"),3,FALSE)</f>
        <v>4.7191030203571422</v>
      </c>
      <c r="N13" s="81"/>
      <c r="O13" s="723">
        <f ca="1">VLOOKUP($AD13,INDIRECT("'"&amp;$B13&amp;"'!"&amp;"$P$39:$AD$42"),6,FALSE)/1000</f>
        <v>4.3209999999999997</v>
      </c>
      <c r="P13" s="723">
        <f ca="1">VLOOKUP($AD13,INDIRECT("'"&amp;$B13&amp;"'!"&amp;"$P$39:$AD$42"),7,FALSE)/1000</f>
        <v>1.49E-2</v>
      </c>
      <c r="Q13" s="81">
        <f ca="1">VLOOKUP($AD13,INDIRECT("'"&amp;$B13&amp;"'!"&amp;"$P$39:$AD$42"),8,FALSE)</f>
        <v>6.4566666666666661</v>
      </c>
      <c r="R13" s="300"/>
      <c r="S13" s="300"/>
      <c r="T13" s="300"/>
      <c r="U13" s="199">
        <f ca="1">1/M13</f>
        <v>0.21190467673331698</v>
      </c>
      <c r="V13" s="199"/>
      <c r="W13" s="298"/>
      <c r="X13" s="698">
        <f ca="1">IF(VLOOKUP($AD13,INDIRECT("'"&amp;$B13&amp;"'!"&amp;"$P$39:$AD$42"),11,FALSE)="Cf. the utilized electricity",0,VLOOKUP($AD13,INDIRECT("'"&amp;$B13&amp;"'!"&amp;"$P$39:$AD$42"),11,FALSE))</f>
        <v>0</v>
      </c>
      <c r="Y13" s="81">
        <f ca="1">VLOOKUP($AD13,INDIRECT("'"&amp;$B13&amp;"'!"&amp;"$P$39:$AD$42"),12,FALSE)</f>
        <v>0</v>
      </c>
      <c r="Z13" s="81">
        <f ca="1">VLOOKUP($AD13,INDIRECT("'"&amp;$B13&amp;"'!"&amp;"$P$39:$AD$42"),13,FALSE)</f>
        <v>0</v>
      </c>
      <c r="AA13" s="81">
        <f ca="1">VLOOKUP($AD13,INDIRECT("'"&amp;$B13&amp;"'!"&amp;"$P$39:$AD$42"),14,FALSE)</f>
        <v>0</v>
      </c>
      <c r="AB13" s="81">
        <f ca="1">VLOOKUP($AD13,INDIRECT("'"&amp;$B13&amp;"'!"&amp;"$P$39:$AD$42"),15,FALSE)</f>
        <v>0</v>
      </c>
      <c r="AC13" s="226"/>
      <c r="AD13" s="81">
        <v>2050</v>
      </c>
      <c r="AE13" s="81"/>
      <c r="AF13" s="220"/>
      <c r="AI13" s="224" t="str">
        <f>AO14</f>
        <v>IWDPH</v>
      </c>
      <c r="AJ13" s="224" t="str">
        <f>AP14</f>
        <v>Wood products industry Demand Heat High Temp. over 150C</v>
      </c>
      <c r="AO13" s="224" t="s">
        <v>2096</v>
      </c>
      <c r="AP13" s="224" t="s">
        <v>1234</v>
      </c>
    </row>
    <row r="14" spans="2:42">
      <c r="B14" s="357" t="s">
        <v>998</v>
      </c>
      <c r="D14" s="212"/>
      <c r="E14" s="212"/>
      <c r="F14" s="224" t="s">
        <v>1149</v>
      </c>
      <c r="G14" s="173" t="str">
        <f>$AI$20</f>
        <v>INDWWH</v>
      </c>
      <c r="H14" s="174"/>
      <c r="I14" s="174"/>
      <c r="K14" s="81"/>
      <c r="L14" s="333"/>
      <c r="M14" s="199"/>
      <c r="N14" s="81"/>
      <c r="O14" s="723"/>
      <c r="P14" s="723"/>
      <c r="Q14" s="81"/>
      <c r="R14" s="300"/>
      <c r="S14" s="300"/>
      <c r="T14" s="300"/>
      <c r="U14" s="199">
        <f ca="1">1-U13</f>
        <v>0.78809532326668297</v>
      </c>
      <c r="V14" s="300"/>
      <c r="W14" s="298"/>
      <c r="X14" s="698"/>
      <c r="Y14" s="81"/>
      <c r="Z14" s="81"/>
      <c r="AA14" s="81"/>
      <c r="AB14" s="81"/>
      <c r="AC14" s="226"/>
      <c r="AD14" s="81"/>
      <c r="AE14" s="81"/>
      <c r="AF14" s="220"/>
      <c r="AI14" s="224" t="str">
        <f>AO13</f>
        <v>IWDPH</v>
      </c>
      <c r="AJ14" s="224" t="str">
        <f>AP13</f>
        <v>Wood products industry Demand Heat Medium Temp. up to 150C</v>
      </c>
      <c r="AO14" s="224" t="s">
        <v>2096</v>
      </c>
      <c r="AP14" s="224" t="s">
        <v>1235</v>
      </c>
    </row>
    <row r="15" spans="2:42">
      <c r="B15" s="357" t="s">
        <v>998</v>
      </c>
      <c r="D15" s="212" t="str">
        <f>"IND"&amp;RIGHT(H15,4)&amp;RIGHT(G15,3)&amp;"N"&amp;RIGHT(E15,1)</f>
        <v>INDWDSHELCN1</v>
      </c>
      <c r="E15" s="261" t="str">
        <f>"Industrial heating technology "&amp;$AJ$12&amp;" "&amp;RIGHT(H15,2)&amp;" - Heat pump utilizing waste heat - new 1"</f>
        <v>Industrial heating technology Wood products SH - Heat pump utilizing waste heat - new 1</v>
      </c>
      <c r="F15" s="224" t="s">
        <v>1149</v>
      </c>
      <c r="G15" s="173" t="s">
        <v>499</v>
      </c>
      <c r="H15" s="174" t="str">
        <f>$AI$15</f>
        <v>IWDSH</v>
      </c>
      <c r="I15" s="174"/>
      <c r="J15" s="224">
        <f>AD15</f>
        <v>2020</v>
      </c>
      <c r="K15" s="81">
        <v>2020</v>
      </c>
      <c r="L15" s="333">
        <v>1</v>
      </c>
      <c r="M15" s="199">
        <f ca="1">VLOOKUP($AD15,INDIRECT("'"&amp;$B15&amp;"'!"&amp;"$P$39:$AD$42"),3,FALSE)</f>
        <v>4.4754761904761899</v>
      </c>
      <c r="N15" s="81">
        <f ca="1">VLOOKUP($AD15,INDIRECT("'"&amp;$B15&amp;"'!"&amp;"$P$39:$AD$42"),5,FALSE)</f>
        <v>20</v>
      </c>
      <c r="O15" s="723">
        <f ca="1">VLOOKUP($AD15,INDIRECT("'"&amp;$B15&amp;"'!"&amp;"$P$39:$AD$42"),6,FALSE)/1000</f>
        <v>5.4385000000000003</v>
      </c>
      <c r="P15" s="723">
        <f ca="1">VLOOKUP($AD15,INDIRECT("'"&amp;$B15&amp;"'!"&amp;"$P$39:$AD$42"),7,FALSE)/1000</f>
        <v>1.49E-2</v>
      </c>
      <c r="Q15" s="81">
        <f ca="1">VLOOKUP($AD15,INDIRECT("'"&amp;$B15&amp;"'!"&amp;"$P$39:$AD$42"),8,FALSE)</f>
        <v>6.7463888888888883</v>
      </c>
      <c r="R15" s="81">
        <v>3.1536000000000002E-2</v>
      </c>
      <c r="S15" s="199">
        <v>0.5</v>
      </c>
      <c r="T15" s="199">
        <f ca="1">HLOOKUP($T$2,INDIRECT("'"&amp;$B15&amp;"'!"&amp;"$P$6:$AC$19"),IF(H15=$AI$13,6,IF(H15=$AI$14,9,14)),FALSE)</f>
        <v>1</v>
      </c>
      <c r="U15" s="199">
        <f ca="1">1/M15</f>
        <v>0.22343991062403579</v>
      </c>
      <c r="V15" s="199"/>
      <c r="W15" s="298"/>
      <c r="X15" s="698">
        <f ca="1">IF(VLOOKUP($AD15,INDIRECT("'"&amp;$B15&amp;"'!"&amp;"$P$39:$AD$42"),11,FALSE)="Cf. the utilized electricity",0,VLOOKUP($AD15,INDIRECT("'"&amp;$B15&amp;"'!"&amp;"$P$39:$AD$42"),11,FALSE))</f>
        <v>0</v>
      </c>
      <c r="Y15" s="81">
        <f ca="1">VLOOKUP($AD15,INDIRECT("'"&amp;$B15&amp;"'!"&amp;"$P$39:$AD$42"),12,FALSE)</f>
        <v>0</v>
      </c>
      <c r="Z15" s="81">
        <f ca="1">VLOOKUP($AD15,INDIRECT("'"&amp;$B15&amp;"'!"&amp;"$P$39:$AD$42"),13,FALSE)</f>
        <v>0</v>
      </c>
      <c r="AA15" s="81">
        <f ca="1">VLOOKUP($AD15,INDIRECT("'"&amp;$B15&amp;"'!"&amp;"$P$39:$AD$42"),14,FALSE)</f>
        <v>0</v>
      </c>
      <c r="AB15" s="81">
        <f ca="1">VLOOKUP($AD15,INDIRECT("'"&amp;$B15&amp;"'!"&amp;"$P$39:$AD$42"),15,FALSE)</f>
        <v>0</v>
      </c>
      <c r="AC15" s="226"/>
      <c r="AD15" s="81">
        <v>2020</v>
      </c>
      <c r="AE15" s="81"/>
      <c r="AF15" s="220"/>
      <c r="AI15" s="224" t="str">
        <f>AO15</f>
        <v>IWDSH</v>
      </c>
      <c r="AJ15" s="224" t="str">
        <f>AP15</f>
        <v>Wood products industry Demand Heat Room Heat</v>
      </c>
      <c r="AO15" s="224" t="s">
        <v>2097</v>
      </c>
      <c r="AP15" s="224" t="s">
        <v>1236</v>
      </c>
    </row>
    <row r="16" spans="2:42">
      <c r="B16" s="357" t="s">
        <v>998</v>
      </c>
      <c r="D16" s="212"/>
      <c r="E16" s="261"/>
      <c r="F16" s="224" t="s">
        <v>1149</v>
      </c>
      <c r="G16" s="173" t="str">
        <f>$AI$20</f>
        <v>INDWWH</v>
      </c>
      <c r="H16" s="174"/>
      <c r="I16" s="174"/>
      <c r="K16" s="81"/>
      <c r="L16" s="333"/>
      <c r="M16" s="199"/>
      <c r="N16" s="81"/>
      <c r="O16" s="723"/>
      <c r="P16" s="723"/>
      <c r="Q16" s="81"/>
      <c r="R16" s="200"/>
      <c r="S16" s="772"/>
      <c r="T16" s="772"/>
      <c r="U16" s="199">
        <f ca="1">1-U15</f>
        <v>0.77656008937596421</v>
      </c>
      <c r="V16" s="772"/>
      <c r="W16" s="298"/>
      <c r="X16" s="698"/>
      <c r="Y16" s="81"/>
      <c r="Z16" s="81"/>
      <c r="AA16" s="81"/>
      <c r="AB16" s="81"/>
      <c r="AC16" s="226"/>
      <c r="AD16" s="81"/>
      <c r="AE16" s="81"/>
      <c r="AF16" s="220"/>
      <c r="AI16" s="224" t="str">
        <f t="shared" ref="AI16:AJ19" si="0">AO16</f>
        <v>IWDLA</v>
      </c>
      <c r="AJ16" s="224" t="str">
        <f t="shared" si="0"/>
        <v>Wood products industry Demand Light</v>
      </c>
      <c r="AO16" s="224" t="s">
        <v>1237</v>
      </c>
      <c r="AP16" s="224" t="s">
        <v>1238</v>
      </c>
    </row>
    <row r="17" spans="2:42">
      <c r="B17" s="357" t="s">
        <v>998</v>
      </c>
      <c r="D17" s="212"/>
      <c r="E17" s="212"/>
      <c r="F17" s="224" t="s">
        <v>1149</v>
      </c>
      <c r="G17" s="173" t="s">
        <v>499</v>
      </c>
      <c r="H17" s="174" t="str">
        <f>$AI$15</f>
        <v>IWDSH</v>
      </c>
      <c r="I17" s="174"/>
      <c r="J17" s="224">
        <f>AD17</f>
        <v>2030</v>
      </c>
      <c r="K17" s="81"/>
      <c r="L17" s="333">
        <v>1</v>
      </c>
      <c r="M17" s="199">
        <f ca="1">VLOOKUP($AD17,INDIRECT("'"&amp;$B17&amp;"'!"&amp;"$P$39:$AD$42"),3,FALSE)</f>
        <v>4.5792982142857133</v>
      </c>
      <c r="N17" s="81"/>
      <c r="O17" s="723">
        <f ca="1">VLOOKUP($AD17,INDIRECT("'"&amp;$B17&amp;"'!"&amp;"$P$39:$AD$42"),6,FALSE)/1000</f>
        <v>4.8425000000000002</v>
      </c>
      <c r="P17" s="723">
        <f ca="1">VLOOKUP($AD17,INDIRECT("'"&amp;$B17&amp;"'!"&amp;"$P$39:$AD$42"),7,FALSE)/1000</f>
        <v>1.49E-2</v>
      </c>
      <c r="Q17" s="81">
        <f ca="1">VLOOKUP($AD17,INDIRECT("'"&amp;$B17&amp;"'!"&amp;"$P$39:$AD$42"),8,FALSE)</f>
        <v>6.6222222222222227</v>
      </c>
      <c r="R17" s="300"/>
      <c r="S17" s="300"/>
      <c r="T17" s="300"/>
      <c r="U17" s="199">
        <f ca="1">1/M17</f>
        <v>0.21837407244637849</v>
      </c>
      <c r="V17" s="199"/>
      <c r="W17" s="298"/>
      <c r="X17" s="698">
        <f ca="1">IF(VLOOKUP($AD17,INDIRECT("'"&amp;$B17&amp;"'!"&amp;"$P$39:$AD$42"),11,FALSE)="Cf. the utilized electricity",0,VLOOKUP($AD17,INDIRECT("'"&amp;$B17&amp;"'!"&amp;"$P$39:$AD$42"),11,FALSE))</f>
        <v>0</v>
      </c>
      <c r="Y17" s="81">
        <f ca="1">VLOOKUP($AD17,INDIRECT("'"&amp;$B17&amp;"'!"&amp;"$P$39:$AD$42"),12,FALSE)</f>
        <v>0</v>
      </c>
      <c r="Z17" s="81">
        <f ca="1">VLOOKUP($AD17,INDIRECT("'"&amp;$B17&amp;"'!"&amp;"$P$39:$AD$42"),13,FALSE)</f>
        <v>0</v>
      </c>
      <c r="AA17" s="81">
        <f ca="1">VLOOKUP($AD17,INDIRECT("'"&amp;$B17&amp;"'!"&amp;"$P$39:$AD$42"),14,FALSE)</f>
        <v>0</v>
      </c>
      <c r="AB17" s="81">
        <f ca="1">VLOOKUP($AD17,INDIRECT("'"&amp;$B17&amp;"'!"&amp;"$P$39:$AD$42"),15,FALSE)</f>
        <v>0</v>
      </c>
      <c r="AC17" s="226"/>
      <c r="AD17" s="81">
        <v>2030</v>
      </c>
      <c r="AE17" s="81"/>
      <c r="AF17" s="220"/>
      <c r="AI17" s="224" t="str">
        <f t="shared" si="0"/>
        <v>IWDEM</v>
      </c>
      <c r="AJ17" s="224" t="str">
        <f t="shared" si="0"/>
        <v>Wood products industry Demand Electric Motors</v>
      </c>
      <c r="AO17" s="224" t="s">
        <v>1239</v>
      </c>
      <c r="AP17" s="224" t="s">
        <v>1240</v>
      </c>
    </row>
    <row r="18" spans="2:42">
      <c r="B18" s="357" t="s">
        <v>998</v>
      </c>
      <c r="D18" s="212"/>
      <c r="E18" s="212"/>
      <c r="F18" s="224" t="s">
        <v>1149</v>
      </c>
      <c r="G18" s="173" t="str">
        <f>$AI$20</f>
        <v>INDWWH</v>
      </c>
      <c r="H18" s="174"/>
      <c r="I18" s="174"/>
      <c r="K18" s="81"/>
      <c r="L18" s="333"/>
      <c r="M18" s="199"/>
      <c r="N18" s="81"/>
      <c r="O18" s="723"/>
      <c r="P18" s="723"/>
      <c r="Q18" s="81"/>
      <c r="R18" s="300"/>
      <c r="S18" s="300"/>
      <c r="T18" s="300"/>
      <c r="U18" s="199">
        <f ca="1">1-U17</f>
        <v>0.78162592755362148</v>
      </c>
      <c r="V18" s="300"/>
      <c r="W18" s="298"/>
      <c r="X18" s="698"/>
      <c r="Y18" s="81"/>
      <c r="Z18" s="81"/>
      <c r="AA18" s="81"/>
      <c r="AB18" s="81"/>
      <c r="AC18" s="226"/>
      <c r="AD18" s="81"/>
      <c r="AE18" s="81"/>
      <c r="AF18" s="220"/>
      <c r="AI18" s="224" t="str">
        <f t="shared" si="0"/>
        <v>IWDTF</v>
      </c>
      <c r="AJ18" s="224" t="str">
        <f t="shared" si="0"/>
        <v>Wood products industry Demand Haulage Tractors, Trucks, Fishing boats, Forest machines</v>
      </c>
      <c r="AO18" s="224" t="s">
        <v>1241</v>
      </c>
      <c r="AP18" s="224" t="s">
        <v>1242</v>
      </c>
    </row>
    <row r="19" spans="2:42">
      <c r="B19" s="357" t="s">
        <v>998</v>
      </c>
      <c r="D19" s="212"/>
      <c r="E19" s="212"/>
      <c r="F19" s="224" t="s">
        <v>1149</v>
      </c>
      <c r="G19" s="173" t="s">
        <v>499</v>
      </c>
      <c r="H19" s="174" t="str">
        <f>$AI$15</f>
        <v>IWDSH</v>
      </c>
      <c r="I19" s="174"/>
      <c r="J19" s="224">
        <f>AD19</f>
        <v>2050</v>
      </c>
      <c r="K19" s="81"/>
      <c r="L19" s="333">
        <v>1</v>
      </c>
      <c r="M19" s="199">
        <f ca="1">VLOOKUP($AD19,INDIRECT("'"&amp;$B19&amp;"'!"&amp;"$P$39:$AD$42"),3,FALSE)</f>
        <v>4.7191030203571422</v>
      </c>
      <c r="N19" s="81"/>
      <c r="O19" s="723">
        <f ca="1">VLOOKUP($AD19,INDIRECT("'"&amp;$B19&amp;"'!"&amp;"$P$39:$AD$42"),6,FALSE)/1000</f>
        <v>4.3209999999999997</v>
      </c>
      <c r="P19" s="723">
        <f ca="1">VLOOKUP($AD19,INDIRECT("'"&amp;$B19&amp;"'!"&amp;"$P$39:$AD$42"),7,FALSE)/1000</f>
        <v>1.49E-2</v>
      </c>
      <c r="Q19" s="81">
        <f ca="1">VLOOKUP($AD19,INDIRECT("'"&amp;$B19&amp;"'!"&amp;"$P$39:$AD$42"),8,FALSE)</f>
        <v>6.4566666666666661</v>
      </c>
      <c r="R19" s="300"/>
      <c r="S19" s="300"/>
      <c r="T19" s="300"/>
      <c r="U19" s="199">
        <f ca="1">1/M19</f>
        <v>0.21190467673331698</v>
      </c>
      <c r="V19" s="199"/>
      <c r="W19" s="298"/>
      <c r="X19" s="698">
        <f ca="1">IF(VLOOKUP($AD19,INDIRECT("'"&amp;$B19&amp;"'!"&amp;"$P$39:$AD$42"),11,FALSE)="Cf. the utilized electricity",0,VLOOKUP($AD19,INDIRECT("'"&amp;$B19&amp;"'!"&amp;"$P$39:$AD$42"),11,FALSE))</f>
        <v>0</v>
      </c>
      <c r="Y19" s="81">
        <f ca="1">VLOOKUP($AD19,INDIRECT("'"&amp;$B19&amp;"'!"&amp;"$P$39:$AD$42"),12,FALSE)</f>
        <v>0</v>
      </c>
      <c r="Z19" s="81">
        <f ca="1">VLOOKUP($AD19,INDIRECT("'"&amp;$B19&amp;"'!"&amp;"$P$39:$AD$42"),13,FALSE)</f>
        <v>0</v>
      </c>
      <c r="AA19" s="81">
        <f ca="1">VLOOKUP($AD19,INDIRECT("'"&amp;$B19&amp;"'!"&amp;"$P$39:$AD$42"),14,FALSE)</f>
        <v>0</v>
      </c>
      <c r="AB19" s="81">
        <f ca="1">VLOOKUP($AD19,INDIRECT("'"&amp;$B19&amp;"'!"&amp;"$P$39:$AD$42"),15,FALSE)</f>
        <v>0</v>
      </c>
      <c r="AC19" s="226"/>
      <c r="AD19" s="81">
        <v>2050</v>
      </c>
      <c r="AE19" s="81"/>
      <c r="AF19" s="220"/>
      <c r="AI19" s="224" t="str">
        <f t="shared" si="0"/>
        <v>IWDFL</v>
      </c>
      <c r="AJ19" s="224" t="str">
        <f t="shared" si="0"/>
        <v>Wood products industry Demand Haulage Forklifts</v>
      </c>
      <c r="AO19" s="224" t="s">
        <v>1243</v>
      </c>
      <c r="AP19" s="224" t="s">
        <v>1244</v>
      </c>
    </row>
    <row r="20" spans="2:42">
      <c r="B20" s="357" t="s">
        <v>998</v>
      </c>
      <c r="D20" s="212"/>
      <c r="E20" s="212"/>
      <c r="F20" s="224" t="s">
        <v>1149</v>
      </c>
      <c r="G20" s="173" t="str">
        <f>$AI$20</f>
        <v>INDWWH</v>
      </c>
      <c r="H20" s="174"/>
      <c r="I20" s="174"/>
      <c r="K20" s="81"/>
      <c r="L20" s="333"/>
      <c r="M20" s="199"/>
      <c r="N20" s="81"/>
      <c r="O20" s="723"/>
      <c r="P20" s="723"/>
      <c r="Q20" s="81"/>
      <c r="R20" s="300"/>
      <c r="S20" s="300"/>
      <c r="T20" s="300"/>
      <c r="U20" s="199">
        <f ca="1">1-U19</f>
        <v>0.78809532326668297</v>
      </c>
      <c r="V20" s="300"/>
      <c r="W20" s="298"/>
      <c r="X20" s="698"/>
      <c r="Y20" s="81"/>
      <c r="Z20" s="81"/>
      <c r="AA20" s="81"/>
      <c r="AB20" s="81"/>
      <c r="AC20" s="226"/>
      <c r="AD20" s="81"/>
      <c r="AE20" s="81"/>
      <c r="AF20" s="220"/>
      <c r="AI20" s="36" t="str">
        <f>"IND"&amp;MID(AI19,2,1)&amp;"WH"</f>
        <v>INDWWH</v>
      </c>
      <c r="AJ20" s="224" t="str">
        <f>$AJ$12&amp;" Industrial Waste Heat"</f>
        <v>Wood products Industrial Waste Heat</v>
      </c>
    </row>
    <row r="21" spans="2:42">
      <c r="B21" s="357" t="s">
        <v>999</v>
      </c>
      <c r="D21" s="212" t="str">
        <f>"IND"&amp;RIGHT(H21,4)&amp;RIGHT(G21,3)&amp;"N"&amp;RIGHT(E21,1)</f>
        <v>INDWDPHELCN2</v>
      </c>
      <c r="E21" s="261" t="str">
        <f>"Industrial heating technology "&amp;$AJ$12&amp;" "&amp;RIGHT(H21,2)&amp;" - Heat driven heat pump utilizing waste heat - new 2"</f>
        <v>Industrial heating technology Wood products PH - Heat driven heat pump utilizing waste heat - new 2</v>
      </c>
      <c r="F21" s="224" t="s">
        <v>1149</v>
      </c>
      <c r="G21" s="173" t="s">
        <v>499</v>
      </c>
      <c r="H21" s="174" t="str">
        <f>$AI$14</f>
        <v>IWDPH</v>
      </c>
      <c r="I21" s="174"/>
      <c r="J21" s="224">
        <f t="shared" ref="J21" si="1">AD21</f>
        <v>2020</v>
      </c>
      <c r="K21" s="81">
        <v>2020</v>
      </c>
      <c r="L21" s="333">
        <v>1</v>
      </c>
      <c r="M21" s="199">
        <f ca="1">VLOOKUP($AD21,INDIRECT("'"&amp;$B21&amp;"'!"&amp;"$P$39:$AD$42"),3,FALSE)</f>
        <v>1.68</v>
      </c>
      <c r="N21" s="81">
        <f ca="1">VLOOKUP($AD21,INDIRECT("'"&amp;$B21&amp;"'!"&amp;"$P$39:$AD$42"),5,FALSE)</f>
        <v>20</v>
      </c>
      <c r="O21" s="723">
        <f ca="1">VLOOKUP($AD21,INDIRECT("'"&amp;$B21&amp;"'!"&amp;"$P$39:$AD$42"),6,FALSE)/1000</f>
        <v>4.1720000000000006</v>
      </c>
      <c r="P21" s="723">
        <f ca="1">VLOOKUP($AD21,INDIRECT("'"&amp;$B21&amp;"'!"&amp;"$P$39:$AD$42"),7,FALSE)/1000</f>
        <v>1.49E-2</v>
      </c>
      <c r="Q21" s="81">
        <f ca="1">VLOOKUP($AD21,INDIRECT("'"&amp;$B21&amp;"'!"&amp;"$P$39:$AD$42"),8,FALSE)</f>
        <v>2.0901388888888892</v>
      </c>
      <c r="R21" s="81">
        <v>3.1536000000000002E-2</v>
      </c>
      <c r="S21" s="199">
        <v>0.5</v>
      </c>
      <c r="T21" s="199">
        <f ca="1">HLOOKUP($T$2,INDIRECT("'"&amp;$B21&amp;"'!"&amp;"$P$6:$AC$19"),IF(H21=$AI$13,6,IF(H21=$AI$14,9,14)),FALSE)</f>
        <v>0</v>
      </c>
      <c r="U21" s="199">
        <f ca="1">1/M21</f>
        <v>0.59523809523809523</v>
      </c>
      <c r="V21" s="199"/>
      <c r="W21" s="298"/>
      <c r="X21" s="698">
        <f ca="1">IF(VLOOKUP($AD21,INDIRECT("'"&amp;$B21&amp;"'!"&amp;"$P$39:$AD$42"),11,FALSE)="Cf. the utilized electricity",0,VLOOKUP($AD21,INDIRECT("'"&amp;$B21&amp;"'!"&amp;"$P$39:$AD$42"),11,FALSE))</f>
        <v>0</v>
      </c>
      <c r="Y21" s="81">
        <f ca="1">VLOOKUP($AD21,INDIRECT("'"&amp;$B21&amp;"'!"&amp;"$P$39:$AD$42"),12,FALSE)</f>
        <v>0</v>
      </c>
      <c r="Z21" s="81">
        <f ca="1">VLOOKUP($AD21,INDIRECT("'"&amp;$B21&amp;"'!"&amp;"$P$39:$AD$42"),13,FALSE)</f>
        <v>0</v>
      </c>
      <c r="AA21" s="81">
        <f ca="1">VLOOKUP($AD21,INDIRECT("'"&amp;$B21&amp;"'!"&amp;"$P$39:$AD$42"),14,FALSE)</f>
        <v>0</v>
      </c>
      <c r="AB21" s="81">
        <f ca="1">VLOOKUP($AD21,INDIRECT("'"&amp;$B21&amp;"'!"&amp;"$P$39:$AD$42"),15,FALSE)</f>
        <v>0</v>
      </c>
      <c r="AC21" s="226"/>
      <c r="AD21" s="81">
        <v>2020</v>
      </c>
      <c r="AE21" s="81"/>
      <c r="AF21" s="220"/>
      <c r="AI21" s="224" t="str">
        <f>"I"&amp;LEFT($AJ$12,1)&amp;"DCO"</f>
        <v>IWDCO</v>
      </c>
      <c r="AJ21" s="224" t="s">
        <v>2110</v>
      </c>
    </row>
    <row r="22" spans="2:42">
      <c r="B22" s="357" t="s">
        <v>999</v>
      </c>
      <c r="D22" s="212"/>
      <c r="E22" s="261"/>
      <c r="F22" s="224" t="s">
        <v>1149</v>
      </c>
      <c r="G22" s="173" t="str">
        <f>$AI$20</f>
        <v>INDWWH</v>
      </c>
      <c r="H22" s="174"/>
      <c r="I22" s="174"/>
      <c r="K22" s="81"/>
      <c r="L22" s="333"/>
      <c r="M22" s="199"/>
      <c r="N22" s="81"/>
      <c r="O22" s="723"/>
      <c r="P22" s="723"/>
      <c r="Q22" s="81"/>
      <c r="R22" s="200"/>
      <c r="S22" s="772"/>
      <c r="T22" s="772"/>
      <c r="U22" s="199">
        <f ca="1">1-U21</f>
        <v>0.40476190476190477</v>
      </c>
      <c r="V22" s="772"/>
      <c r="W22" s="298"/>
      <c r="X22" s="698"/>
      <c r="Y22" s="81"/>
      <c r="Z22" s="81"/>
      <c r="AA22" s="81"/>
      <c r="AB22" s="81"/>
      <c r="AC22" s="226"/>
      <c r="AD22" s="81"/>
      <c r="AE22" s="81"/>
      <c r="AF22" s="220"/>
      <c r="AI22" s="224">
        <v>1</v>
      </c>
    </row>
    <row r="23" spans="2:42">
      <c r="B23" s="357" t="s">
        <v>999</v>
      </c>
      <c r="D23" s="212"/>
      <c r="E23" s="212"/>
      <c r="F23" s="224" t="s">
        <v>1149</v>
      </c>
      <c r="G23" s="173" t="s">
        <v>499</v>
      </c>
      <c r="H23" s="174" t="str">
        <f>$AI$14</f>
        <v>IWDPH</v>
      </c>
      <c r="I23" s="174"/>
      <c r="J23" s="224">
        <f t="shared" ref="J23" si="2">AD23</f>
        <v>2030</v>
      </c>
      <c r="K23" s="81"/>
      <c r="L23" s="333">
        <v>1</v>
      </c>
      <c r="M23" s="199">
        <f ca="1">VLOOKUP($AD23,INDIRECT("'"&amp;$B23&amp;"'!"&amp;"$P$39:$AD$42"),3,FALSE)</f>
        <v>1.69</v>
      </c>
      <c r="N23" s="81"/>
      <c r="O23" s="723">
        <f ca="1">VLOOKUP($AD23,INDIRECT("'"&amp;$B23&amp;"'!"&amp;"$P$39:$AD$42"),6,FALSE)/1000</f>
        <v>3.7995000000000001</v>
      </c>
      <c r="P23" s="723">
        <f ca="1">VLOOKUP($AD23,INDIRECT("'"&amp;$B23&amp;"'!"&amp;"$P$39:$AD$42"),7,FALSE)/1000</f>
        <v>1.49E-2</v>
      </c>
      <c r="Q23" s="81">
        <f ca="1">VLOOKUP($AD23,INDIRECT("'"&amp;$B23&amp;"'!"&amp;"$P$39:$AD$42"),8,FALSE)</f>
        <v>2.0694444444444446</v>
      </c>
      <c r="R23" s="300"/>
      <c r="S23" s="300"/>
      <c r="T23" s="300"/>
      <c r="U23" s="199">
        <f ca="1">1/M23</f>
        <v>0.59171597633136097</v>
      </c>
      <c r="V23" s="199"/>
      <c r="W23" s="298"/>
      <c r="X23" s="698">
        <f ca="1">IF(VLOOKUP($AD23,INDIRECT("'"&amp;$B23&amp;"'!"&amp;"$P$39:$AD$42"),11,FALSE)="Cf. the utilized electricity",0,VLOOKUP($AD23,INDIRECT("'"&amp;$B23&amp;"'!"&amp;"$P$39:$AD$42"),11,FALSE))</f>
        <v>0</v>
      </c>
      <c r="Y23" s="81">
        <f ca="1">VLOOKUP($AD23,INDIRECT("'"&amp;$B23&amp;"'!"&amp;"$P$39:$AD$42"),12,FALSE)</f>
        <v>0</v>
      </c>
      <c r="Z23" s="81">
        <f ca="1">VLOOKUP($AD23,INDIRECT("'"&amp;$B23&amp;"'!"&amp;"$P$39:$AD$42"),13,FALSE)</f>
        <v>0</v>
      </c>
      <c r="AA23" s="81">
        <f ca="1">VLOOKUP($AD23,INDIRECT("'"&amp;$B23&amp;"'!"&amp;"$P$39:$AD$42"),14,FALSE)</f>
        <v>0</v>
      </c>
      <c r="AB23" s="81">
        <f ca="1">VLOOKUP($AD23,INDIRECT("'"&amp;$B23&amp;"'!"&amp;"$P$39:$AD$42"),15,FALSE)</f>
        <v>0</v>
      </c>
      <c r="AC23" s="226"/>
      <c r="AD23" s="81">
        <v>2030</v>
      </c>
      <c r="AE23" s="81"/>
      <c r="AF23" s="220"/>
      <c r="AI23" s="224">
        <v>2</v>
      </c>
    </row>
    <row r="24" spans="2:42" ht="14.5" customHeight="1">
      <c r="B24" s="357" t="s">
        <v>999</v>
      </c>
      <c r="D24" s="212"/>
      <c r="E24" s="212"/>
      <c r="F24" s="224" t="s">
        <v>1149</v>
      </c>
      <c r="G24" s="173" t="str">
        <f>$AI$20</f>
        <v>INDWWH</v>
      </c>
      <c r="H24" s="174"/>
      <c r="I24" s="174"/>
      <c r="K24" s="81"/>
      <c r="L24" s="333"/>
      <c r="M24" s="199"/>
      <c r="N24" s="81"/>
      <c r="O24" s="723"/>
      <c r="P24" s="723"/>
      <c r="Q24" s="81"/>
      <c r="R24" s="300"/>
      <c r="S24" s="300"/>
      <c r="T24" s="300"/>
      <c r="U24" s="199">
        <f ca="1">1-U23</f>
        <v>0.40828402366863903</v>
      </c>
      <c r="V24" s="300"/>
      <c r="W24" s="298"/>
      <c r="X24" s="698"/>
      <c r="Y24" s="81"/>
      <c r="Z24" s="81"/>
      <c r="AA24" s="81"/>
      <c r="AB24" s="81"/>
      <c r="AC24" s="226"/>
      <c r="AD24" s="81"/>
      <c r="AE24" s="81"/>
      <c r="AF24" s="220"/>
      <c r="AI24" s="224">
        <v>3</v>
      </c>
    </row>
    <row r="25" spans="2:42" ht="14.5" customHeight="1">
      <c r="B25" s="357" t="s">
        <v>999</v>
      </c>
      <c r="D25" s="212"/>
      <c r="E25" s="212"/>
      <c r="F25" s="224" t="s">
        <v>1149</v>
      </c>
      <c r="G25" s="173" t="s">
        <v>499</v>
      </c>
      <c r="H25" s="174" t="str">
        <f>$AI$14</f>
        <v>IWDPH</v>
      </c>
      <c r="I25" s="174"/>
      <c r="J25" s="224">
        <f t="shared" ref="J25" si="3">AD25</f>
        <v>2050</v>
      </c>
      <c r="K25" s="81"/>
      <c r="L25" s="333">
        <v>1</v>
      </c>
      <c r="M25" s="199">
        <f ca="1">VLOOKUP($AD25,INDIRECT("'"&amp;$B25&amp;"'!"&amp;"$P$39:$AD$42"),3,FALSE)</f>
        <v>1.71</v>
      </c>
      <c r="N25" s="81"/>
      <c r="O25" s="723">
        <f ca="1">VLOOKUP($AD25,INDIRECT("'"&amp;$B25&amp;"'!"&amp;"$P$39:$AD$42"),6,FALSE)/1000</f>
        <v>3.427</v>
      </c>
      <c r="P25" s="723">
        <f ca="1">VLOOKUP($AD25,INDIRECT("'"&amp;$B25&amp;"'!"&amp;"$P$39:$AD$42"),7,FALSE)/1000</f>
        <v>1.49E-2</v>
      </c>
      <c r="Q25" s="81">
        <f ca="1">VLOOKUP($AD25,INDIRECT("'"&amp;$B25&amp;"'!"&amp;"$P$39:$AD$42"),8,FALSE)</f>
        <v>2.0487500000000001</v>
      </c>
      <c r="R25" s="300"/>
      <c r="S25" s="300"/>
      <c r="T25" s="300"/>
      <c r="U25" s="199">
        <f ca="1">1/M25</f>
        <v>0.58479532163742687</v>
      </c>
      <c r="V25" s="199"/>
      <c r="W25" s="298"/>
      <c r="X25" s="698">
        <f ca="1">IF(VLOOKUP($AD25,INDIRECT("'"&amp;$B25&amp;"'!"&amp;"$P$39:$AD$42"),11,FALSE)="Cf. the utilized electricity",0,VLOOKUP($AD25,INDIRECT("'"&amp;$B25&amp;"'!"&amp;"$P$39:$AD$42"),11,FALSE))</f>
        <v>0</v>
      </c>
      <c r="Y25" s="81">
        <f ca="1">VLOOKUP($AD25,INDIRECT("'"&amp;$B25&amp;"'!"&amp;"$P$39:$AD$42"),12,FALSE)</f>
        <v>0</v>
      </c>
      <c r="Z25" s="81">
        <f ca="1">VLOOKUP($AD25,INDIRECT("'"&amp;$B25&amp;"'!"&amp;"$P$39:$AD$42"),13,FALSE)</f>
        <v>0</v>
      </c>
      <c r="AA25" s="81">
        <f ca="1">VLOOKUP($AD25,INDIRECT("'"&amp;$B25&amp;"'!"&amp;"$P$39:$AD$42"),14,FALSE)</f>
        <v>0</v>
      </c>
      <c r="AB25" s="81">
        <f ca="1">VLOOKUP($AD25,INDIRECT("'"&amp;$B25&amp;"'!"&amp;"$P$39:$AD$42"),15,FALSE)</f>
        <v>0</v>
      </c>
      <c r="AC25" s="226"/>
      <c r="AD25" s="81">
        <v>2050</v>
      </c>
      <c r="AE25" s="81"/>
      <c r="AF25" s="220"/>
      <c r="AI25" s="224">
        <v>4</v>
      </c>
    </row>
    <row r="26" spans="2:42" ht="15" customHeight="1">
      <c r="B26" s="357" t="s">
        <v>999</v>
      </c>
      <c r="D26" s="212"/>
      <c r="E26" s="212"/>
      <c r="F26" s="224" t="s">
        <v>1149</v>
      </c>
      <c r="G26" s="173" t="str">
        <f>$AI$20</f>
        <v>INDWWH</v>
      </c>
      <c r="H26" s="174"/>
      <c r="I26" s="174"/>
      <c r="K26" s="81"/>
      <c r="L26" s="333"/>
      <c r="M26" s="199"/>
      <c r="N26" s="81"/>
      <c r="O26" s="723"/>
      <c r="P26" s="723"/>
      <c r="Q26" s="81"/>
      <c r="R26" s="300"/>
      <c r="S26" s="300"/>
      <c r="T26" s="300"/>
      <c r="U26" s="199">
        <f ca="1">1-U25</f>
        <v>0.41520467836257313</v>
      </c>
      <c r="V26" s="300"/>
      <c r="W26" s="298"/>
      <c r="X26" s="698"/>
      <c r="Y26" s="81"/>
      <c r="Z26" s="81"/>
      <c r="AA26" s="81"/>
      <c r="AB26" s="81"/>
      <c r="AC26" s="226"/>
      <c r="AD26" s="81"/>
      <c r="AE26" s="81"/>
      <c r="AF26" s="220"/>
      <c r="AI26" s="224">
        <v>5</v>
      </c>
      <c r="AJ26" s="224" t="s">
        <v>715</v>
      </c>
    </row>
    <row r="27" spans="2:42">
      <c r="B27" s="357" t="s">
        <v>999</v>
      </c>
      <c r="D27" s="212" t="str">
        <f>"IND"&amp;RIGHT(H27,4)&amp;RIGHT(G27,3)&amp;"N"&amp;RIGHT(E27,1)</f>
        <v>INDWDSHELCN2</v>
      </c>
      <c r="E27" s="261" t="str">
        <f>"Industrial heating technology "&amp;$AJ$12&amp;" "&amp;RIGHT(H27,2)&amp;" - Heat driven heat pump utilizing waste heat - new 2"</f>
        <v>Industrial heating technology Wood products SH - Heat driven heat pump utilizing waste heat - new 2</v>
      </c>
      <c r="F27" s="224" t="s">
        <v>1149</v>
      </c>
      <c r="G27" s="173" t="s">
        <v>499</v>
      </c>
      <c r="H27" s="174" t="str">
        <f>$AI$15</f>
        <v>IWDSH</v>
      </c>
      <c r="I27" s="174"/>
      <c r="J27" s="224">
        <f t="shared" ref="J27" si="4">AD27</f>
        <v>2020</v>
      </c>
      <c r="K27" s="81">
        <v>2020</v>
      </c>
      <c r="L27" s="333">
        <v>1</v>
      </c>
      <c r="M27" s="199">
        <f ca="1">VLOOKUP($AD27,INDIRECT("'"&amp;$B27&amp;"'!"&amp;"$P$39:$AD$42"),3,FALSE)</f>
        <v>1.68</v>
      </c>
      <c r="N27" s="81">
        <f ca="1">VLOOKUP($AD27,INDIRECT("'"&amp;$B27&amp;"'!"&amp;"$P$39:$AD$42"),5,FALSE)</f>
        <v>20</v>
      </c>
      <c r="O27" s="723">
        <f ca="1">VLOOKUP($AD27,INDIRECT("'"&amp;$B27&amp;"'!"&amp;"$P$39:$AD$42"),6,FALSE)/1000</f>
        <v>4.1720000000000006</v>
      </c>
      <c r="P27" s="723">
        <f ca="1">VLOOKUP($AD27,INDIRECT("'"&amp;$B27&amp;"'!"&amp;"$P$39:$AD$42"),7,FALSE)/1000</f>
        <v>1.49E-2</v>
      </c>
      <c r="Q27" s="81">
        <f ca="1">VLOOKUP($AD27,INDIRECT("'"&amp;$B27&amp;"'!"&amp;"$P$39:$AD$42"),8,FALSE)</f>
        <v>2.0901388888888892</v>
      </c>
      <c r="R27" s="81">
        <v>3.1536000000000002E-2</v>
      </c>
      <c r="S27" s="199">
        <v>0.5</v>
      </c>
      <c r="T27" s="199">
        <f ca="1">HLOOKUP($T$2,INDIRECT("'"&amp;$B27&amp;"'!"&amp;"$P$6:$AC$19"),IF(H27=$AI$13,6,IF(H27=$AI$14,9,14)),FALSE)</f>
        <v>1</v>
      </c>
      <c r="U27" s="199">
        <f ca="1">1/M27</f>
        <v>0.59523809523809523</v>
      </c>
      <c r="V27" s="199"/>
      <c r="W27" s="298"/>
      <c r="X27" s="698">
        <f ca="1">IF(VLOOKUP($AD27,INDIRECT("'"&amp;$B27&amp;"'!"&amp;"$P$39:$AD$42"),11,FALSE)="Cf. the utilized electricity",0,VLOOKUP($AD27,INDIRECT("'"&amp;$B27&amp;"'!"&amp;"$P$39:$AD$42"),11,FALSE))</f>
        <v>0</v>
      </c>
      <c r="Y27" s="81">
        <f ca="1">VLOOKUP($AD27,INDIRECT("'"&amp;$B27&amp;"'!"&amp;"$P$39:$AD$42"),12,FALSE)</f>
        <v>0</v>
      </c>
      <c r="Z27" s="81">
        <f ca="1">VLOOKUP($AD27,INDIRECT("'"&amp;$B27&amp;"'!"&amp;"$P$39:$AD$42"),13,FALSE)</f>
        <v>0</v>
      </c>
      <c r="AA27" s="81">
        <f ca="1">VLOOKUP($AD27,INDIRECT("'"&amp;$B27&amp;"'!"&amp;"$P$39:$AD$42"),14,FALSE)</f>
        <v>0</v>
      </c>
      <c r="AB27" s="81">
        <f ca="1">VLOOKUP($AD27,INDIRECT("'"&amp;$B27&amp;"'!"&amp;"$P$39:$AD$42"),15,FALSE)</f>
        <v>0</v>
      </c>
      <c r="AD27" s="81">
        <v>2020</v>
      </c>
      <c r="AE27" s="81"/>
      <c r="AF27" s="220"/>
      <c r="AI27" s="224">
        <v>6</v>
      </c>
    </row>
    <row r="28" spans="2:42" ht="15" customHeight="1">
      <c r="B28" s="357" t="s">
        <v>999</v>
      </c>
      <c r="D28" s="212"/>
      <c r="E28" s="261"/>
      <c r="F28" s="224" t="s">
        <v>1149</v>
      </c>
      <c r="G28" s="173" t="str">
        <f>$AI$20</f>
        <v>INDWWH</v>
      </c>
      <c r="H28" s="174"/>
      <c r="I28" s="174"/>
      <c r="K28" s="81"/>
      <c r="L28" s="333"/>
      <c r="M28" s="199"/>
      <c r="N28" s="81"/>
      <c r="O28" s="723"/>
      <c r="P28" s="723"/>
      <c r="Q28" s="81"/>
      <c r="R28" s="200"/>
      <c r="S28" s="772"/>
      <c r="T28" s="772"/>
      <c r="U28" s="199">
        <f ca="1">1-U27</f>
        <v>0.40476190476190477</v>
      </c>
      <c r="V28" s="772"/>
      <c r="W28" s="298"/>
      <c r="X28" s="698"/>
      <c r="Y28" s="81"/>
      <c r="Z28" s="81"/>
      <c r="AA28" s="81"/>
      <c r="AB28" s="81"/>
      <c r="AD28" s="81"/>
      <c r="AE28" s="81"/>
      <c r="AF28" s="220"/>
      <c r="AI28" s="224">
        <v>7</v>
      </c>
      <c r="AJ28" s="224" t="s">
        <v>716</v>
      </c>
    </row>
    <row r="29" spans="2:42">
      <c r="B29" s="357" t="s">
        <v>999</v>
      </c>
      <c r="D29" s="212"/>
      <c r="E29" s="212"/>
      <c r="F29" s="224" t="s">
        <v>1149</v>
      </c>
      <c r="G29" s="173" t="s">
        <v>499</v>
      </c>
      <c r="H29" s="174" t="str">
        <f>$AI$15</f>
        <v>IWDSH</v>
      </c>
      <c r="I29" s="174"/>
      <c r="J29" s="224">
        <f t="shared" ref="J29" si="5">AD29</f>
        <v>2030</v>
      </c>
      <c r="K29" s="81"/>
      <c r="L29" s="333">
        <v>1</v>
      </c>
      <c r="M29" s="199">
        <f ca="1">VLOOKUP($AD29,INDIRECT("'"&amp;$B29&amp;"'!"&amp;"$P$39:$AD$42"),3,FALSE)</f>
        <v>1.69</v>
      </c>
      <c r="N29" s="81"/>
      <c r="O29" s="723">
        <f ca="1">VLOOKUP($AD29,INDIRECT("'"&amp;$B29&amp;"'!"&amp;"$P$39:$AD$42"),6,FALSE)/1000</f>
        <v>3.7995000000000001</v>
      </c>
      <c r="P29" s="723">
        <f ca="1">VLOOKUP($AD29,INDIRECT("'"&amp;$B29&amp;"'!"&amp;"$P$39:$AD$42"),7,FALSE)/1000</f>
        <v>1.49E-2</v>
      </c>
      <c r="Q29" s="81">
        <f ca="1">VLOOKUP($AD29,INDIRECT("'"&amp;$B29&amp;"'!"&amp;"$P$39:$AD$42"),8,FALSE)</f>
        <v>2.0694444444444446</v>
      </c>
      <c r="R29" s="300"/>
      <c r="S29" s="300"/>
      <c r="T29" s="300"/>
      <c r="U29" s="199">
        <f ca="1">1/M29</f>
        <v>0.59171597633136097</v>
      </c>
      <c r="V29" s="199"/>
      <c r="W29" s="298"/>
      <c r="X29" s="698">
        <f ca="1">IF(VLOOKUP($AD29,INDIRECT("'"&amp;$B29&amp;"'!"&amp;"$P$39:$AD$42"),11,FALSE)="Cf. the utilized electricity",0,VLOOKUP($AD29,INDIRECT("'"&amp;$B29&amp;"'!"&amp;"$P$39:$AD$42"),11,FALSE))</f>
        <v>0</v>
      </c>
      <c r="Y29" s="81">
        <f ca="1">VLOOKUP($AD29,INDIRECT("'"&amp;$B29&amp;"'!"&amp;"$P$39:$AD$42"),12,FALSE)</f>
        <v>0</v>
      </c>
      <c r="Z29" s="81">
        <f ca="1">VLOOKUP($AD29,INDIRECT("'"&amp;$B29&amp;"'!"&amp;"$P$39:$AD$42"),13,FALSE)</f>
        <v>0</v>
      </c>
      <c r="AA29" s="81">
        <f ca="1">VLOOKUP($AD29,INDIRECT("'"&amp;$B29&amp;"'!"&amp;"$P$39:$AD$42"),14,FALSE)</f>
        <v>0</v>
      </c>
      <c r="AB29" s="81">
        <f ca="1">VLOOKUP($AD29,INDIRECT("'"&amp;$B29&amp;"'!"&amp;"$P$39:$AD$42"),15,FALSE)</f>
        <v>0</v>
      </c>
      <c r="AD29" s="81">
        <v>2030</v>
      </c>
      <c r="AE29" s="81"/>
      <c r="AF29" s="220"/>
      <c r="AI29" s="224">
        <v>8</v>
      </c>
    </row>
    <row r="30" spans="2:42" ht="15" customHeight="1">
      <c r="B30" s="357" t="s">
        <v>999</v>
      </c>
      <c r="D30" s="212"/>
      <c r="E30" s="212"/>
      <c r="F30" s="224" t="s">
        <v>1149</v>
      </c>
      <c r="G30" s="173" t="str">
        <f>$AI$20</f>
        <v>INDWWH</v>
      </c>
      <c r="H30" s="174"/>
      <c r="I30" s="174"/>
      <c r="K30" s="81"/>
      <c r="L30" s="333"/>
      <c r="M30" s="199"/>
      <c r="N30" s="81"/>
      <c r="O30" s="723"/>
      <c r="P30" s="723"/>
      <c r="Q30" s="81"/>
      <c r="R30" s="300"/>
      <c r="S30" s="300"/>
      <c r="T30" s="300"/>
      <c r="U30" s="199">
        <f ca="1">1-U29</f>
        <v>0.40828402366863903</v>
      </c>
      <c r="V30" s="300"/>
      <c r="W30" s="298"/>
      <c r="X30" s="698"/>
      <c r="Y30" s="81"/>
      <c r="Z30" s="81"/>
      <c r="AA30" s="81"/>
      <c r="AB30" s="81"/>
      <c r="AD30" s="81"/>
      <c r="AE30" s="81"/>
      <c r="AF30" s="220"/>
      <c r="AI30" s="224">
        <v>9</v>
      </c>
      <c r="AJ30" s="224" t="s">
        <v>717</v>
      </c>
    </row>
    <row r="31" spans="2:42">
      <c r="B31" s="357" t="s">
        <v>999</v>
      </c>
      <c r="D31" s="212"/>
      <c r="E31" s="212"/>
      <c r="F31" s="224" t="s">
        <v>1149</v>
      </c>
      <c r="G31" s="173" t="s">
        <v>499</v>
      </c>
      <c r="H31" s="174" t="str">
        <f>$AI$15</f>
        <v>IWDSH</v>
      </c>
      <c r="I31" s="174"/>
      <c r="J31" s="224">
        <f t="shared" ref="J31" si="6">AD31</f>
        <v>2050</v>
      </c>
      <c r="K31" s="81"/>
      <c r="L31" s="333">
        <v>1</v>
      </c>
      <c r="M31" s="199">
        <f ca="1">VLOOKUP($AD31,INDIRECT("'"&amp;$B31&amp;"'!"&amp;"$P$39:$AD$42"),3,FALSE)</f>
        <v>1.71</v>
      </c>
      <c r="N31" s="81"/>
      <c r="O31" s="723">
        <f ca="1">VLOOKUP($AD31,INDIRECT("'"&amp;$B31&amp;"'!"&amp;"$P$39:$AD$42"),6,FALSE)/1000</f>
        <v>3.427</v>
      </c>
      <c r="P31" s="723">
        <f ca="1">VLOOKUP($AD31,INDIRECT("'"&amp;$B31&amp;"'!"&amp;"$P$39:$AD$42"),7,FALSE)/1000</f>
        <v>1.49E-2</v>
      </c>
      <c r="Q31" s="81">
        <f ca="1">VLOOKUP($AD31,INDIRECT("'"&amp;$B31&amp;"'!"&amp;"$P$39:$AD$42"),8,FALSE)</f>
        <v>2.0487500000000001</v>
      </c>
      <c r="R31" s="300"/>
      <c r="S31" s="300"/>
      <c r="T31" s="300"/>
      <c r="U31" s="199">
        <f ca="1">1/M31</f>
        <v>0.58479532163742687</v>
      </c>
      <c r="V31" s="199"/>
      <c r="W31" s="298"/>
      <c r="X31" s="698">
        <f ca="1">IF(VLOOKUP($AD31,INDIRECT("'"&amp;$B31&amp;"'!"&amp;"$P$39:$AD$42"),11,FALSE)="Cf. the utilized electricity",0,VLOOKUP($AD31,INDIRECT("'"&amp;$B31&amp;"'!"&amp;"$P$39:$AD$42"),11,FALSE))</f>
        <v>0</v>
      </c>
      <c r="Y31" s="81">
        <f ca="1">VLOOKUP($AD31,INDIRECT("'"&amp;$B31&amp;"'!"&amp;"$P$39:$AD$42"),12,FALSE)</f>
        <v>0</v>
      </c>
      <c r="Z31" s="81">
        <f ca="1">VLOOKUP($AD31,INDIRECT("'"&amp;$B31&amp;"'!"&amp;"$P$39:$AD$42"),13,FALSE)</f>
        <v>0</v>
      </c>
      <c r="AA31" s="81">
        <f ca="1">VLOOKUP($AD31,INDIRECT("'"&amp;$B31&amp;"'!"&amp;"$P$39:$AD$42"),14,FALSE)</f>
        <v>0</v>
      </c>
      <c r="AB31" s="81">
        <f ca="1">VLOOKUP($AD31,INDIRECT("'"&amp;$B31&amp;"'!"&amp;"$P$39:$AD$42"),15,FALSE)</f>
        <v>0</v>
      </c>
      <c r="AD31" s="81">
        <v>2050</v>
      </c>
      <c r="AE31" s="81"/>
      <c r="AF31" s="220"/>
      <c r="AI31" s="224">
        <v>10</v>
      </c>
    </row>
    <row r="32" spans="2:42">
      <c r="B32" s="357" t="s">
        <v>999</v>
      </c>
      <c r="D32" s="212"/>
      <c r="E32" s="212"/>
      <c r="F32" s="224" t="s">
        <v>1149</v>
      </c>
      <c r="G32" s="173" t="str">
        <f>$AI$20</f>
        <v>INDWWH</v>
      </c>
      <c r="H32" s="174"/>
      <c r="I32" s="174"/>
      <c r="K32" s="81"/>
      <c r="L32" s="333"/>
      <c r="M32" s="199"/>
      <c r="N32" s="81"/>
      <c r="O32" s="723"/>
      <c r="P32" s="723"/>
      <c r="Q32" s="81"/>
      <c r="R32" s="300"/>
      <c r="S32" s="300"/>
      <c r="T32" s="300"/>
      <c r="U32" s="199">
        <f ca="1">1-U31</f>
        <v>0.41520467836257313</v>
      </c>
      <c r="V32" s="300"/>
      <c r="W32" s="298"/>
      <c r="X32" s="698"/>
      <c r="Y32" s="81"/>
      <c r="Z32" s="81"/>
      <c r="AA32" s="81"/>
      <c r="AB32" s="81"/>
      <c r="AD32" s="81"/>
      <c r="AE32" s="81"/>
      <c r="AF32" s="220"/>
      <c r="AI32" s="224">
        <v>11</v>
      </c>
      <c r="AJ32" s="224" t="s">
        <v>718</v>
      </c>
    </row>
    <row r="33" spans="2:36">
      <c r="B33" s="357" t="s">
        <v>1000</v>
      </c>
      <c r="D33" s="212" t="str">
        <f>"IND"&amp;RIGHT(H33,4)&amp;RIGHT(G33,3)&amp;"N"&amp;RIGHT(E33,1)</f>
        <v>INDWDPHELCN3</v>
      </c>
      <c r="E33" s="261" t="str">
        <f>"Industrial heating technology "&amp;$AJ$12&amp;" "&amp;RIGHT(H33,2)&amp;" - High Temp abs. Heat pump utilizing waste heat - new 3"</f>
        <v>Industrial heating technology Wood products PH - High Temp abs. Heat pump utilizing waste heat - new 3</v>
      </c>
      <c r="F33" s="224" t="s">
        <v>1149</v>
      </c>
      <c r="G33" s="173" t="s">
        <v>499</v>
      </c>
      <c r="H33" s="174" t="str">
        <f>$AI$14</f>
        <v>IWDPH</v>
      </c>
      <c r="I33" s="174"/>
      <c r="J33" s="224">
        <f t="shared" ref="J33" si="7">AD33</f>
        <v>2020</v>
      </c>
      <c r="K33" s="81">
        <v>2020</v>
      </c>
      <c r="L33" s="333">
        <v>1</v>
      </c>
      <c r="M33" s="199">
        <f ca="1">VLOOKUP($AD33,INDIRECT("'"&amp;$B33&amp;"'!"&amp;"$P$39:$AD$42"),3,FALSE)</f>
        <v>2.75</v>
      </c>
      <c r="N33" s="81">
        <f ca="1">VLOOKUP($AD33,INDIRECT("'"&amp;$B33&amp;"'!"&amp;"$P$39:$AD$42"),5,FALSE)</f>
        <v>20</v>
      </c>
      <c r="O33" s="723">
        <f ca="1">VLOOKUP($AD33,INDIRECT("'"&amp;$B33&amp;"'!"&amp;"$P$39:$AD$42"),6,FALSE)/1000</f>
        <v>7.1394840000000004</v>
      </c>
      <c r="P33" s="723">
        <f ca="1">VLOOKUP($AD33,INDIRECT("'"&amp;$B33&amp;"'!"&amp;"$P$39:$AD$42"),7,FALSE)/1000</f>
        <v>7.2264999999999994E-3</v>
      </c>
      <c r="Q33" s="81">
        <f ca="1">VLOOKUP($AD33,INDIRECT("'"&amp;$B33&amp;"'!"&amp;"$P$39:$AD$42"),8,FALSE)</f>
        <v>6.7463888888888883</v>
      </c>
      <c r="R33" s="81">
        <v>3.1536000000000002E-2</v>
      </c>
      <c r="S33" s="199">
        <v>0.5</v>
      </c>
      <c r="T33" s="199">
        <f ca="1">HLOOKUP($T$2,INDIRECT("'"&amp;$B33&amp;"'!"&amp;"$P$6:$AC$19"),IF(H33=$AI$13,6,IF(H33=$AI$14,9,14)),FALSE)-T9</f>
        <v>0</v>
      </c>
      <c r="U33" s="199">
        <f ca="1">1/M33</f>
        <v>0.36363636363636365</v>
      </c>
      <c r="V33" s="199"/>
      <c r="W33" s="298"/>
      <c r="X33" s="698">
        <f ca="1">IF(VLOOKUP($AD33,INDIRECT("'"&amp;$B33&amp;"'!"&amp;"$P$39:$AD$42"),11,FALSE)="Cf. the utilized electricity",0,VLOOKUP($AD33,INDIRECT("'"&amp;$B33&amp;"'!"&amp;"$P$39:$AD$42"),11,FALSE))</f>
        <v>0</v>
      </c>
      <c r="Y33" s="81">
        <f ca="1">VLOOKUP($AD33,INDIRECT("'"&amp;$B33&amp;"'!"&amp;"$P$39:$AD$42"),12,FALSE)</f>
        <v>0</v>
      </c>
      <c r="Z33" s="81">
        <f ca="1">VLOOKUP($AD33,INDIRECT("'"&amp;$B33&amp;"'!"&amp;"$P$39:$AD$42"),13,FALSE)</f>
        <v>0</v>
      </c>
      <c r="AA33" s="81">
        <f ca="1">VLOOKUP($AD33,INDIRECT("'"&amp;$B33&amp;"'!"&amp;"$P$39:$AD$42"),14,FALSE)</f>
        <v>0</v>
      </c>
      <c r="AB33" s="81">
        <f ca="1">VLOOKUP($AD33,INDIRECT("'"&amp;$B33&amp;"'!"&amp;"$P$39:$AD$42"),15,FALSE)</f>
        <v>0</v>
      </c>
      <c r="AD33" s="81">
        <v>2020</v>
      </c>
      <c r="AE33" s="81"/>
      <c r="AF33" s="220"/>
      <c r="AI33" s="224">
        <v>12</v>
      </c>
    </row>
    <row r="34" spans="2:36">
      <c r="B34" s="357" t="s">
        <v>1000</v>
      </c>
      <c r="D34" s="212"/>
      <c r="E34" s="261"/>
      <c r="F34" s="224" t="s">
        <v>1149</v>
      </c>
      <c r="G34" s="173" t="str">
        <f>$AI$20</f>
        <v>INDWWH</v>
      </c>
      <c r="H34" s="174"/>
      <c r="I34" s="174"/>
      <c r="K34" s="81"/>
      <c r="L34" s="333"/>
      <c r="M34" s="199"/>
      <c r="N34" s="81"/>
      <c r="O34" s="723"/>
      <c r="P34" s="723"/>
      <c r="Q34" s="81"/>
      <c r="R34" s="200"/>
      <c r="S34" s="772"/>
      <c r="T34" s="772"/>
      <c r="U34" s="199">
        <f ca="1">1-U33</f>
        <v>0.63636363636363635</v>
      </c>
      <c r="V34" s="772"/>
      <c r="W34" s="298"/>
      <c r="X34" s="698"/>
      <c r="Y34" s="81"/>
      <c r="Z34" s="81"/>
      <c r="AA34" s="81"/>
      <c r="AB34" s="81"/>
      <c r="AD34" s="81"/>
      <c r="AE34" s="81"/>
      <c r="AF34" s="220"/>
      <c r="AI34" s="224">
        <v>13</v>
      </c>
      <c r="AJ34" s="224" t="s">
        <v>719</v>
      </c>
    </row>
    <row r="35" spans="2:36">
      <c r="B35" s="357" t="s">
        <v>1000</v>
      </c>
      <c r="D35" s="212"/>
      <c r="E35" s="212"/>
      <c r="F35" s="224" t="s">
        <v>1149</v>
      </c>
      <c r="G35" s="173" t="s">
        <v>499</v>
      </c>
      <c r="H35" s="174" t="str">
        <f>$AI$14</f>
        <v>IWDPH</v>
      </c>
      <c r="I35" s="174"/>
      <c r="J35" s="224">
        <f t="shared" ref="J35" si="8">AD35</f>
        <v>2030</v>
      </c>
      <c r="K35" s="81"/>
      <c r="L35" s="333">
        <v>1</v>
      </c>
      <c r="M35" s="199">
        <f ca="1">VLOOKUP($AD35,INDIRECT("'"&amp;$B35&amp;"'!"&amp;"$P$39:$AD$42"),3,FALSE)</f>
        <v>2.875</v>
      </c>
      <c r="N35" s="81"/>
      <c r="O35" s="723">
        <f ca="1">VLOOKUP($AD35,INDIRECT("'"&amp;$B35&amp;"'!"&amp;"$P$39:$AD$42"),6,FALSE)/1000</f>
        <v>6.3822660000000013</v>
      </c>
      <c r="P35" s="723">
        <f ca="1">VLOOKUP($AD35,INDIRECT("'"&amp;$B35&amp;"'!"&amp;"$P$39:$AD$42"),7,FALSE)/1000</f>
        <v>6.4814999999999994E-3</v>
      </c>
      <c r="Q35" s="81">
        <f ca="1">VLOOKUP($AD35,INDIRECT("'"&amp;$B35&amp;"'!"&amp;"$P$39:$AD$42"),8,FALSE)</f>
        <v>6.6222222222222227</v>
      </c>
      <c r="R35" s="300"/>
      <c r="S35" s="300"/>
      <c r="T35" s="300"/>
      <c r="U35" s="199">
        <f ca="1">1/M35</f>
        <v>0.34782608695652173</v>
      </c>
      <c r="V35" s="199"/>
      <c r="W35" s="298"/>
      <c r="X35" s="698">
        <f ca="1">IF(VLOOKUP($AD35,INDIRECT("'"&amp;$B35&amp;"'!"&amp;"$P$39:$AD$42"),11,FALSE)="Cf. the utilized electricity",0,VLOOKUP($AD35,INDIRECT("'"&amp;$B35&amp;"'!"&amp;"$P$39:$AD$42"),11,FALSE))</f>
        <v>0</v>
      </c>
      <c r="Y35" s="81">
        <f ca="1">VLOOKUP($AD35,INDIRECT("'"&amp;$B35&amp;"'!"&amp;"$P$39:$AD$42"),12,FALSE)</f>
        <v>0</v>
      </c>
      <c r="Z35" s="81">
        <f ca="1">VLOOKUP($AD35,INDIRECT("'"&amp;$B35&amp;"'!"&amp;"$P$39:$AD$42"),13,FALSE)</f>
        <v>0</v>
      </c>
      <c r="AA35" s="81">
        <f ca="1">VLOOKUP($AD35,INDIRECT("'"&amp;$B35&amp;"'!"&amp;"$P$39:$AD$42"),14,FALSE)</f>
        <v>0</v>
      </c>
      <c r="AB35" s="81">
        <f ca="1">VLOOKUP($AD35,INDIRECT("'"&amp;$B35&amp;"'!"&amp;"$P$39:$AD$42"),15,FALSE)</f>
        <v>0</v>
      </c>
      <c r="AD35" s="81">
        <v>2030</v>
      </c>
      <c r="AE35" s="81"/>
      <c r="AF35" s="220"/>
      <c r="AI35" s="224">
        <v>14</v>
      </c>
    </row>
    <row r="36" spans="2:36">
      <c r="B36" s="357" t="s">
        <v>1000</v>
      </c>
      <c r="D36" s="212"/>
      <c r="E36" s="212"/>
      <c r="F36" s="224" t="s">
        <v>1149</v>
      </c>
      <c r="G36" s="173" t="str">
        <f>$AI$20</f>
        <v>INDWWH</v>
      </c>
      <c r="H36" s="174"/>
      <c r="I36" s="174"/>
      <c r="K36" s="81"/>
      <c r="L36" s="333"/>
      <c r="M36" s="199"/>
      <c r="N36" s="81"/>
      <c r="O36" s="723"/>
      <c r="P36" s="723"/>
      <c r="Q36" s="81"/>
      <c r="R36" s="300"/>
      <c r="S36" s="300"/>
      <c r="T36" s="300"/>
      <c r="U36" s="199">
        <f ca="1">1-U35</f>
        <v>0.65217391304347827</v>
      </c>
      <c r="V36" s="300"/>
      <c r="W36" s="298"/>
      <c r="X36" s="698"/>
      <c r="Y36" s="81"/>
      <c r="Z36" s="81"/>
      <c r="AA36" s="81"/>
      <c r="AB36" s="81"/>
      <c r="AD36" s="81"/>
      <c r="AE36" s="81"/>
      <c r="AF36" s="220"/>
    </row>
    <row r="37" spans="2:36">
      <c r="B37" s="357" t="s">
        <v>1000</v>
      </c>
      <c r="D37" s="212"/>
      <c r="E37" s="212"/>
      <c r="F37" s="224" t="s">
        <v>1149</v>
      </c>
      <c r="G37" s="173" t="s">
        <v>499</v>
      </c>
      <c r="H37" s="174" t="str">
        <f>$AI$14</f>
        <v>IWDPH</v>
      </c>
      <c r="I37" s="174"/>
      <c r="J37" s="224">
        <f t="shared" ref="J37" si="9">AD37</f>
        <v>2050</v>
      </c>
      <c r="K37" s="81"/>
      <c r="L37" s="333">
        <v>1</v>
      </c>
      <c r="M37" s="199">
        <f ca="1">VLOOKUP($AD37,INDIRECT("'"&amp;$B37&amp;"'!"&amp;"$P$39:$AD$42"),3,FALSE)</f>
        <v>3.0249999999999999</v>
      </c>
      <c r="N37" s="81"/>
      <c r="O37" s="723">
        <f ca="1">VLOOKUP($AD37,INDIRECT("'"&amp;$B37&amp;"'!"&amp;"$P$39:$AD$42"),6,FALSE)/1000</f>
        <v>5.7365000000000004</v>
      </c>
      <c r="P37" s="723">
        <f ca="1">VLOOKUP($AD37,INDIRECT("'"&amp;$B37&amp;"'!"&amp;"$P$39:$AD$42"),7,FALSE)/1000</f>
        <v>5.3639999999999998E-3</v>
      </c>
      <c r="Q37" s="81">
        <f ca="1">VLOOKUP($AD37,INDIRECT("'"&amp;$B37&amp;"'!"&amp;"$P$39:$AD$42"),8,FALSE)</f>
        <v>6.4566666666666661</v>
      </c>
      <c r="R37" s="300"/>
      <c r="S37" s="300"/>
      <c r="T37" s="300"/>
      <c r="U37" s="199">
        <f ca="1">1/M37</f>
        <v>0.33057851239669422</v>
      </c>
      <c r="V37" s="199"/>
      <c r="W37" s="298"/>
      <c r="X37" s="698">
        <f ca="1">IF(VLOOKUP($AD37,INDIRECT("'"&amp;$B37&amp;"'!"&amp;"$P$39:$AD$42"),11,FALSE)="Cf. the utilized electricity",0,VLOOKUP($AD37,INDIRECT("'"&amp;$B37&amp;"'!"&amp;"$P$39:$AD$42"),11,FALSE))</f>
        <v>0</v>
      </c>
      <c r="Y37" s="81">
        <f ca="1">VLOOKUP($AD37,INDIRECT("'"&amp;$B37&amp;"'!"&amp;"$P$39:$AD$42"),12,FALSE)</f>
        <v>0</v>
      </c>
      <c r="Z37" s="81">
        <f ca="1">VLOOKUP($AD37,INDIRECT("'"&amp;$B37&amp;"'!"&amp;"$P$39:$AD$42"),13,FALSE)</f>
        <v>0</v>
      </c>
      <c r="AA37" s="81">
        <f ca="1">VLOOKUP($AD37,INDIRECT("'"&amp;$B37&amp;"'!"&amp;"$P$39:$AD$42"),14,FALSE)</f>
        <v>0</v>
      </c>
      <c r="AB37" s="81">
        <f ca="1">VLOOKUP($AD37,INDIRECT("'"&amp;$B37&amp;"'!"&amp;"$P$39:$AD$42"),15,FALSE)</f>
        <v>0</v>
      </c>
      <c r="AD37" s="81">
        <v>2050</v>
      </c>
      <c r="AE37" s="81"/>
      <c r="AF37" s="220"/>
    </row>
    <row r="38" spans="2:36">
      <c r="B38" s="357" t="s">
        <v>1000</v>
      </c>
      <c r="D38" s="212"/>
      <c r="E38" s="212"/>
      <c r="F38" s="224" t="s">
        <v>1149</v>
      </c>
      <c r="G38" s="173" t="str">
        <f>$AI$20</f>
        <v>INDWWH</v>
      </c>
      <c r="H38" s="174"/>
      <c r="I38" s="174"/>
      <c r="K38" s="81"/>
      <c r="L38" s="333"/>
      <c r="M38" s="199"/>
      <c r="N38" s="81"/>
      <c r="O38" s="723"/>
      <c r="P38" s="723"/>
      <c r="Q38" s="81"/>
      <c r="R38" s="300"/>
      <c r="S38" s="300"/>
      <c r="T38" s="300"/>
      <c r="U38" s="199">
        <f ca="1">1-U37</f>
        <v>0.66942148760330578</v>
      </c>
      <c r="V38" s="300"/>
      <c r="W38" s="298"/>
      <c r="X38" s="698"/>
      <c r="Y38" s="81"/>
      <c r="Z38" s="81"/>
      <c r="AA38" s="81"/>
      <c r="AB38" s="81"/>
      <c r="AD38" s="81"/>
      <c r="AE38" s="81"/>
      <c r="AF38" s="220"/>
    </row>
    <row r="39" spans="2:36">
      <c r="B39" s="357" t="s">
        <v>1000</v>
      </c>
      <c r="D39" s="212" t="str">
        <f>"IND"&amp;RIGHT(H39,4)&amp;RIGHT(G39,3)&amp;"N"&amp;RIGHT(E39,1)</f>
        <v>INDWDSHELCN3</v>
      </c>
      <c r="E39" s="261" t="str">
        <f>"Industrial heating technology "&amp;$AJ$12&amp;" "&amp;RIGHT(H39,2)&amp;" - High Temp abs. Heat pump utilizing waste heat - new 3"</f>
        <v>Industrial heating technology Wood products SH - High Temp abs. Heat pump utilizing waste heat - new 3</v>
      </c>
      <c r="F39" s="224" t="s">
        <v>1149</v>
      </c>
      <c r="G39" s="173" t="s">
        <v>499</v>
      </c>
      <c r="H39" s="174" t="str">
        <f>$AI$15</f>
        <v>IWDSH</v>
      </c>
      <c r="I39" s="174"/>
      <c r="J39" s="224">
        <f t="shared" ref="J39" si="10">AD39</f>
        <v>2020</v>
      </c>
      <c r="K39" s="81">
        <v>2020</v>
      </c>
      <c r="L39" s="333">
        <v>1</v>
      </c>
      <c r="M39" s="199">
        <f ca="1">VLOOKUP($AD39,INDIRECT("'"&amp;$B39&amp;"'!"&amp;"$P$39:$AD$42"),3,FALSE)</f>
        <v>2.75</v>
      </c>
      <c r="N39" s="81">
        <f ca="1">VLOOKUP($AD39,INDIRECT("'"&amp;$B39&amp;"'!"&amp;"$P$39:$AD$42"),5,FALSE)</f>
        <v>20</v>
      </c>
      <c r="O39" s="723">
        <f ca="1">VLOOKUP($AD39,INDIRECT("'"&amp;$B39&amp;"'!"&amp;"$P$39:$AD$42"),6,FALSE)/1000</f>
        <v>7.1394840000000004</v>
      </c>
      <c r="P39" s="723">
        <f ca="1">VLOOKUP($AD39,INDIRECT("'"&amp;$B39&amp;"'!"&amp;"$P$39:$AD$42"),7,FALSE)/1000</f>
        <v>7.2264999999999994E-3</v>
      </c>
      <c r="Q39" s="81">
        <f ca="1">VLOOKUP($AD39,INDIRECT("'"&amp;$B39&amp;"'!"&amp;"$P$39:$AD$42"),8,FALSE)</f>
        <v>6.7463888888888883</v>
      </c>
      <c r="R39" s="81">
        <v>3.1536000000000002E-2</v>
      </c>
      <c r="S39" s="199">
        <v>0.5</v>
      </c>
      <c r="T39" s="199">
        <f ca="1">HLOOKUP($T$2,INDIRECT("'"&amp;$B39&amp;"'!"&amp;"$P$6:$AC$19"),IF(H39=$AI$13,6,IF(H39=$AI$14,9,14)),FALSE)</f>
        <v>1</v>
      </c>
      <c r="U39" s="199">
        <f ca="1">1/M39</f>
        <v>0.36363636363636365</v>
      </c>
      <c r="V39" s="199"/>
      <c r="W39" s="298"/>
      <c r="X39" s="698">
        <f ca="1">IF(VLOOKUP($AD39,INDIRECT("'"&amp;$B39&amp;"'!"&amp;"$P$39:$AD$42"),11,FALSE)="Cf. the utilized electricity",0,VLOOKUP($AD39,INDIRECT("'"&amp;$B39&amp;"'!"&amp;"$P$39:$AD$42"),11,FALSE))</f>
        <v>0</v>
      </c>
      <c r="Y39" s="81">
        <f ca="1">VLOOKUP($AD39,INDIRECT("'"&amp;$B39&amp;"'!"&amp;"$P$39:$AD$42"),12,FALSE)</f>
        <v>0</v>
      </c>
      <c r="Z39" s="81">
        <f ca="1">VLOOKUP($AD39,INDIRECT("'"&amp;$B39&amp;"'!"&amp;"$P$39:$AD$42"),13,FALSE)</f>
        <v>0</v>
      </c>
      <c r="AA39" s="81">
        <f ca="1">VLOOKUP($AD39,INDIRECT("'"&amp;$B39&amp;"'!"&amp;"$P$39:$AD$42"),14,FALSE)</f>
        <v>0</v>
      </c>
      <c r="AB39" s="81">
        <f ca="1">VLOOKUP($AD39,INDIRECT("'"&amp;$B39&amp;"'!"&amp;"$P$39:$AD$42"),15,FALSE)</f>
        <v>0</v>
      </c>
      <c r="AD39" s="81">
        <v>2020</v>
      </c>
      <c r="AE39" s="81"/>
      <c r="AF39" s="220"/>
    </row>
    <row r="40" spans="2:36">
      <c r="B40" s="357" t="s">
        <v>1000</v>
      </c>
      <c r="D40" s="212"/>
      <c r="E40" s="261"/>
      <c r="F40" s="224" t="s">
        <v>1149</v>
      </c>
      <c r="G40" s="173" t="str">
        <f>$AI$20</f>
        <v>INDWWH</v>
      </c>
      <c r="H40" s="174"/>
      <c r="I40" s="174"/>
      <c r="K40" s="81"/>
      <c r="L40" s="333"/>
      <c r="M40" s="199"/>
      <c r="N40" s="81"/>
      <c r="O40" s="723"/>
      <c r="P40" s="723"/>
      <c r="Q40" s="81"/>
      <c r="R40" s="200"/>
      <c r="S40" s="772"/>
      <c r="T40" s="772"/>
      <c r="U40" s="199">
        <f ca="1">1-U39</f>
        <v>0.63636363636363635</v>
      </c>
      <c r="V40" s="772"/>
      <c r="W40" s="298"/>
      <c r="X40" s="698"/>
      <c r="Y40" s="81"/>
      <c r="Z40" s="81"/>
      <c r="AA40" s="81"/>
      <c r="AB40" s="81"/>
      <c r="AD40" s="81"/>
      <c r="AE40" s="81"/>
      <c r="AF40" s="220"/>
    </row>
    <row r="41" spans="2:36">
      <c r="B41" s="357" t="s">
        <v>1000</v>
      </c>
      <c r="D41" s="212"/>
      <c r="E41" s="212"/>
      <c r="F41" s="224" t="s">
        <v>1149</v>
      </c>
      <c r="G41" s="173" t="s">
        <v>499</v>
      </c>
      <c r="H41" s="174" t="str">
        <f>$AI$15</f>
        <v>IWDSH</v>
      </c>
      <c r="I41" s="174"/>
      <c r="J41" s="224">
        <f t="shared" ref="J41" si="11">AD41</f>
        <v>2030</v>
      </c>
      <c r="K41" s="81"/>
      <c r="L41" s="333">
        <v>1</v>
      </c>
      <c r="M41" s="199">
        <f ca="1">VLOOKUP($AD41,INDIRECT("'"&amp;$B41&amp;"'!"&amp;"$P$39:$AD$42"),3,FALSE)</f>
        <v>2.875</v>
      </c>
      <c r="N41" s="81"/>
      <c r="O41" s="723">
        <f ca="1">VLOOKUP($AD41,INDIRECT("'"&amp;$B41&amp;"'!"&amp;"$P$39:$AD$42"),6,FALSE)/1000</f>
        <v>6.3822660000000013</v>
      </c>
      <c r="P41" s="723">
        <f ca="1">VLOOKUP($AD41,INDIRECT("'"&amp;$B41&amp;"'!"&amp;"$P$39:$AD$42"),7,FALSE)/1000</f>
        <v>6.4814999999999994E-3</v>
      </c>
      <c r="Q41" s="81">
        <f ca="1">VLOOKUP($AD41,INDIRECT("'"&amp;$B41&amp;"'!"&amp;"$P$39:$AD$42"),8,FALSE)</f>
        <v>6.6222222222222227</v>
      </c>
      <c r="R41" s="300"/>
      <c r="S41" s="300"/>
      <c r="T41" s="300"/>
      <c r="U41" s="199">
        <f ca="1">1/M41</f>
        <v>0.34782608695652173</v>
      </c>
      <c r="V41" s="199"/>
      <c r="W41" s="298"/>
      <c r="X41" s="698">
        <f ca="1">IF(VLOOKUP($AD41,INDIRECT("'"&amp;$B41&amp;"'!"&amp;"$P$39:$AD$42"),11,FALSE)="Cf. the utilized electricity",0,VLOOKUP($AD41,INDIRECT("'"&amp;$B41&amp;"'!"&amp;"$P$39:$AD$42"),11,FALSE))</f>
        <v>0</v>
      </c>
      <c r="Y41" s="81">
        <f ca="1">VLOOKUP($AD41,INDIRECT("'"&amp;$B41&amp;"'!"&amp;"$P$39:$AD$42"),12,FALSE)</f>
        <v>0</v>
      </c>
      <c r="Z41" s="81">
        <f ca="1">VLOOKUP($AD41,INDIRECT("'"&amp;$B41&amp;"'!"&amp;"$P$39:$AD$42"),13,FALSE)</f>
        <v>0</v>
      </c>
      <c r="AA41" s="81">
        <f ca="1">VLOOKUP($AD41,INDIRECT("'"&amp;$B41&amp;"'!"&amp;"$P$39:$AD$42"),14,FALSE)</f>
        <v>0</v>
      </c>
      <c r="AB41" s="81">
        <f ca="1">VLOOKUP($AD41,INDIRECT("'"&amp;$B41&amp;"'!"&amp;"$P$39:$AD$42"),15,FALSE)</f>
        <v>0</v>
      </c>
      <c r="AD41" s="81">
        <v>2030</v>
      </c>
      <c r="AE41" s="81"/>
      <c r="AF41" s="220"/>
    </row>
    <row r="42" spans="2:36">
      <c r="B42" s="357" t="s">
        <v>1000</v>
      </c>
      <c r="D42" s="212"/>
      <c r="E42" s="212"/>
      <c r="F42" s="224" t="s">
        <v>1149</v>
      </c>
      <c r="G42" s="173" t="str">
        <f>$AI$20</f>
        <v>INDWWH</v>
      </c>
      <c r="H42" s="174"/>
      <c r="I42" s="174"/>
      <c r="K42" s="81"/>
      <c r="L42" s="333"/>
      <c r="M42" s="199"/>
      <c r="N42" s="81"/>
      <c r="O42" s="723"/>
      <c r="P42" s="723"/>
      <c r="Q42" s="81"/>
      <c r="R42" s="300"/>
      <c r="S42" s="300"/>
      <c r="T42" s="300"/>
      <c r="U42" s="199">
        <f ca="1">1-U41</f>
        <v>0.65217391304347827</v>
      </c>
      <c r="V42" s="300"/>
      <c r="W42" s="298"/>
      <c r="X42" s="698"/>
      <c r="Y42" s="81"/>
      <c r="Z42" s="81"/>
      <c r="AA42" s="81"/>
      <c r="AB42" s="81"/>
      <c r="AD42" s="81"/>
      <c r="AE42" s="81"/>
      <c r="AF42" s="220"/>
    </row>
    <row r="43" spans="2:36">
      <c r="B43" s="357" t="s">
        <v>1000</v>
      </c>
      <c r="D43" s="212"/>
      <c r="E43" s="212"/>
      <c r="F43" s="224" t="s">
        <v>1149</v>
      </c>
      <c r="G43" s="173" t="s">
        <v>499</v>
      </c>
      <c r="H43" s="174" t="str">
        <f>$AI$15</f>
        <v>IWDSH</v>
      </c>
      <c r="I43" s="174"/>
      <c r="J43" s="224">
        <f t="shared" ref="J43" si="12">AD43</f>
        <v>2050</v>
      </c>
      <c r="K43" s="81"/>
      <c r="L43" s="333">
        <v>1</v>
      </c>
      <c r="M43" s="199">
        <f ca="1">VLOOKUP($AD43,INDIRECT("'"&amp;$B43&amp;"'!"&amp;"$P$39:$AD$42"),3,FALSE)</f>
        <v>3.0249999999999999</v>
      </c>
      <c r="N43" s="81"/>
      <c r="O43" s="723">
        <f ca="1">VLOOKUP($AD43,INDIRECT("'"&amp;$B43&amp;"'!"&amp;"$P$39:$AD$42"),6,FALSE)/1000</f>
        <v>5.7365000000000004</v>
      </c>
      <c r="P43" s="723">
        <f ca="1">VLOOKUP($AD43,INDIRECT("'"&amp;$B43&amp;"'!"&amp;"$P$39:$AD$42"),7,FALSE)/1000</f>
        <v>5.3639999999999998E-3</v>
      </c>
      <c r="Q43" s="81">
        <f ca="1">VLOOKUP($AD43,INDIRECT("'"&amp;$B43&amp;"'!"&amp;"$P$39:$AD$42"),8,FALSE)</f>
        <v>6.4566666666666661</v>
      </c>
      <c r="R43" s="300"/>
      <c r="S43" s="300"/>
      <c r="T43" s="300"/>
      <c r="U43" s="199">
        <f ca="1">1/M43</f>
        <v>0.33057851239669422</v>
      </c>
      <c r="V43" s="199"/>
      <c r="W43" s="298"/>
      <c r="X43" s="698">
        <f ca="1">IF(VLOOKUP($AD43,INDIRECT("'"&amp;$B43&amp;"'!"&amp;"$P$39:$AD$42"),11,FALSE)="Cf. the utilized electricity",0,VLOOKUP($AD43,INDIRECT("'"&amp;$B43&amp;"'!"&amp;"$P$39:$AD$42"),11,FALSE))</f>
        <v>0</v>
      </c>
      <c r="Y43" s="81">
        <f ca="1">VLOOKUP($AD43,INDIRECT("'"&amp;$B43&amp;"'!"&amp;"$P$39:$AD$42"),12,FALSE)</f>
        <v>0</v>
      </c>
      <c r="Z43" s="81">
        <f ca="1">VLOOKUP($AD43,INDIRECT("'"&amp;$B43&amp;"'!"&amp;"$P$39:$AD$42"),13,FALSE)</f>
        <v>0</v>
      </c>
      <c r="AA43" s="81">
        <f ca="1">VLOOKUP($AD43,INDIRECT("'"&amp;$B43&amp;"'!"&amp;"$P$39:$AD$42"),14,FALSE)</f>
        <v>0</v>
      </c>
      <c r="AB43" s="81">
        <f ca="1">VLOOKUP($AD43,INDIRECT("'"&amp;$B43&amp;"'!"&amp;"$P$39:$AD$42"),15,FALSE)</f>
        <v>0</v>
      </c>
      <c r="AD43" s="81">
        <v>2050</v>
      </c>
      <c r="AE43" s="81"/>
      <c r="AF43" s="220"/>
    </row>
    <row r="44" spans="2:36">
      <c r="B44" s="357" t="s">
        <v>1000</v>
      </c>
      <c r="D44" s="212"/>
      <c r="E44" s="212"/>
      <c r="F44" s="224" t="s">
        <v>1149</v>
      </c>
      <c r="G44" s="173" t="str">
        <f>$AI$20</f>
        <v>INDWWH</v>
      </c>
      <c r="H44" s="174"/>
      <c r="I44" s="174"/>
      <c r="K44" s="81"/>
      <c r="L44" s="333"/>
      <c r="M44" s="199"/>
      <c r="N44" s="81"/>
      <c r="O44" s="723"/>
      <c r="P44" s="723"/>
      <c r="Q44" s="81"/>
      <c r="R44" s="300"/>
      <c r="S44" s="300"/>
      <c r="T44" s="300"/>
      <c r="U44" s="199">
        <f ca="1">1-U43</f>
        <v>0.66942148760330578</v>
      </c>
      <c r="V44" s="300"/>
      <c r="W44" s="298"/>
      <c r="X44" s="698"/>
      <c r="Y44" s="81"/>
      <c r="Z44" s="81"/>
      <c r="AA44" s="81"/>
      <c r="AB44" s="81"/>
      <c r="AD44" s="81"/>
      <c r="AE44" s="81"/>
      <c r="AF44" s="220"/>
    </row>
    <row r="45" spans="2:36">
      <c r="B45" s="357" t="s">
        <v>1001</v>
      </c>
      <c r="D45" s="212" t="str">
        <f>"IND"&amp;RIGHT(H45,4)&amp;RIGHT(G45,3)&amp;"N"&amp;RIGHT(E45,1)</f>
        <v>INDWDPHELCN4</v>
      </c>
      <c r="E45" s="261" t="str">
        <f>"Industrial heating technology "&amp;$AJ$12&amp;" "&amp;RIGHT(H45,2)&amp;" - Booster Heat pump utilizing waste heat - new 4"</f>
        <v>Industrial heating technology Wood products PH - Booster Heat pump utilizing waste heat - new 4</v>
      </c>
      <c r="F45" s="224" t="s">
        <v>1149</v>
      </c>
      <c r="G45" s="173" t="s">
        <v>499</v>
      </c>
      <c r="H45" s="174" t="str">
        <f>$AI$14</f>
        <v>IWDPH</v>
      </c>
      <c r="I45" s="174"/>
      <c r="J45" s="224">
        <f t="shared" ref="J45" si="13">AD45</f>
        <v>2020</v>
      </c>
      <c r="K45" s="81">
        <v>2020</v>
      </c>
      <c r="L45" s="333">
        <v>1</v>
      </c>
      <c r="M45" s="199">
        <f ca="1">VLOOKUP($AD45,INDIRECT("'"&amp;$B45&amp;"'!"&amp;"$P$39:$AD$42"),3,FALSE)</f>
        <v>1.93</v>
      </c>
      <c r="N45" s="81">
        <f ca="1">VLOOKUP($AD45,INDIRECT("'"&amp;$B45&amp;"'!"&amp;"$P$39:$AD$42"),5,FALSE)</f>
        <v>20</v>
      </c>
      <c r="O45" s="723">
        <f ca="1">VLOOKUP($AD45,INDIRECT("'"&amp;$B45&amp;"'!"&amp;"$P$39:$AD$42"),6,FALSE)/1000</f>
        <v>12.158890687341184</v>
      </c>
      <c r="P45" s="723">
        <f ca="1">VLOOKUP($AD45,INDIRECT("'"&amp;$B45&amp;"'!"&amp;"$P$39:$AD$42"),7,FALSE)/1000</f>
        <v>1.49E-2</v>
      </c>
      <c r="Q45" s="81">
        <f ca="1">VLOOKUP($AD45,INDIRECT("'"&amp;$B45&amp;"'!"&amp;"$P$39:$AD$42"),8,FALSE)</f>
        <v>7.1188888888888897</v>
      </c>
      <c r="R45" s="81">
        <v>3.1536000000000002E-2</v>
      </c>
      <c r="S45" s="199">
        <v>0.5</v>
      </c>
      <c r="T45" s="199">
        <f ca="1">HLOOKUP($T$2,INDIRECT("'"&amp;$B45&amp;"'!"&amp;"$P$6:$AC$19"),IF(H45=$AI$13,6,IF(H45=$AI$14,9,14)),FALSE)-T9</f>
        <v>0</v>
      </c>
      <c r="U45" s="199">
        <f ca="1">1/M45</f>
        <v>0.5181347150259068</v>
      </c>
      <c r="V45" s="199"/>
      <c r="W45" s="298"/>
      <c r="X45" s="698">
        <f ca="1">IF(VLOOKUP($AD45,INDIRECT("'"&amp;$B45&amp;"'!"&amp;"$P$39:$AD$42"),11,FALSE)="Cf. the utilized electricity",0,VLOOKUP($AD45,INDIRECT("'"&amp;$B45&amp;"'!"&amp;"$P$39:$AD$42"),11,FALSE))</f>
        <v>0</v>
      </c>
      <c r="Y45" s="81">
        <f ca="1">VLOOKUP($AD45,INDIRECT("'"&amp;$B45&amp;"'!"&amp;"$P$39:$AD$42"),12,FALSE)</f>
        <v>0</v>
      </c>
      <c r="Z45" s="81">
        <f ca="1">VLOOKUP($AD45,INDIRECT("'"&amp;$B45&amp;"'!"&amp;"$P$39:$AD$42"),13,FALSE)</f>
        <v>0</v>
      </c>
      <c r="AA45" s="81">
        <f ca="1">VLOOKUP($AD45,INDIRECT("'"&amp;$B45&amp;"'!"&amp;"$P$39:$AD$42"),14,FALSE)</f>
        <v>0</v>
      </c>
      <c r="AB45" s="81">
        <f ca="1">VLOOKUP($AD45,INDIRECT("'"&amp;$B45&amp;"'!"&amp;"$P$39:$AD$42"),15,FALSE)</f>
        <v>0</v>
      </c>
      <c r="AD45" s="81">
        <v>2020</v>
      </c>
      <c r="AE45" s="81"/>
      <c r="AF45" s="220"/>
    </row>
    <row r="46" spans="2:36">
      <c r="B46" s="357" t="s">
        <v>1001</v>
      </c>
      <c r="D46" s="212"/>
      <c r="E46" s="261"/>
      <c r="F46" s="224" t="s">
        <v>1149</v>
      </c>
      <c r="G46" s="173" t="str">
        <f>$AI$20</f>
        <v>INDWWH</v>
      </c>
      <c r="H46" s="174"/>
      <c r="I46" s="174"/>
      <c r="K46" s="81"/>
      <c r="L46" s="333"/>
      <c r="M46" s="199"/>
      <c r="N46" s="81"/>
      <c r="O46" s="723"/>
      <c r="P46" s="723"/>
      <c r="Q46" s="81"/>
      <c r="R46" s="200"/>
      <c r="S46" s="772"/>
      <c r="T46" s="772"/>
      <c r="U46" s="199">
        <f ca="1">1-U45</f>
        <v>0.4818652849740932</v>
      </c>
      <c r="V46" s="772"/>
      <c r="W46" s="298"/>
      <c r="X46" s="698"/>
      <c r="Y46" s="81"/>
      <c r="Z46" s="81"/>
      <c r="AA46" s="81"/>
      <c r="AB46" s="81"/>
      <c r="AD46" s="81"/>
      <c r="AE46" s="81"/>
      <c r="AF46" s="220"/>
    </row>
    <row r="47" spans="2:36">
      <c r="B47" s="357" t="s">
        <v>1001</v>
      </c>
      <c r="D47" s="212"/>
      <c r="E47" s="212"/>
      <c r="F47" s="224" t="s">
        <v>1149</v>
      </c>
      <c r="G47" s="173" t="s">
        <v>499</v>
      </c>
      <c r="H47" s="174" t="str">
        <f>$AI$14</f>
        <v>IWDPH</v>
      </c>
      <c r="I47" s="174"/>
      <c r="J47" s="224">
        <f t="shared" ref="J47" si="14">AD47</f>
        <v>2030</v>
      </c>
      <c r="K47" s="81"/>
      <c r="L47" s="333">
        <v>1</v>
      </c>
      <c r="M47" s="199">
        <f ca="1">VLOOKUP($AD47,INDIRECT("'"&amp;$B47&amp;"'!"&amp;"$P$39:$AD$42"),3,FALSE)</f>
        <v>1.9894000000000001</v>
      </c>
      <c r="N47" s="81"/>
      <c r="O47" s="723">
        <f ca="1">VLOOKUP($AD47,INDIRECT("'"&amp;$B47&amp;"'!"&amp;"$P$39:$AD$42"),6,FALSE)/1000</f>
        <v>9.8570539139933757</v>
      </c>
      <c r="P47" s="723">
        <f ca="1">VLOOKUP($AD47,INDIRECT("'"&amp;$B47&amp;"'!"&amp;"$P$39:$AD$42"),7,FALSE)/1000</f>
        <v>1.49E-2</v>
      </c>
      <c r="Q47" s="81">
        <f ca="1">VLOOKUP($AD47,INDIRECT("'"&amp;$B47&amp;"'!"&amp;"$P$39:$AD$42"),8,FALSE)</f>
        <v>6.9740277777777777</v>
      </c>
      <c r="R47" s="300"/>
      <c r="S47" s="300"/>
      <c r="T47" s="300"/>
      <c r="U47" s="199">
        <f ca="1">1/M47</f>
        <v>0.50266411983512616</v>
      </c>
      <c r="V47" s="199"/>
      <c r="W47" s="298"/>
      <c r="X47" s="698">
        <f ca="1">IF(VLOOKUP($AD47,INDIRECT("'"&amp;$B47&amp;"'!"&amp;"$P$39:$AD$42"),11,FALSE)="Cf. the utilized electricity",0,VLOOKUP($AD47,INDIRECT("'"&amp;$B47&amp;"'!"&amp;"$P$39:$AD$42"),11,FALSE))</f>
        <v>0</v>
      </c>
      <c r="Y47" s="81">
        <f ca="1">VLOOKUP($AD47,INDIRECT("'"&amp;$B47&amp;"'!"&amp;"$P$39:$AD$42"),12,FALSE)</f>
        <v>0</v>
      </c>
      <c r="Z47" s="81">
        <f ca="1">VLOOKUP($AD47,INDIRECT("'"&amp;$B47&amp;"'!"&amp;"$P$39:$AD$42"),13,FALSE)</f>
        <v>0</v>
      </c>
      <c r="AA47" s="81">
        <f ca="1">VLOOKUP($AD47,INDIRECT("'"&amp;$B47&amp;"'!"&amp;"$P$39:$AD$42"),14,FALSE)</f>
        <v>0</v>
      </c>
      <c r="AB47" s="81">
        <f ca="1">VLOOKUP($AD47,INDIRECT("'"&amp;$B47&amp;"'!"&amp;"$P$39:$AD$42"),15,FALSE)</f>
        <v>0</v>
      </c>
      <c r="AD47" s="81">
        <v>2030</v>
      </c>
      <c r="AE47" s="81"/>
      <c r="AF47" s="220"/>
    </row>
    <row r="48" spans="2:36">
      <c r="B48" s="357" t="s">
        <v>1001</v>
      </c>
      <c r="D48" s="212"/>
      <c r="E48" s="212"/>
      <c r="F48" s="224" t="s">
        <v>1149</v>
      </c>
      <c r="G48" s="173" t="str">
        <f>$AI$20</f>
        <v>INDWWH</v>
      </c>
      <c r="H48" s="174"/>
      <c r="I48" s="174"/>
      <c r="K48" s="81"/>
      <c r="L48" s="333"/>
      <c r="M48" s="199"/>
      <c r="N48" s="81"/>
      <c r="O48" s="723"/>
      <c r="P48" s="723"/>
      <c r="Q48" s="81"/>
      <c r="R48" s="300"/>
      <c r="S48" s="300"/>
      <c r="T48" s="300"/>
      <c r="U48" s="199">
        <f ca="1">1-U47</f>
        <v>0.49733588016487384</v>
      </c>
      <c r="V48" s="300"/>
      <c r="W48" s="298"/>
      <c r="X48" s="698"/>
      <c r="Y48" s="81"/>
      <c r="Z48" s="81"/>
      <c r="AA48" s="81"/>
      <c r="AB48" s="81"/>
      <c r="AD48" s="81"/>
      <c r="AE48" s="81"/>
      <c r="AF48" s="220"/>
    </row>
    <row r="49" spans="2:32">
      <c r="B49" s="357" t="s">
        <v>1001</v>
      </c>
      <c r="D49" s="212"/>
      <c r="E49" s="212"/>
      <c r="F49" s="224" t="s">
        <v>1149</v>
      </c>
      <c r="G49" s="173" t="s">
        <v>499</v>
      </c>
      <c r="H49" s="174" t="str">
        <f>$AI$14</f>
        <v>IWDPH</v>
      </c>
      <c r="I49" s="174"/>
      <c r="J49" s="224">
        <f t="shared" ref="J49" si="15">AD49</f>
        <v>2050</v>
      </c>
      <c r="K49" s="81"/>
      <c r="L49" s="333">
        <v>1</v>
      </c>
      <c r="M49" s="199">
        <f ca="1">VLOOKUP($AD49,INDIRECT("'"&amp;$B49&amp;"'!"&amp;"$P$39:$AD$42"),3,FALSE)</f>
        <v>2.0509898799999999</v>
      </c>
      <c r="N49" s="81"/>
      <c r="O49" s="723">
        <f ca="1">VLOOKUP($AD49,INDIRECT("'"&amp;$B49&amp;"'!"&amp;"$P$39:$AD$42"),6,FALSE)/1000</f>
        <v>6.955935359434223</v>
      </c>
      <c r="P49" s="723">
        <f ca="1">VLOOKUP($AD49,INDIRECT("'"&amp;$B49&amp;"'!"&amp;"$P$39:$AD$42"),7,FALSE)/1000</f>
        <v>1.49E-2</v>
      </c>
      <c r="Q49" s="81">
        <f ca="1">VLOOKUP($AD49,INDIRECT("'"&amp;$B49&amp;"'!"&amp;"$P$39:$AD$42"),8,FALSE)</f>
        <v>6.7877777777777784</v>
      </c>
      <c r="R49" s="300"/>
      <c r="S49" s="300"/>
      <c r="T49" s="300"/>
      <c r="U49" s="199">
        <f ca="1">1/M49</f>
        <v>0.48756944622271858</v>
      </c>
      <c r="V49" s="199"/>
      <c r="W49" s="298"/>
      <c r="X49" s="698">
        <f ca="1">IF(VLOOKUP($AD49,INDIRECT("'"&amp;$B49&amp;"'!"&amp;"$P$39:$AD$42"),11,FALSE)="Cf. the utilized electricity",0,VLOOKUP($AD49,INDIRECT("'"&amp;$B49&amp;"'!"&amp;"$P$39:$AD$42"),11,FALSE))</f>
        <v>0</v>
      </c>
      <c r="Y49" s="81">
        <f ca="1">VLOOKUP($AD49,INDIRECT("'"&amp;$B49&amp;"'!"&amp;"$P$39:$AD$42"),12,FALSE)</f>
        <v>0</v>
      </c>
      <c r="Z49" s="81">
        <f ca="1">VLOOKUP($AD49,INDIRECT("'"&amp;$B49&amp;"'!"&amp;"$P$39:$AD$42"),13,FALSE)</f>
        <v>0</v>
      </c>
      <c r="AA49" s="81">
        <f ca="1">VLOOKUP($AD49,INDIRECT("'"&amp;$B49&amp;"'!"&amp;"$P$39:$AD$42"),14,FALSE)</f>
        <v>0</v>
      </c>
      <c r="AB49" s="81">
        <f ca="1">VLOOKUP($AD49,INDIRECT("'"&amp;$B49&amp;"'!"&amp;"$P$39:$AD$42"),15,FALSE)</f>
        <v>0</v>
      </c>
      <c r="AD49" s="81">
        <v>2050</v>
      </c>
      <c r="AE49" s="81"/>
      <c r="AF49" s="220"/>
    </row>
    <row r="50" spans="2:32">
      <c r="B50" s="357" t="s">
        <v>1001</v>
      </c>
      <c r="D50" s="212"/>
      <c r="E50" s="212"/>
      <c r="F50" s="224" t="s">
        <v>1149</v>
      </c>
      <c r="G50" s="173" t="str">
        <f>$AI$20</f>
        <v>INDWWH</v>
      </c>
      <c r="H50" s="174"/>
      <c r="I50" s="174"/>
      <c r="K50" s="81"/>
      <c r="L50" s="333"/>
      <c r="M50" s="199"/>
      <c r="N50" s="81"/>
      <c r="O50" s="723"/>
      <c r="P50" s="723"/>
      <c r="Q50" s="81"/>
      <c r="R50" s="300"/>
      <c r="S50" s="300"/>
      <c r="T50" s="300"/>
      <c r="U50" s="199">
        <f ca="1">1-U49</f>
        <v>0.51243055377728142</v>
      </c>
      <c r="V50" s="300"/>
      <c r="W50" s="298"/>
      <c r="X50" s="698"/>
      <c r="Y50" s="81"/>
      <c r="Z50" s="81"/>
      <c r="AA50" s="81"/>
      <c r="AB50" s="81"/>
      <c r="AD50" s="81"/>
      <c r="AE50" s="81"/>
      <c r="AF50" s="220"/>
    </row>
    <row r="51" spans="2:32">
      <c r="B51" s="357" t="s">
        <v>1001</v>
      </c>
      <c r="D51" s="212" t="str">
        <f>"IND"&amp;RIGHT(H51,4)&amp;RIGHT(G51,3)&amp;"N"&amp;RIGHT(E51,1)</f>
        <v>INDWDSHELCN4</v>
      </c>
      <c r="E51" s="261" t="str">
        <f>"Industrial heating technology "&amp;$AJ$12&amp;" "&amp;RIGHT(H51,2)&amp;" - Booster Heat pump utilizing waste heat - new 4"</f>
        <v>Industrial heating technology Wood products SH - Booster Heat pump utilizing waste heat - new 4</v>
      </c>
      <c r="F51" s="224" t="s">
        <v>1149</v>
      </c>
      <c r="G51" s="173" t="s">
        <v>499</v>
      </c>
      <c r="H51" s="174" t="str">
        <f>$AI$15</f>
        <v>IWDSH</v>
      </c>
      <c r="I51" s="174"/>
      <c r="J51" s="224">
        <f t="shared" ref="J51" si="16">AD51</f>
        <v>2020</v>
      </c>
      <c r="K51" s="81">
        <v>2020</v>
      </c>
      <c r="L51" s="333">
        <v>1</v>
      </c>
      <c r="M51" s="199">
        <f ca="1">VLOOKUP($AD51,INDIRECT("'"&amp;$B51&amp;"'!"&amp;"$P$39:$AD$42"),3,FALSE)</f>
        <v>1.93</v>
      </c>
      <c r="N51" s="81">
        <f ca="1">VLOOKUP($AD51,INDIRECT("'"&amp;$B51&amp;"'!"&amp;"$P$39:$AD$42"),5,FALSE)</f>
        <v>20</v>
      </c>
      <c r="O51" s="723">
        <f ca="1">VLOOKUP($AD51,INDIRECT("'"&amp;$B51&amp;"'!"&amp;"$P$39:$AD$42"),6,FALSE)/1000</f>
        <v>12.158890687341184</v>
      </c>
      <c r="P51" s="723">
        <f ca="1">VLOOKUP($AD51,INDIRECT("'"&amp;$B51&amp;"'!"&amp;"$P$39:$AD$42"),7,FALSE)/1000</f>
        <v>1.49E-2</v>
      </c>
      <c r="Q51" s="81">
        <f ca="1">VLOOKUP($AD51,INDIRECT("'"&amp;$B51&amp;"'!"&amp;"$P$39:$AD$42"),8,FALSE)</f>
        <v>7.1188888888888897</v>
      </c>
      <c r="R51" s="81">
        <v>3.1536000000000002E-2</v>
      </c>
      <c r="S51" s="199">
        <v>0.5</v>
      </c>
      <c r="T51" s="199">
        <f ca="1">HLOOKUP($T$2,INDIRECT("'"&amp;$B51&amp;"'!"&amp;"$P$6:$AC$19"),IF(H51=$AI$13,6,IF(H51=$AI$14,9,14)),FALSE)</f>
        <v>1</v>
      </c>
      <c r="U51" s="199">
        <f ca="1">1/M51</f>
        <v>0.5181347150259068</v>
      </c>
      <c r="V51" s="199"/>
      <c r="W51" s="298"/>
      <c r="X51" s="698">
        <f ca="1">IF(VLOOKUP($AD51,INDIRECT("'"&amp;$B51&amp;"'!"&amp;"$P$39:$AD$42"),11,FALSE)="Cf. the utilized electricity",0,VLOOKUP($AD51,INDIRECT("'"&amp;$B51&amp;"'!"&amp;"$P$39:$AD$42"),11,FALSE))</f>
        <v>0</v>
      </c>
      <c r="Y51" s="81">
        <f ca="1">VLOOKUP($AD51,INDIRECT("'"&amp;$B51&amp;"'!"&amp;"$P$39:$AD$42"),12,FALSE)</f>
        <v>0</v>
      </c>
      <c r="Z51" s="81">
        <f ca="1">VLOOKUP($AD51,INDIRECT("'"&amp;$B51&amp;"'!"&amp;"$P$39:$AD$42"),13,FALSE)</f>
        <v>0</v>
      </c>
      <c r="AA51" s="81">
        <f ca="1">VLOOKUP($AD51,INDIRECT("'"&amp;$B51&amp;"'!"&amp;"$P$39:$AD$42"),14,FALSE)</f>
        <v>0</v>
      </c>
      <c r="AB51" s="81">
        <f ca="1">VLOOKUP($AD51,INDIRECT("'"&amp;$B51&amp;"'!"&amp;"$P$39:$AD$42"),15,FALSE)</f>
        <v>0</v>
      </c>
      <c r="AD51" s="81">
        <v>2020</v>
      </c>
      <c r="AE51" s="81"/>
      <c r="AF51" s="220"/>
    </row>
    <row r="52" spans="2:32">
      <c r="B52" s="357" t="s">
        <v>1001</v>
      </c>
      <c r="D52" s="212"/>
      <c r="E52" s="261"/>
      <c r="F52" s="224" t="s">
        <v>1149</v>
      </c>
      <c r="G52" s="173" t="str">
        <f>$AI$20</f>
        <v>INDWWH</v>
      </c>
      <c r="H52" s="174"/>
      <c r="I52" s="174"/>
      <c r="K52" s="81"/>
      <c r="L52" s="333"/>
      <c r="M52" s="199"/>
      <c r="N52" s="81"/>
      <c r="O52" s="723"/>
      <c r="P52" s="723"/>
      <c r="Q52" s="81"/>
      <c r="R52" s="200"/>
      <c r="S52" s="772"/>
      <c r="T52" s="772"/>
      <c r="U52" s="199">
        <f ca="1">1-U51</f>
        <v>0.4818652849740932</v>
      </c>
      <c r="V52" s="772"/>
      <c r="W52" s="298"/>
      <c r="X52" s="698"/>
      <c r="Y52" s="81"/>
      <c r="Z52" s="81"/>
      <c r="AA52" s="81"/>
      <c r="AB52" s="81"/>
      <c r="AD52" s="81"/>
      <c r="AE52" s="81"/>
      <c r="AF52" s="220"/>
    </row>
    <row r="53" spans="2:32">
      <c r="B53" s="357" t="s">
        <v>1001</v>
      </c>
      <c r="D53" s="212"/>
      <c r="E53" s="212"/>
      <c r="F53" s="224" t="s">
        <v>1149</v>
      </c>
      <c r="G53" s="173" t="s">
        <v>499</v>
      </c>
      <c r="H53" s="174" t="str">
        <f>$AI$15</f>
        <v>IWDSH</v>
      </c>
      <c r="I53" s="174"/>
      <c r="J53" s="224">
        <f t="shared" ref="J53" si="17">AD53</f>
        <v>2030</v>
      </c>
      <c r="K53" s="81"/>
      <c r="L53" s="333">
        <v>1</v>
      </c>
      <c r="M53" s="199">
        <f ca="1">VLOOKUP($AD53,INDIRECT("'"&amp;$B53&amp;"'!"&amp;"$P$39:$AD$42"),3,FALSE)</f>
        <v>1.9894000000000001</v>
      </c>
      <c r="N53" s="81"/>
      <c r="O53" s="723">
        <f ca="1">VLOOKUP($AD53,INDIRECT("'"&amp;$B53&amp;"'!"&amp;"$P$39:$AD$42"),6,FALSE)/1000</f>
        <v>9.8570539139933757</v>
      </c>
      <c r="P53" s="723">
        <f ca="1">VLOOKUP($AD53,INDIRECT("'"&amp;$B53&amp;"'!"&amp;"$P$39:$AD$42"),7,FALSE)/1000</f>
        <v>1.49E-2</v>
      </c>
      <c r="Q53" s="81">
        <f ca="1">VLOOKUP($AD53,INDIRECT("'"&amp;$B53&amp;"'!"&amp;"$P$39:$AD$42"),8,FALSE)</f>
        <v>6.9740277777777777</v>
      </c>
      <c r="R53" s="300"/>
      <c r="S53" s="300"/>
      <c r="T53" s="300"/>
      <c r="U53" s="199">
        <f ca="1">1/M53</f>
        <v>0.50266411983512616</v>
      </c>
      <c r="V53" s="199"/>
      <c r="W53" s="298"/>
      <c r="X53" s="698">
        <f ca="1">IF(VLOOKUP($AD53,INDIRECT("'"&amp;$B53&amp;"'!"&amp;"$P$39:$AD$42"),11,FALSE)="Cf. the utilized electricity",0,VLOOKUP($AD53,INDIRECT("'"&amp;$B53&amp;"'!"&amp;"$P$39:$AD$42"),11,FALSE))</f>
        <v>0</v>
      </c>
      <c r="Y53" s="81">
        <f ca="1">VLOOKUP($AD53,INDIRECT("'"&amp;$B53&amp;"'!"&amp;"$P$39:$AD$42"),12,FALSE)</f>
        <v>0</v>
      </c>
      <c r="Z53" s="81">
        <f ca="1">VLOOKUP($AD53,INDIRECT("'"&amp;$B53&amp;"'!"&amp;"$P$39:$AD$42"),13,FALSE)</f>
        <v>0</v>
      </c>
      <c r="AA53" s="81">
        <f ca="1">VLOOKUP($AD53,INDIRECT("'"&amp;$B53&amp;"'!"&amp;"$P$39:$AD$42"),14,FALSE)</f>
        <v>0</v>
      </c>
      <c r="AB53" s="81">
        <f ca="1">VLOOKUP($AD53,INDIRECT("'"&amp;$B53&amp;"'!"&amp;"$P$39:$AD$42"),15,FALSE)</f>
        <v>0</v>
      </c>
      <c r="AD53" s="81">
        <v>2030</v>
      </c>
      <c r="AE53" s="81"/>
      <c r="AF53" s="220"/>
    </row>
    <row r="54" spans="2:32">
      <c r="B54" s="357" t="s">
        <v>1001</v>
      </c>
      <c r="D54" s="212"/>
      <c r="E54" s="212"/>
      <c r="F54" s="224" t="s">
        <v>1149</v>
      </c>
      <c r="G54" s="173" t="str">
        <f>$AI$20</f>
        <v>INDWWH</v>
      </c>
      <c r="H54" s="174"/>
      <c r="I54" s="174"/>
      <c r="K54" s="81"/>
      <c r="L54" s="333"/>
      <c r="M54" s="199"/>
      <c r="N54" s="81"/>
      <c r="O54" s="723"/>
      <c r="P54" s="723"/>
      <c r="Q54" s="81"/>
      <c r="R54" s="300"/>
      <c r="S54" s="300"/>
      <c r="T54" s="300"/>
      <c r="U54" s="199">
        <f ca="1">1-U53</f>
        <v>0.49733588016487384</v>
      </c>
      <c r="V54" s="300"/>
      <c r="W54" s="298"/>
      <c r="X54" s="698"/>
      <c r="Y54" s="81"/>
      <c r="Z54" s="81"/>
      <c r="AA54" s="81"/>
      <c r="AB54" s="81"/>
      <c r="AD54" s="81"/>
      <c r="AE54" s="81"/>
      <c r="AF54" s="220"/>
    </row>
    <row r="55" spans="2:32">
      <c r="B55" s="357" t="s">
        <v>1001</v>
      </c>
      <c r="D55" s="212"/>
      <c r="E55" s="212"/>
      <c r="F55" s="224" t="s">
        <v>1149</v>
      </c>
      <c r="G55" s="173" t="s">
        <v>499</v>
      </c>
      <c r="H55" s="174" t="str">
        <f>$AI$15</f>
        <v>IWDSH</v>
      </c>
      <c r="I55" s="174"/>
      <c r="J55" s="224">
        <f t="shared" ref="J55" si="18">AD55</f>
        <v>2050</v>
      </c>
      <c r="K55" s="81"/>
      <c r="L55" s="333">
        <v>1</v>
      </c>
      <c r="M55" s="199">
        <f ca="1">VLOOKUP($AD55,INDIRECT("'"&amp;$B55&amp;"'!"&amp;"$P$39:$AD$42"),3,FALSE)</f>
        <v>2.0509898799999999</v>
      </c>
      <c r="N55" s="81"/>
      <c r="O55" s="723">
        <f ca="1">VLOOKUP($AD55,INDIRECT("'"&amp;$B55&amp;"'!"&amp;"$P$39:$AD$42"),6,FALSE)/1000</f>
        <v>6.955935359434223</v>
      </c>
      <c r="P55" s="723">
        <f ca="1">VLOOKUP($AD55,INDIRECT("'"&amp;$B55&amp;"'!"&amp;"$P$39:$AD$42"),7,FALSE)/1000</f>
        <v>1.49E-2</v>
      </c>
      <c r="Q55" s="81">
        <f ca="1">VLOOKUP($AD55,INDIRECT("'"&amp;$B55&amp;"'!"&amp;"$P$39:$AD$42"),8,FALSE)</f>
        <v>6.7877777777777784</v>
      </c>
      <c r="R55" s="300"/>
      <c r="S55" s="300"/>
      <c r="T55" s="300"/>
      <c r="U55" s="199">
        <f ca="1">1/M55</f>
        <v>0.48756944622271858</v>
      </c>
      <c r="V55" s="199"/>
      <c r="W55" s="298"/>
      <c r="X55" s="698">
        <f ca="1">IF(VLOOKUP($AD55,INDIRECT("'"&amp;$B55&amp;"'!"&amp;"$P$39:$AD$42"),11,FALSE)="Cf. the utilized electricity",0,VLOOKUP($AD55,INDIRECT("'"&amp;$B55&amp;"'!"&amp;"$P$39:$AD$42"),11,FALSE))</f>
        <v>0</v>
      </c>
      <c r="Y55" s="81">
        <f ca="1">VLOOKUP($AD55,INDIRECT("'"&amp;$B55&amp;"'!"&amp;"$P$39:$AD$42"),12,FALSE)</f>
        <v>0</v>
      </c>
      <c r="Z55" s="81">
        <f ca="1">VLOOKUP($AD55,INDIRECT("'"&amp;$B55&amp;"'!"&amp;"$P$39:$AD$42"),13,FALSE)</f>
        <v>0</v>
      </c>
      <c r="AA55" s="81">
        <f ca="1">VLOOKUP($AD55,INDIRECT("'"&amp;$B55&amp;"'!"&amp;"$P$39:$AD$42"),14,FALSE)</f>
        <v>0</v>
      </c>
      <c r="AB55" s="81">
        <f ca="1">VLOOKUP($AD55,INDIRECT("'"&amp;$B55&amp;"'!"&amp;"$P$39:$AD$42"),15,FALSE)</f>
        <v>0</v>
      </c>
      <c r="AD55" s="81">
        <v>2050</v>
      </c>
      <c r="AE55" s="81"/>
      <c r="AF55" s="220"/>
    </row>
    <row r="56" spans="2:32">
      <c r="B56" s="357" t="s">
        <v>1001</v>
      </c>
      <c r="D56" s="212"/>
      <c r="E56" s="212"/>
      <c r="F56" s="224" t="s">
        <v>1149</v>
      </c>
      <c r="G56" s="173" t="str">
        <f>$AI$20</f>
        <v>INDWWH</v>
      </c>
      <c r="H56" s="174"/>
      <c r="I56" s="174"/>
      <c r="K56" s="81"/>
      <c r="L56" s="333"/>
      <c r="M56" s="199"/>
      <c r="N56" s="81"/>
      <c r="O56" s="723"/>
      <c r="P56" s="723"/>
      <c r="Q56" s="81"/>
      <c r="R56" s="300"/>
      <c r="S56" s="300"/>
      <c r="T56" s="300"/>
      <c r="U56" s="199">
        <f ca="1">1-U55</f>
        <v>0.51243055377728142</v>
      </c>
      <c r="V56" s="300"/>
      <c r="W56" s="298"/>
      <c r="X56" s="698"/>
      <c r="Y56" s="81"/>
      <c r="Z56" s="81"/>
      <c r="AA56" s="81"/>
      <c r="AB56" s="81"/>
      <c r="AD56" s="81"/>
      <c r="AE56" s="81"/>
      <c r="AF56" s="220"/>
    </row>
    <row r="57" spans="2:32">
      <c r="B57" s="357" t="s">
        <v>1002</v>
      </c>
      <c r="D57" s="212" t="str">
        <f>"IND"&amp;RIGHT(H57,4)&amp;RIGHT(G57,3)&amp;"N"&amp;RIGHT(E57,1)</f>
        <v>INDWDPHELCN5</v>
      </c>
      <c r="E57" s="261" t="str">
        <f>"Industrial heating technology "&amp;$AJ$12&amp;" "&amp;RIGHT(H57,2)&amp;" - MVR utilizing waste heat - new 5"</f>
        <v>Industrial heating technology Wood products PH - MVR utilizing waste heat - new 5</v>
      </c>
      <c r="F57" s="224" t="s">
        <v>1149</v>
      </c>
      <c r="G57" s="173" t="s">
        <v>499</v>
      </c>
      <c r="H57" s="174" t="str">
        <f>$AI$14</f>
        <v>IWDPH</v>
      </c>
      <c r="I57" s="174"/>
      <c r="J57" s="224">
        <f t="shared" ref="J57" si="19">AD57</f>
        <v>2020</v>
      </c>
      <c r="K57" s="81">
        <v>2020</v>
      </c>
      <c r="L57" s="333">
        <v>1</v>
      </c>
      <c r="M57" s="199">
        <f ca="1">VLOOKUP($AD57,INDIRECT("'"&amp;$B57&amp;"'!"&amp;"$P$39:$AD$42"),3,FALSE)</f>
        <v>12.1</v>
      </c>
      <c r="N57" s="81">
        <f ca="1">VLOOKUP($AD57,INDIRECT("'"&amp;$B57&amp;"'!"&amp;"$P$39:$AD$42"),5,FALSE)</f>
        <v>25</v>
      </c>
      <c r="O57" s="723">
        <f ca="1">VLOOKUP($AD57,INDIRECT("'"&amp;$B57&amp;"'!"&amp;"$P$39:$AD$42"),6,FALSE)/1000</f>
        <v>2.6074999999999999</v>
      </c>
      <c r="P57" s="723">
        <f ca="1">VLOOKUP($AD57,INDIRECT("'"&amp;$B57&amp;"'!"&amp;"$P$39:$AD$42"),7,FALSE)/1000</f>
        <v>1.49E-2</v>
      </c>
      <c r="Q57" s="81">
        <f ca="1">VLOOKUP($AD57,INDIRECT("'"&amp;$B57&amp;"'!"&amp;"$P$39:$AD$42"),8,FALSE)</f>
        <v>5.2356944444444444</v>
      </c>
      <c r="R57" s="81">
        <v>3.1536000000000002E-2</v>
      </c>
      <c r="S57" s="199">
        <v>0.5</v>
      </c>
      <c r="T57" s="199">
        <f ca="1">HLOOKUP($T$2,INDIRECT("'"&amp;$B57&amp;"'!"&amp;"$P$6:$AC$19"),IF(H57=$AI$13,6,IF(H57=$AI$14,9,14)),FALSE)</f>
        <v>0</v>
      </c>
      <c r="U57" s="199">
        <f ca="1">1/M57</f>
        <v>8.2644628099173556E-2</v>
      </c>
      <c r="V57" s="199"/>
      <c r="W57" s="298"/>
      <c r="X57" s="698">
        <f ca="1">IF(VLOOKUP($AD57,INDIRECT("'"&amp;$B57&amp;"'!"&amp;"$P$39:$AD$42"),11,FALSE)="Cf. the utilized electricity",0,VLOOKUP($AD57,INDIRECT("'"&amp;$B57&amp;"'!"&amp;"$P$39:$AD$42"),11,FALSE))</f>
        <v>0</v>
      </c>
      <c r="Y57" s="81">
        <f ca="1">VLOOKUP($AD57,INDIRECT("'"&amp;$B57&amp;"'!"&amp;"$P$39:$AD$42"),12,FALSE)</f>
        <v>0</v>
      </c>
      <c r="Z57" s="81">
        <f ca="1">VLOOKUP($AD57,INDIRECT("'"&amp;$B57&amp;"'!"&amp;"$P$39:$AD$42"),13,FALSE)</f>
        <v>0</v>
      </c>
      <c r="AA57" s="81">
        <f ca="1">VLOOKUP($AD57,INDIRECT("'"&amp;$B57&amp;"'!"&amp;"$P$39:$AD$42"),14,FALSE)</f>
        <v>0</v>
      </c>
      <c r="AB57" s="81">
        <f ca="1">VLOOKUP($AD57,INDIRECT("'"&amp;$B57&amp;"'!"&amp;"$P$39:$AD$42"),15,FALSE)</f>
        <v>0</v>
      </c>
      <c r="AD57" s="81">
        <v>2020</v>
      </c>
      <c r="AE57" s="81"/>
      <c r="AF57" s="220"/>
    </row>
    <row r="58" spans="2:32">
      <c r="B58" s="357" t="s">
        <v>1002</v>
      </c>
      <c r="D58" s="212"/>
      <c r="E58" s="261"/>
      <c r="F58" s="224" t="s">
        <v>1149</v>
      </c>
      <c r="G58" s="173" t="str">
        <f>$AI$20</f>
        <v>INDWWH</v>
      </c>
      <c r="H58" s="174"/>
      <c r="I58" s="174"/>
      <c r="K58" s="81"/>
      <c r="L58" s="199"/>
      <c r="M58" s="199"/>
      <c r="N58" s="81"/>
      <c r="O58" s="723"/>
      <c r="P58" s="723"/>
      <c r="Q58" s="81"/>
      <c r="R58" s="200"/>
      <c r="S58" s="772"/>
      <c r="T58" s="772"/>
      <c r="U58" s="199">
        <f ca="1">1-U57</f>
        <v>0.9173553719008265</v>
      </c>
      <c r="V58" s="772"/>
      <c r="W58" s="298"/>
      <c r="X58" s="698"/>
      <c r="Y58" s="81"/>
      <c r="Z58" s="81"/>
      <c r="AA58" s="81"/>
      <c r="AB58" s="81"/>
      <c r="AD58" s="81"/>
      <c r="AE58" s="81"/>
      <c r="AF58" s="220"/>
    </row>
    <row r="59" spans="2:32">
      <c r="B59" s="357" t="s">
        <v>1002</v>
      </c>
      <c r="D59" s="212"/>
      <c r="E59" s="212"/>
      <c r="F59" s="224" t="s">
        <v>1149</v>
      </c>
      <c r="G59" s="173" t="s">
        <v>499</v>
      </c>
      <c r="H59" s="174" t="str">
        <f>$AI$14</f>
        <v>IWDPH</v>
      </c>
      <c r="I59" s="174"/>
      <c r="J59" s="224">
        <f t="shared" ref="J59" si="20">AD59</f>
        <v>2030</v>
      </c>
      <c r="K59" s="81"/>
      <c r="L59" s="333">
        <v>1</v>
      </c>
      <c r="M59" s="199">
        <f ca="1">VLOOKUP($AD59,INDIRECT("'"&amp;$B59&amp;"'!"&amp;"$P$39:$AD$42"),3,FALSE)</f>
        <v>12.7</v>
      </c>
      <c r="N59" s="81"/>
      <c r="O59" s="723">
        <f ca="1">VLOOKUP($AD59,INDIRECT("'"&amp;$B59&amp;"'!"&amp;"$P$39:$AD$42"),6,FALSE)/1000</f>
        <v>2.4585000000000004</v>
      </c>
      <c r="P59" s="723">
        <f ca="1">VLOOKUP($AD59,INDIRECT("'"&amp;$B59&amp;"'!"&amp;"$P$39:$AD$42"),7,FALSE)/1000</f>
        <v>1.49E-2</v>
      </c>
      <c r="Q59" s="81">
        <f ca="1">VLOOKUP($AD59,INDIRECT("'"&amp;$B59&amp;"'!"&amp;"$P$39:$AD$42"),8,FALSE)</f>
        <v>5.0701388888888888</v>
      </c>
      <c r="R59" s="300"/>
      <c r="S59" s="300"/>
      <c r="T59" s="300"/>
      <c r="U59" s="199">
        <f ca="1">1/M59</f>
        <v>7.874015748031496E-2</v>
      </c>
      <c r="V59" s="199"/>
      <c r="W59" s="298"/>
      <c r="X59" s="698">
        <f ca="1">IF(VLOOKUP($AD59,INDIRECT("'"&amp;$B59&amp;"'!"&amp;"$P$39:$AD$42"),11,FALSE)="Cf. the utilized electricity",0,VLOOKUP($AD59,INDIRECT("'"&amp;$B59&amp;"'!"&amp;"$P$39:$AD$42"),11,FALSE))</f>
        <v>0</v>
      </c>
      <c r="Y59" s="81">
        <f ca="1">VLOOKUP($AD59,INDIRECT("'"&amp;$B59&amp;"'!"&amp;"$P$39:$AD$42"),12,FALSE)</f>
        <v>0</v>
      </c>
      <c r="Z59" s="81">
        <f ca="1">VLOOKUP($AD59,INDIRECT("'"&amp;$B59&amp;"'!"&amp;"$P$39:$AD$42"),13,FALSE)</f>
        <v>0</v>
      </c>
      <c r="AA59" s="81">
        <f ca="1">VLOOKUP($AD59,INDIRECT("'"&amp;$B59&amp;"'!"&amp;"$P$39:$AD$42"),14,FALSE)</f>
        <v>0</v>
      </c>
      <c r="AB59" s="81">
        <f ca="1">VLOOKUP($AD59,INDIRECT("'"&amp;$B59&amp;"'!"&amp;"$P$39:$AD$42"),15,FALSE)</f>
        <v>0</v>
      </c>
      <c r="AD59" s="81">
        <v>2030</v>
      </c>
      <c r="AE59" s="81"/>
      <c r="AF59" s="220"/>
    </row>
    <row r="60" spans="2:32">
      <c r="B60" s="357" t="s">
        <v>1002</v>
      </c>
      <c r="D60" s="212"/>
      <c r="E60" s="212"/>
      <c r="F60" s="224" t="s">
        <v>1149</v>
      </c>
      <c r="G60" s="173" t="str">
        <f>$AI$20</f>
        <v>INDWWH</v>
      </c>
      <c r="H60" s="174"/>
      <c r="I60" s="174"/>
      <c r="K60" s="81"/>
      <c r="L60" s="199"/>
      <c r="M60" s="199"/>
      <c r="N60" s="81"/>
      <c r="O60" s="723"/>
      <c r="P60" s="723"/>
      <c r="Q60" s="81"/>
      <c r="R60" s="300"/>
      <c r="S60" s="300"/>
      <c r="T60" s="300"/>
      <c r="U60" s="199">
        <f ca="1">1-U59</f>
        <v>0.92125984251968507</v>
      </c>
      <c r="V60" s="300"/>
      <c r="W60" s="298"/>
      <c r="X60" s="698"/>
      <c r="Y60" s="81"/>
      <c r="Z60" s="81"/>
      <c r="AA60" s="81"/>
      <c r="AB60" s="81"/>
      <c r="AD60" s="81"/>
      <c r="AE60" s="81"/>
      <c r="AF60" s="220"/>
    </row>
    <row r="61" spans="2:32">
      <c r="B61" s="357" t="s">
        <v>1002</v>
      </c>
      <c r="D61" s="212"/>
      <c r="E61" s="212"/>
      <c r="F61" s="224" t="s">
        <v>1149</v>
      </c>
      <c r="G61" s="173" t="s">
        <v>499</v>
      </c>
      <c r="H61" s="174" t="str">
        <f>$AI$14</f>
        <v>IWDPH</v>
      </c>
      <c r="I61" s="174"/>
      <c r="J61" s="224">
        <f t="shared" ref="J61" si="21">AD61</f>
        <v>2050</v>
      </c>
      <c r="K61" s="81"/>
      <c r="L61" s="333">
        <v>1</v>
      </c>
      <c r="M61" s="199">
        <f ca="1">VLOOKUP($AD61,INDIRECT("'"&amp;$B61&amp;"'!"&amp;"$P$39:$AD$42"),3,FALSE)</f>
        <v>13.8</v>
      </c>
      <c r="N61" s="81"/>
      <c r="O61" s="723">
        <f ca="1">VLOOKUP($AD61,INDIRECT("'"&amp;$B61&amp;"'!"&amp;"$P$39:$AD$42"),6,FALSE)/1000</f>
        <v>2.3094999999999999</v>
      </c>
      <c r="P61" s="723">
        <f ca="1">VLOOKUP($AD61,INDIRECT("'"&amp;$B61&amp;"'!"&amp;"$P$39:$AD$42"),7,FALSE)/1000</f>
        <v>1.49E-2</v>
      </c>
      <c r="Q61" s="81">
        <f ca="1">VLOOKUP($AD61,INDIRECT("'"&amp;$B61&amp;"'!"&amp;"$P$39:$AD$42"),8,FALSE)</f>
        <v>4.8838888888888903</v>
      </c>
      <c r="R61" s="300"/>
      <c r="S61" s="300"/>
      <c r="T61" s="300"/>
      <c r="U61" s="199">
        <f ca="1">1/M61</f>
        <v>7.2463768115942032E-2</v>
      </c>
      <c r="V61" s="199"/>
      <c r="W61" s="298"/>
      <c r="X61" s="698">
        <f ca="1">IF(VLOOKUP($AD61,INDIRECT("'"&amp;$B61&amp;"'!"&amp;"$P$39:$AD$42"),11,FALSE)="Cf. the utilized electricity",0,VLOOKUP($AD61,INDIRECT("'"&amp;$B61&amp;"'!"&amp;"$P$39:$AD$42"),11,FALSE))</f>
        <v>0</v>
      </c>
      <c r="Y61" s="81">
        <f ca="1">VLOOKUP($AD61,INDIRECT("'"&amp;$B61&amp;"'!"&amp;"$P$39:$AD$42"),12,FALSE)</f>
        <v>0</v>
      </c>
      <c r="Z61" s="81">
        <f ca="1">VLOOKUP($AD61,INDIRECT("'"&amp;$B61&amp;"'!"&amp;"$P$39:$AD$42"),13,FALSE)</f>
        <v>0</v>
      </c>
      <c r="AA61" s="81">
        <f ca="1">VLOOKUP($AD61,INDIRECT("'"&amp;$B61&amp;"'!"&amp;"$P$39:$AD$42"),14,FALSE)</f>
        <v>0</v>
      </c>
      <c r="AB61" s="81">
        <f ca="1">VLOOKUP($AD61,INDIRECT("'"&amp;$B61&amp;"'!"&amp;"$P$39:$AD$42"),15,FALSE)</f>
        <v>0</v>
      </c>
      <c r="AD61" s="81">
        <v>2050</v>
      </c>
      <c r="AE61" s="81"/>
      <c r="AF61" s="220"/>
    </row>
    <row r="62" spans="2:32" ht="16" thickBot="1">
      <c r="B62" s="786" t="s">
        <v>1002</v>
      </c>
      <c r="C62" s="787"/>
      <c r="D62" s="732"/>
      <c r="E62" s="732"/>
      <c r="F62" s="224" t="s">
        <v>1149</v>
      </c>
      <c r="G62" s="788" t="str">
        <f>$AI$20</f>
        <v>INDWWH</v>
      </c>
      <c r="H62" s="788"/>
      <c r="I62" s="788"/>
      <c r="K62" s="789"/>
      <c r="L62" s="790"/>
      <c r="M62" s="790"/>
      <c r="N62" s="789"/>
      <c r="O62" s="791"/>
      <c r="P62" s="791"/>
      <c r="Q62" s="789"/>
      <c r="R62" s="792"/>
      <c r="S62" s="792"/>
      <c r="T62" s="792"/>
      <c r="U62" s="790">
        <f ca="1">1-U61</f>
        <v>0.92753623188405798</v>
      </c>
      <c r="V62" s="796"/>
      <c r="W62" s="793"/>
      <c r="X62" s="794"/>
      <c r="Y62" s="789"/>
      <c r="Z62" s="789"/>
      <c r="AA62" s="789"/>
      <c r="AB62" s="789"/>
      <c r="AC62" s="787"/>
      <c r="AD62" s="789"/>
      <c r="AE62" s="789"/>
      <c r="AF62" s="795"/>
    </row>
    <row r="63" spans="2:32">
      <c r="B63" s="357" t="s">
        <v>920</v>
      </c>
      <c r="D63" s="212" t="str">
        <f>"IND"&amp;RIGHT(H63,4)&amp;RIGHT(G63,3)&amp;"N"&amp;RIGHT(E63,1)</f>
        <v>INDWDPHWSTN1</v>
      </c>
      <c r="E63" s="261" t="str">
        <f>"Industrial heating technology "&amp;$AJ$12&amp;" "&amp;RIGHT(H63,2)&amp;" - Hotdisc - new 1"</f>
        <v>Industrial heating technology Wood products PH - Hotdisc - new 1</v>
      </c>
      <c r="F63" s="224" t="s">
        <v>1149</v>
      </c>
      <c r="G63" s="832" t="s">
        <v>1005</v>
      </c>
      <c r="H63" s="174" t="str">
        <f>$AI$13</f>
        <v>IWDPH</v>
      </c>
      <c r="I63" s="173" t="str">
        <f t="shared" ref="I63:I126" si="22">$AI$20</f>
        <v>INDWWH</v>
      </c>
      <c r="J63" s="224">
        <f>IF(AD63=2020,2011,AD63)</f>
        <v>2011</v>
      </c>
      <c r="K63" s="299">
        <v>2025</v>
      </c>
      <c r="L63" s="699">
        <f t="shared" ref="L63:L80" ca="1" si="23">VLOOKUP($AD63,INDIRECT("'"&amp;$B63&amp;"'!"&amp;"$P$39:$AD$42"),3,FALSE)</f>
        <v>0.9</v>
      </c>
      <c r="M63" s="699"/>
      <c r="N63" s="299">
        <f ca="1">VLOOKUP($AD63,INDIRECT("'"&amp;$B63&amp;"'!"&amp;"$P$39:$AD$42"),5,FALSE)</f>
        <v>20</v>
      </c>
      <c r="O63" s="725">
        <f t="shared" ref="O63:O80" ca="1" si="24">VLOOKUP($AD63,INDIRECT("'"&amp;$B63&amp;"'!"&amp;"$P$39:$AD$42"),6,FALSE)/1000</f>
        <v>3.7250000000000001</v>
      </c>
      <c r="P63" s="725">
        <f t="shared" ref="P63:P80" ca="1" si="25">VLOOKUP($AD63,INDIRECT("'"&amp;$B63&amp;"'!"&amp;"$P$39:$AD$42"),7,FALSE)/1000</f>
        <v>2.98E-3</v>
      </c>
      <c r="Q63" s="299">
        <f t="shared" ref="Q63:Q80" ca="1" si="26">VLOOKUP($AD63,INDIRECT("'"&amp;$B63&amp;"'!"&amp;"$P$39:$AD$42"),8,FALSE)</f>
        <v>2.4315972222222224</v>
      </c>
      <c r="R63" s="299">
        <v>3.1536000000000002E-2</v>
      </c>
      <c r="S63" s="699">
        <v>0.5</v>
      </c>
      <c r="T63" s="699">
        <f ca="1">HLOOKUP($S$2,INDIRECT("'"&amp;$B63&amp;"'!"&amp;"$P$6:$AC$19"),IF(H63=$AI$13,6,IF(H63=$AI$14,9,14)),FALSE)</f>
        <v>0</v>
      </c>
      <c r="U63" s="772"/>
      <c r="V63" s="199">
        <f ca="1">IF(IF(RIGHT(H63,2)="PH",(1-L63)+$W$2,IF(RIGHT(H63,2)="HT",(1-L63)+$W$1,IF(RIGHT(H63,2)="SH",(1-L63)+$W$3,"")))&gt;0,IF(RIGHT(H63,2)="PH",(1-L63)+$W$2,IF(RIGHT(H63,2)="HT",(1-L63)+$W$1,IF(RIGHT(H63,2)="SH",(1-L63)+$W$3,""))),0)</f>
        <v>0.3</v>
      </c>
      <c r="W63" s="298"/>
      <c r="X63" s="785">
        <f t="shared" ref="X63:X94" ca="1" si="27">IF(VLOOKUP($AD63,INDIRECT("'"&amp;$B63&amp;"'!"&amp;"$P$39:$AD$42"),11,FALSE)="Cf. the utilized electricity",0,VLOOKUP($AD63,INDIRECT("'"&amp;$B63&amp;"'!"&amp;"$P$39:$AD$42"),11,FALSE))</f>
        <v>8.3000000000000007</v>
      </c>
      <c r="Y63" s="299">
        <f t="shared" ref="Y63:Y80" ca="1" si="28">VLOOKUP($AD63,INDIRECT("'"&amp;$B63&amp;"'!"&amp;"$P$39:$AD$42"),12,FALSE)</f>
        <v>56</v>
      </c>
      <c r="Z63" s="299">
        <f t="shared" ref="Z63:Z80" ca="1" si="29">VLOOKUP($AD63,INDIRECT("'"&amp;$B63&amp;"'!"&amp;"$P$39:$AD$42"),13,FALSE)</f>
        <v>0.1</v>
      </c>
      <c r="AA63" s="299">
        <f t="shared" ref="AA63:AA80" ca="1" si="30">VLOOKUP($AD63,INDIRECT("'"&amp;$B63&amp;"'!"&amp;"$P$39:$AD$42"),14,FALSE)</f>
        <v>1</v>
      </c>
      <c r="AB63" s="299">
        <f t="shared" ref="AB63:AB80" ca="1" si="31">VLOOKUP($AD63,INDIRECT("'"&amp;$B63&amp;"'!"&amp;"$P$39:$AD$42"),15,FALSE)</f>
        <v>0.28999999999999998</v>
      </c>
      <c r="AD63" s="299">
        <v>2020</v>
      </c>
      <c r="AE63" s="299"/>
      <c r="AF63" s="220"/>
    </row>
    <row r="64" spans="2:32">
      <c r="B64" s="357" t="s">
        <v>920</v>
      </c>
      <c r="D64" s="212"/>
      <c r="E64" s="212"/>
      <c r="F64" s="224" t="s">
        <v>1149</v>
      </c>
      <c r="H64" s="174"/>
      <c r="I64" s="173" t="str">
        <f t="shared" si="22"/>
        <v>INDWWH</v>
      </c>
      <c r="J64" s="224">
        <f t="shared" ref="J64:J127" si="32">IF(AD64=2020,2011,AD64)</f>
        <v>2030</v>
      </c>
      <c r="K64" s="81"/>
      <c r="L64" s="199">
        <f t="shared" ca="1" si="23"/>
        <v>0.91</v>
      </c>
      <c r="M64" s="199"/>
      <c r="N64" s="81"/>
      <c r="O64" s="723">
        <f t="shared" ca="1" si="24"/>
        <v>3.4642500000000003</v>
      </c>
      <c r="P64" s="723">
        <f t="shared" ca="1" si="25"/>
        <v>2.98E-3</v>
      </c>
      <c r="Q64" s="81">
        <f t="shared" ca="1" si="26"/>
        <v>2.4729861111111116</v>
      </c>
      <c r="R64" s="300"/>
      <c r="S64" s="300"/>
      <c r="T64" s="300"/>
      <c r="U64" s="300"/>
      <c r="V64" s="199">
        <f ca="1">IF(IF(RIGHT(H63,2)="PH",(1-L64)+$W$2,IF(RIGHT(H63,2)="HT",(1-L64)+$W$1,IF(RIGHT(H63,2)="SH",(1-L64)+$W$3,"")))&gt;0,IF(RIGHT(H63,2)="PH",(1-L64)+$W$2,IF(RIGHT(H63,2)="HT",(1-L64)+$W$1,IF(RIGHT(H63,2)="SH",(1-L64)+$W$3,""))),0)</f>
        <v>0.28999999999999998</v>
      </c>
      <c r="W64" s="298"/>
      <c r="X64" s="698">
        <f t="shared" ca="1" si="27"/>
        <v>8.3000000000000007</v>
      </c>
      <c r="Y64" s="81">
        <f t="shared" ca="1" si="28"/>
        <v>45</v>
      </c>
      <c r="Z64" s="81">
        <f t="shared" ca="1" si="29"/>
        <v>0.1</v>
      </c>
      <c r="AA64" s="81">
        <f t="shared" ca="1" si="30"/>
        <v>1</v>
      </c>
      <c r="AB64" s="81">
        <f t="shared" ca="1" si="31"/>
        <v>0.28999999999999998</v>
      </c>
      <c r="AD64" s="81">
        <v>2030</v>
      </c>
      <c r="AE64" s="81"/>
      <c r="AF64" s="220"/>
    </row>
    <row r="65" spans="2:32">
      <c r="B65" s="357" t="s">
        <v>920</v>
      </c>
      <c r="D65" s="212"/>
      <c r="E65" s="212"/>
      <c r="F65" s="224" t="s">
        <v>1149</v>
      </c>
      <c r="H65" s="174"/>
      <c r="I65" s="173" t="str">
        <f t="shared" si="22"/>
        <v>INDWWH</v>
      </c>
      <c r="J65" s="224">
        <f t="shared" si="32"/>
        <v>2050</v>
      </c>
      <c r="K65" s="81"/>
      <c r="L65" s="199">
        <f t="shared" ca="1" si="23"/>
        <v>0.93</v>
      </c>
      <c r="M65" s="199"/>
      <c r="N65" s="81"/>
      <c r="O65" s="723">
        <f t="shared" ca="1" si="24"/>
        <v>3.3525</v>
      </c>
      <c r="P65" s="723">
        <f t="shared" ca="1" si="25"/>
        <v>2.98E-3</v>
      </c>
      <c r="Q65" s="81">
        <f t="shared" ca="1" si="26"/>
        <v>2.4936805555555561</v>
      </c>
      <c r="R65" s="300"/>
      <c r="S65" s="300"/>
      <c r="T65" s="300"/>
      <c r="U65" s="300"/>
      <c r="V65" s="199">
        <f ca="1">IF(IF(RIGHT(H63,2)="PH",(1-L65)+$W$2,IF(RIGHT(H63,2)="HT",(1-L65)+$W$1,IF(RIGHT(H63,2)="SH",(1-L65)+$W$3,"")))&gt;0,IF(RIGHT(H63,2)="PH",(1-L65)+$W$2,IF(RIGHT(H63,2)="HT",(1-L65)+$W$1,IF(RIGHT(H63,2)="SH",(1-L65)+$W$3,""))),0)</f>
        <v>0.26999999999999996</v>
      </c>
      <c r="W65" s="298"/>
      <c r="X65" s="698">
        <f t="shared" ca="1" si="27"/>
        <v>8.3000000000000007</v>
      </c>
      <c r="Y65" s="81">
        <f t="shared" ca="1" si="28"/>
        <v>11</v>
      </c>
      <c r="Z65" s="81">
        <f t="shared" ca="1" si="29"/>
        <v>0.1</v>
      </c>
      <c r="AA65" s="81">
        <f t="shared" ca="1" si="30"/>
        <v>1</v>
      </c>
      <c r="AB65" s="81">
        <f t="shared" ca="1" si="31"/>
        <v>0.28999999999999998</v>
      </c>
      <c r="AD65" s="81">
        <v>2050</v>
      </c>
      <c r="AE65" s="81"/>
      <c r="AF65" s="220"/>
    </row>
    <row r="66" spans="2:32">
      <c r="B66" s="357" t="s">
        <v>922</v>
      </c>
      <c r="D66" s="212" t="str">
        <f>"IND"&amp;RIGHT(H66,4)&amp;RIGHT(G66,3)&amp;"N"&amp;RIGHT(E66,1)</f>
        <v>INDWDPHELCN6</v>
      </c>
      <c r="E66" s="261" t="str">
        <f>"Industrial heating technology "&amp;$AJ$12&amp;" "&amp;RIGHT(H66,2)&amp;" - Dielectric heating - new 6"</f>
        <v>Industrial heating technology Wood products PH - Dielectric heating - new 6</v>
      </c>
      <c r="F66" s="224" t="s">
        <v>1149</v>
      </c>
      <c r="G66" s="173" t="s">
        <v>499</v>
      </c>
      <c r="H66" s="174" t="str">
        <f>$AI$14</f>
        <v>IWDPH</v>
      </c>
      <c r="I66" s="173" t="str">
        <f t="shared" si="22"/>
        <v>INDWWH</v>
      </c>
      <c r="J66" s="224">
        <f t="shared" si="32"/>
        <v>2011</v>
      </c>
      <c r="K66" s="299">
        <v>2020</v>
      </c>
      <c r="L66" s="199">
        <f t="shared" ca="1" si="23"/>
        <v>0.95</v>
      </c>
      <c r="M66" s="199"/>
      <c r="N66" s="81">
        <f ca="1">VLOOKUP($AD66,INDIRECT("'"&amp;$B66&amp;"'!"&amp;"$P$39:$AD$42"),5,FALSE)</f>
        <v>30</v>
      </c>
      <c r="O66" s="723">
        <f t="shared" ca="1" si="24"/>
        <v>20.115000000000002</v>
      </c>
      <c r="P66" s="723">
        <f t="shared" ca="1" si="25"/>
        <v>0</v>
      </c>
      <c r="Q66" s="81">
        <f t="shared" ca="1" si="26"/>
        <v>94.828152777777774</v>
      </c>
      <c r="R66" s="81">
        <v>3.1536000000000002E-2</v>
      </c>
      <c r="S66" s="199">
        <v>0.5</v>
      </c>
      <c r="T66" s="199">
        <f ca="1">HLOOKUP($S$2,INDIRECT("'"&amp;$B66&amp;"'!"&amp;"$P$6:$AC$19"),IF(H66=$AI$13,6,IF(H66=$AI$14,9,14)),FALSE)</f>
        <v>0</v>
      </c>
      <c r="U66" s="772"/>
      <c r="V66" s="199">
        <f t="shared" ref="V66" ca="1" si="33">IF(IF(RIGHT(H66,2)="PH",(1-L66)+$W$2,IF(RIGHT(H66,2)="HT",(1-L66)+$W$1,IF(RIGHT(H66,2)="SH",(1-L66)+$W$3,"")))&gt;0,IF(RIGHT(H66,2)="PH",(1-L66)+$W$2,IF(RIGHT(H66,2)="HT",(1-L66)+$W$1,IF(RIGHT(H66,2)="SH",(1-L66)+$W$3,""))),0)</f>
        <v>0.25000000000000006</v>
      </c>
      <c r="W66" s="298"/>
      <c r="X66" s="698">
        <f t="shared" ca="1" si="27"/>
        <v>0</v>
      </c>
      <c r="Y66" s="81">
        <f t="shared" ca="1" si="28"/>
        <v>0</v>
      </c>
      <c r="Z66" s="81">
        <f t="shared" ca="1" si="29"/>
        <v>0</v>
      </c>
      <c r="AA66" s="81">
        <f t="shared" ca="1" si="30"/>
        <v>0</v>
      </c>
      <c r="AB66" s="81">
        <f t="shared" ca="1" si="31"/>
        <v>0</v>
      </c>
      <c r="AD66" s="81">
        <v>2020</v>
      </c>
      <c r="AE66" s="81"/>
      <c r="AF66" s="220"/>
    </row>
    <row r="67" spans="2:32">
      <c r="B67" s="357" t="s">
        <v>922</v>
      </c>
      <c r="D67" s="212"/>
      <c r="E67" s="212"/>
      <c r="F67" s="224" t="s">
        <v>1149</v>
      </c>
      <c r="H67" s="174"/>
      <c r="I67" s="173" t="str">
        <f t="shared" si="22"/>
        <v>INDWWH</v>
      </c>
      <c r="J67" s="224">
        <f t="shared" si="32"/>
        <v>2030</v>
      </c>
      <c r="K67" s="81"/>
      <c r="L67" s="199">
        <f t="shared" ca="1" si="23"/>
        <v>0.95</v>
      </c>
      <c r="M67" s="199"/>
      <c r="N67" s="81"/>
      <c r="O67" s="723">
        <f t="shared" ca="1" si="24"/>
        <v>19.511550000000003</v>
      </c>
      <c r="P67" s="723">
        <f t="shared" ca="1" si="25"/>
        <v>0</v>
      </c>
      <c r="Q67" s="81">
        <f t="shared" ca="1" si="26"/>
        <v>94.832291666666663</v>
      </c>
      <c r="R67" s="300"/>
      <c r="S67" s="300"/>
      <c r="T67" s="300"/>
      <c r="U67" s="300"/>
      <c r="V67" s="199">
        <f t="shared" ref="V67" ca="1" si="34">IF(IF(RIGHT(H66,2)="PH",(1-L67)+$W$2,IF(RIGHT(H66,2)="HT",(1-L67)+$W$1,IF(RIGHT(H66,2)="SH",(1-L67)+$W$3,"")))&gt;0,IF(RIGHT(H66,2)="PH",(1-L67)+$W$2,IF(RIGHT(H66,2)="HT",(1-L67)+$W$1,IF(RIGHT(H66,2)="SH",(1-L67)+$W$3,""))),0)</f>
        <v>0.25000000000000006</v>
      </c>
      <c r="W67" s="298"/>
      <c r="X67" s="698">
        <f t="shared" ca="1" si="27"/>
        <v>0</v>
      </c>
      <c r="Y67" s="81">
        <f t="shared" ca="1" si="28"/>
        <v>0</v>
      </c>
      <c r="Z67" s="81">
        <f t="shared" ca="1" si="29"/>
        <v>0</v>
      </c>
      <c r="AA67" s="81">
        <f t="shared" ca="1" si="30"/>
        <v>0</v>
      </c>
      <c r="AB67" s="81">
        <f t="shared" ca="1" si="31"/>
        <v>0</v>
      </c>
      <c r="AD67" s="81">
        <v>2030</v>
      </c>
      <c r="AE67" s="81"/>
      <c r="AF67" s="220"/>
    </row>
    <row r="68" spans="2:32">
      <c r="B68" s="357" t="s">
        <v>922</v>
      </c>
      <c r="D68" s="212"/>
      <c r="E68" s="212"/>
      <c r="F68" s="224" t="s">
        <v>1149</v>
      </c>
      <c r="H68" s="174"/>
      <c r="I68" s="173" t="str">
        <f t="shared" si="22"/>
        <v>INDWWH</v>
      </c>
      <c r="J68" s="224">
        <f t="shared" si="32"/>
        <v>2050</v>
      </c>
      <c r="K68" s="81"/>
      <c r="L68" s="199">
        <f t="shared" ca="1" si="23"/>
        <v>0.95</v>
      </c>
      <c r="M68" s="199"/>
      <c r="N68" s="81"/>
      <c r="O68" s="723">
        <f t="shared" ca="1" si="24"/>
        <v>18.1035</v>
      </c>
      <c r="P68" s="723">
        <f t="shared" ca="1" si="25"/>
        <v>0</v>
      </c>
      <c r="Q68" s="81">
        <f t="shared" ca="1" si="26"/>
        <v>94.834361111111107</v>
      </c>
      <c r="R68" s="300"/>
      <c r="S68" s="300"/>
      <c r="T68" s="300"/>
      <c r="U68" s="300"/>
      <c r="V68" s="199">
        <f t="shared" ref="V68" ca="1" si="35">IF(IF(RIGHT(H66,2)="PH",(1-L68)+$W$2,IF(RIGHT(H66,2)="HT",(1-L68)+$W$1,IF(RIGHT(H66,2)="SH",(1-L68)+$W$3,"")))&gt;0,IF(RIGHT(H66,2)="PH",(1-L68)+$W$2,IF(RIGHT(H66,2)="HT",(1-L68)+$W$1,IF(RIGHT(H66,2)="SH",(1-L68)+$W$3,""))),0)</f>
        <v>0.25000000000000006</v>
      </c>
      <c r="W68" s="298"/>
      <c r="X68" s="698">
        <f t="shared" ca="1" si="27"/>
        <v>0</v>
      </c>
      <c r="Y68" s="81">
        <f t="shared" ca="1" si="28"/>
        <v>0</v>
      </c>
      <c r="Z68" s="81">
        <f t="shared" ca="1" si="29"/>
        <v>0</v>
      </c>
      <c r="AA68" s="81">
        <f t="shared" ca="1" si="30"/>
        <v>0</v>
      </c>
      <c r="AB68" s="81">
        <f t="shared" ca="1" si="31"/>
        <v>0</v>
      </c>
      <c r="AD68" s="81">
        <v>2050</v>
      </c>
      <c r="AE68" s="81"/>
      <c r="AF68" s="220"/>
    </row>
    <row r="69" spans="2:32">
      <c r="B69" s="357" t="s">
        <v>1006</v>
      </c>
      <c r="D69" s="212" t="str">
        <f>"IND"&amp;RIGHT(H69,4)&amp;RIGHT(G69,3)&amp;"N"&amp;RIGHT(E69,1)</f>
        <v>INDWDPHELCN7</v>
      </c>
      <c r="E69" s="261" t="str">
        <f>"Industrial heating technology "&amp;$AJ$12&amp;" "&amp;RIGHT(H69,2)&amp;" - Infrared heating - new 7"</f>
        <v>Industrial heating technology Wood products PH - Infrared heating - new 7</v>
      </c>
      <c r="F69" s="224" t="s">
        <v>1149</v>
      </c>
      <c r="G69" s="173" t="s">
        <v>499</v>
      </c>
      <c r="H69" s="174" t="str">
        <f>$AI$14</f>
        <v>IWDPH</v>
      </c>
      <c r="I69" s="173" t="str">
        <f t="shared" si="22"/>
        <v>INDWWH</v>
      </c>
      <c r="J69" s="224">
        <f t="shared" si="32"/>
        <v>2011</v>
      </c>
      <c r="K69" s="299">
        <v>2020</v>
      </c>
      <c r="L69" s="199">
        <f t="shared" ca="1" si="23"/>
        <v>0.96</v>
      </c>
      <c r="M69" s="199"/>
      <c r="N69" s="81">
        <f ca="1">VLOOKUP($AD69,INDIRECT("'"&amp;$B69&amp;"'!"&amp;"$P$39:$AD$42"),5,FALSE)</f>
        <v>30</v>
      </c>
      <c r="O69" s="723">
        <f t="shared" ca="1" si="24"/>
        <v>2.6074999999999999</v>
      </c>
      <c r="P69" s="723">
        <f t="shared" ca="1" si="25"/>
        <v>0</v>
      </c>
      <c r="Q69" s="81">
        <f t="shared" ca="1" si="26"/>
        <v>242.27606944444443</v>
      </c>
      <c r="R69" s="81">
        <v>3.1536000000000002E-2</v>
      </c>
      <c r="S69" s="199">
        <v>0.5</v>
      </c>
      <c r="T69" s="199">
        <f ca="1">HLOOKUP($S$2,INDIRECT("'"&amp;$B69&amp;"'!"&amp;"$P$6:$AC$19"),IF(H69=$AI$13,6,IF(H69=$AI$14,9,14)),FALSE)</f>
        <v>0</v>
      </c>
      <c r="U69" s="772"/>
      <c r="V69" s="199">
        <f t="shared" ref="V69" ca="1" si="36">IF(IF(RIGHT(H69,2)="PH",(1-L69)+$W$2,IF(RIGHT(H69,2)="HT",(1-L69)+$W$1,IF(RIGHT(H69,2)="SH",(1-L69)+$W$3,"")))&gt;0,IF(RIGHT(H69,2)="PH",(1-L69)+$W$2,IF(RIGHT(H69,2)="HT",(1-L69)+$W$1,IF(RIGHT(H69,2)="SH",(1-L69)+$W$3,""))),0)</f>
        <v>0.24000000000000005</v>
      </c>
      <c r="W69" s="298"/>
      <c r="X69" s="698">
        <f t="shared" ca="1" si="27"/>
        <v>0</v>
      </c>
      <c r="Y69" s="81">
        <f t="shared" ca="1" si="28"/>
        <v>0</v>
      </c>
      <c r="Z69" s="81">
        <f t="shared" ca="1" si="29"/>
        <v>0</v>
      </c>
      <c r="AA69" s="81">
        <f t="shared" ca="1" si="30"/>
        <v>0</v>
      </c>
      <c r="AB69" s="81">
        <f t="shared" ca="1" si="31"/>
        <v>0</v>
      </c>
      <c r="AD69" s="81">
        <v>2020</v>
      </c>
      <c r="AE69" s="81"/>
      <c r="AF69" s="220"/>
    </row>
    <row r="70" spans="2:32">
      <c r="B70" s="357" t="s">
        <v>1006</v>
      </c>
      <c r="D70" s="212"/>
      <c r="E70" s="212"/>
      <c r="F70" s="224" t="s">
        <v>1149</v>
      </c>
      <c r="H70" s="174"/>
      <c r="I70" s="173" t="str">
        <f t="shared" si="22"/>
        <v>INDWWH</v>
      </c>
      <c r="J70" s="224">
        <f t="shared" si="32"/>
        <v>2030</v>
      </c>
      <c r="K70" s="81"/>
      <c r="L70" s="199">
        <f t="shared" ca="1" si="23"/>
        <v>0.96</v>
      </c>
      <c r="M70" s="199"/>
      <c r="N70" s="81"/>
      <c r="O70" s="723">
        <f t="shared" ca="1" si="24"/>
        <v>2.5330000000000004</v>
      </c>
      <c r="P70" s="723">
        <f t="shared" ca="1" si="25"/>
        <v>0</v>
      </c>
      <c r="Q70" s="81">
        <f t="shared" ca="1" si="26"/>
        <v>242.28020833333332</v>
      </c>
      <c r="R70" s="300"/>
      <c r="S70" s="300"/>
      <c r="T70" s="300"/>
      <c r="U70" s="300"/>
      <c r="V70" s="199">
        <f t="shared" ref="V70" ca="1" si="37">IF(IF(RIGHT(H69,2)="PH",(1-L70)+$W$2,IF(RIGHT(H69,2)="HT",(1-L70)+$W$1,IF(RIGHT(H69,2)="SH",(1-L70)+$W$3,"")))&gt;0,IF(RIGHT(H69,2)="PH",(1-L70)+$W$2,IF(RIGHT(H69,2)="HT",(1-L70)+$W$1,IF(RIGHT(H69,2)="SH",(1-L70)+$W$3,""))),0)</f>
        <v>0.24000000000000005</v>
      </c>
      <c r="W70" s="298"/>
      <c r="X70" s="698">
        <f t="shared" ca="1" si="27"/>
        <v>0</v>
      </c>
      <c r="Y70" s="81">
        <f t="shared" ca="1" si="28"/>
        <v>0</v>
      </c>
      <c r="Z70" s="81">
        <f t="shared" ca="1" si="29"/>
        <v>0</v>
      </c>
      <c r="AA70" s="81">
        <f t="shared" ca="1" si="30"/>
        <v>0</v>
      </c>
      <c r="AB70" s="81">
        <f t="shared" ca="1" si="31"/>
        <v>0</v>
      </c>
      <c r="AD70" s="81">
        <v>2030</v>
      </c>
      <c r="AE70" s="81"/>
      <c r="AF70" s="220"/>
    </row>
    <row r="71" spans="2:32">
      <c r="B71" s="357" t="s">
        <v>1006</v>
      </c>
      <c r="D71" s="212"/>
      <c r="E71" s="212"/>
      <c r="F71" s="224" t="s">
        <v>1149</v>
      </c>
      <c r="H71" s="174"/>
      <c r="I71" s="174" t="str">
        <f t="shared" si="22"/>
        <v>INDWWH</v>
      </c>
      <c r="J71" s="224">
        <f t="shared" si="32"/>
        <v>2050</v>
      </c>
      <c r="K71" s="81"/>
      <c r="L71" s="199">
        <f t="shared" ca="1" si="23"/>
        <v>0.96</v>
      </c>
      <c r="M71" s="199"/>
      <c r="N71" s="81"/>
      <c r="O71" s="723">
        <f t="shared" ca="1" si="24"/>
        <v>2.3467500000000001</v>
      </c>
      <c r="P71" s="723">
        <f t="shared" ca="1" si="25"/>
        <v>0</v>
      </c>
      <c r="Q71" s="81">
        <f t="shared" ca="1" si="26"/>
        <v>242.28227777777775</v>
      </c>
      <c r="R71" s="300"/>
      <c r="S71" s="300"/>
      <c r="T71" s="300"/>
      <c r="U71" s="300"/>
      <c r="V71" s="199">
        <f t="shared" ref="V71" ca="1" si="38">IF(IF(RIGHT(H69,2)="PH",(1-L71)+$W$2,IF(RIGHT(H69,2)="HT",(1-L71)+$W$1,IF(RIGHT(H69,2)="SH",(1-L71)+$W$3,"")))&gt;0,IF(RIGHT(H69,2)="PH",(1-L71)+$W$2,IF(RIGHT(H69,2)="HT",(1-L71)+$W$1,IF(RIGHT(H69,2)="SH",(1-L71)+$W$3,""))),0)</f>
        <v>0.24000000000000005</v>
      </c>
      <c r="W71" s="298"/>
      <c r="X71" s="698">
        <f t="shared" ca="1" si="27"/>
        <v>0</v>
      </c>
      <c r="Y71" s="81">
        <f t="shared" ca="1" si="28"/>
        <v>0</v>
      </c>
      <c r="Z71" s="81">
        <f t="shared" ca="1" si="29"/>
        <v>0</v>
      </c>
      <c r="AA71" s="81">
        <f t="shared" ca="1" si="30"/>
        <v>0</v>
      </c>
      <c r="AB71" s="81">
        <f t="shared" ca="1" si="31"/>
        <v>0</v>
      </c>
      <c r="AD71" s="81">
        <v>2050</v>
      </c>
      <c r="AE71" s="81"/>
      <c r="AF71" s="220"/>
    </row>
    <row r="72" spans="2:32">
      <c r="B72" s="357" t="s">
        <v>1007</v>
      </c>
      <c r="D72" s="212" t="str">
        <f>"IND"&amp;RIGHT(H72,4)&amp;RIGHT(G72,3)&amp;"N"&amp;RIGHT(E72,1)</f>
        <v>INDWDPHELCN8</v>
      </c>
      <c r="E72" s="261" t="str">
        <f>"Industrial heating technology "&amp;$AJ$12&amp;" "&amp;RIGHT(H72,2)&amp;" - Electric boiler (Steam) - new 8"</f>
        <v>Industrial heating technology Wood products PH - Electric boiler (Steam) - new 8</v>
      </c>
      <c r="F72" s="224" t="s">
        <v>1149</v>
      </c>
      <c r="G72" s="173" t="s">
        <v>499</v>
      </c>
      <c r="H72" s="174" t="str">
        <f>$AI$13</f>
        <v>IWDPH</v>
      </c>
      <c r="I72" s="174" t="str">
        <f t="shared" si="22"/>
        <v>INDWWH</v>
      </c>
      <c r="J72" s="224">
        <f t="shared" si="32"/>
        <v>2011</v>
      </c>
      <c r="K72" s="299">
        <v>2020</v>
      </c>
      <c r="L72" s="199">
        <f t="shared" ca="1" si="23"/>
        <v>0.99</v>
      </c>
      <c r="M72" s="199"/>
      <c r="N72" s="81">
        <f ca="1">VLOOKUP($AD72,INDIRECT("'"&amp;$B72&amp;"'!"&amp;"$P$39:$AD$42"),5,FALSE)</f>
        <v>25</v>
      </c>
      <c r="O72" s="723">
        <f t="shared" ca="1" si="24"/>
        <v>0.59599999999999997</v>
      </c>
      <c r="P72" s="723">
        <f t="shared" ca="1" si="25"/>
        <v>7.9714999999999994E-3</v>
      </c>
      <c r="Q72" s="81">
        <f t="shared" ca="1" si="26"/>
        <v>1.7900694444444445</v>
      </c>
      <c r="R72" s="81">
        <v>3.1536000000000002E-2</v>
      </c>
      <c r="S72" s="199">
        <v>0.5</v>
      </c>
      <c r="T72" s="199">
        <f ca="1">HLOOKUP($T$2,INDIRECT("'"&amp;$B72&amp;"'!"&amp;"$P$6:$AC$19"),IF(H72=$AI$13,6,IF(H72=$AI$14,9,14)),FALSE)</f>
        <v>1</v>
      </c>
      <c r="U72" s="772"/>
      <c r="V72" s="199">
        <f t="shared" ref="V72" ca="1" si="39">IF(IF(RIGHT(H72,2)="PH",(1-L72)+$W$2,IF(RIGHT(H72,2)="HT",(1-L72)+$W$1,IF(RIGHT(H72,2)="SH",(1-L72)+$W$3,"")))&gt;0,IF(RIGHT(H72,2)="PH",(1-L72)+$W$2,IF(RIGHT(H72,2)="HT",(1-L72)+$W$1,IF(RIGHT(H72,2)="SH",(1-L72)+$W$3,""))),0)</f>
        <v>0.21000000000000002</v>
      </c>
      <c r="W72" s="298"/>
      <c r="X72" s="698">
        <f t="shared" ca="1" si="27"/>
        <v>0</v>
      </c>
      <c r="Y72" s="81">
        <f t="shared" ca="1" si="28"/>
        <v>0</v>
      </c>
      <c r="Z72" s="81">
        <f t="shared" ca="1" si="29"/>
        <v>0</v>
      </c>
      <c r="AA72" s="81">
        <f t="shared" ca="1" si="30"/>
        <v>0</v>
      </c>
      <c r="AB72" s="81">
        <f t="shared" ca="1" si="31"/>
        <v>0</v>
      </c>
      <c r="AD72" s="81">
        <v>2020</v>
      </c>
      <c r="AE72" s="81"/>
      <c r="AF72" s="220"/>
    </row>
    <row r="73" spans="2:32">
      <c r="B73" s="357" t="s">
        <v>1007</v>
      </c>
      <c r="D73" s="212"/>
      <c r="E73" s="212"/>
      <c r="F73" s="224" t="s">
        <v>1149</v>
      </c>
      <c r="H73" s="174"/>
      <c r="I73" s="174" t="str">
        <f t="shared" si="22"/>
        <v>INDWWH</v>
      </c>
      <c r="J73" s="224">
        <f t="shared" si="32"/>
        <v>2030</v>
      </c>
      <c r="K73" s="81"/>
      <c r="L73" s="199">
        <f t="shared" ca="1" si="23"/>
        <v>0.99</v>
      </c>
      <c r="M73" s="199"/>
      <c r="N73" s="81"/>
      <c r="O73" s="723">
        <f t="shared" ca="1" si="24"/>
        <v>0.52150000000000007</v>
      </c>
      <c r="P73" s="723">
        <f t="shared" ca="1" si="25"/>
        <v>7.5989999999999999E-3</v>
      </c>
      <c r="Q73" s="81">
        <f t="shared" ca="1" si="26"/>
        <v>1.8107638888888888</v>
      </c>
      <c r="R73" s="300"/>
      <c r="S73" s="300"/>
      <c r="T73" s="300"/>
      <c r="U73" s="300"/>
      <c r="V73" s="199">
        <f t="shared" ref="V73" ca="1" si="40">IF(IF(RIGHT(H72,2)="PH",(1-L73)+$W$2,IF(RIGHT(H72,2)="HT",(1-L73)+$W$1,IF(RIGHT(H72,2)="SH",(1-L73)+$W$3,"")))&gt;0,IF(RIGHT(H72,2)="PH",(1-L73)+$W$2,IF(RIGHT(H72,2)="HT",(1-L73)+$W$1,IF(RIGHT(H72,2)="SH",(1-L73)+$W$3,""))),0)</f>
        <v>0.21000000000000002</v>
      </c>
      <c r="W73" s="298"/>
      <c r="X73" s="698">
        <f t="shared" ca="1" si="27"/>
        <v>0</v>
      </c>
      <c r="Y73" s="81">
        <f t="shared" ca="1" si="28"/>
        <v>0</v>
      </c>
      <c r="Z73" s="81">
        <f t="shared" ca="1" si="29"/>
        <v>0</v>
      </c>
      <c r="AA73" s="81">
        <f t="shared" ca="1" si="30"/>
        <v>0</v>
      </c>
      <c r="AB73" s="81">
        <f t="shared" ca="1" si="31"/>
        <v>0</v>
      </c>
      <c r="AD73" s="81">
        <v>2030</v>
      </c>
      <c r="AE73" s="81"/>
      <c r="AF73" s="220"/>
    </row>
    <row r="74" spans="2:32">
      <c r="B74" s="357" t="s">
        <v>1007</v>
      </c>
      <c r="D74" s="212"/>
      <c r="E74" s="212"/>
      <c r="F74" s="224" t="s">
        <v>1149</v>
      </c>
      <c r="H74" s="174"/>
      <c r="I74" s="174" t="str">
        <f t="shared" si="22"/>
        <v>INDWWH</v>
      </c>
      <c r="J74" s="224">
        <f t="shared" si="32"/>
        <v>2050</v>
      </c>
      <c r="K74" s="81"/>
      <c r="L74" s="199">
        <f t="shared" ca="1" si="23"/>
        <v>0.99</v>
      </c>
      <c r="M74" s="199"/>
      <c r="N74" s="81"/>
      <c r="O74" s="723">
        <f t="shared" ca="1" si="24"/>
        <v>0.52150000000000007</v>
      </c>
      <c r="P74" s="723">
        <f t="shared" ca="1" si="25"/>
        <v>6.8539999999999998E-3</v>
      </c>
      <c r="Q74" s="81">
        <f t="shared" ca="1" si="26"/>
        <v>1.6141666666666665</v>
      </c>
      <c r="R74" s="300"/>
      <c r="S74" s="300"/>
      <c r="T74" s="300"/>
      <c r="U74" s="300"/>
      <c r="V74" s="199">
        <f t="shared" ref="V74" ca="1" si="41">IF(IF(RIGHT(H72,2)="PH",(1-L74)+$W$2,IF(RIGHT(H72,2)="HT",(1-L74)+$W$1,IF(RIGHT(H72,2)="SH",(1-L74)+$W$3,"")))&gt;0,IF(RIGHT(H72,2)="PH",(1-L74)+$W$2,IF(RIGHT(H72,2)="HT",(1-L74)+$W$1,IF(RIGHT(H72,2)="SH",(1-L74)+$W$3,""))),0)</f>
        <v>0.21000000000000002</v>
      </c>
      <c r="W74" s="298"/>
      <c r="X74" s="698">
        <f t="shared" ca="1" si="27"/>
        <v>0</v>
      </c>
      <c r="Y74" s="81">
        <f t="shared" ca="1" si="28"/>
        <v>0</v>
      </c>
      <c r="Z74" s="81">
        <f t="shared" ca="1" si="29"/>
        <v>0</v>
      </c>
      <c r="AA74" s="81">
        <f t="shared" ca="1" si="30"/>
        <v>0</v>
      </c>
      <c r="AB74" s="81">
        <f t="shared" ca="1" si="31"/>
        <v>0</v>
      </c>
      <c r="AD74" s="81">
        <v>2050</v>
      </c>
      <c r="AE74" s="81"/>
      <c r="AF74" s="220"/>
    </row>
    <row r="75" spans="2:32">
      <c r="B75" s="357" t="s">
        <v>1007</v>
      </c>
      <c r="D75" s="212" t="str">
        <f>"IND"&amp;RIGHT(H75,4)&amp;RIGHT(G75,3)&amp;"N"&amp;RIGHT(E75,1)</f>
        <v>INDWDPHELCN8</v>
      </c>
      <c r="E75" s="261" t="str">
        <f>"Industrial heating technology "&amp;$AJ$12&amp;" "&amp;RIGHT(H75,2)&amp;" - Electric boiler (Steam) - new 8"</f>
        <v>Industrial heating technology Wood products PH - Electric boiler (Steam) - new 8</v>
      </c>
      <c r="F75" s="224" t="s">
        <v>1149</v>
      </c>
      <c r="G75" s="173" t="s">
        <v>499</v>
      </c>
      <c r="H75" s="174" t="str">
        <f>$AI$14</f>
        <v>IWDPH</v>
      </c>
      <c r="I75" s="174" t="str">
        <f t="shared" si="22"/>
        <v>INDWWH</v>
      </c>
      <c r="J75" s="224">
        <f t="shared" si="32"/>
        <v>2011</v>
      </c>
      <c r="K75" s="299">
        <v>2020</v>
      </c>
      <c r="L75" s="199">
        <f t="shared" ca="1" si="23"/>
        <v>0.99</v>
      </c>
      <c r="M75" s="199"/>
      <c r="N75" s="81">
        <f ca="1">VLOOKUP($AD75,INDIRECT("'"&amp;$B75&amp;"'!"&amp;"$P$39:$AD$42"),5,FALSE)</f>
        <v>25</v>
      </c>
      <c r="O75" s="723">
        <f t="shared" ca="1" si="24"/>
        <v>0.59599999999999997</v>
      </c>
      <c r="P75" s="723">
        <f t="shared" ca="1" si="25"/>
        <v>7.9714999999999994E-3</v>
      </c>
      <c r="Q75" s="81">
        <f t="shared" ca="1" si="26"/>
        <v>1.7900694444444445</v>
      </c>
      <c r="R75" s="81">
        <v>3.1536000000000002E-2</v>
      </c>
      <c r="S75" s="199">
        <v>0.5</v>
      </c>
      <c r="T75" s="199">
        <f ca="1">HLOOKUP($T$2,INDIRECT("'"&amp;$B75&amp;"'!"&amp;"$P$6:$AC$19"),IF(H75=$AI$13,6,IF(H75=$AI$14,9,14)),FALSE)</f>
        <v>1</v>
      </c>
      <c r="U75" s="772"/>
      <c r="V75" s="199">
        <f t="shared" ref="V75" ca="1" si="42">IF(IF(RIGHT(H75,2)="PH",(1-L75)+$W$2,IF(RIGHT(H75,2)="HT",(1-L75)+$W$1,IF(RIGHT(H75,2)="SH",(1-L75)+$W$3,"")))&gt;0,IF(RIGHT(H75,2)="PH",(1-L75)+$W$2,IF(RIGHT(H75,2)="HT",(1-L75)+$W$1,IF(RIGHT(H75,2)="SH",(1-L75)+$W$3,""))),0)</f>
        <v>0.21000000000000002</v>
      </c>
      <c r="W75" s="298"/>
      <c r="X75" s="698">
        <f t="shared" ca="1" si="27"/>
        <v>0</v>
      </c>
      <c r="Y75" s="81">
        <f t="shared" ca="1" si="28"/>
        <v>0</v>
      </c>
      <c r="Z75" s="81">
        <f t="shared" ca="1" si="29"/>
        <v>0</v>
      </c>
      <c r="AA75" s="81">
        <f t="shared" ca="1" si="30"/>
        <v>0</v>
      </c>
      <c r="AB75" s="81">
        <f t="shared" ca="1" si="31"/>
        <v>0</v>
      </c>
      <c r="AD75" s="81">
        <v>2020</v>
      </c>
      <c r="AE75" s="81"/>
      <c r="AF75" s="220"/>
    </row>
    <row r="76" spans="2:32">
      <c r="B76" s="357" t="s">
        <v>1007</v>
      </c>
      <c r="D76" s="212"/>
      <c r="E76" s="212"/>
      <c r="F76" s="224" t="s">
        <v>1149</v>
      </c>
      <c r="H76" s="174"/>
      <c r="I76" s="174" t="str">
        <f t="shared" si="22"/>
        <v>INDWWH</v>
      </c>
      <c r="J76" s="224">
        <f t="shared" si="32"/>
        <v>2030</v>
      </c>
      <c r="K76" s="81"/>
      <c r="L76" s="199">
        <f t="shared" ca="1" si="23"/>
        <v>0.99</v>
      </c>
      <c r="M76" s="199"/>
      <c r="N76" s="81"/>
      <c r="O76" s="723">
        <f t="shared" ca="1" si="24"/>
        <v>0.52150000000000007</v>
      </c>
      <c r="P76" s="723">
        <f t="shared" ca="1" si="25"/>
        <v>7.5989999999999999E-3</v>
      </c>
      <c r="Q76" s="81">
        <f t="shared" ca="1" si="26"/>
        <v>1.8107638888888888</v>
      </c>
      <c r="R76" s="300"/>
      <c r="S76" s="300"/>
      <c r="T76" s="300"/>
      <c r="U76" s="300"/>
      <c r="V76" s="199">
        <f t="shared" ref="V76" ca="1" si="43">IF(IF(RIGHT(H75,2)="PH",(1-L76)+$W$2,IF(RIGHT(H75,2)="HT",(1-L76)+$W$1,IF(RIGHT(H75,2)="SH",(1-L76)+$W$3,"")))&gt;0,IF(RIGHT(H75,2)="PH",(1-L76)+$W$2,IF(RIGHT(H75,2)="HT",(1-L76)+$W$1,IF(RIGHT(H75,2)="SH",(1-L76)+$W$3,""))),0)</f>
        <v>0.21000000000000002</v>
      </c>
      <c r="W76" s="298"/>
      <c r="X76" s="698">
        <f t="shared" ca="1" si="27"/>
        <v>0</v>
      </c>
      <c r="Y76" s="81">
        <f t="shared" ca="1" si="28"/>
        <v>0</v>
      </c>
      <c r="Z76" s="81">
        <f t="shared" ca="1" si="29"/>
        <v>0</v>
      </c>
      <c r="AA76" s="81">
        <f t="shared" ca="1" si="30"/>
        <v>0</v>
      </c>
      <c r="AB76" s="81">
        <f t="shared" ca="1" si="31"/>
        <v>0</v>
      </c>
      <c r="AD76" s="81">
        <v>2030</v>
      </c>
      <c r="AE76" s="81"/>
      <c r="AF76" s="220"/>
    </row>
    <row r="77" spans="2:32">
      <c r="B77" s="357" t="s">
        <v>1007</v>
      </c>
      <c r="D77" s="212"/>
      <c r="E77" s="212"/>
      <c r="F77" s="224" t="s">
        <v>1149</v>
      </c>
      <c r="H77" s="174"/>
      <c r="I77" s="174" t="str">
        <f t="shared" si="22"/>
        <v>INDWWH</v>
      </c>
      <c r="J77" s="224">
        <f t="shared" si="32"/>
        <v>2050</v>
      </c>
      <c r="K77" s="81"/>
      <c r="L77" s="199">
        <f t="shared" ca="1" si="23"/>
        <v>0.99</v>
      </c>
      <c r="M77" s="199"/>
      <c r="N77" s="81"/>
      <c r="O77" s="723">
        <f t="shared" ca="1" si="24"/>
        <v>0.52150000000000007</v>
      </c>
      <c r="P77" s="723">
        <f t="shared" ca="1" si="25"/>
        <v>6.8539999999999998E-3</v>
      </c>
      <c r="Q77" s="81">
        <f t="shared" ca="1" si="26"/>
        <v>1.6141666666666665</v>
      </c>
      <c r="R77" s="300"/>
      <c r="S77" s="300"/>
      <c r="T77" s="300"/>
      <c r="U77" s="300"/>
      <c r="V77" s="199">
        <f t="shared" ref="V77" ca="1" si="44">IF(IF(RIGHT(H75,2)="PH",(1-L77)+$W$2,IF(RIGHT(H75,2)="HT",(1-L77)+$W$1,IF(RIGHT(H75,2)="SH",(1-L77)+$W$3,"")))&gt;0,IF(RIGHT(H75,2)="PH",(1-L77)+$W$2,IF(RIGHT(H75,2)="HT",(1-L77)+$W$1,IF(RIGHT(H75,2)="SH",(1-L77)+$W$3,""))),0)</f>
        <v>0.21000000000000002</v>
      </c>
      <c r="W77" s="298"/>
      <c r="X77" s="698">
        <f t="shared" ca="1" si="27"/>
        <v>0</v>
      </c>
      <c r="Y77" s="81">
        <f t="shared" ca="1" si="28"/>
        <v>0</v>
      </c>
      <c r="Z77" s="81">
        <f t="shared" ca="1" si="29"/>
        <v>0</v>
      </c>
      <c r="AA77" s="81">
        <f t="shared" ca="1" si="30"/>
        <v>0</v>
      </c>
      <c r="AB77" s="81">
        <f t="shared" ca="1" si="31"/>
        <v>0</v>
      </c>
      <c r="AD77" s="81">
        <v>2050</v>
      </c>
      <c r="AE77" s="706"/>
      <c r="AF77" s="220"/>
    </row>
    <row r="78" spans="2:32">
      <c r="B78" s="357" t="s">
        <v>1007</v>
      </c>
      <c r="D78" s="212" t="str">
        <f>"IND"&amp;RIGHT(H78,4)&amp;RIGHT(G78,3)&amp;"N"&amp;RIGHT(E78,1)</f>
        <v>INDWDSHELCN8</v>
      </c>
      <c r="E78" s="261" t="str">
        <f>"Industrial heating technology "&amp;$AJ$12&amp;" "&amp;RIGHT(H78,2)&amp;" - Electric boiler (Steam) - new 8"</f>
        <v>Industrial heating technology Wood products SH - Electric boiler (Steam) - new 8</v>
      </c>
      <c r="F78" s="224" t="s">
        <v>1149</v>
      </c>
      <c r="G78" s="173" t="s">
        <v>499</v>
      </c>
      <c r="H78" s="174" t="str">
        <f>$AI$15</f>
        <v>IWDSH</v>
      </c>
      <c r="I78" s="174" t="str">
        <f t="shared" si="22"/>
        <v>INDWWH</v>
      </c>
      <c r="J78" s="224">
        <f t="shared" si="32"/>
        <v>2011</v>
      </c>
      <c r="K78" s="299">
        <v>2020</v>
      </c>
      <c r="L78" s="199">
        <f t="shared" ca="1" si="23"/>
        <v>0.99</v>
      </c>
      <c r="M78" s="199"/>
      <c r="N78" s="81">
        <f ca="1">VLOOKUP($AD78,INDIRECT("'"&amp;$B78&amp;"'!"&amp;"$P$39:$AD$42"),5,FALSE)</f>
        <v>25</v>
      </c>
      <c r="O78" s="723">
        <f t="shared" ca="1" si="24"/>
        <v>0.59599999999999997</v>
      </c>
      <c r="P78" s="723">
        <f t="shared" ca="1" si="25"/>
        <v>7.9714999999999994E-3</v>
      </c>
      <c r="Q78" s="81">
        <f t="shared" ca="1" si="26"/>
        <v>1.7900694444444445</v>
      </c>
      <c r="R78" s="81">
        <v>3.1536000000000002E-2</v>
      </c>
      <c r="S78" s="199">
        <v>0.5</v>
      </c>
      <c r="T78" s="199">
        <f ca="1">HLOOKUP($T$2,INDIRECT("'"&amp;$B78&amp;"'!"&amp;"$P$6:$AC$19"),IF(H78=$AI$13,6,IF(H78=$AI$14,9,14)),FALSE)</f>
        <v>1</v>
      </c>
      <c r="U78" s="772"/>
      <c r="V78" s="199">
        <f t="shared" ref="V78" ca="1" si="45">IF(IF(RIGHT(H78,2)="PH",(1-L78)+$W$2,IF(RIGHT(H78,2)="HT",(1-L78)+$W$1,IF(RIGHT(H78,2)="SH",(1-L78)+$W$3,"")))&gt;0,IF(RIGHT(H78,2)="PH",(1-L78)+$W$2,IF(RIGHT(H78,2)="HT",(1-L78)+$W$1,IF(RIGHT(H78,2)="SH",(1-L78)+$W$3,""))),0)</f>
        <v>1.0000000000000009E-2</v>
      </c>
      <c r="W78" s="298"/>
      <c r="X78" s="698">
        <f t="shared" ca="1" si="27"/>
        <v>0</v>
      </c>
      <c r="Y78" s="81">
        <f t="shared" ca="1" si="28"/>
        <v>0</v>
      </c>
      <c r="Z78" s="81">
        <f t="shared" ca="1" si="29"/>
        <v>0</v>
      </c>
      <c r="AA78" s="81">
        <f t="shared" ca="1" si="30"/>
        <v>0</v>
      </c>
      <c r="AB78" s="81">
        <f t="shared" ca="1" si="31"/>
        <v>0</v>
      </c>
      <c r="AC78" s="296"/>
      <c r="AD78" s="81">
        <v>2020</v>
      </c>
      <c r="AE78" s="81"/>
      <c r="AF78" s="710"/>
    </row>
    <row r="79" spans="2:32">
      <c r="B79" s="357" t="s">
        <v>1007</v>
      </c>
      <c r="D79" s="212"/>
      <c r="E79" s="212"/>
      <c r="F79" s="224" t="s">
        <v>1149</v>
      </c>
      <c r="H79" s="174"/>
      <c r="I79" s="174" t="str">
        <f t="shared" si="22"/>
        <v>INDWWH</v>
      </c>
      <c r="J79" s="224">
        <f t="shared" si="32"/>
        <v>2030</v>
      </c>
      <c r="K79" s="81"/>
      <c r="L79" s="199">
        <f t="shared" ca="1" si="23"/>
        <v>0.99</v>
      </c>
      <c r="M79" s="199"/>
      <c r="N79" s="81"/>
      <c r="O79" s="723">
        <f t="shared" ca="1" si="24"/>
        <v>0.52150000000000007</v>
      </c>
      <c r="P79" s="723">
        <f t="shared" ca="1" si="25"/>
        <v>7.5989999999999999E-3</v>
      </c>
      <c r="Q79" s="81">
        <f t="shared" ca="1" si="26"/>
        <v>1.8107638888888888</v>
      </c>
      <c r="R79" s="300"/>
      <c r="S79" s="300"/>
      <c r="T79" s="300"/>
      <c r="U79" s="300"/>
      <c r="V79" s="199">
        <f t="shared" ref="V79" ca="1" si="46">IF(IF(RIGHT(H78,2)="PH",(1-L79)+$W$2,IF(RIGHT(H78,2)="HT",(1-L79)+$W$1,IF(RIGHT(H78,2)="SH",(1-L79)+$W$3,"")))&gt;0,IF(RIGHT(H78,2)="PH",(1-L79)+$W$2,IF(RIGHT(H78,2)="HT",(1-L79)+$W$1,IF(RIGHT(H78,2)="SH",(1-L79)+$W$3,""))),0)</f>
        <v>1.0000000000000009E-2</v>
      </c>
      <c r="W79" s="298"/>
      <c r="X79" s="698">
        <f t="shared" ca="1" si="27"/>
        <v>0</v>
      </c>
      <c r="Y79" s="81">
        <f t="shared" ca="1" si="28"/>
        <v>0</v>
      </c>
      <c r="Z79" s="81">
        <f t="shared" ca="1" si="29"/>
        <v>0</v>
      </c>
      <c r="AA79" s="81">
        <f t="shared" ca="1" si="30"/>
        <v>0</v>
      </c>
      <c r="AB79" s="81">
        <f t="shared" ca="1" si="31"/>
        <v>0</v>
      </c>
      <c r="AC79" s="55"/>
      <c r="AD79" s="81">
        <v>2030</v>
      </c>
      <c r="AE79" s="81"/>
      <c r="AF79" s="700"/>
    </row>
    <row r="80" spans="2:32">
      <c r="B80" s="357" t="s">
        <v>1007</v>
      </c>
      <c r="D80" s="212"/>
      <c r="E80" s="212"/>
      <c r="F80" s="224" t="s">
        <v>1149</v>
      </c>
      <c r="H80" s="174"/>
      <c r="I80" s="174" t="str">
        <f t="shared" si="22"/>
        <v>INDWWH</v>
      </c>
      <c r="J80" s="224">
        <f t="shared" si="32"/>
        <v>2050</v>
      </c>
      <c r="K80" s="706"/>
      <c r="L80" s="199">
        <f t="shared" ca="1" si="23"/>
        <v>0.99</v>
      </c>
      <c r="M80" s="774"/>
      <c r="N80" s="706"/>
      <c r="O80" s="724">
        <f t="shared" ca="1" si="24"/>
        <v>0.52150000000000007</v>
      </c>
      <c r="P80" s="724">
        <f t="shared" ca="1" si="25"/>
        <v>6.8539999999999998E-3</v>
      </c>
      <c r="Q80" s="706">
        <f t="shared" ca="1" si="26"/>
        <v>1.6141666666666665</v>
      </c>
      <c r="R80" s="300"/>
      <c r="S80" s="300"/>
      <c r="T80" s="300"/>
      <c r="U80" s="300"/>
      <c r="V80" s="199">
        <f t="shared" ref="V80" ca="1" si="47">IF(IF(RIGHT(H78,2)="PH",(1-L80)+$W$2,IF(RIGHT(H78,2)="HT",(1-L80)+$W$1,IF(RIGHT(H78,2)="SH",(1-L80)+$W$3,"")))&gt;0,IF(RIGHT(H78,2)="PH",(1-L80)+$W$2,IF(RIGHT(H78,2)="HT",(1-L80)+$W$1,IF(RIGHT(H78,2)="SH",(1-L80)+$W$3,""))),0)</f>
        <v>1.0000000000000009E-2</v>
      </c>
      <c r="W80" s="298"/>
      <c r="X80" s="698">
        <f t="shared" ca="1" si="27"/>
        <v>0</v>
      </c>
      <c r="Y80" s="706">
        <f t="shared" ca="1" si="28"/>
        <v>0</v>
      </c>
      <c r="Z80" s="706">
        <f t="shared" ca="1" si="29"/>
        <v>0</v>
      </c>
      <c r="AA80" s="706">
        <f t="shared" ca="1" si="30"/>
        <v>0</v>
      </c>
      <c r="AB80" s="706">
        <f t="shared" ca="1" si="31"/>
        <v>0</v>
      </c>
      <c r="AC80" s="55"/>
      <c r="AD80" s="706">
        <v>2050</v>
      </c>
      <c r="AE80" s="81"/>
      <c r="AF80" s="700"/>
    </row>
    <row r="81" spans="1:33">
      <c r="B81" s="716" t="s">
        <v>1007</v>
      </c>
      <c r="C81" s="296"/>
      <c r="D81" s="707" t="str">
        <f>"IND"&amp;RIGHT(H81,4)&amp;RIGHT(G81,3)&amp;"N"&amp;RIGHT(E81,1)</f>
        <v>INDWDPHELCN9</v>
      </c>
      <c r="E81" s="707" t="str">
        <f>"Industrial heating technology "&amp;$AJ$12&amp;" "&amp;RIGHT(H81,2)&amp;" - Electric boiler (Hot Water) - new 9"</f>
        <v>Industrial heating technology Wood products PH - Electric boiler (Hot Water) - new 9</v>
      </c>
      <c r="F81" s="224" t="s">
        <v>1149</v>
      </c>
      <c r="G81" s="708" t="s">
        <v>499</v>
      </c>
      <c r="H81" s="708" t="str">
        <f>$AI$14</f>
        <v>IWDPH</v>
      </c>
      <c r="I81" s="708" t="str">
        <f t="shared" si="22"/>
        <v>INDWWH</v>
      </c>
      <c r="J81" s="224">
        <f t="shared" si="32"/>
        <v>2011</v>
      </c>
      <c r="K81" s="299">
        <v>2020</v>
      </c>
      <c r="L81" s="199">
        <f t="shared" ref="L81:L86" ca="1" si="48">VLOOKUP($AD81,INDIRECT("'"&amp;$B81&amp;"'!"&amp;"$P$118:$AD$121"),3,FALSE)</f>
        <v>0.99</v>
      </c>
      <c r="M81" s="199"/>
      <c r="N81" s="81">
        <f ca="1">VLOOKUP($AD81,INDIRECT("'"&amp;$B81&amp;"'!"&amp;"$P$118:$AD$121"),5,FALSE)</f>
        <v>25</v>
      </c>
      <c r="O81" s="723">
        <f t="shared" ref="O81:O86" ca="1" si="49">VLOOKUP($AD81,INDIRECT("'"&amp;$B81&amp;"'!"&amp;"$P$118:$AD$121"),6,FALSE)/1000</f>
        <v>0.52150000000000007</v>
      </c>
      <c r="P81" s="723">
        <f t="shared" ref="P81:P86" ca="1" si="50">VLOOKUP($AD81,INDIRECT("'"&amp;$B81&amp;"'!"&amp;"$P$118:$AD$121"),7,FALSE)/1000</f>
        <v>7.9714999999999994E-3</v>
      </c>
      <c r="Q81" s="81">
        <f t="shared" ref="Q81:Q86" ca="1" si="51">VLOOKUP($AD81,INDIRECT("'"&amp;$B81&amp;"'!"&amp;"$P$118:$AD$121"),8,FALSE)</f>
        <v>1.7900694444444445</v>
      </c>
      <c r="R81" s="81">
        <v>3.1536000000000002E-2</v>
      </c>
      <c r="S81" s="199">
        <v>0.5</v>
      </c>
      <c r="T81" s="199">
        <f ca="1">HLOOKUP($T$2,INDIRECT("'"&amp;$B81&amp;"'!"&amp;"$P$85:$AC$98"),IF(H81=$AI$13,6,IF(H81=$AI$14,9,14)),FALSE)</f>
        <v>0</v>
      </c>
      <c r="U81" s="773"/>
      <c r="V81" s="199">
        <f t="shared" ref="V81" ca="1" si="52">IF(IF(RIGHT(H81,2)="PH",(1-L81)+$W$2,IF(RIGHT(H81,2)="HT",(1-L81)+$W$1,IF(RIGHT(H81,2)="SH",(1-L81)+$W$3,"")))&gt;0,IF(RIGHT(H81,2)="PH",(1-L81)+$W$2,IF(RIGHT(H81,2)="HT",(1-L81)+$W$1,IF(RIGHT(H81,2)="SH",(1-L81)+$W$3,""))),0)</f>
        <v>0.21000000000000002</v>
      </c>
      <c r="W81" s="709"/>
      <c r="X81" s="698">
        <f t="shared" ca="1" si="27"/>
        <v>0</v>
      </c>
      <c r="Y81" s="698">
        <f t="shared" ref="Y81:Y86" ca="1" si="53">VLOOKUP($AD81,INDIRECT("'"&amp;$B81&amp;"'!"&amp;"$P$118:$AD$121"),12,FALSE)</f>
        <v>0</v>
      </c>
      <c r="Z81" s="698">
        <f t="shared" ref="Z81:Z86" ca="1" si="54">VLOOKUP($AD81,INDIRECT("'"&amp;$B81&amp;"'!"&amp;"$P$118:$AD$121"),13,FALSE)</f>
        <v>0</v>
      </c>
      <c r="AA81" s="698">
        <f t="shared" ref="AA81:AA86" ca="1" si="55">VLOOKUP($AD81,INDIRECT("'"&amp;$B81&amp;"'!"&amp;"$P$118:$AD$121"),14,FALSE)</f>
        <v>0</v>
      </c>
      <c r="AB81" s="698">
        <f t="shared" ref="AB81:AB86" ca="1" si="56">VLOOKUP($AD81,INDIRECT("'"&amp;$B81&amp;"'!"&amp;"$P$118:$AD$121"),15,FALSE)</f>
        <v>0</v>
      </c>
      <c r="AC81" s="55"/>
      <c r="AD81" s="81">
        <v>2020</v>
      </c>
      <c r="AE81" s="81"/>
      <c r="AF81" s="700"/>
    </row>
    <row r="82" spans="1:33">
      <c r="B82" s="357" t="s">
        <v>1007</v>
      </c>
      <c r="C82" s="55"/>
      <c r="D82" s="261"/>
      <c r="E82" s="261"/>
      <c r="F82" s="224" t="s">
        <v>1149</v>
      </c>
      <c r="G82" s="55"/>
      <c r="H82" s="174"/>
      <c r="I82" s="174" t="str">
        <f t="shared" si="22"/>
        <v>INDWWH</v>
      </c>
      <c r="J82" s="224">
        <f t="shared" si="32"/>
        <v>2030</v>
      </c>
      <c r="K82" s="81"/>
      <c r="L82" s="199">
        <f t="shared" ca="1" si="48"/>
        <v>0.99</v>
      </c>
      <c r="M82" s="199"/>
      <c r="N82" s="81"/>
      <c r="O82" s="723">
        <f t="shared" ca="1" si="49"/>
        <v>0.44700000000000001</v>
      </c>
      <c r="P82" s="723">
        <f t="shared" ca="1" si="50"/>
        <v>7.5989999999999999E-3</v>
      </c>
      <c r="Q82" s="81">
        <f t="shared" ca="1" si="51"/>
        <v>1.8107638888888888</v>
      </c>
      <c r="R82" s="300"/>
      <c r="S82" s="300"/>
      <c r="T82" s="300"/>
      <c r="U82" s="300"/>
      <c r="V82" s="199">
        <f t="shared" ref="V82" ca="1" si="57">IF(IF(RIGHT(H81,2)="PH",(1-L82)+$W$2,IF(RIGHT(H81,2)="HT",(1-L82)+$W$1,IF(RIGHT(H81,2)="SH",(1-L82)+$W$3,"")))&gt;0,IF(RIGHT(H81,2)="PH",(1-L82)+$W$2,IF(RIGHT(H81,2)="HT",(1-L82)+$W$1,IF(RIGHT(H81,2)="SH",(1-L82)+$W$3,""))),0)</f>
        <v>0.21000000000000002</v>
      </c>
      <c r="W82" s="298"/>
      <c r="X82" s="698">
        <f t="shared" ca="1" si="27"/>
        <v>0</v>
      </c>
      <c r="Y82" s="698">
        <f t="shared" ca="1" si="53"/>
        <v>0</v>
      </c>
      <c r="Z82" s="698">
        <f t="shared" ca="1" si="54"/>
        <v>0</v>
      </c>
      <c r="AA82" s="698">
        <f t="shared" ca="1" si="55"/>
        <v>0</v>
      </c>
      <c r="AB82" s="698">
        <f t="shared" ca="1" si="56"/>
        <v>0</v>
      </c>
      <c r="AC82" s="55"/>
      <c r="AD82" s="81">
        <v>2030</v>
      </c>
      <c r="AE82" s="81"/>
      <c r="AF82" s="700"/>
    </row>
    <row r="83" spans="1:33">
      <c r="B83" s="357" t="s">
        <v>1007</v>
      </c>
      <c r="C83" s="55"/>
      <c r="D83" s="261"/>
      <c r="E83" s="261"/>
      <c r="F83" s="224" t="s">
        <v>1149</v>
      </c>
      <c r="G83" s="55"/>
      <c r="H83" s="174"/>
      <c r="I83" s="174" t="str">
        <f t="shared" si="22"/>
        <v>INDWWH</v>
      </c>
      <c r="J83" s="224">
        <f t="shared" si="32"/>
        <v>2050</v>
      </c>
      <c r="K83" s="81"/>
      <c r="L83" s="199">
        <f t="shared" ca="1" si="48"/>
        <v>0.99</v>
      </c>
      <c r="M83" s="199"/>
      <c r="N83" s="81"/>
      <c r="O83" s="723">
        <f t="shared" ca="1" si="49"/>
        <v>0.44700000000000001</v>
      </c>
      <c r="P83" s="723">
        <f t="shared" ca="1" si="50"/>
        <v>6.8539999999999998E-3</v>
      </c>
      <c r="Q83" s="81">
        <f t="shared" ca="1" si="51"/>
        <v>1.6141666666666665</v>
      </c>
      <c r="R83" s="300"/>
      <c r="S83" s="300"/>
      <c r="T83" s="300"/>
      <c r="U83" s="300"/>
      <c r="V83" s="199">
        <f t="shared" ref="V83" ca="1" si="58">IF(IF(RIGHT(H81,2)="PH",(1-L83)+$W$2,IF(RIGHT(H81,2)="HT",(1-L83)+$W$1,IF(RIGHT(H81,2)="SH",(1-L83)+$W$3,"")))&gt;0,IF(RIGHT(H81,2)="PH",(1-L83)+$W$2,IF(RIGHT(H81,2)="HT",(1-L83)+$W$1,IF(RIGHT(H81,2)="SH",(1-L83)+$W$3,""))),0)</f>
        <v>0.21000000000000002</v>
      </c>
      <c r="W83" s="298"/>
      <c r="X83" s="698">
        <f t="shared" ca="1" si="27"/>
        <v>0</v>
      </c>
      <c r="Y83" s="698">
        <f t="shared" ca="1" si="53"/>
        <v>0</v>
      </c>
      <c r="Z83" s="698">
        <f t="shared" ca="1" si="54"/>
        <v>0</v>
      </c>
      <c r="AA83" s="698">
        <f t="shared" ca="1" si="55"/>
        <v>0</v>
      </c>
      <c r="AB83" s="698">
        <f t="shared" ca="1" si="56"/>
        <v>0</v>
      </c>
      <c r="AC83" s="203"/>
      <c r="AD83" s="81">
        <v>2050</v>
      </c>
      <c r="AE83" s="81"/>
      <c r="AF83" s="705"/>
    </row>
    <row r="84" spans="1:33">
      <c r="B84" s="357" t="s">
        <v>1007</v>
      </c>
      <c r="C84" s="55"/>
      <c r="D84" s="261" t="str">
        <f>"IND"&amp;RIGHT(H84,4)&amp;RIGHT(G84,3)&amp;"N"&amp;RIGHT(E84,1)</f>
        <v>INDWDSHELCN9</v>
      </c>
      <c r="E84" s="261" t="str">
        <f>"Industrial heating technology "&amp;$AJ$12&amp;" "&amp;RIGHT(H84,2)&amp;" - Electric boiler (Hot Water) - new 9"</f>
        <v>Industrial heating technology Wood products SH - Electric boiler (Hot Water) - new 9</v>
      </c>
      <c r="F84" s="224" t="s">
        <v>1149</v>
      </c>
      <c r="G84" s="174" t="s">
        <v>499</v>
      </c>
      <c r="H84" s="174" t="str">
        <f>$AI$15</f>
        <v>IWDSH</v>
      </c>
      <c r="I84" s="174" t="str">
        <f t="shared" si="22"/>
        <v>INDWWH</v>
      </c>
      <c r="J84" s="224">
        <f t="shared" si="32"/>
        <v>2011</v>
      </c>
      <c r="K84" s="299">
        <v>2020</v>
      </c>
      <c r="L84" s="199">
        <f t="shared" ca="1" si="48"/>
        <v>0.99</v>
      </c>
      <c r="M84" s="199"/>
      <c r="N84" s="81">
        <f ca="1">VLOOKUP($AD84,INDIRECT("'"&amp;$B84&amp;"'!"&amp;"$P$118:$AD$121"),5,FALSE)</f>
        <v>25</v>
      </c>
      <c r="O84" s="723">
        <f t="shared" ca="1" si="49"/>
        <v>0.52150000000000007</v>
      </c>
      <c r="P84" s="723">
        <f t="shared" ca="1" si="50"/>
        <v>7.9714999999999994E-3</v>
      </c>
      <c r="Q84" s="81">
        <f t="shared" ca="1" si="51"/>
        <v>1.7900694444444445</v>
      </c>
      <c r="R84" s="81">
        <v>3.1536000000000002E-2</v>
      </c>
      <c r="S84" s="199">
        <v>0.5</v>
      </c>
      <c r="T84" s="199">
        <f ca="1">HLOOKUP($T$2,INDIRECT("'"&amp;$B84&amp;"'!"&amp;"$P$85:$AC$98"),IF(H84=$AI$13,6,IF(H84=$AI$14,9,14)),FALSE)</f>
        <v>1</v>
      </c>
      <c r="U84" s="772"/>
      <c r="V84" s="199">
        <f t="shared" ref="V84" ca="1" si="59">IF(IF(RIGHT(H84,2)="PH",(1-L84)+$W$2,IF(RIGHT(H84,2)="HT",(1-L84)+$W$1,IF(RIGHT(H84,2)="SH",(1-L84)+$W$3,"")))&gt;0,IF(RIGHT(H84,2)="PH",(1-L84)+$W$2,IF(RIGHT(H84,2)="HT",(1-L84)+$W$1,IF(RIGHT(H84,2)="SH",(1-L84)+$W$3,""))),0)</f>
        <v>1.0000000000000009E-2</v>
      </c>
      <c r="W84" s="298"/>
      <c r="X84" s="698">
        <f t="shared" ca="1" si="27"/>
        <v>0</v>
      </c>
      <c r="Y84" s="698">
        <f t="shared" ca="1" si="53"/>
        <v>0</v>
      </c>
      <c r="Z84" s="698">
        <f t="shared" ca="1" si="54"/>
        <v>0</v>
      </c>
      <c r="AA84" s="698">
        <f t="shared" ca="1" si="55"/>
        <v>0</v>
      </c>
      <c r="AB84" s="698">
        <f t="shared" ca="1" si="56"/>
        <v>0</v>
      </c>
      <c r="AD84" s="81">
        <v>2020</v>
      </c>
      <c r="AE84" s="299"/>
      <c r="AF84" s="220"/>
    </row>
    <row r="85" spans="1:33">
      <c r="B85" s="357" t="s">
        <v>1007</v>
      </c>
      <c r="C85" s="55"/>
      <c r="D85" s="261"/>
      <c r="E85" s="261"/>
      <c r="F85" s="224" t="s">
        <v>1149</v>
      </c>
      <c r="G85" s="55"/>
      <c r="H85" s="174"/>
      <c r="I85" s="174" t="str">
        <f t="shared" si="22"/>
        <v>INDWWH</v>
      </c>
      <c r="J85" s="224">
        <f t="shared" si="32"/>
        <v>2030</v>
      </c>
      <c r="K85" s="81"/>
      <c r="L85" s="199">
        <f t="shared" ca="1" si="48"/>
        <v>0.99</v>
      </c>
      <c r="M85" s="199"/>
      <c r="N85" s="81"/>
      <c r="O85" s="723">
        <f t="shared" ca="1" si="49"/>
        <v>0.44700000000000001</v>
      </c>
      <c r="P85" s="723">
        <f t="shared" ca="1" si="50"/>
        <v>7.5989999999999999E-3</v>
      </c>
      <c r="Q85" s="81">
        <f t="shared" ca="1" si="51"/>
        <v>1.8107638888888888</v>
      </c>
      <c r="R85" s="300"/>
      <c r="S85" s="300"/>
      <c r="T85" s="300"/>
      <c r="U85" s="300"/>
      <c r="V85" s="199">
        <f t="shared" ref="V85" ca="1" si="60">IF(IF(RIGHT(H84,2)="PH",(1-L85)+$W$2,IF(RIGHT(H84,2)="HT",(1-L85)+$W$1,IF(RIGHT(H84,2)="SH",(1-L85)+$W$3,"")))&gt;0,IF(RIGHT(H84,2)="PH",(1-L85)+$W$2,IF(RIGHT(H84,2)="HT",(1-L85)+$W$1,IF(RIGHT(H84,2)="SH",(1-L85)+$W$3,""))),0)</f>
        <v>1.0000000000000009E-2</v>
      </c>
      <c r="W85" s="298"/>
      <c r="X85" s="698">
        <f t="shared" ca="1" si="27"/>
        <v>0</v>
      </c>
      <c r="Y85" s="698">
        <f t="shared" ca="1" si="53"/>
        <v>0</v>
      </c>
      <c r="Z85" s="698">
        <f t="shared" ca="1" si="54"/>
        <v>0</v>
      </c>
      <c r="AA85" s="698">
        <f t="shared" ca="1" si="55"/>
        <v>0</v>
      </c>
      <c r="AB85" s="698">
        <f t="shared" ca="1" si="56"/>
        <v>0</v>
      </c>
      <c r="AD85" s="81">
        <v>2030</v>
      </c>
      <c r="AE85" s="81"/>
      <c r="AF85" s="220"/>
    </row>
    <row r="86" spans="1:33">
      <c r="B86" s="356" t="s">
        <v>1007</v>
      </c>
      <c r="C86" s="203"/>
      <c r="D86" s="701"/>
      <c r="E86" s="701"/>
      <c r="F86" s="224" t="s">
        <v>1149</v>
      </c>
      <c r="G86" s="203"/>
      <c r="H86" s="702"/>
      <c r="I86" s="702" t="str">
        <f t="shared" si="22"/>
        <v>INDWWH</v>
      </c>
      <c r="J86" s="224">
        <f t="shared" si="32"/>
        <v>2050</v>
      </c>
      <c r="K86" s="81"/>
      <c r="L86" s="199">
        <f t="shared" ca="1" si="48"/>
        <v>0.99</v>
      </c>
      <c r="M86" s="199"/>
      <c r="N86" s="81"/>
      <c r="O86" s="723">
        <f t="shared" ca="1" si="49"/>
        <v>0.44700000000000001</v>
      </c>
      <c r="P86" s="723">
        <f t="shared" ca="1" si="50"/>
        <v>6.8539999999999998E-3</v>
      </c>
      <c r="Q86" s="81">
        <f t="shared" ca="1" si="51"/>
        <v>1.6141666666666665</v>
      </c>
      <c r="R86" s="703"/>
      <c r="S86" s="703"/>
      <c r="T86" s="703"/>
      <c r="U86" s="703"/>
      <c r="V86" s="199">
        <f t="shared" ref="V86" ca="1" si="61">IF(IF(RIGHT(H84,2)="PH",(1-L86)+$W$2,IF(RIGHT(H84,2)="HT",(1-L86)+$W$1,IF(RIGHT(H84,2)="SH",(1-L86)+$W$3,"")))&gt;0,IF(RIGHT(H84,2)="PH",(1-L86)+$W$2,IF(RIGHT(H84,2)="HT",(1-L86)+$W$1,IF(RIGHT(H84,2)="SH",(1-L86)+$W$3,""))),0)</f>
        <v>1.0000000000000009E-2</v>
      </c>
      <c r="W86" s="704"/>
      <c r="X86" s="698">
        <f t="shared" ca="1" si="27"/>
        <v>0</v>
      </c>
      <c r="Y86" s="698">
        <f t="shared" ca="1" si="53"/>
        <v>0</v>
      </c>
      <c r="Z86" s="698">
        <f t="shared" ca="1" si="54"/>
        <v>0</v>
      </c>
      <c r="AA86" s="698">
        <f t="shared" ca="1" si="55"/>
        <v>0</v>
      </c>
      <c r="AB86" s="698">
        <f t="shared" ca="1" si="56"/>
        <v>0</v>
      </c>
      <c r="AD86" s="81">
        <v>2050</v>
      </c>
      <c r="AE86" s="81"/>
      <c r="AF86" s="220"/>
    </row>
    <row r="87" spans="1:33">
      <c r="B87" s="357" t="s">
        <v>1008</v>
      </c>
      <c r="D87" s="212" t="str">
        <f>"IND"&amp;RIGHT(H87,4)&amp;RIGHT(G87,3)&amp;"N"&amp;RIGHT(E87,1)</f>
        <v>INDWDPHWCHN1</v>
      </c>
      <c r="E87" s="261" t="str">
        <f>"Industrial heating technology "&amp;$AJ$12&amp;" "&amp;RIGHT(H87,2)&amp;" - Wood chip boiler (Steam) - new 1"</f>
        <v>Industrial heating technology Wood products PH - Wood chip boiler (Steam) - new 1</v>
      </c>
      <c r="F87" s="224" t="s">
        <v>1149</v>
      </c>
      <c r="G87" s="173" t="s">
        <v>498</v>
      </c>
      <c r="H87" s="174" t="str">
        <f>$AI$13</f>
        <v>IWDPH</v>
      </c>
      <c r="I87" s="174" t="str">
        <f t="shared" si="22"/>
        <v>INDWWH</v>
      </c>
      <c r="J87" s="224">
        <f t="shared" si="32"/>
        <v>2011</v>
      </c>
      <c r="K87" s="299">
        <v>2025</v>
      </c>
      <c r="L87" s="199">
        <f t="shared" ref="L87:L95" ca="1" si="62">VLOOKUP($AD87,INDIRECT("'"&amp;$B87&amp;"'!"&amp;"$P$39:$AD$42"),3,FALSE)</f>
        <v>0.89</v>
      </c>
      <c r="M87" s="699"/>
      <c r="N87" s="299">
        <f ca="1">VLOOKUP($AD87,INDIRECT("'"&amp;$B87&amp;"'!"&amp;"$P$39:$AD$42"),5,FALSE)</f>
        <v>25</v>
      </c>
      <c r="O87" s="725">
        <f t="shared" ref="O87:O95" ca="1" si="63">VLOOKUP($AD87,INDIRECT("'"&amp;$B87&amp;"'!"&amp;"$P$39:$AD$42"),6,FALSE)/1000</f>
        <v>4.6054545454545455</v>
      </c>
      <c r="P87" s="725">
        <f t="shared" ref="P87:P95" ca="1" si="64">VLOOKUP($AD87,INDIRECT("'"&amp;$B87&amp;"'!"&amp;"$P$39:$AD$42"),7,FALSE)/1000</f>
        <v>0.25106499999999998</v>
      </c>
      <c r="Q87" s="299">
        <f t="shared" ref="Q87:Q95" ca="1" si="65">VLOOKUP($AD87,INDIRECT("'"&amp;$B87&amp;"'!"&amp;"$P$39:$AD$42"),8,FALSE)</f>
        <v>5.7509861111111107</v>
      </c>
      <c r="R87" s="299">
        <v>3.1536000000000002E-2</v>
      </c>
      <c r="S87" s="699">
        <v>0.5</v>
      </c>
      <c r="T87" s="699">
        <f ca="1">HLOOKUP($T$2,INDIRECT("'"&amp;$B87&amp;"'!"&amp;"$P$6:$AC$19"),IF(H87=$AI$13,6,IF(H87=$AI$14,9,14)),FALSE)</f>
        <v>1</v>
      </c>
      <c r="U87" s="772"/>
      <c r="V87" s="199">
        <f t="shared" ref="V87" ca="1" si="66">IF(IF(RIGHT(H87,2)="PH",(1-L87)+$W$2,IF(RIGHT(H87,2)="HT",(1-L87)+$W$1,IF(RIGHT(H87,2)="SH",(1-L87)+$W$3,"")))&gt;0,IF(RIGHT(H87,2)="PH",(1-L87)+$W$2,IF(RIGHT(H87,2)="HT",(1-L87)+$W$1,IF(RIGHT(H87,2)="SH",(1-L87)+$W$3,""))),0)</f>
        <v>0.31</v>
      </c>
      <c r="W87" s="298"/>
      <c r="X87" s="698">
        <f t="shared" ca="1" si="27"/>
        <v>11</v>
      </c>
      <c r="Y87" s="299">
        <f t="shared" ref="Y87:Y95" ca="1" si="67">VLOOKUP($AD87,INDIRECT("'"&amp;$B87&amp;"'!"&amp;"$P$39:$AD$42"),12,FALSE)</f>
        <v>63</v>
      </c>
      <c r="Z87" s="299">
        <f t="shared" ref="Z87:Z95" ca="1" si="68">VLOOKUP($AD87,INDIRECT("'"&amp;$B87&amp;"'!"&amp;"$P$39:$AD$42"),13,FALSE)</f>
        <v>11</v>
      </c>
      <c r="AA87" s="299">
        <f t="shared" ref="AA87:AA95" ca="1" si="69">VLOOKUP($AD87,INDIRECT("'"&amp;$B87&amp;"'!"&amp;"$P$39:$AD$42"),14,FALSE)</f>
        <v>3</v>
      </c>
      <c r="AB87" s="299">
        <f t="shared" ref="AB87:AB95" ca="1" si="70">VLOOKUP($AD87,INDIRECT("'"&amp;$B87&amp;"'!"&amp;"$P$39:$AD$42"),15,FALSE)</f>
        <v>10</v>
      </c>
      <c r="AD87" s="299">
        <v>2020</v>
      </c>
      <c r="AE87" s="81"/>
      <c r="AF87" s="220"/>
    </row>
    <row r="88" spans="1:33">
      <c r="B88" s="357" t="s">
        <v>1008</v>
      </c>
      <c r="D88" s="212"/>
      <c r="E88" s="212"/>
      <c r="F88" s="224" t="s">
        <v>1149</v>
      </c>
      <c r="H88" s="174"/>
      <c r="I88" s="174" t="str">
        <f t="shared" si="22"/>
        <v>INDWWH</v>
      </c>
      <c r="J88" s="224">
        <f t="shared" si="32"/>
        <v>2030</v>
      </c>
      <c r="K88" s="81"/>
      <c r="L88" s="199">
        <f t="shared" ca="1" si="62"/>
        <v>0.89</v>
      </c>
      <c r="M88" s="199"/>
      <c r="N88" s="81"/>
      <c r="O88" s="723">
        <f t="shared" ca="1" si="63"/>
        <v>4.4022727272727264</v>
      </c>
      <c r="P88" s="723">
        <f t="shared" ca="1" si="64"/>
        <v>0.267455</v>
      </c>
      <c r="Q88" s="81">
        <f t="shared" ca="1" si="65"/>
        <v>5.8461805555555557</v>
      </c>
      <c r="R88" s="300"/>
      <c r="S88" s="300"/>
      <c r="T88" s="300"/>
      <c r="U88" s="300"/>
      <c r="V88" s="199">
        <f t="shared" ref="V88" ca="1" si="71">IF(IF(RIGHT(H87,2)="PH",(1-L88)+$W$2,IF(RIGHT(H87,2)="HT",(1-L88)+$W$1,IF(RIGHT(H87,2)="SH",(1-L88)+$W$3,"")))&gt;0,IF(RIGHT(H87,2)="PH",(1-L88)+$W$2,IF(RIGHT(H87,2)="HT",(1-L88)+$W$1,IF(RIGHT(H87,2)="SH",(1-L88)+$W$3,""))),0)</f>
        <v>0.31</v>
      </c>
      <c r="W88" s="298"/>
      <c r="X88" s="698">
        <f t="shared" ca="1" si="27"/>
        <v>11</v>
      </c>
      <c r="Y88" s="81">
        <f t="shared" ca="1" si="67"/>
        <v>49</v>
      </c>
      <c r="Z88" s="81">
        <f t="shared" ca="1" si="68"/>
        <v>8</v>
      </c>
      <c r="AA88" s="81">
        <f t="shared" ca="1" si="69"/>
        <v>3</v>
      </c>
      <c r="AB88" s="81">
        <f t="shared" ca="1" si="70"/>
        <v>10</v>
      </c>
      <c r="AD88" s="81">
        <v>2030</v>
      </c>
      <c r="AE88" s="81"/>
      <c r="AF88" s="220"/>
    </row>
    <row r="89" spans="1:33">
      <c r="B89" s="357" t="s">
        <v>1008</v>
      </c>
      <c r="D89" s="212"/>
      <c r="E89" s="212"/>
      <c r="F89" s="224" t="s">
        <v>1149</v>
      </c>
      <c r="H89" s="174"/>
      <c r="I89" s="174" t="str">
        <f t="shared" si="22"/>
        <v>INDWWH</v>
      </c>
      <c r="J89" s="224">
        <f t="shared" si="32"/>
        <v>2050</v>
      </c>
      <c r="K89" s="81"/>
      <c r="L89" s="199">
        <f t="shared" ca="1" si="62"/>
        <v>0.9</v>
      </c>
      <c r="M89" s="199"/>
      <c r="N89" s="81"/>
      <c r="O89" s="723">
        <f t="shared" ca="1" si="63"/>
        <v>3.9959090909090902</v>
      </c>
      <c r="P89" s="723">
        <f t="shared" ca="1" si="64"/>
        <v>0.25106499999999998</v>
      </c>
      <c r="Q89" s="81">
        <f t="shared" ca="1" si="65"/>
        <v>5.8937777777777782</v>
      </c>
      <c r="R89" s="300"/>
      <c r="S89" s="300"/>
      <c r="T89" s="300"/>
      <c r="U89" s="300"/>
      <c r="V89" s="199">
        <f t="shared" ref="V89" ca="1" si="72">IF(IF(RIGHT(H87,2)="PH",(1-L89)+$W$2,IF(RIGHT(H87,2)="HT",(1-L89)+$W$1,IF(RIGHT(H87,2)="SH",(1-L89)+$W$3,"")))&gt;0,IF(RIGHT(H87,2)="PH",(1-L89)+$W$2,IF(RIGHT(H87,2)="HT",(1-L89)+$W$1,IF(RIGHT(H87,2)="SH",(1-L89)+$W$3,""))),0)</f>
        <v>0.3</v>
      </c>
      <c r="W89" s="298"/>
      <c r="X89" s="698">
        <f t="shared" ca="1" si="27"/>
        <v>11</v>
      </c>
      <c r="Y89" s="81">
        <f t="shared" ca="1" si="67"/>
        <v>41</v>
      </c>
      <c r="Z89" s="81">
        <f t="shared" ca="1" si="68"/>
        <v>4</v>
      </c>
      <c r="AA89" s="81">
        <f t="shared" ca="1" si="69"/>
        <v>1</v>
      </c>
      <c r="AB89" s="81">
        <f t="shared" ca="1" si="70"/>
        <v>10</v>
      </c>
      <c r="AD89" s="81">
        <v>2050</v>
      </c>
      <c r="AE89" s="81"/>
      <c r="AF89" s="220"/>
    </row>
    <row r="90" spans="1:33" s="226" customFormat="1">
      <c r="A90" s="224"/>
      <c r="B90" s="357" t="s">
        <v>1008</v>
      </c>
      <c r="C90" s="224"/>
      <c r="D90" s="212" t="str">
        <f>"IND"&amp;RIGHT(H90,4)&amp;RIGHT(G90,3)&amp;"N"&amp;RIGHT(E90,1)</f>
        <v>INDWDPHWCHN1</v>
      </c>
      <c r="E90" s="261" t="str">
        <f>"Industrial heating technology "&amp;$AJ$12&amp;" "&amp;RIGHT(H90,2)&amp;" - Wood chip boiler (Steam) - new 1"</f>
        <v>Industrial heating technology Wood products PH - Wood chip boiler (Steam) - new 1</v>
      </c>
      <c r="F90" s="224" t="s">
        <v>1149</v>
      </c>
      <c r="G90" s="173" t="s">
        <v>498</v>
      </c>
      <c r="H90" s="174" t="str">
        <f>$AI$14</f>
        <v>IWDPH</v>
      </c>
      <c r="I90" s="174" t="str">
        <f t="shared" si="22"/>
        <v>INDWWH</v>
      </c>
      <c r="J90" s="224">
        <f t="shared" si="32"/>
        <v>2011</v>
      </c>
      <c r="K90" s="299">
        <v>2025</v>
      </c>
      <c r="L90" s="199">
        <f t="shared" ca="1" si="62"/>
        <v>0.89</v>
      </c>
      <c r="M90" s="199"/>
      <c r="N90" s="81">
        <f ca="1">VLOOKUP($AD90,INDIRECT("'"&amp;$B90&amp;"'!"&amp;"$P$39:$AD$42"),5,FALSE)</f>
        <v>25</v>
      </c>
      <c r="O90" s="723">
        <f t="shared" ca="1" si="63"/>
        <v>4.6054545454545455</v>
      </c>
      <c r="P90" s="723">
        <f t="shared" ca="1" si="64"/>
        <v>0.25106499999999998</v>
      </c>
      <c r="Q90" s="81">
        <f t="shared" ca="1" si="65"/>
        <v>5.7509861111111107</v>
      </c>
      <c r="R90" s="81">
        <v>3.1536000000000002E-2</v>
      </c>
      <c r="S90" s="199">
        <v>0.5</v>
      </c>
      <c r="T90" s="199">
        <f ca="1">HLOOKUP($T$2,INDIRECT("'"&amp;$B90&amp;"'!"&amp;"$P$6:$AC$19"),IF(H90=$AI$13,6,IF(H90=$AI$14,9,14)),FALSE)</f>
        <v>1</v>
      </c>
      <c r="U90" s="772"/>
      <c r="V90" s="199">
        <f t="shared" ref="V90" ca="1" si="73">IF(IF(RIGHT(H90,2)="PH",(1-L90)+$W$2,IF(RIGHT(H90,2)="HT",(1-L90)+$W$1,IF(RIGHT(H90,2)="SH",(1-L90)+$W$3,"")))&gt;0,IF(RIGHT(H90,2)="PH",(1-L90)+$W$2,IF(RIGHT(H90,2)="HT",(1-L90)+$W$1,IF(RIGHT(H90,2)="SH",(1-L90)+$W$3,""))),0)</f>
        <v>0.31</v>
      </c>
      <c r="W90" s="298"/>
      <c r="X90" s="698">
        <f t="shared" ca="1" si="27"/>
        <v>11</v>
      </c>
      <c r="Y90" s="81">
        <f t="shared" ca="1" si="67"/>
        <v>63</v>
      </c>
      <c r="Z90" s="81">
        <f t="shared" ca="1" si="68"/>
        <v>11</v>
      </c>
      <c r="AA90" s="81">
        <f t="shared" ca="1" si="69"/>
        <v>3</v>
      </c>
      <c r="AB90" s="81">
        <f t="shared" ca="1" si="70"/>
        <v>10</v>
      </c>
      <c r="AC90" s="224"/>
      <c r="AD90" s="81">
        <v>2020</v>
      </c>
      <c r="AE90" s="81"/>
      <c r="AF90" s="220"/>
      <c r="AG90" s="224"/>
    </row>
    <row r="91" spans="1:33" s="226" customFormat="1">
      <c r="A91" s="224"/>
      <c r="B91" s="357" t="s">
        <v>1008</v>
      </c>
      <c r="C91" s="224"/>
      <c r="D91" s="212"/>
      <c r="E91" s="212"/>
      <c r="F91" s="224" t="s">
        <v>1149</v>
      </c>
      <c r="G91" s="224"/>
      <c r="H91" s="174"/>
      <c r="I91" s="174" t="str">
        <f t="shared" si="22"/>
        <v>INDWWH</v>
      </c>
      <c r="J91" s="224">
        <f t="shared" si="32"/>
        <v>2030</v>
      </c>
      <c r="K91" s="81"/>
      <c r="L91" s="199">
        <f t="shared" ca="1" si="62"/>
        <v>0.89</v>
      </c>
      <c r="M91" s="199"/>
      <c r="N91" s="81"/>
      <c r="O91" s="723">
        <f t="shared" ca="1" si="63"/>
        <v>4.4022727272727264</v>
      </c>
      <c r="P91" s="723">
        <f t="shared" ca="1" si="64"/>
        <v>0.267455</v>
      </c>
      <c r="Q91" s="81">
        <f t="shared" ca="1" si="65"/>
        <v>5.8461805555555557</v>
      </c>
      <c r="R91" s="300"/>
      <c r="S91" s="300"/>
      <c r="T91" s="300"/>
      <c r="U91" s="300"/>
      <c r="V91" s="199">
        <f t="shared" ref="V91" ca="1" si="74">IF(IF(RIGHT(H90,2)="PH",(1-L91)+$W$2,IF(RIGHT(H90,2)="HT",(1-L91)+$W$1,IF(RIGHT(H90,2)="SH",(1-L91)+$W$3,"")))&gt;0,IF(RIGHT(H90,2)="PH",(1-L91)+$W$2,IF(RIGHT(H90,2)="HT",(1-L91)+$W$1,IF(RIGHT(H90,2)="SH",(1-L91)+$W$3,""))),0)</f>
        <v>0.31</v>
      </c>
      <c r="W91" s="298"/>
      <c r="X91" s="698">
        <f t="shared" ca="1" si="27"/>
        <v>11</v>
      </c>
      <c r="Y91" s="81">
        <f t="shared" ca="1" si="67"/>
        <v>49</v>
      </c>
      <c r="Z91" s="81">
        <f t="shared" ca="1" si="68"/>
        <v>8</v>
      </c>
      <c r="AA91" s="81">
        <f t="shared" ca="1" si="69"/>
        <v>3</v>
      </c>
      <c r="AB91" s="81">
        <f t="shared" ca="1" si="70"/>
        <v>10</v>
      </c>
      <c r="AC91" s="224"/>
      <c r="AD91" s="81">
        <v>2030</v>
      </c>
      <c r="AE91" s="81"/>
      <c r="AF91" s="220"/>
    </row>
    <row r="92" spans="1:33" s="226" customFormat="1">
      <c r="A92" s="224"/>
      <c r="B92" s="357" t="s">
        <v>1008</v>
      </c>
      <c r="C92" s="224"/>
      <c r="D92" s="212"/>
      <c r="E92" s="212"/>
      <c r="F92" s="224" t="s">
        <v>1149</v>
      </c>
      <c r="G92" s="224"/>
      <c r="H92" s="174"/>
      <c r="I92" s="174" t="str">
        <f t="shared" si="22"/>
        <v>INDWWH</v>
      </c>
      <c r="J92" s="224">
        <f t="shared" si="32"/>
        <v>2050</v>
      </c>
      <c r="K92" s="81"/>
      <c r="L92" s="199">
        <f t="shared" ca="1" si="62"/>
        <v>0.9</v>
      </c>
      <c r="M92" s="199"/>
      <c r="N92" s="81"/>
      <c r="O92" s="723">
        <f t="shared" ca="1" si="63"/>
        <v>3.9959090909090902</v>
      </c>
      <c r="P92" s="723">
        <f t="shared" ca="1" si="64"/>
        <v>0.25106499999999998</v>
      </c>
      <c r="Q92" s="81">
        <f t="shared" ca="1" si="65"/>
        <v>5.8937777777777782</v>
      </c>
      <c r="R92" s="300"/>
      <c r="S92" s="300"/>
      <c r="T92" s="300"/>
      <c r="U92" s="300"/>
      <c r="V92" s="199">
        <f t="shared" ref="V92" ca="1" si="75">IF(IF(RIGHT(H90,2)="PH",(1-L92)+$W$2,IF(RIGHT(H90,2)="HT",(1-L92)+$W$1,IF(RIGHT(H90,2)="SH",(1-L92)+$W$3,"")))&gt;0,IF(RIGHT(H90,2)="PH",(1-L92)+$W$2,IF(RIGHT(H90,2)="HT",(1-L92)+$W$1,IF(RIGHT(H90,2)="SH",(1-L92)+$W$3,""))),0)</f>
        <v>0.3</v>
      </c>
      <c r="W92" s="298"/>
      <c r="X92" s="698">
        <f t="shared" ca="1" si="27"/>
        <v>11</v>
      </c>
      <c r="Y92" s="81">
        <f t="shared" ca="1" si="67"/>
        <v>41</v>
      </c>
      <c r="Z92" s="81">
        <f t="shared" ca="1" si="68"/>
        <v>4</v>
      </c>
      <c r="AA92" s="81">
        <f t="shared" ca="1" si="69"/>
        <v>1</v>
      </c>
      <c r="AB92" s="81">
        <f t="shared" ca="1" si="70"/>
        <v>10</v>
      </c>
      <c r="AC92" s="224"/>
      <c r="AD92" s="81">
        <v>2050</v>
      </c>
      <c r="AE92" s="706"/>
      <c r="AF92" s="220"/>
    </row>
    <row r="93" spans="1:33" s="226" customFormat="1">
      <c r="A93" s="224"/>
      <c r="B93" s="357" t="s">
        <v>1008</v>
      </c>
      <c r="C93" s="224"/>
      <c r="D93" s="212" t="str">
        <f>"IND"&amp;RIGHT(H93,4)&amp;RIGHT(G93,3)&amp;"N"&amp;RIGHT(E93,1)</f>
        <v>INDWDSHWCHN1</v>
      </c>
      <c r="E93" s="261" t="str">
        <f>"Industrial heating technology "&amp;$AJ$12&amp;" "&amp;RIGHT(H93,2)&amp;" - Wood chip boiler (Steam) - new 1"</f>
        <v>Industrial heating technology Wood products SH - Wood chip boiler (Steam) - new 1</v>
      </c>
      <c r="F93" s="224" t="s">
        <v>1149</v>
      </c>
      <c r="G93" s="173" t="s">
        <v>498</v>
      </c>
      <c r="H93" s="174" t="str">
        <f>$AI$15</f>
        <v>IWDSH</v>
      </c>
      <c r="I93" s="174" t="str">
        <f t="shared" si="22"/>
        <v>INDWWH</v>
      </c>
      <c r="J93" s="224">
        <f t="shared" si="32"/>
        <v>2011</v>
      </c>
      <c r="K93" s="299">
        <v>2025</v>
      </c>
      <c r="L93" s="199">
        <f t="shared" ca="1" si="62"/>
        <v>0.89</v>
      </c>
      <c r="M93" s="199"/>
      <c r="N93" s="81">
        <f ca="1">VLOOKUP($AD93,INDIRECT("'"&amp;$B93&amp;"'!"&amp;"$P$39:$AD$42"),5,FALSE)</f>
        <v>25</v>
      </c>
      <c r="O93" s="723">
        <f t="shared" ca="1" si="63"/>
        <v>4.6054545454545455</v>
      </c>
      <c r="P93" s="723">
        <f t="shared" ca="1" si="64"/>
        <v>0.25106499999999998</v>
      </c>
      <c r="Q93" s="81">
        <f t="shared" ca="1" si="65"/>
        <v>5.7509861111111107</v>
      </c>
      <c r="R93" s="81">
        <v>3.1536000000000002E-2</v>
      </c>
      <c r="S93" s="199">
        <v>0.5</v>
      </c>
      <c r="T93" s="199">
        <f ca="1">HLOOKUP($T$2,INDIRECT("'"&amp;$B93&amp;"'!"&amp;"$P$6:$AC$19"),IF(H93=$AI$13,6,IF(H93=$AI$14,9,14)),FALSE)</f>
        <v>1</v>
      </c>
      <c r="U93" s="772"/>
      <c r="V93" s="199">
        <f t="shared" ref="V93" ca="1" si="76">IF(IF(RIGHT(H93,2)="PH",(1-L93)+$W$2,IF(RIGHT(H93,2)="HT",(1-L93)+$W$1,IF(RIGHT(H93,2)="SH",(1-L93)+$W$3,"")))&gt;0,IF(RIGHT(H93,2)="PH",(1-L93)+$W$2,IF(RIGHT(H93,2)="HT",(1-L93)+$W$1,IF(RIGHT(H93,2)="SH",(1-L93)+$W$3,""))),0)</f>
        <v>0.10999999999999999</v>
      </c>
      <c r="W93" s="298"/>
      <c r="X93" s="698">
        <f t="shared" ca="1" si="27"/>
        <v>11</v>
      </c>
      <c r="Y93" s="81">
        <f t="shared" ca="1" si="67"/>
        <v>63</v>
      </c>
      <c r="Z93" s="81">
        <f t="shared" ca="1" si="68"/>
        <v>11</v>
      </c>
      <c r="AA93" s="81">
        <f t="shared" ca="1" si="69"/>
        <v>3</v>
      </c>
      <c r="AB93" s="81">
        <f t="shared" ca="1" si="70"/>
        <v>10</v>
      </c>
      <c r="AC93" s="296"/>
      <c r="AD93" s="81">
        <v>2020</v>
      </c>
      <c r="AE93" s="81"/>
      <c r="AF93" s="710"/>
    </row>
    <row r="94" spans="1:33" s="226" customFormat="1">
      <c r="A94" s="224"/>
      <c r="B94" s="357" t="s">
        <v>1008</v>
      </c>
      <c r="C94" s="224"/>
      <c r="D94" s="212"/>
      <c r="E94" s="212"/>
      <c r="F94" s="224" t="s">
        <v>1149</v>
      </c>
      <c r="G94" s="224"/>
      <c r="H94" s="174"/>
      <c r="I94" s="174" t="str">
        <f t="shared" si="22"/>
        <v>INDWWH</v>
      </c>
      <c r="J94" s="224">
        <f t="shared" si="32"/>
        <v>2030</v>
      </c>
      <c r="K94" s="81"/>
      <c r="L94" s="199">
        <f t="shared" ca="1" si="62"/>
        <v>0.89</v>
      </c>
      <c r="M94" s="199"/>
      <c r="N94" s="81"/>
      <c r="O94" s="723">
        <f t="shared" ca="1" si="63"/>
        <v>4.4022727272727264</v>
      </c>
      <c r="P94" s="723">
        <f t="shared" ca="1" si="64"/>
        <v>0.267455</v>
      </c>
      <c r="Q94" s="81">
        <f t="shared" ca="1" si="65"/>
        <v>5.8461805555555557</v>
      </c>
      <c r="R94" s="300"/>
      <c r="S94" s="300"/>
      <c r="T94" s="300"/>
      <c r="U94" s="300"/>
      <c r="V94" s="199">
        <f t="shared" ref="V94" ca="1" si="77">IF(IF(RIGHT(H93,2)="PH",(1-L94)+$W$2,IF(RIGHT(H93,2)="HT",(1-L94)+$W$1,IF(RIGHT(H93,2)="SH",(1-L94)+$W$3,"")))&gt;0,IF(RIGHT(H93,2)="PH",(1-L94)+$W$2,IF(RIGHT(H93,2)="HT",(1-L94)+$W$1,IF(RIGHT(H93,2)="SH",(1-L94)+$W$3,""))),0)</f>
        <v>0.10999999999999999</v>
      </c>
      <c r="W94" s="298"/>
      <c r="X94" s="698">
        <f t="shared" ca="1" si="27"/>
        <v>11</v>
      </c>
      <c r="Y94" s="81">
        <f t="shared" ca="1" si="67"/>
        <v>49</v>
      </c>
      <c r="Z94" s="81">
        <f t="shared" ca="1" si="68"/>
        <v>8</v>
      </c>
      <c r="AA94" s="81">
        <f t="shared" ca="1" si="69"/>
        <v>3</v>
      </c>
      <c r="AB94" s="81">
        <f t="shared" ca="1" si="70"/>
        <v>10</v>
      </c>
      <c r="AC94" s="55"/>
      <c r="AD94" s="81">
        <v>2030</v>
      </c>
      <c r="AE94" s="81"/>
      <c r="AF94" s="700"/>
    </row>
    <row r="95" spans="1:33" s="226" customFormat="1">
      <c r="A95" s="224"/>
      <c r="B95" s="357" t="s">
        <v>1008</v>
      </c>
      <c r="C95" s="224"/>
      <c r="D95" s="212"/>
      <c r="E95" s="212"/>
      <c r="F95" s="224" t="s">
        <v>1149</v>
      </c>
      <c r="G95" s="224"/>
      <c r="H95" s="174"/>
      <c r="I95" s="174" t="str">
        <f t="shared" si="22"/>
        <v>INDWWH</v>
      </c>
      <c r="J95" s="224">
        <f t="shared" si="32"/>
        <v>2050</v>
      </c>
      <c r="K95" s="706"/>
      <c r="L95" s="199">
        <f t="shared" ca="1" si="62"/>
        <v>0.9</v>
      </c>
      <c r="M95" s="774"/>
      <c r="N95" s="706"/>
      <c r="O95" s="724">
        <f t="shared" ca="1" si="63"/>
        <v>3.9959090909090902</v>
      </c>
      <c r="P95" s="724">
        <f t="shared" ca="1" si="64"/>
        <v>0.25106499999999998</v>
      </c>
      <c r="Q95" s="706">
        <f t="shared" ca="1" si="65"/>
        <v>5.8937777777777782</v>
      </c>
      <c r="R95" s="300"/>
      <c r="S95" s="300"/>
      <c r="T95" s="300"/>
      <c r="U95" s="300"/>
      <c r="V95" s="199">
        <f t="shared" ref="V95" ca="1" si="78">IF(IF(RIGHT(H93,2)="PH",(1-L95)+$W$2,IF(RIGHT(H93,2)="HT",(1-L95)+$W$1,IF(RIGHT(H93,2)="SH",(1-L95)+$W$3,"")))&gt;0,IF(RIGHT(H93,2)="PH",(1-L95)+$W$2,IF(RIGHT(H93,2)="HT",(1-L95)+$W$1,IF(RIGHT(H93,2)="SH",(1-L95)+$W$3,""))),0)</f>
        <v>9.9999999999999978E-2</v>
      </c>
      <c r="W95" s="298"/>
      <c r="X95" s="698">
        <f t="shared" ref="X95:X126" ca="1" si="79">IF(VLOOKUP($AD95,INDIRECT("'"&amp;$B95&amp;"'!"&amp;"$P$39:$AD$42"),11,FALSE)="Cf. the utilized electricity",0,VLOOKUP($AD95,INDIRECT("'"&amp;$B95&amp;"'!"&amp;"$P$39:$AD$42"),11,FALSE))</f>
        <v>11</v>
      </c>
      <c r="Y95" s="706">
        <f t="shared" ca="1" si="67"/>
        <v>41</v>
      </c>
      <c r="Z95" s="706">
        <f t="shared" ca="1" si="68"/>
        <v>4</v>
      </c>
      <c r="AA95" s="706">
        <f t="shared" ca="1" si="69"/>
        <v>1</v>
      </c>
      <c r="AB95" s="706">
        <f t="shared" ca="1" si="70"/>
        <v>10</v>
      </c>
      <c r="AC95" s="55"/>
      <c r="AD95" s="706">
        <v>2050</v>
      </c>
      <c r="AE95" s="81"/>
      <c r="AF95" s="700"/>
    </row>
    <row r="96" spans="1:33">
      <c r="B96" s="716" t="s">
        <v>1008</v>
      </c>
      <c r="C96" s="296"/>
      <c r="D96" s="707" t="str">
        <f>"IND"&amp;RIGHT(H96,4)&amp;RIGHT(G96,3)&amp;"N"&amp;RIGHT(E96,1)</f>
        <v>INDWDPHWCHN2</v>
      </c>
      <c r="E96" s="707" t="str">
        <f>"Industrial heating technology "&amp;$AJ$12&amp;" "&amp;RIGHT(H96,2)&amp;" - Wood chip boiler (Steam - condensing) - new 2"</f>
        <v>Industrial heating technology Wood products PH - Wood chip boiler (Steam - condensing) - new 2</v>
      </c>
      <c r="F96" s="224" t="s">
        <v>1149</v>
      </c>
      <c r="G96" s="708" t="s">
        <v>498</v>
      </c>
      <c r="H96" s="708" t="str">
        <f>$AI$14</f>
        <v>IWDPH</v>
      </c>
      <c r="I96" s="708" t="str">
        <f t="shared" si="22"/>
        <v>INDWWH</v>
      </c>
      <c r="J96" s="224">
        <f t="shared" si="32"/>
        <v>2011</v>
      </c>
      <c r="K96" s="299">
        <v>2025</v>
      </c>
      <c r="L96" s="199">
        <f t="shared" ref="L96:L101" ca="1" si="80">VLOOKUP($AD96,INDIRECT("'"&amp;$B96&amp;"'!"&amp;"$P$118:$AD$121"),3,FALSE)</f>
        <v>1.1618960947726835</v>
      </c>
      <c r="M96" s="199"/>
      <c r="N96" s="81">
        <f ca="1">VLOOKUP($AD96,INDIRECT("'"&amp;$B96&amp;"'!"&amp;"$P$118:$AD$121"),5,FALSE)</f>
        <v>25</v>
      </c>
      <c r="O96" s="723">
        <f t="shared" ref="O96:O101" ca="1" si="81">VLOOKUP($AD96,INDIRECT("'"&amp;$B96&amp;"'!"&amp;"$P$118:$AD$121"),6,FALSE)/1000</f>
        <v>5.0660000000000007</v>
      </c>
      <c r="P96" s="723">
        <f t="shared" ref="P96:P101" ca="1" si="82">VLOOKUP($AD96,INDIRECT("'"&amp;$B96&amp;"'!"&amp;"$P$118:$AD$121"),7,FALSE)/1000</f>
        <v>0.27564999999999995</v>
      </c>
      <c r="Q96" s="81">
        <f t="shared" ref="Q96:Q101" ca="1" si="83">VLOOKUP($AD96,INDIRECT("'"&amp;$B96&amp;"'!"&amp;"$P$118:$AD$121"),8,FALSE)</f>
        <v>5.7509861111111107</v>
      </c>
      <c r="R96" s="81">
        <v>3.1536000000000002E-2</v>
      </c>
      <c r="S96" s="199">
        <v>0.5</v>
      </c>
      <c r="T96" s="199">
        <f ca="1">HLOOKUP($T$2,INDIRECT("'"&amp;$B96&amp;"'!"&amp;"$P$85:$AC$98"),IF(H96=$AI$13,6,IF(H96=$AI$14,9,14)),FALSE)</f>
        <v>0</v>
      </c>
      <c r="U96" s="773"/>
      <c r="V96" s="199">
        <f t="shared" ref="V96" ca="1" si="84">IF(IF(RIGHT(H96,2)="PH",(1-L96)+$W$2,IF(RIGHT(H96,2)="HT",(1-L96)+$W$1,IF(RIGHT(H96,2)="SH",(1-L96)+$W$3,"")))&gt;0,IF(RIGHT(H96,2)="PH",(1-L96)+$W$2,IF(RIGHT(H96,2)="HT",(1-L96)+$W$1,IF(RIGHT(H96,2)="SH",(1-L96)+$W$3,""))),0)</f>
        <v>3.8103905227316492E-2</v>
      </c>
      <c r="W96" s="709"/>
      <c r="X96" s="698">
        <f t="shared" ca="1" si="79"/>
        <v>11</v>
      </c>
      <c r="Y96" s="698">
        <f t="shared" ref="Y96:Y101" ca="1" si="85">VLOOKUP($AD96,INDIRECT("'"&amp;$B96&amp;"'!"&amp;"$P$118:$AD$121"),12,FALSE)</f>
        <v>63</v>
      </c>
      <c r="Z96" s="698">
        <f t="shared" ref="Z96:Z101" ca="1" si="86">VLOOKUP($AD96,INDIRECT("'"&amp;$B96&amp;"'!"&amp;"$P$118:$AD$121"),13,FALSE)</f>
        <v>11</v>
      </c>
      <c r="AA96" s="698">
        <f t="shared" ref="AA96:AA101" ca="1" si="87">VLOOKUP($AD96,INDIRECT("'"&amp;$B96&amp;"'!"&amp;"$P$118:$AD$121"),14,FALSE)</f>
        <v>3</v>
      </c>
      <c r="AB96" s="698">
        <f t="shared" ref="AB96:AB101" ca="1" si="88">VLOOKUP($AD96,INDIRECT("'"&amp;$B96&amp;"'!"&amp;"$P$118:$AD$121"),15,FALSE)</f>
        <v>10</v>
      </c>
      <c r="AC96" s="55"/>
      <c r="AD96" s="81">
        <v>2020</v>
      </c>
      <c r="AE96" s="81"/>
      <c r="AF96" s="700"/>
      <c r="AG96" s="226"/>
    </row>
    <row r="97" spans="2:32">
      <c r="B97" s="357" t="s">
        <v>1008</v>
      </c>
      <c r="C97" s="55"/>
      <c r="D97" s="261"/>
      <c r="E97" s="261"/>
      <c r="F97" s="224" t="s">
        <v>1149</v>
      </c>
      <c r="G97" s="55"/>
      <c r="H97" s="174"/>
      <c r="I97" s="174" t="str">
        <f t="shared" si="22"/>
        <v>INDWWH</v>
      </c>
      <c r="J97" s="224">
        <f t="shared" si="32"/>
        <v>2030</v>
      </c>
      <c r="K97" s="81"/>
      <c r="L97" s="199">
        <f t="shared" ca="1" si="80"/>
        <v>1.1618960947726835</v>
      </c>
      <c r="M97" s="199"/>
      <c r="N97" s="81"/>
      <c r="O97" s="723">
        <f t="shared" ca="1" si="81"/>
        <v>4.8425000000000002</v>
      </c>
      <c r="P97" s="723">
        <f t="shared" ca="1" si="82"/>
        <v>0.267455</v>
      </c>
      <c r="Q97" s="81">
        <f t="shared" ca="1" si="83"/>
        <v>5.8461805555555557</v>
      </c>
      <c r="R97" s="300"/>
      <c r="S97" s="300"/>
      <c r="T97" s="300"/>
      <c r="U97" s="300"/>
      <c r="V97" s="199">
        <f t="shared" ref="V97" ca="1" si="89">IF(IF(RIGHT(H96,2)="PH",(1-L97)+$W$2,IF(RIGHT(H96,2)="HT",(1-L97)+$W$1,IF(RIGHT(H96,2)="SH",(1-L97)+$W$3,"")))&gt;0,IF(RIGHT(H96,2)="PH",(1-L97)+$W$2,IF(RIGHT(H96,2)="HT",(1-L97)+$W$1,IF(RIGHT(H96,2)="SH",(1-L97)+$W$3,""))),0)</f>
        <v>3.8103905227316492E-2</v>
      </c>
      <c r="W97" s="298"/>
      <c r="X97" s="698">
        <f t="shared" ca="1" si="79"/>
        <v>11</v>
      </c>
      <c r="Y97" s="698">
        <f t="shared" ca="1" si="85"/>
        <v>49</v>
      </c>
      <c r="Z97" s="698">
        <f t="shared" ca="1" si="86"/>
        <v>8</v>
      </c>
      <c r="AA97" s="698">
        <f t="shared" ca="1" si="87"/>
        <v>3</v>
      </c>
      <c r="AB97" s="698">
        <f t="shared" ca="1" si="88"/>
        <v>10</v>
      </c>
      <c r="AC97" s="55"/>
      <c r="AD97" s="81">
        <v>2030</v>
      </c>
      <c r="AE97" s="81"/>
      <c r="AF97" s="700"/>
    </row>
    <row r="98" spans="2:32">
      <c r="B98" s="357" t="s">
        <v>1008</v>
      </c>
      <c r="C98" s="55"/>
      <c r="D98" s="261"/>
      <c r="E98" s="261"/>
      <c r="F98" s="224" t="s">
        <v>1149</v>
      </c>
      <c r="G98" s="55"/>
      <c r="H98" s="174"/>
      <c r="I98" s="174" t="str">
        <f t="shared" si="22"/>
        <v>INDWWH</v>
      </c>
      <c r="J98" s="224">
        <f t="shared" si="32"/>
        <v>2050</v>
      </c>
      <c r="K98" s="81"/>
      <c r="L98" s="199">
        <f t="shared" ca="1" si="80"/>
        <v>1.1618960947726835</v>
      </c>
      <c r="M98" s="199"/>
      <c r="N98" s="81"/>
      <c r="O98" s="723">
        <f t="shared" ca="1" si="81"/>
        <v>4.3955000000000002</v>
      </c>
      <c r="P98" s="723">
        <f t="shared" ca="1" si="82"/>
        <v>0.25106499999999998</v>
      </c>
      <c r="Q98" s="81">
        <f t="shared" ca="1" si="83"/>
        <v>5.8937777777777782</v>
      </c>
      <c r="R98" s="300"/>
      <c r="S98" s="300"/>
      <c r="T98" s="300"/>
      <c r="U98" s="300"/>
      <c r="V98" s="199">
        <f t="shared" ref="V98" ca="1" si="90">IF(IF(RIGHT(H96,2)="PH",(1-L98)+$W$2,IF(RIGHT(H96,2)="HT",(1-L98)+$W$1,IF(RIGHT(H96,2)="SH",(1-L98)+$W$3,"")))&gt;0,IF(RIGHT(H96,2)="PH",(1-L98)+$W$2,IF(RIGHT(H96,2)="HT",(1-L98)+$W$1,IF(RIGHT(H96,2)="SH",(1-L98)+$W$3,""))),0)</f>
        <v>3.8103905227316492E-2</v>
      </c>
      <c r="W98" s="298"/>
      <c r="X98" s="698">
        <f t="shared" ca="1" si="79"/>
        <v>11</v>
      </c>
      <c r="Y98" s="698">
        <f t="shared" ca="1" si="85"/>
        <v>41</v>
      </c>
      <c r="Z98" s="698">
        <f t="shared" ca="1" si="86"/>
        <v>4</v>
      </c>
      <c r="AA98" s="698">
        <f t="shared" ca="1" si="87"/>
        <v>1</v>
      </c>
      <c r="AB98" s="698">
        <f t="shared" ca="1" si="88"/>
        <v>10</v>
      </c>
      <c r="AC98" s="203"/>
      <c r="AD98" s="81">
        <v>2050</v>
      </c>
      <c r="AE98" s="81"/>
      <c r="AF98" s="705"/>
    </row>
    <row r="99" spans="2:32">
      <c r="B99" s="357" t="s">
        <v>1008</v>
      </c>
      <c r="C99" s="55"/>
      <c r="D99" s="261" t="str">
        <f>"IND"&amp;RIGHT(H99,4)&amp;RIGHT(G99,3)&amp;"N"&amp;RIGHT(E99,1)</f>
        <v>INDWDSHWCHN2</v>
      </c>
      <c r="E99" s="261" t="str">
        <f>"Industrial heating technology "&amp;$AJ$12&amp;" "&amp;RIGHT(H99,2)&amp;" - Wood chip boiler (Steam - condensing) - new 2"</f>
        <v>Industrial heating technology Wood products SH - Wood chip boiler (Steam - condensing) - new 2</v>
      </c>
      <c r="F99" s="224" t="s">
        <v>1149</v>
      </c>
      <c r="G99" s="174" t="s">
        <v>498</v>
      </c>
      <c r="H99" s="174" t="str">
        <f>$AI$15</f>
        <v>IWDSH</v>
      </c>
      <c r="I99" s="174" t="str">
        <f t="shared" si="22"/>
        <v>INDWWH</v>
      </c>
      <c r="J99" s="224">
        <f t="shared" si="32"/>
        <v>2011</v>
      </c>
      <c r="K99" s="299">
        <v>2025</v>
      </c>
      <c r="L99" s="199">
        <f t="shared" ca="1" si="80"/>
        <v>1.1618960947726835</v>
      </c>
      <c r="M99" s="199"/>
      <c r="N99" s="81">
        <f ca="1">VLOOKUP($AD99,INDIRECT("'"&amp;$B99&amp;"'!"&amp;"$P$118:$AD$121"),5,FALSE)</f>
        <v>25</v>
      </c>
      <c r="O99" s="723">
        <f t="shared" ca="1" si="81"/>
        <v>5.0660000000000007</v>
      </c>
      <c r="P99" s="723">
        <f t="shared" ca="1" si="82"/>
        <v>0.27564999999999995</v>
      </c>
      <c r="Q99" s="81">
        <f t="shared" ca="1" si="83"/>
        <v>5.7509861111111107</v>
      </c>
      <c r="R99" s="81">
        <v>3.1536000000000002E-2</v>
      </c>
      <c r="S99" s="199">
        <v>0.5</v>
      </c>
      <c r="T99" s="199">
        <f ca="1">HLOOKUP($T$2,INDIRECT("'"&amp;$B99&amp;"'!"&amp;"$P$85:$AC$98"),IF(H99=$AI$13,6,IF(H99=$AI$14,9,14)),FALSE)</f>
        <v>0</v>
      </c>
      <c r="U99" s="772"/>
      <c r="V99" s="199">
        <f t="shared" ref="V99" ca="1" si="91">IF(IF(RIGHT(H99,2)="PH",(1-L99)+$W$2,IF(RIGHT(H99,2)="HT",(1-L99)+$W$1,IF(RIGHT(H99,2)="SH",(1-L99)+$W$3,"")))&gt;0,IF(RIGHT(H99,2)="PH",(1-L99)+$W$2,IF(RIGHT(H99,2)="HT",(1-L99)+$W$1,IF(RIGHT(H99,2)="SH",(1-L99)+$W$3,""))),0)</f>
        <v>0</v>
      </c>
      <c r="W99" s="298"/>
      <c r="X99" s="698">
        <f t="shared" ca="1" si="79"/>
        <v>11</v>
      </c>
      <c r="Y99" s="698">
        <f t="shared" ca="1" si="85"/>
        <v>63</v>
      </c>
      <c r="Z99" s="698">
        <f t="shared" ca="1" si="86"/>
        <v>11</v>
      </c>
      <c r="AA99" s="698">
        <f t="shared" ca="1" si="87"/>
        <v>3</v>
      </c>
      <c r="AB99" s="698">
        <f t="shared" ca="1" si="88"/>
        <v>10</v>
      </c>
      <c r="AC99" s="296"/>
      <c r="AD99" s="81">
        <v>2020</v>
      </c>
      <c r="AE99" s="81"/>
      <c r="AF99" s="710"/>
    </row>
    <row r="100" spans="2:32">
      <c r="B100" s="357" t="s">
        <v>1008</v>
      </c>
      <c r="C100" s="55"/>
      <c r="D100" s="261"/>
      <c r="E100" s="261"/>
      <c r="F100" s="224" t="s">
        <v>1149</v>
      </c>
      <c r="G100" s="55"/>
      <c r="H100" s="174"/>
      <c r="I100" s="174" t="str">
        <f t="shared" si="22"/>
        <v>INDWWH</v>
      </c>
      <c r="J100" s="224">
        <f t="shared" si="32"/>
        <v>2030</v>
      </c>
      <c r="K100" s="81"/>
      <c r="L100" s="199">
        <f t="shared" ca="1" si="80"/>
        <v>1.1618960947726835</v>
      </c>
      <c r="M100" s="199"/>
      <c r="N100" s="81"/>
      <c r="O100" s="723">
        <f t="shared" ca="1" si="81"/>
        <v>4.8425000000000002</v>
      </c>
      <c r="P100" s="723">
        <f t="shared" ca="1" si="82"/>
        <v>0.267455</v>
      </c>
      <c r="Q100" s="81">
        <f t="shared" ca="1" si="83"/>
        <v>5.8461805555555557</v>
      </c>
      <c r="R100" s="300"/>
      <c r="S100" s="300"/>
      <c r="T100" s="300"/>
      <c r="U100" s="300"/>
      <c r="V100" s="199">
        <f t="shared" ref="V100" ca="1" si="92">IF(IF(RIGHT(H99,2)="PH",(1-L100)+$W$2,IF(RIGHT(H99,2)="HT",(1-L100)+$W$1,IF(RIGHT(H99,2)="SH",(1-L100)+$W$3,"")))&gt;0,IF(RIGHT(H99,2)="PH",(1-L100)+$W$2,IF(RIGHT(H99,2)="HT",(1-L100)+$W$1,IF(RIGHT(H99,2)="SH",(1-L100)+$W$3,""))),0)</f>
        <v>0</v>
      </c>
      <c r="W100" s="298"/>
      <c r="X100" s="698">
        <f t="shared" ca="1" si="79"/>
        <v>11</v>
      </c>
      <c r="Y100" s="698">
        <f t="shared" ca="1" si="85"/>
        <v>49</v>
      </c>
      <c r="Z100" s="698">
        <f t="shared" ca="1" si="86"/>
        <v>8</v>
      </c>
      <c r="AA100" s="698">
        <f t="shared" ca="1" si="87"/>
        <v>3</v>
      </c>
      <c r="AB100" s="698">
        <f t="shared" ca="1" si="88"/>
        <v>10</v>
      </c>
      <c r="AC100" s="55"/>
      <c r="AD100" s="81">
        <v>2030</v>
      </c>
      <c r="AE100" s="81"/>
      <c r="AF100" s="700"/>
    </row>
    <row r="101" spans="2:32">
      <c r="B101" s="356" t="s">
        <v>1008</v>
      </c>
      <c r="C101" s="203"/>
      <c r="D101" s="701"/>
      <c r="E101" s="701"/>
      <c r="F101" s="224" t="s">
        <v>1149</v>
      </c>
      <c r="G101" s="203"/>
      <c r="H101" s="702"/>
      <c r="I101" s="702" t="str">
        <f t="shared" si="22"/>
        <v>INDWWH</v>
      </c>
      <c r="J101" s="224">
        <f t="shared" si="32"/>
        <v>2050</v>
      </c>
      <c r="K101" s="81"/>
      <c r="L101" s="199">
        <f t="shared" ca="1" si="80"/>
        <v>1.1618960947726835</v>
      </c>
      <c r="M101" s="199"/>
      <c r="N101" s="81"/>
      <c r="O101" s="723">
        <f t="shared" ca="1" si="81"/>
        <v>4.3955000000000002</v>
      </c>
      <c r="P101" s="723">
        <f t="shared" ca="1" si="82"/>
        <v>0.25106499999999998</v>
      </c>
      <c r="Q101" s="81">
        <f t="shared" ca="1" si="83"/>
        <v>5.8937777777777782</v>
      </c>
      <c r="R101" s="703"/>
      <c r="S101" s="703"/>
      <c r="T101" s="703"/>
      <c r="U101" s="703"/>
      <c r="V101" s="199">
        <f t="shared" ref="V101" ca="1" si="93">IF(IF(RIGHT(H99,2)="PH",(1-L101)+$W$2,IF(RIGHT(H99,2)="HT",(1-L101)+$W$1,IF(RIGHT(H99,2)="SH",(1-L101)+$W$3,"")))&gt;0,IF(RIGHT(H99,2)="PH",(1-L101)+$W$2,IF(RIGHT(H99,2)="HT",(1-L101)+$W$1,IF(RIGHT(H99,2)="SH",(1-L101)+$W$3,""))),0)</f>
        <v>0</v>
      </c>
      <c r="W101" s="704"/>
      <c r="X101" s="698">
        <f t="shared" ca="1" si="79"/>
        <v>11</v>
      </c>
      <c r="Y101" s="698">
        <f t="shared" ca="1" si="85"/>
        <v>41</v>
      </c>
      <c r="Z101" s="698">
        <f t="shared" ca="1" si="86"/>
        <v>4</v>
      </c>
      <c r="AA101" s="698">
        <f t="shared" ca="1" si="87"/>
        <v>1</v>
      </c>
      <c r="AB101" s="698">
        <f t="shared" ca="1" si="88"/>
        <v>10</v>
      </c>
      <c r="AC101" s="55"/>
      <c r="AD101" s="81">
        <v>2050</v>
      </c>
      <c r="AE101" s="81"/>
      <c r="AF101" s="700"/>
    </row>
    <row r="102" spans="2:32">
      <c r="B102" s="717" t="s">
        <v>1008</v>
      </c>
      <c r="C102" s="712"/>
      <c r="D102" s="707" t="str">
        <f>"IND"&amp;RIGHT(H102,4)&amp;RIGHT(G102,3)&amp;"N"&amp;RIGHT(E102,1)</f>
        <v>INDWDPHWCHN3</v>
      </c>
      <c r="E102" s="707" t="str">
        <f>"Industrial heating technology "&amp;$AJ$12&amp;" "&amp;RIGHT(H102,2)&amp;" - Wood chip boiler (Hot Water) - new 3"</f>
        <v>Industrial heating technology Wood products PH - Wood chip boiler (Hot Water) - new 3</v>
      </c>
      <c r="F102" s="224" t="s">
        <v>1149</v>
      </c>
      <c r="G102" s="708" t="s">
        <v>498</v>
      </c>
      <c r="H102" s="708" t="str">
        <f>$AI$14</f>
        <v>IWDPH</v>
      </c>
      <c r="I102" s="708" t="str">
        <f t="shared" si="22"/>
        <v>INDWWH</v>
      </c>
      <c r="J102" s="224">
        <f t="shared" si="32"/>
        <v>2011</v>
      </c>
      <c r="K102" s="299">
        <v>2025</v>
      </c>
      <c r="L102" s="199">
        <f t="shared" ref="L102:L107" ca="1" si="94">VLOOKUP($AD102,INDIRECT("'"&amp;$B102&amp;"'!"&amp;"$P$200:$AD$203"),3,FALSE)</f>
        <v>0.9</v>
      </c>
      <c r="M102" s="199"/>
      <c r="N102" s="81">
        <f ca="1">VLOOKUP($AD102,INDIRECT("'"&amp;$B102&amp;"'!"&amp;"$P$200:$AD$203"),5,FALSE)</f>
        <v>25</v>
      </c>
      <c r="O102" s="723">
        <f t="shared" ref="O102:O107" ca="1" si="95">VLOOKUP($AD102,INDIRECT("'"&amp;$B102&amp;"'!"&amp;"$P$200:$AD$203"),6,FALSE)/1000</f>
        <v>4.6054545454545437</v>
      </c>
      <c r="P102" s="723">
        <f t="shared" ref="P102:P107" ca="1" si="96">VLOOKUP($AD102,INDIRECT("'"&amp;$B102&amp;"'!"&amp;"$P$200:$AD$203"),7,FALSE)/1000</f>
        <v>0.25106499999999998</v>
      </c>
      <c r="Q102" s="81">
        <f t="shared" ref="Q102:Q107" ca="1" si="97">VLOOKUP($AD102,INDIRECT("'"&amp;$B102&amp;"'!"&amp;"$P$200:$AD$203"),8,FALSE)</f>
        <v>5.7509861111111107</v>
      </c>
      <c r="R102" s="81">
        <v>3.1536000000000002E-2</v>
      </c>
      <c r="S102" s="199">
        <v>0.5</v>
      </c>
      <c r="T102" s="199">
        <f ca="1">HLOOKUP($T$2,INDIRECT("'"&amp;$B102&amp;"'!"&amp;"$P$167:$AC$180"),IF(H102=$AI$13,6,IF(H102=$AI$14,9,14)),FALSE)</f>
        <v>0</v>
      </c>
      <c r="U102" s="773"/>
      <c r="V102" s="199">
        <f t="shared" ref="V102" ca="1" si="98">IF(IF(RIGHT(H102,2)="PH",(1-L102)+$W$2,IF(RIGHT(H102,2)="HT",(1-L102)+$W$1,IF(RIGHT(H102,2)="SH",(1-L102)+$W$3,"")))&gt;0,IF(RIGHT(H102,2)="PH",(1-L102)+$W$2,IF(RIGHT(H102,2)="HT",(1-L102)+$W$1,IF(RIGHT(H102,2)="SH",(1-L102)+$W$3,""))),0)</f>
        <v>0.3</v>
      </c>
      <c r="W102" s="709"/>
      <c r="X102" s="698">
        <f t="shared" ca="1" si="79"/>
        <v>11</v>
      </c>
      <c r="Y102" s="698">
        <f t="shared" ref="Y102:Y107" ca="1" si="99">VLOOKUP($AD102,INDIRECT("'"&amp;$B102&amp;"'!"&amp;"$P$200:$AD$203"),12,FALSE)</f>
        <v>63</v>
      </c>
      <c r="Z102" s="698">
        <f t="shared" ref="Z102:Z107" ca="1" si="100">VLOOKUP($AD102,INDIRECT("'"&amp;$B102&amp;"'!"&amp;"$P$200:$AD$203"),13,FALSE)</f>
        <v>11</v>
      </c>
      <c r="AA102" s="698">
        <f t="shared" ref="AA102:AA107" ca="1" si="101">VLOOKUP($AD102,INDIRECT("'"&amp;$B102&amp;"'!"&amp;"$P$200:$AD$203"),14,FALSE)</f>
        <v>3</v>
      </c>
      <c r="AB102" s="698">
        <f t="shared" ref="AB102:AB107" ca="1" si="102">VLOOKUP($AD102,INDIRECT("'"&amp;$B102&amp;"'!"&amp;"$P$200:$AD$203"),15,FALSE)</f>
        <v>10</v>
      </c>
      <c r="AC102" s="55"/>
      <c r="AD102" s="81">
        <v>2020</v>
      </c>
      <c r="AE102" s="81"/>
      <c r="AF102" s="700"/>
    </row>
    <row r="103" spans="2:32">
      <c r="B103" s="718" t="s">
        <v>1008</v>
      </c>
      <c r="C103" s="226"/>
      <c r="D103" s="261"/>
      <c r="E103" s="261"/>
      <c r="F103" s="224" t="s">
        <v>1149</v>
      </c>
      <c r="G103" s="55"/>
      <c r="H103" s="174"/>
      <c r="I103" s="174" t="str">
        <f t="shared" si="22"/>
        <v>INDWWH</v>
      </c>
      <c r="J103" s="224">
        <f t="shared" si="32"/>
        <v>2030</v>
      </c>
      <c r="K103" s="81"/>
      <c r="L103" s="199">
        <f t="shared" ca="1" si="94"/>
        <v>0.9</v>
      </c>
      <c r="M103" s="199"/>
      <c r="N103" s="81"/>
      <c r="O103" s="723">
        <f t="shared" ca="1" si="95"/>
        <v>4.4022727272727282</v>
      </c>
      <c r="P103" s="723">
        <f t="shared" ca="1" si="96"/>
        <v>0.267455</v>
      </c>
      <c r="Q103" s="81">
        <f t="shared" ca="1" si="97"/>
        <v>5.8461805555555557</v>
      </c>
      <c r="R103" s="300"/>
      <c r="S103" s="300"/>
      <c r="T103" s="300"/>
      <c r="U103" s="300"/>
      <c r="V103" s="199">
        <f t="shared" ref="V103" ca="1" si="103">IF(IF(RIGHT(H102,2)="PH",(1-L103)+$W$2,IF(RIGHT(H102,2)="HT",(1-L103)+$W$1,IF(RIGHT(H102,2)="SH",(1-L103)+$W$3,"")))&gt;0,IF(RIGHT(H102,2)="PH",(1-L103)+$W$2,IF(RIGHT(H102,2)="HT",(1-L103)+$W$1,IF(RIGHT(H102,2)="SH",(1-L103)+$W$3,""))),0)</f>
        <v>0.3</v>
      </c>
      <c r="W103" s="298"/>
      <c r="X103" s="698">
        <f t="shared" ca="1" si="79"/>
        <v>11</v>
      </c>
      <c r="Y103" s="698">
        <f t="shared" ca="1" si="99"/>
        <v>49</v>
      </c>
      <c r="Z103" s="698">
        <f t="shared" ca="1" si="100"/>
        <v>8</v>
      </c>
      <c r="AA103" s="698">
        <f t="shared" ca="1" si="101"/>
        <v>3</v>
      </c>
      <c r="AB103" s="698">
        <f t="shared" ca="1" si="102"/>
        <v>10</v>
      </c>
      <c r="AC103" s="55"/>
      <c r="AD103" s="81">
        <v>2030</v>
      </c>
      <c r="AE103" s="81"/>
      <c r="AF103" s="700"/>
    </row>
    <row r="104" spans="2:32">
      <c r="B104" s="718" t="s">
        <v>1008</v>
      </c>
      <c r="C104" s="226"/>
      <c r="D104" s="261"/>
      <c r="E104" s="261"/>
      <c r="F104" s="224" t="s">
        <v>1149</v>
      </c>
      <c r="G104" s="55"/>
      <c r="H104" s="174"/>
      <c r="I104" s="174" t="str">
        <f t="shared" si="22"/>
        <v>INDWWH</v>
      </c>
      <c r="J104" s="224">
        <f t="shared" si="32"/>
        <v>2050</v>
      </c>
      <c r="K104" s="81"/>
      <c r="L104" s="199">
        <f t="shared" ca="1" si="94"/>
        <v>0.91</v>
      </c>
      <c r="M104" s="199"/>
      <c r="N104" s="81"/>
      <c r="O104" s="723">
        <f t="shared" ca="1" si="95"/>
        <v>3.9959090909090884</v>
      </c>
      <c r="P104" s="723">
        <f t="shared" ca="1" si="96"/>
        <v>0.25106499999999998</v>
      </c>
      <c r="Q104" s="81">
        <f t="shared" ca="1" si="97"/>
        <v>5.8937777777777782</v>
      </c>
      <c r="R104" s="300"/>
      <c r="S104" s="300"/>
      <c r="T104" s="300"/>
      <c r="U104" s="300"/>
      <c r="V104" s="199">
        <f t="shared" ref="V104" ca="1" si="104">IF(IF(RIGHT(H102,2)="PH",(1-L104)+$W$2,IF(RIGHT(H102,2)="HT",(1-L104)+$W$1,IF(RIGHT(H102,2)="SH",(1-L104)+$W$3,"")))&gt;0,IF(RIGHT(H102,2)="PH",(1-L104)+$W$2,IF(RIGHT(H102,2)="HT",(1-L104)+$W$1,IF(RIGHT(H102,2)="SH",(1-L104)+$W$3,""))),0)</f>
        <v>0.28999999999999998</v>
      </c>
      <c r="W104" s="298"/>
      <c r="X104" s="698">
        <f t="shared" ca="1" si="79"/>
        <v>11</v>
      </c>
      <c r="Y104" s="698">
        <f t="shared" ca="1" si="99"/>
        <v>41</v>
      </c>
      <c r="Z104" s="698">
        <f t="shared" ca="1" si="100"/>
        <v>4</v>
      </c>
      <c r="AA104" s="698">
        <f t="shared" ca="1" si="101"/>
        <v>1</v>
      </c>
      <c r="AB104" s="698">
        <f t="shared" ca="1" si="102"/>
        <v>10</v>
      </c>
      <c r="AC104" s="203"/>
      <c r="AD104" s="81">
        <v>2050</v>
      </c>
      <c r="AE104" s="81"/>
      <c r="AF104" s="705"/>
    </row>
    <row r="105" spans="2:32">
      <c r="B105" s="718" t="s">
        <v>1008</v>
      </c>
      <c r="C105" s="226"/>
      <c r="D105" s="261" t="str">
        <f>"IND"&amp;RIGHT(H105,4)&amp;RIGHT(G105,3)&amp;"N"&amp;RIGHT(E105,1)</f>
        <v>INDWDSHWCHN3</v>
      </c>
      <c r="E105" s="261" t="str">
        <f>"Industrial heating technology "&amp;$AJ$12&amp;" "&amp;RIGHT(H105,2)&amp;" - Wood chip boiler (Hot Water) - new 3"</f>
        <v>Industrial heating technology Wood products SH - Wood chip boiler (Hot Water) - new 3</v>
      </c>
      <c r="F105" s="224" t="s">
        <v>1149</v>
      </c>
      <c r="G105" s="174" t="s">
        <v>498</v>
      </c>
      <c r="H105" s="174" t="str">
        <f>$AI$15</f>
        <v>IWDSH</v>
      </c>
      <c r="I105" s="174" t="str">
        <f t="shared" si="22"/>
        <v>INDWWH</v>
      </c>
      <c r="J105" s="224">
        <f t="shared" si="32"/>
        <v>2011</v>
      </c>
      <c r="K105" s="299">
        <v>2025</v>
      </c>
      <c r="L105" s="199">
        <f t="shared" ca="1" si="94"/>
        <v>0.9</v>
      </c>
      <c r="M105" s="199"/>
      <c r="N105" s="81">
        <f ca="1">VLOOKUP($AD105,INDIRECT("'"&amp;$B105&amp;"'!"&amp;"$P$200:$AD$203"),5,FALSE)</f>
        <v>25</v>
      </c>
      <c r="O105" s="723">
        <f t="shared" ca="1" si="95"/>
        <v>4.6054545454545437</v>
      </c>
      <c r="P105" s="723">
        <f t="shared" ca="1" si="96"/>
        <v>0.25106499999999998</v>
      </c>
      <c r="Q105" s="81">
        <f t="shared" ca="1" si="97"/>
        <v>5.7509861111111107</v>
      </c>
      <c r="R105" s="81">
        <v>3.1536000000000002E-2</v>
      </c>
      <c r="S105" s="199">
        <v>0.5</v>
      </c>
      <c r="T105" s="199">
        <f ca="1">HLOOKUP($T$2,INDIRECT("'"&amp;$B105&amp;"'!"&amp;"$P$167:$AC$180"),IF(H105=$AI$13,6,IF(H105=$AI$14,9,14)),FALSE)</f>
        <v>1</v>
      </c>
      <c r="U105" s="773"/>
      <c r="V105" s="199">
        <f t="shared" ref="V105" ca="1" si="105">IF(IF(RIGHT(H105,2)="PH",(1-L105)+$W$2,IF(RIGHT(H105,2)="HT",(1-L105)+$W$1,IF(RIGHT(H105,2)="SH",(1-L105)+$W$3,"")))&gt;0,IF(RIGHT(H105,2)="PH",(1-L105)+$W$2,IF(RIGHT(H105,2)="HT",(1-L105)+$W$1,IF(RIGHT(H105,2)="SH",(1-L105)+$W$3,""))),0)</f>
        <v>9.9999999999999978E-2</v>
      </c>
      <c r="W105" s="709"/>
      <c r="X105" s="698">
        <f t="shared" ca="1" si="79"/>
        <v>11</v>
      </c>
      <c r="Y105" s="698">
        <f t="shared" ca="1" si="99"/>
        <v>63</v>
      </c>
      <c r="Z105" s="698">
        <f t="shared" ca="1" si="100"/>
        <v>11</v>
      </c>
      <c r="AA105" s="698">
        <f t="shared" ca="1" si="101"/>
        <v>3</v>
      </c>
      <c r="AB105" s="698">
        <f t="shared" ca="1" si="102"/>
        <v>10</v>
      </c>
      <c r="AC105" s="296"/>
      <c r="AD105" s="81">
        <v>2020</v>
      </c>
      <c r="AE105" s="81"/>
      <c r="AF105" s="710"/>
    </row>
    <row r="106" spans="2:32">
      <c r="B106" s="718" t="s">
        <v>1008</v>
      </c>
      <c r="C106" s="226"/>
      <c r="D106" s="261"/>
      <c r="E106" s="261"/>
      <c r="F106" s="224" t="s">
        <v>1149</v>
      </c>
      <c r="G106" s="55"/>
      <c r="H106" s="174"/>
      <c r="I106" s="174" t="str">
        <f t="shared" si="22"/>
        <v>INDWWH</v>
      </c>
      <c r="J106" s="224">
        <f t="shared" si="32"/>
        <v>2030</v>
      </c>
      <c r="K106" s="81"/>
      <c r="L106" s="199">
        <f t="shared" ca="1" si="94"/>
        <v>0.9</v>
      </c>
      <c r="M106" s="199"/>
      <c r="N106" s="81"/>
      <c r="O106" s="723">
        <f t="shared" ca="1" si="95"/>
        <v>4.4022727272727282</v>
      </c>
      <c r="P106" s="723">
        <f t="shared" ca="1" si="96"/>
        <v>0.267455</v>
      </c>
      <c r="Q106" s="81">
        <f t="shared" ca="1" si="97"/>
        <v>5.8461805555555557</v>
      </c>
      <c r="R106" s="300"/>
      <c r="S106" s="300"/>
      <c r="T106" s="300"/>
      <c r="U106" s="300"/>
      <c r="V106" s="199">
        <f t="shared" ref="V106" ca="1" si="106">IF(IF(RIGHT(H105,2)="PH",(1-L106)+$W$2,IF(RIGHT(H105,2)="HT",(1-L106)+$W$1,IF(RIGHT(H105,2)="SH",(1-L106)+$W$3,"")))&gt;0,IF(RIGHT(H105,2)="PH",(1-L106)+$W$2,IF(RIGHT(H105,2)="HT",(1-L106)+$W$1,IF(RIGHT(H105,2)="SH",(1-L106)+$W$3,""))),0)</f>
        <v>9.9999999999999978E-2</v>
      </c>
      <c r="W106" s="298"/>
      <c r="X106" s="698">
        <f t="shared" ca="1" si="79"/>
        <v>11</v>
      </c>
      <c r="Y106" s="698">
        <f t="shared" ca="1" si="99"/>
        <v>49</v>
      </c>
      <c r="Z106" s="698">
        <f t="shared" ca="1" si="100"/>
        <v>8</v>
      </c>
      <c r="AA106" s="698">
        <f t="shared" ca="1" si="101"/>
        <v>3</v>
      </c>
      <c r="AB106" s="698">
        <f t="shared" ca="1" si="102"/>
        <v>10</v>
      </c>
      <c r="AC106" s="55"/>
      <c r="AD106" s="81">
        <v>2030</v>
      </c>
      <c r="AE106" s="81"/>
      <c r="AF106" s="700"/>
    </row>
    <row r="107" spans="2:32">
      <c r="B107" s="719" t="s">
        <v>1008</v>
      </c>
      <c r="C107" s="713"/>
      <c r="D107" s="701"/>
      <c r="E107" s="701"/>
      <c r="F107" s="224" t="s">
        <v>1149</v>
      </c>
      <c r="G107" s="203"/>
      <c r="H107" s="702"/>
      <c r="I107" s="702" t="str">
        <f t="shared" si="22"/>
        <v>INDWWH</v>
      </c>
      <c r="J107" s="224">
        <f t="shared" si="32"/>
        <v>2050</v>
      </c>
      <c r="K107" s="81"/>
      <c r="L107" s="199">
        <f t="shared" ca="1" si="94"/>
        <v>0.91</v>
      </c>
      <c r="M107" s="199"/>
      <c r="N107" s="81"/>
      <c r="O107" s="723">
        <f t="shared" ca="1" si="95"/>
        <v>3.9959090909090884</v>
      </c>
      <c r="P107" s="723">
        <f t="shared" ca="1" si="96"/>
        <v>0.25106499999999998</v>
      </c>
      <c r="Q107" s="81">
        <f t="shared" ca="1" si="97"/>
        <v>5.8937777777777782</v>
      </c>
      <c r="R107" s="300"/>
      <c r="S107" s="300"/>
      <c r="T107" s="300"/>
      <c r="U107" s="300"/>
      <c r="V107" s="199">
        <f t="shared" ref="V107" ca="1" si="107">IF(IF(RIGHT(H105,2)="PH",(1-L107)+$W$2,IF(RIGHT(H105,2)="HT",(1-L107)+$W$1,IF(RIGHT(H105,2)="SH",(1-L107)+$W$3,"")))&gt;0,IF(RIGHT(H105,2)="PH",(1-L107)+$W$2,IF(RIGHT(H105,2)="HT",(1-L107)+$W$1,IF(RIGHT(H105,2)="SH",(1-L107)+$W$3,""))),0)</f>
        <v>8.9999999999999969E-2</v>
      </c>
      <c r="W107" s="298"/>
      <c r="X107" s="698">
        <f t="shared" ca="1" si="79"/>
        <v>11</v>
      </c>
      <c r="Y107" s="698">
        <f t="shared" ca="1" si="99"/>
        <v>41</v>
      </c>
      <c r="Z107" s="698">
        <f t="shared" ca="1" si="100"/>
        <v>4</v>
      </c>
      <c r="AA107" s="698">
        <f t="shared" ca="1" si="101"/>
        <v>1</v>
      </c>
      <c r="AB107" s="698">
        <f t="shared" ca="1" si="102"/>
        <v>10</v>
      </c>
      <c r="AC107" s="55"/>
      <c r="AD107" s="81">
        <v>2050</v>
      </c>
      <c r="AE107" s="81"/>
      <c r="AF107" s="700"/>
    </row>
    <row r="108" spans="2:32">
      <c r="B108" s="717" t="s">
        <v>1008</v>
      </c>
      <c r="C108" s="712"/>
      <c r="D108" s="707" t="str">
        <f>"IND"&amp;RIGHT(H108,4)&amp;RIGHT(G108,3)&amp;"N"&amp;RIGHT(E108,1)</f>
        <v>INDWDPHWCHN4</v>
      </c>
      <c r="E108" s="707" t="str">
        <f>"Industrial heating technology "&amp;$AJ$12&amp;" "&amp;RIGHT(H108,2)&amp;" - Wood chip boiler (Hot Water - condensing) - new 4"</f>
        <v>Industrial heating technology Wood products PH - Wood chip boiler (Hot Water - condensing) - new 4</v>
      </c>
      <c r="F108" s="224" t="s">
        <v>1149</v>
      </c>
      <c r="G108" s="708" t="s">
        <v>498</v>
      </c>
      <c r="H108" s="708" t="str">
        <f>$AI$14</f>
        <v>IWDPH</v>
      </c>
      <c r="I108" s="708" t="str">
        <f t="shared" si="22"/>
        <v>INDWWH</v>
      </c>
      <c r="J108" s="224">
        <f t="shared" si="32"/>
        <v>2011</v>
      </c>
      <c r="K108" s="299">
        <v>2025</v>
      </c>
      <c r="L108" s="199">
        <f t="shared" ref="L108:L113" ca="1" si="108">VLOOKUP($AD108,INDIRECT("'"&amp;$B108&amp;"'!"&amp;"$P$279:$AD$282"),3,FALSE)</f>
        <v>1.1618960947726835</v>
      </c>
      <c r="M108" s="199"/>
      <c r="N108" s="81">
        <f ca="1">VLOOKUP($AD108,INDIRECT("'"&amp;$B108&amp;"'!"&amp;"$P$279:$AD$282"),5,FALSE)</f>
        <v>25</v>
      </c>
      <c r="O108" s="723">
        <f t="shared" ref="O108:O113" ca="1" si="109">VLOOKUP($AD108,INDIRECT("'"&amp;$B108&amp;"'!"&amp;"$P$279:$AD$282"),6,FALSE)/1000</f>
        <v>5.0660000000000007</v>
      </c>
      <c r="P108" s="723">
        <f t="shared" ref="P108:P113" ca="1" si="110">VLOOKUP($AD108,INDIRECT("'"&amp;$B108&amp;"'!"&amp;"$P$279:$AD$282"),7,FALSE)/1000</f>
        <v>0.27564999999999995</v>
      </c>
      <c r="Q108" s="81">
        <f t="shared" ref="Q108:Q113" ca="1" si="111">VLOOKUP($AD108,INDIRECT("'"&amp;$B108&amp;"'!"&amp;"$P$279:$AD$282"),8,FALSE)</f>
        <v>5.7509861111111107</v>
      </c>
      <c r="R108" s="81">
        <v>3.1536000000000002E-2</v>
      </c>
      <c r="S108" s="199">
        <v>0.5</v>
      </c>
      <c r="T108" s="199">
        <f ca="1">HLOOKUP($T$2,INDIRECT("'"&amp;$B108&amp;"'!"&amp;"$P$246:$AC$259"),IF(H108=$AI$13,6,IF(H108=$AI$14,9,14)),FALSE)</f>
        <v>0</v>
      </c>
      <c r="U108" s="773"/>
      <c r="V108" s="199">
        <f t="shared" ref="V108" ca="1" si="112">IF(IF(RIGHT(H108,2)="PH",(1-L108)+$W$2,IF(RIGHT(H108,2)="HT",(1-L108)+$W$1,IF(RIGHT(H108,2)="SH",(1-L108)+$W$3,"")))&gt;0,IF(RIGHT(H108,2)="PH",(1-L108)+$W$2,IF(RIGHT(H108,2)="HT",(1-L108)+$W$1,IF(RIGHT(H108,2)="SH",(1-L108)+$W$3,""))),0)</f>
        <v>3.8103905227316492E-2</v>
      </c>
      <c r="W108" s="709"/>
      <c r="X108" s="698">
        <f t="shared" ca="1" si="79"/>
        <v>11</v>
      </c>
      <c r="Y108" s="698">
        <f t="shared" ref="Y108:Y113" ca="1" si="113">VLOOKUP($AD108,INDIRECT("'"&amp;$B108&amp;"'!"&amp;"$P$279:$AD$282"),12,FALSE)</f>
        <v>63</v>
      </c>
      <c r="Z108" s="698">
        <f t="shared" ref="Z108:Z113" ca="1" si="114">VLOOKUP($AD108,INDIRECT("'"&amp;$B108&amp;"'!"&amp;"$P$279:$AD$282"),13,FALSE)</f>
        <v>11</v>
      </c>
      <c r="AA108" s="698">
        <f t="shared" ref="AA108:AA113" ca="1" si="115">VLOOKUP($AD108,INDIRECT("'"&amp;$B108&amp;"'!"&amp;"$P$279:$AD$282"),14,FALSE)</f>
        <v>3</v>
      </c>
      <c r="AB108" s="698">
        <f t="shared" ref="AB108:AB113" ca="1" si="116">VLOOKUP($AD108,INDIRECT("'"&amp;$B108&amp;"'!"&amp;"$P$279:$AD$282"),15,FALSE)</f>
        <v>10</v>
      </c>
      <c r="AC108" s="55"/>
      <c r="AD108" s="81">
        <v>2020</v>
      </c>
      <c r="AE108" s="81"/>
      <c r="AF108" s="700"/>
    </row>
    <row r="109" spans="2:32">
      <c r="B109" s="718" t="s">
        <v>1008</v>
      </c>
      <c r="C109" s="226"/>
      <c r="D109" s="261"/>
      <c r="E109" s="261"/>
      <c r="F109" s="224" t="s">
        <v>1149</v>
      </c>
      <c r="G109" s="55"/>
      <c r="H109" s="174"/>
      <c r="I109" s="174" t="str">
        <f t="shared" si="22"/>
        <v>INDWWH</v>
      </c>
      <c r="J109" s="224">
        <f t="shared" si="32"/>
        <v>2030</v>
      </c>
      <c r="K109" s="81"/>
      <c r="L109" s="199">
        <f t="shared" ca="1" si="108"/>
        <v>1.1618960947726835</v>
      </c>
      <c r="M109" s="199"/>
      <c r="N109" s="81"/>
      <c r="O109" s="723">
        <f t="shared" ca="1" si="109"/>
        <v>4.8425000000000002</v>
      </c>
      <c r="P109" s="723">
        <f t="shared" ca="1" si="110"/>
        <v>0.267455</v>
      </c>
      <c r="Q109" s="81">
        <f t="shared" ca="1" si="111"/>
        <v>5.8461805555555557</v>
      </c>
      <c r="R109" s="300"/>
      <c r="S109" s="300"/>
      <c r="T109" s="300"/>
      <c r="U109" s="300"/>
      <c r="V109" s="199">
        <f t="shared" ref="V109" ca="1" si="117">IF(IF(RIGHT(H108,2)="PH",(1-L109)+$W$2,IF(RIGHT(H108,2)="HT",(1-L109)+$W$1,IF(RIGHT(H108,2)="SH",(1-L109)+$W$3,"")))&gt;0,IF(RIGHT(H108,2)="PH",(1-L109)+$W$2,IF(RIGHT(H108,2)="HT",(1-L109)+$W$1,IF(RIGHT(H108,2)="SH",(1-L109)+$W$3,""))),0)</f>
        <v>3.8103905227316492E-2</v>
      </c>
      <c r="W109" s="298"/>
      <c r="X109" s="698">
        <f t="shared" ca="1" si="79"/>
        <v>11</v>
      </c>
      <c r="Y109" s="698">
        <f t="shared" ca="1" si="113"/>
        <v>49</v>
      </c>
      <c r="Z109" s="698">
        <f t="shared" ca="1" si="114"/>
        <v>8</v>
      </c>
      <c r="AA109" s="698">
        <f t="shared" ca="1" si="115"/>
        <v>3</v>
      </c>
      <c r="AB109" s="698">
        <f t="shared" ca="1" si="116"/>
        <v>10</v>
      </c>
      <c r="AC109" s="55"/>
      <c r="AD109" s="81">
        <v>2030</v>
      </c>
      <c r="AE109" s="81"/>
      <c r="AF109" s="700"/>
    </row>
    <row r="110" spans="2:32">
      <c r="B110" s="718" t="s">
        <v>1008</v>
      </c>
      <c r="C110" s="226"/>
      <c r="D110" s="261"/>
      <c r="E110" s="261"/>
      <c r="F110" s="224" t="s">
        <v>1149</v>
      </c>
      <c r="G110" s="55"/>
      <c r="H110" s="174"/>
      <c r="I110" s="174" t="str">
        <f t="shared" si="22"/>
        <v>INDWWH</v>
      </c>
      <c r="J110" s="224">
        <f t="shared" si="32"/>
        <v>2050</v>
      </c>
      <c r="K110" s="81"/>
      <c r="L110" s="199">
        <f t="shared" ca="1" si="108"/>
        <v>1.1618960947726835</v>
      </c>
      <c r="M110" s="199"/>
      <c r="N110" s="81"/>
      <c r="O110" s="723">
        <f t="shared" ca="1" si="109"/>
        <v>4.3955000000000002</v>
      </c>
      <c r="P110" s="723">
        <f t="shared" ca="1" si="110"/>
        <v>0.25106499999999998</v>
      </c>
      <c r="Q110" s="81">
        <f t="shared" ca="1" si="111"/>
        <v>5.8937777777777782</v>
      </c>
      <c r="R110" s="300"/>
      <c r="S110" s="300"/>
      <c r="T110" s="300"/>
      <c r="U110" s="300"/>
      <c r="V110" s="199">
        <f t="shared" ref="V110" ca="1" si="118">IF(IF(RIGHT(H108,2)="PH",(1-L110)+$W$2,IF(RIGHT(H108,2)="HT",(1-L110)+$W$1,IF(RIGHT(H108,2)="SH",(1-L110)+$W$3,"")))&gt;0,IF(RIGHT(H108,2)="PH",(1-L110)+$W$2,IF(RIGHT(H108,2)="HT",(1-L110)+$W$1,IF(RIGHT(H108,2)="SH",(1-L110)+$W$3,""))),0)</f>
        <v>3.8103905227316492E-2</v>
      </c>
      <c r="W110" s="298"/>
      <c r="X110" s="698">
        <f t="shared" ca="1" si="79"/>
        <v>11</v>
      </c>
      <c r="Y110" s="698">
        <f t="shared" ca="1" si="113"/>
        <v>41</v>
      </c>
      <c r="Z110" s="698">
        <f t="shared" ca="1" si="114"/>
        <v>4</v>
      </c>
      <c r="AA110" s="698">
        <f t="shared" ca="1" si="115"/>
        <v>1</v>
      </c>
      <c r="AB110" s="698">
        <f t="shared" ca="1" si="116"/>
        <v>10</v>
      </c>
      <c r="AC110" s="203"/>
      <c r="AD110" s="81">
        <v>2050</v>
      </c>
      <c r="AE110" s="81"/>
      <c r="AF110" s="705"/>
    </row>
    <row r="111" spans="2:32">
      <c r="B111" s="718" t="s">
        <v>1008</v>
      </c>
      <c r="C111" s="226"/>
      <c r="D111" s="261" t="str">
        <f>"IND"&amp;RIGHT(H111,4)&amp;RIGHT(G111,3)&amp;"N"&amp;RIGHT(E111,1)</f>
        <v>INDWDSHWCHN4</v>
      </c>
      <c r="E111" s="261" t="str">
        <f>"Industrial heating technology "&amp;$AJ$12&amp;" "&amp;RIGHT(H111,2)&amp;" - Wood chip boiler (Hot Water- condensing) - new 4"</f>
        <v>Industrial heating technology Wood products SH - Wood chip boiler (Hot Water- condensing) - new 4</v>
      </c>
      <c r="F111" s="224" t="s">
        <v>1149</v>
      </c>
      <c r="G111" s="174" t="s">
        <v>498</v>
      </c>
      <c r="H111" s="174" t="str">
        <f>$AI$15</f>
        <v>IWDSH</v>
      </c>
      <c r="I111" s="174" t="str">
        <f t="shared" si="22"/>
        <v>INDWWH</v>
      </c>
      <c r="J111" s="224">
        <f t="shared" si="32"/>
        <v>2011</v>
      </c>
      <c r="K111" s="299">
        <v>2025</v>
      </c>
      <c r="L111" s="199">
        <f t="shared" ca="1" si="108"/>
        <v>1.1618960947726835</v>
      </c>
      <c r="M111" s="199"/>
      <c r="N111" s="81">
        <f ca="1">VLOOKUP($AD111,INDIRECT("'"&amp;$B111&amp;"'!"&amp;"$P$279:$AD$282"),5,FALSE)</f>
        <v>25</v>
      </c>
      <c r="O111" s="723">
        <f t="shared" ca="1" si="109"/>
        <v>5.0660000000000007</v>
      </c>
      <c r="P111" s="723">
        <f t="shared" ca="1" si="110"/>
        <v>0.27564999999999995</v>
      </c>
      <c r="Q111" s="81">
        <f t="shared" ca="1" si="111"/>
        <v>5.7509861111111107</v>
      </c>
      <c r="R111" s="81">
        <v>3.1536000000000002E-2</v>
      </c>
      <c r="S111" s="199">
        <v>0.5</v>
      </c>
      <c r="T111" s="199">
        <f ca="1">HLOOKUP($T$2,INDIRECT("'"&amp;$B111&amp;"'!"&amp;"$P$246:$AC$259"),IF(H111=$AI$13,6,IF(H111=$AI$14,9,14)),FALSE)</f>
        <v>0</v>
      </c>
      <c r="U111" s="773"/>
      <c r="V111" s="199">
        <f t="shared" ref="V111" ca="1" si="119">IF(IF(RIGHT(H111,2)="PH",(1-L111)+$W$2,IF(RIGHT(H111,2)="HT",(1-L111)+$W$1,IF(RIGHT(H111,2)="SH",(1-L111)+$W$3,"")))&gt;0,IF(RIGHT(H111,2)="PH",(1-L111)+$W$2,IF(RIGHT(H111,2)="HT",(1-L111)+$W$1,IF(RIGHT(H111,2)="SH",(1-L111)+$W$3,""))),0)</f>
        <v>0</v>
      </c>
      <c r="W111" s="709"/>
      <c r="X111" s="698">
        <f t="shared" ca="1" si="79"/>
        <v>11</v>
      </c>
      <c r="Y111" s="698">
        <f t="shared" ca="1" si="113"/>
        <v>63</v>
      </c>
      <c r="Z111" s="698">
        <f t="shared" ca="1" si="114"/>
        <v>11</v>
      </c>
      <c r="AA111" s="698">
        <f t="shared" ca="1" si="115"/>
        <v>3</v>
      </c>
      <c r="AB111" s="698">
        <f t="shared" ca="1" si="116"/>
        <v>10</v>
      </c>
      <c r="AD111" s="81">
        <v>2020</v>
      </c>
      <c r="AE111" s="81"/>
      <c r="AF111" s="220"/>
    </row>
    <row r="112" spans="2:32">
      <c r="B112" s="718" t="s">
        <v>1008</v>
      </c>
      <c r="C112" s="226"/>
      <c r="D112" s="261"/>
      <c r="E112" s="261"/>
      <c r="F112" s="224" t="s">
        <v>1149</v>
      </c>
      <c r="G112" s="55"/>
      <c r="H112" s="174"/>
      <c r="I112" s="174" t="str">
        <f t="shared" si="22"/>
        <v>INDWWH</v>
      </c>
      <c r="J112" s="224">
        <f t="shared" si="32"/>
        <v>2030</v>
      </c>
      <c r="K112" s="81"/>
      <c r="L112" s="199">
        <f t="shared" ca="1" si="108"/>
        <v>1.1618960947726835</v>
      </c>
      <c r="M112" s="199"/>
      <c r="N112" s="81"/>
      <c r="O112" s="723">
        <f t="shared" ca="1" si="109"/>
        <v>4.8425000000000002</v>
      </c>
      <c r="P112" s="723">
        <f t="shared" ca="1" si="110"/>
        <v>0.267455</v>
      </c>
      <c r="Q112" s="81">
        <f t="shared" ca="1" si="111"/>
        <v>5.8461805555555557</v>
      </c>
      <c r="R112" s="300"/>
      <c r="S112" s="300"/>
      <c r="T112" s="300"/>
      <c r="U112" s="300"/>
      <c r="V112" s="199">
        <f t="shared" ref="V112" ca="1" si="120">IF(IF(RIGHT(H111,2)="PH",(1-L112)+$W$2,IF(RIGHT(H111,2)="HT",(1-L112)+$W$1,IF(RIGHT(H111,2)="SH",(1-L112)+$W$3,"")))&gt;0,IF(RIGHT(H111,2)="PH",(1-L112)+$W$2,IF(RIGHT(H111,2)="HT",(1-L112)+$W$1,IF(RIGHT(H111,2)="SH",(1-L112)+$W$3,""))),0)</f>
        <v>0</v>
      </c>
      <c r="W112" s="298"/>
      <c r="X112" s="698">
        <f t="shared" ca="1" si="79"/>
        <v>11</v>
      </c>
      <c r="Y112" s="698">
        <f t="shared" ca="1" si="113"/>
        <v>49</v>
      </c>
      <c r="Z112" s="698">
        <f t="shared" ca="1" si="114"/>
        <v>8</v>
      </c>
      <c r="AA112" s="698">
        <f t="shared" ca="1" si="115"/>
        <v>3</v>
      </c>
      <c r="AB112" s="698">
        <f t="shared" ca="1" si="116"/>
        <v>10</v>
      </c>
      <c r="AD112" s="81">
        <v>2030</v>
      </c>
      <c r="AE112" s="81"/>
      <c r="AF112" s="220"/>
    </row>
    <row r="113" spans="2:32">
      <c r="B113" s="719" t="s">
        <v>1008</v>
      </c>
      <c r="C113" s="713"/>
      <c r="D113" s="701"/>
      <c r="E113" s="701"/>
      <c r="F113" s="224" t="s">
        <v>1149</v>
      </c>
      <c r="G113" s="203"/>
      <c r="H113" s="702"/>
      <c r="I113" s="702" t="str">
        <f t="shared" si="22"/>
        <v>INDWWH</v>
      </c>
      <c r="J113" s="224">
        <f t="shared" si="32"/>
        <v>2050</v>
      </c>
      <c r="K113" s="81"/>
      <c r="L113" s="199">
        <f t="shared" ca="1" si="108"/>
        <v>1.1618960947726835</v>
      </c>
      <c r="M113" s="199"/>
      <c r="N113" s="81"/>
      <c r="O113" s="723">
        <f t="shared" ca="1" si="109"/>
        <v>4.3955000000000002</v>
      </c>
      <c r="P113" s="723">
        <f t="shared" ca="1" si="110"/>
        <v>0.25106499999999998</v>
      </c>
      <c r="Q113" s="81">
        <f t="shared" ca="1" si="111"/>
        <v>5.8937777777777782</v>
      </c>
      <c r="R113" s="300"/>
      <c r="S113" s="300"/>
      <c r="T113" s="300"/>
      <c r="U113" s="300"/>
      <c r="V113" s="199">
        <f t="shared" ref="V113" ca="1" si="121">IF(IF(RIGHT(H111,2)="PH",(1-L113)+$W$2,IF(RIGHT(H111,2)="HT",(1-L113)+$W$1,IF(RIGHT(H111,2)="SH",(1-L113)+$W$3,"")))&gt;0,IF(RIGHT(H111,2)="PH",(1-L113)+$W$2,IF(RIGHT(H111,2)="HT",(1-L113)+$W$1,IF(RIGHT(H111,2)="SH",(1-L113)+$W$3,""))),0)</f>
        <v>0</v>
      </c>
      <c r="W113" s="714"/>
      <c r="X113" s="698">
        <f t="shared" ca="1" si="79"/>
        <v>11</v>
      </c>
      <c r="Y113" s="698">
        <f t="shared" ca="1" si="113"/>
        <v>41</v>
      </c>
      <c r="Z113" s="698">
        <f t="shared" ca="1" si="114"/>
        <v>4</v>
      </c>
      <c r="AA113" s="698">
        <f t="shared" ca="1" si="115"/>
        <v>1</v>
      </c>
      <c r="AB113" s="698">
        <f t="shared" ca="1" si="116"/>
        <v>10</v>
      </c>
      <c r="AD113" s="81">
        <v>2050</v>
      </c>
      <c r="AE113" s="81"/>
      <c r="AF113" s="220"/>
    </row>
    <row r="114" spans="2:32">
      <c r="B114" s="718" t="s">
        <v>1014</v>
      </c>
      <c r="C114" s="226"/>
      <c r="D114" s="212" t="str">
        <f>"IND"&amp;RIGHT(H114,4)&amp;RIGHT(G114,3)&amp;"N"&amp;RIGHT(E114,2)</f>
        <v>INDWDPHELCN10</v>
      </c>
      <c r="E114" s="261" t="str">
        <f>"Industrial heating technology "&amp;$AJ$12&amp;" "&amp;RIGHT(H114,2)&amp;" - Direct electric heating - new 10"</f>
        <v>Industrial heating technology Wood products PH - Direct electric heating - new 10</v>
      </c>
      <c r="F114" s="224" t="s">
        <v>1149</v>
      </c>
      <c r="G114" s="173" t="s">
        <v>499</v>
      </c>
      <c r="H114" s="174" t="str">
        <f>$AI$13</f>
        <v>IWDPH</v>
      </c>
      <c r="I114" s="174" t="str">
        <f t="shared" si="22"/>
        <v>INDWWH</v>
      </c>
      <c r="J114" s="224">
        <f t="shared" si="32"/>
        <v>2011</v>
      </c>
      <c r="K114" s="299">
        <v>2020</v>
      </c>
      <c r="L114" s="199">
        <f t="shared" ref="L114:L128" ca="1" si="122">VLOOKUP($AD114,INDIRECT("'"&amp;$B114&amp;"'!"&amp;"$P$39:$AD$42"),3,FALSE)</f>
        <v>1</v>
      </c>
      <c r="M114" s="199"/>
      <c r="N114" s="81">
        <f ca="1">VLOOKUP($AD114,INDIRECT("'"&amp;$B114&amp;"'!"&amp;"$P$39:$AD$42"),5,FALSE)</f>
        <v>12.5</v>
      </c>
      <c r="O114" s="723">
        <f t="shared" ref="O114:O128" ca="1" si="123">VLOOKUP($AD114,INDIRECT("'"&amp;$B114&amp;"'!"&amp;"$P$39:$AD$42"),6,FALSE)/1000</f>
        <v>0.44700000000000001</v>
      </c>
      <c r="P114" s="723">
        <f t="shared" ref="P114:P128" ca="1" si="124">VLOOKUP($AD114,INDIRECT("'"&amp;$B114&amp;"'!"&amp;"$P$39:$AD$42"),7,FALSE)/1000</f>
        <v>0</v>
      </c>
      <c r="Q114" s="81">
        <f t="shared" ref="Q114:Q128" ca="1" si="125">VLOOKUP($AD114,INDIRECT("'"&amp;$B114&amp;"'!"&amp;"$P$39:$AD$42"),8,FALSE)</f>
        <v>0.37767361111111114</v>
      </c>
      <c r="R114" s="81">
        <v>3.1536000000000002E-2</v>
      </c>
      <c r="S114" s="199">
        <v>0.5</v>
      </c>
      <c r="T114" s="199">
        <f ca="1">HLOOKUP($S$2,INDIRECT("'"&amp;$B114&amp;"'!"&amp;"$P$6:$AC$19"),IF(H114=$AI$13,6,IF(H114=$AI$14,9,14)),FALSE)</f>
        <v>1</v>
      </c>
      <c r="U114" s="772"/>
      <c r="V114" s="199">
        <f t="shared" ref="V114" ca="1" si="126">IF(IF(RIGHT(H114,2)="PH",(1-L114)+$W$2,IF(RIGHT(H114,2)="HT",(1-L114)+$W$1,IF(RIGHT(H114,2)="SH",(1-L114)+$W$3,"")))&gt;0,IF(RIGHT(H114,2)="PH",(1-L114)+$W$2,IF(RIGHT(H114,2)="HT",(1-L114)+$W$1,IF(RIGHT(H114,2)="SH",(1-L114)+$W$3,""))),0)</f>
        <v>0.2</v>
      </c>
      <c r="W114" s="298"/>
      <c r="X114" s="698">
        <f t="shared" ca="1" si="79"/>
        <v>0</v>
      </c>
      <c r="Y114" s="81">
        <f t="shared" ref="Y114:Y128" ca="1" si="127">VLOOKUP($AD114,INDIRECT("'"&amp;$B114&amp;"'!"&amp;"$P$39:$AD$42"),12,FALSE)</f>
        <v>0</v>
      </c>
      <c r="Z114" s="81">
        <f t="shared" ref="Z114:Z128" ca="1" si="128">VLOOKUP($AD114,INDIRECT("'"&amp;$B114&amp;"'!"&amp;"$P$39:$AD$42"),13,FALSE)</f>
        <v>0</v>
      </c>
      <c r="AA114" s="81">
        <f t="shared" ref="AA114:AA128" ca="1" si="129">VLOOKUP($AD114,INDIRECT("'"&amp;$B114&amp;"'!"&amp;"$P$39:$AD$42"),14,FALSE)</f>
        <v>0</v>
      </c>
      <c r="AB114" s="81">
        <f t="shared" ref="AB114:AB128" ca="1" si="130">VLOOKUP($AD114,INDIRECT("'"&amp;$B114&amp;"'!"&amp;"$P$39:$AD$42"),15,FALSE)</f>
        <v>0</v>
      </c>
      <c r="AD114" s="81">
        <v>2020</v>
      </c>
      <c r="AE114" s="81"/>
      <c r="AF114" s="220"/>
    </row>
    <row r="115" spans="2:32">
      <c r="B115" s="718" t="s">
        <v>1014</v>
      </c>
      <c r="C115" s="226"/>
      <c r="D115" s="212"/>
      <c r="E115" s="212"/>
      <c r="F115" s="224" t="s">
        <v>1149</v>
      </c>
      <c r="H115" s="174"/>
      <c r="I115" s="174" t="str">
        <f t="shared" si="22"/>
        <v>INDWWH</v>
      </c>
      <c r="J115" s="224">
        <f t="shared" si="32"/>
        <v>2030</v>
      </c>
      <c r="K115" s="81"/>
      <c r="L115" s="199">
        <f t="shared" ca="1" si="122"/>
        <v>1</v>
      </c>
      <c r="M115" s="199"/>
      <c r="N115" s="81"/>
      <c r="O115" s="723">
        <f t="shared" ca="1" si="123"/>
        <v>0.44700000000000001</v>
      </c>
      <c r="P115" s="723">
        <f t="shared" ca="1" si="124"/>
        <v>0</v>
      </c>
      <c r="Q115" s="81">
        <f t="shared" ca="1" si="125"/>
        <v>0.38802083333333331</v>
      </c>
      <c r="R115" s="300"/>
      <c r="S115" s="300"/>
      <c r="T115" s="300"/>
      <c r="U115" s="300"/>
      <c r="V115" s="199">
        <f t="shared" ref="V115" ca="1" si="131">IF(IF(RIGHT(H114,2)="PH",(1-L115)+$W$2,IF(RIGHT(H114,2)="HT",(1-L115)+$W$1,IF(RIGHT(H114,2)="SH",(1-L115)+$W$3,"")))&gt;0,IF(RIGHT(H114,2)="PH",(1-L115)+$W$2,IF(RIGHT(H114,2)="HT",(1-L115)+$W$1,IF(RIGHT(H114,2)="SH",(1-L115)+$W$3,""))),0)</f>
        <v>0.2</v>
      </c>
      <c r="W115" s="298"/>
      <c r="X115" s="698">
        <f t="shared" ca="1" si="79"/>
        <v>0</v>
      </c>
      <c r="Y115" s="81">
        <f t="shared" ca="1" si="127"/>
        <v>0</v>
      </c>
      <c r="Z115" s="81">
        <f t="shared" ca="1" si="128"/>
        <v>0</v>
      </c>
      <c r="AA115" s="81">
        <f t="shared" ca="1" si="129"/>
        <v>0</v>
      </c>
      <c r="AB115" s="81">
        <f t="shared" ca="1" si="130"/>
        <v>0</v>
      </c>
      <c r="AD115" s="81">
        <v>2030</v>
      </c>
      <c r="AE115" s="81"/>
      <c r="AF115" s="220"/>
    </row>
    <row r="116" spans="2:32">
      <c r="B116" s="718" t="s">
        <v>1014</v>
      </c>
      <c r="C116" s="226"/>
      <c r="D116" s="212"/>
      <c r="E116" s="212"/>
      <c r="F116" s="224" t="s">
        <v>1149</v>
      </c>
      <c r="H116" s="174"/>
      <c r="I116" s="174" t="str">
        <f t="shared" si="22"/>
        <v>INDWWH</v>
      </c>
      <c r="J116" s="224">
        <f t="shared" si="32"/>
        <v>2050</v>
      </c>
      <c r="K116" s="81"/>
      <c r="L116" s="199">
        <f t="shared" ca="1" si="122"/>
        <v>1</v>
      </c>
      <c r="M116" s="199"/>
      <c r="N116" s="81"/>
      <c r="O116" s="723">
        <f t="shared" ca="1" si="123"/>
        <v>0.44700000000000001</v>
      </c>
      <c r="P116" s="723">
        <f t="shared" ca="1" si="124"/>
        <v>0</v>
      </c>
      <c r="Q116" s="81">
        <f t="shared" ca="1" si="125"/>
        <v>0.39319444444444446</v>
      </c>
      <c r="R116" s="300"/>
      <c r="S116" s="300"/>
      <c r="T116" s="300"/>
      <c r="U116" s="300"/>
      <c r="V116" s="199">
        <f t="shared" ref="V116" ca="1" si="132">IF(IF(RIGHT(H114,2)="PH",(1-L116)+$W$2,IF(RIGHT(H114,2)="HT",(1-L116)+$W$1,IF(RIGHT(H114,2)="SH",(1-L116)+$W$3,"")))&gt;0,IF(RIGHT(H114,2)="PH",(1-L116)+$W$2,IF(RIGHT(H114,2)="HT",(1-L116)+$W$1,IF(RIGHT(H114,2)="SH",(1-L116)+$W$3,""))),0)</f>
        <v>0.2</v>
      </c>
      <c r="W116" s="298"/>
      <c r="X116" s="698">
        <f t="shared" ca="1" si="79"/>
        <v>0</v>
      </c>
      <c r="Y116" s="81">
        <f t="shared" ca="1" si="127"/>
        <v>0</v>
      </c>
      <c r="Z116" s="81">
        <f t="shared" ca="1" si="128"/>
        <v>0</v>
      </c>
      <c r="AA116" s="81">
        <f t="shared" ca="1" si="129"/>
        <v>0</v>
      </c>
      <c r="AB116" s="81">
        <f t="shared" ca="1" si="130"/>
        <v>0</v>
      </c>
      <c r="AC116" s="203"/>
      <c r="AD116" s="81">
        <v>2050</v>
      </c>
      <c r="AE116" s="81"/>
      <c r="AF116" s="705"/>
    </row>
    <row r="117" spans="2:32">
      <c r="B117" s="718" t="s">
        <v>1014</v>
      </c>
      <c r="C117" s="226"/>
      <c r="D117" s="212" t="str">
        <f>"IND"&amp;RIGHT(H117,4)&amp;RIGHT(G117,3)&amp;"N"&amp;RIGHT(E117,2)</f>
        <v>INDWDPHELCN10</v>
      </c>
      <c r="E117" s="261" t="str">
        <f>"Industrial heating technology "&amp;$AJ$12&amp;" "&amp;RIGHT(H117,2)&amp;" - Direct electric heating - new 10"</f>
        <v>Industrial heating technology Wood products PH - Direct electric heating - new 10</v>
      </c>
      <c r="F117" s="224" t="s">
        <v>1149</v>
      </c>
      <c r="G117" s="173" t="s">
        <v>499</v>
      </c>
      <c r="H117" s="174" t="str">
        <f>$AI$14</f>
        <v>IWDPH</v>
      </c>
      <c r="I117" s="174" t="str">
        <f t="shared" si="22"/>
        <v>INDWWH</v>
      </c>
      <c r="J117" s="224">
        <f t="shared" si="32"/>
        <v>2011</v>
      </c>
      <c r="K117" s="299">
        <v>2020</v>
      </c>
      <c r="L117" s="199">
        <f t="shared" ca="1" si="122"/>
        <v>1</v>
      </c>
      <c r="M117" s="199"/>
      <c r="N117" s="81">
        <f ca="1">VLOOKUP($AD117,INDIRECT("'"&amp;$B117&amp;"'!"&amp;"$P$39:$AD$42"),5,FALSE)</f>
        <v>12.5</v>
      </c>
      <c r="O117" s="723">
        <f t="shared" ca="1" si="123"/>
        <v>0.44700000000000001</v>
      </c>
      <c r="P117" s="723">
        <f t="shared" ca="1" si="124"/>
        <v>0</v>
      </c>
      <c r="Q117" s="81">
        <f t="shared" ca="1" si="125"/>
        <v>0.37767361111111114</v>
      </c>
      <c r="R117" s="81">
        <v>3.1536000000000002E-2</v>
      </c>
      <c r="S117" s="199">
        <v>0.5</v>
      </c>
      <c r="T117" s="199">
        <f ca="1">HLOOKUP($S$2,INDIRECT("'"&amp;$B117&amp;"'!"&amp;"$P$6:$AC$19"),IF(H117=$AI$13,6,IF(H117=$AI$14,9,14)),FALSE)</f>
        <v>1</v>
      </c>
      <c r="U117" s="772"/>
      <c r="V117" s="199">
        <f t="shared" ref="V117" ca="1" si="133">IF(IF(RIGHT(H117,2)="PH",(1-L117)+$W$2,IF(RIGHT(H117,2)="HT",(1-L117)+$W$1,IF(RIGHT(H117,2)="SH",(1-L117)+$W$3,"")))&gt;0,IF(RIGHT(H117,2)="PH",(1-L117)+$W$2,IF(RIGHT(H117,2)="HT",(1-L117)+$W$1,IF(RIGHT(H117,2)="SH",(1-L117)+$W$3,""))),0)</f>
        <v>0.2</v>
      </c>
      <c r="W117" s="298"/>
      <c r="X117" s="698">
        <f t="shared" ca="1" si="79"/>
        <v>0</v>
      </c>
      <c r="Y117" s="81">
        <f t="shared" ca="1" si="127"/>
        <v>0</v>
      </c>
      <c r="Z117" s="81">
        <f t="shared" ca="1" si="128"/>
        <v>0</v>
      </c>
      <c r="AA117" s="81">
        <f t="shared" ca="1" si="129"/>
        <v>0</v>
      </c>
      <c r="AB117" s="81">
        <f t="shared" ca="1" si="130"/>
        <v>0</v>
      </c>
      <c r="AD117" s="81">
        <v>2020</v>
      </c>
      <c r="AE117" s="299"/>
      <c r="AF117" s="220"/>
    </row>
    <row r="118" spans="2:32">
      <c r="B118" s="718" t="s">
        <v>1014</v>
      </c>
      <c r="C118" s="226"/>
      <c r="D118" s="212"/>
      <c r="E118" s="212"/>
      <c r="F118" s="224" t="s">
        <v>1149</v>
      </c>
      <c r="H118" s="174"/>
      <c r="I118" s="174" t="str">
        <f t="shared" si="22"/>
        <v>INDWWH</v>
      </c>
      <c r="J118" s="224">
        <f t="shared" si="32"/>
        <v>2030</v>
      </c>
      <c r="K118" s="81"/>
      <c r="L118" s="199">
        <f t="shared" ca="1" si="122"/>
        <v>1</v>
      </c>
      <c r="M118" s="199"/>
      <c r="N118" s="81"/>
      <c r="O118" s="723">
        <f t="shared" ca="1" si="123"/>
        <v>0.44700000000000001</v>
      </c>
      <c r="P118" s="723">
        <f t="shared" ca="1" si="124"/>
        <v>0</v>
      </c>
      <c r="Q118" s="81">
        <f t="shared" ca="1" si="125"/>
        <v>0.38802083333333331</v>
      </c>
      <c r="R118" s="300"/>
      <c r="S118" s="300"/>
      <c r="T118" s="300"/>
      <c r="U118" s="300"/>
      <c r="V118" s="199">
        <f t="shared" ref="V118" ca="1" si="134">IF(IF(RIGHT(H117,2)="PH",(1-L118)+$W$2,IF(RIGHT(H117,2)="HT",(1-L118)+$W$1,IF(RIGHT(H117,2)="SH",(1-L118)+$W$3,"")))&gt;0,IF(RIGHT(H117,2)="PH",(1-L118)+$W$2,IF(RIGHT(H117,2)="HT",(1-L118)+$W$1,IF(RIGHT(H117,2)="SH",(1-L118)+$W$3,""))),0)</f>
        <v>0.2</v>
      </c>
      <c r="W118" s="298"/>
      <c r="X118" s="698">
        <f t="shared" ca="1" si="79"/>
        <v>0</v>
      </c>
      <c r="Y118" s="81">
        <f t="shared" ca="1" si="127"/>
        <v>0</v>
      </c>
      <c r="Z118" s="81">
        <f t="shared" ca="1" si="128"/>
        <v>0</v>
      </c>
      <c r="AA118" s="81">
        <f t="shared" ca="1" si="129"/>
        <v>0</v>
      </c>
      <c r="AB118" s="81">
        <f t="shared" ca="1" si="130"/>
        <v>0</v>
      </c>
      <c r="AD118" s="81">
        <v>2030</v>
      </c>
      <c r="AE118" s="81"/>
      <c r="AF118" s="220"/>
    </row>
    <row r="119" spans="2:32">
      <c r="B119" s="719" t="s">
        <v>1014</v>
      </c>
      <c r="C119" s="713"/>
      <c r="D119" s="701"/>
      <c r="E119" s="701"/>
      <c r="F119" s="224" t="s">
        <v>1149</v>
      </c>
      <c r="G119" s="203"/>
      <c r="H119" s="702"/>
      <c r="I119" s="702" t="str">
        <f t="shared" si="22"/>
        <v>INDWWH</v>
      </c>
      <c r="J119" s="224">
        <f t="shared" si="32"/>
        <v>2050</v>
      </c>
      <c r="K119" s="81"/>
      <c r="L119" s="199">
        <f t="shared" ca="1" si="122"/>
        <v>1</v>
      </c>
      <c r="M119" s="199"/>
      <c r="N119" s="81"/>
      <c r="O119" s="723">
        <f t="shared" ca="1" si="123"/>
        <v>0.44700000000000001</v>
      </c>
      <c r="P119" s="723">
        <f t="shared" ca="1" si="124"/>
        <v>0</v>
      </c>
      <c r="Q119" s="81">
        <f t="shared" ca="1" si="125"/>
        <v>0.39319444444444446</v>
      </c>
      <c r="R119" s="703"/>
      <c r="S119" s="703"/>
      <c r="T119" s="703"/>
      <c r="U119" s="703"/>
      <c r="V119" s="199">
        <f t="shared" ref="V119" ca="1" si="135">IF(IF(RIGHT(H117,2)="PH",(1-L119)+$W$2,IF(RIGHT(H117,2)="HT",(1-L119)+$W$1,IF(RIGHT(H117,2)="SH",(1-L119)+$W$3,"")))&gt;0,IF(RIGHT(H117,2)="PH",(1-L119)+$W$2,IF(RIGHT(H117,2)="HT",(1-L119)+$W$1,IF(RIGHT(H117,2)="SH",(1-L119)+$W$3,""))),0)</f>
        <v>0.2</v>
      </c>
      <c r="W119" s="704"/>
      <c r="X119" s="698">
        <f t="shared" ca="1" si="79"/>
        <v>0</v>
      </c>
      <c r="Y119" s="81">
        <f t="shared" ca="1" si="127"/>
        <v>0</v>
      </c>
      <c r="Z119" s="81">
        <f t="shared" ca="1" si="128"/>
        <v>0</v>
      </c>
      <c r="AA119" s="81">
        <f t="shared" ca="1" si="129"/>
        <v>0</v>
      </c>
      <c r="AB119" s="81">
        <f t="shared" ca="1" si="130"/>
        <v>0</v>
      </c>
      <c r="AD119" s="81">
        <v>2050</v>
      </c>
      <c r="AE119" s="81"/>
      <c r="AF119" s="220"/>
    </row>
    <row r="120" spans="2:32">
      <c r="B120" s="718" t="s">
        <v>1009</v>
      </c>
      <c r="C120" s="226"/>
      <c r="D120" s="212" t="str">
        <f>"IND"&amp;RIGHT(H120,4)&amp;"DSL"&amp;"N"&amp;RIGHT(E120,1)</f>
        <v>INDWDPHDSLN1</v>
      </c>
      <c r="E120" s="261" t="str">
        <f>"Industrial heating technology "&amp;$AJ$12&amp;" "&amp;RIGHT(H120,2)&amp;" - Oil boiler (Steam) - new 1"</f>
        <v>Industrial heating technology Wood products PH - Oil boiler (Steam) - new 1</v>
      </c>
      <c r="F120" s="224" t="s">
        <v>1149</v>
      </c>
      <c r="G120" s="173" t="s">
        <v>2081</v>
      </c>
      <c r="H120" s="174" t="str">
        <f>$AI$13</f>
        <v>IWDPH</v>
      </c>
      <c r="I120" s="174" t="str">
        <f t="shared" si="22"/>
        <v>INDWWH</v>
      </c>
      <c r="J120" s="224">
        <f t="shared" si="32"/>
        <v>2011</v>
      </c>
      <c r="K120" s="299">
        <v>2025</v>
      </c>
      <c r="L120" s="199">
        <f t="shared" ca="1" si="122"/>
        <v>0.94</v>
      </c>
      <c r="M120" s="699"/>
      <c r="N120" s="299">
        <f ca="1">VLOOKUP($AD120,INDIRECT("'"&amp;$B120&amp;"'!"&amp;"$P$39:$AD$42"),5,FALSE)</f>
        <v>25</v>
      </c>
      <c r="O120" s="725">
        <f t="shared" ca="1" si="123"/>
        <v>0.40975</v>
      </c>
      <c r="P120" s="725">
        <f t="shared" ca="1" si="124"/>
        <v>1.341E-2</v>
      </c>
      <c r="Q120" s="299">
        <f t="shared" ca="1" si="125"/>
        <v>2.0694444444444446</v>
      </c>
      <c r="R120" s="299">
        <v>3.1536000000000002E-2</v>
      </c>
      <c r="S120" s="699">
        <v>0.5</v>
      </c>
      <c r="T120" s="699">
        <f ca="1">HLOOKUP($T$2,INDIRECT("'"&amp;$B120&amp;"'!"&amp;"$P$6:$AC$19"),IF(H120=$AI$13,6,IF(H120=$AI$14,9,14)),FALSE)</f>
        <v>1</v>
      </c>
      <c r="U120" s="772"/>
      <c r="V120" s="199">
        <f t="shared" ref="V120" ca="1" si="136">IF(IF(RIGHT(H120,2)="PH",(1-L120)+$W$2,IF(RIGHT(H120,2)="HT",(1-L120)+$W$1,IF(RIGHT(H120,2)="SH",(1-L120)+$W$3,"")))&gt;0,IF(RIGHT(H120,2)="PH",(1-L120)+$W$2,IF(RIGHT(H120,2)="HT",(1-L120)+$W$1,IF(RIGHT(H120,2)="SH",(1-L120)+$W$3,""))),0)</f>
        <v>0.26000000000000006</v>
      </c>
      <c r="W120" s="298"/>
      <c r="X120" s="698">
        <f t="shared" ca="1" si="79"/>
        <v>0.5</v>
      </c>
      <c r="Y120" s="299">
        <f t="shared" ca="1" si="127"/>
        <v>25</v>
      </c>
      <c r="Z120" s="299">
        <f t="shared" ca="1" si="128"/>
        <v>0</v>
      </c>
      <c r="AA120" s="299">
        <f t="shared" ca="1" si="129"/>
        <v>0</v>
      </c>
      <c r="AB120" s="299">
        <f t="shared" ca="1" si="130"/>
        <v>0.1</v>
      </c>
      <c r="AD120" s="299">
        <v>2020</v>
      </c>
      <c r="AE120" s="81"/>
      <c r="AF120" s="220"/>
    </row>
    <row r="121" spans="2:32">
      <c r="B121" s="718" t="s">
        <v>1009</v>
      </c>
      <c r="C121" s="226"/>
      <c r="D121" s="212"/>
      <c r="E121" s="212"/>
      <c r="F121" s="224" t="s">
        <v>1149</v>
      </c>
      <c r="H121" s="174"/>
      <c r="I121" s="174" t="str">
        <f t="shared" si="22"/>
        <v>INDWWH</v>
      </c>
      <c r="J121" s="224">
        <f t="shared" si="32"/>
        <v>2030</v>
      </c>
      <c r="K121" s="81"/>
      <c r="L121" s="199">
        <f t="shared" ca="1" si="122"/>
        <v>0.95</v>
      </c>
      <c r="M121" s="199"/>
      <c r="N121" s="81"/>
      <c r="O121" s="723">
        <f t="shared" ca="1" si="123"/>
        <v>0.3469940346244772</v>
      </c>
      <c r="P121" s="723">
        <f t="shared" ca="1" si="124"/>
        <v>1.2664999999999999E-2</v>
      </c>
      <c r="Q121" s="81">
        <f t="shared" ca="1" si="125"/>
        <v>1.8625</v>
      </c>
      <c r="R121" s="300"/>
      <c r="S121" s="300"/>
      <c r="T121" s="300"/>
      <c r="U121" s="300"/>
      <c r="V121" s="199">
        <f t="shared" ref="V121" ca="1" si="137">IF(IF(RIGHT(H120,2)="PH",(1-L121)+$W$2,IF(RIGHT(H120,2)="HT",(1-L121)+$W$1,IF(RIGHT(H120,2)="SH",(1-L121)+$W$3,"")))&gt;0,IF(RIGHT(H120,2)="PH",(1-L121)+$W$2,IF(RIGHT(H120,2)="HT",(1-L121)+$W$1,IF(RIGHT(H120,2)="SH",(1-L121)+$W$3,""))),0)</f>
        <v>0.25000000000000006</v>
      </c>
      <c r="W121" s="298"/>
      <c r="X121" s="698">
        <f t="shared" ca="1" si="79"/>
        <v>0.5</v>
      </c>
      <c r="Y121" s="81">
        <f t="shared" ca="1" si="127"/>
        <v>20</v>
      </c>
      <c r="Z121" s="81">
        <f t="shared" ca="1" si="128"/>
        <v>0</v>
      </c>
      <c r="AA121" s="81">
        <f t="shared" ca="1" si="129"/>
        <v>0</v>
      </c>
      <c r="AB121" s="81">
        <f t="shared" ca="1" si="130"/>
        <v>0.1</v>
      </c>
      <c r="AD121" s="81">
        <v>2030</v>
      </c>
      <c r="AE121" s="81"/>
      <c r="AF121" s="220"/>
    </row>
    <row r="122" spans="2:32">
      <c r="B122" s="718" t="s">
        <v>1009</v>
      </c>
      <c r="C122" s="226"/>
      <c r="D122" s="212"/>
      <c r="E122" s="212"/>
      <c r="F122" s="224" t="s">
        <v>1149</v>
      </c>
      <c r="H122" s="174"/>
      <c r="I122" s="174" t="str">
        <f t="shared" si="22"/>
        <v>INDWWH</v>
      </c>
      <c r="J122" s="224">
        <f t="shared" si="32"/>
        <v>2050</v>
      </c>
      <c r="K122" s="81"/>
      <c r="L122" s="199">
        <f t="shared" ca="1" si="122"/>
        <v>0.96</v>
      </c>
      <c r="M122" s="199"/>
      <c r="N122" s="81"/>
      <c r="O122" s="723">
        <f t="shared" ca="1" si="123"/>
        <v>0.32813985758696651</v>
      </c>
      <c r="P122" s="723">
        <f t="shared" ca="1" si="124"/>
        <v>1.1175000000000001E-2</v>
      </c>
      <c r="Q122" s="81">
        <f t="shared" ca="1" si="125"/>
        <v>1.8625</v>
      </c>
      <c r="R122" s="300"/>
      <c r="S122" s="300"/>
      <c r="T122" s="300"/>
      <c r="U122" s="300"/>
      <c r="V122" s="199">
        <f t="shared" ref="V122" ca="1" si="138">IF(IF(RIGHT(H120,2)="PH",(1-L122)+$W$2,IF(RIGHT(H120,2)="HT",(1-L122)+$W$1,IF(RIGHT(H120,2)="SH",(1-L122)+$W$3,"")))&gt;0,IF(RIGHT(H120,2)="PH",(1-L122)+$W$2,IF(RIGHT(H120,2)="HT",(1-L122)+$W$1,IF(RIGHT(H120,2)="SH",(1-L122)+$W$3,""))),0)</f>
        <v>0.24000000000000005</v>
      </c>
      <c r="W122" s="298"/>
      <c r="X122" s="698">
        <f t="shared" ca="1" si="79"/>
        <v>0.5</v>
      </c>
      <c r="Y122" s="81">
        <f t="shared" ca="1" si="127"/>
        <v>15</v>
      </c>
      <c r="Z122" s="81">
        <f t="shared" ca="1" si="128"/>
        <v>0</v>
      </c>
      <c r="AA122" s="81">
        <f t="shared" ca="1" si="129"/>
        <v>0</v>
      </c>
      <c r="AB122" s="81">
        <f t="shared" ca="1" si="130"/>
        <v>0.1</v>
      </c>
      <c r="AD122" s="81">
        <v>2050</v>
      </c>
      <c r="AE122" s="81"/>
      <c r="AF122" s="220"/>
    </row>
    <row r="123" spans="2:32">
      <c r="B123" s="718" t="s">
        <v>1009</v>
      </c>
      <c r="C123" s="226"/>
      <c r="D123" s="212" t="str">
        <f>"IND"&amp;RIGHT(H123,4)&amp;"DSL"&amp;"N"&amp;RIGHT(E123,1)</f>
        <v>INDWDPHDSLN1</v>
      </c>
      <c r="E123" s="261" t="str">
        <f>"Industrial heating technology "&amp;$AJ$12&amp;" "&amp;RIGHT(H123,2)&amp;" - Oil boiler (Steam) - new 1"</f>
        <v>Industrial heating technology Wood products PH - Oil boiler (Steam) - new 1</v>
      </c>
      <c r="F123" s="224" t="s">
        <v>1149</v>
      </c>
      <c r="G123" s="173" t="s">
        <v>2081</v>
      </c>
      <c r="H123" s="174" t="str">
        <f>$AI$14</f>
        <v>IWDPH</v>
      </c>
      <c r="I123" s="174" t="str">
        <f t="shared" si="22"/>
        <v>INDWWH</v>
      </c>
      <c r="J123" s="224">
        <f t="shared" si="32"/>
        <v>2011</v>
      </c>
      <c r="K123" s="299">
        <v>2025</v>
      </c>
      <c r="L123" s="199">
        <f t="shared" ca="1" si="122"/>
        <v>0.94</v>
      </c>
      <c r="M123" s="199"/>
      <c r="N123" s="81">
        <f ca="1">VLOOKUP($AD123,INDIRECT("'"&amp;$B123&amp;"'!"&amp;"$P$39:$AD$42"),5,FALSE)</f>
        <v>25</v>
      </c>
      <c r="O123" s="723">
        <f t="shared" ca="1" si="123"/>
        <v>0.40975</v>
      </c>
      <c r="P123" s="723">
        <f t="shared" ca="1" si="124"/>
        <v>1.341E-2</v>
      </c>
      <c r="Q123" s="81">
        <f t="shared" ca="1" si="125"/>
        <v>2.0694444444444446</v>
      </c>
      <c r="R123" s="81">
        <v>3.1536000000000002E-2</v>
      </c>
      <c r="S123" s="199">
        <v>0.5</v>
      </c>
      <c r="T123" s="199">
        <f ca="1">HLOOKUP($T$2,INDIRECT("'"&amp;$B123&amp;"'!"&amp;"$P$6:$AC$19"),IF(H123=$AI$13,6,IF(H123=$AI$14,9,14)),FALSE)</f>
        <v>1</v>
      </c>
      <c r="U123" s="772"/>
      <c r="V123" s="199">
        <f t="shared" ref="V123" ca="1" si="139">IF(IF(RIGHT(H123,2)="PH",(1-L123)+$W$2,IF(RIGHT(H123,2)="HT",(1-L123)+$W$1,IF(RIGHT(H123,2)="SH",(1-L123)+$W$3,"")))&gt;0,IF(RIGHT(H123,2)="PH",(1-L123)+$W$2,IF(RIGHT(H123,2)="HT",(1-L123)+$W$1,IF(RIGHT(H123,2)="SH",(1-L123)+$W$3,""))),0)</f>
        <v>0.26000000000000006</v>
      </c>
      <c r="W123" s="298"/>
      <c r="X123" s="698">
        <f t="shared" ca="1" si="79"/>
        <v>0.5</v>
      </c>
      <c r="Y123" s="81">
        <f t="shared" ca="1" si="127"/>
        <v>25</v>
      </c>
      <c r="Z123" s="81">
        <f t="shared" ca="1" si="128"/>
        <v>0</v>
      </c>
      <c r="AA123" s="81">
        <f t="shared" ca="1" si="129"/>
        <v>0</v>
      </c>
      <c r="AB123" s="81">
        <f t="shared" ca="1" si="130"/>
        <v>0.1</v>
      </c>
      <c r="AD123" s="81">
        <v>2020</v>
      </c>
      <c r="AE123" s="81"/>
      <c r="AF123" s="220"/>
    </row>
    <row r="124" spans="2:32">
      <c r="B124" s="718" t="s">
        <v>1009</v>
      </c>
      <c r="C124" s="226"/>
      <c r="D124" s="212"/>
      <c r="E124" s="212"/>
      <c r="F124" s="224" t="s">
        <v>1149</v>
      </c>
      <c r="H124" s="174"/>
      <c r="I124" s="174" t="str">
        <f t="shared" si="22"/>
        <v>INDWWH</v>
      </c>
      <c r="J124" s="224">
        <f t="shared" si="32"/>
        <v>2030</v>
      </c>
      <c r="K124" s="81"/>
      <c r="L124" s="199">
        <f t="shared" ca="1" si="122"/>
        <v>0.95</v>
      </c>
      <c r="M124" s="199"/>
      <c r="N124" s="81"/>
      <c r="O124" s="723">
        <f t="shared" ca="1" si="123"/>
        <v>0.3469940346244772</v>
      </c>
      <c r="P124" s="723">
        <f t="shared" ca="1" si="124"/>
        <v>1.2664999999999999E-2</v>
      </c>
      <c r="Q124" s="81">
        <f t="shared" ca="1" si="125"/>
        <v>1.8625</v>
      </c>
      <c r="R124" s="300"/>
      <c r="S124" s="300"/>
      <c r="T124" s="300"/>
      <c r="U124" s="300"/>
      <c r="V124" s="199">
        <f t="shared" ref="V124" ca="1" si="140">IF(IF(RIGHT(H123,2)="PH",(1-L124)+$W$2,IF(RIGHT(H123,2)="HT",(1-L124)+$W$1,IF(RIGHT(H123,2)="SH",(1-L124)+$W$3,"")))&gt;0,IF(RIGHT(H123,2)="PH",(1-L124)+$W$2,IF(RIGHT(H123,2)="HT",(1-L124)+$W$1,IF(RIGHT(H123,2)="SH",(1-L124)+$W$3,""))),0)</f>
        <v>0.25000000000000006</v>
      </c>
      <c r="W124" s="298"/>
      <c r="X124" s="698">
        <f t="shared" ca="1" si="79"/>
        <v>0.5</v>
      </c>
      <c r="Y124" s="81">
        <f t="shared" ca="1" si="127"/>
        <v>20</v>
      </c>
      <c r="Z124" s="81">
        <f t="shared" ca="1" si="128"/>
        <v>0</v>
      </c>
      <c r="AA124" s="81">
        <f t="shared" ca="1" si="129"/>
        <v>0</v>
      </c>
      <c r="AB124" s="81">
        <f t="shared" ca="1" si="130"/>
        <v>0.1</v>
      </c>
      <c r="AD124" s="81">
        <v>2030</v>
      </c>
      <c r="AE124" s="81"/>
      <c r="AF124" s="220"/>
    </row>
    <row r="125" spans="2:32">
      <c r="B125" s="718" t="s">
        <v>1009</v>
      </c>
      <c r="C125" s="226"/>
      <c r="D125" s="212"/>
      <c r="E125" s="212"/>
      <c r="F125" s="224" t="s">
        <v>1149</v>
      </c>
      <c r="H125" s="174"/>
      <c r="I125" s="174" t="str">
        <f t="shared" si="22"/>
        <v>INDWWH</v>
      </c>
      <c r="J125" s="224">
        <f t="shared" si="32"/>
        <v>2050</v>
      </c>
      <c r="K125" s="81"/>
      <c r="L125" s="199">
        <f t="shared" ca="1" si="122"/>
        <v>0.96</v>
      </c>
      <c r="M125" s="199"/>
      <c r="N125" s="81"/>
      <c r="O125" s="723">
        <f t="shared" ca="1" si="123"/>
        <v>0.32813985758696651</v>
      </c>
      <c r="P125" s="723">
        <f t="shared" ca="1" si="124"/>
        <v>1.1175000000000001E-2</v>
      </c>
      <c r="Q125" s="81">
        <f t="shared" ca="1" si="125"/>
        <v>1.8625</v>
      </c>
      <c r="R125" s="300"/>
      <c r="S125" s="300"/>
      <c r="T125" s="300"/>
      <c r="U125" s="300"/>
      <c r="V125" s="199">
        <f t="shared" ref="V125" ca="1" si="141">IF(IF(RIGHT(H123,2)="PH",(1-L125)+$W$2,IF(RIGHT(H123,2)="HT",(1-L125)+$W$1,IF(RIGHT(H123,2)="SH",(1-L125)+$W$3,"")))&gt;0,IF(RIGHT(H123,2)="PH",(1-L125)+$W$2,IF(RIGHT(H123,2)="HT",(1-L125)+$W$1,IF(RIGHT(H123,2)="SH",(1-L125)+$W$3,""))),0)</f>
        <v>0.24000000000000005</v>
      </c>
      <c r="W125" s="298"/>
      <c r="X125" s="698">
        <f t="shared" ca="1" si="79"/>
        <v>0.5</v>
      </c>
      <c r="Y125" s="81">
        <f t="shared" ca="1" si="127"/>
        <v>15</v>
      </c>
      <c r="Z125" s="81">
        <f t="shared" ca="1" si="128"/>
        <v>0</v>
      </c>
      <c r="AA125" s="81">
        <f t="shared" ca="1" si="129"/>
        <v>0</v>
      </c>
      <c r="AB125" s="81">
        <f t="shared" ca="1" si="130"/>
        <v>0.1</v>
      </c>
      <c r="AC125" s="203"/>
      <c r="AD125" s="81">
        <v>2050</v>
      </c>
      <c r="AE125" s="81"/>
      <c r="AF125" s="705"/>
    </row>
    <row r="126" spans="2:32">
      <c r="B126" s="718" t="s">
        <v>1009</v>
      </c>
      <c r="C126" s="226"/>
      <c r="D126" s="212" t="str">
        <f>"IND"&amp;RIGHT(H126,4)&amp;"DSL"&amp;"N"&amp;RIGHT(E126,1)</f>
        <v>INDWDSHDSLN1</v>
      </c>
      <c r="E126" s="261" t="str">
        <f>"Industrial heating technology "&amp;$AJ$12&amp;" "&amp;RIGHT(H126,2)&amp;" - Oil boiler (Steam) - new 1"</f>
        <v>Industrial heating technology Wood products SH - Oil boiler (Steam) - new 1</v>
      </c>
      <c r="F126" s="224" t="s">
        <v>1149</v>
      </c>
      <c r="G126" s="173" t="s">
        <v>2081</v>
      </c>
      <c r="H126" s="174" t="str">
        <f>$AI$15</f>
        <v>IWDSH</v>
      </c>
      <c r="I126" s="174" t="str">
        <f t="shared" si="22"/>
        <v>INDWWH</v>
      </c>
      <c r="J126" s="224">
        <f t="shared" si="32"/>
        <v>2011</v>
      </c>
      <c r="K126" s="299">
        <v>2025</v>
      </c>
      <c r="L126" s="199">
        <f t="shared" ca="1" si="122"/>
        <v>0.94</v>
      </c>
      <c r="M126" s="199"/>
      <c r="N126" s="81">
        <f ca="1">VLOOKUP($AD126,INDIRECT("'"&amp;$B126&amp;"'!"&amp;"$P$39:$AD$42"),5,FALSE)</f>
        <v>25</v>
      </c>
      <c r="O126" s="723">
        <f t="shared" ca="1" si="123"/>
        <v>0.40975</v>
      </c>
      <c r="P126" s="723">
        <f t="shared" ca="1" si="124"/>
        <v>1.341E-2</v>
      </c>
      <c r="Q126" s="81">
        <f t="shared" ca="1" si="125"/>
        <v>2.0694444444444446</v>
      </c>
      <c r="R126" s="81">
        <v>3.1536000000000002E-2</v>
      </c>
      <c r="S126" s="199">
        <v>0.5</v>
      </c>
      <c r="T126" s="199">
        <f ca="1">HLOOKUP($T$2,INDIRECT("'"&amp;$B126&amp;"'!"&amp;"$P$6:$AC$19"),IF(H126=$AI$13,6,IF(H126=$AI$14,9,14)),FALSE)</f>
        <v>1</v>
      </c>
      <c r="U126" s="772"/>
      <c r="V126" s="199">
        <f t="shared" ref="V126" ca="1" si="142">IF(IF(RIGHT(H126,2)="PH",(1-L126)+$W$2,IF(RIGHT(H126,2)="HT",(1-L126)+$W$1,IF(RIGHT(H126,2)="SH",(1-L126)+$W$3,"")))&gt;0,IF(RIGHT(H126,2)="PH",(1-L126)+$W$2,IF(RIGHT(H126,2)="HT",(1-L126)+$W$1,IF(RIGHT(H126,2)="SH",(1-L126)+$W$3,""))),0)</f>
        <v>6.0000000000000053E-2</v>
      </c>
      <c r="W126" s="298"/>
      <c r="X126" s="698">
        <f t="shared" ca="1" si="79"/>
        <v>0.5</v>
      </c>
      <c r="Y126" s="81">
        <f t="shared" ca="1" si="127"/>
        <v>25</v>
      </c>
      <c r="Z126" s="81">
        <f t="shared" ca="1" si="128"/>
        <v>0</v>
      </c>
      <c r="AA126" s="81">
        <f t="shared" ca="1" si="129"/>
        <v>0</v>
      </c>
      <c r="AB126" s="81">
        <f t="shared" ca="1" si="130"/>
        <v>0.1</v>
      </c>
      <c r="AC126" s="296"/>
      <c r="AD126" s="81">
        <v>2020</v>
      </c>
      <c r="AE126" s="81"/>
      <c r="AF126" s="710"/>
    </row>
    <row r="127" spans="2:32">
      <c r="B127" s="718" t="s">
        <v>1009</v>
      </c>
      <c r="C127" s="226"/>
      <c r="D127" s="212"/>
      <c r="E127" s="212"/>
      <c r="F127" s="224" t="s">
        <v>1149</v>
      </c>
      <c r="H127" s="174"/>
      <c r="I127" s="174" t="str">
        <f t="shared" ref="I127:I182" si="143">$AI$20</f>
        <v>INDWWH</v>
      </c>
      <c r="J127" s="224">
        <f t="shared" si="32"/>
        <v>2030</v>
      </c>
      <c r="K127" s="81"/>
      <c r="L127" s="199">
        <f t="shared" ca="1" si="122"/>
        <v>0.95</v>
      </c>
      <c r="M127" s="199"/>
      <c r="N127" s="81"/>
      <c r="O127" s="723">
        <f t="shared" ca="1" si="123"/>
        <v>0.3469940346244772</v>
      </c>
      <c r="P127" s="723">
        <f t="shared" ca="1" si="124"/>
        <v>1.2664999999999999E-2</v>
      </c>
      <c r="Q127" s="81">
        <f t="shared" ca="1" si="125"/>
        <v>1.8625</v>
      </c>
      <c r="R127" s="300"/>
      <c r="S127" s="300"/>
      <c r="T127" s="300"/>
      <c r="U127" s="300"/>
      <c r="V127" s="199">
        <f t="shared" ref="V127" ca="1" si="144">IF(IF(RIGHT(H126,2)="PH",(1-L127)+$W$2,IF(RIGHT(H126,2)="HT",(1-L127)+$W$1,IF(RIGHT(H126,2)="SH",(1-L127)+$W$3,"")))&gt;0,IF(RIGHT(H126,2)="PH",(1-L127)+$W$2,IF(RIGHT(H126,2)="HT",(1-L127)+$W$1,IF(RIGHT(H126,2)="SH",(1-L127)+$W$3,""))),0)</f>
        <v>5.0000000000000044E-2</v>
      </c>
      <c r="W127" s="298"/>
      <c r="X127" s="698">
        <f t="shared" ref="X127:X158" ca="1" si="145">IF(VLOOKUP($AD127,INDIRECT("'"&amp;$B127&amp;"'!"&amp;"$P$39:$AD$42"),11,FALSE)="Cf. the utilized electricity",0,VLOOKUP($AD127,INDIRECT("'"&amp;$B127&amp;"'!"&amp;"$P$39:$AD$42"),11,FALSE))</f>
        <v>0.5</v>
      </c>
      <c r="Y127" s="81">
        <f t="shared" ca="1" si="127"/>
        <v>20</v>
      </c>
      <c r="Z127" s="81">
        <f t="shared" ca="1" si="128"/>
        <v>0</v>
      </c>
      <c r="AA127" s="81">
        <f t="shared" ca="1" si="129"/>
        <v>0</v>
      </c>
      <c r="AB127" s="81">
        <f t="shared" ca="1" si="130"/>
        <v>0.1</v>
      </c>
      <c r="AC127" s="55"/>
      <c r="AD127" s="81">
        <v>2030</v>
      </c>
      <c r="AE127" s="81"/>
      <c r="AF127" s="700"/>
    </row>
    <row r="128" spans="2:32">
      <c r="B128" s="719" t="s">
        <v>1009</v>
      </c>
      <c r="C128" s="713"/>
      <c r="D128" s="701"/>
      <c r="E128" s="701"/>
      <c r="F128" s="224" t="s">
        <v>1149</v>
      </c>
      <c r="G128" s="203"/>
      <c r="H128" s="702"/>
      <c r="I128" s="702" t="str">
        <f t="shared" si="143"/>
        <v>INDWWH</v>
      </c>
      <c r="J128" s="224">
        <f t="shared" ref="J128:J186" si="146">IF(AD128=2020,2011,AD128)</f>
        <v>2050</v>
      </c>
      <c r="K128" s="81"/>
      <c r="L128" s="199">
        <f t="shared" ca="1" si="122"/>
        <v>0.96</v>
      </c>
      <c r="M128" s="199"/>
      <c r="N128" s="81"/>
      <c r="O128" s="723">
        <f t="shared" ca="1" si="123"/>
        <v>0.32813985758696651</v>
      </c>
      <c r="P128" s="723">
        <f t="shared" ca="1" si="124"/>
        <v>1.1175000000000001E-2</v>
      </c>
      <c r="Q128" s="81">
        <f t="shared" ca="1" si="125"/>
        <v>1.8625</v>
      </c>
      <c r="R128" s="703"/>
      <c r="S128" s="703"/>
      <c r="T128" s="703"/>
      <c r="U128" s="703"/>
      <c r="V128" s="199">
        <f t="shared" ref="V128" ca="1" si="147">IF(IF(RIGHT(H126,2)="PH",(1-L128)+$W$2,IF(RIGHT(H126,2)="HT",(1-L128)+$W$1,IF(RIGHT(H126,2)="SH",(1-L128)+$W$3,"")))&gt;0,IF(RIGHT(H126,2)="PH",(1-L128)+$W$2,IF(RIGHT(H126,2)="HT",(1-L128)+$W$1,IF(RIGHT(H126,2)="SH",(1-L128)+$W$3,""))),0)</f>
        <v>4.0000000000000036E-2</v>
      </c>
      <c r="W128" s="704"/>
      <c r="X128" s="698">
        <f t="shared" ca="1" si="145"/>
        <v>0.5</v>
      </c>
      <c r="Y128" s="81">
        <f t="shared" ca="1" si="127"/>
        <v>15</v>
      </c>
      <c r="Z128" s="81">
        <f t="shared" ca="1" si="128"/>
        <v>0</v>
      </c>
      <c r="AA128" s="81">
        <f t="shared" ca="1" si="129"/>
        <v>0</v>
      </c>
      <c r="AB128" s="81">
        <f t="shared" ca="1" si="130"/>
        <v>0.1</v>
      </c>
      <c r="AC128" s="55"/>
      <c r="AD128" s="81">
        <v>2050</v>
      </c>
      <c r="AE128" s="81"/>
      <c r="AF128" s="700"/>
    </row>
    <row r="129" spans="2:32">
      <c r="B129" s="718" t="s">
        <v>1009</v>
      </c>
      <c r="C129" s="226"/>
      <c r="D129" s="212" t="str">
        <f>"IND"&amp;RIGHT(H129,4)&amp;"DSL"&amp;"N"&amp;RIGHT(E129,1)</f>
        <v>INDWDPHDSLN2</v>
      </c>
      <c r="E129" s="707" t="str">
        <f>"Industrial heating technology "&amp;$AJ$12&amp;" "&amp;RIGHT(H129,2)&amp;" - Oil boiler (Steam - condensing) - new 2"</f>
        <v>Industrial heating technology Wood products PH - Oil boiler (Steam - condensing) - new 2</v>
      </c>
      <c r="F129" s="224" t="s">
        <v>1149</v>
      </c>
      <c r="G129" s="173" t="s">
        <v>2081</v>
      </c>
      <c r="H129" s="708" t="str">
        <f>$AI$14</f>
        <v>IWDPH</v>
      </c>
      <c r="I129" s="708" t="str">
        <f t="shared" si="143"/>
        <v>INDWWH</v>
      </c>
      <c r="J129" s="224">
        <f t="shared" si="146"/>
        <v>2011</v>
      </c>
      <c r="K129" s="299">
        <v>2025</v>
      </c>
      <c r="L129" s="199">
        <f t="shared" ref="L129:L134" ca="1" si="148">VLOOKUP($AD129,INDIRECT("'"&amp;$B129&amp;"'!"&amp;"$P$118:$AD$121"),3,FALSE)</f>
        <v>0.95</v>
      </c>
      <c r="M129" s="199"/>
      <c r="N129" s="81">
        <f ca="1">VLOOKUP($AD129,INDIRECT("'"&amp;$B129&amp;"'!"&amp;"$P$118:$AD$121"),5,FALSE)</f>
        <v>25</v>
      </c>
      <c r="O129" s="723">
        <f t="shared" ref="O129:O134" ca="1" si="149">VLOOKUP($AD129,INDIRECT("'"&amp;$B129&amp;"'!"&amp;"$P$118:$AD$121"),6,FALSE)/1000</f>
        <v>0.32780000000000004</v>
      </c>
      <c r="P129" s="723">
        <f t="shared" ref="P129:P134" ca="1" si="150">VLOOKUP($AD129,INDIRECT("'"&amp;$B129&amp;"'!"&amp;"$P$118:$AD$121"),7,FALSE)/1000</f>
        <v>1.341E-2</v>
      </c>
      <c r="Q129" s="81">
        <f t="shared" ref="Q129:Q134" ca="1" si="151">VLOOKUP($AD129,INDIRECT("'"&amp;$B129&amp;"'!"&amp;"$P$118:$AD$121"),8,FALSE)</f>
        <v>2.0694444444444446</v>
      </c>
      <c r="R129" s="81">
        <v>3.1536000000000002E-2</v>
      </c>
      <c r="S129" s="199">
        <v>0.5</v>
      </c>
      <c r="T129" s="199">
        <f ca="1">HLOOKUP($T$2,INDIRECT("'"&amp;$B129&amp;"'!"&amp;"$P$85:$AC$98"),IF(H129=$AI$13,6,IF(H129=$AI$14,9,14)),FALSE)</f>
        <v>0</v>
      </c>
      <c r="U129" s="773"/>
      <c r="V129" s="199">
        <f t="shared" ref="V129" ca="1" si="152">IF(IF(RIGHT(H129,2)="PH",(1-L129)+$W$2,IF(RIGHT(H129,2)="HT",(1-L129)+$W$1,IF(RIGHT(H129,2)="SH",(1-L129)+$W$3,"")))&gt;0,IF(RIGHT(H129,2)="PH",(1-L129)+$W$2,IF(RIGHT(H129,2)="HT",(1-L129)+$W$1,IF(RIGHT(H129,2)="SH",(1-L129)+$W$3,""))),0)</f>
        <v>0.25000000000000006</v>
      </c>
      <c r="W129" s="709"/>
      <c r="X129" s="698">
        <f t="shared" ca="1" si="145"/>
        <v>0.5</v>
      </c>
      <c r="Y129" s="698">
        <f t="shared" ref="Y129:Y134" ca="1" si="153">VLOOKUP($AD129,INDIRECT("'"&amp;$B129&amp;"'!"&amp;"$P$118:$AD$121"),12,FALSE)</f>
        <v>25</v>
      </c>
      <c r="Z129" s="698">
        <f t="shared" ref="Z129:Z134" ca="1" si="154">VLOOKUP($AD129,INDIRECT("'"&amp;$B129&amp;"'!"&amp;"$P$118:$AD$121"),13,FALSE)</f>
        <v>0</v>
      </c>
      <c r="AA129" s="698">
        <f t="shared" ref="AA129:AA134" ca="1" si="155">VLOOKUP($AD129,INDIRECT("'"&amp;$B129&amp;"'!"&amp;"$P$118:$AD$121"),14,FALSE)</f>
        <v>0</v>
      </c>
      <c r="AB129" s="698">
        <f t="shared" ref="AB129:AB134" ca="1" si="156">VLOOKUP($AD129,INDIRECT("'"&amp;$B129&amp;"'!"&amp;"$P$118:$AD$121"),15,FALSE)</f>
        <v>0.1</v>
      </c>
      <c r="AC129" s="55"/>
      <c r="AD129" s="81">
        <v>2020</v>
      </c>
      <c r="AE129" s="81"/>
      <c r="AF129" s="700"/>
    </row>
    <row r="130" spans="2:32">
      <c r="B130" s="718" t="s">
        <v>1009</v>
      </c>
      <c r="C130" s="226"/>
      <c r="D130" s="212"/>
      <c r="E130" s="261"/>
      <c r="F130" s="224" t="s">
        <v>1149</v>
      </c>
      <c r="G130" s="55"/>
      <c r="H130" s="174"/>
      <c r="I130" s="174" t="str">
        <f t="shared" si="143"/>
        <v>INDWWH</v>
      </c>
      <c r="J130" s="224">
        <f t="shared" si="146"/>
        <v>2030</v>
      </c>
      <c r="K130" s="81"/>
      <c r="L130" s="199">
        <f t="shared" ca="1" si="148"/>
        <v>0.96</v>
      </c>
      <c r="M130" s="199"/>
      <c r="N130" s="81"/>
      <c r="O130" s="723">
        <f t="shared" ca="1" si="149"/>
        <v>0.27759522769958173</v>
      </c>
      <c r="P130" s="723">
        <f t="shared" ca="1" si="150"/>
        <v>1.2664999999999999E-2</v>
      </c>
      <c r="Q130" s="81">
        <f t="shared" ca="1" si="151"/>
        <v>1.8625</v>
      </c>
      <c r="R130" s="300"/>
      <c r="S130" s="300"/>
      <c r="T130" s="300"/>
      <c r="U130" s="300"/>
      <c r="V130" s="199">
        <f t="shared" ref="V130" ca="1" si="157">IF(IF(RIGHT(H129,2)="PH",(1-L130)+$W$2,IF(RIGHT(H129,2)="HT",(1-L130)+$W$1,IF(RIGHT(H129,2)="SH",(1-L130)+$W$3,"")))&gt;0,IF(RIGHT(H129,2)="PH",(1-L130)+$W$2,IF(RIGHT(H129,2)="HT",(1-L130)+$W$1,IF(RIGHT(H129,2)="SH",(1-L130)+$W$3,""))),0)</f>
        <v>0.24000000000000005</v>
      </c>
      <c r="W130" s="298"/>
      <c r="X130" s="698">
        <f t="shared" ca="1" si="145"/>
        <v>0.5</v>
      </c>
      <c r="Y130" s="698">
        <f t="shared" ca="1" si="153"/>
        <v>20</v>
      </c>
      <c r="Z130" s="698">
        <f t="shared" ca="1" si="154"/>
        <v>0</v>
      </c>
      <c r="AA130" s="698">
        <f t="shared" ca="1" si="155"/>
        <v>0</v>
      </c>
      <c r="AB130" s="698">
        <f t="shared" ca="1" si="156"/>
        <v>0.1</v>
      </c>
      <c r="AC130" s="55"/>
      <c r="AD130" s="81">
        <v>2030</v>
      </c>
      <c r="AE130" s="81"/>
      <c r="AF130" s="700"/>
    </row>
    <row r="131" spans="2:32">
      <c r="B131" s="718" t="s">
        <v>1009</v>
      </c>
      <c r="C131" s="226"/>
      <c r="E131" s="261"/>
      <c r="F131" s="224" t="s">
        <v>1149</v>
      </c>
      <c r="G131" s="55"/>
      <c r="H131" s="174"/>
      <c r="I131" s="174" t="str">
        <f t="shared" si="143"/>
        <v>INDWWH</v>
      </c>
      <c r="J131" s="224">
        <f t="shared" si="146"/>
        <v>2050</v>
      </c>
      <c r="K131" s="81"/>
      <c r="L131" s="199">
        <f t="shared" ca="1" si="148"/>
        <v>0.97</v>
      </c>
      <c r="M131" s="199"/>
      <c r="N131" s="81"/>
      <c r="O131" s="723">
        <f t="shared" ca="1" si="149"/>
        <v>0.26251188606957326</v>
      </c>
      <c r="P131" s="723">
        <f t="shared" ca="1" si="150"/>
        <v>1.1175000000000001E-2</v>
      </c>
      <c r="Q131" s="81">
        <f t="shared" ca="1" si="151"/>
        <v>1.8625</v>
      </c>
      <c r="R131" s="300"/>
      <c r="S131" s="300"/>
      <c r="T131" s="300"/>
      <c r="U131" s="300"/>
      <c r="V131" s="199">
        <f t="shared" ref="V131" ca="1" si="158">IF(IF(RIGHT(H129,2)="PH",(1-L131)+$W$2,IF(RIGHT(H129,2)="HT",(1-L131)+$W$1,IF(RIGHT(H129,2)="SH",(1-L131)+$W$3,"")))&gt;0,IF(RIGHT(H129,2)="PH",(1-L131)+$W$2,IF(RIGHT(H129,2)="HT",(1-L131)+$W$1,IF(RIGHT(H129,2)="SH",(1-L131)+$W$3,""))),0)</f>
        <v>0.23000000000000004</v>
      </c>
      <c r="W131" s="298"/>
      <c r="X131" s="698">
        <f t="shared" ca="1" si="145"/>
        <v>0.5</v>
      </c>
      <c r="Y131" s="698">
        <f t="shared" ca="1" si="153"/>
        <v>15</v>
      </c>
      <c r="Z131" s="698">
        <f t="shared" ca="1" si="154"/>
        <v>0</v>
      </c>
      <c r="AA131" s="698">
        <f t="shared" ca="1" si="155"/>
        <v>0</v>
      </c>
      <c r="AB131" s="698">
        <f t="shared" ca="1" si="156"/>
        <v>0.1</v>
      </c>
      <c r="AC131" s="203"/>
      <c r="AD131" s="81">
        <v>2050</v>
      </c>
      <c r="AE131" s="81"/>
      <c r="AF131" s="705"/>
    </row>
    <row r="132" spans="2:32">
      <c r="B132" s="718" t="s">
        <v>1009</v>
      </c>
      <c r="C132" s="226"/>
      <c r="D132" s="212" t="str">
        <f>"IND"&amp;RIGHT(H132,4)&amp;"DSL"&amp;"N"&amp;RIGHT(E132,1)</f>
        <v>INDWDSHDSLN2</v>
      </c>
      <c r="E132" s="261" t="str">
        <f>"Industrial heating technology "&amp;$AJ$12&amp;" "&amp;RIGHT(H132,2)&amp;" - Oil boiler (Steam - condensing) - new 2"</f>
        <v>Industrial heating technology Wood products SH - Oil boiler (Steam - condensing) - new 2</v>
      </c>
      <c r="F132" s="224" t="s">
        <v>1149</v>
      </c>
      <c r="G132" s="173" t="s">
        <v>2081</v>
      </c>
      <c r="H132" s="174" t="str">
        <f>$AI$15</f>
        <v>IWDSH</v>
      </c>
      <c r="I132" s="174" t="str">
        <f t="shared" si="143"/>
        <v>INDWWH</v>
      </c>
      <c r="J132" s="224">
        <f t="shared" si="146"/>
        <v>2011</v>
      </c>
      <c r="K132" s="299">
        <v>2025</v>
      </c>
      <c r="L132" s="199">
        <f t="shared" ca="1" si="148"/>
        <v>0.95</v>
      </c>
      <c r="M132" s="199"/>
      <c r="N132" s="81">
        <f ca="1">VLOOKUP($AD132,INDIRECT("'"&amp;$B132&amp;"'!"&amp;"$P$118:$AD$121"),5,FALSE)</f>
        <v>25</v>
      </c>
      <c r="O132" s="723">
        <f t="shared" ca="1" si="149"/>
        <v>0.32780000000000004</v>
      </c>
      <c r="P132" s="723">
        <f t="shared" ca="1" si="150"/>
        <v>1.341E-2</v>
      </c>
      <c r="Q132" s="81">
        <f t="shared" ca="1" si="151"/>
        <v>2.0694444444444446</v>
      </c>
      <c r="R132" s="81">
        <v>3.1536000000000002E-2</v>
      </c>
      <c r="S132" s="199">
        <v>0.5</v>
      </c>
      <c r="T132" s="199">
        <f ca="1">HLOOKUP($T$2,INDIRECT("'"&amp;$B132&amp;"'!"&amp;"$P$85:$AC$98"),IF(H132=$AI$13,6,IF(H132=$AI$14,9,14)),FALSE)</f>
        <v>1</v>
      </c>
      <c r="U132" s="772"/>
      <c r="V132" s="199">
        <f t="shared" ref="V132" ca="1" si="159">IF(IF(RIGHT(H132,2)="PH",(1-L132)+$W$2,IF(RIGHT(H132,2)="HT",(1-L132)+$W$1,IF(RIGHT(H132,2)="SH",(1-L132)+$W$3,"")))&gt;0,IF(RIGHT(H132,2)="PH",(1-L132)+$W$2,IF(RIGHT(H132,2)="HT",(1-L132)+$W$1,IF(RIGHT(H132,2)="SH",(1-L132)+$W$3,""))),0)</f>
        <v>5.0000000000000044E-2</v>
      </c>
      <c r="W132" s="298"/>
      <c r="X132" s="698">
        <f t="shared" ca="1" si="145"/>
        <v>0.5</v>
      </c>
      <c r="Y132" s="698">
        <f t="shared" ca="1" si="153"/>
        <v>25</v>
      </c>
      <c r="Z132" s="698">
        <f t="shared" ca="1" si="154"/>
        <v>0</v>
      </c>
      <c r="AA132" s="698">
        <f t="shared" ca="1" si="155"/>
        <v>0</v>
      </c>
      <c r="AB132" s="698">
        <f t="shared" ca="1" si="156"/>
        <v>0.1</v>
      </c>
      <c r="AD132" s="81">
        <v>2020</v>
      </c>
      <c r="AE132" s="299"/>
      <c r="AF132" s="220"/>
    </row>
    <row r="133" spans="2:32">
      <c r="B133" s="718" t="s">
        <v>1009</v>
      </c>
      <c r="C133" s="226"/>
      <c r="E133" s="261"/>
      <c r="F133" s="224" t="s">
        <v>1149</v>
      </c>
      <c r="G133" s="55"/>
      <c r="H133" s="174"/>
      <c r="I133" s="174" t="str">
        <f t="shared" si="143"/>
        <v>INDWWH</v>
      </c>
      <c r="J133" s="224">
        <f t="shared" si="146"/>
        <v>2030</v>
      </c>
      <c r="K133" s="81"/>
      <c r="L133" s="199">
        <f t="shared" ca="1" si="148"/>
        <v>0.96</v>
      </c>
      <c r="M133" s="199"/>
      <c r="N133" s="81"/>
      <c r="O133" s="723">
        <f t="shared" ca="1" si="149"/>
        <v>0.27759522769958173</v>
      </c>
      <c r="P133" s="723">
        <f t="shared" ca="1" si="150"/>
        <v>1.2664999999999999E-2</v>
      </c>
      <c r="Q133" s="81">
        <f t="shared" ca="1" si="151"/>
        <v>1.8625</v>
      </c>
      <c r="R133" s="300"/>
      <c r="S133" s="300"/>
      <c r="T133" s="300"/>
      <c r="U133" s="300"/>
      <c r="V133" s="199">
        <f t="shared" ref="V133" ca="1" si="160">IF(IF(RIGHT(H132,2)="PH",(1-L133)+$W$2,IF(RIGHT(H132,2)="HT",(1-L133)+$W$1,IF(RIGHT(H132,2)="SH",(1-L133)+$W$3,"")))&gt;0,IF(RIGHT(H132,2)="PH",(1-L133)+$W$2,IF(RIGHT(H132,2)="HT",(1-L133)+$W$1,IF(RIGHT(H132,2)="SH",(1-L133)+$W$3,""))),0)</f>
        <v>4.0000000000000036E-2</v>
      </c>
      <c r="W133" s="298"/>
      <c r="X133" s="698">
        <f t="shared" ca="1" si="145"/>
        <v>0.5</v>
      </c>
      <c r="Y133" s="698">
        <f t="shared" ca="1" si="153"/>
        <v>20</v>
      </c>
      <c r="Z133" s="698">
        <f t="shared" ca="1" si="154"/>
        <v>0</v>
      </c>
      <c r="AA133" s="698">
        <f t="shared" ca="1" si="155"/>
        <v>0</v>
      </c>
      <c r="AB133" s="698">
        <f t="shared" ca="1" si="156"/>
        <v>0.1</v>
      </c>
      <c r="AD133" s="81">
        <v>2030</v>
      </c>
      <c r="AE133" s="81"/>
      <c r="AF133" s="220"/>
    </row>
    <row r="134" spans="2:32">
      <c r="B134" s="719" t="s">
        <v>1009</v>
      </c>
      <c r="C134" s="713"/>
      <c r="D134" s="701"/>
      <c r="E134" s="701"/>
      <c r="F134" s="224" t="s">
        <v>1149</v>
      </c>
      <c r="G134" s="203"/>
      <c r="H134" s="702"/>
      <c r="I134" s="702" t="str">
        <f t="shared" si="143"/>
        <v>INDWWH</v>
      </c>
      <c r="J134" s="224">
        <f t="shared" si="146"/>
        <v>2050</v>
      </c>
      <c r="K134" s="81"/>
      <c r="L134" s="199">
        <f t="shared" ca="1" si="148"/>
        <v>0.97</v>
      </c>
      <c r="M134" s="199"/>
      <c r="N134" s="81"/>
      <c r="O134" s="723">
        <f t="shared" ca="1" si="149"/>
        <v>0.26251188606957326</v>
      </c>
      <c r="P134" s="723">
        <f t="shared" ca="1" si="150"/>
        <v>1.1175000000000001E-2</v>
      </c>
      <c r="Q134" s="81">
        <f t="shared" ca="1" si="151"/>
        <v>1.8625</v>
      </c>
      <c r="R134" s="703"/>
      <c r="S134" s="703"/>
      <c r="T134" s="703"/>
      <c r="U134" s="703"/>
      <c r="V134" s="199">
        <f t="shared" ref="V134" ca="1" si="161">IF(IF(RIGHT(H132,2)="PH",(1-L134)+$W$2,IF(RIGHT(H132,2)="HT",(1-L134)+$W$1,IF(RIGHT(H132,2)="SH",(1-L134)+$W$3,"")))&gt;0,IF(RIGHT(H132,2)="PH",(1-L134)+$W$2,IF(RIGHT(H132,2)="HT",(1-L134)+$W$1,IF(RIGHT(H132,2)="SH",(1-L134)+$W$3,""))),0)</f>
        <v>3.0000000000000027E-2</v>
      </c>
      <c r="W134" s="704"/>
      <c r="X134" s="698">
        <f t="shared" ca="1" si="145"/>
        <v>0.5</v>
      </c>
      <c r="Y134" s="698">
        <f t="shared" ca="1" si="153"/>
        <v>15</v>
      </c>
      <c r="Z134" s="698">
        <f t="shared" ca="1" si="154"/>
        <v>0</v>
      </c>
      <c r="AA134" s="698">
        <f t="shared" ca="1" si="155"/>
        <v>0</v>
      </c>
      <c r="AB134" s="698">
        <f t="shared" ca="1" si="156"/>
        <v>0.1</v>
      </c>
      <c r="AD134" s="81">
        <v>2050</v>
      </c>
      <c r="AE134" s="81"/>
      <c r="AF134" s="220"/>
    </row>
    <row r="135" spans="2:32">
      <c r="B135" s="718" t="s">
        <v>1010</v>
      </c>
      <c r="C135" s="226"/>
      <c r="D135" s="212" t="str">
        <f>"IND"&amp;RIGHT(H135,4)&amp;"GAS"&amp;"N"&amp;RIGHT(E135,1)</f>
        <v>INDWDPHGASN1</v>
      </c>
      <c r="E135" s="261" t="str">
        <f>"Industrial heating technology "&amp;$AJ$12&amp;" "&amp;RIGHT(H135,2)&amp;" - Gas boiler (Steam) - new 1"</f>
        <v>Industrial heating technology Wood products PH - Gas boiler (Steam) - new 1</v>
      </c>
      <c r="F135" s="224" t="s">
        <v>1149</v>
      </c>
      <c r="G135" s="173" t="s">
        <v>2080</v>
      </c>
      <c r="H135" s="174" t="str">
        <f>$AI$13</f>
        <v>IWDPH</v>
      </c>
      <c r="I135" s="174" t="str">
        <f t="shared" si="143"/>
        <v>INDWWH</v>
      </c>
      <c r="J135" s="224">
        <f t="shared" si="146"/>
        <v>2011</v>
      </c>
      <c r="K135" s="299">
        <v>2011</v>
      </c>
      <c r="L135" s="199">
        <f t="shared" ref="L135:L143" ca="1" si="162">VLOOKUP($AD135,INDIRECT("'"&amp;$B135&amp;"'!"&amp;"$P$39:$AD$42"),3,FALSE)</f>
        <v>0.92</v>
      </c>
      <c r="M135" s="699"/>
      <c r="N135" s="299">
        <f ca="1">VLOOKUP($AD135,INDIRECT("'"&amp;$B135&amp;"'!"&amp;"$P$39:$AD$42"),5,FALSE)</f>
        <v>25</v>
      </c>
      <c r="O135" s="725">
        <f t="shared" ref="O135:O143" ca="1" si="163">VLOOKUP($AD135,INDIRECT("'"&amp;$B135&amp;"'!"&amp;"$P$39:$AD$42"),6,FALSE)/1000</f>
        <v>0.40636363636363632</v>
      </c>
      <c r="P135" s="725">
        <f t="shared" ref="P135:P143" ca="1" si="164">VLOOKUP($AD135,INDIRECT("'"&amp;$B135&amp;"'!"&amp;"$P$39:$AD$42"),7,FALSE)/1000</f>
        <v>1.49E-2</v>
      </c>
      <c r="Q135" s="299">
        <f t="shared" ref="Q135:Q143" ca="1" si="165">VLOOKUP($AD135,INDIRECT("'"&amp;$B135&amp;"'!"&amp;"$P$39:$AD$42"),8,FALSE)</f>
        <v>2.276388888888889</v>
      </c>
      <c r="R135" s="299">
        <v>3.1536000000000002E-2</v>
      </c>
      <c r="S135" s="699">
        <v>0.5</v>
      </c>
      <c r="T135" s="699">
        <f ca="1">HLOOKUP($T$2,INDIRECT("'"&amp;$B135&amp;"'!"&amp;"$P$6:$AC$19"),IF(H135=$AI$13,6,IF(H135=$AI$14,9,14)),FALSE)</f>
        <v>1</v>
      </c>
      <c r="U135" s="772"/>
      <c r="V135" s="199">
        <f t="shared" ref="V135" ca="1" si="166">IF(IF(RIGHT(H135,2)="PH",(1-L135)+$W$2,IF(RIGHT(H135,2)="HT",(1-L135)+$W$1,IF(RIGHT(H135,2)="SH",(1-L135)+$W$3,"")))&gt;0,IF(RIGHT(H135,2)="PH",(1-L135)+$W$2,IF(RIGHT(H135,2)="HT",(1-L135)+$W$1,IF(RIGHT(H135,2)="SH",(1-L135)+$W$3,""))),0)</f>
        <v>0.27999999999999997</v>
      </c>
      <c r="W135" s="298"/>
      <c r="X135" s="698">
        <f t="shared" ca="1" si="145"/>
        <v>0.3</v>
      </c>
      <c r="Y135" s="299">
        <f t="shared" ref="Y135:Y143" ca="1" si="167">VLOOKUP($AD135,INDIRECT("'"&amp;$B135&amp;"'!"&amp;"$P$39:$AD$42"),12,FALSE)</f>
        <v>9</v>
      </c>
      <c r="Z135" s="299">
        <f t="shared" ref="Z135:Z143" ca="1" si="168">VLOOKUP($AD135,INDIRECT("'"&amp;$B135&amp;"'!"&amp;"$P$39:$AD$42"),13,FALSE)</f>
        <v>3</v>
      </c>
      <c r="AA135" s="299">
        <f t="shared" ref="AA135:AA143" ca="1" si="169">VLOOKUP($AD135,INDIRECT("'"&amp;$B135&amp;"'!"&amp;"$P$39:$AD$42"),14,FALSE)</f>
        <v>1</v>
      </c>
      <c r="AB135" s="299">
        <f t="shared" ref="AB135:AB143" ca="1" si="170">VLOOKUP($AD135,INDIRECT("'"&amp;$B135&amp;"'!"&amp;"$P$39:$AD$42"),15,FALSE)</f>
        <v>0.1</v>
      </c>
      <c r="AD135" s="299">
        <v>2020</v>
      </c>
      <c r="AE135" s="81"/>
      <c r="AF135" s="220"/>
    </row>
    <row r="136" spans="2:32">
      <c r="B136" s="718" t="s">
        <v>1010</v>
      </c>
      <c r="C136" s="226"/>
      <c r="E136" s="212"/>
      <c r="F136" s="224" t="s">
        <v>1149</v>
      </c>
      <c r="H136" s="174"/>
      <c r="I136" s="174" t="str">
        <f t="shared" si="143"/>
        <v>INDWWH</v>
      </c>
      <c r="J136" s="224">
        <f t="shared" si="146"/>
        <v>2030</v>
      </c>
      <c r="K136" s="81"/>
      <c r="L136" s="199">
        <f t="shared" ca="1" si="162"/>
        <v>0.93</v>
      </c>
      <c r="M136" s="199"/>
      <c r="N136" s="81"/>
      <c r="O136" s="723">
        <f t="shared" ca="1" si="163"/>
        <v>0.33863636363636368</v>
      </c>
      <c r="P136" s="723">
        <f t="shared" ca="1" si="164"/>
        <v>1.4154999999999999E-2</v>
      </c>
      <c r="Q136" s="81">
        <f t="shared" ca="1" si="165"/>
        <v>2.0694444444444446</v>
      </c>
      <c r="R136" s="300"/>
      <c r="S136" s="300"/>
      <c r="T136" s="300"/>
      <c r="U136" s="300"/>
      <c r="V136" s="199">
        <f t="shared" ref="V136" ca="1" si="171">IF(IF(RIGHT(H135,2)="PH",(1-L136)+$W$2,IF(RIGHT(H135,2)="HT",(1-L136)+$W$1,IF(RIGHT(H135,2)="SH",(1-L136)+$W$3,"")))&gt;0,IF(RIGHT(H135,2)="PH",(1-L136)+$W$2,IF(RIGHT(H135,2)="HT",(1-L136)+$W$1,IF(RIGHT(H135,2)="SH",(1-L136)+$W$3,""))),0)</f>
        <v>0.26999999999999996</v>
      </c>
      <c r="W136" s="298"/>
      <c r="X136" s="698">
        <f t="shared" ca="1" si="145"/>
        <v>0.3</v>
      </c>
      <c r="Y136" s="81">
        <f t="shared" ca="1" si="167"/>
        <v>7</v>
      </c>
      <c r="Z136" s="81">
        <f t="shared" ca="1" si="168"/>
        <v>2</v>
      </c>
      <c r="AA136" s="81">
        <f t="shared" ca="1" si="169"/>
        <v>1</v>
      </c>
      <c r="AB136" s="81">
        <f t="shared" ca="1" si="170"/>
        <v>0.1</v>
      </c>
      <c r="AD136" s="81">
        <v>2030</v>
      </c>
      <c r="AE136" s="81"/>
      <c r="AF136" s="220"/>
    </row>
    <row r="137" spans="2:32">
      <c r="B137" s="718" t="s">
        <v>1010</v>
      </c>
      <c r="C137" s="226"/>
      <c r="E137" s="212"/>
      <c r="F137" s="224" t="s">
        <v>1149</v>
      </c>
      <c r="H137" s="174"/>
      <c r="I137" s="174" t="str">
        <f t="shared" si="143"/>
        <v>INDWWH</v>
      </c>
      <c r="J137" s="224">
        <f t="shared" si="146"/>
        <v>2050</v>
      </c>
      <c r="K137" s="81"/>
      <c r="L137" s="199">
        <f t="shared" ca="1" si="162"/>
        <v>0.94</v>
      </c>
      <c r="M137" s="199"/>
      <c r="N137" s="81"/>
      <c r="O137" s="723">
        <f t="shared" ca="1" si="163"/>
        <v>0.33863636363636368</v>
      </c>
      <c r="P137" s="723">
        <f t="shared" ca="1" si="164"/>
        <v>1.2664999999999999E-2</v>
      </c>
      <c r="Q137" s="81">
        <f t="shared" ca="1" si="165"/>
        <v>2.0694444444444446</v>
      </c>
      <c r="R137" s="300"/>
      <c r="S137" s="300"/>
      <c r="T137" s="300"/>
      <c r="U137" s="300"/>
      <c r="V137" s="199">
        <f t="shared" ref="V137" ca="1" si="172">IF(IF(RIGHT(H135,2)="PH",(1-L137)+$W$2,IF(RIGHT(H135,2)="HT",(1-L137)+$W$1,IF(RIGHT(H135,2)="SH",(1-L137)+$W$3,"")))&gt;0,IF(RIGHT(H135,2)="PH",(1-L137)+$W$2,IF(RIGHT(H135,2)="HT",(1-L137)+$W$1,IF(RIGHT(H135,2)="SH",(1-L137)+$W$3,""))),0)</f>
        <v>0.26000000000000006</v>
      </c>
      <c r="W137" s="298"/>
      <c r="X137" s="698">
        <f t="shared" ca="1" si="145"/>
        <v>0.3</v>
      </c>
      <c r="Y137" s="81">
        <f t="shared" ca="1" si="167"/>
        <v>6</v>
      </c>
      <c r="Z137" s="81">
        <f t="shared" ca="1" si="168"/>
        <v>2</v>
      </c>
      <c r="AA137" s="81">
        <f t="shared" ca="1" si="169"/>
        <v>1</v>
      </c>
      <c r="AB137" s="81">
        <f t="shared" ca="1" si="170"/>
        <v>0.1</v>
      </c>
      <c r="AD137" s="81">
        <v>2050</v>
      </c>
      <c r="AE137" s="81"/>
      <c r="AF137" s="220"/>
    </row>
    <row r="138" spans="2:32">
      <c r="B138" s="718" t="s">
        <v>1010</v>
      </c>
      <c r="C138" s="226"/>
      <c r="D138" s="212" t="str">
        <f>"IND"&amp;RIGHT(H138,4)&amp;"GAS"&amp;"N"&amp;RIGHT(E138,1)</f>
        <v>INDWDPHGASN1</v>
      </c>
      <c r="E138" s="261" t="str">
        <f>"Industrial heating technology "&amp;$AJ$12&amp;" "&amp;RIGHT(H138,2)&amp;" - Gas boiler (Steam) - new 1"</f>
        <v>Industrial heating technology Wood products PH - Gas boiler (Steam) - new 1</v>
      </c>
      <c r="F138" s="224" t="s">
        <v>1149</v>
      </c>
      <c r="G138" s="173" t="s">
        <v>2080</v>
      </c>
      <c r="H138" s="174" t="str">
        <f>$AI$14</f>
        <v>IWDPH</v>
      </c>
      <c r="I138" s="174" t="str">
        <f t="shared" si="143"/>
        <v>INDWWH</v>
      </c>
      <c r="J138" s="224">
        <f t="shared" si="146"/>
        <v>2011</v>
      </c>
      <c r="K138" s="299">
        <f>J138</f>
        <v>2011</v>
      </c>
      <c r="L138" s="199">
        <f t="shared" ca="1" si="162"/>
        <v>0.92</v>
      </c>
      <c r="M138" s="199"/>
      <c r="N138" s="81">
        <f ca="1">VLOOKUP($AD138,INDIRECT("'"&amp;$B138&amp;"'!"&amp;"$P$39:$AD$42"),5,FALSE)</f>
        <v>25</v>
      </c>
      <c r="O138" s="723">
        <f t="shared" ca="1" si="163"/>
        <v>0.40636363636363632</v>
      </c>
      <c r="P138" s="723">
        <f t="shared" ca="1" si="164"/>
        <v>1.49E-2</v>
      </c>
      <c r="Q138" s="81">
        <f t="shared" ca="1" si="165"/>
        <v>2.276388888888889</v>
      </c>
      <c r="R138" s="81">
        <v>3.1536000000000002E-2</v>
      </c>
      <c r="S138" s="199">
        <v>0.5</v>
      </c>
      <c r="T138" s="199">
        <f ca="1">HLOOKUP($T$2,INDIRECT("'"&amp;$B138&amp;"'!"&amp;"$P$6:$AC$19"),IF(H138=$AI$13,6,IF(H138=$AI$14,9,14)),FALSE)</f>
        <v>1</v>
      </c>
      <c r="U138" s="772"/>
      <c r="V138" s="199">
        <f t="shared" ref="V138" ca="1" si="173">IF(IF(RIGHT(H138,2)="PH",(1-L138)+$W$2,IF(RIGHT(H138,2)="HT",(1-L138)+$W$1,IF(RIGHT(H138,2)="SH",(1-L138)+$W$3,"")))&gt;0,IF(RIGHT(H138,2)="PH",(1-L138)+$W$2,IF(RIGHT(H138,2)="HT",(1-L138)+$W$1,IF(RIGHT(H138,2)="SH",(1-L138)+$W$3,""))),0)</f>
        <v>0.27999999999999997</v>
      </c>
      <c r="W138" s="298"/>
      <c r="X138" s="698">
        <f t="shared" ca="1" si="145"/>
        <v>0.3</v>
      </c>
      <c r="Y138" s="81">
        <f t="shared" ca="1" si="167"/>
        <v>9</v>
      </c>
      <c r="Z138" s="81">
        <f t="shared" ca="1" si="168"/>
        <v>3</v>
      </c>
      <c r="AA138" s="81">
        <f t="shared" ca="1" si="169"/>
        <v>1</v>
      </c>
      <c r="AB138" s="81">
        <f t="shared" ca="1" si="170"/>
        <v>0.1</v>
      </c>
      <c r="AD138" s="81">
        <v>2020</v>
      </c>
      <c r="AE138" s="81"/>
      <c r="AF138" s="220"/>
    </row>
    <row r="139" spans="2:32">
      <c r="B139" s="718" t="s">
        <v>1010</v>
      </c>
      <c r="C139" s="226"/>
      <c r="E139" s="212"/>
      <c r="F139" s="224" t="s">
        <v>1149</v>
      </c>
      <c r="H139" s="174"/>
      <c r="I139" s="174" t="str">
        <f t="shared" si="143"/>
        <v>INDWWH</v>
      </c>
      <c r="J139" s="224">
        <f t="shared" si="146"/>
        <v>2030</v>
      </c>
      <c r="K139" s="81"/>
      <c r="L139" s="199">
        <f t="shared" ca="1" si="162"/>
        <v>0.93</v>
      </c>
      <c r="M139" s="199"/>
      <c r="N139" s="81"/>
      <c r="O139" s="723">
        <f t="shared" ca="1" si="163"/>
        <v>0.33863636363636368</v>
      </c>
      <c r="P139" s="723">
        <f t="shared" ca="1" si="164"/>
        <v>1.4154999999999999E-2</v>
      </c>
      <c r="Q139" s="81">
        <f t="shared" ca="1" si="165"/>
        <v>2.0694444444444446</v>
      </c>
      <c r="R139" s="300"/>
      <c r="S139" s="300"/>
      <c r="T139" s="300"/>
      <c r="U139" s="300"/>
      <c r="V139" s="199">
        <f t="shared" ref="V139" ca="1" si="174">IF(IF(RIGHT(H138,2)="PH",(1-L139)+$W$2,IF(RIGHT(H138,2)="HT",(1-L139)+$W$1,IF(RIGHT(H138,2)="SH",(1-L139)+$W$3,"")))&gt;0,IF(RIGHT(H138,2)="PH",(1-L139)+$W$2,IF(RIGHT(H138,2)="HT",(1-L139)+$W$1,IF(RIGHT(H138,2)="SH",(1-L139)+$W$3,""))),0)</f>
        <v>0.26999999999999996</v>
      </c>
      <c r="W139" s="298"/>
      <c r="X139" s="698">
        <f t="shared" ca="1" si="145"/>
        <v>0.3</v>
      </c>
      <c r="Y139" s="81">
        <f t="shared" ca="1" si="167"/>
        <v>7</v>
      </c>
      <c r="Z139" s="81">
        <f t="shared" ca="1" si="168"/>
        <v>2</v>
      </c>
      <c r="AA139" s="81">
        <f t="shared" ca="1" si="169"/>
        <v>1</v>
      </c>
      <c r="AB139" s="81">
        <f t="shared" ca="1" si="170"/>
        <v>0.1</v>
      </c>
      <c r="AD139" s="81">
        <v>2030</v>
      </c>
      <c r="AE139" s="81"/>
      <c r="AF139" s="220"/>
    </row>
    <row r="140" spans="2:32">
      <c r="B140" s="718" t="s">
        <v>1010</v>
      </c>
      <c r="C140" s="226"/>
      <c r="E140" s="212"/>
      <c r="F140" s="224" t="s">
        <v>1149</v>
      </c>
      <c r="H140" s="174"/>
      <c r="I140" s="174" t="str">
        <f t="shared" si="143"/>
        <v>INDWWH</v>
      </c>
      <c r="J140" s="224">
        <f t="shared" si="146"/>
        <v>2050</v>
      </c>
      <c r="K140" s="81"/>
      <c r="L140" s="199">
        <f t="shared" ca="1" si="162"/>
        <v>0.94</v>
      </c>
      <c r="M140" s="199"/>
      <c r="N140" s="81"/>
      <c r="O140" s="723">
        <f t="shared" ca="1" si="163"/>
        <v>0.33863636363636368</v>
      </c>
      <c r="P140" s="723">
        <f t="shared" ca="1" si="164"/>
        <v>1.2664999999999999E-2</v>
      </c>
      <c r="Q140" s="81">
        <f t="shared" ca="1" si="165"/>
        <v>2.0694444444444446</v>
      </c>
      <c r="R140" s="300"/>
      <c r="S140" s="300"/>
      <c r="T140" s="300"/>
      <c r="U140" s="300"/>
      <c r="V140" s="199">
        <f t="shared" ref="V140" ca="1" si="175">IF(IF(RIGHT(H138,2)="PH",(1-L140)+$W$2,IF(RIGHT(H138,2)="HT",(1-L140)+$W$1,IF(RIGHT(H138,2)="SH",(1-L140)+$W$3,"")))&gt;0,IF(RIGHT(H138,2)="PH",(1-L140)+$W$2,IF(RIGHT(H138,2)="HT",(1-L140)+$W$1,IF(RIGHT(H138,2)="SH",(1-L140)+$W$3,""))),0)</f>
        <v>0.26000000000000006</v>
      </c>
      <c r="W140" s="298"/>
      <c r="X140" s="698">
        <f t="shared" ca="1" si="145"/>
        <v>0.3</v>
      </c>
      <c r="Y140" s="81">
        <f t="shared" ca="1" si="167"/>
        <v>6</v>
      </c>
      <c r="Z140" s="81">
        <f t="shared" ca="1" si="168"/>
        <v>2</v>
      </c>
      <c r="AA140" s="81">
        <f t="shared" ca="1" si="169"/>
        <v>1</v>
      </c>
      <c r="AB140" s="81">
        <f t="shared" ca="1" si="170"/>
        <v>0.1</v>
      </c>
      <c r="AC140" s="203"/>
      <c r="AD140" s="81">
        <v>2050</v>
      </c>
      <c r="AE140" s="81"/>
      <c r="AF140" s="705"/>
    </row>
    <row r="141" spans="2:32">
      <c r="B141" s="718" t="s">
        <v>1010</v>
      </c>
      <c r="C141" s="226"/>
      <c r="D141" s="212" t="str">
        <f>"IND"&amp;RIGHT(H141,4)&amp;"GAS"&amp;"N"&amp;RIGHT(E141,1)</f>
        <v>INDWDSHGASN1</v>
      </c>
      <c r="E141" s="261" t="str">
        <f>"Industrial heating technology "&amp;$AJ$12&amp;" "&amp;RIGHT(H141,2)&amp;" - Gas boiler (Steam) - new 1"</f>
        <v>Industrial heating technology Wood products SH - Gas boiler (Steam) - new 1</v>
      </c>
      <c r="F141" s="224" t="s">
        <v>1149</v>
      </c>
      <c r="G141" s="173" t="s">
        <v>2080</v>
      </c>
      <c r="H141" s="174" t="str">
        <f>$AI$15</f>
        <v>IWDSH</v>
      </c>
      <c r="I141" s="174" t="str">
        <f t="shared" si="143"/>
        <v>INDWWH</v>
      </c>
      <c r="J141" s="224">
        <f t="shared" si="146"/>
        <v>2011</v>
      </c>
      <c r="K141" s="299">
        <f>J141</f>
        <v>2011</v>
      </c>
      <c r="L141" s="199">
        <f t="shared" ca="1" si="162"/>
        <v>0.92</v>
      </c>
      <c r="M141" s="199"/>
      <c r="N141" s="81">
        <f ca="1">VLOOKUP($AD141,INDIRECT("'"&amp;$B141&amp;"'!"&amp;"$P$39:$AD$42"),5,FALSE)</f>
        <v>25</v>
      </c>
      <c r="O141" s="723">
        <f t="shared" ca="1" si="163"/>
        <v>0.40636363636363632</v>
      </c>
      <c r="P141" s="723">
        <f t="shared" ca="1" si="164"/>
        <v>1.49E-2</v>
      </c>
      <c r="Q141" s="81">
        <f t="shared" ca="1" si="165"/>
        <v>2.276388888888889</v>
      </c>
      <c r="R141" s="81">
        <v>3.1536000000000002E-2</v>
      </c>
      <c r="S141" s="199">
        <v>0.5</v>
      </c>
      <c r="T141" s="199">
        <f ca="1">HLOOKUP($T$2,INDIRECT("'"&amp;$B141&amp;"'!"&amp;"$P$6:$AC$19"),IF(H141=$AI$13,6,IF(H141=$AI$14,9,14)),FALSE)</f>
        <v>1</v>
      </c>
      <c r="U141" s="772"/>
      <c r="V141" s="199">
        <f t="shared" ref="V141" ca="1" si="176">IF(IF(RIGHT(H141,2)="PH",(1-L141)+$W$2,IF(RIGHT(H141,2)="HT",(1-L141)+$W$1,IF(RIGHT(H141,2)="SH",(1-L141)+$W$3,"")))&gt;0,IF(RIGHT(H141,2)="PH",(1-L141)+$W$2,IF(RIGHT(H141,2)="HT",(1-L141)+$W$1,IF(RIGHT(H141,2)="SH",(1-L141)+$W$3,""))),0)</f>
        <v>7.999999999999996E-2</v>
      </c>
      <c r="W141" s="298"/>
      <c r="X141" s="698">
        <f t="shared" ca="1" si="145"/>
        <v>0.3</v>
      </c>
      <c r="Y141" s="81">
        <f t="shared" ca="1" si="167"/>
        <v>9</v>
      </c>
      <c r="Z141" s="81">
        <f t="shared" ca="1" si="168"/>
        <v>3</v>
      </c>
      <c r="AA141" s="81">
        <f t="shared" ca="1" si="169"/>
        <v>1</v>
      </c>
      <c r="AB141" s="81">
        <f t="shared" ca="1" si="170"/>
        <v>0.1</v>
      </c>
      <c r="AC141" s="296"/>
      <c r="AD141" s="81">
        <v>2020</v>
      </c>
      <c r="AE141" s="81"/>
      <c r="AF141" s="710"/>
    </row>
    <row r="142" spans="2:32">
      <c r="B142" s="718" t="s">
        <v>1010</v>
      </c>
      <c r="C142" s="226"/>
      <c r="E142" s="212"/>
      <c r="F142" s="224" t="s">
        <v>1149</v>
      </c>
      <c r="H142" s="174"/>
      <c r="I142" s="174" t="str">
        <f t="shared" si="143"/>
        <v>INDWWH</v>
      </c>
      <c r="J142" s="224">
        <f t="shared" si="146"/>
        <v>2030</v>
      </c>
      <c r="K142" s="81"/>
      <c r="L142" s="199">
        <f t="shared" ca="1" si="162"/>
        <v>0.93</v>
      </c>
      <c r="M142" s="199"/>
      <c r="N142" s="81"/>
      <c r="O142" s="723">
        <f t="shared" ca="1" si="163"/>
        <v>0.33863636363636368</v>
      </c>
      <c r="P142" s="723">
        <f t="shared" ca="1" si="164"/>
        <v>1.4154999999999999E-2</v>
      </c>
      <c r="Q142" s="81">
        <f t="shared" ca="1" si="165"/>
        <v>2.0694444444444446</v>
      </c>
      <c r="R142" s="300"/>
      <c r="S142" s="300"/>
      <c r="T142" s="300"/>
      <c r="U142" s="300"/>
      <c r="V142" s="199">
        <f t="shared" ref="V142" ca="1" si="177">IF(IF(RIGHT(H141,2)="PH",(1-L142)+$W$2,IF(RIGHT(H141,2)="HT",(1-L142)+$W$1,IF(RIGHT(H141,2)="SH",(1-L142)+$W$3,"")))&gt;0,IF(RIGHT(H141,2)="PH",(1-L142)+$W$2,IF(RIGHT(H141,2)="HT",(1-L142)+$W$1,IF(RIGHT(H141,2)="SH",(1-L142)+$W$3,""))),0)</f>
        <v>6.9999999999999951E-2</v>
      </c>
      <c r="W142" s="298"/>
      <c r="X142" s="698">
        <f t="shared" ca="1" si="145"/>
        <v>0.3</v>
      </c>
      <c r="Y142" s="81">
        <f t="shared" ca="1" si="167"/>
        <v>7</v>
      </c>
      <c r="Z142" s="81">
        <f t="shared" ca="1" si="168"/>
        <v>2</v>
      </c>
      <c r="AA142" s="81">
        <f t="shared" ca="1" si="169"/>
        <v>1</v>
      </c>
      <c r="AB142" s="81">
        <f t="shared" ca="1" si="170"/>
        <v>0.1</v>
      </c>
      <c r="AC142" s="55"/>
      <c r="AD142" s="81">
        <v>2030</v>
      </c>
      <c r="AE142" s="81"/>
      <c r="AF142" s="700"/>
    </row>
    <row r="143" spans="2:32">
      <c r="B143" s="719" t="s">
        <v>1010</v>
      </c>
      <c r="C143" s="713"/>
      <c r="D143" s="203"/>
      <c r="E143" s="701"/>
      <c r="F143" s="224" t="s">
        <v>1149</v>
      </c>
      <c r="G143" s="203"/>
      <c r="H143" s="702"/>
      <c r="I143" s="702" t="str">
        <f t="shared" si="143"/>
        <v>INDWWH</v>
      </c>
      <c r="J143" s="224">
        <f t="shared" si="146"/>
        <v>2050</v>
      </c>
      <c r="K143" s="81"/>
      <c r="L143" s="199">
        <f t="shared" ca="1" si="162"/>
        <v>0.94</v>
      </c>
      <c r="M143" s="199"/>
      <c r="N143" s="81"/>
      <c r="O143" s="723">
        <f t="shared" ca="1" si="163"/>
        <v>0.33863636363636368</v>
      </c>
      <c r="P143" s="723">
        <f t="shared" ca="1" si="164"/>
        <v>1.2664999999999999E-2</v>
      </c>
      <c r="Q143" s="81">
        <f t="shared" ca="1" si="165"/>
        <v>2.0694444444444446</v>
      </c>
      <c r="R143" s="703"/>
      <c r="S143" s="703"/>
      <c r="T143" s="703"/>
      <c r="U143" s="703"/>
      <c r="V143" s="199">
        <f t="shared" ref="V143" ca="1" si="178">IF(IF(RIGHT(H141,2)="PH",(1-L143)+$W$2,IF(RIGHT(H141,2)="HT",(1-L143)+$W$1,IF(RIGHT(H141,2)="SH",(1-L143)+$W$3,"")))&gt;0,IF(RIGHT(H141,2)="PH",(1-L143)+$W$2,IF(RIGHT(H141,2)="HT",(1-L143)+$W$1,IF(RIGHT(H141,2)="SH",(1-L143)+$W$3,""))),0)</f>
        <v>6.0000000000000053E-2</v>
      </c>
      <c r="W143" s="704"/>
      <c r="X143" s="698">
        <f t="shared" ca="1" si="145"/>
        <v>0.3</v>
      </c>
      <c r="Y143" s="81">
        <f t="shared" ca="1" si="167"/>
        <v>6</v>
      </c>
      <c r="Z143" s="81">
        <f t="shared" ca="1" si="168"/>
        <v>2</v>
      </c>
      <c r="AA143" s="81">
        <f t="shared" ca="1" si="169"/>
        <v>1</v>
      </c>
      <c r="AB143" s="81">
        <f t="shared" ca="1" si="170"/>
        <v>0.1</v>
      </c>
      <c r="AC143" s="55"/>
      <c r="AD143" s="81">
        <v>2050</v>
      </c>
      <c r="AE143" s="81"/>
      <c r="AF143" s="700"/>
    </row>
    <row r="144" spans="2:32">
      <c r="B144" s="718" t="s">
        <v>1010</v>
      </c>
      <c r="C144" s="226"/>
      <c r="D144" s="212" t="str">
        <f>"IND"&amp;RIGHT(H144,4)&amp;"GAS"&amp;"N"&amp;RIGHT(E144,1)</f>
        <v>INDWDPHGASN2</v>
      </c>
      <c r="E144" s="707" t="str">
        <f>"Industrial heating technology "&amp;$AJ$12&amp;" "&amp;RIGHT(H144,2)&amp;" - Gas boiler (Steam - condensing) - new 2"</f>
        <v>Industrial heating technology Wood products PH - Gas boiler (Steam - condensing) - new 2</v>
      </c>
      <c r="F144" s="224" t="s">
        <v>1149</v>
      </c>
      <c r="G144" s="173" t="s">
        <v>2080</v>
      </c>
      <c r="H144" s="708" t="str">
        <f>$AI$14</f>
        <v>IWDPH</v>
      </c>
      <c r="I144" s="708" t="str">
        <f t="shared" si="143"/>
        <v>INDWWH</v>
      </c>
      <c r="J144" s="224">
        <f t="shared" si="146"/>
        <v>2011</v>
      </c>
      <c r="K144" s="299">
        <f>J144</f>
        <v>2011</v>
      </c>
      <c r="L144" s="199">
        <f t="shared" ref="L144:L149" ca="1" si="179">VLOOKUP($AD144,INDIRECT("'"&amp;$B144&amp;"'!"&amp;"$P$118:$AD$121"),3,FALSE)</f>
        <v>1.01</v>
      </c>
      <c r="M144" s="199"/>
      <c r="N144" s="81">
        <f ca="1">VLOOKUP($AD144,INDIRECT("'"&amp;$B144&amp;"'!"&amp;"$P$118:$AD$121"),5,FALSE)</f>
        <v>25</v>
      </c>
      <c r="O144" s="723">
        <f t="shared" ref="O144:O149" ca="1" si="180">VLOOKUP($AD144,INDIRECT("'"&amp;$B144&amp;"'!"&amp;"$P$118:$AD$121"),6,FALSE)/1000</f>
        <v>0.44700000000000001</v>
      </c>
      <c r="P144" s="723">
        <f t="shared" ref="P144:P149" ca="1" si="181">VLOOKUP($AD144,INDIRECT("'"&amp;$B144&amp;"'!"&amp;"$P$118:$AD$121"),7,FALSE)/1000</f>
        <v>1.49E-2</v>
      </c>
      <c r="Q144" s="81">
        <f t="shared" ref="Q144:Q149" ca="1" si="182">VLOOKUP($AD144,INDIRECT("'"&amp;$B144&amp;"'!"&amp;"$P$118:$AD$121"),8,FALSE)</f>
        <v>2.276388888888889</v>
      </c>
      <c r="R144" s="81">
        <v>3.1536000000000002E-2</v>
      </c>
      <c r="S144" s="199">
        <v>0.5</v>
      </c>
      <c r="T144" s="199">
        <f ca="1">HLOOKUP($T$2,INDIRECT("'"&amp;$B144&amp;"'!"&amp;"$P$85:$AC$98"),IF(H144=$AI$13,6,IF(H144=$AI$14,9,14)),FALSE)</f>
        <v>0</v>
      </c>
      <c r="U144" s="773"/>
      <c r="V144" s="199">
        <f t="shared" ref="V144" ca="1" si="183">IF(IF(RIGHT(H144,2)="PH",(1-L144)+$W$2,IF(RIGHT(H144,2)="HT",(1-L144)+$W$1,IF(RIGHT(H144,2)="SH",(1-L144)+$W$3,"")))&gt;0,IF(RIGHT(H144,2)="PH",(1-L144)+$W$2,IF(RIGHT(H144,2)="HT",(1-L144)+$W$1,IF(RIGHT(H144,2)="SH",(1-L144)+$W$3,""))),0)</f>
        <v>0.19</v>
      </c>
      <c r="W144" s="709"/>
      <c r="X144" s="698">
        <f t="shared" ca="1" si="145"/>
        <v>0.3</v>
      </c>
      <c r="Y144" s="698">
        <f t="shared" ref="Y144:Y149" ca="1" si="184">VLOOKUP($AD144,INDIRECT("'"&amp;$B144&amp;"'!"&amp;"$P$118:$AD$121"),12,FALSE)</f>
        <v>9</v>
      </c>
      <c r="Z144" s="698">
        <f t="shared" ref="Z144:Z149" ca="1" si="185">VLOOKUP($AD144,INDIRECT("'"&amp;$B144&amp;"'!"&amp;"$P$118:$AD$121"),13,FALSE)</f>
        <v>3</v>
      </c>
      <c r="AA144" s="698">
        <f t="shared" ref="AA144:AA149" ca="1" si="186">VLOOKUP($AD144,INDIRECT("'"&amp;$B144&amp;"'!"&amp;"$P$118:$AD$121"),14,FALSE)</f>
        <v>1</v>
      </c>
      <c r="AB144" s="698">
        <f t="shared" ref="AB144:AB149" ca="1" si="187">VLOOKUP($AD144,INDIRECT("'"&amp;$B144&amp;"'!"&amp;"$P$118:$AD$121"),15,FALSE)</f>
        <v>0.1</v>
      </c>
      <c r="AC144" s="55"/>
      <c r="AD144" s="81">
        <v>2020</v>
      </c>
      <c r="AE144" s="81"/>
      <c r="AF144" s="700"/>
    </row>
    <row r="145" spans="1:32">
      <c r="B145" s="718" t="s">
        <v>1010</v>
      </c>
      <c r="C145" s="226"/>
      <c r="E145" s="261"/>
      <c r="F145" s="224" t="s">
        <v>1149</v>
      </c>
      <c r="G145" s="55"/>
      <c r="H145" s="174"/>
      <c r="I145" s="174" t="str">
        <f t="shared" si="143"/>
        <v>INDWWH</v>
      </c>
      <c r="J145" s="224">
        <f t="shared" si="146"/>
        <v>2030</v>
      </c>
      <c r="K145" s="81"/>
      <c r="L145" s="199">
        <f t="shared" ca="1" si="179"/>
        <v>1.03</v>
      </c>
      <c r="M145" s="199"/>
      <c r="N145" s="81"/>
      <c r="O145" s="723">
        <f t="shared" ca="1" si="180"/>
        <v>0.37250000000000005</v>
      </c>
      <c r="P145" s="723">
        <f t="shared" ca="1" si="181"/>
        <v>1.4154999999999999E-2</v>
      </c>
      <c r="Q145" s="81">
        <f t="shared" ca="1" si="182"/>
        <v>2.0694444444444446</v>
      </c>
      <c r="R145" s="300"/>
      <c r="S145" s="300"/>
      <c r="T145" s="300"/>
      <c r="U145" s="300"/>
      <c r="V145" s="199">
        <f t="shared" ref="V145" ca="1" si="188">IF(IF(RIGHT(H144,2)="PH",(1-L145)+$W$2,IF(RIGHT(H144,2)="HT",(1-L145)+$W$1,IF(RIGHT(H144,2)="SH",(1-L145)+$W$3,"")))&gt;0,IF(RIGHT(H144,2)="PH",(1-L145)+$W$2,IF(RIGHT(H144,2)="HT",(1-L145)+$W$1,IF(RIGHT(H144,2)="SH",(1-L145)+$W$3,""))),0)</f>
        <v>0.16999999999999998</v>
      </c>
      <c r="W145" s="298"/>
      <c r="X145" s="698">
        <f t="shared" ca="1" si="145"/>
        <v>0.3</v>
      </c>
      <c r="Y145" s="698">
        <f t="shared" ca="1" si="184"/>
        <v>7</v>
      </c>
      <c r="Z145" s="698">
        <f t="shared" ca="1" si="185"/>
        <v>2</v>
      </c>
      <c r="AA145" s="698">
        <f t="shared" ca="1" si="186"/>
        <v>1</v>
      </c>
      <c r="AB145" s="698">
        <f t="shared" ca="1" si="187"/>
        <v>0.1</v>
      </c>
      <c r="AC145" s="55"/>
      <c r="AD145" s="81">
        <v>2030</v>
      </c>
      <c r="AE145" s="81"/>
      <c r="AF145" s="700"/>
    </row>
    <row r="146" spans="1:32">
      <c r="A146" s="226"/>
      <c r="B146" s="718" t="s">
        <v>1010</v>
      </c>
      <c r="C146" s="226"/>
      <c r="E146" s="261"/>
      <c r="F146" s="224" t="s">
        <v>1149</v>
      </c>
      <c r="G146" s="55"/>
      <c r="H146" s="174"/>
      <c r="I146" s="174" t="str">
        <f t="shared" si="143"/>
        <v>INDWWH</v>
      </c>
      <c r="J146" s="224">
        <f t="shared" si="146"/>
        <v>2050</v>
      </c>
      <c r="K146" s="81"/>
      <c r="L146" s="199">
        <f t="shared" ca="1" si="179"/>
        <v>1.03</v>
      </c>
      <c r="M146" s="199"/>
      <c r="N146" s="81"/>
      <c r="O146" s="723">
        <f t="shared" ca="1" si="180"/>
        <v>0.37250000000000005</v>
      </c>
      <c r="P146" s="723">
        <f t="shared" ca="1" si="181"/>
        <v>1.2664999999999999E-2</v>
      </c>
      <c r="Q146" s="81">
        <f t="shared" ca="1" si="182"/>
        <v>2.0694444444444446</v>
      </c>
      <c r="R146" s="300"/>
      <c r="S146" s="300"/>
      <c r="T146" s="300"/>
      <c r="U146" s="300"/>
      <c r="V146" s="199">
        <f t="shared" ref="V146" ca="1" si="189">IF(IF(RIGHT(H144,2)="PH",(1-L146)+$W$2,IF(RIGHT(H144,2)="HT",(1-L146)+$W$1,IF(RIGHT(H144,2)="SH",(1-L146)+$W$3,"")))&gt;0,IF(RIGHT(H144,2)="PH",(1-L146)+$W$2,IF(RIGHT(H144,2)="HT",(1-L146)+$W$1,IF(RIGHT(H144,2)="SH",(1-L146)+$W$3,""))),0)</f>
        <v>0.16999999999999998</v>
      </c>
      <c r="W146" s="298"/>
      <c r="X146" s="698">
        <f t="shared" ca="1" si="145"/>
        <v>0.3</v>
      </c>
      <c r="Y146" s="698">
        <f t="shared" ca="1" si="184"/>
        <v>6</v>
      </c>
      <c r="Z146" s="698">
        <f t="shared" ca="1" si="185"/>
        <v>2</v>
      </c>
      <c r="AA146" s="698">
        <f t="shared" ca="1" si="186"/>
        <v>1</v>
      </c>
      <c r="AB146" s="698">
        <f t="shared" ca="1" si="187"/>
        <v>0.1</v>
      </c>
      <c r="AC146" s="203"/>
      <c r="AD146" s="81">
        <v>2050</v>
      </c>
      <c r="AE146" s="81"/>
      <c r="AF146" s="705"/>
    </row>
    <row r="147" spans="1:32">
      <c r="A147" s="226"/>
      <c r="B147" s="718" t="s">
        <v>1010</v>
      </c>
      <c r="C147" s="226"/>
      <c r="D147" s="212" t="str">
        <f>"IND"&amp;RIGHT(H147,4)&amp;"GAS"&amp;"N"&amp;RIGHT(E147,1)</f>
        <v>INDWDSHGASN2</v>
      </c>
      <c r="E147" s="261" t="str">
        <f>"Industrial heating technology "&amp;$AJ$12&amp;" "&amp;RIGHT(H147,2)&amp;" - Gas boiler (Steam - condensing) - new 2"</f>
        <v>Industrial heating technology Wood products SH - Gas boiler (Steam - condensing) - new 2</v>
      </c>
      <c r="F147" s="224" t="s">
        <v>1149</v>
      </c>
      <c r="G147" s="173" t="s">
        <v>2080</v>
      </c>
      <c r="H147" s="174" t="str">
        <f>$AI$15</f>
        <v>IWDSH</v>
      </c>
      <c r="I147" s="174" t="str">
        <f t="shared" si="143"/>
        <v>INDWWH</v>
      </c>
      <c r="J147" s="224">
        <f t="shared" si="146"/>
        <v>2011</v>
      </c>
      <c r="K147" s="299">
        <f>J147</f>
        <v>2011</v>
      </c>
      <c r="L147" s="199">
        <f t="shared" ca="1" si="179"/>
        <v>1.01</v>
      </c>
      <c r="M147" s="199"/>
      <c r="N147" s="81">
        <f ca="1">VLOOKUP($AD147,INDIRECT("'"&amp;$B147&amp;"'!"&amp;"$P$118:$AD$121"),5,FALSE)</f>
        <v>25</v>
      </c>
      <c r="O147" s="723">
        <f t="shared" ca="1" si="180"/>
        <v>0.44700000000000001</v>
      </c>
      <c r="P147" s="723">
        <f t="shared" ca="1" si="181"/>
        <v>1.49E-2</v>
      </c>
      <c r="Q147" s="81">
        <f t="shared" ca="1" si="182"/>
        <v>2.276388888888889</v>
      </c>
      <c r="R147" s="81">
        <v>3.1536000000000002E-2</v>
      </c>
      <c r="S147" s="199">
        <v>0.5</v>
      </c>
      <c r="T147" s="199">
        <f ca="1">HLOOKUP($T$2,INDIRECT("'"&amp;$B147&amp;"'!"&amp;"$P$85:$AC$98"),IF(H147=$AI$13,6,IF(H147=$AI$14,9,14)),FALSE)</f>
        <v>0</v>
      </c>
      <c r="U147" s="772"/>
      <c r="V147" s="199">
        <f t="shared" ref="V147" ca="1" si="190">IF(IF(RIGHT(H147,2)="PH",(1-L147)+$W$2,IF(RIGHT(H147,2)="HT",(1-L147)+$W$1,IF(RIGHT(H147,2)="SH",(1-L147)+$W$3,"")))&gt;0,IF(RIGHT(H147,2)="PH",(1-L147)+$W$2,IF(RIGHT(H147,2)="HT",(1-L147)+$W$1,IF(RIGHT(H147,2)="SH",(1-L147)+$W$3,""))),0)</f>
        <v>0</v>
      </c>
      <c r="W147" s="298"/>
      <c r="X147" s="698">
        <f t="shared" ca="1" si="145"/>
        <v>0.3</v>
      </c>
      <c r="Y147" s="698">
        <f t="shared" ca="1" si="184"/>
        <v>9</v>
      </c>
      <c r="Z147" s="698">
        <f t="shared" ca="1" si="185"/>
        <v>3</v>
      </c>
      <c r="AA147" s="698">
        <f t="shared" ca="1" si="186"/>
        <v>1</v>
      </c>
      <c r="AB147" s="698">
        <f t="shared" ca="1" si="187"/>
        <v>0.1</v>
      </c>
      <c r="AC147" s="296"/>
      <c r="AD147" s="81">
        <v>2020</v>
      </c>
      <c r="AE147" s="81"/>
      <c r="AF147" s="710"/>
    </row>
    <row r="148" spans="1:32">
      <c r="A148" s="226"/>
      <c r="B148" s="718" t="s">
        <v>1010</v>
      </c>
      <c r="C148" s="226"/>
      <c r="E148" s="261"/>
      <c r="F148" s="224" t="s">
        <v>1149</v>
      </c>
      <c r="G148" s="55"/>
      <c r="H148" s="174"/>
      <c r="I148" s="174" t="str">
        <f t="shared" si="143"/>
        <v>INDWWH</v>
      </c>
      <c r="J148" s="224">
        <f t="shared" si="146"/>
        <v>2030</v>
      </c>
      <c r="K148" s="81"/>
      <c r="L148" s="199">
        <f t="shared" ca="1" si="179"/>
        <v>1.03</v>
      </c>
      <c r="M148" s="199"/>
      <c r="N148" s="81"/>
      <c r="O148" s="723">
        <f t="shared" ca="1" si="180"/>
        <v>0.37250000000000005</v>
      </c>
      <c r="P148" s="723">
        <f t="shared" ca="1" si="181"/>
        <v>1.4154999999999999E-2</v>
      </c>
      <c r="Q148" s="81">
        <f t="shared" ca="1" si="182"/>
        <v>2.0694444444444446</v>
      </c>
      <c r="R148" s="300"/>
      <c r="S148" s="300"/>
      <c r="T148" s="300"/>
      <c r="U148" s="300"/>
      <c r="V148" s="199">
        <f t="shared" ref="V148" ca="1" si="191">IF(IF(RIGHT(H147,2)="PH",(1-L148)+$W$2,IF(RIGHT(H147,2)="HT",(1-L148)+$W$1,IF(RIGHT(H147,2)="SH",(1-L148)+$W$3,"")))&gt;0,IF(RIGHT(H147,2)="PH",(1-L148)+$W$2,IF(RIGHT(H147,2)="HT",(1-L148)+$W$1,IF(RIGHT(H147,2)="SH",(1-L148)+$W$3,""))),0)</f>
        <v>0</v>
      </c>
      <c r="W148" s="298"/>
      <c r="X148" s="698">
        <f t="shared" ca="1" si="145"/>
        <v>0.3</v>
      </c>
      <c r="Y148" s="698">
        <f t="shared" ca="1" si="184"/>
        <v>7</v>
      </c>
      <c r="Z148" s="698">
        <f t="shared" ca="1" si="185"/>
        <v>2</v>
      </c>
      <c r="AA148" s="698">
        <f t="shared" ca="1" si="186"/>
        <v>1</v>
      </c>
      <c r="AB148" s="698">
        <f t="shared" ca="1" si="187"/>
        <v>0.1</v>
      </c>
      <c r="AC148" s="55"/>
      <c r="AD148" s="81">
        <v>2030</v>
      </c>
      <c r="AE148" s="81"/>
      <c r="AF148" s="700"/>
    </row>
    <row r="149" spans="1:32">
      <c r="A149" s="226"/>
      <c r="B149" s="719" t="s">
        <v>1010</v>
      </c>
      <c r="C149" s="713"/>
      <c r="D149" s="203"/>
      <c r="E149" s="701"/>
      <c r="F149" s="224" t="s">
        <v>1149</v>
      </c>
      <c r="G149" s="203"/>
      <c r="H149" s="702"/>
      <c r="I149" s="702" t="str">
        <f t="shared" si="143"/>
        <v>INDWWH</v>
      </c>
      <c r="J149" s="224">
        <f t="shared" si="146"/>
        <v>2050</v>
      </c>
      <c r="K149" s="81"/>
      <c r="L149" s="199">
        <f t="shared" ca="1" si="179"/>
        <v>1.03</v>
      </c>
      <c r="M149" s="199"/>
      <c r="N149" s="81"/>
      <c r="O149" s="723">
        <f t="shared" ca="1" si="180"/>
        <v>0.37250000000000005</v>
      </c>
      <c r="P149" s="723">
        <f t="shared" ca="1" si="181"/>
        <v>1.2664999999999999E-2</v>
      </c>
      <c r="Q149" s="81">
        <f t="shared" ca="1" si="182"/>
        <v>2.0694444444444446</v>
      </c>
      <c r="R149" s="703"/>
      <c r="S149" s="703"/>
      <c r="T149" s="703"/>
      <c r="U149" s="703"/>
      <c r="V149" s="199">
        <f t="shared" ref="V149" ca="1" si="192">IF(IF(RIGHT(H147,2)="PH",(1-L149)+$W$2,IF(RIGHT(H147,2)="HT",(1-L149)+$W$1,IF(RIGHT(H147,2)="SH",(1-L149)+$W$3,"")))&gt;0,IF(RIGHT(H147,2)="PH",(1-L149)+$W$2,IF(RIGHT(H147,2)="HT",(1-L149)+$W$1,IF(RIGHT(H147,2)="SH",(1-L149)+$W$3,""))),0)</f>
        <v>0</v>
      </c>
      <c r="W149" s="704"/>
      <c r="X149" s="698">
        <f t="shared" ca="1" si="145"/>
        <v>0.3</v>
      </c>
      <c r="Y149" s="698">
        <f t="shared" ca="1" si="184"/>
        <v>6</v>
      </c>
      <c r="Z149" s="698">
        <f t="shared" ca="1" si="185"/>
        <v>2</v>
      </c>
      <c r="AA149" s="698">
        <f t="shared" ca="1" si="186"/>
        <v>1</v>
      </c>
      <c r="AB149" s="698">
        <f t="shared" ca="1" si="187"/>
        <v>0.1</v>
      </c>
      <c r="AC149" s="55"/>
      <c r="AD149" s="81">
        <v>2050</v>
      </c>
      <c r="AE149" s="81"/>
      <c r="AF149" s="700"/>
    </row>
    <row r="150" spans="1:32">
      <c r="A150" s="226"/>
      <c r="B150" s="718" t="s">
        <v>1010</v>
      </c>
      <c r="C150" s="226"/>
      <c r="D150" s="212" t="str">
        <f>"IND"&amp;RIGHT(H150,4)&amp;"GAS"&amp;"N"&amp;RIGHT(E150,1)</f>
        <v>INDWDPHGASN3</v>
      </c>
      <c r="E150" s="707" t="str">
        <f>"Industrial heating technology "&amp;$AJ$12&amp;" "&amp;RIGHT(H150,2)&amp;" - Gas boiler (Hot Water) - new 3"</f>
        <v>Industrial heating technology Wood products PH - Gas boiler (Hot Water) - new 3</v>
      </c>
      <c r="F150" s="224" t="s">
        <v>1149</v>
      </c>
      <c r="G150" s="173" t="s">
        <v>2080</v>
      </c>
      <c r="H150" s="708" t="str">
        <f>$AI$14</f>
        <v>IWDPH</v>
      </c>
      <c r="I150" s="708" t="str">
        <f t="shared" si="143"/>
        <v>INDWWH</v>
      </c>
      <c r="J150" s="224">
        <f t="shared" si="146"/>
        <v>2011</v>
      </c>
      <c r="K150" s="299">
        <f>J150</f>
        <v>2011</v>
      </c>
      <c r="L150" s="199">
        <f t="shared" ref="L150:L155" ca="1" si="193">VLOOKUP($AD150,INDIRECT("'"&amp;$B150&amp;"'!"&amp;"$P$200:$AD$203"),3,FALSE)</f>
        <v>0.93</v>
      </c>
      <c r="M150" s="199"/>
      <c r="N150" s="81">
        <f ca="1">VLOOKUP($AD150,INDIRECT("'"&amp;$B150&amp;"'!"&amp;"$P$200:$AD$203"),5,FALSE)</f>
        <v>25</v>
      </c>
      <c r="O150" s="723">
        <f t="shared" ref="O150:O155" ca="1" si="194">VLOOKUP($AD150,INDIRECT("'"&amp;$B150&amp;"'!"&amp;"$P$200:$AD$203"),6,FALSE)/1000</f>
        <v>0.3250909090909091</v>
      </c>
      <c r="P150" s="723">
        <f t="shared" ref="P150:P155" ca="1" si="195">VLOOKUP($AD150,INDIRECT("'"&amp;$B150&amp;"'!"&amp;"$P$200:$AD$203"),7,FALSE)/1000</f>
        <v>1.49E-2</v>
      </c>
      <c r="Q150" s="81">
        <f t="shared" ref="Q150:Q155" ca="1" si="196">VLOOKUP($AD150,INDIRECT("'"&amp;$B150&amp;"'!"&amp;"$P$200:$AD$203"),8,FALSE)</f>
        <v>2.276388888888889</v>
      </c>
      <c r="R150" s="81">
        <v>3.1536000000000002E-2</v>
      </c>
      <c r="S150" s="199">
        <v>0.5</v>
      </c>
      <c r="T150" s="199">
        <f ca="1">HLOOKUP($T$2,INDIRECT("'"&amp;$B150&amp;"'!"&amp;"$P$167:$AC$180"),IF(H150=$AI$13,6,IF(H150=$AI$14,9,14)),FALSE)</f>
        <v>0</v>
      </c>
      <c r="U150" s="773"/>
      <c r="V150" s="199">
        <f t="shared" ref="V150" ca="1" si="197">IF(IF(RIGHT(H150,2)="PH",(1-L150)+$W$2,IF(RIGHT(H150,2)="HT",(1-L150)+$W$1,IF(RIGHT(H150,2)="SH",(1-L150)+$W$3,"")))&gt;0,IF(RIGHT(H150,2)="PH",(1-L150)+$W$2,IF(RIGHT(H150,2)="HT",(1-L150)+$W$1,IF(RIGHT(H150,2)="SH",(1-L150)+$W$3,""))),0)</f>
        <v>0.26999999999999996</v>
      </c>
      <c r="W150" s="709"/>
      <c r="X150" s="698">
        <f t="shared" ca="1" si="145"/>
        <v>0.3</v>
      </c>
      <c r="Y150" s="698">
        <f t="shared" ref="Y150:Y155" ca="1" si="198">VLOOKUP($AD150,INDIRECT("'"&amp;$B150&amp;"'!"&amp;"$P$200:$AD$203"),12,FALSE)</f>
        <v>9</v>
      </c>
      <c r="Z150" s="698">
        <f t="shared" ref="Z150:Z155" ca="1" si="199">VLOOKUP($AD150,INDIRECT("'"&amp;$B150&amp;"'!"&amp;"$P$200:$AD$203"),13,FALSE)</f>
        <v>3</v>
      </c>
      <c r="AA150" s="698">
        <f t="shared" ref="AA150:AA155" ca="1" si="200">VLOOKUP($AD150,INDIRECT("'"&amp;$B150&amp;"'!"&amp;"$P$200:$AD$203"),14,FALSE)</f>
        <v>1</v>
      </c>
      <c r="AB150" s="698">
        <f t="shared" ref="AB150:AB155" ca="1" si="201">VLOOKUP($AD150,INDIRECT("'"&amp;$B150&amp;"'!"&amp;"$P$200:$AD$203"),15,FALSE)</f>
        <v>0.1</v>
      </c>
      <c r="AC150" s="55"/>
      <c r="AD150" s="81">
        <v>2020</v>
      </c>
      <c r="AE150" s="81"/>
      <c r="AF150" s="700"/>
    </row>
    <row r="151" spans="1:32">
      <c r="A151" s="226"/>
      <c r="B151" s="718" t="s">
        <v>1010</v>
      </c>
      <c r="C151" s="226"/>
      <c r="E151" s="261"/>
      <c r="F151" s="224" t="s">
        <v>1149</v>
      </c>
      <c r="G151" s="55"/>
      <c r="H151" s="174"/>
      <c r="I151" s="174" t="str">
        <f t="shared" si="143"/>
        <v>INDWWH</v>
      </c>
      <c r="J151" s="224">
        <f t="shared" si="146"/>
        <v>2030</v>
      </c>
      <c r="K151" s="81"/>
      <c r="L151" s="199">
        <f t="shared" ca="1" si="193"/>
        <v>0.94</v>
      </c>
      <c r="M151" s="199"/>
      <c r="N151" s="81"/>
      <c r="O151" s="723">
        <f t="shared" ca="1" si="194"/>
        <v>0.27090909090909093</v>
      </c>
      <c r="P151" s="723">
        <f t="shared" ca="1" si="195"/>
        <v>1.4154999999999999E-2</v>
      </c>
      <c r="Q151" s="81">
        <f t="shared" ca="1" si="196"/>
        <v>2.0694444444444446</v>
      </c>
      <c r="R151" s="300"/>
      <c r="S151" s="300"/>
      <c r="T151" s="300"/>
      <c r="U151" s="300"/>
      <c r="V151" s="199">
        <f t="shared" ref="V151" ca="1" si="202">IF(IF(RIGHT(H150,2)="PH",(1-L151)+$W$2,IF(RIGHT(H150,2)="HT",(1-L151)+$W$1,IF(RIGHT(H150,2)="SH",(1-L151)+$W$3,"")))&gt;0,IF(RIGHT(H150,2)="PH",(1-L151)+$W$2,IF(RIGHT(H150,2)="HT",(1-L151)+$W$1,IF(RIGHT(H150,2)="SH",(1-L151)+$W$3,""))),0)</f>
        <v>0.26000000000000006</v>
      </c>
      <c r="W151" s="298"/>
      <c r="X151" s="698">
        <f t="shared" ca="1" si="145"/>
        <v>0.3</v>
      </c>
      <c r="Y151" s="698">
        <f t="shared" ca="1" si="198"/>
        <v>7</v>
      </c>
      <c r="Z151" s="698">
        <f t="shared" ca="1" si="199"/>
        <v>2</v>
      </c>
      <c r="AA151" s="698">
        <f t="shared" ca="1" si="200"/>
        <v>1</v>
      </c>
      <c r="AB151" s="698">
        <f t="shared" ca="1" si="201"/>
        <v>0.1</v>
      </c>
      <c r="AC151" s="55"/>
      <c r="AD151" s="81">
        <v>2030</v>
      </c>
      <c r="AE151" s="81"/>
      <c r="AF151" s="700"/>
    </row>
    <row r="152" spans="1:32">
      <c r="B152" s="718" t="s">
        <v>1010</v>
      </c>
      <c r="C152" s="226"/>
      <c r="E152" s="261"/>
      <c r="F152" s="224" t="s">
        <v>1149</v>
      </c>
      <c r="G152" s="55"/>
      <c r="H152" s="174"/>
      <c r="I152" s="174" t="str">
        <f t="shared" si="143"/>
        <v>INDWWH</v>
      </c>
      <c r="J152" s="224">
        <f t="shared" si="146"/>
        <v>2050</v>
      </c>
      <c r="K152" s="81"/>
      <c r="L152" s="199">
        <f t="shared" ca="1" si="193"/>
        <v>0.95</v>
      </c>
      <c r="M152" s="199"/>
      <c r="N152" s="81"/>
      <c r="O152" s="723">
        <f t="shared" ca="1" si="194"/>
        <v>0.27090909090909093</v>
      </c>
      <c r="P152" s="723">
        <f t="shared" ca="1" si="195"/>
        <v>1.2664999999999999E-2</v>
      </c>
      <c r="Q152" s="81">
        <f t="shared" ca="1" si="196"/>
        <v>2.0694444444444446</v>
      </c>
      <c r="R152" s="300"/>
      <c r="S152" s="300"/>
      <c r="T152" s="300"/>
      <c r="U152" s="300"/>
      <c r="V152" s="199">
        <f t="shared" ref="V152" ca="1" si="203">IF(IF(RIGHT(H150,2)="PH",(1-L152)+$W$2,IF(RIGHT(H150,2)="HT",(1-L152)+$W$1,IF(RIGHT(H150,2)="SH",(1-L152)+$W$3,"")))&gt;0,IF(RIGHT(H150,2)="PH",(1-L152)+$W$2,IF(RIGHT(H150,2)="HT",(1-L152)+$W$1,IF(RIGHT(H150,2)="SH",(1-L152)+$W$3,""))),0)</f>
        <v>0.25000000000000006</v>
      </c>
      <c r="W152" s="720"/>
      <c r="X152" s="698">
        <f t="shared" ca="1" si="145"/>
        <v>0.3</v>
      </c>
      <c r="Y152" s="698">
        <f t="shared" ca="1" si="198"/>
        <v>6</v>
      </c>
      <c r="Z152" s="698">
        <f t="shared" ca="1" si="199"/>
        <v>2</v>
      </c>
      <c r="AA152" s="698">
        <f t="shared" ca="1" si="200"/>
        <v>1</v>
      </c>
      <c r="AB152" s="698">
        <f t="shared" ca="1" si="201"/>
        <v>0.1</v>
      </c>
      <c r="AC152" s="203"/>
      <c r="AD152" s="81">
        <v>2050</v>
      </c>
      <c r="AE152" s="81"/>
      <c r="AF152" s="705"/>
    </row>
    <row r="153" spans="1:32">
      <c r="B153" s="718" t="s">
        <v>1010</v>
      </c>
      <c r="C153" s="64"/>
      <c r="D153" s="212" t="str">
        <f>"IND"&amp;RIGHT(H153,4)&amp;"GAS"&amp;"N"&amp;RIGHT(E153,1)</f>
        <v>INDWDSHGASN3</v>
      </c>
      <c r="E153" s="261" t="str">
        <f>"Industrial heating technology "&amp;$AJ$12&amp;" "&amp;RIGHT(H153,2)&amp;" - Gas boiler (Hot Water) - new 3"</f>
        <v>Industrial heating technology Wood products SH - Gas boiler (Hot Water) - new 3</v>
      </c>
      <c r="F153" s="224" t="s">
        <v>1149</v>
      </c>
      <c r="G153" s="173" t="s">
        <v>2080</v>
      </c>
      <c r="H153" s="174" t="str">
        <f>$AI$15</f>
        <v>IWDSH</v>
      </c>
      <c r="I153" s="174" t="str">
        <f t="shared" si="143"/>
        <v>INDWWH</v>
      </c>
      <c r="J153" s="224">
        <f t="shared" si="146"/>
        <v>2011</v>
      </c>
      <c r="K153" s="299">
        <f>J153</f>
        <v>2011</v>
      </c>
      <c r="L153" s="199">
        <f t="shared" ca="1" si="193"/>
        <v>0.93</v>
      </c>
      <c r="M153" s="199"/>
      <c r="N153" s="81">
        <f ca="1">VLOOKUP($AD153,INDIRECT("'"&amp;$B153&amp;"'!"&amp;"$P$200:$AD$203"),5,FALSE)</f>
        <v>25</v>
      </c>
      <c r="O153" s="723">
        <f t="shared" ca="1" si="194"/>
        <v>0.3250909090909091</v>
      </c>
      <c r="P153" s="723">
        <f t="shared" ca="1" si="195"/>
        <v>1.49E-2</v>
      </c>
      <c r="Q153" s="81">
        <f t="shared" ca="1" si="196"/>
        <v>2.276388888888889</v>
      </c>
      <c r="R153" s="81">
        <v>3.1536000000000002E-2</v>
      </c>
      <c r="S153" s="199">
        <v>0.5</v>
      </c>
      <c r="T153" s="199">
        <f ca="1">HLOOKUP($T$2,INDIRECT("'"&amp;$B153&amp;"'!"&amp;"$P$167:$AC$180"),IF(H153=$AI$13,6,IF(H153=$AI$14,9,14)),FALSE)</f>
        <v>1</v>
      </c>
      <c r="U153" s="772"/>
      <c r="V153" s="199">
        <f t="shared" ref="V153" ca="1" si="204">IF(IF(RIGHT(H153,2)="PH",(1-L153)+$W$2,IF(RIGHT(H153,2)="HT",(1-L153)+$W$1,IF(RIGHT(H153,2)="SH",(1-L153)+$W$3,"")))&gt;0,IF(RIGHT(H153,2)="PH",(1-L153)+$W$2,IF(RIGHT(H153,2)="HT",(1-L153)+$W$1,IF(RIGHT(H153,2)="SH",(1-L153)+$W$3,""))),0)</f>
        <v>6.9999999999999951E-2</v>
      </c>
      <c r="W153" s="298"/>
      <c r="X153" s="698">
        <f t="shared" ca="1" si="145"/>
        <v>0.3</v>
      </c>
      <c r="Y153" s="698">
        <f t="shared" ca="1" si="198"/>
        <v>9</v>
      </c>
      <c r="Z153" s="698">
        <f t="shared" ca="1" si="199"/>
        <v>3</v>
      </c>
      <c r="AA153" s="698">
        <f t="shared" ca="1" si="200"/>
        <v>1</v>
      </c>
      <c r="AB153" s="698">
        <f t="shared" ca="1" si="201"/>
        <v>0.1</v>
      </c>
      <c r="AC153" s="296"/>
      <c r="AD153" s="81">
        <v>2020</v>
      </c>
      <c r="AE153" s="81"/>
      <c r="AF153" s="710"/>
    </row>
    <row r="154" spans="1:32">
      <c r="B154" s="718" t="s">
        <v>1010</v>
      </c>
      <c r="C154" s="64"/>
      <c r="E154" s="261"/>
      <c r="F154" s="224" t="s">
        <v>1149</v>
      </c>
      <c r="G154" s="55"/>
      <c r="H154" s="174"/>
      <c r="I154" s="174" t="str">
        <f t="shared" si="143"/>
        <v>INDWWH</v>
      </c>
      <c r="J154" s="224">
        <f t="shared" si="146"/>
        <v>2030</v>
      </c>
      <c r="K154" s="81"/>
      <c r="L154" s="199">
        <f t="shared" ca="1" si="193"/>
        <v>0.94</v>
      </c>
      <c r="M154" s="199"/>
      <c r="N154" s="81"/>
      <c r="O154" s="723">
        <f t="shared" ca="1" si="194"/>
        <v>0.27090909090909093</v>
      </c>
      <c r="P154" s="723">
        <f t="shared" ca="1" si="195"/>
        <v>1.4154999999999999E-2</v>
      </c>
      <c r="Q154" s="81">
        <f t="shared" ca="1" si="196"/>
        <v>2.0694444444444446</v>
      </c>
      <c r="R154" s="300"/>
      <c r="S154" s="300"/>
      <c r="T154" s="300"/>
      <c r="U154" s="300"/>
      <c r="V154" s="199">
        <f t="shared" ref="V154" ca="1" si="205">IF(IF(RIGHT(H153,2)="PH",(1-L154)+$W$2,IF(RIGHT(H153,2)="HT",(1-L154)+$W$1,IF(RIGHT(H153,2)="SH",(1-L154)+$W$3,"")))&gt;0,IF(RIGHT(H153,2)="PH",(1-L154)+$W$2,IF(RIGHT(H153,2)="HT",(1-L154)+$W$1,IF(RIGHT(H153,2)="SH",(1-L154)+$W$3,""))),0)</f>
        <v>6.0000000000000053E-2</v>
      </c>
      <c r="W154" s="298"/>
      <c r="X154" s="698">
        <f t="shared" ca="1" si="145"/>
        <v>0.3</v>
      </c>
      <c r="Y154" s="698">
        <f t="shared" ca="1" si="198"/>
        <v>7</v>
      </c>
      <c r="Z154" s="698">
        <f t="shared" ca="1" si="199"/>
        <v>2</v>
      </c>
      <c r="AA154" s="698">
        <f t="shared" ca="1" si="200"/>
        <v>1</v>
      </c>
      <c r="AB154" s="698">
        <f t="shared" ca="1" si="201"/>
        <v>0.1</v>
      </c>
      <c r="AC154" s="55"/>
      <c r="AD154" s="81">
        <v>2030</v>
      </c>
      <c r="AE154" s="81"/>
      <c r="AF154" s="700"/>
    </row>
    <row r="155" spans="1:32">
      <c r="A155" s="226"/>
      <c r="B155" s="719" t="s">
        <v>1010</v>
      </c>
      <c r="C155" s="713"/>
      <c r="D155" s="203"/>
      <c r="E155" s="701"/>
      <c r="F155" s="224" t="s">
        <v>1149</v>
      </c>
      <c r="G155" s="203"/>
      <c r="H155" s="702"/>
      <c r="I155" s="702" t="str">
        <f t="shared" si="143"/>
        <v>INDWWH</v>
      </c>
      <c r="J155" s="224">
        <f t="shared" si="146"/>
        <v>2050</v>
      </c>
      <c r="K155" s="81"/>
      <c r="L155" s="199">
        <f t="shared" ca="1" si="193"/>
        <v>0.95</v>
      </c>
      <c r="M155" s="199"/>
      <c r="N155" s="81"/>
      <c r="O155" s="723">
        <f t="shared" ca="1" si="194"/>
        <v>0.27090909090909093</v>
      </c>
      <c r="P155" s="723">
        <f t="shared" ca="1" si="195"/>
        <v>1.2664999999999999E-2</v>
      </c>
      <c r="Q155" s="81">
        <f t="shared" ca="1" si="196"/>
        <v>2.0694444444444446</v>
      </c>
      <c r="R155" s="300"/>
      <c r="S155" s="300"/>
      <c r="T155" s="300"/>
      <c r="U155" s="300"/>
      <c r="V155" s="199">
        <f t="shared" ref="V155" ca="1" si="206">IF(IF(RIGHT(H153,2)="PH",(1-L155)+$W$2,IF(RIGHT(H153,2)="HT",(1-L155)+$W$1,IF(RIGHT(H153,2)="SH",(1-L155)+$W$3,"")))&gt;0,IF(RIGHT(H153,2)="PH",(1-L155)+$W$2,IF(RIGHT(H153,2)="HT",(1-L155)+$W$1,IF(RIGHT(H153,2)="SH",(1-L155)+$W$3,""))),0)</f>
        <v>5.0000000000000044E-2</v>
      </c>
      <c r="W155" s="298"/>
      <c r="X155" s="698">
        <f t="shared" ca="1" si="145"/>
        <v>0.3</v>
      </c>
      <c r="Y155" s="698">
        <f t="shared" ca="1" si="198"/>
        <v>6</v>
      </c>
      <c r="Z155" s="698">
        <f t="shared" ca="1" si="199"/>
        <v>2</v>
      </c>
      <c r="AA155" s="698">
        <f t="shared" ca="1" si="200"/>
        <v>1</v>
      </c>
      <c r="AB155" s="698">
        <f t="shared" ca="1" si="201"/>
        <v>0.1</v>
      </c>
      <c r="AC155" s="55"/>
      <c r="AD155" s="81">
        <v>2050</v>
      </c>
      <c r="AE155" s="81"/>
      <c r="AF155" s="700"/>
    </row>
    <row r="156" spans="1:32">
      <c r="B156" s="718" t="s">
        <v>1010</v>
      </c>
      <c r="C156" s="64"/>
      <c r="D156" s="212" t="str">
        <f>"IND"&amp;RIGHT(H156,4)&amp;"GAS"&amp;"N"&amp;RIGHT(E156,1)</f>
        <v>INDWDPHGASN4</v>
      </c>
      <c r="E156" s="707" t="str">
        <f>"Industrial heating technology "&amp;$AJ$12&amp;" "&amp;RIGHT(H156,2)&amp;" - Gas boiler (Hot Water - condensing) - new 4"</f>
        <v>Industrial heating technology Wood products PH - Gas boiler (Hot Water - condensing) - new 4</v>
      </c>
      <c r="F156" s="224" t="s">
        <v>1149</v>
      </c>
      <c r="G156" s="173" t="s">
        <v>2080</v>
      </c>
      <c r="H156" s="708" t="str">
        <f>$AI$14</f>
        <v>IWDPH</v>
      </c>
      <c r="I156" s="708" t="str">
        <f t="shared" si="143"/>
        <v>INDWWH</v>
      </c>
      <c r="J156" s="224">
        <f t="shared" si="146"/>
        <v>2011</v>
      </c>
      <c r="K156" s="299">
        <f>J156</f>
        <v>2011</v>
      </c>
      <c r="L156" s="199">
        <f t="shared" ref="L156:L161" ca="1" si="207">VLOOKUP($AD156,INDIRECT("'"&amp;$B156&amp;"'!"&amp;"$P$279:$AD$282"),3,FALSE)</f>
        <v>1.01</v>
      </c>
      <c r="M156" s="199"/>
      <c r="N156" s="81">
        <f ca="1">VLOOKUP($AD156,INDIRECT("'"&amp;$B156&amp;"'!"&amp;"$P$279:$AD$282"),5,FALSE)</f>
        <v>25</v>
      </c>
      <c r="O156" s="723">
        <f t="shared" ref="O156:O161" ca="1" si="208">VLOOKUP($AD156,INDIRECT("'"&amp;$B156&amp;"'!"&amp;"$P$279:$AD$282"),6,FALSE)/1000</f>
        <v>0.35760000000000003</v>
      </c>
      <c r="P156" s="723">
        <f t="shared" ref="P156:P161" ca="1" si="209">VLOOKUP($AD156,INDIRECT("'"&amp;$B156&amp;"'!"&amp;"$P$279:$AD$282"),7,FALSE)/1000</f>
        <v>1.49E-2</v>
      </c>
      <c r="Q156" s="81">
        <f t="shared" ref="Q156:Q161" ca="1" si="210">VLOOKUP($AD156,INDIRECT("'"&amp;$B156&amp;"'!"&amp;"$P$279:$AD$282"),8,FALSE)</f>
        <v>2.276388888888889</v>
      </c>
      <c r="R156" s="81">
        <v>3.1536000000000002E-2</v>
      </c>
      <c r="S156" s="199">
        <v>0.5</v>
      </c>
      <c r="T156" s="199">
        <f ca="1">HLOOKUP($T$2,INDIRECT("'"&amp;$B156&amp;"'!"&amp;"$P$246:$AC$259"),IF(H156=$AI$13,6,IF(H156=$AI$14,9,14)),FALSE)</f>
        <v>0</v>
      </c>
      <c r="U156" s="773"/>
      <c r="V156" s="199">
        <f t="shared" ref="V156" ca="1" si="211">IF(IF(RIGHT(H156,2)="PH",(1-L156)+$W$2,IF(RIGHT(H156,2)="HT",(1-L156)+$W$1,IF(RIGHT(H156,2)="SH",(1-L156)+$W$3,"")))&gt;0,IF(RIGHT(H156,2)="PH",(1-L156)+$W$2,IF(RIGHT(H156,2)="HT",(1-L156)+$W$1,IF(RIGHT(H156,2)="SH",(1-L156)+$W$3,""))),0)</f>
        <v>0.19</v>
      </c>
      <c r="W156" s="709"/>
      <c r="X156" s="698">
        <f t="shared" ca="1" si="145"/>
        <v>0.3</v>
      </c>
      <c r="Y156" s="698">
        <f t="shared" ref="Y156:Y161" ca="1" si="212">VLOOKUP($AD156,INDIRECT("'"&amp;$B156&amp;"'!"&amp;"$P$279:$AD$282"),12,FALSE)</f>
        <v>9</v>
      </c>
      <c r="Z156" s="698">
        <f t="shared" ref="Z156:Z161" ca="1" si="213">VLOOKUP($AD156,INDIRECT("'"&amp;$B156&amp;"'!"&amp;"$P$279:$AD$282"),13,FALSE)</f>
        <v>3</v>
      </c>
      <c r="AA156" s="698">
        <f t="shared" ref="AA156:AA161" ca="1" si="214">VLOOKUP($AD156,INDIRECT("'"&amp;$B156&amp;"'!"&amp;"$P$279:$AD$282"),14,FALSE)</f>
        <v>1</v>
      </c>
      <c r="AB156" s="698">
        <f t="shared" ref="AB156:AB161" ca="1" si="215">VLOOKUP($AD156,INDIRECT("'"&amp;$B156&amp;"'!"&amp;"$P$279:$AD$282"),15,FALSE)</f>
        <v>0.1</v>
      </c>
      <c r="AC156" s="55"/>
      <c r="AD156" s="81">
        <v>2020</v>
      </c>
      <c r="AE156" s="81"/>
      <c r="AF156" s="700"/>
    </row>
    <row r="157" spans="1:32">
      <c r="B157" s="718" t="s">
        <v>1010</v>
      </c>
      <c r="C157" s="64"/>
      <c r="E157" s="261"/>
      <c r="F157" s="224" t="s">
        <v>1149</v>
      </c>
      <c r="G157" s="55"/>
      <c r="H157" s="174"/>
      <c r="I157" s="174" t="str">
        <f t="shared" si="143"/>
        <v>INDWWH</v>
      </c>
      <c r="J157" s="224">
        <f t="shared" si="146"/>
        <v>2030</v>
      </c>
      <c r="K157" s="81"/>
      <c r="L157" s="199">
        <f t="shared" ca="1" si="207"/>
        <v>1.03</v>
      </c>
      <c r="M157" s="199"/>
      <c r="N157" s="81"/>
      <c r="O157" s="723">
        <f t="shared" ca="1" si="208"/>
        <v>0.29800000000000004</v>
      </c>
      <c r="P157" s="723">
        <f t="shared" ca="1" si="209"/>
        <v>1.4154999999999999E-2</v>
      </c>
      <c r="Q157" s="81">
        <f t="shared" ca="1" si="210"/>
        <v>2.0694444444444446</v>
      </c>
      <c r="R157" s="300"/>
      <c r="S157" s="300"/>
      <c r="T157" s="300"/>
      <c r="U157" s="300"/>
      <c r="V157" s="199">
        <f t="shared" ref="V157" ca="1" si="216">IF(IF(RIGHT(H156,2)="PH",(1-L157)+$W$2,IF(RIGHT(H156,2)="HT",(1-L157)+$W$1,IF(RIGHT(H156,2)="SH",(1-L157)+$W$3,"")))&gt;0,IF(RIGHT(H156,2)="PH",(1-L157)+$W$2,IF(RIGHT(H156,2)="HT",(1-L157)+$W$1,IF(RIGHT(H156,2)="SH",(1-L157)+$W$3,""))),0)</f>
        <v>0.16999999999999998</v>
      </c>
      <c r="W157" s="298"/>
      <c r="X157" s="698">
        <f t="shared" ca="1" si="145"/>
        <v>0.3</v>
      </c>
      <c r="Y157" s="698">
        <f t="shared" ca="1" si="212"/>
        <v>7</v>
      </c>
      <c r="Z157" s="698">
        <f t="shared" ca="1" si="213"/>
        <v>2</v>
      </c>
      <c r="AA157" s="698">
        <f t="shared" ca="1" si="214"/>
        <v>1</v>
      </c>
      <c r="AB157" s="698">
        <f t="shared" ca="1" si="215"/>
        <v>0.1</v>
      </c>
      <c r="AC157" s="55"/>
      <c r="AD157" s="81">
        <v>2030</v>
      </c>
      <c r="AE157" s="81"/>
      <c r="AF157" s="700"/>
    </row>
    <row r="158" spans="1:32">
      <c r="B158" s="718" t="s">
        <v>1010</v>
      </c>
      <c r="C158" s="64"/>
      <c r="E158" s="261"/>
      <c r="F158" s="224" t="s">
        <v>1149</v>
      </c>
      <c r="G158" s="55"/>
      <c r="H158" s="174"/>
      <c r="I158" s="174" t="str">
        <f t="shared" si="143"/>
        <v>INDWWH</v>
      </c>
      <c r="J158" s="224">
        <f t="shared" si="146"/>
        <v>2050</v>
      </c>
      <c r="K158" s="81"/>
      <c r="L158" s="199">
        <f t="shared" ca="1" si="207"/>
        <v>1.03</v>
      </c>
      <c r="M158" s="199"/>
      <c r="N158" s="81"/>
      <c r="O158" s="723">
        <f t="shared" ca="1" si="208"/>
        <v>0.29800000000000004</v>
      </c>
      <c r="P158" s="723">
        <f t="shared" ca="1" si="209"/>
        <v>1.2664999999999999E-2</v>
      </c>
      <c r="Q158" s="81">
        <f t="shared" ca="1" si="210"/>
        <v>2.0694444444444446</v>
      </c>
      <c r="R158" s="300"/>
      <c r="S158" s="300"/>
      <c r="T158" s="300"/>
      <c r="U158" s="300"/>
      <c r="V158" s="199">
        <f t="shared" ref="V158" ca="1" si="217">IF(IF(RIGHT(H156,2)="PH",(1-L158)+$W$2,IF(RIGHT(H156,2)="HT",(1-L158)+$W$1,IF(RIGHT(H156,2)="SH",(1-L158)+$W$3,"")))&gt;0,IF(RIGHT(H156,2)="PH",(1-L158)+$W$2,IF(RIGHT(H156,2)="HT",(1-L158)+$W$1,IF(RIGHT(H156,2)="SH",(1-L158)+$W$3,""))),0)</f>
        <v>0.16999999999999998</v>
      </c>
      <c r="W158" s="298"/>
      <c r="X158" s="698">
        <f t="shared" ca="1" si="145"/>
        <v>0.3</v>
      </c>
      <c r="Y158" s="698">
        <f t="shared" ca="1" si="212"/>
        <v>6</v>
      </c>
      <c r="Z158" s="698">
        <f t="shared" ca="1" si="213"/>
        <v>2</v>
      </c>
      <c r="AA158" s="698">
        <f t="shared" ca="1" si="214"/>
        <v>1</v>
      </c>
      <c r="AB158" s="698">
        <f t="shared" ca="1" si="215"/>
        <v>0.1</v>
      </c>
      <c r="AC158" s="203"/>
      <c r="AD158" s="81">
        <v>2050</v>
      </c>
      <c r="AE158" s="81"/>
      <c r="AF158" s="705"/>
    </row>
    <row r="159" spans="1:32">
      <c r="A159" s="226"/>
      <c r="B159" s="718" t="s">
        <v>1010</v>
      </c>
      <c r="C159" s="64"/>
      <c r="D159" s="212" t="str">
        <f>"IND"&amp;RIGHT(H159,4)&amp;"GAS"&amp;"N"&amp;RIGHT(E159,1)</f>
        <v>INDWDSHGASN4</v>
      </c>
      <c r="E159" s="261" t="str">
        <f>"Industrial heating technology "&amp;$AJ$12&amp;" "&amp;RIGHT(H159,2)&amp;" - Gas boiler (Hot Water- condensing) - new 4"</f>
        <v>Industrial heating technology Wood products SH - Gas boiler (Hot Water- condensing) - new 4</v>
      </c>
      <c r="F159" s="224" t="s">
        <v>1149</v>
      </c>
      <c r="G159" s="173" t="s">
        <v>2080</v>
      </c>
      <c r="H159" s="174" t="str">
        <f>$AI$15</f>
        <v>IWDSH</v>
      </c>
      <c r="I159" s="174" t="str">
        <f t="shared" si="143"/>
        <v>INDWWH</v>
      </c>
      <c r="J159" s="224">
        <f t="shared" si="146"/>
        <v>2011</v>
      </c>
      <c r="K159" s="299">
        <f>J159</f>
        <v>2011</v>
      </c>
      <c r="L159" s="199">
        <f t="shared" ca="1" si="207"/>
        <v>1.01</v>
      </c>
      <c r="M159" s="199"/>
      <c r="N159" s="81">
        <f ca="1">VLOOKUP($AD159,INDIRECT("'"&amp;$B159&amp;"'!"&amp;"$P$279:$AD$282"),5,FALSE)</f>
        <v>25</v>
      </c>
      <c r="O159" s="723">
        <f t="shared" ca="1" si="208"/>
        <v>0.35760000000000003</v>
      </c>
      <c r="P159" s="723">
        <f t="shared" ca="1" si="209"/>
        <v>1.49E-2</v>
      </c>
      <c r="Q159" s="81">
        <f t="shared" ca="1" si="210"/>
        <v>2.276388888888889</v>
      </c>
      <c r="R159" s="81">
        <v>3.1536000000000002E-2</v>
      </c>
      <c r="S159" s="199">
        <v>0.5</v>
      </c>
      <c r="T159" s="199">
        <f ca="1">HLOOKUP($T$2,INDIRECT("'"&amp;$B159&amp;"'!"&amp;"$P$246:$AC$259"),IF(H159=$AI$13,6,IF(H159=$AI$14,9,14)),FALSE)</f>
        <v>0</v>
      </c>
      <c r="U159" s="773"/>
      <c r="V159" s="199">
        <f t="shared" ref="V159" ca="1" si="218">IF(IF(RIGHT(H159,2)="PH",(1-L159)+$W$2,IF(RIGHT(H159,2)="HT",(1-L159)+$W$1,IF(RIGHT(H159,2)="SH",(1-L159)+$W$3,"")))&gt;0,IF(RIGHT(H159,2)="PH",(1-L159)+$W$2,IF(RIGHT(H159,2)="HT",(1-L159)+$W$1,IF(RIGHT(H159,2)="SH",(1-L159)+$W$3,""))),0)</f>
        <v>0</v>
      </c>
      <c r="W159" s="709"/>
      <c r="X159" s="698">
        <f t="shared" ref="X159:X177" ca="1" si="219">IF(VLOOKUP($AD159,INDIRECT("'"&amp;$B159&amp;"'!"&amp;"$P$39:$AD$42"),11,FALSE)="Cf. the utilized electricity",0,VLOOKUP($AD159,INDIRECT("'"&amp;$B159&amp;"'!"&amp;"$P$39:$AD$42"),11,FALSE))</f>
        <v>0.3</v>
      </c>
      <c r="Y159" s="698">
        <f t="shared" ca="1" si="212"/>
        <v>9</v>
      </c>
      <c r="Z159" s="698">
        <f t="shared" ca="1" si="213"/>
        <v>3</v>
      </c>
      <c r="AA159" s="698">
        <f t="shared" ca="1" si="214"/>
        <v>1</v>
      </c>
      <c r="AB159" s="698">
        <f t="shared" ca="1" si="215"/>
        <v>0.1</v>
      </c>
      <c r="AC159" s="296"/>
      <c r="AD159" s="81">
        <v>2020</v>
      </c>
      <c r="AE159" s="81"/>
      <c r="AF159" s="710"/>
    </row>
    <row r="160" spans="1:32">
      <c r="B160" s="718" t="s">
        <v>1010</v>
      </c>
      <c r="C160" s="64"/>
      <c r="E160" s="261"/>
      <c r="F160" s="224" t="s">
        <v>1149</v>
      </c>
      <c r="G160" s="55"/>
      <c r="H160" s="174"/>
      <c r="I160" s="174" t="str">
        <f t="shared" si="143"/>
        <v>INDWWH</v>
      </c>
      <c r="J160" s="224">
        <f t="shared" si="146"/>
        <v>2030</v>
      </c>
      <c r="K160" s="81"/>
      <c r="L160" s="199">
        <f t="shared" ca="1" si="207"/>
        <v>1.03</v>
      </c>
      <c r="M160" s="199"/>
      <c r="N160" s="81"/>
      <c r="O160" s="723">
        <f t="shared" ca="1" si="208"/>
        <v>0.29800000000000004</v>
      </c>
      <c r="P160" s="723">
        <f t="shared" ca="1" si="209"/>
        <v>1.4154999999999999E-2</v>
      </c>
      <c r="Q160" s="81">
        <f t="shared" ca="1" si="210"/>
        <v>2.0694444444444446</v>
      </c>
      <c r="R160" s="300"/>
      <c r="S160" s="300"/>
      <c r="T160" s="300"/>
      <c r="U160" s="300"/>
      <c r="V160" s="199">
        <f t="shared" ref="V160" ca="1" si="220">IF(IF(RIGHT(H159,2)="PH",(1-L160)+$W$2,IF(RIGHT(H159,2)="HT",(1-L160)+$W$1,IF(RIGHT(H159,2)="SH",(1-L160)+$W$3,"")))&gt;0,IF(RIGHT(H159,2)="PH",(1-L160)+$W$2,IF(RIGHT(H159,2)="HT",(1-L160)+$W$1,IF(RIGHT(H159,2)="SH",(1-L160)+$W$3,""))),0)</f>
        <v>0</v>
      </c>
      <c r="W160" s="298"/>
      <c r="X160" s="698">
        <f t="shared" ca="1" si="219"/>
        <v>0.3</v>
      </c>
      <c r="Y160" s="698">
        <f t="shared" ca="1" si="212"/>
        <v>7</v>
      </c>
      <c r="Z160" s="698">
        <f t="shared" ca="1" si="213"/>
        <v>2</v>
      </c>
      <c r="AA160" s="698">
        <f t="shared" ca="1" si="214"/>
        <v>1</v>
      </c>
      <c r="AB160" s="698">
        <f t="shared" ca="1" si="215"/>
        <v>0.1</v>
      </c>
      <c r="AC160" s="55"/>
      <c r="AD160" s="81">
        <v>2030</v>
      </c>
      <c r="AE160" s="81"/>
      <c r="AF160" s="700"/>
    </row>
    <row r="161" spans="1:32">
      <c r="B161" s="719" t="s">
        <v>1010</v>
      </c>
      <c r="C161" s="713"/>
      <c r="D161" s="701"/>
      <c r="E161" s="701"/>
      <c r="F161" s="224" t="s">
        <v>1149</v>
      </c>
      <c r="G161" s="203"/>
      <c r="H161" s="702"/>
      <c r="I161" s="702" t="str">
        <f t="shared" si="143"/>
        <v>INDWWH</v>
      </c>
      <c r="J161" s="224">
        <f t="shared" si="146"/>
        <v>2050</v>
      </c>
      <c r="K161" s="81"/>
      <c r="L161" s="199">
        <f t="shared" ca="1" si="207"/>
        <v>1.03</v>
      </c>
      <c r="M161" s="199"/>
      <c r="N161" s="81"/>
      <c r="O161" s="723">
        <f t="shared" ca="1" si="208"/>
        <v>0.29800000000000004</v>
      </c>
      <c r="P161" s="723">
        <f t="shared" ca="1" si="209"/>
        <v>1.2664999999999999E-2</v>
      </c>
      <c r="Q161" s="81">
        <f t="shared" ca="1" si="210"/>
        <v>2.0694444444444446</v>
      </c>
      <c r="R161" s="300"/>
      <c r="S161" s="300"/>
      <c r="T161" s="300"/>
      <c r="U161" s="300"/>
      <c r="V161" s="199">
        <f t="shared" ref="V161" ca="1" si="221">IF(IF(RIGHT(H159,2)="PH",(1-L161)+$W$2,IF(RIGHT(H159,2)="HT",(1-L161)+$W$1,IF(RIGHT(H159,2)="SH",(1-L161)+$W$3,"")))&gt;0,IF(RIGHT(H159,2)="PH",(1-L161)+$W$2,IF(RIGHT(H159,2)="HT",(1-L161)+$W$1,IF(RIGHT(H159,2)="SH",(1-L161)+$W$3,""))),0)</f>
        <v>0</v>
      </c>
      <c r="W161" s="714"/>
      <c r="X161" s="698">
        <f t="shared" ca="1" si="219"/>
        <v>0.3</v>
      </c>
      <c r="Y161" s="698">
        <f t="shared" ca="1" si="212"/>
        <v>6</v>
      </c>
      <c r="Z161" s="698">
        <f t="shared" ca="1" si="213"/>
        <v>2</v>
      </c>
      <c r="AA161" s="698">
        <f t="shared" ca="1" si="214"/>
        <v>1</v>
      </c>
      <c r="AB161" s="698">
        <f t="shared" ca="1" si="215"/>
        <v>0.1</v>
      </c>
      <c r="AC161" s="55"/>
      <c r="AD161" s="81">
        <v>2050</v>
      </c>
      <c r="AE161" s="81"/>
      <c r="AF161" s="700"/>
    </row>
    <row r="162" spans="1:32">
      <c r="B162" s="718" t="s">
        <v>1010</v>
      </c>
      <c r="C162" s="64"/>
      <c r="D162" s="212" t="str">
        <f>"IND"&amp;RIGHT(H162,4)&amp;"GAS"&amp;"N"&amp;RIGHT(E162,1)</f>
        <v>INDWDPHGASN5</v>
      </c>
      <c r="E162" s="707" t="str">
        <f>"Industrial heating technology "&amp;$AJ$12&amp;" "&amp;RIGHT(H162,2)&amp;" - Gas boiler (Direct firing) - new 5"</f>
        <v>Industrial heating technology Wood products PH - Gas boiler (Direct firing) - new 5</v>
      </c>
      <c r="F162" s="224" t="s">
        <v>1149</v>
      </c>
      <c r="G162" s="173" t="s">
        <v>2080</v>
      </c>
      <c r="H162" s="174" t="str">
        <f>$AI$13</f>
        <v>IWDPH</v>
      </c>
      <c r="I162" s="174" t="str">
        <f t="shared" si="143"/>
        <v>INDWWH</v>
      </c>
      <c r="J162" s="224">
        <f t="shared" si="146"/>
        <v>2011</v>
      </c>
      <c r="K162" s="299">
        <f>J162</f>
        <v>2011</v>
      </c>
      <c r="L162" s="199">
        <f t="shared" ref="L162:L167" ca="1" si="222">VLOOKUP($AD162,INDIRECT("'"&amp;$B162&amp;"'!"&amp;"$P$345:$AD$348"),3,FALSE)</f>
        <v>1</v>
      </c>
      <c r="M162" s="199"/>
      <c r="N162" s="81">
        <f ca="1">VLOOKUP($AD162,INDIRECT("'"&amp;$B162&amp;"'!"&amp;"$P$345:$AD$348"),5,FALSE)</f>
        <v>15</v>
      </c>
      <c r="O162" s="723">
        <f t="shared" ref="O162:O167" ca="1" si="223">VLOOKUP($AD162,INDIRECT("'"&amp;$B162&amp;"'!"&amp;"$P$345:$AD$348"),6,FALSE)/1000</f>
        <v>0.11175</v>
      </c>
      <c r="P162" s="723">
        <f t="shared" ref="P162:P167" ca="1" si="224">VLOOKUP($AD162,INDIRECT("'"&amp;$B162&amp;"'!"&amp;"$P$345:$AD$348"),7,FALSE)/1000</f>
        <v>1.3545454545454561E-3</v>
      </c>
      <c r="Q162" s="81">
        <f t="shared" ref="Q162:Q167" ca="1" si="225">VLOOKUP($AD162,INDIRECT("'"&amp;$B162&amp;"'!"&amp;"$P$345:$AD$348"),8,FALSE)</f>
        <v>0.58461805555555546</v>
      </c>
      <c r="R162" s="81">
        <v>3.1536000000000002E-2</v>
      </c>
      <c r="S162" s="199">
        <v>0.5</v>
      </c>
      <c r="T162" s="199">
        <f ca="1">HLOOKUP($S$2,INDIRECT("'"&amp;$B162&amp;"'!"&amp;"$P$312:$AC$325"),IF(H162=$AI$13,6,IF(H162=$AI$14,9,14)),FALSE)</f>
        <v>1</v>
      </c>
      <c r="U162" s="773"/>
      <c r="V162" s="199">
        <f t="shared" ref="V162" ca="1" si="226">IF(IF(RIGHT(H162,2)="PH",(1-L162)+$W$2,IF(RIGHT(H162,2)="HT",(1-L162)+$W$1,IF(RIGHT(H162,2)="SH",(1-L162)+$W$3,"")))&gt;0,IF(RIGHT(H162,2)="PH",(1-L162)+$W$2,IF(RIGHT(H162,2)="HT",(1-L162)+$W$1,IF(RIGHT(H162,2)="SH",(1-L162)+$W$3,""))),0)</f>
        <v>0.2</v>
      </c>
      <c r="W162" s="709"/>
      <c r="X162" s="698">
        <f t="shared" ca="1" si="219"/>
        <v>0.3</v>
      </c>
      <c r="Y162" s="698">
        <f t="shared" ref="Y162:Y167" ca="1" si="227">VLOOKUP($AD162,INDIRECT("'"&amp;$B162&amp;"'!"&amp;"$P$345:$AD$348"),12,FALSE)</f>
        <v>9</v>
      </c>
      <c r="Z162" s="698">
        <f t="shared" ref="Z162:Z167" ca="1" si="228">VLOOKUP($AD162,INDIRECT("'"&amp;$B162&amp;"'!"&amp;"$P$345:$AD$348"),13,FALSE)</f>
        <v>3</v>
      </c>
      <c r="AA162" s="698">
        <f t="shared" ref="AA162:AA167" ca="1" si="229">VLOOKUP($AD162,INDIRECT("'"&amp;$B162&amp;"'!"&amp;"$P$345:$AD$348"),14,FALSE)</f>
        <v>1</v>
      </c>
      <c r="AB162" s="698">
        <f t="shared" ref="AB162:AB167" ca="1" si="230">VLOOKUP($AD162,INDIRECT("'"&amp;$B162&amp;"'!"&amp;"$P$345:$AD$348"),15,FALSE)</f>
        <v>0.1</v>
      </c>
      <c r="AC162" s="55"/>
      <c r="AD162" s="81">
        <v>2020</v>
      </c>
      <c r="AE162" s="81"/>
      <c r="AF162" s="700"/>
    </row>
    <row r="163" spans="1:32">
      <c r="B163" s="718" t="s">
        <v>1010</v>
      </c>
      <c r="C163" s="64"/>
      <c r="E163" s="261"/>
      <c r="F163" s="224" t="s">
        <v>1149</v>
      </c>
      <c r="G163" s="55"/>
      <c r="H163" s="174"/>
      <c r="I163" s="174" t="str">
        <f t="shared" si="143"/>
        <v>INDWWH</v>
      </c>
      <c r="J163" s="224">
        <f t="shared" si="146"/>
        <v>2030</v>
      </c>
      <c r="K163" s="81"/>
      <c r="L163" s="199">
        <f t="shared" ca="1" si="222"/>
        <v>1</v>
      </c>
      <c r="M163" s="199"/>
      <c r="N163" s="81"/>
      <c r="O163" s="723">
        <f t="shared" ca="1" si="223"/>
        <v>0.11175</v>
      </c>
      <c r="P163" s="723">
        <f t="shared" ca="1" si="224"/>
        <v>1.3206818181818161E-3</v>
      </c>
      <c r="Q163" s="81">
        <f t="shared" ca="1" si="225"/>
        <v>0.5742708333333334</v>
      </c>
      <c r="R163" s="300"/>
      <c r="S163" s="300"/>
      <c r="T163" s="300"/>
      <c r="U163" s="300"/>
      <c r="V163" s="199">
        <f t="shared" ref="V163" ca="1" si="231">IF(IF(RIGHT(H162,2)="PH",(1-L163)+$W$2,IF(RIGHT(H162,2)="HT",(1-L163)+$W$1,IF(RIGHT(H162,2)="SH",(1-L163)+$W$3,"")))&gt;0,IF(RIGHT(H162,2)="PH",(1-L163)+$W$2,IF(RIGHT(H162,2)="HT",(1-L163)+$W$1,IF(RIGHT(H162,2)="SH",(1-L163)+$W$3,""))),0)</f>
        <v>0.2</v>
      </c>
      <c r="W163" s="298"/>
      <c r="X163" s="698">
        <f t="shared" ca="1" si="219"/>
        <v>0.3</v>
      </c>
      <c r="Y163" s="698">
        <f t="shared" ca="1" si="227"/>
        <v>7</v>
      </c>
      <c r="Z163" s="698">
        <f t="shared" ca="1" si="228"/>
        <v>2</v>
      </c>
      <c r="AA163" s="698">
        <f t="shared" ca="1" si="229"/>
        <v>1</v>
      </c>
      <c r="AB163" s="698">
        <f t="shared" ca="1" si="230"/>
        <v>0.1</v>
      </c>
      <c r="AC163" s="55"/>
      <c r="AD163" s="81">
        <v>2030</v>
      </c>
      <c r="AE163" s="81"/>
      <c r="AF163" s="700"/>
    </row>
    <row r="164" spans="1:32">
      <c r="B164" s="718" t="s">
        <v>1010</v>
      </c>
      <c r="C164" s="64"/>
      <c r="E164" s="261"/>
      <c r="F164" s="224" t="s">
        <v>1149</v>
      </c>
      <c r="G164" s="55"/>
      <c r="H164" s="174"/>
      <c r="I164" s="174" t="str">
        <f t="shared" si="143"/>
        <v>INDWWH</v>
      </c>
      <c r="J164" s="224">
        <f t="shared" si="146"/>
        <v>2050</v>
      </c>
      <c r="K164" s="81"/>
      <c r="L164" s="199">
        <f t="shared" ca="1" si="222"/>
        <v>1</v>
      </c>
      <c r="M164" s="199"/>
      <c r="N164" s="81"/>
      <c r="O164" s="723">
        <f t="shared" ca="1" si="223"/>
        <v>0.11175</v>
      </c>
      <c r="P164" s="723">
        <f t="shared" ca="1" si="224"/>
        <v>1.1513636363636396E-3</v>
      </c>
      <c r="Q164" s="81">
        <f t="shared" ca="1" si="225"/>
        <v>0.57944444444444443</v>
      </c>
      <c r="R164" s="300"/>
      <c r="S164" s="300"/>
      <c r="T164" s="300"/>
      <c r="U164" s="300"/>
      <c r="V164" s="199">
        <f t="shared" ref="V164" ca="1" si="232">IF(IF(RIGHT(H162,2)="PH",(1-L164)+$W$2,IF(RIGHT(H162,2)="HT",(1-L164)+$W$1,IF(RIGHT(H162,2)="SH",(1-L164)+$W$3,"")))&gt;0,IF(RIGHT(H162,2)="PH",(1-L164)+$W$2,IF(RIGHT(H162,2)="HT",(1-L164)+$W$1,IF(RIGHT(H162,2)="SH",(1-L164)+$W$3,""))),0)</f>
        <v>0.2</v>
      </c>
      <c r="W164" s="298"/>
      <c r="X164" s="698">
        <f t="shared" ca="1" si="219"/>
        <v>0.3</v>
      </c>
      <c r="Y164" s="698">
        <f t="shared" ca="1" si="227"/>
        <v>6</v>
      </c>
      <c r="Z164" s="698">
        <f t="shared" ca="1" si="228"/>
        <v>2</v>
      </c>
      <c r="AA164" s="698">
        <f t="shared" ca="1" si="229"/>
        <v>1</v>
      </c>
      <c r="AB164" s="698">
        <f t="shared" ca="1" si="230"/>
        <v>0.1</v>
      </c>
      <c r="AC164" s="203"/>
      <c r="AD164" s="81">
        <v>2050</v>
      </c>
      <c r="AE164" s="81"/>
      <c r="AF164" s="700"/>
    </row>
    <row r="165" spans="1:32">
      <c r="B165" s="718" t="s">
        <v>1010</v>
      </c>
      <c r="C165" s="64"/>
      <c r="D165" s="212" t="str">
        <f>"IND"&amp;RIGHT(H165,4)&amp;"GAS"&amp;"N"&amp;RIGHT(E165,1)</f>
        <v>INDWDPHGASN5</v>
      </c>
      <c r="E165" s="261" t="str">
        <f>"Industrial heating technology "&amp;$AJ$12&amp;" "&amp;RIGHT(H165,2)&amp;" - Gas boiler (Direct firing) - new 5"</f>
        <v>Industrial heating technology Wood products PH - Gas boiler (Direct firing) - new 5</v>
      </c>
      <c r="F165" s="224" t="s">
        <v>1149</v>
      </c>
      <c r="G165" s="173" t="s">
        <v>2080</v>
      </c>
      <c r="H165" s="174" t="str">
        <f>$AI$14</f>
        <v>IWDPH</v>
      </c>
      <c r="I165" s="721" t="str">
        <f t="shared" si="143"/>
        <v>INDWWH</v>
      </c>
      <c r="J165" s="224">
        <f t="shared" si="146"/>
        <v>2011</v>
      </c>
      <c r="K165" s="299">
        <f>J165</f>
        <v>2011</v>
      </c>
      <c r="L165" s="199">
        <f t="shared" ca="1" si="222"/>
        <v>1</v>
      </c>
      <c r="M165" s="199"/>
      <c r="N165" s="81">
        <f ca="1">VLOOKUP($AD165,INDIRECT("'"&amp;$B165&amp;"'!"&amp;"$P$279:$AD$282"),5,FALSE)</f>
        <v>25</v>
      </c>
      <c r="O165" s="723">
        <f t="shared" ca="1" si="223"/>
        <v>0.11175</v>
      </c>
      <c r="P165" s="723">
        <f t="shared" ca="1" si="224"/>
        <v>1.3545454545454561E-3</v>
      </c>
      <c r="Q165" s="81">
        <f t="shared" ca="1" si="225"/>
        <v>0.58461805555555546</v>
      </c>
      <c r="R165" s="81">
        <v>3.1536000000000002E-2</v>
      </c>
      <c r="S165" s="199">
        <v>0.5</v>
      </c>
      <c r="T165" s="199">
        <f ca="1">HLOOKUP($S$2,INDIRECT("'"&amp;$B165&amp;"'!"&amp;"$P$312:$AC$325"),IF(H165=$AI$13,6,IF(H165=$AI$14,9,14)),FALSE)</f>
        <v>1</v>
      </c>
      <c r="U165" s="773"/>
      <c r="V165" s="199">
        <f t="shared" ref="V165" ca="1" si="233">IF(IF(RIGHT(H165,2)="PH",(1-L165)+$W$2,IF(RIGHT(H165,2)="HT",(1-L165)+$W$1,IF(RIGHT(H165,2)="SH",(1-L165)+$W$3,"")))&gt;0,IF(RIGHT(H165,2)="PH",(1-L165)+$W$2,IF(RIGHT(H165,2)="HT",(1-L165)+$W$1,IF(RIGHT(H165,2)="SH",(1-L165)+$W$3,""))),0)</f>
        <v>0.2</v>
      </c>
      <c r="W165" s="709"/>
      <c r="X165" s="698">
        <f t="shared" ca="1" si="219"/>
        <v>0.3</v>
      </c>
      <c r="Y165" s="698">
        <f t="shared" ca="1" si="227"/>
        <v>9</v>
      </c>
      <c r="Z165" s="698">
        <f t="shared" ca="1" si="228"/>
        <v>3</v>
      </c>
      <c r="AA165" s="698">
        <f t="shared" ca="1" si="229"/>
        <v>1</v>
      </c>
      <c r="AB165" s="698">
        <f t="shared" ca="1" si="230"/>
        <v>0.1</v>
      </c>
      <c r="AD165" s="277">
        <v>2020</v>
      </c>
      <c r="AE165" s="273"/>
      <c r="AF165" s="830"/>
    </row>
    <row r="166" spans="1:32">
      <c r="B166" s="718" t="s">
        <v>1010</v>
      </c>
      <c r="C166" s="64"/>
      <c r="E166" s="261"/>
      <c r="F166" s="224" t="s">
        <v>1149</v>
      </c>
      <c r="G166" s="55"/>
      <c r="H166" s="174"/>
      <c r="I166" s="174" t="str">
        <f t="shared" si="143"/>
        <v>INDWWH</v>
      </c>
      <c r="J166" s="224">
        <f t="shared" si="146"/>
        <v>2030</v>
      </c>
      <c r="K166" s="81"/>
      <c r="L166" s="199">
        <f t="shared" ca="1" si="222"/>
        <v>1</v>
      </c>
      <c r="M166" s="199"/>
      <c r="N166" s="81"/>
      <c r="O166" s="723">
        <f t="shared" ca="1" si="223"/>
        <v>0.11175</v>
      </c>
      <c r="P166" s="723">
        <f t="shared" ca="1" si="224"/>
        <v>1.3206818181818161E-3</v>
      </c>
      <c r="Q166" s="81">
        <f t="shared" ca="1" si="225"/>
        <v>0.5742708333333334</v>
      </c>
      <c r="R166" s="300"/>
      <c r="S166" s="300"/>
      <c r="T166" s="300"/>
      <c r="U166" s="300"/>
      <c r="V166" s="199">
        <f t="shared" ref="V166" ca="1" si="234">IF(IF(RIGHT(H165,2)="PH",(1-L166)+$W$2,IF(RIGHT(H165,2)="HT",(1-L166)+$W$1,IF(RIGHT(H165,2)="SH",(1-L166)+$W$3,"")))&gt;0,IF(RIGHT(H165,2)="PH",(1-L166)+$W$2,IF(RIGHT(H165,2)="HT",(1-L166)+$W$1,IF(RIGHT(H165,2)="SH",(1-L166)+$W$3,""))),0)</f>
        <v>0.2</v>
      </c>
      <c r="W166" s="298"/>
      <c r="X166" s="698">
        <f t="shared" ca="1" si="219"/>
        <v>0.3</v>
      </c>
      <c r="Y166" s="698">
        <f t="shared" ca="1" si="227"/>
        <v>7</v>
      </c>
      <c r="Z166" s="698">
        <f t="shared" ca="1" si="228"/>
        <v>2</v>
      </c>
      <c r="AA166" s="698">
        <f t="shared" ca="1" si="229"/>
        <v>1</v>
      </c>
      <c r="AB166" s="698">
        <f t="shared" ca="1" si="230"/>
        <v>0.1</v>
      </c>
      <c r="AD166" s="81">
        <v>2030</v>
      </c>
      <c r="AE166" s="273"/>
      <c r="AF166" s="828"/>
    </row>
    <row r="167" spans="1:32">
      <c r="A167" s="169"/>
      <c r="B167" s="719" t="s">
        <v>1010</v>
      </c>
      <c r="C167" s="713"/>
      <c r="D167" s="701"/>
      <c r="E167" s="701"/>
      <c r="F167" s="224" t="s">
        <v>1149</v>
      </c>
      <c r="G167" s="203"/>
      <c r="H167" s="702"/>
      <c r="I167" s="702" t="str">
        <f t="shared" si="143"/>
        <v>INDWWH</v>
      </c>
      <c r="J167" s="224">
        <f t="shared" si="146"/>
        <v>2050</v>
      </c>
      <c r="K167" s="81"/>
      <c r="L167" s="199">
        <f t="shared" ca="1" si="222"/>
        <v>1</v>
      </c>
      <c r="M167" s="199"/>
      <c r="N167" s="81"/>
      <c r="O167" s="723">
        <f t="shared" ca="1" si="223"/>
        <v>0.11175</v>
      </c>
      <c r="P167" s="723">
        <f t="shared" ca="1" si="224"/>
        <v>1.1513636363636396E-3</v>
      </c>
      <c r="Q167" s="81">
        <f t="shared" ca="1" si="225"/>
        <v>0.57944444444444443</v>
      </c>
      <c r="R167" s="722"/>
      <c r="S167" s="703"/>
      <c r="T167" s="703"/>
      <c r="U167" s="703"/>
      <c r="V167" s="199">
        <f t="shared" ref="V167" ca="1" si="235">IF(IF(RIGHT(H165,2)="PH",(1-L167)+$W$2,IF(RIGHT(H165,2)="HT",(1-L167)+$W$1,IF(RIGHT(H165,2)="SH",(1-L167)+$W$3,"")))&gt;0,IF(RIGHT(H165,2)="PH",(1-L167)+$W$2,IF(RIGHT(H165,2)="HT",(1-L167)+$W$1,IF(RIGHT(H165,2)="SH",(1-L167)+$W$3,""))),0)</f>
        <v>0.2</v>
      </c>
      <c r="W167" s="714"/>
      <c r="X167" s="698">
        <f t="shared" ca="1" si="219"/>
        <v>0.3</v>
      </c>
      <c r="Y167" s="698">
        <f t="shared" ca="1" si="227"/>
        <v>6</v>
      </c>
      <c r="Z167" s="698">
        <f t="shared" ca="1" si="228"/>
        <v>2</v>
      </c>
      <c r="AA167" s="698">
        <f t="shared" ca="1" si="229"/>
        <v>1</v>
      </c>
      <c r="AB167" s="698">
        <f t="shared" ca="1" si="230"/>
        <v>0.1</v>
      </c>
      <c r="AD167" s="81">
        <v>2050</v>
      </c>
      <c r="AE167" s="273"/>
      <c r="AF167" s="828"/>
    </row>
    <row r="168" spans="1:32">
      <c r="A168" s="169"/>
      <c r="B168" s="718" t="s">
        <v>1099</v>
      </c>
      <c r="C168" s="226"/>
      <c r="D168" s="707" t="str">
        <f>"IND"&amp;RIGHT(H168,4)&amp;RIGHT(G168,3)&amp;"N"&amp;RIGHT(E168,1)</f>
        <v>INDWDPHCOAN1</v>
      </c>
      <c r="E168" s="261" t="str">
        <f>"Industrial heating technology "&amp;$AJ$12&amp;" "&amp;RIGHT(H168,2)&amp;" - Coal boiler (Steam) - new 1"</f>
        <v>Industrial heating technology Wood products PH - Coal boiler (Steam) - new 1</v>
      </c>
      <c r="F168" s="224" t="s">
        <v>1149</v>
      </c>
      <c r="G168" s="55" t="s">
        <v>617</v>
      </c>
      <c r="H168" s="174" t="str">
        <f>$AI$13</f>
        <v>IWDPH</v>
      </c>
      <c r="I168" s="174" t="str">
        <f t="shared" si="143"/>
        <v>INDWWH</v>
      </c>
      <c r="J168" s="224">
        <f t="shared" si="146"/>
        <v>2011</v>
      </c>
      <c r="K168" s="299">
        <v>2025</v>
      </c>
      <c r="L168" s="199">
        <f t="shared" ref="L168:L176" ca="1" si="236">VLOOKUP($AD168,INDIRECT("'"&amp;$B168&amp;"'!"&amp;"$P$39:$AD$42"),3,FALSE)</f>
        <v>0.89</v>
      </c>
      <c r="M168" s="699"/>
      <c r="N168" s="299">
        <f ca="1">VLOOKUP($AD168,INDIRECT("'"&amp;$B168&amp;"'!"&amp;"$P$39:$AD$42"),5,FALSE)</f>
        <v>25</v>
      </c>
      <c r="O168" s="725">
        <f t="shared" ref="O168:O176" ca="1" si="237">VLOOKUP($AD168,INDIRECT("'"&amp;$B168&amp;"'!"&amp;"$P$39:$AD$42"),6,FALSE)/1000</f>
        <v>3.7250000000000001</v>
      </c>
      <c r="P168" s="725">
        <f t="shared" ref="P168:P176" ca="1" si="238">VLOOKUP($AD168,INDIRECT("'"&amp;$B168&amp;"'!"&amp;"$P$39:$AD$42"),7,FALSE)/1000</f>
        <v>0.25106499999999998</v>
      </c>
      <c r="Q168" s="299">
        <f t="shared" ref="Q168:Q176" ca="1" si="239">VLOOKUP($AD168,INDIRECT("'"&amp;$B168&amp;"'!"&amp;"$P$39:$AD$42"),8,FALSE)</f>
        <v>3.9381527777777778</v>
      </c>
      <c r="R168" s="299">
        <v>3.1536000000000002E-2</v>
      </c>
      <c r="S168" s="699">
        <v>0.5</v>
      </c>
      <c r="T168" s="699">
        <f ca="1">HLOOKUP($T$2,INDIRECT("'"&amp;$B168&amp;"'!"&amp;"$P$6:$AC$19"),IF(H168=$AI$13,6,IF(H168=$AI$14,9,14)),FALSE)</f>
        <v>1</v>
      </c>
      <c r="U168" s="772"/>
      <c r="V168" s="199">
        <f t="shared" ref="V168" ca="1" si="240">IF(IF(RIGHT(H168,2)="PH",(1-L168)+$W$2,IF(RIGHT(H168,2)="HT",(1-L168)+$W$1,IF(RIGHT(H168,2)="SH",(1-L168)+$W$3,"")))&gt;0,IF(RIGHT(H168,2)="PH",(1-L168)+$W$2,IF(RIGHT(H168,2)="HT",(1-L168)+$W$1,IF(RIGHT(H168,2)="SH",(1-L168)+$W$3,""))),0)</f>
        <v>0.31</v>
      </c>
      <c r="W168" s="298"/>
      <c r="X168" s="698">
        <f t="shared" ca="1" si="219"/>
        <v>8</v>
      </c>
      <c r="Y168" s="299">
        <f t="shared" ref="Y168:Y176" ca="1" si="241">VLOOKUP($AD168,INDIRECT("'"&amp;$B168&amp;"'!"&amp;"$P$39:$AD$42"),12,FALSE)</f>
        <v>35</v>
      </c>
      <c r="Z168" s="299">
        <f t="shared" ref="Z168:Z176" ca="1" si="242">VLOOKUP($AD168,INDIRECT("'"&amp;$B168&amp;"'!"&amp;"$P$39:$AD$42"),13,FALSE)</f>
        <v>1.5</v>
      </c>
      <c r="AA168" s="299">
        <f t="shared" ref="AA168:AA176" ca="1" si="243">VLOOKUP($AD168,INDIRECT("'"&amp;$B168&amp;"'!"&amp;"$P$39:$AD$42"),14,FALSE)</f>
        <v>0.8</v>
      </c>
      <c r="AB168" s="299">
        <f t="shared" ref="AB168:AB176" ca="1" si="244">VLOOKUP($AD168,INDIRECT("'"&amp;$B168&amp;"'!"&amp;"$P$39:$AD$42"),15,FALSE)</f>
        <v>2.1</v>
      </c>
      <c r="AD168" s="81">
        <v>2020</v>
      </c>
      <c r="AE168" s="273"/>
      <c r="AF168" s="828"/>
    </row>
    <row r="169" spans="1:32">
      <c r="A169" s="169"/>
      <c r="B169" s="718" t="s">
        <v>1099</v>
      </c>
      <c r="C169" s="226"/>
      <c r="D169" s="261"/>
      <c r="E169" s="261"/>
      <c r="F169" s="224" t="s">
        <v>1149</v>
      </c>
      <c r="G169" s="55"/>
      <c r="H169" s="174"/>
      <c r="I169" s="174" t="str">
        <f t="shared" si="143"/>
        <v>INDWWH</v>
      </c>
      <c r="J169" s="224">
        <f t="shared" si="146"/>
        <v>2030</v>
      </c>
      <c r="K169" s="81"/>
      <c r="L169" s="199">
        <f t="shared" ca="1" si="236"/>
        <v>0.89</v>
      </c>
      <c r="M169" s="772"/>
      <c r="N169" s="200"/>
      <c r="O169" s="725">
        <f t="shared" ca="1" si="237"/>
        <v>3.4699403462447704</v>
      </c>
      <c r="P169" s="725">
        <f t="shared" ca="1" si="238"/>
        <v>0.24287</v>
      </c>
      <c r="Q169" s="299">
        <f t="shared" ca="1" si="239"/>
        <v>3.9836805555555559</v>
      </c>
      <c r="R169" s="823"/>
      <c r="S169" s="300"/>
      <c r="T169" s="300"/>
      <c r="U169" s="300"/>
      <c r="V169" s="199">
        <f t="shared" ref="V169" ca="1" si="245">IF(IF(RIGHT(H168,2)="PH",(1-L169)+$W$2,IF(RIGHT(H168,2)="HT",(1-L169)+$W$1,IF(RIGHT(H168,2)="SH",(1-L169)+$W$3,"")))&gt;0,IF(RIGHT(H168,2)="PH",(1-L169)+$W$2,IF(RIGHT(H168,2)="HT",(1-L169)+$W$1,IF(RIGHT(H168,2)="SH",(1-L169)+$W$3,""))),0)</f>
        <v>0.31</v>
      </c>
      <c r="W169" s="298"/>
      <c r="X169" s="698">
        <f t="shared" ca="1" si="219"/>
        <v>8</v>
      </c>
      <c r="Y169" s="299">
        <f t="shared" ca="1" si="241"/>
        <v>35</v>
      </c>
      <c r="Z169" s="299">
        <f t="shared" ca="1" si="242"/>
        <v>1.5</v>
      </c>
      <c r="AA169" s="299">
        <f t="shared" ca="1" si="243"/>
        <v>0.8</v>
      </c>
      <c r="AB169" s="299">
        <f t="shared" ca="1" si="244"/>
        <v>2.1</v>
      </c>
      <c r="AD169" s="81">
        <v>2030</v>
      </c>
      <c r="AE169" s="273"/>
      <c r="AF169" s="828"/>
    </row>
    <row r="170" spans="1:32">
      <c r="A170" s="169"/>
      <c r="B170" s="718" t="s">
        <v>1099</v>
      </c>
      <c r="C170" s="226"/>
      <c r="D170" s="261"/>
      <c r="E170" s="261"/>
      <c r="F170" s="224" t="s">
        <v>1149</v>
      </c>
      <c r="G170" s="55"/>
      <c r="H170" s="174"/>
      <c r="I170" s="174" t="str">
        <f t="shared" si="143"/>
        <v>INDWWH</v>
      </c>
      <c r="J170" s="224">
        <f t="shared" si="146"/>
        <v>2050</v>
      </c>
      <c r="K170" s="81"/>
      <c r="L170" s="199">
        <f t="shared" ca="1" si="236"/>
        <v>0.91</v>
      </c>
      <c r="M170" s="772"/>
      <c r="N170" s="200"/>
      <c r="O170" s="725">
        <f t="shared" ca="1" si="237"/>
        <v>3.2813985758696647</v>
      </c>
      <c r="P170" s="725">
        <f t="shared" ca="1" si="238"/>
        <v>0.22797000000000001</v>
      </c>
      <c r="Q170" s="299">
        <f t="shared" ca="1" si="239"/>
        <v>4.0064444444444449</v>
      </c>
      <c r="R170" s="823"/>
      <c r="S170" s="300"/>
      <c r="T170" s="300"/>
      <c r="U170" s="300"/>
      <c r="V170" s="199">
        <f t="shared" ref="V170" ca="1" si="246">IF(IF(RIGHT(H168,2)="PH",(1-L170)+$W$2,IF(RIGHT(H168,2)="HT",(1-L170)+$W$1,IF(RIGHT(H168,2)="SH",(1-L170)+$W$3,"")))&gt;0,IF(RIGHT(H168,2)="PH",(1-L170)+$W$2,IF(RIGHT(H168,2)="HT",(1-L170)+$W$1,IF(RIGHT(H168,2)="SH",(1-L170)+$W$3,""))),0)</f>
        <v>0.28999999999999998</v>
      </c>
      <c r="W170" s="298"/>
      <c r="X170" s="698">
        <f t="shared" ca="1" si="219"/>
        <v>8</v>
      </c>
      <c r="Y170" s="299">
        <f t="shared" ca="1" si="241"/>
        <v>35</v>
      </c>
      <c r="Z170" s="299">
        <f t="shared" ca="1" si="242"/>
        <v>1.5</v>
      </c>
      <c r="AA170" s="299">
        <f t="shared" ca="1" si="243"/>
        <v>0.8</v>
      </c>
      <c r="AB170" s="299">
        <f t="shared" ca="1" si="244"/>
        <v>2.1</v>
      </c>
      <c r="AD170" s="81">
        <v>2050</v>
      </c>
      <c r="AE170" s="273"/>
      <c r="AF170" s="828"/>
    </row>
    <row r="171" spans="1:32">
      <c r="A171" s="169"/>
      <c r="B171" s="718" t="s">
        <v>1099</v>
      </c>
      <c r="C171" s="226"/>
      <c r="D171" s="261" t="str">
        <f>"IND"&amp;RIGHT(H171,4)&amp;RIGHT(G171,3)&amp;"N"&amp;RIGHT(E171,1)</f>
        <v>INDWDPHCOAN1</v>
      </c>
      <c r="E171" s="261" t="str">
        <f>"Industrial heating technology "&amp;$AJ$12&amp;" "&amp;RIGHT(H171,2)&amp;" - Coal boiler (Steam) - new 1"</f>
        <v>Industrial heating technology Wood products PH - Coal boiler (Steam) - new 1</v>
      </c>
      <c r="F171" s="224" t="s">
        <v>1149</v>
      </c>
      <c r="G171" s="55" t="s">
        <v>617</v>
      </c>
      <c r="H171" s="174" t="str">
        <f>$AI$14</f>
        <v>IWDPH</v>
      </c>
      <c r="I171" s="174" t="str">
        <f t="shared" si="143"/>
        <v>INDWWH</v>
      </c>
      <c r="J171" s="224">
        <f t="shared" si="146"/>
        <v>2011</v>
      </c>
      <c r="K171" s="299">
        <v>2025</v>
      </c>
      <c r="L171" s="199">
        <f t="shared" ca="1" si="236"/>
        <v>0.89</v>
      </c>
      <c r="M171" s="199"/>
      <c r="N171" s="81">
        <f ca="1">VLOOKUP($AD171,INDIRECT("'"&amp;$B171&amp;"'!"&amp;"$P$39:$AD$42"),5,FALSE)</f>
        <v>25</v>
      </c>
      <c r="O171" s="725">
        <f t="shared" ca="1" si="237"/>
        <v>3.7250000000000001</v>
      </c>
      <c r="P171" s="725">
        <f t="shared" ca="1" si="238"/>
        <v>0.25106499999999998</v>
      </c>
      <c r="Q171" s="299">
        <f t="shared" ca="1" si="239"/>
        <v>3.9381527777777778</v>
      </c>
      <c r="R171" s="81">
        <v>3.1536000000000002E-2</v>
      </c>
      <c r="S171" s="199">
        <v>0.5</v>
      </c>
      <c r="T171" s="199">
        <f ca="1">HLOOKUP($T$2,INDIRECT("'"&amp;$B171&amp;"'!"&amp;"$P$6:$AC$19"),IF(H171=$AI$13,6,IF(H171=$AI$14,9,14)),FALSE)</f>
        <v>1</v>
      </c>
      <c r="U171" s="772"/>
      <c r="V171" s="199">
        <f t="shared" ref="V171" ca="1" si="247">IF(IF(RIGHT(H171,2)="PH",(1-L171)+$W$2,IF(RIGHT(H171,2)="HT",(1-L171)+$W$1,IF(RIGHT(H171,2)="SH",(1-L171)+$W$3,"")))&gt;0,IF(RIGHT(H171,2)="PH",(1-L171)+$W$2,IF(RIGHT(H171,2)="HT",(1-L171)+$W$1,IF(RIGHT(H171,2)="SH",(1-L171)+$W$3,""))),0)</f>
        <v>0.31</v>
      </c>
      <c r="W171" s="298"/>
      <c r="X171" s="698">
        <f t="shared" ca="1" si="219"/>
        <v>8</v>
      </c>
      <c r="Y171" s="299">
        <f t="shared" ca="1" si="241"/>
        <v>35</v>
      </c>
      <c r="Z171" s="299">
        <f t="shared" ca="1" si="242"/>
        <v>1.5</v>
      </c>
      <c r="AA171" s="299">
        <f t="shared" ca="1" si="243"/>
        <v>0.8</v>
      </c>
      <c r="AB171" s="299">
        <f t="shared" ca="1" si="244"/>
        <v>2.1</v>
      </c>
      <c r="AD171" s="81">
        <v>2020</v>
      </c>
      <c r="AE171" s="273"/>
      <c r="AF171" s="828"/>
    </row>
    <row r="172" spans="1:32">
      <c r="A172" s="169"/>
      <c r="B172" s="718" t="s">
        <v>1099</v>
      </c>
      <c r="C172" s="226"/>
      <c r="D172" s="261"/>
      <c r="E172" s="261"/>
      <c r="F172" s="224" t="s">
        <v>1149</v>
      </c>
      <c r="G172" s="55"/>
      <c r="H172" s="174"/>
      <c r="I172" s="174" t="str">
        <f t="shared" si="143"/>
        <v>INDWWH</v>
      </c>
      <c r="J172" s="224">
        <f t="shared" si="146"/>
        <v>2030</v>
      </c>
      <c r="K172" s="81"/>
      <c r="L172" s="199">
        <f t="shared" ca="1" si="236"/>
        <v>0.89</v>
      </c>
      <c r="M172" s="772"/>
      <c r="N172" s="200"/>
      <c r="O172" s="725">
        <f t="shared" ca="1" si="237"/>
        <v>3.4699403462447704</v>
      </c>
      <c r="P172" s="725">
        <f t="shared" ca="1" si="238"/>
        <v>0.24287</v>
      </c>
      <c r="Q172" s="299">
        <f t="shared" ca="1" si="239"/>
        <v>3.9836805555555559</v>
      </c>
      <c r="R172" s="823"/>
      <c r="S172" s="300"/>
      <c r="T172" s="300"/>
      <c r="U172" s="300"/>
      <c r="V172" s="199">
        <f t="shared" ref="V172" ca="1" si="248">IF(IF(RIGHT(H171,2)="PH",(1-L172)+$W$2,IF(RIGHT(H171,2)="HT",(1-L172)+$W$1,IF(RIGHT(H171,2)="SH",(1-L172)+$W$3,"")))&gt;0,IF(RIGHT(H171,2)="PH",(1-L172)+$W$2,IF(RIGHT(H171,2)="HT",(1-L172)+$W$1,IF(RIGHT(H171,2)="SH",(1-L172)+$W$3,""))),0)</f>
        <v>0.31</v>
      </c>
      <c r="W172" s="298"/>
      <c r="X172" s="698">
        <f t="shared" ca="1" si="219"/>
        <v>8</v>
      </c>
      <c r="Y172" s="299">
        <f t="shared" ca="1" si="241"/>
        <v>35</v>
      </c>
      <c r="Z172" s="299">
        <f t="shared" ca="1" si="242"/>
        <v>1.5</v>
      </c>
      <c r="AA172" s="299">
        <f t="shared" ca="1" si="243"/>
        <v>0.8</v>
      </c>
      <c r="AB172" s="299">
        <f t="shared" ca="1" si="244"/>
        <v>2.1</v>
      </c>
      <c r="AD172" s="81">
        <v>2030</v>
      </c>
      <c r="AE172" s="273"/>
      <c r="AF172" s="828"/>
    </row>
    <row r="173" spans="1:32">
      <c r="A173" s="169"/>
      <c r="B173" s="718" t="s">
        <v>1099</v>
      </c>
      <c r="C173" s="226"/>
      <c r="D173" s="261"/>
      <c r="E173" s="261"/>
      <c r="F173" s="224" t="s">
        <v>1149</v>
      </c>
      <c r="G173" s="55"/>
      <c r="H173" s="174"/>
      <c r="I173" s="174" t="str">
        <f t="shared" si="143"/>
        <v>INDWWH</v>
      </c>
      <c r="J173" s="224">
        <f t="shared" si="146"/>
        <v>2050</v>
      </c>
      <c r="K173" s="81"/>
      <c r="L173" s="199">
        <f t="shared" ca="1" si="236"/>
        <v>0.91</v>
      </c>
      <c r="M173" s="772"/>
      <c r="N173" s="200"/>
      <c r="O173" s="725">
        <f t="shared" ca="1" si="237"/>
        <v>3.2813985758696647</v>
      </c>
      <c r="P173" s="725">
        <f t="shared" ca="1" si="238"/>
        <v>0.22797000000000001</v>
      </c>
      <c r="Q173" s="299">
        <f t="shared" ca="1" si="239"/>
        <v>4.0064444444444449</v>
      </c>
      <c r="R173" s="823"/>
      <c r="S173" s="300"/>
      <c r="T173" s="300"/>
      <c r="U173" s="300"/>
      <c r="V173" s="199">
        <f t="shared" ref="V173" ca="1" si="249">IF(IF(RIGHT(H171,2)="PH",(1-L173)+$W$2,IF(RIGHT(H171,2)="HT",(1-L173)+$W$1,IF(RIGHT(H171,2)="SH",(1-L173)+$W$3,"")))&gt;0,IF(RIGHT(H171,2)="PH",(1-L173)+$W$2,IF(RIGHT(H171,2)="HT",(1-L173)+$W$1,IF(RIGHT(H171,2)="SH",(1-L173)+$W$3,""))),0)</f>
        <v>0.28999999999999998</v>
      </c>
      <c r="W173" s="298"/>
      <c r="X173" s="698">
        <f t="shared" ca="1" si="219"/>
        <v>8</v>
      </c>
      <c r="Y173" s="299">
        <f t="shared" ca="1" si="241"/>
        <v>35</v>
      </c>
      <c r="Z173" s="299">
        <f t="shared" ca="1" si="242"/>
        <v>1.5</v>
      </c>
      <c r="AA173" s="299">
        <f t="shared" ca="1" si="243"/>
        <v>0.8</v>
      </c>
      <c r="AB173" s="299">
        <f t="shared" ca="1" si="244"/>
        <v>2.1</v>
      </c>
      <c r="AD173" s="81">
        <v>2050</v>
      </c>
      <c r="AE173" s="273"/>
      <c r="AF173" s="828"/>
    </row>
    <row r="174" spans="1:32">
      <c r="A174" s="169"/>
      <c r="B174" s="718" t="s">
        <v>1099</v>
      </c>
      <c r="C174" s="226"/>
      <c r="D174" s="261" t="str">
        <f>"IND"&amp;RIGHT(H174,4)&amp;RIGHT(G174,3)&amp;"N"&amp;RIGHT(E174,1)</f>
        <v>INDWDSHCOAN1</v>
      </c>
      <c r="E174" s="261" t="str">
        <f>"Industrial heating technology "&amp;$AJ$12&amp;" "&amp;RIGHT(H174,2)&amp;" - Coal boiler (Steam) - new 1"</f>
        <v>Industrial heating technology Wood products SH - Coal boiler (Steam) - new 1</v>
      </c>
      <c r="F174" s="224" t="s">
        <v>1149</v>
      </c>
      <c r="G174" s="55" t="s">
        <v>617</v>
      </c>
      <c r="H174" s="174" t="str">
        <f>$AI$15</f>
        <v>IWDSH</v>
      </c>
      <c r="I174" s="174" t="str">
        <f t="shared" si="143"/>
        <v>INDWWH</v>
      </c>
      <c r="J174" s="224">
        <f t="shared" si="146"/>
        <v>2011</v>
      </c>
      <c r="K174" s="299">
        <v>2025</v>
      </c>
      <c r="L174" s="199">
        <f t="shared" ca="1" si="236"/>
        <v>0.89</v>
      </c>
      <c r="M174" s="199"/>
      <c r="N174" s="81">
        <f ca="1">VLOOKUP($AD174,INDIRECT("'"&amp;$B174&amp;"'!"&amp;"$P$39:$AD$42"),5,FALSE)</f>
        <v>25</v>
      </c>
      <c r="O174" s="725">
        <f t="shared" ca="1" si="237"/>
        <v>3.7250000000000001</v>
      </c>
      <c r="P174" s="725">
        <f t="shared" ca="1" si="238"/>
        <v>0.25106499999999998</v>
      </c>
      <c r="Q174" s="299">
        <f t="shared" ca="1" si="239"/>
        <v>3.9381527777777778</v>
      </c>
      <c r="R174" s="81">
        <v>3.1536000000000002E-2</v>
      </c>
      <c r="S174" s="199">
        <v>0.5</v>
      </c>
      <c r="T174" s="199">
        <f ca="1">HLOOKUP($T$2,INDIRECT("'"&amp;$B174&amp;"'!"&amp;"$P$6:$AC$19"),IF(H174=$AI$13,6,IF(H174=$AI$14,9,14)),FALSE)</f>
        <v>1</v>
      </c>
      <c r="U174" s="772"/>
      <c r="V174" s="199">
        <f t="shared" ref="V174" ca="1" si="250">IF(IF(RIGHT(H174,2)="PH",(1-L174)+$W$2,IF(RIGHT(H174,2)="HT",(1-L174)+$W$1,IF(RIGHT(H174,2)="SH",(1-L174)+$W$3,"")))&gt;0,IF(RIGHT(H174,2)="PH",(1-L174)+$W$2,IF(RIGHT(H174,2)="HT",(1-L174)+$W$1,IF(RIGHT(H174,2)="SH",(1-L174)+$W$3,""))),0)</f>
        <v>0.10999999999999999</v>
      </c>
      <c r="W174" s="298"/>
      <c r="X174" s="698">
        <f t="shared" ca="1" si="219"/>
        <v>8</v>
      </c>
      <c r="Y174" s="299">
        <f t="shared" ca="1" si="241"/>
        <v>35</v>
      </c>
      <c r="Z174" s="299">
        <f t="shared" ca="1" si="242"/>
        <v>1.5</v>
      </c>
      <c r="AA174" s="299">
        <f t="shared" ca="1" si="243"/>
        <v>0.8</v>
      </c>
      <c r="AB174" s="299">
        <f t="shared" ca="1" si="244"/>
        <v>2.1</v>
      </c>
      <c r="AD174" s="81">
        <v>2020</v>
      </c>
      <c r="AE174" s="273"/>
      <c r="AF174" s="828"/>
    </row>
    <row r="175" spans="1:32">
      <c r="A175" s="169"/>
      <c r="B175" s="718" t="s">
        <v>1099</v>
      </c>
      <c r="C175" s="226"/>
      <c r="D175" s="261"/>
      <c r="E175" s="261"/>
      <c r="F175" s="224" t="s">
        <v>1149</v>
      </c>
      <c r="G175" s="55"/>
      <c r="H175" s="174"/>
      <c r="I175" s="174" t="str">
        <f t="shared" si="143"/>
        <v>INDWWH</v>
      </c>
      <c r="J175" s="224">
        <f t="shared" si="146"/>
        <v>2030</v>
      </c>
      <c r="K175" s="81"/>
      <c r="L175" s="199">
        <f t="shared" ca="1" si="236"/>
        <v>0.89</v>
      </c>
      <c r="M175" s="772"/>
      <c r="N175" s="200"/>
      <c r="O175" s="725">
        <f t="shared" ca="1" si="237"/>
        <v>3.4699403462447704</v>
      </c>
      <c r="P175" s="725">
        <f t="shared" ca="1" si="238"/>
        <v>0.24287</v>
      </c>
      <c r="Q175" s="299">
        <f t="shared" ca="1" si="239"/>
        <v>3.9836805555555559</v>
      </c>
      <c r="R175" s="823"/>
      <c r="S175" s="300"/>
      <c r="T175" s="300"/>
      <c r="U175" s="300"/>
      <c r="V175" s="199">
        <f t="shared" ref="V175" ca="1" si="251">IF(IF(RIGHT(H174,2)="PH",(1-L175)+$W$2,IF(RIGHT(H174,2)="HT",(1-L175)+$W$1,IF(RIGHT(H174,2)="SH",(1-L175)+$W$3,"")))&gt;0,IF(RIGHT(H174,2)="PH",(1-L175)+$W$2,IF(RIGHT(H174,2)="HT",(1-L175)+$W$1,IF(RIGHT(H174,2)="SH",(1-L175)+$W$3,""))),0)</f>
        <v>0.10999999999999999</v>
      </c>
      <c r="W175" s="298"/>
      <c r="X175" s="698">
        <f t="shared" ca="1" si="219"/>
        <v>8</v>
      </c>
      <c r="Y175" s="299">
        <f t="shared" ca="1" si="241"/>
        <v>35</v>
      </c>
      <c r="Z175" s="299">
        <f t="shared" ca="1" si="242"/>
        <v>1.5</v>
      </c>
      <c r="AA175" s="299">
        <f t="shared" ca="1" si="243"/>
        <v>0.8</v>
      </c>
      <c r="AB175" s="299">
        <f t="shared" ca="1" si="244"/>
        <v>2.1</v>
      </c>
      <c r="AD175" s="81">
        <v>2030</v>
      </c>
      <c r="AE175" s="273"/>
      <c r="AF175" s="828"/>
    </row>
    <row r="176" spans="1:32">
      <c r="A176" s="169"/>
      <c r="B176" s="719" t="s">
        <v>1099</v>
      </c>
      <c r="C176" s="713"/>
      <c r="D176" s="701"/>
      <c r="E176" s="701"/>
      <c r="F176" s="224" t="s">
        <v>1149</v>
      </c>
      <c r="G176" s="203"/>
      <c r="H176" s="702"/>
      <c r="I176" s="702" t="str">
        <f t="shared" si="143"/>
        <v>INDWWH</v>
      </c>
      <c r="J176" s="224">
        <f t="shared" si="146"/>
        <v>2050</v>
      </c>
      <c r="K176" s="81"/>
      <c r="L176" s="199">
        <f t="shared" ca="1" si="236"/>
        <v>0.91</v>
      </c>
      <c r="M176" s="826"/>
      <c r="N176" s="825"/>
      <c r="O176" s="725">
        <f t="shared" ca="1" si="237"/>
        <v>3.2813985758696647</v>
      </c>
      <c r="P176" s="725">
        <f t="shared" ca="1" si="238"/>
        <v>0.22797000000000001</v>
      </c>
      <c r="Q176" s="299">
        <f t="shared" ca="1" si="239"/>
        <v>4.0064444444444449</v>
      </c>
      <c r="R176" s="722"/>
      <c r="S176" s="703"/>
      <c r="T176" s="703"/>
      <c r="U176" s="703"/>
      <c r="V176" s="199">
        <f t="shared" ref="V176" ca="1" si="252">IF(IF(RIGHT(H174,2)="PH",(1-L176)+$W$2,IF(RIGHT(H174,2)="HT",(1-L176)+$W$1,IF(RIGHT(H174,2)="SH",(1-L176)+$W$3,"")))&gt;0,IF(RIGHT(H174,2)="PH",(1-L176)+$W$2,IF(RIGHT(H174,2)="HT",(1-L176)+$W$1,IF(RIGHT(H174,2)="SH",(1-L176)+$W$3,""))),0)</f>
        <v>8.9999999999999969E-2</v>
      </c>
      <c r="W176" s="704"/>
      <c r="X176" s="698">
        <f t="shared" ca="1" si="219"/>
        <v>8</v>
      </c>
      <c r="Y176" s="299">
        <f t="shared" ca="1" si="241"/>
        <v>35</v>
      </c>
      <c r="Z176" s="299">
        <f t="shared" ca="1" si="242"/>
        <v>1.5</v>
      </c>
      <c r="AA176" s="299">
        <f t="shared" ca="1" si="243"/>
        <v>0.8</v>
      </c>
      <c r="AB176" s="299">
        <f t="shared" ca="1" si="244"/>
        <v>2.1</v>
      </c>
      <c r="AC176" s="203"/>
      <c r="AD176" s="81">
        <v>2050</v>
      </c>
      <c r="AE176" s="273"/>
      <c r="AF176" s="829"/>
    </row>
    <row r="177" spans="1:32">
      <c r="A177" s="169"/>
      <c r="B177" s="718" t="s">
        <v>1099</v>
      </c>
      <c r="C177" s="226"/>
      <c r="D177" s="707" t="str">
        <f>"IND"&amp;RIGHT(H177,4)&amp;RIGHT(G177,3)&amp;"N"&amp;RIGHT(E177,1)</f>
        <v>INDWDPHCOAN2</v>
      </c>
      <c r="E177" s="261" t="str">
        <f>"Industrial heating technology "&amp;$AJ$12&amp;" "&amp;RIGHT(H177,2)&amp;" - Coal boiler (Hot Water) - new 2"</f>
        <v>Industrial heating technology Wood products PH - Coal boiler (Hot Water) - new 2</v>
      </c>
      <c r="F177" s="224" t="s">
        <v>1149</v>
      </c>
      <c r="G177" s="55" t="s">
        <v>617</v>
      </c>
      <c r="H177" s="174" t="str">
        <f>$AI$14</f>
        <v>IWDPH</v>
      </c>
      <c r="I177" s="174" t="str">
        <f t="shared" si="143"/>
        <v>INDWWH</v>
      </c>
      <c r="J177" s="224">
        <f t="shared" si="146"/>
        <v>2011</v>
      </c>
      <c r="K177" s="299">
        <v>2025</v>
      </c>
      <c r="L177" s="199">
        <f t="shared" ref="L177:L182" ca="1" si="253">VLOOKUP($AD177,INDIRECT("'"&amp;$B177&amp;"'!"&amp;"$P$118:$AD$121"),3,FALSE)</f>
        <v>0.89</v>
      </c>
      <c r="M177" s="199"/>
      <c r="N177" s="81">
        <f ca="1">VLOOKUP($AD177,INDIRECT("'"&amp;$B177&amp;"'!"&amp;"$P$118:$AD$121"),5,FALSE)</f>
        <v>25</v>
      </c>
      <c r="O177" s="723">
        <f t="shared" ref="O177:O182" ca="1" si="254">VLOOKUP($AD177,INDIRECT("'"&amp;$B177&amp;"'!"&amp;"$P$118:$AD$121"),6,FALSE)/1000</f>
        <v>3.7250000000000001</v>
      </c>
      <c r="P177" s="723">
        <f t="shared" ref="P177:P182" ca="1" si="255">VLOOKUP($AD177,INDIRECT("'"&amp;$B177&amp;"'!"&amp;"$P$118:$AD$121"),7,FALSE)/1000</f>
        <v>0.25106499999999998</v>
      </c>
      <c r="Q177" s="81">
        <f t="shared" ref="Q177:Q182" ca="1" si="256">VLOOKUP($AD177,INDIRECT("'"&amp;$B177&amp;"'!"&amp;"$P$118:$AD$121"),8,FALSE)</f>
        <v>3.9381527777777778</v>
      </c>
      <c r="R177" s="81">
        <v>3.1536000000000002E-2</v>
      </c>
      <c r="S177" s="199">
        <v>0.5</v>
      </c>
      <c r="T177" s="199">
        <f ca="1">HLOOKUP($T$2,INDIRECT("'"&amp;$B177&amp;"'!"&amp;"$P$85:$AC$98"),IF(H177=$AI$13,6,IF(H177=$AI$14,9,14)),FALSE)</f>
        <v>0</v>
      </c>
      <c r="U177" s="773"/>
      <c r="V177" s="199">
        <f t="shared" ref="V177" ca="1" si="257">IF(IF(RIGHT(H177,2)="PH",(1-L177)+$W$2,IF(RIGHT(H177,2)="HT",(1-L177)+$W$1,IF(RIGHT(H177,2)="SH",(1-L177)+$W$3,"")))&gt;0,IF(RIGHT(H177,2)="PH",(1-L177)+$W$2,IF(RIGHT(H177,2)="HT",(1-L177)+$W$1,IF(RIGHT(H177,2)="SH",(1-L177)+$W$3,""))),0)</f>
        <v>0.31</v>
      </c>
      <c r="W177" s="709"/>
      <c r="X177" s="698">
        <f t="shared" ca="1" si="219"/>
        <v>8</v>
      </c>
      <c r="Y177" s="698">
        <f ca="1">VLOOKUP($AD177,INDIRECT("'"&amp;$B177&amp;"'!"&amp;"$P$118:$AD$121"),12,FALSE)</f>
        <v>35</v>
      </c>
      <c r="Z177" s="698">
        <f ca="1">VLOOKUP($AD177,INDIRECT("'"&amp;$B177&amp;"'!"&amp;"$P$118:$AD$121"),13,FALSE)</f>
        <v>1.5</v>
      </c>
      <c r="AA177" s="698">
        <f ca="1">VLOOKUP($AD177,INDIRECT("'"&amp;$B177&amp;"'!"&amp;"$P$118:$AD$121"),14,FALSE)</f>
        <v>0.8</v>
      </c>
      <c r="AB177" s="698">
        <f ca="1">VLOOKUP($AD177,INDIRECT("'"&amp;$B177&amp;"'!"&amp;"$P$118:$AD$121"),15,FALSE)</f>
        <v>2.1</v>
      </c>
      <c r="AC177" s="55"/>
      <c r="AD177" s="81">
        <v>2020</v>
      </c>
      <c r="AE177" s="273"/>
      <c r="AF177" s="828"/>
    </row>
    <row r="178" spans="1:32">
      <c r="A178" s="169"/>
      <c r="B178" s="718" t="s">
        <v>1099</v>
      </c>
      <c r="C178" s="226"/>
      <c r="D178" s="261"/>
      <c r="E178" s="261"/>
      <c r="F178" s="224" t="s">
        <v>1149</v>
      </c>
      <c r="G178" s="55"/>
      <c r="H178" s="174"/>
      <c r="I178" s="174" t="str">
        <f t="shared" si="143"/>
        <v>INDWWH</v>
      </c>
      <c r="J178" s="224">
        <f t="shared" si="146"/>
        <v>2030</v>
      </c>
      <c r="K178" s="81"/>
      <c r="L178" s="199">
        <f t="shared" ca="1" si="253"/>
        <v>0.89</v>
      </c>
      <c r="M178" s="772"/>
      <c r="N178" s="200"/>
      <c r="O178" s="723">
        <f t="shared" ca="1" si="254"/>
        <v>3.7250000000000001</v>
      </c>
      <c r="P178" s="723">
        <f t="shared" ca="1" si="255"/>
        <v>0.24287</v>
      </c>
      <c r="Q178" s="81">
        <f t="shared" ca="1" si="256"/>
        <v>3.9836805555555559</v>
      </c>
      <c r="R178" s="823"/>
      <c r="S178" s="300"/>
      <c r="T178" s="300"/>
      <c r="U178" s="300"/>
      <c r="V178" s="199">
        <f t="shared" ref="V178" ca="1" si="258">IF(IF(RIGHT(H177,2)="PH",(1-L178)+$W$2,IF(RIGHT(H177,2)="HT",(1-L178)+$W$1,IF(RIGHT(H177,2)="SH",(1-L178)+$W$3,"")))&gt;0,IF(RIGHT(H177,2)="PH",(1-L178)+$W$2,IF(RIGHT(H177,2)="HT",(1-L178)+$W$1,IF(RIGHT(H177,2)="SH",(1-L178)+$W$3,""))),0)</f>
        <v>0.31</v>
      </c>
      <c r="W178" s="298"/>
      <c r="X178" s="824"/>
      <c r="Y178" s="824"/>
      <c r="Z178" s="824"/>
      <c r="AA178" s="824"/>
      <c r="AB178" s="824"/>
      <c r="AD178" s="81">
        <v>2030</v>
      </c>
      <c r="AE178" s="273"/>
      <c r="AF178" s="828"/>
    </row>
    <row r="179" spans="1:32">
      <c r="A179" s="169"/>
      <c r="B179" s="718" t="s">
        <v>1099</v>
      </c>
      <c r="C179" s="226"/>
      <c r="D179" s="261"/>
      <c r="E179" s="261"/>
      <c r="F179" s="224" t="s">
        <v>1149</v>
      </c>
      <c r="G179" s="55"/>
      <c r="H179" s="174"/>
      <c r="I179" s="174" t="str">
        <f t="shared" si="143"/>
        <v>INDWWH</v>
      </c>
      <c r="J179" s="224">
        <f t="shared" si="146"/>
        <v>2050</v>
      </c>
      <c r="K179" s="81"/>
      <c r="L179" s="199">
        <f t="shared" ca="1" si="253"/>
        <v>0.91</v>
      </c>
      <c r="M179" s="772"/>
      <c r="N179" s="200"/>
      <c r="O179" s="723">
        <f t="shared" ca="1" si="254"/>
        <v>3.7250000000000001</v>
      </c>
      <c r="P179" s="723">
        <f t="shared" ca="1" si="255"/>
        <v>0.22797000000000001</v>
      </c>
      <c r="Q179" s="81">
        <f t="shared" ca="1" si="256"/>
        <v>4.0064444444444449</v>
      </c>
      <c r="R179" s="823"/>
      <c r="S179" s="300"/>
      <c r="T179" s="300"/>
      <c r="U179" s="300"/>
      <c r="V179" s="199">
        <f t="shared" ref="V179" ca="1" si="259">IF(IF(RIGHT(H177,2)="PH",(1-L179)+$W$2,IF(RIGHT(H177,2)="HT",(1-L179)+$W$1,IF(RIGHT(H177,2)="SH",(1-L179)+$W$3,"")))&gt;0,IF(RIGHT(H177,2)="PH",(1-L179)+$W$2,IF(RIGHT(H177,2)="HT",(1-L179)+$W$1,IF(RIGHT(H177,2)="SH",(1-L179)+$W$3,""))),0)</f>
        <v>0.28999999999999998</v>
      </c>
      <c r="W179" s="298"/>
      <c r="X179" s="824"/>
      <c r="Y179" s="824"/>
      <c r="Z179" s="824"/>
      <c r="AA179" s="824"/>
      <c r="AB179" s="824"/>
      <c r="AD179" s="81">
        <v>2050</v>
      </c>
      <c r="AE179" s="273"/>
      <c r="AF179" s="828"/>
    </row>
    <row r="180" spans="1:32">
      <c r="A180" s="169"/>
      <c r="B180" s="718" t="s">
        <v>1099</v>
      </c>
      <c r="C180" s="226"/>
      <c r="D180" s="261" t="str">
        <f>"IND"&amp;RIGHT(H180,4)&amp;RIGHT(G180,3)&amp;"N"&amp;RIGHT(E180,1)</f>
        <v>INDWDSHCOAN2</v>
      </c>
      <c r="E180" s="261" t="str">
        <f>"Industrial heating technology "&amp;$AJ$12&amp;" "&amp;RIGHT(H180,2)&amp;" - Coal boiler (Hot Water) - new 2"</f>
        <v>Industrial heating technology Wood products SH - Coal boiler (Hot Water) - new 2</v>
      </c>
      <c r="F180" s="224" t="s">
        <v>1149</v>
      </c>
      <c r="G180" s="55" t="s">
        <v>617</v>
      </c>
      <c r="H180" s="174" t="str">
        <f>$AI$15</f>
        <v>IWDSH</v>
      </c>
      <c r="I180" s="174" t="str">
        <f t="shared" si="143"/>
        <v>INDWWH</v>
      </c>
      <c r="J180" s="224">
        <f t="shared" si="146"/>
        <v>2011</v>
      </c>
      <c r="K180" s="299">
        <v>2025</v>
      </c>
      <c r="L180" s="199">
        <f t="shared" ca="1" si="253"/>
        <v>0.89</v>
      </c>
      <c r="M180" s="199"/>
      <c r="N180" s="81">
        <f ca="1">VLOOKUP($AD180,INDIRECT("'"&amp;$B180&amp;"'!"&amp;"$P$118:$AD$121"),5,FALSE)</f>
        <v>25</v>
      </c>
      <c r="O180" s="723">
        <f t="shared" ca="1" si="254"/>
        <v>3.7250000000000001</v>
      </c>
      <c r="P180" s="723">
        <f t="shared" ca="1" si="255"/>
        <v>0.25106499999999998</v>
      </c>
      <c r="Q180" s="81">
        <f t="shared" ca="1" si="256"/>
        <v>3.9381527777777778</v>
      </c>
      <c r="R180" s="81">
        <v>3.1536000000000002E-2</v>
      </c>
      <c r="S180" s="199">
        <v>0.5</v>
      </c>
      <c r="T180" s="199">
        <f ca="1">HLOOKUP($T$2,INDIRECT("'"&amp;$B180&amp;"'!"&amp;"$P$85:$AC$98"),IF(H180=$AI$13,6,IF(H180=$AI$14,9,14)),FALSE)</f>
        <v>1</v>
      </c>
      <c r="U180" s="773"/>
      <c r="V180" s="199">
        <f t="shared" ref="V180" ca="1" si="260">IF(IF(RIGHT(H180,2)="PH",(1-L180)+$W$2,IF(RIGHT(H180,2)="HT",(1-L180)+$W$1,IF(RIGHT(H180,2)="SH",(1-L180)+$W$3,"")))&gt;0,IF(RIGHT(H180,2)="PH",(1-L180)+$W$2,IF(RIGHT(H180,2)="HT",(1-L180)+$W$1,IF(RIGHT(H180,2)="SH",(1-L180)+$W$3,""))),0)</f>
        <v>0.10999999999999999</v>
      </c>
      <c r="W180" s="709"/>
      <c r="X180" s="698">
        <f ca="1">IF(VLOOKUP($AD180,INDIRECT("'"&amp;$B180&amp;"'!"&amp;"$P$39:$AD$42"),11,FALSE)="Cf. the utilized electricity",0,VLOOKUP($AD180,INDIRECT("'"&amp;$B180&amp;"'!"&amp;"$P$39:$AD$42"),11,FALSE))</f>
        <v>8</v>
      </c>
      <c r="Y180" s="698">
        <f ca="1">VLOOKUP($AD180,INDIRECT("'"&amp;$B180&amp;"'!"&amp;"$P$118:$AD$121"),12,FALSE)</f>
        <v>35</v>
      </c>
      <c r="Z180" s="698">
        <f ca="1">VLOOKUP($AD180,INDIRECT("'"&amp;$B180&amp;"'!"&amp;"$P$118:$AD$121"),13,FALSE)</f>
        <v>1.5</v>
      </c>
      <c r="AA180" s="698">
        <f ca="1">VLOOKUP($AD180,INDIRECT("'"&amp;$B180&amp;"'!"&amp;"$P$118:$AD$121"),14,FALSE)</f>
        <v>0.8</v>
      </c>
      <c r="AB180" s="698">
        <f ca="1">VLOOKUP($AD180,INDIRECT("'"&amp;$B180&amp;"'!"&amp;"$P$118:$AD$121"),15,FALSE)</f>
        <v>2.1</v>
      </c>
      <c r="AC180" s="55"/>
      <c r="AD180" s="81">
        <v>2020</v>
      </c>
      <c r="AE180" s="273"/>
      <c r="AF180" s="828"/>
    </row>
    <row r="181" spans="1:32">
      <c r="A181" s="169"/>
      <c r="B181" s="718" t="s">
        <v>1099</v>
      </c>
      <c r="C181" s="226"/>
      <c r="D181" s="261"/>
      <c r="E181" s="261"/>
      <c r="F181" s="224" t="s">
        <v>1149</v>
      </c>
      <c r="G181" s="55"/>
      <c r="H181" s="174"/>
      <c r="I181" s="174" t="str">
        <f t="shared" si="143"/>
        <v>INDWWH</v>
      </c>
      <c r="J181" s="224">
        <f t="shared" si="146"/>
        <v>2030</v>
      </c>
      <c r="K181" s="200"/>
      <c r="L181" s="199">
        <f t="shared" ca="1" si="253"/>
        <v>0.89</v>
      </c>
      <c r="M181" s="772"/>
      <c r="N181" s="200"/>
      <c r="O181" s="723">
        <f t="shared" ca="1" si="254"/>
        <v>3.7250000000000001</v>
      </c>
      <c r="P181" s="723">
        <f t="shared" ca="1" si="255"/>
        <v>0.24287</v>
      </c>
      <c r="Q181" s="81">
        <f t="shared" ca="1" si="256"/>
        <v>3.9836805555555559</v>
      </c>
      <c r="R181" s="823"/>
      <c r="S181" s="300"/>
      <c r="T181" s="300"/>
      <c r="U181" s="300"/>
      <c r="V181" s="199">
        <f t="shared" ref="V181" ca="1" si="261">IF(IF(RIGHT(H180,2)="PH",(1-L181)+$W$2,IF(RIGHT(H180,2)="HT",(1-L181)+$W$1,IF(RIGHT(H180,2)="SH",(1-L181)+$W$3,"")))&gt;0,IF(RIGHT(H180,2)="PH",(1-L181)+$W$2,IF(RIGHT(H180,2)="HT",(1-L181)+$W$1,IF(RIGHT(H180,2)="SH",(1-L181)+$W$3,""))),0)</f>
        <v>0.10999999999999999</v>
      </c>
      <c r="W181" s="298"/>
      <c r="X181" s="824"/>
      <c r="Y181" s="824"/>
      <c r="Z181" s="824"/>
      <c r="AA181" s="824"/>
      <c r="AB181" s="824"/>
      <c r="AD181" s="81">
        <v>2030</v>
      </c>
      <c r="AE181" s="273"/>
      <c r="AF181" s="828"/>
    </row>
    <row r="182" spans="1:32">
      <c r="A182" s="831"/>
      <c r="B182" s="719" t="s">
        <v>1099</v>
      </c>
      <c r="C182" s="713"/>
      <c r="D182" s="701"/>
      <c r="E182" s="701"/>
      <c r="F182" s="224" t="s">
        <v>1149</v>
      </c>
      <c r="G182" s="203"/>
      <c r="H182" s="702"/>
      <c r="I182" s="266" t="str">
        <f t="shared" si="143"/>
        <v>INDWWH</v>
      </c>
      <c r="J182" s="224">
        <f t="shared" si="146"/>
        <v>2050</v>
      </c>
      <c r="K182" s="825"/>
      <c r="L182" s="199">
        <f t="shared" ca="1" si="253"/>
        <v>0.91</v>
      </c>
      <c r="M182" s="826"/>
      <c r="N182" s="825"/>
      <c r="O182" s="723">
        <f t="shared" ca="1" si="254"/>
        <v>3.7250000000000001</v>
      </c>
      <c r="P182" s="723">
        <f t="shared" ca="1" si="255"/>
        <v>0.22797000000000001</v>
      </c>
      <c r="Q182" s="81">
        <f t="shared" ca="1" si="256"/>
        <v>4.0064444444444449</v>
      </c>
      <c r="R182" s="722"/>
      <c r="S182" s="703"/>
      <c r="T182" s="703"/>
      <c r="U182" s="703"/>
      <c r="V182" s="199">
        <f t="shared" ref="V182" ca="1" si="262">IF(IF(RIGHT(H180,2)="PH",(1-L182)+$W$2,IF(RIGHT(H180,2)="HT",(1-L182)+$W$1,IF(RIGHT(H180,2)="SH",(1-L182)+$W$3,"")))&gt;0,IF(RIGHT(H180,2)="PH",(1-L182)+$W$2,IF(RIGHT(H180,2)="HT",(1-L182)+$W$1,IF(RIGHT(H180,2)="SH",(1-L182)+$W$3,""))),0)</f>
        <v>8.9999999999999969E-2</v>
      </c>
      <c r="W182" s="704"/>
      <c r="X182" s="827"/>
      <c r="Y182" s="827"/>
      <c r="Z182" s="827"/>
      <c r="AA182" s="827"/>
      <c r="AB182" s="827"/>
      <c r="AC182" s="203"/>
      <c r="AD182" s="81">
        <v>2050</v>
      </c>
      <c r="AE182" s="273"/>
      <c r="AF182" s="829"/>
    </row>
    <row r="183" spans="1:32">
      <c r="A183" s="831"/>
      <c r="B183" s="226" t="s">
        <v>576</v>
      </c>
      <c r="C183" s="901"/>
      <c r="D183" s="261" t="str">
        <f>"IND"&amp;RIGHT(H183,4)&amp;RIGHT(G183,3)&amp;"N"&amp;RIGHT(E183,1)</f>
        <v>INDWDSHSOLN1</v>
      </c>
      <c r="E183" s="261" t="str">
        <f>"Industrial heating technology "&amp;$AJ$12&amp;" "&amp;RIGHT(H183,2)&amp;" - Solar - new 1"</f>
        <v>Industrial heating technology Wood products SH - Solar - new 1</v>
      </c>
      <c r="F183" s="224" t="s">
        <v>1149</v>
      </c>
      <c r="G183" s="55" t="s">
        <v>500</v>
      </c>
      <c r="H183" s="174" t="str">
        <f>$AI$15</f>
        <v>IWDSH</v>
      </c>
      <c r="I183" s="174"/>
      <c r="J183" s="224">
        <f t="shared" si="146"/>
        <v>2011</v>
      </c>
      <c r="K183" s="299">
        <v>2025</v>
      </c>
      <c r="L183" s="199">
        <f ca="1">VLOOKUP($AD183,INDIRECT("'"&amp;$B183&amp;"'!"&amp;"$J$40:$X$43"),3,FALSE)</f>
        <v>1</v>
      </c>
      <c r="M183" s="772"/>
      <c r="N183" s="199">
        <f ca="1">VLOOKUP($AD183,INDIRECT("'"&amp;$B183&amp;"'!"&amp;"$J$40:$X$43"),5,FALSE)</f>
        <v>25</v>
      </c>
      <c r="O183" s="199">
        <f ca="1">VLOOKUP($AD183,INDIRECT("'"&amp;$B183&amp;"'!"&amp;"$J$40:$X$43"),6,FALSE)/1000</f>
        <v>4.2857142857142865</v>
      </c>
      <c r="P183" s="199">
        <f ca="1">VLOOKUP($AD183,INDIRECT("'"&amp;$B183&amp;"'!"&amp;"$J$40:$X$43"),7,FALSE)/1000</f>
        <v>2.0660433158225668E-2</v>
      </c>
      <c r="Q183" s="199">
        <f ca="1">VLOOKUP($AD183,INDIRECT("'"&amp;$B183&amp;"'!"&amp;"$J$40:$X$43"),8,FALSE)</f>
        <v>0</v>
      </c>
      <c r="R183" s="81">
        <v>3.1536000000000002E-2</v>
      </c>
      <c r="S183" s="199">
        <v>8.5500000000000007E-2</v>
      </c>
      <c r="T183" s="199">
        <v>1</v>
      </c>
      <c r="U183" s="300"/>
      <c r="V183" s="199"/>
      <c r="W183" s="298"/>
      <c r="X183" s="698">
        <v>0</v>
      </c>
      <c r="Y183" s="81">
        <v>0</v>
      </c>
      <c r="Z183" s="81">
        <v>0</v>
      </c>
      <c r="AA183" s="81">
        <v>0</v>
      </c>
      <c r="AB183" s="81">
        <v>0</v>
      </c>
      <c r="AC183" s="55"/>
      <c r="AD183" s="81">
        <v>2020</v>
      </c>
      <c r="AE183" s="200"/>
      <c r="AF183" s="700"/>
    </row>
    <row r="184" spans="1:32">
      <c r="A184" s="831"/>
      <c r="B184" s="226" t="s">
        <v>576</v>
      </c>
      <c r="C184" s="902"/>
      <c r="D184" s="261"/>
      <c r="E184" s="261"/>
      <c r="F184" s="224" t="s">
        <v>1149</v>
      </c>
      <c r="G184" s="55"/>
      <c r="H184" s="174"/>
      <c r="I184" s="174"/>
      <c r="J184" s="224">
        <f t="shared" si="146"/>
        <v>2030</v>
      </c>
      <c r="K184" s="200"/>
      <c r="L184" s="199">
        <f ca="1">VLOOKUP($AD184,INDIRECT("'"&amp;$B184&amp;"'!"&amp;"$J$40:$X$43"),3,FALSE)</f>
        <v>1</v>
      </c>
      <c r="M184" s="772"/>
      <c r="N184" s="199">
        <f ca="1">VLOOKUP($AD184,INDIRECT("'"&amp;$B184&amp;"'!"&amp;"$J$40:$X$43"),5,FALSE)</f>
        <v>30</v>
      </c>
      <c r="O184" s="199">
        <f ca="1">VLOOKUP($AD184,INDIRECT("'"&amp;$B184&amp;"'!"&amp;"$J$40:$X$43"),6,FALSE)/1000</f>
        <v>3.9285714285714284</v>
      </c>
      <c r="P184" s="199">
        <f ca="1">VLOOKUP($AD184,INDIRECT("'"&amp;$B184&amp;"'!"&amp;"$J$40:$X$43"),7,FALSE)/1000</f>
        <v>2.328125E-2</v>
      </c>
      <c r="Q184" s="199">
        <f ca="1">VLOOKUP($AD184,INDIRECT("'"&amp;$B184&amp;"'!"&amp;"$J$40:$X$43"),8,FALSE)</f>
        <v>0</v>
      </c>
      <c r="R184" s="823"/>
      <c r="S184" s="300"/>
      <c r="T184" s="300"/>
      <c r="U184" s="300"/>
      <c r="V184" s="772"/>
      <c r="W184" s="298"/>
      <c r="X184" s="824"/>
      <c r="Y184" s="824"/>
      <c r="Z184" s="824"/>
      <c r="AA184" s="824"/>
      <c r="AB184" s="824"/>
      <c r="AC184" s="55"/>
      <c r="AD184" s="81">
        <v>2030</v>
      </c>
      <c r="AE184" s="200"/>
      <c r="AF184" s="700"/>
    </row>
    <row r="185" spans="1:32" s="203" customFormat="1">
      <c r="A185" s="900"/>
      <c r="B185" s="713" t="s">
        <v>576</v>
      </c>
      <c r="C185" s="903"/>
      <c r="D185" s="701"/>
      <c r="E185" s="701"/>
      <c r="F185" s="224" t="s">
        <v>1149</v>
      </c>
      <c r="H185" s="702"/>
      <c r="I185" s="702"/>
      <c r="J185" s="224">
        <f t="shared" si="146"/>
        <v>2050</v>
      </c>
      <c r="K185" s="825"/>
      <c r="L185" s="199">
        <f ca="1">VLOOKUP($AD185,INDIRECT("'"&amp;$B185&amp;"'!"&amp;"$J$40:$X$43"),3,FALSE)</f>
        <v>1</v>
      </c>
      <c r="M185" s="826"/>
      <c r="N185" s="199">
        <f ca="1">VLOOKUP($AD185,INDIRECT("'"&amp;$B185&amp;"'!"&amp;"$J$40:$X$43"),5,FALSE)</f>
        <v>30</v>
      </c>
      <c r="O185" s="199">
        <f ca="1">VLOOKUP($AD185,INDIRECT("'"&amp;$B185&amp;"'!"&amp;"$J$40:$X$43"),6,FALSE)/1000</f>
        <v>3.5714285714285721</v>
      </c>
      <c r="P185" s="199">
        <f ca="1">VLOOKUP($AD185,INDIRECT("'"&amp;$B185&amp;"'!"&amp;"$J$40:$X$43"),7,FALSE)/1000</f>
        <v>2.1498571428571429E-2</v>
      </c>
      <c r="Q185" s="199">
        <f ca="1">VLOOKUP($AD185,INDIRECT("'"&amp;$B185&amp;"'!"&amp;"$J$40:$X$43"),8,FALSE)</f>
        <v>0</v>
      </c>
      <c r="R185" s="722"/>
      <c r="S185" s="703"/>
      <c r="T185" s="703"/>
      <c r="U185" s="703"/>
      <c r="V185" s="826"/>
      <c r="W185" s="704"/>
      <c r="X185" s="827"/>
      <c r="Y185" s="827"/>
      <c r="Z185" s="827"/>
      <c r="AA185" s="827"/>
      <c r="AB185" s="827"/>
      <c r="AD185" s="81">
        <v>2050</v>
      </c>
      <c r="AE185" s="825"/>
      <c r="AF185" s="705"/>
    </row>
    <row r="186" spans="1:32">
      <c r="A186" s="169"/>
      <c r="D186" s="36" t="s">
        <v>503</v>
      </c>
      <c r="E186" s="36"/>
      <c r="F186" s="224" t="s">
        <v>1149</v>
      </c>
      <c r="H186" s="173"/>
      <c r="I186" s="173"/>
      <c r="J186" s="224">
        <f t="shared" si="146"/>
        <v>0</v>
      </c>
      <c r="K186" s="198"/>
      <c r="L186" s="204"/>
      <c r="M186" s="204"/>
      <c r="N186" s="204"/>
      <c r="O186" s="37"/>
      <c r="P186" s="37"/>
      <c r="Q186" s="205"/>
      <c r="R186" s="252"/>
      <c r="S186" s="274"/>
      <c r="T186" s="204"/>
      <c r="U186" s="204"/>
      <c r="V186" s="204"/>
      <c r="W186" s="204"/>
      <c r="X186" s="204"/>
      <c r="Y186" s="204"/>
      <c r="Z186" s="204"/>
      <c r="AA186" s="204"/>
      <c r="AB186" s="204"/>
    </row>
    <row r="187" spans="1:32">
      <c r="A187" s="169"/>
      <c r="D187" s="212" t="str">
        <f t="shared" ref="D187:D192" si="263">"IND"&amp;RIGHT(H187,4)&amp;RIGHT(G187,3)&amp;"N"&amp;RIGHT(E187,1)</f>
        <v>INDWDSHHCEN1</v>
      </c>
      <c r="E187" s="224" t="str">
        <f>"Industrial heating technology "&amp;$AJ$12&amp;" "&amp;RIGHT(H187,2)&amp;" - central district heating - within DH area - new 1"</f>
        <v>Industrial heating technology Wood products SH - central district heating - within DH area - new 1</v>
      </c>
      <c r="F187" s="224" t="s">
        <v>1149</v>
      </c>
      <c r="G187" s="225" t="s">
        <v>501</v>
      </c>
      <c r="H187" s="225" t="str">
        <f>AI15</f>
        <v>IWDSH</v>
      </c>
      <c r="I187" s="225"/>
      <c r="J187" s="81">
        <v>2011</v>
      </c>
      <c r="K187" s="299">
        <v>2025</v>
      </c>
      <c r="L187" s="81">
        <v>0.96</v>
      </c>
      <c r="M187" s="81"/>
      <c r="N187" s="81">
        <v>30</v>
      </c>
      <c r="O187" s="253">
        <v>1.17</v>
      </c>
      <c r="P187" s="254">
        <f>'DH network'!$M$9</f>
        <v>5.8735799999999998E-2</v>
      </c>
      <c r="Q187" s="254">
        <f ca="1">Q31*0.95</f>
        <v>1.9463124999999999</v>
      </c>
      <c r="R187" s="201">
        <v>3.1536000000000002E-2</v>
      </c>
      <c r="S187" s="275">
        <v>0.5</v>
      </c>
      <c r="T187" s="228"/>
      <c r="U187" s="228"/>
      <c r="V187" s="228"/>
      <c r="W187" s="287"/>
      <c r="X187" s="278"/>
      <c r="Y187" s="61"/>
      <c r="Z187" s="61"/>
      <c r="AA187" s="61"/>
      <c r="AB187" s="61"/>
    </row>
    <row r="188" spans="1:32">
      <c r="A188" s="169"/>
      <c r="D188" s="212" t="str">
        <f t="shared" si="263"/>
        <v>INDWDPHHCEN1</v>
      </c>
      <c r="E188" s="224" t="str">
        <f>"Industrial heating technology "&amp;$AJ$12&amp;" "&amp;RIGHT(H188,2)&amp;" - central district heating - within DH area - new 1"</f>
        <v>Industrial heating technology Wood products PH - central district heating - within DH area - new 1</v>
      </c>
      <c r="F188" s="224" t="s">
        <v>1149</v>
      </c>
      <c r="G188" s="225" t="s">
        <v>501</v>
      </c>
      <c r="H188" s="281" t="str">
        <f>AI14</f>
        <v>IWDPH</v>
      </c>
      <c r="I188" s="281"/>
      <c r="J188" s="81">
        <v>2011</v>
      </c>
      <c r="K188" s="299">
        <v>2025</v>
      </c>
      <c r="L188" s="81">
        <v>0.96</v>
      </c>
      <c r="M188" s="81"/>
      <c r="N188" s="81">
        <v>30</v>
      </c>
      <c r="O188" s="253">
        <v>1.17</v>
      </c>
      <c r="P188" s="254">
        <f>'DH network'!$M$9</f>
        <v>5.8735799999999998E-2</v>
      </c>
      <c r="Q188" s="254">
        <f ca="1">Q33*0.95</f>
        <v>6.4090694444444436</v>
      </c>
      <c r="R188" s="201">
        <v>3.1536000000000002E-2</v>
      </c>
      <c r="S188" s="275">
        <v>0.5</v>
      </c>
      <c r="T188" s="228">
        <v>0.05</v>
      </c>
      <c r="U188" s="228"/>
      <c r="V188" s="228"/>
      <c r="W188" s="287"/>
      <c r="X188" s="278"/>
      <c r="Y188" s="61"/>
      <c r="Z188" s="61"/>
      <c r="AA188" s="61"/>
      <c r="AB188" s="61"/>
      <c r="AC188" s="226"/>
      <c r="AD188" s="226"/>
      <c r="AE188" s="226"/>
      <c r="AF188" s="226"/>
    </row>
    <row r="189" spans="1:32">
      <c r="A189" s="169"/>
      <c r="D189" s="212" t="str">
        <f t="shared" si="263"/>
        <v>INDWDSHHSEN1</v>
      </c>
      <c r="E189" s="224" t="str">
        <f>"Industrial heating technology "&amp;$AJ$12&amp;" "&amp;RIGHT(H189,2)&amp;" - central district heating - within DH area - new 1"</f>
        <v>Industrial heating technology Wood products SH - central district heating - within DH area - new 1</v>
      </c>
      <c r="F189" s="224" t="s">
        <v>1149</v>
      </c>
      <c r="G189" s="225" t="s">
        <v>2123</v>
      </c>
      <c r="H189" s="225" t="str">
        <f>H187</f>
        <v>IWDSH</v>
      </c>
      <c r="I189" s="225"/>
      <c r="J189" s="81">
        <f t="shared" ref="J189:L190" si="264">J187</f>
        <v>2011</v>
      </c>
      <c r="K189" s="81">
        <f t="shared" si="264"/>
        <v>2025</v>
      </c>
      <c r="L189" s="81">
        <f t="shared" si="264"/>
        <v>0.96</v>
      </c>
      <c r="M189" s="81"/>
      <c r="N189" s="81">
        <f t="shared" ref="N189:S190" si="265">N187</f>
        <v>30</v>
      </c>
      <c r="O189" s="81">
        <f t="shared" si="265"/>
        <v>1.17</v>
      </c>
      <c r="P189" s="81">
        <f t="shared" si="265"/>
        <v>5.8735799999999998E-2</v>
      </c>
      <c r="Q189" s="81">
        <f t="shared" ca="1" si="265"/>
        <v>1.9463124999999999</v>
      </c>
      <c r="R189" s="81">
        <f t="shared" si="265"/>
        <v>3.1536000000000002E-2</v>
      </c>
      <c r="S189" s="81">
        <f t="shared" si="265"/>
        <v>0.5</v>
      </c>
      <c r="T189" s="228"/>
      <c r="U189" s="228"/>
      <c r="V189" s="228"/>
      <c r="W189" s="287"/>
      <c r="X189" s="278"/>
      <c r="Y189" s="61"/>
      <c r="Z189" s="61"/>
      <c r="AA189" s="61"/>
      <c r="AB189" s="61"/>
    </row>
    <row r="190" spans="1:32">
      <c r="A190" s="169"/>
      <c r="D190" s="212" t="str">
        <f t="shared" si="263"/>
        <v>INDWDPHHSEN1</v>
      </c>
      <c r="E190" s="224" t="str">
        <f>"Industrial heating technology "&amp;$AJ$12&amp;" "&amp;RIGHT(H190,2)&amp;" - central district heating - within DH area - new 1"</f>
        <v>Industrial heating technology Wood products PH - central district heating - within DH area - new 1</v>
      </c>
      <c r="F190" s="224" t="s">
        <v>1149</v>
      </c>
      <c r="G190" s="225" t="s">
        <v>2123</v>
      </c>
      <c r="H190" s="225" t="str">
        <f>H188</f>
        <v>IWDPH</v>
      </c>
      <c r="I190" s="281"/>
      <c r="J190" s="81">
        <f t="shared" si="264"/>
        <v>2011</v>
      </c>
      <c r="K190" s="81">
        <f t="shared" si="264"/>
        <v>2025</v>
      </c>
      <c r="L190" s="81">
        <f t="shared" si="264"/>
        <v>0.96</v>
      </c>
      <c r="M190" s="81"/>
      <c r="N190" s="81">
        <f t="shared" si="265"/>
        <v>30</v>
      </c>
      <c r="O190" s="81">
        <f t="shared" si="265"/>
        <v>1.17</v>
      </c>
      <c r="P190" s="81">
        <f t="shared" si="265"/>
        <v>5.8735799999999998E-2</v>
      </c>
      <c r="Q190" s="81">
        <f t="shared" ca="1" si="265"/>
        <v>6.4090694444444436</v>
      </c>
      <c r="R190" s="81">
        <f t="shared" si="265"/>
        <v>3.1536000000000002E-2</v>
      </c>
      <c r="S190" s="81">
        <f t="shared" si="265"/>
        <v>0.5</v>
      </c>
      <c r="T190" s="81">
        <f>T188</f>
        <v>0.05</v>
      </c>
      <c r="U190" s="228"/>
      <c r="V190" s="228"/>
      <c r="W190" s="287"/>
      <c r="X190" s="278"/>
      <c r="Y190" s="61"/>
      <c r="Z190" s="61"/>
      <c r="AA190" s="61"/>
      <c r="AB190" s="61"/>
      <c r="AC190" s="226"/>
      <c r="AD190" s="226"/>
      <c r="AE190" s="226"/>
      <c r="AF190" s="226"/>
    </row>
    <row r="191" spans="1:32">
      <c r="A191" s="169"/>
      <c r="D191" s="212" t="str">
        <f t="shared" si="263"/>
        <v>INDWDSHHDEN1</v>
      </c>
      <c r="E191" s="224" t="str">
        <f>"Industrial heating technology "&amp;$AJ$12&amp;" "&amp;RIGHT(H191,2)&amp;" - decentral district heating - within DH area - new 1"</f>
        <v>Industrial heating technology Wood products SH - decentral district heating - within DH area - new 1</v>
      </c>
      <c r="F191" s="224" t="s">
        <v>1149</v>
      </c>
      <c r="G191" s="259" t="s">
        <v>502</v>
      </c>
      <c r="H191" s="265" t="str">
        <f>AI15</f>
        <v>IWDSH</v>
      </c>
      <c r="I191" s="265"/>
      <c r="J191" s="81">
        <v>2011</v>
      </c>
      <c r="K191" s="299">
        <v>2025</v>
      </c>
      <c r="L191" s="81">
        <f>L187</f>
        <v>0.96</v>
      </c>
      <c r="M191" s="81"/>
      <c r="N191" s="81">
        <v>30</v>
      </c>
      <c r="O191" s="253">
        <v>1.25</v>
      </c>
      <c r="P191" s="254">
        <f>'DH network'!$M$9</f>
        <v>5.8735799999999998E-2</v>
      </c>
      <c r="Q191" s="254">
        <f ca="1">Q187</f>
        <v>1.9463124999999999</v>
      </c>
      <c r="R191" s="201">
        <v>3.1536000000000002E-2</v>
      </c>
      <c r="S191" s="275">
        <v>0.5</v>
      </c>
      <c r="T191" s="228"/>
      <c r="U191" s="228"/>
      <c r="V191" s="228"/>
      <c r="W191" s="287"/>
      <c r="X191" s="278"/>
      <c r="Y191" s="61"/>
      <c r="Z191" s="61"/>
      <c r="AA191" s="61"/>
      <c r="AB191" s="61"/>
      <c r="AC191" s="226"/>
      <c r="AD191" s="226"/>
      <c r="AE191" s="226"/>
      <c r="AF191" s="226"/>
    </row>
    <row r="192" spans="1:32">
      <c r="A192" s="169"/>
      <c r="D192" s="212" t="str">
        <f t="shared" si="263"/>
        <v>INDWDPHHDEN1</v>
      </c>
      <c r="E192" s="224" t="str">
        <f>"Industrial heating technology "&amp;$AJ$12&amp;" "&amp;RIGHT(H192,2)&amp;" - decentral district heating - within DH area - new 1"</f>
        <v>Industrial heating technology Wood products PH - decentral district heating - within DH area - new 1</v>
      </c>
      <c r="F192" s="224" t="s">
        <v>1149</v>
      </c>
      <c r="G192" s="259" t="s">
        <v>502</v>
      </c>
      <c r="H192" s="225" t="str">
        <f>AI14</f>
        <v>IWDPH</v>
      </c>
      <c r="I192" s="225"/>
      <c r="J192" s="81">
        <v>2011</v>
      </c>
      <c r="K192" s="299">
        <v>2025</v>
      </c>
      <c r="L192" s="81">
        <f>L188</f>
        <v>0.96</v>
      </c>
      <c r="M192" s="81"/>
      <c r="N192" s="81">
        <v>30</v>
      </c>
      <c r="O192" s="253">
        <v>1.25</v>
      </c>
      <c r="P192" s="254">
        <f>'DH network'!$M$9</f>
        <v>5.8735799999999998E-2</v>
      </c>
      <c r="Q192" s="254">
        <f ca="1">Q188</f>
        <v>6.4090694444444436</v>
      </c>
      <c r="R192" s="201">
        <v>3.1536000000000002E-2</v>
      </c>
      <c r="S192" s="275">
        <v>0.5</v>
      </c>
      <c r="T192" s="228">
        <v>0.05</v>
      </c>
      <c r="U192" s="228"/>
      <c r="V192" s="228"/>
      <c r="W192" s="287"/>
      <c r="X192" s="278"/>
      <c r="Y192" s="61"/>
      <c r="Z192" s="61"/>
      <c r="AA192" s="61"/>
      <c r="AB192" s="61"/>
      <c r="AC192" s="226"/>
      <c r="AD192" s="226"/>
      <c r="AE192" s="226"/>
      <c r="AF192" s="226"/>
    </row>
    <row r="193" spans="1:32">
      <c r="A193" s="169"/>
      <c r="B193" s="226"/>
      <c r="C193" s="226"/>
      <c r="D193" s="258" t="s">
        <v>497</v>
      </c>
      <c r="E193" s="258"/>
      <c r="F193" s="224" t="s">
        <v>1149</v>
      </c>
      <c r="G193" s="206"/>
      <c r="H193" s="225"/>
      <c r="I193" s="225"/>
      <c r="J193" s="200"/>
      <c r="K193" s="200"/>
      <c r="L193" s="200"/>
      <c r="M193" s="200"/>
      <c r="N193" s="200"/>
      <c r="O193" s="227"/>
      <c r="P193" s="227"/>
      <c r="Q193" s="227"/>
      <c r="R193" s="202"/>
      <c r="S193" s="228"/>
      <c r="T193" s="228"/>
      <c r="U193" s="228"/>
      <c r="V193" s="228"/>
      <c r="W193" s="287"/>
      <c r="X193" s="226"/>
      <c r="Y193" s="226"/>
      <c r="Z193" s="226"/>
      <c r="AA193" s="226"/>
      <c r="AB193" s="226"/>
      <c r="AC193" s="226"/>
      <c r="AD193" s="226"/>
      <c r="AE193" s="226"/>
      <c r="AF193" s="226"/>
    </row>
    <row r="194" spans="1:32">
      <c r="A194" s="169"/>
      <c r="B194" s="226"/>
      <c r="C194" s="226"/>
      <c r="D194" s="212" t="str">
        <f>"IND"&amp;RIGHT(H194,4)&amp;RIGHT(G194,3)&amp;"N"&amp;RIGHT(E194,1)</f>
        <v>INDWDLAELCN1</v>
      </c>
      <c r="E194" s="224" t="str">
        <f>"Industry "&amp;$AJ$12&amp;" "&amp;RIGHT(H194,2)&amp;" Electricity Light Appliance - New 1"</f>
        <v>Industry Wood products LA Electricity Light Appliance - New 1</v>
      </c>
      <c r="F194" s="224" t="s">
        <v>1149</v>
      </c>
      <c r="G194" s="225" t="s">
        <v>499</v>
      </c>
      <c r="H194" s="225" t="str">
        <f>AI16</f>
        <v>IWDLA</v>
      </c>
      <c r="I194" s="225"/>
      <c r="J194" s="81">
        <v>2011</v>
      </c>
      <c r="K194" s="81">
        <v>2011</v>
      </c>
      <c r="L194" s="256">
        <v>1</v>
      </c>
      <c r="M194" s="256"/>
      <c r="N194" s="256">
        <v>10</v>
      </c>
      <c r="O194" s="254"/>
      <c r="P194" s="254"/>
      <c r="Q194" s="254"/>
      <c r="R194" s="201"/>
      <c r="S194" s="275">
        <v>0.9</v>
      </c>
      <c r="T194" s="228"/>
      <c r="U194" s="228"/>
      <c r="V194" s="228"/>
      <c r="W194" s="287"/>
      <c r="X194" s="279"/>
      <c r="Y194" s="255"/>
      <c r="Z194" s="255"/>
      <c r="AA194" s="255"/>
      <c r="AB194" s="255"/>
      <c r="AC194" s="226"/>
      <c r="AD194" s="226"/>
      <c r="AE194" s="226"/>
      <c r="AF194" s="226"/>
    </row>
    <row r="195" spans="1:32">
      <c r="A195" s="169"/>
      <c r="B195" s="226"/>
      <c r="C195" s="226"/>
      <c r="F195" s="224" t="s">
        <v>1149</v>
      </c>
      <c r="G195" s="225"/>
      <c r="H195" s="226"/>
      <c r="I195" s="226"/>
      <c r="J195" s="256">
        <v>2020</v>
      </c>
      <c r="K195" s="256"/>
      <c r="L195" s="256"/>
      <c r="M195" s="256"/>
      <c r="N195" s="256"/>
      <c r="O195" s="254"/>
      <c r="P195" s="254"/>
      <c r="Q195" s="254"/>
      <c r="R195" s="201"/>
      <c r="S195" s="275"/>
      <c r="T195" s="228"/>
      <c r="U195" s="228"/>
      <c r="V195" s="228"/>
      <c r="W195" s="287"/>
      <c r="X195" s="279"/>
      <c r="Y195" s="255"/>
      <c r="Z195" s="255"/>
      <c r="AA195" s="255"/>
      <c r="AB195" s="255"/>
      <c r="AC195" s="226"/>
      <c r="AD195" s="226"/>
      <c r="AE195" s="226"/>
      <c r="AF195" s="226"/>
    </row>
    <row r="196" spans="1:32">
      <c r="A196" s="169"/>
      <c r="B196" s="226"/>
      <c r="C196" s="226"/>
      <c r="F196" s="224" t="s">
        <v>1149</v>
      </c>
      <c r="G196" s="225"/>
      <c r="H196" s="225"/>
      <c r="I196" s="225"/>
      <c r="J196" s="256">
        <v>2030</v>
      </c>
      <c r="K196" s="256"/>
      <c r="L196" s="256"/>
      <c r="M196" s="256"/>
      <c r="N196" s="256"/>
      <c r="O196" s="254"/>
      <c r="P196" s="254"/>
      <c r="Q196" s="254"/>
      <c r="R196" s="201"/>
      <c r="S196" s="275"/>
      <c r="T196" s="228"/>
      <c r="U196" s="228"/>
      <c r="V196" s="228"/>
      <c r="W196" s="287"/>
      <c r="X196" s="279"/>
      <c r="Y196" s="255"/>
      <c r="Z196" s="255"/>
      <c r="AA196" s="255"/>
      <c r="AB196" s="255"/>
    </row>
    <row r="197" spans="1:32">
      <c r="A197" s="169"/>
      <c r="B197" s="226"/>
      <c r="C197" s="226"/>
      <c r="F197" s="224" t="s">
        <v>1149</v>
      </c>
      <c r="G197" s="225"/>
      <c r="H197" s="225"/>
      <c r="I197" s="225"/>
      <c r="J197" s="256">
        <v>2050</v>
      </c>
      <c r="K197" s="256"/>
      <c r="L197" s="256"/>
      <c r="M197" s="256"/>
      <c r="N197" s="256"/>
      <c r="O197" s="254"/>
      <c r="P197" s="254"/>
      <c r="Q197" s="254"/>
      <c r="R197" s="201"/>
      <c r="S197" s="275"/>
      <c r="T197" s="228"/>
      <c r="U197" s="228"/>
      <c r="V197" s="228"/>
      <c r="W197" s="287"/>
      <c r="X197" s="279"/>
      <c r="Y197" s="255"/>
      <c r="Z197" s="255"/>
      <c r="AA197" s="255"/>
      <c r="AB197" s="255"/>
    </row>
    <row r="198" spans="1:32">
      <c r="A198" s="169"/>
      <c r="B198" s="226"/>
      <c r="C198" s="226"/>
      <c r="D198" s="212" t="str">
        <f>"IND"&amp;RIGHT(H198,4)&amp;RIGHT(G198,3)&amp;"N"&amp;RIGHT(E198,1)</f>
        <v>INDWDEMELCN1</v>
      </c>
      <c r="E198" s="224" t="str">
        <f>"Industry "&amp;$AJ$12&amp;" "&amp;RIGHT(H198,2)&amp;" Electricity Motors - New 1"</f>
        <v>Industry Wood products EM Electricity Motors - New 1</v>
      </c>
      <c r="F198" s="224" t="s">
        <v>1149</v>
      </c>
      <c r="G198" s="225" t="s">
        <v>499</v>
      </c>
      <c r="H198" s="225" t="str">
        <f>AI17</f>
        <v>IWDEM</v>
      </c>
      <c r="I198" s="225"/>
      <c r="J198" s="81">
        <v>2011</v>
      </c>
      <c r="K198" s="81">
        <v>2011</v>
      </c>
      <c r="L198" s="256">
        <v>1</v>
      </c>
      <c r="M198" s="256"/>
      <c r="N198" s="256">
        <v>10</v>
      </c>
      <c r="O198" s="254"/>
      <c r="P198" s="254"/>
      <c r="Q198" s="254"/>
      <c r="R198" s="201"/>
      <c r="S198" s="275">
        <v>0.9</v>
      </c>
      <c r="T198" s="228"/>
      <c r="U198" s="228"/>
      <c r="V198" s="228"/>
      <c r="W198" s="287"/>
      <c r="X198" s="279"/>
      <c r="Y198" s="255"/>
      <c r="Z198" s="255"/>
      <c r="AA198" s="255"/>
      <c r="AB198" s="255"/>
    </row>
    <row r="199" spans="1:32">
      <c r="A199" s="169"/>
      <c r="D199" s="170"/>
      <c r="E199" s="64"/>
      <c r="F199" s="224" t="s">
        <v>1149</v>
      </c>
      <c r="H199" s="173"/>
      <c r="I199" s="173"/>
      <c r="J199" s="256">
        <v>2020</v>
      </c>
      <c r="K199" s="257"/>
      <c r="L199" s="257"/>
      <c r="M199" s="257"/>
      <c r="N199" s="257"/>
      <c r="O199" s="61"/>
      <c r="P199" s="61"/>
      <c r="Q199" s="61"/>
      <c r="R199" s="61"/>
      <c r="S199" s="276"/>
      <c r="T199" s="55"/>
      <c r="U199" s="55"/>
      <c r="V199" s="55"/>
      <c r="W199" s="283"/>
      <c r="X199" s="278"/>
      <c r="Y199" s="61"/>
      <c r="Z199" s="61"/>
      <c r="AA199" s="61"/>
      <c r="AB199" s="61"/>
    </row>
    <row r="200" spans="1:32">
      <c r="A200" s="169"/>
      <c r="F200" s="224" t="s">
        <v>1149</v>
      </c>
      <c r="H200" s="173"/>
      <c r="I200" s="173"/>
      <c r="J200" s="256">
        <v>2030</v>
      </c>
      <c r="K200" s="257"/>
      <c r="L200" s="257"/>
      <c r="M200" s="257"/>
      <c r="N200" s="257"/>
      <c r="O200" s="61"/>
      <c r="P200" s="61"/>
      <c r="Q200" s="61"/>
      <c r="R200" s="61"/>
      <c r="S200" s="276"/>
      <c r="T200" s="55"/>
      <c r="U200" s="55"/>
      <c r="V200" s="55"/>
      <c r="W200" s="283"/>
      <c r="X200" s="278"/>
      <c r="Y200" s="61"/>
      <c r="Z200" s="61"/>
      <c r="AA200" s="61"/>
      <c r="AB200" s="61"/>
    </row>
    <row r="201" spans="1:32">
      <c r="A201" s="169"/>
      <c r="D201" s="203"/>
      <c r="E201" s="203"/>
      <c r="F201" s="224" t="s">
        <v>1149</v>
      </c>
      <c r="G201" s="203"/>
      <c r="H201" s="266"/>
      <c r="I201" s="266"/>
      <c r="J201" s="256">
        <v>2050</v>
      </c>
      <c r="K201" s="257"/>
      <c r="L201" s="257"/>
      <c r="M201" s="257"/>
      <c r="N201" s="257"/>
      <c r="O201" s="61"/>
      <c r="P201" s="61"/>
      <c r="Q201" s="61"/>
      <c r="R201" s="61"/>
      <c r="S201" s="276"/>
      <c r="T201" s="55"/>
      <c r="U201" s="55"/>
      <c r="V201" s="55"/>
      <c r="W201" s="283"/>
      <c r="X201" s="278"/>
      <c r="Y201" s="61"/>
      <c r="Z201" s="61"/>
      <c r="AA201" s="61"/>
      <c r="AB201" s="61"/>
    </row>
    <row r="202" spans="1:32">
      <c r="A202" s="169" t="s">
        <v>2057</v>
      </c>
      <c r="B202" s="224" t="s">
        <v>2064</v>
      </c>
      <c r="D202" s="212" t="str">
        <f>"IND"&amp;RIGHT(H202,4)&amp;"DSL"&amp;"N"&amp;RIGHT(E202,1)</f>
        <v>INDWDTFDSLN1</v>
      </c>
      <c r="E202" s="224" t="str">
        <f>"Industry "&amp;$AJ$12&amp;" "&amp;RIGHT(H202,2)&amp;" Tractors, Trucks, Fishing boats - New 1"</f>
        <v>Industry Wood products TF Tractors, Trucks, Fishing boats - New 1</v>
      </c>
      <c r="F202" s="224" t="s">
        <v>1149</v>
      </c>
      <c r="G202" s="173" t="s">
        <v>2081</v>
      </c>
      <c r="H202" s="174" t="str">
        <f>$AI$18</f>
        <v>IWDTF</v>
      </c>
      <c r="I202" s="174"/>
      <c r="J202" s="81">
        <v>2011</v>
      </c>
      <c r="K202" s="81">
        <v>2011</v>
      </c>
      <c r="L202" s="1127">
        <f>L203</f>
        <v>1</v>
      </c>
      <c r="M202" s="256"/>
      <c r="N202" s="256">
        <v>20</v>
      </c>
      <c r="O202" s="1127">
        <f>O203</f>
        <v>30.836264040545181</v>
      </c>
      <c r="P202" s="254"/>
      <c r="Q202" s="254"/>
      <c r="R202" s="1126">
        <v>1</v>
      </c>
      <c r="S202" s="1127">
        <v>1</v>
      </c>
      <c r="T202" s="228"/>
      <c r="U202" s="228"/>
      <c r="V202" s="228"/>
      <c r="W202" s="287"/>
      <c r="X202" s="55"/>
      <c r="Y202" s="55"/>
      <c r="Z202" s="55"/>
      <c r="AA202" s="55"/>
      <c r="AB202" s="55"/>
    </row>
    <row r="203" spans="1:32">
      <c r="A203" s="169" t="s">
        <v>2057</v>
      </c>
      <c r="B203" s="224" t="s">
        <v>2064</v>
      </c>
      <c r="D203" s="55"/>
      <c r="E203" s="55"/>
      <c r="F203" s="224" t="s">
        <v>1149</v>
      </c>
      <c r="G203" s="55"/>
      <c r="H203" s="174"/>
      <c r="I203" s="174"/>
      <c r="J203" s="256">
        <v>2017</v>
      </c>
      <c r="K203" s="256"/>
      <c r="L203" s="1127">
        <f>1/SUMIFS(Transport!$AS$13:$AS$264,Transport!$D$13:$D$264,$B203,Transport!$E$13:$E$264,$A203,Transport!$A$13:$A$264,$J203)</f>
        <v>1</v>
      </c>
      <c r="M203" s="256"/>
      <c r="N203" s="256"/>
      <c r="O203" s="1127">
        <f>SUMIFS(Transport!$AT$13:$AT$264,Transport!$D$13:$D$264,$B203,Transport!$E$13:$E$264,$A203,Transport!$A$13:$A$264,$J203)/1000*6.5</f>
        <v>30.836264040545181</v>
      </c>
      <c r="P203" s="254"/>
      <c r="Q203" s="254"/>
      <c r="R203" s="1126"/>
      <c r="S203" s="275"/>
      <c r="T203" s="228"/>
      <c r="U203" s="228"/>
      <c r="V203" s="228"/>
      <c r="W203" s="228"/>
      <c r="X203" s="55"/>
      <c r="Y203" s="55"/>
      <c r="Z203" s="55"/>
      <c r="AA203" s="55"/>
      <c r="AB203" s="55"/>
    </row>
    <row r="204" spans="1:32">
      <c r="A204" s="169" t="s">
        <v>2057</v>
      </c>
      <c r="B204" s="224" t="s">
        <v>2064</v>
      </c>
      <c r="D204" s="55"/>
      <c r="E204" s="55"/>
      <c r="F204" s="224" t="s">
        <v>1149</v>
      </c>
      <c r="G204" s="55"/>
      <c r="J204" s="256">
        <v>2030</v>
      </c>
      <c r="K204" s="256"/>
      <c r="L204" s="1127">
        <f>1/SUMIFS(Transport!$AS$13:$AS$264,Transport!$D$13:$D$264,$B204,Transport!$E$13:$E$264,$A204,Transport!$A$13:$A$264,$J204)</f>
        <v>1.4579105312754643</v>
      </c>
      <c r="M204" s="256"/>
      <c r="N204" s="256"/>
      <c r="O204" s="1127">
        <f>SUMIFS(Transport!$AT$13:$AT$264,Transport!$D$13:$D$264,$B204,Transport!$E$13:$E$264,$A204,Transport!$A$13:$A$264,$J204)/1000*6.5</f>
        <v>31.806294618979205</v>
      </c>
      <c r="P204" s="254"/>
      <c r="Q204" s="254"/>
      <c r="R204" s="1126"/>
      <c r="S204" s="275"/>
      <c r="T204" s="228"/>
      <c r="U204" s="228"/>
      <c r="V204" s="228"/>
      <c r="W204" s="228"/>
      <c r="X204" s="55"/>
      <c r="Y204" s="55"/>
      <c r="Z204" s="55"/>
      <c r="AA204" s="55"/>
      <c r="AB204" s="55"/>
    </row>
    <row r="205" spans="1:32">
      <c r="A205" s="169" t="s">
        <v>2057</v>
      </c>
      <c r="B205" s="224" t="s">
        <v>2064</v>
      </c>
      <c r="D205" s="55"/>
      <c r="E205" s="55"/>
      <c r="F205" s="224" t="s">
        <v>1149</v>
      </c>
      <c r="G205" s="55"/>
      <c r="J205" s="256">
        <v>2050</v>
      </c>
      <c r="K205" s="256"/>
      <c r="L205" s="1127">
        <f>1/SUMIFS(Transport!$AS$13:$AS$264,Transport!$D$13:$D$264,$B205,Transport!$E$13:$E$264,$A205,Transport!$A$13:$A$264,$J205)</f>
        <v>1.612189818950156</v>
      </c>
      <c r="M205" s="256"/>
      <c r="N205" s="256"/>
      <c r="O205" s="1127">
        <f>SUMIFS(Transport!$AT$13:$AT$264,Transport!$D$13:$D$264,$B205,Transport!$E$13:$E$264,$A205,Transport!$A$13:$A$264,$J205)/1000*6.5</f>
        <v>32.165108628526795</v>
      </c>
      <c r="P205" s="254"/>
      <c r="Q205" s="254"/>
      <c r="R205" s="1126"/>
      <c r="S205" s="275"/>
      <c r="T205" s="228"/>
      <c r="U205" s="228"/>
      <c r="V205" s="228"/>
      <c r="W205" s="228"/>
      <c r="X205" s="55"/>
      <c r="Y205" s="55"/>
      <c r="Z205" s="55"/>
      <c r="AA205" s="55"/>
      <c r="AB205" s="55"/>
    </row>
    <row r="206" spans="1:32">
      <c r="A206" s="169" t="s">
        <v>2062</v>
      </c>
      <c r="B206" s="224" t="s">
        <v>2064</v>
      </c>
      <c r="D206" s="212" t="str">
        <f>"IND"&amp;RIGHT(H206,4)&amp;"H2G"&amp;"N"&amp;RIGHT(E206,1)</f>
        <v>INDWDTFH2GN2</v>
      </c>
      <c r="E206" s="224" t="str">
        <f>"Industry "&amp;$AJ$12&amp;" "&amp;RIGHT(H206,2)&amp;" Tractors, Trucks, Fishing boats - New 2"</f>
        <v>Industry Wood products TF Tractors, Trucks, Fishing boats - New 2</v>
      </c>
      <c r="F206" s="224" t="s">
        <v>1149</v>
      </c>
      <c r="G206" s="55" t="s">
        <v>2077</v>
      </c>
      <c r="H206" s="174" t="str">
        <f>$AI$18</f>
        <v>IWDTF</v>
      </c>
      <c r="I206" s="174"/>
      <c r="J206" s="81">
        <v>2017</v>
      </c>
      <c r="K206" s="81">
        <v>2030</v>
      </c>
      <c r="L206" s="1127">
        <f>1/SUMIFS(Transport!$AS$13:$AS$264,Transport!$D$13:$D$264,$B206,Transport!$E$13:$E$264,$A206,Transport!$A$13:$A$264,$J206)</f>
        <v>1.6201914448931107</v>
      </c>
      <c r="M206" s="256"/>
      <c r="N206" s="256">
        <v>20</v>
      </c>
      <c r="O206" s="1127">
        <f>SUMIFS(Transport!$AT$13:$AT$264,Transport!$D$13:$D$264,$B206,Transport!$E$13:$E$264,$A206,Transport!$A$13:$A$264,$J206)/1000*6.5</f>
        <v>81.840656028484005</v>
      </c>
      <c r="P206" s="254"/>
      <c r="Q206" s="254"/>
      <c r="R206" s="1126">
        <v>1</v>
      </c>
      <c r="S206" s="1127">
        <v>1</v>
      </c>
      <c r="T206" s="228"/>
      <c r="U206" s="228"/>
      <c r="V206" s="228"/>
      <c r="W206" s="287"/>
      <c r="X206" s="55"/>
      <c r="Y206" s="55"/>
      <c r="Z206" s="55"/>
      <c r="AA206" s="55"/>
      <c r="AB206" s="55"/>
    </row>
    <row r="207" spans="1:32">
      <c r="A207" s="169" t="s">
        <v>2062</v>
      </c>
      <c r="B207" s="224" t="s">
        <v>2064</v>
      </c>
      <c r="D207" s="55"/>
      <c r="E207" s="55"/>
      <c r="F207" s="224" t="s">
        <v>1149</v>
      </c>
      <c r="G207" s="55"/>
      <c r="H207" s="174"/>
      <c r="I207" s="174"/>
      <c r="J207" s="256">
        <v>2017</v>
      </c>
      <c r="K207" s="256"/>
      <c r="L207" s="1127">
        <f>1/SUMIFS(Transport!$AS$13:$AS$264,Transport!$D$13:$D$264,$B207,Transport!$E$13:$E$264,$A207,Transport!$A$13:$A$264,$J207)</f>
        <v>1.6201914448931107</v>
      </c>
      <c r="M207" s="256"/>
      <c r="N207" s="256"/>
      <c r="O207" s="1127">
        <f>SUMIFS(Transport!$AT$13:$AT$264,Transport!$D$13:$D$264,$B207,Transport!$E$13:$E$264,$A207,Transport!$A$13:$A$264,$J207)/1000*6.5</f>
        <v>81.840656028484005</v>
      </c>
      <c r="P207" s="254"/>
      <c r="Q207" s="254"/>
      <c r="R207" s="1126"/>
      <c r="S207" s="275"/>
      <c r="T207" s="228"/>
      <c r="U207" s="228"/>
      <c r="V207" s="228"/>
      <c r="W207" s="228"/>
      <c r="X207" s="55"/>
      <c r="Y207" s="55"/>
      <c r="Z207" s="55"/>
      <c r="AA207" s="55"/>
      <c r="AB207" s="55"/>
    </row>
    <row r="208" spans="1:32">
      <c r="A208" s="169" t="s">
        <v>2062</v>
      </c>
      <c r="B208" s="224" t="s">
        <v>2064</v>
      </c>
      <c r="D208" s="55"/>
      <c r="E208" s="55"/>
      <c r="F208" s="224" t="s">
        <v>1149</v>
      </c>
      <c r="G208" s="55"/>
      <c r="J208" s="256">
        <v>2030</v>
      </c>
      <c r="K208" s="256"/>
      <c r="L208" s="1127">
        <f>1/SUMIFS(Transport!$AS$13:$AS$264,Transport!$D$13:$D$264,$B208,Transport!$E$13:$E$264,$A208,Transport!$A$13:$A$264,$J208)</f>
        <v>2.4143776559781225</v>
      </c>
      <c r="M208" s="256"/>
      <c r="N208" s="256"/>
      <c r="O208" s="1127">
        <f>SUMIFS(Transport!$AT$13:$AT$264,Transport!$D$13:$D$264,$B208,Transport!$E$13:$E$264,$A208,Transport!$A$13:$A$264,$J208)/1000*6.5</f>
        <v>34.253254247071318</v>
      </c>
      <c r="P208" s="254"/>
      <c r="Q208" s="254"/>
      <c r="R208" s="1126"/>
      <c r="S208" s="275"/>
      <c r="T208" s="228"/>
      <c r="U208" s="228"/>
      <c r="V208" s="228"/>
      <c r="W208" s="228"/>
      <c r="X208" s="55"/>
      <c r="Y208" s="55"/>
      <c r="Z208" s="55"/>
      <c r="AA208" s="55"/>
      <c r="AB208" s="55"/>
    </row>
    <row r="209" spans="1:28">
      <c r="A209" s="169" t="s">
        <v>2062</v>
      </c>
      <c r="B209" s="224" t="s">
        <v>2064</v>
      </c>
      <c r="D209" s="55"/>
      <c r="E209" s="55"/>
      <c r="F209" s="224" t="s">
        <v>1149</v>
      </c>
      <c r="G209" s="55"/>
      <c r="J209" s="256">
        <v>2050</v>
      </c>
      <c r="K209" s="256"/>
      <c r="L209" s="1127">
        <f>1/SUMIFS(Transport!$AS$13:$AS$264,Transport!$D$13:$D$264,$B209,Transport!$E$13:$E$264,$A209,Transport!$A$13:$A$264,$J209)</f>
        <v>2.9956358502626648</v>
      </c>
      <c r="M209" s="256"/>
      <c r="N209" s="256"/>
      <c r="O209" s="1127">
        <f>SUMIFS(Transport!$AT$13:$AT$264,Transport!$D$13:$D$264,$B209,Transport!$E$13:$E$264,$A209,Transport!$A$13:$A$264,$J209)/1000*6.5</f>
        <v>28.800352543800432</v>
      </c>
      <c r="P209" s="254"/>
      <c r="Q209" s="254"/>
      <c r="R209" s="1126"/>
      <c r="S209" s="275"/>
      <c r="T209" s="228"/>
      <c r="U209" s="228"/>
      <c r="V209" s="228"/>
      <c r="W209" s="228"/>
      <c r="X209" s="55"/>
      <c r="Y209" s="55"/>
      <c r="Z209" s="55"/>
      <c r="AA209" s="55"/>
      <c r="AB209" s="55"/>
    </row>
    <row r="210" spans="1:28">
      <c r="A210" s="169" t="s">
        <v>2061</v>
      </c>
      <c r="B210" s="224" t="s">
        <v>2064</v>
      </c>
      <c r="D210" s="212" t="str">
        <f>"IND"&amp;RIGHT(H210,4)&amp;"ELC"&amp;"N"&amp;RIGHT(E210,1)</f>
        <v>INDWDTFELCN3</v>
      </c>
      <c r="E210" s="224" t="str">
        <f>"Industry "&amp;$AJ$12&amp;" "&amp;RIGHT(H210,2)&amp;" Tractors, Trucks, Fishing boats - New 3"</f>
        <v>Industry Wood products TF Tractors, Trucks, Fishing boats - New 3</v>
      </c>
      <c r="F210" s="224" t="s">
        <v>1149</v>
      </c>
      <c r="G210" s="55" t="s">
        <v>499</v>
      </c>
      <c r="H210" s="174" t="str">
        <f>$AI$18</f>
        <v>IWDTF</v>
      </c>
      <c r="I210" s="174"/>
      <c r="J210" s="81">
        <v>2017</v>
      </c>
      <c r="K210" s="81">
        <v>2025</v>
      </c>
      <c r="L210" s="1127">
        <f>1/SUMIFS(Transport!$AS$13:$AS$264,Transport!$D$13:$D$264,$B210,Transport!$E$13:$E$264,$A210,Transport!$A$13:$A$264,$J210)</f>
        <v>3.2991956437648962</v>
      </c>
      <c r="M210" s="256"/>
      <c r="N210" s="256">
        <v>20</v>
      </c>
      <c r="O210" s="1127">
        <f>SUMIFS(Transport!$AT$13:$AT$264,Transport!$D$13:$D$264,$B210,Transport!$E$13:$E$264,$A210,Transport!$A$13:$A$264,$J210)/1000*6.5</f>
        <v>72.592990417868862</v>
      </c>
      <c r="P210" s="254"/>
      <c r="Q210" s="254"/>
      <c r="R210" s="1126">
        <v>1</v>
      </c>
      <c r="S210" s="1127">
        <v>1</v>
      </c>
      <c r="T210" s="228"/>
      <c r="U210" s="228"/>
      <c r="V210" s="228"/>
      <c r="W210" s="287"/>
      <c r="X210" s="55"/>
      <c r="Y210" s="55"/>
      <c r="Z210" s="55"/>
      <c r="AA210" s="55"/>
      <c r="AB210" s="55"/>
    </row>
    <row r="211" spans="1:28">
      <c r="A211" s="169" t="s">
        <v>2061</v>
      </c>
      <c r="B211" s="224" t="s">
        <v>2064</v>
      </c>
      <c r="D211" s="55"/>
      <c r="E211" s="55"/>
      <c r="F211" s="224" t="s">
        <v>1149</v>
      </c>
      <c r="G211" s="55"/>
      <c r="H211" s="174"/>
      <c r="I211" s="174"/>
      <c r="J211" s="256">
        <v>2017</v>
      </c>
      <c r="K211" s="256"/>
      <c r="L211" s="1127">
        <f>1/SUMIFS(Transport!$AS$13:$AS$264,Transport!$D$13:$D$264,$B211,Transport!$E$13:$E$264,$A211,Transport!$A$13:$A$264,$J211)</f>
        <v>3.2991956437648962</v>
      </c>
      <c r="M211" s="256"/>
      <c r="N211" s="256"/>
      <c r="O211" s="1127">
        <f>SUMIFS(Transport!$AT$13:$AT$264,Transport!$D$13:$D$264,$B211,Transport!$E$13:$E$264,$A211,Transport!$A$13:$A$264,$J211)/1000*6.5</f>
        <v>72.592990417868862</v>
      </c>
      <c r="P211" s="254"/>
      <c r="Q211" s="254"/>
      <c r="R211" s="201"/>
      <c r="S211" s="275"/>
      <c r="T211" s="228"/>
      <c r="U211" s="228"/>
      <c r="V211" s="228"/>
      <c r="W211" s="228"/>
      <c r="X211" s="55"/>
      <c r="Y211" s="55"/>
      <c r="Z211" s="55"/>
      <c r="AA211" s="55"/>
      <c r="AB211" s="55"/>
    </row>
    <row r="212" spans="1:28">
      <c r="A212" s="169" t="s">
        <v>2061</v>
      </c>
      <c r="B212" s="224" t="s">
        <v>2064</v>
      </c>
      <c r="D212" s="55"/>
      <c r="E212" s="55"/>
      <c r="F212" s="224" t="s">
        <v>1149</v>
      </c>
      <c r="G212" s="55"/>
      <c r="J212" s="256">
        <v>2030</v>
      </c>
      <c r="K212" s="256"/>
      <c r="L212" s="1127">
        <f>1/SUMIFS(Transport!$AS$13:$AS$264,Transport!$D$13:$D$264,$B212,Transport!$E$13:$E$264,$A212,Transport!$A$13:$A$264,$J212)</f>
        <v>3.2991956437648962</v>
      </c>
      <c r="M212" s="256"/>
      <c r="N212" s="256"/>
      <c r="O212" s="1127">
        <f>SUMIFS(Transport!$AT$13:$AT$264,Transport!$D$13:$D$264,$B212,Transport!$E$13:$E$264,$A212,Transport!$A$13:$A$264,$J212)/1000*6.5</f>
        <v>35.973025982850046</v>
      </c>
      <c r="P212" s="254"/>
      <c r="Q212" s="254"/>
      <c r="R212" s="201"/>
      <c r="S212" s="275"/>
      <c r="T212" s="228"/>
      <c r="U212" s="228"/>
      <c r="V212" s="228"/>
      <c r="W212" s="228"/>
      <c r="X212" s="55"/>
      <c r="Y212" s="55"/>
      <c r="Z212" s="55"/>
      <c r="AA212" s="55"/>
      <c r="AB212" s="55"/>
    </row>
    <row r="213" spans="1:28">
      <c r="A213" s="169" t="s">
        <v>2061</v>
      </c>
      <c r="B213" s="224" t="s">
        <v>2064</v>
      </c>
      <c r="D213" s="55"/>
      <c r="E213" s="55"/>
      <c r="F213" s="224" t="s">
        <v>1149</v>
      </c>
      <c r="G213" s="55"/>
      <c r="J213" s="256">
        <v>2050</v>
      </c>
      <c r="K213" s="256"/>
      <c r="L213" s="1127">
        <f>1/SUMIFS(Transport!$AS$13:$AS$264,Transport!$D$13:$D$264,$B213,Transport!$E$13:$E$264,$A213,Transport!$A$13:$A$264,$J213)</f>
        <v>3.2991956437648962</v>
      </c>
      <c r="M213" s="256"/>
      <c r="N213" s="256"/>
      <c r="O213" s="1127">
        <f>SUMIFS(Transport!$AT$13:$AT$264,Transport!$D$13:$D$264,$B213,Transport!$E$13:$E$264,$A213,Transport!$A$13:$A$264,$J213)/1000*6.5</f>
        <v>28.759134300809922</v>
      </c>
      <c r="P213" s="254"/>
      <c r="Q213" s="254"/>
      <c r="R213" s="201"/>
      <c r="S213" s="275"/>
      <c r="T213" s="228"/>
      <c r="U213" s="228"/>
      <c r="V213" s="228"/>
      <c r="W213" s="228"/>
      <c r="X213" s="55"/>
      <c r="Y213" s="55"/>
      <c r="Z213" s="55"/>
      <c r="AA213" s="55"/>
      <c r="AB213" s="55"/>
    </row>
    <row r="214" spans="1:28">
      <c r="A214" s="169"/>
      <c r="D214" s="212" t="str">
        <f>"IND"&amp;RIGHT(H214,4)&amp;RIGHT(G214,3)&amp;"N"&amp;RIGHT(E214,1)</f>
        <v>INDWDFLELCN1</v>
      </c>
      <c r="E214" s="224" t="str">
        <f>"Industry "&amp;$AJ$12&amp;" "&amp;RIGHT(H202,2)&amp;" Forklifts - New 1"</f>
        <v>Industry Wood products TF Forklifts - New 1</v>
      </c>
      <c r="F214" s="224" t="s">
        <v>1149</v>
      </c>
      <c r="G214" s="173" t="s">
        <v>2128</v>
      </c>
      <c r="H214" s="224" t="str">
        <f>AI19</f>
        <v>IWDFL</v>
      </c>
      <c r="J214" s="81">
        <v>2011</v>
      </c>
      <c r="K214" s="81">
        <v>2011</v>
      </c>
      <c r="L214" s="256">
        <v>1</v>
      </c>
      <c r="M214" s="256"/>
      <c r="N214" s="256">
        <v>10</v>
      </c>
      <c r="O214" s="254"/>
      <c r="P214" s="254"/>
      <c r="Q214" s="254"/>
      <c r="R214" s="201"/>
      <c r="S214" s="275">
        <v>0.9</v>
      </c>
      <c r="T214" s="228"/>
      <c r="U214" s="228"/>
      <c r="V214" s="228"/>
      <c r="W214" s="228"/>
      <c r="X214" s="55"/>
      <c r="Y214" s="55"/>
      <c r="Z214" s="55"/>
      <c r="AA214" s="55"/>
      <c r="AB214" s="55"/>
    </row>
    <row r="215" spans="1:28">
      <c r="A215" s="169"/>
      <c r="D215" s="55"/>
      <c r="E215" s="55"/>
      <c r="F215" s="224" t="s">
        <v>1149</v>
      </c>
      <c r="G215" s="55"/>
      <c r="H215" s="174"/>
      <c r="I215" s="174"/>
      <c r="J215" s="256">
        <v>2020</v>
      </c>
      <c r="K215" s="256"/>
      <c r="L215" s="256"/>
      <c r="M215" s="256"/>
      <c r="N215" s="257"/>
      <c r="O215" s="61"/>
      <c r="P215" s="61"/>
      <c r="Q215" s="61"/>
      <c r="R215" s="61"/>
      <c r="S215" s="276"/>
      <c r="T215" s="55"/>
      <c r="U215" s="55"/>
      <c r="V215" s="55"/>
      <c r="W215" s="55"/>
      <c r="X215" s="55"/>
      <c r="Y215" s="55"/>
      <c r="Z215" s="55"/>
      <c r="AA215" s="55"/>
      <c r="AB215" s="55"/>
    </row>
    <row r="216" spans="1:28">
      <c r="A216" s="169"/>
      <c r="D216" s="55"/>
      <c r="E216" s="55"/>
      <c r="F216" s="224" t="s">
        <v>1149</v>
      </c>
      <c r="G216" s="55"/>
      <c r="J216" s="256">
        <v>2030</v>
      </c>
      <c r="K216" s="256"/>
      <c r="L216" s="256"/>
      <c r="M216" s="256"/>
      <c r="N216" s="257"/>
      <c r="O216" s="61"/>
      <c r="P216" s="61"/>
      <c r="Q216" s="61"/>
      <c r="R216" s="61"/>
      <c r="S216" s="276"/>
      <c r="T216" s="55"/>
      <c r="U216" s="55"/>
      <c r="V216" s="55"/>
      <c r="W216" s="55"/>
      <c r="X216" s="55"/>
      <c r="Y216" s="55"/>
      <c r="Z216" s="55"/>
      <c r="AA216" s="55"/>
      <c r="AB216" s="55"/>
    </row>
    <row r="217" spans="1:28">
      <c r="A217" s="169"/>
      <c r="D217" s="55"/>
      <c r="E217" s="55"/>
      <c r="F217" s="224" t="s">
        <v>1149</v>
      </c>
      <c r="G217" s="55"/>
      <c r="H217" s="174"/>
      <c r="I217" s="174"/>
      <c r="J217" s="256">
        <v>2050</v>
      </c>
      <c r="K217" s="256"/>
      <c r="L217" s="256"/>
      <c r="M217" s="256"/>
      <c r="N217" s="257"/>
      <c r="O217" s="61"/>
      <c r="P217" s="61"/>
      <c r="Q217" s="61"/>
      <c r="R217" s="61"/>
      <c r="S217" s="276"/>
      <c r="T217" s="55"/>
      <c r="U217" s="55"/>
      <c r="V217" s="55"/>
      <c r="W217" s="55"/>
      <c r="X217" s="55"/>
      <c r="Y217" s="55"/>
      <c r="Z217" s="55"/>
      <c r="AA217" s="55"/>
      <c r="AB217" s="55"/>
    </row>
    <row r="218" spans="1:28">
      <c r="A218" s="169" t="s">
        <v>2107</v>
      </c>
      <c r="D218" s="212" t="str">
        <f>"IND"&amp;RIGHT(H218,4)&amp;RIGHT(G218,3)&amp;"N"&amp;RIGHT(E218,1)</f>
        <v>INDWDCOELCN1</v>
      </c>
      <c r="E218" s="224" t="str">
        <f>"Industry "&amp;$AJ$12&amp;" "&amp;RIGHT(H218,2)&amp;" Cooling - New 1"</f>
        <v>Industry Wood products CO Cooling - New 1</v>
      </c>
      <c r="F218" s="224" t="s">
        <v>1149</v>
      </c>
      <c r="G218" s="173" t="s">
        <v>499</v>
      </c>
      <c r="H218" s="224" t="str">
        <f>AI21</f>
        <v>IWDCO</v>
      </c>
      <c r="J218" s="82">
        <v>2015</v>
      </c>
      <c r="K218" s="82">
        <v>2015</v>
      </c>
      <c r="L218" s="1128">
        <v>1</v>
      </c>
      <c r="M218" s="1129"/>
      <c r="N218" s="1129">
        <v>12</v>
      </c>
      <c r="O218" s="1130">
        <v>3.3525</v>
      </c>
      <c r="P218" s="1131">
        <v>0.31662500000000005</v>
      </c>
      <c r="Q218" s="1131"/>
      <c r="R218" s="1132">
        <v>3.1536000000000002E-2</v>
      </c>
      <c r="S218" s="1133">
        <v>8.3999999999999991E-2</v>
      </c>
    </row>
    <row r="219" spans="1:28">
      <c r="A219" s="169"/>
      <c r="F219" s="224" t="s">
        <v>1149</v>
      </c>
      <c r="H219" s="173"/>
      <c r="I219" s="173"/>
      <c r="J219" s="1129">
        <v>2020</v>
      </c>
      <c r="K219" s="1129"/>
      <c r="L219" s="1128">
        <v>1</v>
      </c>
      <c r="M219" s="1129"/>
      <c r="N219" s="257">
        <v>12</v>
      </c>
      <c r="O219" s="61">
        <v>3.1662499999999998</v>
      </c>
      <c r="P219" s="61">
        <v>0.30110722454958749</v>
      </c>
      <c r="Q219" s="61"/>
      <c r="R219" s="61">
        <v>3.1536000000000002E-2</v>
      </c>
      <c r="S219" s="276">
        <v>8.3999999999999991E-2</v>
      </c>
    </row>
    <row r="220" spans="1:28">
      <c r="A220" s="169"/>
      <c r="F220" s="224" t="s">
        <v>1149</v>
      </c>
      <c r="J220" s="1129">
        <v>2030</v>
      </c>
      <c r="K220" s="1129"/>
      <c r="L220" s="1128">
        <v>1</v>
      </c>
      <c r="M220" s="1129"/>
      <c r="N220" s="257">
        <v>12</v>
      </c>
      <c r="O220" s="61">
        <v>3.1662499999999998</v>
      </c>
      <c r="P220" s="61">
        <v>0.30110722454958749</v>
      </c>
      <c r="Q220" s="61"/>
      <c r="R220" s="61">
        <v>3.1536000000000002E-2</v>
      </c>
      <c r="S220" s="276">
        <v>8.3999999999999991E-2</v>
      </c>
    </row>
    <row r="221" spans="1:28">
      <c r="A221" s="169"/>
      <c r="F221" s="224" t="s">
        <v>1149</v>
      </c>
      <c r="H221" s="173"/>
      <c r="I221" s="173"/>
      <c r="J221" s="1129">
        <v>2050</v>
      </c>
      <c r="K221" s="1129"/>
      <c r="L221" s="1128">
        <v>1</v>
      </c>
      <c r="M221" s="1129"/>
      <c r="N221" s="257">
        <v>12</v>
      </c>
      <c r="O221" s="61">
        <v>3.1662499999999998</v>
      </c>
      <c r="P221" s="61">
        <v>0.30110722454958749</v>
      </c>
      <c r="Q221" s="61"/>
      <c r="R221" s="61">
        <v>3.1536000000000002E-2</v>
      </c>
      <c r="S221" s="276">
        <v>8.3999999999999991E-2</v>
      </c>
    </row>
    <row r="222" spans="1:28">
      <c r="A222" s="169"/>
    </row>
    <row r="223" spans="1:28">
      <c r="A223" s="169"/>
    </row>
    <row r="224" spans="1:28">
      <c r="A224" s="169"/>
    </row>
    <row r="225" spans="1:10">
      <c r="A225" s="169"/>
    </row>
    <row r="226" spans="1:10">
      <c r="A226" s="169"/>
      <c r="C226" s="207" t="s">
        <v>467</v>
      </c>
      <c r="D226" s="208"/>
      <c r="E226" s="208"/>
      <c r="F226" s="208"/>
      <c r="G226" s="208"/>
      <c r="H226" s="208"/>
      <c r="I226" s="208"/>
      <c r="J226" s="208"/>
    </row>
    <row r="227" spans="1:10">
      <c r="A227" s="169"/>
      <c r="C227" s="209" t="s">
        <v>466</v>
      </c>
      <c r="D227" s="209" t="s">
        <v>425</v>
      </c>
      <c r="E227" s="209" t="s">
        <v>465</v>
      </c>
      <c r="F227" s="209" t="s">
        <v>464</v>
      </c>
      <c r="G227" s="209" t="s">
        <v>463</v>
      </c>
      <c r="H227" s="209" t="s">
        <v>462</v>
      </c>
      <c r="I227" s="209" t="s">
        <v>461</v>
      </c>
      <c r="J227" s="209" t="s">
        <v>460</v>
      </c>
    </row>
    <row r="228" spans="1:10" ht="25" thickBot="1">
      <c r="A228" s="169"/>
      <c r="C228" s="210" t="s">
        <v>459</v>
      </c>
      <c r="D228" s="210" t="s">
        <v>458</v>
      </c>
      <c r="E228" s="210" t="s">
        <v>457</v>
      </c>
      <c r="F228" s="210" t="s">
        <v>456</v>
      </c>
      <c r="G228" s="210" t="s">
        <v>455</v>
      </c>
      <c r="H228" s="210" t="s">
        <v>454</v>
      </c>
      <c r="I228" s="210" t="s">
        <v>453</v>
      </c>
      <c r="J228" s="210" t="s">
        <v>452</v>
      </c>
    </row>
    <row r="229" spans="1:10">
      <c r="A229" s="169"/>
      <c r="C229" s="211" t="s">
        <v>504</v>
      </c>
      <c r="D229" s="212" t="str">
        <f>D9</f>
        <v>INDWDPHELCN1</v>
      </c>
      <c r="E229" s="212" t="str">
        <f t="shared" ref="E229:E260" si="266">VLOOKUP(D229,$D$9:$E$222,2,FALSE)</f>
        <v>Industrial heating technology Wood products PH - Heat pump utilizing waste heat - new 1</v>
      </c>
      <c r="F229" s="211" t="s">
        <v>450</v>
      </c>
      <c r="G229" s="211" t="s">
        <v>449</v>
      </c>
      <c r="H229" s="263" t="s">
        <v>620</v>
      </c>
      <c r="I229" s="301"/>
      <c r="J229" s="208" t="s">
        <v>469</v>
      </c>
    </row>
    <row r="230" spans="1:10">
      <c r="A230" s="169"/>
      <c r="B230" s="301"/>
      <c r="C230" s="301"/>
      <c r="D230" s="212" t="str">
        <f t="shared" ref="D230:D238" ca="1" si="267">OFFSET($D$9,(ROW(D1)*6),0)</f>
        <v>INDWDSHELCN1</v>
      </c>
      <c r="E230" s="212" t="str">
        <f t="shared" ca="1" si="266"/>
        <v>Industrial heating technology Wood products SH - Heat pump utilizing waste heat - new 1</v>
      </c>
      <c r="F230" s="262" t="s">
        <v>450</v>
      </c>
      <c r="G230" s="262" t="s">
        <v>449</v>
      </c>
      <c r="H230" s="263" t="s">
        <v>620</v>
      </c>
      <c r="I230" s="301"/>
      <c r="J230" s="264" t="s">
        <v>469</v>
      </c>
    </row>
    <row r="231" spans="1:10">
      <c r="A231" s="169"/>
      <c r="D231" s="212" t="str">
        <f t="shared" ca="1" si="267"/>
        <v>INDWDPHELCN2</v>
      </c>
      <c r="E231" s="212" t="str">
        <f t="shared" ca="1" si="266"/>
        <v>Industrial heating technology Wood products PH - Heat driven heat pump utilizing waste heat - new 2</v>
      </c>
      <c r="F231" s="211" t="s">
        <v>450</v>
      </c>
      <c r="G231" s="211" t="s">
        <v>449</v>
      </c>
      <c r="H231" s="263" t="s">
        <v>620</v>
      </c>
      <c r="I231" s="208"/>
      <c r="J231" s="264" t="s">
        <v>469</v>
      </c>
    </row>
    <row r="232" spans="1:10">
      <c r="A232" s="169"/>
      <c r="B232" s="211"/>
      <c r="C232" s="211"/>
      <c r="D232" s="212" t="str">
        <f t="shared" ca="1" si="267"/>
        <v>INDWDSHELCN2</v>
      </c>
      <c r="E232" s="212" t="str">
        <f t="shared" ca="1" si="266"/>
        <v>Industrial heating technology Wood products SH - Heat driven heat pump utilizing waste heat - new 2</v>
      </c>
      <c r="F232" s="262" t="s">
        <v>450</v>
      </c>
      <c r="G232" s="262" t="s">
        <v>449</v>
      </c>
      <c r="H232" s="263" t="s">
        <v>620</v>
      </c>
      <c r="I232" s="264"/>
      <c r="J232" s="264" t="s">
        <v>469</v>
      </c>
    </row>
    <row r="233" spans="1:10">
      <c r="A233" s="169"/>
      <c r="B233" s="211"/>
      <c r="C233" s="211"/>
      <c r="D233" s="212" t="str">
        <f t="shared" ca="1" si="267"/>
        <v>INDWDPHELCN3</v>
      </c>
      <c r="E233" s="212" t="str">
        <f t="shared" ca="1" si="266"/>
        <v>Industrial heating technology Wood products PH - High Temp abs. Heat pump utilizing waste heat - new 3</v>
      </c>
      <c r="F233" s="262" t="s">
        <v>450</v>
      </c>
      <c r="G233" s="262" t="s">
        <v>449</v>
      </c>
      <c r="H233" s="263" t="s">
        <v>620</v>
      </c>
      <c r="I233" s="264"/>
      <c r="J233" s="264" t="s">
        <v>469</v>
      </c>
    </row>
    <row r="234" spans="1:10">
      <c r="A234" s="169"/>
      <c r="B234" s="211"/>
      <c r="C234" s="211"/>
      <c r="D234" s="212" t="str">
        <f t="shared" ca="1" si="267"/>
        <v>INDWDSHELCN3</v>
      </c>
      <c r="E234" s="212" t="str">
        <f t="shared" ca="1" si="266"/>
        <v>Industrial heating technology Wood products SH - High Temp abs. Heat pump utilizing waste heat - new 3</v>
      </c>
      <c r="F234" s="262" t="s">
        <v>450</v>
      </c>
      <c r="G234" s="262" t="s">
        <v>449</v>
      </c>
      <c r="H234" s="263" t="s">
        <v>620</v>
      </c>
      <c r="I234" s="264"/>
      <c r="J234" s="264" t="s">
        <v>469</v>
      </c>
    </row>
    <row r="235" spans="1:10">
      <c r="A235" s="169"/>
      <c r="B235" s="211"/>
      <c r="C235" s="211"/>
      <c r="D235" s="212" t="str">
        <f t="shared" ca="1" si="267"/>
        <v>INDWDPHELCN4</v>
      </c>
      <c r="E235" s="212" t="str">
        <f t="shared" ca="1" si="266"/>
        <v>Industrial heating technology Wood products PH - Booster Heat pump utilizing waste heat - new 4</v>
      </c>
      <c r="F235" s="262" t="s">
        <v>450</v>
      </c>
      <c r="G235" s="262" t="s">
        <v>449</v>
      </c>
      <c r="H235" s="263" t="s">
        <v>620</v>
      </c>
      <c r="I235" s="264"/>
      <c r="J235" s="264" t="s">
        <v>469</v>
      </c>
    </row>
    <row r="236" spans="1:10">
      <c r="A236" s="169"/>
      <c r="B236" s="211"/>
      <c r="C236" s="211"/>
      <c r="D236" s="212" t="str">
        <f t="shared" ca="1" si="267"/>
        <v>INDWDSHELCN4</v>
      </c>
      <c r="E236" s="212" t="str">
        <f t="shared" ca="1" si="266"/>
        <v>Industrial heating technology Wood products SH - Booster Heat pump utilizing waste heat - new 4</v>
      </c>
      <c r="F236" s="262" t="s">
        <v>450</v>
      </c>
      <c r="G236" s="262" t="s">
        <v>449</v>
      </c>
      <c r="H236" s="263" t="s">
        <v>620</v>
      </c>
      <c r="I236" s="264"/>
      <c r="J236" s="264" t="s">
        <v>469</v>
      </c>
    </row>
    <row r="237" spans="1:10">
      <c r="A237" s="169"/>
      <c r="B237" s="211"/>
      <c r="C237" s="211"/>
      <c r="D237" s="212" t="str">
        <f t="shared" ca="1" si="267"/>
        <v>INDWDPHELCN5</v>
      </c>
      <c r="E237" s="212" t="str">
        <f t="shared" ca="1" si="266"/>
        <v>Industrial heating technology Wood products PH - MVR utilizing waste heat - new 5</v>
      </c>
      <c r="F237" s="262" t="s">
        <v>450</v>
      </c>
      <c r="G237" s="262" t="s">
        <v>449</v>
      </c>
      <c r="H237" s="263"/>
      <c r="I237" s="264"/>
      <c r="J237" s="264" t="s">
        <v>469</v>
      </c>
    </row>
    <row r="238" spans="1:10">
      <c r="A238" s="169"/>
      <c r="B238" s="211"/>
      <c r="C238" s="211"/>
      <c r="D238" s="212" t="str">
        <f t="shared" ca="1" si="267"/>
        <v>INDWDPHWSTN1</v>
      </c>
      <c r="E238" s="212" t="str">
        <f t="shared" ca="1" si="266"/>
        <v>Industrial heating technology Wood products PH - Hotdisc - new 1</v>
      </c>
      <c r="F238" s="262" t="s">
        <v>450</v>
      </c>
      <c r="G238" s="262" t="s">
        <v>449</v>
      </c>
      <c r="H238" s="263" t="s">
        <v>620</v>
      </c>
      <c r="I238" s="264"/>
      <c r="J238" s="264" t="s">
        <v>469</v>
      </c>
    </row>
    <row r="239" spans="1:10">
      <c r="A239" s="169"/>
      <c r="B239" s="211"/>
      <c r="C239" s="211"/>
      <c r="D239" s="212" t="str">
        <f t="shared" ref="D239:D278" ca="1" si="268">OFFSET($D$9,(ROW(D19)*3),0)</f>
        <v>INDWDPHELCN6</v>
      </c>
      <c r="E239" s="212" t="str">
        <f t="shared" ca="1" si="266"/>
        <v>Industrial heating technology Wood products PH - Dielectric heating - new 6</v>
      </c>
      <c r="F239" s="262" t="s">
        <v>450</v>
      </c>
      <c r="G239" s="262" t="s">
        <v>449</v>
      </c>
      <c r="H239" s="263" t="s">
        <v>620</v>
      </c>
      <c r="I239" s="264"/>
      <c r="J239" s="264" t="s">
        <v>469</v>
      </c>
    </row>
    <row r="240" spans="1:10">
      <c r="A240" s="169"/>
      <c r="B240" s="211"/>
      <c r="C240" s="211"/>
      <c r="D240" s="212" t="str">
        <f t="shared" ca="1" si="268"/>
        <v>INDWDPHELCN7</v>
      </c>
      <c r="E240" s="212" t="str">
        <f t="shared" ca="1" si="266"/>
        <v>Industrial heating technology Wood products PH - Infrared heating - new 7</v>
      </c>
      <c r="F240" s="262" t="s">
        <v>450</v>
      </c>
      <c r="G240" s="262" t="s">
        <v>449</v>
      </c>
      <c r="H240" s="263" t="s">
        <v>620</v>
      </c>
      <c r="I240" s="264"/>
      <c r="J240" s="264" t="s">
        <v>469</v>
      </c>
    </row>
    <row r="241" spans="1:16">
      <c r="A241" s="169"/>
      <c r="B241" s="211"/>
      <c r="C241" s="211"/>
      <c r="D241" s="212" t="str">
        <f t="shared" ca="1" si="268"/>
        <v>INDWDPHELCN8</v>
      </c>
      <c r="E241" s="212" t="str">
        <f t="shared" ca="1" si="266"/>
        <v>Industrial heating technology Wood products PH - Electric boiler (Steam) - new 8</v>
      </c>
      <c r="F241" s="262" t="s">
        <v>450</v>
      </c>
      <c r="G241" s="262" t="s">
        <v>449</v>
      </c>
      <c r="H241" s="263" t="s">
        <v>620</v>
      </c>
      <c r="I241" s="264"/>
      <c r="J241" s="264" t="s">
        <v>469</v>
      </c>
    </row>
    <row r="242" spans="1:16">
      <c r="A242" s="169"/>
      <c r="B242" s="211"/>
      <c r="C242" s="211"/>
      <c r="D242" s="212" t="str">
        <f t="shared" ca="1" si="268"/>
        <v>INDWDPHELCN8</v>
      </c>
      <c r="E242" s="212" t="str">
        <f t="shared" ca="1" si="266"/>
        <v>Industrial heating technology Wood products PH - Electric boiler (Steam) - new 8</v>
      </c>
      <c r="F242" s="262" t="s">
        <v>450</v>
      </c>
      <c r="G242" s="262" t="s">
        <v>449</v>
      </c>
      <c r="H242" s="263" t="s">
        <v>620</v>
      </c>
      <c r="I242" s="264"/>
      <c r="J242" s="264" t="s">
        <v>469</v>
      </c>
    </row>
    <row r="243" spans="1:16">
      <c r="A243" s="169"/>
      <c r="B243" s="211"/>
      <c r="C243" s="211"/>
      <c r="D243" s="212" t="str">
        <f t="shared" ca="1" si="268"/>
        <v>INDWDSHELCN8</v>
      </c>
      <c r="E243" s="212" t="str">
        <f t="shared" ca="1" si="266"/>
        <v>Industrial heating technology Wood products SH - Electric boiler (Steam) - new 8</v>
      </c>
      <c r="F243" s="262" t="s">
        <v>450</v>
      </c>
      <c r="G243" s="262" t="s">
        <v>449</v>
      </c>
      <c r="H243" s="263" t="s">
        <v>620</v>
      </c>
      <c r="I243" s="264"/>
      <c r="J243" s="264" t="s">
        <v>469</v>
      </c>
      <c r="P243" s="173"/>
    </row>
    <row r="244" spans="1:16">
      <c r="A244" s="169"/>
      <c r="B244" s="211"/>
      <c r="C244" s="211"/>
      <c r="D244" s="212" t="str">
        <f t="shared" ca="1" si="268"/>
        <v>INDWDPHELCN9</v>
      </c>
      <c r="E244" s="212" t="str">
        <f t="shared" ca="1" si="266"/>
        <v>Industrial heating technology Wood products PH - Electric boiler (Hot Water) - new 9</v>
      </c>
      <c r="F244" s="262" t="s">
        <v>450</v>
      </c>
      <c r="G244" s="262" t="s">
        <v>449</v>
      </c>
      <c r="H244" s="263" t="s">
        <v>620</v>
      </c>
      <c r="I244" s="264"/>
      <c r="J244" s="264" t="s">
        <v>469</v>
      </c>
      <c r="P244" s="173"/>
    </row>
    <row r="245" spans="1:16">
      <c r="A245" s="169"/>
      <c r="B245" s="211"/>
      <c r="C245" s="211"/>
      <c r="D245" s="212" t="str">
        <f t="shared" ca="1" si="268"/>
        <v>INDWDSHELCN9</v>
      </c>
      <c r="E245" s="212" t="str">
        <f t="shared" ca="1" si="266"/>
        <v>Industrial heating technology Wood products SH - Electric boiler (Hot Water) - new 9</v>
      </c>
      <c r="F245" s="262" t="s">
        <v>450</v>
      </c>
      <c r="G245" s="262" t="s">
        <v>449</v>
      </c>
      <c r="H245" s="263" t="s">
        <v>620</v>
      </c>
      <c r="I245" s="264"/>
      <c r="J245" s="264" t="s">
        <v>469</v>
      </c>
      <c r="P245" s="173"/>
    </row>
    <row r="246" spans="1:16">
      <c r="A246" s="169"/>
      <c r="B246" s="211"/>
      <c r="C246" s="211"/>
      <c r="D246" s="212" t="str">
        <f t="shared" ca="1" si="268"/>
        <v>INDWDPHWCHN1</v>
      </c>
      <c r="E246" s="212" t="str">
        <f t="shared" ca="1" si="266"/>
        <v>Industrial heating technology Wood products PH - Wood chip boiler (Steam) - new 1</v>
      </c>
      <c r="F246" s="262" t="s">
        <v>450</v>
      </c>
      <c r="G246" s="262" t="s">
        <v>449</v>
      </c>
      <c r="H246" s="263"/>
      <c r="I246" s="264"/>
      <c r="J246" s="264" t="s">
        <v>469</v>
      </c>
      <c r="P246" s="173"/>
    </row>
    <row r="247" spans="1:16">
      <c r="A247" s="169"/>
      <c r="B247" s="211"/>
      <c r="C247" s="211"/>
      <c r="D247" s="212" t="str">
        <f t="shared" ca="1" si="268"/>
        <v>INDWDPHWCHN1</v>
      </c>
      <c r="E247" s="212" t="str">
        <f t="shared" ca="1" si="266"/>
        <v>Industrial heating technology Wood products PH - Wood chip boiler (Steam) - new 1</v>
      </c>
      <c r="F247" s="262" t="s">
        <v>450</v>
      </c>
      <c r="G247" s="262" t="s">
        <v>449</v>
      </c>
      <c r="H247" s="263"/>
      <c r="I247" s="264"/>
      <c r="J247" s="264" t="s">
        <v>469</v>
      </c>
      <c r="M247" s="171"/>
      <c r="N247" s="171"/>
      <c r="P247" s="173"/>
    </row>
    <row r="248" spans="1:16">
      <c r="A248" s="169"/>
      <c r="B248" s="211"/>
      <c r="C248" s="211"/>
      <c r="D248" s="212" t="str">
        <f t="shared" ca="1" si="268"/>
        <v>INDWDSHWCHN1</v>
      </c>
      <c r="E248" s="212" t="str">
        <f t="shared" ca="1" si="266"/>
        <v>Industrial heating technology Wood products SH - Wood chip boiler (Steam) - new 1</v>
      </c>
      <c r="F248" s="262" t="s">
        <v>450</v>
      </c>
      <c r="G248" s="262" t="s">
        <v>449</v>
      </c>
      <c r="H248" s="263"/>
      <c r="I248" s="264"/>
      <c r="J248" s="264" t="s">
        <v>469</v>
      </c>
      <c r="M248" s="171"/>
      <c r="N248" s="171"/>
      <c r="P248" s="173"/>
    </row>
    <row r="249" spans="1:16">
      <c r="A249" s="169"/>
      <c r="B249" s="211"/>
      <c r="C249" s="211"/>
      <c r="D249" s="212" t="str">
        <f t="shared" ca="1" si="268"/>
        <v>INDWDPHWCHN2</v>
      </c>
      <c r="E249" s="212" t="str">
        <f t="shared" ca="1" si="266"/>
        <v>Industrial heating technology Wood products PH - Wood chip boiler (Steam - condensing) - new 2</v>
      </c>
      <c r="F249" s="262" t="s">
        <v>450</v>
      </c>
      <c r="G249" s="262" t="s">
        <v>449</v>
      </c>
      <c r="H249" s="263"/>
      <c r="I249" s="264"/>
      <c r="J249" s="264" t="s">
        <v>469</v>
      </c>
      <c r="M249" s="171"/>
      <c r="N249" s="171"/>
      <c r="P249" s="173"/>
    </row>
    <row r="250" spans="1:16">
      <c r="A250" s="169"/>
      <c r="B250" s="212"/>
      <c r="C250" s="212"/>
      <c r="D250" s="212" t="str">
        <f t="shared" ca="1" si="268"/>
        <v>INDWDSHWCHN2</v>
      </c>
      <c r="E250" s="212" t="str">
        <f t="shared" ca="1" si="266"/>
        <v>Industrial heating technology Wood products SH - Wood chip boiler (Steam - condensing) - new 2</v>
      </c>
      <c r="F250" s="262" t="s">
        <v>450</v>
      </c>
      <c r="G250" s="262" t="s">
        <v>449</v>
      </c>
      <c r="H250" s="263"/>
      <c r="I250" s="264"/>
      <c r="J250" s="264" t="s">
        <v>469</v>
      </c>
    </row>
    <row r="251" spans="1:16">
      <c r="A251" s="169"/>
      <c r="B251" s="212"/>
      <c r="C251" s="212"/>
      <c r="D251" s="212" t="str">
        <f t="shared" ca="1" si="268"/>
        <v>INDWDPHWCHN3</v>
      </c>
      <c r="E251" s="212" t="str">
        <f t="shared" ca="1" si="266"/>
        <v>Industrial heating technology Wood products PH - Wood chip boiler (Hot Water) - new 3</v>
      </c>
      <c r="F251" s="262" t="s">
        <v>450</v>
      </c>
      <c r="G251" s="262" t="s">
        <v>449</v>
      </c>
      <c r="H251" s="261"/>
      <c r="I251" s="261"/>
      <c r="J251" s="264" t="s">
        <v>469</v>
      </c>
    </row>
    <row r="252" spans="1:16">
      <c r="A252" s="169"/>
      <c r="B252" s="212"/>
      <c r="C252" s="212"/>
      <c r="D252" s="212" t="str">
        <f t="shared" ca="1" si="268"/>
        <v>INDWDSHWCHN3</v>
      </c>
      <c r="E252" s="212" t="str">
        <f t="shared" ca="1" si="266"/>
        <v>Industrial heating technology Wood products SH - Wood chip boiler (Hot Water) - new 3</v>
      </c>
      <c r="F252" s="262" t="s">
        <v>450</v>
      </c>
      <c r="G252" s="262" t="s">
        <v>449</v>
      </c>
      <c r="H252" s="261"/>
      <c r="I252" s="261"/>
      <c r="J252" s="264" t="s">
        <v>469</v>
      </c>
    </row>
    <row r="253" spans="1:16">
      <c r="A253" s="169"/>
      <c r="B253" s="212"/>
      <c r="C253" s="212"/>
      <c r="D253" s="212" t="str">
        <f t="shared" ca="1" si="268"/>
        <v>INDWDPHWCHN4</v>
      </c>
      <c r="E253" s="212" t="str">
        <f t="shared" ca="1" si="266"/>
        <v>Industrial heating technology Wood products PH - Wood chip boiler (Hot Water - condensing) - new 4</v>
      </c>
      <c r="F253" s="262" t="s">
        <v>450</v>
      </c>
      <c r="G253" s="262" t="s">
        <v>449</v>
      </c>
      <c r="H253" s="261"/>
      <c r="I253" s="261"/>
      <c r="J253" s="264" t="s">
        <v>469</v>
      </c>
    </row>
    <row r="254" spans="1:16">
      <c r="A254" s="169"/>
      <c r="B254" s="212"/>
      <c r="C254" s="212"/>
      <c r="D254" s="212" t="str">
        <f t="shared" ca="1" si="268"/>
        <v>INDWDSHWCHN4</v>
      </c>
      <c r="E254" s="212" t="str">
        <f t="shared" ca="1" si="266"/>
        <v>Industrial heating technology Wood products SH - Wood chip boiler (Hot Water- condensing) - new 4</v>
      </c>
      <c r="F254" s="262" t="s">
        <v>450</v>
      </c>
      <c r="G254" s="262" t="s">
        <v>449</v>
      </c>
      <c r="H254" s="261"/>
      <c r="I254" s="261"/>
      <c r="J254" s="264" t="s">
        <v>469</v>
      </c>
    </row>
    <row r="255" spans="1:16">
      <c r="B255" s="212"/>
      <c r="C255" s="212"/>
      <c r="D255" s="212" t="str">
        <f t="shared" ca="1" si="268"/>
        <v>INDWDPHELCN10</v>
      </c>
      <c r="E255" s="212" t="str">
        <f t="shared" ca="1" si="266"/>
        <v>Industrial heating technology Wood products PH - Direct electric heating - new 10</v>
      </c>
      <c r="F255" s="262" t="s">
        <v>450</v>
      </c>
      <c r="G255" s="262" t="s">
        <v>449</v>
      </c>
      <c r="H255" s="261"/>
      <c r="I255" s="261"/>
      <c r="J255" s="264" t="s">
        <v>469</v>
      </c>
    </row>
    <row r="256" spans="1:16">
      <c r="B256" s="212"/>
      <c r="C256" s="212"/>
      <c r="D256" s="212" t="str">
        <f t="shared" ca="1" si="268"/>
        <v>INDWDPHELCN10</v>
      </c>
      <c r="E256" s="212" t="str">
        <f t="shared" ca="1" si="266"/>
        <v>Industrial heating technology Wood products PH - Direct electric heating - new 10</v>
      </c>
      <c r="F256" s="262" t="s">
        <v>450</v>
      </c>
      <c r="G256" s="262" t="s">
        <v>449</v>
      </c>
      <c r="H256" s="261"/>
      <c r="I256" s="261"/>
      <c r="J256" s="264" t="s">
        <v>469</v>
      </c>
    </row>
    <row r="257" spans="1:10">
      <c r="B257" s="212"/>
      <c r="C257" s="212"/>
      <c r="D257" s="212" t="str">
        <f t="shared" ca="1" si="268"/>
        <v>INDWDPHDSLN1</v>
      </c>
      <c r="E257" s="212" t="str">
        <f t="shared" ca="1" si="266"/>
        <v>Industrial heating technology Wood products PH - Oil boiler (Steam) - new 1</v>
      </c>
      <c r="F257" s="262" t="s">
        <v>450</v>
      </c>
      <c r="G257" s="262" t="s">
        <v>449</v>
      </c>
      <c r="H257" s="261"/>
      <c r="I257" s="261"/>
      <c r="J257" s="264" t="s">
        <v>469</v>
      </c>
    </row>
    <row r="258" spans="1:10">
      <c r="B258" s="212"/>
      <c r="C258" s="212"/>
      <c r="D258" s="212" t="str">
        <f t="shared" ca="1" si="268"/>
        <v>INDWDPHDSLN1</v>
      </c>
      <c r="E258" s="212" t="str">
        <f t="shared" ca="1" si="266"/>
        <v>Industrial heating technology Wood products PH - Oil boiler (Steam) - new 1</v>
      </c>
      <c r="F258" s="262" t="s">
        <v>450</v>
      </c>
      <c r="G258" s="262" t="s">
        <v>449</v>
      </c>
      <c r="H258" s="261"/>
      <c r="I258" s="261"/>
      <c r="J258" s="264" t="s">
        <v>469</v>
      </c>
    </row>
    <row r="259" spans="1:10">
      <c r="B259" s="212"/>
      <c r="C259" s="212"/>
      <c r="D259" s="212" t="str">
        <f t="shared" ca="1" si="268"/>
        <v>INDWDSHDSLN1</v>
      </c>
      <c r="E259" s="212" t="str">
        <f t="shared" ca="1" si="266"/>
        <v>Industrial heating technology Wood products SH - Oil boiler (Steam) - new 1</v>
      </c>
      <c r="F259" s="262" t="s">
        <v>450</v>
      </c>
      <c r="G259" s="262" t="s">
        <v>449</v>
      </c>
      <c r="H259" s="261"/>
      <c r="I259" s="261"/>
      <c r="J259" s="264" t="s">
        <v>469</v>
      </c>
    </row>
    <row r="260" spans="1:10">
      <c r="A260" s="214"/>
      <c r="B260" s="212"/>
      <c r="C260" s="212"/>
      <c r="D260" s="212" t="str">
        <f t="shared" ca="1" si="268"/>
        <v>INDWDPHDSLN2</v>
      </c>
      <c r="E260" s="212" t="str">
        <f t="shared" ca="1" si="266"/>
        <v>Industrial heating technology Wood products PH - Oil boiler (Steam - condensing) - new 2</v>
      </c>
      <c r="F260" s="262" t="s">
        <v>450</v>
      </c>
      <c r="G260" s="262" t="s">
        <v>449</v>
      </c>
      <c r="H260" s="261"/>
      <c r="I260" s="261"/>
      <c r="J260" s="264" t="s">
        <v>469</v>
      </c>
    </row>
    <row r="261" spans="1:10">
      <c r="A261" s="214"/>
      <c r="B261" s="212"/>
      <c r="C261" s="212"/>
      <c r="D261" s="212" t="str">
        <f t="shared" ca="1" si="268"/>
        <v>INDWDSHDSLN2</v>
      </c>
      <c r="E261" s="212" t="str">
        <f t="shared" ref="E261:E290" ca="1" si="269">VLOOKUP(D261,$D$9:$E$222,2,FALSE)</f>
        <v>Industrial heating technology Wood products SH - Oil boiler (Steam - condensing) - new 2</v>
      </c>
      <c r="F261" s="262" t="s">
        <v>450</v>
      </c>
      <c r="G261" s="262" t="s">
        <v>449</v>
      </c>
      <c r="H261" s="261"/>
      <c r="I261" s="261"/>
      <c r="J261" s="264" t="s">
        <v>469</v>
      </c>
    </row>
    <row r="262" spans="1:10">
      <c r="A262" s="214"/>
      <c r="B262" s="212"/>
      <c r="C262" s="212"/>
      <c r="D262" s="212" t="str">
        <f t="shared" ca="1" si="268"/>
        <v>INDWDPHGASN1</v>
      </c>
      <c r="E262" s="212" t="str">
        <f t="shared" ca="1" si="269"/>
        <v>Industrial heating technology Wood products PH - Gas boiler (Steam) - new 1</v>
      </c>
      <c r="F262" s="262" t="s">
        <v>450</v>
      </c>
      <c r="G262" s="262" t="s">
        <v>449</v>
      </c>
      <c r="H262" s="261"/>
      <c r="I262" s="261"/>
      <c r="J262" s="264" t="s">
        <v>469</v>
      </c>
    </row>
    <row r="263" spans="1:10">
      <c r="A263" s="214"/>
      <c r="B263" s="212"/>
      <c r="C263" s="212"/>
      <c r="D263" s="212" t="str">
        <f t="shared" ca="1" si="268"/>
        <v>INDWDPHGASN1</v>
      </c>
      <c r="E263" s="212" t="str">
        <f t="shared" ca="1" si="269"/>
        <v>Industrial heating technology Wood products PH - Gas boiler (Steam) - new 1</v>
      </c>
      <c r="F263" s="262" t="s">
        <v>450</v>
      </c>
      <c r="G263" s="262" t="s">
        <v>449</v>
      </c>
      <c r="H263" s="261"/>
      <c r="I263" s="261"/>
      <c r="J263" s="264" t="s">
        <v>469</v>
      </c>
    </row>
    <row r="264" spans="1:10">
      <c r="B264" s="212"/>
      <c r="C264" s="212"/>
      <c r="D264" s="212" t="str">
        <f t="shared" ca="1" si="268"/>
        <v>INDWDSHGASN1</v>
      </c>
      <c r="E264" s="212" t="str">
        <f t="shared" ca="1" si="269"/>
        <v>Industrial heating technology Wood products SH - Gas boiler (Steam) - new 1</v>
      </c>
      <c r="F264" s="262" t="s">
        <v>450</v>
      </c>
      <c r="G264" s="262" t="s">
        <v>449</v>
      </c>
      <c r="H264" s="261"/>
      <c r="I264" s="261"/>
      <c r="J264" s="264" t="s">
        <v>469</v>
      </c>
    </row>
    <row r="265" spans="1:10">
      <c r="B265" s="212"/>
      <c r="C265" s="212"/>
      <c r="D265" s="212" t="str">
        <f t="shared" ca="1" si="268"/>
        <v>INDWDPHGASN2</v>
      </c>
      <c r="E265" s="212" t="str">
        <f t="shared" ca="1" si="269"/>
        <v>Industrial heating technology Wood products PH - Gas boiler (Steam - condensing) - new 2</v>
      </c>
      <c r="F265" s="262" t="s">
        <v>450</v>
      </c>
      <c r="G265" s="262" t="s">
        <v>449</v>
      </c>
      <c r="H265" s="261"/>
      <c r="I265" s="261"/>
      <c r="J265" s="264" t="s">
        <v>469</v>
      </c>
    </row>
    <row r="266" spans="1:10">
      <c r="B266" s="212"/>
      <c r="C266" s="212"/>
      <c r="D266" s="212" t="str">
        <f t="shared" ca="1" si="268"/>
        <v>INDWDSHGASN2</v>
      </c>
      <c r="E266" s="212" t="str">
        <f t="shared" ca="1" si="269"/>
        <v>Industrial heating technology Wood products SH - Gas boiler (Steam - condensing) - new 2</v>
      </c>
      <c r="F266" s="262" t="s">
        <v>450</v>
      </c>
      <c r="G266" s="262" t="s">
        <v>449</v>
      </c>
      <c r="H266" s="261"/>
      <c r="I266" s="261"/>
      <c r="J266" s="264" t="s">
        <v>469</v>
      </c>
    </row>
    <row r="267" spans="1:10">
      <c r="B267" s="212"/>
      <c r="C267" s="212"/>
      <c r="D267" s="212" t="str">
        <f t="shared" ca="1" si="268"/>
        <v>INDWDPHGASN3</v>
      </c>
      <c r="E267" s="212" t="str">
        <f t="shared" ca="1" si="269"/>
        <v>Industrial heating technology Wood products PH - Gas boiler (Hot Water) - new 3</v>
      </c>
      <c r="F267" s="262" t="s">
        <v>450</v>
      </c>
      <c r="G267" s="262" t="s">
        <v>449</v>
      </c>
      <c r="H267" s="261"/>
      <c r="I267" s="261"/>
      <c r="J267" s="264" t="s">
        <v>469</v>
      </c>
    </row>
    <row r="268" spans="1:10">
      <c r="B268" s="212"/>
      <c r="C268" s="212"/>
      <c r="D268" s="212" t="str">
        <f t="shared" ca="1" si="268"/>
        <v>INDWDSHGASN3</v>
      </c>
      <c r="E268" s="212" t="str">
        <f t="shared" ca="1" si="269"/>
        <v>Industrial heating technology Wood products SH - Gas boiler (Hot Water) - new 3</v>
      </c>
      <c r="F268" s="262" t="s">
        <v>450</v>
      </c>
      <c r="G268" s="262" t="s">
        <v>449</v>
      </c>
      <c r="H268" s="261"/>
      <c r="I268" s="261"/>
      <c r="J268" s="264" t="s">
        <v>469</v>
      </c>
    </row>
    <row r="269" spans="1:10">
      <c r="B269" s="212"/>
      <c r="C269" s="212"/>
      <c r="D269" s="212" t="str">
        <f t="shared" ca="1" si="268"/>
        <v>INDWDPHGASN4</v>
      </c>
      <c r="E269" s="212" t="str">
        <f t="shared" ca="1" si="269"/>
        <v>Industrial heating technology Wood products PH - Gas boiler (Hot Water - condensing) - new 4</v>
      </c>
      <c r="F269" s="262" t="s">
        <v>450</v>
      </c>
      <c r="G269" s="262" t="s">
        <v>449</v>
      </c>
      <c r="H269" s="261"/>
      <c r="I269" s="261"/>
      <c r="J269" s="264" t="s">
        <v>469</v>
      </c>
    </row>
    <row r="270" spans="1:10">
      <c r="B270" s="212"/>
      <c r="C270" s="212"/>
      <c r="D270" s="212" t="str">
        <f t="shared" ca="1" si="268"/>
        <v>INDWDSHGASN4</v>
      </c>
      <c r="E270" s="212" t="str">
        <f t="shared" ca="1" si="269"/>
        <v>Industrial heating technology Wood products SH - Gas boiler (Hot Water- condensing) - new 4</v>
      </c>
      <c r="F270" s="262" t="s">
        <v>450</v>
      </c>
      <c r="G270" s="262" t="s">
        <v>449</v>
      </c>
      <c r="H270" s="261"/>
      <c r="I270" s="261"/>
      <c r="J270" s="264" t="s">
        <v>469</v>
      </c>
    </row>
    <row r="271" spans="1:10">
      <c r="B271" s="212"/>
      <c r="C271" s="212"/>
      <c r="D271" s="212" t="str">
        <f t="shared" ca="1" si="268"/>
        <v>INDWDPHGASN5</v>
      </c>
      <c r="E271" s="212" t="str">
        <f t="shared" ca="1" si="269"/>
        <v>Industrial heating technology Wood products PH - Gas boiler (Direct firing) - new 5</v>
      </c>
      <c r="F271" s="262" t="s">
        <v>450</v>
      </c>
      <c r="G271" s="262" t="s">
        <v>449</v>
      </c>
      <c r="H271" s="261"/>
      <c r="I271" s="261"/>
      <c r="J271" s="264" t="s">
        <v>469</v>
      </c>
    </row>
    <row r="272" spans="1:10">
      <c r="B272" s="212"/>
      <c r="C272" s="212"/>
      <c r="D272" s="212" t="str">
        <f t="shared" ca="1" si="268"/>
        <v>INDWDPHGASN5</v>
      </c>
      <c r="E272" s="212" t="str">
        <f t="shared" ca="1" si="269"/>
        <v>Industrial heating technology Wood products PH - Gas boiler (Direct firing) - new 5</v>
      </c>
      <c r="F272" s="262" t="s">
        <v>450</v>
      </c>
      <c r="G272" s="262" t="s">
        <v>449</v>
      </c>
      <c r="H272" s="261"/>
      <c r="I272" s="261"/>
      <c r="J272" s="264" t="s">
        <v>469</v>
      </c>
    </row>
    <row r="273" spans="2:10">
      <c r="B273" s="212"/>
      <c r="C273" s="212"/>
      <c r="D273" s="212" t="str">
        <f t="shared" ca="1" si="268"/>
        <v>INDWDPHCOAN1</v>
      </c>
      <c r="E273" s="212" t="str">
        <f t="shared" ca="1" si="269"/>
        <v>Industrial heating technology Wood products PH - Coal boiler (Steam) - new 1</v>
      </c>
      <c r="F273" s="262" t="s">
        <v>450</v>
      </c>
      <c r="G273" s="262" t="s">
        <v>449</v>
      </c>
      <c r="H273" s="261"/>
      <c r="I273" s="261"/>
      <c r="J273" s="264" t="s">
        <v>469</v>
      </c>
    </row>
    <row r="274" spans="2:10">
      <c r="B274" s="212"/>
      <c r="C274" s="212"/>
      <c r="D274" s="212" t="str">
        <f t="shared" ca="1" si="268"/>
        <v>INDWDPHCOAN1</v>
      </c>
      <c r="E274" s="212" t="str">
        <f t="shared" ca="1" si="269"/>
        <v>Industrial heating technology Wood products PH - Coal boiler (Steam) - new 1</v>
      </c>
      <c r="F274" s="262" t="s">
        <v>450</v>
      </c>
      <c r="G274" s="262" t="s">
        <v>449</v>
      </c>
      <c r="H274" s="261"/>
      <c r="I274" s="261"/>
      <c r="J274" s="264" t="s">
        <v>469</v>
      </c>
    </row>
    <row r="275" spans="2:10">
      <c r="B275" s="212"/>
      <c r="C275" s="212"/>
      <c r="D275" s="212" t="str">
        <f t="shared" ca="1" si="268"/>
        <v>INDWDSHCOAN1</v>
      </c>
      <c r="E275" s="212" t="str">
        <f t="shared" ca="1" si="269"/>
        <v>Industrial heating technology Wood products SH - Coal boiler (Steam) - new 1</v>
      </c>
      <c r="F275" s="262" t="s">
        <v>450</v>
      </c>
      <c r="G275" s="262" t="s">
        <v>449</v>
      </c>
      <c r="H275" s="261"/>
      <c r="I275" s="261"/>
      <c r="J275" s="264" t="s">
        <v>469</v>
      </c>
    </row>
    <row r="276" spans="2:10">
      <c r="B276" s="212"/>
      <c r="C276" s="212"/>
      <c r="D276" s="212" t="str">
        <f t="shared" ca="1" si="268"/>
        <v>INDWDPHCOAN2</v>
      </c>
      <c r="E276" s="212" t="str">
        <f t="shared" ca="1" si="269"/>
        <v>Industrial heating technology Wood products PH - Coal boiler (Hot Water) - new 2</v>
      </c>
      <c r="F276" s="262" t="s">
        <v>450</v>
      </c>
      <c r="G276" s="262" t="s">
        <v>449</v>
      </c>
      <c r="H276" s="261"/>
      <c r="I276" s="261"/>
      <c r="J276" s="264" t="s">
        <v>469</v>
      </c>
    </row>
    <row r="277" spans="2:10">
      <c r="B277" s="212"/>
      <c r="C277" s="212"/>
      <c r="D277" s="212" t="str">
        <f t="shared" ca="1" si="268"/>
        <v>INDWDSHCOAN2</v>
      </c>
      <c r="E277" s="212" t="str">
        <f t="shared" ca="1" si="269"/>
        <v>Industrial heating technology Wood products SH - Coal boiler (Hot Water) - new 2</v>
      </c>
      <c r="F277" s="262" t="s">
        <v>450</v>
      </c>
      <c r="G277" s="262" t="s">
        <v>449</v>
      </c>
      <c r="H277" s="261"/>
      <c r="I277" s="261"/>
      <c r="J277" s="264" t="s">
        <v>469</v>
      </c>
    </row>
    <row r="278" spans="2:10">
      <c r="B278" s="212"/>
      <c r="C278" s="212"/>
      <c r="D278" s="212" t="str">
        <f t="shared" ca="1" si="268"/>
        <v>INDWDSHSOLN1</v>
      </c>
      <c r="E278" s="212" t="str">
        <f t="shared" ca="1" si="269"/>
        <v>Industrial heating technology Wood products SH - Solar - new 1</v>
      </c>
      <c r="F278" s="262" t="s">
        <v>450</v>
      </c>
      <c r="G278" s="262" t="s">
        <v>449</v>
      </c>
      <c r="H278" s="263" t="s">
        <v>620</v>
      </c>
      <c r="I278" s="261"/>
      <c r="J278" s="264" t="s">
        <v>469</v>
      </c>
    </row>
    <row r="279" spans="2:10">
      <c r="B279" s="212"/>
      <c r="C279" s="212"/>
      <c r="D279" s="889" t="str">
        <f>D187</f>
        <v>INDWDSHHCEN1</v>
      </c>
      <c r="E279" s="889" t="str">
        <f t="shared" si="269"/>
        <v>Industrial heating technology Wood products SH - central district heating - within DH area - new 1</v>
      </c>
      <c r="F279" s="262" t="s">
        <v>450</v>
      </c>
      <c r="G279" s="262" t="s">
        <v>449</v>
      </c>
      <c r="H279" s="890"/>
      <c r="I279" s="890"/>
      <c r="J279" s="263" t="s">
        <v>469</v>
      </c>
    </row>
    <row r="280" spans="2:10">
      <c r="B280" s="212"/>
      <c r="C280" s="212"/>
      <c r="D280" s="889" t="str">
        <f>D188</f>
        <v>INDWDPHHCEN1</v>
      </c>
      <c r="E280" s="889" t="str">
        <f t="shared" si="269"/>
        <v>Industrial heating technology Wood products PH - central district heating - within DH area - new 1</v>
      </c>
      <c r="F280" s="262" t="s">
        <v>450</v>
      </c>
      <c r="G280" s="262" t="s">
        <v>449</v>
      </c>
      <c r="H280" s="890"/>
      <c r="I280" s="890"/>
      <c r="J280" s="263" t="s">
        <v>469</v>
      </c>
    </row>
    <row r="281" spans="2:10">
      <c r="B281" s="212"/>
      <c r="C281" s="212"/>
      <c r="D281" s="889" t="str">
        <f>D189</f>
        <v>INDWDSHHSEN1</v>
      </c>
      <c r="E281" s="889" t="str">
        <f t="shared" si="269"/>
        <v>Industrial heating technology Wood products SH - central district heating - within DH area - new 1</v>
      </c>
      <c r="F281" s="262" t="s">
        <v>450</v>
      </c>
      <c r="G281" s="262" t="s">
        <v>449</v>
      </c>
      <c r="H281" s="890"/>
      <c r="I281" s="890"/>
      <c r="J281" s="263" t="s">
        <v>469</v>
      </c>
    </row>
    <row r="282" spans="2:10">
      <c r="B282" s="212"/>
      <c r="C282" s="212"/>
      <c r="D282" s="889" t="str">
        <f>D190</f>
        <v>INDWDPHHSEN1</v>
      </c>
      <c r="E282" s="889" t="str">
        <f t="shared" si="269"/>
        <v>Industrial heating technology Wood products PH - central district heating - within DH area - new 1</v>
      </c>
      <c r="F282" s="262" t="s">
        <v>450</v>
      </c>
      <c r="G282" s="262" t="s">
        <v>449</v>
      </c>
      <c r="H282" s="890"/>
      <c r="I282" s="890"/>
      <c r="J282" s="263" t="s">
        <v>469</v>
      </c>
    </row>
    <row r="283" spans="2:10">
      <c r="B283" s="212"/>
      <c r="C283" s="212"/>
      <c r="D283" s="212" t="str">
        <f t="shared" ref="D283" si="270">D191</f>
        <v>INDWDSHHDEN1</v>
      </c>
      <c r="E283" s="212" t="str">
        <f t="shared" si="269"/>
        <v>Industrial heating technology Wood products SH - decentral district heating - within DH area - new 1</v>
      </c>
      <c r="F283" s="262" t="s">
        <v>450</v>
      </c>
      <c r="G283" s="262" t="s">
        <v>449</v>
      </c>
      <c r="H283" s="261"/>
      <c r="I283" s="261"/>
      <c r="J283" s="264" t="s">
        <v>469</v>
      </c>
    </row>
    <row r="284" spans="2:10">
      <c r="B284" s="212"/>
      <c r="C284" s="212"/>
      <c r="D284" s="212" t="str">
        <f>D192</f>
        <v>INDWDPHHDEN1</v>
      </c>
      <c r="E284" s="212" t="str">
        <f t="shared" si="269"/>
        <v>Industrial heating technology Wood products PH - decentral district heating - within DH area - new 1</v>
      </c>
      <c r="F284" s="262" t="s">
        <v>450</v>
      </c>
      <c r="G284" s="262" t="s">
        <v>449</v>
      </c>
      <c r="H284" s="261"/>
      <c r="I284" s="261"/>
      <c r="J284" s="264" t="s">
        <v>469</v>
      </c>
    </row>
    <row r="285" spans="2:10">
      <c r="B285" s="212"/>
      <c r="C285" s="212"/>
      <c r="D285" s="212" t="str">
        <f>D194</f>
        <v>INDWDLAELCN1</v>
      </c>
      <c r="E285" s="212" t="str">
        <f t="shared" si="269"/>
        <v>Industry Wood products LA Electricity Light Appliance - New 1</v>
      </c>
      <c r="F285" s="262" t="s">
        <v>450</v>
      </c>
      <c r="G285" s="262" t="s">
        <v>449</v>
      </c>
      <c r="H285" s="261"/>
      <c r="I285" s="261"/>
      <c r="J285" s="264" t="s">
        <v>469</v>
      </c>
    </row>
    <row r="286" spans="2:10">
      <c r="B286" s="212"/>
      <c r="C286" s="212"/>
      <c r="D286" s="212" t="str">
        <f>D198</f>
        <v>INDWDEMELCN1</v>
      </c>
      <c r="E286" s="212" t="str">
        <f t="shared" si="269"/>
        <v>Industry Wood products EM Electricity Motors - New 1</v>
      </c>
      <c r="F286" s="262" t="s">
        <v>450</v>
      </c>
      <c r="G286" s="262" t="s">
        <v>449</v>
      </c>
      <c r="H286" s="261"/>
      <c r="I286" s="261"/>
      <c r="J286" s="264" t="s">
        <v>469</v>
      </c>
    </row>
    <row r="287" spans="2:10">
      <c r="B287" s="212"/>
      <c r="C287" s="212"/>
      <c r="D287" s="212" t="str">
        <f>D202</f>
        <v>INDWDTFDSLN1</v>
      </c>
      <c r="E287" s="212" t="str">
        <f t="shared" si="269"/>
        <v>Industry Wood products TF Tractors, Trucks, Fishing boats - New 1</v>
      </c>
      <c r="F287" s="262" t="s">
        <v>450</v>
      </c>
      <c r="G287" s="262" t="s">
        <v>2078</v>
      </c>
      <c r="H287" s="261"/>
      <c r="I287" s="261"/>
      <c r="J287" s="264" t="s">
        <v>469</v>
      </c>
    </row>
    <row r="288" spans="2:10">
      <c r="B288" s="212"/>
      <c r="C288" s="212"/>
      <c r="D288" s="212" t="str">
        <f>D206</f>
        <v>INDWDTFH2GN2</v>
      </c>
      <c r="E288" s="212" t="str">
        <f t="shared" si="269"/>
        <v>Industry Wood products TF Tractors, Trucks, Fishing boats - New 2</v>
      </c>
      <c r="F288" s="262" t="s">
        <v>450</v>
      </c>
      <c r="G288" s="262" t="s">
        <v>2078</v>
      </c>
      <c r="H288" s="261"/>
      <c r="I288" s="261"/>
      <c r="J288" s="264" t="s">
        <v>469</v>
      </c>
    </row>
    <row r="289" spans="2:10">
      <c r="B289" s="212"/>
      <c r="C289" s="212"/>
      <c r="D289" s="212" t="str">
        <f>D210</f>
        <v>INDWDTFELCN3</v>
      </c>
      <c r="E289" s="212" t="str">
        <f t="shared" si="269"/>
        <v>Industry Wood products TF Tractors, Trucks, Fishing boats - New 3</v>
      </c>
      <c r="F289" s="262" t="s">
        <v>450</v>
      </c>
      <c r="G289" s="262" t="s">
        <v>2078</v>
      </c>
      <c r="H289" s="261"/>
      <c r="I289" s="261"/>
      <c r="J289" s="264" t="s">
        <v>469</v>
      </c>
    </row>
    <row r="290" spans="2:10">
      <c r="B290" s="212"/>
      <c r="C290" s="212"/>
      <c r="D290" s="212" t="str">
        <f>D214</f>
        <v>INDWDFLELCN1</v>
      </c>
      <c r="E290" s="212" t="str">
        <f t="shared" si="269"/>
        <v>Industry Wood products TF Forklifts - New 1</v>
      </c>
      <c r="F290" s="262" t="s">
        <v>450</v>
      </c>
      <c r="G290" s="262" t="s">
        <v>449</v>
      </c>
      <c r="H290" s="261"/>
      <c r="I290" s="261"/>
      <c r="J290" s="264" t="s">
        <v>469</v>
      </c>
    </row>
    <row r="291" spans="2:10">
      <c r="B291" s="212"/>
      <c r="C291" s="212"/>
      <c r="D291" s="212" t="str">
        <f>D218</f>
        <v>INDWDCOELCN1</v>
      </c>
      <c r="E291" s="212" t="str">
        <f>E218</f>
        <v>Industry Wood products CO Cooling - New 1</v>
      </c>
      <c r="F291" s="262" t="s">
        <v>450</v>
      </c>
      <c r="G291" s="262" t="s">
        <v>449</v>
      </c>
      <c r="H291" s="261" t="s">
        <v>620</v>
      </c>
      <c r="I291" s="261"/>
      <c r="J291" s="264"/>
    </row>
    <row r="292" spans="2:10">
      <c r="D292" s="212"/>
      <c r="E292" s="212"/>
    </row>
    <row r="293" spans="2:10">
      <c r="B293" s="213" t="s">
        <v>448</v>
      </c>
      <c r="C293" s="213"/>
      <c r="D293" s="214"/>
      <c r="E293" s="214"/>
      <c r="F293" s="214"/>
      <c r="G293" s="214"/>
      <c r="H293" s="214"/>
      <c r="I293" s="214"/>
      <c r="J293" s="214"/>
    </row>
    <row r="294" spans="2:10">
      <c r="B294" s="209" t="s">
        <v>447</v>
      </c>
      <c r="C294" s="209" t="s">
        <v>446</v>
      </c>
      <c r="D294" s="209" t="s">
        <v>445</v>
      </c>
      <c r="E294" s="209" t="s">
        <v>444</v>
      </c>
      <c r="F294" s="209" t="s">
        <v>435</v>
      </c>
      <c r="G294" s="209" t="s">
        <v>443</v>
      </c>
      <c r="H294" s="209" t="s">
        <v>442</v>
      </c>
      <c r="I294" s="209" t="s">
        <v>441</v>
      </c>
      <c r="J294" s="209" t="s">
        <v>440</v>
      </c>
    </row>
    <row r="295" spans="2:10" ht="25" thickBot="1">
      <c r="B295" s="215" t="s">
        <v>439</v>
      </c>
      <c r="C295" s="216" t="s">
        <v>438</v>
      </c>
      <c r="D295" s="216" t="s">
        <v>437</v>
      </c>
      <c r="E295" s="216" t="s">
        <v>436</v>
      </c>
      <c r="F295" s="216" t="s">
        <v>435</v>
      </c>
      <c r="G295" s="216" t="s">
        <v>434</v>
      </c>
      <c r="H295" s="216" t="s">
        <v>433</v>
      </c>
      <c r="I295" s="216" t="s">
        <v>432</v>
      </c>
      <c r="J295" s="216" t="s">
        <v>431</v>
      </c>
    </row>
    <row r="296" spans="2:10">
      <c r="B296" s="217" t="s">
        <v>430</v>
      </c>
      <c r="C296" s="218"/>
      <c r="D296" s="260" t="str">
        <f>"I"&amp;LEFT($AJ$12,1)&amp;"DSOx"</f>
        <v>IWDSOx</v>
      </c>
      <c r="E296" s="270" t="str">
        <f>"Industrial heating  heating technology "&amp;$AJ$12&amp;" - SOx emission"</f>
        <v>Industrial heating  heating technology Wood products - SOx emission</v>
      </c>
      <c r="F296" s="219" t="s">
        <v>352</v>
      </c>
      <c r="G296" s="211"/>
      <c r="H296" s="211"/>
      <c r="I296" s="211"/>
      <c r="J296" s="211"/>
    </row>
    <row r="297" spans="2:10">
      <c r="B297" s="214"/>
      <c r="C297" s="214"/>
      <c r="D297" s="260" t="str">
        <f>"I"&amp;LEFT($AJ$12,1)&amp;"DNOx"</f>
        <v>IWDNOx</v>
      </c>
      <c r="E297" s="270" t="str">
        <f>"Industrial heating  heating technology "&amp;$AJ$12&amp;" - NOx emission"</f>
        <v>Industrial heating  heating technology Wood products - NOx emission</v>
      </c>
      <c r="F297" s="219" t="s">
        <v>352</v>
      </c>
      <c r="G297" s="211"/>
      <c r="H297" s="214"/>
      <c r="I297" s="214"/>
      <c r="J297" s="214"/>
    </row>
    <row r="298" spans="2:10">
      <c r="B298" s="214"/>
      <c r="C298" s="214"/>
      <c r="D298" s="260" t="str">
        <f>"I"&amp;LEFT($AJ$12,1)&amp;"DCH4"</f>
        <v>IWDCH4</v>
      </c>
      <c r="E298" s="270" t="str">
        <f>"Industrial heating  heating technology "&amp;$AJ$12&amp;" - CH4 emission"</f>
        <v>Industrial heating  heating technology Wood products - CH4 emission</v>
      </c>
      <c r="F298" s="219" t="s">
        <v>352</v>
      </c>
      <c r="G298" s="211"/>
      <c r="H298" s="214"/>
      <c r="I298" s="214"/>
      <c r="J298" s="214"/>
    </row>
    <row r="299" spans="2:10">
      <c r="B299" s="214"/>
      <c r="C299" s="214"/>
      <c r="D299" s="260" t="str">
        <f>"I"&amp;LEFT($AJ$12,1)&amp;"DNO2"</f>
        <v>IWDNO2</v>
      </c>
      <c r="E299" s="270" t="str">
        <f>"Industrial heating  heating technology "&amp;$AJ$12&amp;" - NO2 emission"</f>
        <v>Industrial heating  heating technology Wood products - NO2 emission</v>
      </c>
      <c r="F299" s="219" t="s">
        <v>352</v>
      </c>
      <c r="G299" s="211"/>
      <c r="H299" s="214"/>
      <c r="I299" s="214"/>
      <c r="J299" s="214"/>
    </row>
    <row r="300" spans="2:10">
      <c r="B300" s="214"/>
      <c r="C300" s="214"/>
      <c r="D300" s="260" t="str">
        <f>"I"&amp;LEFT($AJ$12,1)&amp;"DPM"</f>
        <v>IWDPM</v>
      </c>
      <c r="E300" s="270" t="str">
        <f>"Industrial heating  heating technology "&amp;$AJ$12&amp;" - Particle emission"</f>
        <v>Industrial heating  heating technology Wood products - Particle emission</v>
      </c>
      <c r="F300" s="219" t="s">
        <v>352</v>
      </c>
      <c r="G300" s="211"/>
      <c r="H300" s="214"/>
      <c r="I300" s="214"/>
      <c r="J300" s="214"/>
    </row>
    <row r="301" spans="2:10">
      <c r="B301" s="224" t="s">
        <v>1057</v>
      </c>
      <c r="D301" s="224" t="str">
        <f>AI20</f>
        <v>INDWWH</v>
      </c>
      <c r="E301" s="270" t="str">
        <f>"Industrial heating technology "&amp;$AJ$12&amp;" - Waste heat"</f>
        <v>Industrial heating technology Wood products - Waste heat</v>
      </c>
      <c r="F301" s="263" t="s">
        <v>450</v>
      </c>
    </row>
  </sheetData>
  <pageMargins left="0.7" right="0.7" top="0.75" bottom="0.75" header="0.3" footer="0.3"/>
  <pageSetup paperSize="9" orientation="portrait"/>
  <legacyDrawing r:id="rId1"/>
  <extLst>
    <ext xmlns:x14="http://schemas.microsoft.com/office/spreadsheetml/2009/9/main" uri="{CCE6A557-97BC-4b89-ADB6-D9C93CAAB3DF}">
      <x14:dataValidations xmlns:xm="http://schemas.microsoft.com/office/excel/2006/main" count="1">
        <x14:dataValidation type="list" allowBlank="1" showInputMessage="1" showErrorMessage="1" xr:uid="{1DF68587-C75D-476C-A912-E553714A9C0B}">
          <x14:formula1>
            <xm:f>'Oil-fired boiler_NEW'!$T$4:$X$4</xm:f>
          </x14:formula1>
          <xm:sqref>E1</xm:sqref>
        </x14:dataValidation>
      </x14:dataValidation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09155-C92C-4FFC-9121-81EEA92FE344}">
  <sheetPr>
    <tabColor rgb="FF00B050"/>
  </sheetPr>
  <dimension ref="A1:AP301"/>
  <sheetViews>
    <sheetView tabSelected="1" topLeftCell="T1" zoomScale="70" zoomScaleNormal="70" workbookViewId="0">
      <selection activeCell="G215" sqref="G215"/>
    </sheetView>
  </sheetViews>
  <sheetFormatPr baseColWidth="10" defaultColWidth="9.1640625" defaultRowHeight="15"/>
  <cols>
    <col min="1" max="1" width="9.1640625" style="224"/>
    <col min="2" max="2" width="31.5" style="224" customWidth="1"/>
    <col min="3" max="3" width="11.5" style="224" bestFit="1" customWidth="1"/>
    <col min="4" max="4" width="19.83203125" style="224" customWidth="1"/>
    <col min="5" max="5" width="98.5" style="224" bestFit="1" customWidth="1"/>
    <col min="6" max="6" width="10.5" style="224" bestFit="1" customWidth="1"/>
    <col min="7" max="7" width="55.83203125" style="224" bestFit="1" customWidth="1"/>
    <col min="8" max="8" width="27.83203125" style="224" bestFit="1" customWidth="1"/>
    <col min="9" max="9" width="27.83203125" style="224" customWidth="1"/>
    <col min="10" max="10" width="10.1640625" style="224" bestFit="1" customWidth="1"/>
    <col min="11" max="11" width="8.5" style="224" bestFit="1" customWidth="1"/>
    <col min="12" max="12" width="6.5" style="224" bestFit="1" customWidth="1"/>
    <col min="13" max="13" width="6.5" style="224" customWidth="1"/>
    <col min="14" max="15" width="12.83203125" style="224" bestFit="1" customWidth="1"/>
    <col min="16" max="16" width="12.5" style="224" bestFit="1" customWidth="1"/>
    <col min="17" max="17" width="6.1640625" style="224" customWidth="1"/>
    <col min="18" max="18" width="8.1640625" style="224" bestFit="1" customWidth="1"/>
    <col min="19" max="19" width="11.83203125" style="224" bestFit="1" customWidth="1"/>
    <col min="20" max="20" width="11.5" style="224" bestFit="1" customWidth="1"/>
    <col min="21" max="21" width="18.1640625" style="224" bestFit="1" customWidth="1"/>
    <col min="22" max="22" width="11.83203125" style="224" customWidth="1"/>
    <col min="23" max="23" width="7.83203125" style="224" bestFit="1" customWidth="1"/>
    <col min="24" max="24" width="8.5" style="224" bestFit="1" customWidth="1"/>
    <col min="25" max="25" width="6.5" style="224" bestFit="1" customWidth="1"/>
    <col min="26" max="26" width="6.5" style="224" customWidth="1"/>
    <col min="27" max="27" width="8" style="224" customWidth="1"/>
    <col min="28" max="38" width="9.1640625" style="224"/>
    <col min="39" max="39" width="64.1640625" style="224" bestFit="1" customWidth="1"/>
    <col min="40" max="16384" width="9.1640625" style="224"/>
  </cols>
  <sheetData>
    <row r="1" spans="2:42" ht="14.5" customHeight="1">
      <c r="D1" s="728" t="s">
        <v>1016</v>
      </c>
      <c r="E1" s="729" t="s">
        <v>716</v>
      </c>
      <c r="N1" s="64"/>
      <c r="O1" s="64"/>
      <c r="P1" s="64"/>
      <c r="S1" s="727" t="s">
        <v>1004</v>
      </c>
      <c r="T1" s="776" t="s">
        <v>1003</v>
      </c>
      <c r="U1" s="775" t="s">
        <v>1053</v>
      </c>
      <c r="V1" s="776" t="s">
        <v>1054</v>
      </c>
      <c r="W1" s="780">
        <v>0.3</v>
      </c>
    </row>
    <row r="2" spans="2:42" ht="16" thickBot="1">
      <c r="E2" s="730" t="s">
        <v>1146</v>
      </c>
      <c r="N2" s="731"/>
      <c r="O2" s="731"/>
      <c r="P2" s="731"/>
      <c r="S2" s="726">
        <f>MATCH($E$1,$AJ$22:$AJ$35)</f>
        <v>7</v>
      </c>
      <c r="T2" s="778">
        <f>MATCH($E$1,$AJ$22:$AJ$35)+1</f>
        <v>8</v>
      </c>
      <c r="U2" s="779"/>
      <c r="V2" s="768" t="s">
        <v>1055</v>
      </c>
      <c r="W2" s="781">
        <v>0.2</v>
      </c>
    </row>
    <row r="3" spans="2:42" ht="16" thickBot="1">
      <c r="N3" s="731"/>
      <c r="O3" s="731"/>
      <c r="P3" s="731"/>
      <c r="S3" s="768"/>
      <c r="T3" s="768"/>
      <c r="U3" s="777"/>
      <c r="V3" s="778" t="s">
        <v>1056</v>
      </c>
      <c r="W3" s="782">
        <v>0</v>
      </c>
    </row>
    <row r="4" spans="2:42">
      <c r="N4" s="731"/>
      <c r="O4" s="731"/>
      <c r="P4" s="731"/>
      <c r="S4" s="768"/>
      <c r="T4" s="768"/>
      <c r="U4" s="768"/>
      <c r="V4" s="768"/>
    </row>
    <row r="5" spans="2:42">
      <c r="J5" s="172" t="s">
        <v>468</v>
      </c>
      <c r="N5" s="731"/>
      <c r="O5" s="731"/>
      <c r="P5" s="731"/>
      <c r="S5" s="768"/>
      <c r="T5" s="768"/>
      <c r="U5" s="768"/>
      <c r="V5" s="768"/>
    </row>
    <row r="6" spans="2:42" ht="26.25" customHeight="1">
      <c r="B6" s="166" t="s">
        <v>1015</v>
      </c>
      <c r="C6" s="46"/>
      <c r="D6" s="46" t="s">
        <v>425</v>
      </c>
      <c r="E6" s="46" t="s">
        <v>426</v>
      </c>
      <c r="F6" s="46" t="s">
        <v>689</v>
      </c>
      <c r="G6" s="46" t="s">
        <v>427</v>
      </c>
      <c r="H6" s="46" t="s">
        <v>428</v>
      </c>
      <c r="I6" s="771" t="s">
        <v>1049</v>
      </c>
      <c r="J6" s="46" t="s">
        <v>335</v>
      </c>
      <c r="K6" s="46" t="s">
        <v>336</v>
      </c>
      <c r="L6" s="47" t="s">
        <v>337</v>
      </c>
      <c r="M6" s="47" t="s">
        <v>1052</v>
      </c>
      <c r="N6" s="47" t="s">
        <v>339</v>
      </c>
      <c r="O6" s="48" t="s">
        <v>340</v>
      </c>
      <c r="P6" s="47" t="s">
        <v>341</v>
      </c>
      <c r="Q6" s="49" t="s">
        <v>342</v>
      </c>
      <c r="R6" s="49" t="s">
        <v>343</v>
      </c>
      <c r="S6" s="769" t="s">
        <v>344</v>
      </c>
      <c r="T6" s="770" t="s">
        <v>997</v>
      </c>
      <c r="U6" s="769" t="s">
        <v>1050</v>
      </c>
      <c r="V6" s="783" t="s">
        <v>1051</v>
      </c>
      <c r="W6" s="284"/>
      <c r="X6" s="280" t="str">
        <f>"FEMIS~"&amp;D296</f>
        <v>FEMIS~IODSOx</v>
      </c>
      <c r="Y6" s="280" t="str">
        <f>"FEMIS~"&amp;D297</f>
        <v>FEMIS~IODNOx</v>
      </c>
      <c r="Z6" s="280" t="str">
        <f>"FEMIS~"&amp;D298</f>
        <v>FEMIS~IODCH4</v>
      </c>
      <c r="AA6" s="280" t="str">
        <f>"FEMIS~"&amp;D299</f>
        <v>FEMIS~IODNO2</v>
      </c>
      <c r="AB6" s="280" t="str">
        <f>"FEMIS~"&amp;D300</f>
        <v>FEMIS~IODPM</v>
      </c>
      <c r="AC6" s="224" t="s">
        <v>424</v>
      </c>
      <c r="AD6" s="224" t="s">
        <v>2001</v>
      </c>
      <c r="AE6" s="47" t="s">
        <v>338</v>
      </c>
      <c r="AF6" s="221" t="s">
        <v>473</v>
      </c>
    </row>
    <row r="7" spans="2:42" ht="16" thickBot="1">
      <c r="B7" s="715"/>
      <c r="C7" s="167"/>
      <c r="D7" s="167" t="s">
        <v>429</v>
      </c>
      <c r="E7" s="50"/>
      <c r="F7" s="50"/>
      <c r="G7" s="50"/>
      <c r="H7" s="50"/>
      <c r="I7" s="168"/>
      <c r="J7" s="50"/>
      <c r="K7" s="50"/>
      <c r="L7" s="51"/>
      <c r="M7" s="51"/>
      <c r="N7" s="51"/>
      <c r="O7" s="52"/>
      <c r="P7" s="50"/>
      <c r="Q7" s="50"/>
      <c r="R7" s="50"/>
      <c r="S7" s="50"/>
      <c r="T7" s="50"/>
      <c r="U7" s="50"/>
      <c r="V7" s="168"/>
      <c r="W7" s="285"/>
      <c r="X7" s="50"/>
      <c r="Y7" s="50"/>
      <c r="Z7" s="50"/>
      <c r="AA7" s="50"/>
      <c r="AB7" s="50"/>
      <c r="AE7" s="51"/>
      <c r="AF7" s="222"/>
    </row>
    <row r="8" spans="2:42">
      <c r="B8" s="357"/>
      <c r="D8" s="224" t="s">
        <v>451</v>
      </c>
      <c r="I8" s="357"/>
      <c r="J8" s="57"/>
      <c r="K8" s="57"/>
      <c r="L8" s="57"/>
      <c r="M8" s="57"/>
      <c r="N8" s="57"/>
      <c r="O8" s="57" t="s">
        <v>470</v>
      </c>
      <c r="P8" s="57" t="s">
        <v>471</v>
      </c>
      <c r="Q8" s="57" t="s">
        <v>472</v>
      </c>
      <c r="R8" s="57" t="s">
        <v>351</v>
      </c>
      <c r="S8" s="57" t="s">
        <v>351</v>
      </c>
      <c r="T8" s="57"/>
      <c r="U8" s="57"/>
      <c r="V8" s="784"/>
      <c r="W8" s="286"/>
      <c r="X8" s="57" t="s">
        <v>352</v>
      </c>
      <c r="Y8" s="57" t="s">
        <v>352</v>
      </c>
      <c r="Z8" s="57" t="s">
        <v>352</v>
      </c>
      <c r="AA8" s="57" t="s">
        <v>352</v>
      </c>
      <c r="AB8" s="57" t="s">
        <v>352</v>
      </c>
      <c r="AE8" s="57"/>
      <c r="AF8" s="220"/>
    </row>
    <row r="9" spans="2:42">
      <c r="B9" s="357" t="s">
        <v>998</v>
      </c>
      <c r="D9" s="212" t="str">
        <f>"IND"&amp;RIGHT(H9,4)&amp;RIGHT(G9,3)&amp;"N"&amp;RIGHT(E9,1)</f>
        <v>INDODPHELCN1</v>
      </c>
      <c r="E9" s="261" t="str">
        <f>"Industrial heating technology "&amp;$AJ$12&amp;" "&amp;RIGHT(H9,2)&amp;" - Heat pump utilizing waste heat - new 1"</f>
        <v>Industrial heating technology Other PH - Heat pump utilizing waste heat - new 1</v>
      </c>
      <c r="F9" s="224" t="s">
        <v>1149</v>
      </c>
      <c r="G9" s="173" t="s">
        <v>499</v>
      </c>
      <c r="H9" s="174" t="str">
        <f>$AI$14</f>
        <v>IODPH</v>
      </c>
      <c r="I9" s="173"/>
      <c r="J9" s="224">
        <f>AD9</f>
        <v>2020</v>
      </c>
      <c r="K9" s="81">
        <v>2020</v>
      </c>
      <c r="L9" s="333">
        <v>1</v>
      </c>
      <c r="M9" s="199">
        <f ca="1">VLOOKUP($AD9,INDIRECT("'"&amp;$B9&amp;"'!"&amp;"$P$39:$AD$42"),3,FALSE)</f>
        <v>4.4754761904761899</v>
      </c>
      <c r="N9" s="81">
        <f ca="1">VLOOKUP($AD9,INDIRECT("'"&amp;$B9&amp;"'!"&amp;"$P$39:$AD$42"),5,FALSE)</f>
        <v>20</v>
      </c>
      <c r="O9" s="723">
        <f ca="1">VLOOKUP($AD9,INDIRECT("'"&amp;$B9&amp;"'!"&amp;"$P$39:$AD$42"),6,FALSE)/1000</f>
        <v>5.4385000000000003</v>
      </c>
      <c r="P9" s="723">
        <f ca="1">VLOOKUP($AD9,INDIRECT("'"&amp;$B9&amp;"'!"&amp;"$P$39:$AD$42"),7,FALSE)/1000</f>
        <v>1.49E-2</v>
      </c>
      <c r="Q9" s="81">
        <f ca="1">VLOOKUP($AD9,INDIRECT("'"&amp;$B9&amp;"'!"&amp;"$P$39:$AD$42"),8,FALSE)</f>
        <v>6.7463888888888883</v>
      </c>
      <c r="R9" s="81">
        <v>3.1536000000000002E-2</v>
      </c>
      <c r="S9" s="199">
        <v>0.5</v>
      </c>
      <c r="T9" s="199">
        <f ca="1">HLOOKUP($T$2,INDIRECT("'"&amp;$B9&amp;"'!"&amp;"$P$6:$AC$19"),IF(H9=$AI$13,6,IF(H9=$AI$14,9,14)),FALSE)</f>
        <v>0</v>
      </c>
      <c r="U9" s="199">
        <f ca="1">1/M9</f>
        <v>0.22343991062403579</v>
      </c>
      <c r="V9" s="199"/>
      <c r="W9" s="298"/>
      <c r="X9" s="698">
        <f ca="1">IF(VLOOKUP($AD9,INDIRECT("'"&amp;$B9&amp;"'!"&amp;"$P$39:$AD$42"),11,FALSE)="Cf. the utilized electricity",0,VLOOKUP($AD9,INDIRECT("'"&amp;$B9&amp;"'!"&amp;"$P$39:$AD$42"),11,FALSE))</f>
        <v>0</v>
      </c>
      <c r="Y9" s="81">
        <f ca="1">VLOOKUP($AD9,INDIRECT("'"&amp;$B9&amp;"'!"&amp;"$P$39:$AD$42"),12,FALSE)</f>
        <v>0</v>
      </c>
      <c r="Z9" s="81">
        <f ca="1">VLOOKUP($AD9,INDIRECT("'"&amp;$B9&amp;"'!"&amp;"$P$39:$AD$42"),13,FALSE)</f>
        <v>0</v>
      </c>
      <c r="AA9" s="81">
        <f ca="1">VLOOKUP($AD9,INDIRECT("'"&amp;$B9&amp;"'!"&amp;"$P$39:$AD$42"),14,FALSE)</f>
        <v>0</v>
      </c>
      <c r="AB9" s="81">
        <f ca="1">VLOOKUP($AD9,INDIRECT("'"&amp;$B9&amp;"'!"&amp;"$P$39:$AD$42"),15,FALSE)</f>
        <v>0</v>
      </c>
      <c r="AC9" s="226"/>
      <c r="AD9" s="81">
        <v>2020</v>
      </c>
      <c r="AE9" s="81"/>
      <c r="AF9" s="220"/>
    </row>
    <row r="10" spans="2:42">
      <c r="B10" s="357" t="s">
        <v>998</v>
      </c>
      <c r="D10" s="212"/>
      <c r="E10" s="261"/>
      <c r="F10" s="224" t="s">
        <v>1149</v>
      </c>
      <c r="G10" s="173" t="str">
        <f>$AI$20</f>
        <v>INDOWH</v>
      </c>
      <c r="H10" s="174"/>
      <c r="I10" s="174"/>
      <c r="K10" s="81"/>
      <c r="L10" s="333"/>
      <c r="M10" s="199"/>
      <c r="N10" s="81"/>
      <c r="O10" s="723"/>
      <c r="P10" s="723"/>
      <c r="Q10" s="81"/>
      <c r="R10" s="200"/>
      <c r="S10" s="772"/>
      <c r="T10" s="772"/>
      <c r="U10" s="199">
        <f ca="1">1-U9</f>
        <v>0.77656008937596421</v>
      </c>
      <c r="V10" s="772"/>
      <c r="W10" s="298"/>
      <c r="X10" s="698"/>
      <c r="Y10" s="81"/>
      <c r="Z10" s="81"/>
      <c r="AA10" s="81"/>
      <c r="AB10" s="81"/>
      <c r="AC10" s="226"/>
      <c r="AD10" s="81"/>
      <c r="AE10" s="81"/>
      <c r="AF10" s="220"/>
    </row>
    <row r="11" spans="2:42">
      <c r="B11" s="357" t="s">
        <v>998</v>
      </c>
      <c r="D11" s="212"/>
      <c r="E11" s="212"/>
      <c r="F11" s="224" t="s">
        <v>1149</v>
      </c>
      <c r="G11" s="173" t="s">
        <v>499</v>
      </c>
      <c r="H11" s="174" t="str">
        <f>$AI$14</f>
        <v>IODPH</v>
      </c>
      <c r="I11" s="173"/>
      <c r="J11" s="224">
        <f>AD11</f>
        <v>2030</v>
      </c>
      <c r="K11" s="81"/>
      <c r="L11" s="333">
        <v>1</v>
      </c>
      <c r="M11" s="199">
        <f ca="1">VLOOKUP($AD11,INDIRECT("'"&amp;$B11&amp;"'!"&amp;"$P$39:$AD$42"),3,FALSE)</f>
        <v>4.5792982142857133</v>
      </c>
      <c r="N11" s="81"/>
      <c r="O11" s="723">
        <f ca="1">VLOOKUP($AD11,INDIRECT("'"&amp;$B11&amp;"'!"&amp;"$P$39:$AD$42"),6,FALSE)/1000</f>
        <v>4.8425000000000002</v>
      </c>
      <c r="P11" s="723">
        <f ca="1">VLOOKUP($AD11,INDIRECT("'"&amp;$B11&amp;"'!"&amp;"$P$39:$AD$42"),7,FALSE)/1000</f>
        <v>1.49E-2</v>
      </c>
      <c r="Q11" s="81">
        <f ca="1">VLOOKUP($AD11,INDIRECT("'"&amp;$B11&amp;"'!"&amp;"$P$39:$AD$42"),8,FALSE)</f>
        <v>6.6222222222222227</v>
      </c>
      <c r="R11" s="300"/>
      <c r="S11" s="300"/>
      <c r="T11" s="300"/>
      <c r="U11" s="199">
        <f ca="1">1/M11</f>
        <v>0.21837407244637849</v>
      </c>
      <c r="V11" s="199"/>
      <c r="W11" s="298"/>
      <c r="X11" s="698">
        <f ca="1">IF(VLOOKUP($AD11,INDIRECT("'"&amp;$B11&amp;"'!"&amp;"$P$39:$AD$42"),11,FALSE)="Cf. the utilized electricity",0,VLOOKUP($AD11,INDIRECT("'"&amp;$B11&amp;"'!"&amp;"$P$39:$AD$42"),11,FALSE))</f>
        <v>0</v>
      </c>
      <c r="Y11" s="81">
        <f ca="1">VLOOKUP($AD11,INDIRECT("'"&amp;$B11&amp;"'!"&amp;"$P$39:$AD$42"),12,FALSE)</f>
        <v>0</v>
      </c>
      <c r="Z11" s="81">
        <f ca="1">VLOOKUP($AD11,INDIRECT("'"&amp;$B11&amp;"'!"&amp;"$P$39:$AD$42"),13,FALSE)</f>
        <v>0</v>
      </c>
      <c r="AA11" s="81">
        <f ca="1">VLOOKUP($AD11,INDIRECT("'"&amp;$B11&amp;"'!"&amp;"$P$39:$AD$42"),14,FALSE)</f>
        <v>0</v>
      </c>
      <c r="AB11" s="81">
        <f ca="1">VLOOKUP($AD11,INDIRECT("'"&amp;$B11&amp;"'!"&amp;"$P$39:$AD$42"),15,FALSE)</f>
        <v>0</v>
      </c>
      <c r="AC11" s="226"/>
      <c r="AD11" s="81">
        <v>2030</v>
      </c>
      <c r="AE11" s="81"/>
      <c r="AF11" s="220"/>
    </row>
    <row r="12" spans="2:42">
      <c r="B12" s="357" t="s">
        <v>998</v>
      </c>
      <c r="D12" s="212"/>
      <c r="E12" s="212"/>
      <c r="F12" s="224" t="s">
        <v>1149</v>
      </c>
      <c r="G12" s="173" t="str">
        <f>$AI$20</f>
        <v>INDOWH</v>
      </c>
      <c r="H12" s="174"/>
      <c r="I12" s="174"/>
      <c r="K12" s="81"/>
      <c r="L12" s="333"/>
      <c r="M12" s="199"/>
      <c r="N12" s="81"/>
      <c r="O12" s="723"/>
      <c r="P12" s="723"/>
      <c r="Q12" s="81"/>
      <c r="R12" s="300"/>
      <c r="S12" s="300"/>
      <c r="T12" s="300"/>
      <c r="U12" s="199">
        <f ca="1">1-U11</f>
        <v>0.78162592755362148</v>
      </c>
      <c r="V12" s="300"/>
      <c r="W12" s="298"/>
      <c r="X12" s="698"/>
      <c r="Y12" s="81"/>
      <c r="Z12" s="81"/>
      <c r="AA12" s="81"/>
      <c r="AB12" s="81"/>
      <c r="AC12" s="226"/>
      <c r="AD12" s="81"/>
      <c r="AE12" s="81"/>
      <c r="AF12" s="220"/>
      <c r="AI12" s="224" t="s">
        <v>518</v>
      </c>
      <c r="AJ12" s="224" t="str">
        <f>E2</f>
        <v>Other</v>
      </c>
    </row>
    <row r="13" spans="2:42">
      <c r="B13" s="357" t="s">
        <v>998</v>
      </c>
      <c r="D13" s="212"/>
      <c r="E13" s="212"/>
      <c r="F13" s="224" t="s">
        <v>1149</v>
      </c>
      <c r="G13" s="173" t="s">
        <v>499</v>
      </c>
      <c r="H13" s="174" t="str">
        <f>$AI$14</f>
        <v>IODPH</v>
      </c>
      <c r="I13" s="173"/>
      <c r="J13" s="224">
        <f>AD13</f>
        <v>2050</v>
      </c>
      <c r="K13" s="81"/>
      <c r="L13" s="333">
        <v>1</v>
      </c>
      <c r="M13" s="199">
        <f ca="1">VLOOKUP($AD13,INDIRECT("'"&amp;$B13&amp;"'!"&amp;"$P$39:$AD$42"),3,FALSE)</f>
        <v>4.7191030203571422</v>
      </c>
      <c r="N13" s="81"/>
      <c r="O13" s="723">
        <f ca="1">VLOOKUP($AD13,INDIRECT("'"&amp;$B13&amp;"'!"&amp;"$P$39:$AD$42"),6,FALSE)/1000</f>
        <v>4.3209999999999997</v>
      </c>
      <c r="P13" s="723">
        <f ca="1">VLOOKUP($AD13,INDIRECT("'"&amp;$B13&amp;"'!"&amp;"$P$39:$AD$42"),7,FALSE)/1000</f>
        <v>1.49E-2</v>
      </c>
      <c r="Q13" s="81">
        <f ca="1">VLOOKUP($AD13,INDIRECT("'"&amp;$B13&amp;"'!"&amp;"$P$39:$AD$42"),8,FALSE)</f>
        <v>6.4566666666666661</v>
      </c>
      <c r="R13" s="300"/>
      <c r="S13" s="300"/>
      <c r="T13" s="300"/>
      <c r="U13" s="199">
        <f ca="1">1/M13</f>
        <v>0.21190467673331698</v>
      </c>
      <c r="V13" s="199"/>
      <c r="W13" s="298"/>
      <c r="X13" s="698">
        <f ca="1">IF(VLOOKUP($AD13,INDIRECT("'"&amp;$B13&amp;"'!"&amp;"$P$39:$AD$42"),11,FALSE)="Cf. the utilized electricity",0,VLOOKUP($AD13,INDIRECT("'"&amp;$B13&amp;"'!"&amp;"$P$39:$AD$42"),11,FALSE))</f>
        <v>0</v>
      </c>
      <c r="Y13" s="81">
        <f ca="1">VLOOKUP($AD13,INDIRECT("'"&amp;$B13&amp;"'!"&amp;"$P$39:$AD$42"),12,FALSE)</f>
        <v>0</v>
      </c>
      <c r="Z13" s="81">
        <f ca="1">VLOOKUP($AD13,INDIRECT("'"&amp;$B13&amp;"'!"&amp;"$P$39:$AD$42"),13,FALSE)</f>
        <v>0</v>
      </c>
      <c r="AA13" s="81">
        <f ca="1">VLOOKUP($AD13,INDIRECT("'"&amp;$B13&amp;"'!"&amp;"$P$39:$AD$42"),14,FALSE)</f>
        <v>0</v>
      </c>
      <c r="AB13" s="81">
        <f ca="1">VLOOKUP($AD13,INDIRECT("'"&amp;$B13&amp;"'!"&amp;"$P$39:$AD$42"),15,FALSE)</f>
        <v>0</v>
      </c>
      <c r="AC13" s="226"/>
      <c r="AD13" s="81">
        <v>2050</v>
      </c>
      <c r="AE13" s="81"/>
      <c r="AF13" s="220"/>
      <c r="AI13" s="224" t="str">
        <f>AO14</f>
        <v>IODPH</v>
      </c>
      <c r="AJ13" s="224" t="str">
        <f>AP14</f>
        <v>Other comm Demand Heat High Temp. over 150C</v>
      </c>
      <c r="AO13" s="224" t="s">
        <v>2094</v>
      </c>
      <c r="AP13" s="224" t="s">
        <v>1223</v>
      </c>
    </row>
    <row r="14" spans="2:42">
      <c r="B14" s="357" t="s">
        <v>998</v>
      </c>
      <c r="D14" s="212"/>
      <c r="E14" s="212"/>
      <c r="F14" s="224" t="s">
        <v>1149</v>
      </c>
      <c r="G14" s="173" t="str">
        <f>$AI$20</f>
        <v>INDOWH</v>
      </c>
      <c r="H14" s="174"/>
      <c r="I14" s="174"/>
      <c r="K14" s="81"/>
      <c r="L14" s="333"/>
      <c r="M14" s="199"/>
      <c r="N14" s="81"/>
      <c r="O14" s="723"/>
      <c r="P14" s="723"/>
      <c r="Q14" s="81"/>
      <c r="R14" s="300"/>
      <c r="S14" s="300"/>
      <c r="T14" s="300"/>
      <c r="U14" s="199">
        <f ca="1">1-U13</f>
        <v>0.78809532326668297</v>
      </c>
      <c r="V14" s="300"/>
      <c r="W14" s="298"/>
      <c r="X14" s="698"/>
      <c r="Y14" s="81"/>
      <c r="Z14" s="81"/>
      <c r="AA14" s="81"/>
      <c r="AB14" s="81"/>
      <c r="AC14" s="226"/>
      <c r="AD14" s="81"/>
      <c r="AE14" s="81"/>
      <c r="AF14" s="220"/>
      <c r="AI14" s="224" t="str">
        <f>AO13</f>
        <v>IODPH</v>
      </c>
      <c r="AJ14" s="224" t="str">
        <f>AP13</f>
        <v>Other comm Demand Heat Medium Temp. up to 150C</v>
      </c>
      <c r="AO14" s="224" t="s">
        <v>2094</v>
      </c>
      <c r="AP14" s="224" t="s">
        <v>1224</v>
      </c>
    </row>
    <row r="15" spans="2:42">
      <c r="B15" s="357" t="s">
        <v>998</v>
      </c>
      <c r="D15" s="212" t="str">
        <f>"IND"&amp;RIGHT(H15,4)&amp;RIGHT(G15,3)&amp;"N"&amp;RIGHT(E15,1)</f>
        <v>INDODSHELCN1</v>
      </c>
      <c r="E15" s="261" t="str">
        <f>"Industrial heating technology "&amp;$AJ$12&amp;" "&amp;RIGHT(H15,2)&amp;" - Heat pump utilizing waste heat - new 1"</f>
        <v>Industrial heating technology Other SH - Heat pump utilizing waste heat - new 1</v>
      </c>
      <c r="F15" s="224" t="s">
        <v>1149</v>
      </c>
      <c r="G15" s="173" t="s">
        <v>499</v>
      </c>
      <c r="H15" s="174" t="str">
        <f>$AI$15</f>
        <v>IODSH</v>
      </c>
      <c r="I15" s="174"/>
      <c r="J15" s="224">
        <f>AD15</f>
        <v>2020</v>
      </c>
      <c r="K15" s="81">
        <v>2020</v>
      </c>
      <c r="L15" s="333">
        <v>1</v>
      </c>
      <c r="M15" s="199">
        <f ca="1">VLOOKUP($AD15,INDIRECT("'"&amp;$B15&amp;"'!"&amp;"$P$39:$AD$42"),3,FALSE)</f>
        <v>4.4754761904761899</v>
      </c>
      <c r="N15" s="81">
        <f ca="1">VLOOKUP($AD15,INDIRECT("'"&amp;$B15&amp;"'!"&amp;"$P$39:$AD$42"),5,FALSE)</f>
        <v>20</v>
      </c>
      <c r="O15" s="723">
        <f ca="1">VLOOKUP($AD15,INDIRECT("'"&amp;$B15&amp;"'!"&amp;"$P$39:$AD$42"),6,FALSE)/1000</f>
        <v>5.4385000000000003</v>
      </c>
      <c r="P15" s="723">
        <f ca="1">VLOOKUP($AD15,INDIRECT("'"&amp;$B15&amp;"'!"&amp;"$P$39:$AD$42"),7,FALSE)/1000</f>
        <v>1.49E-2</v>
      </c>
      <c r="Q15" s="81">
        <f ca="1">VLOOKUP($AD15,INDIRECT("'"&amp;$B15&amp;"'!"&amp;"$P$39:$AD$42"),8,FALSE)</f>
        <v>6.7463888888888883</v>
      </c>
      <c r="R15" s="81">
        <v>3.1536000000000002E-2</v>
      </c>
      <c r="S15" s="199">
        <v>0.5</v>
      </c>
      <c r="T15" s="199">
        <f ca="1">HLOOKUP($T$2,INDIRECT("'"&amp;$B15&amp;"'!"&amp;"$P$6:$AC$19"),IF(H15=$AI$13,6,IF(H15=$AI$14,9,14)),FALSE)</f>
        <v>1</v>
      </c>
      <c r="U15" s="199">
        <f ca="1">1/M15</f>
        <v>0.22343991062403579</v>
      </c>
      <c r="V15" s="199"/>
      <c r="W15" s="298"/>
      <c r="X15" s="698">
        <f ca="1">IF(VLOOKUP($AD15,INDIRECT("'"&amp;$B15&amp;"'!"&amp;"$P$39:$AD$42"),11,FALSE)="Cf. the utilized electricity",0,VLOOKUP($AD15,INDIRECT("'"&amp;$B15&amp;"'!"&amp;"$P$39:$AD$42"),11,FALSE))</f>
        <v>0</v>
      </c>
      <c r="Y15" s="81">
        <f ca="1">VLOOKUP($AD15,INDIRECT("'"&amp;$B15&amp;"'!"&amp;"$P$39:$AD$42"),12,FALSE)</f>
        <v>0</v>
      </c>
      <c r="Z15" s="81">
        <f ca="1">VLOOKUP($AD15,INDIRECT("'"&amp;$B15&amp;"'!"&amp;"$P$39:$AD$42"),13,FALSE)</f>
        <v>0</v>
      </c>
      <c r="AA15" s="81">
        <f ca="1">VLOOKUP($AD15,INDIRECT("'"&amp;$B15&amp;"'!"&amp;"$P$39:$AD$42"),14,FALSE)</f>
        <v>0</v>
      </c>
      <c r="AB15" s="81">
        <f ca="1">VLOOKUP($AD15,INDIRECT("'"&amp;$B15&amp;"'!"&amp;"$P$39:$AD$42"),15,FALSE)</f>
        <v>0</v>
      </c>
      <c r="AC15" s="226"/>
      <c r="AD15" s="81">
        <v>2020</v>
      </c>
      <c r="AE15" s="81"/>
      <c r="AF15" s="220"/>
      <c r="AI15" s="224" t="str">
        <f>AO15</f>
        <v>IODSH</v>
      </c>
      <c r="AJ15" s="224" t="str">
        <f>AP15</f>
        <v>Other comm Demand Heat Room Heat</v>
      </c>
      <c r="AO15" s="224" t="s">
        <v>2095</v>
      </c>
      <c r="AP15" s="224" t="s">
        <v>1225</v>
      </c>
    </row>
    <row r="16" spans="2:42">
      <c r="B16" s="357" t="s">
        <v>998</v>
      </c>
      <c r="D16" s="212"/>
      <c r="E16" s="261"/>
      <c r="F16" s="224" t="s">
        <v>1149</v>
      </c>
      <c r="G16" s="173" t="str">
        <f>$AI$20</f>
        <v>INDOWH</v>
      </c>
      <c r="H16" s="174"/>
      <c r="I16" s="174"/>
      <c r="K16" s="81"/>
      <c r="L16" s="333"/>
      <c r="M16" s="199"/>
      <c r="N16" s="81"/>
      <c r="O16" s="723"/>
      <c r="P16" s="723"/>
      <c r="Q16" s="81"/>
      <c r="R16" s="200"/>
      <c r="S16" s="772"/>
      <c r="T16" s="772"/>
      <c r="U16" s="199">
        <f ca="1">1-U15</f>
        <v>0.77656008937596421</v>
      </c>
      <c r="V16" s="772"/>
      <c r="W16" s="298"/>
      <c r="X16" s="698"/>
      <c r="Y16" s="81"/>
      <c r="Z16" s="81"/>
      <c r="AA16" s="81"/>
      <c r="AB16" s="81"/>
      <c r="AC16" s="226"/>
      <c r="AD16" s="81"/>
      <c r="AE16" s="81"/>
      <c r="AF16" s="220"/>
      <c r="AI16" s="224" t="str">
        <f t="shared" ref="AI16:AJ19" si="0">AO16</f>
        <v>IODLA</v>
      </c>
      <c r="AJ16" s="224" t="str">
        <f t="shared" si="0"/>
        <v>Other comm Demand Light</v>
      </c>
      <c r="AO16" s="224" t="s">
        <v>1226</v>
      </c>
      <c r="AP16" s="224" t="s">
        <v>1227</v>
      </c>
    </row>
    <row r="17" spans="2:42">
      <c r="B17" s="357" t="s">
        <v>998</v>
      </c>
      <c r="D17" s="212"/>
      <c r="E17" s="212"/>
      <c r="F17" s="224" t="s">
        <v>1149</v>
      </c>
      <c r="G17" s="173" t="s">
        <v>499</v>
      </c>
      <c r="H17" s="174" t="str">
        <f>$AI$15</f>
        <v>IODSH</v>
      </c>
      <c r="I17" s="174"/>
      <c r="J17" s="224">
        <f>AD17</f>
        <v>2030</v>
      </c>
      <c r="K17" s="81"/>
      <c r="L17" s="333">
        <v>1</v>
      </c>
      <c r="M17" s="199">
        <f ca="1">VLOOKUP($AD17,INDIRECT("'"&amp;$B17&amp;"'!"&amp;"$P$39:$AD$42"),3,FALSE)</f>
        <v>4.5792982142857133</v>
      </c>
      <c r="N17" s="81"/>
      <c r="O17" s="723">
        <f ca="1">VLOOKUP($AD17,INDIRECT("'"&amp;$B17&amp;"'!"&amp;"$P$39:$AD$42"),6,FALSE)/1000</f>
        <v>4.8425000000000002</v>
      </c>
      <c r="P17" s="723">
        <f ca="1">VLOOKUP($AD17,INDIRECT("'"&amp;$B17&amp;"'!"&amp;"$P$39:$AD$42"),7,FALSE)/1000</f>
        <v>1.49E-2</v>
      </c>
      <c r="Q17" s="81">
        <f ca="1">VLOOKUP($AD17,INDIRECT("'"&amp;$B17&amp;"'!"&amp;"$P$39:$AD$42"),8,FALSE)</f>
        <v>6.6222222222222227</v>
      </c>
      <c r="R17" s="300"/>
      <c r="S17" s="300"/>
      <c r="T17" s="300"/>
      <c r="U17" s="199">
        <f ca="1">1/M17</f>
        <v>0.21837407244637849</v>
      </c>
      <c r="V17" s="199"/>
      <c r="W17" s="298"/>
      <c r="X17" s="698">
        <f ca="1">IF(VLOOKUP($AD17,INDIRECT("'"&amp;$B17&amp;"'!"&amp;"$P$39:$AD$42"),11,FALSE)="Cf. the utilized electricity",0,VLOOKUP($AD17,INDIRECT("'"&amp;$B17&amp;"'!"&amp;"$P$39:$AD$42"),11,FALSE))</f>
        <v>0</v>
      </c>
      <c r="Y17" s="81">
        <f ca="1">VLOOKUP($AD17,INDIRECT("'"&amp;$B17&amp;"'!"&amp;"$P$39:$AD$42"),12,FALSE)</f>
        <v>0</v>
      </c>
      <c r="Z17" s="81">
        <f ca="1">VLOOKUP($AD17,INDIRECT("'"&amp;$B17&amp;"'!"&amp;"$P$39:$AD$42"),13,FALSE)</f>
        <v>0</v>
      </c>
      <c r="AA17" s="81">
        <f ca="1">VLOOKUP($AD17,INDIRECT("'"&amp;$B17&amp;"'!"&amp;"$P$39:$AD$42"),14,FALSE)</f>
        <v>0</v>
      </c>
      <c r="AB17" s="81">
        <f ca="1">VLOOKUP($AD17,INDIRECT("'"&amp;$B17&amp;"'!"&amp;"$P$39:$AD$42"),15,FALSE)</f>
        <v>0</v>
      </c>
      <c r="AC17" s="226"/>
      <c r="AD17" s="81">
        <v>2030</v>
      </c>
      <c r="AE17" s="81"/>
      <c r="AF17" s="220"/>
      <c r="AI17" s="224" t="str">
        <f t="shared" si="0"/>
        <v>IODEM</v>
      </c>
      <c r="AJ17" s="224" t="str">
        <f t="shared" si="0"/>
        <v>Other comm Demand Electric Motors</v>
      </c>
      <c r="AO17" s="224" t="s">
        <v>1228</v>
      </c>
      <c r="AP17" s="224" t="s">
        <v>1229</v>
      </c>
    </row>
    <row r="18" spans="2:42">
      <c r="B18" s="357" t="s">
        <v>998</v>
      </c>
      <c r="D18" s="212"/>
      <c r="E18" s="212"/>
      <c r="F18" s="224" t="s">
        <v>1149</v>
      </c>
      <c r="G18" s="173" t="str">
        <f>$AI$20</f>
        <v>INDOWH</v>
      </c>
      <c r="H18" s="174"/>
      <c r="I18" s="174"/>
      <c r="K18" s="81"/>
      <c r="L18" s="333"/>
      <c r="M18" s="199"/>
      <c r="N18" s="81"/>
      <c r="O18" s="723"/>
      <c r="P18" s="723"/>
      <c r="Q18" s="81"/>
      <c r="R18" s="300"/>
      <c r="S18" s="300"/>
      <c r="T18" s="300"/>
      <c r="U18" s="199">
        <f ca="1">1-U17</f>
        <v>0.78162592755362148</v>
      </c>
      <c r="V18" s="300"/>
      <c r="W18" s="298"/>
      <c r="X18" s="698"/>
      <c r="Y18" s="81"/>
      <c r="Z18" s="81"/>
      <c r="AA18" s="81"/>
      <c r="AB18" s="81"/>
      <c r="AC18" s="226"/>
      <c r="AD18" s="81"/>
      <c r="AE18" s="81"/>
      <c r="AF18" s="220"/>
      <c r="AI18" s="224" t="str">
        <f t="shared" si="0"/>
        <v>IODTF</v>
      </c>
      <c r="AJ18" s="224" t="str">
        <f t="shared" si="0"/>
        <v>Other comm Demand Haulage Tractors, Trucks, Fishing boats, Forest machines</v>
      </c>
      <c r="AO18" s="224" t="s">
        <v>1230</v>
      </c>
      <c r="AP18" s="224" t="s">
        <v>1231</v>
      </c>
    </row>
    <row r="19" spans="2:42">
      <c r="B19" s="357" t="s">
        <v>998</v>
      </c>
      <c r="D19" s="212"/>
      <c r="E19" s="212"/>
      <c r="F19" s="224" t="s">
        <v>1149</v>
      </c>
      <c r="G19" s="173" t="s">
        <v>499</v>
      </c>
      <c r="H19" s="174" t="str">
        <f>$AI$15</f>
        <v>IODSH</v>
      </c>
      <c r="I19" s="174"/>
      <c r="J19" s="224">
        <f>AD19</f>
        <v>2050</v>
      </c>
      <c r="K19" s="81"/>
      <c r="L19" s="333">
        <v>1</v>
      </c>
      <c r="M19" s="199">
        <f ca="1">VLOOKUP($AD19,INDIRECT("'"&amp;$B19&amp;"'!"&amp;"$P$39:$AD$42"),3,FALSE)</f>
        <v>4.7191030203571422</v>
      </c>
      <c r="N19" s="81"/>
      <c r="O19" s="723">
        <f ca="1">VLOOKUP($AD19,INDIRECT("'"&amp;$B19&amp;"'!"&amp;"$P$39:$AD$42"),6,FALSE)/1000</f>
        <v>4.3209999999999997</v>
      </c>
      <c r="P19" s="723">
        <f ca="1">VLOOKUP($AD19,INDIRECT("'"&amp;$B19&amp;"'!"&amp;"$P$39:$AD$42"),7,FALSE)/1000</f>
        <v>1.49E-2</v>
      </c>
      <c r="Q19" s="81">
        <f ca="1">VLOOKUP($AD19,INDIRECT("'"&amp;$B19&amp;"'!"&amp;"$P$39:$AD$42"),8,FALSE)</f>
        <v>6.4566666666666661</v>
      </c>
      <c r="R19" s="300"/>
      <c r="S19" s="300"/>
      <c r="T19" s="300"/>
      <c r="U19" s="199">
        <f ca="1">1/M19</f>
        <v>0.21190467673331698</v>
      </c>
      <c r="V19" s="199"/>
      <c r="W19" s="298"/>
      <c r="X19" s="698">
        <f ca="1">IF(VLOOKUP($AD19,INDIRECT("'"&amp;$B19&amp;"'!"&amp;"$P$39:$AD$42"),11,FALSE)="Cf. the utilized electricity",0,VLOOKUP($AD19,INDIRECT("'"&amp;$B19&amp;"'!"&amp;"$P$39:$AD$42"),11,FALSE))</f>
        <v>0</v>
      </c>
      <c r="Y19" s="81">
        <f ca="1">VLOOKUP($AD19,INDIRECT("'"&amp;$B19&amp;"'!"&amp;"$P$39:$AD$42"),12,FALSE)</f>
        <v>0</v>
      </c>
      <c r="Z19" s="81">
        <f ca="1">VLOOKUP($AD19,INDIRECT("'"&amp;$B19&amp;"'!"&amp;"$P$39:$AD$42"),13,FALSE)</f>
        <v>0</v>
      </c>
      <c r="AA19" s="81">
        <f ca="1">VLOOKUP($AD19,INDIRECT("'"&amp;$B19&amp;"'!"&amp;"$P$39:$AD$42"),14,FALSE)</f>
        <v>0</v>
      </c>
      <c r="AB19" s="81">
        <f ca="1">VLOOKUP($AD19,INDIRECT("'"&amp;$B19&amp;"'!"&amp;"$P$39:$AD$42"),15,FALSE)</f>
        <v>0</v>
      </c>
      <c r="AC19" s="226"/>
      <c r="AD19" s="81">
        <v>2050</v>
      </c>
      <c r="AE19" s="81"/>
      <c r="AF19" s="220"/>
      <c r="AI19" s="224" t="str">
        <f t="shared" si="0"/>
        <v>IODFL</v>
      </c>
      <c r="AJ19" s="224" t="str">
        <f t="shared" si="0"/>
        <v>Other comm Demand Haulage Forklifts</v>
      </c>
      <c r="AO19" s="224" t="s">
        <v>1232</v>
      </c>
      <c r="AP19" s="224" t="s">
        <v>1233</v>
      </c>
    </row>
    <row r="20" spans="2:42">
      <c r="B20" s="357" t="s">
        <v>998</v>
      </c>
      <c r="D20" s="212"/>
      <c r="E20" s="212"/>
      <c r="F20" s="224" t="s">
        <v>1149</v>
      </c>
      <c r="G20" s="173" t="str">
        <f>$AI$20</f>
        <v>INDOWH</v>
      </c>
      <c r="H20" s="174"/>
      <c r="I20" s="174"/>
      <c r="K20" s="81"/>
      <c r="L20" s="333"/>
      <c r="M20" s="199"/>
      <c r="N20" s="81"/>
      <c r="O20" s="723"/>
      <c r="P20" s="723"/>
      <c r="Q20" s="81"/>
      <c r="R20" s="300"/>
      <c r="S20" s="300"/>
      <c r="T20" s="300"/>
      <c r="U20" s="199">
        <f ca="1">1-U19</f>
        <v>0.78809532326668297</v>
      </c>
      <c r="V20" s="300"/>
      <c r="W20" s="298"/>
      <c r="X20" s="698"/>
      <c r="Y20" s="81"/>
      <c r="Z20" s="81"/>
      <c r="AA20" s="81"/>
      <c r="AB20" s="81"/>
      <c r="AC20" s="226"/>
      <c r="AD20" s="81"/>
      <c r="AE20" s="81"/>
      <c r="AF20" s="220"/>
      <c r="AI20" s="36" t="str">
        <f>"IND"&amp;MID(AI19,2,1)&amp;"WH"</f>
        <v>INDOWH</v>
      </c>
      <c r="AJ20" s="224" t="str">
        <f>$AJ$12&amp;" Industrial Waste Heat"</f>
        <v>Other Industrial Waste Heat</v>
      </c>
    </row>
    <row r="21" spans="2:42">
      <c r="B21" s="357" t="s">
        <v>999</v>
      </c>
      <c r="D21" s="212" t="str">
        <f>"IND"&amp;RIGHT(H21,4)&amp;RIGHT(G21,3)&amp;"N"&amp;RIGHT(E21,1)</f>
        <v>INDODPHELCN2</v>
      </c>
      <c r="E21" s="261" t="str">
        <f>"Industrial heating technology "&amp;$AJ$12&amp;" "&amp;RIGHT(H21,2)&amp;" - Heat driven heat pump utilizing waste heat - new 2"</f>
        <v>Industrial heating technology Other PH - Heat driven heat pump utilizing waste heat - new 2</v>
      </c>
      <c r="F21" s="224" t="s">
        <v>1149</v>
      </c>
      <c r="G21" s="173" t="s">
        <v>499</v>
      </c>
      <c r="H21" s="174" t="str">
        <f>$AI$14</f>
        <v>IODPH</v>
      </c>
      <c r="I21" s="174"/>
      <c r="J21" s="224">
        <f t="shared" ref="J21" si="1">AD21</f>
        <v>2020</v>
      </c>
      <c r="K21" s="81">
        <v>2020</v>
      </c>
      <c r="L21" s="333">
        <v>1</v>
      </c>
      <c r="M21" s="199">
        <f ca="1">VLOOKUP($AD21,INDIRECT("'"&amp;$B21&amp;"'!"&amp;"$P$39:$AD$42"),3,FALSE)</f>
        <v>1.68</v>
      </c>
      <c r="N21" s="81">
        <f ca="1">VLOOKUP($AD21,INDIRECT("'"&amp;$B21&amp;"'!"&amp;"$P$39:$AD$42"),5,FALSE)</f>
        <v>20</v>
      </c>
      <c r="O21" s="723">
        <f ca="1">VLOOKUP($AD21,INDIRECT("'"&amp;$B21&amp;"'!"&amp;"$P$39:$AD$42"),6,FALSE)/1000</f>
        <v>4.1720000000000006</v>
      </c>
      <c r="P21" s="723">
        <f ca="1">VLOOKUP($AD21,INDIRECT("'"&amp;$B21&amp;"'!"&amp;"$P$39:$AD$42"),7,FALSE)/1000</f>
        <v>1.49E-2</v>
      </c>
      <c r="Q21" s="81">
        <f ca="1">VLOOKUP($AD21,INDIRECT("'"&amp;$B21&amp;"'!"&amp;"$P$39:$AD$42"),8,FALSE)</f>
        <v>2.0901388888888892</v>
      </c>
      <c r="R21" s="81">
        <v>3.1536000000000002E-2</v>
      </c>
      <c r="S21" s="199">
        <v>0.5</v>
      </c>
      <c r="T21" s="199">
        <f ca="1">HLOOKUP($T$2,INDIRECT("'"&amp;$B21&amp;"'!"&amp;"$P$6:$AC$19"),IF(H21=$AI$13,6,IF(H21=$AI$14,9,14)),FALSE)</f>
        <v>0</v>
      </c>
      <c r="U21" s="199">
        <f ca="1">1/M21</f>
        <v>0.59523809523809523</v>
      </c>
      <c r="V21" s="199"/>
      <c r="W21" s="298"/>
      <c r="X21" s="698">
        <f ca="1">IF(VLOOKUP($AD21,INDIRECT("'"&amp;$B21&amp;"'!"&amp;"$P$39:$AD$42"),11,FALSE)="Cf. the utilized electricity",0,VLOOKUP($AD21,INDIRECT("'"&amp;$B21&amp;"'!"&amp;"$P$39:$AD$42"),11,FALSE))</f>
        <v>0</v>
      </c>
      <c r="Y21" s="81">
        <f ca="1">VLOOKUP($AD21,INDIRECT("'"&amp;$B21&amp;"'!"&amp;"$P$39:$AD$42"),12,FALSE)</f>
        <v>0</v>
      </c>
      <c r="Z21" s="81">
        <f ca="1">VLOOKUP($AD21,INDIRECT("'"&amp;$B21&amp;"'!"&amp;"$P$39:$AD$42"),13,FALSE)</f>
        <v>0</v>
      </c>
      <c r="AA21" s="81">
        <f ca="1">VLOOKUP($AD21,INDIRECT("'"&amp;$B21&amp;"'!"&amp;"$P$39:$AD$42"),14,FALSE)</f>
        <v>0</v>
      </c>
      <c r="AB21" s="81">
        <f ca="1">VLOOKUP($AD21,INDIRECT("'"&amp;$B21&amp;"'!"&amp;"$P$39:$AD$42"),15,FALSE)</f>
        <v>0</v>
      </c>
      <c r="AC21" s="226"/>
      <c r="AD21" s="81">
        <v>2020</v>
      </c>
      <c r="AE21" s="81"/>
      <c r="AF21" s="220"/>
      <c r="AI21" s="224" t="str">
        <f>"I"&amp;LEFT($AJ$12,1)&amp;"DCO"</f>
        <v>IODCO</v>
      </c>
      <c r="AJ21" s="224" t="s">
        <v>2111</v>
      </c>
    </row>
    <row r="22" spans="2:42">
      <c r="B22" s="357" t="s">
        <v>999</v>
      </c>
      <c r="D22" s="212"/>
      <c r="E22" s="261"/>
      <c r="F22" s="224" t="s">
        <v>1149</v>
      </c>
      <c r="G22" s="173" t="str">
        <f>$AI$20</f>
        <v>INDOWH</v>
      </c>
      <c r="H22" s="174"/>
      <c r="I22" s="174"/>
      <c r="K22" s="81"/>
      <c r="L22" s="333"/>
      <c r="M22" s="199"/>
      <c r="N22" s="81"/>
      <c r="O22" s="723"/>
      <c r="P22" s="723"/>
      <c r="Q22" s="81"/>
      <c r="R22" s="200"/>
      <c r="S22" s="772"/>
      <c r="T22" s="772"/>
      <c r="U22" s="199">
        <f ca="1">1-U21</f>
        <v>0.40476190476190477</v>
      </c>
      <c r="V22" s="772"/>
      <c r="W22" s="298"/>
      <c r="X22" s="698"/>
      <c r="Y22" s="81"/>
      <c r="Z22" s="81"/>
      <c r="AA22" s="81"/>
      <c r="AB22" s="81"/>
      <c r="AC22" s="226"/>
      <c r="AD22" s="81"/>
      <c r="AE22" s="81"/>
      <c r="AF22" s="220"/>
      <c r="AI22" s="224">
        <v>1</v>
      </c>
    </row>
    <row r="23" spans="2:42">
      <c r="B23" s="357" t="s">
        <v>999</v>
      </c>
      <c r="D23" s="212"/>
      <c r="E23" s="212"/>
      <c r="F23" s="224" t="s">
        <v>1149</v>
      </c>
      <c r="G23" s="173" t="s">
        <v>499</v>
      </c>
      <c r="H23" s="174" t="str">
        <f>$AI$14</f>
        <v>IODPH</v>
      </c>
      <c r="I23" s="174"/>
      <c r="J23" s="224">
        <f t="shared" ref="J23" si="2">AD23</f>
        <v>2030</v>
      </c>
      <c r="K23" s="81"/>
      <c r="L23" s="333">
        <v>1</v>
      </c>
      <c r="M23" s="199">
        <f ca="1">VLOOKUP($AD23,INDIRECT("'"&amp;$B23&amp;"'!"&amp;"$P$39:$AD$42"),3,FALSE)</f>
        <v>1.69</v>
      </c>
      <c r="N23" s="81"/>
      <c r="O23" s="723">
        <f ca="1">VLOOKUP($AD23,INDIRECT("'"&amp;$B23&amp;"'!"&amp;"$P$39:$AD$42"),6,FALSE)/1000</f>
        <v>3.7995000000000001</v>
      </c>
      <c r="P23" s="723">
        <f ca="1">VLOOKUP($AD23,INDIRECT("'"&amp;$B23&amp;"'!"&amp;"$P$39:$AD$42"),7,FALSE)/1000</f>
        <v>1.49E-2</v>
      </c>
      <c r="Q23" s="81">
        <f ca="1">VLOOKUP($AD23,INDIRECT("'"&amp;$B23&amp;"'!"&amp;"$P$39:$AD$42"),8,FALSE)</f>
        <v>2.0694444444444446</v>
      </c>
      <c r="R23" s="300"/>
      <c r="S23" s="300"/>
      <c r="T23" s="300"/>
      <c r="U23" s="199">
        <f ca="1">1/M23</f>
        <v>0.59171597633136097</v>
      </c>
      <c r="V23" s="199"/>
      <c r="W23" s="298"/>
      <c r="X23" s="698">
        <f ca="1">IF(VLOOKUP($AD23,INDIRECT("'"&amp;$B23&amp;"'!"&amp;"$P$39:$AD$42"),11,FALSE)="Cf. the utilized electricity",0,VLOOKUP($AD23,INDIRECT("'"&amp;$B23&amp;"'!"&amp;"$P$39:$AD$42"),11,FALSE))</f>
        <v>0</v>
      </c>
      <c r="Y23" s="81">
        <f ca="1">VLOOKUP($AD23,INDIRECT("'"&amp;$B23&amp;"'!"&amp;"$P$39:$AD$42"),12,FALSE)</f>
        <v>0</v>
      </c>
      <c r="Z23" s="81">
        <f ca="1">VLOOKUP($AD23,INDIRECT("'"&amp;$B23&amp;"'!"&amp;"$P$39:$AD$42"),13,FALSE)</f>
        <v>0</v>
      </c>
      <c r="AA23" s="81">
        <f ca="1">VLOOKUP($AD23,INDIRECT("'"&amp;$B23&amp;"'!"&amp;"$P$39:$AD$42"),14,FALSE)</f>
        <v>0</v>
      </c>
      <c r="AB23" s="81">
        <f ca="1">VLOOKUP($AD23,INDIRECT("'"&amp;$B23&amp;"'!"&amp;"$P$39:$AD$42"),15,FALSE)</f>
        <v>0</v>
      </c>
      <c r="AC23" s="226"/>
      <c r="AD23" s="81">
        <v>2030</v>
      </c>
      <c r="AE23" s="81"/>
      <c r="AF23" s="220"/>
      <c r="AI23" s="224">
        <v>2</v>
      </c>
    </row>
    <row r="24" spans="2:42" ht="14.5" customHeight="1">
      <c r="B24" s="357" t="s">
        <v>999</v>
      </c>
      <c r="D24" s="212"/>
      <c r="E24" s="212"/>
      <c r="F24" s="224" t="s">
        <v>1149</v>
      </c>
      <c r="G24" s="173" t="str">
        <f>$AI$20</f>
        <v>INDOWH</v>
      </c>
      <c r="H24" s="174"/>
      <c r="I24" s="174"/>
      <c r="K24" s="81"/>
      <c r="L24" s="333"/>
      <c r="M24" s="199"/>
      <c r="N24" s="81"/>
      <c r="O24" s="723"/>
      <c r="P24" s="723"/>
      <c r="Q24" s="81"/>
      <c r="R24" s="300"/>
      <c r="S24" s="300"/>
      <c r="T24" s="300"/>
      <c r="U24" s="199">
        <f ca="1">1-U23</f>
        <v>0.40828402366863903</v>
      </c>
      <c r="V24" s="300"/>
      <c r="W24" s="298"/>
      <c r="X24" s="698"/>
      <c r="Y24" s="81"/>
      <c r="Z24" s="81"/>
      <c r="AA24" s="81"/>
      <c r="AB24" s="81"/>
      <c r="AC24" s="226"/>
      <c r="AD24" s="81"/>
      <c r="AE24" s="81"/>
      <c r="AF24" s="220"/>
      <c r="AI24" s="224">
        <v>3</v>
      </c>
    </row>
    <row r="25" spans="2:42" ht="14.5" customHeight="1">
      <c r="B25" s="357" t="s">
        <v>999</v>
      </c>
      <c r="D25" s="212"/>
      <c r="E25" s="212"/>
      <c r="F25" s="224" t="s">
        <v>1149</v>
      </c>
      <c r="G25" s="173" t="s">
        <v>499</v>
      </c>
      <c r="H25" s="174" t="str">
        <f>$AI$14</f>
        <v>IODPH</v>
      </c>
      <c r="I25" s="174"/>
      <c r="J25" s="224">
        <f t="shared" ref="J25" si="3">AD25</f>
        <v>2050</v>
      </c>
      <c r="K25" s="81"/>
      <c r="L25" s="333">
        <v>1</v>
      </c>
      <c r="M25" s="199">
        <f ca="1">VLOOKUP($AD25,INDIRECT("'"&amp;$B25&amp;"'!"&amp;"$P$39:$AD$42"),3,FALSE)</f>
        <v>1.71</v>
      </c>
      <c r="N25" s="81"/>
      <c r="O25" s="723">
        <f ca="1">VLOOKUP($AD25,INDIRECT("'"&amp;$B25&amp;"'!"&amp;"$P$39:$AD$42"),6,FALSE)/1000</f>
        <v>3.427</v>
      </c>
      <c r="P25" s="723">
        <f ca="1">VLOOKUP($AD25,INDIRECT("'"&amp;$B25&amp;"'!"&amp;"$P$39:$AD$42"),7,FALSE)/1000</f>
        <v>1.49E-2</v>
      </c>
      <c r="Q25" s="81">
        <f ca="1">VLOOKUP($AD25,INDIRECT("'"&amp;$B25&amp;"'!"&amp;"$P$39:$AD$42"),8,FALSE)</f>
        <v>2.0487500000000001</v>
      </c>
      <c r="R25" s="300"/>
      <c r="S25" s="300"/>
      <c r="T25" s="300"/>
      <c r="U25" s="199">
        <f ca="1">1/M25</f>
        <v>0.58479532163742687</v>
      </c>
      <c r="V25" s="199"/>
      <c r="W25" s="298"/>
      <c r="X25" s="698">
        <f ca="1">IF(VLOOKUP($AD25,INDIRECT("'"&amp;$B25&amp;"'!"&amp;"$P$39:$AD$42"),11,FALSE)="Cf. the utilized electricity",0,VLOOKUP($AD25,INDIRECT("'"&amp;$B25&amp;"'!"&amp;"$P$39:$AD$42"),11,FALSE))</f>
        <v>0</v>
      </c>
      <c r="Y25" s="81">
        <f ca="1">VLOOKUP($AD25,INDIRECT("'"&amp;$B25&amp;"'!"&amp;"$P$39:$AD$42"),12,FALSE)</f>
        <v>0</v>
      </c>
      <c r="Z25" s="81">
        <f ca="1">VLOOKUP($AD25,INDIRECT("'"&amp;$B25&amp;"'!"&amp;"$P$39:$AD$42"),13,FALSE)</f>
        <v>0</v>
      </c>
      <c r="AA25" s="81">
        <f ca="1">VLOOKUP($AD25,INDIRECT("'"&amp;$B25&amp;"'!"&amp;"$P$39:$AD$42"),14,FALSE)</f>
        <v>0</v>
      </c>
      <c r="AB25" s="81">
        <f ca="1">VLOOKUP($AD25,INDIRECT("'"&amp;$B25&amp;"'!"&amp;"$P$39:$AD$42"),15,FALSE)</f>
        <v>0</v>
      </c>
      <c r="AC25" s="226"/>
      <c r="AD25" s="81">
        <v>2050</v>
      </c>
      <c r="AE25" s="81"/>
      <c r="AF25" s="220"/>
      <c r="AI25" s="224">
        <v>4</v>
      </c>
    </row>
    <row r="26" spans="2:42" ht="15" customHeight="1">
      <c r="B26" s="357" t="s">
        <v>999</v>
      </c>
      <c r="D26" s="212"/>
      <c r="E26" s="212"/>
      <c r="F26" s="224" t="s">
        <v>1149</v>
      </c>
      <c r="G26" s="173" t="str">
        <f>$AI$20</f>
        <v>INDOWH</v>
      </c>
      <c r="H26" s="174"/>
      <c r="I26" s="174"/>
      <c r="K26" s="81"/>
      <c r="L26" s="333"/>
      <c r="M26" s="199"/>
      <c r="N26" s="81"/>
      <c r="O26" s="723"/>
      <c r="P26" s="723"/>
      <c r="Q26" s="81"/>
      <c r="R26" s="300"/>
      <c r="S26" s="300"/>
      <c r="T26" s="300"/>
      <c r="U26" s="199">
        <f ca="1">1-U25</f>
        <v>0.41520467836257313</v>
      </c>
      <c r="V26" s="300"/>
      <c r="W26" s="298"/>
      <c r="X26" s="698"/>
      <c r="Y26" s="81"/>
      <c r="Z26" s="81"/>
      <c r="AA26" s="81"/>
      <c r="AB26" s="81"/>
      <c r="AC26" s="226"/>
      <c r="AD26" s="81"/>
      <c r="AE26" s="81"/>
      <c r="AF26" s="220"/>
      <c r="AI26" s="224">
        <v>5</v>
      </c>
      <c r="AJ26" s="224" t="s">
        <v>715</v>
      </c>
    </row>
    <row r="27" spans="2:42">
      <c r="B27" s="357" t="s">
        <v>999</v>
      </c>
      <c r="D27" s="212" t="str">
        <f>"IND"&amp;RIGHT(H27,4)&amp;RIGHT(G27,3)&amp;"N"&amp;RIGHT(E27,1)</f>
        <v>INDODSHELCN2</v>
      </c>
      <c r="E27" s="261" t="str">
        <f>"Industrial heating technology "&amp;$AJ$12&amp;" "&amp;RIGHT(H27,2)&amp;" - Heat driven heat pump utilizing waste heat - new 2"</f>
        <v>Industrial heating technology Other SH - Heat driven heat pump utilizing waste heat - new 2</v>
      </c>
      <c r="F27" s="224" t="s">
        <v>1149</v>
      </c>
      <c r="G27" s="173" t="s">
        <v>499</v>
      </c>
      <c r="H27" s="174" t="str">
        <f>$AI$15</f>
        <v>IODSH</v>
      </c>
      <c r="I27" s="174"/>
      <c r="J27" s="224">
        <f t="shared" ref="J27" si="4">AD27</f>
        <v>2020</v>
      </c>
      <c r="K27" s="81">
        <v>2020</v>
      </c>
      <c r="L27" s="333">
        <v>1</v>
      </c>
      <c r="M27" s="199">
        <f ca="1">VLOOKUP($AD27,INDIRECT("'"&amp;$B27&amp;"'!"&amp;"$P$39:$AD$42"),3,FALSE)</f>
        <v>1.68</v>
      </c>
      <c r="N27" s="81">
        <f ca="1">VLOOKUP($AD27,INDIRECT("'"&amp;$B27&amp;"'!"&amp;"$P$39:$AD$42"),5,FALSE)</f>
        <v>20</v>
      </c>
      <c r="O27" s="723">
        <f ca="1">VLOOKUP($AD27,INDIRECT("'"&amp;$B27&amp;"'!"&amp;"$P$39:$AD$42"),6,FALSE)/1000</f>
        <v>4.1720000000000006</v>
      </c>
      <c r="P27" s="723">
        <f ca="1">VLOOKUP($AD27,INDIRECT("'"&amp;$B27&amp;"'!"&amp;"$P$39:$AD$42"),7,FALSE)/1000</f>
        <v>1.49E-2</v>
      </c>
      <c r="Q27" s="81">
        <f ca="1">VLOOKUP($AD27,INDIRECT("'"&amp;$B27&amp;"'!"&amp;"$P$39:$AD$42"),8,FALSE)</f>
        <v>2.0901388888888892</v>
      </c>
      <c r="R27" s="81">
        <v>3.1536000000000002E-2</v>
      </c>
      <c r="S27" s="199">
        <v>0.5</v>
      </c>
      <c r="T27" s="199">
        <f ca="1">HLOOKUP($T$2,INDIRECT("'"&amp;$B27&amp;"'!"&amp;"$P$6:$AC$19"),IF(H27=$AI$13,6,IF(H27=$AI$14,9,14)),FALSE)</f>
        <v>1</v>
      </c>
      <c r="U27" s="199">
        <f ca="1">1/M27</f>
        <v>0.59523809523809523</v>
      </c>
      <c r="V27" s="199"/>
      <c r="W27" s="298"/>
      <c r="X27" s="698">
        <f ca="1">IF(VLOOKUP($AD27,INDIRECT("'"&amp;$B27&amp;"'!"&amp;"$P$39:$AD$42"),11,FALSE)="Cf. the utilized electricity",0,VLOOKUP($AD27,INDIRECT("'"&amp;$B27&amp;"'!"&amp;"$P$39:$AD$42"),11,FALSE))</f>
        <v>0</v>
      </c>
      <c r="Y27" s="81">
        <f ca="1">VLOOKUP($AD27,INDIRECT("'"&amp;$B27&amp;"'!"&amp;"$P$39:$AD$42"),12,FALSE)</f>
        <v>0</v>
      </c>
      <c r="Z27" s="81">
        <f ca="1">VLOOKUP($AD27,INDIRECT("'"&amp;$B27&amp;"'!"&amp;"$P$39:$AD$42"),13,FALSE)</f>
        <v>0</v>
      </c>
      <c r="AA27" s="81">
        <f ca="1">VLOOKUP($AD27,INDIRECT("'"&amp;$B27&amp;"'!"&amp;"$P$39:$AD$42"),14,FALSE)</f>
        <v>0</v>
      </c>
      <c r="AB27" s="81">
        <f ca="1">VLOOKUP($AD27,INDIRECT("'"&amp;$B27&amp;"'!"&amp;"$P$39:$AD$42"),15,FALSE)</f>
        <v>0</v>
      </c>
      <c r="AD27" s="81">
        <v>2020</v>
      </c>
      <c r="AE27" s="81"/>
      <c r="AF27" s="220"/>
      <c r="AI27" s="224">
        <v>6</v>
      </c>
    </row>
    <row r="28" spans="2:42" ht="15" customHeight="1">
      <c r="B28" s="357" t="s">
        <v>999</v>
      </c>
      <c r="D28" s="212"/>
      <c r="E28" s="261"/>
      <c r="F28" s="224" t="s">
        <v>1149</v>
      </c>
      <c r="G28" s="173" t="str">
        <f>$AI$20</f>
        <v>INDOWH</v>
      </c>
      <c r="H28" s="174"/>
      <c r="I28" s="174"/>
      <c r="K28" s="81"/>
      <c r="L28" s="333"/>
      <c r="M28" s="199"/>
      <c r="N28" s="81"/>
      <c r="O28" s="723"/>
      <c r="P28" s="723"/>
      <c r="Q28" s="81"/>
      <c r="R28" s="200"/>
      <c r="S28" s="772"/>
      <c r="T28" s="772"/>
      <c r="U28" s="199">
        <f ca="1">1-U27</f>
        <v>0.40476190476190477</v>
      </c>
      <c r="V28" s="772"/>
      <c r="W28" s="298"/>
      <c r="X28" s="698"/>
      <c r="Y28" s="81"/>
      <c r="Z28" s="81"/>
      <c r="AA28" s="81"/>
      <c r="AB28" s="81"/>
      <c r="AD28" s="81"/>
      <c r="AE28" s="81"/>
      <c r="AF28" s="220"/>
      <c r="AI28" s="224">
        <v>7</v>
      </c>
      <c r="AJ28" s="224" t="s">
        <v>716</v>
      </c>
    </row>
    <row r="29" spans="2:42">
      <c r="B29" s="357" t="s">
        <v>999</v>
      </c>
      <c r="D29" s="212"/>
      <c r="E29" s="212"/>
      <c r="F29" s="224" t="s">
        <v>1149</v>
      </c>
      <c r="G29" s="173" t="s">
        <v>499</v>
      </c>
      <c r="H29" s="174" t="str">
        <f>$AI$15</f>
        <v>IODSH</v>
      </c>
      <c r="I29" s="174"/>
      <c r="J29" s="224">
        <f t="shared" ref="J29" si="5">AD29</f>
        <v>2030</v>
      </c>
      <c r="K29" s="81"/>
      <c r="L29" s="333">
        <v>1</v>
      </c>
      <c r="M29" s="199">
        <f ca="1">VLOOKUP($AD29,INDIRECT("'"&amp;$B29&amp;"'!"&amp;"$P$39:$AD$42"),3,FALSE)</f>
        <v>1.69</v>
      </c>
      <c r="N29" s="81"/>
      <c r="O29" s="723">
        <f ca="1">VLOOKUP($AD29,INDIRECT("'"&amp;$B29&amp;"'!"&amp;"$P$39:$AD$42"),6,FALSE)/1000</f>
        <v>3.7995000000000001</v>
      </c>
      <c r="P29" s="723">
        <f ca="1">VLOOKUP($AD29,INDIRECT("'"&amp;$B29&amp;"'!"&amp;"$P$39:$AD$42"),7,FALSE)/1000</f>
        <v>1.49E-2</v>
      </c>
      <c r="Q29" s="81">
        <f ca="1">VLOOKUP($AD29,INDIRECT("'"&amp;$B29&amp;"'!"&amp;"$P$39:$AD$42"),8,FALSE)</f>
        <v>2.0694444444444446</v>
      </c>
      <c r="R29" s="300"/>
      <c r="S29" s="300"/>
      <c r="T29" s="300"/>
      <c r="U29" s="199">
        <f ca="1">1/M29</f>
        <v>0.59171597633136097</v>
      </c>
      <c r="V29" s="199"/>
      <c r="W29" s="298"/>
      <c r="X29" s="698">
        <f ca="1">IF(VLOOKUP($AD29,INDIRECT("'"&amp;$B29&amp;"'!"&amp;"$P$39:$AD$42"),11,FALSE)="Cf. the utilized electricity",0,VLOOKUP($AD29,INDIRECT("'"&amp;$B29&amp;"'!"&amp;"$P$39:$AD$42"),11,FALSE))</f>
        <v>0</v>
      </c>
      <c r="Y29" s="81">
        <f ca="1">VLOOKUP($AD29,INDIRECT("'"&amp;$B29&amp;"'!"&amp;"$P$39:$AD$42"),12,FALSE)</f>
        <v>0</v>
      </c>
      <c r="Z29" s="81">
        <f ca="1">VLOOKUP($AD29,INDIRECT("'"&amp;$B29&amp;"'!"&amp;"$P$39:$AD$42"),13,FALSE)</f>
        <v>0</v>
      </c>
      <c r="AA29" s="81">
        <f ca="1">VLOOKUP($AD29,INDIRECT("'"&amp;$B29&amp;"'!"&amp;"$P$39:$AD$42"),14,FALSE)</f>
        <v>0</v>
      </c>
      <c r="AB29" s="81">
        <f ca="1">VLOOKUP($AD29,INDIRECT("'"&amp;$B29&amp;"'!"&amp;"$P$39:$AD$42"),15,FALSE)</f>
        <v>0</v>
      </c>
      <c r="AD29" s="81">
        <v>2030</v>
      </c>
      <c r="AE29" s="81"/>
      <c r="AF29" s="220"/>
      <c r="AI29" s="224">
        <v>8</v>
      </c>
    </row>
    <row r="30" spans="2:42" ht="15" customHeight="1">
      <c r="B30" s="357" t="s">
        <v>999</v>
      </c>
      <c r="D30" s="212"/>
      <c r="E30" s="212"/>
      <c r="F30" s="224" t="s">
        <v>1149</v>
      </c>
      <c r="G30" s="173" t="str">
        <f>$AI$20</f>
        <v>INDOWH</v>
      </c>
      <c r="H30" s="174"/>
      <c r="I30" s="174"/>
      <c r="K30" s="81"/>
      <c r="L30" s="333"/>
      <c r="M30" s="199"/>
      <c r="N30" s="81"/>
      <c r="O30" s="723"/>
      <c r="P30" s="723"/>
      <c r="Q30" s="81"/>
      <c r="R30" s="300"/>
      <c r="S30" s="300"/>
      <c r="T30" s="300"/>
      <c r="U30" s="199">
        <f ca="1">1-U29</f>
        <v>0.40828402366863903</v>
      </c>
      <c r="V30" s="300"/>
      <c r="W30" s="298"/>
      <c r="X30" s="698"/>
      <c r="Y30" s="81"/>
      <c r="Z30" s="81"/>
      <c r="AA30" s="81"/>
      <c r="AB30" s="81"/>
      <c r="AD30" s="81"/>
      <c r="AE30" s="81"/>
      <c r="AF30" s="220"/>
      <c r="AI30" s="224">
        <v>9</v>
      </c>
      <c r="AJ30" s="224" t="s">
        <v>717</v>
      </c>
    </row>
    <row r="31" spans="2:42">
      <c r="B31" s="357" t="s">
        <v>999</v>
      </c>
      <c r="D31" s="212"/>
      <c r="E31" s="212"/>
      <c r="F31" s="224" t="s">
        <v>1149</v>
      </c>
      <c r="G31" s="173" t="s">
        <v>499</v>
      </c>
      <c r="H31" s="174" t="str">
        <f>$AI$15</f>
        <v>IODSH</v>
      </c>
      <c r="I31" s="174"/>
      <c r="J31" s="224">
        <f t="shared" ref="J31" si="6">AD31</f>
        <v>2050</v>
      </c>
      <c r="K31" s="81"/>
      <c r="L31" s="333">
        <v>1</v>
      </c>
      <c r="M31" s="199">
        <f ca="1">VLOOKUP($AD31,INDIRECT("'"&amp;$B31&amp;"'!"&amp;"$P$39:$AD$42"),3,FALSE)</f>
        <v>1.71</v>
      </c>
      <c r="N31" s="81"/>
      <c r="O31" s="723">
        <f ca="1">VLOOKUP($AD31,INDIRECT("'"&amp;$B31&amp;"'!"&amp;"$P$39:$AD$42"),6,FALSE)/1000</f>
        <v>3.427</v>
      </c>
      <c r="P31" s="723">
        <f ca="1">VLOOKUP($AD31,INDIRECT("'"&amp;$B31&amp;"'!"&amp;"$P$39:$AD$42"),7,FALSE)/1000</f>
        <v>1.49E-2</v>
      </c>
      <c r="Q31" s="81">
        <f ca="1">VLOOKUP($AD31,INDIRECT("'"&amp;$B31&amp;"'!"&amp;"$P$39:$AD$42"),8,FALSE)</f>
        <v>2.0487500000000001</v>
      </c>
      <c r="R31" s="300"/>
      <c r="S31" s="300"/>
      <c r="T31" s="300"/>
      <c r="U31" s="199">
        <f ca="1">1/M31</f>
        <v>0.58479532163742687</v>
      </c>
      <c r="V31" s="199"/>
      <c r="W31" s="298"/>
      <c r="X31" s="698">
        <f ca="1">IF(VLOOKUP($AD31,INDIRECT("'"&amp;$B31&amp;"'!"&amp;"$P$39:$AD$42"),11,FALSE)="Cf. the utilized electricity",0,VLOOKUP($AD31,INDIRECT("'"&amp;$B31&amp;"'!"&amp;"$P$39:$AD$42"),11,FALSE))</f>
        <v>0</v>
      </c>
      <c r="Y31" s="81">
        <f ca="1">VLOOKUP($AD31,INDIRECT("'"&amp;$B31&amp;"'!"&amp;"$P$39:$AD$42"),12,FALSE)</f>
        <v>0</v>
      </c>
      <c r="Z31" s="81">
        <f ca="1">VLOOKUP($AD31,INDIRECT("'"&amp;$B31&amp;"'!"&amp;"$P$39:$AD$42"),13,FALSE)</f>
        <v>0</v>
      </c>
      <c r="AA31" s="81">
        <f ca="1">VLOOKUP($AD31,INDIRECT("'"&amp;$B31&amp;"'!"&amp;"$P$39:$AD$42"),14,FALSE)</f>
        <v>0</v>
      </c>
      <c r="AB31" s="81">
        <f ca="1">VLOOKUP($AD31,INDIRECT("'"&amp;$B31&amp;"'!"&amp;"$P$39:$AD$42"),15,FALSE)</f>
        <v>0</v>
      </c>
      <c r="AD31" s="81">
        <v>2050</v>
      </c>
      <c r="AE31" s="81"/>
      <c r="AF31" s="220"/>
      <c r="AI31" s="224">
        <v>10</v>
      </c>
    </row>
    <row r="32" spans="2:42">
      <c r="B32" s="357" t="s">
        <v>999</v>
      </c>
      <c r="D32" s="212"/>
      <c r="E32" s="212"/>
      <c r="F32" s="224" t="s">
        <v>1149</v>
      </c>
      <c r="G32" s="173" t="str">
        <f>$AI$20</f>
        <v>INDOWH</v>
      </c>
      <c r="H32" s="174"/>
      <c r="I32" s="174"/>
      <c r="K32" s="81"/>
      <c r="L32" s="333"/>
      <c r="M32" s="199"/>
      <c r="N32" s="81"/>
      <c r="O32" s="723"/>
      <c r="P32" s="723"/>
      <c r="Q32" s="81"/>
      <c r="R32" s="300"/>
      <c r="S32" s="300"/>
      <c r="T32" s="300"/>
      <c r="U32" s="199">
        <f ca="1">1-U31</f>
        <v>0.41520467836257313</v>
      </c>
      <c r="V32" s="300"/>
      <c r="W32" s="298"/>
      <c r="X32" s="698"/>
      <c r="Y32" s="81"/>
      <c r="Z32" s="81"/>
      <c r="AA32" s="81"/>
      <c r="AB32" s="81"/>
      <c r="AD32" s="81"/>
      <c r="AE32" s="81"/>
      <c r="AF32" s="220"/>
      <c r="AI32" s="224">
        <v>11</v>
      </c>
      <c r="AJ32" s="224" t="s">
        <v>718</v>
      </c>
    </row>
    <row r="33" spans="2:36">
      <c r="B33" s="357" t="s">
        <v>1000</v>
      </c>
      <c r="D33" s="212" t="str">
        <f>"IND"&amp;RIGHT(H33,4)&amp;RIGHT(G33,3)&amp;"N"&amp;RIGHT(E33,1)</f>
        <v>INDODPHELCN3</v>
      </c>
      <c r="E33" s="261" t="str">
        <f>"Industrial heating technology "&amp;$AJ$12&amp;" "&amp;RIGHT(H33,2)&amp;" - High Temp abs. Heat pump utilizing waste heat - new 3"</f>
        <v>Industrial heating technology Other PH - High Temp abs. Heat pump utilizing waste heat - new 3</v>
      </c>
      <c r="F33" s="224" t="s">
        <v>1149</v>
      </c>
      <c r="G33" s="173" t="s">
        <v>499</v>
      </c>
      <c r="H33" s="174" t="str">
        <f>$AI$14</f>
        <v>IODPH</v>
      </c>
      <c r="I33" s="174"/>
      <c r="J33" s="224">
        <f t="shared" ref="J33" si="7">AD33</f>
        <v>2020</v>
      </c>
      <c r="K33" s="81">
        <v>2020</v>
      </c>
      <c r="L33" s="333">
        <v>1</v>
      </c>
      <c r="M33" s="199">
        <f ca="1">VLOOKUP($AD33,INDIRECT("'"&amp;$B33&amp;"'!"&amp;"$P$39:$AD$42"),3,FALSE)</f>
        <v>2.75</v>
      </c>
      <c r="N33" s="81">
        <f ca="1">VLOOKUP($AD33,INDIRECT("'"&amp;$B33&amp;"'!"&amp;"$P$39:$AD$42"),5,FALSE)</f>
        <v>20</v>
      </c>
      <c r="O33" s="723">
        <f ca="1">VLOOKUP($AD33,INDIRECT("'"&amp;$B33&amp;"'!"&amp;"$P$39:$AD$42"),6,FALSE)/1000</f>
        <v>7.1394840000000004</v>
      </c>
      <c r="P33" s="723">
        <f ca="1">VLOOKUP($AD33,INDIRECT("'"&amp;$B33&amp;"'!"&amp;"$P$39:$AD$42"),7,FALSE)/1000</f>
        <v>7.2264999999999994E-3</v>
      </c>
      <c r="Q33" s="81">
        <f ca="1">VLOOKUP($AD33,INDIRECT("'"&amp;$B33&amp;"'!"&amp;"$P$39:$AD$42"),8,FALSE)</f>
        <v>6.7463888888888883</v>
      </c>
      <c r="R33" s="81">
        <v>3.1536000000000002E-2</v>
      </c>
      <c r="S33" s="199">
        <v>0.5</v>
      </c>
      <c r="T33" s="199">
        <f ca="1">HLOOKUP($T$2,INDIRECT("'"&amp;$B33&amp;"'!"&amp;"$P$6:$AC$19"),IF(H33=$AI$13,6,IF(H33=$AI$14,9,14)),FALSE)-T9</f>
        <v>0</v>
      </c>
      <c r="U33" s="199">
        <f ca="1">1/M33</f>
        <v>0.36363636363636365</v>
      </c>
      <c r="V33" s="199"/>
      <c r="W33" s="298"/>
      <c r="X33" s="698">
        <f ca="1">IF(VLOOKUP($AD33,INDIRECT("'"&amp;$B33&amp;"'!"&amp;"$P$39:$AD$42"),11,FALSE)="Cf. the utilized electricity",0,VLOOKUP($AD33,INDIRECT("'"&amp;$B33&amp;"'!"&amp;"$P$39:$AD$42"),11,FALSE))</f>
        <v>0</v>
      </c>
      <c r="Y33" s="81">
        <f ca="1">VLOOKUP($AD33,INDIRECT("'"&amp;$B33&amp;"'!"&amp;"$P$39:$AD$42"),12,FALSE)</f>
        <v>0</v>
      </c>
      <c r="Z33" s="81">
        <f ca="1">VLOOKUP($AD33,INDIRECT("'"&amp;$B33&amp;"'!"&amp;"$P$39:$AD$42"),13,FALSE)</f>
        <v>0</v>
      </c>
      <c r="AA33" s="81">
        <f ca="1">VLOOKUP($AD33,INDIRECT("'"&amp;$B33&amp;"'!"&amp;"$P$39:$AD$42"),14,FALSE)</f>
        <v>0</v>
      </c>
      <c r="AB33" s="81">
        <f ca="1">VLOOKUP($AD33,INDIRECT("'"&amp;$B33&amp;"'!"&amp;"$P$39:$AD$42"),15,FALSE)</f>
        <v>0</v>
      </c>
      <c r="AD33" s="81">
        <v>2020</v>
      </c>
      <c r="AE33" s="81"/>
      <c r="AF33" s="220"/>
      <c r="AI33" s="224">
        <v>12</v>
      </c>
    </row>
    <row r="34" spans="2:36">
      <c r="B34" s="357" t="s">
        <v>1000</v>
      </c>
      <c r="D34" s="212"/>
      <c r="E34" s="261"/>
      <c r="F34" s="224" t="s">
        <v>1149</v>
      </c>
      <c r="G34" s="173" t="str">
        <f>$AI$20</f>
        <v>INDOWH</v>
      </c>
      <c r="H34" s="174"/>
      <c r="I34" s="174"/>
      <c r="K34" s="81"/>
      <c r="L34" s="333"/>
      <c r="M34" s="199"/>
      <c r="N34" s="81"/>
      <c r="O34" s="723"/>
      <c r="P34" s="723"/>
      <c r="Q34" s="81"/>
      <c r="R34" s="200"/>
      <c r="S34" s="772"/>
      <c r="T34" s="772"/>
      <c r="U34" s="199">
        <f ca="1">1-U33</f>
        <v>0.63636363636363635</v>
      </c>
      <c r="V34" s="772"/>
      <c r="W34" s="298"/>
      <c r="X34" s="698"/>
      <c r="Y34" s="81"/>
      <c r="Z34" s="81"/>
      <c r="AA34" s="81"/>
      <c r="AB34" s="81"/>
      <c r="AD34" s="81"/>
      <c r="AE34" s="81"/>
      <c r="AF34" s="220"/>
      <c r="AI34" s="224">
        <v>13</v>
      </c>
      <c r="AJ34" s="224" t="s">
        <v>719</v>
      </c>
    </row>
    <row r="35" spans="2:36">
      <c r="B35" s="357" t="s">
        <v>1000</v>
      </c>
      <c r="D35" s="212"/>
      <c r="E35" s="212"/>
      <c r="F35" s="224" t="s">
        <v>1149</v>
      </c>
      <c r="G35" s="173" t="s">
        <v>499</v>
      </c>
      <c r="H35" s="174" t="str">
        <f>$AI$14</f>
        <v>IODPH</v>
      </c>
      <c r="I35" s="174"/>
      <c r="J35" s="224">
        <f t="shared" ref="J35" si="8">AD35</f>
        <v>2030</v>
      </c>
      <c r="K35" s="81"/>
      <c r="L35" s="333">
        <v>1</v>
      </c>
      <c r="M35" s="199">
        <f ca="1">VLOOKUP($AD35,INDIRECT("'"&amp;$B35&amp;"'!"&amp;"$P$39:$AD$42"),3,FALSE)</f>
        <v>2.875</v>
      </c>
      <c r="N35" s="81"/>
      <c r="O35" s="723">
        <f ca="1">VLOOKUP($AD35,INDIRECT("'"&amp;$B35&amp;"'!"&amp;"$P$39:$AD$42"),6,FALSE)/1000</f>
        <v>6.3822660000000013</v>
      </c>
      <c r="P35" s="723">
        <f ca="1">VLOOKUP($AD35,INDIRECT("'"&amp;$B35&amp;"'!"&amp;"$P$39:$AD$42"),7,FALSE)/1000</f>
        <v>6.4814999999999994E-3</v>
      </c>
      <c r="Q35" s="81">
        <f ca="1">VLOOKUP($AD35,INDIRECT("'"&amp;$B35&amp;"'!"&amp;"$P$39:$AD$42"),8,FALSE)</f>
        <v>6.6222222222222227</v>
      </c>
      <c r="R35" s="300"/>
      <c r="S35" s="300"/>
      <c r="T35" s="300"/>
      <c r="U35" s="199">
        <f ca="1">1/M35</f>
        <v>0.34782608695652173</v>
      </c>
      <c r="V35" s="199"/>
      <c r="W35" s="298"/>
      <c r="X35" s="698">
        <f ca="1">IF(VLOOKUP($AD35,INDIRECT("'"&amp;$B35&amp;"'!"&amp;"$P$39:$AD$42"),11,FALSE)="Cf. the utilized electricity",0,VLOOKUP($AD35,INDIRECT("'"&amp;$B35&amp;"'!"&amp;"$P$39:$AD$42"),11,FALSE))</f>
        <v>0</v>
      </c>
      <c r="Y35" s="81">
        <f ca="1">VLOOKUP($AD35,INDIRECT("'"&amp;$B35&amp;"'!"&amp;"$P$39:$AD$42"),12,FALSE)</f>
        <v>0</v>
      </c>
      <c r="Z35" s="81">
        <f ca="1">VLOOKUP($AD35,INDIRECT("'"&amp;$B35&amp;"'!"&amp;"$P$39:$AD$42"),13,FALSE)</f>
        <v>0</v>
      </c>
      <c r="AA35" s="81">
        <f ca="1">VLOOKUP($AD35,INDIRECT("'"&amp;$B35&amp;"'!"&amp;"$P$39:$AD$42"),14,FALSE)</f>
        <v>0</v>
      </c>
      <c r="AB35" s="81">
        <f ca="1">VLOOKUP($AD35,INDIRECT("'"&amp;$B35&amp;"'!"&amp;"$P$39:$AD$42"),15,FALSE)</f>
        <v>0</v>
      </c>
      <c r="AD35" s="81">
        <v>2030</v>
      </c>
      <c r="AE35" s="81"/>
      <c r="AF35" s="220"/>
      <c r="AI35" s="224">
        <v>14</v>
      </c>
    </row>
    <row r="36" spans="2:36">
      <c r="B36" s="357" t="s">
        <v>1000</v>
      </c>
      <c r="D36" s="212"/>
      <c r="E36" s="212"/>
      <c r="F36" s="224" t="s">
        <v>1149</v>
      </c>
      <c r="G36" s="173" t="str">
        <f>$AI$20</f>
        <v>INDOWH</v>
      </c>
      <c r="H36" s="174"/>
      <c r="I36" s="174"/>
      <c r="K36" s="81"/>
      <c r="L36" s="333"/>
      <c r="M36" s="199"/>
      <c r="N36" s="81"/>
      <c r="O36" s="723"/>
      <c r="P36" s="723"/>
      <c r="Q36" s="81"/>
      <c r="R36" s="300"/>
      <c r="S36" s="300"/>
      <c r="T36" s="300"/>
      <c r="U36" s="199">
        <f ca="1">1-U35</f>
        <v>0.65217391304347827</v>
      </c>
      <c r="V36" s="300"/>
      <c r="W36" s="298"/>
      <c r="X36" s="698"/>
      <c r="Y36" s="81"/>
      <c r="Z36" s="81"/>
      <c r="AA36" s="81"/>
      <c r="AB36" s="81"/>
      <c r="AD36" s="81"/>
      <c r="AE36" s="81"/>
      <c r="AF36" s="220"/>
    </row>
    <row r="37" spans="2:36">
      <c r="B37" s="357" t="s">
        <v>1000</v>
      </c>
      <c r="D37" s="212"/>
      <c r="E37" s="212"/>
      <c r="F37" s="224" t="s">
        <v>1149</v>
      </c>
      <c r="G37" s="173" t="s">
        <v>499</v>
      </c>
      <c r="H37" s="174" t="str">
        <f>$AI$14</f>
        <v>IODPH</v>
      </c>
      <c r="I37" s="174"/>
      <c r="J37" s="224">
        <f t="shared" ref="J37" si="9">AD37</f>
        <v>2050</v>
      </c>
      <c r="K37" s="81"/>
      <c r="L37" s="333">
        <v>1</v>
      </c>
      <c r="M37" s="199">
        <f ca="1">VLOOKUP($AD37,INDIRECT("'"&amp;$B37&amp;"'!"&amp;"$P$39:$AD$42"),3,FALSE)</f>
        <v>3.0249999999999999</v>
      </c>
      <c r="N37" s="81"/>
      <c r="O37" s="723">
        <f ca="1">VLOOKUP($AD37,INDIRECT("'"&amp;$B37&amp;"'!"&amp;"$P$39:$AD$42"),6,FALSE)/1000</f>
        <v>5.7365000000000004</v>
      </c>
      <c r="P37" s="723">
        <f ca="1">VLOOKUP($AD37,INDIRECT("'"&amp;$B37&amp;"'!"&amp;"$P$39:$AD$42"),7,FALSE)/1000</f>
        <v>5.3639999999999998E-3</v>
      </c>
      <c r="Q37" s="81">
        <f ca="1">VLOOKUP($AD37,INDIRECT("'"&amp;$B37&amp;"'!"&amp;"$P$39:$AD$42"),8,FALSE)</f>
        <v>6.4566666666666661</v>
      </c>
      <c r="R37" s="300"/>
      <c r="S37" s="300"/>
      <c r="T37" s="300"/>
      <c r="U37" s="199">
        <f ca="1">1/M37</f>
        <v>0.33057851239669422</v>
      </c>
      <c r="V37" s="199"/>
      <c r="W37" s="298"/>
      <c r="X37" s="698">
        <f ca="1">IF(VLOOKUP($AD37,INDIRECT("'"&amp;$B37&amp;"'!"&amp;"$P$39:$AD$42"),11,FALSE)="Cf. the utilized electricity",0,VLOOKUP($AD37,INDIRECT("'"&amp;$B37&amp;"'!"&amp;"$P$39:$AD$42"),11,FALSE))</f>
        <v>0</v>
      </c>
      <c r="Y37" s="81">
        <f ca="1">VLOOKUP($AD37,INDIRECT("'"&amp;$B37&amp;"'!"&amp;"$P$39:$AD$42"),12,FALSE)</f>
        <v>0</v>
      </c>
      <c r="Z37" s="81">
        <f ca="1">VLOOKUP($AD37,INDIRECT("'"&amp;$B37&amp;"'!"&amp;"$P$39:$AD$42"),13,FALSE)</f>
        <v>0</v>
      </c>
      <c r="AA37" s="81">
        <f ca="1">VLOOKUP($AD37,INDIRECT("'"&amp;$B37&amp;"'!"&amp;"$P$39:$AD$42"),14,FALSE)</f>
        <v>0</v>
      </c>
      <c r="AB37" s="81">
        <f ca="1">VLOOKUP($AD37,INDIRECT("'"&amp;$B37&amp;"'!"&amp;"$P$39:$AD$42"),15,FALSE)</f>
        <v>0</v>
      </c>
      <c r="AD37" s="81">
        <v>2050</v>
      </c>
      <c r="AE37" s="81"/>
      <c r="AF37" s="220"/>
    </row>
    <row r="38" spans="2:36">
      <c r="B38" s="357" t="s">
        <v>1000</v>
      </c>
      <c r="D38" s="212"/>
      <c r="E38" s="212"/>
      <c r="F38" s="224" t="s">
        <v>1149</v>
      </c>
      <c r="G38" s="173" t="str">
        <f>$AI$20</f>
        <v>INDOWH</v>
      </c>
      <c r="H38" s="174"/>
      <c r="I38" s="174"/>
      <c r="K38" s="81"/>
      <c r="L38" s="333"/>
      <c r="M38" s="199"/>
      <c r="N38" s="81"/>
      <c r="O38" s="723"/>
      <c r="P38" s="723"/>
      <c r="Q38" s="81"/>
      <c r="R38" s="300"/>
      <c r="S38" s="300"/>
      <c r="T38" s="300"/>
      <c r="U38" s="199">
        <f ca="1">1-U37</f>
        <v>0.66942148760330578</v>
      </c>
      <c r="V38" s="300"/>
      <c r="W38" s="298"/>
      <c r="X38" s="698"/>
      <c r="Y38" s="81"/>
      <c r="Z38" s="81"/>
      <c r="AA38" s="81"/>
      <c r="AB38" s="81"/>
      <c r="AD38" s="81"/>
      <c r="AE38" s="81"/>
      <c r="AF38" s="220"/>
    </row>
    <row r="39" spans="2:36">
      <c r="B39" s="357" t="s">
        <v>1000</v>
      </c>
      <c r="D39" s="212" t="str">
        <f>"IND"&amp;RIGHT(H39,4)&amp;RIGHT(G39,3)&amp;"N"&amp;RIGHT(E39,1)</f>
        <v>INDODSHELCN3</v>
      </c>
      <c r="E39" s="261" t="str">
        <f>"Industrial heating technology "&amp;$AJ$12&amp;" "&amp;RIGHT(H39,2)&amp;" - High Temp abs. Heat pump utilizing waste heat - new 3"</f>
        <v>Industrial heating technology Other SH - High Temp abs. Heat pump utilizing waste heat - new 3</v>
      </c>
      <c r="F39" s="224" t="s">
        <v>1149</v>
      </c>
      <c r="G39" s="173" t="s">
        <v>499</v>
      </c>
      <c r="H39" s="174" t="str">
        <f>$AI$15</f>
        <v>IODSH</v>
      </c>
      <c r="I39" s="174"/>
      <c r="J39" s="224">
        <f t="shared" ref="J39" si="10">AD39</f>
        <v>2020</v>
      </c>
      <c r="K39" s="81">
        <v>2020</v>
      </c>
      <c r="L39" s="333">
        <v>1</v>
      </c>
      <c r="M39" s="199">
        <f ca="1">VLOOKUP($AD39,INDIRECT("'"&amp;$B39&amp;"'!"&amp;"$P$39:$AD$42"),3,FALSE)</f>
        <v>2.75</v>
      </c>
      <c r="N39" s="81">
        <f ca="1">VLOOKUP($AD39,INDIRECT("'"&amp;$B39&amp;"'!"&amp;"$P$39:$AD$42"),5,FALSE)</f>
        <v>20</v>
      </c>
      <c r="O39" s="723">
        <f ca="1">VLOOKUP($AD39,INDIRECT("'"&amp;$B39&amp;"'!"&amp;"$P$39:$AD$42"),6,FALSE)/1000</f>
        <v>7.1394840000000004</v>
      </c>
      <c r="P39" s="723">
        <f ca="1">VLOOKUP($AD39,INDIRECT("'"&amp;$B39&amp;"'!"&amp;"$P$39:$AD$42"),7,FALSE)/1000</f>
        <v>7.2264999999999994E-3</v>
      </c>
      <c r="Q39" s="81">
        <f ca="1">VLOOKUP($AD39,INDIRECT("'"&amp;$B39&amp;"'!"&amp;"$P$39:$AD$42"),8,FALSE)</f>
        <v>6.7463888888888883</v>
      </c>
      <c r="R39" s="81">
        <v>3.1536000000000002E-2</v>
      </c>
      <c r="S39" s="199">
        <v>0.5</v>
      </c>
      <c r="T39" s="199">
        <f ca="1">HLOOKUP($T$2,INDIRECT("'"&amp;$B39&amp;"'!"&amp;"$P$6:$AC$19"),IF(H39=$AI$13,6,IF(H39=$AI$14,9,14)),FALSE)</f>
        <v>1</v>
      </c>
      <c r="U39" s="199">
        <f ca="1">1/M39</f>
        <v>0.36363636363636365</v>
      </c>
      <c r="V39" s="199"/>
      <c r="W39" s="298"/>
      <c r="X39" s="698">
        <f ca="1">IF(VLOOKUP($AD39,INDIRECT("'"&amp;$B39&amp;"'!"&amp;"$P$39:$AD$42"),11,FALSE)="Cf. the utilized electricity",0,VLOOKUP($AD39,INDIRECT("'"&amp;$B39&amp;"'!"&amp;"$P$39:$AD$42"),11,FALSE))</f>
        <v>0</v>
      </c>
      <c r="Y39" s="81">
        <f ca="1">VLOOKUP($AD39,INDIRECT("'"&amp;$B39&amp;"'!"&amp;"$P$39:$AD$42"),12,FALSE)</f>
        <v>0</v>
      </c>
      <c r="Z39" s="81">
        <f ca="1">VLOOKUP($AD39,INDIRECT("'"&amp;$B39&amp;"'!"&amp;"$P$39:$AD$42"),13,FALSE)</f>
        <v>0</v>
      </c>
      <c r="AA39" s="81">
        <f ca="1">VLOOKUP($AD39,INDIRECT("'"&amp;$B39&amp;"'!"&amp;"$P$39:$AD$42"),14,FALSE)</f>
        <v>0</v>
      </c>
      <c r="AB39" s="81">
        <f ca="1">VLOOKUP($AD39,INDIRECT("'"&amp;$B39&amp;"'!"&amp;"$P$39:$AD$42"),15,FALSE)</f>
        <v>0</v>
      </c>
      <c r="AD39" s="81">
        <v>2020</v>
      </c>
      <c r="AE39" s="81"/>
      <c r="AF39" s="220"/>
    </row>
    <row r="40" spans="2:36">
      <c r="B40" s="357" t="s">
        <v>1000</v>
      </c>
      <c r="D40" s="212"/>
      <c r="E40" s="261"/>
      <c r="F40" s="224" t="s">
        <v>1149</v>
      </c>
      <c r="G40" s="173" t="str">
        <f>$AI$20</f>
        <v>INDOWH</v>
      </c>
      <c r="H40" s="174"/>
      <c r="I40" s="174"/>
      <c r="K40" s="81"/>
      <c r="L40" s="333"/>
      <c r="M40" s="199"/>
      <c r="N40" s="81"/>
      <c r="O40" s="723"/>
      <c r="P40" s="723"/>
      <c r="Q40" s="81"/>
      <c r="R40" s="200"/>
      <c r="S40" s="772"/>
      <c r="T40" s="772"/>
      <c r="U40" s="199">
        <f ca="1">1-U39</f>
        <v>0.63636363636363635</v>
      </c>
      <c r="V40" s="772"/>
      <c r="W40" s="298"/>
      <c r="X40" s="698"/>
      <c r="Y40" s="81"/>
      <c r="Z40" s="81"/>
      <c r="AA40" s="81"/>
      <c r="AB40" s="81"/>
      <c r="AD40" s="81"/>
      <c r="AE40" s="81"/>
      <c r="AF40" s="220"/>
    </row>
    <row r="41" spans="2:36">
      <c r="B41" s="357" t="s">
        <v>1000</v>
      </c>
      <c r="D41" s="212"/>
      <c r="E41" s="212"/>
      <c r="F41" s="224" t="s">
        <v>1149</v>
      </c>
      <c r="G41" s="173" t="s">
        <v>499</v>
      </c>
      <c r="H41" s="174" t="str">
        <f>$AI$15</f>
        <v>IODSH</v>
      </c>
      <c r="I41" s="174"/>
      <c r="J41" s="224">
        <f t="shared" ref="J41" si="11">AD41</f>
        <v>2030</v>
      </c>
      <c r="K41" s="81"/>
      <c r="L41" s="333">
        <v>1</v>
      </c>
      <c r="M41" s="199">
        <f ca="1">VLOOKUP($AD41,INDIRECT("'"&amp;$B41&amp;"'!"&amp;"$P$39:$AD$42"),3,FALSE)</f>
        <v>2.875</v>
      </c>
      <c r="N41" s="81"/>
      <c r="O41" s="723">
        <f ca="1">VLOOKUP($AD41,INDIRECT("'"&amp;$B41&amp;"'!"&amp;"$P$39:$AD$42"),6,FALSE)/1000</f>
        <v>6.3822660000000013</v>
      </c>
      <c r="P41" s="723">
        <f ca="1">VLOOKUP($AD41,INDIRECT("'"&amp;$B41&amp;"'!"&amp;"$P$39:$AD$42"),7,FALSE)/1000</f>
        <v>6.4814999999999994E-3</v>
      </c>
      <c r="Q41" s="81">
        <f ca="1">VLOOKUP($AD41,INDIRECT("'"&amp;$B41&amp;"'!"&amp;"$P$39:$AD$42"),8,FALSE)</f>
        <v>6.6222222222222227</v>
      </c>
      <c r="R41" s="300"/>
      <c r="S41" s="300"/>
      <c r="T41" s="300"/>
      <c r="U41" s="199">
        <f ca="1">1/M41</f>
        <v>0.34782608695652173</v>
      </c>
      <c r="V41" s="199"/>
      <c r="W41" s="298"/>
      <c r="X41" s="698">
        <f ca="1">IF(VLOOKUP($AD41,INDIRECT("'"&amp;$B41&amp;"'!"&amp;"$P$39:$AD$42"),11,FALSE)="Cf. the utilized electricity",0,VLOOKUP($AD41,INDIRECT("'"&amp;$B41&amp;"'!"&amp;"$P$39:$AD$42"),11,FALSE))</f>
        <v>0</v>
      </c>
      <c r="Y41" s="81">
        <f ca="1">VLOOKUP($AD41,INDIRECT("'"&amp;$B41&amp;"'!"&amp;"$P$39:$AD$42"),12,FALSE)</f>
        <v>0</v>
      </c>
      <c r="Z41" s="81">
        <f ca="1">VLOOKUP($AD41,INDIRECT("'"&amp;$B41&amp;"'!"&amp;"$P$39:$AD$42"),13,FALSE)</f>
        <v>0</v>
      </c>
      <c r="AA41" s="81">
        <f ca="1">VLOOKUP($AD41,INDIRECT("'"&amp;$B41&amp;"'!"&amp;"$P$39:$AD$42"),14,FALSE)</f>
        <v>0</v>
      </c>
      <c r="AB41" s="81">
        <f ca="1">VLOOKUP($AD41,INDIRECT("'"&amp;$B41&amp;"'!"&amp;"$P$39:$AD$42"),15,FALSE)</f>
        <v>0</v>
      </c>
      <c r="AD41" s="81">
        <v>2030</v>
      </c>
      <c r="AE41" s="81"/>
      <c r="AF41" s="220"/>
    </row>
    <row r="42" spans="2:36">
      <c r="B42" s="357" t="s">
        <v>1000</v>
      </c>
      <c r="D42" s="212"/>
      <c r="E42" s="212"/>
      <c r="F42" s="224" t="s">
        <v>1149</v>
      </c>
      <c r="G42" s="173" t="str">
        <f>$AI$20</f>
        <v>INDOWH</v>
      </c>
      <c r="H42" s="174"/>
      <c r="I42" s="174"/>
      <c r="K42" s="81"/>
      <c r="L42" s="333"/>
      <c r="M42" s="199"/>
      <c r="N42" s="81"/>
      <c r="O42" s="723"/>
      <c r="P42" s="723"/>
      <c r="Q42" s="81"/>
      <c r="R42" s="300"/>
      <c r="S42" s="300"/>
      <c r="T42" s="300"/>
      <c r="U42" s="199">
        <f ca="1">1-U41</f>
        <v>0.65217391304347827</v>
      </c>
      <c r="V42" s="300"/>
      <c r="W42" s="298"/>
      <c r="X42" s="698"/>
      <c r="Y42" s="81"/>
      <c r="Z42" s="81"/>
      <c r="AA42" s="81"/>
      <c r="AB42" s="81"/>
      <c r="AD42" s="81"/>
      <c r="AE42" s="81"/>
      <c r="AF42" s="220"/>
    </row>
    <row r="43" spans="2:36">
      <c r="B43" s="357" t="s">
        <v>1000</v>
      </c>
      <c r="D43" s="212"/>
      <c r="E43" s="212"/>
      <c r="F43" s="224" t="s">
        <v>1149</v>
      </c>
      <c r="G43" s="173" t="s">
        <v>499</v>
      </c>
      <c r="H43" s="174" t="str">
        <f>$AI$15</f>
        <v>IODSH</v>
      </c>
      <c r="I43" s="174"/>
      <c r="J43" s="224">
        <f t="shared" ref="J43" si="12">AD43</f>
        <v>2050</v>
      </c>
      <c r="K43" s="81"/>
      <c r="L43" s="333">
        <v>1</v>
      </c>
      <c r="M43" s="199">
        <f ca="1">VLOOKUP($AD43,INDIRECT("'"&amp;$B43&amp;"'!"&amp;"$P$39:$AD$42"),3,FALSE)</f>
        <v>3.0249999999999999</v>
      </c>
      <c r="N43" s="81"/>
      <c r="O43" s="723">
        <f ca="1">VLOOKUP($AD43,INDIRECT("'"&amp;$B43&amp;"'!"&amp;"$P$39:$AD$42"),6,FALSE)/1000</f>
        <v>5.7365000000000004</v>
      </c>
      <c r="P43" s="723">
        <f ca="1">VLOOKUP($AD43,INDIRECT("'"&amp;$B43&amp;"'!"&amp;"$P$39:$AD$42"),7,FALSE)/1000</f>
        <v>5.3639999999999998E-3</v>
      </c>
      <c r="Q43" s="81">
        <f ca="1">VLOOKUP($AD43,INDIRECT("'"&amp;$B43&amp;"'!"&amp;"$P$39:$AD$42"),8,FALSE)</f>
        <v>6.4566666666666661</v>
      </c>
      <c r="R43" s="300"/>
      <c r="S43" s="300"/>
      <c r="T43" s="300"/>
      <c r="U43" s="199">
        <f ca="1">1/M43</f>
        <v>0.33057851239669422</v>
      </c>
      <c r="V43" s="199"/>
      <c r="W43" s="298"/>
      <c r="X43" s="698">
        <f ca="1">IF(VLOOKUP($AD43,INDIRECT("'"&amp;$B43&amp;"'!"&amp;"$P$39:$AD$42"),11,FALSE)="Cf. the utilized electricity",0,VLOOKUP($AD43,INDIRECT("'"&amp;$B43&amp;"'!"&amp;"$P$39:$AD$42"),11,FALSE))</f>
        <v>0</v>
      </c>
      <c r="Y43" s="81">
        <f ca="1">VLOOKUP($AD43,INDIRECT("'"&amp;$B43&amp;"'!"&amp;"$P$39:$AD$42"),12,FALSE)</f>
        <v>0</v>
      </c>
      <c r="Z43" s="81">
        <f ca="1">VLOOKUP($AD43,INDIRECT("'"&amp;$B43&amp;"'!"&amp;"$P$39:$AD$42"),13,FALSE)</f>
        <v>0</v>
      </c>
      <c r="AA43" s="81">
        <f ca="1">VLOOKUP($AD43,INDIRECT("'"&amp;$B43&amp;"'!"&amp;"$P$39:$AD$42"),14,FALSE)</f>
        <v>0</v>
      </c>
      <c r="AB43" s="81">
        <f ca="1">VLOOKUP($AD43,INDIRECT("'"&amp;$B43&amp;"'!"&amp;"$P$39:$AD$42"),15,FALSE)</f>
        <v>0</v>
      </c>
      <c r="AD43" s="81">
        <v>2050</v>
      </c>
      <c r="AE43" s="81"/>
      <c r="AF43" s="220"/>
    </row>
    <row r="44" spans="2:36">
      <c r="B44" s="357" t="s">
        <v>1000</v>
      </c>
      <c r="D44" s="212"/>
      <c r="E44" s="212"/>
      <c r="F44" s="224" t="s">
        <v>1149</v>
      </c>
      <c r="G44" s="173" t="str">
        <f>$AI$20</f>
        <v>INDOWH</v>
      </c>
      <c r="H44" s="174"/>
      <c r="I44" s="174"/>
      <c r="K44" s="81"/>
      <c r="L44" s="333"/>
      <c r="M44" s="199"/>
      <c r="N44" s="81"/>
      <c r="O44" s="723"/>
      <c r="P44" s="723"/>
      <c r="Q44" s="81"/>
      <c r="R44" s="300"/>
      <c r="S44" s="300"/>
      <c r="T44" s="300"/>
      <c r="U44" s="199">
        <f ca="1">1-U43</f>
        <v>0.66942148760330578</v>
      </c>
      <c r="V44" s="300"/>
      <c r="W44" s="298"/>
      <c r="X44" s="698"/>
      <c r="Y44" s="81"/>
      <c r="Z44" s="81"/>
      <c r="AA44" s="81"/>
      <c r="AB44" s="81"/>
      <c r="AD44" s="81"/>
      <c r="AE44" s="81"/>
      <c r="AF44" s="220"/>
    </row>
    <row r="45" spans="2:36">
      <c r="B45" s="357" t="s">
        <v>1001</v>
      </c>
      <c r="D45" s="212" t="str">
        <f>"IND"&amp;RIGHT(H45,4)&amp;RIGHT(G45,3)&amp;"N"&amp;RIGHT(E45,1)</f>
        <v>INDODPHELCN4</v>
      </c>
      <c r="E45" s="261" t="str">
        <f>"Industrial heating technology "&amp;$AJ$12&amp;" "&amp;RIGHT(H45,2)&amp;" - Booster Heat pump utilizing waste heat - new 4"</f>
        <v>Industrial heating technology Other PH - Booster Heat pump utilizing waste heat - new 4</v>
      </c>
      <c r="F45" s="224" t="s">
        <v>1149</v>
      </c>
      <c r="G45" s="173" t="s">
        <v>499</v>
      </c>
      <c r="H45" s="174" t="str">
        <f>$AI$14</f>
        <v>IODPH</v>
      </c>
      <c r="I45" s="174"/>
      <c r="J45" s="224">
        <f t="shared" ref="J45" si="13">AD45</f>
        <v>2020</v>
      </c>
      <c r="K45" s="81">
        <v>2020</v>
      </c>
      <c r="L45" s="333">
        <v>1</v>
      </c>
      <c r="M45" s="199">
        <f ca="1">VLOOKUP($AD45,INDIRECT("'"&amp;$B45&amp;"'!"&amp;"$P$39:$AD$42"),3,FALSE)</f>
        <v>1.93</v>
      </c>
      <c r="N45" s="81">
        <f ca="1">VLOOKUP($AD45,INDIRECT("'"&amp;$B45&amp;"'!"&amp;"$P$39:$AD$42"),5,FALSE)</f>
        <v>20</v>
      </c>
      <c r="O45" s="723">
        <f ca="1">VLOOKUP($AD45,INDIRECT("'"&amp;$B45&amp;"'!"&amp;"$P$39:$AD$42"),6,FALSE)/1000</f>
        <v>12.158890687341184</v>
      </c>
      <c r="P45" s="723">
        <f ca="1">VLOOKUP($AD45,INDIRECT("'"&amp;$B45&amp;"'!"&amp;"$P$39:$AD$42"),7,FALSE)/1000</f>
        <v>1.49E-2</v>
      </c>
      <c r="Q45" s="81">
        <f ca="1">VLOOKUP($AD45,INDIRECT("'"&amp;$B45&amp;"'!"&amp;"$P$39:$AD$42"),8,FALSE)</f>
        <v>7.1188888888888897</v>
      </c>
      <c r="R45" s="81">
        <v>3.1536000000000002E-2</v>
      </c>
      <c r="S45" s="199">
        <v>0.5</v>
      </c>
      <c r="T45" s="199">
        <f ca="1">HLOOKUP($T$2,INDIRECT("'"&amp;$B45&amp;"'!"&amp;"$P$6:$AC$19"),IF(H45=$AI$13,6,IF(H45=$AI$14,9,14)),FALSE)-T9</f>
        <v>0</v>
      </c>
      <c r="U45" s="199">
        <f ca="1">1/M45</f>
        <v>0.5181347150259068</v>
      </c>
      <c r="V45" s="199"/>
      <c r="W45" s="298"/>
      <c r="X45" s="698">
        <f ca="1">IF(VLOOKUP($AD45,INDIRECT("'"&amp;$B45&amp;"'!"&amp;"$P$39:$AD$42"),11,FALSE)="Cf. the utilized electricity",0,VLOOKUP($AD45,INDIRECT("'"&amp;$B45&amp;"'!"&amp;"$P$39:$AD$42"),11,FALSE))</f>
        <v>0</v>
      </c>
      <c r="Y45" s="81">
        <f ca="1">VLOOKUP($AD45,INDIRECT("'"&amp;$B45&amp;"'!"&amp;"$P$39:$AD$42"),12,FALSE)</f>
        <v>0</v>
      </c>
      <c r="Z45" s="81">
        <f ca="1">VLOOKUP($AD45,INDIRECT("'"&amp;$B45&amp;"'!"&amp;"$P$39:$AD$42"),13,FALSE)</f>
        <v>0</v>
      </c>
      <c r="AA45" s="81">
        <f ca="1">VLOOKUP($AD45,INDIRECT("'"&amp;$B45&amp;"'!"&amp;"$P$39:$AD$42"),14,FALSE)</f>
        <v>0</v>
      </c>
      <c r="AB45" s="81">
        <f ca="1">VLOOKUP($AD45,INDIRECT("'"&amp;$B45&amp;"'!"&amp;"$P$39:$AD$42"),15,FALSE)</f>
        <v>0</v>
      </c>
      <c r="AD45" s="81">
        <v>2020</v>
      </c>
      <c r="AE45" s="81"/>
      <c r="AF45" s="220"/>
    </row>
    <row r="46" spans="2:36">
      <c r="B46" s="357" t="s">
        <v>1001</v>
      </c>
      <c r="D46" s="212"/>
      <c r="E46" s="261"/>
      <c r="F46" s="224" t="s">
        <v>1149</v>
      </c>
      <c r="G46" s="173" t="str">
        <f>$AI$20</f>
        <v>INDOWH</v>
      </c>
      <c r="H46" s="174"/>
      <c r="I46" s="174"/>
      <c r="K46" s="81"/>
      <c r="L46" s="333"/>
      <c r="M46" s="199"/>
      <c r="N46" s="81"/>
      <c r="O46" s="723"/>
      <c r="P46" s="723"/>
      <c r="Q46" s="81"/>
      <c r="R46" s="200"/>
      <c r="S46" s="772"/>
      <c r="T46" s="772"/>
      <c r="U46" s="199">
        <f ca="1">1-U45</f>
        <v>0.4818652849740932</v>
      </c>
      <c r="V46" s="772"/>
      <c r="W46" s="298"/>
      <c r="X46" s="698"/>
      <c r="Y46" s="81"/>
      <c r="Z46" s="81"/>
      <c r="AA46" s="81"/>
      <c r="AB46" s="81"/>
      <c r="AD46" s="81"/>
      <c r="AE46" s="81"/>
      <c r="AF46" s="220"/>
    </row>
    <row r="47" spans="2:36">
      <c r="B47" s="357" t="s">
        <v>1001</v>
      </c>
      <c r="D47" s="212"/>
      <c r="E47" s="212"/>
      <c r="F47" s="224" t="s">
        <v>1149</v>
      </c>
      <c r="G47" s="173" t="s">
        <v>499</v>
      </c>
      <c r="H47" s="174" t="str">
        <f>$AI$14</f>
        <v>IODPH</v>
      </c>
      <c r="I47" s="174"/>
      <c r="J47" s="224">
        <f t="shared" ref="J47" si="14">AD47</f>
        <v>2030</v>
      </c>
      <c r="K47" s="81"/>
      <c r="L47" s="333">
        <v>1</v>
      </c>
      <c r="M47" s="199">
        <f ca="1">VLOOKUP($AD47,INDIRECT("'"&amp;$B47&amp;"'!"&amp;"$P$39:$AD$42"),3,FALSE)</f>
        <v>1.9894000000000001</v>
      </c>
      <c r="N47" s="81"/>
      <c r="O47" s="723">
        <f ca="1">VLOOKUP($AD47,INDIRECT("'"&amp;$B47&amp;"'!"&amp;"$P$39:$AD$42"),6,FALSE)/1000</f>
        <v>9.8570539139933757</v>
      </c>
      <c r="P47" s="723">
        <f ca="1">VLOOKUP($AD47,INDIRECT("'"&amp;$B47&amp;"'!"&amp;"$P$39:$AD$42"),7,FALSE)/1000</f>
        <v>1.49E-2</v>
      </c>
      <c r="Q47" s="81">
        <f ca="1">VLOOKUP($AD47,INDIRECT("'"&amp;$B47&amp;"'!"&amp;"$P$39:$AD$42"),8,FALSE)</f>
        <v>6.9740277777777777</v>
      </c>
      <c r="R47" s="300"/>
      <c r="S47" s="300"/>
      <c r="T47" s="300"/>
      <c r="U47" s="199">
        <f ca="1">1/M47</f>
        <v>0.50266411983512616</v>
      </c>
      <c r="V47" s="199"/>
      <c r="W47" s="298"/>
      <c r="X47" s="698">
        <f ca="1">IF(VLOOKUP($AD47,INDIRECT("'"&amp;$B47&amp;"'!"&amp;"$P$39:$AD$42"),11,FALSE)="Cf. the utilized electricity",0,VLOOKUP($AD47,INDIRECT("'"&amp;$B47&amp;"'!"&amp;"$P$39:$AD$42"),11,FALSE))</f>
        <v>0</v>
      </c>
      <c r="Y47" s="81">
        <f ca="1">VLOOKUP($AD47,INDIRECT("'"&amp;$B47&amp;"'!"&amp;"$P$39:$AD$42"),12,FALSE)</f>
        <v>0</v>
      </c>
      <c r="Z47" s="81">
        <f ca="1">VLOOKUP($AD47,INDIRECT("'"&amp;$B47&amp;"'!"&amp;"$P$39:$AD$42"),13,FALSE)</f>
        <v>0</v>
      </c>
      <c r="AA47" s="81">
        <f ca="1">VLOOKUP($AD47,INDIRECT("'"&amp;$B47&amp;"'!"&amp;"$P$39:$AD$42"),14,FALSE)</f>
        <v>0</v>
      </c>
      <c r="AB47" s="81">
        <f ca="1">VLOOKUP($AD47,INDIRECT("'"&amp;$B47&amp;"'!"&amp;"$P$39:$AD$42"),15,FALSE)</f>
        <v>0</v>
      </c>
      <c r="AD47" s="81">
        <v>2030</v>
      </c>
      <c r="AE47" s="81"/>
      <c r="AF47" s="220"/>
    </row>
    <row r="48" spans="2:36">
      <c r="B48" s="357" t="s">
        <v>1001</v>
      </c>
      <c r="D48" s="212"/>
      <c r="E48" s="212"/>
      <c r="F48" s="224" t="s">
        <v>1149</v>
      </c>
      <c r="G48" s="173" t="str">
        <f>$AI$20</f>
        <v>INDOWH</v>
      </c>
      <c r="H48" s="174"/>
      <c r="I48" s="174"/>
      <c r="K48" s="81"/>
      <c r="L48" s="333"/>
      <c r="M48" s="199"/>
      <c r="N48" s="81"/>
      <c r="O48" s="723"/>
      <c r="P48" s="723"/>
      <c r="Q48" s="81"/>
      <c r="R48" s="300"/>
      <c r="S48" s="300"/>
      <c r="T48" s="300"/>
      <c r="U48" s="199">
        <f ca="1">1-U47</f>
        <v>0.49733588016487384</v>
      </c>
      <c r="V48" s="300"/>
      <c r="W48" s="298"/>
      <c r="X48" s="698"/>
      <c r="Y48" s="81"/>
      <c r="Z48" s="81"/>
      <c r="AA48" s="81"/>
      <c r="AB48" s="81"/>
      <c r="AD48" s="81"/>
      <c r="AE48" s="81"/>
      <c r="AF48" s="220"/>
    </row>
    <row r="49" spans="2:32">
      <c r="B49" s="357" t="s">
        <v>1001</v>
      </c>
      <c r="D49" s="212"/>
      <c r="E49" s="212"/>
      <c r="F49" s="224" t="s">
        <v>1149</v>
      </c>
      <c r="G49" s="173" t="s">
        <v>499</v>
      </c>
      <c r="H49" s="174" t="str">
        <f>$AI$14</f>
        <v>IODPH</v>
      </c>
      <c r="I49" s="174"/>
      <c r="J49" s="224">
        <f t="shared" ref="J49" si="15">AD49</f>
        <v>2050</v>
      </c>
      <c r="K49" s="81"/>
      <c r="L49" s="333">
        <v>1</v>
      </c>
      <c r="M49" s="199">
        <f ca="1">VLOOKUP($AD49,INDIRECT("'"&amp;$B49&amp;"'!"&amp;"$P$39:$AD$42"),3,FALSE)</f>
        <v>2.0509898799999999</v>
      </c>
      <c r="N49" s="81"/>
      <c r="O49" s="723">
        <f ca="1">VLOOKUP($AD49,INDIRECT("'"&amp;$B49&amp;"'!"&amp;"$P$39:$AD$42"),6,FALSE)/1000</f>
        <v>6.955935359434223</v>
      </c>
      <c r="P49" s="723">
        <f ca="1">VLOOKUP($AD49,INDIRECT("'"&amp;$B49&amp;"'!"&amp;"$P$39:$AD$42"),7,FALSE)/1000</f>
        <v>1.49E-2</v>
      </c>
      <c r="Q49" s="81">
        <f ca="1">VLOOKUP($AD49,INDIRECT("'"&amp;$B49&amp;"'!"&amp;"$P$39:$AD$42"),8,FALSE)</f>
        <v>6.7877777777777784</v>
      </c>
      <c r="R49" s="300"/>
      <c r="S49" s="300"/>
      <c r="T49" s="300"/>
      <c r="U49" s="199">
        <f ca="1">1/M49</f>
        <v>0.48756944622271858</v>
      </c>
      <c r="V49" s="199"/>
      <c r="W49" s="298"/>
      <c r="X49" s="698">
        <f ca="1">IF(VLOOKUP($AD49,INDIRECT("'"&amp;$B49&amp;"'!"&amp;"$P$39:$AD$42"),11,FALSE)="Cf. the utilized electricity",0,VLOOKUP($AD49,INDIRECT("'"&amp;$B49&amp;"'!"&amp;"$P$39:$AD$42"),11,FALSE))</f>
        <v>0</v>
      </c>
      <c r="Y49" s="81">
        <f ca="1">VLOOKUP($AD49,INDIRECT("'"&amp;$B49&amp;"'!"&amp;"$P$39:$AD$42"),12,FALSE)</f>
        <v>0</v>
      </c>
      <c r="Z49" s="81">
        <f ca="1">VLOOKUP($AD49,INDIRECT("'"&amp;$B49&amp;"'!"&amp;"$P$39:$AD$42"),13,FALSE)</f>
        <v>0</v>
      </c>
      <c r="AA49" s="81">
        <f ca="1">VLOOKUP($AD49,INDIRECT("'"&amp;$B49&amp;"'!"&amp;"$P$39:$AD$42"),14,FALSE)</f>
        <v>0</v>
      </c>
      <c r="AB49" s="81">
        <f ca="1">VLOOKUP($AD49,INDIRECT("'"&amp;$B49&amp;"'!"&amp;"$P$39:$AD$42"),15,FALSE)</f>
        <v>0</v>
      </c>
      <c r="AD49" s="81">
        <v>2050</v>
      </c>
      <c r="AE49" s="81"/>
      <c r="AF49" s="220"/>
    </row>
    <row r="50" spans="2:32">
      <c r="B50" s="357" t="s">
        <v>1001</v>
      </c>
      <c r="D50" s="212"/>
      <c r="E50" s="212"/>
      <c r="F50" s="224" t="s">
        <v>1149</v>
      </c>
      <c r="G50" s="173" t="str">
        <f>$AI$20</f>
        <v>INDOWH</v>
      </c>
      <c r="H50" s="174"/>
      <c r="I50" s="174"/>
      <c r="K50" s="81"/>
      <c r="L50" s="333"/>
      <c r="M50" s="199"/>
      <c r="N50" s="81"/>
      <c r="O50" s="723"/>
      <c r="P50" s="723"/>
      <c r="Q50" s="81"/>
      <c r="R50" s="300"/>
      <c r="S50" s="300"/>
      <c r="T50" s="300"/>
      <c r="U50" s="199">
        <f ca="1">1-U49</f>
        <v>0.51243055377728142</v>
      </c>
      <c r="V50" s="300"/>
      <c r="W50" s="298"/>
      <c r="X50" s="698"/>
      <c r="Y50" s="81"/>
      <c r="Z50" s="81"/>
      <c r="AA50" s="81"/>
      <c r="AB50" s="81"/>
      <c r="AD50" s="81"/>
      <c r="AE50" s="81"/>
      <c r="AF50" s="220"/>
    </row>
    <row r="51" spans="2:32">
      <c r="B51" s="357" t="s">
        <v>1001</v>
      </c>
      <c r="D51" s="212" t="str">
        <f>"IND"&amp;RIGHT(H51,4)&amp;RIGHT(G51,3)&amp;"N"&amp;RIGHT(E51,1)</f>
        <v>INDODSHELCN4</v>
      </c>
      <c r="E51" s="261" t="str">
        <f>"Industrial heating technology "&amp;$AJ$12&amp;" "&amp;RIGHT(H51,2)&amp;" - Booster Heat pump utilizing waste heat - new 4"</f>
        <v>Industrial heating technology Other SH - Booster Heat pump utilizing waste heat - new 4</v>
      </c>
      <c r="F51" s="224" t="s">
        <v>1149</v>
      </c>
      <c r="G51" s="173" t="s">
        <v>499</v>
      </c>
      <c r="H51" s="174" t="str">
        <f>$AI$15</f>
        <v>IODSH</v>
      </c>
      <c r="I51" s="174"/>
      <c r="J51" s="224">
        <f t="shared" ref="J51" si="16">AD51</f>
        <v>2020</v>
      </c>
      <c r="K51" s="81">
        <v>2020</v>
      </c>
      <c r="L51" s="333">
        <v>1</v>
      </c>
      <c r="M51" s="199">
        <f ca="1">VLOOKUP($AD51,INDIRECT("'"&amp;$B51&amp;"'!"&amp;"$P$39:$AD$42"),3,FALSE)</f>
        <v>1.93</v>
      </c>
      <c r="N51" s="81">
        <f ca="1">VLOOKUP($AD51,INDIRECT("'"&amp;$B51&amp;"'!"&amp;"$P$39:$AD$42"),5,FALSE)</f>
        <v>20</v>
      </c>
      <c r="O51" s="723">
        <f ca="1">VLOOKUP($AD51,INDIRECT("'"&amp;$B51&amp;"'!"&amp;"$P$39:$AD$42"),6,FALSE)/1000</f>
        <v>12.158890687341184</v>
      </c>
      <c r="P51" s="723">
        <f ca="1">VLOOKUP($AD51,INDIRECT("'"&amp;$B51&amp;"'!"&amp;"$P$39:$AD$42"),7,FALSE)/1000</f>
        <v>1.49E-2</v>
      </c>
      <c r="Q51" s="81">
        <f ca="1">VLOOKUP($AD51,INDIRECT("'"&amp;$B51&amp;"'!"&amp;"$P$39:$AD$42"),8,FALSE)</f>
        <v>7.1188888888888897</v>
      </c>
      <c r="R51" s="81">
        <v>3.1536000000000002E-2</v>
      </c>
      <c r="S51" s="199">
        <v>0.5</v>
      </c>
      <c r="T51" s="199">
        <f ca="1">HLOOKUP($T$2,INDIRECT("'"&amp;$B51&amp;"'!"&amp;"$P$6:$AC$19"),IF(H51=$AI$13,6,IF(H51=$AI$14,9,14)),FALSE)</f>
        <v>1</v>
      </c>
      <c r="U51" s="199">
        <f ca="1">1/M51</f>
        <v>0.5181347150259068</v>
      </c>
      <c r="V51" s="199"/>
      <c r="W51" s="298"/>
      <c r="X51" s="698">
        <f ca="1">IF(VLOOKUP($AD51,INDIRECT("'"&amp;$B51&amp;"'!"&amp;"$P$39:$AD$42"),11,FALSE)="Cf. the utilized electricity",0,VLOOKUP($AD51,INDIRECT("'"&amp;$B51&amp;"'!"&amp;"$P$39:$AD$42"),11,FALSE))</f>
        <v>0</v>
      </c>
      <c r="Y51" s="81">
        <f ca="1">VLOOKUP($AD51,INDIRECT("'"&amp;$B51&amp;"'!"&amp;"$P$39:$AD$42"),12,FALSE)</f>
        <v>0</v>
      </c>
      <c r="Z51" s="81">
        <f ca="1">VLOOKUP($AD51,INDIRECT("'"&amp;$B51&amp;"'!"&amp;"$P$39:$AD$42"),13,FALSE)</f>
        <v>0</v>
      </c>
      <c r="AA51" s="81">
        <f ca="1">VLOOKUP($AD51,INDIRECT("'"&amp;$B51&amp;"'!"&amp;"$P$39:$AD$42"),14,FALSE)</f>
        <v>0</v>
      </c>
      <c r="AB51" s="81">
        <f ca="1">VLOOKUP($AD51,INDIRECT("'"&amp;$B51&amp;"'!"&amp;"$P$39:$AD$42"),15,FALSE)</f>
        <v>0</v>
      </c>
      <c r="AD51" s="81">
        <v>2020</v>
      </c>
      <c r="AE51" s="81"/>
      <c r="AF51" s="220"/>
    </row>
    <row r="52" spans="2:32">
      <c r="B52" s="357" t="s">
        <v>1001</v>
      </c>
      <c r="D52" s="212"/>
      <c r="E52" s="261"/>
      <c r="F52" s="224" t="s">
        <v>1149</v>
      </c>
      <c r="G52" s="173" t="str">
        <f>$AI$20</f>
        <v>INDOWH</v>
      </c>
      <c r="H52" s="174"/>
      <c r="I52" s="174"/>
      <c r="K52" s="81"/>
      <c r="L52" s="333"/>
      <c r="M52" s="199"/>
      <c r="N52" s="81"/>
      <c r="O52" s="723"/>
      <c r="P52" s="723"/>
      <c r="Q52" s="81"/>
      <c r="R52" s="200"/>
      <c r="S52" s="772"/>
      <c r="T52" s="772"/>
      <c r="U52" s="199">
        <f ca="1">1-U51</f>
        <v>0.4818652849740932</v>
      </c>
      <c r="V52" s="772"/>
      <c r="W52" s="298"/>
      <c r="X52" s="698"/>
      <c r="Y52" s="81"/>
      <c r="Z52" s="81"/>
      <c r="AA52" s="81"/>
      <c r="AB52" s="81"/>
      <c r="AD52" s="81"/>
      <c r="AE52" s="81"/>
      <c r="AF52" s="220"/>
    </row>
    <row r="53" spans="2:32">
      <c r="B53" s="357" t="s">
        <v>1001</v>
      </c>
      <c r="D53" s="212"/>
      <c r="E53" s="212"/>
      <c r="F53" s="224" t="s">
        <v>1149</v>
      </c>
      <c r="G53" s="173" t="s">
        <v>499</v>
      </c>
      <c r="H53" s="174" t="str">
        <f>$AI$15</f>
        <v>IODSH</v>
      </c>
      <c r="I53" s="174"/>
      <c r="J53" s="224">
        <f t="shared" ref="J53" si="17">AD53</f>
        <v>2030</v>
      </c>
      <c r="K53" s="81"/>
      <c r="L53" s="333">
        <v>1</v>
      </c>
      <c r="M53" s="199">
        <f ca="1">VLOOKUP($AD53,INDIRECT("'"&amp;$B53&amp;"'!"&amp;"$P$39:$AD$42"),3,FALSE)</f>
        <v>1.9894000000000001</v>
      </c>
      <c r="N53" s="81"/>
      <c r="O53" s="723">
        <f ca="1">VLOOKUP($AD53,INDIRECT("'"&amp;$B53&amp;"'!"&amp;"$P$39:$AD$42"),6,FALSE)/1000</f>
        <v>9.8570539139933757</v>
      </c>
      <c r="P53" s="723">
        <f ca="1">VLOOKUP($AD53,INDIRECT("'"&amp;$B53&amp;"'!"&amp;"$P$39:$AD$42"),7,FALSE)/1000</f>
        <v>1.49E-2</v>
      </c>
      <c r="Q53" s="81">
        <f ca="1">VLOOKUP($AD53,INDIRECT("'"&amp;$B53&amp;"'!"&amp;"$P$39:$AD$42"),8,FALSE)</f>
        <v>6.9740277777777777</v>
      </c>
      <c r="R53" s="300"/>
      <c r="S53" s="300"/>
      <c r="T53" s="300"/>
      <c r="U53" s="199">
        <f ca="1">1/M53</f>
        <v>0.50266411983512616</v>
      </c>
      <c r="V53" s="199"/>
      <c r="W53" s="298"/>
      <c r="X53" s="698">
        <f ca="1">IF(VLOOKUP($AD53,INDIRECT("'"&amp;$B53&amp;"'!"&amp;"$P$39:$AD$42"),11,FALSE)="Cf. the utilized electricity",0,VLOOKUP($AD53,INDIRECT("'"&amp;$B53&amp;"'!"&amp;"$P$39:$AD$42"),11,FALSE))</f>
        <v>0</v>
      </c>
      <c r="Y53" s="81">
        <f ca="1">VLOOKUP($AD53,INDIRECT("'"&amp;$B53&amp;"'!"&amp;"$P$39:$AD$42"),12,FALSE)</f>
        <v>0</v>
      </c>
      <c r="Z53" s="81">
        <f ca="1">VLOOKUP($AD53,INDIRECT("'"&amp;$B53&amp;"'!"&amp;"$P$39:$AD$42"),13,FALSE)</f>
        <v>0</v>
      </c>
      <c r="AA53" s="81">
        <f ca="1">VLOOKUP($AD53,INDIRECT("'"&amp;$B53&amp;"'!"&amp;"$P$39:$AD$42"),14,FALSE)</f>
        <v>0</v>
      </c>
      <c r="AB53" s="81">
        <f ca="1">VLOOKUP($AD53,INDIRECT("'"&amp;$B53&amp;"'!"&amp;"$P$39:$AD$42"),15,FALSE)</f>
        <v>0</v>
      </c>
      <c r="AD53" s="81">
        <v>2030</v>
      </c>
      <c r="AE53" s="81"/>
      <c r="AF53" s="220"/>
    </row>
    <row r="54" spans="2:32">
      <c r="B54" s="357" t="s">
        <v>1001</v>
      </c>
      <c r="D54" s="212"/>
      <c r="E54" s="212"/>
      <c r="F54" s="224" t="s">
        <v>1149</v>
      </c>
      <c r="G54" s="173" t="str">
        <f>$AI$20</f>
        <v>INDOWH</v>
      </c>
      <c r="H54" s="174"/>
      <c r="I54" s="174"/>
      <c r="K54" s="81"/>
      <c r="L54" s="333"/>
      <c r="M54" s="199"/>
      <c r="N54" s="81"/>
      <c r="O54" s="723"/>
      <c r="P54" s="723"/>
      <c r="Q54" s="81"/>
      <c r="R54" s="300"/>
      <c r="S54" s="300"/>
      <c r="T54" s="300"/>
      <c r="U54" s="199">
        <f ca="1">1-U53</f>
        <v>0.49733588016487384</v>
      </c>
      <c r="V54" s="300"/>
      <c r="W54" s="298"/>
      <c r="X54" s="698"/>
      <c r="Y54" s="81"/>
      <c r="Z54" s="81"/>
      <c r="AA54" s="81"/>
      <c r="AB54" s="81"/>
      <c r="AD54" s="81"/>
      <c r="AE54" s="81"/>
      <c r="AF54" s="220"/>
    </row>
    <row r="55" spans="2:32">
      <c r="B55" s="357" t="s">
        <v>1001</v>
      </c>
      <c r="D55" s="212"/>
      <c r="E55" s="212"/>
      <c r="F55" s="224" t="s">
        <v>1149</v>
      </c>
      <c r="G55" s="173" t="s">
        <v>499</v>
      </c>
      <c r="H55" s="174" t="str">
        <f>$AI$15</f>
        <v>IODSH</v>
      </c>
      <c r="I55" s="174"/>
      <c r="J55" s="224">
        <f t="shared" ref="J55" si="18">AD55</f>
        <v>2050</v>
      </c>
      <c r="K55" s="81"/>
      <c r="L55" s="333">
        <v>1</v>
      </c>
      <c r="M55" s="199">
        <f ca="1">VLOOKUP($AD55,INDIRECT("'"&amp;$B55&amp;"'!"&amp;"$P$39:$AD$42"),3,FALSE)</f>
        <v>2.0509898799999999</v>
      </c>
      <c r="N55" s="81"/>
      <c r="O55" s="723">
        <f ca="1">VLOOKUP($AD55,INDIRECT("'"&amp;$B55&amp;"'!"&amp;"$P$39:$AD$42"),6,FALSE)/1000</f>
        <v>6.955935359434223</v>
      </c>
      <c r="P55" s="723">
        <f ca="1">VLOOKUP($AD55,INDIRECT("'"&amp;$B55&amp;"'!"&amp;"$P$39:$AD$42"),7,FALSE)/1000</f>
        <v>1.49E-2</v>
      </c>
      <c r="Q55" s="81">
        <f ca="1">VLOOKUP($AD55,INDIRECT("'"&amp;$B55&amp;"'!"&amp;"$P$39:$AD$42"),8,FALSE)</f>
        <v>6.7877777777777784</v>
      </c>
      <c r="R55" s="300"/>
      <c r="S55" s="300"/>
      <c r="T55" s="300"/>
      <c r="U55" s="199">
        <f ca="1">1/M55</f>
        <v>0.48756944622271858</v>
      </c>
      <c r="V55" s="199"/>
      <c r="W55" s="298"/>
      <c r="X55" s="698">
        <f ca="1">IF(VLOOKUP($AD55,INDIRECT("'"&amp;$B55&amp;"'!"&amp;"$P$39:$AD$42"),11,FALSE)="Cf. the utilized electricity",0,VLOOKUP($AD55,INDIRECT("'"&amp;$B55&amp;"'!"&amp;"$P$39:$AD$42"),11,FALSE))</f>
        <v>0</v>
      </c>
      <c r="Y55" s="81">
        <f ca="1">VLOOKUP($AD55,INDIRECT("'"&amp;$B55&amp;"'!"&amp;"$P$39:$AD$42"),12,FALSE)</f>
        <v>0</v>
      </c>
      <c r="Z55" s="81">
        <f ca="1">VLOOKUP($AD55,INDIRECT("'"&amp;$B55&amp;"'!"&amp;"$P$39:$AD$42"),13,FALSE)</f>
        <v>0</v>
      </c>
      <c r="AA55" s="81">
        <f ca="1">VLOOKUP($AD55,INDIRECT("'"&amp;$B55&amp;"'!"&amp;"$P$39:$AD$42"),14,FALSE)</f>
        <v>0</v>
      </c>
      <c r="AB55" s="81">
        <f ca="1">VLOOKUP($AD55,INDIRECT("'"&amp;$B55&amp;"'!"&amp;"$P$39:$AD$42"),15,FALSE)</f>
        <v>0</v>
      </c>
      <c r="AD55" s="81">
        <v>2050</v>
      </c>
      <c r="AE55" s="81"/>
      <c r="AF55" s="220"/>
    </row>
    <row r="56" spans="2:32">
      <c r="B56" s="357" t="s">
        <v>1001</v>
      </c>
      <c r="D56" s="212"/>
      <c r="E56" s="212"/>
      <c r="F56" s="224" t="s">
        <v>1149</v>
      </c>
      <c r="G56" s="173" t="str">
        <f>$AI$20</f>
        <v>INDOWH</v>
      </c>
      <c r="H56" s="174"/>
      <c r="I56" s="174"/>
      <c r="K56" s="81"/>
      <c r="L56" s="333"/>
      <c r="M56" s="199"/>
      <c r="N56" s="81"/>
      <c r="O56" s="723"/>
      <c r="P56" s="723"/>
      <c r="Q56" s="81"/>
      <c r="R56" s="300"/>
      <c r="S56" s="300"/>
      <c r="T56" s="300"/>
      <c r="U56" s="199">
        <f ca="1">1-U55</f>
        <v>0.51243055377728142</v>
      </c>
      <c r="V56" s="300"/>
      <c r="W56" s="298"/>
      <c r="X56" s="698"/>
      <c r="Y56" s="81"/>
      <c r="Z56" s="81"/>
      <c r="AA56" s="81"/>
      <c r="AB56" s="81"/>
      <c r="AD56" s="81"/>
      <c r="AE56" s="81"/>
      <c r="AF56" s="220"/>
    </row>
    <row r="57" spans="2:32">
      <c r="B57" s="357" t="s">
        <v>1002</v>
      </c>
      <c r="D57" s="212" t="str">
        <f>"IND"&amp;RIGHT(H57,4)&amp;RIGHT(G57,3)&amp;"N"&amp;RIGHT(E57,1)</f>
        <v>INDODPHELCN5</v>
      </c>
      <c r="E57" s="261" t="str">
        <f>"Industrial heating technology "&amp;$AJ$12&amp;" "&amp;RIGHT(H57,2)&amp;" - MVR utilizing waste heat - new 5"</f>
        <v>Industrial heating technology Other PH - MVR utilizing waste heat - new 5</v>
      </c>
      <c r="F57" s="224" t="s">
        <v>1149</v>
      </c>
      <c r="G57" s="173" t="s">
        <v>499</v>
      </c>
      <c r="H57" s="174" t="str">
        <f>$AI$14</f>
        <v>IODPH</v>
      </c>
      <c r="I57" s="174"/>
      <c r="J57" s="224">
        <f t="shared" ref="J57" si="19">AD57</f>
        <v>2020</v>
      </c>
      <c r="K57" s="81">
        <v>2020</v>
      </c>
      <c r="L57" s="333">
        <v>1</v>
      </c>
      <c r="M57" s="199">
        <f ca="1">VLOOKUP($AD57,INDIRECT("'"&amp;$B57&amp;"'!"&amp;"$P$39:$AD$42"),3,FALSE)</f>
        <v>12.1</v>
      </c>
      <c r="N57" s="81">
        <f ca="1">VLOOKUP($AD57,INDIRECT("'"&amp;$B57&amp;"'!"&amp;"$P$39:$AD$42"),5,FALSE)</f>
        <v>25</v>
      </c>
      <c r="O57" s="723">
        <f ca="1">VLOOKUP($AD57,INDIRECT("'"&amp;$B57&amp;"'!"&amp;"$P$39:$AD$42"),6,FALSE)/1000</f>
        <v>2.6074999999999999</v>
      </c>
      <c r="P57" s="723">
        <f ca="1">VLOOKUP($AD57,INDIRECT("'"&amp;$B57&amp;"'!"&amp;"$P$39:$AD$42"),7,FALSE)/1000</f>
        <v>1.49E-2</v>
      </c>
      <c r="Q57" s="81">
        <f ca="1">VLOOKUP($AD57,INDIRECT("'"&amp;$B57&amp;"'!"&amp;"$P$39:$AD$42"),8,FALSE)</f>
        <v>5.2356944444444444</v>
      </c>
      <c r="R57" s="81">
        <v>3.1536000000000002E-2</v>
      </c>
      <c r="S57" s="199">
        <v>0.5</v>
      </c>
      <c r="T57" s="199">
        <f ca="1">HLOOKUP($T$2,INDIRECT("'"&amp;$B57&amp;"'!"&amp;"$P$6:$AC$19"),IF(H57=$AI$13,6,IF(H57=$AI$14,9,14)),FALSE)</f>
        <v>0</v>
      </c>
      <c r="U57" s="199">
        <f ca="1">1/M57</f>
        <v>8.2644628099173556E-2</v>
      </c>
      <c r="V57" s="199"/>
      <c r="W57" s="298"/>
      <c r="X57" s="698">
        <f ca="1">IF(VLOOKUP($AD57,INDIRECT("'"&amp;$B57&amp;"'!"&amp;"$P$39:$AD$42"),11,FALSE)="Cf. the utilized electricity",0,VLOOKUP($AD57,INDIRECT("'"&amp;$B57&amp;"'!"&amp;"$P$39:$AD$42"),11,FALSE))</f>
        <v>0</v>
      </c>
      <c r="Y57" s="81">
        <f ca="1">VLOOKUP($AD57,INDIRECT("'"&amp;$B57&amp;"'!"&amp;"$P$39:$AD$42"),12,FALSE)</f>
        <v>0</v>
      </c>
      <c r="Z57" s="81">
        <f ca="1">VLOOKUP($AD57,INDIRECT("'"&amp;$B57&amp;"'!"&amp;"$P$39:$AD$42"),13,FALSE)</f>
        <v>0</v>
      </c>
      <c r="AA57" s="81">
        <f ca="1">VLOOKUP($AD57,INDIRECT("'"&amp;$B57&amp;"'!"&amp;"$P$39:$AD$42"),14,FALSE)</f>
        <v>0</v>
      </c>
      <c r="AB57" s="81">
        <f ca="1">VLOOKUP($AD57,INDIRECT("'"&amp;$B57&amp;"'!"&amp;"$P$39:$AD$42"),15,FALSE)</f>
        <v>0</v>
      </c>
      <c r="AD57" s="81">
        <v>2020</v>
      </c>
      <c r="AE57" s="81"/>
      <c r="AF57" s="220"/>
    </row>
    <row r="58" spans="2:32">
      <c r="B58" s="357" t="s">
        <v>1002</v>
      </c>
      <c r="D58" s="212"/>
      <c r="E58" s="261"/>
      <c r="F58" s="224" t="s">
        <v>1149</v>
      </c>
      <c r="G58" s="173" t="str">
        <f>$AI$20</f>
        <v>INDOWH</v>
      </c>
      <c r="H58" s="174"/>
      <c r="I58" s="174"/>
      <c r="K58" s="81"/>
      <c r="L58" s="199"/>
      <c r="M58" s="199"/>
      <c r="N58" s="81"/>
      <c r="O58" s="723"/>
      <c r="P58" s="723"/>
      <c r="Q58" s="81"/>
      <c r="R58" s="200"/>
      <c r="S58" s="772"/>
      <c r="T58" s="772"/>
      <c r="U58" s="199">
        <f ca="1">1-U57</f>
        <v>0.9173553719008265</v>
      </c>
      <c r="V58" s="772"/>
      <c r="W58" s="298"/>
      <c r="X58" s="698"/>
      <c r="Y58" s="81"/>
      <c r="Z58" s="81"/>
      <c r="AA58" s="81"/>
      <c r="AB58" s="81"/>
      <c r="AD58" s="81"/>
      <c r="AE58" s="81"/>
      <c r="AF58" s="220"/>
    </row>
    <row r="59" spans="2:32">
      <c r="B59" s="357" t="s">
        <v>1002</v>
      </c>
      <c r="D59" s="212"/>
      <c r="E59" s="212"/>
      <c r="F59" s="224" t="s">
        <v>1149</v>
      </c>
      <c r="G59" s="173" t="s">
        <v>499</v>
      </c>
      <c r="H59" s="174" t="str">
        <f>$AI$14</f>
        <v>IODPH</v>
      </c>
      <c r="I59" s="174"/>
      <c r="J59" s="224">
        <f t="shared" ref="J59" si="20">AD59</f>
        <v>2030</v>
      </c>
      <c r="K59" s="81"/>
      <c r="L59" s="333">
        <v>1</v>
      </c>
      <c r="M59" s="199">
        <f ca="1">VLOOKUP($AD59,INDIRECT("'"&amp;$B59&amp;"'!"&amp;"$P$39:$AD$42"),3,FALSE)</f>
        <v>12.7</v>
      </c>
      <c r="N59" s="81"/>
      <c r="O59" s="723">
        <f ca="1">VLOOKUP($AD59,INDIRECT("'"&amp;$B59&amp;"'!"&amp;"$P$39:$AD$42"),6,FALSE)/1000</f>
        <v>2.4585000000000004</v>
      </c>
      <c r="P59" s="723">
        <f ca="1">VLOOKUP($AD59,INDIRECT("'"&amp;$B59&amp;"'!"&amp;"$P$39:$AD$42"),7,FALSE)/1000</f>
        <v>1.49E-2</v>
      </c>
      <c r="Q59" s="81">
        <f ca="1">VLOOKUP($AD59,INDIRECT("'"&amp;$B59&amp;"'!"&amp;"$P$39:$AD$42"),8,FALSE)</f>
        <v>5.0701388888888888</v>
      </c>
      <c r="R59" s="300"/>
      <c r="S59" s="300"/>
      <c r="T59" s="300"/>
      <c r="U59" s="199">
        <f ca="1">1/M59</f>
        <v>7.874015748031496E-2</v>
      </c>
      <c r="V59" s="199"/>
      <c r="W59" s="298"/>
      <c r="X59" s="698">
        <f ca="1">IF(VLOOKUP($AD59,INDIRECT("'"&amp;$B59&amp;"'!"&amp;"$P$39:$AD$42"),11,FALSE)="Cf. the utilized electricity",0,VLOOKUP($AD59,INDIRECT("'"&amp;$B59&amp;"'!"&amp;"$P$39:$AD$42"),11,FALSE))</f>
        <v>0</v>
      </c>
      <c r="Y59" s="81">
        <f ca="1">VLOOKUP($AD59,INDIRECT("'"&amp;$B59&amp;"'!"&amp;"$P$39:$AD$42"),12,FALSE)</f>
        <v>0</v>
      </c>
      <c r="Z59" s="81">
        <f ca="1">VLOOKUP($AD59,INDIRECT("'"&amp;$B59&amp;"'!"&amp;"$P$39:$AD$42"),13,FALSE)</f>
        <v>0</v>
      </c>
      <c r="AA59" s="81">
        <f ca="1">VLOOKUP($AD59,INDIRECT("'"&amp;$B59&amp;"'!"&amp;"$P$39:$AD$42"),14,FALSE)</f>
        <v>0</v>
      </c>
      <c r="AB59" s="81">
        <f ca="1">VLOOKUP($AD59,INDIRECT("'"&amp;$B59&amp;"'!"&amp;"$P$39:$AD$42"),15,FALSE)</f>
        <v>0</v>
      </c>
      <c r="AD59" s="81">
        <v>2030</v>
      </c>
      <c r="AE59" s="81"/>
      <c r="AF59" s="220"/>
    </row>
    <row r="60" spans="2:32">
      <c r="B60" s="357" t="s">
        <v>1002</v>
      </c>
      <c r="D60" s="212"/>
      <c r="E60" s="212"/>
      <c r="F60" s="224" t="s">
        <v>1149</v>
      </c>
      <c r="G60" s="173" t="str">
        <f>$AI$20</f>
        <v>INDOWH</v>
      </c>
      <c r="H60" s="174"/>
      <c r="I60" s="174"/>
      <c r="K60" s="81"/>
      <c r="L60" s="199"/>
      <c r="M60" s="199"/>
      <c r="N60" s="81"/>
      <c r="O60" s="723"/>
      <c r="P60" s="723"/>
      <c r="Q60" s="81"/>
      <c r="R60" s="300"/>
      <c r="S60" s="300"/>
      <c r="T60" s="300"/>
      <c r="U60" s="199">
        <f ca="1">1-U59</f>
        <v>0.92125984251968507</v>
      </c>
      <c r="V60" s="300"/>
      <c r="W60" s="298"/>
      <c r="X60" s="698"/>
      <c r="Y60" s="81"/>
      <c r="Z60" s="81"/>
      <c r="AA60" s="81"/>
      <c r="AB60" s="81"/>
      <c r="AD60" s="81"/>
      <c r="AE60" s="81"/>
      <c r="AF60" s="220"/>
    </row>
    <row r="61" spans="2:32">
      <c r="B61" s="357" t="s">
        <v>1002</v>
      </c>
      <c r="D61" s="212"/>
      <c r="E61" s="212"/>
      <c r="F61" s="224" t="s">
        <v>1149</v>
      </c>
      <c r="G61" s="173" t="s">
        <v>499</v>
      </c>
      <c r="H61" s="174" t="str">
        <f>$AI$14</f>
        <v>IODPH</v>
      </c>
      <c r="I61" s="174"/>
      <c r="J61" s="224">
        <f t="shared" ref="J61" si="21">AD61</f>
        <v>2050</v>
      </c>
      <c r="K61" s="81"/>
      <c r="L61" s="333">
        <v>1</v>
      </c>
      <c r="M61" s="199">
        <f ca="1">VLOOKUP($AD61,INDIRECT("'"&amp;$B61&amp;"'!"&amp;"$P$39:$AD$42"),3,FALSE)</f>
        <v>13.8</v>
      </c>
      <c r="N61" s="81"/>
      <c r="O61" s="723">
        <f ca="1">VLOOKUP($AD61,INDIRECT("'"&amp;$B61&amp;"'!"&amp;"$P$39:$AD$42"),6,FALSE)/1000</f>
        <v>2.3094999999999999</v>
      </c>
      <c r="P61" s="723">
        <f ca="1">VLOOKUP($AD61,INDIRECT("'"&amp;$B61&amp;"'!"&amp;"$P$39:$AD$42"),7,FALSE)/1000</f>
        <v>1.49E-2</v>
      </c>
      <c r="Q61" s="81">
        <f ca="1">VLOOKUP($AD61,INDIRECT("'"&amp;$B61&amp;"'!"&amp;"$P$39:$AD$42"),8,FALSE)</f>
        <v>4.8838888888888903</v>
      </c>
      <c r="R61" s="300"/>
      <c r="S61" s="300"/>
      <c r="T61" s="300"/>
      <c r="U61" s="199">
        <f ca="1">1/M61</f>
        <v>7.2463768115942032E-2</v>
      </c>
      <c r="V61" s="199"/>
      <c r="W61" s="298"/>
      <c r="X61" s="698">
        <f ca="1">IF(VLOOKUP($AD61,INDIRECT("'"&amp;$B61&amp;"'!"&amp;"$P$39:$AD$42"),11,FALSE)="Cf. the utilized electricity",0,VLOOKUP($AD61,INDIRECT("'"&amp;$B61&amp;"'!"&amp;"$P$39:$AD$42"),11,FALSE))</f>
        <v>0</v>
      </c>
      <c r="Y61" s="81">
        <f ca="1">VLOOKUP($AD61,INDIRECT("'"&amp;$B61&amp;"'!"&amp;"$P$39:$AD$42"),12,FALSE)</f>
        <v>0</v>
      </c>
      <c r="Z61" s="81">
        <f ca="1">VLOOKUP($AD61,INDIRECT("'"&amp;$B61&amp;"'!"&amp;"$P$39:$AD$42"),13,FALSE)</f>
        <v>0</v>
      </c>
      <c r="AA61" s="81">
        <f ca="1">VLOOKUP($AD61,INDIRECT("'"&amp;$B61&amp;"'!"&amp;"$P$39:$AD$42"),14,FALSE)</f>
        <v>0</v>
      </c>
      <c r="AB61" s="81">
        <f ca="1">VLOOKUP($AD61,INDIRECT("'"&amp;$B61&amp;"'!"&amp;"$P$39:$AD$42"),15,FALSE)</f>
        <v>0</v>
      </c>
      <c r="AD61" s="81">
        <v>2050</v>
      </c>
      <c r="AE61" s="81"/>
      <c r="AF61" s="220"/>
    </row>
    <row r="62" spans="2:32" ht="16" thickBot="1">
      <c r="B62" s="786" t="s">
        <v>1002</v>
      </c>
      <c r="C62" s="787"/>
      <c r="D62" s="732"/>
      <c r="E62" s="732"/>
      <c r="F62" s="224" t="s">
        <v>1149</v>
      </c>
      <c r="G62" s="788" t="str">
        <f>$AI$20</f>
        <v>INDOWH</v>
      </c>
      <c r="H62" s="788"/>
      <c r="I62" s="788"/>
      <c r="K62" s="789"/>
      <c r="L62" s="790"/>
      <c r="M62" s="790"/>
      <c r="N62" s="789"/>
      <c r="O62" s="791"/>
      <c r="P62" s="791"/>
      <c r="Q62" s="789"/>
      <c r="R62" s="792"/>
      <c r="S62" s="792"/>
      <c r="T62" s="792"/>
      <c r="U62" s="790">
        <f ca="1">1-U61</f>
        <v>0.92753623188405798</v>
      </c>
      <c r="V62" s="796"/>
      <c r="W62" s="793"/>
      <c r="X62" s="794"/>
      <c r="Y62" s="789"/>
      <c r="Z62" s="789"/>
      <c r="AA62" s="789"/>
      <c r="AB62" s="789"/>
      <c r="AC62" s="787"/>
      <c r="AD62" s="789"/>
      <c r="AE62" s="789"/>
      <c r="AF62" s="795"/>
    </row>
    <row r="63" spans="2:32">
      <c r="B63" s="357" t="s">
        <v>920</v>
      </c>
      <c r="D63" s="212" t="str">
        <f>"IND"&amp;RIGHT(H63,4)&amp;RIGHT(G63,3)&amp;"N"&amp;RIGHT(E63,1)</f>
        <v>INDODPHWSTN1</v>
      </c>
      <c r="E63" s="261" t="str">
        <f>"Industrial heating technology "&amp;$AJ$12&amp;" "&amp;RIGHT(H63,2)&amp;" - Hotdisc - new 1"</f>
        <v>Industrial heating technology Other PH - Hotdisc - new 1</v>
      </c>
      <c r="F63" s="224" t="s">
        <v>1149</v>
      </c>
      <c r="G63" s="832" t="s">
        <v>1005</v>
      </c>
      <c r="H63" s="174" t="str">
        <f>$AI$13</f>
        <v>IODPH</v>
      </c>
      <c r="I63" s="173" t="str">
        <f t="shared" ref="I63:I126" si="22">$AI$20</f>
        <v>INDOWH</v>
      </c>
      <c r="J63" s="224">
        <f>IF(AD63=2020,2011,AD63)</f>
        <v>2011</v>
      </c>
      <c r="K63" s="299">
        <v>2025</v>
      </c>
      <c r="L63" s="699">
        <f t="shared" ref="L63:L80" ca="1" si="23">VLOOKUP($AD63,INDIRECT("'"&amp;$B63&amp;"'!"&amp;"$P$39:$AD$42"),3,FALSE)</f>
        <v>0.9</v>
      </c>
      <c r="M63" s="699"/>
      <c r="N63" s="299">
        <f ca="1">VLOOKUP($AD63,INDIRECT("'"&amp;$B63&amp;"'!"&amp;"$P$39:$AD$42"),5,FALSE)</f>
        <v>20</v>
      </c>
      <c r="O63" s="725">
        <f t="shared" ref="O63:O80" ca="1" si="24">VLOOKUP($AD63,INDIRECT("'"&amp;$B63&amp;"'!"&amp;"$P$39:$AD$42"),6,FALSE)/1000</f>
        <v>3.7250000000000001</v>
      </c>
      <c r="P63" s="725">
        <f t="shared" ref="P63:P80" ca="1" si="25">VLOOKUP($AD63,INDIRECT("'"&amp;$B63&amp;"'!"&amp;"$P$39:$AD$42"),7,FALSE)/1000</f>
        <v>2.98E-3</v>
      </c>
      <c r="Q63" s="299">
        <f t="shared" ref="Q63:Q80" ca="1" si="26">VLOOKUP($AD63,INDIRECT("'"&amp;$B63&amp;"'!"&amp;"$P$39:$AD$42"),8,FALSE)</f>
        <v>2.4315972222222224</v>
      </c>
      <c r="R63" s="299">
        <v>3.1536000000000002E-2</v>
      </c>
      <c r="S63" s="699">
        <v>0.5</v>
      </c>
      <c r="T63" s="699">
        <f ca="1">HLOOKUP($S$2,INDIRECT("'"&amp;$B63&amp;"'!"&amp;"$P$6:$AC$19"),IF(H63=$AI$13,6,IF(H63=$AI$14,9,14)),FALSE)</f>
        <v>0</v>
      </c>
      <c r="U63" s="772"/>
      <c r="V63" s="199">
        <f ca="1">IF(IF(RIGHT(H63,2)="PH",(1-L63)+$W$2,IF(RIGHT(H63,2)="HT",(1-L63)+$W$1,IF(RIGHT(H63,2)="SH",(1-L63)+$W$3,"")))&gt;0,IF(RIGHT(H63,2)="PH",(1-L63)+$W$2,IF(RIGHT(H63,2)="HT",(1-L63)+$W$1,IF(RIGHT(H63,2)="SH",(1-L63)+$W$3,""))),0)</f>
        <v>0.3</v>
      </c>
      <c r="W63" s="298"/>
      <c r="X63" s="785">
        <f t="shared" ref="X63:X94" ca="1" si="27">IF(VLOOKUP($AD63,INDIRECT("'"&amp;$B63&amp;"'!"&amp;"$P$39:$AD$42"),11,FALSE)="Cf. the utilized electricity",0,VLOOKUP($AD63,INDIRECT("'"&amp;$B63&amp;"'!"&amp;"$P$39:$AD$42"),11,FALSE))</f>
        <v>8.3000000000000007</v>
      </c>
      <c r="Y63" s="299">
        <f t="shared" ref="Y63:Y80" ca="1" si="28">VLOOKUP($AD63,INDIRECT("'"&amp;$B63&amp;"'!"&amp;"$P$39:$AD$42"),12,FALSE)</f>
        <v>56</v>
      </c>
      <c r="Z63" s="299">
        <f t="shared" ref="Z63:Z80" ca="1" si="29">VLOOKUP($AD63,INDIRECT("'"&amp;$B63&amp;"'!"&amp;"$P$39:$AD$42"),13,FALSE)</f>
        <v>0.1</v>
      </c>
      <c r="AA63" s="299">
        <f t="shared" ref="AA63:AA80" ca="1" si="30">VLOOKUP($AD63,INDIRECT("'"&amp;$B63&amp;"'!"&amp;"$P$39:$AD$42"),14,FALSE)</f>
        <v>1</v>
      </c>
      <c r="AB63" s="299">
        <f t="shared" ref="AB63:AB80" ca="1" si="31">VLOOKUP($AD63,INDIRECT("'"&amp;$B63&amp;"'!"&amp;"$P$39:$AD$42"),15,FALSE)</f>
        <v>0.28999999999999998</v>
      </c>
      <c r="AD63" s="299">
        <v>2020</v>
      </c>
      <c r="AE63" s="299"/>
      <c r="AF63" s="220"/>
    </row>
    <row r="64" spans="2:32">
      <c r="B64" s="357" t="s">
        <v>920</v>
      </c>
      <c r="D64" s="212"/>
      <c r="E64" s="212"/>
      <c r="F64" s="224" t="s">
        <v>1149</v>
      </c>
      <c r="H64" s="174"/>
      <c r="I64" s="173" t="str">
        <f t="shared" si="22"/>
        <v>INDOWH</v>
      </c>
      <c r="J64" s="224">
        <f t="shared" ref="J64:J127" si="32">IF(AD64=2020,2011,AD64)</f>
        <v>2030</v>
      </c>
      <c r="K64" s="81"/>
      <c r="L64" s="199">
        <f t="shared" ca="1" si="23"/>
        <v>0.91</v>
      </c>
      <c r="M64" s="199"/>
      <c r="N64" s="81"/>
      <c r="O64" s="723">
        <f t="shared" ca="1" si="24"/>
        <v>3.4642500000000003</v>
      </c>
      <c r="P64" s="723">
        <f t="shared" ca="1" si="25"/>
        <v>2.98E-3</v>
      </c>
      <c r="Q64" s="81">
        <f t="shared" ca="1" si="26"/>
        <v>2.4729861111111116</v>
      </c>
      <c r="R64" s="300"/>
      <c r="S64" s="300"/>
      <c r="T64" s="300"/>
      <c r="U64" s="300"/>
      <c r="V64" s="199">
        <f ca="1">IF(IF(RIGHT(H63,2)="PH",(1-L64)+$W$2,IF(RIGHT(H63,2)="HT",(1-L64)+$W$1,IF(RIGHT(H63,2)="SH",(1-L64)+$W$3,"")))&gt;0,IF(RIGHT(H63,2)="PH",(1-L64)+$W$2,IF(RIGHT(H63,2)="HT",(1-L64)+$W$1,IF(RIGHT(H63,2)="SH",(1-L64)+$W$3,""))),0)</f>
        <v>0.28999999999999998</v>
      </c>
      <c r="W64" s="298"/>
      <c r="X64" s="698">
        <f t="shared" ca="1" si="27"/>
        <v>8.3000000000000007</v>
      </c>
      <c r="Y64" s="81">
        <f t="shared" ca="1" si="28"/>
        <v>45</v>
      </c>
      <c r="Z64" s="81">
        <f t="shared" ca="1" si="29"/>
        <v>0.1</v>
      </c>
      <c r="AA64" s="81">
        <f t="shared" ca="1" si="30"/>
        <v>1</v>
      </c>
      <c r="AB64" s="81">
        <f t="shared" ca="1" si="31"/>
        <v>0.28999999999999998</v>
      </c>
      <c r="AD64" s="81">
        <v>2030</v>
      </c>
      <c r="AE64" s="81"/>
      <c r="AF64" s="220"/>
    </row>
    <row r="65" spans="2:32">
      <c r="B65" s="357" t="s">
        <v>920</v>
      </c>
      <c r="D65" s="212"/>
      <c r="E65" s="212"/>
      <c r="F65" s="224" t="s">
        <v>1149</v>
      </c>
      <c r="H65" s="174"/>
      <c r="I65" s="173" t="str">
        <f t="shared" si="22"/>
        <v>INDOWH</v>
      </c>
      <c r="J65" s="224">
        <f t="shared" si="32"/>
        <v>2050</v>
      </c>
      <c r="K65" s="81"/>
      <c r="L65" s="199">
        <f t="shared" ca="1" si="23"/>
        <v>0.93</v>
      </c>
      <c r="M65" s="199"/>
      <c r="N65" s="81"/>
      <c r="O65" s="723">
        <f t="shared" ca="1" si="24"/>
        <v>3.3525</v>
      </c>
      <c r="P65" s="723">
        <f t="shared" ca="1" si="25"/>
        <v>2.98E-3</v>
      </c>
      <c r="Q65" s="81">
        <f t="shared" ca="1" si="26"/>
        <v>2.4936805555555561</v>
      </c>
      <c r="R65" s="300"/>
      <c r="S65" s="300"/>
      <c r="T65" s="300"/>
      <c r="U65" s="300"/>
      <c r="V65" s="199">
        <f ca="1">IF(IF(RIGHT(H63,2)="PH",(1-L65)+$W$2,IF(RIGHT(H63,2)="HT",(1-L65)+$W$1,IF(RIGHT(H63,2)="SH",(1-L65)+$W$3,"")))&gt;0,IF(RIGHT(H63,2)="PH",(1-L65)+$W$2,IF(RIGHT(H63,2)="HT",(1-L65)+$W$1,IF(RIGHT(H63,2)="SH",(1-L65)+$W$3,""))),0)</f>
        <v>0.26999999999999996</v>
      </c>
      <c r="W65" s="298"/>
      <c r="X65" s="698">
        <f t="shared" ca="1" si="27"/>
        <v>8.3000000000000007</v>
      </c>
      <c r="Y65" s="81">
        <f t="shared" ca="1" si="28"/>
        <v>11</v>
      </c>
      <c r="Z65" s="81">
        <f t="shared" ca="1" si="29"/>
        <v>0.1</v>
      </c>
      <c r="AA65" s="81">
        <f t="shared" ca="1" si="30"/>
        <v>1</v>
      </c>
      <c r="AB65" s="81">
        <f t="shared" ca="1" si="31"/>
        <v>0.28999999999999998</v>
      </c>
      <c r="AD65" s="81">
        <v>2050</v>
      </c>
      <c r="AE65" s="81"/>
      <c r="AF65" s="220"/>
    </row>
    <row r="66" spans="2:32">
      <c r="B66" s="357" t="s">
        <v>922</v>
      </c>
      <c r="D66" s="212" t="str">
        <f>"IND"&amp;RIGHT(H66,4)&amp;RIGHT(G66,3)&amp;"N"&amp;RIGHT(E66,1)</f>
        <v>INDODPHELCN6</v>
      </c>
      <c r="E66" s="261" t="str">
        <f>"Industrial heating technology "&amp;$AJ$12&amp;" "&amp;RIGHT(H66,2)&amp;" - Dielectric heating - new 6"</f>
        <v>Industrial heating technology Other PH - Dielectric heating - new 6</v>
      </c>
      <c r="F66" s="224" t="s">
        <v>1149</v>
      </c>
      <c r="G66" s="173" t="s">
        <v>499</v>
      </c>
      <c r="H66" s="174" t="str">
        <f>$AI$14</f>
        <v>IODPH</v>
      </c>
      <c r="I66" s="173" t="str">
        <f t="shared" si="22"/>
        <v>INDOWH</v>
      </c>
      <c r="J66" s="224">
        <f t="shared" si="32"/>
        <v>2011</v>
      </c>
      <c r="K66" s="299">
        <v>2020</v>
      </c>
      <c r="L66" s="199">
        <f t="shared" ca="1" si="23"/>
        <v>0.95</v>
      </c>
      <c r="M66" s="199"/>
      <c r="N66" s="81">
        <f ca="1">VLOOKUP($AD66,INDIRECT("'"&amp;$B66&amp;"'!"&amp;"$P$39:$AD$42"),5,FALSE)</f>
        <v>30</v>
      </c>
      <c r="O66" s="723">
        <f t="shared" ca="1" si="24"/>
        <v>20.115000000000002</v>
      </c>
      <c r="P66" s="723">
        <f t="shared" ca="1" si="25"/>
        <v>0</v>
      </c>
      <c r="Q66" s="81">
        <f t="shared" ca="1" si="26"/>
        <v>94.828152777777774</v>
      </c>
      <c r="R66" s="81">
        <v>3.1536000000000002E-2</v>
      </c>
      <c r="S66" s="199">
        <v>0.5</v>
      </c>
      <c r="T66" s="199">
        <f ca="1">HLOOKUP($S$2,INDIRECT("'"&amp;$B66&amp;"'!"&amp;"$P$6:$AC$19"),IF(H66=$AI$13,6,IF(H66=$AI$14,9,14)),FALSE)</f>
        <v>0</v>
      </c>
      <c r="U66" s="772"/>
      <c r="V66" s="199">
        <f t="shared" ref="V66" ca="1" si="33">IF(IF(RIGHT(H66,2)="PH",(1-L66)+$W$2,IF(RIGHT(H66,2)="HT",(1-L66)+$W$1,IF(RIGHT(H66,2)="SH",(1-L66)+$W$3,"")))&gt;0,IF(RIGHT(H66,2)="PH",(1-L66)+$W$2,IF(RIGHT(H66,2)="HT",(1-L66)+$W$1,IF(RIGHT(H66,2)="SH",(1-L66)+$W$3,""))),0)</f>
        <v>0.25000000000000006</v>
      </c>
      <c r="W66" s="298"/>
      <c r="X66" s="698">
        <f t="shared" ca="1" si="27"/>
        <v>0</v>
      </c>
      <c r="Y66" s="81">
        <f t="shared" ca="1" si="28"/>
        <v>0</v>
      </c>
      <c r="Z66" s="81">
        <f t="shared" ca="1" si="29"/>
        <v>0</v>
      </c>
      <c r="AA66" s="81">
        <f t="shared" ca="1" si="30"/>
        <v>0</v>
      </c>
      <c r="AB66" s="81">
        <f t="shared" ca="1" si="31"/>
        <v>0</v>
      </c>
      <c r="AD66" s="81">
        <v>2020</v>
      </c>
      <c r="AE66" s="81"/>
      <c r="AF66" s="220"/>
    </row>
    <row r="67" spans="2:32">
      <c r="B67" s="357" t="s">
        <v>922</v>
      </c>
      <c r="D67" s="212"/>
      <c r="E67" s="212"/>
      <c r="F67" s="224" t="s">
        <v>1149</v>
      </c>
      <c r="H67" s="174"/>
      <c r="I67" s="173" t="str">
        <f t="shared" si="22"/>
        <v>INDOWH</v>
      </c>
      <c r="J67" s="224">
        <f t="shared" si="32"/>
        <v>2030</v>
      </c>
      <c r="K67" s="81"/>
      <c r="L67" s="199">
        <f t="shared" ca="1" si="23"/>
        <v>0.95</v>
      </c>
      <c r="M67" s="199"/>
      <c r="N67" s="81"/>
      <c r="O67" s="723">
        <f t="shared" ca="1" si="24"/>
        <v>19.511550000000003</v>
      </c>
      <c r="P67" s="723">
        <f t="shared" ca="1" si="25"/>
        <v>0</v>
      </c>
      <c r="Q67" s="81">
        <f t="shared" ca="1" si="26"/>
        <v>94.832291666666663</v>
      </c>
      <c r="R67" s="300"/>
      <c r="S67" s="300"/>
      <c r="T67" s="300"/>
      <c r="U67" s="300"/>
      <c r="V67" s="199">
        <f t="shared" ref="V67" ca="1" si="34">IF(IF(RIGHT(H66,2)="PH",(1-L67)+$W$2,IF(RIGHT(H66,2)="HT",(1-L67)+$W$1,IF(RIGHT(H66,2)="SH",(1-L67)+$W$3,"")))&gt;0,IF(RIGHT(H66,2)="PH",(1-L67)+$W$2,IF(RIGHT(H66,2)="HT",(1-L67)+$W$1,IF(RIGHT(H66,2)="SH",(1-L67)+$W$3,""))),0)</f>
        <v>0.25000000000000006</v>
      </c>
      <c r="W67" s="298"/>
      <c r="X67" s="698">
        <f t="shared" ca="1" si="27"/>
        <v>0</v>
      </c>
      <c r="Y67" s="81">
        <f t="shared" ca="1" si="28"/>
        <v>0</v>
      </c>
      <c r="Z67" s="81">
        <f t="shared" ca="1" si="29"/>
        <v>0</v>
      </c>
      <c r="AA67" s="81">
        <f t="shared" ca="1" si="30"/>
        <v>0</v>
      </c>
      <c r="AB67" s="81">
        <f t="shared" ca="1" si="31"/>
        <v>0</v>
      </c>
      <c r="AD67" s="81">
        <v>2030</v>
      </c>
      <c r="AE67" s="81"/>
      <c r="AF67" s="220"/>
    </row>
    <row r="68" spans="2:32">
      <c r="B68" s="357" t="s">
        <v>922</v>
      </c>
      <c r="D68" s="212"/>
      <c r="E68" s="212"/>
      <c r="F68" s="224" t="s">
        <v>1149</v>
      </c>
      <c r="H68" s="174"/>
      <c r="I68" s="173" t="str">
        <f t="shared" si="22"/>
        <v>INDOWH</v>
      </c>
      <c r="J68" s="224">
        <f t="shared" si="32"/>
        <v>2050</v>
      </c>
      <c r="K68" s="81"/>
      <c r="L68" s="199">
        <f t="shared" ca="1" si="23"/>
        <v>0.95</v>
      </c>
      <c r="M68" s="199"/>
      <c r="N68" s="81"/>
      <c r="O68" s="723">
        <f t="shared" ca="1" si="24"/>
        <v>18.1035</v>
      </c>
      <c r="P68" s="723">
        <f t="shared" ca="1" si="25"/>
        <v>0</v>
      </c>
      <c r="Q68" s="81">
        <f t="shared" ca="1" si="26"/>
        <v>94.834361111111107</v>
      </c>
      <c r="R68" s="300"/>
      <c r="S68" s="300"/>
      <c r="T68" s="300"/>
      <c r="U68" s="300"/>
      <c r="V68" s="199">
        <f t="shared" ref="V68" ca="1" si="35">IF(IF(RIGHT(H66,2)="PH",(1-L68)+$W$2,IF(RIGHT(H66,2)="HT",(1-L68)+$W$1,IF(RIGHT(H66,2)="SH",(1-L68)+$W$3,"")))&gt;0,IF(RIGHT(H66,2)="PH",(1-L68)+$W$2,IF(RIGHT(H66,2)="HT",(1-L68)+$W$1,IF(RIGHT(H66,2)="SH",(1-L68)+$W$3,""))),0)</f>
        <v>0.25000000000000006</v>
      </c>
      <c r="W68" s="298"/>
      <c r="X68" s="698">
        <f t="shared" ca="1" si="27"/>
        <v>0</v>
      </c>
      <c r="Y68" s="81">
        <f t="shared" ca="1" si="28"/>
        <v>0</v>
      </c>
      <c r="Z68" s="81">
        <f t="shared" ca="1" si="29"/>
        <v>0</v>
      </c>
      <c r="AA68" s="81">
        <f t="shared" ca="1" si="30"/>
        <v>0</v>
      </c>
      <c r="AB68" s="81">
        <f t="shared" ca="1" si="31"/>
        <v>0</v>
      </c>
      <c r="AD68" s="81">
        <v>2050</v>
      </c>
      <c r="AE68" s="81"/>
      <c r="AF68" s="220"/>
    </row>
    <row r="69" spans="2:32">
      <c r="B69" s="357" t="s">
        <v>1006</v>
      </c>
      <c r="D69" s="212" t="str">
        <f>"IND"&amp;RIGHT(H69,4)&amp;RIGHT(G69,3)&amp;"N"&amp;RIGHT(E69,1)</f>
        <v>INDODPHELCN7</v>
      </c>
      <c r="E69" s="261" t="str">
        <f>"Industrial heating technology "&amp;$AJ$12&amp;" "&amp;RIGHT(H69,2)&amp;" - Infrared heating - new 7"</f>
        <v>Industrial heating technology Other PH - Infrared heating - new 7</v>
      </c>
      <c r="F69" s="224" t="s">
        <v>1149</v>
      </c>
      <c r="G69" s="173" t="s">
        <v>499</v>
      </c>
      <c r="H69" s="174" t="str">
        <f>$AI$14</f>
        <v>IODPH</v>
      </c>
      <c r="I69" s="173" t="str">
        <f t="shared" si="22"/>
        <v>INDOWH</v>
      </c>
      <c r="J69" s="224">
        <f t="shared" si="32"/>
        <v>2011</v>
      </c>
      <c r="K69" s="299">
        <v>2020</v>
      </c>
      <c r="L69" s="199">
        <f t="shared" ca="1" si="23"/>
        <v>0.96</v>
      </c>
      <c r="M69" s="199"/>
      <c r="N69" s="81">
        <f ca="1">VLOOKUP($AD69,INDIRECT("'"&amp;$B69&amp;"'!"&amp;"$P$39:$AD$42"),5,FALSE)</f>
        <v>30</v>
      </c>
      <c r="O69" s="723">
        <f t="shared" ca="1" si="24"/>
        <v>2.6074999999999999</v>
      </c>
      <c r="P69" s="723">
        <f t="shared" ca="1" si="25"/>
        <v>0</v>
      </c>
      <c r="Q69" s="81">
        <f t="shared" ca="1" si="26"/>
        <v>242.27606944444443</v>
      </c>
      <c r="R69" s="81">
        <v>3.1536000000000002E-2</v>
      </c>
      <c r="S69" s="199">
        <v>0.5</v>
      </c>
      <c r="T69" s="199">
        <f ca="1">HLOOKUP($S$2,INDIRECT("'"&amp;$B69&amp;"'!"&amp;"$P$6:$AC$19"),IF(H69=$AI$13,6,IF(H69=$AI$14,9,14)),FALSE)</f>
        <v>0</v>
      </c>
      <c r="U69" s="772"/>
      <c r="V69" s="199">
        <f t="shared" ref="V69" ca="1" si="36">IF(IF(RIGHT(H69,2)="PH",(1-L69)+$W$2,IF(RIGHT(H69,2)="HT",(1-L69)+$W$1,IF(RIGHT(H69,2)="SH",(1-L69)+$W$3,"")))&gt;0,IF(RIGHT(H69,2)="PH",(1-L69)+$W$2,IF(RIGHT(H69,2)="HT",(1-L69)+$W$1,IF(RIGHT(H69,2)="SH",(1-L69)+$W$3,""))),0)</f>
        <v>0.24000000000000005</v>
      </c>
      <c r="W69" s="298"/>
      <c r="X69" s="698">
        <f t="shared" ca="1" si="27"/>
        <v>0</v>
      </c>
      <c r="Y69" s="81">
        <f t="shared" ca="1" si="28"/>
        <v>0</v>
      </c>
      <c r="Z69" s="81">
        <f t="shared" ca="1" si="29"/>
        <v>0</v>
      </c>
      <c r="AA69" s="81">
        <f t="shared" ca="1" si="30"/>
        <v>0</v>
      </c>
      <c r="AB69" s="81">
        <f t="shared" ca="1" si="31"/>
        <v>0</v>
      </c>
      <c r="AD69" s="81">
        <v>2020</v>
      </c>
      <c r="AE69" s="81"/>
      <c r="AF69" s="220"/>
    </row>
    <row r="70" spans="2:32">
      <c r="B70" s="357" t="s">
        <v>1006</v>
      </c>
      <c r="D70" s="212"/>
      <c r="E70" s="212"/>
      <c r="F70" s="224" t="s">
        <v>1149</v>
      </c>
      <c r="H70" s="174"/>
      <c r="I70" s="173" t="str">
        <f t="shared" si="22"/>
        <v>INDOWH</v>
      </c>
      <c r="J70" s="224">
        <f t="shared" si="32"/>
        <v>2030</v>
      </c>
      <c r="K70" s="81"/>
      <c r="L70" s="199">
        <f t="shared" ca="1" si="23"/>
        <v>0.96</v>
      </c>
      <c r="M70" s="199"/>
      <c r="N70" s="81"/>
      <c r="O70" s="723">
        <f t="shared" ca="1" si="24"/>
        <v>2.5330000000000004</v>
      </c>
      <c r="P70" s="723">
        <f t="shared" ca="1" si="25"/>
        <v>0</v>
      </c>
      <c r="Q70" s="81">
        <f t="shared" ca="1" si="26"/>
        <v>242.28020833333332</v>
      </c>
      <c r="R70" s="300"/>
      <c r="S70" s="300"/>
      <c r="T70" s="300"/>
      <c r="U70" s="300"/>
      <c r="V70" s="199">
        <f t="shared" ref="V70" ca="1" si="37">IF(IF(RIGHT(H69,2)="PH",(1-L70)+$W$2,IF(RIGHT(H69,2)="HT",(1-L70)+$W$1,IF(RIGHT(H69,2)="SH",(1-L70)+$W$3,"")))&gt;0,IF(RIGHT(H69,2)="PH",(1-L70)+$W$2,IF(RIGHT(H69,2)="HT",(1-L70)+$W$1,IF(RIGHT(H69,2)="SH",(1-L70)+$W$3,""))),0)</f>
        <v>0.24000000000000005</v>
      </c>
      <c r="W70" s="298"/>
      <c r="X70" s="698">
        <f t="shared" ca="1" si="27"/>
        <v>0</v>
      </c>
      <c r="Y70" s="81">
        <f t="shared" ca="1" si="28"/>
        <v>0</v>
      </c>
      <c r="Z70" s="81">
        <f t="shared" ca="1" si="29"/>
        <v>0</v>
      </c>
      <c r="AA70" s="81">
        <f t="shared" ca="1" si="30"/>
        <v>0</v>
      </c>
      <c r="AB70" s="81">
        <f t="shared" ca="1" si="31"/>
        <v>0</v>
      </c>
      <c r="AD70" s="81">
        <v>2030</v>
      </c>
      <c r="AE70" s="81"/>
      <c r="AF70" s="220"/>
    </row>
    <row r="71" spans="2:32">
      <c r="B71" s="357" t="s">
        <v>1006</v>
      </c>
      <c r="D71" s="212"/>
      <c r="E71" s="212"/>
      <c r="F71" s="224" t="s">
        <v>1149</v>
      </c>
      <c r="H71" s="174"/>
      <c r="I71" s="174" t="str">
        <f t="shared" si="22"/>
        <v>INDOWH</v>
      </c>
      <c r="J71" s="224">
        <f t="shared" si="32"/>
        <v>2050</v>
      </c>
      <c r="K71" s="81"/>
      <c r="L71" s="199">
        <f t="shared" ca="1" si="23"/>
        <v>0.96</v>
      </c>
      <c r="M71" s="199"/>
      <c r="N71" s="81"/>
      <c r="O71" s="723">
        <f t="shared" ca="1" si="24"/>
        <v>2.3467500000000001</v>
      </c>
      <c r="P71" s="723">
        <f t="shared" ca="1" si="25"/>
        <v>0</v>
      </c>
      <c r="Q71" s="81">
        <f t="shared" ca="1" si="26"/>
        <v>242.28227777777775</v>
      </c>
      <c r="R71" s="300"/>
      <c r="S71" s="300"/>
      <c r="T71" s="300"/>
      <c r="U71" s="300"/>
      <c r="V71" s="199">
        <f t="shared" ref="V71" ca="1" si="38">IF(IF(RIGHT(H69,2)="PH",(1-L71)+$W$2,IF(RIGHT(H69,2)="HT",(1-L71)+$W$1,IF(RIGHT(H69,2)="SH",(1-L71)+$W$3,"")))&gt;0,IF(RIGHT(H69,2)="PH",(1-L71)+$W$2,IF(RIGHT(H69,2)="HT",(1-L71)+$W$1,IF(RIGHT(H69,2)="SH",(1-L71)+$W$3,""))),0)</f>
        <v>0.24000000000000005</v>
      </c>
      <c r="W71" s="298"/>
      <c r="X71" s="698">
        <f t="shared" ca="1" si="27"/>
        <v>0</v>
      </c>
      <c r="Y71" s="81">
        <f t="shared" ca="1" si="28"/>
        <v>0</v>
      </c>
      <c r="Z71" s="81">
        <f t="shared" ca="1" si="29"/>
        <v>0</v>
      </c>
      <c r="AA71" s="81">
        <f t="shared" ca="1" si="30"/>
        <v>0</v>
      </c>
      <c r="AB71" s="81">
        <f t="shared" ca="1" si="31"/>
        <v>0</v>
      </c>
      <c r="AD71" s="81">
        <v>2050</v>
      </c>
      <c r="AE71" s="81"/>
      <c r="AF71" s="220"/>
    </row>
    <row r="72" spans="2:32">
      <c r="B72" s="357" t="s">
        <v>1007</v>
      </c>
      <c r="D72" s="212" t="str">
        <f>"IND"&amp;RIGHT(H72,4)&amp;RIGHT(G72,3)&amp;"N"&amp;RIGHT(E72,1)</f>
        <v>INDODPHELCN8</v>
      </c>
      <c r="E72" s="261" t="str">
        <f>"Industrial heating technology "&amp;$AJ$12&amp;" "&amp;RIGHT(H72,2)&amp;" - Electric boiler (Steam) - new 8"</f>
        <v>Industrial heating technology Other PH - Electric boiler (Steam) - new 8</v>
      </c>
      <c r="F72" s="224" t="s">
        <v>1149</v>
      </c>
      <c r="G72" s="173" t="s">
        <v>499</v>
      </c>
      <c r="H72" s="174" t="str">
        <f>$AI$13</f>
        <v>IODPH</v>
      </c>
      <c r="I72" s="174" t="str">
        <f t="shared" si="22"/>
        <v>INDOWH</v>
      </c>
      <c r="J72" s="224">
        <f t="shared" si="32"/>
        <v>2011</v>
      </c>
      <c r="K72" s="299">
        <v>2020</v>
      </c>
      <c r="L72" s="199">
        <f t="shared" ca="1" si="23"/>
        <v>0.99</v>
      </c>
      <c r="M72" s="199"/>
      <c r="N72" s="81">
        <f ca="1">VLOOKUP($AD72,INDIRECT("'"&amp;$B72&amp;"'!"&amp;"$P$39:$AD$42"),5,FALSE)</f>
        <v>25</v>
      </c>
      <c r="O72" s="723">
        <f t="shared" ca="1" si="24"/>
        <v>0.59599999999999997</v>
      </c>
      <c r="P72" s="723">
        <f t="shared" ca="1" si="25"/>
        <v>7.9714999999999994E-3</v>
      </c>
      <c r="Q72" s="81">
        <f t="shared" ca="1" si="26"/>
        <v>1.7900694444444445</v>
      </c>
      <c r="R72" s="81">
        <v>3.1536000000000002E-2</v>
      </c>
      <c r="S72" s="199">
        <v>0.5</v>
      </c>
      <c r="T72" s="199">
        <f ca="1">HLOOKUP($T$2,INDIRECT("'"&amp;$B72&amp;"'!"&amp;"$P$6:$AC$19"),IF(H72=$AI$13,6,IF(H72=$AI$14,9,14)),FALSE)</f>
        <v>1</v>
      </c>
      <c r="U72" s="772"/>
      <c r="V72" s="199">
        <f t="shared" ref="V72" ca="1" si="39">IF(IF(RIGHT(H72,2)="PH",(1-L72)+$W$2,IF(RIGHT(H72,2)="HT",(1-L72)+$W$1,IF(RIGHT(H72,2)="SH",(1-L72)+$W$3,"")))&gt;0,IF(RIGHT(H72,2)="PH",(1-L72)+$W$2,IF(RIGHT(H72,2)="HT",(1-L72)+$W$1,IF(RIGHT(H72,2)="SH",(1-L72)+$W$3,""))),0)</f>
        <v>0.21000000000000002</v>
      </c>
      <c r="W72" s="298"/>
      <c r="X72" s="698">
        <f t="shared" ca="1" si="27"/>
        <v>0</v>
      </c>
      <c r="Y72" s="81">
        <f t="shared" ca="1" si="28"/>
        <v>0</v>
      </c>
      <c r="Z72" s="81">
        <f t="shared" ca="1" si="29"/>
        <v>0</v>
      </c>
      <c r="AA72" s="81">
        <f t="shared" ca="1" si="30"/>
        <v>0</v>
      </c>
      <c r="AB72" s="81">
        <f t="shared" ca="1" si="31"/>
        <v>0</v>
      </c>
      <c r="AD72" s="81">
        <v>2020</v>
      </c>
      <c r="AE72" s="81"/>
      <c r="AF72" s="220"/>
    </row>
    <row r="73" spans="2:32">
      <c r="B73" s="357" t="s">
        <v>1007</v>
      </c>
      <c r="D73" s="212"/>
      <c r="E73" s="212"/>
      <c r="F73" s="224" t="s">
        <v>1149</v>
      </c>
      <c r="H73" s="174"/>
      <c r="I73" s="174" t="str">
        <f t="shared" si="22"/>
        <v>INDOWH</v>
      </c>
      <c r="J73" s="224">
        <f t="shared" si="32"/>
        <v>2030</v>
      </c>
      <c r="K73" s="81"/>
      <c r="L73" s="199">
        <f t="shared" ca="1" si="23"/>
        <v>0.99</v>
      </c>
      <c r="M73" s="199"/>
      <c r="N73" s="81"/>
      <c r="O73" s="723">
        <f t="shared" ca="1" si="24"/>
        <v>0.52150000000000007</v>
      </c>
      <c r="P73" s="723">
        <f t="shared" ca="1" si="25"/>
        <v>7.5989999999999999E-3</v>
      </c>
      <c r="Q73" s="81">
        <f t="shared" ca="1" si="26"/>
        <v>1.8107638888888888</v>
      </c>
      <c r="R73" s="300"/>
      <c r="S73" s="300"/>
      <c r="T73" s="300"/>
      <c r="U73" s="300"/>
      <c r="V73" s="199">
        <f t="shared" ref="V73" ca="1" si="40">IF(IF(RIGHT(H72,2)="PH",(1-L73)+$W$2,IF(RIGHT(H72,2)="HT",(1-L73)+$W$1,IF(RIGHT(H72,2)="SH",(1-L73)+$W$3,"")))&gt;0,IF(RIGHT(H72,2)="PH",(1-L73)+$W$2,IF(RIGHT(H72,2)="HT",(1-L73)+$W$1,IF(RIGHT(H72,2)="SH",(1-L73)+$W$3,""))),0)</f>
        <v>0.21000000000000002</v>
      </c>
      <c r="W73" s="298"/>
      <c r="X73" s="698">
        <f t="shared" ca="1" si="27"/>
        <v>0</v>
      </c>
      <c r="Y73" s="81">
        <f t="shared" ca="1" si="28"/>
        <v>0</v>
      </c>
      <c r="Z73" s="81">
        <f t="shared" ca="1" si="29"/>
        <v>0</v>
      </c>
      <c r="AA73" s="81">
        <f t="shared" ca="1" si="30"/>
        <v>0</v>
      </c>
      <c r="AB73" s="81">
        <f t="shared" ca="1" si="31"/>
        <v>0</v>
      </c>
      <c r="AD73" s="81">
        <v>2030</v>
      </c>
      <c r="AE73" s="81"/>
      <c r="AF73" s="220"/>
    </row>
    <row r="74" spans="2:32">
      <c r="B74" s="357" t="s">
        <v>1007</v>
      </c>
      <c r="D74" s="212"/>
      <c r="E74" s="212"/>
      <c r="F74" s="224" t="s">
        <v>1149</v>
      </c>
      <c r="H74" s="174"/>
      <c r="I74" s="174" t="str">
        <f t="shared" si="22"/>
        <v>INDOWH</v>
      </c>
      <c r="J74" s="224">
        <f t="shared" si="32"/>
        <v>2050</v>
      </c>
      <c r="K74" s="81"/>
      <c r="L74" s="199">
        <f t="shared" ca="1" si="23"/>
        <v>0.99</v>
      </c>
      <c r="M74" s="199"/>
      <c r="N74" s="81"/>
      <c r="O74" s="723">
        <f t="shared" ca="1" si="24"/>
        <v>0.52150000000000007</v>
      </c>
      <c r="P74" s="723">
        <f t="shared" ca="1" si="25"/>
        <v>6.8539999999999998E-3</v>
      </c>
      <c r="Q74" s="81">
        <f t="shared" ca="1" si="26"/>
        <v>1.6141666666666665</v>
      </c>
      <c r="R74" s="300"/>
      <c r="S74" s="300"/>
      <c r="T74" s="300"/>
      <c r="U74" s="300"/>
      <c r="V74" s="199">
        <f t="shared" ref="V74" ca="1" si="41">IF(IF(RIGHT(H72,2)="PH",(1-L74)+$W$2,IF(RIGHT(H72,2)="HT",(1-L74)+$W$1,IF(RIGHT(H72,2)="SH",(1-L74)+$W$3,"")))&gt;0,IF(RIGHT(H72,2)="PH",(1-L74)+$W$2,IF(RIGHT(H72,2)="HT",(1-L74)+$W$1,IF(RIGHT(H72,2)="SH",(1-L74)+$W$3,""))),0)</f>
        <v>0.21000000000000002</v>
      </c>
      <c r="W74" s="298"/>
      <c r="X74" s="698">
        <f t="shared" ca="1" si="27"/>
        <v>0</v>
      </c>
      <c r="Y74" s="81">
        <f t="shared" ca="1" si="28"/>
        <v>0</v>
      </c>
      <c r="Z74" s="81">
        <f t="shared" ca="1" si="29"/>
        <v>0</v>
      </c>
      <c r="AA74" s="81">
        <f t="shared" ca="1" si="30"/>
        <v>0</v>
      </c>
      <c r="AB74" s="81">
        <f t="shared" ca="1" si="31"/>
        <v>0</v>
      </c>
      <c r="AD74" s="81">
        <v>2050</v>
      </c>
      <c r="AE74" s="81"/>
      <c r="AF74" s="220"/>
    </row>
    <row r="75" spans="2:32">
      <c r="B75" s="357" t="s">
        <v>1007</v>
      </c>
      <c r="D75" s="212" t="str">
        <f>"IND"&amp;RIGHT(H75,4)&amp;RIGHT(G75,3)&amp;"N"&amp;RIGHT(E75,1)</f>
        <v>INDODPHELCN8</v>
      </c>
      <c r="E75" s="261" t="str">
        <f>"Industrial heating technology "&amp;$AJ$12&amp;" "&amp;RIGHT(H75,2)&amp;" - Electric boiler (Steam) - new 8"</f>
        <v>Industrial heating technology Other PH - Electric boiler (Steam) - new 8</v>
      </c>
      <c r="F75" s="224" t="s">
        <v>1149</v>
      </c>
      <c r="G75" s="173" t="s">
        <v>499</v>
      </c>
      <c r="H75" s="174" t="str">
        <f>$AI$14</f>
        <v>IODPH</v>
      </c>
      <c r="I75" s="174" t="str">
        <f t="shared" si="22"/>
        <v>INDOWH</v>
      </c>
      <c r="J75" s="224">
        <f t="shared" si="32"/>
        <v>2011</v>
      </c>
      <c r="K75" s="299">
        <v>2020</v>
      </c>
      <c r="L75" s="199">
        <f t="shared" ca="1" si="23"/>
        <v>0.99</v>
      </c>
      <c r="M75" s="199"/>
      <c r="N75" s="81">
        <f ca="1">VLOOKUP($AD75,INDIRECT("'"&amp;$B75&amp;"'!"&amp;"$P$39:$AD$42"),5,FALSE)</f>
        <v>25</v>
      </c>
      <c r="O75" s="723">
        <f t="shared" ca="1" si="24"/>
        <v>0.59599999999999997</v>
      </c>
      <c r="P75" s="723">
        <f t="shared" ca="1" si="25"/>
        <v>7.9714999999999994E-3</v>
      </c>
      <c r="Q75" s="81">
        <f t="shared" ca="1" si="26"/>
        <v>1.7900694444444445</v>
      </c>
      <c r="R75" s="81">
        <v>3.1536000000000002E-2</v>
      </c>
      <c r="S75" s="199">
        <v>0.5</v>
      </c>
      <c r="T75" s="199">
        <f ca="1">HLOOKUP($T$2,INDIRECT("'"&amp;$B75&amp;"'!"&amp;"$P$6:$AC$19"),IF(H75=$AI$13,6,IF(H75=$AI$14,9,14)),FALSE)</f>
        <v>1</v>
      </c>
      <c r="U75" s="772"/>
      <c r="V75" s="199">
        <f t="shared" ref="V75" ca="1" si="42">IF(IF(RIGHT(H75,2)="PH",(1-L75)+$W$2,IF(RIGHT(H75,2)="HT",(1-L75)+$W$1,IF(RIGHT(H75,2)="SH",(1-L75)+$W$3,"")))&gt;0,IF(RIGHT(H75,2)="PH",(1-L75)+$W$2,IF(RIGHT(H75,2)="HT",(1-L75)+$W$1,IF(RIGHT(H75,2)="SH",(1-L75)+$W$3,""))),0)</f>
        <v>0.21000000000000002</v>
      </c>
      <c r="W75" s="298"/>
      <c r="X75" s="698">
        <f t="shared" ca="1" si="27"/>
        <v>0</v>
      </c>
      <c r="Y75" s="81">
        <f t="shared" ca="1" si="28"/>
        <v>0</v>
      </c>
      <c r="Z75" s="81">
        <f t="shared" ca="1" si="29"/>
        <v>0</v>
      </c>
      <c r="AA75" s="81">
        <f t="shared" ca="1" si="30"/>
        <v>0</v>
      </c>
      <c r="AB75" s="81">
        <f t="shared" ca="1" si="31"/>
        <v>0</v>
      </c>
      <c r="AD75" s="81">
        <v>2020</v>
      </c>
      <c r="AE75" s="81"/>
      <c r="AF75" s="220"/>
    </row>
    <row r="76" spans="2:32">
      <c r="B76" s="357" t="s">
        <v>1007</v>
      </c>
      <c r="D76" s="212"/>
      <c r="E76" s="212"/>
      <c r="F76" s="224" t="s">
        <v>1149</v>
      </c>
      <c r="H76" s="174"/>
      <c r="I76" s="174" t="str">
        <f t="shared" si="22"/>
        <v>INDOWH</v>
      </c>
      <c r="J76" s="224">
        <f t="shared" si="32"/>
        <v>2030</v>
      </c>
      <c r="K76" s="81"/>
      <c r="L76" s="199">
        <f t="shared" ca="1" si="23"/>
        <v>0.99</v>
      </c>
      <c r="M76" s="199"/>
      <c r="N76" s="81"/>
      <c r="O76" s="723">
        <f t="shared" ca="1" si="24"/>
        <v>0.52150000000000007</v>
      </c>
      <c r="P76" s="723">
        <f t="shared" ca="1" si="25"/>
        <v>7.5989999999999999E-3</v>
      </c>
      <c r="Q76" s="81">
        <f t="shared" ca="1" si="26"/>
        <v>1.8107638888888888</v>
      </c>
      <c r="R76" s="300"/>
      <c r="S76" s="300"/>
      <c r="T76" s="300"/>
      <c r="U76" s="300"/>
      <c r="V76" s="199">
        <f t="shared" ref="V76" ca="1" si="43">IF(IF(RIGHT(H75,2)="PH",(1-L76)+$W$2,IF(RIGHT(H75,2)="HT",(1-L76)+$W$1,IF(RIGHT(H75,2)="SH",(1-L76)+$W$3,"")))&gt;0,IF(RIGHT(H75,2)="PH",(1-L76)+$W$2,IF(RIGHT(H75,2)="HT",(1-L76)+$W$1,IF(RIGHT(H75,2)="SH",(1-L76)+$W$3,""))),0)</f>
        <v>0.21000000000000002</v>
      </c>
      <c r="W76" s="298"/>
      <c r="X76" s="698">
        <f t="shared" ca="1" si="27"/>
        <v>0</v>
      </c>
      <c r="Y76" s="81">
        <f t="shared" ca="1" si="28"/>
        <v>0</v>
      </c>
      <c r="Z76" s="81">
        <f t="shared" ca="1" si="29"/>
        <v>0</v>
      </c>
      <c r="AA76" s="81">
        <f t="shared" ca="1" si="30"/>
        <v>0</v>
      </c>
      <c r="AB76" s="81">
        <f t="shared" ca="1" si="31"/>
        <v>0</v>
      </c>
      <c r="AD76" s="81">
        <v>2030</v>
      </c>
      <c r="AE76" s="81"/>
      <c r="AF76" s="220"/>
    </row>
    <row r="77" spans="2:32">
      <c r="B77" s="357" t="s">
        <v>1007</v>
      </c>
      <c r="D77" s="212"/>
      <c r="E77" s="212"/>
      <c r="F77" s="224" t="s">
        <v>1149</v>
      </c>
      <c r="H77" s="174"/>
      <c r="I77" s="174" t="str">
        <f t="shared" si="22"/>
        <v>INDOWH</v>
      </c>
      <c r="J77" s="224">
        <f t="shared" si="32"/>
        <v>2050</v>
      </c>
      <c r="K77" s="81"/>
      <c r="L77" s="199">
        <f t="shared" ca="1" si="23"/>
        <v>0.99</v>
      </c>
      <c r="M77" s="199"/>
      <c r="N77" s="81"/>
      <c r="O77" s="723">
        <f t="shared" ca="1" si="24"/>
        <v>0.52150000000000007</v>
      </c>
      <c r="P77" s="723">
        <f t="shared" ca="1" si="25"/>
        <v>6.8539999999999998E-3</v>
      </c>
      <c r="Q77" s="81">
        <f t="shared" ca="1" si="26"/>
        <v>1.6141666666666665</v>
      </c>
      <c r="R77" s="300"/>
      <c r="S77" s="300"/>
      <c r="T77" s="300"/>
      <c r="U77" s="300"/>
      <c r="V77" s="199">
        <f t="shared" ref="V77" ca="1" si="44">IF(IF(RIGHT(H75,2)="PH",(1-L77)+$W$2,IF(RIGHT(H75,2)="HT",(1-L77)+$W$1,IF(RIGHT(H75,2)="SH",(1-L77)+$W$3,"")))&gt;0,IF(RIGHT(H75,2)="PH",(1-L77)+$W$2,IF(RIGHT(H75,2)="HT",(1-L77)+$W$1,IF(RIGHT(H75,2)="SH",(1-L77)+$W$3,""))),0)</f>
        <v>0.21000000000000002</v>
      </c>
      <c r="W77" s="298"/>
      <c r="X77" s="698">
        <f t="shared" ca="1" si="27"/>
        <v>0</v>
      </c>
      <c r="Y77" s="81">
        <f t="shared" ca="1" si="28"/>
        <v>0</v>
      </c>
      <c r="Z77" s="81">
        <f t="shared" ca="1" si="29"/>
        <v>0</v>
      </c>
      <c r="AA77" s="81">
        <f t="shared" ca="1" si="30"/>
        <v>0</v>
      </c>
      <c r="AB77" s="81">
        <f t="shared" ca="1" si="31"/>
        <v>0</v>
      </c>
      <c r="AD77" s="81">
        <v>2050</v>
      </c>
      <c r="AE77" s="706"/>
      <c r="AF77" s="220"/>
    </row>
    <row r="78" spans="2:32">
      <c r="B78" s="357" t="s">
        <v>1007</v>
      </c>
      <c r="D78" s="212" t="str">
        <f>"IND"&amp;RIGHT(H78,4)&amp;RIGHT(G78,3)&amp;"N"&amp;RIGHT(E78,1)</f>
        <v>INDODSHELCN8</v>
      </c>
      <c r="E78" s="261" t="str">
        <f>"Industrial heating technology "&amp;$AJ$12&amp;" "&amp;RIGHT(H78,2)&amp;" - Electric boiler (Steam) - new 8"</f>
        <v>Industrial heating technology Other SH - Electric boiler (Steam) - new 8</v>
      </c>
      <c r="F78" s="224" t="s">
        <v>1149</v>
      </c>
      <c r="G78" s="173" t="s">
        <v>499</v>
      </c>
      <c r="H78" s="174" t="str">
        <f>$AI$15</f>
        <v>IODSH</v>
      </c>
      <c r="I78" s="174" t="str">
        <f t="shared" si="22"/>
        <v>INDOWH</v>
      </c>
      <c r="J78" s="224">
        <f t="shared" si="32"/>
        <v>2011</v>
      </c>
      <c r="K78" s="299">
        <v>2020</v>
      </c>
      <c r="L78" s="199">
        <f t="shared" ca="1" si="23"/>
        <v>0.99</v>
      </c>
      <c r="M78" s="199"/>
      <c r="N78" s="81">
        <f ca="1">VLOOKUP($AD78,INDIRECT("'"&amp;$B78&amp;"'!"&amp;"$P$39:$AD$42"),5,FALSE)</f>
        <v>25</v>
      </c>
      <c r="O78" s="723">
        <f t="shared" ca="1" si="24"/>
        <v>0.59599999999999997</v>
      </c>
      <c r="P78" s="723">
        <f t="shared" ca="1" si="25"/>
        <v>7.9714999999999994E-3</v>
      </c>
      <c r="Q78" s="81">
        <f t="shared" ca="1" si="26"/>
        <v>1.7900694444444445</v>
      </c>
      <c r="R78" s="81">
        <v>3.1536000000000002E-2</v>
      </c>
      <c r="S78" s="199">
        <v>0.5</v>
      </c>
      <c r="T78" s="199">
        <f ca="1">HLOOKUP($T$2,INDIRECT("'"&amp;$B78&amp;"'!"&amp;"$P$6:$AC$19"),IF(H78=$AI$13,6,IF(H78=$AI$14,9,14)),FALSE)</f>
        <v>1</v>
      </c>
      <c r="U78" s="772"/>
      <c r="V78" s="199">
        <f t="shared" ref="V78" ca="1" si="45">IF(IF(RIGHT(H78,2)="PH",(1-L78)+$W$2,IF(RIGHT(H78,2)="HT",(1-L78)+$W$1,IF(RIGHT(H78,2)="SH",(1-L78)+$W$3,"")))&gt;0,IF(RIGHT(H78,2)="PH",(1-L78)+$W$2,IF(RIGHT(H78,2)="HT",(1-L78)+$W$1,IF(RIGHT(H78,2)="SH",(1-L78)+$W$3,""))),0)</f>
        <v>1.0000000000000009E-2</v>
      </c>
      <c r="W78" s="298"/>
      <c r="X78" s="698">
        <f t="shared" ca="1" si="27"/>
        <v>0</v>
      </c>
      <c r="Y78" s="81">
        <f t="shared" ca="1" si="28"/>
        <v>0</v>
      </c>
      <c r="Z78" s="81">
        <f t="shared" ca="1" si="29"/>
        <v>0</v>
      </c>
      <c r="AA78" s="81">
        <f t="shared" ca="1" si="30"/>
        <v>0</v>
      </c>
      <c r="AB78" s="81">
        <f t="shared" ca="1" si="31"/>
        <v>0</v>
      </c>
      <c r="AC78" s="296"/>
      <c r="AD78" s="81">
        <v>2020</v>
      </c>
      <c r="AE78" s="81"/>
      <c r="AF78" s="710"/>
    </row>
    <row r="79" spans="2:32">
      <c r="B79" s="357" t="s">
        <v>1007</v>
      </c>
      <c r="D79" s="212"/>
      <c r="E79" s="212"/>
      <c r="F79" s="224" t="s">
        <v>1149</v>
      </c>
      <c r="H79" s="174"/>
      <c r="I79" s="174" t="str">
        <f t="shared" si="22"/>
        <v>INDOWH</v>
      </c>
      <c r="J79" s="224">
        <f t="shared" si="32"/>
        <v>2030</v>
      </c>
      <c r="K79" s="81"/>
      <c r="L79" s="199">
        <f t="shared" ca="1" si="23"/>
        <v>0.99</v>
      </c>
      <c r="M79" s="199"/>
      <c r="N79" s="81"/>
      <c r="O79" s="723">
        <f t="shared" ca="1" si="24"/>
        <v>0.52150000000000007</v>
      </c>
      <c r="P79" s="723">
        <f t="shared" ca="1" si="25"/>
        <v>7.5989999999999999E-3</v>
      </c>
      <c r="Q79" s="81">
        <f t="shared" ca="1" si="26"/>
        <v>1.8107638888888888</v>
      </c>
      <c r="R79" s="300"/>
      <c r="S79" s="300"/>
      <c r="T79" s="300"/>
      <c r="U79" s="300"/>
      <c r="V79" s="199">
        <f t="shared" ref="V79" ca="1" si="46">IF(IF(RIGHT(H78,2)="PH",(1-L79)+$W$2,IF(RIGHT(H78,2)="HT",(1-L79)+$W$1,IF(RIGHT(H78,2)="SH",(1-L79)+$W$3,"")))&gt;0,IF(RIGHT(H78,2)="PH",(1-L79)+$W$2,IF(RIGHT(H78,2)="HT",(1-L79)+$W$1,IF(RIGHT(H78,2)="SH",(1-L79)+$W$3,""))),0)</f>
        <v>1.0000000000000009E-2</v>
      </c>
      <c r="W79" s="298"/>
      <c r="X79" s="698">
        <f t="shared" ca="1" si="27"/>
        <v>0</v>
      </c>
      <c r="Y79" s="81">
        <f t="shared" ca="1" si="28"/>
        <v>0</v>
      </c>
      <c r="Z79" s="81">
        <f t="shared" ca="1" si="29"/>
        <v>0</v>
      </c>
      <c r="AA79" s="81">
        <f t="shared" ca="1" si="30"/>
        <v>0</v>
      </c>
      <c r="AB79" s="81">
        <f t="shared" ca="1" si="31"/>
        <v>0</v>
      </c>
      <c r="AC79" s="55"/>
      <c r="AD79" s="81">
        <v>2030</v>
      </c>
      <c r="AE79" s="81"/>
      <c r="AF79" s="700"/>
    </row>
    <row r="80" spans="2:32">
      <c r="B80" s="357" t="s">
        <v>1007</v>
      </c>
      <c r="D80" s="212"/>
      <c r="E80" s="212"/>
      <c r="F80" s="224" t="s">
        <v>1149</v>
      </c>
      <c r="H80" s="174"/>
      <c r="I80" s="174" t="str">
        <f t="shared" si="22"/>
        <v>INDOWH</v>
      </c>
      <c r="J80" s="224">
        <f t="shared" si="32"/>
        <v>2050</v>
      </c>
      <c r="K80" s="706"/>
      <c r="L80" s="199">
        <f t="shared" ca="1" si="23"/>
        <v>0.99</v>
      </c>
      <c r="M80" s="774"/>
      <c r="N80" s="706"/>
      <c r="O80" s="724">
        <f t="shared" ca="1" si="24"/>
        <v>0.52150000000000007</v>
      </c>
      <c r="P80" s="724">
        <f t="shared" ca="1" si="25"/>
        <v>6.8539999999999998E-3</v>
      </c>
      <c r="Q80" s="706">
        <f t="shared" ca="1" si="26"/>
        <v>1.6141666666666665</v>
      </c>
      <c r="R80" s="300"/>
      <c r="S80" s="300"/>
      <c r="T80" s="300"/>
      <c r="U80" s="300"/>
      <c r="V80" s="199">
        <f t="shared" ref="V80" ca="1" si="47">IF(IF(RIGHT(H78,2)="PH",(1-L80)+$W$2,IF(RIGHT(H78,2)="HT",(1-L80)+$W$1,IF(RIGHT(H78,2)="SH",(1-L80)+$W$3,"")))&gt;0,IF(RIGHT(H78,2)="PH",(1-L80)+$W$2,IF(RIGHT(H78,2)="HT",(1-L80)+$W$1,IF(RIGHT(H78,2)="SH",(1-L80)+$W$3,""))),0)</f>
        <v>1.0000000000000009E-2</v>
      </c>
      <c r="W80" s="298"/>
      <c r="X80" s="698">
        <f t="shared" ca="1" si="27"/>
        <v>0</v>
      </c>
      <c r="Y80" s="706">
        <f t="shared" ca="1" si="28"/>
        <v>0</v>
      </c>
      <c r="Z80" s="706">
        <f t="shared" ca="1" si="29"/>
        <v>0</v>
      </c>
      <c r="AA80" s="706">
        <f t="shared" ca="1" si="30"/>
        <v>0</v>
      </c>
      <c r="AB80" s="706">
        <f t="shared" ca="1" si="31"/>
        <v>0</v>
      </c>
      <c r="AC80" s="55"/>
      <c r="AD80" s="706">
        <v>2050</v>
      </c>
      <c r="AE80" s="81"/>
      <c r="AF80" s="700"/>
    </row>
    <row r="81" spans="1:33">
      <c r="B81" s="716" t="s">
        <v>1007</v>
      </c>
      <c r="C81" s="296"/>
      <c r="D81" s="707" t="str">
        <f>"IND"&amp;RIGHT(H81,4)&amp;RIGHT(G81,3)&amp;"N"&amp;RIGHT(E81,1)</f>
        <v>INDODPHELCN9</v>
      </c>
      <c r="E81" s="707" t="str">
        <f>"Industrial heating technology "&amp;$AJ$12&amp;" "&amp;RIGHT(H81,2)&amp;" - Electric boiler (Hot Water) - new 9"</f>
        <v>Industrial heating technology Other PH - Electric boiler (Hot Water) - new 9</v>
      </c>
      <c r="F81" s="224" t="s">
        <v>1149</v>
      </c>
      <c r="G81" s="708" t="s">
        <v>499</v>
      </c>
      <c r="H81" s="708" t="str">
        <f>$AI$14</f>
        <v>IODPH</v>
      </c>
      <c r="I81" s="708" t="str">
        <f t="shared" si="22"/>
        <v>INDOWH</v>
      </c>
      <c r="J81" s="224">
        <f t="shared" si="32"/>
        <v>2011</v>
      </c>
      <c r="K81" s="299">
        <v>2020</v>
      </c>
      <c r="L81" s="199">
        <f t="shared" ref="L81:L86" ca="1" si="48">VLOOKUP($AD81,INDIRECT("'"&amp;$B81&amp;"'!"&amp;"$P$118:$AD$121"),3,FALSE)</f>
        <v>0.99</v>
      </c>
      <c r="M81" s="199"/>
      <c r="N81" s="81">
        <f ca="1">VLOOKUP($AD81,INDIRECT("'"&amp;$B81&amp;"'!"&amp;"$P$118:$AD$121"),5,FALSE)</f>
        <v>25</v>
      </c>
      <c r="O81" s="723">
        <f t="shared" ref="O81:O86" ca="1" si="49">VLOOKUP($AD81,INDIRECT("'"&amp;$B81&amp;"'!"&amp;"$P$118:$AD$121"),6,FALSE)/1000</f>
        <v>0.52150000000000007</v>
      </c>
      <c r="P81" s="723">
        <f t="shared" ref="P81:P86" ca="1" si="50">VLOOKUP($AD81,INDIRECT("'"&amp;$B81&amp;"'!"&amp;"$P$118:$AD$121"),7,FALSE)/1000</f>
        <v>7.9714999999999994E-3</v>
      </c>
      <c r="Q81" s="81">
        <f t="shared" ref="Q81:Q86" ca="1" si="51">VLOOKUP($AD81,INDIRECT("'"&amp;$B81&amp;"'!"&amp;"$P$118:$AD$121"),8,FALSE)</f>
        <v>1.7900694444444445</v>
      </c>
      <c r="R81" s="81">
        <v>3.1536000000000002E-2</v>
      </c>
      <c r="S81" s="199">
        <v>0.5</v>
      </c>
      <c r="T81" s="199">
        <f ca="1">HLOOKUP($T$2,INDIRECT("'"&amp;$B81&amp;"'!"&amp;"$P$85:$AC$98"),IF(H81=$AI$13,6,IF(H81=$AI$14,9,14)),FALSE)</f>
        <v>0</v>
      </c>
      <c r="U81" s="773"/>
      <c r="V81" s="199">
        <f t="shared" ref="V81" ca="1" si="52">IF(IF(RIGHT(H81,2)="PH",(1-L81)+$W$2,IF(RIGHT(H81,2)="HT",(1-L81)+$W$1,IF(RIGHT(H81,2)="SH",(1-L81)+$W$3,"")))&gt;0,IF(RIGHT(H81,2)="PH",(1-L81)+$W$2,IF(RIGHT(H81,2)="HT",(1-L81)+$W$1,IF(RIGHT(H81,2)="SH",(1-L81)+$W$3,""))),0)</f>
        <v>0.21000000000000002</v>
      </c>
      <c r="W81" s="709"/>
      <c r="X81" s="698">
        <f t="shared" ca="1" si="27"/>
        <v>0</v>
      </c>
      <c r="Y81" s="698">
        <f t="shared" ref="Y81:Y86" ca="1" si="53">VLOOKUP($AD81,INDIRECT("'"&amp;$B81&amp;"'!"&amp;"$P$118:$AD$121"),12,FALSE)</f>
        <v>0</v>
      </c>
      <c r="Z81" s="698">
        <f t="shared" ref="Z81:Z86" ca="1" si="54">VLOOKUP($AD81,INDIRECT("'"&amp;$B81&amp;"'!"&amp;"$P$118:$AD$121"),13,FALSE)</f>
        <v>0</v>
      </c>
      <c r="AA81" s="698">
        <f t="shared" ref="AA81:AA86" ca="1" si="55">VLOOKUP($AD81,INDIRECT("'"&amp;$B81&amp;"'!"&amp;"$P$118:$AD$121"),14,FALSE)</f>
        <v>0</v>
      </c>
      <c r="AB81" s="698">
        <f t="shared" ref="AB81:AB86" ca="1" si="56">VLOOKUP($AD81,INDIRECT("'"&amp;$B81&amp;"'!"&amp;"$P$118:$AD$121"),15,FALSE)</f>
        <v>0</v>
      </c>
      <c r="AC81" s="55"/>
      <c r="AD81" s="81">
        <v>2020</v>
      </c>
      <c r="AE81" s="81"/>
      <c r="AF81" s="700"/>
    </row>
    <row r="82" spans="1:33">
      <c r="B82" s="357" t="s">
        <v>1007</v>
      </c>
      <c r="C82" s="55"/>
      <c r="D82" s="261"/>
      <c r="E82" s="261"/>
      <c r="F82" s="224" t="s">
        <v>1149</v>
      </c>
      <c r="G82" s="55"/>
      <c r="H82" s="174"/>
      <c r="I82" s="174" t="str">
        <f t="shared" si="22"/>
        <v>INDOWH</v>
      </c>
      <c r="J82" s="224">
        <f t="shared" si="32"/>
        <v>2030</v>
      </c>
      <c r="K82" s="81"/>
      <c r="L82" s="199">
        <f t="shared" ca="1" si="48"/>
        <v>0.99</v>
      </c>
      <c r="M82" s="199"/>
      <c r="N82" s="81"/>
      <c r="O82" s="723">
        <f t="shared" ca="1" si="49"/>
        <v>0.44700000000000001</v>
      </c>
      <c r="P82" s="723">
        <f t="shared" ca="1" si="50"/>
        <v>7.5989999999999999E-3</v>
      </c>
      <c r="Q82" s="81">
        <f t="shared" ca="1" si="51"/>
        <v>1.8107638888888888</v>
      </c>
      <c r="R82" s="300"/>
      <c r="S82" s="300"/>
      <c r="T82" s="300"/>
      <c r="U82" s="300"/>
      <c r="V82" s="199">
        <f t="shared" ref="V82" ca="1" si="57">IF(IF(RIGHT(H81,2)="PH",(1-L82)+$W$2,IF(RIGHT(H81,2)="HT",(1-L82)+$W$1,IF(RIGHT(H81,2)="SH",(1-L82)+$W$3,"")))&gt;0,IF(RIGHT(H81,2)="PH",(1-L82)+$W$2,IF(RIGHT(H81,2)="HT",(1-L82)+$W$1,IF(RIGHT(H81,2)="SH",(1-L82)+$W$3,""))),0)</f>
        <v>0.21000000000000002</v>
      </c>
      <c r="W82" s="298"/>
      <c r="X82" s="698">
        <f t="shared" ca="1" si="27"/>
        <v>0</v>
      </c>
      <c r="Y82" s="698">
        <f t="shared" ca="1" si="53"/>
        <v>0</v>
      </c>
      <c r="Z82" s="698">
        <f t="shared" ca="1" si="54"/>
        <v>0</v>
      </c>
      <c r="AA82" s="698">
        <f t="shared" ca="1" si="55"/>
        <v>0</v>
      </c>
      <c r="AB82" s="698">
        <f t="shared" ca="1" si="56"/>
        <v>0</v>
      </c>
      <c r="AC82" s="55"/>
      <c r="AD82" s="81">
        <v>2030</v>
      </c>
      <c r="AE82" s="81"/>
      <c r="AF82" s="700"/>
    </row>
    <row r="83" spans="1:33">
      <c r="B83" s="357" t="s">
        <v>1007</v>
      </c>
      <c r="C83" s="55"/>
      <c r="D83" s="261"/>
      <c r="E83" s="261"/>
      <c r="F83" s="224" t="s">
        <v>1149</v>
      </c>
      <c r="G83" s="55"/>
      <c r="H83" s="174"/>
      <c r="I83" s="174" t="str">
        <f t="shared" si="22"/>
        <v>INDOWH</v>
      </c>
      <c r="J83" s="224">
        <f t="shared" si="32"/>
        <v>2050</v>
      </c>
      <c r="K83" s="81"/>
      <c r="L83" s="199">
        <f t="shared" ca="1" si="48"/>
        <v>0.99</v>
      </c>
      <c r="M83" s="199"/>
      <c r="N83" s="81"/>
      <c r="O83" s="723">
        <f t="shared" ca="1" si="49"/>
        <v>0.44700000000000001</v>
      </c>
      <c r="P83" s="723">
        <f t="shared" ca="1" si="50"/>
        <v>6.8539999999999998E-3</v>
      </c>
      <c r="Q83" s="81">
        <f t="shared" ca="1" si="51"/>
        <v>1.6141666666666665</v>
      </c>
      <c r="R83" s="300"/>
      <c r="S83" s="300"/>
      <c r="T83" s="300"/>
      <c r="U83" s="300"/>
      <c r="V83" s="199">
        <f t="shared" ref="V83" ca="1" si="58">IF(IF(RIGHT(H81,2)="PH",(1-L83)+$W$2,IF(RIGHT(H81,2)="HT",(1-L83)+$W$1,IF(RIGHT(H81,2)="SH",(1-L83)+$W$3,"")))&gt;0,IF(RIGHT(H81,2)="PH",(1-L83)+$W$2,IF(RIGHT(H81,2)="HT",(1-L83)+$W$1,IF(RIGHT(H81,2)="SH",(1-L83)+$W$3,""))),0)</f>
        <v>0.21000000000000002</v>
      </c>
      <c r="W83" s="298"/>
      <c r="X83" s="698">
        <f t="shared" ca="1" si="27"/>
        <v>0</v>
      </c>
      <c r="Y83" s="698">
        <f t="shared" ca="1" si="53"/>
        <v>0</v>
      </c>
      <c r="Z83" s="698">
        <f t="shared" ca="1" si="54"/>
        <v>0</v>
      </c>
      <c r="AA83" s="698">
        <f t="shared" ca="1" si="55"/>
        <v>0</v>
      </c>
      <c r="AB83" s="698">
        <f t="shared" ca="1" si="56"/>
        <v>0</v>
      </c>
      <c r="AC83" s="203"/>
      <c r="AD83" s="81">
        <v>2050</v>
      </c>
      <c r="AE83" s="81"/>
      <c r="AF83" s="705"/>
    </row>
    <row r="84" spans="1:33">
      <c r="B84" s="357" t="s">
        <v>1007</v>
      </c>
      <c r="C84" s="55"/>
      <c r="D84" s="261" t="str">
        <f>"IND"&amp;RIGHT(H84,4)&amp;RIGHT(G84,3)&amp;"N"&amp;RIGHT(E84,1)</f>
        <v>INDODSHELCN9</v>
      </c>
      <c r="E84" s="261" t="str">
        <f>"Industrial heating technology "&amp;$AJ$12&amp;" "&amp;RIGHT(H84,2)&amp;" - Electric boiler (Hot Water) - new 9"</f>
        <v>Industrial heating technology Other SH - Electric boiler (Hot Water) - new 9</v>
      </c>
      <c r="F84" s="224" t="s">
        <v>1149</v>
      </c>
      <c r="G84" s="174" t="s">
        <v>499</v>
      </c>
      <c r="H84" s="174" t="str">
        <f>$AI$15</f>
        <v>IODSH</v>
      </c>
      <c r="I84" s="174" t="str">
        <f t="shared" si="22"/>
        <v>INDOWH</v>
      </c>
      <c r="J84" s="224">
        <f t="shared" si="32"/>
        <v>2011</v>
      </c>
      <c r="K84" s="299">
        <v>2020</v>
      </c>
      <c r="L84" s="199">
        <f t="shared" ca="1" si="48"/>
        <v>0.99</v>
      </c>
      <c r="M84" s="199"/>
      <c r="N84" s="81">
        <f ca="1">VLOOKUP($AD84,INDIRECT("'"&amp;$B84&amp;"'!"&amp;"$P$118:$AD$121"),5,FALSE)</f>
        <v>25</v>
      </c>
      <c r="O84" s="723">
        <f t="shared" ca="1" si="49"/>
        <v>0.52150000000000007</v>
      </c>
      <c r="P84" s="723">
        <f t="shared" ca="1" si="50"/>
        <v>7.9714999999999994E-3</v>
      </c>
      <c r="Q84" s="81">
        <f t="shared" ca="1" si="51"/>
        <v>1.7900694444444445</v>
      </c>
      <c r="R84" s="81">
        <v>3.1536000000000002E-2</v>
      </c>
      <c r="S84" s="199">
        <v>0.5</v>
      </c>
      <c r="T84" s="199">
        <f ca="1">HLOOKUP($T$2,INDIRECT("'"&amp;$B84&amp;"'!"&amp;"$P$85:$AC$98"),IF(H84=$AI$13,6,IF(H84=$AI$14,9,14)),FALSE)</f>
        <v>1</v>
      </c>
      <c r="U84" s="772"/>
      <c r="V84" s="199">
        <f t="shared" ref="V84" ca="1" si="59">IF(IF(RIGHT(H84,2)="PH",(1-L84)+$W$2,IF(RIGHT(H84,2)="HT",(1-L84)+$W$1,IF(RIGHT(H84,2)="SH",(1-L84)+$W$3,"")))&gt;0,IF(RIGHT(H84,2)="PH",(1-L84)+$W$2,IF(RIGHT(H84,2)="HT",(1-L84)+$W$1,IF(RIGHT(H84,2)="SH",(1-L84)+$W$3,""))),0)</f>
        <v>1.0000000000000009E-2</v>
      </c>
      <c r="W84" s="298"/>
      <c r="X84" s="698">
        <f t="shared" ca="1" si="27"/>
        <v>0</v>
      </c>
      <c r="Y84" s="698">
        <f t="shared" ca="1" si="53"/>
        <v>0</v>
      </c>
      <c r="Z84" s="698">
        <f t="shared" ca="1" si="54"/>
        <v>0</v>
      </c>
      <c r="AA84" s="698">
        <f t="shared" ca="1" si="55"/>
        <v>0</v>
      </c>
      <c r="AB84" s="698">
        <f t="shared" ca="1" si="56"/>
        <v>0</v>
      </c>
      <c r="AD84" s="81">
        <v>2020</v>
      </c>
      <c r="AE84" s="299"/>
      <c r="AF84" s="220"/>
    </row>
    <row r="85" spans="1:33">
      <c r="B85" s="357" t="s">
        <v>1007</v>
      </c>
      <c r="C85" s="55"/>
      <c r="D85" s="261"/>
      <c r="E85" s="261"/>
      <c r="F85" s="224" t="s">
        <v>1149</v>
      </c>
      <c r="G85" s="55"/>
      <c r="H85" s="174"/>
      <c r="I85" s="174" t="str">
        <f t="shared" si="22"/>
        <v>INDOWH</v>
      </c>
      <c r="J85" s="224">
        <f t="shared" si="32"/>
        <v>2030</v>
      </c>
      <c r="K85" s="81"/>
      <c r="L85" s="199">
        <f t="shared" ca="1" si="48"/>
        <v>0.99</v>
      </c>
      <c r="M85" s="199"/>
      <c r="N85" s="81"/>
      <c r="O85" s="723">
        <f t="shared" ca="1" si="49"/>
        <v>0.44700000000000001</v>
      </c>
      <c r="P85" s="723">
        <f t="shared" ca="1" si="50"/>
        <v>7.5989999999999999E-3</v>
      </c>
      <c r="Q85" s="81">
        <f t="shared" ca="1" si="51"/>
        <v>1.8107638888888888</v>
      </c>
      <c r="R85" s="300"/>
      <c r="S85" s="300"/>
      <c r="T85" s="300"/>
      <c r="U85" s="300"/>
      <c r="V85" s="199">
        <f t="shared" ref="V85" ca="1" si="60">IF(IF(RIGHT(H84,2)="PH",(1-L85)+$W$2,IF(RIGHT(H84,2)="HT",(1-L85)+$W$1,IF(RIGHT(H84,2)="SH",(1-L85)+$W$3,"")))&gt;0,IF(RIGHT(H84,2)="PH",(1-L85)+$W$2,IF(RIGHT(H84,2)="HT",(1-L85)+$W$1,IF(RIGHT(H84,2)="SH",(1-L85)+$W$3,""))),0)</f>
        <v>1.0000000000000009E-2</v>
      </c>
      <c r="W85" s="298"/>
      <c r="X85" s="698">
        <f t="shared" ca="1" si="27"/>
        <v>0</v>
      </c>
      <c r="Y85" s="698">
        <f t="shared" ca="1" si="53"/>
        <v>0</v>
      </c>
      <c r="Z85" s="698">
        <f t="shared" ca="1" si="54"/>
        <v>0</v>
      </c>
      <c r="AA85" s="698">
        <f t="shared" ca="1" si="55"/>
        <v>0</v>
      </c>
      <c r="AB85" s="698">
        <f t="shared" ca="1" si="56"/>
        <v>0</v>
      </c>
      <c r="AD85" s="81">
        <v>2030</v>
      </c>
      <c r="AE85" s="81"/>
      <c r="AF85" s="220"/>
    </row>
    <row r="86" spans="1:33">
      <c r="B86" s="356" t="s">
        <v>1007</v>
      </c>
      <c r="C86" s="203"/>
      <c r="D86" s="701"/>
      <c r="E86" s="701"/>
      <c r="F86" s="224" t="s">
        <v>1149</v>
      </c>
      <c r="G86" s="203"/>
      <c r="H86" s="702"/>
      <c r="I86" s="702" t="str">
        <f t="shared" si="22"/>
        <v>INDOWH</v>
      </c>
      <c r="J86" s="224">
        <f t="shared" si="32"/>
        <v>2050</v>
      </c>
      <c r="K86" s="81"/>
      <c r="L86" s="199">
        <f t="shared" ca="1" si="48"/>
        <v>0.99</v>
      </c>
      <c r="M86" s="199"/>
      <c r="N86" s="81"/>
      <c r="O86" s="723">
        <f t="shared" ca="1" si="49"/>
        <v>0.44700000000000001</v>
      </c>
      <c r="P86" s="723">
        <f t="shared" ca="1" si="50"/>
        <v>6.8539999999999998E-3</v>
      </c>
      <c r="Q86" s="81">
        <f t="shared" ca="1" si="51"/>
        <v>1.6141666666666665</v>
      </c>
      <c r="R86" s="703"/>
      <c r="S86" s="703"/>
      <c r="T86" s="703"/>
      <c r="U86" s="703"/>
      <c r="V86" s="199">
        <f t="shared" ref="V86" ca="1" si="61">IF(IF(RIGHT(H84,2)="PH",(1-L86)+$W$2,IF(RIGHT(H84,2)="HT",(1-L86)+$W$1,IF(RIGHT(H84,2)="SH",(1-L86)+$W$3,"")))&gt;0,IF(RIGHT(H84,2)="PH",(1-L86)+$W$2,IF(RIGHT(H84,2)="HT",(1-L86)+$W$1,IF(RIGHT(H84,2)="SH",(1-L86)+$W$3,""))),0)</f>
        <v>1.0000000000000009E-2</v>
      </c>
      <c r="W86" s="704"/>
      <c r="X86" s="698">
        <f t="shared" ca="1" si="27"/>
        <v>0</v>
      </c>
      <c r="Y86" s="698">
        <f t="shared" ca="1" si="53"/>
        <v>0</v>
      </c>
      <c r="Z86" s="698">
        <f t="shared" ca="1" si="54"/>
        <v>0</v>
      </c>
      <c r="AA86" s="698">
        <f t="shared" ca="1" si="55"/>
        <v>0</v>
      </c>
      <c r="AB86" s="698">
        <f t="shared" ca="1" si="56"/>
        <v>0</v>
      </c>
      <c r="AD86" s="81">
        <v>2050</v>
      </c>
      <c r="AE86" s="81"/>
      <c r="AF86" s="220"/>
    </row>
    <row r="87" spans="1:33">
      <c r="B87" s="357" t="s">
        <v>1008</v>
      </c>
      <c r="D87" s="212" t="str">
        <f>"IND"&amp;RIGHT(H87,4)&amp;RIGHT(G87,3)&amp;"N"&amp;RIGHT(E87,1)</f>
        <v>INDODPHWCHN1</v>
      </c>
      <c r="E87" s="261" t="str">
        <f>"Industrial heating technology "&amp;$AJ$12&amp;" "&amp;RIGHT(H87,2)&amp;" - Wood chip boiler (Steam) - new 1"</f>
        <v>Industrial heating technology Other PH - Wood chip boiler (Steam) - new 1</v>
      </c>
      <c r="F87" s="224" t="s">
        <v>1149</v>
      </c>
      <c r="G87" s="173" t="s">
        <v>498</v>
      </c>
      <c r="H87" s="174" t="str">
        <f>$AI$13</f>
        <v>IODPH</v>
      </c>
      <c r="I87" s="174" t="str">
        <f t="shared" si="22"/>
        <v>INDOWH</v>
      </c>
      <c r="J87" s="224">
        <f t="shared" si="32"/>
        <v>2011</v>
      </c>
      <c r="K87" s="299">
        <v>2025</v>
      </c>
      <c r="L87" s="199">
        <f t="shared" ref="L87:L95" ca="1" si="62">VLOOKUP($AD87,INDIRECT("'"&amp;$B87&amp;"'!"&amp;"$P$39:$AD$42"),3,FALSE)</f>
        <v>0.89</v>
      </c>
      <c r="M87" s="699"/>
      <c r="N87" s="299">
        <f ca="1">VLOOKUP($AD87,INDIRECT("'"&amp;$B87&amp;"'!"&amp;"$P$39:$AD$42"),5,FALSE)</f>
        <v>25</v>
      </c>
      <c r="O87" s="725">
        <f t="shared" ref="O87:O95" ca="1" si="63">VLOOKUP($AD87,INDIRECT("'"&amp;$B87&amp;"'!"&amp;"$P$39:$AD$42"),6,FALSE)/1000</f>
        <v>4.6054545454545455</v>
      </c>
      <c r="P87" s="725">
        <f t="shared" ref="P87:P95" ca="1" si="64">VLOOKUP($AD87,INDIRECT("'"&amp;$B87&amp;"'!"&amp;"$P$39:$AD$42"),7,FALSE)/1000</f>
        <v>0.25106499999999998</v>
      </c>
      <c r="Q87" s="299">
        <f t="shared" ref="Q87:Q95" ca="1" si="65">VLOOKUP($AD87,INDIRECT("'"&amp;$B87&amp;"'!"&amp;"$P$39:$AD$42"),8,FALSE)</f>
        <v>5.7509861111111107</v>
      </c>
      <c r="R87" s="299">
        <v>3.1536000000000002E-2</v>
      </c>
      <c r="S87" s="699">
        <v>0.5</v>
      </c>
      <c r="T87" s="699">
        <f ca="1">HLOOKUP($T$2,INDIRECT("'"&amp;$B87&amp;"'!"&amp;"$P$6:$AC$19"),IF(H87=$AI$13,6,IF(H87=$AI$14,9,14)),FALSE)</f>
        <v>1</v>
      </c>
      <c r="U87" s="772"/>
      <c r="V87" s="199">
        <f t="shared" ref="V87" ca="1" si="66">IF(IF(RIGHT(H87,2)="PH",(1-L87)+$W$2,IF(RIGHT(H87,2)="HT",(1-L87)+$W$1,IF(RIGHT(H87,2)="SH",(1-L87)+$W$3,"")))&gt;0,IF(RIGHT(H87,2)="PH",(1-L87)+$W$2,IF(RIGHT(H87,2)="HT",(1-L87)+$W$1,IF(RIGHT(H87,2)="SH",(1-L87)+$W$3,""))),0)</f>
        <v>0.31</v>
      </c>
      <c r="W87" s="298"/>
      <c r="X87" s="698">
        <f t="shared" ca="1" si="27"/>
        <v>11</v>
      </c>
      <c r="Y87" s="299">
        <f t="shared" ref="Y87:Y95" ca="1" si="67">VLOOKUP($AD87,INDIRECT("'"&amp;$B87&amp;"'!"&amp;"$P$39:$AD$42"),12,FALSE)</f>
        <v>63</v>
      </c>
      <c r="Z87" s="299">
        <f t="shared" ref="Z87:Z95" ca="1" si="68">VLOOKUP($AD87,INDIRECT("'"&amp;$B87&amp;"'!"&amp;"$P$39:$AD$42"),13,FALSE)</f>
        <v>11</v>
      </c>
      <c r="AA87" s="299">
        <f t="shared" ref="AA87:AA95" ca="1" si="69">VLOOKUP($AD87,INDIRECT("'"&amp;$B87&amp;"'!"&amp;"$P$39:$AD$42"),14,FALSE)</f>
        <v>3</v>
      </c>
      <c r="AB87" s="299">
        <f t="shared" ref="AB87:AB95" ca="1" si="70">VLOOKUP($AD87,INDIRECT("'"&amp;$B87&amp;"'!"&amp;"$P$39:$AD$42"),15,FALSE)</f>
        <v>10</v>
      </c>
      <c r="AD87" s="299">
        <v>2020</v>
      </c>
      <c r="AE87" s="81"/>
      <c r="AF87" s="220"/>
    </row>
    <row r="88" spans="1:33">
      <c r="B88" s="357" t="s">
        <v>1008</v>
      </c>
      <c r="D88" s="212"/>
      <c r="E88" s="212"/>
      <c r="F88" s="224" t="s">
        <v>1149</v>
      </c>
      <c r="H88" s="174"/>
      <c r="I88" s="174" t="str">
        <f t="shared" si="22"/>
        <v>INDOWH</v>
      </c>
      <c r="J88" s="224">
        <f t="shared" si="32"/>
        <v>2030</v>
      </c>
      <c r="K88" s="81"/>
      <c r="L88" s="199">
        <f t="shared" ca="1" si="62"/>
        <v>0.89</v>
      </c>
      <c r="M88" s="199"/>
      <c r="N88" s="81"/>
      <c r="O88" s="723">
        <f t="shared" ca="1" si="63"/>
        <v>4.4022727272727264</v>
      </c>
      <c r="P88" s="723">
        <f t="shared" ca="1" si="64"/>
        <v>0.267455</v>
      </c>
      <c r="Q88" s="81">
        <f t="shared" ca="1" si="65"/>
        <v>5.8461805555555557</v>
      </c>
      <c r="R88" s="300"/>
      <c r="S88" s="300"/>
      <c r="T88" s="300"/>
      <c r="U88" s="300"/>
      <c r="V88" s="199">
        <f t="shared" ref="V88" ca="1" si="71">IF(IF(RIGHT(H87,2)="PH",(1-L88)+$W$2,IF(RIGHT(H87,2)="HT",(1-L88)+$W$1,IF(RIGHT(H87,2)="SH",(1-L88)+$W$3,"")))&gt;0,IF(RIGHT(H87,2)="PH",(1-L88)+$W$2,IF(RIGHT(H87,2)="HT",(1-L88)+$W$1,IF(RIGHT(H87,2)="SH",(1-L88)+$W$3,""))),0)</f>
        <v>0.31</v>
      </c>
      <c r="W88" s="298"/>
      <c r="X88" s="698">
        <f t="shared" ca="1" si="27"/>
        <v>11</v>
      </c>
      <c r="Y88" s="81">
        <f t="shared" ca="1" si="67"/>
        <v>49</v>
      </c>
      <c r="Z88" s="81">
        <f t="shared" ca="1" si="68"/>
        <v>8</v>
      </c>
      <c r="AA88" s="81">
        <f t="shared" ca="1" si="69"/>
        <v>3</v>
      </c>
      <c r="AB88" s="81">
        <f t="shared" ca="1" si="70"/>
        <v>10</v>
      </c>
      <c r="AD88" s="81">
        <v>2030</v>
      </c>
      <c r="AE88" s="81"/>
      <c r="AF88" s="220"/>
    </row>
    <row r="89" spans="1:33">
      <c r="B89" s="357" t="s">
        <v>1008</v>
      </c>
      <c r="D89" s="212"/>
      <c r="E89" s="212"/>
      <c r="F89" s="224" t="s">
        <v>1149</v>
      </c>
      <c r="H89" s="174"/>
      <c r="I89" s="174" t="str">
        <f t="shared" si="22"/>
        <v>INDOWH</v>
      </c>
      <c r="J89" s="224">
        <f t="shared" si="32"/>
        <v>2050</v>
      </c>
      <c r="K89" s="81"/>
      <c r="L89" s="199">
        <f t="shared" ca="1" si="62"/>
        <v>0.9</v>
      </c>
      <c r="M89" s="199"/>
      <c r="N89" s="81"/>
      <c r="O89" s="723">
        <f t="shared" ca="1" si="63"/>
        <v>3.9959090909090902</v>
      </c>
      <c r="P89" s="723">
        <f t="shared" ca="1" si="64"/>
        <v>0.25106499999999998</v>
      </c>
      <c r="Q89" s="81">
        <f t="shared" ca="1" si="65"/>
        <v>5.8937777777777782</v>
      </c>
      <c r="R89" s="300"/>
      <c r="S89" s="300"/>
      <c r="T89" s="300"/>
      <c r="U89" s="300"/>
      <c r="V89" s="199">
        <f t="shared" ref="V89" ca="1" si="72">IF(IF(RIGHT(H87,2)="PH",(1-L89)+$W$2,IF(RIGHT(H87,2)="HT",(1-L89)+$W$1,IF(RIGHT(H87,2)="SH",(1-L89)+$W$3,"")))&gt;0,IF(RIGHT(H87,2)="PH",(1-L89)+$W$2,IF(RIGHT(H87,2)="HT",(1-L89)+$W$1,IF(RIGHT(H87,2)="SH",(1-L89)+$W$3,""))),0)</f>
        <v>0.3</v>
      </c>
      <c r="W89" s="298"/>
      <c r="X89" s="698">
        <f t="shared" ca="1" si="27"/>
        <v>11</v>
      </c>
      <c r="Y89" s="81">
        <f t="shared" ca="1" si="67"/>
        <v>41</v>
      </c>
      <c r="Z89" s="81">
        <f t="shared" ca="1" si="68"/>
        <v>4</v>
      </c>
      <c r="AA89" s="81">
        <f t="shared" ca="1" si="69"/>
        <v>1</v>
      </c>
      <c r="AB89" s="81">
        <f t="shared" ca="1" si="70"/>
        <v>10</v>
      </c>
      <c r="AD89" s="81">
        <v>2050</v>
      </c>
      <c r="AE89" s="81"/>
      <c r="AF89" s="220"/>
    </row>
    <row r="90" spans="1:33" s="226" customFormat="1">
      <c r="A90" s="224"/>
      <c r="B90" s="357" t="s">
        <v>1008</v>
      </c>
      <c r="C90" s="224"/>
      <c r="D90" s="212" t="str">
        <f>"IND"&amp;RIGHT(H90,4)&amp;RIGHT(G90,3)&amp;"N"&amp;RIGHT(E90,1)</f>
        <v>INDODPHWCHN1</v>
      </c>
      <c r="E90" s="261" t="str">
        <f>"Industrial heating technology "&amp;$AJ$12&amp;" "&amp;RIGHT(H90,2)&amp;" - Wood chip boiler (Steam) - new 1"</f>
        <v>Industrial heating technology Other PH - Wood chip boiler (Steam) - new 1</v>
      </c>
      <c r="F90" s="224" t="s">
        <v>1149</v>
      </c>
      <c r="G90" s="173" t="s">
        <v>498</v>
      </c>
      <c r="H90" s="174" t="str">
        <f>$AI$14</f>
        <v>IODPH</v>
      </c>
      <c r="I90" s="174" t="str">
        <f t="shared" si="22"/>
        <v>INDOWH</v>
      </c>
      <c r="J90" s="224">
        <f t="shared" si="32"/>
        <v>2011</v>
      </c>
      <c r="K90" s="299">
        <v>2025</v>
      </c>
      <c r="L90" s="199">
        <f t="shared" ca="1" si="62"/>
        <v>0.89</v>
      </c>
      <c r="M90" s="199"/>
      <c r="N90" s="81">
        <f ca="1">VLOOKUP($AD90,INDIRECT("'"&amp;$B90&amp;"'!"&amp;"$P$39:$AD$42"),5,FALSE)</f>
        <v>25</v>
      </c>
      <c r="O90" s="723">
        <f t="shared" ca="1" si="63"/>
        <v>4.6054545454545455</v>
      </c>
      <c r="P90" s="723">
        <f t="shared" ca="1" si="64"/>
        <v>0.25106499999999998</v>
      </c>
      <c r="Q90" s="81">
        <f t="shared" ca="1" si="65"/>
        <v>5.7509861111111107</v>
      </c>
      <c r="R90" s="81">
        <v>3.1536000000000002E-2</v>
      </c>
      <c r="S90" s="199">
        <v>0.5</v>
      </c>
      <c r="T90" s="199">
        <f ca="1">HLOOKUP($T$2,INDIRECT("'"&amp;$B90&amp;"'!"&amp;"$P$6:$AC$19"),IF(H90=$AI$13,6,IF(H90=$AI$14,9,14)),FALSE)</f>
        <v>1</v>
      </c>
      <c r="U90" s="772"/>
      <c r="V90" s="199">
        <f t="shared" ref="V90" ca="1" si="73">IF(IF(RIGHT(H90,2)="PH",(1-L90)+$W$2,IF(RIGHT(H90,2)="HT",(1-L90)+$W$1,IF(RIGHT(H90,2)="SH",(1-L90)+$W$3,"")))&gt;0,IF(RIGHT(H90,2)="PH",(1-L90)+$W$2,IF(RIGHT(H90,2)="HT",(1-L90)+$W$1,IF(RIGHT(H90,2)="SH",(1-L90)+$W$3,""))),0)</f>
        <v>0.31</v>
      </c>
      <c r="W90" s="298"/>
      <c r="X90" s="698">
        <f t="shared" ca="1" si="27"/>
        <v>11</v>
      </c>
      <c r="Y90" s="81">
        <f t="shared" ca="1" si="67"/>
        <v>63</v>
      </c>
      <c r="Z90" s="81">
        <f t="shared" ca="1" si="68"/>
        <v>11</v>
      </c>
      <c r="AA90" s="81">
        <f t="shared" ca="1" si="69"/>
        <v>3</v>
      </c>
      <c r="AB90" s="81">
        <f t="shared" ca="1" si="70"/>
        <v>10</v>
      </c>
      <c r="AC90" s="224"/>
      <c r="AD90" s="81">
        <v>2020</v>
      </c>
      <c r="AE90" s="81"/>
      <c r="AF90" s="220"/>
      <c r="AG90" s="224"/>
    </row>
    <row r="91" spans="1:33" s="226" customFormat="1">
      <c r="A91" s="224"/>
      <c r="B91" s="357" t="s">
        <v>1008</v>
      </c>
      <c r="C91" s="224"/>
      <c r="D91" s="212"/>
      <c r="E91" s="212"/>
      <c r="F91" s="224" t="s">
        <v>1149</v>
      </c>
      <c r="G91" s="224"/>
      <c r="H91" s="174"/>
      <c r="I91" s="174" t="str">
        <f t="shared" si="22"/>
        <v>INDOWH</v>
      </c>
      <c r="J91" s="224">
        <f t="shared" si="32"/>
        <v>2030</v>
      </c>
      <c r="K91" s="81"/>
      <c r="L91" s="199">
        <f t="shared" ca="1" si="62"/>
        <v>0.89</v>
      </c>
      <c r="M91" s="199"/>
      <c r="N91" s="81"/>
      <c r="O91" s="723">
        <f t="shared" ca="1" si="63"/>
        <v>4.4022727272727264</v>
      </c>
      <c r="P91" s="723">
        <f t="shared" ca="1" si="64"/>
        <v>0.267455</v>
      </c>
      <c r="Q91" s="81">
        <f t="shared" ca="1" si="65"/>
        <v>5.8461805555555557</v>
      </c>
      <c r="R91" s="300"/>
      <c r="S91" s="300"/>
      <c r="T91" s="300"/>
      <c r="U91" s="300"/>
      <c r="V91" s="199">
        <f t="shared" ref="V91" ca="1" si="74">IF(IF(RIGHT(H90,2)="PH",(1-L91)+$W$2,IF(RIGHT(H90,2)="HT",(1-L91)+$W$1,IF(RIGHT(H90,2)="SH",(1-L91)+$W$3,"")))&gt;0,IF(RIGHT(H90,2)="PH",(1-L91)+$W$2,IF(RIGHT(H90,2)="HT",(1-L91)+$W$1,IF(RIGHT(H90,2)="SH",(1-L91)+$W$3,""))),0)</f>
        <v>0.31</v>
      </c>
      <c r="W91" s="298"/>
      <c r="X91" s="698">
        <f t="shared" ca="1" si="27"/>
        <v>11</v>
      </c>
      <c r="Y91" s="81">
        <f t="shared" ca="1" si="67"/>
        <v>49</v>
      </c>
      <c r="Z91" s="81">
        <f t="shared" ca="1" si="68"/>
        <v>8</v>
      </c>
      <c r="AA91" s="81">
        <f t="shared" ca="1" si="69"/>
        <v>3</v>
      </c>
      <c r="AB91" s="81">
        <f t="shared" ca="1" si="70"/>
        <v>10</v>
      </c>
      <c r="AC91" s="224"/>
      <c r="AD91" s="81">
        <v>2030</v>
      </c>
      <c r="AE91" s="81"/>
      <c r="AF91" s="220"/>
    </row>
    <row r="92" spans="1:33" s="226" customFormat="1">
      <c r="A92" s="224"/>
      <c r="B92" s="357" t="s">
        <v>1008</v>
      </c>
      <c r="C92" s="224"/>
      <c r="D92" s="212"/>
      <c r="E92" s="212"/>
      <c r="F92" s="224" t="s">
        <v>1149</v>
      </c>
      <c r="G92" s="224"/>
      <c r="H92" s="174"/>
      <c r="I92" s="174" t="str">
        <f t="shared" si="22"/>
        <v>INDOWH</v>
      </c>
      <c r="J92" s="224">
        <f t="shared" si="32"/>
        <v>2050</v>
      </c>
      <c r="K92" s="81"/>
      <c r="L92" s="199">
        <f t="shared" ca="1" si="62"/>
        <v>0.9</v>
      </c>
      <c r="M92" s="199"/>
      <c r="N92" s="81"/>
      <c r="O92" s="723">
        <f t="shared" ca="1" si="63"/>
        <v>3.9959090909090902</v>
      </c>
      <c r="P92" s="723">
        <f t="shared" ca="1" si="64"/>
        <v>0.25106499999999998</v>
      </c>
      <c r="Q92" s="81">
        <f t="shared" ca="1" si="65"/>
        <v>5.8937777777777782</v>
      </c>
      <c r="R92" s="300"/>
      <c r="S92" s="300"/>
      <c r="T92" s="300"/>
      <c r="U92" s="300"/>
      <c r="V92" s="199">
        <f t="shared" ref="V92" ca="1" si="75">IF(IF(RIGHT(H90,2)="PH",(1-L92)+$W$2,IF(RIGHT(H90,2)="HT",(1-L92)+$W$1,IF(RIGHT(H90,2)="SH",(1-L92)+$W$3,"")))&gt;0,IF(RIGHT(H90,2)="PH",(1-L92)+$W$2,IF(RIGHT(H90,2)="HT",(1-L92)+$W$1,IF(RIGHT(H90,2)="SH",(1-L92)+$W$3,""))),0)</f>
        <v>0.3</v>
      </c>
      <c r="W92" s="298"/>
      <c r="X92" s="698">
        <f t="shared" ca="1" si="27"/>
        <v>11</v>
      </c>
      <c r="Y92" s="81">
        <f t="shared" ca="1" si="67"/>
        <v>41</v>
      </c>
      <c r="Z92" s="81">
        <f t="shared" ca="1" si="68"/>
        <v>4</v>
      </c>
      <c r="AA92" s="81">
        <f t="shared" ca="1" si="69"/>
        <v>1</v>
      </c>
      <c r="AB92" s="81">
        <f t="shared" ca="1" si="70"/>
        <v>10</v>
      </c>
      <c r="AC92" s="224"/>
      <c r="AD92" s="81">
        <v>2050</v>
      </c>
      <c r="AE92" s="706"/>
      <c r="AF92" s="220"/>
    </row>
    <row r="93" spans="1:33" s="226" customFormat="1">
      <c r="A93" s="224"/>
      <c r="B93" s="357" t="s">
        <v>1008</v>
      </c>
      <c r="C93" s="224"/>
      <c r="D93" s="212" t="str">
        <f>"IND"&amp;RIGHT(H93,4)&amp;RIGHT(G93,3)&amp;"N"&amp;RIGHT(E93,1)</f>
        <v>INDODSHWCHN1</v>
      </c>
      <c r="E93" s="261" t="str">
        <f>"Industrial heating technology "&amp;$AJ$12&amp;" "&amp;RIGHT(H93,2)&amp;" - Wood chip boiler (Steam) - new 1"</f>
        <v>Industrial heating technology Other SH - Wood chip boiler (Steam) - new 1</v>
      </c>
      <c r="F93" s="224" t="s">
        <v>1149</v>
      </c>
      <c r="G93" s="173" t="s">
        <v>498</v>
      </c>
      <c r="H93" s="174" t="str">
        <f>$AI$15</f>
        <v>IODSH</v>
      </c>
      <c r="I93" s="174" t="str">
        <f t="shared" si="22"/>
        <v>INDOWH</v>
      </c>
      <c r="J93" s="224">
        <f t="shared" si="32"/>
        <v>2011</v>
      </c>
      <c r="K93" s="299">
        <v>2025</v>
      </c>
      <c r="L93" s="199">
        <f t="shared" ca="1" si="62"/>
        <v>0.89</v>
      </c>
      <c r="M93" s="199"/>
      <c r="N93" s="81">
        <f ca="1">VLOOKUP($AD93,INDIRECT("'"&amp;$B93&amp;"'!"&amp;"$P$39:$AD$42"),5,FALSE)</f>
        <v>25</v>
      </c>
      <c r="O93" s="723">
        <f t="shared" ca="1" si="63"/>
        <v>4.6054545454545455</v>
      </c>
      <c r="P93" s="723">
        <f t="shared" ca="1" si="64"/>
        <v>0.25106499999999998</v>
      </c>
      <c r="Q93" s="81">
        <f t="shared" ca="1" si="65"/>
        <v>5.7509861111111107</v>
      </c>
      <c r="R93" s="81">
        <v>3.1536000000000002E-2</v>
      </c>
      <c r="S93" s="199">
        <v>0.5</v>
      </c>
      <c r="T93" s="199">
        <f ca="1">HLOOKUP($T$2,INDIRECT("'"&amp;$B93&amp;"'!"&amp;"$P$6:$AC$19"),IF(H93=$AI$13,6,IF(H93=$AI$14,9,14)),FALSE)</f>
        <v>1</v>
      </c>
      <c r="U93" s="772"/>
      <c r="V93" s="199">
        <f t="shared" ref="V93" ca="1" si="76">IF(IF(RIGHT(H93,2)="PH",(1-L93)+$W$2,IF(RIGHT(H93,2)="HT",(1-L93)+$W$1,IF(RIGHT(H93,2)="SH",(1-L93)+$W$3,"")))&gt;0,IF(RIGHT(H93,2)="PH",(1-L93)+$W$2,IF(RIGHT(H93,2)="HT",(1-L93)+$W$1,IF(RIGHT(H93,2)="SH",(1-L93)+$W$3,""))),0)</f>
        <v>0.10999999999999999</v>
      </c>
      <c r="W93" s="298"/>
      <c r="X93" s="698">
        <f t="shared" ca="1" si="27"/>
        <v>11</v>
      </c>
      <c r="Y93" s="81">
        <f t="shared" ca="1" si="67"/>
        <v>63</v>
      </c>
      <c r="Z93" s="81">
        <f t="shared" ca="1" si="68"/>
        <v>11</v>
      </c>
      <c r="AA93" s="81">
        <f t="shared" ca="1" si="69"/>
        <v>3</v>
      </c>
      <c r="AB93" s="81">
        <f t="shared" ca="1" si="70"/>
        <v>10</v>
      </c>
      <c r="AC93" s="296"/>
      <c r="AD93" s="81">
        <v>2020</v>
      </c>
      <c r="AE93" s="81"/>
      <c r="AF93" s="710"/>
    </row>
    <row r="94" spans="1:33" s="226" customFormat="1">
      <c r="A94" s="224"/>
      <c r="B94" s="357" t="s">
        <v>1008</v>
      </c>
      <c r="C94" s="224"/>
      <c r="D94" s="212"/>
      <c r="E94" s="212"/>
      <c r="F94" s="224" t="s">
        <v>1149</v>
      </c>
      <c r="G94" s="224"/>
      <c r="H94" s="174"/>
      <c r="I94" s="174" t="str">
        <f t="shared" si="22"/>
        <v>INDOWH</v>
      </c>
      <c r="J94" s="224">
        <f t="shared" si="32"/>
        <v>2030</v>
      </c>
      <c r="K94" s="81"/>
      <c r="L94" s="199">
        <f t="shared" ca="1" si="62"/>
        <v>0.89</v>
      </c>
      <c r="M94" s="199"/>
      <c r="N94" s="81"/>
      <c r="O94" s="723">
        <f t="shared" ca="1" si="63"/>
        <v>4.4022727272727264</v>
      </c>
      <c r="P94" s="723">
        <f t="shared" ca="1" si="64"/>
        <v>0.267455</v>
      </c>
      <c r="Q94" s="81">
        <f t="shared" ca="1" si="65"/>
        <v>5.8461805555555557</v>
      </c>
      <c r="R94" s="300"/>
      <c r="S94" s="300"/>
      <c r="T94" s="300"/>
      <c r="U94" s="300"/>
      <c r="V94" s="199">
        <f t="shared" ref="V94" ca="1" si="77">IF(IF(RIGHT(H93,2)="PH",(1-L94)+$W$2,IF(RIGHT(H93,2)="HT",(1-L94)+$W$1,IF(RIGHT(H93,2)="SH",(1-L94)+$W$3,"")))&gt;0,IF(RIGHT(H93,2)="PH",(1-L94)+$W$2,IF(RIGHT(H93,2)="HT",(1-L94)+$W$1,IF(RIGHT(H93,2)="SH",(1-L94)+$W$3,""))),0)</f>
        <v>0.10999999999999999</v>
      </c>
      <c r="W94" s="298"/>
      <c r="X94" s="698">
        <f t="shared" ca="1" si="27"/>
        <v>11</v>
      </c>
      <c r="Y94" s="81">
        <f t="shared" ca="1" si="67"/>
        <v>49</v>
      </c>
      <c r="Z94" s="81">
        <f t="shared" ca="1" si="68"/>
        <v>8</v>
      </c>
      <c r="AA94" s="81">
        <f t="shared" ca="1" si="69"/>
        <v>3</v>
      </c>
      <c r="AB94" s="81">
        <f t="shared" ca="1" si="70"/>
        <v>10</v>
      </c>
      <c r="AC94" s="55"/>
      <c r="AD94" s="81">
        <v>2030</v>
      </c>
      <c r="AE94" s="81"/>
      <c r="AF94" s="700"/>
    </row>
    <row r="95" spans="1:33" s="226" customFormat="1">
      <c r="A95" s="224"/>
      <c r="B95" s="357" t="s">
        <v>1008</v>
      </c>
      <c r="C95" s="224"/>
      <c r="D95" s="212"/>
      <c r="E95" s="212"/>
      <c r="F95" s="224" t="s">
        <v>1149</v>
      </c>
      <c r="G95" s="224"/>
      <c r="H95" s="174"/>
      <c r="I95" s="174" t="str">
        <f t="shared" si="22"/>
        <v>INDOWH</v>
      </c>
      <c r="J95" s="224">
        <f t="shared" si="32"/>
        <v>2050</v>
      </c>
      <c r="K95" s="706"/>
      <c r="L95" s="199">
        <f t="shared" ca="1" si="62"/>
        <v>0.9</v>
      </c>
      <c r="M95" s="774"/>
      <c r="N95" s="706"/>
      <c r="O95" s="724">
        <f t="shared" ca="1" si="63"/>
        <v>3.9959090909090902</v>
      </c>
      <c r="P95" s="724">
        <f t="shared" ca="1" si="64"/>
        <v>0.25106499999999998</v>
      </c>
      <c r="Q95" s="706">
        <f t="shared" ca="1" si="65"/>
        <v>5.8937777777777782</v>
      </c>
      <c r="R95" s="300"/>
      <c r="S95" s="300"/>
      <c r="T95" s="300"/>
      <c r="U95" s="300"/>
      <c r="V95" s="199">
        <f t="shared" ref="V95" ca="1" si="78">IF(IF(RIGHT(H93,2)="PH",(1-L95)+$W$2,IF(RIGHT(H93,2)="HT",(1-L95)+$W$1,IF(RIGHT(H93,2)="SH",(1-L95)+$W$3,"")))&gt;0,IF(RIGHT(H93,2)="PH",(1-L95)+$W$2,IF(RIGHT(H93,2)="HT",(1-L95)+$W$1,IF(RIGHT(H93,2)="SH",(1-L95)+$W$3,""))),0)</f>
        <v>9.9999999999999978E-2</v>
      </c>
      <c r="W95" s="298"/>
      <c r="X95" s="698">
        <f t="shared" ref="X95:X126" ca="1" si="79">IF(VLOOKUP($AD95,INDIRECT("'"&amp;$B95&amp;"'!"&amp;"$P$39:$AD$42"),11,FALSE)="Cf. the utilized electricity",0,VLOOKUP($AD95,INDIRECT("'"&amp;$B95&amp;"'!"&amp;"$P$39:$AD$42"),11,FALSE))</f>
        <v>11</v>
      </c>
      <c r="Y95" s="706">
        <f t="shared" ca="1" si="67"/>
        <v>41</v>
      </c>
      <c r="Z95" s="706">
        <f t="shared" ca="1" si="68"/>
        <v>4</v>
      </c>
      <c r="AA95" s="706">
        <f t="shared" ca="1" si="69"/>
        <v>1</v>
      </c>
      <c r="AB95" s="706">
        <f t="shared" ca="1" si="70"/>
        <v>10</v>
      </c>
      <c r="AC95" s="55"/>
      <c r="AD95" s="706">
        <v>2050</v>
      </c>
      <c r="AE95" s="81"/>
      <c r="AF95" s="700"/>
    </row>
    <row r="96" spans="1:33">
      <c r="B96" s="716" t="s">
        <v>1008</v>
      </c>
      <c r="C96" s="296"/>
      <c r="D96" s="707" t="str">
        <f>"IND"&amp;RIGHT(H96,4)&amp;RIGHT(G96,3)&amp;"N"&amp;RIGHT(E96,1)</f>
        <v>INDODPHWCHN2</v>
      </c>
      <c r="E96" s="707" t="str">
        <f>"Industrial heating technology "&amp;$AJ$12&amp;" "&amp;RIGHT(H96,2)&amp;" - Wood chip boiler (Steam - condensing) - new 2"</f>
        <v>Industrial heating technology Other PH - Wood chip boiler (Steam - condensing) - new 2</v>
      </c>
      <c r="F96" s="224" t="s">
        <v>1149</v>
      </c>
      <c r="G96" s="708" t="s">
        <v>498</v>
      </c>
      <c r="H96" s="708" t="str">
        <f>$AI$14</f>
        <v>IODPH</v>
      </c>
      <c r="I96" s="708" t="str">
        <f t="shared" si="22"/>
        <v>INDOWH</v>
      </c>
      <c r="J96" s="224">
        <f t="shared" si="32"/>
        <v>2011</v>
      </c>
      <c r="K96" s="299">
        <v>2025</v>
      </c>
      <c r="L96" s="199">
        <f t="shared" ref="L96:L101" ca="1" si="80">VLOOKUP($AD96,INDIRECT("'"&amp;$B96&amp;"'!"&amp;"$P$118:$AD$121"),3,FALSE)</f>
        <v>1.1618960947726835</v>
      </c>
      <c r="M96" s="199"/>
      <c r="N96" s="81">
        <f ca="1">VLOOKUP($AD96,INDIRECT("'"&amp;$B96&amp;"'!"&amp;"$P$118:$AD$121"),5,FALSE)</f>
        <v>25</v>
      </c>
      <c r="O96" s="723">
        <f t="shared" ref="O96:O101" ca="1" si="81">VLOOKUP($AD96,INDIRECT("'"&amp;$B96&amp;"'!"&amp;"$P$118:$AD$121"),6,FALSE)/1000</f>
        <v>5.0660000000000007</v>
      </c>
      <c r="P96" s="723">
        <f t="shared" ref="P96:P101" ca="1" si="82">VLOOKUP($AD96,INDIRECT("'"&amp;$B96&amp;"'!"&amp;"$P$118:$AD$121"),7,FALSE)/1000</f>
        <v>0.27564999999999995</v>
      </c>
      <c r="Q96" s="81">
        <f t="shared" ref="Q96:Q101" ca="1" si="83">VLOOKUP($AD96,INDIRECT("'"&amp;$B96&amp;"'!"&amp;"$P$118:$AD$121"),8,FALSE)</f>
        <v>5.7509861111111107</v>
      </c>
      <c r="R96" s="81">
        <v>3.1536000000000002E-2</v>
      </c>
      <c r="S96" s="199">
        <v>0.5</v>
      </c>
      <c r="T96" s="199">
        <f ca="1">HLOOKUP($T$2,INDIRECT("'"&amp;$B96&amp;"'!"&amp;"$P$85:$AC$98"),IF(H96=$AI$13,6,IF(H96=$AI$14,9,14)),FALSE)</f>
        <v>0</v>
      </c>
      <c r="U96" s="773"/>
      <c r="V96" s="199">
        <f t="shared" ref="V96" ca="1" si="84">IF(IF(RIGHT(H96,2)="PH",(1-L96)+$W$2,IF(RIGHT(H96,2)="HT",(1-L96)+$W$1,IF(RIGHT(H96,2)="SH",(1-L96)+$W$3,"")))&gt;0,IF(RIGHT(H96,2)="PH",(1-L96)+$W$2,IF(RIGHT(H96,2)="HT",(1-L96)+$W$1,IF(RIGHT(H96,2)="SH",(1-L96)+$W$3,""))),0)</f>
        <v>3.8103905227316492E-2</v>
      </c>
      <c r="W96" s="709"/>
      <c r="X96" s="698">
        <f t="shared" ca="1" si="79"/>
        <v>11</v>
      </c>
      <c r="Y96" s="698">
        <f t="shared" ref="Y96:Y101" ca="1" si="85">VLOOKUP($AD96,INDIRECT("'"&amp;$B96&amp;"'!"&amp;"$P$118:$AD$121"),12,FALSE)</f>
        <v>63</v>
      </c>
      <c r="Z96" s="698">
        <f t="shared" ref="Z96:Z101" ca="1" si="86">VLOOKUP($AD96,INDIRECT("'"&amp;$B96&amp;"'!"&amp;"$P$118:$AD$121"),13,FALSE)</f>
        <v>11</v>
      </c>
      <c r="AA96" s="698">
        <f t="shared" ref="AA96:AA101" ca="1" si="87">VLOOKUP($AD96,INDIRECT("'"&amp;$B96&amp;"'!"&amp;"$P$118:$AD$121"),14,FALSE)</f>
        <v>3</v>
      </c>
      <c r="AB96" s="698">
        <f t="shared" ref="AB96:AB101" ca="1" si="88">VLOOKUP($AD96,INDIRECT("'"&amp;$B96&amp;"'!"&amp;"$P$118:$AD$121"),15,FALSE)</f>
        <v>10</v>
      </c>
      <c r="AC96" s="55"/>
      <c r="AD96" s="81">
        <v>2020</v>
      </c>
      <c r="AE96" s="81"/>
      <c r="AF96" s="700"/>
      <c r="AG96" s="226"/>
    </row>
    <row r="97" spans="2:32">
      <c r="B97" s="357" t="s">
        <v>1008</v>
      </c>
      <c r="C97" s="55"/>
      <c r="D97" s="261"/>
      <c r="E97" s="261"/>
      <c r="F97" s="224" t="s">
        <v>1149</v>
      </c>
      <c r="G97" s="55"/>
      <c r="H97" s="174"/>
      <c r="I97" s="174" t="str">
        <f t="shared" si="22"/>
        <v>INDOWH</v>
      </c>
      <c r="J97" s="224">
        <f t="shared" si="32"/>
        <v>2030</v>
      </c>
      <c r="K97" s="81"/>
      <c r="L97" s="199">
        <f t="shared" ca="1" si="80"/>
        <v>1.1618960947726835</v>
      </c>
      <c r="M97" s="199"/>
      <c r="N97" s="81"/>
      <c r="O97" s="723">
        <f t="shared" ca="1" si="81"/>
        <v>4.8425000000000002</v>
      </c>
      <c r="P97" s="723">
        <f t="shared" ca="1" si="82"/>
        <v>0.267455</v>
      </c>
      <c r="Q97" s="81">
        <f t="shared" ca="1" si="83"/>
        <v>5.8461805555555557</v>
      </c>
      <c r="R97" s="300"/>
      <c r="S97" s="300"/>
      <c r="T97" s="300"/>
      <c r="U97" s="300"/>
      <c r="V97" s="199">
        <f t="shared" ref="V97" ca="1" si="89">IF(IF(RIGHT(H96,2)="PH",(1-L97)+$W$2,IF(RIGHT(H96,2)="HT",(1-L97)+$W$1,IF(RIGHT(H96,2)="SH",(1-L97)+$W$3,"")))&gt;0,IF(RIGHT(H96,2)="PH",(1-L97)+$W$2,IF(RIGHT(H96,2)="HT",(1-L97)+$W$1,IF(RIGHT(H96,2)="SH",(1-L97)+$W$3,""))),0)</f>
        <v>3.8103905227316492E-2</v>
      </c>
      <c r="W97" s="298"/>
      <c r="X97" s="698">
        <f t="shared" ca="1" si="79"/>
        <v>11</v>
      </c>
      <c r="Y97" s="698">
        <f t="shared" ca="1" si="85"/>
        <v>49</v>
      </c>
      <c r="Z97" s="698">
        <f t="shared" ca="1" si="86"/>
        <v>8</v>
      </c>
      <c r="AA97" s="698">
        <f t="shared" ca="1" si="87"/>
        <v>3</v>
      </c>
      <c r="AB97" s="698">
        <f t="shared" ca="1" si="88"/>
        <v>10</v>
      </c>
      <c r="AC97" s="55"/>
      <c r="AD97" s="81">
        <v>2030</v>
      </c>
      <c r="AE97" s="81"/>
      <c r="AF97" s="700"/>
    </row>
    <row r="98" spans="2:32">
      <c r="B98" s="357" t="s">
        <v>1008</v>
      </c>
      <c r="C98" s="55"/>
      <c r="D98" s="261"/>
      <c r="E98" s="261"/>
      <c r="F98" s="224" t="s">
        <v>1149</v>
      </c>
      <c r="G98" s="55"/>
      <c r="H98" s="174"/>
      <c r="I98" s="174" t="str">
        <f t="shared" si="22"/>
        <v>INDOWH</v>
      </c>
      <c r="J98" s="224">
        <f t="shared" si="32"/>
        <v>2050</v>
      </c>
      <c r="K98" s="81"/>
      <c r="L98" s="199">
        <f t="shared" ca="1" si="80"/>
        <v>1.1618960947726835</v>
      </c>
      <c r="M98" s="199"/>
      <c r="N98" s="81"/>
      <c r="O98" s="723">
        <f t="shared" ca="1" si="81"/>
        <v>4.3955000000000002</v>
      </c>
      <c r="P98" s="723">
        <f t="shared" ca="1" si="82"/>
        <v>0.25106499999999998</v>
      </c>
      <c r="Q98" s="81">
        <f t="shared" ca="1" si="83"/>
        <v>5.8937777777777782</v>
      </c>
      <c r="R98" s="300"/>
      <c r="S98" s="300"/>
      <c r="T98" s="300"/>
      <c r="U98" s="300"/>
      <c r="V98" s="199">
        <f t="shared" ref="V98" ca="1" si="90">IF(IF(RIGHT(H96,2)="PH",(1-L98)+$W$2,IF(RIGHT(H96,2)="HT",(1-L98)+$W$1,IF(RIGHT(H96,2)="SH",(1-L98)+$W$3,"")))&gt;0,IF(RIGHT(H96,2)="PH",(1-L98)+$W$2,IF(RIGHT(H96,2)="HT",(1-L98)+$W$1,IF(RIGHT(H96,2)="SH",(1-L98)+$W$3,""))),0)</f>
        <v>3.8103905227316492E-2</v>
      </c>
      <c r="W98" s="298"/>
      <c r="X98" s="698">
        <f t="shared" ca="1" si="79"/>
        <v>11</v>
      </c>
      <c r="Y98" s="698">
        <f t="shared" ca="1" si="85"/>
        <v>41</v>
      </c>
      <c r="Z98" s="698">
        <f t="shared" ca="1" si="86"/>
        <v>4</v>
      </c>
      <c r="AA98" s="698">
        <f t="shared" ca="1" si="87"/>
        <v>1</v>
      </c>
      <c r="AB98" s="698">
        <f t="shared" ca="1" si="88"/>
        <v>10</v>
      </c>
      <c r="AC98" s="203"/>
      <c r="AD98" s="81">
        <v>2050</v>
      </c>
      <c r="AE98" s="81"/>
      <c r="AF98" s="705"/>
    </row>
    <row r="99" spans="2:32">
      <c r="B99" s="357" t="s">
        <v>1008</v>
      </c>
      <c r="C99" s="55"/>
      <c r="D99" s="261" t="str">
        <f>"IND"&amp;RIGHT(H99,4)&amp;RIGHT(G99,3)&amp;"N"&amp;RIGHT(E99,1)</f>
        <v>INDODSHWCHN2</v>
      </c>
      <c r="E99" s="261" t="str">
        <f>"Industrial heating technology "&amp;$AJ$12&amp;" "&amp;RIGHT(H99,2)&amp;" - Wood chip boiler (Steam - condensing) - new 2"</f>
        <v>Industrial heating technology Other SH - Wood chip boiler (Steam - condensing) - new 2</v>
      </c>
      <c r="F99" s="224" t="s">
        <v>1149</v>
      </c>
      <c r="G99" s="174" t="s">
        <v>498</v>
      </c>
      <c r="H99" s="174" t="str">
        <f>$AI$15</f>
        <v>IODSH</v>
      </c>
      <c r="I99" s="174" t="str">
        <f t="shared" si="22"/>
        <v>INDOWH</v>
      </c>
      <c r="J99" s="224">
        <f t="shared" si="32"/>
        <v>2011</v>
      </c>
      <c r="K99" s="299">
        <v>2025</v>
      </c>
      <c r="L99" s="199">
        <f t="shared" ca="1" si="80"/>
        <v>1.1618960947726835</v>
      </c>
      <c r="M99" s="199"/>
      <c r="N99" s="81">
        <f ca="1">VLOOKUP($AD99,INDIRECT("'"&amp;$B99&amp;"'!"&amp;"$P$118:$AD$121"),5,FALSE)</f>
        <v>25</v>
      </c>
      <c r="O99" s="723">
        <f t="shared" ca="1" si="81"/>
        <v>5.0660000000000007</v>
      </c>
      <c r="P99" s="723">
        <f t="shared" ca="1" si="82"/>
        <v>0.27564999999999995</v>
      </c>
      <c r="Q99" s="81">
        <f t="shared" ca="1" si="83"/>
        <v>5.7509861111111107</v>
      </c>
      <c r="R99" s="81">
        <v>3.1536000000000002E-2</v>
      </c>
      <c r="S99" s="199">
        <v>0.5</v>
      </c>
      <c r="T99" s="199">
        <f ca="1">HLOOKUP($T$2,INDIRECT("'"&amp;$B99&amp;"'!"&amp;"$P$85:$AC$98"),IF(H99=$AI$13,6,IF(H99=$AI$14,9,14)),FALSE)</f>
        <v>0</v>
      </c>
      <c r="U99" s="772"/>
      <c r="V99" s="199">
        <f t="shared" ref="V99" ca="1" si="91">IF(IF(RIGHT(H99,2)="PH",(1-L99)+$W$2,IF(RIGHT(H99,2)="HT",(1-L99)+$W$1,IF(RIGHT(H99,2)="SH",(1-L99)+$W$3,"")))&gt;0,IF(RIGHT(H99,2)="PH",(1-L99)+$W$2,IF(RIGHT(H99,2)="HT",(1-L99)+$W$1,IF(RIGHT(H99,2)="SH",(1-L99)+$W$3,""))),0)</f>
        <v>0</v>
      </c>
      <c r="W99" s="298"/>
      <c r="X99" s="698">
        <f t="shared" ca="1" si="79"/>
        <v>11</v>
      </c>
      <c r="Y99" s="698">
        <f t="shared" ca="1" si="85"/>
        <v>63</v>
      </c>
      <c r="Z99" s="698">
        <f t="shared" ca="1" si="86"/>
        <v>11</v>
      </c>
      <c r="AA99" s="698">
        <f t="shared" ca="1" si="87"/>
        <v>3</v>
      </c>
      <c r="AB99" s="698">
        <f t="shared" ca="1" si="88"/>
        <v>10</v>
      </c>
      <c r="AC99" s="296"/>
      <c r="AD99" s="81">
        <v>2020</v>
      </c>
      <c r="AE99" s="81"/>
      <c r="AF99" s="710"/>
    </row>
    <row r="100" spans="2:32">
      <c r="B100" s="357" t="s">
        <v>1008</v>
      </c>
      <c r="C100" s="55"/>
      <c r="D100" s="261"/>
      <c r="E100" s="261"/>
      <c r="F100" s="224" t="s">
        <v>1149</v>
      </c>
      <c r="G100" s="55"/>
      <c r="H100" s="174"/>
      <c r="I100" s="174" t="str">
        <f t="shared" si="22"/>
        <v>INDOWH</v>
      </c>
      <c r="J100" s="224">
        <f t="shared" si="32"/>
        <v>2030</v>
      </c>
      <c r="K100" s="81"/>
      <c r="L100" s="199">
        <f t="shared" ca="1" si="80"/>
        <v>1.1618960947726835</v>
      </c>
      <c r="M100" s="199"/>
      <c r="N100" s="81"/>
      <c r="O100" s="723">
        <f t="shared" ca="1" si="81"/>
        <v>4.8425000000000002</v>
      </c>
      <c r="P100" s="723">
        <f t="shared" ca="1" si="82"/>
        <v>0.267455</v>
      </c>
      <c r="Q100" s="81">
        <f t="shared" ca="1" si="83"/>
        <v>5.8461805555555557</v>
      </c>
      <c r="R100" s="300"/>
      <c r="S100" s="300"/>
      <c r="T100" s="300"/>
      <c r="U100" s="300"/>
      <c r="V100" s="199">
        <f t="shared" ref="V100" ca="1" si="92">IF(IF(RIGHT(H99,2)="PH",(1-L100)+$W$2,IF(RIGHT(H99,2)="HT",(1-L100)+$W$1,IF(RIGHT(H99,2)="SH",(1-L100)+$W$3,"")))&gt;0,IF(RIGHT(H99,2)="PH",(1-L100)+$W$2,IF(RIGHT(H99,2)="HT",(1-L100)+$W$1,IF(RIGHT(H99,2)="SH",(1-L100)+$W$3,""))),0)</f>
        <v>0</v>
      </c>
      <c r="W100" s="298"/>
      <c r="X100" s="698">
        <f t="shared" ca="1" si="79"/>
        <v>11</v>
      </c>
      <c r="Y100" s="698">
        <f t="shared" ca="1" si="85"/>
        <v>49</v>
      </c>
      <c r="Z100" s="698">
        <f t="shared" ca="1" si="86"/>
        <v>8</v>
      </c>
      <c r="AA100" s="698">
        <f t="shared" ca="1" si="87"/>
        <v>3</v>
      </c>
      <c r="AB100" s="698">
        <f t="shared" ca="1" si="88"/>
        <v>10</v>
      </c>
      <c r="AC100" s="55"/>
      <c r="AD100" s="81">
        <v>2030</v>
      </c>
      <c r="AE100" s="81"/>
      <c r="AF100" s="700"/>
    </row>
    <row r="101" spans="2:32">
      <c r="B101" s="356" t="s">
        <v>1008</v>
      </c>
      <c r="C101" s="203"/>
      <c r="D101" s="701"/>
      <c r="E101" s="701"/>
      <c r="F101" s="224" t="s">
        <v>1149</v>
      </c>
      <c r="G101" s="203"/>
      <c r="H101" s="702"/>
      <c r="I101" s="702" t="str">
        <f t="shared" si="22"/>
        <v>INDOWH</v>
      </c>
      <c r="J101" s="224">
        <f t="shared" si="32"/>
        <v>2050</v>
      </c>
      <c r="K101" s="81"/>
      <c r="L101" s="199">
        <f t="shared" ca="1" si="80"/>
        <v>1.1618960947726835</v>
      </c>
      <c r="M101" s="199"/>
      <c r="N101" s="81"/>
      <c r="O101" s="723">
        <f t="shared" ca="1" si="81"/>
        <v>4.3955000000000002</v>
      </c>
      <c r="P101" s="723">
        <f t="shared" ca="1" si="82"/>
        <v>0.25106499999999998</v>
      </c>
      <c r="Q101" s="81">
        <f t="shared" ca="1" si="83"/>
        <v>5.8937777777777782</v>
      </c>
      <c r="R101" s="703"/>
      <c r="S101" s="703"/>
      <c r="T101" s="703"/>
      <c r="U101" s="703"/>
      <c r="V101" s="199">
        <f t="shared" ref="V101" ca="1" si="93">IF(IF(RIGHT(H99,2)="PH",(1-L101)+$W$2,IF(RIGHT(H99,2)="HT",(1-L101)+$W$1,IF(RIGHT(H99,2)="SH",(1-L101)+$W$3,"")))&gt;0,IF(RIGHT(H99,2)="PH",(1-L101)+$W$2,IF(RIGHT(H99,2)="HT",(1-L101)+$W$1,IF(RIGHT(H99,2)="SH",(1-L101)+$W$3,""))),0)</f>
        <v>0</v>
      </c>
      <c r="W101" s="704"/>
      <c r="X101" s="698">
        <f t="shared" ca="1" si="79"/>
        <v>11</v>
      </c>
      <c r="Y101" s="698">
        <f t="shared" ca="1" si="85"/>
        <v>41</v>
      </c>
      <c r="Z101" s="698">
        <f t="shared" ca="1" si="86"/>
        <v>4</v>
      </c>
      <c r="AA101" s="698">
        <f t="shared" ca="1" si="87"/>
        <v>1</v>
      </c>
      <c r="AB101" s="698">
        <f t="shared" ca="1" si="88"/>
        <v>10</v>
      </c>
      <c r="AC101" s="55"/>
      <c r="AD101" s="81">
        <v>2050</v>
      </c>
      <c r="AE101" s="81"/>
      <c r="AF101" s="700"/>
    </row>
    <row r="102" spans="2:32">
      <c r="B102" s="717" t="s">
        <v>1008</v>
      </c>
      <c r="C102" s="712"/>
      <c r="D102" s="707" t="str">
        <f>"IND"&amp;RIGHT(H102,4)&amp;RIGHT(G102,3)&amp;"N"&amp;RIGHT(E102,1)</f>
        <v>INDODPHWCHN3</v>
      </c>
      <c r="E102" s="707" t="str">
        <f>"Industrial heating technology "&amp;$AJ$12&amp;" "&amp;RIGHT(H102,2)&amp;" - Wood chip boiler (Hot Water) - new 3"</f>
        <v>Industrial heating technology Other PH - Wood chip boiler (Hot Water) - new 3</v>
      </c>
      <c r="F102" s="224" t="s">
        <v>1149</v>
      </c>
      <c r="G102" s="708" t="s">
        <v>498</v>
      </c>
      <c r="H102" s="708" t="str">
        <f>$AI$14</f>
        <v>IODPH</v>
      </c>
      <c r="I102" s="708" t="str">
        <f t="shared" si="22"/>
        <v>INDOWH</v>
      </c>
      <c r="J102" s="224">
        <f t="shared" si="32"/>
        <v>2011</v>
      </c>
      <c r="K102" s="299">
        <v>2025</v>
      </c>
      <c r="L102" s="199">
        <f t="shared" ref="L102:L107" ca="1" si="94">VLOOKUP($AD102,INDIRECT("'"&amp;$B102&amp;"'!"&amp;"$P$200:$AD$203"),3,FALSE)</f>
        <v>0.9</v>
      </c>
      <c r="M102" s="199"/>
      <c r="N102" s="81">
        <f ca="1">VLOOKUP($AD102,INDIRECT("'"&amp;$B102&amp;"'!"&amp;"$P$200:$AD$203"),5,FALSE)</f>
        <v>25</v>
      </c>
      <c r="O102" s="723">
        <f t="shared" ref="O102:O107" ca="1" si="95">VLOOKUP($AD102,INDIRECT("'"&amp;$B102&amp;"'!"&amp;"$P$200:$AD$203"),6,FALSE)/1000</f>
        <v>4.6054545454545437</v>
      </c>
      <c r="P102" s="723">
        <f t="shared" ref="P102:P107" ca="1" si="96">VLOOKUP($AD102,INDIRECT("'"&amp;$B102&amp;"'!"&amp;"$P$200:$AD$203"),7,FALSE)/1000</f>
        <v>0.25106499999999998</v>
      </c>
      <c r="Q102" s="81">
        <f t="shared" ref="Q102:Q107" ca="1" si="97">VLOOKUP($AD102,INDIRECT("'"&amp;$B102&amp;"'!"&amp;"$P$200:$AD$203"),8,FALSE)</f>
        <v>5.7509861111111107</v>
      </c>
      <c r="R102" s="81">
        <v>3.1536000000000002E-2</v>
      </c>
      <c r="S102" s="199">
        <v>0.5</v>
      </c>
      <c r="T102" s="199">
        <f ca="1">HLOOKUP($T$2,INDIRECT("'"&amp;$B102&amp;"'!"&amp;"$P$167:$AC$180"),IF(H102=$AI$13,6,IF(H102=$AI$14,9,14)),FALSE)</f>
        <v>0</v>
      </c>
      <c r="U102" s="773"/>
      <c r="V102" s="199">
        <f t="shared" ref="V102" ca="1" si="98">IF(IF(RIGHT(H102,2)="PH",(1-L102)+$W$2,IF(RIGHT(H102,2)="HT",(1-L102)+$W$1,IF(RIGHT(H102,2)="SH",(1-L102)+$W$3,"")))&gt;0,IF(RIGHT(H102,2)="PH",(1-L102)+$W$2,IF(RIGHT(H102,2)="HT",(1-L102)+$W$1,IF(RIGHT(H102,2)="SH",(1-L102)+$W$3,""))),0)</f>
        <v>0.3</v>
      </c>
      <c r="W102" s="709"/>
      <c r="X102" s="698">
        <f t="shared" ca="1" si="79"/>
        <v>11</v>
      </c>
      <c r="Y102" s="698">
        <f t="shared" ref="Y102:Y107" ca="1" si="99">VLOOKUP($AD102,INDIRECT("'"&amp;$B102&amp;"'!"&amp;"$P$200:$AD$203"),12,FALSE)</f>
        <v>63</v>
      </c>
      <c r="Z102" s="698">
        <f t="shared" ref="Z102:Z107" ca="1" si="100">VLOOKUP($AD102,INDIRECT("'"&amp;$B102&amp;"'!"&amp;"$P$200:$AD$203"),13,FALSE)</f>
        <v>11</v>
      </c>
      <c r="AA102" s="698">
        <f t="shared" ref="AA102:AA107" ca="1" si="101">VLOOKUP($AD102,INDIRECT("'"&amp;$B102&amp;"'!"&amp;"$P$200:$AD$203"),14,FALSE)</f>
        <v>3</v>
      </c>
      <c r="AB102" s="698">
        <f t="shared" ref="AB102:AB107" ca="1" si="102">VLOOKUP($AD102,INDIRECT("'"&amp;$B102&amp;"'!"&amp;"$P$200:$AD$203"),15,FALSE)</f>
        <v>10</v>
      </c>
      <c r="AC102" s="55"/>
      <c r="AD102" s="81">
        <v>2020</v>
      </c>
      <c r="AE102" s="81"/>
      <c r="AF102" s="700"/>
    </row>
    <row r="103" spans="2:32">
      <c r="B103" s="718" t="s">
        <v>1008</v>
      </c>
      <c r="C103" s="226"/>
      <c r="D103" s="261"/>
      <c r="E103" s="261"/>
      <c r="F103" s="224" t="s">
        <v>1149</v>
      </c>
      <c r="G103" s="55"/>
      <c r="H103" s="174"/>
      <c r="I103" s="174" t="str">
        <f t="shared" si="22"/>
        <v>INDOWH</v>
      </c>
      <c r="J103" s="224">
        <f t="shared" si="32"/>
        <v>2030</v>
      </c>
      <c r="K103" s="81"/>
      <c r="L103" s="199">
        <f t="shared" ca="1" si="94"/>
        <v>0.9</v>
      </c>
      <c r="M103" s="199"/>
      <c r="N103" s="81"/>
      <c r="O103" s="723">
        <f t="shared" ca="1" si="95"/>
        <v>4.4022727272727282</v>
      </c>
      <c r="P103" s="723">
        <f t="shared" ca="1" si="96"/>
        <v>0.267455</v>
      </c>
      <c r="Q103" s="81">
        <f t="shared" ca="1" si="97"/>
        <v>5.8461805555555557</v>
      </c>
      <c r="R103" s="300"/>
      <c r="S103" s="300"/>
      <c r="T103" s="300"/>
      <c r="U103" s="300"/>
      <c r="V103" s="199">
        <f t="shared" ref="V103" ca="1" si="103">IF(IF(RIGHT(H102,2)="PH",(1-L103)+$W$2,IF(RIGHT(H102,2)="HT",(1-L103)+$W$1,IF(RIGHT(H102,2)="SH",(1-L103)+$W$3,"")))&gt;0,IF(RIGHT(H102,2)="PH",(1-L103)+$W$2,IF(RIGHT(H102,2)="HT",(1-L103)+$W$1,IF(RIGHT(H102,2)="SH",(1-L103)+$W$3,""))),0)</f>
        <v>0.3</v>
      </c>
      <c r="W103" s="298"/>
      <c r="X103" s="698">
        <f t="shared" ca="1" si="79"/>
        <v>11</v>
      </c>
      <c r="Y103" s="698">
        <f t="shared" ca="1" si="99"/>
        <v>49</v>
      </c>
      <c r="Z103" s="698">
        <f t="shared" ca="1" si="100"/>
        <v>8</v>
      </c>
      <c r="AA103" s="698">
        <f t="shared" ca="1" si="101"/>
        <v>3</v>
      </c>
      <c r="AB103" s="698">
        <f t="shared" ca="1" si="102"/>
        <v>10</v>
      </c>
      <c r="AC103" s="55"/>
      <c r="AD103" s="81">
        <v>2030</v>
      </c>
      <c r="AE103" s="81"/>
      <c r="AF103" s="700"/>
    </row>
    <row r="104" spans="2:32">
      <c r="B104" s="718" t="s">
        <v>1008</v>
      </c>
      <c r="C104" s="226"/>
      <c r="D104" s="261"/>
      <c r="E104" s="261"/>
      <c r="F104" s="224" t="s">
        <v>1149</v>
      </c>
      <c r="G104" s="55"/>
      <c r="H104" s="174"/>
      <c r="I104" s="174" t="str">
        <f t="shared" si="22"/>
        <v>INDOWH</v>
      </c>
      <c r="J104" s="224">
        <f t="shared" si="32"/>
        <v>2050</v>
      </c>
      <c r="K104" s="81"/>
      <c r="L104" s="199">
        <f t="shared" ca="1" si="94"/>
        <v>0.91</v>
      </c>
      <c r="M104" s="199"/>
      <c r="N104" s="81"/>
      <c r="O104" s="723">
        <f t="shared" ca="1" si="95"/>
        <v>3.9959090909090884</v>
      </c>
      <c r="P104" s="723">
        <f t="shared" ca="1" si="96"/>
        <v>0.25106499999999998</v>
      </c>
      <c r="Q104" s="81">
        <f t="shared" ca="1" si="97"/>
        <v>5.8937777777777782</v>
      </c>
      <c r="R104" s="300"/>
      <c r="S104" s="300"/>
      <c r="T104" s="300"/>
      <c r="U104" s="300"/>
      <c r="V104" s="199">
        <f t="shared" ref="V104" ca="1" si="104">IF(IF(RIGHT(H102,2)="PH",(1-L104)+$W$2,IF(RIGHT(H102,2)="HT",(1-L104)+$W$1,IF(RIGHT(H102,2)="SH",(1-L104)+$W$3,"")))&gt;0,IF(RIGHT(H102,2)="PH",(1-L104)+$W$2,IF(RIGHT(H102,2)="HT",(1-L104)+$W$1,IF(RIGHT(H102,2)="SH",(1-L104)+$W$3,""))),0)</f>
        <v>0.28999999999999998</v>
      </c>
      <c r="W104" s="298"/>
      <c r="X104" s="698">
        <f t="shared" ca="1" si="79"/>
        <v>11</v>
      </c>
      <c r="Y104" s="698">
        <f t="shared" ca="1" si="99"/>
        <v>41</v>
      </c>
      <c r="Z104" s="698">
        <f t="shared" ca="1" si="100"/>
        <v>4</v>
      </c>
      <c r="AA104" s="698">
        <f t="shared" ca="1" si="101"/>
        <v>1</v>
      </c>
      <c r="AB104" s="698">
        <f t="shared" ca="1" si="102"/>
        <v>10</v>
      </c>
      <c r="AC104" s="203"/>
      <c r="AD104" s="81">
        <v>2050</v>
      </c>
      <c r="AE104" s="81"/>
      <c r="AF104" s="705"/>
    </row>
    <row r="105" spans="2:32">
      <c r="B105" s="718" t="s">
        <v>1008</v>
      </c>
      <c r="C105" s="226"/>
      <c r="D105" s="261" t="str">
        <f>"IND"&amp;RIGHT(H105,4)&amp;RIGHT(G105,3)&amp;"N"&amp;RIGHT(E105,1)</f>
        <v>INDODSHWCHN3</v>
      </c>
      <c r="E105" s="261" t="str">
        <f>"Industrial heating technology "&amp;$AJ$12&amp;" "&amp;RIGHT(H105,2)&amp;" - Wood chip boiler (Hot Water) - new 3"</f>
        <v>Industrial heating technology Other SH - Wood chip boiler (Hot Water) - new 3</v>
      </c>
      <c r="F105" s="224" t="s">
        <v>1149</v>
      </c>
      <c r="G105" s="174" t="s">
        <v>498</v>
      </c>
      <c r="H105" s="174" t="str">
        <f>$AI$15</f>
        <v>IODSH</v>
      </c>
      <c r="I105" s="174" t="str">
        <f t="shared" si="22"/>
        <v>INDOWH</v>
      </c>
      <c r="J105" s="224">
        <f t="shared" si="32"/>
        <v>2011</v>
      </c>
      <c r="K105" s="299">
        <v>2025</v>
      </c>
      <c r="L105" s="199">
        <f t="shared" ca="1" si="94"/>
        <v>0.9</v>
      </c>
      <c r="M105" s="199"/>
      <c r="N105" s="81">
        <f ca="1">VLOOKUP($AD105,INDIRECT("'"&amp;$B105&amp;"'!"&amp;"$P$200:$AD$203"),5,FALSE)</f>
        <v>25</v>
      </c>
      <c r="O105" s="723">
        <f t="shared" ca="1" si="95"/>
        <v>4.6054545454545437</v>
      </c>
      <c r="P105" s="723">
        <f t="shared" ca="1" si="96"/>
        <v>0.25106499999999998</v>
      </c>
      <c r="Q105" s="81">
        <f t="shared" ca="1" si="97"/>
        <v>5.7509861111111107</v>
      </c>
      <c r="R105" s="81">
        <v>3.1536000000000002E-2</v>
      </c>
      <c r="S105" s="199">
        <v>0.5</v>
      </c>
      <c r="T105" s="199">
        <f ca="1">HLOOKUP($T$2,INDIRECT("'"&amp;$B105&amp;"'!"&amp;"$P$167:$AC$180"),IF(H105=$AI$13,6,IF(H105=$AI$14,9,14)),FALSE)</f>
        <v>1</v>
      </c>
      <c r="U105" s="773"/>
      <c r="V105" s="199">
        <f t="shared" ref="V105" ca="1" si="105">IF(IF(RIGHT(H105,2)="PH",(1-L105)+$W$2,IF(RIGHT(H105,2)="HT",(1-L105)+$W$1,IF(RIGHT(H105,2)="SH",(1-L105)+$W$3,"")))&gt;0,IF(RIGHT(H105,2)="PH",(1-L105)+$W$2,IF(RIGHT(H105,2)="HT",(1-L105)+$W$1,IF(RIGHT(H105,2)="SH",(1-L105)+$W$3,""))),0)</f>
        <v>9.9999999999999978E-2</v>
      </c>
      <c r="W105" s="709"/>
      <c r="X105" s="698">
        <f t="shared" ca="1" si="79"/>
        <v>11</v>
      </c>
      <c r="Y105" s="698">
        <f t="shared" ca="1" si="99"/>
        <v>63</v>
      </c>
      <c r="Z105" s="698">
        <f t="shared" ca="1" si="100"/>
        <v>11</v>
      </c>
      <c r="AA105" s="698">
        <f t="shared" ca="1" si="101"/>
        <v>3</v>
      </c>
      <c r="AB105" s="698">
        <f t="shared" ca="1" si="102"/>
        <v>10</v>
      </c>
      <c r="AC105" s="296"/>
      <c r="AD105" s="81">
        <v>2020</v>
      </c>
      <c r="AE105" s="81"/>
      <c r="AF105" s="710"/>
    </row>
    <row r="106" spans="2:32">
      <c r="B106" s="718" t="s">
        <v>1008</v>
      </c>
      <c r="C106" s="226"/>
      <c r="D106" s="261"/>
      <c r="E106" s="261"/>
      <c r="F106" s="224" t="s">
        <v>1149</v>
      </c>
      <c r="G106" s="55"/>
      <c r="H106" s="174"/>
      <c r="I106" s="174" t="str">
        <f t="shared" si="22"/>
        <v>INDOWH</v>
      </c>
      <c r="J106" s="224">
        <f t="shared" si="32"/>
        <v>2030</v>
      </c>
      <c r="K106" s="81"/>
      <c r="L106" s="199">
        <f t="shared" ca="1" si="94"/>
        <v>0.9</v>
      </c>
      <c r="M106" s="199"/>
      <c r="N106" s="81"/>
      <c r="O106" s="723">
        <f t="shared" ca="1" si="95"/>
        <v>4.4022727272727282</v>
      </c>
      <c r="P106" s="723">
        <f t="shared" ca="1" si="96"/>
        <v>0.267455</v>
      </c>
      <c r="Q106" s="81">
        <f t="shared" ca="1" si="97"/>
        <v>5.8461805555555557</v>
      </c>
      <c r="R106" s="300"/>
      <c r="S106" s="300"/>
      <c r="T106" s="300"/>
      <c r="U106" s="300"/>
      <c r="V106" s="199">
        <f t="shared" ref="V106" ca="1" si="106">IF(IF(RIGHT(H105,2)="PH",(1-L106)+$W$2,IF(RIGHT(H105,2)="HT",(1-L106)+$W$1,IF(RIGHT(H105,2)="SH",(1-L106)+$W$3,"")))&gt;0,IF(RIGHT(H105,2)="PH",(1-L106)+$W$2,IF(RIGHT(H105,2)="HT",(1-L106)+$W$1,IF(RIGHT(H105,2)="SH",(1-L106)+$W$3,""))),0)</f>
        <v>9.9999999999999978E-2</v>
      </c>
      <c r="W106" s="298"/>
      <c r="X106" s="698">
        <f t="shared" ca="1" si="79"/>
        <v>11</v>
      </c>
      <c r="Y106" s="698">
        <f t="shared" ca="1" si="99"/>
        <v>49</v>
      </c>
      <c r="Z106" s="698">
        <f t="shared" ca="1" si="100"/>
        <v>8</v>
      </c>
      <c r="AA106" s="698">
        <f t="shared" ca="1" si="101"/>
        <v>3</v>
      </c>
      <c r="AB106" s="698">
        <f t="shared" ca="1" si="102"/>
        <v>10</v>
      </c>
      <c r="AC106" s="55"/>
      <c r="AD106" s="81">
        <v>2030</v>
      </c>
      <c r="AE106" s="81"/>
      <c r="AF106" s="700"/>
    </row>
    <row r="107" spans="2:32">
      <c r="B107" s="719" t="s">
        <v>1008</v>
      </c>
      <c r="C107" s="713"/>
      <c r="D107" s="701"/>
      <c r="E107" s="701"/>
      <c r="F107" s="224" t="s">
        <v>1149</v>
      </c>
      <c r="G107" s="203"/>
      <c r="H107" s="702"/>
      <c r="I107" s="702" t="str">
        <f t="shared" si="22"/>
        <v>INDOWH</v>
      </c>
      <c r="J107" s="224">
        <f t="shared" si="32"/>
        <v>2050</v>
      </c>
      <c r="K107" s="81"/>
      <c r="L107" s="199">
        <f t="shared" ca="1" si="94"/>
        <v>0.91</v>
      </c>
      <c r="M107" s="199"/>
      <c r="N107" s="81"/>
      <c r="O107" s="723">
        <f t="shared" ca="1" si="95"/>
        <v>3.9959090909090884</v>
      </c>
      <c r="P107" s="723">
        <f t="shared" ca="1" si="96"/>
        <v>0.25106499999999998</v>
      </c>
      <c r="Q107" s="81">
        <f t="shared" ca="1" si="97"/>
        <v>5.8937777777777782</v>
      </c>
      <c r="R107" s="300"/>
      <c r="S107" s="300"/>
      <c r="T107" s="300"/>
      <c r="U107" s="300"/>
      <c r="V107" s="199">
        <f t="shared" ref="V107" ca="1" si="107">IF(IF(RIGHT(H105,2)="PH",(1-L107)+$W$2,IF(RIGHT(H105,2)="HT",(1-L107)+$W$1,IF(RIGHT(H105,2)="SH",(1-L107)+$W$3,"")))&gt;0,IF(RIGHT(H105,2)="PH",(1-L107)+$W$2,IF(RIGHT(H105,2)="HT",(1-L107)+$W$1,IF(RIGHT(H105,2)="SH",(1-L107)+$W$3,""))),0)</f>
        <v>8.9999999999999969E-2</v>
      </c>
      <c r="W107" s="298"/>
      <c r="X107" s="698">
        <f t="shared" ca="1" si="79"/>
        <v>11</v>
      </c>
      <c r="Y107" s="698">
        <f t="shared" ca="1" si="99"/>
        <v>41</v>
      </c>
      <c r="Z107" s="698">
        <f t="shared" ca="1" si="100"/>
        <v>4</v>
      </c>
      <c r="AA107" s="698">
        <f t="shared" ca="1" si="101"/>
        <v>1</v>
      </c>
      <c r="AB107" s="698">
        <f t="shared" ca="1" si="102"/>
        <v>10</v>
      </c>
      <c r="AC107" s="55"/>
      <c r="AD107" s="81">
        <v>2050</v>
      </c>
      <c r="AE107" s="81"/>
      <c r="AF107" s="700"/>
    </row>
    <row r="108" spans="2:32">
      <c r="B108" s="717" t="s">
        <v>1008</v>
      </c>
      <c r="C108" s="712"/>
      <c r="D108" s="707" t="str">
        <f>"IND"&amp;RIGHT(H108,4)&amp;RIGHT(G108,3)&amp;"N"&amp;RIGHT(E108,1)</f>
        <v>INDODPHWCHN4</v>
      </c>
      <c r="E108" s="707" t="str">
        <f>"Industrial heating technology "&amp;$AJ$12&amp;" "&amp;RIGHT(H108,2)&amp;" - Wood chip boiler (Hot Water - condensing) - new 4"</f>
        <v>Industrial heating technology Other PH - Wood chip boiler (Hot Water - condensing) - new 4</v>
      </c>
      <c r="F108" s="224" t="s">
        <v>1149</v>
      </c>
      <c r="G108" s="708" t="s">
        <v>498</v>
      </c>
      <c r="H108" s="708" t="str">
        <f>$AI$14</f>
        <v>IODPH</v>
      </c>
      <c r="I108" s="708" t="str">
        <f t="shared" si="22"/>
        <v>INDOWH</v>
      </c>
      <c r="J108" s="224">
        <f t="shared" si="32"/>
        <v>2011</v>
      </c>
      <c r="K108" s="299">
        <v>2025</v>
      </c>
      <c r="L108" s="199">
        <f t="shared" ref="L108:L113" ca="1" si="108">VLOOKUP($AD108,INDIRECT("'"&amp;$B108&amp;"'!"&amp;"$P$279:$AD$282"),3,FALSE)</f>
        <v>1.1618960947726835</v>
      </c>
      <c r="M108" s="199"/>
      <c r="N108" s="81">
        <f ca="1">VLOOKUP($AD108,INDIRECT("'"&amp;$B108&amp;"'!"&amp;"$P$279:$AD$282"),5,FALSE)</f>
        <v>25</v>
      </c>
      <c r="O108" s="723">
        <f t="shared" ref="O108:O113" ca="1" si="109">VLOOKUP($AD108,INDIRECT("'"&amp;$B108&amp;"'!"&amp;"$P$279:$AD$282"),6,FALSE)/1000</f>
        <v>5.0660000000000007</v>
      </c>
      <c r="P108" s="723">
        <f t="shared" ref="P108:P113" ca="1" si="110">VLOOKUP($AD108,INDIRECT("'"&amp;$B108&amp;"'!"&amp;"$P$279:$AD$282"),7,FALSE)/1000</f>
        <v>0.27564999999999995</v>
      </c>
      <c r="Q108" s="81">
        <f t="shared" ref="Q108:Q113" ca="1" si="111">VLOOKUP($AD108,INDIRECT("'"&amp;$B108&amp;"'!"&amp;"$P$279:$AD$282"),8,FALSE)</f>
        <v>5.7509861111111107</v>
      </c>
      <c r="R108" s="81">
        <v>3.1536000000000002E-2</v>
      </c>
      <c r="S108" s="199">
        <v>0.5</v>
      </c>
      <c r="T108" s="199">
        <f ca="1">HLOOKUP($T$2,INDIRECT("'"&amp;$B108&amp;"'!"&amp;"$P$246:$AC$259"),IF(H108=$AI$13,6,IF(H108=$AI$14,9,14)),FALSE)</f>
        <v>0</v>
      </c>
      <c r="U108" s="773"/>
      <c r="V108" s="199">
        <f t="shared" ref="V108" ca="1" si="112">IF(IF(RIGHT(H108,2)="PH",(1-L108)+$W$2,IF(RIGHT(H108,2)="HT",(1-L108)+$W$1,IF(RIGHT(H108,2)="SH",(1-L108)+$W$3,"")))&gt;0,IF(RIGHT(H108,2)="PH",(1-L108)+$W$2,IF(RIGHT(H108,2)="HT",(1-L108)+$W$1,IF(RIGHT(H108,2)="SH",(1-L108)+$W$3,""))),0)</f>
        <v>3.8103905227316492E-2</v>
      </c>
      <c r="W108" s="709"/>
      <c r="X108" s="698">
        <f t="shared" ca="1" si="79"/>
        <v>11</v>
      </c>
      <c r="Y108" s="698">
        <f t="shared" ref="Y108:Y113" ca="1" si="113">VLOOKUP($AD108,INDIRECT("'"&amp;$B108&amp;"'!"&amp;"$P$279:$AD$282"),12,FALSE)</f>
        <v>63</v>
      </c>
      <c r="Z108" s="698">
        <f t="shared" ref="Z108:Z113" ca="1" si="114">VLOOKUP($AD108,INDIRECT("'"&amp;$B108&amp;"'!"&amp;"$P$279:$AD$282"),13,FALSE)</f>
        <v>11</v>
      </c>
      <c r="AA108" s="698">
        <f t="shared" ref="AA108:AA113" ca="1" si="115">VLOOKUP($AD108,INDIRECT("'"&amp;$B108&amp;"'!"&amp;"$P$279:$AD$282"),14,FALSE)</f>
        <v>3</v>
      </c>
      <c r="AB108" s="698">
        <f t="shared" ref="AB108:AB113" ca="1" si="116">VLOOKUP($AD108,INDIRECT("'"&amp;$B108&amp;"'!"&amp;"$P$279:$AD$282"),15,FALSE)</f>
        <v>10</v>
      </c>
      <c r="AC108" s="55"/>
      <c r="AD108" s="81">
        <v>2020</v>
      </c>
      <c r="AE108" s="81"/>
      <c r="AF108" s="700"/>
    </row>
    <row r="109" spans="2:32">
      <c r="B109" s="718" t="s">
        <v>1008</v>
      </c>
      <c r="C109" s="226"/>
      <c r="D109" s="261"/>
      <c r="E109" s="261"/>
      <c r="F109" s="224" t="s">
        <v>1149</v>
      </c>
      <c r="G109" s="55"/>
      <c r="H109" s="174"/>
      <c r="I109" s="174" t="str">
        <f t="shared" si="22"/>
        <v>INDOWH</v>
      </c>
      <c r="J109" s="224">
        <f t="shared" si="32"/>
        <v>2030</v>
      </c>
      <c r="K109" s="81"/>
      <c r="L109" s="199">
        <f t="shared" ca="1" si="108"/>
        <v>1.1618960947726835</v>
      </c>
      <c r="M109" s="199"/>
      <c r="N109" s="81"/>
      <c r="O109" s="723">
        <f t="shared" ca="1" si="109"/>
        <v>4.8425000000000002</v>
      </c>
      <c r="P109" s="723">
        <f t="shared" ca="1" si="110"/>
        <v>0.267455</v>
      </c>
      <c r="Q109" s="81">
        <f t="shared" ca="1" si="111"/>
        <v>5.8461805555555557</v>
      </c>
      <c r="R109" s="300"/>
      <c r="S109" s="300"/>
      <c r="T109" s="300"/>
      <c r="U109" s="300"/>
      <c r="V109" s="199">
        <f t="shared" ref="V109" ca="1" si="117">IF(IF(RIGHT(H108,2)="PH",(1-L109)+$W$2,IF(RIGHT(H108,2)="HT",(1-L109)+$W$1,IF(RIGHT(H108,2)="SH",(1-L109)+$W$3,"")))&gt;0,IF(RIGHT(H108,2)="PH",(1-L109)+$W$2,IF(RIGHT(H108,2)="HT",(1-L109)+$W$1,IF(RIGHT(H108,2)="SH",(1-L109)+$W$3,""))),0)</f>
        <v>3.8103905227316492E-2</v>
      </c>
      <c r="W109" s="298"/>
      <c r="X109" s="698">
        <f t="shared" ca="1" si="79"/>
        <v>11</v>
      </c>
      <c r="Y109" s="698">
        <f t="shared" ca="1" si="113"/>
        <v>49</v>
      </c>
      <c r="Z109" s="698">
        <f t="shared" ca="1" si="114"/>
        <v>8</v>
      </c>
      <c r="AA109" s="698">
        <f t="shared" ca="1" si="115"/>
        <v>3</v>
      </c>
      <c r="AB109" s="698">
        <f t="shared" ca="1" si="116"/>
        <v>10</v>
      </c>
      <c r="AC109" s="55"/>
      <c r="AD109" s="81">
        <v>2030</v>
      </c>
      <c r="AE109" s="81"/>
      <c r="AF109" s="700"/>
    </row>
    <row r="110" spans="2:32">
      <c r="B110" s="718" t="s">
        <v>1008</v>
      </c>
      <c r="C110" s="226"/>
      <c r="D110" s="261"/>
      <c r="E110" s="261"/>
      <c r="F110" s="224" t="s">
        <v>1149</v>
      </c>
      <c r="G110" s="55"/>
      <c r="H110" s="174"/>
      <c r="I110" s="174" t="str">
        <f t="shared" si="22"/>
        <v>INDOWH</v>
      </c>
      <c r="J110" s="224">
        <f t="shared" si="32"/>
        <v>2050</v>
      </c>
      <c r="K110" s="81"/>
      <c r="L110" s="199">
        <f t="shared" ca="1" si="108"/>
        <v>1.1618960947726835</v>
      </c>
      <c r="M110" s="199"/>
      <c r="N110" s="81"/>
      <c r="O110" s="723">
        <f t="shared" ca="1" si="109"/>
        <v>4.3955000000000002</v>
      </c>
      <c r="P110" s="723">
        <f t="shared" ca="1" si="110"/>
        <v>0.25106499999999998</v>
      </c>
      <c r="Q110" s="81">
        <f t="shared" ca="1" si="111"/>
        <v>5.8937777777777782</v>
      </c>
      <c r="R110" s="300"/>
      <c r="S110" s="300"/>
      <c r="T110" s="300"/>
      <c r="U110" s="300"/>
      <c r="V110" s="199">
        <f t="shared" ref="V110" ca="1" si="118">IF(IF(RIGHT(H108,2)="PH",(1-L110)+$W$2,IF(RIGHT(H108,2)="HT",(1-L110)+$W$1,IF(RIGHT(H108,2)="SH",(1-L110)+$W$3,"")))&gt;0,IF(RIGHT(H108,2)="PH",(1-L110)+$W$2,IF(RIGHT(H108,2)="HT",(1-L110)+$W$1,IF(RIGHT(H108,2)="SH",(1-L110)+$W$3,""))),0)</f>
        <v>3.8103905227316492E-2</v>
      </c>
      <c r="W110" s="298"/>
      <c r="X110" s="698">
        <f t="shared" ca="1" si="79"/>
        <v>11</v>
      </c>
      <c r="Y110" s="698">
        <f t="shared" ca="1" si="113"/>
        <v>41</v>
      </c>
      <c r="Z110" s="698">
        <f t="shared" ca="1" si="114"/>
        <v>4</v>
      </c>
      <c r="AA110" s="698">
        <f t="shared" ca="1" si="115"/>
        <v>1</v>
      </c>
      <c r="AB110" s="698">
        <f t="shared" ca="1" si="116"/>
        <v>10</v>
      </c>
      <c r="AC110" s="203"/>
      <c r="AD110" s="81">
        <v>2050</v>
      </c>
      <c r="AE110" s="81"/>
      <c r="AF110" s="705"/>
    </row>
    <row r="111" spans="2:32">
      <c r="B111" s="718" t="s">
        <v>1008</v>
      </c>
      <c r="C111" s="226"/>
      <c r="D111" s="261" t="str">
        <f>"IND"&amp;RIGHT(H111,4)&amp;RIGHT(G111,3)&amp;"N"&amp;RIGHT(E111,1)</f>
        <v>INDODSHWCHN4</v>
      </c>
      <c r="E111" s="261" t="str">
        <f>"Industrial heating technology "&amp;$AJ$12&amp;" "&amp;RIGHT(H111,2)&amp;" - Wood chip boiler (Hot Water- condensing) - new 4"</f>
        <v>Industrial heating technology Other SH - Wood chip boiler (Hot Water- condensing) - new 4</v>
      </c>
      <c r="F111" s="224" t="s">
        <v>1149</v>
      </c>
      <c r="G111" s="174" t="s">
        <v>498</v>
      </c>
      <c r="H111" s="174" t="str">
        <f>$AI$15</f>
        <v>IODSH</v>
      </c>
      <c r="I111" s="174" t="str">
        <f t="shared" si="22"/>
        <v>INDOWH</v>
      </c>
      <c r="J111" s="224">
        <f t="shared" si="32"/>
        <v>2011</v>
      </c>
      <c r="K111" s="299">
        <v>2025</v>
      </c>
      <c r="L111" s="199">
        <f t="shared" ca="1" si="108"/>
        <v>1.1618960947726835</v>
      </c>
      <c r="M111" s="199"/>
      <c r="N111" s="81">
        <f ca="1">VLOOKUP($AD111,INDIRECT("'"&amp;$B111&amp;"'!"&amp;"$P$279:$AD$282"),5,FALSE)</f>
        <v>25</v>
      </c>
      <c r="O111" s="723">
        <f t="shared" ca="1" si="109"/>
        <v>5.0660000000000007</v>
      </c>
      <c r="P111" s="723">
        <f t="shared" ca="1" si="110"/>
        <v>0.27564999999999995</v>
      </c>
      <c r="Q111" s="81">
        <f t="shared" ca="1" si="111"/>
        <v>5.7509861111111107</v>
      </c>
      <c r="R111" s="81">
        <v>3.1536000000000002E-2</v>
      </c>
      <c r="S111" s="199">
        <v>0.5</v>
      </c>
      <c r="T111" s="199">
        <f ca="1">HLOOKUP($T$2,INDIRECT("'"&amp;$B111&amp;"'!"&amp;"$P$246:$AC$259"),IF(H111=$AI$13,6,IF(H111=$AI$14,9,14)),FALSE)</f>
        <v>0</v>
      </c>
      <c r="U111" s="773"/>
      <c r="V111" s="199">
        <f t="shared" ref="V111" ca="1" si="119">IF(IF(RIGHT(H111,2)="PH",(1-L111)+$W$2,IF(RIGHT(H111,2)="HT",(1-L111)+$W$1,IF(RIGHT(H111,2)="SH",(1-L111)+$W$3,"")))&gt;0,IF(RIGHT(H111,2)="PH",(1-L111)+$W$2,IF(RIGHT(H111,2)="HT",(1-L111)+$W$1,IF(RIGHT(H111,2)="SH",(1-L111)+$W$3,""))),0)</f>
        <v>0</v>
      </c>
      <c r="W111" s="709"/>
      <c r="X111" s="698">
        <f t="shared" ca="1" si="79"/>
        <v>11</v>
      </c>
      <c r="Y111" s="698">
        <f t="shared" ca="1" si="113"/>
        <v>63</v>
      </c>
      <c r="Z111" s="698">
        <f t="shared" ca="1" si="114"/>
        <v>11</v>
      </c>
      <c r="AA111" s="698">
        <f t="shared" ca="1" si="115"/>
        <v>3</v>
      </c>
      <c r="AB111" s="698">
        <f t="shared" ca="1" si="116"/>
        <v>10</v>
      </c>
      <c r="AD111" s="81">
        <v>2020</v>
      </c>
      <c r="AE111" s="81"/>
      <c r="AF111" s="220"/>
    </row>
    <row r="112" spans="2:32">
      <c r="B112" s="718" t="s">
        <v>1008</v>
      </c>
      <c r="C112" s="226"/>
      <c r="D112" s="261"/>
      <c r="E112" s="261"/>
      <c r="F112" s="224" t="s">
        <v>1149</v>
      </c>
      <c r="G112" s="55"/>
      <c r="H112" s="174"/>
      <c r="I112" s="174" t="str">
        <f t="shared" si="22"/>
        <v>INDOWH</v>
      </c>
      <c r="J112" s="224">
        <f t="shared" si="32"/>
        <v>2030</v>
      </c>
      <c r="K112" s="81"/>
      <c r="L112" s="199">
        <f t="shared" ca="1" si="108"/>
        <v>1.1618960947726835</v>
      </c>
      <c r="M112" s="199"/>
      <c r="N112" s="81"/>
      <c r="O112" s="723">
        <f t="shared" ca="1" si="109"/>
        <v>4.8425000000000002</v>
      </c>
      <c r="P112" s="723">
        <f t="shared" ca="1" si="110"/>
        <v>0.267455</v>
      </c>
      <c r="Q112" s="81">
        <f t="shared" ca="1" si="111"/>
        <v>5.8461805555555557</v>
      </c>
      <c r="R112" s="300"/>
      <c r="S112" s="300"/>
      <c r="T112" s="300"/>
      <c r="U112" s="300"/>
      <c r="V112" s="199">
        <f t="shared" ref="V112" ca="1" si="120">IF(IF(RIGHT(H111,2)="PH",(1-L112)+$W$2,IF(RIGHT(H111,2)="HT",(1-L112)+$W$1,IF(RIGHT(H111,2)="SH",(1-L112)+$W$3,"")))&gt;0,IF(RIGHT(H111,2)="PH",(1-L112)+$W$2,IF(RIGHT(H111,2)="HT",(1-L112)+$W$1,IF(RIGHT(H111,2)="SH",(1-L112)+$W$3,""))),0)</f>
        <v>0</v>
      </c>
      <c r="W112" s="298"/>
      <c r="X112" s="698">
        <f t="shared" ca="1" si="79"/>
        <v>11</v>
      </c>
      <c r="Y112" s="698">
        <f t="shared" ca="1" si="113"/>
        <v>49</v>
      </c>
      <c r="Z112" s="698">
        <f t="shared" ca="1" si="114"/>
        <v>8</v>
      </c>
      <c r="AA112" s="698">
        <f t="shared" ca="1" si="115"/>
        <v>3</v>
      </c>
      <c r="AB112" s="698">
        <f t="shared" ca="1" si="116"/>
        <v>10</v>
      </c>
      <c r="AD112" s="81">
        <v>2030</v>
      </c>
      <c r="AE112" s="81"/>
      <c r="AF112" s="220"/>
    </row>
    <row r="113" spans="2:32">
      <c r="B113" s="719" t="s">
        <v>1008</v>
      </c>
      <c r="C113" s="713"/>
      <c r="D113" s="701"/>
      <c r="E113" s="701"/>
      <c r="F113" s="224" t="s">
        <v>1149</v>
      </c>
      <c r="G113" s="203"/>
      <c r="H113" s="702"/>
      <c r="I113" s="702" t="str">
        <f t="shared" si="22"/>
        <v>INDOWH</v>
      </c>
      <c r="J113" s="224">
        <f t="shared" si="32"/>
        <v>2050</v>
      </c>
      <c r="K113" s="81"/>
      <c r="L113" s="199">
        <f t="shared" ca="1" si="108"/>
        <v>1.1618960947726835</v>
      </c>
      <c r="M113" s="199"/>
      <c r="N113" s="81"/>
      <c r="O113" s="723">
        <f t="shared" ca="1" si="109"/>
        <v>4.3955000000000002</v>
      </c>
      <c r="P113" s="723">
        <f t="shared" ca="1" si="110"/>
        <v>0.25106499999999998</v>
      </c>
      <c r="Q113" s="81">
        <f t="shared" ca="1" si="111"/>
        <v>5.8937777777777782</v>
      </c>
      <c r="R113" s="300"/>
      <c r="S113" s="300"/>
      <c r="T113" s="300"/>
      <c r="U113" s="300"/>
      <c r="V113" s="199">
        <f t="shared" ref="V113" ca="1" si="121">IF(IF(RIGHT(H111,2)="PH",(1-L113)+$W$2,IF(RIGHT(H111,2)="HT",(1-L113)+$W$1,IF(RIGHT(H111,2)="SH",(1-L113)+$W$3,"")))&gt;0,IF(RIGHT(H111,2)="PH",(1-L113)+$W$2,IF(RIGHT(H111,2)="HT",(1-L113)+$W$1,IF(RIGHT(H111,2)="SH",(1-L113)+$W$3,""))),0)</f>
        <v>0</v>
      </c>
      <c r="W113" s="714"/>
      <c r="X113" s="698">
        <f t="shared" ca="1" si="79"/>
        <v>11</v>
      </c>
      <c r="Y113" s="698">
        <f t="shared" ca="1" si="113"/>
        <v>41</v>
      </c>
      <c r="Z113" s="698">
        <f t="shared" ca="1" si="114"/>
        <v>4</v>
      </c>
      <c r="AA113" s="698">
        <f t="shared" ca="1" si="115"/>
        <v>1</v>
      </c>
      <c r="AB113" s="698">
        <f t="shared" ca="1" si="116"/>
        <v>10</v>
      </c>
      <c r="AD113" s="81">
        <v>2050</v>
      </c>
      <c r="AE113" s="81"/>
      <c r="AF113" s="220"/>
    </row>
    <row r="114" spans="2:32">
      <c r="B114" s="718" t="s">
        <v>1014</v>
      </c>
      <c r="C114" s="226"/>
      <c r="D114" s="212" t="str">
        <f>"IND"&amp;RIGHT(H114,4)&amp;RIGHT(G114,3)&amp;"N"&amp;RIGHT(E114,2)</f>
        <v>INDODPHELCN10</v>
      </c>
      <c r="E114" s="261" t="str">
        <f>"Industrial heating technology "&amp;$AJ$12&amp;" "&amp;RIGHT(H114,2)&amp;" - Direct electric heating - new 10"</f>
        <v>Industrial heating technology Other PH - Direct electric heating - new 10</v>
      </c>
      <c r="F114" s="224" t="s">
        <v>1149</v>
      </c>
      <c r="G114" s="173" t="s">
        <v>499</v>
      </c>
      <c r="H114" s="174" t="str">
        <f>$AI$13</f>
        <v>IODPH</v>
      </c>
      <c r="I114" s="174" t="str">
        <f t="shared" si="22"/>
        <v>INDOWH</v>
      </c>
      <c r="J114" s="224">
        <f t="shared" si="32"/>
        <v>2011</v>
      </c>
      <c r="K114" s="299">
        <v>2020</v>
      </c>
      <c r="L114" s="199">
        <f t="shared" ref="L114:L128" ca="1" si="122">VLOOKUP($AD114,INDIRECT("'"&amp;$B114&amp;"'!"&amp;"$P$39:$AD$42"),3,FALSE)</f>
        <v>1</v>
      </c>
      <c r="M114" s="199"/>
      <c r="N114" s="81">
        <f ca="1">VLOOKUP($AD114,INDIRECT("'"&amp;$B114&amp;"'!"&amp;"$P$39:$AD$42"),5,FALSE)</f>
        <v>12.5</v>
      </c>
      <c r="O114" s="723">
        <f t="shared" ref="O114:O128" ca="1" si="123">VLOOKUP($AD114,INDIRECT("'"&amp;$B114&amp;"'!"&amp;"$P$39:$AD$42"),6,FALSE)/1000</f>
        <v>0.44700000000000001</v>
      </c>
      <c r="P114" s="723">
        <f t="shared" ref="P114:P128" ca="1" si="124">VLOOKUP($AD114,INDIRECT("'"&amp;$B114&amp;"'!"&amp;"$P$39:$AD$42"),7,FALSE)/1000</f>
        <v>0</v>
      </c>
      <c r="Q114" s="81">
        <f t="shared" ref="Q114:Q128" ca="1" si="125">VLOOKUP($AD114,INDIRECT("'"&amp;$B114&amp;"'!"&amp;"$P$39:$AD$42"),8,FALSE)</f>
        <v>0.37767361111111114</v>
      </c>
      <c r="R114" s="81">
        <v>3.1536000000000002E-2</v>
      </c>
      <c r="S114" s="199">
        <v>0.5</v>
      </c>
      <c r="T114" s="199">
        <f ca="1">HLOOKUP($S$2,INDIRECT("'"&amp;$B114&amp;"'!"&amp;"$P$6:$AC$19"),IF(H114=$AI$13,6,IF(H114=$AI$14,9,14)),FALSE)</f>
        <v>1</v>
      </c>
      <c r="U114" s="772"/>
      <c r="V114" s="199">
        <f t="shared" ref="V114" ca="1" si="126">IF(IF(RIGHT(H114,2)="PH",(1-L114)+$W$2,IF(RIGHT(H114,2)="HT",(1-L114)+$W$1,IF(RIGHT(H114,2)="SH",(1-L114)+$W$3,"")))&gt;0,IF(RIGHT(H114,2)="PH",(1-L114)+$W$2,IF(RIGHT(H114,2)="HT",(1-L114)+$W$1,IF(RIGHT(H114,2)="SH",(1-L114)+$W$3,""))),0)</f>
        <v>0.2</v>
      </c>
      <c r="W114" s="298"/>
      <c r="X114" s="698">
        <f t="shared" ca="1" si="79"/>
        <v>0</v>
      </c>
      <c r="Y114" s="81">
        <f t="shared" ref="Y114:Y128" ca="1" si="127">VLOOKUP($AD114,INDIRECT("'"&amp;$B114&amp;"'!"&amp;"$P$39:$AD$42"),12,FALSE)</f>
        <v>0</v>
      </c>
      <c r="Z114" s="81">
        <f t="shared" ref="Z114:Z128" ca="1" si="128">VLOOKUP($AD114,INDIRECT("'"&amp;$B114&amp;"'!"&amp;"$P$39:$AD$42"),13,FALSE)</f>
        <v>0</v>
      </c>
      <c r="AA114" s="81">
        <f t="shared" ref="AA114:AA128" ca="1" si="129">VLOOKUP($AD114,INDIRECT("'"&amp;$B114&amp;"'!"&amp;"$P$39:$AD$42"),14,FALSE)</f>
        <v>0</v>
      </c>
      <c r="AB114" s="81">
        <f t="shared" ref="AB114:AB128" ca="1" si="130">VLOOKUP($AD114,INDIRECT("'"&amp;$B114&amp;"'!"&amp;"$P$39:$AD$42"),15,FALSE)</f>
        <v>0</v>
      </c>
      <c r="AD114" s="81">
        <v>2020</v>
      </c>
      <c r="AE114" s="81"/>
      <c r="AF114" s="220"/>
    </row>
    <row r="115" spans="2:32">
      <c r="B115" s="718" t="s">
        <v>1014</v>
      </c>
      <c r="C115" s="226"/>
      <c r="D115" s="212"/>
      <c r="E115" s="212"/>
      <c r="F115" s="224" t="s">
        <v>1149</v>
      </c>
      <c r="H115" s="174"/>
      <c r="I115" s="174" t="str">
        <f t="shared" si="22"/>
        <v>INDOWH</v>
      </c>
      <c r="J115" s="224">
        <f t="shared" si="32"/>
        <v>2030</v>
      </c>
      <c r="K115" s="81"/>
      <c r="L115" s="199">
        <f t="shared" ca="1" si="122"/>
        <v>1</v>
      </c>
      <c r="M115" s="199"/>
      <c r="N115" s="81"/>
      <c r="O115" s="723">
        <f t="shared" ca="1" si="123"/>
        <v>0.44700000000000001</v>
      </c>
      <c r="P115" s="723">
        <f t="shared" ca="1" si="124"/>
        <v>0</v>
      </c>
      <c r="Q115" s="81">
        <f t="shared" ca="1" si="125"/>
        <v>0.38802083333333331</v>
      </c>
      <c r="R115" s="300"/>
      <c r="S115" s="300"/>
      <c r="T115" s="300"/>
      <c r="U115" s="300"/>
      <c r="V115" s="199">
        <f t="shared" ref="V115" ca="1" si="131">IF(IF(RIGHT(H114,2)="PH",(1-L115)+$W$2,IF(RIGHT(H114,2)="HT",(1-L115)+$W$1,IF(RIGHT(H114,2)="SH",(1-L115)+$W$3,"")))&gt;0,IF(RIGHT(H114,2)="PH",(1-L115)+$W$2,IF(RIGHT(H114,2)="HT",(1-L115)+$W$1,IF(RIGHT(H114,2)="SH",(1-L115)+$W$3,""))),0)</f>
        <v>0.2</v>
      </c>
      <c r="W115" s="298"/>
      <c r="X115" s="698">
        <f t="shared" ca="1" si="79"/>
        <v>0</v>
      </c>
      <c r="Y115" s="81">
        <f t="shared" ca="1" si="127"/>
        <v>0</v>
      </c>
      <c r="Z115" s="81">
        <f t="shared" ca="1" si="128"/>
        <v>0</v>
      </c>
      <c r="AA115" s="81">
        <f t="shared" ca="1" si="129"/>
        <v>0</v>
      </c>
      <c r="AB115" s="81">
        <f t="shared" ca="1" si="130"/>
        <v>0</v>
      </c>
      <c r="AD115" s="81">
        <v>2030</v>
      </c>
      <c r="AE115" s="81"/>
      <c r="AF115" s="220"/>
    </row>
    <row r="116" spans="2:32">
      <c r="B116" s="718" t="s">
        <v>1014</v>
      </c>
      <c r="C116" s="226"/>
      <c r="D116" s="212"/>
      <c r="E116" s="212"/>
      <c r="F116" s="224" t="s">
        <v>1149</v>
      </c>
      <c r="H116" s="174"/>
      <c r="I116" s="174" t="str">
        <f t="shared" si="22"/>
        <v>INDOWH</v>
      </c>
      <c r="J116" s="224">
        <f t="shared" si="32"/>
        <v>2050</v>
      </c>
      <c r="K116" s="81"/>
      <c r="L116" s="199">
        <f t="shared" ca="1" si="122"/>
        <v>1</v>
      </c>
      <c r="M116" s="199"/>
      <c r="N116" s="81"/>
      <c r="O116" s="723">
        <f t="shared" ca="1" si="123"/>
        <v>0.44700000000000001</v>
      </c>
      <c r="P116" s="723">
        <f t="shared" ca="1" si="124"/>
        <v>0</v>
      </c>
      <c r="Q116" s="81">
        <f t="shared" ca="1" si="125"/>
        <v>0.39319444444444446</v>
      </c>
      <c r="R116" s="300"/>
      <c r="S116" s="300"/>
      <c r="T116" s="300"/>
      <c r="U116" s="300"/>
      <c r="V116" s="199">
        <f t="shared" ref="V116" ca="1" si="132">IF(IF(RIGHT(H114,2)="PH",(1-L116)+$W$2,IF(RIGHT(H114,2)="HT",(1-L116)+$W$1,IF(RIGHT(H114,2)="SH",(1-L116)+$W$3,"")))&gt;0,IF(RIGHT(H114,2)="PH",(1-L116)+$W$2,IF(RIGHT(H114,2)="HT",(1-L116)+$W$1,IF(RIGHT(H114,2)="SH",(1-L116)+$W$3,""))),0)</f>
        <v>0.2</v>
      </c>
      <c r="W116" s="298"/>
      <c r="X116" s="698">
        <f t="shared" ca="1" si="79"/>
        <v>0</v>
      </c>
      <c r="Y116" s="81">
        <f t="shared" ca="1" si="127"/>
        <v>0</v>
      </c>
      <c r="Z116" s="81">
        <f t="shared" ca="1" si="128"/>
        <v>0</v>
      </c>
      <c r="AA116" s="81">
        <f t="shared" ca="1" si="129"/>
        <v>0</v>
      </c>
      <c r="AB116" s="81">
        <f t="shared" ca="1" si="130"/>
        <v>0</v>
      </c>
      <c r="AC116" s="203"/>
      <c r="AD116" s="81">
        <v>2050</v>
      </c>
      <c r="AE116" s="81"/>
      <c r="AF116" s="705"/>
    </row>
    <row r="117" spans="2:32">
      <c r="B117" s="718" t="s">
        <v>1014</v>
      </c>
      <c r="C117" s="226"/>
      <c r="D117" s="212" t="str">
        <f>"IND"&amp;RIGHT(H117,4)&amp;RIGHT(G117,3)&amp;"N"&amp;RIGHT(E117,2)</f>
        <v>INDODPHELCN10</v>
      </c>
      <c r="E117" s="261" t="str">
        <f>"Industrial heating technology "&amp;$AJ$12&amp;" "&amp;RIGHT(H117,2)&amp;" - Direct electric heating - new 10"</f>
        <v>Industrial heating technology Other PH - Direct electric heating - new 10</v>
      </c>
      <c r="F117" s="224" t="s">
        <v>1149</v>
      </c>
      <c r="G117" s="173" t="s">
        <v>499</v>
      </c>
      <c r="H117" s="174" t="str">
        <f>$AI$14</f>
        <v>IODPH</v>
      </c>
      <c r="I117" s="174" t="str">
        <f t="shared" si="22"/>
        <v>INDOWH</v>
      </c>
      <c r="J117" s="224">
        <f t="shared" si="32"/>
        <v>2011</v>
      </c>
      <c r="K117" s="299">
        <v>2020</v>
      </c>
      <c r="L117" s="199">
        <f t="shared" ca="1" si="122"/>
        <v>1</v>
      </c>
      <c r="M117" s="199"/>
      <c r="N117" s="81">
        <f ca="1">VLOOKUP($AD117,INDIRECT("'"&amp;$B117&amp;"'!"&amp;"$P$39:$AD$42"),5,FALSE)</f>
        <v>12.5</v>
      </c>
      <c r="O117" s="723">
        <f t="shared" ca="1" si="123"/>
        <v>0.44700000000000001</v>
      </c>
      <c r="P117" s="723">
        <f t="shared" ca="1" si="124"/>
        <v>0</v>
      </c>
      <c r="Q117" s="81">
        <f t="shared" ca="1" si="125"/>
        <v>0.37767361111111114</v>
      </c>
      <c r="R117" s="81">
        <v>3.1536000000000002E-2</v>
      </c>
      <c r="S117" s="199">
        <v>0.5</v>
      </c>
      <c r="T117" s="199">
        <f ca="1">HLOOKUP($S$2,INDIRECT("'"&amp;$B117&amp;"'!"&amp;"$P$6:$AC$19"),IF(H117=$AI$13,6,IF(H117=$AI$14,9,14)),FALSE)</f>
        <v>1</v>
      </c>
      <c r="U117" s="772"/>
      <c r="V117" s="199">
        <f t="shared" ref="V117" ca="1" si="133">IF(IF(RIGHT(H117,2)="PH",(1-L117)+$W$2,IF(RIGHT(H117,2)="HT",(1-L117)+$W$1,IF(RIGHT(H117,2)="SH",(1-L117)+$W$3,"")))&gt;0,IF(RIGHT(H117,2)="PH",(1-L117)+$W$2,IF(RIGHT(H117,2)="HT",(1-L117)+$W$1,IF(RIGHT(H117,2)="SH",(1-L117)+$W$3,""))),0)</f>
        <v>0.2</v>
      </c>
      <c r="W117" s="298"/>
      <c r="X117" s="698">
        <f t="shared" ca="1" si="79"/>
        <v>0</v>
      </c>
      <c r="Y117" s="81">
        <f t="shared" ca="1" si="127"/>
        <v>0</v>
      </c>
      <c r="Z117" s="81">
        <f t="shared" ca="1" si="128"/>
        <v>0</v>
      </c>
      <c r="AA117" s="81">
        <f t="shared" ca="1" si="129"/>
        <v>0</v>
      </c>
      <c r="AB117" s="81">
        <f t="shared" ca="1" si="130"/>
        <v>0</v>
      </c>
      <c r="AD117" s="81">
        <v>2020</v>
      </c>
      <c r="AE117" s="299"/>
      <c r="AF117" s="220"/>
    </row>
    <row r="118" spans="2:32">
      <c r="B118" s="718" t="s">
        <v>1014</v>
      </c>
      <c r="C118" s="226"/>
      <c r="D118" s="212"/>
      <c r="E118" s="212"/>
      <c r="F118" s="224" t="s">
        <v>1149</v>
      </c>
      <c r="H118" s="174"/>
      <c r="I118" s="174" t="str">
        <f t="shared" si="22"/>
        <v>INDOWH</v>
      </c>
      <c r="J118" s="224">
        <f t="shared" si="32"/>
        <v>2030</v>
      </c>
      <c r="K118" s="81"/>
      <c r="L118" s="199">
        <f t="shared" ca="1" si="122"/>
        <v>1</v>
      </c>
      <c r="M118" s="199"/>
      <c r="N118" s="81"/>
      <c r="O118" s="723">
        <f t="shared" ca="1" si="123"/>
        <v>0.44700000000000001</v>
      </c>
      <c r="P118" s="723">
        <f t="shared" ca="1" si="124"/>
        <v>0</v>
      </c>
      <c r="Q118" s="81">
        <f t="shared" ca="1" si="125"/>
        <v>0.38802083333333331</v>
      </c>
      <c r="R118" s="300"/>
      <c r="S118" s="300"/>
      <c r="T118" s="300"/>
      <c r="U118" s="300"/>
      <c r="V118" s="199">
        <f t="shared" ref="V118" ca="1" si="134">IF(IF(RIGHT(H117,2)="PH",(1-L118)+$W$2,IF(RIGHT(H117,2)="HT",(1-L118)+$W$1,IF(RIGHT(H117,2)="SH",(1-L118)+$W$3,"")))&gt;0,IF(RIGHT(H117,2)="PH",(1-L118)+$W$2,IF(RIGHT(H117,2)="HT",(1-L118)+$W$1,IF(RIGHT(H117,2)="SH",(1-L118)+$W$3,""))),0)</f>
        <v>0.2</v>
      </c>
      <c r="W118" s="298"/>
      <c r="X118" s="698">
        <f t="shared" ca="1" si="79"/>
        <v>0</v>
      </c>
      <c r="Y118" s="81">
        <f t="shared" ca="1" si="127"/>
        <v>0</v>
      </c>
      <c r="Z118" s="81">
        <f t="shared" ca="1" si="128"/>
        <v>0</v>
      </c>
      <c r="AA118" s="81">
        <f t="shared" ca="1" si="129"/>
        <v>0</v>
      </c>
      <c r="AB118" s="81">
        <f t="shared" ca="1" si="130"/>
        <v>0</v>
      </c>
      <c r="AD118" s="81">
        <v>2030</v>
      </c>
      <c r="AE118" s="81"/>
      <c r="AF118" s="220"/>
    </row>
    <row r="119" spans="2:32">
      <c r="B119" s="719" t="s">
        <v>1014</v>
      </c>
      <c r="C119" s="713"/>
      <c r="D119" s="701"/>
      <c r="E119" s="701"/>
      <c r="F119" s="224" t="s">
        <v>1149</v>
      </c>
      <c r="G119" s="203"/>
      <c r="H119" s="702"/>
      <c r="I119" s="702" t="str">
        <f t="shared" si="22"/>
        <v>INDOWH</v>
      </c>
      <c r="J119" s="224">
        <f t="shared" si="32"/>
        <v>2050</v>
      </c>
      <c r="K119" s="81"/>
      <c r="L119" s="199">
        <f t="shared" ca="1" si="122"/>
        <v>1</v>
      </c>
      <c r="M119" s="199"/>
      <c r="N119" s="81"/>
      <c r="O119" s="723">
        <f t="shared" ca="1" si="123"/>
        <v>0.44700000000000001</v>
      </c>
      <c r="P119" s="723">
        <f t="shared" ca="1" si="124"/>
        <v>0</v>
      </c>
      <c r="Q119" s="81">
        <f t="shared" ca="1" si="125"/>
        <v>0.39319444444444446</v>
      </c>
      <c r="R119" s="703"/>
      <c r="S119" s="703"/>
      <c r="T119" s="703"/>
      <c r="U119" s="703"/>
      <c r="V119" s="199">
        <f t="shared" ref="V119" ca="1" si="135">IF(IF(RIGHT(H117,2)="PH",(1-L119)+$W$2,IF(RIGHT(H117,2)="HT",(1-L119)+$W$1,IF(RIGHT(H117,2)="SH",(1-L119)+$W$3,"")))&gt;0,IF(RIGHT(H117,2)="PH",(1-L119)+$W$2,IF(RIGHT(H117,2)="HT",(1-L119)+$W$1,IF(RIGHT(H117,2)="SH",(1-L119)+$W$3,""))),0)</f>
        <v>0.2</v>
      </c>
      <c r="W119" s="704"/>
      <c r="X119" s="698">
        <f t="shared" ca="1" si="79"/>
        <v>0</v>
      </c>
      <c r="Y119" s="81">
        <f t="shared" ca="1" si="127"/>
        <v>0</v>
      </c>
      <c r="Z119" s="81">
        <f t="shared" ca="1" si="128"/>
        <v>0</v>
      </c>
      <c r="AA119" s="81">
        <f t="shared" ca="1" si="129"/>
        <v>0</v>
      </c>
      <c r="AB119" s="81">
        <f t="shared" ca="1" si="130"/>
        <v>0</v>
      </c>
      <c r="AD119" s="81">
        <v>2050</v>
      </c>
      <c r="AE119" s="81"/>
      <c r="AF119" s="220"/>
    </row>
    <row r="120" spans="2:32">
      <c r="B120" s="718" t="s">
        <v>1009</v>
      </c>
      <c r="C120" s="226"/>
      <c r="D120" s="212" t="str">
        <f>"IND"&amp;RIGHT(H120,4)&amp;"DSL"&amp;"N"&amp;RIGHT(E120,1)</f>
        <v>INDODPHDSLN1</v>
      </c>
      <c r="E120" s="261" t="str">
        <f>"Industrial heating technology "&amp;$AJ$12&amp;" "&amp;RIGHT(H120,2)&amp;" - Oil boiler (Steam) - new 1"</f>
        <v>Industrial heating technology Other PH - Oil boiler (Steam) - new 1</v>
      </c>
      <c r="F120" s="224" t="s">
        <v>1149</v>
      </c>
      <c r="G120" s="173" t="s">
        <v>2081</v>
      </c>
      <c r="H120" s="174" t="str">
        <f>$AI$13</f>
        <v>IODPH</v>
      </c>
      <c r="I120" s="174" t="str">
        <f t="shared" si="22"/>
        <v>INDOWH</v>
      </c>
      <c r="J120" s="224">
        <f t="shared" si="32"/>
        <v>2011</v>
      </c>
      <c r="K120" s="299">
        <v>2025</v>
      </c>
      <c r="L120" s="199">
        <f t="shared" ca="1" si="122"/>
        <v>0.94</v>
      </c>
      <c r="M120" s="699"/>
      <c r="N120" s="299">
        <f ca="1">VLOOKUP($AD120,INDIRECT("'"&amp;$B120&amp;"'!"&amp;"$P$39:$AD$42"),5,FALSE)</f>
        <v>25</v>
      </c>
      <c r="O120" s="725">
        <f t="shared" ca="1" si="123"/>
        <v>0.40975</v>
      </c>
      <c r="P120" s="725">
        <f t="shared" ca="1" si="124"/>
        <v>1.341E-2</v>
      </c>
      <c r="Q120" s="299">
        <f t="shared" ca="1" si="125"/>
        <v>2.0694444444444446</v>
      </c>
      <c r="R120" s="299">
        <v>3.1536000000000002E-2</v>
      </c>
      <c r="S120" s="699">
        <v>0.5</v>
      </c>
      <c r="T120" s="699">
        <f ca="1">HLOOKUP($T$2,INDIRECT("'"&amp;$B120&amp;"'!"&amp;"$P$6:$AC$19"),IF(H120=$AI$13,6,IF(H120=$AI$14,9,14)),FALSE)</f>
        <v>1</v>
      </c>
      <c r="U120" s="772"/>
      <c r="V120" s="199">
        <f t="shared" ref="V120" ca="1" si="136">IF(IF(RIGHT(H120,2)="PH",(1-L120)+$W$2,IF(RIGHT(H120,2)="HT",(1-L120)+$W$1,IF(RIGHT(H120,2)="SH",(1-L120)+$W$3,"")))&gt;0,IF(RIGHT(H120,2)="PH",(1-L120)+$W$2,IF(RIGHT(H120,2)="HT",(1-L120)+$W$1,IF(RIGHT(H120,2)="SH",(1-L120)+$W$3,""))),0)</f>
        <v>0.26000000000000006</v>
      </c>
      <c r="W120" s="298"/>
      <c r="X120" s="698">
        <f t="shared" ca="1" si="79"/>
        <v>0.5</v>
      </c>
      <c r="Y120" s="299">
        <f t="shared" ca="1" si="127"/>
        <v>25</v>
      </c>
      <c r="Z120" s="299">
        <f t="shared" ca="1" si="128"/>
        <v>0</v>
      </c>
      <c r="AA120" s="299">
        <f t="shared" ca="1" si="129"/>
        <v>0</v>
      </c>
      <c r="AB120" s="299">
        <f t="shared" ca="1" si="130"/>
        <v>0.1</v>
      </c>
      <c r="AD120" s="299">
        <v>2020</v>
      </c>
      <c r="AE120" s="81"/>
      <c r="AF120" s="220"/>
    </row>
    <row r="121" spans="2:32">
      <c r="B121" s="718" t="s">
        <v>1009</v>
      </c>
      <c r="C121" s="226"/>
      <c r="D121" s="212"/>
      <c r="E121" s="212"/>
      <c r="F121" s="224" t="s">
        <v>1149</v>
      </c>
      <c r="H121" s="174"/>
      <c r="I121" s="174" t="str">
        <f t="shared" si="22"/>
        <v>INDOWH</v>
      </c>
      <c r="J121" s="224">
        <f t="shared" si="32"/>
        <v>2030</v>
      </c>
      <c r="K121" s="81"/>
      <c r="L121" s="199">
        <f t="shared" ca="1" si="122"/>
        <v>0.95</v>
      </c>
      <c r="M121" s="199"/>
      <c r="N121" s="81"/>
      <c r="O121" s="723">
        <f t="shared" ca="1" si="123"/>
        <v>0.3469940346244772</v>
      </c>
      <c r="P121" s="723">
        <f t="shared" ca="1" si="124"/>
        <v>1.2664999999999999E-2</v>
      </c>
      <c r="Q121" s="81">
        <f t="shared" ca="1" si="125"/>
        <v>1.8625</v>
      </c>
      <c r="R121" s="300"/>
      <c r="S121" s="300"/>
      <c r="T121" s="300"/>
      <c r="U121" s="300"/>
      <c r="V121" s="199">
        <f t="shared" ref="V121" ca="1" si="137">IF(IF(RIGHT(H120,2)="PH",(1-L121)+$W$2,IF(RIGHT(H120,2)="HT",(1-L121)+$W$1,IF(RIGHT(H120,2)="SH",(1-L121)+$W$3,"")))&gt;0,IF(RIGHT(H120,2)="PH",(1-L121)+$W$2,IF(RIGHT(H120,2)="HT",(1-L121)+$W$1,IF(RIGHT(H120,2)="SH",(1-L121)+$W$3,""))),0)</f>
        <v>0.25000000000000006</v>
      </c>
      <c r="W121" s="298"/>
      <c r="X121" s="698">
        <f t="shared" ca="1" si="79"/>
        <v>0.5</v>
      </c>
      <c r="Y121" s="81">
        <f t="shared" ca="1" si="127"/>
        <v>20</v>
      </c>
      <c r="Z121" s="81">
        <f t="shared" ca="1" si="128"/>
        <v>0</v>
      </c>
      <c r="AA121" s="81">
        <f t="shared" ca="1" si="129"/>
        <v>0</v>
      </c>
      <c r="AB121" s="81">
        <f t="shared" ca="1" si="130"/>
        <v>0.1</v>
      </c>
      <c r="AD121" s="81">
        <v>2030</v>
      </c>
      <c r="AE121" s="81"/>
      <c r="AF121" s="220"/>
    </row>
    <row r="122" spans="2:32">
      <c r="B122" s="718" t="s">
        <v>1009</v>
      </c>
      <c r="C122" s="226"/>
      <c r="D122" s="212"/>
      <c r="E122" s="212"/>
      <c r="F122" s="224" t="s">
        <v>1149</v>
      </c>
      <c r="H122" s="174"/>
      <c r="I122" s="174" t="str">
        <f t="shared" si="22"/>
        <v>INDOWH</v>
      </c>
      <c r="J122" s="224">
        <f t="shared" si="32"/>
        <v>2050</v>
      </c>
      <c r="K122" s="81"/>
      <c r="L122" s="199">
        <f t="shared" ca="1" si="122"/>
        <v>0.96</v>
      </c>
      <c r="M122" s="199"/>
      <c r="N122" s="81"/>
      <c r="O122" s="723">
        <f t="shared" ca="1" si="123"/>
        <v>0.32813985758696651</v>
      </c>
      <c r="P122" s="723">
        <f t="shared" ca="1" si="124"/>
        <v>1.1175000000000001E-2</v>
      </c>
      <c r="Q122" s="81">
        <f t="shared" ca="1" si="125"/>
        <v>1.8625</v>
      </c>
      <c r="R122" s="300"/>
      <c r="S122" s="300"/>
      <c r="T122" s="300"/>
      <c r="U122" s="300"/>
      <c r="V122" s="199">
        <f t="shared" ref="V122" ca="1" si="138">IF(IF(RIGHT(H120,2)="PH",(1-L122)+$W$2,IF(RIGHT(H120,2)="HT",(1-L122)+$W$1,IF(RIGHT(H120,2)="SH",(1-L122)+$W$3,"")))&gt;0,IF(RIGHT(H120,2)="PH",(1-L122)+$W$2,IF(RIGHT(H120,2)="HT",(1-L122)+$W$1,IF(RIGHT(H120,2)="SH",(1-L122)+$W$3,""))),0)</f>
        <v>0.24000000000000005</v>
      </c>
      <c r="W122" s="298"/>
      <c r="X122" s="698">
        <f t="shared" ca="1" si="79"/>
        <v>0.5</v>
      </c>
      <c r="Y122" s="81">
        <f t="shared" ca="1" si="127"/>
        <v>15</v>
      </c>
      <c r="Z122" s="81">
        <f t="shared" ca="1" si="128"/>
        <v>0</v>
      </c>
      <c r="AA122" s="81">
        <f t="shared" ca="1" si="129"/>
        <v>0</v>
      </c>
      <c r="AB122" s="81">
        <f t="shared" ca="1" si="130"/>
        <v>0.1</v>
      </c>
      <c r="AD122" s="81">
        <v>2050</v>
      </c>
      <c r="AE122" s="81"/>
      <c r="AF122" s="220"/>
    </row>
    <row r="123" spans="2:32">
      <c r="B123" s="718" t="s">
        <v>1009</v>
      </c>
      <c r="C123" s="226"/>
      <c r="D123" s="212" t="str">
        <f>"IND"&amp;RIGHT(H123,4)&amp;"DSL"&amp;"N"&amp;RIGHT(E123,1)</f>
        <v>INDODPHDSLN1</v>
      </c>
      <c r="E123" s="261" t="str">
        <f>"Industrial heating technology "&amp;$AJ$12&amp;" "&amp;RIGHT(H123,2)&amp;" - Oil boiler (Steam) - new 1"</f>
        <v>Industrial heating technology Other PH - Oil boiler (Steam) - new 1</v>
      </c>
      <c r="F123" s="224" t="s">
        <v>1149</v>
      </c>
      <c r="G123" s="173" t="s">
        <v>2081</v>
      </c>
      <c r="H123" s="174" t="str">
        <f>$AI$14</f>
        <v>IODPH</v>
      </c>
      <c r="I123" s="174" t="str">
        <f t="shared" si="22"/>
        <v>INDOWH</v>
      </c>
      <c r="J123" s="224">
        <f t="shared" si="32"/>
        <v>2011</v>
      </c>
      <c r="K123" s="299">
        <v>2025</v>
      </c>
      <c r="L123" s="199">
        <f t="shared" ca="1" si="122"/>
        <v>0.94</v>
      </c>
      <c r="M123" s="199"/>
      <c r="N123" s="81">
        <f ca="1">VLOOKUP($AD123,INDIRECT("'"&amp;$B123&amp;"'!"&amp;"$P$39:$AD$42"),5,FALSE)</f>
        <v>25</v>
      </c>
      <c r="O123" s="723">
        <f t="shared" ca="1" si="123"/>
        <v>0.40975</v>
      </c>
      <c r="P123" s="723">
        <f t="shared" ca="1" si="124"/>
        <v>1.341E-2</v>
      </c>
      <c r="Q123" s="81">
        <f t="shared" ca="1" si="125"/>
        <v>2.0694444444444446</v>
      </c>
      <c r="R123" s="81">
        <v>3.1536000000000002E-2</v>
      </c>
      <c r="S123" s="199">
        <v>0.5</v>
      </c>
      <c r="T123" s="199">
        <f ca="1">HLOOKUP($T$2,INDIRECT("'"&amp;$B123&amp;"'!"&amp;"$P$6:$AC$19"),IF(H123=$AI$13,6,IF(H123=$AI$14,9,14)),FALSE)</f>
        <v>1</v>
      </c>
      <c r="U123" s="772"/>
      <c r="V123" s="199">
        <f t="shared" ref="V123" ca="1" si="139">IF(IF(RIGHT(H123,2)="PH",(1-L123)+$W$2,IF(RIGHT(H123,2)="HT",(1-L123)+$W$1,IF(RIGHT(H123,2)="SH",(1-L123)+$W$3,"")))&gt;0,IF(RIGHT(H123,2)="PH",(1-L123)+$W$2,IF(RIGHT(H123,2)="HT",(1-L123)+$W$1,IF(RIGHT(H123,2)="SH",(1-L123)+$W$3,""))),0)</f>
        <v>0.26000000000000006</v>
      </c>
      <c r="W123" s="298"/>
      <c r="X123" s="698">
        <f t="shared" ca="1" si="79"/>
        <v>0.5</v>
      </c>
      <c r="Y123" s="81">
        <f t="shared" ca="1" si="127"/>
        <v>25</v>
      </c>
      <c r="Z123" s="81">
        <f t="shared" ca="1" si="128"/>
        <v>0</v>
      </c>
      <c r="AA123" s="81">
        <f t="shared" ca="1" si="129"/>
        <v>0</v>
      </c>
      <c r="AB123" s="81">
        <f t="shared" ca="1" si="130"/>
        <v>0.1</v>
      </c>
      <c r="AD123" s="81">
        <v>2020</v>
      </c>
      <c r="AE123" s="81"/>
      <c r="AF123" s="220"/>
    </row>
    <row r="124" spans="2:32">
      <c r="B124" s="718" t="s">
        <v>1009</v>
      </c>
      <c r="C124" s="226"/>
      <c r="D124" s="212"/>
      <c r="E124" s="212"/>
      <c r="F124" s="224" t="s">
        <v>1149</v>
      </c>
      <c r="H124" s="174"/>
      <c r="I124" s="174" t="str">
        <f t="shared" si="22"/>
        <v>INDOWH</v>
      </c>
      <c r="J124" s="224">
        <f t="shared" si="32"/>
        <v>2030</v>
      </c>
      <c r="K124" s="81"/>
      <c r="L124" s="199">
        <f t="shared" ca="1" si="122"/>
        <v>0.95</v>
      </c>
      <c r="M124" s="199"/>
      <c r="N124" s="81"/>
      <c r="O124" s="723">
        <f t="shared" ca="1" si="123"/>
        <v>0.3469940346244772</v>
      </c>
      <c r="P124" s="723">
        <f t="shared" ca="1" si="124"/>
        <v>1.2664999999999999E-2</v>
      </c>
      <c r="Q124" s="81">
        <f t="shared" ca="1" si="125"/>
        <v>1.8625</v>
      </c>
      <c r="R124" s="300"/>
      <c r="S124" s="300"/>
      <c r="T124" s="300"/>
      <c r="U124" s="300"/>
      <c r="V124" s="199">
        <f t="shared" ref="V124" ca="1" si="140">IF(IF(RIGHT(H123,2)="PH",(1-L124)+$W$2,IF(RIGHT(H123,2)="HT",(1-L124)+$W$1,IF(RIGHT(H123,2)="SH",(1-L124)+$W$3,"")))&gt;0,IF(RIGHT(H123,2)="PH",(1-L124)+$W$2,IF(RIGHT(H123,2)="HT",(1-L124)+$W$1,IF(RIGHT(H123,2)="SH",(1-L124)+$W$3,""))),0)</f>
        <v>0.25000000000000006</v>
      </c>
      <c r="W124" s="298"/>
      <c r="X124" s="698">
        <f t="shared" ca="1" si="79"/>
        <v>0.5</v>
      </c>
      <c r="Y124" s="81">
        <f t="shared" ca="1" si="127"/>
        <v>20</v>
      </c>
      <c r="Z124" s="81">
        <f t="shared" ca="1" si="128"/>
        <v>0</v>
      </c>
      <c r="AA124" s="81">
        <f t="shared" ca="1" si="129"/>
        <v>0</v>
      </c>
      <c r="AB124" s="81">
        <f t="shared" ca="1" si="130"/>
        <v>0.1</v>
      </c>
      <c r="AD124" s="81">
        <v>2030</v>
      </c>
      <c r="AE124" s="81"/>
      <c r="AF124" s="220"/>
    </row>
    <row r="125" spans="2:32">
      <c r="B125" s="718" t="s">
        <v>1009</v>
      </c>
      <c r="C125" s="226"/>
      <c r="D125" s="212"/>
      <c r="E125" s="212"/>
      <c r="F125" s="224" t="s">
        <v>1149</v>
      </c>
      <c r="H125" s="174"/>
      <c r="I125" s="174" t="str">
        <f t="shared" si="22"/>
        <v>INDOWH</v>
      </c>
      <c r="J125" s="224">
        <f t="shared" si="32"/>
        <v>2050</v>
      </c>
      <c r="K125" s="81"/>
      <c r="L125" s="199">
        <f t="shared" ca="1" si="122"/>
        <v>0.96</v>
      </c>
      <c r="M125" s="199"/>
      <c r="N125" s="81"/>
      <c r="O125" s="723">
        <f t="shared" ca="1" si="123"/>
        <v>0.32813985758696651</v>
      </c>
      <c r="P125" s="723">
        <f t="shared" ca="1" si="124"/>
        <v>1.1175000000000001E-2</v>
      </c>
      <c r="Q125" s="81">
        <f t="shared" ca="1" si="125"/>
        <v>1.8625</v>
      </c>
      <c r="R125" s="300"/>
      <c r="S125" s="300"/>
      <c r="T125" s="300"/>
      <c r="U125" s="300"/>
      <c r="V125" s="199">
        <f t="shared" ref="V125" ca="1" si="141">IF(IF(RIGHT(H123,2)="PH",(1-L125)+$W$2,IF(RIGHT(H123,2)="HT",(1-L125)+$W$1,IF(RIGHT(H123,2)="SH",(1-L125)+$W$3,"")))&gt;0,IF(RIGHT(H123,2)="PH",(1-L125)+$W$2,IF(RIGHT(H123,2)="HT",(1-L125)+$W$1,IF(RIGHT(H123,2)="SH",(1-L125)+$W$3,""))),0)</f>
        <v>0.24000000000000005</v>
      </c>
      <c r="W125" s="298"/>
      <c r="X125" s="698">
        <f t="shared" ca="1" si="79"/>
        <v>0.5</v>
      </c>
      <c r="Y125" s="81">
        <f t="shared" ca="1" si="127"/>
        <v>15</v>
      </c>
      <c r="Z125" s="81">
        <f t="shared" ca="1" si="128"/>
        <v>0</v>
      </c>
      <c r="AA125" s="81">
        <f t="shared" ca="1" si="129"/>
        <v>0</v>
      </c>
      <c r="AB125" s="81">
        <f t="shared" ca="1" si="130"/>
        <v>0.1</v>
      </c>
      <c r="AC125" s="203"/>
      <c r="AD125" s="81">
        <v>2050</v>
      </c>
      <c r="AE125" s="81"/>
      <c r="AF125" s="705"/>
    </row>
    <row r="126" spans="2:32">
      <c r="B126" s="718" t="s">
        <v>1009</v>
      </c>
      <c r="C126" s="226"/>
      <c r="D126" s="212" t="str">
        <f>"IND"&amp;RIGHT(H126,4)&amp;"DSL"&amp;"N"&amp;RIGHT(E126,1)</f>
        <v>INDODSHDSLN1</v>
      </c>
      <c r="E126" s="261" t="str">
        <f>"Industrial heating technology "&amp;$AJ$12&amp;" "&amp;RIGHT(H126,2)&amp;" - Oil boiler (Steam) - new 1"</f>
        <v>Industrial heating technology Other SH - Oil boiler (Steam) - new 1</v>
      </c>
      <c r="F126" s="224" t="s">
        <v>1149</v>
      </c>
      <c r="G126" s="173" t="s">
        <v>2081</v>
      </c>
      <c r="H126" s="174" t="str">
        <f>$AI$15</f>
        <v>IODSH</v>
      </c>
      <c r="I126" s="174" t="str">
        <f t="shared" si="22"/>
        <v>INDOWH</v>
      </c>
      <c r="J126" s="224">
        <f t="shared" si="32"/>
        <v>2011</v>
      </c>
      <c r="K126" s="299">
        <v>2025</v>
      </c>
      <c r="L126" s="199">
        <f t="shared" ca="1" si="122"/>
        <v>0.94</v>
      </c>
      <c r="M126" s="199"/>
      <c r="N126" s="81">
        <f ca="1">VLOOKUP($AD126,INDIRECT("'"&amp;$B126&amp;"'!"&amp;"$P$39:$AD$42"),5,FALSE)</f>
        <v>25</v>
      </c>
      <c r="O126" s="723">
        <f t="shared" ca="1" si="123"/>
        <v>0.40975</v>
      </c>
      <c r="P126" s="723">
        <f t="shared" ca="1" si="124"/>
        <v>1.341E-2</v>
      </c>
      <c r="Q126" s="81">
        <f t="shared" ca="1" si="125"/>
        <v>2.0694444444444446</v>
      </c>
      <c r="R126" s="81">
        <v>3.1536000000000002E-2</v>
      </c>
      <c r="S126" s="199">
        <v>0.5</v>
      </c>
      <c r="T126" s="199">
        <f ca="1">HLOOKUP($T$2,INDIRECT("'"&amp;$B126&amp;"'!"&amp;"$P$6:$AC$19"),IF(H126=$AI$13,6,IF(H126=$AI$14,9,14)),FALSE)</f>
        <v>1</v>
      </c>
      <c r="U126" s="772"/>
      <c r="V126" s="199">
        <f t="shared" ref="V126" ca="1" si="142">IF(IF(RIGHT(H126,2)="PH",(1-L126)+$W$2,IF(RIGHT(H126,2)="HT",(1-L126)+$W$1,IF(RIGHT(H126,2)="SH",(1-L126)+$W$3,"")))&gt;0,IF(RIGHT(H126,2)="PH",(1-L126)+$W$2,IF(RIGHT(H126,2)="HT",(1-L126)+$W$1,IF(RIGHT(H126,2)="SH",(1-L126)+$W$3,""))),0)</f>
        <v>6.0000000000000053E-2</v>
      </c>
      <c r="W126" s="298"/>
      <c r="X126" s="698">
        <f t="shared" ca="1" si="79"/>
        <v>0.5</v>
      </c>
      <c r="Y126" s="81">
        <f t="shared" ca="1" si="127"/>
        <v>25</v>
      </c>
      <c r="Z126" s="81">
        <f t="shared" ca="1" si="128"/>
        <v>0</v>
      </c>
      <c r="AA126" s="81">
        <f t="shared" ca="1" si="129"/>
        <v>0</v>
      </c>
      <c r="AB126" s="81">
        <f t="shared" ca="1" si="130"/>
        <v>0.1</v>
      </c>
      <c r="AC126" s="296"/>
      <c r="AD126" s="81">
        <v>2020</v>
      </c>
      <c r="AE126" s="81"/>
      <c r="AF126" s="710"/>
    </row>
    <row r="127" spans="2:32">
      <c r="B127" s="718" t="s">
        <v>1009</v>
      </c>
      <c r="C127" s="226"/>
      <c r="D127" s="212"/>
      <c r="E127" s="212"/>
      <c r="F127" s="224" t="s">
        <v>1149</v>
      </c>
      <c r="H127" s="174"/>
      <c r="I127" s="174" t="str">
        <f t="shared" ref="I127:I182" si="143">$AI$20</f>
        <v>INDOWH</v>
      </c>
      <c r="J127" s="224">
        <f t="shared" si="32"/>
        <v>2030</v>
      </c>
      <c r="K127" s="81"/>
      <c r="L127" s="199">
        <f t="shared" ca="1" si="122"/>
        <v>0.95</v>
      </c>
      <c r="M127" s="199"/>
      <c r="N127" s="81"/>
      <c r="O127" s="723">
        <f t="shared" ca="1" si="123"/>
        <v>0.3469940346244772</v>
      </c>
      <c r="P127" s="723">
        <f t="shared" ca="1" si="124"/>
        <v>1.2664999999999999E-2</v>
      </c>
      <c r="Q127" s="81">
        <f t="shared" ca="1" si="125"/>
        <v>1.8625</v>
      </c>
      <c r="R127" s="300"/>
      <c r="S127" s="300"/>
      <c r="T127" s="300"/>
      <c r="U127" s="300"/>
      <c r="V127" s="199">
        <f t="shared" ref="V127" ca="1" si="144">IF(IF(RIGHT(H126,2)="PH",(1-L127)+$W$2,IF(RIGHT(H126,2)="HT",(1-L127)+$W$1,IF(RIGHT(H126,2)="SH",(1-L127)+$W$3,"")))&gt;0,IF(RIGHT(H126,2)="PH",(1-L127)+$W$2,IF(RIGHT(H126,2)="HT",(1-L127)+$W$1,IF(RIGHT(H126,2)="SH",(1-L127)+$W$3,""))),0)</f>
        <v>5.0000000000000044E-2</v>
      </c>
      <c r="W127" s="298"/>
      <c r="X127" s="698">
        <f t="shared" ref="X127:X158" ca="1" si="145">IF(VLOOKUP($AD127,INDIRECT("'"&amp;$B127&amp;"'!"&amp;"$P$39:$AD$42"),11,FALSE)="Cf. the utilized electricity",0,VLOOKUP($AD127,INDIRECT("'"&amp;$B127&amp;"'!"&amp;"$P$39:$AD$42"),11,FALSE))</f>
        <v>0.5</v>
      </c>
      <c r="Y127" s="81">
        <f t="shared" ca="1" si="127"/>
        <v>20</v>
      </c>
      <c r="Z127" s="81">
        <f t="shared" ca="1" si="128"/>
        <v>0</v>
      </c>
      <c r="AA127" s="81">
        <f t="shared" ca="1" si="129"/>
        <v>0</v>
      </c>
      <c r="AB127" s="81">
        <f t="shared" ca="1" si="130"/>
        <v>0.1</v>
      </c>
      <c r="AC127" s="55"/>
      <c r="AD127" s="81">
        <v>2030</v>
      </c>
      <c r="AE127" s="81"/>
      <c r="AF127" s="700"/>
    </row>
    <row r="128" spans="2:32">
      <c r="B128" s="719" t="s">
        <v>1009</v>
      </c>
      <c r="C128" s="713"/>
      <c r="D128" s="701"/>
      <c r="E128" s="701"/>
      <c r="F128" s="224" t="s">
        <v>1149</v>
      </c>
      <c r="G128" s="203"/>
      <c r="H128" s="702"/>
      <c r="I128" s="702" t="str">
        <f t="shared" si="143"/>
        <v>INDOWH</v>
      </c>
      <c r="J128" s="224">
        <f t="shared" ref="J128:J186" si="146">IF(AD128=2020,2011,AD128)</f>
        <v>2050</v>
      </c>
      <c r="K128" s="81"/>
      <c r="L128" s="199">
        <f t="shared" ca="1" si="122"/>
        <v>0.96</v>
      </c>
      <c r="M128" s="199"/>
      <c r="N128" s="81"/>
      <c r="O128" s="723">
        <f t="shared" ca="1" si="123"/>
        <v>0.32813985758696651</v>
      </c>
      <c r="P128" s="723">
        <f t="shared" ca="1" si="124"/>
        <v>1.1175000000000001E-2</v>
      </c>
      <c r="Q128" s="81">
        <f t="shared" ca="1" si="125"/>
        <v>1.8625</v>
      </c>
      <c r="R128" s="703"/>
      <c r="S128" s="703"/>
      <c r="T128" s="703"/>
      <c r="U128" s="703"/>
      <c r="V128" s="199">
        <f t="shared" ref="V128" ca="1" si="147">IF(IF(RIGHT(H126,2)="PH",(1-L128)+$W$2,IF(RIGHT(H126,2)="HT",(1-L128)+$W$1,IF(RIGHT(H126,2)="SH",(1-L128)+$W$3,"")))&gt;0,IF(RIGHT(H126,2)="PH",(1-L128)+$W$2,IF(RIGHT(H126,2)="HT",(1-L128)+$W$1,IF(RIGHT(H126,2)="SH",(1-L128)+$W$3,""))),0)</f>
        <v>4.0000000000000036E-2</v>
      </c>
      <c r="W128" s="704"/>
      <c r="X128" s="698">
        <f t="shared" ca="1" si="145"/>
        <v>0.5</v>
      </c>
      <c r="Y128" s="81">
        <f t="shared" ca="1" si="127"/>
        <v>15</v>
      </c>
      <c r="Z128" s="81">
        <f t="shared" ca="1" si="128"/>
        <v>0</v>
      </c>
      <c r="AA128" s="81">
        <f t="shared" ca="1" si="129"/>
        <v>0</v>
      </c>
      <c r="AB128" s="81">
        <f t="shared" ca="1" si="130"/>
        <v>0.1</v>
      </c>
      <c r="AC128" s="55"/>
      <c r="AD128" s="81">
        <v>2050</v>
      </c>
      <c r="AE128" s="81"/>
      <c r="AF128" s="700"/>
    </row>
    <row r="129" spans="2:32">
      <c r="B129" s="718" t="s">
        <v>1009</v>
      </c>
      <c r="C129" s="226"/>
      <c r="D129" s="212" t="str">
        <f>"IND"&amp;RIGHT(H129,4)&amp;"DSL"&amp;"N"&amp;RIGHT(E129,1)</f>
        <v>INDODPHDSLN2</v>
      </c>
      <c r="E129" s="707" t="str">
        <f>"Industrial heating technology "&amp;$AJ$12&amp;" "&amp;RIGHT(H129,2)&amp;" - Oil boiler (Steam - condensing) - new 2"</f>
        <v>Industrial heating technology Other PH - Oil boiler (Steam - condensing) - new 2</v>
      </c>
      <c r="F129" s="224" t="s">
        <v>1149</v>
      </c>
      <c r="G129" s="173" t="s">
        <v>2081</v>
      </c>
      <c r="H129" s="708" t="str">
        <f>$AI$14</f>
        <v>IODPH</v>
      </c>
      <c r="I129" s="708" t="str">
        <f t="shared" si="143"/>
        <v>INDOWH</v>
      </c>
      <c r="J129" s="224">
        <f t="shared" si="146"/>
        <v>2011</v>
      </c>
      <c r="K129" s="299">
        <v>2025</v>
      </c>
      <c r="L129" s="199">
        <f t="shared" ref="L129:L134" ca="1" si="148">VLOOKUP($AD129,INDIRECT("'"&amp;$B129&amp;"'!"&amp;"$P$118:$AD$121"),3,FALSE)</f>
        <v>0.95</v>
      </c>
      <c r="M129" s="199"/>
      <c r="N129" s="81">
        <f ca="1">VLOOKUP($AD129,INDIRECT("'"&amp;$B129&amp;"'!"&amp;"$P$118:$AD$121"),5,FALSE)</f>
        <v>25</v>
      </c>
      <c r="O129" s="723">
        <f t="shared" ref="O129:O134" ca="1" si="149">VLOOKUP($AD129,INDIRECT("'"&amp;$B129&amp;"'!"&amp;"$P$118:$AD$121"),6,FALSE)/1000</f>
        <v>0.32780000000000004</v>
      </c>
      <c r="P129" s="723">
        <f t="shared" ref="P129:P134" ca="1" si="150">VLOOKUP($AD129,INDIRECT("'"&amp;$B129&amp;"'!"&amp;"$P$118:$AD$121"),7,FALSE)/1000</f>
        <v>1.341E-2</v>
      </c>
      <c r="Q129" s="81">
        <f t="shared" ref="Q129:Q134" ca="1" si="151">VLOOKUP($AD129,INDIRECT("'"&amp;$B129&amp;"'!"&amp;"$P$118:$AD$121"),8,FALSE)</f>
        <v>2.0694444444444446</v>
      </c>
      <c r="R129" s="81">
        <v>3.1536000000000002E-2</v>
      </c>
      <c r="S129" s="199">
        <v>0.5</v>
      </c>
      <c r="T129" s="199">
        <f ca="1">HLOOKUP($T$2,INDIRECT("'"&amp;$B129&amp;"'!"&amp;"$P$85:$AC$98"),IF(H129=$AI$13,6,IF(H129=$AI$14,9,14)),FALSE)</f>
        <v>0</v>
      </c>
      <c r="U129" s="773"/>
      <c r="V129" s="199">
        <f t="shared" ref="V129" ca="1" si="152">IF(IF(RIGHT(H129,2)="PH",(1-L129)+$W$2,IF(RIGHT(H129,2)="HT",(1-L129)+$W$1,IF(RIGHT(H129,2)="SH",(1-L129)+$W$3,"")))&gt;0,IF(RIGHT(H129,2)="PH",(1-L129)+$W$2,IF(RIGHT(H129,2)="HT",(1-L129)+$W$1,IF(RIGHT(H129,2)="SH",(1-L129)+$W$3,""))),0)</f>
        <v>0.25000000000000006</v>
      </c>
      <c r="W129" s="709"/>
      <c r="X129" s="698">
        <f t="shared" ca="1" si="145"/>
        <v>0.5</v>
      </c>
      <c r="Y129" s="698">
        <f t="shared" ref="Y129:Y134" ca="1" si="153">VLOOKUP($AD129,INDIRECT("'"&amp;$B129&amp;"'!"&amp;"$P$118:$AD$121"),12,FALSE)</f>
        <v>25</v>
      </c>
      <c r="Z129" s="698">
        <f t="shared" ref="Z129:Z134" ca="1" si="154">VLOOKUP($AD129,INDIRECT("'"&amp;$B129&amp;"'!"&amp;"$P$118:$AD$121"),13,FALSE)</f>
        <v>0</v>
      </c>
      <c r="AA129" s="698">
        <f t="shared" ref="AA129:AA134" ca="1" si="155">VLOOKUP($AD129,INDIRECT("'"&amp;$B129&amp;"'!"&amp;"$P$118:$AD$121"),14,FALSE)</f>
        <v>0</v>
      </c>
      <c r="AB129" s="698">
        <f t="shared" ref="AB129:AB134" ca="1" si="156">VLOOKUP($AD129,INDIRECT("'"&amp;$B129&amp;"'!"&amp;"$P$118:$AD$121"),15,FALSE)</f>
        <v>0.1</v>
      </c>
      <c r="AC129" s="55"/>
      <c r="AD129" s="81">
        <v>2020</v>
      </c>
      <c r="AE129" s="81"/>
      <c r="AF129" s="700"/>
    </row>
    <row r="130" spans="2:32">
      <c r="B130" s="718" t="s">
        <v>1009</v>
      </c>
      <c r="C130" s="226"/>
      <c r="D130" s="212"/>
      <c r="E130" s="261"/>
      <c r="F130" s="224" t="s">
        <v>1149</v>
      </c>
      <c r="G130" s="55"/>
      <c r="H130" s="174"/>
      <c r="I130" s="174" t="str">
        <f t="shared" si="143"/>
        <v>INDOWH</v>
      </c>
      <c r="J130" s="224">
        <f t="shared" si="146"/>
        <v>2030</v>
      </c>
      <c r="K130" s="81"/>
      <c r="L130" s="199">
        <f t="shared" ca="1" si="148"/>
        <v>0.96</v>
      </c>
      <c r="M130" s="199"/>
      <c r="N130" s="81"/>
      <c r="O130" s="723">
        <f t="shared" ca="1" si="149"/>
        <v>0.27759522769958173</v>
      </c>
      <c r="P130" s="723">
        <f t="shared" ca="1" si="150"/>
        <v>1.2664999999999999E-2</v>
      </c>
      <c r="Q130" s="81">
        <f t="shared" ca="1" si="151"/>
        <v>1.8625</v>
      </c>
      <c r="R130" s="300"/>
      <c r="S130" s="300"/>
      <c r="T130" s="300"/>
      <c r="U130" s="300"/>
      <c r="V130" s="199">
        <f t="shared" ref="V130" ca="1" si="157">IF(IF(RIGHT(H129,2)="PH",(1-L130)+$W$2,IF(RIGHT(H129,2)="HT",(1-L130)+$W$1,IF(RIGHT(H129,2)="SH",(1-L130)+$W$3,"")))&gt;0,IF(RIGHT(H129,2)="PH",(1-L130)+$W$2,IF(RIGHT(H129,2)="HT",(1-L130)+$W$1,IF(RIGHT(H129,2)="SH",(1-L130)+$W$3,""))),0)</f>
        <v>0.24000000000000005</v>
      </c>
      <c r="W130" s="298"/>
      <c r="X130" s="698">
        <f t="shared" ca="1" si="145"/>
        <v>0.5</v>
      </c>
      <c r="Y130" s="698">
        <f t="shared" ca="1" si="153"/>
        <v>20</v>
      </c>
      <c r="Z130" s="698">
        <f t="shared" ca="1" si="154"/>
        <v>0</v>
      </c>
      <c r="AA130" s="698">
        <f t="shared" ca="1" si="155"/>
        <v>0</v>
      </c>
      <c r="AB130" s="698">
        <f t="shared" ca="1" si="156"/>
        <v>0.1</v>
      </c>
      <c r="AC130" s="55"/>
      <c r="AD130" s="81">
        <v>2030</v>
      </c>
      <c r="AE130" s="81"/>
      <c r="AF130" s="700"/>
    </row>
    <row r="131" spans="2:32">
      <c r="B131" s="718" t="s">
        <v>1009</v>
      </c>
      <c r="C131" s="226"/>
      <c r="E131" s="261"/>
      <c r="F131" s="224" t="s">
        <v>1149</v>
      </c>
      <c r="G131" s="55"/>
      <c r="H131" s="174"/>
      <c r="I131" s="174" t="str">
        <f t="shared" si="143"/>
        <v>INDOWH</v>
      </c>
      <c r="J131" s="224">
        <f t="shared" si="146"/>
        <v>2050</v>
      </c>
      <c r="K131" s="81"/>
      <c r="L131" s="199">
        <f t="shared" ca="1" si="148"/>
        <v>0.97</v>
      </c>
      <c r="M131" s="199"/>
      <c r="N131" s="81"/>
      <c r="O131" s="723">
        <f t="shared" ca="1" si="149"/>
        <v>0.26251188606957326</v>
      </c>
      <c r="P131" s="723">
        <f t="shared" ca="1" si="150"/>
        <v>1.1175000000000001E-2</v>
      </c>
      <c r="Q131" s="81">
        <f t="shared" ca="1" si="151"/>
        <v>1.8625</v>
      </c>
      <c r="R131" s="300"/>
      <c r="S131" s="300"/>
      <c r="T131" s="300"/>
      <c r="U131" s="300"/>
      <c r="V131" s="199">
        <f t="shared" ref="V131" ca="1" si="158">IF(IF(RIGHT(H129,2)="PH",(1-L131)+$W$2,IF(RIGHT(H129,2)="HT",(1-L131)+$W$1,IF(RIGHT(H129,2)="SH",(1-L131)+$W$3,"")))&gt;0,IF(RIGHT(H129,2)="PH",(1-L131)+$W$2,IF(RIGHT(H129,2)="HT",(1-L131)+$W$1,IF(RIGHT(H129,2)="SH",(1-L131)+$W$3,""))),0)</f>
        <v>0.23000000000000004</v>
      </c>
      <c r="W131" s="298"/>
      <c r="X131" s="698">
        <f t="shared" ca="1" si="145"/>
        <v>0.5</v>
      </c>
      <c r="Y131" s="698">
        <f t="shared" ca="1" si="153"/>
        <v>15</v>
      </c>
      <c r="Z131" s="698">
        <f t="shared" ca="1" si="154"/>
        <v>0</v>
      </c>
      <c r="AA131" s="698">
        <f t="shared" ca="1" si="155"/>
        <v>0</v>
      </c>
      <c r="AB131" s="698">
        <f t="shared" ca="1" si="156"/>
        <v>0.1</v>
      </c>
      <c r="AC131" s="203"/>
      <c r="AD131" s="81">
        <v>2050</v>
      </c>
      <c r="AE131" s="81"/>
      <c r="AF131" s="705"/>
    </row>
    <row r="132" spans="2:32">
      <c r="B132" s="718" t="s">
        <v>1009</v>
      </c>
      <c r="C132" s="226"/>
      <c r="D132" s="212" t="str">
        <f>"IND"&amp;RIGHT(H132,4)&amp;"DSL"&amp;"N"&amp;RIGHT(E132,1)</f>
        <v>INDODSHDSLN2</v>
      </c>
      <c r="E132" s="261" t="str">
        <f>"Industrial heating technology "&amp;$AJ$12&amp;" "&amp;RIGHT(H132,2)&amp;" - Oil boiler (Steam - condensing) - new 2"</f>
        <v>Industrial heating technology Other SH - Oil boiler (Steam - condensing) - new 2</v>
      </c>
      <c r="F132" s="224" t="s">
        <v>1149</v>
      </c>
      <c r="G132" s="173" t="s">
        <v>2081</v>
      </c>
      <c r="H132" s="174" t="str">
        <f>$AI$15</f>
        <v>IODSH</v>
      </c>
      <c r="I132" s="174" t="str">
        <f t="shared" si="143"/>
        <v>INDOWH</v>
      </c>
      <c r="J132" s="224">
        <f t="shared" si="146"/>
        <v>2011</v>
      </c>
      <c r="K132" s="299">
        <v>2025</v>
      </c>
      <c r="L132" s="199">
        <f t="shared" ca="1" si="148"/>
        <v>0.95</v>
      </c>
      <c r="M132" s="199"/>
      <c r="N132" s="81">
        <f ca="1">VLOOKUP($AD132,INDIRECT("'"&amp;$B132&amp;"'!"&amp;"$P$118:$AD$121"),5,FALSE)</f>
        <v>25</v>
      </c>
      <c r="O132" s="723">
        <f t="shared" ca="1" si="149"/>
        <v>0.32780000000000004</v>
      </c>
      <c r="P132" s="723">
        <f t="shared" ca="1" si="150"/>
        <v>1.341E-2</v>
      </c>
      <c r="Q132" s="81">
        <f t="shared" ca="1" si="151"/>
        <v>2.0694444444444446</v>
      </c>
      <c r="R132" s="81">
        <v>3.1536000000000002E-2</v>
      </c>
      <c r="S132" s="199">
        <v>0.5</v>
      </c>
      <c r="T132" s="199">
        <f ca="1">HLOOKUP($T$2,INDIRECT("'"&amp;$B132&amp;"'!"&amp;"$P$85:$AC$98"),IF(H132=$AI$13,6,IF(H132=$AI$14,9,14)),FALSE)</f>
        <v>1</v>
      </c>
      <c r="U132" s="772"/>
      <c r="V132" s="199">
        <f t="shared" ref="V132" ca="1" si="159">IF(IF(RIGHT(H132,2)="PH",(1-L132)+$W$2,IF(RIGHT(H132,2)="HT",(1-L132)+$W$1,IF(RIGHT(H132,2)="SH",(1-L132)+$W$3,"")))&gt;0,IF(RIGHT(H132,2)="PH",(1-L132)+$W$2,IF(RIGHT(H132,2)="HT",(1-L132)+$W$1,IF(RIGHT(H132,2)="SH",(1-L132)+$W$3,""))),0)</f>
        <v>5.0000000000000044E-2</v>
      </c>
      <c r="W132" s="298"/>
      <c r="X132" s="698">
        <f t="shared" ca="1" si="145"/>
        <v>0.5</v>
      </c>
      <c r="Y132" s="698">
        <f t="shared" ca="1" si="153"/>
        <v>25</v>
      </c>
      <c r="Z132" s="698">
        <f t="shared" ca="1" si="154"/>
        <v>0</v>
      </c>
      <c r="AA132" s="698">
        <f t="shared" ca="1" si="155"/>
        <v>0</v>
      </c>
      <c r="AB132" s="698">
        <f t="shared" ca="1" si="156"/>
        <v>0.1</v>
      </c>
      <c r="AD132" s="81">
        <v>2020</v>
      </c>
      <c r="AE132" s="299"/>
      <c r="AF132" s="220"/>
    </row>
    <row r="133" spans="2:32">
      <c r="B133" s="718" t="s">
        <v>1009</v>
      </c>
      <c r="C133" s="226"/>
      <c r="E133" s="261"/>
      <c r="F133" s="224" t="s">
        <v>1149</v>
      </c>
      <c r="G133" s="55"/>
      <c r="H133" s="174"/>
      <c r="I133" s="174" t="str">
        <f t="shared" si="143"/>
        <v>INDOWH</v>
      </c>
      <c r="J133" s="224">
        <f t="shared" si="146"/>
        <v>2030</v>
      </c>
      <c r="K133" s="81"/>
      <c r="L133" s="199">
        <f t="shared" ca="1" si="148"/>
        <v>0.96</v>
      </c>
      <c r="M133" s="199"/>
      <c r="N133" s="81"/>
      <c r="O133" s="723">
        <f t="shared" ca="1" si="149"/>
        <v>0.27759522769958173</v>
      </c>
      <c r="P133" s="723">
        <f t="shared" ca="1" si="150"/>
        <v>1.2664999999999999E-2</v>
      </c>
      <c r="Q133" s="81">
        <f t="shared" ca="1" si="151"/>
        <v>1.8625</v>
      </c>
      <c r="R133" s="300"/>
      <c r="S133" s="300"/>
      <c r="T133" s="300"/>
      <c r="U133" s="300"/>
      <c r="V133" s="199">
        <f t="shared" ref="V133" ca="1" si="160">IF(IF(RIGHT(H132,2)="PH",(1-L133)+$W$2,IF(RIGHT(H132,2)="HT",(1-L133)+$W$1,IF(RIGHT(H132,2)="SH",(1-L133)+$W$3,"")))&gt;0,IF(RIGHT(H132,2)="PH",(1-L133)+$W$2,IF(RIGHT(H132,2)="HT",(1-L133)+$W$1,IF(RIGHT(H132,2)="SH",(1-L133)+$W$3,""))),0)</f>
        <v>4.0000000000000036E-2</v>
      </c>
      <c r="W133" s="298"/>
      <c r="X133" s="698">
        <f t="shared" ca="1" si="145"/>
        <v>0.5</v>
      </c>
      <c r="Y133" s="698">
        <f t="shared" ca="1" si="153"/>
        <v>20</v>
      </c>
      <c r="Z133" s="698">
        <f t="shared" ca="1" si="154"/>
        <v>0</v>
      </c>
      <c r="AA133" s="698">
        <f t="shared" ca="1" si="155"/>
        <v>0</v>
      </c>
      <c r="AB133" s="698">
        <f t="shared" ca="1" si="156"/>
        <v>0.1</v>
      </c>
      <c r="AD133" s="81">
        <v>2030</v>
      </c>
      <c r="AE133" s="81"/>
      <c r="AF133" s="220"/>
    </row>
    <row r="134" spans="2:32">
      <c r="B134" s="719" t="s">
        <v>1009</v>
      </c>
      <c r="C134" s="713"/>
      <c r="D134" s="701"/>
      <c r="E134" s="701"/>
      <c r="F134" s="224" t="s">
        <v>1149</v>
      </c>
      <c r="G134" s="203"/>
      <c r="H134" s="702"/>
      <c r="I134" s="702" t="str">
        <f t="shared" si="143"/>
        <v>INDOWH</v>
      </c>
      <c r="J134" s="224">
        <f t="shared" si="146"/>
        <v>2050</v>
      </c>
      <c r="K134" s="81"/>
      <c r="L134" s="199">
        <f t="shared" ca="1" si="148"/>
        <v>0.97</v>
      </c>
      <c r="M134" s="199"/>
      <c r="N134" s="81"/>
      <c r="O134" s="723">
        <f t="shared" ca="1" si="149"/>
        <v>0.26251188606957326</v>
      </c>
      <c r="P134" s="723">
        <f t="shared" ca="1" si="150"/>
        <v>1.1175000000000001E-2</v>
      </c>
      <c r="Q134" s="81">
        <f t="shared" ca="1" si="151"/>
        <v>1.8625</v>
      </c>
      <c r="R134" s="703"/>
      <c r="S134" s="703"/>
      <c r="T134" s="703"/>
      <c r="U134" s="703"/>
      <c r="V134" s="199">
        <f t="shared" ref="V134" ca="1" si="161">IF(IF(RIGHT(H132,2)="PH",(1-L134)+$W$2,IF(RIGHT(H132,2)="HT",(1-L134)+$W$1,IF(RIGHT(H132,2)="SH",(1-L134)+$W$3,"")))&gt;0,IF(RIGHT(H132,2)="PH",(1-L134)+$W$2,IF(RIGHT(H132,2)="HT",(1-L134)+$W$1,IF(RIGHT(H132,2)="SH",(1-L134)+$W$3,""))),0)</f>
        <v>3.0000000000000027E-2</v>
      </c>
      <c r="W134" s="704"/>
      <c r="X134" s="698">
        <f t="shared" ca="1" si="145"/>
        <v>0.5</v>
      </c>
      <c r="Y134" s="698">
        <f t="shared" ca="1" si="153"/>
        <v>15</v>
      </c>
      <c r="Z134" s="698">
        <f t="shared" ca="1" si="154"/>
        <v>0</v>
      </c>
      <c r="AA134" s="698">
        <f t="shared" ca="1" si="155"/>
        <v>0</v>
      </c>
      <c r="AB134" s="698">
        <f t="shared" ca="1" si="156"/>
        <v>0.1</v>
      </c>
      <c r="AD134" s="81">
        <v>2050</v>
      </c>
      <c r="AE134" s="81"/>
      <c r="AF134" s="220"/>
    </row>
    <row r="135" spans="2:32">
      <c r="B135" s="718" t="s">
        <v>1010</v>
      </c>
      <c r="C135" s="226"/>
      <c r="D135" s="212" t="str">
        <f>"IND"&amp;RIGHT(H135,4)&amp;"GAS"&amp;"N"&amp;RIGHT(E135,1)</f>
        <v>INDODPHGASN1</v>
      </c>
      <c r="E135" s="261" t="str">
        <f>"Industrial heating technology "&amp;$AJ$12&amp;" "&amp;RIGHT(H135,2)&amp;" - Gas boiler (Steam) - new 1"</f>
        <v>Industrial heating technology Other PH - Gas boiler (Steam) - new 1</v>
      </c>
      <c r="F135" s="224" t="s">
        <v>1149</v>
      </c>
      <c r="G135" s="173" t="s">
        <v>2080</v>
      </c>
      <c r="H135" s="174" t="str">
        <f>$AI$13</f>
        <v>IODPH</v>
      </c>
      <c r="I135" s="174" t="str">
        <f t="shared" si="143"/>
        <v>INDOWH</v>
      </c>
      <c r="J135" s="224">
        <f t="shared" si="146"/>
        <v>2011</v>
      </c>
      <c r="K135" s="299">
        <v>2011</v>
      </c>
      <c r="L135" s="199">
        <f t="shared" ref="L135:L143" ca="1" si="162">VLOOKUP($AD135,INDIRECT("'"&amp;$B135&amp;"'!"&amp;"$P$39:$AD$42"),3,FALSE)</f>
        <v>0.92</v>
      </c>
      <c r="M135" s="699"/>
      <c r="N135" s="299">
        <f ca="1">VLOOKUP($AD135,INDIRECT("'"&amp;$B135&amp;"'!"&amp;"$P$39:$AD$42"),5,FALSE)</f>
        <v>25</v>
      </c>
      <c r="O135" s="725">
        <f t="shared" ref="O135:O143" ca="1" si="163">VLOOKUP($AD135,INDIRECT("'"&amp;$B135&amp;"'!"&amp;"$P$39:$AD$42"),6,FALSE)/1000</f>
        <v>0.40636363636363632</v>
      </c>
      <c r="P135" s="725">
        <f t="shared" ref="P135:P143" ca="1" si="164">VLOOKUP($AD135,INDIRECT("'"&amp;$B135&amp;"'!"&amp;"$P$39:$AD$42"),7,FALSE)/1000</f>
        <v>1.49E-2</v>
      </c>
      <c r="Q135" s="299">
        <f t="shared" ref="Q135:Q143" ca="1" si="165">VLOOKUP($AD135,INDIRECT("'"&amp;$B135&amp;"'!"&amp;"$P$39:$AD$42"),8,FALSE)</f>
        <v>2.276388888888889</v>
      </c>
      <c r="R135" s="299">
        <v>3.1536000000000002E-2</v>
      </c>
      <c r="S135" s="699">
        <v>0.5</v>
      </c>
      <c r="T135" s="699">
        <f ca="1">HLOOKUP($T$2,INDIRECT("'"&amp;$B135&amp;"'!"&amp;"$P$6:$AC$19"),IF(H135=$AI$13,6,IF(H135=$AI$14,9,14)),FALSE)</f>
        <v>1</v>
      </c>
      <c r="U135" s="772"/>
      <c r="V135" s="199">
        <f t="shared" ref="V135" ca="1" si="166">IF(IF(RIGHT(H135,2)="PH",(1-L135)+$W$2,IF(RIGHT(H135,2)="HT",(1-L135)+$W$1,IF(RIGHT(H135,2)="SH",(1-L135)+$W$3,"")))&gt;0,IF(RIGHT(H135,2)="PH",(1-L135)+$W$2,IF(RIGHT(H135,2)="HT",(1-L135)+$W$1,IF(RIGHT(H135,2)="SH",(1-L135)+$W$3,""))),0)</f>
        <v>0.27999999999999997</v>
      </c>
      <c r="W135" s="298"/>
      <c r="X135" s="698">
        <f t="shared" ca="1" si="145"/>
        <v>0.3</v>
      </c>
      <c r="Y135" s="299">
        <f t="shared" ref="Y135:Y143" ca="1" si="167">VLOOKUP($AD135,INDIRECT("'"&amp;$B135&amp;"'!"&amp;"$P$39:$AD$42"),12,FALSE)</f>
        <v>9</v>
      </c>
      <c r="Z135" s="299">
        <f t="shared" ref="Z135:Z143" ca="1" si="168">VLOOKUP($AD135,INDIRECT("'"&amp;$B135&amp;"'!"&amp;"$P$39:$AD$42"),13,FALSE)</f>
        <v>3</v>
      </c>
      <c r="AA135" s="299">
        <f t="shared" ref="AA135:AA143" ca="1" si="169">VLOOKUP($AD135,INDIRECT("'"&amp;$B135&amp;"'!"&amp;"$P$39:$AD$42"),14,FALSE)</f>
        <v>1</v>
      </c>
      <c r="AB135" s="299">
        <f t="shared" ref="AB135:AB143" ca="1" si="170">VLOOKUP($AD135,INDIRECT("'"&amp;$B135&amp;"'!"&amp;"$P$39:$AD$42"),15,FALSE)</f>
        <v>0.1</v>
      </c>
      <c r="AD135" s="299">
        <v>2020</v>
      </c>
      <c r="AE135" s="81"/>
      <c r="AF135" s="220"/>
    </row>
    <row r="136" spans="2:32">
      <c r="B136" s="718" t="s">
        <v>1010</v>
      </c>
      <c r="C136" s="226"/>
      <c r="E136" s="212"/>
      <c r="F136" s="224" t="s">
        <v>1149</v>
      </c>
      <c r="H136" s="174"/>
      <c r="I136" s="174" t="str">
        <f t="shared" si="143"/>
        <v>INDOWH</v>
      </c>
      <c r="J136" s="224">
        <f t="shared" si="146"/>
        <v>2030</v>
      </c>
      <c r="K136" s="81"/>
      <c r="L136" s="199">
        <f t="shared" ca="1" si="162"/>
        <v>0.93</v>
      </c>
      <c r="M136" s="199"/>
      <c r="N136" s="81"/>
      <c r="O136" s="723">
        <f t="shared" ca="1" si="163"/>
        <v>0.33863636363636368</v>
      </c>
      <c r="P136" s="723">
        <f t="shared" ca="1" si="164"/>
        <v>1.4154999999999999E-2</v>
      </c>
      <c r="Q136" s="81">
        <f t="shared" ca="1" si="165"/>
        <v>2.0694444444444446</v>
      </c>
      <c r="R136" s="300"/>
      <c r="S136" s="300"/>
      <c r="T136" s="300"/>
      <c r="U136" s="300"/>
      <c r="V136" s="199">
        <f t="shared" ref="V136" ca="1" si="171">IF(IF(RIGHT(H135,2)="PH",(1-L136)+$W$2,IF(RIGHT(H135,2)="HT",(1-L136)+$W$1,IF(RIGHT(H135,2)="SH",(1-L136)+$W$3,"")))&gt;0,IF(RIGHT(H135,2)="PH",(1-L136)+$W$2,IF(RIGHT(H135,2)="HT",(1-L136)+$W$1,IF(RIGHT(H135,2)="SH",(1-L136)+$W$3,""))),0)</f>
        <v>0.26999999999999996</v>
      </c>
      <c r="W136" s="298"/>
      <c r="X136" s="698">
        <f t="shared" ca="1" si="145"/>
        <v>0.3</v>
      </c>
      <c r="Y136" s="81">
        <f t="shared" ca="1" si="167"/>
        <v>7</v>
      </c>
      <c r="Z136" s="81">
        <f t="shared" ca="1" si="168"/>
        <v>2</v>
      </c>
      <c r="AA136" s="81">
        <f t="shared" ca="1" si="169"/>
        <v>1</v>
      </c>
      <c r="AB136" s="81">
        <f t="shared" ca="1" si="170"/>
        <v>0.1</v>
      </c>
      <c r="AD136" s="81">
        <v>2030</v>
      </c>
      <c r="AE136" s="81"/>
      <c r="AF136" s="220"/>
    </row>
    <row r="137" spans="2:32">
      <c r="B137" s="718" t="s">
        <v>1010</v>
      </c>
      <c r="C137" s="226"/>
      <c r="E137" s="212"/>
      <c r="F137" s="224" t="s">
        <v>1149</v>
      </c>
      <c r="H137" s="174"/>
      <c r="I137" s="174" t="str">
        <f t="shared" si="143"/>
        <v>INDOWH</v>
      </c>
      <c r="J137" s="224">
        <f t="shared" si="146"/>
        <v>2050</v>
      </c>
      <c r="K137" s="81"/>
      <c r="L137" s="199">
        <f t="shared" ca="1" si="162"/>
        <v>0.94</v>
      </c>
      <c r="M137" s="199"/>
      <c r="N137" s="81"/>
      <c r="O137" s="723">
        <f t="shared" ca="1" si="163"/>
        <v>0.33863636363636368</v>
      </c>
      <c r="P137" s="723">
        <f t="shared" ca="1" si="164"/>
        <v>1.2664999999999999E-2</v>
      </c>
      <c r="Q137" s="81">
        <f t="shared" ca="1" si="165"/>
        <v>2.0694444444444446</v>
      </c>
      <c r="R137" s="300"/>
      <c r="S137" s="300"/>
      <c r="T137" s="300"/>
      <c r="U137" s="300"/>
      <c r="V137" s="199">
        <f t="shared" ref="V137" ca="1" si="172">IF(IF(RIGHT(H135,2)="PH",(1-L137)+$W$2,IF(RIGHT(H135,2)="HT",(1-L137)+$W$1,IF(RIGHT(H135,2)="SH",(1-L137)+$W$3,"")))&gt;0,IF(RIGHT(H135,2)="PH",(1-L137)+$W$2,IF(RIGHT(H135,2)="HT",(1-L137)+$W$1,IF(RIGHT(H135,2)="SH",(1-L137)+$W$3,""))),0)</f>
        <v>0.26000000000000006</v>
      </c>
      <c r="W137" s="298"/>
      <c r="X137" s="698">
        <f t="shared" ca="1" si="145"/>
        <v>0.3</v>
      </c>
      <c r="Y137" s="81">
        <f t="shared" ca="1" si="167"/>
        <v>6</v>
      </c>
      <c r="Z137" s="81">
        <f t="shared" ca="1" si="168"/>
        <v>2</v>
      </c>
      <c r="AA137" s="81">
        <f t="shared" ca="1" si="169"/>
        <v>1</v>
      </c>
      <c r="AB137" s="81">
        <f t="shared" ca="1" si="170"/>
        <v>0.1</v>
      </c>
      <c r="AD137" s="81">
        <v>2050</v>
      </c>
      <c r="AE137" s="81"/>
      <c r="AF137" s="220"/>
    </row>
    <row r="138" spans="2:32">
      <c r="B138" s="718" t="s">
        <v>1010</v>
      </c>
      <c r="C138" s="226"/>
      <c r="D138" s="212" t="str">
        <f>"IND"&amp;RIGHT(H138,4)&amp;"GAS"&amp;"N"&amp;RIGHT(E138,1)</f>
        <v>INDODPHGASN1</v>
      </c>
      <c r="E138" s="261" t="str">
        <f>"Industrial heating technology "&amp;$AJ$12&amp;" "&amp;RIGHT(H138,2)&amp;" - Gas boiler (Steam) - new 1"</f>
        <v>Industrial heating technology Other PH - Gas boiler (Steam) - new 1</v>
      </c>
      <c r="F138" s="224" t="s">
        <v>1149</v>
      </c>
      <c r="G138" s="173" t="s">
        <v>2080</v>
      </c>
      <c r="H138" s="174" t="str">
        <f>$AI$14</f>
        <v>IODPH</v>
      </c>
      <c r="I138" s="174" t="str">
        <f t="shared" si="143"/>
        <v>INDOWH</v>
      </c>
      <c r="J138" s="224">
        <f t="shared" si="146"/>
        <v>2011</v>
      </c>
      <c r="K138" s="299">
        <f>J138</f>
        <v>2011</v>
      </c>
      <c r="L138" s="199">
        <f t="shared" ca="1" si="162"/>
        <v>0.92</v>
      </c>
      <c r="M138" s="199"/>
      <c r="N138" s="81">
        <f ca="1">VLOOKUP($AD138,INDIRECT("'"&amp;$B138&amp;"'!"&amp;"$P$39:$AD$42"),5,FALSE)</f>
        <v>25</v>
      </c>
      <c r="O138" s="723">
        <f t="shared" ca="1" si="163"/>
        <v>0.40636363636363632</v>
      </c>
      <c r="P138" s="723">
        <f t="shared" ca="1" si="164"/>
        <v>1.49E-2</v>
      </c>
      <c r="Q138" s="81">
        <f t="shared" ca="1" si="165"/>
        <v>2.276388888888889</v>
      </c>
      <c r="R138" s="81">
        <v>3.1536000000000002E-2</v>
      </c>
      <c r="S138" s="199">
        <v>0.5</v>
      </c>
      <c r="T138" s="199">
        <f ca="1">HLOOKUP($T$2,INDIRECT("'"&amp;$B138&amp;"'!"&amp;"$P$6:$AC$19"),IF(H138=$AI$13,6,IF(H138=$AI$14,9,14)),FALSE)</f>
        <v>1</v>
      </c>
      <c r="U138" s="772"/>
      <c r="V138" s="199">
        <f t="shared" ref="V138" ca="1" si="173">IF(IF(RIGHT(H138,2)="PH",(1-L138)+$W$2,IF(RIGHT(H138,2)="HT",(1-L138)+$W$1,IF(RIGHT(H138,2)="SH",(1-L138)+$W$3,"")))&gt;0,IF(RIGHT(H138,2)="PH",(1-L138)+$W$2,IF(RIGHT(H138,2)="HT",(1-L138)+$W$1,IF(RIGHT(H138,2)="SH",(1-L138)+$W$3,""))),0)</f>
        <v>0.27999999999999997</v>
      </c>
      <c r="W138" s="298"/>
      <c r="X138" s="698">
        <f t="shared" ca="1" si="145"/>
        <v>0.3</v>
      </c>
      <c r="Y138" s="81">
        <f t="shared" ca="1" si="167"/>
        <v>9</v>
      </c>
      <c r="Z138" s="81">
        <f t="shared" ca="1" si="168"/>
        <v>3</v>
      </c>
      <c r="AA138" s="81">
        <f t="shared" ca="1" si="169"/>
        <v>1</v>
      </c>
      <c r="AB138" s="81">
        <f t="shared" ca="1" si="170"/>
        <v>0.1</v>
      </c>
      <c r="AD138" s="81">
        <v>2020</v>
      </c>
      <c r="AE138" s="81"/>
      <c r="AF138" s="220"/>
    </row>
    <row r="139" spans="2:32">
      <c r="B139" s="718" t="s">
        <v>1010</v>
      </c>
      <c r="C139" s="226"/>
      <c r="E139" s="212"/>
      <c r="F139" s="224" t="s">
        <v>1149</v>
      </c>
      <c r="H139" s="174"/>
      <c r="I139" s="174" t="str">
        <f t="shared" si="143"/>
        <v>INDOWH</v>
      </c>
      <c r="J139" s="224">
        <f t="shared" si="146"/>
        <v>2030</v>
      </c>
      <c r="K139" s="81"/>
      <c r="L139" s="199">
        <f t="shared" ca="1" si="162"/>
        <v>0.93</v>
      </c>
      <c r="M139" s="199"/>
      <c r="N139" s="81"/>
      <c r="O139" s="723">
        <f t="shared" ca="1" si="163"/>
        <v>0.33863636363636368</v>
      </c>
      <c r="P139" s="723">
        <f t="shared" ca="1" si="164"/>
        <v>1.4154999999999999E-2</v>
      </c>
      <c r="Q139" s="81">
        <f t="shared" ca="1" si="165"/>
        <v>2.0694444444444446</v>
      </c>
      <c r="R139" s="300"/>
      <c r="S139" s="300"/>
      <c r="T139" s="300"/>
      <c r="U139" s="300"/>
      <c r="V139" s="199">
        <f t="shared" ref="V139" ca="1" si="174">IF(IF(RIGHT(H138,2)="PH",(1-L139)+$W$2,IF(RIGHT(H138,2)="HT",(1-L139)+$W$1,IF(RIGHT(H138,2)="SH",(1-L139)+$W$3,"")))&gt;0,IF(RIGHT(H138,2)="PH",(1-L139)+$W$2,IF(RIGHT(H138,2)="HT",(1-L139)+$W$1,IF(RIGHT(H138,2)="SH",(1-L139)+$W$3,""))),0)</f>
        <v>0.26999999999999996</v>
      </c>
      <c r="W139" s="298"/>
      <c r="X139" s="698">
        <f t="shared" ca="1" si="145"/>
        <v>0.3</v>
      </c>
      <c r="Y139" s="81">
        <f t="shared" ca="1" si="167"/>
        <v>7</v>
      </c>
      <c r="Z139" s="81">
        <f t="shared" ca="1" si="168"/>
        <v>2</v>
      </c>
      <c r="AA139" s="81">
        <f t="shared" ca="1" si="169"/>
        <v>1</v>
      </c>
      <c r="AB139" s="81">
        <f t="shared" ca="1" si="170"/>
        <v>0.1</v>
      </c>
      <c r="AD139" s="81">
        <v>2030</v>
      </c>
      <c r="AE139" s="81"/>
      <c r="AF139" s="220"/>
    </row>
    <row r="140" spans="2:32">
      <c r="B140" s="718" t="s">
        <v>1010</v>
      </c>
      <c r="C140" s="226"/>
      <c r="E140" s="212"/>
      <c r="F140" s="224" t="s">
        <v>1149</v>
      </c>
      <c r="H140" s="174"/>
      <c r="I140" s="174" t="str">
        <f t="shared" si="143"/>
        <v>INDOWH</v>
      </c>
      <c r="J140" s="224">
        <f t="shared" si="146"/>
        <v>2050</v>
      </c>
      <c r="K140" s="81"/>
      <c r="L140" s="199">
        <f t="shared" ca="1" si="162"/>
        <v>0.94</v>
      </c>
      <c r="M140" s="199"/>
      <c r="N140" s="81"/>
      <c r="O140" s="723">
        <f t="shared" ca="1" si="163"/>
        <v>0.33863636363636368</v>
      </c>
      <c r="P140" s="723">
        <f t="shared" ca="1" si="164"/>
        <v>1.2664999999999999E-2</v>
      </c>
      <c r="Q140" s="81">
        <f t="shared" ca="1" si="165"/>
        <v>2.0694444444444446</v>
      </c>
      <c r="R140" s="300"/>
      <c r="S140" s="300"/>
      <c r="T140" s="300"/>
      <c r="U140" s="300"/>
      <c r="V140" s="199">
        <f t="shared" ref="V140" ca="1" si="175">IF(IF(RIGHT(H138,2)="PH",(1-L140)+$W$2,IF(RIGHT(H138,2)="HT",(1-L140)+$W$1,IF(RIGHT(H138,2)="SH",(1-L140)+$W$3,"")))&gt;0,IF(RIGHT(H138,2)="PH",(1-L140)+$W$2,IF(RIGHT(H138,2)="HT",(1-L140)+$W$1,IF(RIGHT(H138,2)="SH",(1-L140)+$W$3,""))),0)</f>
        <v>0.26000000000000006</v>
      </c>
      <c r="W140" s="298"/>
      <c r="X140" s="698">
        <f t="shared" ca="1" si="145"/>
        <v>0.3</v>
      </c>
      <c r="Y140" s="81">
        <f t="shared" ca="1" si="167"/>
        <v>6</v>
      </c>
      <c r="Z140" s="81">
        <f t="shared" ca="1" si="168"/>
        <v>2</v>
      </c>
      <c r="AA140" s="81">
        <f t="shared" ca="1" si="169"/>
        <v>1</v>
      </c>
      <c r="AB140" s="81">
        <f t="shared" ca="1" si="170"/>
        <v>0.1</v>
      </c>
      <c r="AC140" s="203"/>
      <c r="AD140" s="81">
        <v>2050</v>
      </c>
      <c r="AE140" s="81"/>
      <c r="AF140" s="705"/>
    </row>
    <row r="141" spans="2:32">
      <c r="B141" s="718" t="s">
        <v>1010</v>
      </c>
      <c r="C141" s="226"/>
      <c r="D141" s="212" t="str">
        <f>"IND"&amp;RIGHT(H141,4)&amp;"GAS"&amp;"N"&amp;RIGHT(E141,1)</f>
        <v>INDODSHGASN1</v>
      </c>
      <c r="E141" s="261" t="str">
        <f>"Industrial heating technology "&amp;$AJ$12&amp;" "&amp;RIGHT(H141,2)&amp;" - Gas boiler (Steam) - new 1"</f>
        <v>Industrial heating technology Other SH - Gas boiler (Steam) - new 1</v>
      </c>
      <c r="F141" s="224" t="s">
        <v>1149</v>
      </c>
      <c r="G141" s="173" t="s">
        <v>2080</v>
      </c>
      <c r="H141" s="174" t="str">
        <f>$AI$15</f>
        <v>IODSH</v>
      </c>
      <c r="I141" s="174" t="str">
        <f t="shared" si="143"/>
        <v>INDOWH</v>
      </c>
      <c r="J141" s="224">
        <f t="shared" si="146"/>
        <v>2011</v>
      </c>
      <c r="K141" s="299">
        <f>J141</f>
        <v>2011</v>
      </c>
      <c r="L141" s="199">
        <f t="shared" ca="1" si="162"/>
        <v>0.92</v>
      </c>
      <c r="M141" s="199"/>
      <c r="N141" s="81">
        <f ca="1">VLOOKUP($AD141,INDIRECT("'"&amp;$B141&amp;"'!"&amp;"$P$39:$AD$42"),5,FALSE)</f>
        <v>25</v>
      </c>
      <c r="O141" s="723">
        <f t="shared" ca="1" si="163"/>
        <v>0.40636363636363632</v>
      </c>
      <c r="P141" s="723">
        <f t="shared" ca="1" si="164"/>
        <v>1.49E-2</v>
      </c>
      <c r="Q141" s="81">
        <f t="shared" ca="1" si="165"/>
        <v>2.276388888888889</v>
      </c>
      <c r="R141" s="81">
        <v>3.1536000000000002E-2</v>
      </c>
      <c r="S141" s="199">
        <v>0.5</v>
      </c>
      <c r="T141" s="199">
        <f ca="1">HLOOKUP($T$2,INDIRECT("'"&amp;$B141&amp;"'!"&amp;"$P$6:$AC$19"),IF(H141=$AI$13,6,IF(H141=$AI$14,9,14)),FALSE)</f>
        <v>1</v>
      </c>
      <c r="U141" s="772"/>
      <c r="V141" s="199">
        <f t="shared" ref="V141" ca="1" si="176">IF(IF(RIGHT(H141,2)="PH",(1-L141)+$W$2,IF(RIGHT(H141,2)="HT",(1-L141)+$W$1,IF(RIGHT(H141,2)="SH",(1-L141)+$W$3,"")))&gt;0,IF(RIGHT(H141,2)="PH",(1-L141)+$W$2,IF(RIGHT(H141,2)="HT",(1-L141)+$W$1,IF(RIGHT(H141,2)="SH",(1-L141)+$W$3,""))),0)</f>
        <v>7.999999999999996E-2</v>
      </c>
      <c r="W141" s="298"/>
      <c r="X141" s="698">
        <f t="shared" ca="1" si="145"/>
        <v>0.3</v>
      </c>
      <c r="Y141" s="81">
        <f t="shared" ca="1" si="167"/>
        <v>9</v>
      </c>
      <c r="Z141" s="81">
        <f t="shared" ca="1" si="168"/>
        <v>3</v>
      </c>
      <c r="AA141" s="81">
        <f t="shared" ca="1" si="169"/>
        <v>1</v>
      </c>
      <c r="AB141" s="81">
        <f t="shared" ca="1" si="170"/>
        <v>0.1</v>
      </c>
      <c r="AC141" s="296"/>
      <c r="AD141" s="81">
        <v>2020</v>
      </c>
      <c r="AE141" s="81"/>
      <c r="AF141" s="710"/>
    </row>
    <row r="142" spans="2:32">
      <c r="B142" s="718" t="s">
        <v>1010</v>
      </c>
      <c r="C142" s="226"/>
      <c r="E142" s="212"/>
      <c r="F142" s="224" t="s">
        <v>1149</v>
      </c>
      <c r="H142" s="174"/>
      <c r="I142" s="174" t="str">
        <f t="shared" si="143"/>
        <v>INDOWH</v>
      </c>
      <c r="J142" s="224">
        <f t="shared" si="146"/>
        <v>2030</v>
      </c>
      <c r="K142" s="81"/>
      <c r="L142" s="199">
        <f t="shared" ca="1" si="162"/>
        <v>0.93</v>
      </c>
      <c r="M142" s="199"/>
      <c r="N142" s="81"/>
      <c r="O142" s="723">
        <f t="shared" ca="1" si="163"/>
        <v>0.33863636363636368</v>
      </c>
      <c r="P142" s="723">
        <f t="shared" ca="1" si="164"/>
        <v>1.4154999999999999E-2</v>
      </c>
      <c r="Q142" s="81">
        <f t="shared" ca="1" si="165"/>
        <v>2.0694444444444446</v>
      </c>
      <c r="R142" s="300"/>
      <c r="S142" s="300"/>
      <c r="T142" s="300"/>
      <c r="U142" s="300"/>
      <c r="V142" s="199">
        <f t="shared" ref="V142" ca="1" si="177">IF(IF(RIGHT(H141,2)="PH",(1-L142)+$W$2,IF(RIGHT(H141,2)="HT",(1-L142)+$W$1,IF(RIGHT(H141,2)="SH",(1-L142)+$W$3,"")))&gt;0,IF(RIGHT(H141,2)="PH",(1-L142)+$W$2,IF(RIGHT(H141,2)="HT",(1-L142)+$W$1,IF(RIGHT(H141,2)="SH",(1-L142)+$W$3,""))),0)</f>
        <v>6.9999999999999951E-2</v>
      </c>
      <c r="W142" s="298"/>
      <c r="X142" s="698">
        <f t="shared" ca="1" si="145"/>
        <v>0.3</v>
      </c>
      <c r="Y142" s="81">
        <f t="shared" ca="1" si="167"/>
        <v>7</v>
      </c>
      <c r="Z142" s="81">
        <f t="shared" ca="1" si="168"/>
        <v>2</v>
      </c>
      <c r="AA142" s="81">
        <f t="shared" ca="1" si="169"/>
        <v>1</v>
      </c>
      <c r="AB142" s="81">
        <f t="shared" ca="1" si="170"/>
        <v>0.1</v>
      </c>
      <c r="AC142" s="55"/>
      <c r="AD142" s="81">
        <v>2030</v>
      </c>
      <c r="AE142" s="81"/>
      <c r="AF142" s="700"/>
    </row>
    <row r="143" spans="2:32">
      <c r="B143" s="719" t="s">
        <v>1010</v>
      </c>
      <c r="C143" s="713"/>
      <c r="D143" s="203"/>
      <c r="E143" s="701"/>
      <c r="F143" s="224" t="s">
        <v>1149</v>
      </c>
      <c r="G143" s="203"/>
      <c r="H143" s="702"/>
      <c r="I143" s="702" t="str">
        <f t="shared" si="143"/>
        <v>INDOWH</v>
      </c>
      <c r="J143" s="224">
        <f t="shared" si="146"/>
        <v>2050</v>
      </c>
      <c r="K143" s="81"/>
      <c r="L143" s="199">
        <f t="shared" ca="1" si="162"/>
        <v>0.94</v>
      </c>
      <c r="M143" s="199"/>
      <c r="N143" s="81"/>
      <c r="O143" s="723">
        <f t="shared" ca="1" si="163"/>
        <v>0.33863636363636368</v>
      </c>
      <c r="P143" s="723">
        <f t="shared" ca="1" si="164"/>
        <v>1.2664999999999999E-2</v>
      </c>
      <c r="Q143" s="81">
        <f t="shared" ca="1" si="165"/>
        <v>2.0694444444444446</v>
      </c>
      <c r="R143" s="703"/>
      <c r="S143" s="703"/>
      <c r="T143" s="703"/>
      <c r="U143" s="703"/>
      <c r="V143" s="199">
        <f t="shared" ref="V143" ca="1" si="178">IF(IF(RIGHT(H141,2)="PH",(1-L143)+$W$2,IF(RIGHT(H141,2)="HT",(1-L143)+$W$1,IF(RIGHT(H141,2)="SH",(1-L143)+$W$3,"")))&gt;0,IF(RIGHT(H141,2)="PH",(1-L143)+$W$2,IF(RIGHT(H141,2)="HT",(1-L143)+$W$1,IF(RIGHT(H141,2)="SH",(1-L143)+$W$3,""))),0)</f>
        <v>6.0000000000000053E-2</v>
      </c>
      <c r="W143" s="704"/>
      <c r="X143" s="698">
        <f t="shared" ca="1" si="145"/>
        <v>0.3</v>
      </c>
      <c r="Y143" s="81">
        <f t="shared" ca="1" si="167"/>
        <v>6</v>
      </c>
      <c r="Z143" s="81">
        <f t="shared" ca="1" si="168"/>
        <v>2</v>
      </c>
      <c r="AA143" s="81">
        <f t="shared" ca="1" si="169"/>
        <v>1</v>
      </c>
      <c r="AB143" s="81">
        <f t="shared" ca="1" si="170"/>
        <v>0.1</v>
      </c>
      <c r="AC143" s="55"/>
      <c r="AD143" s="81">
        <v>2050</v>
      </c>
      <c r="AE143" s="81"/>
      <c r="AF143" s="700"/>
    </row>
    <row r="144" spans="2:32">
      <c r="B144" s="718" t="s">
        <v>1010</v>
      </c>
      <c r="C144" s="226"/>
      <c r="D144" s="212" t="str">
        <f>"IND"&amp;RIGHT(H144,4)&amp;"GAS"&amp;"N"&amp;RIGHT(E144,1)</f>
        <v>INDODPHGASN2</v>
      </c>
      <c r="E144" s="707" t="str">
        <f>"Industrial heating technology "&amp;$AJ$12&amp;" "&amp;RIGHT(H144,2)&amp;" - Gas boiler (Steam - condensing) - new 2"</f>
        <v>Industrial heating technology Other PH - Gas boiler (Steam - condensing) - new 2</v>
      </c>
      <c r="F144" s="224" t="s">
        <v>1149</v>
      </c>
      <c r="G144" s="173" t="s">
        <v>2080</v>
      </c>
      <c r="H144" s="708" t="str">
        <f>$AI$14</f>
        <v>IODPH</v>
      </c>
      <c r="I144" s="708" t="str">
        <f t="shared" si="143"/>
        <v>INDOWH</v>
      </c>
      <c r="J144" s="224">
        <f t="shared" si="146"/>
        <v>2011</v>
      </c>
      <c r="K144" s="299">
        <f>J144</f>
        <v>2011</v>
      </c>
      <c r="L144" s="199">
        <f t="shared" ref="L144:L149" ca="1" si="179">VLOOKUP($AD144,INDIRECT("'"&amp;$B144&amp;"'!"&amp;"$P$118:$AD$121"),3,FALSE)</f>
        <v>1.01</v>
      </c>
      <c r="M144" s="199"/>
      <c r="N144" s="81">
        <f ca="1">VLOOKUP($AD144,INDIRECT("'"&amp;$B144&amp;"'!"&amp;"$P$118:$AD$121"),5,FALSE)</f>
        <v>25</v>
      </c>
      <c r="O144" s="723">
        <f t="shared" ref="O144:O149" ca="1" si="180">VLOOKUP($AD144,INDIRECT("'"&amp;$B144&amp;"'!"&amp;"$P$118:$AD$121"),6,FALSE)/1000</f>
        <v>0.44700000000000001</v>
      </c>
      <c r="P144" s="723">
        <f t="shared" ref="P144:P149" ca="1" si="181">VLOOKUP($AD144,INDIRECT("'"&amp;$B144&amp;"'!"&amp;"$P$118:$AD$121"),7,FALSE)/1000</f>
        <v>1.49E-2</v>
      </c>
      <c r="Q144" s="81">
        <f t="shared" ref="Q144:Q149" ca="1" si="182">VLOOKUP($AD144,INDIRECT("'"&amp;$B144&amp;"'!"&amp;"$P$118:$AD$121"),8,FALSE)</f>
        <v>2.276388888888889</v>
      </c>
      <c r="R144" s="81">
        <v>3.1536000000000002E-2</v>
      </c>
      <c r="S144" s="199">
        <v>0.5</v>
      </c>
      <c r="T144" s="199">
        <f ca="1">HLOOKUP($T$2,INDIRECT("'"&amp;$B144&amp;"'!"&amp;"$P$85:$AC$98"),IF(H144=$AI$13,6,IF(H144=$AI$14,9,14)),FALSE)</f>
        <v>0</v>
      </c>
      <c r="U144" s="773"/>
      <c r="V144" s="199">
        <f t="shared" ref="V144" ca="1" si="183">IF(IF(RIGHT(H144,2)="PH",(1-L144)+$W$2,IF(RIGHT(H144,2)="HT",(1-L144)+$W$1,IF(RIGHT(H144,2)="SH",(1-L144)+$W$3,"")))&gt;0,IF(RIGHT(H144,2)="PH",(1-L144)+$W$2,IF(RIGHT(H144,2)="HT",(1-L144)+$W$1,IF(RIGHT(H144,2)="SH",(1-L144)+$W$3,""))),0)</f>
        <v>0.19</v>
      </c>
      <c r="W144" s="709"/>
      <c r="X144" s="698">
        <f t="shared" ca="1" si="145"/>
        <v>0.3</v>
      </c>
      <c r="Y144" s="698">
        <f t="shared" ref="Y144:Y149" ca="1" si="184">VLOOKUP($AD144,INDIRECT("'"&amp;$B144&amp;"'!"&amp;"$P$118:$AD$121"),12,FALSE)</f>
        <v>9</v>
      </c>
      <c r="Z144" s="698">
        <f t="shared" ref="Z144:Z149" ca="1" si="185">VLOOKUP($AD144,INDIRECT("'"&amp;$B144&amp;"'!"&amp;"$P$118:$AD$121"),13,FALSE)</f>
        <v>3</v>
      </c>
      <c r="AA144" s="698">
        <f t="shared" ref="AA144:AA149" ca="1" si="186">VLOOKUP($AD144,INDIRECT("'"&amp;$B144&amp;"'!"&amp;"$P$118:$AD$121"),14,FALSE)</f>
        <v>1</v>
      </c>
      <c r="AB144" s="698">
        <f t="shared" ref="AB144:AB149" ca="1" si="187">VLOOKUP($AD144,INDIRECT("'"&amp;$B144&amp;"'!"&amp;"$P$118:$AD$121"),15,FALSE)</f>
        <v>0.1</v>
      </c>
      <c r="AC144" s="55"/>
      <c r="AD144" s="81">
        <v>2020</v>
      </c>
      <c r="AE144" s="81"/>
      <c r="AF144" s="700"/>
    </row>
    <row r="145" spans="1:32">
      <c r="B145" s="718" t="s">
        <v>1010</v>
      </c>
      <c r="C145" s="226"/>
      <c r="E145" s="261"/>
      <c r="F145" s="224" t="s">
        <v>1149</v>
      </c>
      <c r="G145" s="55"/>
      <c r="H145" s="174"/>
      <c r="I145" s="174" t="str">
        <f t="shared" si="143"/>
        <v>INDOWH</v>
      </c>
      <c r="J145" s="224">
        <f t="shared" si="146"/>
        <v>2030</v>
      </c>
      <c r="K145" s="81"/>
      <c r="L145" s="199">
        <f t="shared" ca="1" si="179"/>
        <v>1.03</v>
      </c>
      <c r="M145" s="199"/>
      <c r="N145" s="81"/>
      <c r="O145" s="723">
        <f t="shared" ca="1" si="180"/>
        <v>0.37250000000000005</v>
      </c>
      <c r="P145" s="723">
        <f t="shared" ca="1" si="181"/>
        <v>1.4154999999999999E-2</v>
      </c>
      <c r="Q145" s="81">
        <f t="shared" ca="1" si="182"/>
        <v>2.0694444444444446</v>
      </c>
      <c r="R145" s="300"/>
      <c r="S145" s="300"/>
      <c r="T145" s="300"/>
      <c r="U145" s="300"/>
      <c r="V145" s="199">
        <f t="shared" ref="V145" ca="1" si="188">IF(IF(RIGHT(H144,2)="PH",(1-L145)+$W$2,IF(RIGHT(H144,2)="HT",(1-L145)+$W$1,IF(RIGHT(H144,2)="SH",(1-L145)+$W$3,"")))&gt;0,IF(RIGHT(H144,2)="PH",(1-L145)+$W$2,IF(RIGHT(H144,2)="HT",(1-L145)+$W$1,IF(RIGHT(H144,2)="SH",(1-L145)+$W$3,""))),0)</f>
        <v>0.16999999999999998</v>
      </c>
      <c r="W145" s="298"/>
      <c r="X145" s="698">
        <f t="shared" ca="1" si="145"/>
        <v>0.3</v>
      </c>
      <c r="Y145" s="698">
        <f t="shared" ca="1" si="184"/>
        <v>7</v>
      </c>
      <c r="Z145" s="698">
        <f t="shared" ca="1" si="185"/>
        <v>2</v>
      </c>
      <c r="AA145" s="698">
        <f t="shared" ca="1" si="186"/>
        <v>1</v>
      </c>
      <c r="AB145" s="698">
        <f t="shared" ca="1" si="187"/>
        <v>0.1</v>
      </c>
      <c r="AC145" s="55"/>
      <c r="AD145" s="81">
        <v>2030</v>
      </c>
      <c r="AE145" s="81"/>
      <c r="AF145" s="700"/>
    </row>
    <row r="146" spans="1:32">
      <c r="A146" s="226"/>
      <c r="B146" s="718" t="s">
        <v>1010</v>
      </c>
      <c r="C146" s="226"/>
      <c r="E146" s="261"/>
      <c r="F146" s="224" t="s">
        <v>1149</v>
      </c>
      <c r="G146" s="55"/>
      <c r="H146" s="174"/>
      <c r="I146" s="174" t="str">
        <f t="shared" si="143"/>
        <v>INDOWH</v>
      </c>
      <c r="J146" s="224">
        <f t="shared" si="146"/>
        <v>2050</v>
      </c>
      <c r="K146" s="81"/>
      <c r="L146" s="199">
        <f t="shared" ca="1" si="179"/>
        <v>1.03</v>
      </c>
      <c r="M146" s="199"/>
      <c r="N146" s="81"/>
      <c r="O146" s="723">
        <f t="shared" ca="1" si="180"/>
        <v>0.37250000000000005</v>
      </c>
      <c r="P146" s="723">
        <f t="shared" ca="1" si="181"/>
        <v>1.2664999999999999E-2</v>
      </c>
      <c r="Q146" s="81">
        <f t="shared" ca="1" si="182"/>
        <v>2.0694444444444446</v>
      </c>
      <c r="R146" s="300"/>
      <c r="S146" s="300"/>
      <c r="T146" s="300"/>
      <c r="U146" s="300"/>
      <c r="V146" s="199">
        <f t="shared" ref="V146" ca="1" si="189">IF(IF(RIGHT(H144,2)="PH",(1-L146)+$W$2,IF(RIGHT(H144,2)="HT",(1-L146)+$W$1,IF(RIGHT(H144,2)="SH",(1-L146)+$W$3,"")))&gt;0,IF(RIGHT(H144,2)="PH",(1-L146)+$W$2,IF(RIGHT(H144,2)="HT",(1-L146)+$W$1,IF(RIGHT(H144,2)="SH",(1-L146)+$W$3,""))),0)</f>
        <v>0.16999999999999998</v>
      </c>
      <c r="W146" s="298"/>
      <c r="X146" s="698">
        <f t="shared" ca="1" si="145"/>
        <v>0.3</v>
      </c>
      <c r="Y146" s="698">
        <f t="shared" ca="1" si="184"/>
        <v>6</v>
      </c>
      <c r="Z146" s="698">
        <f t="shared" ca="1" si="185"/>
        <v>2</v>
      </c>
      <c r="AA146" s="698">
        <f t="shared" ca="1" si="186"/>
        <v>1</v>
      </c>
      <c r="AB146" s="698">
        <f t="shared" ca="1" si="187"/>
        <v>0.1</v>
      </c>
      <c r="AC146" s="203"/>
      <c r="AD146" s="81">
        <v>2050</v>
      </c>
      <c r="AE146" s="81"/>
      <c r="AF146" s="705"/>
    </row>
    <row r="147" spans="1:32">
      <c r="A147" s="226"/>
      <c r="B147" s="718" t="s">
        <v>1010</v>
      </c>
      <c r="C147" s="226"/>
      <c r="D147" s="212" t="str">
        <f>"IND"&amp;RIGHT(H147,4)&amp;"GAS"&amp;"N"&amp;RIGHT(E147,1)</f>
        <v>INDODSHGASN2</v>
      </c>
      <c r="E147" s="261" t="str">
        <f>"Industrial heating technology "&amp;$AJ$12&amp;" "&amp;RIGHT(H147,2)&amp;" - Gas boiler (Steam - condensing) - new 2"</f>
        <v>Industrial heating technology Other SH - Gas boiler (Steam - condensing) - new 2</v>
      </c>
      <c r="F147" s="224" t="s">
        <v>1149</v>
      </c>
      <c r="G147" s="173" t="s">
        <v>2080</v>
      </c>
      <c r="H147" s="174" t="str">
        <f>$AI$15</f>
        <v>IODSH</v>
      </c>
      <c r="I147" s="174" t="str">
        <f t="shared" si="143"/>
        <v>INDOWH</v>
      </c>
      <c r="J147" s="224">
        <f t="shared" si="146"/>
        <v>2011</v>
      </c>
      <c r="K147" s="299">
        <f>J147</f>
        <v>2011</v>
      </c>
      <c r="L147" s="199">
        <f t="shared" ca="1" si="179"/>
        <v>1.01</v>
      </c>
      <c r="M147" s="199"/>
      <c r="N147" s="81">
        <f ca="1">VLOOKUP($AD147,INDIRECT("'"&amp;$B147&amp;"'!"&amp;"$P$118:$AD$121"),5,FALSE)</f>
        <v>25</v>
      </c>
      <c r="O147" s="723">
        <f t="shared" ca="1" si="180"/>
        <v>0.44700000000000001</v>
      </c>
      <c r="P147" s="723">
        <f t="shared" ca="1" si="181"/>
        <v>1.49E-2</v>
      </c>
      <c r="Q147" s="81">
        <f t="shared" ca="1" si="182"/>
        <v>2.276388888888889</v>
      </c>
      <c r="R147" s="81">
        <v>3.1536000000000002E-2</v>
      </c>
      <c r="S147" s="199">
        <v>0.5</v>
      </c>
      <c r="T147" s="199">
        <f ca="1">HLOOKUP($T$2,INDIRECT("'"&amp;$B147&amp;"'!"&amp;"$P$85:$AC$98"),IF(H147=$AI$13,6,IF(H147=$AI$14,9,14)),FALSE)</f>
        <v>0</v>
      </c>
      <c r="U147" s="772"/>
      <c r="V147" s="199">
        <f t="shared" ref="V147" ca="1" si="190">IF(IF(RIGHT(H147,2)="PH",(1-L147)+$W$2,IF(RIGHT(H147,2)="HT",(1-L147)+$W$1,IF(RIGHT(H147,2)="SH",(1-L147)+$W$3,"")))&gt;0,IF(RIGHT(H147,2)="PH",(1-L147)+$W$2,IF(RIGHT(H147,2)="HT",(1-L147)+$W$1,IF(RIGHT(H147,2)="SH",(1-L147)+$W$3,""))),0)</f>
        <v>0</v>
      </c>
      <c r="W147" s="298"/>
      <c r="X147" s="698">
        <f t="shared" ca="1" si="145"/>
        <v>0.3</v>
      </c>
      <c r="Y147" s="698">
        <f t="shared" ca="1" si="184"/>
        <v>9</v>
      </c>
      <c r="Z147" s="698">
        <f t="shared" ca="1" si="185"/>
        <v>3</v>
      </c>
      <c r="AA147" s="698">
        <f t="shared" ca="1" si="186"/>
        <v>1</v>
      </c>
      <c r="AB147" s="698">
        <f t="shared" ca="1" si="187"/>
        <v>0.1</v>
      </c>
      <c r="AC147" s="296"/>
      <c r="AD147" s="81">
        <v>2020</v>
      </c>
      <c r="AE147" s="81"/>
      <c r="AF147" s="710"/>
    </row>
    <row r="148" spans="1:32">
      <c r="A148" s="226"/>
      <c r="B148" s="718" t="s">
        <v>1010</v>
      </c>
      <c r="C148" s="226"/>
      <c r="E148" s="261"/>
      <c r="F148" s="224" t="s">
        <v>1149</v>
      </c>
      <c r="G148" s="55"/>
      <c r="H148" s="174"/>
      <c r="I148" s="174" t="str">
        <f t="shared" si="143"/>
        <v>INDOWH</v>
      </c>
      <c r="J148" s="224">
        <f t="shared" si="146"/>
        <v>2030</v>
      </c>
      <c r="K148" s="81"/>
      <c r="L148" s="199">
        <f t="shared" ca="1" si="179"/>
        <v>1.03</v>
      </c>
      <c r="M148" s="199"/>
      <c r="N148" s="81"/>
      <c r="O148" s="723">
        <f t="shared" ca="1" si="180"/>
        <v>0.37250000000000005</v>
      </c>
      <c r="P148" s="723">
        <f t="shared" ca="1" si="181"/>
        <v>1.4154999999999999E-2</v>
      </c>
      <c r="Q148" s="81">
        <f t="shared" ca="1" si="182"/>
        <v>2.0694444444444446</v>
      </c>
      <c r="R148" s="300"/>
      <c r="S148" s="300"/>
      <c r="T148" s="300"/>
      <c r="U148" s="300"/>
      <c r="V148" s="199">
        <f t="shared" ref="V148" ca="1" si="191">IF(IF(RIGHT(H147,2)="PH",(1-L148)+$W$2,IF(RIGHT(H147,2)="HT",(1-L148)+$W$1,IF(RIGHT(H147,2)="SH",(1-L148)+$W$3,"")))&gt;0,IF(RIGHT(H147,2)="PH",(1-L148)+$W$2,IF(RIGHT(H147,2)="HT",(1-L148)+$W$1,IF(RIGHT(H147,2)="SH",(1-L148)+$W$3,""))),0)</f>
        <v>0</v>
      </c>
      <c r="W148" s="298"/>
      <c r="X148" s="698">
        <f t="shared" ca="1" si="145"/>
        <v>0.3</v>
      </c>
      <c r="Y148" s="698">
        <f t="shared" ca="1" si="184"/>
        <v>7</v>
      </c>
      <c r="Z148" s="698">
        <f t="shared" ca="1" si="185"/>
        <v>2</v>
      </c>
      <c r="AA148" s="698">
        <f t="shared" ca="1" si="186"/>
        <v>1</v>
      </c>
      <c r="AB148" s="698">
        <f t="shared" ca="1" si="187"/>
        <v>0.1</v>
      </c>
      <c r="AC148" s="55"/>
      <c r="AD148" s="81">
        <v>2030</v>
      </c>
      <c r="AE148" s="81"/>
      <c r="AF148" s="700"/>
    </row>
    <row r="149" spans="1:32">
      <c r="A149" s="226"/>
      <c r="B149" s="719" t="s">
        <v>1010</v>
      </c>
      <c r="C149" s="713"/>
      <c r="D149" s="203"/>
      <c r="E149" s="701"/>
      <c r="F149" s="224" t="s">
        <v>1149</v>
      </c>
      <c r="G149" s="203"/>
      <c r="H149" s="702"/>
      <c r="I149" s="702" t="str">
        <f t="shared" si="143"/>
        <v>INDOWH</v>
      </c>
      <c r="J149" s="224">
        <f t="shared" si="146"/>
        <v>2050</v>
      </c>
      <c r="K149" s="81"/>
      <c r="L149" s="199">
        <f t="shared" ca="1" si="179"/>
        <v>1.03</v>
      </c>
      <c r="M149" s="199"/>
      <c r="N149" s="81"/>
      <c r="O149" s="723">
        <f t="shared" ca="1" si="180"/>
        <v>0.37250000000000005</v>
      </c>
      <c r="P149" s="723">
        <f t="shared" ca="1" si="181"/>
        <v>1.2664999999999999E-2</v>
      </c>
      <c r="Q149" s="81">
        <f t="shared" ca="1" si="182"/>
        <v>2.0694444444444446</v>
      </c>
      <c r="R149" s="703"/>
      <c r="S149" s="703"/>
      <c r="T149" s="703"/>
      <c r="U149" s="703"/>
      <c r="V149" s="199">
        <f t="shared" ref="V149" ca="1" si="192">IF(IF(RIGHT(H147,2)="PH",(1-L149)+$W$2,IF(RIGHT(H147,2)="HT",(1-L149)+$W$1,IF(RIGHT(H147,2)="SH",(1-L149)+$W$3,"")))&gt;0,IF(RIGHT(H147,2)="PH",(1-L149)+$W$2,IF(RIGHT(H147,2)="HT",(1-L149)+$W$1,IF(RIGHT(H147,2)="SH",(1-L149)+$W$3,""))),0)</f>
        <v>0</v>
      </c>
      <c r="W149" s="704"/>
      <c r="X149" s="698">
        <f t="shared" ca="1" si="145"/>
        <v>0.3</v>
      </c>
      <c r="Y149" s="698">
        <f t="shared" ca="1" si="184"/>
        <v>6</v>
      </c>
      <c r="Z149" s="698">
        <f t="shared" ca="1" si="185"/>
        <v>2</v>
      </c>
      <c r="AA149" s="698">
        <f t="shared" ca="1" si="186"/>
        <v>1</v>
      </c>
      <c r="AB149" s="698">
        <f t="shared" ca="1" si="187"/>
        <v>0.1</v>
      </c>
      <c r="AC149" s="55"/>
      <c r="AD149" s="81">
        <v>2050</v>
      </c>
      <c r="AE149" s="81"/>
      <c r="AF149" s="700"/>
    </row>
    <row r="150" spans="1:32">
      <c r="A150" s="226"/>
      <c r="B150" s="718" t="s">
        <v>1010</v>
      </c>
      <c r="C150" s="226"/>
      <c r="D150" s="212" t="str">
        <f>"IND"&amp;RIGHT(H150,4)&amp;"GAS"&amp;"N"&amp;RIGHT(E150,1)</f>
        <v>INDODPHGASN3</v>
      </c>
      <c r="E150" s="707" t="str">
        <f>"Industrial heating technology "&amp;$AJ$12&amp;" "&amp;RIGHT(H150,2)&amp;" - Gas boiler (Hot Water) - new 3"</f>
        <v>Industrial heating technology Other PH - Gas boiler (Hot Water) - new 3</v>
      </c>
      <c r="F150" s="224" t="s">
        <v>1149</v>
      </c>
      <c r="G150" s="173" t="s">
        <v>2080</v>
      </c>
      <c r="H150" s="708" t="str">
        <f>$AI$14</f>
        <v>IODPH</v>
      </c>
      <c r="I150" s="708" t="str">
        <f t="shared" si="143"/>
        <v>INDOWH</v>
      </c>
      <c r="J150" s="224">
        <f t="shared" si="146"/>
        <v>2011</v>
      </c>
      <c r="K150" s="299">
        <f>J150</f>
        <v>2011</v>
      </c>
      <c r="L150" s="199">
        <f t="shared" ref="L150:L155" ca="1" si="193">VLOOKUP($AD150,INDIRECT("'"&amp;$B150&amp;"'!"&amp;"$P$200:$AD$203"),3,FALSE)</f>
        <v>0.93</v>
      </c>
      <c r="M150" s="199"/>
      <c r="N150" s="81">
        <f ca="1">VLOOKUP($AD150,INDIRECT("'"&amp;$B150&amp;"'!"&amp;"$P$200:$AD$203"),5,FALSE)</f>
        <v>25</v>
      </c>
      <c r="O150" s="723">
        <f t="shared" ref="O150:O155" ca="1" si="194">VLOOKUP($AD150,INDIRECT("'"&amp;$B150&amp;"'!"&amp;"$P$200:$AD$203"),6,FALSE)/1000</f>
        <v>0.3250909090909091</v>
      </c>
      <c r="P150" s="723">
        <f t="shared" ref="P150:P155" ca="1" si="195">VLOOKUP($AD150,INDIRECT("'"&amp;$B150&amp;"'!"&amp;"$P$200:$AD$203"),7,FALSE)/1000</f>
        <v>1.49E-2</v>
      </c>
      <c r="Q150" s="81">
        <f t="shared" ref="Q150:Q155" ca="1" si="196">VLOOKUP($AD150,INDIRECT("'"&amp;$B150&amp;"'!"&amp;"$P$200:$AD$203"),8,FALSE)</f>
        <v>2.276388888888889</v>
      </c>
      <c r="R150" s="81">
        <v>3.1536000000000002E-2</v>
      </c>
      <c r="S150" s="199">
        <v>0.5</v>
      </c>
      <c r="T150" s="199">
        <f ca="1">HLOOKUP($T$2,INDIRECT("'"&amp;$B150&amp;"'!"&amp;"$P$167:$AC$180"),IF(H150=$AI$13,6,IF(H150=$AI$14,9,14)),FALSE)</f>
        <v>0</v>
      </c>
      <c r="U150" s="773"/>
      <c r="V150" s="199">
        <f t="shared" ref="V150" ca="1" si="197">IF(IF(RIGHT(H150,2)="PH",(1-L150)+$W$2,IF(RIGHT(H150,2)="HT",(1-L150)+$W$1,IF(RIGHT(H150,2)="SH",(1-L150)+$W$3,"")))&gt;0,IF(RIGHT(H150,2)="PH",(1-L150)+$W$2,IF(RIGHT(H150,2)="HT",(1-L150)+$W$1,IF(RIGHT(H150,2)="SH",(1-L150)+$W$3,""))),0)</f>
        <v>0.26999999999999996</v>
      </c>
      <c r="W150" s="709"/>
      <c r="X150" s="698">
        <f t="shared" ca="1" si="145"/>
        <v>0.3</v>
      </c>
      <c r="Y150" s="698">
        <f t="shared" ref="Y150:Y155" ca="1" si="198">VLOOKUP($AD150,INDIRECT("'"&amp;$B150&amp;"'!"&amp;"$P$200:$AD$203"),12,FALSE)</f>
        <v>9</v>
      </c>
      <c r="Z150" s="698">
        <f t="shared" ref="Z150:Z155" ca="1" si="199">VLOOKUP($AD150,INDIRECT("'"&amp;$B150&amp;"'!"&amp;"$P$200:$AD$203"),13,FALSE)</f>
        <v>3</v>
      </c>
      <c r="AA150" s="698">
        <f t="shared" ref="AA150:AA155" ca="1" si="200">VLOOKUP($AD150,INDIRECT("'"&amp;$B150&amp;"'!"&amp;"$P$200:$AD$203"),14,FALSE)</f>
        <v>1</v>
      </c>
      <c r="AB150" s="698">
        <f t="shared" ref="AB150:AB155" ca="1" si="201">VLOOKUP($AD150,INDIRECT("'"&amp;$B150&amp;"'!"&amp;"$P$200:$AD$203"),15,FALSE)</f>
        <v>0.1</v>
      </c>
      <c r="AC150" s="55"/>
      <c r="AD150" s="81">
        <v>2020</v>
      </c>
      <c r="AE150" s="81"/>
      <c r="AF150" s="700"/>
    </row>
    <row r="151" spans="1:32">
      <c r="A151" s="226"/>
      <c r="B151" s="718" t="s">
        <v>1010</v>
      </c>
      <c r="C151" s="226"/>
      <c r="E151" s="261"/>
      <c r="F151" s="224" t="s">
        <v>1149</v>
      </c>
      <c r="G151" s="55"/>
      <c r="H151" s="174"/>
      <c r="I151" s="174" t="str">
        <f t="shared" si="143"/>
        <v>INDOWH</v>
      </c>
      <c r="J151" s="224">
        <f t="shared" si="146"/>
        <v>2030</v>
      </c>
      <c r="K151" s="81"/>
      <c r="L151" s="199">
        <f t="shared" ca="1" si="193"/>
        <v>0.94</v>
      </c>
      <c r="M151" s="199"/>
      <c r="N151" s="81"/>
      <c r="O151" s="723">
        <f t="shared" ca="1" si="194"/>
        <v>0.27090909090909093</v>
      </c>
      <c r="P151" s="723">
        <f t="shared" ca="1" si="195"/>
        <v>1.4154999999999999E-2</v>
      </c>
      <c r="Q151" s="81">
        <f t="shared" ca="1" si="196"/>
        <v>2.0694444444444446</v>
      </c>
      <c r="R151" s="300"/>
      <c r="S151" s="300"/>
      <c r="T151" s="300"/>
      <c r="U151" s="300"/>
      <c r="V151" s="199">
        <f t="shared" ref="V151" ca="1" si="202">IF(IF(RIGHT(H150,2)="PH",(1-L151)+$W$2,IF(RIGHT(H150,2)="HT",(1-L151)+$W$1,IF(RIGHT(H150,2)="SH",(1-L151)+$W$3,"")))&gt;0,IF(RIGHT(H150,2)="PH",(1-L151)+$W$2,IF(RIGHT(H150,2)="HT",(1-L151)+$W$1,IF(RIGHT(H150,2)="SH",(1-L151)+$W$3,""))),0)</f>
        <v>0.26000000000000006</v>
      </c>
      <c r="W151" s="298"/>
      <c r="X151" s="698">
        <f t="shared" ca="1" si="145"/>
        <v>0.3</v>
      </c>
      <c r="Y151" s="698">
        <f t="shared" ca="1" si="198"/>
        <v>7</v>
      </c>
      <c r="Z151" s="698">
        <f t="shared" ca="1" si="199"/>
        <v>2</v>
      </c>
      <c r="AA151" s="698">
        <f t="shared" ca="1" si="200"/>
        <v>1</v>
      </c>
      <c r="AB151" s="698">
        <f t="shared" ca="1" si="201"/>
        <v>0.1</v>
      </c>
      <c r="AC151" s="55"/>
      <c r="AD151" s="81">
        <v>2030</v>
      </c>
      <c r="AE151" s="81"/>
      <c r="AF151" s="700"/>
    </row>
    <row r="152" spans="1:32">
      <c r="B152" s="718" t="s">
        <v>1010</v>
      </c>
      <c r="C152" s="226"/>
      <c r="E152" s="261"/>
      <c r="F152" s="224" t="s">
        <v>1149</v>
      </c>
      <c r="G152" s="55"/>
      <c r="H152" s="174"/>
      <c r="I152" s="174" t="str">
        <f t="shared" si="143"/>
        <v>INDOWH</v>
      </c>
      <c r="J152" s="224">
        <f t="shared" si="146"/>
        <v>2050</v>
      </c>
      <c r="K152" s="81"/>
      <c r="L152" s="199">
        <f t="shared" ca="1" si="193"/>
        <v>0.95</v>
      </c>
      <c r="M152" s="199"/>
      <c r="N152" s="81"/>
      <c r="O152" s="723">
        <f t="shared" ca="1" si="194"/>
        <v>0.27090909090909093</v>
      </c>
      <c r="P152" s="723">
        <f t="shared" ca="1" si="195"/>
        <v>1.2664999999999999E-2</v>
      </c>
      <c r="Q152" s="81">
        <f t="shared" ca="1" si="196"/>
        <v>2.0694444444444446</v>
      </c>
      <c r="R152" s="300"/>
      <c r="S152" s="300"/>
      <c r="T152" s="300"/>
      <c r="U152" s="300"/>
      <c r="V152" s="199">
        <f t="shared" ref="V152" ca="1" si="203">IF(IF(RIGHT(H150,2)="PH",(1-L152)+$W$2,IF(RIGHT(H150,2)="HT",(1-L152)+$W$1,IF(RIGHT(H150,2)="SH",(1-L152)+$W$3,"")))&gt;0,IF(RIGHT(H150,2)="PH",(1-L152)+$W$2,IF(RIGHT(H150,2)="HT",(1-L152)+$W$1,IF(RIGHT(H150,2)="SH",(1-L152)+$W$3,""))),0)</f>
        <v>0.25000000000000006</v>
      </c>
      <c r="W152" s="720"/>
      <c r="X152" s="698">
        <f t="shared" ca="1" si="145"/>
        <v>0.3</v>
      </c>
      <c r="Y152" s="698">
        <f t="shared" ca="1" si="198"/>
        <v>6</v>
      </c>
      <c r="Z152" s="698">
        <f t="shared" ca="1" si="199"/>
        <v>2</v>
      </c>
      <c r="AA152" s="698">
        <f t="shared" ca="1" si="200"/>
        <v>1</v>
      </c>
      <c r="AB152" s="698">
        <f t="shared" ca="1" si="201"/>
        <v>0.1</v>
      </c>
      <c r="AC152" s="203"/>
      <c r="AD152" s="81">
        <v>2050</v>
      </c>
      <c r="AE152" s="81"/>
      <c r="AF152" s="705"/>
    </row>
    <row r="153" spans="1:32">
      <c r="B153" s="718" t="s">
        <v>1010</v>
      </c>
      <c r="C153" s="64"/>
      <c r="D153" s="212" t="str">
        <f>"IND"&amp;RIGHT(H153,4)&amp;"GAS"&amp;"N"&amp;RIGHT(E153,1)</f>
        <v>INDODSHGASN3</v>
      </c>
      <c r="E153" s="261" t="str">
        <f>"Industrial heating technology "&amp;$AJ$12&amp;" "&amp;RIGHT(H153,2)&amp;" - Gas boiler (Hot Water) - new 3"</f>
        <v>Industrial heating technology Other SH - Gas boiler (Hot Water) - new 3</v>
      </c>
      <c r="F153" s="224" t="s">
        <v>1149</v>
      </c>
      <c r="G153" s="173" t="s">
        <v>2080</v>
      </c>
      <c r="H153" s="174" t="str">
        <f>$AI$15</f>
        <v>IODSH</v>
      </c>
      <c r="I153" s="174" t="str">
        <f t="shared" si="143"/>
        <v>INDOWH</v>
      </c>
      <c r="J153" s="224">
        <f t="shared" si="146"/>
        <v>2011</v>
      </c>
      <c r="K153" s="299">
        <f>J153</f>
        <v>2011</v>
      </c>
      <c r="L153" s="199">
        <f t="shared" ca="1" si="193"/>
        <v>0.93</v>
      </c>
      <c r="M153" s="199"/>
      <c r="N153" s="81">
        <f ca="1">VLOOKUP($AD153,INDIRECT("'"&amp;$B153&amp;"'!"&amp;"$P$200:$AD$203"),5,FALSE)</f>
        <v>25</v>
      </c>
      <c r="O153" s="723">
        <f t="shared" ca="1" si="194"/>
        <v>0.3250909090909091</v>
      </c>
      <c r="P153" s="723">
        <f t="shared" ca="1" si="195"/>
        <v>1.49E-2</v>
      </c>
      <c r="Q153" s="81">
        <f t="shared" ca="1" si="196"/>
        <v>2.276388888888889</v>
      </c>
      <c r="R153" s="81">
        <v>3.1536000000000002E-2</v>
      </c>
      <c r="S153" s="199">
        <v>0.5</v>
      </c>
      <c r="T153" s="199">
        <f ca="1">HLOOKUP($T$2,INDIRECT("'"&amp;$B153&amp;"'!"&amp;"$P$167:$AC$180"),IF(H153=$AI$13,6,IF(H153=$AI$14,9,14)),FALSE)</f>
        <v>1</v>
      </c>
      <c r="U153" s="772"/>
      <c r="V153" s="199">
        <f t="shared" ref="V153" ca="1" si="204">IF(IF(RIGHT(H153,2)="PH",(1-L153)+$W$2,IF(RIGHT(H153,2)="HT",(1-L153)+$W$1,IF(RIGHT(H153,2)="SH",(1-L153)+$W$3,"")))&gt;0,IF(RIGHT(H153,2)="PH",(1-L153)+$W$2,IF(RIGHT(H153,2)="HT",(1-L153)+$W$1,IF(RIGHT(H153,2)="SH",(1-L153)+$W$3,""))),0)</f>
        <v>6.9999999999999951E-2</v>
      </c>
      <c r="W153" s="298"/>
      <c r="X153" s="698">
        <f t="shared" ca="1" si="145"/>
        <v>0.3</v>
      </c>
      <c r="Y153" s="698">
        <f t="shared" ca="1" si="198"/>
        <v>9</v>
      </c>
      <c r="Z153" s="698">
        <f t="shared" ca="1" si="199"/>
        <v>3</v>
      </c>
      <c r="AA153" s="698">
        <f t="shared" ca="1" si="200"/>
        <v>1</v>
      </c>
      <c r="AB153" s="698">
        <f t="shared" ca="1" si="201"/>
        <v>0.1</v>
      </c>
      <c r="AC153" s="296"/>
      <c r="AD153" s="81">
        <v>2020</v>
      </c>
      <c r="AE153" s="81"/>
      <c r="AF153" s="710"/>
    </row>
    <row r="154" spans="1:32">
      <c r="B154" s="718" t="s">
        <v>1010</v>
      </c>
      <c r="C154" s="64"/>
      <c r="E154" s="261"/>
      <c r="F154" s="224" t="s">
        <v>1149</v>
      </c>
      <c r="G154" s="55"/>
      <c r="H154" s="174"/>
      <c r="I154" s="174" t="str">
        <f t="shared" si="143"/>
        <v>INDOWH</v>
      </c>
      <c r="J154" s="224">
        <f t="shared" si="146"/>
        <v>2030</v>
      </c>
      <c r="K154" s="81"/>
      <c r="L154" s="199">
        <f t="shared" ca="1" si="193"/>
        <v>0.94</v>
      </c>
      <c r="M154" s="199"/>
      <c r="N154" s="81"/>
      <c r="O154" s="723">
        <f t="shared" ca="1" si="194"/>
        <v>0.27090909090909093</v>
      </c>
      <c r="P154" s="723">
        <f t="shared" ca="1" si="195"/>
        <v>1.4154999999999999E-2</v>
      </c>
      <c r="Q154" s="81">
        <f t="shared" ca="1" si="196"/>
        <v>2.0694444444444446</v>
      </c>
      <c r="R154" s="300"/>
      <c r="S154" s="300"/>
      <c r="T154" s="300"/>
      <c r="U154" s="300"/>
      <c r="V154" s="199">
        <f t="shared" ref="V154" ca="1" si="205">IF(IF(RIGHT(H153,2)="PH",(1-L154)+$W$2,IF(RIGHT(H153,2)="HT",(1-L154)+$W$1,IF(RIGHT(H153,2)="SH",(1-L154)+$W$3,"")))&gt;0,IF(RIGHT(H153,2)="PH",(1-L154)+$W$2,IF(RIGHT(H153,2)="HT",(1-L154)+$W$1,IF(RIGHT(H153,2)="SH",(1-L154)+$W$3,""))),0)</f>
        <v>6.0000000000000053E-2</v>
      </c>
      <c r="W154" s="298"/>
      <c r="X154" s="698">
        <f t="shared" ca="1" si="145"/>
        <v>0.3</v>
      </c>
      <c r="Y154" s="698">
        <f t="shared" ca="1" si="198"/>
        <v>7</v>
      </c>
      <c r="Z154" s="698">
        <f t="shared" ca="1" si="199"/>
        <v>2</v>
      </c>
      <c r="AA154" s="698">
        <f t="shared" ca="1" si="200"/>
        <v>1</v>
      </c>
      <c r="AB154" s="698">
        <f t="shared" ca="1" si="201"/>
        <v>0.1</v>
      </c>
      <c r="AC154" s="55"/>
      <c r="AD154" s="81">
        <v>2030</v>
      </c>
      <c r="AE154" s="81"/>
      <c r="AF154" s="700"/>
    </row>
    <row r="155" spans="1:32">
      <c r="A155" s="226"/>
      <c r="B155" s="719" t="s">
        <v>1010</v>
      </c>
      <c r="C155" s="713"/>
      <c r="D155" s="203"/>
      <c r="E155" s="701"/>
      <c r="F155" s="224" t="s">
        <v>1149</v>
      </c>
      <c r="G155" s="203"/>
      <c r="H155" s="702"/>
      <c r="I155" s="702" t="str">
        <f t="shared" si="143"/>
        <v>INDOWH</v>
      </c>
      <c r="J155" s="224">
        <f t="shared" si="146"/>
        <v>2050</v>
      </c>
      <c r="K155" s="81"/>
      <c r="L155" s="199">
        <f t="shared" ca="1" si="193"/>
        <v>0.95</v>
      </c>
      <c r="M155" s="199"/>
      <c r="N155" s="81"/>
      <c r="O155" s="723">
        <f t="shared" ca="1" si="194"/>
        <v>0.27090909090909093</v>
      </c>
      <c r="P155" s="723">
        <f t="shared" ca="1" si="195"/>
        <v>1.2664999999999999E-2</v>
      </c>
      <c r="Q155" s="81">
        <f t="shared" ca="1" si="196"/>
        <v>2.0694444444444446</v>
      </c>
      <c r="R155" s="300"/>
      <c r="S155" s="300"/>
      <c r="T155" s="300"/>
      <c r="U155" s="300"/>
      <c r="V155" s="199">
        <f t="shared" ref="V155" ca="1" si="206">IF(IF(RIGHT(H153,2)="PH",(1-L155)+$W$2,IF(RIGHT(H153,2)="HT",(1-L155)+$W$1,IF(RIGHT(H153,2)="SH",(1-L155)+$W$3,"")))&gt;0,IF(RIGHT(H153,2)="PH",(1-L155)+$W$2,IF(RIGHT(H153,2)="HT",(1-L155)+$W$1,IF(RIGHT(H153,2)="SH",(1-L155)+$W$3,""))),0)</f>
        <v>5.0000000000000044E-2</v>
      </c>
      <c r="W155" s="298"/>
      <c r="X155" s="698">
        <f t="shared" ca="1" si="145"/>
        <v>0.3</v>
      </c>
      <c r="Y155" s="698">
        <f t="shared" ca="1" si="198"/>
        <v>6</v>
      </c>
      <c r="Z155" s="698">
        <f t="shared" ca="1" si="199"/>
        <v>2</v>
      </c>
      <c r="AA155" s="698">
        <f t="shared" ca="1" si="200"/>
        <v>1</v>
      </c>
      <c r="AB155" s="698">
        <f t="shared" ca="1" si="201"/>
        <v>0.1</v>
      </c>
      <c r="AC155" s="55"/>
      <c r="AD155" s="81">
        <v>2050</v>
      </c>
      <c r="AE155" s="81"/>
      <c r="AF155" s="700"/>
    </row>
    <row r="156" spans="1:32">
      <c r="B156" s="718" t="s">
        <v>1010</v>
      </c>
      <c r="C156" s="64"/>
      <c r="D156" s="212" t="str">
        <f>"IND"&amp;RIGHT(H156,4)&amp;"GAS"&amp;"N"&amp;RIGHT(E156,1)</f>
        <v>INDODPHGASN4</v>
      </c>
      <c r="E156" s="707" t="str">
        <f>"Industrial heating technology "&amp;$AJ$12&amp;" "&amp;RIGHT(H156,2)&amp;" - Gas boiler (Hot Water - condensing) - new 4"</f>
        <v>Industrial heating technology Other PH - Gas boiler (Hot Water - condensing) - new 4</v>
      </c>
      <c r="F156" s="224" t="s">
        <v>1149</v>
      </c>
      <c r="G156" s="173" t="s">
        <v>2080</v>
      </c>
      <c r="H156" s="708" t="str">
        <f>$AI$14</f>
        <v>IODPH</v>
      </c>
      <c r="I156" s="708" t="str">
        <f t="shared" si="143"/>
        <v>INDOWH</v>
      </c>
      <c r="J156" s="224">
        <f t="shared" si="146"/>
        <v>2011</v>
      </c>
      <c r="K156" s="299">
        <f>J156</f>
        <v>2011</v>
      </c>
      <c r="L156" s="199">
        <f t="shared" ref="L156:L161" ca="1" si="207">VLOOKUP($AD156,INDIRECT("'"&amp;$B156&amp;"'!"&amp;"$P$279:$AD$282"),3,FALSE)</f>
        <v>1.01</v>
      </c>
      <c r="M156" s="199"/>
      <c r="N156" s="81">
        <f ca="1">VLOOKUP($AD156,INDIRECT("'"&amp;$B156&amp;"'!"&amp;"$P$279:$AD$282"),5,FALSE)</f>
        <v>25</v>
      </c>
      <c r="O156" s="723">
        <f t="shared" ref="O156:O161" ca="1" si="208">VLOOKUP($AD156,INDIRECT("'"&amp;$B156&amp;"'!"&amp;"$P$279:$AD$282"),6,FALSE)/1000</f>
        <v>0.35760000000000003</v>
      </c>
      <c r="P156" s="723">
        <f t="shared" ref="P156:P161" ca="1" si="209">VLOOKUP($AD156,INDIRECT("'"&amp;$B156&amp;"'!"&amp;"$P$279:$AD$282"),7,FALSE)/1000</f>
        <v>1.49E-2</v>
      </c>
      <c r="Q156" s="81">
        <f t="shared" ref="Q156:Q161" ca="1" si="210">VLOOKUP($AD156,INDIRECT("'"&amp;$B156&amp;"'!"&amp;"$P$279:$AD$282"),8,FALSE)</f>
        <v>2.276388888888889</v>
      </c>
      <c r="R156" s="81">
        <v>3.1536000000000002E-2</v>
      </c>
      <c r="S156" s="199">
        <v>0.5</v>
      </c>
      <c r="T156" s="199">
        <f ca="1">HLOOKUP($T$2,INDIRECT("'"&amp;$B156&amp;"'!"&amp;"$P$246:$AC$259"),IF(H156=$AI$13,6,IF(H156=$AI$14,9,14)),FALSE)</f>
        <v>0</v>
      </c>
      <c r="U156" s="773"/>
      <c r="V156" s="199">
        <f t="shared" ref="V156" ca="1" si="211">IF(IF(RIGHT(H156,2)="PH",(1-L156)+$W$2,IF(RIGHT(H156,2)="HT",(1-L156)+$W$1,IF(RIGHT(H156,2)="SH",(1-L156)+$W$3,"")))&gt;0,IF(RIGHT(H156,2)="PH",(1-L156)+$W$2,IF(RIGHT(H156,2)="HT",(1-L156)+$W$1,IF(RIGHT(H156,2)="SH",(1-L156)+$W$3,""))),0)</f>
        <v>0.19</v>
      </c>
      <c r="W156" s="709"/>
      <c r="X156" s="698">
        <f t="shared" ca="1" si="145"/>
        <v>0.3</v>
      </c>
      <c r="Y156" s="698">
        <f t="shared" ref="Y156:Y161" ca="1" si="212">VLOOKUP($AD156,INDIRECT("'"&amp;$B156&amp;"'!"&amp;"$P$279:$AD$282"),12,FALSE)</f>
        <v>9</v>
      </c>
      <c r="Z156" s="698">
        <f t="shared" ref="Z156:Z161" ca="1" si="213">VLOOKUP($AD156,INDIRECT("'"&amp;$B156&amp;"'!"&amp;"$P$279:$AD$282"),13,FALSE)</f>
        <v>3</v>
      </c>
      <c r="AA156" s="698">
        <f t="shared" ref="AA156:AA161" ca="1" si="214">VLOOKUP($AD156,INDIRECT("'"&amp;$B156&amp;"'!"&amp;"$P$279:$AD$282"),14,FALSE)</f>
        <v>1</v>
      </c>
      <c r="AB156" s="698">
        <f t="shared" ref="AB156:AB161" ca="1" si="215">VLOOKUP($AD156,INDIRECT("'"&amp;$B156&amp;"'!"&amp;"$P$279:$AD$282"),15,FALSE)</f>
        <v>0.1</v>
      </c>
      <c r="AC156" s="55"/>
      <c r="AD156" s="81">
        <v>2020</v>
      </c>
      <c r="AE156" s="81"/>
      <c r="AF156" s="700"/>
    </row>
    <row r="157" spans="1:32">
      <c r="B157" s="718" t="s">
        <v>1010</v>
      </c>
      <c r="C157" s="64"/>
      <c r="E157" s="261"/>
      <c r="F157" s="224" t="s">
        <v>1149</v>
      </c>
      <c r="G157" s="55"/>
      <c r="H157" s="174"/>
      <c r="I157" s="174" t="str">
        <f t="shared" si="143"/>
        <v>INDOWH</v>
      </c>
      <c r="J157" s="224">
        <f t="shared" si="146"/>
        <v>2030</v>
      </c>
      <c r="K157" s="81"/>
      <c r="L157" s="199">
        <f t="shared" ca="1" si="207"/>
        <v>1.03</v>
      </c>
      <c r="M157" s="199"/>
      <c r="N157" s="81"/>
      <c r="O157" s="723">
        <f t="shared" ca="1" si="208"/>
        <v>0.29800000000000004</v>
      </c>
      <c r="P157" s="723">
        <f t="shared" ca="1" si="209"/>
        <v>1.4154999999999999E-2</v>
      </c>
      <c r="Q157" s="81">
        <f t="shared" ca="1" si="210"/>
        <v>2.0694444444444446</v>
      </c>
      <c r="R157" s="300"/>
      <c r="S157" s="300"/>
      <c r="T157" s="300"/>
      <c r="U157" s="300"/>
      <c r="V157" s="199">
        <f t="shared" ref="V157" ca="1" si="216">IF(IF(RIGHT(H156,2)="PH",(1-L157)+$W$2,IF(RIGHT(H156,2)="HT",(1-L157)+$W$1,IF(RIGHT(H156,2)="SH",(1-L157)+$W$3,"")))&gt;0,IF(RIGHT(H156,2)="PH",(1-L157)+$W$2,IF(RIGHT(H156,2)="HT",(1-L157)+$W$1,IF(RIGHT(H156,2)="SH",(1-L157)+$W$3,""))),0)</f>
        <v>0.16999999999999998</v>
      </c>
      <c r="W157" s="298"/>
      <c r="X157" s="698">
        <f t="shared" ca="1" si="145"/>
        <v>0.3</v>
      </c>
      <c r="Y157" s="698">
        <f t="shared" ca="1" si="212"/>
        <v>7</v>
      </c>
      <c r="Z157" s="698">
        <f t="shared" ca="1" si="213"/>
        <v>2</v>
      </c>
      <c r="AA157" s="698">
        <f t="shared" ca="1" si="214"/>
        <v>1</v>
      </c>
      <c r="AB157" s="698">
        <f t="shared" ca="1" si="215"/>
        <v>0.1</v>
      </c>
      <c r="AC157" s="55"/>
      <c r="AD157" s="81">
        <v>2030</v>
      </c>
      <c r="AE157" s="81"/>
      <c r="AF157" s="700"/>
    </row>
    <row r="158" spans="1:32">
      <c r="B158" s="718" t="s">
        <v>1010</v>
      </c>
      <c r="C158" s="64"/>
      <c r="E158" s="261"/>
      <c r="F158" s="224" t="s">
        <v>1149</v>
      </c>
      <c r="G158" s="55"/>
      <c r="H158" s="174"/>
      <c r="I158" s="174" t="str">
        <f t="shared" si="143"/>
        <v>INDOWH</v>
      </c>
      <c r="J158" s="224">
        <f t="shared" si="146"/>
        <v>2050</v>
      </c>
      <c r="K158" s="81"/>
      <c r="L158" s="199">
        <f t="shared" ca="1" si="207"/>
        <v>1.03</v>
      </c>
      <c r="M158" s="199"/>
      <c r="N158" s="81"/>
      <c r="O158" s="723">
        <f t="shared" ca="1" si="208"/>
        <v>0.29800000000000004</v>
      </c>
      <c r="P158" s="723">
        <f t="shared" ca="1" si="209"/>
        <v>1.2664999999999999E-2</v>
      </c>
      <c r="Q158" s="81">
        <f t="shared" ca="1" si="210"/>
        <v>2.0694444444444446</v>
      </c>
      <c r="R158" s="300"/>
      <c r="S158" s="300"/>
      <c r="T158" s="300"/>
      <c r="U158" s="300"/>
      <c r="V158" s="199">
        <f t="shared" ref="V158" ca="1" si="217">IF(IF(RIGHT(H156,2)="PH",(1-L158)+$W$2,IF(RIGHT(H156,2)="HT",(1-L158)+$W$1,IF(RIGHT(H156,2)="SH",(1-L158)+$W$3,"")))&gt;0,IF(RIGHT(H156,2)="PH",(1-L158)+$W$2,IF(RIGHT(H156,2)="HT",(1-L158)+$W$1,IF(RIGHT(H156,2)="SH",(1-L158)+$W$3,""))),0)</f>
        <v>0.16999999999999998</v>
      </c>
      <c r="W158" s="298"/>
      <c r="X158" s="698">
        <f t="shared" ca="1" si="145"/>
        <v>0.3</v>
      </c>
      <c r="Y158" s="698">
        <f t="shared" ca="1" si="212"/>
        <v>6</v>
      </c>
      <c r="Z158" s="698">
        <f t="shared" ca="1" si="213"/>
        <v>2</v>
      </c>
      <c r="AA158" s="698">
        <f t="shared" ca="1" si="214"/>
        <v>1</v>
      </c>
      <c r="AB158" s="698">
        <f t="shared" ca="1" si="215"/>
        <v>0.1</v>
      </c>
      <c r="AC158" s="203"/>
      <c r="AD158" s="81">
        <v>2050</v>
      </c>
      <c r="AE158" s="81"/>
      <c r="AF158" s="705"/>
    </row>
    <row r="159" spans="1:32">
      <c r="A159" s="226"/>
      <c r="B159" s="718" t="s">
        <v>1010</v>
      </c>
      <c r="C159" s="64"/>
      <c r="D159" s="212" t="str">
        <f>"IND"&amp;RIGHT(H159,4)&amp;"GAS"&amp;"N"&amp;RIGHT(E159,1)</f>
        <v>INDODSHGASN4</v>
      </c>
      <c r="E159" s="261" t="str">
        <f>"Industrial heating technology "&amp;$AJ$12&amp;" "&amp;RIGHT(H159,2)&amp;" - Gas boiler (Hot Water- condensing) - new 4"</f>
        <v>Industrial heating technology Other SH - Gas boiler (Hot Water- condensing) - new 4</v>
      </c>
      <c r="F159" s="224" t="s">
        <v>1149</v>
      </c>
      <c r="G159" s="173" t="s">
        <v>2080</v>
      </c>
      <c r="H159" s="174" t="str">
        <f>$AI$15</f>
        <v>IODSH</v>
      </c>
      <c r="I159" s="174" t="str">
        <f t="shared" si="143"/>
        <v>INDOWH</v>
      </c>
      <c r="J159" s="224">
        <f t="shared" si="146"/>
        <v>2011</v>
      </c>
      <c r="K159" s="299">
        <f>J159</f>
        <v>2011</v>
      </c>
      <c r="L159" s="199">
        <f t="shared" ca="1" si="207"/>
        <v>1.01</v>
      </c>
      <c r="M159" s="199"/>
      <c r="N159" s="81">
        <f ca="1">VLOOKUP($AD159,INDIRECT("'"&amp;$B159&amp;"'!"&amp;"$P$279:$AD$282"),5,FALSE)</f>
        <v>25</v>
      </c>
      <c r="O159" s="723">
        <f t="shared" ca="1" si="208"/>
        <v>0.35760000000000003</v>
      </c>
      <c r="P159" s="723">
        <f t="shared" ca="1" si="209"/>
        <v>1.49E-2</v>
      </c>
      <c r="Q159" s="81">
        <f t="shared" ca="1" si="210"/>
        <v>2.276388888888889</v>
      </c>
      <c r="R159" s="81">
        <v>3.1536000000000002E-2</v>
      </c>
      <c r="S159" s="199">
        <v>0.5</v>
      </c>
      <c r="T159" s="199">
        <f ca="1">HLOOKUP($T$2,INDIRECT("'"&amp;$B159&amp;"'!"&amp;"$P$246:$AC$259"),IF(H159=$AI$13,6,IF(H159=$AI$14,9,14)),FALSE)</f>
        <v>0</v>
      </c>
      <c r="U159" s="773"/>
      <c r="V159" s="199">
        <f t="shared" ref="V159" ca="1" si="218">IF(IF(RIGHT(H159,2)="PH",(1-L159)+$W$2,IF(RIGHT(H159,2)="HT",(1-L159)+$W$1,IF(RIGHT(H159,2)="SH",(1-L159)+$W$3,"")))&gt;0,IF(RIGHT(H159,2)="PH",(1-L159)+$W$2,IF(RIGHT(H159,2)="HT",(1-L159)+$W$1,IF(RIGHT(H159,2)="SH",(1-L159)+$W$3,""))),0)</f>
        <v>0</v>
      </c>
      <c r="W159" s="709"/>
      <c r="X159" s="698">
        <f t="shared" ref="X159:X177" ca="1" si="219">IF(VLOOKUP($AD159,INDIRECT("'"&amp;$B159&amp;"'!"&amp;"$P$39:$AD$42"),11,FALSE)="Cf. the utilized electricity",0,VLOOKUP($AD159,INDIRECT("'"&amp;$B159&amp;"'!"&amp;"$P$39:$AD$42"),11,FALSE))</f>
        <v>0.3</v>
      </c>
      <c r="Y159" s="698">
        <f t="shared" ca="1" si="212"/>
        <v>9</v>
      </c>
      <c r="Z159" s="698">
        <f t="shared" ca="1" si="213"/>
        <v>3</v>
      </c>
      <c r="AA159" s="698">
        <f t="shared" ca="1" si="214"/>
        <v>1</v>
      </c>
      <c r="AB159" s="698">
        <f t="shared" ca="1" si="215"/>
        <v>0.1</v>
      </c>
      <c r="AC159" s="296"/>
      <c r="AD159" s="81">
        <v>2020</v>
      </c>
      <c r="AE159" s="81"/>
      <c r="AF159" s="710"/>
    </row>
    <row r="160" spans="1:32">
      <c r="B160" s="718" t="s">
        <v>1010</v>
      </c>
      <c r="C160" s="64"/>
      <c r="E160" s="261"/>
      <c r="F160" s="224" t="s">
        <v>1149</v>
      </c>
      <c r="G160" s="55"/>
      <c r="H160" s="174"/>
      <c r="I160" s="174" t="str">
        <f t="shared" si="143"/>
        <v>INDOWH</v>
      </c>
      <c r="J160" s="224">
        <f t="shared" si="146"/>
        <v>2030</v>
      </c>
      <c r="K160" s="81"/>
      <c r="L160" s="199">
        <f t="shared" ca="1" si="207"/>
        <v>1.03</v>
      </c>
      <c r="M160" s="199"/>
      <c r="N160" s="81"/>
      <c r="O160" s="723">
        <f t="shared" ca="1" si="208"/>
        <v>0.29800000000000004</v>
      </c>
      <c r="P160" s="723">
        <f t="shared" ca="1" si="209"/>
        <v>1.4154999999999999E-2</v>
      </c>
      <c r="Q160" s="81">
        <f t="shared" ca="1" si="210"/>
        <v>2.0694444444444446</v>
      </c>
      <c r="R160" s="300"/>
      <c r="S160" s="300"/>
      <c r="T160" s="300"/>
      <c r="U160" s="300"/>
      <c r="V160" s="199">
        <f t="shared" ref="V160" ca="1" si="220">IF(IF(RIGHT(H159,2)="PH",(1-L160)+$W$2,IF(RIGHT(H159,2)="HT",(1-L160)+$W$1,IF(RIGHT(H159,2)="SH",(1-L160)+$W$3,"")))&gt;0,IF(RIGHT(H159,2)="PH",(1-L160)+$W$2,IF(RIGHT(H159,2)="HT",(1-L160)+$W$1,IF(RIGHT(H159,2)="SH",(1-L160)+$W$3,""))),0)</f>
        <v>0</v>
      </c>
      <c r="W160" s="298"/>
      <c r="X160" s="698">
        <f t="shared" ca="1" si="219"/>
        <v>0.3</v>
      </c>
      <c r="Y160" s="698">
        <f t="shared" ca="1" si="212"/>
        <v>7</v>
      </c>
      <c r="Z160" s="698">
        <f t="shared" ca="1" si="213"/>
        <v>2</v>
      </c>
      <c r="AA160" s="698">
        <f t="shared" ca="1" si="214"/>
        <v>1</v>
      </c>
      <c r="AB160" s="698">
        <f t="shared" ca="1" si="215"/>
        <v>0.1</v>
      </c>
      <c r="AC160" s="55"/>
      <c r="AD160" s="81">
        <v>2030</v>
      </c>
      <c r="AE160" s="81"/>
      <c r="AF160" s="700"/>
    </row>
    <row r="161" spans="1:32">
      <c r="B161" s="719" t="s">
        <v>1010</v>
      </c>
      <c r="C161" s="713"/>
      <c r="D161" s="701"/>
      <c r="E161" s="701"/>
      <c r="F161" s="224" t="s">
        <v>1149</v>
      </c>
      <c r="G161" s="203"/>
      <c r="H161" s="702"/>
      <c r="I161" s="702" t="str">
        <f t="shared" si="143"/>
        <v>INDOWH</v>
      </c>
      <c r="J161" s="224">
        <f t="shared" si="146"/>
        <v>2050</v>
      </c>
      <c r="K161" s="81"/>
      <c r="L161" s="199">
        <f t="shared" ca="1" si="207"/>
        <v>1.03</v>
      </c>
      <c r="M161" s="199"/>
      <c r="N161" s="81"/>
      <c r="O161" s="723">
        <f t="shared" ca="1" si="208"/>
        <v>0.29800000000000004</v>
      </c>
      <c r="P161" s="723">
        <f t="shared" ca="1" si="209"/>
        <v>1.2664999999999999E-2</v>
      </c>
      <c r="Q161" s="81">
        <f t="shared" ca="1" si="210"/>
        <v>2.0694444444444446</v>
      </c>
      <c r="R161" s="300"/>
      <c r="S161" s="300"/>
      <c r="T161" s="300"/>
      <c r="U161" s="300"/>
      <c r="V161" s="199">
        <f t="shared" ref="V161" ca="1" si="221">IF(IF(RIGHT(H159,2)="PH",(1-L161)+$W$2,IF(RIGHT(H159,2)="HT",(1-L161)+$W$1,IF(RIGHT(H159,2)="SH",(1-L161)+$W$3,"")))&gt;0,IF(RIGHT(H159,2)="PH",(1-L161)+$W$2,IF(RIGHT(H159,2)="HT",(1-L161)+$W$1,IF(RIGHT(H159,2)="SH",(1-L161)+$W$3,""))),0)</f>
        <v>0</v>
      </c>
      <c r="W161" s="714"/>
      <c r="X161" s="698">
        <f t="shared" ca="1" si="219"/>
        <v>0.3</v>
      </c>
      <c r="Y161" s="698">
        <f t="shared" ca="1" si="212"/>
        <v>6</v>
      </c>
      <c r="Z161" s="698">
        <f t="shared" ca="1" si="213"/>
        <v>2</v>
      </c>
      <c r="AA161" s="698">
        <f t="shared" ca="1" si="214"/>
        <v>1</v>
      </c>
      <c r="AB161" s="698">
        <f t="shared" ca="1" si="215"/>
        <v>0.1</v>
      </c>
      <c r="AC161" s="55"/>
      <c r="AD161" s="81">
        <v>2050</v>
      </c>
      <c r="AE161" s="81"/>
      <c r="AF161" s="700"/>
    </row>
    <row r="162" spans="1:32">
      <c r="B162" s="718" t="s">
        <v>1010</v>
      </c>
      <c r="C162" s="64"/>
      <c r="D162" s="212" t="str">
        <f>"IND"&amp;RIGHT(H162,4)&amp;"GAS"&amp;"N"&amp;RIGHT(E162,1)</f>
        <v>INDODPHGASN5</v>
      </c>
      <c r="E162" s="707" t="str">
        <f>"Industrial heating technology "&amp;$AJ$12&amp;" "&amp;RIGHT(H162,2)&amp;" - Gas boiler (Direct firing) - new 5"</f>
        <v>Industrial heating technology Other PH - Gas boiler (Direct firing) - new 5</v>
      </c>
      <c r="F162" s="224" t="s">
        <v>1149</v>
      </c>
      <c r="G162" s="173" t="s">
        <v>2080</v>
      </c>
      <c r="H162" s="174" t="str">
        <f>$AI$13</f>
        <v>IODPH</v>
      </c>
      <c r="I162" s="174" t="str">
        <f t="shared" si="143"/>
        <v>INDOWH</v>
      </c>
      <c r="J162" s="224">
        <f t="shared" si="146"/>
        <v>2011</v>
      </c>
      <c r="K162" s="299">
        <f>J162</f>
        <v>2011</v>
      </c>
      <c r="L162" s="199">
        <f t="shared" ref="L162:L167" ca="1" si="222">VLOOKUP($AD162,INDIRECT("'"&amp;$B162&amp;"'!"&amp;"$P$345:$AD$348"),3,FALSE)</f>
        <v>1</v>
      </c>
      <c r="M162" s="199"/>
      <c r="N162" s="81">
        <f ca="1">VLOOKUP($AD162,INDIRECT("'"&amp;$B162&amp;"'!"&amp;"$P$345:$AD$348"),5,FALSE)</f>
        <v>15</v>
      </c>
      <c r="O162" s="723">
        <f t="shared" ref="O162:O167" ca="1" si="223">VLOOKUP($AD162,INDIRECT("'"&amp;$B162&amp;"'!"&amp;"$P$345:$AD$348"),6,FALSE)/1000</f>
        <v>0.11175</v>
      </c>
      <c r="P162" s="723">
        <f t="shared" ref="P162:P167" ca="1" si="224">VLOOKUP($AD162,INDIRECT("'"&amp;$B162&amp;"'!"&amp;"$P$345:$AD$348"),7,FALSE)/1000</f>
        <v>1.3545454545454561E-3</v>
      </c>
      <c r="Q162" s="81">
        <f t="shared" ref="Q162:Q167" ca="1" si="225">VLOOKUP($AD162,INDIRECT("'"&amp;$B162&amp;"'!"&amp;"$P$345:$AD$348"),8,FALSE)</f>
        <v>0.58461805555555546</v>
      </c>
      <c r="R162" s="81">
        <v>3.1536000000000002E-2</v>
      </c>
      <c r="S162" s="199">
        <v>0.5</v>
      </c>
      <c r="T162" s="199">
        <f ca="1">HLOOKUP($S$2,INDIRECT("'"&amp;$B162&amp;"'!"&amp;"$P$312:$AC$325"),IF(H162=$AI$13,6,IF(H162=$AI$14,9,14)),FALSE)</f>
        <v>1</v>
      </c>
      <c r="U162" s="773"/>
      <c r="V162" s="199">
        <f t="shared" ref="V162" ca="1" si="226">IF(IF(RIGHT(H162,2)="PH",(1-L162)+$W$2,IF(RIGHT(H162,2)="HT",(1-L162)+$W$1,IF(RIGHT(H162,2)="SH",(1-L162)+$W$3,"")))&gt;0,IF(RIGHT(H162,2)="PH",(1-L162)+$W$2,IF(RIGHT(H162,2)="HT",(1-L162)+$W$1,IF(RIGHT(H162,2)="SH",(1-L162)+$W$3,""))),0)</f>
        <v>0.2</v>
      </c>
      <c r="W162" s="709"/>
      <c r="X162" s="698">
        <f t="shared" ca="1" si="219"/>
        <v>0.3</v>
      </c>
      <c r="Y162" s="698">
        <f t="shared" ref="Y162:Y167" ca="1" si="227">VLOOKUP($AD162,INDIRECT("'"&amp;$B162&amp;"'!"&amp;"$P$345:$AD$348"),12,FALSE)</f>
        <v>9</v>
      </c>
      <c r="Z162" s="698">
        <f t="shared" ref="Z162:Z167" ca="1" si="228">VLOOKUP($AD162,INDIRECT("'"&amp;$B162&amp;"'!"&amp;"$P$345:$AD$348"),13,FALSE)</f>
        <v>3</v>
      </c>
      <c r="AA162" s="698">
        <f t="shared" ref="AA162:AA167" ca="1" si="229">VLOOKUP($AD162,INDIRECT("'"&amp;$B162&amp;"'!"&amp;"$P$345:$AD$348"),14,FALSE)</f>
        <v>1</v>
      </c>
      <c r="AB162" s="698">
        <f t="shared" ref="AB162:AB167" ca="1" si="230">VLOOKUP($AD162,INDIRECT("'"&amp;$B162&amp;"'!"&amp;"$P$345:$AD$348"),15,FALSE)</f>
        <v>0.1</v>
      </c>
      <c r="AC162" s="55"/>
      <c r="AD162" s="81">
        <v>2020</v>
      </c>
      <c r="AE162" s="81"/>
      <c r="AF162" s="700"/>
    </row>
    <row r="163" spans="1:32">
      <c r="B163" s="718" t="s">
        <v>1010</v>
      </c>
      <c r="C163" s="64"/>
      <c r="E163" s="261"/>
      <c r="F163" s="224" t="s">
        <v>1149</v>
      </c>
      <c r="G163" s="55"/>
      <c r="H163" s="174"/>
      <c r="I163" s="174" t="str">
        <f t="shared" si="143"/>
        <v>INDOWH</v>
      </c>
      <c r="J163" s="224">
        <f t="shared" si="146"/>
        <v>2030</v>
      </c>
      <c r="K163" s="81"/>
      <c r="L163" s="199">
        <f t="shared" ca="1" si="222"/>
        <v>1</v>
      </c>
      <c r="M163" s="199"/>
      <c r="N163" s="81"/>
      <c r="O163" s="723">
        <f t="shared" ca="1" si="223"/>
        <v>0.11175</v>
      </c>
      <c r="P163" s="723">
        <f t="shared" ca="1" si="224"/>
        <v>1.3206818181818161E-3</v>
      </c>
      <c r="Q163" s="81">
        <f t="shared" ca="1" si="225"/>
        <v>0.5742708333333334</v>
      </c>
      <c r="R163" s="300"/>
      <c r="S163" s="300"/>
      <c r="T163" s="300"/>
      <c r="U163" s="300"/>
      <c r="V163" s="199">
        <f t="shared" ref="V163" ca="1" si="231">IF(IF(RIGHT(H162,2)="PH",(1-L163)+$W$2,IF(RIGHT(H162,2)="HT",(1-L163)+$W$1,IF(RIGHT(H162,2)="SH",(1-L163)+$W$3,"")))&gt;0,IF(RIGHT(H162,2)="PH",(1-L163)+$W$2,IF(RIGHT(H162,2)="HT",(1-L163)+$W$1,IF(RIGHT(H162,2)="SH",(1-L163)+$W$3,""))),0)</f>
        <v>0.2</v>
      </c>
      <c r="W163" s="298"/>
      <c r="X163" s="698">
        <f t="shared" ca="1" si="219"/>
        <v>0.3</v>
      </c>
      <c r="Y163" s="698">
        <f t="shared" ca="1" si="227"/>
        <v>7</v>
      </c>
      <c r="Z163" s="698">
        <f t="shared" ca="1" si="228"/>
        <v>2</v>
      </c>
      <c r="AA163" s="698">
        <f t="shared" ca="1" si="229"/>
        <v>1</v>
      </c>
      <c r="AB163" s="698">
        <f t="shared" ca="1" si="230"/>
        <v>0.1</v>
      </c>
      <c r="AC163" s="55"/>
      <c r="AD163" s="81">
        <v>2030</v>
      </c>
      <c r="AE163" s="81"/>
      <c r="AF163" s="700"/>
    </row>
    <row r="164" spans="1:32">
      <c r="B164" s="718" t="s">
        <v>1010</v>
      </c>
      <c r="C164" s="64"/>
      <c r="E164" s="261"/>
      <c r="F164" s="224" t="s">
        <v>1149</v>
      </c>
      <c r="G164" s="55"/>
      <c r="H164" s="174"/>
      <c r="I164" s="174" t="str">
        <f t="shared" si="143"/>
        <v>INDOWH</v>
      </c>
      <c r="J164" s="224">
        <f t="shared" si="146"/>
        <v>2050</v>
      </c>
      <c r="K164" s="81"/>
      <c r="L164" s="199">
        <f t="shared" ca="1" si="222"/>
        <v>1</v>
      </c>
      <c r="M164" s="199"/>
      <c r="N164" s="81"/>
      <c r="O164" s="723">
        <f t="shared" ca="1" si="223"/>
        <v>0.11175</v>
      </c>
      <c r="P164" s="723">
        <f t="shared" ca="1" si="224"/>
        <v>1.1513636363636396E-3</v>
      </c>
      <c r="Q164" s="81">
        <f t="shared" ca="1" si="225"/>
        <v>0.57944444444444443</v>
      </c>
      <c r="R164" s="300"/>
      <c r="S164" s="300"/>
      <c r="T164" s="300"/>
      <c r="U164" s="300"/>
      <c r="V164" s="199">
        <f t="shared" ref="V164" ca="1" si="232">IF(IF(RIGHT(H162,2)="PH",(1-L164)+$W$2,IF(RIGHT(H162,2)="HT",(1-L164)+$W$1,IF(RIGHT(H162,2)="SH",(1-L164)+$W$3,"")))&gt;0,IF(RIGHT(H162,2)="PH",(1-L164)+$W$2,IF(RIGHT(H162,2)="HT",(1-L164)+$W$1,IF(RIGHT(H162,2)="SH",(1-L164)+$W$3,""))),0)</f>
        <v>0.2</v>
      </c>
      <c r="W164" s="298"/>
      <c r="X164" s="698">
        <f t="shared" ca="1" si="219"/>
        <v>0.3</v>
      </c>
      <c r="Y164" s="698">
        <f t="shared" ca="1" si="227"/>
        <v>6</v>
      </c>
      <c r="Z164" s="698">
        <f t="shared" ca="1" si="228"/>
        <v>2</v>
      </c>
      <c r="AA164" s="698">
        <f t="shared" ca="1" si="229"/>
        <v>1</v>
      </c>
      <c r="AB164" s="698">
        <f t="shared" ca="1" si="230"/>
        <v>0.1</v>
      </c>
      <c r="AC164" s="203"/>
      <c r="AD164" s="81">
        <v>2050</v>
      </c>
      <c r="AE164" s="81"/>
      <c r="AF164" s="700"/>
    </row>
    <row r="165" spans="1:32">
      <c r="B165" s="718" t="s">
        <v>1010</v>
      </c>
      <c r="C165" s="64"/>
      <c r="D165" s="212" t="str">
        <f>"IND"&amp;RIGHT(H165,4)&amp;"GAS"&amp;"N"&amp;RIGHT(E165,1)</f>
        <v>INDODPHGASN5</v>
      </c>
      <c r="E165" s="261" t="str">
        <f>"Industrial heating technology "&amp;$AJ$12&amp;" "&amp;RIGHT(H165,2)&amp;" - Gas boiler (Direct firing) - new 5"</f>
        <v>Industrial heating technology Other PH - Gas boiler (Direct firing) - new 5</v>
      </c>
      <c r="F165" s="224" t="s">
        <v>1149</v>
      </c>
      <c r="G165" s="173" t="s">
        <v>2080</v>
      </c>
      <c r="H165" s="174" t="str">
        <f>$AI$14</f>
        <v>IODPH</v>
      </c>
      <c r="I165" s="721" t="str">
        <f t="shared" si="143"/>
        <v>INDOWH</v>
      </c>
      <c r="J165" s="224">
        <f t="shared" si="146"/>
        <v>2011</v>
      </c>
      <c r="K165" s="299">
        <f>J165</f>
        <v>2011</v>
      </c>
      <c r="L165" s="199">
        <f t="shared" ca="1" si="222"/>
        <v>1</v>
      </c>
      <c r="M165" s="199"/>
      <c r="N165" s="81">
        <f ca="1">VLOOKUP($AD165,INDIRECT("'"&amp;$B165&amp;"'!"&amp;"$P$279:$AD$282"),5,FALSE)</f>
        <v>25</v>
      </c>
      <c r="O165" s="723">
        <f t="shared" ca="1" si="223"/>
        <v>0.11175</v>
      </c>
      <c r="P165" s="723">
        <f t="shared" ca="1" si="224"/>
        <v>1.3545454545454561E-3</v>
      </c>
      <c r="Q165" s="81">
        <f t="shared" ca="1" si="225"/>
        <v>0.58461805555555546</v>
      </c>
      <c r="R165" s="81">
        <v>3.1536000000000002E-2</v>
      </c>
      <c r="S165" s="199">
        <v>0.5</v>
      </c>
      <c r="T165" s="199">
        <f ca="1">HLOOKUP($S$2,INDIRECT("'"&amp;$B165&amp;"'!"&amp;"$P$312:$AC$325"),IF(H165=$AI$13,6,IF(H165=$AI$14,9,14)),FALSE)</f>
        <v>1</v>
      </c>
      <c r="U165" s="773"/>
      <c r="V165" s="199">
        <f t="shared" ref="V165" ca="1" si="233">IF(IF(RIGHT(H165,2)="PH",(1-L165)+$W$2,IF(RIGHT(H165,2)="HT",(1-L165)+$W$1,IF(RIGHT(H165,2)="SH",(1-L165)+$W$3,"")))&gt;0,IF(RIGHT(H165,2)="PH",(1-L165)+$W$2,IF(RIGHT(H165,2)="HT",(1-L165)+$W$1,IF(RIGHT(H165,2)="SH",(1-L165)+$W$3,""))),0)</f>
        <v>0.2</v>
      </c>
      <c r="W165" s="709"/>
      <c r="X165" s="698">
        <f t="shared" ca="1" si="219"/>
        <v>0.3</v>
      </c>
      <c r="Y165" s="698">
        <f t="shared" ca="1" si="227"/>
        <v>9</v>
      </c>
      <c r="Z165" s="698">
        <f t="shared" ca="1" si="228"/>
        <v>3</v>
      </c>
      <c r="AA165" s="698">
        <f t="shared" ca="1" si="229"/>
        <v>1</v>
      </c>
      <c r="AB165" s="698">
        <f t="shared" ca="1" si="230"/>
        <v>0.1</v>
      </c>
      <c r="AD165" s="277">
        <v>2020</v>
      </c>
      <c r="AE165" s="273"/>
      <c r="AF165" s="830"/>
    </row>
    <row r="166" spans="1:32">
      <c r="B166" s="718" t="s">
        <v>1010</v>
      </c>
      <c r="C166" s="64"/>
      <c r="E166" s="261"/>
      <c r="F166" s="224" t="s">
        <v>1149</v>
      </c>
      <c r="G166" s="55"/>
      <c r="H166" s="174"/>
      <c r="I166" s="174" t="str">
        <f t="shared" si="143"/>
        <v>INDOWH</v>
      </c>
      <c r="J166" s="224">
        <f t="shared" si="146"/>
        <v>2030</v>
      </c>
      <c r="K166" s="81"/>
      <c r="L166" s="199">
        <f t="shared" ca="1" si="222"/>
        <v>1</v>
      </c>
      <c r="M166" s="199"/>
      <c r="N166" s="81"/>
      <c r="O166" s="723">
        <f t="shared" ca="1" si="223"/>
        <v>0.11175</v>
      </c>
      <c r="P166" s="723">
        <f t="shared" ca="1" si="224"/>
        <v>1.3206818181818161E-3</v>
      </c>
      <c r="Q166" s="81">
        <f t="shared" ca="1" si="225"/>
        <v>0.5742708333333334</v>
      </c>
      <c r="R166" s="300"/>
      <c r="S166" s="300"/>
      <c r="T166" s="300"/>
      <c r="U166" s="300"/>
      <c r="V166" s="199">
        <f t="shared" ref="V166" ca="1" si="234">IF(IF(RIGHT(H165,2)="PH",(1-L166)+$W$2,IF(RIGHT(H165,2)="HT",(1-L166)+$W$1,IF(RIGHT(H165,2)="SH",(1-L166)+$W$3,"")))&gt;0,IF(RIGHT(H165,2)="PH",(1-L166)+$W$2,IF(RIGHT(H165,2)="HT",(1-L166)+$W$1,IF(RIGHT(H165,2)="SH",(1-L166)+$W$3,""))),0)</f>
        <v>0.2</v>
      </c>
      <c r="W166" s="298"/>
      <c r="X166" s="698">
        <f t="shared" ca="1" si="219"/>
        <v>0.3</v>
      </c>
      <c r="Y166" s="698">
        <f t="shared" ca="1" si="227"/>
        <v>7</v>
      </c>
      <c r="Z166" s="698">
        <f t="shared" ca="1" si="228"/>
        <v>2</v>
      </c>
      <c r="AA166" s="698">
        <f t="shared" ca="1" si="229"/>
        <v>1</v>
      </c>
      <c r="AB166" s="698">
        <f t="shared" ca="1" si="230"/>
        <v>0.1</v>
      </c>
      <c r="AD166" s="81">
        <v>2030</v>
      </c>
      <c r="AE166" s="273"/>
      <c r="AF166" s="828"/>
    </row>
    <row r="167" spans="1:32">
      <c r="A167" s="169"/>
      <c r="B167" s="719" t="s">
        <v>1010</v>
      </c>
      <c r="C167" s="713"/>
      <c r="D167" s="701"/>
      <c r="E167" s="701"/>
      <c r="F167" s="224" t="s">
        <v>1149</v>
      </c>
      <c r="G167" s="203"/>
      <c r="H167" s="702"/>
      <c r="I167" s="702" t="str">
        <f t="shared" si="143"/>
        <v>INDOWH</v>
      </c>
      <c r="J167" s="224">
        <f t="shared" si="146"/>
        <v>2050</v>
      </c>
      <c r="K167" s="81"/>
      <c r="L167" s="199">
        <f t="shared" ca="1" si="222"/>
        <v>1</v>
      </c>
      <c r="M167" s="199"/>
      <c r="N167" s="81"/>
      <c r="O167" s="723">
        <f t="shared" ca="1" si="223"/>
        <v>0.11175</v>
      </c>
      <c r="P167" s="723">
        <f t="shared" ca="1" si="224"/>
        <v>1.1513636363636396E-3</v>
      </c>
      <c r="Q167" s="81">
        <f t="shared" ca="1" si="225"/>
        <v>0.57944444444444443</v>
      </c>
      <c r="R167" s="722"/>
      <c r="S167" s="703"/>
      <c r="T167" s="703"/>
      <c r="U167" s="703"/>
      <c r="V167" s="199">
        <f t="shared" ref="V167" ca="1" si="235">IF(IF(RIGHT(H165,2)="PH",(1-L167)+$W$2,IF(RIGHT(H165,2)="HT",(1-L167)+$W$1,IF(RIGHT(H165,2)="SH",(1-L167)+$W$3,"")))&gt;0,IF(RIGHT(H165,2)="PH",(1-L167)+$W$2,IF(RIGHT(H165,2)="HT",(1-L167)+$W$1,IF(RIGHT(H165,2)="SH",(1-L167)+$W$3,""))),0)</f>
        <v>0.2</v>
      </c>
      <c r="W167" s="714"/>
      <c r="X167" s="698">
        <f t="shared" ca="1" si="219"/>
        <v>0.3</v>
      </c>
      <c r="Y167" s="698">
        <f t="shared" ca="1" si="227"/>
        <v>6</v>
      </c>
      <c r="Z167" s="698">
        <f t="shared" ca="1" si="228"/>
        <v>2</v>
      </c>
      <c r="AA167" s="698">
        <f t="shared" ca="1" si="229"/>
        <v>1</v>
      </c>
      <c r="AB167" s="698">
        <f t="shared" ca="1" si="230"/>
        <v>0.1</v>
      </c>
      <c r="AD167" s="81">
        <v>2050</v>
      </c>
      <c r="AE167" s="273"/>
      <c r="AF167" s="828"/>
    </row>
    <row r="168" spans="1:32">
      <c r="A168" s="169"/>
      <c r="B168" s="718" t="s">
        <v>1099</v>
      </c>
      <c r="C168" s="226"/>
      <c r="D168" s="707" t="str">
        <f>"IND"&amp;RIGHT(H168,4)&amp;RIGHT(G168,3)&amp;"N"&amp;RIGHT(E168,1)</f>
        <v>INDODPHCOAN1</v>
      </c>
      <c r="E168" s="261" t="str">
        <f>"Industrial heating technology "&amp;$AJ$12&amp;" "&amp;RIGHT(H168,2)&amp;" - Coal boiler (Steam) - new 1"</f>
        <v>Industrial heating technology Other PH - Coal boiler (Steam) - new 1</v>
      </c>
      <c r="F168" s="224" t="s">
        <v>1149</v>
      </c>
      <c r="G168" s="55" t="s">
        <v>617</v>
      </c>
      <c r="H168" s="174" t="str">
        <f>$AI$13</f>
        <v>IODPH</v>
      </c>
      <c r="I168" s="174" t="str">
        <f t="shared" si="143"/>
        <v>INDOWH</v>
      </c>
      <c r="J168" s="224">
        <f t="shared" si="146"/>
        <v>2011</v>
      </c>
      <c r="K168" s="299">
        <v>2025</v>
      </c>
      <c r="L168" s="199">
        <f t="shared" ref="L168:L176" ca="1" si="236">VLOOKUP($AD168,INDIRECT("'"&amp;$B168&amp;"'!"&amp;"$P$39:$AD$42"),3,FALSE)</f>
        <v>0.89</v>
      </c>
      <c r="M168" s="699"/>
      <c r="N168" s="299">
        <f ca="1">VLOOKUP($AD168,INDIRECT("'"&amp;$B168&amp;"'!"&amp;"$P$39:$AD$42"),5,FALSE)</f>
        <v>25</v>
      </c>
      <c r="O168" s="725">
        <f t="shared" ref="O168:O176" ca="1" si="237">VLOOKUP($AD168,INDIRECT("'"&amp;$B168&amp;"'!"&amp;"$P$39:$AD$42"),6,FALSE)/1000</f>
        <v>3.7250000000000001</v>
      </c>
      <c r="P168" s="725">
        <f t="shared" ref="P168:P176" ca="1" si="238">VLOOKUP($AD168,INDIRECT("'"&amp;$B168&amp;"'!"&amp;"$P$39:$AD$42"),7,FALSE)/1000</f>
        <v>0.25106499999999998</v>
      </c>
      <c r="Q168" s="299">
        <f t="shared" ref="Q168:Q176" ca="1" si="239">VLOOKUP($AD168,INDIRECT("'"&amp;$B168&amp;"'!"&amp;"$P$39:$AD$42"),8,FALSE)</f>
        <v>3.9381527777777778</v>
      </c>
      <c r="R168" s="299">
        <v>3.1536000000000002E-2</v>
      </c>
      <c r="S168" s="699">
        <v>0.5</v>
      </c>
      <c r="T168" s="699">
        <f ca="1">HLOOKUP($T$2,INDIRECT("'"&amp;$B168&amp;"'!"&amp;"$P$6:$AC$19"),IF(H168=$AI$13,6,IF(H168=$AI$14,9,14)),FALSE)</f>
        <v>1</v>
      </c>
      <c r="U168" s="772"/>
      <c r="V168" s="199">
        <f t="shared" ref="V168" ca="1" si="240">IF(IF(RIGHT(H168,2)="PH",(1-L168)+$W$2,IF(RIGHT(H168,2)="HT",(1-L168)+$W$1,IF(RIGHT(H168,2)="SH",(1-L168)+$W$3,"")))&gt;0,IF(RIGHT(H168,2)="PH",(1-L168)+$W$2,IF(RIGHT(H168,2)="HT",(1-L168)+$W$1,IF(RIGHT(H168,2)="SH",(1-L168)+$W$3,""))),0)</f>
        <v>0.31</v>
      </c>
      <c r="W168" s="298"/>
      <c r="X168" s="698">
        <f t="shared" ca="1" si="219"/>
        <v>8</v>
      </c>
      <c r="Y168" s="299">
        <f t="shared" ref="Y168:Y176" ca="1" si="241">VLOOKUP($AD168,INDIRECT("'"&amp;$B168&amp;"'!"&amp;"$P$39:$AD$42"),12,FALSE)</f>
        <v>35</v>
      </c>
      <c r="Z168" s="299">
        <f t="shared" ref="Z168:Z176" ca="1" si="242">VLOOKUP($AD168,INDIRECT("'"&amp;$B168&amp;"'!"&amp;"$P$39:$AD$42"),13,FALSE)</f>
        <v>1.5</v>
      </c>
      <c r="AA168" s="299">
        <f t="shared" ref="AA168:AA176" ca="1" si="243">VLOOKUP($AD168,INDIRECT("'"&amp;$B168&amp;"'!"&amp;"$P$39:$AD$42"),14,FALSE)</f>
        <v>0.8</v>
      </c>
      <c r="AB168" s="299">
        <f t="shared" ref="AB168:AB176" ca="1" si="244">VLOOKUP($AD168,INDIRECT("'"&amp;$B168&amp;"'!"&amp;"$P$39:$AD$42"),15,FALSE)</f>
        <v>2.1</v>
      </c>
      <c r="AD168" s="81">
        <v>2020</v>
      </c>
      <c r="AE168" s="273"/>
      <c r="AF168" s="828"/>
    </row>
    <row r="169" spans="1:32">
      <c r="A169" s="169"/>
      <c r="B169" s="718" t="s">
        <v>1099</v>
      </c>
      <c r="C169" s="226"/>
      <c r="D169" s="261"/>
      <c r="E169" s="261"/>
      <c r="F169" s="224" t="s">
        <v>1149</v>
      </c>
      <c r="G169" s="55"/>
      <c r="H169" s="174"/>
      <c r="I169" s="174" t="str">
        <f t="shared" si="143"/>
        <v>INDOWH</v>
      </c>
      <c r="J169" s="224">
        <f t="shared" si="146"/>
        <v>2030</v>
      </c>
      <c r="K169" s="81"/>
      <c r="L169" s="199">
        <f t="shared" ca="1" si="236"/>
        <v>0.89</v>
      </c>
      <c r="M169" s="772"/>
      <c r="N169" s="200"/>
      <c r="O169" s="725">
        <f t="shared" ca="1" si="237"/>
        <v>3.4699403462447704</v>
      </c>
      <c r="P169" s="725">
        <f t="shared" ca="1" si="238"/>
        <v>0.24287</v>
      </c>
      <c r="Q169" s="299">
        <f t="shared" ca="1" si="239"/>
        <v>3.9836805555555559</v>
      </c>
      <c r="R169" s="823"/>
      <c r="S169" s="300"/>
      <c r="T169" s="300"/>
      <c r="U169" s="300"/>
      <c r="V169" s="199">
        <f t="shared" ref="V169" ca="1" si="245">IF(IF(RIGHT(H168,2)="PH",(1-L169)+$W$2,IF(RIGHT(H168,2)="HT",(1-L169)+$W$1,IF(RIGHT(H168,2)="SH",(1-L169)+$W$3,"")))&gt;0,IF(RIGHT(H168,2)="PH",(1-L169)+$W$2,IF(RIGHT(H168,2)="HT",(1-L169)+$W$1,IF(RIGHT(H168,2)="SH",(1-L169)+$W$3,""))),0)</f>
        <v>0.31</v>
      </c>
      <c r="W169" s="298"/>
      <c r="X169" s="698">
        <f t="shared" ca="1" si="219"/>
        <v>8</v>
      </c>
      <c r="Y169" s="299">
        <f t="shared" ca="1" si="241"/>
        <v>35</v>
      </c>
      <c r="Z169" s="299">
        <f t="shared" ca="1" si="242"/>
        <v>1.5</v>
      </c>
      <c r="AA169" s="299">
        <f t="shared" ca="1" si="243"/>
        <v>0.8</v>
      </c>
      <c r="AB169" s="299">
        <f t="shared" ca="1" si="244"/>
        <v>2.1</v>
      </c>
      <c r="AD169" s="81">
        <v>2030</v>
      </c>
      <c r="AE169" s="273"/>
      <c r="AF169" s="828"/>
    </row>
    <row r="170" spans="1:32">
      <c r="A170" s="169"/>
      <c r="B170" s="718" t="s">
        <v>1099</v>
      </c>
      <c r="C170" s="226"/>
      <c r="D170" s="261"/>
      <c r="E170" s="261"/>
      <c r="F170" s="224" t="s">
        <v>1149</v>
      </c>
      <c r="G170" s="55"/>
      <c r="H170" s="174"/>
      <c r="I170" s="174" t="str">
        <f t="shared" si="143"/>
        <v>INDOWH</v>
      </c>
      <c r="J170" s="224">
        <f t="shared" si="146"/>
        <v>2050</v>
      </c>
      <c r="K170" s="81"/>
      <c r="L170" s="199">
        <f t="shared" ca="1" si="236"/>
        <v>0.91</v>
      </c>
      <c r="M170" s="772"/>
      <c r="N170" s="200"/>
      <c r="O170" s="725">
        <f t="shared" ca="1" si="237"/>
        <v>3.2813985758696647</v>
      </c>
      <c r="P170" s="725">
        <f t="shared" ca="1" si="238"/>
        <v>0.22797000000000001</v>
      </c>
      <c r="Q170" s="299">
        <f t="shared" ca="1" si="239"/>
        <v>4.0064444444444449</v>
      </c>
      <c r="R170" s="823"/>
      <c r="S170" s="300"/>
      <c r="T170" s="300"/>
      <c r="U170" s="300"/>
      <c r="V170" s="199">
        <f t="shared" ref="V170" ca="1" si="246">IF(IF(RIGHT(H168,2)="PH",(1-L170)+$W$2,IF(RIGHT(H168,2)="HT",(1-L170)+$W$1,IF(RIGHT(H168,2)="SH",(1-L170)+$W$3,"")))&gt;0,IF(RIGHT(H168,2)="PH",(1-L170)+$W$2,IF(RIGHT(H168,2)="HT",(1-L170)+$W$1,IF(RIGHT(H168,2)="SH",(1-L170)+$W$3,""))),0)</f>
        <v>0.28999999999999998</v>
      </c>
      <c r="W170" s="298"/>
      <c r="X170" s="698">
        <f t="shared" ca="1" si="219"/>
        <v>8</v>
      </c>
      <c r="Y170" s="299">
        <f t="shared" ca="1" si="241"/>
        <v>35</v>
      </c>
      <c r="Z170" s="299">
        <f t="shared" ca="1" si="242"/>
        <v>1.5</v>
      </c>
      <c r="AA170" s="299">
        <f t="shared" ca="1" si="243"/>
        <v>0.8</v>
      </c>
      <c r="AB170" s="299">
        <f t="shared" ca="1" si="244"/>
        <v>2.1</v>
      </c>
      <c r="AD170" s="81">
        <v>2050</v>
      </c>
      <c r="AE170" s="273"/>
      <c r="AF170" s="828"/>
    </row>
    <row r="171" spans="1:32">
      <c r="A171" s="169"/>
      <c r="B171" s="718" t="s">
        <v>1099</v>
      </c>
      <c r="C171" s="226"/>
      <c r="D171" s="261" t="str">
        <f>"IND"&amp;RIGHT(H171,4)&amp;RIGHT(G171,3)&amp;"N"&amp;RIGHT(E171,1)</f>
        <v>INDODPHCOAN1</v>
      </c>
      <c r="E171" s="261" t="str">
        <f>"Industrial heating technology "&amp;$AJ$12&amp;" "&amp;RIGHT(H171,2)&amp;" - Coal boiler (Steam) - new 1"</f>
        <v>Industrial heating technology Other PH - Coal boiler (Steam) - new 1</v>
      </c>
      <c r="F171" s="224" t="s">
        <v>1149</v>
      </c>
      <c r="G171" s="55" t="s">
        <v>617</v>
      </c>
      <c r="H171" s="174" t="str">
        <f>$AI$14</f>
        <v>IODPH</v>
      </c>
      <c r="I171" s="174" t="str">
        <f t="shared" si="143"/>
        <v>INDOWH</v>
      </c>
      <c r="J171" s="224">
        <f t="shared" si="146"/>
        <v>2011</v>
      </c>
      <c r="K171" s="299">
        <v>2025</v>
      </c>
      <c r="L171" s="199">
        <f t="shared" ca="1" si="236"/>
        <v>0.89</v>
      </c>
      <c r="M171" s="199"/>
      <c r="N171" s="81">
        <f ca="1">VLOOKUP($AD171,INDIRECT("'"&amp;$B171&amp;"'!"&amp;"$P$39:$AD$42"),5,FALSE)</f>
        <v>25</v>
      </c>
      <c r="O171" s="725">
        <f t="shared" ca="1" si="237"/>
        <v>3.7250000000000001</v>
      </c>
      <c r="P171" s="725">
        <f t="shared" ca="1" si="238"/>
        <v>0.25106499999999998</v>
      </c>
      <c r="Q171" s="299">
        <f t="shared" ca="1" si="239"/>
        <v>3.9381527777777778</v>
      </c>
      <c r="R171" s="81">
        <v>3.1536000000000002E-2</v>
      </c>
      <c r="S171" s="199">
        <v>0.5</v>
      </c>
      <c r="T171" s="199">
        <f ca="1">HLOOKUP($T$2,INDIRECT("'"&amp;$B171&amp;"'!"&amp;"$P$6:$AC$19"),IF(H171=$AI$13,6,IF(H171=$AI$14,9,14)),FALSE)</f>
        <v>1</v>
      </c>
      <c r="U171" s="772"/>
      <c r="V171" s="199">
        <f t="shared" ref="V171" ca="1" si="247">IF(IF(RIGHT(H171,2)="PH",(1-L171)+$W$2,IF(RIGHT(H171,2)="HT",(1-L171)+$W$1,IF(RIGHT(H171,2)="SH",(1-L171)+$W$3,"")))&gt;0,IF(RIGHT(H171,2)="PH",(1-L171)+$W$2,IF(RIGHT(H171,2)="HT",(1-L171)+$W$1,IF(RIGHT(H171,2)="SH",(1-L171)+$W$3,""))),0)</f>
        <v>0.31</v>
      </c>
      <c r="W171" s="298"/>
      <c r="X171" s="698">
        <f t="shared" ca="1" si="219"/>
        <v>8</v>
      </c>
      <c r="Y171" s="299">
        <f t="shared" ca="1" si="241"/>
        <v>35</v>
      </c>
      <c r="Z171" s="299">
        <f t="shared" ca="1" si="242"/>
        <v>1.5</v>
      </c>
      <c r="AA171" s="299">
        <f t="shared" ca="1" si="243"/>
        <v>0.8</v>
      </c>
      <c r="AB171" s="299">
        <f t="shared" ca="1" si="244"/>
        <v>2.1</v>
      </c>
      <c r="AD171" s="81">
        <v>2020</v>
      </c>
      <c r="AE171" s="273"/>
      <c r="AF171" s="828"/>
    </row>
    <row r="172" spans="1:32">
      <c r="A172" s="169"/>
      <c r="B172" s="718" t="s">
        <v>1099</v>
      </c>
      <c r="C172" s="226"/>
      <c r="D172" s="261"/>
      <c r="E172" s="261"/>
      <c r="F172" s="224" t="s">
        <v>1149</v>
      </c>
      <c r="G172" s="55"/>
      <c r="H172" s="174"/>
      <c r="I172" s="174" t="str">
        <f t="shared" si="143"/>
        <v>INDOWH</v>
      </c>
      <c r="J172" s="224">
        <f t="shared" si="146"/>
        <v>2030</v>
      </c>
      <c r="K172" s="81"/>
      <c r="L172" s="199">
        <f t="shared" ca="1" si="236"/>
        <v>0.89</v>
      </c>
      <c r="M172" s="772"/>
      <c r="N172" s="200"/>
      <c r="O172" s="725">
        <f t="shared" ca="1" si="237"/>
        <v>3.4699403462447704</v>
      </c>
      <c r="P172" s="725">
        <f t="shared" ca="1" si="238"/>
        <v>0.24287</v>
      </c>
      <c r="Q172" s="299">
        <f t="shared" ca="1" si="239"/>
        <v>3.9836805555555559</v>
      </c>
      <c r="R172" s="823"/>
      <c r="S172" s="300"/>
      <c r="T172" s="300"/>
      <c r="U172" s="300"/>
      <c r="V172" s="199">
        <f t="shared" ref="V172" ca="1" si="248">IF(IF(RIGHT(H171,2)="PH",(1-L172)+$W$2,IF(RIGHT(H171,2)="HT",(1-L172)+$W$1,IF(RIGHT(H171,2)="SH",(1-L172)+$W$3,"")))&gt;0,IF(RIGHT(H171,2)="PH",(1-L172)+$W$2,IF(RIGHT(H171,2)="HT",(1-L172)+$W$1,IF(RIGHT(H171,2)="SH",(1-L172)+$W$3,""))),0)</f>
        <v>0.31</v>
      </c>
      <c r="W172" s="298"/>
      <c r="X172" s="698">
        <f t="shared" ca="1" si="219"/>
        <v>8</v>
      </c>
      <c r="Y172" s="299">
        <f t="shared" ca="1" si="241"/>
        <v>35</v>
      </c>
      <c r="Z172" s="299">
        <f t="shared" ca="1" si="242"/>
        <v>1.5</v>
      </c>
      <c r="AA172" s="299">
        <f t="shared" ca="1" si="243"/>
        <v>0.8</v>
      </c>
      <c r="AB172" s="299">
        <f t="shared" ca="1" si="244"/>
        <v>2.1</v>
      </c>
      <c r="AD172" s="81">
        <v>2030</v>
      </c>
      <c r="AE172" s="273"/>
      <c r="AF172" s="828"/>
    </row>
    <row r="173" spans="1:32">
      <c r="A173" s="169"/>
      <c r="B173" s="718" t="s">
        <v>1099</v>
      </c>
      <c r="C173" s="226"/>
      <c r="D173" s="261"/>
      <c r="E173" s="261"/>
      <c r="F173" s="224" t="s">
        <v>1149</v>
      </c>
      <c r="G173" s="55"/>
      <c r="H173" s="174"/>
      <c r="I173" s="174" t="str">
        <f t="shared" si="143"/>
        <v>INDOWH</v>
      </c>
      <c r="J173" s="224">
        <f t="shared" si="146"/>
        <v>2050</v>
      </c>
      <c r="K173" s="81"/>
      <c r="L173" s="199">
        <f t="shared" ca="1" si="236"/>
        <v>0.91</v>
      </c>
      <c r="M173" s="772"/>
      <c r="N173" s="200"/>
      <c r="O173" s="725">
        <f t="shared" ca="1" si="237"/>
        <v>3.2813985758696647</v>
      </c>
      <c r="P173" s="725">
        <f t="shared" ca="1" si="238"/>
        <v>0.22797000000000001</v>
      </c>
      <c r="Q173" s="299">
        <f t="shared" ca="1" si="239"/>
        <v>4.0064444444444449</v>
      </c>
      <c r="R173" s="823"/>
      <c r="S173" s="300"/>
      <c r="T173" s="300"/>
      <c r="U173" s="300"/>
      <c r="V173" s="199">
        <f t="shared" ref="V173" ca="1" si="249">IF(IF(RIGHT(H171,2)="PH",(1-L173)+$W$2,IF(RIGHT(H171,2)="HT",(1-L173)+$W$1,IF(RIGHT(H171,2)="SH",(1-L173)+$W$3,"")))&gt;0,IF(RIGHT(H171,2)="PH",(1-L173)+$W$2,IF(RIGHT(H171,2)="HT",(1-L173)+$W$1,IF(RIGHT(H171,2)="SH",(1-L173)+$W$3,""))),0)</f>
        <v>0.28999999999999998</v>
      </c>
      <c r="W173" s="298"/>
      <c r="X173" s="698">
        <f t="shared" ca="1" si="219"/>
        <v>8</v>
      </c>
      <c r="Y173" s="299">
        <f t="shared" ca="1" si="241"/>
        <v>35</v>
      </c>
      <c r="Z173" s="299">
        <f t="shared" ca="1" si="242"/>
        <v>1.5</v>
      </c>
      <c r="AA173" s="299">
        <f t="shared" ca="1" si="243"/>
        <v>0.8</v>
      </c>
      <c r="AB173" s="299">
        <f t="shared" ca="1" si="244"/>
        <v>2.1</v>
      </c>
      <c r="AD173" s="81">
        <v>2050</v>
      </c>
      <c r="AE173" s="273"/>
      <c r="AF173" s="828"/>
    </row>
    <row r="174" spans="1:32">
      <c r="A174" s="169"/>
      <c r="B174" s="718" t="s">
        <v>1099</v>
      </c>
      <c r="C174" s="226"/>
      <c r="D174" s="261" t="str">
        <f>"IND"&amp;RIGHT(H174,4)&amp;RIGHT(G174,3)&amp;"N"&amp;RIGHT(E174,1)</f>
        <v>INDODSHCOAN1</v>
      </c>
      <c r="E174" s="261" t="str">
        <f>"Industrial heating technology "&amp;$AJ$12&amp;" "&amp;RIGHT(H174,2)&amp;" - Coal boiler (Steam) - new 1"</f>
        <v>Industrial heating technology Other SH - Coal boiler (Steam) - new 1</v>
      </c>
      <c r="F174" s="224" t="s">
        <v>1149</v>
      </c>
      <c r="G174" s="55" t="s">
        <v>617</v>
      </c>
      <c r="H174" s="174" t="str">
        <f>$AI$15</f>
        <v>IODSH</v>
      </c>
      <c r="I174" s="174" t="str">
        <f t="shared" si="143"/>
        <v>INDOWH</v>
      </c>
      <c r="J174" s="224">
        <f t="shared" si="146"/>
        <v>2011</v>
      </c>
      <c r="K174" s="299">
        <v>2025</v>
      </c>
      <c r="L174" s="199">
        <f t="shared" ca="1" si="236"/>
        <v>0.89</v>
      </c>
      <c r="M174" s="199"/>
      <c r="N174" s="81">
        <f ca="1">VLOOKUP($AD174,INDIRECT("'"&amp;$B174&amp;"'!"&amp;"$P$39:$AD$42"),5,FALSE)</f>
        <v>25</v>
      </c>
      <c r="O174" s="725">
        <f t="shared" ca="1" si="237"/>
        <v>3.7250000000000001</v>
      </c>
      <c r="P174" s="725">
        <f t="shared" ca="1" si="238"/>
        <v>0.25106499999999998</v>
      </c>
      <c r="Q174" s="299">
        <f t="shared" ca="1" si="239"/>
        <v>3.9381527777777778</v>
      </c>
      <c r="R174" s="81">
        <v>3.1536000000000002E-2</v>
      </c>
      <c r="S174" s="199">
        <v>0.5</v>
      </c>
      <c r="T174" s="199">
        <f ca="1">HLOOKUP($T$2,INDIRECT("'"&amp;$B174&amp;"'!"&amp;"$P$6:$AC$19"),IF(H174=$AI$13,6,IF(H174=$AI$14,9,14)),FALSE)</f>
        <v>1</v>
      </c>
      <c r="U174" s="772"/>
      <c r="V174" s="199">
        <f t="shared" ref="V174" ca="1" si="250">IF(IF(RIGHT(H174,2)="PH",(1-L174)+$W$2,IF(RIGHT(H174,2)="HT",(1-L174)+$W$1,IF(RIGHT(H174,2)="SH",(1-L174)+$W$3,"")))&gt;0,IF(RIGHT(H174,2)="PH",(1-L174)+$W$2,IF(RIGHT(H174,2)="HT",(1-L174)+$W$1,IF(RIGHT(H174,2)="SH",(1-L174)+$W$3,""))),0)</f>
        <v>0.10999999999999999</v>
      </c>
      <c r="W174" s="298"/>
      <c r="X174" s="698">
        <f t="shared" ca="1" si="219"/>
        <v>8</v>
      </c>
      <c r="Y174" s="299">
        <f t="shared" ca="1" si="241"/>
        <v>35</v>
      </c>
      <c r="Z174" s="299">
        <f t="shared" ca="1" si="242"/>
        <v>1.5</v>
      </c>
      <c r="AA174" s="299">
        <f t="shared" ca="1" si="243"/>
        <v>0.8</v>
      </c>
      <c r="AB174" s="299">
        <f t="shared" ca="1" si="244"/>
        <v>2.1</v>
      </c>
      <c r="AD174" s="81">
        <v>2020</v>
      </c>
      <c r="AE174" s="273"/>
      <c r="AF174" s="828"/>
    </row>
    <row r="175" spans="1:32">
      <c r="A175" s="169"/>
      <c r="B175" s="718" t="s">
        <v>1099</v>
      </c>
      <c r="C175" s="226"/>
      <c r="D175" s="261"/>
      <c r="E175" s="261"/>
      <c r="F175" s="224" t="s">
        <v>1149</v>
      </c>
      <c r="G175" s="55"/>
      <c r="H175" s="174"/>
      <c r="I175" s="174" t="str">
        <f t="shared" si="143"/>
        <v>INDOWH</v>
      </c>
      <c r="J175" s="224">
        <f t="shared" si="146"/>
        <v>2030</v>
      </c>
      <c r="K175" s="81"/>
      <c r="L175" s="199">
        <f t="shared" ca="1" si="236"/>
        <v>0.89</v>
      </c>
      <c r="M175" s="772"/>
      <c r="N175" s="200"/>
      <c r="O175" s="725">
        <f t="shared" ca="1" si="237"/>
        <v>3.4699403462447704</v>
      </c>
      <c r="P175" s="725">
        <f t="shared" ca="1" si="238"/>
        <v>0.24287</v>
      </c>
      <c r="Q175" s="299">
        <f t="shared" ca="1" si="239"/>
        <v>3.9836805555555559</v>
      </c>
      <c r="R175" s="823"/>
      <c r="S175" s="300"/>
      <c r="T175" s="300"/>
      <c r="U175" s="300"/>
      <c r="V175" s="199">
        <f t="shared" ref="V175" ca="1" si="251">IF(IF(RIGHT(H174,2)="PH",(1-L175)+$W$2,IF(RIGHT(H174,2)="HT",(1-L175)+$W$1,IF(RIGHT(H174,2)="SH",(1-L175)+$W$3,"")))&gt;0,IF(RIGHT(H174,2)="PH",(1-L175)+$W$2,IF(RIGHT(H174,2)="HT",(1-L175)+$W$1,IF(RIGHT(H174,2)="SH",(1-L175)+$W$3,""))),0)</f>
        <v>0.10999999999999999</v>
      </c>
      <c r="W175" s="298"/>
      <c r="X175" s="698">
        <f t="shared" ca="1" si="219"/>
        <v>8</v>
      </c>
      <c r="Y175" s="299">
        <f t="shared" ca="1" si="241"/>
        <v>35</v>
      </c>
      <c r="Z175" s="299">
        <f t="shared" ca="1" si="242"/>
        <v>1.5</v>
      </c>
      <c r="AA175" s="299">
        <f t="shared" ca="1" si="243"/>
        <v>0.8</v>
      </c>
      <c r="AB175" s="299">
        <f t="shared" ca="1" si="244"/>
        <v>2.1</v>
      </c>
      <c r="AD175" s="81">
        <v>2030</v>
      </c>
      <c r="AE175" s="273"/>
      <c r="AF175" s="828"/>
    </row>
    <row r="176" spans="1:32">
      <c r="A176" s="169"/>
      <c r="B176" s="719" t="s">
        <v>1099</v>
      </c>
      <c r="C176" s="713"/>
      <c r="D176" s="701"/>
      <c r="E176" s="701"/>
      <c r="F176" s="224" t="s">
        <v>1149</v>
      </c>
      <c r="G176" s="203"/>
      <c r="H176" s="702"/>
      <c r="I176" s="702" t="str">
        <f t="shared" si="143"/>
        <v>INDOWH</v>
      </c>
      <c r="J176" s="224">
        <f t="shared" si="146"/>
        <v>2050</v>
      </c>
      <c r="K176" s="81"/>
      <c r="L176" s="199">
        <f t="shared" ca="1" si="236"/>
        <v>0.91</v>
      </c>
      <c r="M176" s="826"/>
      <c r="N176" s="825"/>
      <c r="O176" s="725">
        <f t="shared" ca="1" si="237"/>
        <v>3.2813985758696647</v>
      </c>
      <c r="P176" s="725">
        <f t="shared" ca="1" si="238"/>
        <v>0.22797000000000001</v>
      </c>
      <c r="Q176" s="299">
        <f t="shared" ca="1" si="239"/>
        <v>4.0064444444444449</v>
      </c>
      <c r="R176" s="722"/>
      <c r="S176" s="703"/>
      <c r="T176" s="703"/>
      <c r="U176" s="703"/>
      <c r="V176" s="199">
        <f t="shared" ref="V176" ca="1" si="252">IF(IF(RIGHT(H174,2)="PH",(1-L176)+$W$2,IF(RIGHT(H174,2)="HT",(1-L176)+$W$1,IF(RIGHT(H174,2)="SH",(1-L176)+$W$3,"")))&gt;0,IF(RIGHT(H174,2)="PH",(1-L176)+$W$2,IF(RIGHT(H174,2)="HT",(1-L176)+$W$1,IF(RIGHT(H174,2)="SH",(1-L176)+$W$3,""))),0)</f>
        <v>8.9999999999999969E-2</v>
      </c>
      <c r="W176" s="704"/>
      <c r="X176" s="698">
        <f t="shared" ca="1" si="219"/>
        <v>8</v>
      </c>
      <c r="Y176" s="299">
        <f t="shared" ca="1" si="241"/>
        <v>35</v>
      </c>
      <c r="Z176" s="299">
        <f t="shared" ca="1" si="242"/>
        <v>1.5</v>
      </c>
      <c r="AA176" s="299">
        <f t="shared" ca="1" si="243"/>
        <v>0.8</v>
      </c>
      <c r="AB176" s="299">
        <f t="shared" ca="1" si="244"/>
        <v>2.1</v>
      </c>
      <c r="AC176" s="203"/>
      <c r="AD176" s="81">
        <v>2050</v>
      </c>
      <c r="AE176" s="273"/>
      <c r="AF176" s="829"/>
    </row>
    <row r="177" spans="1:32">
      <c r="A177" s="169"/>
      <c r="B177" s="718" t="s">
        <v>1099</v>
      </c>
      <c r="C177" s="226"/>
      <c r="D177" s="707" t="str">
        <f>"IND"&amp;RIGHT(H177,4)&amp;RIGHT(G177,3)&amp;"N"&amp;RIGHT(E177,1)</f>
        <v>INDODPHCOAN2</v>
      </c>
      <c r="E177" s="261" t="str">
        <f>"Industrial heating technology "&amp;$AJ$12&amp;" "&amp;RIGHT(H177,2)&amp;" - Coal boiler (Hot Water) - new 2"</f>
        <v>Industrial heating technology Other PH - Coal boiler (Hot Water) - new 2</v>
      </c>
      <c r="F177" s="224" t="s">
        <v>1149</v>
      </c>
      <c r="G177" s="55" t="s">
        <v>617</v>
      </c>
      <c r="H177" s="174" t="str">
        <f>$AI$14</f>
        <v>IODPH</v>
      </c>
      <c r="I177" s="174" t="str">
        <f t="shared" si="143"/>
        <v>INDOWH</v>
      </c>
      <c r="J177" s="224">
        <f t="shared" si="146"/>
        <v>2011</v>
      </c>
      <c r="K177" s="299">
        <v>2025</v>
      </c>
      <c r="L177" s="199">
        <f t="shared" ref="L177:L182" ca="1" si="253">VLOOKUP($AD177,INDIRECT("'"&amp;$B177&amp;"'!"&amp;"$P$118:$AD$121"),3,FALSE)</f>
        <v>0.89</v>
      </c>
      <c r="M177" s="199"/>
      <c r="N177" s="81">
        <f ca="1">VLOOKUP($AD177,INDIRECT("'"&amp;$B177&amp;"'!"&amp;"$P$118:$AD$121"),5,FALSE)</f>
        <v>25</v>
      </c>
      <c r="O177" s="723">
        <f t="shared" ref="O177:O182" ca="1" si="254">VLOOKUP($AD177,INDIRECT("'"&amp;$B177&amp;"'!"&amp;"$P$118:$AD$121"),6,FALSE)/1000</f>
        <v>3.7250000000000001</v>
      </c>
      <c r="P177" s="723">
        <f t="shared" ref="P177:P182" ca="1" si="255">VLOOKUP($AD177,INDIRECT("'"&amp;$B177&amp;"'!"&amp;"$P$118:$AD$121"),7,FALSE)/1000</f>
        <v>0.25106499999999998</v>
      </c>
      <c r="Q177" s="81">
        <f t="shared" ref="Q177:Q182" ca="1" si="256">VLOOKUP($AD177,INDIRECT("'"&amp;$B177&amp;"'!"&amp;"$P$118:$AD$121"),8,FALSE)</f>
        <v>3.9381527777777778</v>
      </c>
      <c r="R177" s="81">
        <v>3.1536000000000002E-2</v>
      </c>
      <c r="S177" s="199">
        <v>0.5</v>
      </c>
      <c r="T177" s="199">
        <f ca="1">HLOOKUP($T$2,INDIRECT("'"&amp;$B177&amp;"'!"&amp;"$P$85:$AC$98"),IF(H177=$AI$13,6,IF(H177=$AI$14,9,14)),FALSE)</f>
        <v>0</v>
      </c>
      <c r="U177" s="773"/>
      <c r="V177" s="199">
        <f t="shared" ref="V177" ca="1" si="257">IF(IF(RIGHT(H177,2)="PH",(1-L177)+$W$2,IF(RIGHT(H177,2)="HT",(1-L177)+$W$1,IF(RIGHT(H177,2)="SH",(1-L177)+$W$3,"")))&gt;0,IF(RIGHT(H177,2)="PH",(1-L177)+$W$2,IF(RIGHT(H177,2)="HT",(1-L177)+$W$1,IF(RIGHT(H177,2)="SH",(1-L177)+$W$3,""))),0)</f>
        <v>0.31</v>
      </c>
      <c r="W177" s="709"/>
      <c r="X177" s="698">
        <f t="shared" ca="1" si="219"/>
        <v>8</v>
      </c>
      <c r="Y177" s="698">
        <f ca="1">VLOOKUP($AD177,INDIRECT("'"&amp;$B177&amp;"'!"&amp;"$P$118:$AD$121"),12,FALSE)</f>
        <v>35</v>
      </c>
      <c r="Z177" s="698">
        <f ca="1">VLOOKUP($AD177,INDIRECT("'"&amp;$B177&amp;"'!"&amp;"$P$118:$AD$121"),13,FALSE)</f>
        <v>1.5</v>
      </c>
      <c r="AA177" s="698">
        <f ca="1">VLOOKUP($AD177,INDIRECT("'"&amp;$B177&amp;"'!"&amp;"$P$118:$AD$121"),14,FALSE)</f>
        <v>0.8</v>
      </c>
      <c r="AB177" s="698">
        <f ca="1">VLOOKUP($AD177,INDIRECT("'"&amp;$B177&amp;"'!"&amp;"$P$118:$AD$121"),15,FALSE)</f>
        <v>2.1</v>
      </c>
      <c r="AC177" s="55"/>
      <c r="AD177" s="81">
        <v>2020</v>
      </c>
      <c r="AE177" s="273"/>
      <c r="AF177" s="828"/>
    </row>
    <row r="178" spans="1:32">
      <c r="A178" s="169"/>
      <c r="B178" s="718" t="s">
        <v>1099</v>
      </c>
      <c r="C178" s="226"/>
      <c r="D178" s="261"/>
      <c r="E178" s="261"/>
      <c r="F178" s="224" t="s">
        <v>1149</v>
      </c>
      <c r="G178" s="55"/>
      <c r="H178" s="174"/>
      <c r="I178" s="174" t="str">
        <f t="shared" si="143"/>
        <v>INDOWH</v>
      </c>
      <c r="J178" s="224">
        <f t="shared" si="146"/>
        <v>2030</v>
      </c>
      <c r="K178" s="81"/>
      <c r="L178" s="199">
        <f t="shared" ca="1" si="253"/>
        <v>0.89</v>
      </c>
      <c r="M178" s="772"/>
      <c r="N178" s="200"/>
      <c r="O178" s="723">
        <f t="shared" ca="1" si="254"/>
        <v>3.7250000000000001</v>
      </c>
      <c r="P178" s="723">
        <f t="shared" ca="1" si="255"/>
        <v>0.24287</v>
      </c>
      <c r="Q178" s="81">
        <f t="shared" ca="1" si="256"/>
        <v>3.9836805555555559</v>
      </c>
      <c r="R178" s="823"/>
      <c r="S178" s="300"/>
      <c r="T178" s="300"/>
      <c r="U178" s="300"/>
      <c r="V178" s="199">
        <f t="shared" ref="V178" ca="1" si="258">IF(IF(RIGHT(H177,2)="PH",(1-L178)+$W$2,IF(RIGHT(H177,2)="HT",(1-L178)+$W$1,IF(RIGHT(H177,2)="SH",(1-L178)+$W$3,"")))&gt;0,IF(RIGHT(H177,2)="PH",(1-L178)+$W$2,IF(RIGHT(H177,2)="HT",(1-L178)+$W$1,IF(RIGHT(H177,2)="SH",(1-L178)+$W$3,""))),0)</f>
        <v>0.31</v>
      </c>
      <c r="W178" s="298"/>
      <c r="X178" s="824"/>
      <c r="Y178" s="824"/>
      <c r="Z178" s="824"/>
      <c r="AA178" s="824"/>
      <c r="AB178" s="824"/>
      <c r="AD178" s="81">
        <v>2030</v>
      </c>
      <c r="AE178" s="273"/>
      <c r="AF178" s="828"/>
    </row>
    <row r="179" spans="1:32">
      <c r="A179" s="169"/>
      <c r="B179" s="718" t="s">
        <v>1099</v>
      </c>
      <c r="C179" s="226"/>
      <c r="D179" s="261"/>
      <c r="E179" s="261"/>
      <c r="F179" s="224" t="s">
        <v>1149</v>
      </c>
      <c r="G179" s="55"/>
      <c r="H179" s="174"/>
      <c r="I179" s="174" t="str">
        <f t="shared" si="143"/>
        <v>INDOWH</v>
      </c>
      <c r="J179" s="224">
        <f t="shared" si="146"/>
        <v>2050</v>
      </c>
      <c r="K179" s="81"/>
      <c r="L179" s="199">
        <f t="shared" ca="1" si="253"/>
        <v>0.91</v>
      </c>
      <c r="M179" s="772"/>
      <c r="N179" s="200"/>
      <c r="O179" s="723">
        <f t="shared" ca="1" si="254"/>
        <v>3.7250000000000001</v>
      </c>
      <c r="P179" s="723">
        <f t="shared" ca="1" si="255"/>
        <v>0.22797000000000001</v>
      </c>
      <c r="Q179" s="81">
        <f t="shared" ca="1" si="256"/>
        <v>4.0064444444444449</v>
      </c>
      <c r="R179" s="823"/>
      <c r="S179" s="300"/>
      <c r="T179" s="300"/>
      <c r="U179" s="300"/>
      <c r="V179" s="199">
        <f t="shared" ref="V179" ca="1" si="259">IF(IF(RIGHT(H177,2)="PH",(1-L179)+$W$2,IF(RIGHT(H177,2)="HT",(1-L179)+$W$1,IF(RIGHT(H177,2)="SH",(1-L179)+$W$3,"")))&gt;0,IF(RIGHT(H177,2)="PH",(1-L179)+$W$2,IF(RIGHT(H177,2)="HT",(1-L179)+$W$1,IF(RIGHT(H177,2)="SH",(1-L179)+$W$3,""))),0)</f>
        <v>0.28999999999999998</v>
      </c>
      <c r="W179" s="298"/>
      <c r="X179" s="824"/>
      <c r="Y179" s="824"/>
      <c r="Z179" s="824"/>
      <c r="AA179" s="824"/>
      <c r="AB179" s="824"/>
      <c r="AD179" s="81">
        <v>2050</v>
      </c>
      <c r="AE179" s="273"/>
      <c r="AF179" s="828"/>
    </row>
    <row r="180" spans="1:32">
      <c r="A180" s="169"/>
      <c r="B180" s="718" t="s">
        <v>1099</v>
      </c>
      <c r="C180" s="226"/>
      <c r="D180" s="261" t="str">
        <f>"IND"&amp;RIGHT(H180,4)&amp;RIGHT(G180,3)&amp;"N"&amp;RIGHT(E180,1)</f>
        <v>INDODSHCOAN2</v>
      </c>
      <c r="E180" s="261" t="str">
        <f>"Industrial heating technology "&amp;$AJ$12&amp;" "&amp;RIGHT(H180,2)&amp;" - Coal boiler (Hot Water) - new 2"</f>
        <v>Industrial heating technology Other SH - Coal boiler (Hot Water) - new 2</v>
      </c>
      <c r="F180" s="224" t="s">
        <v>1149</v>
      </c>
      <c r="G180" s="55" t="s">
        <v>617</v>
      </c>
      <c r="H180" s="174" t="str">
        <f>$AI$15</f>
        <v>IODSH</v>
      </c>
      <c r="I180" s="174" t="str">
        <f t="shared" si="143"/>
        <v>INDOWH</v>
      </c>
      <c r="J180" s="224">
        <f t="shared" si="146"/>
        <v>2011</v>
      </c>
      <c r="K180" s="299">
        <v>2025</v>
      </c>
      <c r="L180" s="199">
        <f t="shared" ca="1" si="253"/>
        <v>0.89</v>
      </c>
      <c r="M180" s="199"/>
      <c r="N180" s="81">
        <f ca="1">VLOOKUP($AD180,INDIRECT("'"&amp;$B180&amp;"'!"&amp;"$P$118:$AD$121"),5,FALSE)</f>
        <v>25</v>
      </c>
      <c r="O180" s="723">
        <f t="shared" ca="1" si="254"/>
        <v>3.7250000000000001</v>
      </c>
      <c r="P180" s="723">
        <f t="shared" ca="1" si="255"/>
        <v>0.25106499999999998</v>
      </c>
      <c r="Q180" s="81">
        <f t="shared" ca="1" si="256"/>
        <v>3.9381527777777778</v>
      </c>
      <c r="R180" s="81">
        <v>3.1536000000000002E-2</v>
      </c>
      <c r="S180" s="199">
        <v>0.5</v>
      </c>
      <c r="T180" s="199">
        <f ca="1">HLOOKUP($T$2,INDIRECT("'"&amp;$B180&amp;"'!"&amp;"$P$85:$AC$98"),IF(H180=$AI$13,6,IF(H180=$AI$14,9,14)),FALSE)</f>
        <v>1</v>
      </c>
      <c r="U180" s="773"/>
      <c r="V180" s="199">
        <f t="shared" ref="V180" ca="1" si="260">IF(IF(RIGHT(H180,2)="PH",(1-L180)+$W$2,IF(RIGHT(H180,2)="HT",(1-L180)+$W$1,IF(RIGHT(H180,2)="SH",(1-L180)+$W$3,"")))&gt;0,IF(RIGHT(H180,2)="PH",(1-L180)+$W$2,IF(RIGHT(H180,2)="HT",(1-L180)+$W$1,IF(RIGHT(H180,2)="SH",(1-L180)+$W$3,""))),0)</f>
        <v>0.10999999999999999</v>
      </c>
      <c r="W180" s="709"/>
      <c r="X180" s="698">
        <f ca="1">IF(VLOOKUP($AD180,INDIRECT("'"&amp;$B180&amp;"'!"&amp;"$P$39:$AD$42"),11,FALSE)="Cf. the utilized electricity",0,VLOOKUP($AD180,INDIRECT("'"&amp;$B180&amp;"'!"&amp;"$P$39:$AD$42"),11,FALSE))</f>
        <v>8</v>
      </c>
      <c r="Y180" s="698">
        <f ca="1">VLOOKUP($AD180,INDIRECT("'"&amp;$B180&amp;"'!"&amp;"$P$118:$AD$121"),12,FALSE)</f>
        <v>35</v>
      </c>
      <c r="Z180" s="698">
        <f ca="1">VLOOKUP($AD180,INDIRECT("'"&amp;$B180&amp;"'!"&amp;"$P$118:$AD$121"),13,FALSE)</f>
        <v>1.5</v>
      </c>
      <c r="AA180" s="698">
        <f ca="1">VLOOKUP($AD180,INDIRECT("'"&amp;$B180&amp;"'!"&amp;"$P$118:$AD$121"),14,FALSE)</f>
        <v>0.8</v>
      </c>
      <c r="AB180" s="698">
        <f ca="1">VLOOKUP($AD180,INDIRECT("'"&amp;$B180&amp;"'!"&amp;"$P$118:$AD$121"),15,FALSE)</f>
        <v>2.1</v>
      </c>
      <c r="AC180" s="55"/>
      <c r="AD180" s="81">
        <v>2020</v>
      </c>
      <c r="AE180" s="273"/>
      <c r="AF180" s="828"/>
    </row>
    <row r="181" spans="1:32">
      <c r="A181" s="169"/>
      <c r="B181" s="718" t="s">
        <v>1099</v>
      </c>
      <c r="C181" s="226"/>
      <c r="D181" s="261"/>
      <c r="E181" s="261"/>
      <c r="F181" s="224" t="s">
        <v>1149</v>
      </c>
      <c r="G181" s="55"/>
      <c r="H181" s="174"/>
      <c r="I181" s="174" t="str">
        <f t="shared" si="143"/>
        <v>INDOWH</v>
      </c>
      <c r="J181" s="224">
        <f t="shared" si="146"/>
        <v>2030</v>
      </c>
      <c r="K181" s="200"/>
      <c r="L181" s="199">
        <f t="shared" ca="1" si="253"/>
        <v>0.89</v>
      </c>
      <c r="M181" s="772"/>
      <c r="N181" s="200"/>
      <c r="O181" s="723">
        <f t="shared" ca="1" si="254"/>
        <v>3.7250000000000001</v>
      </c>
      <c r="P181" s="723">
        <f t="shared" ca="1" si="255"/>
        <v>0.24287</v>
      </c>
      <c r="Q181" s="81">
        <f t="shared" ca="1" si="256"/>
        <v>3.9836805555555559</v>
      </c>
      <c r="R181" s="823"/>
      <c r="S181" s="300"/>
      <c r="T181" s="300"/>
      <c r="U181" s="300"/>
      <c r="V181" s="199">
        <f t="shared" ref="V181" ca="1" si="261">IF(IF(RIGHT(H180,2)="PH",(1-L181)+$W$2,IF(RIGHT(H180,2)="HT",(1-L181)+$W$1,IF(RIGHT(H180,2)="SH",(1-L181)+$W$3,"")))&gt;0,IF(RIGHT(H180,2)="PH",(1-L181)+$W$2,IF(RIGHT(H180,2)="HT",(1-L181)+$W$1,IF(RIGHT(H180,2)="SH",(1-L181)+$W$3,""))),0)</f>
        <v>0.10999999999999999</v>
      </c>
      <c r="W181" s="298"/>
      <c r="X181" s="824"/>
      <c r="Y181" s="824"/>
      <c r="Z181" s="824"/>
      <c r="AA181" s="824"/>
      <c r="AB181" s="824"/>
      <c r="AD181" s="81">
        <v>2030</v>
      </c>
      <c r="AE181" s="273"/>
      <c r="AF181" s="828"/>
    </row>
    <row r="182" spans="1:32">
      <c r="A182" s="831"/>
      <c r="B182" s="719" t="s">
        <v>1099</v>
      </c>
      <c r="C182" s="713"/>
      <c r="D182" s="701"/>
      <c r="E182" s="701"/>
      <c r="F182" s="224" t="s">
        <v>1149</v>
      </c>
      <c r="G182" s="203"/>
      <c r="H182" s="702"/>
      <c r="I182" s="266" t="str">
        <f t="shared" si="143"/>
        <v>INDOWH</v>
      </c>
      <c r="J182" s="224">
        <f t="shared" si="146"/>
        <v>2050</v>
      </c>
      <c r="K182" s="825"/>
      <c r="L182" s="199">
        <f t="shared" ca="1" si="253"/>
        <v>0.91</v>
      </c>
      <c r="M182" s="826"/>
      <c r="N182" s="825"/>
      <c r="O182" s="723">
        <f t="shared" ca="1" si="254"/>
        <v>3.7250000000000001</v>
      </c>
      <c r="P182" s="723">
        <f t="shared" ca="1" si="255"/>
        <v>0.22797000000000001</v>
      </c>
      <c r="Q182" s="81">
        <f t="shared" ca="1" si="256"/>
        <v>4.0064444444444449</v>
      </c>
      <c r="R182" s="722"/>
      <c r="S182" s="703"/>
      <c r="T182" s="703"/>
      <c r="U182" s="703"/>
      <c r="V182" s="199">
        <f t="shared" ref="V182" ca="1" si="262">IF(IF(RIGHT(H180,2)="PH",(1-L182)+$W$2,IF(RIGHT(H180,2)="HT",(1-L182)+$W$1,IF(RIGHT(H180,2)="SH",(1-L182)+$W$3,"")))&gt;0,IF(RIGHT(H180,2)="PH",(1-L182)+$W$2,IF(RIGHT(H180,2)="HT",(1-L182)+$W$1,IF(RIGHT(H180,2)="SH",(1-L182)+$W$3,""))),0)</f>
        <v>8.9999999999999969E-2</v>
      </c>
      <c r="W182" s="704"/>
      <c r="X182" s="827"/>
      <c r="Y182" s="827"/>
      <c r="Z182" s="827"/>
      <c r="AA182" s="827"/>
      <c r="AB182" s="827"/>
      <c r="AC182" s="203"/>
      <c r="AD182" s="81">
        <v>2050</v>
      </c>
      <c r="AE182" s="273"/>
      <c r="AF182" s="829"/>
    </row>
    <row r="183" spans="1:32">
      <c r="A183" s="831"/>
      <c r="B183" s="226" t="s">
        <v>576</v>
      </c>
      <c r="C183" s="901"/>
      <c r="D183" s="261" t="str">
        <f>"IND"&amp;RIGHT(H183,4)&amp;RIGHT(G183,3)&amp;"N"&amp;RIGHT(E183,1)</f>
        <v>INDODSHSOLN1</v>
      </c>
      <c r="E183" s="261" t="str">
        <f>"Industrial heating technology "&amp;$AJ$12&amp;" "&amp;RIGHT(H183,2)&amp;" - Solar - new 1"</f>
        <v>Industrial heating technology Other SH - Solar - new 1</v>
      </c>
      <c r="F183" s="224" t="s">
        <v>1149</v>
      </c>
      <c r="G183" s="55" t="s">
        <v>500</v>
      </c>
      <c r="H183" s="174" t="str">
        <f>$AI$15</f>
        <v>IODSH</v>
      </c>
      <c r="I183" s="174"/>
      <c r="J183" s="224">
        <f t="shared" si="146"/>
        <v>2011</v>
      </c>
      <c r="K183" s="299">
        <v>2025</v>
      </c>
      <c r="L183" s="199">
        <f ca="1">VLOOKUP($AD183,INDIRECT("'"&amp;$B183&amp;"'!"&amp;"$J$40:$X$43"),3,FALSE)</f>
        <v>1</v>
      </c>
      <c r="M183" s="772"/>
      <c r="N183" s="199">
        <f ca="1">VLOOKUP($AD183,INDIRECT("'"&amp;$B183&amp;"'!"&amp;"$J$40:$X$43"),5,FALSE)</f>
        <v>25</v>
      </c>
      <c r="O183" s="199">
        <f ca="1">VLOOKUP($AD183,INDIRECT("'"&amp;$B183&amp;"'!"&amp;"$J$40:$X$43"),6,FALSE)/1000</f>
        <v>4.2857142857142865</v>
      </c>
      <c r="P183" s="199">
        <f ca="1">VLOOKUP($AD183,INDIRECT("'"&amp;$B183&amp;"'!"&amp;"$J$40:$X$43"),7,FALSE)/1000</f>
        <v>2.0660433158225668E-2</v>
      </c>
      <c r="Q183" s="199">
        <f ca="1">VLOOKUP($AD183,INDIRECT("'"&amp;$B183&amp;"'!"&amp;"$J$40:$X$43"),8,FALSE)</f>
        <v>0</v>
      </c>
      <c r="R183" s="81">
        <v>3.1536000000000002E-2</v>
      </c>
      <c r="S183" s="199">
        <v>8.5500000000000007E-2</v>
      </c>
      <c r="T183" s="199">
        <v>1</v>
      </c>
      <c r="U183" s="300"/>
      <c r="V183" s="199"/>
      <c r="W183" s="298"/>
      <c r="X183" s="698">
        <v>0</v>
      </c>
      <c r="Y183" s="81">
        <v>0</v>
      </c>
      <c r="Z183" s="81">
        <v>0</v>
      </c>
      <c r="AA183" s="81">
        <v>0</v>
      </c>
      <c r="AB183" s="81">
        <v>0</v>
      </c>
      <c r="AC183" s="55"/>
      <c r="AD183" s="81">
        <v>2020</v>
      </c>
      <c r="AE183" s="200"/>
      <c r="AF183" s="700"/>
    </row>
    <row r="184" spans="1:32">
      <c r="A184" s="831"/>
      <c r="B184" s="226" t="s">
        <v>576</v>
      </c>
      <c r="C184" s="902"/>
      <c r="D184" s="261"/>
      <c r="E184" s="261"/>
      <c r="F184" s="224" t="s">
        <v>1149</v>
      </c>
      <c r="G184" s="55"/>
      <c r="H184" s="174"/>
      <c r="I184" s="174"/>
      <c r="J184" s="224">
        <f t="shared" si="146"/>
        <v>2030</v>
      </c>
      <c r="K184" s="200"/>
      <c r="L184" s="199">
        <f ca="1">VLOOKUP($AD184,INDIRECT("'"&amp;$B184&amp;"'!"&amp;"$J$40:$X$43"),3,FALSE)</f>
        <v>1</v>
      </c>
      <c r="M184" s="772"/>
      <c r="N184" s="199">
        <f ca="1">VLOOKUP($AD184,INDIRECT("'"&amp;$B184&amp;"'!"&amp;"$J$40:$X$43"),5,FALSE)</f>
        <v>30</v>
      </c>
      <c r="O184" s="199">
        <f ca="1">VLOOKUP($AD184,INDIRECT("'"&amp;$B184&amp;"'!"&amp;"$J$40:$X$43"),6,FALSE)/1000</f>
        <v>3.9285714285714284</v>
      </c>
      <c r="P184" s="199">
        <f ca="1">VLOOKUP($AD184,INDIRECT("'"&amp;$B184&amp;"'!"&amp;"$J$40:$X$43"),7,FALSE)/1000</f>
        <v>2.328125E-2</v>
      </c>
      <c r="Q184" s="199">
        <f ca="1">VLOOKUP($AD184,INDIRECT("'"&amp;$B184&amp;"'!"&amp;"$J$40:$X$43"),8,FALSE)</f>
        <v>0</v>
      </c>
      <c r="R184" s="823"/>
      <c r="S184" s="300"/>
      <c r="T184" s="300"/>
      <c r="U184" s="300"/>
      <c r="V184" s="772"/>
      <c r="W184" s="298"/>
      <c r="X184" s="824"/>
      <c r="Y184" s="824"/>
      <c r="Z184" s="824"/>
      <c r="AA184" s="824"/>
      <c r="AB184" s="824"/>
      <c r="AC184" s="55"/>
      <c r="AD184" s="81">
        <v>2030</v>
      </c>
      <c r="AE184" s="200"/>
      <c r="AF184" s="700"/>
    </row>
    <row r="185" spans="1:32" s="203" customFormat="1">
      <c r="A185" s="900"/>
      <c r="B185" s="713" t="s">
        <v>576</v>
      </c>
      <c r="C185" s="903"/>
      <c r="D185" s="701"/>
      <c r="E185" s="701"/>
      <c r="F185" s="224" t="s">
        <v>1149</v>
      </c>
      <c r="H185" s="702"/>
      <c r="I185" s="702"/>
      <c r="J185" s="224">
        <f t="shared" si="146"/>
        <v>2050</v>
      </c>
      <c r="K185" s="825"/>
      <c r="L185" s="199">
        <f ca="1">VLOOKUP($AD185,INDIRECT("'"&amp;$B185&amp;"'!"&amp;"$J$40:$X$43"),3,FALSE)</f>
        <v>1</v>
      </c>
      <c r="M185" s="826"/>
      <c r="N185" s="199">
        <f ca="1">VLOOKUP($AD185,INDIRECT("'"&amp;$B185&amp;"'!"&amp;"$J$40:$X$43"),5,FALSE)</f>
        <v>30</v>
      </c>
      <c r="O185" s="199">
        <f ca="1">VLOOKUP($AD185,INDIRECT("'"&amp;$B185&amp;"'!"&amp;"$J$40:$X$43"),6,FALSE)/1000</f>
        <v>3.5714285714285721</v>
      </c>
      <c r="P185" s="199">
        <f ca="1">VLOOKUP($AD185,INDIRECT("'"&amp;$B185&amp;"'!"&amp;"$J$40:$X$43"),7,FALSE)/1000</f>
        <v>2.1498571428571429E-2</v>
      </c>
      <c r="Q185" s="199">
        <f ca="1">VLOOKUP($AD185,INDIRECT("'"&amp;$B185&amp;"'!"&amp;"$J$40:$X$43"),8,FALSE)</f>
        <v>0</v>
      </c>
      <c r="R185" s="722"/>
      <c r="S185" s="703"/>
      <c r="T185" s="703"/>
      <c r="U185" s="703"/>
      <c r="V185" s="826"/>
      <c r="W185" s="704"/>
      <c r="X185" s="827"/>
      <c r="Y185" s="827"/>
      <c r="Z185" s="827"/>
      <c r="AA185" s="827"/>
      <c r="AB185" s="827"/>
      <c r="AD185" s="81">
        <v>2050</v>
      </c>
      <c r="AE185" s="825"/>
      <c r="AF185" s="705"/>
    </row>
    <row r="186" spans="1:32">
      <c r="A186" s="169"/>
      <c r="D186" s="36" t="s">
        <v>503</v>
      </c>
      <c r="E186" s="36"/>
      <c r="F186" s="224" t="s">
        <v>1149</v>
      </c>
      <c r="H186" s="173"/>
      <c r="I186" s="173"/>
      <c r="J186" s="224">
        <f t="shared" si="146"/>
        <v>0</v>
      </c>
      <c r="K186" s="198"/>
      <c r="L186" s="204"/>
      <c r="M186" s="204"/>
      <c r="N186" s="204"/>
      <c r="O186" s="37"/>
      <c r="P186" s="37"/>
      <c r="Q186" s="205"/>
      <c r="R186" s="252"/>
      <c r="S186" s="274"/>
      <c r="T186" s="204"/>
      <c r="U186" s="204"/>
      <c r="V186" s="204"/>
      <c r="W186" s="204"/>
      <c r="X186" s="204"/>
      <c r="Y186" s="204"/>
      <c r="Z186" s="204"/>
      <c r="AA186" s="204"/>
      <c r="AB186" s="204"/>
    </row>
    <row r="187" spans="1:32">
      <c r="A187" s="169"/>
      <c r="D187" s="212" t="str">
        <f t="shared" ref="D187:D192" si="263">"IND"&amp;RIGHT(H187,4)&amp;RIGHT(G187,3)&amp;"N"&amp;RIGHT(E187,1)</f>
        <v>INDODSHHCEN1</v>
      </c>
      <c r="E187" s="224" t="str">
        <f>"Industrial heating technology "&amp;$AJ$12&amp;" "&amp;RIGHT(H187,2)&amp;" - central district heating - within DH area - new 1"</f>
        <v>Industrial heating technology Other SH - central district heating - within DH area - new 1</v>
      </c>
      <c r="F187" s="224" t="s">
        <v>1149</v>
      </c>
      <c r="G187" s="225" t="s">
        <v>501</v>
      </c>
      <c r="H187" s="225" t="str">
        <f>AI15</f>
        <v>IODSH</v>
      </c>
      <c r="I187" s="225"/>
      <c r="J187" s="81">
        <v>2011</v>
      </c>
      <c r="K187" s="299">
        <v>2025</v>
      </c>
      <c r="L187" s="81">
        <v>0.96</v>
      </c>
      <c r="M187" s="81"/>
      <c r="N187" s="81">
        <v>30</v>
      </c>
      <c r="O187" s="253">
        <v>1.17</v>
      </c>
      <c r="P187" s="254">
        <f>'DH network'!$M$9</f>
        <v>5.8735799999999998E-2</v>
      </c>
      <c r="Q187" s="254">
        <f ca="1">Q31*0.95</f>
        <v>1.9463124999999999</v>
      </c>
      <c r="R187" s="201">
        <v>3.1536000000000002E-2</v>
      </c>
      <c r="S187" s="275">
        <v>0.5</v>
      </c>
      <c r="T187" s="228"/>
      <c r="U187" s="228"/>
      <c r="V187" s="228"/>
      <c r="W187" s="287"/>
      <c r="X187" s="278"/>
      <c r="Y187" s="61"/>
      <c r="Z187" s="61"/>
      <c r="AA187" s="61"/>
      <c r="AB187" s="61"/>
    </row>
    <row r="188" spans="1:32">
      <c r="A188" s="169"/>
      <c r="D188" s="212" t="str">
        <f t="shared" si="263"/>
        <v>INDODPHHCEN1</v>
      </c>
      <c r="E188" s="224" t="str">
        <f>"Industrial heating technology "&amp;$AJ$12&amp;" "&amp;RIGHT(H188,2)&amp;" - central district heating - within DH area - new 1"</f>
        <v>Industrial heating technology Other PH - central district heating - within DH area - new 1</v>
      </c>
      <c r="F188" s="224" t="s">
        <v>1149</v>
      </c>
      <c r="G188" s="225" t="s">
        <v>501</v>
      </c>
      <c r="H188" s="281" t="str">
        <f>AI14</f>
        <v>IODPH</v>
      </c>
      <c r="I188" s="281"/>
      <c r="J188" s="81">
        <v>2011</v>
      </c>
      <c r="K188" s="299">
        <v>2025</v>
      </c>
      <c r="L188" s="81">
        <v>0.96</v>
      </c>
      <c r="M188" s="81"/>
      <c r="N188" s="81">
        <v>30</v>
      </c>
      <c r="O188" s="253">
        <v>1.17</v>
      </c>
      <c r="P188" s="254">
        <f>'DH network'!$M$9</f>
        <v>5.8735799999999998E-2</v>
      </c>
      <c r="Q188" s="254">
        <f ca="1">Q33*0.95</f>
        <v>6.4090694444444436</v>
      </c>
      <c r="R188" s="201">
        <v>3.1536000000000002E-2</v>
      </c>
      <c r="S188" s="275">
        <v>0.5</v>
      </c>
      <c r="T188" s="228">
        <v>0.05</v>
      </c>
      <c r="U188" s="228"/>
      <c r="V188" s="228"/>
      <c r="W188" s="287"/>
      <c r="X188" s="278"/>
      <c r="Y188" s="61"/>
      <c r="Z188" s="61"/>
      <c r="AA188" s="61"/>
      <c r="AB188" s="61"/>
      <c r="AC188" s="226"/>
      <c r="AD188" s="226"/>
      <c r="AE188" s="226"/>
      <c r="AF188" s="226"/>
    </row>
    <row r="189" spans="1:32">
      <c r="A189" s="169"/>
      <c r="D189" s="212" t="str">
        <f t="shared" si="263"/>
        <v>INDODSHHSEN1</v>
      </c>
      <c r="E189" s="224" t="str">
        <f>"Industrial heating technology "&amp;$AJ$12&amp;" "&amp;RIGHT(H189,2)&amp;" - central district heating - within DH area - new 1"</f>
        <v>Industrial heating technology Other SH - central district heating - within DH area - new 1</v>
      </c>
      <c r="F189" s="224" t="s">
        <v>1149</v>
      </c>
      <c r="G189" s="225" t="s">
        <v>2123</v>
      </c>
      <c r="H189" s="225" t="str">
        <f>H187</f>
        <v>IODSH</v>
      </c>
      <c r="I189" s="225"/>
      <c r="J189" s="81">
        <f t="shared" ref="J189:L190" si="264">J187</f>
        <v>2011</v>
      </c>
      <c r="K189" s="81">
        <f t="shared" si="264"/>
        <v>2025</v>
      </c>
      <c r="L189" s="81">
        <f t="shared" si="264"/>
        <v>0.96</v>
      </c>
      <c r="M189" s="81"/>
      <c r="N189" s="81">
        <f t="shared" ref="N189:S190" si="265">N187</f>
        <v>30</v>
      </c>
      <c r="O189" s="81">
        <f t="shared" si="265"/>
        <v>1.17</v>
      </c>
      <c r="P189" s="81">
        <f t="shared" si="265"/>
        <v>5.8735799999999998E-2</v>
      </c>
      <c r="Q189" s="81">
        <f t="shared" ca="1" si="265"/>
        <v>1.9463124999999999</v>
      </c>
      <c r="R189" s="81">
        <f t="shared" si="265"/>
        <v>3.1536000000000002E-2</v>
      </c>
      <c r="S189" s="81">
        <f t="shared" si="265"/>
        <v>0.5</v>
      </c>
      <c r="T189" s="228"/>
      <c r="U189" s="228"/>
      <c r="V189" s="228"/>
      <c r="W189" s="287"/>
      <c r="X189" s="278"/>
      <c r="Y189" s="61"/>
      <c r="Z189" s="61"/>
      <c r="AA189" s="61"/>
      <c r="AB189" s="61"/>
    </row>
    <row r="190" spans="1:32">
      <c r="A190" s="169"/>
      <c r="D190" s="212" t="str">
        <f t="shared" si="263"/>
        <v>INDODPHHSEN1</v>
      </c>
      <c r="E190" s="224" t="str">
        <f>"Industrial heating technology "&amp;$AJ$12&amp;" "&amp;RIGHT(H190,2)&amp;" - central district heating - within DH area - new 1"</f>
        <v>Industrial heating technology Other PH - central district heating - within DH area - new 1</v>
      </c>
      <c r="F190" s="224" t="s">
        <v>1149</v>
      </c>
      <c r="G190" s="225" t="s">
        <v>2123</v>
      </c>
      <c r="H190" s="225" t="str">
        <f>H188</f>
        <v>IODPH</v>
      </c>
      <c r="I190" s="281"/>
      <c r="J190" s="81">
        <f t="shared" si="264"/>
        <v>2011</v>
      </c>
      <c r="K190" s="81">
        <f t="shared" si="264"/>
        <v>2025</v>
      </c>
      <c r="L190" s="81">
        <f t="shared" si="264"/>
        <v>0.96</v>
      </c>
      <c r="M190" s="81"/>
      <c r="N190" s="81">
        <f t="shared" si="265"/>
        <v>30</v>
      </c>
      <c r="O190" s="81">
        <f t="shared" si="265"/>
        <v>1.17</v>
      </c>
      <c r="P190" s="81">
        <f t="shared" si="265"/>
        <v>5.8735799999999998E-2</v>
      </c>
      <c r="Q190" s="81">
        <f t="shared" ca="1" si="265"/>
        <v>6.4090694444444436</v>
      </c>
      <c r="R190" s="81">
        <f t="shared" si="265"/>
        <v>3.1536000000000002E-2</v>
      </c>
      <c r="S190" s="81">
        <f t="shared" si="265"/>
        <v>0.5</v>
      </c>
      <c r="T190" s="81">
        <f>T188</f>
        <v>0.05</v>
      </c>
      <c r="U190" s="228"/>
      <c r="V190" s="228"/>
      <c r="W190" s="287"/>
      <c r="X190" s="278"/>
      <c r="Y190" s="61"/>
      <c r="Z190" s="61"/>
      <c r="AA190" s="61"/>
      <c r="AB190" s="61"/>
      <c r="AC190" s="226"/>
      <c r="AD190" s="226"/>
      <c r="AE190" s="226"/>
      <c r="AF190" s="226"/>
    </row>
    <row r="191" spans="1:32">
      <c r="A191" s="169"/>
      <c r="D191" s="212" t="str">
        <f t="shared" si="263"/>
        <v>INDODSHHDEN1</v>
      </c>
      <c r="E191" s="224" t="str">
        <f>"Industrial heating technology "&amp;$AJ$12&amp;" "&amp;RIGHT(H191,2)&amp;" - decentral district heating - within DH area - new 1"</f>
        <v>Industrial heating technology Other SH - decentral district heating - within DH area - new 1</v>
      </c>
      <c r="F191" s="224" t="s">
        <v>1149</v>
      </c>
      <c r="G191" s="259" t="s">
        <v>502</v>
      </c>
      <c r="H191" s="265" t="str">
        <f>AI15</f>
        <v>IODSH</v>
      </c>
      <c r="I191" s="265"/>
      <c r="J191" s="81">
        <v>2011</v>
      </c>
      <c r="K191" s="299">
        <v>2025</v>
      </c>
      <c r="L191" s="81">
        <f>L187</f>
        <v>0.96</v>
      </c>
      <c r="M191" s="81"/>
      <c r="N191" s="81">
        <v>30</v>
      </c>
      <c r="O191" s="253">
        <v>1.25</v>
      </c>
      <c r="P191" s="254">
        <f>'DH network'!$M$9</f>
        <v>5.8735799999999998E-2</v>
      </c>
      <c r="Q191" s="254">
        <f ca="1">Q187</f>
        <v>1.9463124999999999</v>
      </c>
      <c r="R191" s="201">
        <v>3.1536000000000002E-2</v>
      </c>
      <c r="S191" s="275">
        <v>0.5</v>
      </c>
      <c r="T191" s="228"/>
      <c r="U191" s="228"/>
      <c r="V191" s="228"/>
      <c r="W191" s="287"/>
      <c r="X191" s="278"/>
      <c r="Y191" s="61"/>
      <c r="Z191" s="61"/>
      <c r="AA191" s="61"/>
      <c r="AB191" s="61"/>
      <c r="AC191" s="226"/>
      <c r="AD191" s="226"/>
      <c r="AE191" s="226"/>
      <c r="AF191" s="226"/>
    </row>
    <row r="192" spans="1:32">
      <c r="A192" s="169"/>
      <c r="D192" s="212" t="str">
        <f t="shared" si="263"/>
        <v>INDODPHHDEN1</v>
      </c>
      <c r="E192" s="224" t="str">
        <f>"Industrial heating technology "&amp;$AJ$12&amp;" "&amp;RIGHT(H192,2)&amp;" - decentral district heating - within DH area - new 1"</f>
        <v>Industrial heating technology Other PH - decentral district heating - within DH area - new 1</v>
      </c>
      <c r="F192" s="224" t="s">
        <v>1149</v>
      </c>
      <c r="G192" s="259" t="s">
        <v>502</v>
      </c>
      <c r="H192" s="225" t="str">
        <f>AI14</f>
        <v>IODPH</v>
      </c>
      <c r="I192" s="225"/>
      <c r="J192" s="81">
        <v>2011</v>
      </c>
      <c r="K192" s="299">
        <v>2025</v>
      </c>
      <c r="L192" s="81">
        <f>L188</f>
        <v>0.96</v>
      </c>
      <c r="M192" s="81"/>
      <c r="N192" s="81">
        <v>30</v>
      </c>
      <c r="O192" s="253">
        <v>1.25</v>
      </c>
      <c r="P192" s="254">
        <f>'DH network'!$M$9</f>
        <v>5.8735799999999998E-2</v>
      </c>
      <c r="Q192" s="254">
        <f ca="1">Q188</f>
        <v>6.4090694444444436</v>
      </c>
      <c r="R192" s="201">
        <v>3.1536000000000002E-2</v>
      </c>
      <c r="S192" s="275">
        <v>0.5</v>
      </c>
      <c r="T192" s="228">
        <v>0.05</v>
      </c>
      <c r="U192" s="228"/>
      <c r="V192" s="228"/>
      <c r="W192" s="287"/>
      <c r="X192" s="278"/>
      <c r="Y192" s="61"/>
      <c r="Z192" s="61"/>
      <c r="AA192" s="61"/>
      <c r="AB192" s="61"/>
      <c r="AC192" s="226"/>
      <c r="AD192" s="226"/>
      <c r="AE192" s="226"/>
      <c r="AF192" s="226"/>
    </row>
    <row r="193" spans="1:32">
      <c r="A193" s="169"/>
      <c r="B193" s="226"/>
      <c r="C193" s="226"/>
      <c r="D193" s="258" t="s">
        <v>497</v>
      </c>
      <c r="E193" s="258"/>
      <c r="F193" s="224" t="s">
        <v>1149</v>
      </c>
      <c r="G193" s="206"/>
      <c r="H193" s="225"/>
      <c r="I193" s="225"/>
      <c r="J193" s="200"/>
      <c r="K193" s="200"/>
      <c r="L193" s="200"/>
      <c r="M193" s="200"/>
      <c r="N193" s="200"/>
      <c r="O193" s="227"/>
      <c r="P193" s="227"/>
      <c r="Q193" s="227"/>
      <c r="R193" s="202"/>
      <c r="S193" s="228"/>
      <c r="T193" s="228"/>
      <c r="U193" s="228"/>
      <c r="V193" s="228"/>
      <c r="W193" s="287"/>
      <c r="X193" s="226"/>
      <c r="Y193" s="226"/>
      <c r="Z193" s="226"/>
      <c r="AA193" s="226"/>
      <c r="AB193" s="226"/>
      <c r="AC193" s="226"/>
      <c r="AD193" s="226"/>
      <c r="AE193" s="226"/>
      <c r="AF193" s="226"/>
    </row>
    <row r="194" spans="1:32">
      <c r="A194" s="169"/>
      <c r="B194" s="226"/>
      <c r="C194" s="226"/>
      <c r="D194" s="212" t="str">
        <f>"IND"&amp;RIGHT(H194,4)&amp;RIGHT(G194,3)&amp;"N"&amp;RIGHT(E194,1)</f>
        <v>INDODLAELCN1</v>
      </c>
      <c r="E194" s="224" t="str">
        <f>"Industry "&amp;$AJ$12&amp;" "&amp;RIGHT(H194,2)&amp;" Electricity Light Appliance - New 1"</f>
        <v>Industry Other LA Electricity Light Appliance - New 1</v>
      </c>
      <c r="F194" s="224" t="s">
        <v>1149</v>
      </c>
      <c r="G194" s="225" t="s">
        <v>499</v>
      </c>
      <c r="H194" s="225" t="str">
        <f>AI16</f>
        <v>IODLA</v>
      </c>
      <c r="I194" s="225"/>
      <c r="J194" s="81">
        <v>2011</v>
      </c>
      <c r="K194" s="81">
        <v>2011</v>
      </c>
      <c r="L194" s="256">
        <v>1</v>
      </c>
      <c r="M194" s="256"/>
      <c r="N194" s="256">
        <v>10</v>
      </c>
      <c r="O194" s="254"/>
      <c r="P194" s="254"/>
      <c r="Q194" s="254"/>
      <c r="R194" s="201"/>
      <c r="S194" s="275">
        <v>0.9</v>
      </c>
      <c r="T194" s="228"/>
      <c r="U194" s="228"/>
      <c r="V194" s="228"/>
      <c r="W194" s="287"/>
      <c r="X194" s="279"/>
      <c r="Y194" s="255"/>
      <c r="Z194" s="255"/>
      <c r="AA194" s="255"/>
      <c r="AB194" s="255"/>
      <c r="AC194" s="226"/>
      <c r="AD194" s="226"/>
      <c r="AE194" s="226"/>
      <c r="AF194" s="226"/>
    </row>
    <row r="195" spans="1:32">
      <c r="A195" s="169"/>
      <c r="B195" s="226"/>
      <c r="C195" s="226"/>
      <c r="F195" s="224" t="s">
        <v>1149</v>
      </c>
      <c r="G195" s="225"/>
      <c r="H195" s="226"/>
      <c r="I195" s="226"/>
      <c r="J195" s="256">
        <v>2020</v>
      </c>
      <c r="K195" s="256"/>
      <c r="L195" s="256"/>
      <c r="M195" s="256"/>
      <c r="N195" s="256"/>
      <c r="O195" s="254"/>
      <c r="P195" s="254"/>
      <c r="Q195" s="254"/>
      <c r="R195" s="201"/>
      <c r="S195" s="275"/>
      <c r="T195" s="228"/>
      <c r="U195" s="228"/>
      <c r="V195" s="228"/>
      <c r="W195" s="287"/>
      <c r="X195" s="279"/>
      <c r="Y195" s="255"/>
      <c r="Z195" s="255"/>
      <c r="AA195" s="255"/>
      <c r="AB195" s="255"/>
      <c r="AC195" s="226"/>
      <c r="AD195" s="226"/>
      <c r="AE195" s="226"/>
      <c r="AF195" s="226"/>
    </row>
    <row r="196" spans="1:32">
      <c r="A196" s="169"/>
      <c r="B196" s="226"/>
      <c r="C196" s="226"/>
      <c r="F196" s="224" t="s">
        <v>1149</v>
      </c>
      <c r="G196" s="225"/>
      <c r="H196" s="225"/>
      <c r="I196" s="225"/>
      <c r="J196" s="256">
        <v>2030</v>
      </c>
      <c r="K196" s="256"/>
      <c r="L196" s="256"/>
      <c r="M196" s="256"/>
      <c r="N196" s="256"/>
      <c r="O196" s="254"/>
      <c r="P196" s="254"/>
      <c r="Q196" s="254"/>
      <c r="R196" s="201"/>
      <c r="S196" s="275"/>
      <c r="T196" s="228"/>
      <c r="U196" s="228"/>
      <c r="V196" s="228"/>
      <c r="W196" s="287"/>
      <c r="X196" s="279"/>
      <c r="Y196" s="255"/>
      <c r="Z196" s="255"/>
      <c r="AA196" s="255"/>
      <c r="AB196" s="255"/>
    </row>
    <row r="197" spans="1:32">
      <c r="A197" s="169"/>
      <c r="B197" s="226"/>
      <c r="C197" s="226"/>
      <c r="F197" s="224" t="s">
        <v>1149</v>
      </c>
      <c r="G197" s="225"/>
      <c r="H197" s="225"/>
      <c r="I197" s="225"/>
      <c r="J197" s="256">
        <v>2050</v>
      </c>
      <c r="K197" s="256"/>
      <c r="L197" s="256"/>
      <c r="M197" s="256"/>
      <c r="N197" s="256"/>
      <c r="O197" s="254"/>
      <c r="P197" s="254"/>
      <c r="Q197" s="254"/>
      <c r="R197" s="201"/>
      <c r="S197" s="275"/>
      <c r="T197" s="228"/>
      <c r="U197" s="228"/>
      <c r="V197" s="228"/>
      <c r="W197" s="287"/>
      <c r="X197" s="279"/>
      <c r="Y197" s="255"/>
      <c r="Z197" s="255"/>
      <c r="AA197" s="255"/>
      <c r="AB197" s="255"/>
    </row>
    <row r="198" spans="1:32">
      <c r="A198" s="169"/>
      <c r="B198" s="226"/>
      <c r="C198" s="226"/>
      <c r="D198" s="212" t="str">
        <f>"IND"&amp;RIGHT(H198,4)&amp;RIGHT(G198,3)&amp;"N"&amp;RIGHT(E198,1)</f>
        <v>INDODEMELCN1</v>
      </c>
      <c r="E198" s="224" t="str">
        <f>"Industry "&amp;$AJ$12&amp;" "&amp;RIGHT(H198,2)&amp;" Electricity Motors - New 1"</f>
        <v>Industry Other EM Electricity Motors - New 1</v>
      </c>
      <c r="F198" s="224" t="s">
        <v>1149</v>
      </c>
      <c r="G198" s="225" t="s">
        <v>499</v>
      </c>
      <c r="H198" s="225" t="str">
        <f>AI17</f>
        <v>IODEM</v>
      </c>
      <c r="I198" s="225"/>
      <c r="J198" s="81">
        <v>2011</v>
      </c>
      <c r="K198" s="81">
        <v>2011</v>
      </c>
      <c r="L198" s="256">
        <v>1</v>
      </c>
      <c r="M198" s="256"/>
      <c r="N198" s="256">
        <v>10</v>
      </c>
      <c r="O198" s="254"/>
      <c r="P198" s="254"/>
      <c r="Q198" s="254"/>
      <c r="R198" s="201"/>
      <c r="S198" s="275">
        <v>0.9</v>
      </c>
      <c r="T198" s="228"/>
      <c r="U198" s="228"/>
      <c r="V198" s="228"/>
      <c r="W198" s="287"/>
      <c r="X198" s="279"/>
      <c r="Y198" s="255"/>
      <c r="Z198" s="255"/>
      <c r="AA198" s="255"/>
      <c r="AB198" s="255"/>
    </row>
    <row r="199" spans="1:32">
      <c r="A199" s="169"/>
      <c r="D199" s="170"/>
      <c r="E199" s="64"/>
      <c r="F199" s="224" t="s">
        <v>1149</v>
      </c>
      <c r="H199" s="173"/>
      <c r="I199" s="173"/>
      <c r="J199" s="256">
        <v>2020</v>
      </c>
      <c r="K199" s="257"/>
      <c r="L199" s="257"/>
      <c r="M199" s="257"/>
      <c r="N199" s="257"/>
      <c r="O199" s="61"/>
      <c r="P199" s="61"/>
      <c r="Q199" s="61"/>
      <c r="R199" s="61"/>
      <c r="S199" s="276"/>
      <c r="T199" s="55"/>
      <c r="U199" s="55"/>
      <c r="V199" s="55"/>
      <c r="W199" s="283"/>
      <c r="X199" s="278"/>
      <c r="Y199" s="61"/>
      <c r="Z199" s="61"/>
      <c r="AA199" s="61"/>
      <c r="AB199" s="61"/>
    </row>
    <row r="200" spans="1:32">
      <c r="A200" s="169"/>
      <c r="F200" s="224" t="s">
        <v>1149</v>
      </c>
      <c r="H200" s="173"/>
      <c r="I200" s="173"/>
      <c r="J200" s="256">
        <v>2030</v>
      </c>
      <c r="K200" s="257"/>
      <c r="L200" s="257"/>
      <c r="M200" s="257"/>
      <c r="N200" s="257"/>
      <c r="O200" s="61"/>
      <c r="P200" s="61"/>
      <c r="Q200" s="61"/>
      <c r="R200" s="61"/>
      <c r="S200" s="276"/>
      <c r="T200" s="55"/>
      <c r="U200" s="55"/>
      <c r="V200" s="55"/>
      <c r="W200" s="283"/>
      <c r="X200" s="278"/>
      <c r="Y200" s="61"/>
      <c r="Z200" s="61"/>
      <c r="AA200" s="61"/>
      <c r="AB200" s="61"/>
    </row>
    <row r="201" spans="1:32">
      <c r="A201" s="169"/>
      <c r="D201" s="203"/>
      <c r="E201" s="203"/>
      <c r="F201" s="224" t="s">
        <v>1149</v>
      </c>
      <c r="G201" s="203"/>
      <c r="H201" s="266"/>
      <c r="I201" s="266"/>
      <c r="J201" s="256">
        <v>2050</v>
      </c>
      <c r="K201" s="257"/>
      <c r="L201" s="257"/>
      <c r="M201" s="257"/>
      <c r="N201" s="257"/>
      <c r="O201" s="61"/>
      <c r="P201" s="61"/>
      <c r="Q201" s="61"/>
      <c r="R201" s="61"/>
      <c r="S201" s="276"/>
      <c r="T201" s="55"/>
      <c r="U201" s="55"/>
      <c r="V201" s="55"/>
      <c r="W201" s="283"/>
      <c r="X201" s="278"/>
      <c r="Y201" s="61"/>
      <c r="Z201" s="61"/>
      <c r="AA201" s="61"/>
      <c r="AB201" s="61"/>
    </row>
    <row r="202" spans="1:32">
      <c r="A202" s="169" t="s">
        <v>2057</v>
      </c>
      <c r="B202" s="224" t="s">
        <v>2064</v>
      </c>
      <c r="D202" s="212" t="str">
        <f>"IND"&amp;RIGHT(H202,4)&amp;"DSL"&amp;"N"&amp;RIGHT(E202,1)</f>
        <v>INDODTFDSLN1</v>
      </c>
      <c r="E202" s="224" t="str">
        <f>"Industry "&amp;$AJ$12&amp;" "&amp;RIGHT(H202,2)&amp;" Tractors, Trucks, Fishing boats - New 1"</f>
        <v>Industry Other TF Tractors, Trucks, Fishing boats - New 1</v>
      </c>
      <c r="F202" s="224" t="s">
        <v>1149</v>
      </c>
      <c r="G202" s="173" t="s">
        <v>2081</v>
      </c>
      <c r="H202" s="174" t="str">
        <f>$AI$18</f>
        <v>IODTF</v>
      </c>
      <c r="I202" s="174"/>
      <c r="J202" s="81">
        <v>2011</v>
      </c>
      <c r="K202" s="81">
        <v>2011</v>
      </c>
      <c r="L202" s="1127">
        <f>L203</f>
        <v>1</v>
      </c>
      <c r="M202" s="256"/>
      <c r="N202" s="256">
        <v>20</v>
      </c>
      <c r="O202" s="1127">
        <f>O203</f>
        <v>30.836264040545181</v>
      </c>
      <c r="P202" s="254"/>
      <c r="Q202" s="254"/>
      <c r="R202" s="1126">
        <v>1</v>
      </c>
      <c r="S202" s="1127">
        <v>1</v>
      </c>
      <c r="T202" s="228"/>
      <c r="U202" s="228"/>
      <c r="V202" s="228"/>
      <c r="W202" s="287"/>
      <c r="X202" s="55"/>
      <c r="Y202" s="55"/>
      <c r="Z202" s="55"/>
      <c r="AA202" s="55"/>
      <c r="AB202" s="55"/>
    </row>
    <row r="203" spans="1:32">
      <c r="A203" s="169" t="s">
        <v>2057</v>
      </c>
      <c r="B203" s="224" t="s">
        <v>2064</v>
      </c>
      <c r="D203" s="55"/>
      <c r="E203" s="55"/>
      <c r="F203" s="224" t="s">
        <v>1149</v>
      </c>
      <c r="G203" s="55"/>
      <c r="H203" s="174"/>
      <c r="I203" s="174"/>
      <c r="J203" s="256">
        <v>2017</v>
      </c>
      <c r="K203" s="256"/>
      <c r="L203" s="1127">
        <f>1/SUMIFS(Transport!$AS$13:$AS$264,Transport!$D$13:$D$264,$B203,Transport!$E$13:$E$264,$A203,Transport!$A$13:$A$264,$J203)</f>
        <v>1</v>
      </c>
      <c r="M203" s="256"/>
      <c r="N203" s="256"/>
      <c r="O203" s="1127">
        <f>SUMIFS(Transport!$AT$13:$AT$264,Transport!$D$13:$D$264,$B203,Transport!$E$13:$E$264,$A203,Transport!$A$13:$A$264,$J203)/1000*6.5</f>
        <v>30.836264040545181</v>
      </c>
      <c r="P203" s="254"/>
      <c r="Q203" s="254"/>
      <c r="R203" s="1126"/>
      <c r="S203" s="275"/>
      <c r="T203" s="228"/>
      <c r="U203" s="228"/>
      <c r="V203" s="228"/>
      <c r="W203" s="228"/>
      <c r="X203" s="55"/>
      <c r="Y203" s="55"/>
      <c r="Z203" s="55"/>
      <c r="AA203" s="55"/>
      <c r="AB203" s="55"/>
    </row>
    <row r="204" spans="1:32">
      <c r="A204" s="169" t="s">
        <v>2057</v>
      </c>
      <c r="B204" s="224" t="s">
        <v>2064</v>
      </c>
      <c r="D204" s="55"/>
      <c r="E204" s="55"/>
      <c r="F204" s="224" t="s">
        <v>1149</v>
      </c>
      <c r="G204" s="55"/>
      <c r="J204" s="256">
        <v>2030</v>
      </c>
      <c r="K204" s="256"/>
      <c r="L204" s="1127">
        <f>1/SUMIFS(Transport!$AS$13:$AS$264,Transport!$D$13:$D$264,$B204,Transport!$E$13:$E$264,$A204,Transport!$A$13:$A$264,$J204)</f>
        <v>1.4579105312754643</v>
      </c>
      <c r="M204" s="256"/>
      <c r="N204" s="256"/>
      <c r="O204" s="1127">
        <f>SUMIFS(Transport!$AT$13:$AT$264,Transport!$D$13:$D$264,$B204,Transport!$E$13:$E$264,$A204,Transport!$A$13:$A$264,$J204)/1000*6.5</f>
        <v>31.806294618979205</v>
      </c>
      <c r="P204" s="254"/>
      <c r="Q204" s="254"/>
      <c r="R204" s="1126"/>
      <c r="S204" s="275"/>
      <c r="T204" s="228"/>
      <c r="U204" s="228"/>
      <c r="V204" s="228"/>
      <c r="W204" s="228"/>
      <c r="X204" s="55"/>
      <c r="Y204" s="55"/>
      <c r="Z204" s="55"/>
      <c r="AA204" s="55"/>
      <c r="AB204" s="55"/>
    </row>
    <row r="205" spans="1:32">
      <c r="A205" s="169" t="s">
        <v>2057</v>
      </c>
      <c r="B205" s="224" t="s">
        <v>2064</v>
      </c>
      <c r="D205" s="55"/>
      <c r="E205" s="55"/>
      <c r="F205" s="224" t="s">
        <v>1149</v>
      </c>
      <c r="G205" s="55"/>
      <c r="J205" s="256">
        <v>2050</v>
      </c>
      <c r="K205" s="256"/>
      <c r="L205" s="1127">
        <f>1/SUMIFS(Transport!$AS$13:$AS$264,Transport!$D$13:$D$264,$B205,Transport!$E$13:$E$264,$A205,Transport!$A$13:$A$264,$J205)</f>
        <v>1.612189818950156</v>
      </c>
      <c r="M205" s="256"/>
      <c r="N205" s="256"/>
      <c r="O205" s="1127">
        <f>SUMIFS(Transport!$AT$13:$AT$264,Transport!$D$13:$D$264,$B205,Transport!$E$13:$E$264,$A205,Transport!$A$13:$A$264,$J205)/1000*6.5</f>
        <v>32.165108628526795</v>
      </c>
      <c r="P205" s="254"/>
      <c r="Q205" s="254"/>
      <c r="R205" s="1126"/>
      <c r="S205" s="275"/>
      <c r="T205" s="228"/>
      <c r="U205" s="228"/>
      <c r="V205" s="228"/>
      <c r="W205" s="228"/>
      <c r="X205" s="55"/>
      <c r="Y205" s="55"/>
      <c r="Z205" s="55"/>
      <c r="AA205" s="55"/>
      <c r="AB205" s="55"/>
    </row>
    <row r="206" spans="1:32">
      <c r="A206" s="169" t="s">
        <v>2062</v>
      </c>
      <c r="B206" s="224" t="s">
        <v>2064</v>
      </c>
      <c r="D206" s="212" t="str">
        <f>"IND"&amp;RIGHT(H206,4)&amp;"H2G"&amp;"N"&amp;RIGHT(E206,1)</f>
        <v>INDODTFH2GN2</v>
      </c>
      <c r="E206" s="224" t="str">
        <f>"Industry "&amp;$AJ$12&amp;" "&amp;RIGHT(H206,2)&amp;" Tractors, Trucks, Fishing boats - New 2"</f>
        <v>Industry Other TF Tractors, Trucks, Fishing boats - New 2</v>
      </c>
      <c r="F206" s="224" t="s">
        <v>1149</v>
      </c>
      <c r="G206" s="55" t="s">
        <v>2077</v>
      </c>
      <c r="H206" s="174" t="str">
        <f>$AI$18</f>
        <v>IODTF</v>
      </c>
      <c r="I206" s="174"/>
      <c r="J206" s="81">
        <v>2017</v>
      </c>
      <c r="K206" s="81">
        <v>2030</v>
      </c>
      <c r="L206" s="1127">
        <f>1/SUMIFS(Transport!$AS$13:$AS$264,Transport!$D$13:$D$264,$B206,Transport!$E$13:$E$264,$A206,Transport!$A$13:$A$264,$J206)</f>
        <v>1.6201914448931107</v>
      </c>
      <c r="M206" s="256"/>
      <c r="N206" s="256">
        <v>20</v>
      </c>
      <c r="O206" s="1127">
        <f>SUMIFS(Transport!$AT$13:$AT$264,Transport!$D$13:$D$264,$B206,Transport!$E$13:$E$264,$A206,Transport!$A$13:$A$264,$J206)/1000*6.5</f>
        <v>81.840656028484005</v>
      </c>
      <c r="P206" s="254"/>
      <c r="Q206" s="254"/>
      <c r="R206" s="1126">
        <v>1</v>
      </c>
      <c r="S206" s="1127">
        <v>1</v>
      </c>
      <c r="T206" s="228"/>
      <c r="U206" s="228"/>
      <c r="V206" s="228"/>
      <c r="W206" s="287"/>
      <c r="X206" s="55"/>
      <c r="Y206" s="55"/>
      <c r="Z206" s="55"/>
      <c r="AA206" s="55"/>
      <c r="AB206" s="55"/>
    </row>
    <row r="207" spans="1:32">
      <c r="A207" s="169" t="s">
        <v>2062</v>
      </c>
      <c r="B207" s="224" t="s">
        <v>2064</v>
      </c>
      <c r="D207" s="55"/>
      <c r="E207" s="55"/>
      <c r="F207" s="224" t="s">
        <v>1149</v>
      </c>
      <c r="G207" s="55"/>
      <c r="H207" s="174"/>
      <c r="I207" s="174"/>
      <c r="J207" s="256">
        <v>2017</v>
      </c>
      <c r="K207" s="256"/>
      <c r="L207" s="1127">
        <f>1/SUMIFS(Transport!$AS$13:$AS$264,Transport!$D$13:$D$264,$B207,Transport!$E$13:$E$264,$A207,Transport!$A$13:$A$264,$J207)</f>
        <v>1.6201914448931107</v>
      </c>
      <c r="M207" s="256"/>
      <c r="N207" s="256"/>
      <c r="O207" s="1127">
        <f>SUMIFS(Transport!$AT$13:$AT$264,Transport!$D$13:$D$264,$B207,Transport!$E$13:$E$264,$A207,Transport!$A$13:$A$264,$J207)/1000*6.5</f>
        <v>81.840656028484005</v>
      </c>
      <c r="P207" s="254"/>
      <c r="Q207" s="254"/>
      <c r="R207" s="1126"/>
      <c r="S207" s="275"/>
      <c r="T207" s="228"/>
      <c r="U207" s="228"/>
      <c r="V207" s="228"/>
      <c r="W207" s="228"/>
      <c r="X207" s="55"/>
      <c r="Y207" s="55"/>
      <c r="Z207" s="55"/>
      <c r="AA207" s="55"/>
      <c r="AB207" s="55"/>
    </row>
    <row r="208" spans="1:32">
      <c r="A208" s="169" t="s">
        <v>2062</v>
      </c>
      <c r="B208" s="224" t="s">
        <v>2064</v>
      </c>
      <c r="D208" s="55"/>
      <c r="E208" s="55"/>
      <c r="F208" s="224" t="s">
        <v>1149</v>
      </c>
      <c r="G208" s="55"/>
      <c r="J208" s="256">
        <v>2030</v>
      </c>
      <c r="K208" s="256"/>
      <c r="L208" s="1127">
        <f>1/SUMIFS(Transport!$AS$13:$AS$264,Transport!$D$13:$D$264,$B208,Transport!$E$13:$E$264,$A208,Transport!$A$13:$A$264,$J208)</f>
        <v>2.4143776559781225</v>
      </c>
      <c r="M208" s="256"/>
      <c r="N208" s="256"/>
      <c r="O208" s="1127">
        <f>SUMIFS(Transport!$AT$13:$AT$264,Transport!$D$13:$D$264,$B208,Transport!$E$13:$E$264,$A208,Transport!$A$13:$A$264,$J208)/1000*6.5</f>
        <v>34.253254247071318</v>
      </c>
      <c r="P208" s="254"/>
      <c r="Q208" s="254"/>
      <c r="R208" s="1126"/>
      <c r="S208" s="275"/>
      <c r="T208" s="228"/>
      <c r="U208" s="228"/>
      <c r="V208" s="228"/>
      <c r="W208" s="228"/>
      <c r="X208" s="55"/>
      <c r="Y208" s="55"/>
      <c r="Z208" s="55"/>
      <c r="AA208" s="55"/>
      <c r="AB208" s="55"/>
    </row>
    <row r="209" spans="1:28">
      <c r="A209" s="169" t="s">
        <v>2062</v>
      </c>
      <c r="B209" s="224" t="s">
        <v>2064</v>
      </c>
      <c r="D209" s="55"/>
      <c r="E209" s="55"/>
      <c r="F209" s="224" t="s">
        <v>1149</v>
      </c>
      <c r="G209" s="55"/>
      <c r="J209" s="256">
        <v>2050</v>
      </c>
      <c r="K209" s="256"/>
      <c r="L209" s="1127">
        <f>1/SUMIFS(Transport!$AS$13:$AS$264,Transport!$D$13:$D$264,$B209,Transport!$E$13:$E$264,$A209,Transport!$A$13:$A$264,$J209)</f>
        <v>2.9956358502626648</v>
      </c>
      <c r="M209" s="256"/>
      <c r="N209" s="256"/>
      <c r="O209" s="1127">
        <f>SUMIFS(Transport!$AT$13:$AT$264,Transport!$D$13:$D$264,$B209,Transport!$E$13:$E$264,$A209,Transport!$A$13:$A$264,$J209)/1000*6.5</f>
        <v>28.800352543800432</v>
      </c>
      <c r="P209" s="254"/>
      <c r="Q209" s="254"/>
      <c r="R209" s="1126"/>
      <c r="S209" s="275"/>
      <c r="T209" s="228"/>
      <c r="U209" s="228"/>
      <c r="V209" s="228"/>
      <c r="W209" s="228"/>
      <c r="X209" s="55"/>
      <c r="Y209" s="55"/>
      <c r="Z209" s="55"/>
      <c r="AA209" s="55"/>
      <c r="AB209" s="55"/>
    </row>
    <row r="210" spans="1:28">
      <c r="A210" s="169" t="s">
        <v>2061</v>
      </c>
      <c r="B210" s="224" t="s">
        <v>2064</v>
      </c>
      <c r="D210" s="212" t="str">
        <f>"IND"&amp;RIGHT(H210,4)&amp;"ELC"&amp;"N"&amp;RIGHT(E210,1)</f>
        <v>INDODTFELCN3</v>
      </c>
      <c r="E210" s="224" t="str">
        <f>"Industry "&amp;$AJ$12&amp;" "&amp;RIGHT(H210,2)&amp;" Tractors, Trucks, Fishing boats - New 3"</f>
        <v>Industry Other TF Tractors, Trucks, Fishing boats - New 3</v>
      </c>
      <c r="F210" s="224" t="s">
        <v>1149</v>
      </c>
      <c r="G210" s="55" t="s">
        <v>499</v>
      </c>
      <c r="H210" s="174" t="str">
        <f>$AI$18</f>
        <v>IODTF</v>
      </c>
      <c r="I210" s="174"/>
      <c r="J210" s="81">
        <v>2017</v>
      </c>
      <c r="K210" s="81">
        <v>2025</v>
      </c>
      <c r="L210" s="1127">
        <f>1/SUMIFS(Transport!$AS$13:$AS$264,Transport!$D$13:$D$264,$B210,Transport!$E$13:$E$264,$A210,Transport!$A$13:$A$264,$J210)</f>
        <v>3.2991956437648962</v>
      </c>
      <c r="M210" s="256"/>
      <c r="N210" s="256">
        <v>20</v>
      </c>
      <c r="O210" s="1127">
        <f>SUMIFS(Transport!$AT$13:$AT$264,Transport!$D$13:$D$264,$B210,Transport!$E$13:$E$264,$A210,Transport!$A$13:$A$264,$J210)/1000*6.5</f>
        <v>72.592990417868862</v>
      </c>
      <c r="P210" s="254"/>
      <c r="Q210" s="254"/>
      <c r="R210" s="1126">
        <v>1</v>
      </c>
      <c r="S210" s="1127">
        <v>1</v>
      </c>
      <c r="T210" s="228"/>
      <c r="U210" s="228"/>
      <c r="V210" s="228"/>
      <c r="W210" s="287"/>
      <c r="X210" s="55"/>
      <c r="Y210" s="55"/>
      <c r="Z210" s="55"/>
      <c r="AA210" s="55"/>
      <c r="AB210" s="55"/>
    </row>
    <row r="211" spans="1:28">
      <c r="A211" s="169" t="s">
        <v>2061</v>
      </c>
      <c r="B211" s="224" t="s">
        <v>2064</v>
      </c>
      <c r="D211" s="55"/>
      <c r="E211" s="55"/>
      <c r="F211" s="224" t="s">
        <v>1149</v>
      </c>
      <c r="G211" s="55"/>
      <c r="H211" s="174"/>
      <c r="I211" s="174"/>
      <c r="J211" s="256">
        <v>2017</v>
      </c>
      <c r="K211" s="256"/>
      <c r="L211" s="1127">
        <f>1/SUMIFS(Transport!$AS$13:$AS$264,Transport!$D$13:$D$264,$B211,Transport!$E$13:$E$264,$A211,Transport!$A$13:$A$264,$J211)</f>
        <v>3.2991956437648962</v>
      </c>
      <c r="M211" s="256"/>
      <c r="N211" s="256"/>
      <c r="O211" s="1127">
        <f>SUMIFS(Transport!$AT$13:$AT$264,Transport!$D$13:$D$264,$B211,Transport!$E$13:$E$264,$A211,Transport!$A$13:$A$264,$J211)/1000*6.5</f>
        <v>72.592990417868862</v>
      </c>
      <c r="P211" s="254"/>
      <c r="Q211" s="254"/>
      <c r="R211" s="201"/>
      <c r="S211" s="275"/>
      <c r="T211" s="228"/>
      <c r="U211" s="228"/>
      <c r="V211" s="228"/>
      <c r="W211" s="228"/>
      <c r="X211" s="55"/>
      <c r="Y211" s="55"/>
      <c r="Z211" s="55"/>
      <c r="AA211" s="55"/>
      <c r="AB211" s="55"/>
    </row>
    <row r="212" spans="1:28">
      <c r="A212" s="169" t="s">
        <v>2061</v>
      </c>
      <c r="B212" s="224" t="s">
        <v>2064</v>
      </c>
      <c r="D212" s="55"/>
      <c r="E212" s="55"/>
      <c r="F212" s="224" t="s">
        <v>1149</v>
      </c>
      <c r="G212" s="55"/>
      <c r="J212" s="256">
        <v>2030</v>
      </c>
      <c r="K212" s="256"/>
      <c r="L212" s="1127">
        <f>1/SUMIFS(Transport!$AS$13:$AS$264,Transport!$D$13:$D$264,$B212,Transport!$E$13:$E$264,$A212,Transport!$A$13:$A$264,$J212)</f>
        <v>3.2991956437648962</v>
      </c>
      <c r="M212" s="256"/>
      <c r="N212" s="256"/>
      <c r="O212" s="1127">
        <f>SUMIFS(Transport!$AT$13:$AT$264,Transport!$D$13:$D$264,$B212,Transport!$E$13:$E$264,$A212,Transport!$A$13:$A$264,$J212)/1000*6.5</f>
        <v>35.973025982850046</v>
      </c>
      <c r="P212" s="254"/>
      <c r="Q212" s="254"/>
      <c r="R212" s="201"/>
      <c r="S212" s="275"/>
      <c r="T212" s="228"/>
      <c r="U212" s="228"/>
      <c r="V212" s="228"/>
      <c r="W212" s="228"/>
      <c r="X212" s="55"/>
      <c r="Y212" s="55"/>
      <c r="Z212" s="55"/>
      <c r="AA212" s="55"/>
      <c r="AB212" s="55"/>
    </row>
    <row r="213" spans="1:28">
      <c r="A213" s="169" t="s">
        <v>2061</v>
      </c>
      <c r="B213" s="224" t="s">
        <v>2064</v>
      </c>
      <c r="D213" s="55"/>
      <c r="E213" s="55"/>
      <c r="F213" s="224" t="s">
        <v>1149</v>
      </c>
      <c r="G213" s="55"/>
      <c r="J213" s="256">
        <v>2050</v>
      </c>
      <c r="K213" s="256"/>
      <c r="L213" s="1127">
        <f>1/SUMIFS(Transport!$AS$13:$AS$264,Transport!$D$13:$D$264,$B213,Transport!$E$13:$E$264,$A213,Transport!$A$13:$A$264,$J213)</f>
        <v>3.2991956437648962</v>
      </c>
      <c r="M213" s="256"/>
      <c r="N213" s="256"/>
      <c r="O213" s="1127">
        <f>SUMIFS(Transport!$AT$13:$AT$264,Transport!$D$13:$D$264,$B213,Transport!$E$13:$E$264,$A213,Transport!$A$13:$A$264,$J213)/1000*6.5</f>
        <v>28.759134300809922</v>
      </c>
      <c r="P213" s="254"/>
      <c r="Q213" s="254"/>
      <c r="R213" s="201"/>
      <c r="S213" s="275"/>
      <c r="T213" s="228"/>
      <c r="U213" s="228"/>
      <c r="V213" s="228"/>
      <c r="W213" s="228"/>
      <c r="X213" s="55"/>
      <c r="Y213" s="55"/>
      <c r="Z213" s="55"/>
      <c r="AA213" s="55"/>
      <c r="AB213" s="55"/>
    </row>
    <row r="214" spans="1:28">
      <c r="A214" s="169"/>
      <c r="D214" s="212" t="str">
        <f>"IND"&amp;RIGHT(H214,4)&amp;RIGHT(G214,3)&amp;"N"&amp;RIGHT(E214,1)</f>
        <v>INDODFLELCN1</v>
      </c>
      <c r="E214" s="224" t="str">
        <f>"Industry "&amp;$AJ$12&amp;" "&amp;RIGHT(H202,2)&amp;" Forklifts - New 1"</f>
        <v>Industry Other TF Forklifts - New 1</v>
      </c>
      <c r="F214" s="224" t="s">
        <v>1149</v>
      </c>
      <c r="G214" s="173" t="s">
        <v>2128</v>
      </c>
      <c r="H214" s="224" t="str">
        <f>AI19</f>
        <v>IODFL</v>
      </c>
      <c r="J214" s="81">
        <v>2011</v>
      </c>
      <c r="K214" s="81">
        <v>2011</v>
      </c>
      <c r="L214" s="256">
        <v>1</v>
      </c>
      <c r="M214" s="256"/>
      <c r="N214" s="256">
        <v>10</v>
      </c>
      <c r="O214" s="254"/>
      <c r="P214" s="254"/>
      <c r="Q214" s="254"/>
      <c r="R214" s="201"/>
      <c r="S214" s="275">
        <v>0.9</v>
      </c>
      <c r="T214" s="228"/>
      <c r="U214" s="228"/>
      <c r="V214" s="228"/>
      <c r="W214" s="228"/>
      <c r="X214" s="55"/>
      <c r="Y214" s="55"/>
      <c r="Z214" s="55"/>
      <c r="AA214" s="55"/>
      <c r="AB214" s="55"/>
    </row>
    <row r="215" spans="1:28">
      <c r="A215" s="169"/>
      <c r="D215" s="55"/>
      <c r="E215" s="55"/>
      <c r="F215" s="224" t="s">
        <v>1149</v>
      </c>
      <c r="G215" s="55"/>
      <c r="H215" s="174"/>
      <c r="I215" s="174"/>
      <c r="J215" s="256">
        <v>2020</v>
      </c>
      <c r="K215" s="256"/>
      <c r="L215" s="256"/>
      <c r="M215" s="256"/>
      <c r="N215" s="257"/>
      <c r="O215" s="61"/>
      <c r="P215" s="61"/>
      <c r="Q215" s="61"/>
      <c r="R215" s="61"/>
      <c r="S215" s="276"/>
      <c r="T215" s="55"/>
      <c r="U215" s="55"/>
      <c r="V215" s="55"/>
      <c r="W215" s="55"/>
      <c r="X215" s="55"/>
      <c r="Y215" s="55"/>
      <c r="Z215" s="55"/>
      <c r="AA215" s="55"/>
      <c r="AB215" s="55"/>
    </row>
    <row r="216" spans="1:28">
      <c r="A216" s="169"/>
      <c r="D216" s="55"/>
      <c r="E216" s="55"/>
      <c r="F216" s="224" t="s">
        <v>1149</v>
      </c>
      <c r="G216" s="55"/>
      <c r="J216" s="256">
        <v>2030</v>
      </c>
      <c r="K216" s="256"/>
      <c r="L216" s="256"/>
      <c r="M216" s="256"/>
      <c r="N216" s="257"/>
      <c r="O216" s="61"/>
      <c r="P216" s="61"/>
      <c r="Q216" s="61"/>
      <c r="R216" s="61"/>
      <c r="S216" s="276"/>
      <c r="T216" s="55"/>
      <c r="U216" s="55"/>
      <c r="V216" s="55"/>
      <c r="W216" s="55"/>
      <c r="X216" s="55"/>
      <c r="Y216" s="55"/>
      <c r="Z216" s="55"/>
      <c r="AA216" s="55"/>
      <c r="AB216" s="55"/>
    </row>
    <row r="217" spans="1:28">
      <c r="A217" s="169"/>
      <c r="D217" s="55"/>
      <c r="E217" s="55"/>
      <c r="F217" s="224" t="s">
        <v>1149</v>
      </c>
      <c r="G217" s="55"/>
      <c r="H217" s="174"/>
      <c r="I217" s="174"/>
      <c r="J217" s="256">
        <v>2050</v>
      </c>
      <c r="K217" s="256"/>
      <c r="L217" s="256"/>
      <c r="M217" s="256"/>
      <c r="N217" s="257"/>
      <c r="O217" s="61"/>
      <c r="P217" s="61"/>
      <c r="Q217" s="61"/>
      <c r="R217" s="61"/>
      <c r="S217" s="276"/>
      <c r="T217" s="55"/>
      <c r="U217" s="55"/>
      <c r="V217" s="55"/>
      <c r="W217" s="55"/>
      <c r="X217" s="55"/>
      <c r="Y217" s="55"/>
      <c r="Z217" s="55"/>
      <c r="AA217" s="55"/>
      <c r="AB217" s="55"/>
    </row>
    <row r="218" spans="1:28">
      <c r="A218" s="169" t="s">
        <v>2107</v>
      </c>
      <c r="D218" s="212" t="str">
        <f>"IND"&amp;RIGHT(H218,4)&amp;RIGHT(G218,3)&amp;"N"&amp;RIGHT(E218,1)</f>
        <v>INDODCOELCN1</v>
      </c>
      <c r="E218" s="224" t="str">
        <f>"Industry "&amp;$AJ$12&amp;" "&amp;RIGHT(H218,2)&amp;" Cooling - New 1"</f>
        <v>Industry Other CO Cooling - New 1</v>
      </c>
      <c r="F218" s="224" t="s">
        <v>1149</v>
      </c>
      <c r="G218" s="173" t="s">
        <v>499</v>
      </c>
      <c r="H218" s="224" t="str">
        <f>AI21</f>
        <v>IODCO</v>
      </c>
      <c r="J218" s="82">
        <v>2015</v>
      </c>
      <c r="K218" s="82">
        <v>2015</v>
      </c>
      <c r="L218" s="1128">
        <v>1</v>
      </c>
      <c r="M218" s="1129"/>
      <c r="N218" s="1129">
        <v>12</v>
      </c>
      <c r="O218" s="1130">
        <v>3.3525</v>
      </c>
      <c r="P218" s="1131">
        <v>0.31662500000000005</v>
      </c>
      <c r="Q218" s="1131"/>
      <c r="R218" s="1132">
        <v>3.1536000000000002E-2</v>
      </c>
      <c r="S218" s="1133">
        <v>8.3999999999999991E-2</v>
      </c>
    </row>
    <row r="219" spans="1:28">
      <c r="A219" s="169"/>
      <c r="F219" s="224" t="s">
        <v>1149</v>
      </c>
      <c r="H219" s="173"/>
      <c r="I219" s="173"/>
      <c r="J219" s="1129">
        <v>2020</v>
      </c>
      <c r="K219" s="1129"/>
      <c r="L219" s="1128">
        <v>1</v>
      </c>
      <c r="M219" s="1129"/>
      <c r="N219" s="257">
        <v>12</v>
      </c>
      <c r="O219" s="61">
        <v>3.1662499999999998</v>
      </c>
      <c r="P219" s="61">
        <v>0.30110722454958749</v>
      </c>
      <c r="Q219" s="61"/>
      <c r="R219" s="61">
        <v>3.1536000000000002E-2</v>
      </c>
      <c r="S219" s="276">
        <v>8.3999999999999991E-2</v>
      </c>
    </row>
    <row r="220" spans="1:28">
      <c r="A220" s="169"/>
      <c r="F220" s="224" t="s">
        <v>1149</v>
      </c>
      <c r="J220" s="1129">
        <v>2030</v>
      </c>
      <c r="K220" s="1129"/>
      <c r="L220" s="1128">
        <v>1</v>
      </c>
      <c r="M220" s="1129"/>
      <c r="N220" s="257">
        <v>12</v>
      </c>
      <c r="O220" s="61">
        <v>3.1662499999999998</v>
      </c>
      <c r="P220" s="61">
        <v>0.30110722454958749</v>
      </c>
      <c r="Q220" s="61"/>
      <c r="R220" s="61">
        <v>3.1536000000000002E-2</v>
      </c>
      <c r="S220" s="276">
        <v>8.3999999999999991E-2</v>
      </c>
    </row>
    <row r="221" spans="1:28">
      <c r="A221" s="169"/>
      <c r="F221" s="224" t="s">
        <v>1149</v>
      </c>
      <c r="H221" s="173"/>
      <c r="I221" s="173"/>
      <c r="J221" s="1129">
        <v>2050</v>
      </c>
      <c r="K221" s="1129"/>
      <c r="L221" s="1128">
        <v>1</v>
      </c>
      <c r="M221" s="1129"/>
      <c r="N221" s="257">
        <v>12</v>
      </c>
      <c r="O221" s="61">
        <v>3.1662499999999998</v>
      </c>
      <c r="P221" s="61">
        <v>0.30110722454958749</v>
      </c>
      <c r="Q221" s="61"/>
      <c r="R221" s="61">
        <v>3.1536000000000002E-2</v>
      </c>
      <c r="S221" s="276">
        <v>8.3999999999999991E-2</v>
      </c>
    </row>
    <row r="222" spans="1:28">
      <c r="A222" s="169"/>
    </row>
    <row r="223" spans="1:28">
      <c r="A223" s="169"/>
    </row>
    <row r="224" spans="1:28">
      <c r="A224" s="169"/>
    </row>
    <row r="225" spans="1:10">
      <c r="A225" s="169"/>
    </row>
    <row r="226" spans="1:10">
      <c r="A226" s="169"/>
      <c r="C226" s="207" t="s">
        <v>467</v>
      </c>
      <c r="D226" s="208"/>
      <c r="E226" s="208"/>
      <c r="F226" s="208"/>
      <c r="G226" s="208"/>
      <c r="H226" s="208"/>
      <c r="I226" s="208"/>
      <c r="J226" s="208"/>
    </row>
    <row r="227" spans="1:10">
      <c r="A227" s="169"/>
      <c r="C227" s="209" t="s">
        <v>466</v>
      </c>
      <c r="D227" s="209" t="s">
        <v>425</v>
      </c>
      <c r="E227" s="209" t="s">
        <v>465</v>
      </c>
      <c r="F227" s="209" t="s">
        <v>464</v>
      </c>
      <c r="G227" s="209" t="s">
        <v>463</v>
      </c>
      <c r="H227" s="209" t="s">
        <v>462</v>
      </c>
      <c r="I227" s="209" t="s">
        <v>461</v>
      </c>
      <c r="J227" s="209" t="s">
        <v>460</v>
      </c>
    </row>
    <row r="228" spans="1:10" ht="25" thickBot="1">
      <c r="A228" s="169"/>
      <c r="C228" s="210" t="s">
        <v>459</v>
      </c>
      <c r="D228" s="210" t="s">
        <v>458</v>
      </c>
      <c r="E228" s="210" t="s">
        <v>457</v>
      </c>
      <c r="F228" s="210" t="s">
        <v>456</v>
      </c>
      <c r="G228" s="210" t="s">
        <v>455</v>
      </c>
      <c r="H228" s="210" t="s">
        <v>454</v>
      </c>
      <c r="I228" s="210" t="s">
        <v>453</v>
      </c>
      <c r="J228" s="210" t="s">
        <v>452</v>
      </c>
    </row>
    <row r="229" spans="1:10">
      <c r="A229" s="169"/>
      <c r="C229" s="211" t="s">
        <v>504</v>
      </c>
      <c r="D229" s="212" t="str">
        <f>D9</f>
        <v>INDODPHELCN1</v>
      </c>
      <c r="E229" s="212" t="str">
        <f t="shared" ref="E229:E260" si="266">VLOOKUP(D229,$D$9:$E$222,2,FALSE)</f>
        <v>Industrial heating technology Other PH - Heat pump utilizing waste heat - new 1</v>
      </c>
      <c r="F229" s="211" t="s">
        <v>450</v>
      </c>
      <c r="G229" s="211" t="s">
        <v>449</v>
      </c>
      <c r="H229" s="263" t="s">
        <v>620</v>
      </c>
      <c r="I229" s="301"/>
      <c r="J229" s="208" t="s">
        <v>469</v>
      </c>
    </row>
    <row r="230" spans="1:10">
      <c r="A230" s="169"/>
      <c r="B230" s="301"/>
      <c r="C230" s="301"/>
      <c r="D230" s="212" t="str">
        <f t="shared" ref="D230:D238" ca="1" si="267">OFFSET($D$9,(ROW(D1)*6),0)</f>
        <v>INDODSHELCN1</v>
      </c>
      <c r="E230" s="212" t="str">
        <f t="shared" ca="1" si="266"/>
        <v>Industrial heating technology Other SH - Heat pump utilizing waste heat - new 1</v>
      </c>
      <c r="F230" s="262" t="s">
        <v>450</v>
      </c>
      <c r="G230" s="262" t="s">
        <v>449</v>
      </c>
      <c r="H230" s="263" t="s">
        <v>620</v>
      </c>
      <c r="I230" s="301"/>
      <c r="J230" s="264" t="s">
        <v>469</v>
      </c>
    </row>
    <row r="231" spans="1:10">
      <c r="A231" s="169"/>
      <c r="D231" s="212" t="str">
        <f t="shared" ca="1" si="267"/>
        <v>INDODPHELCN2</v>
      </c>
      <c r="E231" s="212" t="str">
        <f t="shared" ca="1" si="266"/>
        <v>Industrial heating technology Other PH - Heat driven heat pump utilizing waste heat - new 2</v>
      </c>
      <c r="F231" s="211" t="s">
        <v>450</v>
      </c>
      <c r="G231" s="211" t="s">
        <v>449</v>
      </c>
      <c r="H231" s="263" t="s">
        <v>620</v>
      </c>
      <c r="I231" s="208"/>
      <c r="J231" s="264" t="s">
        <v>469</v>
      </c>
    </row>
    <row r="232" spans="1:10">
      <c r="A232" s="169"/>
      <c r="B232" s="211"/>
      <c r="C232" s="211"/>
      <c r="D232" s="212" t="str">
        <f t="shared" ca="1" si="267"/>
        <v>INDODSHELCN2</v>
      </c>
      <c r="E232" s="212" t="str">
        <f t="shared" ca="1" si="266"/>
        <v>Industrial heating technology Other SH - Heat driven heat pump utilizing waste heat - new 2</v>
      </c>
      <c r="F232" s="262" t="s">
        <v>450</v>
      </c>
      <c r="G232" s="262" t="s">
        <v>449</v>
      </c>
      <c r="H232" s="263" t="s">
        <v>620</v>
      </c>
      <c r="I232" s="264"/>
      <c r="J232" s="264" t="s">
        <v>469</v>
      </c>
    </row>
    <row r="233" spans="1:10">
      <c r="A233" s="169"/>
      <c r="B233" s="211"/>
      <c r="C233" s="211"/>
      <c r="D233" s="212" t="str">
        <f t="shared" ca="1" si="267"/>
        <v>INDODPHELCN3</v>
      </c>
      <c r="E233" s="212" t="str">
        <f t="shared" ca="1" si="266"/>
        <v>Industrial heating technology Other PH - High Temp abs. Heat pump utilizing waste heat - new 3</v>
      </c>
      <c r="F233" s="262" t="s">
        <v>450</v>
      </c>
      <c r="G233" s="262" t="s">
        <v>449</v>
      </c>
      <c r="H233" s="263" t="s">
        <v>620</v>
      </c>
      <c r="I233" s="264"/>
      <c r="J233" s="264" t="s">
        <v>469</v>
      </c>
    </row>
    <row r="234" spans="1:10">
      <c r="A234" s="169"/>
      <c r="B234" s="211"/>
      <c r="C234" s="211"/>
      <c r="D234" s="212" t="str">
        <f t="shared" ca="1" si="267"/>
        <v>INDODSHELCN3</v>
      </c>
      <c r="E234" s="212" t="str">
        <f t="shared" ca="1" si="266"/>
        <v>Industrial heating technology Other SH - High Temp abs. Heat pump utilizing waste heat - new 3</v>
      </c>
      <c r="F234" s="262" t="s">
        <v>450</v>
      </c>
      <c r="G234" s="262" t="s">
        <v>449</v>
      </c>
      <c r="H234" s="263" t="s">
        <v>620</v>
      </c>
      <c r="I234" s="264"/>
      <c r="J234" s="264" t="s">
        <v>469</v>
      </c>
    </row>
    <row r="235" spans="1:10">
      <c r="A235" s="169"/>
      <c r="B235" s="211"/>
      <c r="C235" s="211"/>
      <c r="D235" s="212" t="str">
        <f t="shared" ca="1" si="267"/>
        <v>INDODPHELCN4</v>
      </c>
      <c r="E235" s="212" t="str">
        <f t="shared" ca="1" si="266"/>
        <v>Industrial heating technology Other PH - Booster Heat pump utilizing waste heat - new 4</v>
      </c>
      <c r="F235" s="262" t="s">
        <v>450</v>
      </c>
      <c r="G235" s="262" t="s">
        <v>449</v>
      </c>
      <c r="H235" s="263" t="s">
        <v>620</v>
      </c>
      <c r="I235" s="264"/>
      <c r="J235" s="264" t="s">
        <v>469</v>
      </c>
    </row>
    <row r="236" spans="1:10">
      <c r="A236" s="169"/>
      <c r="B236" s="211"/>
      <c r="C236" s="211"/>
      <c r="D236" s="212" t="str">
        <f t="shared" ca="1" si="267"/>
        <v>INDODSHELCN4</v>
      </c>
      <c r="E236" s="212" t="str">
        <f t="shared" ca="1" si="266"/>
        <v>Industrial heating technology Other SH - Booster Heat pump utilizing waste heat - new 4</v>
      </c>
      <c r="F236" s="262" t="s">
        <v>450</v>
      </c>
      <c r="G236" s="262" t="s">
        <v>449</v>
      </c>
      <c r="H236" s="263" t="s">
        <v>620</v>
      </c>
      <c r="I236" s="264"/>
      <c r="J236" s="264" t="s">
        <v>469</v>
      </c>
    </row>
    <row r="237" spans="1:10">
      <c r="A237" s="169"/>
      <c r="B237" s="211"/>
      <c r="C237" s="211"/>
      <c r="D237" s="212" t="str">
        <f t="shared" ca="1" si="267"/>
        <v>INDODPHELCN5</v>
      </c>
      <c r="E237" s="212" t="str">
        <f t="shared" ca="1" si="266"/>
        <v>Industrial heating technology Other PH - MVR utilizing waste heat - new 5</v>
      </c>
      <c r="F237" s="262" t="s">
        <v>450</v>
      </c>
      <c r="G237" s="262" t="s">
        <v>449</v>
      </c>
      <c r="H237" s="263"/>
      <c r="I237" s="264"/>
      <c r="J237" s="264" t="s">
        <v>469</v>
      </c>
    </row>
    <row r="238" spans="1:10">
      <c r="A238" s="169"/>
      <c r="B238" s="211"/>
      <c r="C238" s="211"/>
      <c r="D238" s="212" t="str">
        <f t="shared" ca="1" si="267"/>
        <v>INDODPHWSTN1</v>
      </c>
      <c r="E238" s="212" t="str">
        <f t="shared" ca="1" si="266"/>
        <v>Industrial heating technology Other PH - Hotdisc - new 1</v>
      </c>
      <c r="F238" s="262" t="s">
        <v>450</v>
      </c>
      <c r="G238" s="262" t="s">
        <v>449</v>
      </c>
      <c r="H238" s="263" t="s">
        <v>620</v>
      </c>
      <c r="I238" s="264"/>
      <c r="J238" s="264" t="s">
        <v>469</v>
      </c>
    </row>
    <row r="239" spans="1:10">
      <c r="A239" s="169"/>
      <c r="B239" s="211"/>
      <c r="C239" s="211"/>
      <c r="D239" s="212" t="str">
        <f t="shared" ref="D239:D278" ca="1" si="268">OFFSET($D$9,(ROW(D19)*3),0)</f>
        <v>INDODPHELCN6</v>
      </c>
      <c r="E239" s="212" t="str">
        <f t="shared" ca="1" si="266"/>
        <v>Industrial heating technology Other PH - Dielectric heating - new 6</v>
      </c>
      <c r="F239" s="262" t="s">
        <v>450</v>
      </c>
      <c r="G239" s="262" t="s">
        <v>449</v>
      </c>
      <c r="H239" s="263" t="s">
        <v>620</v>
      </c>
      <c r="I239" s="264"/>
      <c r="J239" s="264" t="s">
        <v>469</v>
      </c>
    </row>
    <row r="240" spans="1:10">
      <c r="A240" s="169"/>
      <c r="B240" s="211"/>
      <c r="C240" s="211"/>
      <c r="D240" s="212" t="str">
        <f t="shared" ca="1" si="268"/>
        <v>INDODPHELCN7</v>
      </c>
      <c r="E240" s="212" t="str">
        <f t="shared" ca="1" si="266"/>
        <v>Industrial heating technology Other PH - Infrared heating - new 7</v>
      </c>
      <c r="F240" s="262" t="s">
        <v>450</v>
      </c>
      <c r="G240" s="262" t="s">
        <v>449</v>
      </c>
      <c r="H240" s="263" t="s">
        <v>620</v>
      </c>
      <c r="I240" s="264"/>
      <c r="J240" s="264" t="s">
        <v>469</v>
      </c>
    </row>
    <row r="241" spans="1:16">
      <c r="A241" s="169"/>
      <c r="B241" s="211"/>
      <c r="C241" s="211"/>
      <c r="D241" s="212" t="str">
        <f t="shared" ca="1" si="268"/>
        <v>INDODPHELCN8</v>
      </c>
      <c r="E241" s="212" t="str">
        <f t="shared" ca="1" si="266"/>
        <v>Industrial heating technology Other PH - Electric boiler (Steam) - new 8</v>
      </c>
      <c r="F241" s="262" t="s">
        <v>450</v>
      </c>
      <c r="G241" s="262" t="s">
        <v>449</v>
      </c>
      <c r="H241" s="263" t="s">
        <v>620</v>
      </c>
      <c r="I241" s="264"/>
      <c r="J241" s="264" t="s">
        <v>469</v>
      </c>
    </row>
    <row r="242" spans="1:16">
      <c r="A242" s="169"/>
      <c r="B242" s="211"/>
      <c r="C242" s="211"/>
      <c r="D242" s="212" t="str">
        <f t="shared" ca="1" si="268"/>
        <v>INDODPHELCN8</v>
      </c>
      <c r="E242" s="212" t="str">
        <f t="shared" ca="1" si="266"/>
        <v>Industrial heating technology Other PH - Electric boiler (Steam) - new 8</v>
      </c>
      <c r="F242" s="262" t="s">
        <v>450</v>
      </c>
      <c r="G242" s="262" t="s">
        <v>449</v>
      </c>
      <c r="H242" s="263" t="s">
        <v>620</v>
      </c>
      <c r="I242" s="264"/>
      <c r="J242" s="264" t="s">
        <v>469</v>
      </c>
    </row>
    <row r="243" spans="1:16">
      <c r="A243" s="169"/>
      <c r="B243" s="211"/>
      <c r="C243" s="211"/>
      <c r="D243" s="212" t="str">
        <f t="shared" ca="1" si="268"/>
        <v>INDODSHELCN8</v>
      </c>
      <c r="E243" s="212" t="str">
        <f t="shared" ca="1" si="266"/>
        <v>Industrial heating technology Other SH - Electric boiler (Steam) - new 8</v>
      </c>
      <c r="F243" s="262" t="s">
        <v>450</v>
      </c>
      <c r="G243" s="262" t="s">
        <v>449</v>
      </c>
      <c r="H243" s="263" t="s">
        <v>620</v>
      </c>
      <c r="I243" s="264"/>
      <c r="J243" s="264" t="s">
        <v>469</v>
      </c>
      <c r="P243" s="173"/>
    </row>
    <row r="244" spans="1:16">
      <c r="A244" s="169"/>
      <c r="B244" s="211"/>
      <c r="C244" s="211"/>
      <c r="D244" s="212" t="str">
        <f t="shared" ca="1" si="268"/>
        <v>INDODPHELCN9</v>
      </c>
      <c r="E244" s="212" t="str">
        <f t="shared" ca="1" si="266"/>
        <v>Industrial heating technology Other PH - Electric boiler (Hot Water) - new 9</v>
      </c>
      <c r="F244" s="262" t="s">
        <v>450</v>
      </c>
      <c r="G244" s="262" t="s">
        <v>449</v>
      </c>
      <c r="H244" s="263" t="s">
        <v>620</v>
      </c>
      <c r="I244" s="264"/>
      <c r="J244" s="264" t="s">
        <v>469</v>
      </c>
      <c r="P244" s="173"/>
    </row>
    <row r="245" spans="1:16">
      <c r="A245" s="169"/>
      <c r="B245" s="211"/>
      <c r="C245" s="211"/>
      <c r="D245" s="212" t="str">
        <f t="shared" ca="1" si="268"/>
        <v>INDODSHELCN9</v>
      </c>
      <c r="E245" s="212" t="str">
        <f t="shared" ca="1" si="266"/>
        <v>Industrial heating technology Other SH - Electric boiler (Hot Water) - new 9</v>
      </c>
      <c r="F245" s="262" t="s">
        <v>450</v>
      </c>
      <c r="G245" s="262" t="s">
        <v>449</v>
      </c>
      <c r="H245" s="263" t="s">
        <v>620</v>
      </c>
      <c r="I245" s="264"/>
      <c r="J245" s="264" t="s">
        <v>469</v>
      </c>
      <c r="P245" s="173"/>
    </row>
    <row r="246" spans="1:16">
      <c r="A246" s="169"/>
      <c r="B246" s="211"/>
      <c r="C246" s="211"/>
      <c r="D246" s="212" t="str">
        <f t="shared" ca="1" si="268"/>
        <v>INDODPHWCHN1</v>
      </c>
      <c r="E246" s="212" t="str">
        <f t="shared" ca="1" si="266"/>
        <v>Industrial heating technology Other PH - Wood chip boiler (Steam) - new 1</v>
      </c>
      <c r="F246" s="262" t="s">
        <v>450</v>
      </c>
      <c r="G246" s="262" t="s">
        <v>449</v>
      </c>
      <c r="H246" s="263"/>
      <c r="I246" s="264"/>
      <c r="J246" s="264" t="s">
        <v>469</v>
      </c>
      <c r="P246" s="173"/>
    </row>
    <row r="247" spans="1:16">
      <c r="A247" s="169"/>
      <c r="B247" s="211"/>
      <c r="C247" s="211"/>
      <c r="D247" s="212" t="str">
        <f t="shared" ca="1" si="268"/>
        <v>INDODPHWCHN1</v>
      </c>
      <c r="E247" s="212" t="str">
        <f t="shared" ca="1" si="266"/>
        <v>Industrial heating technology Other PH - Wood chip boiler (Steam) - new 1</v>
      </c>
      <c r="F247" s="262" t="s">
        <v>450</v>
      </c>
      <c r="G247" s="262" t="s">
        <v>449</v>
      </c>
      <c r="H247" s="263"/>
      <c r="I247" s="264"/>
      <c r="J247" s="264" t="s">
        <v>469</v>
      </c>
      <c r="M247" s="171"/>
      <c r="N247" s="171"/>
      <c r="P247" s="173"/>
    </row>
    <row r="248" spans="1:16">
      <c r="A248" s="169"/>
      <c r="B248" s="211"/>
      <c r="C248" s="211"/>
      <c r="D248" s="212" t="str">
        <f t="shared" ca="1" si="268"/>
        <v>INDODSHWCHN1</v>
      </c>
      <c r="E248" s="212" t="str">
        <f t="shared" ca="1" si="266"/>
        <v>Industrial heating technology Other SH - Wood chip boiler (Steam) - new 1</v>
      </c>
      <c r="F248" s="262" t="s">
        <v>450</v>
      </c>
      <c r="G248" s="262" t="s">
        <v>449</v>
      </c>
      <c r="H248" s="263"/>
      <c r="I248" s="264"/>
      <c r="J248" s="264" t="s">
        <v>469</v>
      </c>
      <c r="M248" s="171"/>
      <c r="N248" s="171"/>
      <c r="P248" s="173"/>
    </row>
    <row r="249" spans="1:16">
      <c r="A249" s="169"/>
      <c r="B249" s="211"/>
      <c r="C249" s="211"/>
      <c r="D249" s="212" t="str">
        <f t="shared" ca="1" si="268"/>
        <v>INDODPHWCHN2</v>
      </c>
      <c r="E249" s="212" t="str">
        <f t="shared" ca="1" si="266"/>
        <v>Industrial heating technology Other PH - Wood chip boiler (Steam - condensing) - new 2</v>
      </c>
      <c r="F249" s="262" t="s">
        <v>450</v>
      </c>
      <c r="G249" s="262" t="s">
        <v>449</v>
      </c>
      <c r="H249" s="263"/>
      <c r="I249" s="264"/>
      <c r="J249" s="264" t="s">
        <v>469</v>
      </c>
      <c r="M249" s="171"/>
      <c r="N249" s="171"/>
      <c r="P249" s="173"/>
    </row>
    <row r="250" spans="1:16">
      <c r="A250" s="169"/>
      <c r="B250" s="212"/>
      <c r="C250" s="212"/>
      <c r="D250" s="212" t="str">
        <f t="shared" ca="1" si="268"/>
        <v>INDODSHWCHN2</v>
      </c>
      <c r="E250" s="212" t="str">
        <f t="shared" ca="1" si="266"/>
        <v>Industrial heating technology Other SH - Wood chip boiler (Steam - condensing) - new 2</v>
      </c>
      <c r="F250" s="262" t="s">
        <v>450</v>
      </c>
      <c r="G250" s="262" t="s">
        <v>449</v>
      </c>
      <c r="H250" s="263"/>
      <c r="I250" s="264"/>
      <c r="J250" s="264" t="s">
        <v>469</v>
      </c>
    </row>
    <row r="251" spans="1:16">
      <c r="A251" s="169"/>
      <c r="B251" s="212"/>
      <c r="C251" s="212"/>
      <c r="D251" s="212" t="str">
        <f t="shared" ca="1" si="268"/>
        <v>INDODPHWCHN3</v>
      </c>
      <c r="E251" s="212" t="str">
        <f t="shared" ca="1" si="266"/>
        <v>Industrial heating technology Other PH - Wood chip boiler (Hot Water) - new 3</v>
      </c>
      <c r="F251" s="262" t="s">
        <v>450</v>
      </c>
      <c r="G251" s="262" t="s">
        <v>449</v>
      </c>
      <c r="H251" s="261"/>
      <c r="I251" s="261"/>
      <c r="J251" s="264" t="s">
        <v>469</v>
      </c>
    </row>
    <row r="252" spans="1:16">
      <c r="A252" s="169"/>
      <c r="B252" s="212"/>
      <c r="C252" s="212"/>
      <c r="D252" s="212" t="str">
        <f t="shared" ca="1" si="268"/>
        <v>INDODSHWCHN3</v>
      </c>
      <c r="E252" s="212" t="str">
        <f t="shared" ca="1" si="266"/>
        <v>Industrial heating technology Other SH - Wood chip boiler (Hot Water) - new 3</v>
      </c>
      <c r="F252" s="262" t="s">
        <v>450</v>
      </c>
      <c r="G252" s="262" t="s">
        <v>449</v>
      </c>
      <c r="H252" s="261"/>
      <c r="I252" s="261"/>
      <c r="J252" s="264" t="s">
        <v>469</v>
      </c>
    </row>
    <row r="253" spans="1:16">
      <c r="A253" s="169"/>
      <c r="B253" s="212"/>
      <c r="C253" s="212"/>
      <c r="D253" s="212" t="str">
        <f t="shared" ca="1" si="268"/>
        <v>INDODPHWCHN4</v>
      </c>
      <c r="E253" s="212" t="str">
        <f t="shared" ca="1" si="266"/>
        <v>Industrial heating technology Other PH - Wood chip boiler (Hot Water - condensing) - new 4</v>
      </c>
      <c r="F253" s="262" t="s">
        <v>450</v>
      </c>
      <c r="G253" s="262" t="s">
        <v>449</v>
      </c>
      <c r="H253" s="261"/>
      <c r="I253" s="261"/>
      <c r="J253" s="264" t="s">
        <v>469</v>
      </c>
    </row>
    <row r="254" spans="1:16">
      <c r="A254" s="169"/>
      <c r="B254" s="212"/>
      <c r="C254" s="212"/>
      <c r="D254" s="212" t="str">
        <f t="shared" ca="1" si="268"/>
        <v>INDODSHWCHN4</v>
      </c>
      <c r="E254" s="212" t="str">
        <f t="shared" ca="1" si="266"/>
        <v>Industrial heating technology Other SH - Wood chip boiler (Hot Water- condensing) - new 4</v>
      </c>
      <c r="F254" s="262" t="s">
        <v>450</v>
      </c>
      <c r="G254" s="262" t="s">
        <v>449</v>
      </c>
      <c r="H254" s="261"/>
      <c r="I254" s="261"/>
      <c r="J254" s="264" t="s">
        <v>469</v>
      </c>
    </row>
    <row r="255" spans="1:16">
      <c r="B255" s="212"/>
      <c r="C255" s="212"/>
      <c r="D255" s="212" t="str">
        <f t="shared" ca="1" si="268"/>
        <v>INDODPHELCN10</v>
      </c>
      <c r="E255" s="212" t="str">
        <f t="shared" ca="1" si="266"/>
        <v>Industrial heating technology Other PH - Direct electric heating - new 10</v>
      </c>
      <c r="F255" s="262" t="s">
        <v>450</v>
      </c>
      <c r="G255" s="262" t="s">
        <v>449</v>
      </c>
      <c r="H255" s="261"/>
      <c r="I255" s="261"/>
      <c r="J255" s="264" t="s">
        <v>469</v>
      </c>
    </row>
    <row r="256" spans="1:16">
      <c r="B256" s="212"/>
      <c r="C256" s="212"/>
      <c r="D256" s="212" t="str">
        <f t="shared" ca="1" si="268"/>
        <v>INDODPHELCN10</v>
      </c>
      <c r="E256" s="212" t="str">
        <f t="shared" ca="1" si="266"/>
        <v>Industrial heating technology Other PH - Direct electric heating - new 10</v>
      </c>
      <c r="F256" s="262" t="s">
        <v>450</v>
      </c>
      <c r="G256" s="262" t="s">
        <v>449</v>
      </c>
      <c r="H256" s="261"/>
      <c r="I256" s="261"/>
      <c r="J256" s="264" t="s">
        <v>469</v>
      </c>
    </row>
    <row r="257" spans="1:10">
      <c r="B257" s="212"/>
      <c r="C257" s="212"/>
      <c r="D257" s="212" t="str">
        <f t="shared" ca="1" si="268"/>
        <v>INDODPHDSLN1</v>
      </c>
      <c r="E257" s="212" t="str">
        <f t="shared" ca="1" si="266"/>
        <v>Industrial heating technology Other PH - Oil boiler (Steam) - new 1</v>
      </c>
      <c r="F257" s="262" t="s">
        <v>450</v>
      </c>
      <c r="G257" s="262" t="s">
        <v>449</v>
      </c>
      <c r="H257" s="261"/>
      <c r="I257" s="261"/>
      <c r="J257" s="264" t="s">
        <v>469</v>
      </c>
    </row>
    <row r="258" spans="1:10">
      <c r="B258" s="212"/>
      <c r="C258" s="212"/>
      <c r="D258" s="212" t="str">
        <f t="shared" ca="1" si="268"/>
        <v>INDODPHDSLN1</v>
      </c>
      <c r="E258" s="212" t="str">
        <f t="shared" ca="1" si="266"/>
        <v>Industrial heating technology Other PH - Oil boiler (Steam) - new 1</v>
      </c>
      <c r="F258" s="262" t="s">
        <v>450</v>
      </c>
      <c r="G258" s="262" t="s">
        <v>449</v>
      </c>
      <c r="H258" s="261"/>
      <c r="I258" s="261"/>
      <c r="J258" s="264" t="s">
        <v>469</v>
      </c>
    </row>
    <row r="259" spans="1:10">
      <c r="B259" s="212"/>
      <c r="C259" s="212"/>
      <c r="D259" s="212" t="str">
        <f t="shared" ca="1" si="268"/>
        <v>INDODSHDSLN1</v>
      </c>
      <c r="E259" s="212" t="str">
        <f t="shared" ca="1" si="266"/>
        <v>Industrial heating technology Other SH - Oil boiler (Steam) - new 1</v>
      </c>
      <c r="F259" s="262" t="s">
        <v>450</v>
      </c>
      <c r="G259" s="262" t="s">
        <v>449</v>
      </c>
      <c r="H259" s="261"/>
      <c r="I259" s="261"/>
      <c r="J259" s="264" t="s">
        <v>469</v>
      </c>
    </row>
    <row r="260" spans="1:10">
      <c r="A260" s="214"/>
      <c r="B260" s="212"/>
      <c r="C260" s="212"/>
      <c r="D260" s="212" t="str">
        <f t="shared" ca="1" si="268"/>
        <v>INDODPHDSLN2</v>
      </c>
      <c r="E260" s="212" t="str">
        <f t="shared" ca="1" si="266"/>
        <v>Industrial heating technology Other PH - Oil boiler (Steam - condensing) - new 2</v>
      </c>
      <c r="F260" s="262" t="s">
        <v>450</v>
      </c>
      <c r="G260" s="262" t="s">
        <v>449</v>
      </c>
      <c r="H260" s="261"/>
      <c r="I260" s="261"/>
      <c r="J260" s="264" t="s">
        <v>469</v>
      </c>
    </row>
    <row r="261" spans="1:10">
      <c r="A261" s="214"/>
      <c r="B261" s="212"/>
      <c r="C261" s="212"/>
      <c r="D261" s="212" t="str">
        <f t="shared" ca="1" si="268"/>
        <v>INDODSHDSLN2</v>
      </c>
      <c r="E261" s="212" t="str">
        <f t="shared" ref="E261:E290" ca="1" si="269">VLOOKUP(D261,$D$9:$E$222,2,FALSE)</f>
        <v>Industrial heating technology Other SH - Oil boiler (Steam - condensing) - new 2</v>
      </c>
      <c r="F261" s="262" t="s">
        <v>450</v>
      </c>
      <c r="G261" s="262" t="s">
        <v>449</v>
      </c>
      <c r="H261" s="261"/>
      <c r="I261" s="261"/>
      <c r="J261" s="264" t="s">
        <v>469</v>
      </c>
    </row>
    <row r="262" spans="1:10">
      <c r="A262" s="214"/>
      <c r="B262" s="212"/>
      <c r="C262" s="212"/>
      <c r="D262" s="212" t="str">
        <f t="shared" ca="1" si="268"/>
        <v>INDODPHGASN1</v>
      </c>
      <c r="E262" s="212" t="str">
        <f t="shared" ca="1" si="269"/>
        <v>Industrial heating technology Other PH - Gas boiler (Steam) - new 1</v>
      </c>
      <c r="F262" s="262" t="s">
        <v>450</v>
      </c>
      <c r="G262" s="262" t="s">
        <v>449</v>
      </c>
      <c r="H262" s="261"/>
      <c r="I262" s="261"/>
      <c r="J262" s="264" t="s">
        <v>469</v>
      </c>
    </row>
    <row r="263" spans="1:10">
      <c r="A263" s="214"/>
      <c r="B263" s="212"/>
      <c r="C263" s="212"/>
      <c r="D263" s="212" t="str">
        <f t="shared" ca="1" si="268"/>
        <v>INDODPHGASN1</v>
      </c>
      <c r="E263" s="212" t="str">
        <f t="shared" ca="1" si="269"/>
        <v>Industrial heating technology Other PH - Gas boiler (Steam) - new 1</v>
      </c>
      <c r="F263" s="262" t="s">
        <v>450</v>
      </c>
      <c r="G263" s="262" t="s">
        <v>449</v>
      </c>
      <c r="H263" s="261"/>
      <c r="I263" s="261"/>
      <c r="J263" s="264" t="s">
        <v>469</v>
      </c>
    </row>
    <row r="264" spans="1:10">
      <c r="B264" s="212"/>
      <c r="C264" s="212"/>
      <c r="D264" s="212" t="str">
        <f t="shared" ca="1" si="268"/>
        <v>INDODSHGASN1</v>
      </c>
      <c r="E264" s="212" t="str">
        <f t="shared" ca="1" si="269"/>
        <v>Industrial heating technology Other SH - Gas boiler (Steam) - new 1</v>
      </c>
      <c r="F264" s="262" t="s">
        <v>450</v>
      </c>
      <c r="G264" s="262" t="s">
        <v>449</v>
      </c>
      <c r="H264" s="261"/>
      <c r="I264" s="261"/>
      <c r="J264" s="264" t="s">
        <v>469</v>
      </c>
    </row>
    <row r="265" spans="1:10">
      <c r="B265" s="212"/>
      <c r="C265" s="212"/>
      <c r="D265" s="212" t="str">
        <f t="shared" ca="1" si="268"/>
        <v>INDODPHGASN2</v>
      </c>
      <c r="E265" s="212" t="str">
        <f t="shared" ca="1" si="269"/>
        <v>Industrial heating technology Other PH - Gas boiler (Steam - condensing) - new 2</v>
      </c>
      <c r="F265" s="262" t="s">
        <v>450</v>
      </c>
      <c r="G265" s="262" t="s">
        <v>449</v>
      </c>
      <c r="H265" s="261"/>
      <c r="I265" s="261"/>
      <c r="J265" s="264" t="s">
        <v>469</v>
      </c>
    </row>
    <row r="266" spans="1:10">
      <c r="B266" s="212"/>
      <c r="C266" s="212"/>
      <c r="D266" s="212" t="str">
        <f t="shared" ca="1" si="268"/>
        <v>INDODSHGASN2</v>
      </c>
      <c r="E266" s="212" t="str">
        <f t="shared" ca="1" si="269"/>
        <v>Industrial heating technology Other SH - Gas boiler (Steam - condensing) - new 2</v>
      </c>
      <c r="F266" s="262" t="s">
        <v>450</v>
      </c>
      <c r="G266" s="262" t="s">
        <v>449</v>
      </c>
      <c r="H266" s="261"/>
      <c r="I266" s="261"/>
      <c r="J266" s="264" t="s">
        <v>469</v>
      </c>
    </row>
    <row r="267" spans="1:10">
      <c r="B267" s="212"/>
      <c r="C267" s="212"/>
      <c r="D267" s="212" t="str">
        <f t="shared" ca="1" si="268"/>
        <v>INDODPHGASN3</v>
      </c>
      <c r="E267" s="212" t="str">
        <f t="shared" ca="1" si="269"/>
        <v>Industrial heating technology Other PH - Gas boiler (Hot Water) - new 3</v>
      </c>
      <c r="F267" s="262" t="s">
        <v>450</v>
      </c>
      <c r="G267" s="262" t="s">
        <v>449</v>
      </c>
      <c r="H267" s="261"/>
      <c r="I267" s="261"/>
      <c r="J267" s="264" t="s">
        <v>469</v>
      </c>
    </row>
    <row r="268" spans="1:10">
      <c r="B268" s="212"/>
      <c r="C268" s="212"/>
      <c r="D268" s="212" t="str">
        <f t="shared" ca="1" si="268"/>
        <v>INDODSHGASN3</v>
      </c>
      <c r="E268" s="212" t="str">
        <f t="shared" ca="1" si="269"/>
        <v>Industrial heating technology Other SH - Gas boiler (Hot Water) - new 3</v>
      </c>
      <c r="F268" s="262" t="s">
        <v>450</v>
      </c>
      <c r="G268" s="262" t="s">
        <v>449</v>
      </c>
      <c r="H268" s="261"/>
      <c r="I268" s="261"/>
      <c r="J268" s="264" t="s">
        <v>469</v>
      </c>
    </row>
    <row r="269" spans="1:10">
      <c r="B269" s="212"/>
      <c r="C269" s="212"/>
      <c r="D269" s="212" t="str">
        <f t="shared" ca="1" si="268"/>
        <v>INDODPHGASN4</v>
      </c>
      <c r="E269" s="212" t="str">
        <f t="shared" ca="1" si="269"/>
        <v>Industrial heating technology Other PH - Gas boiler (Hot Water - condensing) - new 4</v>
      </c>
      <c r="F269" s="262" t="s">
        <v>450</v>
      </c>
      <c r="G269" s="262" t="s">
        <v>449</v>
      </c>
      <c r="H269" s="261"/>
      <c r="I269" s="261"/>
      <c r="J269" s="264" t="s">
        <v>469</v>
      </c>
    </row>
    <row r="270" spans="1:10">
      <c r="B270" s="212"/>
      <c r="C270" s="212"/>
      <c r="D270" s="212" t="str">
        <f t="shared" ca="1" si="268"/>
        <v>INDODSHGASN4</v>
      </c>
      <c r="E270" s="212" t="str">
        <f t="shared" ca="1" si="269"/>
        <v>Industrial heating technology Other SH - Gas boiler (Hot Water- condensing) - new 4</v>
      </c>
      <c r="F270" s="262" t="s">
        <v>450</v>
      </c>
      <c r="G270" s="262" t="s">
        <v>449</v>
      </c>
      <c r="H270" s="261"/>
      <c r="I270" s="261"/>
      <c r="J270" s="264" t="s">
        <v>469</v>
      </c>
    </row>
    <row r="271" spans="1:10">
      <c r="B271" s="212"/>
      <c r="C271" s="212"/>
      <c r="D271" s="212" t="str">
        <f t="shared" ca="1" si="268"/>
        <v>INDODPHGASN5</v>
      </c>
      <c r="E271" s="212" t="str">
        <f t="shared" ca="1" si="269"/>
        <v>Industrial heating technology Other PH - Gas boiler (Direct firing) - new 5</v>
      </c>
      <c r="F271" s="262" t="s">
        <v>450</v>
      </c>
      <c r="G271" s="262" t="s">
        <v>449</v>
      </c>
      <c r="H271" s="261"/>
      <c r="I271" s="261"/>
      <c r="J271" s="264" t="s">
        <v>469</v>
      </c>
    </row>
    <row r="272" spans="1:10">
      <c r="B272" s="212"/>
      <c r="C272" s="212"/>
      <c r="D272" s="212" t="str">
        <f t="shared" ca="1" si="268"/>
        <v>INDODPHGASN5</v>
      </c>
      <c r="E272" s="212" t="str">
        <f t="shared" ca="1" si="269"/>
        <v>Industrial heating technology Other PH - Gas boiler (Direct firing) - new 5</v>
      </c>
      <c r="F272" s="262" t="s">
        <v>450</v>
      </c>
      <c r="G272" s="262" t="s">
        <v>449</v>
      </c>
      <c r="H272" s="261"/>
      <c r="I272" s="261"/>
      <c r="J272" s="264" t="s">
        <v>469</v>
      </c>
    </row>
    <row r="273" spans="2:10">
      <c r="B273" s="212"/>
      <c r="C273" s="212"/>
      <c r="D273" s="212" t="str">
        <f t="shared" ca="1" si="268"/>
        <v>INDODPHCOAN1</v>
      </c>
      <c r="E273" s="212" t="str">
        <f t="shared" ca="1" si="269"/>
        <v>Industrial heating technology Other PH - Coal boiler (Steam) - new 1</v>
      </c>
      <c r="F273" s="262" t="s">
        <v>450</v>
      </c>
      <c r="G273" s="262" t="s">
        <v>449</v>
      </c>
      <c r="H273" s="261"/>
      <c r="I273" s="261"/>
      <c r="J273" s="264" t="s">
        <v>469</v>
      </c>
    </row>
    <row r="274" spans="2:10">
      <c r="B274" s="212"/>
      <c r="C274" s="212"/>
      <c r="D274" s="212" t="str">
        <f t="shared" ca="1" si="268"/>
        <v>INDODPHCOAN1</v>
      </c>
      <c r="E274" s="212" t="str">
        <f t="shared" ca="1" si="269"/>
        <v>Industrial heating technology Other PH - Coal boiler (Steam) - new 1</v>
      </c>
      <c r="F274" s="262" t="s">
        <v>450</v>
      </c>
      <c r="G274" s="262" t="s">
        <v>449</v>
      </c>
      <c r="H274" s="261"/>
      <c r="I274" s="261"/>
      <c r="J274" s="264" t="s">
        <v>469</v>
      </c>
    </row>
    <row r="275" spans="2:10">
      <c r="B275" s="212"/>
      <c r="C275" s="212"/>
      <c r="D275" s="212" t="str">
        <f t="shared" ca="1" si="268"/>
        <v>INDODSHCOAN1</v>
      </c>
      <c r="E275" s="212" t="str">
        <f t="shared" ca="1" si="269"/>
        <v>Industrial heating technology Other SH - Coal boiler (Steam) - new 1</v>
      </c>
      <c r="F275" s="262" t="s">
        <v>450</v>
      </c>
      <c r="G275" s="262" t="s">
        <v>449</v>
      </c>
      <c r="H275" s="261"/>
      <c r="I275" s="261"/>
      <c r="J275" s="264" t="s">
        <v>469</v>
      </c>
    </row>
    <row r="276" spans="2:10">
      <c r="B276" s="212"/>
      <c r="C276" s="212"/>
      <c r="D276" s="212" t="str">
        <f t="shared" ca="1" si="268"/>
        <v>INDODPHCOAN2</v>
      </c>
      <c r="E276" s="212" t="str">
        <f t="shared" ca="1" si="269"/>
        <v>Industrial heating technology Other PH - Coal boiler (Hot Water) - new 2</v>
      </c>
      <c r="F276" s="262" t="s">
        <v>450</v>
      </c>
      <c r="G276" s="262" t="s">
        <v>449</v>
      </c>
      <c r="H276" s="261"/>
      <c r="I276" s="261"/>
      <c r="J276" s="264" t="s">
        <v>469</v>
      </c>
    </row>
    <row r="277" spans="2:10">
      <c r="B277" s="212"/>
      <c r="C277" s="212"/>
      <c r="D277" s="212" t="str">
        <f t="shared" ca="1" si="268"/>
        <v>INDODSHCOAN2</v>
      </c>
      <c r="E277" s="212" t="str">
        <f t="shared" ca="1" si="269"/>
        <v>Industrial heating technology Other SH - Coal boiler (Hot Water) - new 2</v>
      </c>
      <c r="F277" s="262" t="s">
        <v>450</v>
      </c>
      <c r="G277" s="262" t="s">
        <v>449</v>
      </c>
      <c r="H277" s="261"/>
      <c r="I277" s="261"/>
      <c r="J277" s="264" t="s">
        <v>469</v>
      </c>
    </row>
    <row r="278" spans="2:10">
      <c r="B278" s="212"/>
      <c r="C278" s="212"/>
      <c r="D278" s="212" t="str">
        <f t="shared" ca="1" si="268"/>
        <v>INDODSHSOLN1</v>
      </c>
      <c r="E278" s="212" t="str">
        <f t="shared" ca="1" si="269"/>
        <v>Industrial heating technology Other SH - Solar - new 1</v>
      </c>
      <c r="F278" s="262" t="s">
        <v>450</v>
      </c>
      <c r="G278" s="262" t="s">
        <v>449</v>
      </c>
      <c r="H278" s="263" t="s">
        <v>620</v>
      </c>
      <c r="I278" s="261"/>
      <c r="J278" s="264" t="s">
        <v>469</v>
      </c>
    </row>
    <row r="279" spans="2:10">
      <c r="B279" s="212"/>
      <c r="C279" s="212"/>
      <c r="D279" s="889" t="str">
        <f>D187</f>
        <v>INDODSHHCEN1</v>
      </c>
      <c r="E279" s="889" t="str">
        <f t="shared" si="269"/>
        <v>Industrial heating technology Other SH - central district heating - within DH area - new 1</v>
      </c>
      <c r="F279" s="262" t="s">
        <v>450</v>
      </c>
      <c r="G279" s="262" t="s">
        <v>449</v>
      </c>
      <c r="H279" s="890"/>
      <c r="I279" s="890"/>
      <c r="J279" s="263" t="s">
        <v>469</v>
      </c>
    </row>
    <row r="280" spans="2:10">
      <c r="B280" s="212"/>
      <c r="C280" s="212"/>
      <c r="D280" s="889" t="str">
        <f>D188</f>
        <v>INDODPHHCEN1</v>
      </c>
      <c r="E280" s="889" t="str">
        <f t="shared" si="269"/>
        <v>Industrial heating technology Other PH - central district heating - within DH area - new 1</v>
      </c>
      <c r="F280" s="262" t="s">
        <v>450</v>
      </c>
      <c r="G280" s="262" t="s">
        <v>449</v>
      </c>
      <c r="H280" s="890"/>
      <c r="I280" s="890"/>
      <c r="J280" s="263" t="s">
        <v>469</v>
      </c>
    </row>
    <row r="281" spans="2:10">
      <c r="B281" s="212"/>
      <c r="C281" s="212"/>
      <c r="D281" s="889" t="str">
        <f>D189</f>
        <v>INDODSHHSEN1</v>
      </c>
      <c r="E281" s="889" t="str">
        <f t="shared" si="269"/>
        <v>Industrial heating technology Other SH - central district heating - within DH area - new 1</v>
      </c>
      <c r="F281" s="262" t="s">
        <v>450</v>
      </c>
      <c r="G281" s="262" t="s">
        <v>449</v>
      </c>
      <c r="H281" s="890"/>
      <c r="I281" s="890"/>
      <c r="J281" s="263" t="s">
        <v>469</v>
      </c>
    </row>
    <row r="282" spans="2:10">
      <c r="B282" s="212"/>
      <c r="C282" s="212"/>
      <c r="D282" s="889" t="str">
        <f>D190</f>
        <v>INDODPHHSEN1</v>
      </c>
      <c r="E282" s="889" t="str">
        <f t="shared" si="269"/>
        <v>Industrial heating technology Other PH - central district heating - within DH area - new 1</v>
      </c>
      <c r="F282" s="262" t="s">
        <v>450</v>
      </c>
      <c r="G282" s="262" t="s">
        <v>449</v>
      </c>
      <c r="H282" s="890"/>
      <c r="I282" s="890"/>
      <c r="J282" s="263" t="s">
        <v>469</v>
      </c>
    </row>
    <row r="283" spans="2:10">
      <c r="B283" s="212"/>
      <c r="C283" s="212"/>
      <c r="D283" s="212" t="str">
        <f t="shared" ref="D283" si="270">D191</f>
        <v>INDODSHHDEN1</v>
      </c>
      <c r="E283" s="212" t="str">
        <f t="shared" si="269"/>
        <v>Industrial heating technology Other SH - decentral district heating - within DH area - new 1</v>
      </c>
      <c r="F283" s="262" t="s">
        <v>450</v>
      </c>
      <c r="G283" s="262" t="s">
        <v>449</v>
      </c>
      <c r="H283" s="261"/>
      <c r="I283" s="261"/>
      <c r="J283" s="264" t="s">
        <v>469</v>
      </c>
    </row>
    <row r="284" spans="2:10">
      <c r="B284" s="212"/>
      <c r="C284" s="212"/>
      <c r="D284" s="212" t="str">
        <f>D192</f>
        <v>INDODPHHDEN1</v>
      </c>
      <c r="E284" s="212" t="str">
        <f t="shared" si="269"/>
        <v>Industrial heating technology Other PH - decentral district heating - within DH area - new 1</v>
      </c>
      <c r="F284" s="262" t="s">
        <v>450</v>
      </c>
      <c r="G284" s="262" t="s">
        <v>449</v>
      </c>
      <c r="H284" s="261"/>
      <c r="I284" s="261"/>
      <c r="J284" s="264" t="s">
        <v>469</v>
      </c>
    </row>
    <row r="285" spans="2:10">
      <c r="B285" s="212"/>
      <c r="C285" s="212"/>
      <c r="D285" s="212" t="str">
        <f>D194</f>
        <v>INDODLAELCN1</v>
      </c>
      <c r="E285" s="212" t="str">
        <f t="shared" si="269"/>
        <v>Industry Other LA Electricity Light Appliance - New 1</v>
      </c>
      <c r="F285" s="262" t="s">
        <v>450</v>
      </c>
      <c r="G285" s="262" t="s">
        <v>449</v>
      </c>
      <c r="H285" s="261"/>
      <c r="I285" s="261"/>
      <c r="J285" s="264" t="s">
        <v>469</v>
      </c>
    </row>
    <row r="286" spans="2:10">
      <c r="B286" s="212"/>
      <c r="C286" s="212"/>
      <c r="D286" s="212" t="str">
        <f>D198</f>
        <v>INDODEMELCN1</v>
      </c>
      <c r="E286" s="212" t="str">
        <f t="shared" si="269"/>
        <v>Industry Other EM Electricity Motors - New 1</v>
      </c>
      <c r="F286" s="262" t="s">
        <v>450</v>
      </c>
      <c r="G286" s="262" t="s">
        <v>449</v>
      </c>
      <c r="H286" s="261"/>
      <c r="I286" s="261"/>
      <c r="J286" s="264" t="s">
        <v>469</v>
      </c>
    </row>
    <row r="287" spans="2:10">
      <c r="B287" s="212"/>
      <c r="C287" s="212"/>
      <c r="D287" s="212" t="str">
        <f>D202</f>
        <v>INDODTFDSLN1</v>
      </c>
      <c r="E287" s="212" t="str">
        <f t="shared" si="269"/>
        <v>Industry Other TF Tractors, Trucks, Fishing boats - New 1</v>
      </c>
      <c r="F287" s="262" t="s">
        <v>450</v>
      </c>
      <c r="G287" s="262" t="s">
        <v>2078</v>
      </c>
      <c r="H287" s="261"/>
      <c r="I287" s="261"/>
      <c r="J287" s="264" t="s">
        <v>469</v>
      </c>
    </row>
    <row r="288" spans="2:10">
      <c r="B288" s="212"/>
      <c r="C288" s="212"/>
      <c r="D288" s="212" t="str">
        <f>D206</f>
        <v>INDODTFH2GN2</v>
      </c>
      <c r="E288" s="212" t="str">
        <f t="shared" si="269"/>
        <v>Industry Other TF Tractors, Trucks, Fishing boats - New 2</v>
      </c>
      <c r="F288" s="262" t="s">
        <v>450</v>
      </c>
      <c r="G288" s="262" t="s">
        <v>2078</v>
      </c>
      <c r="H288" s="261"/>
      <c r="I288" s="261"/>
      <c r="J288" s="264" t="s">
        <v>469</v>
      </c>
    </row>
    <row r="289" spans="2:10">
      <c r="B289" s="212"/>
      <c r="C289" s="212"/>
      <c r="D289" s="212" t="str">
        <f>D210</f>
        <v>INDODTFELCN3</v>
      </c>
      <c r="E289" s="212" t="str">
        <f t="shared" si="269"/>
        <v>Industry Other TF Tractors, Trucks, Fishing boats - New 3</v>
      </c>
      <c r="F289" s="262" t="s">
        <v>450</v>
      </c>
      <c r="G289" s="262" t="s">
        <v>2078</v>
      </c>
      <c r="H289" s="261"/>
      <c r="I289" s="261"/>
      <c r="J289" s="264" t="s">
        <v>469</v>
      </c>
    </row>
    <row r="290" spans="2:10">
      <c r="B290" s="212"/>
      <c r="C290" s="212"/>
      <c r="D290" s="212" t="str">
        <f>D214</f>
        <v>INDODFLELCN1</v>
      </c>
      <c r="E290" s="212" t="str">
        <f t="shared" si="269"/>
        <v>Industry Other TF Forklifts - New 1</v>
      </c>
      <c r="F290" s="262" t="s">
        <v>450</v>
      </c>
      <c r="G290" s="262" t="s">
        <v>449</v>
      </c>
      <c r="H290" s="261"/>
      <c r="I290" s="261"/>
      <c r="J290" s="264" t="s">
        <v>469</v>
      </c>
    </row>
    <row r="291" spans="2:10">
      <c r="B291" s="212"/>
      <c r="C291" s="212"/>
      <c r="D291" s="212" t="str">
        <f>D218</f>
        <v>INDODCOELCN1</v>
      </c>
      <c r="E291" s="212" t="str">
        <f>E218</f>
        <v>Industry Other CO Cooling - New 1</v>
      </c>
      <c r="F291" s="262" t="s">
        <v>450</v>
      </c>
      <c r="G291" s="262" t="s">
        <v>449</v>
      </c>
      <c r="H291" s="261" t="s">
        <v>620</v>
      </c>
      <c r="I291" s="261"/>
      <c r="J291" s="264"/>
    </row>
    <row r="292" spans="2:10">
      <c r="D292" s="212"/>
      <c r="E292" s="212"/>
    </row>
    <row r="293" spans="2:10">
      <c r="B293" s="213" t="s">
        <v>448</v>
      </c>
      <c r="C293" s="213"/>
      <c r="D293" s="214"/>
      <c r="E293" s="214"/>
      <c r="F293" s="214"/>
      <c r="G293" s="214"/>
      <c r="H293" s="214"/>
      <c r="I293" s="214"/>
      <c r="J293" s="214"/>
    </row>
    <row r="294" spans="2:10">
      <c r="B294" s="209" t="s">
        <v>447</v>
      </c>
      <c r="C294" s="209" t="s">
        <v>446</v>
      </c>
      <c r="D294" s="209" t="s">
        <v>445</v>
      </c>
      <c r="E294" s="209" t="s">
        <v>444</v>
      </c>
      <c r="F294" s="209" t="s">
        <v>435</v>
      </c>
      <c r="G294" s="209" t="s">
        <v>443</v>
      </c>
      <c r="H294" s="209" t="s">
        <v>442</v>
      </c>
      <c r="I294" s="209" t="s">
        <v>441</v>
      </c>
      <c r="J294" s="209" t="s">
        <v>440</v>
      </c>
    </row>
    <row r="295" spans="2:10" ht="25" thickBot="1">
      <c r="B295" s="215" t="s">
        <v>439</v>
      </c>
      <c r="C295" s="216" t="s">
        <v>438</v>
      </c>
      <c r="D295" s="216" t="s">
        <v>437</v>
      </c>
      <c r="E295" s="216" t="s">
        <v>436</v>
      </c>
      <c r="F295" s="216" t="s">
        <v>435</v>
      </c>
      <c r="G295" s="216" t="s">
        <v>434</v>
      </c>
      <c r="H295" s="216" t="s">
        <v>433</v>
      </c>
      <c r="I295" s="216" t="s">
        <v>432</v>
      </c>
      <c r="J295" s="216" t="s">
        <v>431</v>
      </c>
    </row>
    <row r="296" spans="2:10">
      <c r="B296" s="217" t="s">
        <v>430</v>
      </c>
      <c r="C296" s="218"/>
      <c r="D296" s="260" t="str">
        <f>"I"&amp;LEFT($AJ$12,1)&amp;"DSOx"</f>
        <v>IODSOx</v>
      </c>
      <c r="E296" s="270" t="str">
        <f>"Industrial heating  heating technology "&amp;$AJ$12&amp;" - SOx emission"</f>
        <v>Industrial heating  heating technology Other - SOx emission</v>
      </c>
      <c r="F296" s="219" t="s">
        <v>352</v>
      </c>
      <c r="G296" s="211"/>
      <c r="H296" s="211"/>
      <c r="I296" s="211"/>
      <c r="J296" s="211"/>
    </row>
    <row r="297" spans="2:10">
      <c r="B297" s="214"/>
      <c r="C297" s="214"/>
      <c r="D297" s="260" t="str">
        <f>"I"&amp;LEFT($AJ$12,1)&amp;"DNOx"</f>
        <v>IODNOx</v>
      </c>
      <c r="E297" s="270" t="str">
        <f>"Industrial heating  heating technology "&amp;$AJ$12&amp;" - NOx emission"</f>
        <v>Industrial heating  heating technology Other - NOx emission</v>
      </c>
      <c r="F297" s="219" t="s">
        <v>352</v>
      </c>
      <c r="G297" s="211"/>
      <c r="H297" s="214"/>
      <c r="I297" s="214"/>
      <c r="J297" s="214"/>
    </row>
    <row r="298" spans="2:10">
      <c r="B298" s="214"/>
      <c r="C298" s="214"/>
      <c r="D298" s="260" t="str">
        <f>"I"&amp;LEFT($AJ$12,1)&amp;"DCH4"</f>
        <v>IODCH4</v>
      </c>
      <c r="E298" s="270" t="str">
        <f>"Industrial heating  heating technology "&amp;$AJ$12&amp;" - CH4 emission"</f>
        <v>Industrial heating  heating technology Other - CH4 emission</v>
      </c>
      <c r="F298" s="219" t="s">
        <v>352</v>
      </c>
      <c r="G298" s="211"/>
      <c r="H298" s="214"/>
      <c r="I298" s="214"/>
      <c r="J298" s="214"/>
    </row>
    <row r="299" spans="2:10">
      <c r="B299" s="214"/>
      <c r="C299" s="214"/>
      <c r="D299" s="260" t="str">
        <f>"I"&amp;LEFT($AJ$12,1)&amp;"DNO2"</f>
        <v>IODNO2</v>
      </c>
      <c r="E299" s="270" t="str">
        <f>"Industrial heating  heating technology "&amp;$AJ$12&amp;" - NO2 emission"</f>
        <v>Industrial heating  heating technology Other - NO2 emission</v>
      </c>
      <c r="F299" s="219" t="s">
        <v>352</v>
      </c>
      <c r="G299" s="211"/>
      <c r="H299" s="214"/>
      <c r="I299" s="214"/>
      <c r="J299" s="214"/>
    </row>
    <row r="300" spans="2:10">
      <c r="B300" s="214"/>
      <c r="C300" s="214"/>
      <c r="D300" s="260" t="str">
        <f>"I"&amp;LEFT($AJ$12,1)&amp;"DPM"</f>
        <v>IODPM</v>
      </c>
      <c r="E300" s="270" t="str">
        <f>"Industrial heating  heating technology "&amp;$AJ$12&amp;" - Particle emission"</f>
        <v>Industrial heating  heating technology Other - Particle emission</v>
      </c>
      <c r="F300" s="219" t="s">
        <v>352</v>
      </c>
      <c r="G300" s="211"/>
      <c r="H300" s="214"/>
      <c r="I300" s="214"/>
      <c r="J300" s="214"/>
    </row>
    <row r="301" spans="2:10">
      <c r="B301" s="224" t="s">
        <v>1057</v>
      </c>
      <c r="D301" s="224" t="str">
        <f>AI20</f>
        <v>INDOWH</v>
      </c>
      <c r="E301" s="270" t="str">
        <f>"Industrial heating technology "&amp;$AJ$12&amp;" - Waste heat"</f>
        <v>Industrial heating technology Other - Waste heat</v>
      </c>
      <c r="F301" s="263" t="s">
        <v>450</v>
      </c>
    </row>
  </sheetData>
  <pageMargins left="0.7" right="0.7" top="0.75" bottom="0.75" header="0.3" footer="0.3"/>
  <pageSetup paperSize="9" orientation="portrait"/>
  <legacyDrawing r:id="rId1"/>
  <extLst>
    <ext xmlns:x14="http://schemas.microsoft.com/office/spreadsheetml/2009/9/main" uri="{CCE6A557-97BC-4b89-ADB6-D9C93CAAB3DF}">
      <x14:dataValidations xmlns:xm="http://schemas.microsoft.com/office/excel/2006/main" count="1">
        <x14:dataValidation type="list" allowBlank="1" showInputMessage="1" showErrorMessage="1" xr:uid="{8B713A1C-4A00-4FAF-BC1C-CBDFE8F01AD6}">
          <x14:formula1>
            <xm:f>'Oil-fired boiler_NEW'!$T$4:$X$4</xm:f>
          </x14:formula1>
          <xm:sqref>E1</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95CB2D-FFD3-4070-83C7-083FC5BBB422}">
  <sheetPr>
    <tabColor rgb="FF00B050"/>
  </sheetPr>
  <dimension ref="A1:AP301"/>
  <sheetViews>
    <sheetView tabSelected="1" topLeftCell="AH6" zoomScale="70" zoomScaleNormal="70" workbookViewId="0">
      <selection activeCell="G215" sqref="G215"/>
    </sheetView>
  </sheetViews>
  <sheetFormatPr baseColWidth="10" defaultColWidth="9.1640625" defaultRowHeight="15"/>
  <cols>
    <col min="1" max="1" width="9.1640625" style="224"/>
    <col min="2" max="2" width="31.5" style="224" customWidth="1"/>
    <col min="3" max="3" width="11.5" style="224" bestFit="1" customWidth="1"/>
    <col min="4" max="4" width="19.83203125" style="224" customWidth="1"/>
    <col min="5" max="5" width="98.5" style="224" bestFit="1" customWidth="1"/>
    <col min="6" max="6" width="10.5" style="224" bestFit="1" customWidth="1"/>
    <col min="7" max="7" width="55.83203125" style="224" bestFit="1" customWidth="1"/>
    <col min="8" max="8" width="27.83203125" style="224" bestFit="1" customWidth="1"/>
    <col min="9" max="9" width="27.83203125" style="224" customWidth="1"/>
    <col min="10" max="10" width="10.1640625" style="224" bestFit="1" customWidth="1"/>
    <col min="11" max="11" width="8.5" style="224" bestFit="1" customWidth="1"/>
    <col min="12" max="12" width="6.5" style="224" bestFit="1" customWidth="1"/>
    <col min="13" max="13" width="6.5" style="224" customWidth="1"/>
    <col min="14" max="15" width="12.83203125" style="224" bestFit="1" customWidth="1"/>
    <col min="16" max="16" width="12.5" style="224" bestFit="1" customWidth="1"/>
    <col min="17" max="17" width="6.1640625" style="224" customWidth="1"/>
    <col min="18" max="18" width="8.1640625" style="224" bestFit="1" customWidth="1"/>
    <col min="19" max="19" width="11.83203125" style="224" bestFit="1" customWidth="1"/>
    <col min="20" max="20" width="11.5" style="224" bestFit="1" customWidth="1"/>
    <col min="21" max="21" width="18.1640625" style="224" bestFit="1" customWidth="1"/>
    <col min="22" max="22" width="11.83203125" style="224" customWidth="1"/>
    <col min="23" max="23" width="7.83203125" style="224" bestFit="1" customWidth="1"/>
    <col min="24" max="24" width="8.5" style="224" bestFit="1" customWidth="1"/>
    <col min="25" max="25" width="6.5" style="224" bestFit="1" customWidth="1"/>
    <col min="26" max="26" width="6.5" style="224" customWidth="1"/>
    <col min="27" max="27" width="8" style="224" customWidth="1"/>
    <col min="28" max="38" width="9.1640625" style="224"/>
    <col min="39" max="39" width="64.1640625" style="224" bestFit="1" customWidth="1"/>
    <col min="40" max="16384" width="9.1640625" style="224"/>
  </cols>
  <sheetData>
    <row r="1" spans="2:42" ht="14.5" customHeight="1">
      <c r="D1" s="728" t="s">
        <v>1016</v>
      </c>
      <c r="E1" s="729" t="s">
        <v>717</v>
      </c>
      <c r="N1" s="64"/>
      <c r="O1" s="64"/>
      <c r="P1" s="64"/>
      <c r="S1" s="727" t="s">
        <v>1004</v>
      </c>
      <c r="T1" s="776" t="s">
        <v>1003</v>
      </c>
      <c r="U1" s="775" t="s">
        <v>1053</v>
      </c>
      <c r="V1" s="776" t="s">
        <v>1054</v>
      </c>
      <c r="W1" s="780">
        <v>0.3</v>
      </c>
    </row>
    <row r="2" spans="2:42" ht="16" thickBot="1">
      <c r="E2" s="730" t="s">
        <v>696</v>
      </c>
      <c r="N2" s="731"/>
      <c r="O2" s="731"/>
      <c r="P2" s="731"/>
      <c r="S2" s="726">
        <f>MATCH($E$1,$AJ$22:$AJ$35)</f>
        <v>9</v>
      </c>
      <c r="T2" s="778">
        <f>MATCH($E$1,$AJ$22:$AJ$35)+1</f>
        <v>10</v>
      </c>
      <c r="U2" s="779"/>
      <c r="V2" s="768" t="s">
        <v>1055</v>
      </c>
      <c r="W2" s="781">
        <v>0.2</v>
      </c>
    </row>
    <row r="3" spans="2:42" ht="16" thickBot="1">
      <c r="N3" s="731"/>
      <c r="O3" s="731"/>
      <c r="P3" s="731"/>
      <c r="S3" s="768"/>
      <c r="T3" s="768"/>
      <c r="U3" s="777"/>
      <c r="V3" s="778" t="s">
        <v>1056</v>
      </c>
      <c r="W3" s="782">
        <v>0</v>
      </c>
    </row>
    <row r="4" spans="2:42">
      <c r="N4" s="731"/>
      <c r="O4" s="731"/>
      <c r="P4" s="731"/>
      <c r="S4" s="768"/>
      <c r="T4" s="768"/>
      <c r="U4" s="768"/>
      <c r="V4" s="768"/>
    </row>
    <row r="5" spans="2:42">
      <c r="J5" s="172" t="s">
        <v>468</v>
      </c>
      <c r="N5" s="731"/>
      <c r="O5" s="731"/>
      <c r="P5" s="731"/>
      <c r="S5" s="768"/>
      <c r="T5" s="768"/>
      <c r="U5" s="768"/>
      <c r="V5" s="768"/>
    </row>
    <row r="6" spans="2:42" ht="26.25" customHeight="1">
      <c r="B6" s="166" t="s">
        <v>1015</v>
      </c>
      <c r="C6" s="46"/>
      <c r="D6" s="46" t="s">
        <v>425</v>
      </c>
      <c r="E6" s="46" t="s">
        <v>426</v>
      </c>
      <c r="F6" s="46" t="s">
        <v>689</v>
      </c>
      <c r="G6" s="46" t="s">
        <v>427</v>
      </c>
      <c r="H6" s="46" t="s">
        <v>428</v>
      </c>
      <c r="I6" s="771" t="s">
        <v>1049</v>
      </c>
      <c r="J6" s="46" t="s">
        <v>335</v>
      </c>
      <c r="K6" s="46" t="s">
        <v>336</v>
      </c>
      <c r="L6" s="47" t="s">
        <v>337</v>
      </c>
      <c r="M6" s="47" t="s">
        <v>1052</v>
      </c>
      <c r="N6" s="47" t="s">
        <v>339</v>
      </c>
      <c r="O6" s="48" t="s">
        <v>340</v>
      </c>
      <c r="P6" s="47" t="s">
        <v>341</v>
      </c>
      <c r="Q6" s="49" t="s">
        <v>342</v>
      </c>
      <c r="R6" s="49" t="s">
        <v>343</v>
      </c>
      <c r="S6" s="769" t="s">
        <v>344</v>
      </c>
      <c r="T6" s="770" t="s">
        <v>997</v>
      </c>
      <c r="U6" s="769" t="s">
        <v>1050</v>
      </c>
      <c r="V6" s="783" t="s">
        <v>1051</v>
      </c>
      <c r="W6" s="284"/>
      <c r="X6" s="280" t="str">
        <f>"FEMIS~"&amp;D296</f>
        <v>FEMIS~IMDSOx</v>
      </c>
      <c r="Y6" s="280" t="str">
        <f>"FEMIS~"&amp;D297</f>
        <v>FEMIS~IMDNOx</v>
      </c>
      <c r="Z6" s="280" t="str">
        <f>"FEMIS~"&amp;D298</f>
        <v>FEMIS~IMDCH4</v>
      </c>
      <c r="AA6" s="280" t="str">
        <f>"FEMIS~"&amp;D299</f>
        <v>FEMIS~IMDNO2</v>
      </c>
      <c r="AB6" s="280" t="str">
        <f>"FEMIS~"&amp;D300</f>
        <v>FEMIS~IMDPM</v>
      </c>
      <c r="AC6" s="224" t="s">
        <v>424</v>
      </c>
      <c r="AD6" s="224" t="s">
        <v>2001</v>
      </c>
      <c r="AE6" s="47" t="s">
        <v>338</v>
      </c>
      <c r="AF6" s="221" t="s">
        <v>473</v>
      </c>
    </row>
    <row r="7" spans="2:42" ht="16" thickBot="1">
      <c r="B7" s="715"/>
      <c r="C7" s="167"/>
      <c r="D7" s="167" t="s">
        <v>429</v>
      </c>
      <c r="E7" s="50"/>
      <c r="F7" s="50"/>
      <c r="G7" s="50"/>
      <c r="H7" s="50"/>
      <c r="I7" s="168"/>
      <c r="J7" s="50"/>
      <c r="K7" s="50"/>
      <c r="L7" s="51"/>
      <c r="M7" s="51"/>
      <c r="N7" s="51"/>
      <c r="O7" s="52"/>
      <c r="P7" s="50"/>
      <c r="Q7" s="50"/>
      <c r="R7" s="50"/>
      <c r="S7" s="50"/>
      <c r="T7" s="50"/>
      <c r="U7" s="50"/>
      <c r="V7" s="168"/>
      <c r="W7" s="285"/>
      <c r="X7" s="50"/>
      <c r="Y7" s="50"/>
      <c r="Z7" s="50"/>
      <c r="AA7" s="50"/>
      <c r="AB7" s="50"/>
      <c r="AE7" s="51"/>
      <c r="AF7" s="222"/>
    </row>
    <row r="8" spans="2:42">
      <c r="B8" s="357"/>
      <c r="D8" s="224" t="s">
        <v>451</v>
      </c>
      <c r="I8" s="357"/>
      <c r="J8" s="57"/>
      <c r="K8" s="57"/>
      <c r="L8" s="57"/>
      <c r="M8" s="57"/>
      <c r="N8" s="57"/>
      <c r="O8" s="57" t="s">
        <v>470</v>
      </c>
      <c r="P8" s="57" t="s">
        <v>471</v>
      </c>
      <c r="Q8" s="57" t="s">
        <v>472</v>
      </c>
      <c r="R8" s="57" t="s">
        <v>351</v>
      </c>
      <c r="S8" s="57" t="s">
        <v>351</v>
      </c>
      <c r="T8" s="57"/>
      <c r="U8" s="57"/>
      <c r="V8" s="784"/>
      <c r="W8" s="286"/>
      <c r="X8" s="57" t="s">
        <v>352</v>
      </c>
      <c r="Y8" s="57" t="s">
        <v>352</v>
      </c>
      <c r="Z8" s="57" t="s">
        <v>352</v>
      </c>
      <c r="AA8" s="57" t="s">
        <v>352</v>
      </c>
      <c r="AB8" s="57" t="s">
        <v>352</v>
      </c>
      <c r="AE8" s="57"/>
      <c r="AF8" s="220"/>
    </row>
    <row r="9" spans="2:42">
      <c r="B9" s="357" t="s">
        <v>998</v>
      </c>
      <c r="D9" s="212" t="str">
        <f>"IND"&amp;RIGHT(H9,4)&amp;RIGHT(G9,3)&amp;"N"&amp;RIGHT(E9,1)</f>
        <v>INDIDPHELCN1</v>
      </c>
      <c r="E9" s="261" t="str">
        <f>"Industrial heating technology "&amp;$AJ$12&amp;" "&amp;RIGHT(H9,2)&amp;" - Heat pump utilizing waste heat - new 1"</f>
        <v>Industrial heating technology Mining PH - Heat pump utilizing waste heat - new 1</v>
      </c>
      <c r="F9" s="224" t="s">
        <v>1149</v>
      </c>
      <c r="G9" s="173" t="s">
        <v>499</v>
      </c>
      <c r="H9" s="174" t="str">
        <f>$AI$14</f>
        <v>IIDPH</v>
      </c>
      <c r="I9" s="173"/>
      <c r="J9" s="224">
        <f>AD9</f>
        <v>2020</v>
      </c>
      <c r="K9" s="81">
        <v>2020</v>
      </c>
      <c r="L9" s="333">
        <v>1</v>
      </c>
      <c r="M9" s="199">
        <f ca="1">VLOOKUP($AD9,INDIRECT("'"&amp;$B9&amp;"'!"&amp;"$P$39:$AD$42"),3,FALSE)</f>
        <v>4.4754761904761899</v>
      </c>
      <c r="N9" s="81">
        <f ca="1">VLOOKUP($AD9,INDIRECT("'"&amp;$B9&amp;"'!"&amp;"$P$39:$AD$42"),5,FALSE)</f>
        <v>20</v>
      </c>
      <c r="O9" s="723">
        <f ca="1">VLOOKUP($AD9,INDIRECT("'"&amp;$B9&amp;"'!"&amp;"$P$39:$AD$42"),6,FALSE)/1000</f>
        <v>5.4385000000000003</v>
      </c>
      <c r="P9" s="723">
        <f ca="1">VLOOKUP($AD9,INDIRECT("'"&amp;$B9&amp;"'!"&amp;"$P$39:$AD$42"),7,FALSE)/1000</f>
        <v>1.49E-2</v>
      </c>
      <c r="Q9" s="81">
        <f ca="1">VLOOKUP($AD9,INDIRECT("'"&amp;$B9&amp;"'!"&amp;"$P$39:$AD$42"),8,FALSE)</f>
        <v>6.7463888888888883</v>
      </c>
      <c r="R9" s="81">
        <v>3.1536000000000002E-2</v>
      </c>
      <c r="S9" s="199">
        <v>0.5</v>
      </c>
      <c r="T9" s="199">
        <f ca="1">HLOOKUP($T$2,INDIRECT("'"&amp;$B9&amp;"'!"&amp;"$P$6:$AC$19"),IF(H9=$AI$13,6,IF(H9=$AI$14,9,14)),FALSE)</f>
        <v>0</v>
      </c>
      <c r="U9" s="199">
        <f ca="1">1/M9</f>
        <v>0.22343991062403579</v>
      </c>
      <c r="V9" s="199"/>
      <c r="W9" s="298"/>
      <c r="X9" s="698">
        <f ca="1">IF(VLOOKUP($AD9,INDIRECT("'"&amp;$B9&amp;"'!"&amp;"$P$39:$AD$42"),11,FALSE)="Cf. the utilized electricity",0,VLOOKUP($AD9,INDIRECT("'"&amp;$B9&amp;"'!"&amp;"$P$39:$AD$42"),11,FALSE))</f>
        <v>0</v>
      </c>
      <c r="Y9" s="81">
        <f ca="1">VLOOKUP($AD9,INDIRECT("'"&amp;$B9&amp;"'!"&amp;"$P$39:$AD$42"),12,FALSE)</f>
        <v>0</v>
      </c>
      <c r="Z9" s="81">
        <f ca="1">VLOOKUP($AD9,INDIRECT("'"&amp;$B9&amp;"'!"&amp;"$P$39:$AD$42"),13,FALSE)</f>
        <v>0</v>
      </c>
      <c r="AA9" s="81">
        <f ca="1">VLOOKUP($AD9,INDIRECT("'"&amp;$B9&amp;"'!"&amp;"$P$39:$AD$42"),14,FALSE)</f>
        <v>0</v>
      </c>
      <c r="AB9" s="81">
        <f ca="1">VLOOKUP($AD9,INDIRECT("'"&amp;$B9&amp;"'!"&amp;"$P$39:$AD$42"),15,FALSE)</f>
        <v>0</v>
      </c>
      <c r="AC9" s="226"/>
      <c r="AD9" s="81">
        <v>2020</v>
      </c>
      <c r="AE9" s="81"/>
      <c r="AF9" s="220"/>
    </row>
    <row r="10" spans="2:42">
      <c r="B10" s="357" t="s">
        <v>998</v>
      </c>
      <c r="D10" s="212"/>
      <c r="E10" s="261"/>
      <c r="F10" s="224" t="s">
        <v>1149</v>
      </c>
      <c r="G10" s="173" t="str">
        <f>$AI$20</f>
        <v>INDIWH</v>
      </c>
      <c r="H10" s="174"/>
      <c r="I10" s="174"/>
      <c r="K10" s="81"/>
      <c r="L10" s="333"/>
      <c r="M10" s="199"/>
      <c r="N10" s="81"/>
      <c r="O10" s="723"/>
      <c r="P10" s="723"/>
      <c r="Q10" s="81"/>
      <c r="R10" s="200"/>
      <c r="S10" s="772"/>
      <c r="T10" s="772"/>
      <c r="U10" s="199">
        <f ca="1">1-U9</f>
        <v>0.77656008937596421</v>
      </c>
      <c r="V10" s="772"/>
      <c r="W10" s="298"/>
      <c r="X10" s="698"/>
      <c r="Y10" s="81"/>
      <c r="Z10" s="81"/>
      <c r="AA10" s="81"/>
      <c r="AB10" s="81"/>
      <c r="AC10" s="226"/>
      <c r="AD10" s="81"/>
      <c r="AE10" s="81"/>
      <c r="AF10" s="220"/>
    </row>
    <row r="11" spans="2:42">
      <c r="B11" s="357" t="s">
        <v>998</v>
      </c>
      <c r="D11" s="212"/>
      <c r="E11" s="212"/>
      <c r="F11" s="224" t="s">
        <v>1149</v>
      </c>
      <c r="G11" s="173" t="s">
        <v>499</v>
      </c>
      <c r="H11" s="174" t="str">
        <f>$AI$14</f>
        <v>IIDPH</v>
      </c>
      <c r="I11" s="173"/>
      <c r="J11" s="224">
        <f>AD11</f>
        <v>2030</v>
      </c>
      <c r="K11" s="81"/>
      <c r="L11" s="333">
        <v>1</v>
      </c>
      <c r="M11" s="199">
        <f ca="1">VLOOKUP($AD11,INDIRECT("'"&amp;$B11&amp;"'!"&amp;"$P$39:$AD$42"),3,FALSE)</f>
        <v>4.5792982142857133</v>
      </c>
      <c r="N11" s="81"/>
      <c r="O11" s="723">
        <f ca="1">VLOOKUP($AD11,INDIRECT("'"&amp;$B11&amp;"'!"&amp;"$P$39:$AD$42"),6,FALSE)/1000</f>
        <v>4.8425000000000002</v>
      </c>
      <c r="P11" s="723">
        <f ca="1">VLOOKUP($AD11,INDIRECT("'"&amp;$B11&amp;"'!"&amp;"$P$39:$AD$42"),7,FALSE)/1000</f>
        <v>1.49E-2</v>
      </c>
      <c r="Q11" s="81">
        <f ca="1">VLOOKUP($AD11,INDIRECT("'"&amp;$B11&amp;"'!"&amp;"$P$39:$AD$42"),8,FALSE)</f>
        <v>6.6222222222222227</v>
      </c>
      <c r="R11" s="300"/>
      <c r="S11" s="300"/>
      <c r="T11" s="300"/>
      <c r="U11" s="199">
        <f ca="1">1/M11</f>
        <v>0.21837407244637849</v>
      </c>
      <c r="V11" s="199"/>
      <c r="W11" s="298"/>
      <c r="X11" s="698">
        <f ca="1">IF(VLOOKUP($AD11,INDIRECT("'"&amp;$B11&amp;"'!"&amp;"$P$39:$AD$42"),11,FALSE)="Cf. the utilized electricity",0,VLOOKUP($AD11,INDIRECT("'"&amp;$B11&amp;"'!"&amp;"$P$39:$AD$42"),11,FALSE))</f>
        <v>0</v>
      </c>
      <c r="Y11" s="81">
        <f ca="1">VLOOKUP($AD11,INDIRECT("'"&amp;$B11&amp;"'!"&amp;"$P$39:$AD$42"),12,FALSE)</f>
        <v>0</v>
      </c>
      <c r="Z11" s="81">
        <f ca="1">VLOOKUP($AD11,INDIRECT("'"&amp;$B11&amp;"'!"&amp;"$P$39:$AD$42"),13,FALSE)</f>
        <v>0</v>
      </c>
      <c r="AA11" s="81">
        <f ca="1">VLOOKUP($AD11,INDIRECT("'"&amp;$B11&amp;"'!"&amp;"$P$39:$AD$42"),14,FALSE)</f>
        <v>0</v>
      </c>
      <c r="AB11" s="81">
        <f ca="1">VLOOKUP($AD11,INDIRECT("'"&amp;$B11&amp;"'!"&amp;"$P$39:$AD$42"),15,FALSE)</f>
        <v>0</v>
      </c>
      <c r="AC11" s="226"/>
      <c r="AD11" s="81">
        <v>2030</v>
      </c>
      <c r="AE11" s="81"/>
      <c r="AF11" s="220"/>
    </row>
    <row r="12" spans="2:42">
      <c r="B12" s="357" t="s">
        <v>998</v>
      </c>
      <c r="D12" s="212"/>
      <c r="E12" s="212"/>
      <c r="F12" s="224" t="s">
        <v>1149</v>
      </c>
      <c r="G12" s="173" t="str">
        <f>$AI$20</f>
        <v>INDIWH</v>
      </c>
      <c r="H12" s="174"/>
      <c r="I12" s="174"/>
      <c r="K12" s="81"/>
      <c r="L12" s="333"/>
      <c r="M12" s="199"/>
      <c r="N12" s="81"/>
      <c r="O12" s="723"/>
      <c r="P12" s="723"/>
      <c r="Q12" s="81"/>
      <c r="R12" s="300"/>
      <c r="S12" s="300"/>
      <c r="T12" s="300"/>
      <c r="U12" s="199">
        <f ca="1">1-U11</f>
        <v>0.78162592755362148</v>
      </c>
      <c r="V12" s="300"/>
      <c r="W12" s="298"/>
      <c r="X12" s="698"/>
      <c r="Y12" s="81"/>
      <c r="Z12" s="81"/>
      <c r="AA12" s="81"/>
      <c r="AB12" s="81"/>
      <c r="AC12" s="226"/>
      <c r="AD12" s="81"/>
      <c r="AE12" s="81"/>
      <c r="AF12" s="220"/>
      <c r="AI12" s="224" t="s">
        <v>518</v>
      </c>
      <c r="AJ12" s="224" t="str">
        <f>E2</f>
        <v>Mining</v>
      </c>
    </row>
    <row r="13" spans="2:42">
      <c r="B13" s="357" t="s">
        <v>998</v>
      </c>
      <c r="D13" s="212"/>
      <c r="E13" s="212"/>
      <c r="F13" s="224" t="s">
        <v>1149</v>
      </c>
      <c r="G13" s="173" t="s">
        <v>499</v>
      </c>
      <c r="H13" s="174" t="str">
        <f>$AI$14</f>
        <v>IIDPH</v>
      </c>
      <c r="I13" s="173"/>
      <c r="J13" s="224">
        <f>AD13</f>
        <v>2050</v>
      </c>
      <c r="K13" s="81"/>
      <c r="L13" s="333">
        <v>1</v>
      </c>
      <c r="M13" s="199">
        <f ca="1">VLOOKUP($AD13,INDIRECT("'"&amp;$B13&amp;"'!"&amp;"$P$39:$AD$42"),3,FALSE)</f>
        <v>4.7191030203571422</v>
      </c>
      <c r="N13" s="81"/>
      <c r="O13" s="723">
        <f ca="1">VLOOKUP($AD13,INDIRECT("'"&amp;$B13&amp;"'!"&amp;"$P$39:$AD$42"),6,FALSE)/1000</f>
        <v>4.3209999999999997</v>
      </c>
      <c r="P13" s="723">
        <f ca="1">VLOOKUP($AD13,INDIRECT("'"&amp;$B13&amp;"'!"&amp;"$P$39:$AD$42"),7,FALSE)/1000</f>
        <v>1.49E-2</v>
      </c>
      <c r="Q13" s="81">
        <f ca="1">VLOOKUP($AD13,INDIRECT("'"&amp;$B13&amp;"'!"&amp;"$P$39:$AD$42"),8,FALSE)</f>
        <v>6.4566666666666661</v>
      </c>
      <c r="R13" s="300"/>
      <c r="S13" s="300"/>
      <c r="T13" s="300"/>
      <c r="U13" s="199">
        <f ca="1">1/M13</f>
        <v>0.21190467673331698</v>
      </c>
      <c r="V13" s="199"/>
      <c r="W13" s="298"/>
      <c r="X13" s="698">
        <f ca="1">IF(VLOOKUP($AD13,INDIRECT("'"&amp;$B13&amp;"'!"&amp;"$P$39:$AD$42"),11,FALSE)="Cf. the utilized electricity",0,VLOOKUP($AD13,INDIRECT("'"&amp;$B13&amp;"'!"&amp;"$P$39:$AD$42"),11,FALSE))</f>
        <v>0</v>
      </c>
      <c r="Y13" s="81">
        <f ca="1">VLOOKUP($AD13,INDIRECT("'"&amp;$B13&amp;"'!"&amp;"$P$39:$AD$42"),12,FALSE)</f>
        <v>0</v>
      </c>
      <c r="Z13" s="81">
        <f ca="1">VLOOKUP($AD13,INDIRECT("'"&amp;$B13&amp;"'!"&amp;"$P$39:$AD$42"),13,FALSE)</f>
        <v>0</v>
      </c>
      <c r="AA13" s="81">
        <f ca="1">VLOOKUP($AD13,INDIRECT("'"&amp;$B13&amp;"'!"&amp;"$P$39:$AD$42"),14,FALSE)</f>
        <v>0</v>
      </c>
      <c r="AB13" s="81">
        <f ca="1">VLOOKUP($AD13,INDIRECT("'"&amp;$B13&amp;"'!"&amp;"$P$39:$AD$42"),15,FALSE)</f>
        <v>0</v>
      </c>
      <c r="AC13" s="226"/>
      <c r="AD13" s="81">
        <v>2050</v>
      </c>
      <c r="AE13" s="81"/>
      <c r="AF13" s="220"/>
      <c r="AI13" s="224" t="str">
        <f>AO14</f>
        <v>IIDPH</v>
      </c>
      <c r="AJ13" s="224" t="str">
        <f>AP14</f>
        <v>Mining Demand Heat High Temp. over 150C</v>
      </c>
      <c r="AO13" s="224" t="s">
        <v>2092</v>
      </c>
      <c r="AP13" s="224" t="s">
        <v>1212</v>
      </c>
    </row>
    <row r="14" spans="2:42">
      <c r="B14" s="357" t="s">
        <v>998</v>
      </c>
      <c r="D14" s="212"/>
      <c r="E14" s="212"/>
      <c r="F14" s="224" t="s">
        <v>1149</v>
      </c>
      <c r="G14" s="173" t="str">
        <f>$AI$20</f>
        <v>INDIWH</v>
      </c>
      <c r="H14" s="174"/>
      <c r="I14" s="174"/>
      <c r="K14" s="81"/>
      <c r="L14" s="333"/>
      <c r="M14" s="199"/>
      <c r="N14" s="81"/>
      <c r="O14" s="723"/>
      <c r="P14" s="723"/>
      <c r="Q14" s="81"/>
      <c r="R14" s="300"/>
      <c r="S14" s="300"/>
      <c r="T14" s="300"/>
      <c r="U14" s="199">
        <f ca="1">1-U13</f>
        <v>0.78809532326668297</v>
      </c>
      <c r="V14" s="300"/>
      <c r="W14" s="298"/>
      <c r="X14" s="698"/>
      <c r="Y14" s="81"/>
      <c r="Z14" s="81"/>
      <c r="AA14" s="81"/>
      <c r="AB14" s="81"/>
      <c r="AC14" s="226"/>
      <c r="AD14" s="81"/>
      <c r="AE14" s="81"/>
      <c r="AF14" s="220"/>
      <c r="AI14" s="224" t="str">
        <f>AO13</f>
        <v>IIDPH</v>
      </c>
      <c r="AJ14" s="224" t="str">
        <f>AP13</f>
        <v>Mining Demand Heat Medium Temp. up to 150C</v>
      </c>
      <c r="AO14" s="224" t="s">
        <v>2092</v>
      </c>
      <c r="AP14" s="224" t="s">
        <v>1213</v>
      </c>
    </row>
    <row r="15" spans="2:42">
      <c r="B15" s="357" t="s">
        <v>998</v>
      </c>
      <c r="D15" s="212" t="str">
        <f>"IND"&amp;RIGHT(H15,4)&amp;RIGHT(G15,3)&amp;"N"&amp;RIGHT(E15,1)</f>
        <v>INDIDSHELCN1</v>
      </c>
      <c r="E15" s="261" t="str">
        <f>"Industrial heating technology "&amp;$AJ$12&amp;" "&amp;RIGHT(H15,2)&amp;" - Heat pump utilizing waste heat - new 1"</f>
        <v>Industrial heating technology Mining SH - Heat pump utilizing waste heat - new 1</v>
      </c>
      <c r="F15" s="224" t="s">
        <v>1149</v>
      </c>
      <c r="G15" s="173" t="s">
        <v>499</v>
      </c>
      <c r="H15" s="174" t="str">
        <f>$AI$15</f>
        <v>IIDSH</v>
      </c>
      <c r="I15" s="174"/>
      <c r="J15" s="224">
        <f>AD15</f>
        <v>2020</v>
      </c>
      <c r="K15" s="81">
        <v>2020</v>
      </c>
      <c r="L15" s="333">
        <v>1</v>
      </c>
      <c r="M15" s="199">
        <f ca="1">VLOOKUP($AD15,INDIRECT("'"&amp;$B15&amp;"'!"&amp;"$P$39:$AD$42"),3,FALSE)</f>
        <v>4.4754761904761899</v>
      </c>
      <c r="N15" s="81">
        <f ca="1">VLOOKUP($AD15,INDIRECT("'"&amp;$B15&amp;"'!"&amp;"$P$39:$AD$42"),5,FALSE)</f>
        <v>20</v>
      </c>
      <c r="O15" s="723">
        <f ca="1">VLOOKUP($AD15,INDIRECT("'"&amp;$B15&amp;"'!"&amp;"$P$39:$AD$42"),6,FALSE)/1000</f>
        <v>5.4385000000000003</v>
      </c>
      <c r="P15" s="723">
        <f ca="1">VLOOKUP($AD15,INDIRECT("'"&amp;$B15&amp;"'!"&amp;"$P$39:$AD$42"),7,FALSE)/1000</f>
        <v>1.49E-2</v>
      </c>
      <c r="Q15" s="81">
        <f ca="1">VLOOKUP($AD15,INDIRECT("'"&amp;$B15&amp;"'!"&amp;"$P$39:$AD$42"),8,FALSE)</f>
        <v>6.7463888888888883</v>
      </c>
      <c r="R15" s="81">
        <v>3.1536000000000002E-2</v>
      </c>
      <c r="S15" s="199">
        <v>0.5</v>
      </c>
      <c r="T15" s="199">
        <f ca="1">HLOOKUP($T$2,INDIRECT("'"&amp;$B15&amp;"'!"&amp;"$P$6:$AC$19"),IF(H15=$AI$13,6,IF(H15=$AI$14,9,14)),FALSE)</f>
        <v>1</v>
      </c>
      <c r="U15" s="199">
        <f ca="1">1/M15</f>
        <v>0.22343991062403579</v>
      </c>
      <c r="V15" s="199"/>
      <c r="W15" s="298"/>
      <c r="X15" s="698">
        <f ca="1">IF(VLOOKUP($AD15,INDIRECT("'"&amp;$B15&amp;"'!"&amp;"$P$39:$AD$42"),11,FALSE)="Cf. the utilized electricity",0,VLOOKUP($AD15,INDIRECT("'"&amp;$B15&amp;"'!"&amp;"$P$39:$AD$42"),11,FALSE))</f>
        <v>0</v>
      </c>
      <c r="Y15" s="81">
        <f ca="1">VLOOKUP($AD15,INDIRECT("'"&amp;$B15&amp;"'!"&amp;"$P$39:$AD$42"),12,FALSE)</f>
        <v>0</v>
      </c>
      <c r="Z15" s="81">
        <f ca="1">VLOOKUP($AD15,INDIRECT("'"&amp;$B15&amp;"'!"&amp;"$P$39:$AD$42"),13,FALSE)</f>
        <v>0</v>
      </c>
      <c r="AA15" s="81">
        <f ca="1">VLOOKUP($AD15,INDIRECT("'"&amp;$B15&amp;"'!"&amp;"$P$39:$AD$42"),14,FALSE)</f>
        <v>0</v>
      </c>
      <c r="AB15" s="81">
        <f ca="1">VLOOKUP($AD15,INDIRECT("'"&amp;$B15&amp;"'!"&amp;"$P$39:$AD$42"),15,FALSE)</f>
        <v>0</v>
      </c>
      <c r="AC15" s="226"/>
      <c r="AD15" s="81">
        <v>2020</v>
      </c>
      <c r="AE15" s="81"/>
      <c r="AF15" s="220"/>
      <c r="AI15" s="224" t="str">
        <f>AO15</f>
        <v>IIDSH</v>
      </c>
      <c r="AJ15" s="224" t="str">
        <f>AP15</f>
        <v>Mining Demand Heat Room Heat</v>
      </c>
      <c r="AO15" s="224" t="s">
        <v>2093</v>
      </c>
      <c r="AP15" s="224" t="s">
        <v>1214</v>
      </c>
    </row>
    <row r="16" spans="2:42">
      <c r="B16" s="357" t="s">
        <v>998</v>
      </c>
      <c r="D16" s="212"/>
      <c r="E16" s="261"/>
      <c r="F16" s="224" t="s">
        <v>1149</v>
      </c>
      <c r="G16" s="173" t="str">
        <f>$AI$20</f>
        <v>INDIWH</v>
      </c>
      <c r="H16" s="174"/>
      <c r="I16" s="174"/>
      <c r="K16" s="81"/>
      <c r="L16" s="333"/>
      <c r="M16" s="199"/>
      <c r="N16" s="81"/>
      <c r="O16" s="723"/>
      <c r="P16" s="723"/>
      <c r="Q16" s="81"/>
      <c r="R16" s="200"/>
      <c r="S16" s="772"/>
      <c r="T16" s="772"/>
      <c r="U16" s="199">
        <f ca="1">1-U15</f>
        <v>0.77656008937596421</v>
      </c>
      <c r="V16" s="772"/>
      <c r="W16" s="298"/>
      <c r="X16" s="698"/>
      <c r="Y16" s="81"/>
      <c r="Z16" s="81"/>
      <c r="AA16" s="81"/>
      <c r="AB16" s="81"/>
      <c r="AC16" s="226"/>
      <c r="AD16" s="81"/>
      <c r="AE16" s="81"/>
      <c r="AF16" s="220"/>
      <c r="AI16" s="224" t="str">
        <f t="shared" ref="AI16:AJ19" si="0">AO16</f>
        <v>IIDLA</v>
      </c>
      <c r="AJ16" s="224" t="str">
        <f t="shared" si="0"/>
        <v>Mining Demand Light</v>
      </c>
      <c r="AO16" s="224" t="s">
        <v>1215</v>
      </c>
      <c r="AP16" s="224" t="s">
        <v>1216</v>
      </c>
    </row>
    <row r="17" spans="2:42">
      <c r="B17" s="357" t="s">
        <v>998</v>
      </c>
      <c r="D17" s="212"/>
      <c r="E17" s="212"/>
      <c r="F17" s="224" t="s">
        <v>1149</v>
      </c>
      <c r="G17" s="173" t="s">
        <v>499</v>
      </c>
      <c r="H17" s="174" t="str">
        <f>$AI$15</f>
        <v>IIDSH</v>
      </c>
      <c r="I17" s="174"/>
      <c r="J17" s="224">
        <f>AD17</f>
        <v>2030</v>
      </c>
      <c r="K17" s="81"/>
      <c r="L17" s="333">
        <v>1</v>
      </c>
      <c r="M17" s="199">
        <f ca="1">VLOOKUP($AD17,INDIRECT("'"&amp;$B17&amp;"'!"&amp;"$P$39:$AD$42"),3,FALSE)</f>
        <v>4.5792982142857133</v>
      </c>
      <c r="N17" s="81"/>
      <c r="O17" s="723">
        <f ca="1">VLOOKUP($AD17,INDIRECT("'"&amp;$B17&amp;"'!"&amp;"$P$39:$AD$42"),6,FALSE)/1000</f>
        <v>4.8425000000000002</v>
      </c>
      <c r="P17" s="723">
        <f ca="1">VLOOKUP($AD17,INDIRECT("'"&amp;$B17&amp;"'!"&amp;"$P$39:$AD$42"),7,FALSE)/1000</f>
        <v>1.49E-2</v>
      </c>
      <c r="Q17" s="81">
        <f ca="1">VLOOKUP($AD17,INDIRECT("'"&amp;$B17&amp;"'!"&amp;"$P$39:$AD$42"),8,FALSE)</f>
        <v>6.6222222222222227</v>
      </c>
      <c r="R17" s="300"/>
      <c r="S17" s="300"/>
      <c r="T17" s="300"/>
      <c r="U17" s="199">
        <f ca="1">1/M17</f>
        <v>0.21837407244637849</v>
      </c>
      <c r="V17" s="199"/>
      <c r="W17" s="298"/>
      <c r="X17" s="698">
        <f ca="1">IF(VLOOKUP($AD17,INDIRECT("'"&amp;$B17&amp;"'!"&amp;"$P$39:$AD$42"),11,FALSE)="Cf. the utilized electricity",0,VLOOKUP($AD17,INDIRECT("'"&amp;$B17&amp;"'!"&amp;"$P$39:$AD$42"),11,FALSE))</f>
        <v>0</v>
      </c>
      <c r="Y17" s="81">
        <f ca="1">VLOOKUP($AD17,INDIRECT("'"&amp;$B17&amp;"'!"&amp;"$P$39:$AD$42"),12,FALSE)</f>
        <v>0</v>
      </c>
      <c r="Z17" s="81">
        <f ca="1">VLOOKUP($AD17,INDIRECT("'"&amp;$B17&amp;"'!"&amp;"$P$39:$AD$42"),13,FALSE)</f>
        <v>0</v>
      </c>
      <c r="AA17" s="81">
        <f ca="1">VLOOKUP($AD17,INDIRECT("'"&amp;$B17&amp;"'!"&amp;"$P$39:$AD$42"),14,FALSE)</f>
        <v>0</v>
      </c>
      <c r="AB17" s="81">
        <f ca="1">VLOOKUP($AD17,INDIRECT("'"&amp;$B17&amp;"'!"&amp;"$P$39:$AD$42"),15,FALSE)</f>
        <v>0</v>
      </c>
      <c r="AC17" s="226"/>
      <c r="AD17" s="81">
        <v>2030</v>
      </c>
      <c r="AE17" s="81"/>
      <c r="AF17" s="220"/>
      <c r="AI17" s="224" t="str">
        <f t="shared" si="0"/>
        <v>IIDEM</v>
      </c>
      <c r="AJ17" s="224" t="str">
        <f t="shared" si="0"/>
        <v>Mining Demand Electric Motors</v>
      </c>
      <c r="AO17" s="224" t="s">
        <v>1217</v>
      </c>
      <c r="AP17" s="224" t="s">
        <v>1218</v>
      </c>
    </row>
    <row r="18" spans="2:42">
      <c r="B18" s="357" t="s">
        <v>998</v>
      </c>
      <c r="D18" s="212"/>
      <c r="E18" s="212"/>
      <c r="F18" s="224" t="s">
        <v>1149</v>
      </c>
      <c r="G18" s="173" t="str">
        <f>$AI$20</f>
        <v>INDIWH</v>
      </c>
      <c r="H18" s="174"/>
      <c r="I18" s="174"/>
      <c r="K18" s="81"/>
      <c r="L18" s="333"/>
      <c r="M18" s="199"/>
      <c r="N18" s="81"/>
      <c r="O18" s="723"/>
      <c r="P18" s="723"/>
      <c r="Q18" s="81"/>
      <c r="R18" s="300"/>
      <c r="S18" s="300"/>
      <c r="T18" s="300"/>
      <c r="U18" s="199">
        <f ca="1">1-U17</f>
        <v>0.78162592755362148</v>
      </c>
      <c r="V18" s="300"/>
      <c r="W18" s="298"/>
      <c r="X18" s="698"/>
      <c r="Y18" s="81"/>
      <c r="Z18" s="81"/>
      <c r="AA18" s="81"/>
      <c r="AB18" s="81"/>
      <c r="AC18" s="226"/>
      <c r="AD18" s="81"/>
      <c r="AE18" s="81"/>
      <c r="AF18" s="220"/>
      <c r="AI18" s="224" t="str">
        <f t="shared" si="0"/>
        <v>IIDTF</v>
      </c>
      <c r="AJ18" s="224" t="str">
        <f t="shared" si="0"/>
        <v>Mining Demand Haulage Tractors, Trucks, Fishing boats, Forest machines</v>
      </c>
      <c r="AO18" s="224" t="s">
        <v>1219</v>
      </c>
      <c r="AP18" s="224" t="s">
        <v>1220</v>
      </c>
    </row>
    <row r="19" spans="2:42">
      <c r="B19" s="357" t="s">
        <v>998</v>
      </c>
      <c r="D19" s="212"/>
      <c r="E19" s="212"/>
      <c r="F19" s="224" t="s">
        <v>1149</v>
      </c>
      <c r="G19" s="173" t="s">
        <v>499</v>
      </c>
      <c r="H19" s="174" t="str">
        <f>$AI$15</f>
        <v>IIDSH</v>
      </c>
      <c r="I19" s="174"/>
      <c r="J19" s="224">
        <f>AD19</f>
        <v>2050</v>
      </c>
      <c r="K19" s="81"/>
      <c r="L19" s="333">
        <v>1</v>
      </c>
      <c r="M19" s="199">
        <f ca="1">VLOOKUP($AD19,INDIRECT("'"&amp;$B19&amp;"'!"&amp;"$P$39:$AD$42"),3,FALSE)</f>
        <v>4.7191030203571422</v>
      </c>
      <c r="N19" s="81"/>
      <c r="O19" s="723">
        <f ca="1">VLOOKUP($AD19,INDIRECT("'"&amp;$B19&amp;"'!"&amp;"$P$39:$AD$42"),6,FALSE)/1000</f>
        <v>4.3209999999999997</v>
      </c>
      <c r="P19" s="723">
        <f ca="1">VLOOKUP($AD19,INDIRECT("'"&amp;$B19&amp;"'!"&amp;"$P$39:$AD$42"),7,FALSE)/1000</f>
        <v>1.49E-2</v>
      </c>
      <c r="Q19" s="81">
        <f ca="1">VLOOKUP($AD19,INDIRECT("'"&amp;$B19&amp;"'!"&amp;"$P$39:$AD$42"),8,FALSE)</f>
        <v>6.4566666666666661</v>
      </c>
      <c r="R19" s="300"/>
      <c r="S19" s="300"/>
      <c r="T19" s="300"/>
      <c r="U19" s="199">
        <f ca="1">1/M19</f>
        <v>0.21190467673331698</v>
      </c>
      <c r="V19" s="199"/>
      <c r="W19" s="298"/>
      <c r="X19" s="698">
        <f ca="1">IF(VLOOKUP($AD19,INDIRECT("'"&amp;$B19&amp;"'!"&amp;"$P$39:$AD$42"),11,FALSE)="Cf. the utilized electricity",0,VLOOKUP($AD19,INDIRECT("'"&amp;$B19&amp;"'!"&amp;"$P$39:$AD$42"),11,FALSE))</f>
        <v>0</v>
      </c>
      <c r="Y19" s="81">
        <f ca="1">VLOOKUP($AD19,INDIRECT("'"&amp;$B19&amp;"'!"&amp;"$P$39:$AD$42"),12,FALSE)</f>
        <v>0</v>
      </c>
      <c r="Z19" s="81">
        <f ca="1">VLOOKUP($AD19,INDIRECT("'"&amp;$B19&amp;"'!"&amp;"$P$39:$AD$42"),13,FALSE)</f>
        <v>0</v>
      </c>
      <c r="AA19" s="81">
        <f ca="1">VLOOKUP($AD19,INDIRECT("'"&amp;$B19&amp;"'!"&amp;"$P$39:$AD$42"),14,FALSE)</f>
        <v>0</v>
      </c>
      <c r="AB19" s="81">
        <f ca="1">VLOOKUP($AD19,INDIRECT("'"&amp;$B19&amp;"'!"&amp;"$P$39:$AD$42"),15,FALSE)</f>
        <v>0</v>
      </c>
      <c r="AC19" s="226"/>
      <c r="AD19" s="81">
        <v>2050</v>
      </c>
      <c r="AE19" s="81"/>
      <c r="AF19" s="220"/>
      <c r="AI19" s="224" t="str">
        <f t="shared" si="0"/>
        <v>IIDFL</v>
      </c>
      <c r="AJ19" s="224" t="str">
        <f t="shared" si="0"/>
        <v>Mining Demand Haulage Forklifts</v>
      </c>
      <c r="AO19" s="224" t="s">
        <v>1221</v>
      </c>
      <c r="AP19" s="224" t="s">
        <v>1222</v>
      </c>
    </row>
    <row r="20" spans="2:42">
      <c r="B20" s="357" t="s">
        <v>998</v>
      </c>
      <c r="D20" s="212"/>
      <c r="E20" s="212"/>
      <c r="F20" s="224" t="s">
        <v>1149</v>
      </c>
      <c r="G20" s="173" t="str">
        <f>$AI$20</f>
        <v>INDIWH</v>
      </c>
      <c r="H20" s="174"/>
      <c r="I20" s="174"/>
      <c r="K20" s="81"/>
      <c r="L20" s="333"/>
      <c r="M20" s="199"/>
      <c r="N20" s="81"/>
      <c r="O20" s="723"/>
      <c r="P20" s="723"/>
      <c r="Q20" s="81"/>
      <c r="R20" s="300"/>
      <c r="S20" s="300"/>
      <c r="T20" s="300"/>
      <c r="U20" s="199">
        <f ca="1">1-U19</f>
        <v>0.78809532326668297</v>
      </c>
      <c r="V20" s="300"/>
      <c r="W20" s="298"/>
      <c r="X20" s="698"/>
      <c r="Y20" s="81"/>
      <c r="Z20" s="81"/>
      <c r="AA20" s="81"/>
      <c r="AB20" s="81"/>
      <c r="AC20" s="226"/>
      <c r="AD20" s="81"/>
      <c r="AE20" s="81"/>
      <c r="AF20" s="220"/>
      <c r="AI20" s="36" t="str">
        <f>"IND"&amp;MID(AI19,2,1)&amp;"WH"</f>
        <v>INDIWH</v>
      </c>
      <c r="AJ20" s="224" t="str">
        <f>$AJ$12&amp;" Industrial Waste Heat"</f>
        <v>Mining Industrial Waste Heat</v>
      </c>
    </row>
    <row r="21" spans="2:42">
      <c r="B21" s="357" t="s">
        <v>999</v>
      </c>
      <c r="D21" s="212" t="str">
        <f>"IND"&amp;RIGHT(H21,4)&amp;RIGHT(G21,3)&amp;"N"&amp;RIGHT(E21,1)</f>
        <v>INDIDPHELCN2</v>
      </c>
      <c r="E21" s="261" t="str">
        <f>"Industrial heating technology "&amp;$AJ$12&amp;" "&amp;RIGHT(H21,2)&amp;" - Heat driven heat pump utilizing waste heat - new 2"</f>
        <v>Industrial heating technology Mining PH - Heat driven heat pump utilizing waste heat - new 2</v>
      </c>
      <c r="F21" s="224" t="s">
        <v>1149</v>
      </c>
      <c r="G21" s="173" t="s">
        <v>499</v>
      </c>
      <c r="H21" s="174" t="str">
        <f>$AI$14</f>
        <v>IIDPH</v>
      </c>
      <c r="I21" s="174"/>
      <c r="J21" s="224">
        <f t="shared" ref="J21" si="1">AD21</f>
        <v>2020</v>
      </c>
      <c r="K21" s="81">
        <v>2020</v>
      </c>
      <c r="L21" s="333">
        <v>1</v>
      </c>
      <c r="M21" s="199">
        <f ca="1">VLOOKUP($AD21,INDIRECT("'"&amp;$B21&amp;"'!"&amp;"$P$39:$AD$42"),3,FALSE)</f>
        <v>1.68</v>
      </c>
      <c r="N21" s="81">
        <f ca="1">VLOOKUP($AD21,INDIRECT("'"&amp;$B21&amp;"'!"&amp;"$P$39:$AD$42"),5,FALSE)</f>
        <v>20</v>
      </c>
      <c r="O21" s="723">
        <f ca="1">VLOOKUP($AD21,INDIRECT("'"&amp;$B21&amp;"'!"&amp;"$P$39:$AD$42"),6,FALSE)/1000</f>
        <v>4.1720000000000006</v>
      </c>
      <c r="P21" s="723">
        <f ca="1">VLOOKUP($AD21,INDIRECT("'"&amp;$B21&amp;"'!"&amp;"$P$39:$AD$42"),7,FALSE)/1000</f>
        <v>1.49E-2</v>
      </c>
      <c r="Q21" s="81">
        <f ca="1">VLOOKUP($AD21,INDIRECT("'"&amp;$B21&amp;"'!"&amp;"$P$39:$AD$42"),8,FALSE)</f>
        <v>2.0901388888888892</v>
      </c>
      <c r="R21" s="81">
        <v>3.1536000000000002E-2</v>
      </c>
      <c r="S21" s="199">
        <v>0.5</v>
      </c>
      <c r="T21" s="199">
        <f ca="1">HLOOKUP($T$2,INDIRECT("'"&amp;$B21&amp;"'!"&amp;"$P$6:$AC$19"),IF(H21=$AI$13,6,IF(H21=$AI$14,9,14)),FALSE)</f>
        <v>0</v>
      </c>
      <c r="U21" s="199">
        <f ca="1">1/M21</f>
        <v>0.59523809523809523</v>
      </c>
      <c r="V21" s="199"/>
      <c r="W21" s="298"/>
      <c r="X21" s="698">
        <f ca="1">IF(VLOOKUP($AD21,INDIRECT("'"&amp;$B21&amp;"'!"&amp;"$P$39:$AD$42"),11,FALSE)="Cf. the utilized electricity",0,VLOOKUP($AD21,INDIRECT("'"&amp;$B21&amp;"'!"&amp;"$P$39:$AD$42"),11,FALSE))</f>
        <v>0</v>
      </c>
      <c r="Y21" s="81">
        <f ca="1">VLOOKUP($AD21,INDIRECT("'"&amp;$B21&amp;"'!"&amp;"$P$39:$AD$42"),12,FALSE)</f>
        <v>0</v>
      </c>
      <c r="Z21" s="81">
        <f ca="1">VLOOKUP($AD21,INDIRECT("'"&amp;$B21&amp;"'!"&amp;"$P$39:$AD$42"),13,FALSE)</f>
        <v>0</v>
      </c>
      <c r="AA21" s="81">
        <f ca="1">VLOOKUP($AD21,INDIRECT("'"&amp;$B21&amp;"'!"&amp;"$P$39:$AD$42"),14,FALSE)</f>
        <v>0</v>
      </c>
      <c r="AB21" s="81">
        <f ca="1">VLOOKUP($AD21,INDIRECT("'"&amp;$B21&amp;"'!"&amp;"$P$39:$AD$42"),15,FALSE)</f>
        <v>0</v>
      </c>
      <c r="AC21" s="226"/>
      <c r="AD21" s="81">
        <v>2020</v>
      </c>
      <c r="AE21" s="81"/>
      <c r="AF21" s="220"/>
      <c r="AI21" s="224" t="s">
        <v>2113</v>
      </c>
      <c r="AJ21" s="224" t="s">
        <v>2112</v>
      </c>
    </row>
    <row r="22" spans="2:42">
      <c r="B22" s="357" t="s">
        <v>999</v>
      </c>
      <c r="D22" s="212"/>
      <c r="E22" s="261"/>
      <c r="F22" s="224" t="s">
        <v>1149</v>
      </c>
      <c r="G22" s="173" t="str">
        <f>$AI$20</f>
        <v>INDIWH</v>
      </c>
      <c r="H22" s="174"/>
      <c r="I22" s="174"/>
      <c r="K22" s="81"/>
      <c r="L22" s="333"/>
      <c r="M22" s="199"/>
      <c r="N22" s="81"/>
      <c r="O22" s="723"/>
      <c r="P22" s="723"/>
      <c r="Q22" s="81"/>
      <c r="R22" s="200"/>
      <c r="S22" s="772"/>
      <c r="T22" s="772"/>
      <c r="U22" s="199">
        <f ca="1">1-U21</f>
        <v>0.40476190476190477</v>
      </c>
      <c r="V22" s="772"/>
      <c r="W22" s="298"/>
      <c r="X22" s="698"/>
      <c r="Y22" s="81"/>
      <c r="Z22" s="81"/>
      <c r="AA22" s="81"/>
      <c r="AB22" s="81"/>
      <c r="AC22" s="226"/>
      <c r="AD22" s="81"/>
      <c r="AE22" s="81"/>
      <c r="AF22" s="220"/>
      <c r="AI22" s="224">
        <v>1</v>
      </c>
    </row>
    <row r="23" spans="2:42">
      <c r="B23" s="357" t="s">
        <v>999</v>
      </c>
      <c r="D23" s="212"/>
      <c r="E23" s="212"/>
      <c r="F23" s="224" t="s">
        <v>1149</v>
      </c>
      <c r="G23" s="173" t="s">
        <v>499</v>
      </c>
      <c r="H23" s="174" t="str">
        <f>$AI$14</f>
        <v>IIDPH</v>
      </c>
      <c r="I23" s="174"/>
      <c r="J23" s="224">
        <f t="shared" ref="J23" si="2">AD23</f>
        <v>2030</v>
      </c>
      <c r="K23" s="81"/>
      <c r="L23" s="333">
        <v>1</v>
      </c>
      <c r="M23" s="199">
        <f ca="1">VLOOKUP($AD23,INDIRECT("'"&amp;$B23&amp;"'!"&amp;"$P$39:$AD$42"),3,FALSE)</f>
        <v>1.69</v>
      </c>
      <c r="N23" s="81"/>
      <c r="O23" s="723">
        <f ca="1">VLOOKUP($AD23,INDIRECT("'"&amp;$B23&amp;"'!"&amp;"$P$39:$AD$42"),6,FALSE)/1000</f>
        <v>3.7995000000000001</v>
      </c>
      <c r="P23" s="723">
        <f ca="1">VLOOKUP($AD23,INDIRECT("'"&amp;$B23&amp;"'!"&amp;"$P$39:$AD$42"),7,FALSE)/1000</f>
        <v>1.49E-2</v>
      </c>
      <c r="Q23" s="81">
        <f ca="1">VLOOKUP($AD23,INDIRECT("'"&amp;$B23&amp;"'!"&amp;"$P$39:$AD$42"),8,FALSE)</f>
        <v>2.0694444444444446</v>
      </c>
      <c r="R23" s="300"/>
      <c r="S23" s="300"/>
      <c r="T23" s="300"/>
      <c r="U23" s="199">
        <f ca="1">1/M23</f>
        <v>0.59171597633136097</v>
      </c>
      <c r="V23" s="199"/>
      <c r="W23" s="298"/>
      <c r="X23" s="698">
        <f ca="1">IF(VLOOKUP($AD23,INDIRECT("'"&amp;$B23&amp;"'!"&amp;"$P$39:$AD$42"),11,FALSE)="Cf. the utilized electricity",0,VLOOKUP($AD23,INDIRECT("'"&amp;$B23&amp;"'!"&amp;"$P$39:$AD$42"),11,FALSE))</f>
        <v>0</v>
      </c>
      <c r="Y23" s="81">
        <f ca="1">VLOOKUP($AD23,INDIRECT("'"&amp;$B23&amp;"'!"&amp;"$P$39:$AD$42"),12,FALSE)</f>
        <v>0</v>
      </c>
      <c r="Z23" s="81">
        <f ca="1">VLOOKUP($AD23,INDIRECT("'"&amp;$B23&amp;"'!"&amp;"$P$39:$AD$42"),13,FALSE)</f>
        <v>0</v>
      </c>
      <c r="AA23" s="81">
        <f ca="1">VLOOKUP($AD23,INDIRECT("'"&amp;$B23&amp;"'!"&amp;"$P$39:$AD$42"),14,FALSE)</f>
        <v>0</v>
      </c>
      <c r="AB23" s="81">
        <f ca="1">VLOOKUP($AD23,INDIRECT("'"&amp;$B23&amp;"'!"&amp;"$P$39:$AD$42"),15,FALSE)</f>
        <v>0</v>
      </c>
      <c r="AC23" s="226"/>
      <c r="AD23" s="81">
        <v>2030</v>
      </c>
      <c r="AE23" s="81"/>
      <c r="AF23" s="220"/>
      <c r="AI23" s="224">
        <v>2</v>
      </c>
    </row>
    <row r="24" spans="2:42" ht="14.5" customHeight="1">
      <c r="B24" s="357" t="s">
        <v>999</v>
      </c>
      <c r="D24" s="212"/>
      <c r="E24" s="212"/>
      <c r="F24" s="224" t="s">
        <v>1149</v>
      </c>
      <c r="G24" s="173" t="str">
        <f>$AI$20</f>
        <v>INDIWH</v>
      </c>
      <c r="H24" s="174"/>
      <c r="I24" s="174"/>
      <c r="K24" s="81"/>
      <c r="L24" s="333"/>
      <c r="M24" s="199"/>
      <c r="N24" s="81"/>
      <c r="O24" s="723"/>
      <c r="P24" s="723"/>
      <c r="Q24" s="81"/>
      <c r="R24" s="300"/>
      <c r="S24" s="300"/>
      <c r="T24" s="300"/>
      <c r="U24" s="199">
        <f ca="1">1-U23</f>
        <v>0.40828402366863903</v>
      </c>
      <c r="V24" s="300"/>
      <c r="W24" s="298"/>
      <c r="X24" s="698"/>
      <c r="Y24" s="81"/>
      <c r="Z24" s="81"/>
      <c r="AA24" s="81"/>
      <c r="AB24" s="81"/>
      <c r="AC24" s="226"/>
      <c r="AD24" s="81"/>
      <c r="AE24" s="81"/>
      <c r="AF24" s="220"/>
      <c r="AI24" s="224">
        <v>3</v>
      </c>
    </row>
    <row r="25" spans="2:42" ht="14.5" customHeight="1">
      <c r="B25" s="357" t="s">
        <v>999</v>
      </c>
      <c r="D25" s="212"/>
      <c r="E25" s="212"/>
      <c r="F25" s="224" t="s">
        <v>1149</v>
      </c>
      <c r="G25" s="173" t="s">
        <v>499</v>
      </c>
      <c r="H25" s="174" t="str">
        <f>$AI$14</f>
        <v>IIDPH</v>
      </c>
      <c r="I25" s="174"/>
      <c r="J25" s="224">
        <f t="shared" ref="J25" si="3">AD25</f>
        <v>2050</v>
      </c>
      <c r="K25" s="81"/>
      <c r="L25" s="333">
        <v>1</v>
      </c>
      <c r="M25" s="199">
        <f ca="1">VLOOKUP($AD25,INDIRECT("'"&amp;$B25&amp;"'!"&amp;"$P$39:$AD$42"),3,FALSE)</f>
        <v>1.71</v>
      </c>
      <c r="N25" s="81"/>
      <c r="O25" s="723">
        <f ca="1">VLOOKUP($AD25,INDIRECT("'"&amp;$B25&amp;"'!"&amp;"$P$39:$AD$42"),6,FALSE)/1000</f>
        <v>3.427</v>
      </c>
      <c r="P25" s="723">
        <f ca="1">VLOOKUP($AD25,INDIRECT("'"&amp;$B25&amp;"'!"&amp;"$P$39:$AD$42"),7,FALSE)/1000</f>
        <v>1.49E-2</v>
      </c>
      <c r="Q25" s="81">
        <f ca="1">VLOOKUP($AD25,INDIRECT("'"&amp;$B25&amp;"'!"&amp;"$P$39:$AD$42"),8,FALSE)</f>
        <v>2.0487500000000001</v>
      </c>
      <c r="R25" s="300"/>
      <c r="S25" s="300"/>
      <c r="T25" s="300"/>
      <c r="U25" s="199">
        <f ca="1">1/M25</f>
        <v>0.58479532163742687</v>
      </c>
      <c r="V25" s="199"/>
      <c r="W25" s="298"/>
      <c r="X25" s="698">
        <f ca="1">IF(VLOOKUP($AD25,INDIRECT("'"&amp;$B25&amp;"'!"&amp;"$P$39:$AD$42"),11,FALSE)="Cf. the utilized electricity",0,VLOOKUP($AD25,INDIRECT("'"&amp;$B25&amp;"'!"&amp;"$P$39:$AD$42"),11,FALSE))</f>
        <v>0</v>
      </c>
      <c r="Y25" s="81">
        <f ca="1">VLOOKUP($AD25,INDIRECT("'"&amp;$B25&amp;"'!"&amp;"$P$39:$AD$42"),12,FALSE)</f>
        <v>0</v>
      </c>
      <c r="Z25" s="81">
        <f ca="1">VLOOKUP($AD25,INDIRECT("'"&amp;$B25&amp;"'!"&amp;"$P$39:$AD$42"),13,FALSE)</f>
        <v>0</v>
      </c>
      <c r="AA25" s="81">
        <f ca="1">VLOOKUP($AD25,INDIRECT("'"&amp;$B25&amp;"'!"&amp;"$P$39:$AD$42"),14,FALSE)</f>
        <v>0</v>
      </c>
      <c r="AB25" s="81">
        <f ca="1">VLOOKUP($AD25,INDIRECT("'"&amp;$B25&amp;"'!"&amp;"$P$39:$AD$42"),15,FALSE)</f>
        <v>0</v>
      </c>
      <c r="AC25" s="226"/>
      <c r="AD25" s="81">
        <v>2050</v>
      </c>
      <c r="AE25" s="81"/>
      <c r="AF25" s="220"/>
      <c r="AI25" s="224">
        <v>4</v>
      </c>
    </row>
    <row r="26" spans="2:42" ht="15" customHeight="1">
      <c r="B26" s="357" t="s">
        <v>999</v>
      </c>
      <c r="D26" s="212"/>
      <c r="E26" s="212"/>
      <c r="F26" s="224" t="s">
        <v>1149</v>
      </c>
      <c r="G26" s="173" t="str">
        <f>$AI$20</f>
        <v>INDIWH</v>
      </c>
      <c r="H26" s="174"/>
      <c r="I26" s="174"/>
      <c r="K26" s="81"/>
      <c r="L26" s="333"/>
      <c r="M26" s="199"/>
      <c r="N26" s="81"/>
      <c r="O26" s="723"/>
      <c r="P26" s="723"/>
      <c r="Q26" s="81"/>
      <c r="R26" s="300"/>
      <c r="S26" s="300"/>
      <c r="T26" s="300"/>
      <c r="U26" s="199">
        <f ca="1">1-U25</f>
        <v>0.41520467836257313</v>
      </c>
      <c r="V26" s="300"/>
      <c r="W26" s="298"/>
      <c r="X26" s="698"/>
      <c r="Y26" s="81"/>
      <c r="Z26" s="81"/>
      <c r="AA26" s="81"/>
      <c r="AB26" s="81"/>
      <c r="AC26" s="226"/>
      <c r="AD26" s="81"/>
      <c r="AE26" s="81"/>
      <c r="AF26" s="220"/>
      <c r="AI26" s="224">
        <v>5</v>
      </c>
      <c r="AJ26" s="224" t="s">
        <v>715</v>
      </c>
    </row>
    <row r="27" spans="2:42">
      <c r="B27" s="357" t="s">
        <v>999</v>
      </c>
      <c r="D27" s="212" t="str">
        <f>"IND"&amp;RIGHT(H27,4)&amp;RIGHT(G27,3)&amp;"N"&amp;RIGHT(E27,1)</f>
        <v>INDIDSHELCN2</v>
      </c>
      <c r="E27" s="261" t="str">
        <f>"Industrial heating technology "&amp;$AJ$12&amp;" "&amp;RIGHT(H27,2)&amp;" - Heat driven heat pump utilizing waste heat - new 2"</f>
        <v>Industrial heating technology Mining SH - Heat driven heat pump utilizing waste heat - new 2</v>
      </c>
      <c r="F27" s="224" t="s">
        <v>1149</v>
      </c>
      <c r="G27" s="173" t="s">
        <v>499</v>
      </c>
      <c r="H27" s="174" t="str">
        <f>$AI$15</f>
        <v>IIDSH</v>
      </c>
      <c r="I27" s="174"/>
      <c r="J27" s="224">
        <f t="shared" ref="J27" si="4">AD27</f>
        <v>2020</v>
      </c>
      <c r="K27" s="81">
        <v>2020</v>
      </c>
      <c r="L27" s="333">
        <v>1</v>
      </c>
      <c r="M27" s="199">
        <f ca="1">VLOOKUP($AD27,INDIRECT("'"&amp;$B27&amp;"'!"&amp;"$P$39:$AD$42"),3,FALSE)</f>
        <v>1.68</v>
      </c>
      <c r="N27" s="81">
        <f ca="1">VLOOKUP($AD27,INDIRECT("'"&amp;$B27&amp;"'!"&amp;"$P$39:$AD$42"),5,FALSE)</f>
        <v>20</v>
      </c>
      <c r="O27" s="723">
        <f ca="1">VLOOKUP($AD27,INDIRECT("'"&amp;$B27&amp;"'!"&amp;"$P$39:$AD$42"),6,FALSE)/1000</f>
        <v>4.1720000000000006</v>
      </c>
      <c r="P27" s="723">
        <f ca="1">VLOOKUP($AD27,INDIRECT("'"&amp;$B27&amp;"'!"&amp;"$P$39:$AD$42"),7,FALSE)/1000</f>
        <v>1.49E-2</v>
      </c>
      <c r="Q27" s="81">
        <f ca="1">VLOOKUP($AD27,INDIRECT("'"&amp;$B27&amp;"'!"&amp;"$P$39:$AD$42"),8,FALSE)</f>
        <v>2.0901388888888892</v>
      </c>
      <c r="R27" s="81">
        <v>3.1536000000000002E-2</v>
      </c>
      <c r="S27" s="199">
        <v>0.5</v>
      </c>
      <c r="T27" s="199">
        <f ca="1">HLOOKUP($T$2,INDIRECT("'"&amp;$B27&amp;"'!"&amp;"$P$6:$AC$19"),IF(H27=$AI$13,6,IF(H27=$AI$14,9,14)),FALSE)</f>
        <v>1</v>
      </c>
      <c r="U27" s="199">
        <f ca="1">1/M27</f>
        <v>0.59523809523809523</v>
      </c>
      <c r="V27" s="199"/>
      <c r="W27" s="298"/>
      <c r="X27" s="698">
        <f ca="1">IF(VLOOKUP($AD27,INDIRECT("'"&amp;$B27&amp;"'!"&amp;"$P$39:$AD$42"),11,FALSE)="Cf. the utilized electricity",0,VLOOKUP($AD27,INDIRECT("'"&amp;$B27&amp;"'!"&amp;"$P$39:$AD$42"),11,FALSE))</f>
        <v>0</v>
      </c>
      <c r="Y27" s="81">
        <f ca="1">VLOOKUP($AD27,INDIRECT("'"&amp;$B27&amp;"'!"&amp;"$P$39:$AD$42"),12,FALSE)</f>
        <v>0</v>
      </c>
      <c r="Z27" s="81">
        <f ca="1">VLOOKUP($AD27,INDIRECT("'"&amp;$B27&amp;"'!"&amp;"$P$39:$AD$42"),13,FALSE)</f>
        <v>0</v>
      </c>
      <c r="AA27" s="81">
        <f ca="1">VLOOKUP($AD27,INDIRECT("'"&amp;$B27&amp;"'!"&amp;"$P$39:$AD$42"),14,FALSE)</f>
        <v>0</v>
      </c>
      <c r="AB27" s="81">
        <f ca="1">VLOOKUP($AD27,INDIRECT("'"&amp;$B27&amp;"'!"&amp;"$P$39:$AD$42"),15,FALSE)</f>
        <v>0</v>
      </c>
      <c r="AD27" s="81">
        <v>2020</v>
      </c>
      <c r="AE27" s="81"/>
      <c r="AF27" s="220"/>
      <c r="AI27" s="224">
        <v>6</v>
      </c>
    </row>
    <row r="28" spans="2:42" ht="15" customHeight="1">
      <c r="B28" s="357" t="s">
        <v>999</v>
      </c>
      <c r="D28" s="212"/>
      <c r="E28" s="261"/>
      <c r="F28" s="224" t="s">
        <v>1149</v>
      </c>
      <c r="G28" s="173" t="str">
        <f>$AI$20</f>
        <v>INDIWH</v>
      </c>
      <c r="H28" s="174"/>
      <c r="I28" s="174"/>
      <c r="K28" s="81"/>
      <c r="L28" s="333"/>
      <c r="M28" s="199"/>
      <c r="N28" s="81"/>
      <c r="O28" s="723"/>
      <c r="P28" s="723"/>
      <c r="Q28" s="81"/>
      <c r="R28" s="200"/>
      <c r="S28" s="772"/>
      <c r="T28" s="772"/>
      <c r="U28" s="199">
        <f ca="1">1-U27</f>
        <v>0.40476190476190477</v>
      </c>
      <c r="V28" s="772"/>
      <c r="W28" s="298"/>
      <c r="X28" s="698"/>
      <c r="Y28" s="81"/>
      <c r="Z28" s="81"/>
      <c r="AA28" s="81"/>
      <c r="AB28" s="81"/>
      <c r="AD28" s="81"/>
      <c r="AE28" s="81"/>
      <c r="AF28" s="220"/>
      <c r="AI28" s="224">
        <v>7</v>
      </c>
      <c r="AJ28" s="224" t="s">
        <v>716</v>
      </c>
    </row>
    <row r="29" spans="2:42">
      <c r="B29" s="357" t="s">
        <v>999</v>
      </c>
      <c r="D29" s="212"/>
      <c r="E29" s="212"/>
      <c r="F29" s="224" t="s">
        <v>1149</v>
      </c>
      <c r="G29" s="173" t="s">
        <v>499</v>
      </c>
      <c r="H29" s="174" t="str">
        <f>$AI$15</f>
        <v>IIDSH</v>
      </c>
      <c r="I29" s="174"/>
      <c r="J29" s="224">
        <f t="shared" ref="J29" si="5">AD29</f>
        <v>2030</v>
      </c>
      <c r="K29" s="81"/>
      <c r="L29" s="333">
        <v>1</v>
      </c>
      <c r="M29" s="199">
        <f ca="1">VLOOKUP($AD29,INDIRECT("'"&amp;$B29&amp;"'!"&amp;"$P$39:$AD$42"),3,FALSE)</f>
        <v>1.69</v>
      </c>
      <c r="N29" s="81"/>
      <c r="O29" s="723">
        <f ca="1">VLOOKUP($AD29,INDIRECT("'"&amp;$B29&amp;"'!"&amp;"$P$39:$AD$42"),6,FALSE)/1000</f>
        <v>3.7995000000000001</v>
      </c>
      <c r="P29" s="723">
        <f ca="1">VLOOKUP($AD29,INDIRECT("'"&amp;$B29&amp;"'!"&amp;"$P$39:$AD$42"),7,FALSE)/1000</f>
        <v>1.49E-2</v>
      </c>
      <c r="Q29" s="81">
        <f ca="1">VLOOKUP($AD29,INDIRECT("'"&amp;$B29&amp;"'!"&amp;"$P$39:$AD$42"),8,FALSE)</f>
        <v>2.0694444444444446</v>
      </c>
      <c r="R29" s="300"/>
      <c r="S29" s="300"/>
      <c r="T29" s="300"/>
      <c r="U29" s="199">
        <f ca="1">1/M29</f>
        <v>0.59171597633136097</v>
      </c>
      <c r="V29" s="199"/>
      <c r="W29" s="298"/>
      <c r="X29" s="698">
        <f ca="1">IF(VLOOKUP($AD29,INDIRECT("'"&amp;$B29&amp;"'!"&amp;"$P$39:$AD$42"),11,FALSE)="Cf. the utilized electricity",0,VLOOKUP($AD29,INDIRECT("'"&amp;$B29&amp;"'!"&amp;"$P$39:$AD$42"),11,FALSE))</f>
        <v>0</v>
      </c>
      <c r="Y29" s="81">
        <f ca="1">VLOOKUP($AD29,INDIRECT("'"&amp;$B29&amp;"'!"&amp;"$P$39:$AD$42"),12,FALSE)</f>
        <v>0</v>
      </c>
      <c r="Z29" s="81">
        <f ca="1">VLOOKUP($AD29,INDIRECT("'"&amp;$B29&amp;"'!"&amp;"$P$39:$AD$42"),13,FALSE)</f>
        <v>0</v>
      </c>
      <c r="AA29" s="81">
        <f ca="1">VLOOKUP($AD29,INDIRECT("'"&amp;$B29&amp;"'!"&amp;"$P$39:$AD$42"),14,FALSE)</f>
        <v>0</v>
      </c>
      <c r="AB29" s="81">
        <f ca="1">VLOOKUP($AD29,INDIRECT("'"&amp;$B29&amp;"'!"&amp;"$P$39:$AD$42"),15,FALSE)</f>
        <v>0</v>
      </c>
      <c r="AD29" s="81">
        <v>2030</v>
      </c>
      <c r="AE29" s="81"/>
      <c r="AF29" s="220"/>
      <c r="AI29" s="224">
        <v>8</v>
      </c>
    </row>
    <row r="30" spans="2:42" ht="15" customHeight="1">
      <c r="B30" s="357" t="s">
        <v>999</v>
      </c>
      <c r="D30" s="212"/>
      <c r="E30" s="212"/>
      <c r="F30" s="224" t="s">
        <v>1149</v>
      </c>
      <c r="G30" s="173" t="str">
        <f>$AI$20</f>
        <v>INDIWH</v>
      </c>
      <c r="H30" s="174"/>
      <c r="I30" s="174"/>
      <c r="K30" s="81"/>
      <c r="L30" s="333"/>
      <c r="M30" s="199"/>
      <c r="N30" s="81"/>
      <c r="O30" s="723"/>
      <c r="P30" s="723"/>
      <c r="Q30" s="81"/>
      <c r="R30" s="300"/>
      <c r="S30" s="300"/>
      <c r="T30" s="300"/>
      <c r="U30" s="199">
        <f ca="1">1-U29</f>
        <v>0.40828402366863903</v>
      </c>
      <c r="V30" s="300"/>
      <c r="W30" s="298"/>
      <c r="X30" s="698"/>
      <c r="Y30" s="81"/>
      <c r="Z30" s="81"/>
      <c r="AA30" s="81"/>
      <c r="AB30" s="81"/>
      <c r="AD30" s="81"/>
      <c r="AE30" s="81"/>
      <c r="AF30" s="220"/>
      <c r="AI30" s="224">
        <v>9</v>
      </c>
      <c r="AJ30" s="224" t="s">
        <v>717</v>
      </c>
    </row>
    <row r="31" spans="2:42">
      <c r="B31" s="357" t="s">
        <v>999</v>
      </c>
      <c r="D31" s="212"/>
      <c r="E31" s="212"/>
      <c r="F31" s="224" t="s">
        <v>1149</v>
      </c>
      <c r="G31" s="173" t="s">
        <v>499</v>
      </c>
      <c r="H31" s="174" t="str">
        <f>$AI$15</f>
        <v>IIDSH</v>
      </c>
      <c r="I31" s="174"/>
      <c r="J31" s="224">
        <f t="shared" ref="J31" si="6">AD31</f>
        <v>2050</v>
      </c>
      <c r="K31" s="81"/>
      <c r="L31" s="333">
        <v>1</v>
      </c>
      <c r="M31" s="199">
        <f ca="1">VLOOKUP($AD31,INDIRECT("'"&amp;$B31&amp;"'!"&amp;"$P$39:$AD$42"),3,FALSE)</f>
        <v>1.71</v>
      </c>
      <c r="N31" s="81"/>
      <c r="O31" s="723">
        <f ca="1">VLOOKUP($AD31,INDIRECT("'"&amp;$B31&amp;"'!"&amp;"$P$39:$AD$42"),6,FALSE)/1000</f>
        <v>3.427</v>
      </c>
      <c r="P31" s="723">
        <f ca="1">VLOOKUP($AD31,INDIRECT("'"&amp;$B31&amp;"'!"&amp;"$P$39:$AD$42"),7,FALSE)/1000</f>
        <v>1.49E-2</v>
      </c>
      <c r="Q31" s="81">
        <f ca="1">VLOOKUP($AD31,INDIRECT("'"&amp;$B31&amp;"'!"&amp;"$P$39:$AD$42"),8,FALSE)</f>
        <v>2.0487500000000001</v>
      </c>
      <c r="R31" s="300"/>
      <c r="S31" s="300"/>
      <c r="T31" s="300"/>
      <c r="U31" s="199">
        <f ca="1">1/M31</f>
        <v>0.58479532163742687</v>
      </c>
      <c r="V31" s="199"/>
      <c r="W31" s="298"/>
      <c r="X31" s="698">
        <f ca="1">IF(VLOOKUP($AD31,INDIRECT("'"&amp;$B31&amp;"'!"&amp;"$P$39:$AD$42"),11,FALSE)="Cf. the utilized electricity",0,VLOOKUP($AD31,INDIRECT("'"&amp;$B31&amp;"'!"&amp;"$P$39:$AD$42"),11,FALSE))</f>
        <v>0</v>
      </c>
      <c r="Y31" s="81">
        <f ca="1">VLOOKUP($AD31,INDIRECT("'"&amp;$B31&amp;"'!"&amp;"$P$39:$AD$42"),12,FALSE)</f>
        <v>0</v>
      </c>
      <c r="Z31" s="81">
        <f ca="1">VLOOKUP($AD31,INDIRECT("'"&amp;$B31&amp;"'!"&amp;"$P$39:$AD$42"),13,FALSE)</f>
        <v>0</v>
      </c>
      <c r="AA31" s="81">
        <f ca="1">VLOOKUP($AD31,INDIRECT("'"&amp;$B31&amp;"'!"&amp;"$P$39:$AD$42"),14,FALSE)</f>
        <v>0</v>
      </c>
      <c r="AB31" s="81">
        <f ca="1">VLOOKUP($AD31,INDIRECT("'"&amp;$B31&amp;"'!"&amp;"$P$39:$AD$42"),15,FALSE)</f>
        <v>0</v>
      </c>
      <c r="AD31" s="81">
        <v>2050</v>
      </c>
      <c r="AE31" s="81"/>
      <c r="AF31" s="220"/>
      <c r="AI31" s="224">
        <v>10</v>
      </c>
    </row>
    <row r="32" spans="2:42">
      <c r="B32" s="357" t="s">
        <v>999</v>
      </c>
      <c r="D32" s="212"/>
      <c r="E32" s="212"/>
      <c r="F32" s="224" t="s">
        <v>1149</v>
      </c>
      <c r="G32" s="173" t="str">
        <f>$AI$20</f>
        <v>INDIWH</v>
      </c>
      <c r="H32" s="174"/>
      <c r="I32" s="174"/>
      <c r="K32" s="81"/>
      <c r="L32" s="333"/>
      <c r="M32" s="199"/>
      <c r="N32" s="81"/>
      <c r="O32" s="723"/>
      <c r="P32" s="723"/>
      <c r="Q32" s="81"/>
      <c r="R32" s="300"/>
      <c r="S32" s="300"/>
      <c r="T32" s="300"/>
      <c r="U32" s="199">
        <f ca="1">1-U31</f>
        <v>0.41520467836257313</v>
      </c>
      <c r="V32" s="300"/>
      <c r="W32" s="298"/>
      <c r="X32" s="698"/>
      <c r="Y32" s="81"/>
      <c r="Z32" s="81"/>
      <c r="AA32" s="81"/>
      <c r="AB32" s="81"/>
      <c r="AD32" s="81"/>
      <c r="AE32" s="81"/>
      <c r="AF32" s="220"/>
      <c r="AI32" s="224">
        <v>11</v>
      </c>
      <c r="AJ32" s="224" t="s">
        <v>718</v>
      </c>
    </row>
    <row r="33" spans="2:36">
      <c r="B33" s="357" t="s">
        <v>1000</v>
      </c>
      <c r="D33" s="212" t="str">
        <f>"IND"&amp;RIGHT(H33,4)&amp;RIGHT(G33,3)&amp;"N"&amp;RIGHT(E33,1)</f>
        <v>INDIDPHELCN3</v>
      </c>
      <c r="E33" s="261" t="str">
        <f>"Industrial heating technology "&amp;$AJ$12&amp;" "&amp;RIGHT(H33,2)&amp;" - High Temp abs. Heat pump utilizing waste heat - new 3"</f>
        <v>Industrial heating technology Mining PH - High Temp abs. Heat pump utilizing waste heat - new 3</v>
      </c>
      <c r="F33" s="224" t="s">
        <v>1149</v>
      </c>
      <c r="G33" s="173" t="s">
        <v>499</v>
      </c>
      <c r="H33" s="174" t="str">
        <f>$AI$14</f>
        <v>IIDPH</v>
      </c>
      <c r="I33" s="174"/>
      <c r="J33" s="224">
        <f t="shared" ref="J33" si="7">AD33</f>
        <v>2020</v>
      </c>
      <c r="K33" s="81">
        <v>2020</v>
      </c>
      <c r="L33" s="333">
        <v>1</v>
      </c>
      <c r="M33" s="199">
        <f ca="1">VLOOKUP($AD33,INDIRECT("'"&amp;$B33&amp;"'!"&amp;"$P$39:$AD$42"),3,FALSE)</f>
        <v>2.75</v>
      </c>
      <c r="N33" s="81">
        <f ca="1">VLOOKUP($AD33,INDIRECT("'"&amp;$B33&amp;"'!"&amp;"$P$39:$AD$42"),5,FALSE)</f>
        <v>20</v>
      </c>
      <c r="O33" s="723">
        <f ca="1">VLOOKUP($AD33,INDIRECT("'"&amp;$B33&amp;"'!"&amp;"$P$39:$AD$42"),6,FALSE)/1000</f>
        <v>7.1394840000000004</v>
      </c>
      <c r="P33" s="723">
        <f ca="1">VLOOKUP($AD33,INDIRECT("'"&amp;$B33&amp;"'!"&amp;"$P$39:$AD$42"),7,FALSE)/1000</f>
        <v>7.2264999999999994E-3</v>
      </c>
      <c r="Q33" s="81">
        <f ca="1">VLOOKUP($AD33,INDIRECT("'"&amp;$B33&amp;"'!"&amp;"$P$39:$AD$42"),8,FALSE)</f>
        <v>6.7463888888888883</v>
      </c>
      <c r="R33" s="81">
        <v>3.1536000000000002E-2</v>
      </c>
      <c r="S33" s="199">
        <v>0.5</v>
      </c>
      <c r="T33" s="199">
        <f ca="1">HLOOKUP($T$2,INDIRECT("'"&amp;$B33&amp;"'!"&amp;"$P$6:$AC$19"),IF(H33=$AI$13,6,IF(H33=$AI$14,9,14)),FALSE)-T9</f>
        <v>0</v>
      </c>
      <c r="U33" s="199">
        <f ca="1">1/M33</f>
        <v>0.36363636363636365</v>
      </c>
      <c r="V33" s="199"/>
      <c r="W33" s="298"/>
      <c r="X33" s="698">
        <f ca="1">IF(VLOOKUP($AD33,INDIRECT("'"&amp;$B33&amp;"'!"&amp;"$P$39:$AD$42"),11,FALSE)="Cf. the utilized electricity",0,VLOOKUP($AD33,INDIRECT("'"&amp;$B33&amp;"'!"&amp;"$P$39:$AD$42"),11,FALSE))</f>
        <v>0</v>
      </c>
      <c r="Y33" s="81">
        <f ca="1">VLOOKUP($AD33,INDIRECT("'"&amp;$B33&amp;"'!"&amp;"$P$39:$AD$42"),12,FALSE)</f>
        <v>0</v>
      </c>
      <c r="Z33" s="81">
        <f ca="1">VLOOKUP($AD33,INDIRECT("'"&amp;$B33&amp;"'!"&amp;"$P$39:$AD$42"),13,FALSE)</f>
        <v>0</v>
      </c>
      <c r="AA33" s="81">
        <f ca="1">VLOOKUP($AD33,INDIRECT("'"&amp;$B33&amp;"'!"&amp;"$P$39:$AD$42"),14,FALSE)</f>
        <v>0</v>
      </c>
      <c r="AB33" s="81">
        <f ca="1">VLOOKUP($AD33,INDIRECT("'"&amp;$B33&amp;"'!"&amp;"$P$39:$AD$42"),15,FALSE)</f>
        <v>0</v>
      </c>
      <c r="AD33" s="81">
        <v>2020</v>
      </c>
      <c r="AE33" s="81"/>
      <c r="AF33" s="220"/>
      <c r="AI33" s="224">
        <v>12</v>
      </c>
    </row>
    <row r="34" spans="2:36">
      <c r="B34" s="357" t="s">
        <v>1000</v>
      </c>
      <c r="D34" s="212"/>
      <c r="E34" s="261"/>
      <c r="F34" s="224" t="s">
        <v>1149</v>
      </c>
      <c r="G34" s="173" t="str">
        <f>$AI$20</f>
        <v>INDIWH</v>
      </c>
      <c r="H34" s="174"/>
      <c r="I34" s="174"/>
      <c r="K34" s="81"/>
      <c r="L34" s="333"/>
      <c r="M34" s="199"/>
      <c r="N34" s="81"/>
      <c r="O34" s="723"/>
      <c r="P34" s="723"/>
      <c r="Q34" s="81"/>
      <c r="R34" s="200"/>
      <c r="S34" s="772"/>
      <c r="T34" s="772"/>
      <c r="U34" s="199">
        <f ca="1">1-U33</f>
        <v>0.63636363636363635</v>
      </c>
      <c r="V34" s="772"/>
      <c r="W34" s="298"/>
      <c r="X34" s="698"/>
      <c r="Y34" s="81"/>
      <c r="Z34" s="81"/>
      <c r="AA34" s="81"/>
      <c r="AB34" s="81"/>
      <c r="AD34" s="81"/>
      <c r="AE34" s="81"/>
      <c r="AF34" s="220"/>
      <c r="AI34" s="224">
        <v>13</v>
      </c>
      <c r="AJ34" s="224" t="s">
        <v>719</v>
      </c>
    </row>
    <row r="35" spans="2:36">
      <c r="B35" s="357" t="s">
        <v>1000</v>
      </c>
      <c r="D35" s="212"/>
      <c r="E35" s="212"/>
      <c r="F35" s="224" t="s">
        <v>1149</v>
      </c>
      <c r="G35" s="173" t="s">
        <v>499</v>
      </c>
      <c r="H35" s="174" t="str">
        <f>$AI$14</f>
        <v>IIDPH</v>
      </c>
      <c r="I35" s="174"/>
      <c r="J35" s="224">
        <f t="shared" ref="J35" si="8">AD35</f>
        <v>2030</v>
      </c>
      <c r="K35" s="81"/>
      <c r="L35" s="333">
        <v>1</v>
      </c>
      <c r="M35" s="199">
        <f ca="1">VLOOKUP($AD35,INDIRECT("'"&amp;$B35&amp;"'!"&amp;"$P$39:$AD$42"),3,FALSE)</f>
        <v>2.875</v>
      </c>
      <c r="N35" s="81"/>
      <c r="O35" s="723">
        <f ca="1">VLOOKUP($AD35,INDIRECT("'"&amp;$B35&amp;"'!"&amp;"$P$39:$AD$42"),6,FALSE)/1000</f>
        <v>6.3822660000000013</v>
      </c>
      <c r="P35" s="723">
        <f ca="1">VLOOKUP($AD35,INDIRECT("'"&amp;$B35&amp;"'!"&amp;"$P$39:$AD$42"),7,FALSE)/1000</f>
        <v>6.4814999999999994E-3</v>
      </c>
      <c r="Q35" s="81">
        <f ca="1">VLOOKUP($AD35,INDIRECT("'"&amp;$B35&amp;"'!"&amp;"$P$39:$AD$42"),8,FALSE)</f>
        <v>6.6222222222222227</v>
      </c>
      <c r="R35" s="300"/>
      <c r="S35" s="300"/>
      <c r="T35" s="300"/>
      <c r="U35" s="199">
        <f ca="1">1/M35</f>
        <v>0.34782608695652173</v>
      </c>
      <c r="V35" s="199"/>
      <c r="W35" s="298"/>
      <c r="X35" s="698">
        <f ca="1">IF(VLOOKUP($AD35,INDIRECT("'"&amp;$B35&amp;"'!"&amp;"$P$39:$AD$42"),11,FALSE)="Cf. the utilized electricity",0,VLOOKUP($AD35,INDIRECT("'"&amp;$B35&amp;"'!"&amp;"$P$39:$AD$42"),11,FALSE))</f>
        <v>0</v>
      </c>
      <c r="Y35" s="81">
        <f ca="1">VLOOKUP($AD35,INDIRECT("'"&amp;$B35&amp;"'!"&amp;"$P$39:$AD$42"),12,FALSE)</f>
        <v>0</v>
      </c>
      <c r="Z35" s="81">
        <f ca="1">VLOOKUP($AD35,INDIRECT("'"&amp;$B35&amp;"'!"&amp;"$P$39:$AD$42"),13,FALSE)</f>
        <v>0</v>
      </c>
      <c r="AA35" s="81">
        <f ca="1">VLOOKUP($AD35,INDIRECT("'"&amp;$B35&amp;"'!"&amp;"$P$39:$AD$42"),14,FALSE)</f>
        <v>0</v>
      </c>
      <c r="AB35" s="81">
        <f ca="1">VLOOKUP($AD35,INDIRECT("'"&amp;$B35&amp;"'!"&amp;"$P$39:$AD$42"),15,FALSE)</f>
        <v>0</v>
      </c>
      <c r="AD35" s="81">
        <v>2030</v>
      </c>
      <c r="AE35" s="81"/>
      <c r="AF35" s="220"/>
      <c r="AI35" s="224">
        <v>14</v>
      </c>
    </row>
    <row r="36" spans="2:36">
      <c r="B36" s="357" t="s">
        <v>1000</v>
      </c>
      <c r="D36" s="212"/>
      <c r="E36" s="212"/>
      <c r="F36" s="224" t="s">
        <v>1149</v>
      </c>
      <c r="G36" s="173" t="str">
        <f>$AI$20</f>
        <v>INDIWH</v>
      </c>
      <c r="H36" s="174"/>
      <c r="I36" s="174"/>
      <c r="K36" s="81"/>
      <c r="L36" s="333"/>
      <c r="M36" s="199"/>
      <c r="N36" s="81"/>
      <c r="O36" s="723"/>
      <c r="P36" s="723"/>
      <c r="Q36" s="81"/>
      <c r="R36" s="300"/>
      <c r="S36" s="300"/>
      <c r="T36" s="300"/>
      <c r="U36" s="199">
        <f ca="1">1-U35</f>
        <v>0.65217391304347827</v>
      </c>
      <c r="V36" s="300"/>
      <c r="W36" s="298"/>
      <c r="X36" s="698"/>
      <c r="Y36" s="81"/>
      <c r="Z36" s="81"/>
      <c r="AA36" s="81"/>
      <c r="AB36" s="81"/>
      <c r="AD36" s="81"/>
      <c r="AE36" s="81"/>
      <c r="AF36" s="220"/>
    </row>
    <row r="37" spans="2:36">
      <c r="B37" s="357" t="s">
        <v>1000</v>
      </c>
      <c r="D37" s="212"/>
      <c r="E37" s="212"/>
      <c r="F37" s="224" t="s">
        <v>1149</v>
      </c>
      <c r="G37" s="173" t="s">
        <v>499</v>
      </c>
      <c r="H37" s="174" t="str">
        <f>$AI$14</f>
        <v>IIDPH</v>
      </c>
      <c r="I37" s="174"/>
      <c r="J37" s="224">
        <f t="shared" ref="J37" si="9">AD37</f>
        <v>2050</v>
      </c>
      <c r="K37" s="81"/>
      <c r="L37" s="333">
        <v>1</v>
      </c>
      <c r="M37" s="199">
        <f ca="1">VLOOKUP($AD37,INDIRECT("'"&amp;$B37&amp;"'!"&amp;"$P$39:$AD$42"),3,FALSE)</f>
        <v>3.0249999999999999</v>
      </c>
      <c r="N37" s="81"/>
      <c r="O37" s="723">
        <f ca="1">VLOOKUP($AD37,INDIRECT("'"&amp;$B37&amp;"'!"&amp;"$P$39:$AD$42"),6,FALSE)/1000</f>
        <v>5.7365000000000004</v>
      </c>
      <c r="P37" s="723">
        <f ca="1">VLOOKUP($AD37,INDIRECT("'"&amp;$B37&amp;"'!"&amp;"$P$39:$AD$42"),7,FALSE)/1000</f>
        <v>5.3639999999999998E-3</v>
      </c>
      <c r="Q37" s="81">
        <f ca="1">VLOOKUP($AD37,INDIRECT("'"&amp;$B37&amp;"'!"&amp;"$P$39:$AD$42"),8,FALSE)</f>
        <v>6.4566666666666661</v>
      </c>
      <c r="R37" s="300"/>
      <c r="S37" s="300"/>
      <c r="T37" s="300"/>
      <c r="U37" s="199">
        <f ca="1">1/M37</f>
        <v>0.33057851239669422</v>
      </c>
      <c r="V37" s="199"/>
      <c r="W37" s="298"/>
      <c r="X37" s="698">
        <f ca="1">IF(VLOOKUP($AD37,INDIRECT("'"&amp;$B37&amp;"'!"&amp;"$P$39:$AD$42"),11,FALSE)="Cf. the utilized electricity",0,VLOOKUP($AD37,INDIRECT("'"&amp;$B37&amp;"'!"&amp;"$P$39:$AD$42"),11,FALSE))</f>
        <v>0</v>
      </c>
      <c r="Y37" s="81">
        <f ca="1">VLOOKUP($AD37,INDIRECT("'"&amp;$B37&amp;"'!"&amp;"$P$39:$AD$42"),12,FALSE)</f>
        <v>0</v>
      </c>
      <c r="Z37" s="81">
        <f ca="1">VLOOKUP($AD37,INDIRECT("'"&amp;$B37&amp;"'!"&amp;"$P$39:$AD$42"),13,FALSE)</f>
        <v>0</v>
      </c>
      <c r="AA37" s="81">
        <f ca="1">VLOOKUP($AD37,INDIRECT("'"&amp;$B37&amp;"'!"&amp;"$P$39:$AD$42"),14,FALSE)</f>
        <v>0</v>
      </c>
      <c r="AB37" s="81">
        <f ca="1">VLOOKUP($AD37,INDIRECT("'"&amp;$B37&amp;"'!"&amp;"$P$39:$AD$42"),15,FALSE)</f>
        <v>0</v>
      </c>
      <c r="AD37" s="81">
        <v>2050</v>
      </c>
      <c r="AE37" s="81"/>
      <c r="AF37" s="220"/>
    </row>
    <row r="38" spans="2:36">
      <c r="B38" s="357" t="s">
        <v>1000</v>
      </c>
      <c r="D38" s="212"/>
      <c r="E38" s="212"/>
      <c r="F38" s="224" t="s">
        <v>1149</v>
      </c>
      <c r="G38" s="173" t="str">
        <f>$AI$20</f>
        <v>INDIWH</v>
      </c>
      <c r="H38" s="174"/>
      <c r="I38" s="174"/>
      <c r="K38" s="81"/>
      <c r="L38" s="333"/>
      <c r="M38" s="199"/>
      <c r="N38" s="81"/>
      <c r="O38" s="723"/>
      <c r="P38" s="723"/>
      <c r="Q38" s="81"/>
      <c r="R38" s="300"/>
      <c r="S38" s="300"/>
      <c r="T38" s="300"/>
      <c r="U38" s="199">
        <f ca="1">1-U37</f>
        <v>0.66942148760330578</v>
      </c>
      <c r="V38" s="300"/>
      <c r="W38" s="298"/>
      <c r="X38" s="698"/>
      <c r="Y38" s="81"/>
      <c r="Z38" s="81"/>
      <c r="AA38" s="81"/>
      <c r="AB38" s="81"/>
      <c r="AD38" s="81"/>
      <c r="AE38" s="81"/>
      <c r="AF38" s="220"/>
    </row>
    <row r="39" spans="2:36">
      <c r="B39" s="357" t="s">
        <v>1000</v>
      </c>
      <c r="D39" s="212" t="str">
        <f>"IND"&amp;RIGHT(H39,4)&amp;RIGHT(G39,3)&amp;"N"&amp;RIGHT(E39,1)</f>
        <v>INDIDSHELCN3</v>
      </c>
      <c r="E39" s="261" t="str">
        <f>"Industrial heating technology "&amp;$AJ$12&amp;" "&amp;RIGHT(H39,2)&amp;" - High Temp abs. Heat pump utilizing waste heat - new 3"</f>
        <v>Industrial heating technology Mining SH - High Temp abs. Heat pump utilizing waste heat - new 3</v>
      </c>
      <c r="F39" s="224" t="s">
        <v>1149</v>
      </c>
      <c r="G39" s="173" t="s">
        <v>499</v>
      </c>
      <c r="H39" s="174" t="str">
        <f>$AI$15</f>
        <v>IIDSH</v>
      </c>
      <c r="I39" s="174"/>
      <c r="J39" s="224">
        <f t="shared" ref="J39" si="10">AD39</f>
        <v>2020</v>
      </c>
      <c r="K39" s="81">
        <v>2020</v>
      </c>
      <c r="L39" s="333">
        <v>1</v>
      </c>
      <c r="M39" s="199">
        <f ca="1">VLOOKUP($AD39,INDIRECT("'"&amp;$B39&amp;"'!"&amp;"$P$39:$AD$42"),3,FALSE)</f>
        <v>2.75</v>
      </c>
      <c r="N39" s="81">
        <f ca="1">VLOOKUP($AD39,INDIRECT("'"&amp;$B39&amp;"'!"&amp;"$P$39:$AD$42"),5,FALSE)</f>
        <v>20</v>
      </c>
      <c r="O39" s="723">
        <f ca="1">VLOOKUP($AD39,INDIRECT("'"&amp;$B39&amp;"'!"&amp;"$P$39:$AD$42"),6,FALSE)/1000</f>
        <v>7.1394840000000004</v>
      </c>
      <c r="P39" s="723">
        <f ca="1">VLOOKUP($AD39,INDIRECT("'"&amp;$B39&amp;"'!"&amp;"$P$39:$AD$42"),7,FALSE)/1000</f>
        <v>7.2264999999999994E-3</v>
      </c>
      <c r="Q39" s="81">
        <f ca="1">VLOOKUP($AD39,INDIRECT("'"&amp;$B39&amp;"'!"&amp;"$P$39:$AD$42"),8,FALSE)</f>
        <v>6.7463888888888883</v>
      </c>
      <c r="R39" s="81">
        <v>3.1536000000000002E-2</v>
      </c>
      <c r="S39" s="199">
        <v>0.5</v>
      </c>
      <c r="T39" s="199">
        <f ca="1">HLOOKUP($T$2,INDIRECT("'"&amp;$B39&amp;"'!"&amp;"$P$6:$AC$19"),IF(H39=$AI$13,6,IF(H39=$AI$14,9,14)),FALSE)</f>
        <v>1</v>
      </c>
      <c r="U39" s="199">
        <f ca="1">1/M39</f>
        <v>0.36363636363636365</v>
      </c>
      <c r="V39" s="199"/>
      <c r="W39" s="298"/>
      <c r="X39" s="698">
        <f ca="1">IF(VLOOKUP($AD39,INDIRECT("'"&amp;$B39&amp;"'!"&amp;"$P$39:$AD$42"),11,FALSE)="Cf. the utilized electricity",0,VLOOKUP($AD39,INDIRECT("'"&amp;$B39&amp;"'!"&amp;"$P$39:$AD$42"),11,FALSE))</f>
        <v>0</v>
      </c>
      <c r="Y39" s="81">
        <f ca="1">VLOOKUP($AD39,INDIRECT("'"&amp;$B39&amp;"'!"&amp;"$P$39:$AD$42"),12,FALSE)</f>
        <v>0</v>
      </c>
      <c r="Z39" s="81">
        <f ca="1">VLOOKUP($AD39,INDIRECT("'"&amp;$B39&amp;"'!"&amp;"$P$39:$AD$42"),13,FALSE)</f>
        <v>0</v>
      </c>
      <c r="AA39" s="81">
        <f ca="1">VLOOKUP($AD39,INDIRECT("'"&amp;$B39&amp;"'!"&amp;"$P$39:$AD$42"),14,FALSE)</f>
        <v>0</v>
      </c>
      <c r="AB39" s="81">
        <f ca="1">VLOOKUP($AD39,INDIRECT("'"&amp;$B39&amp;"'!"&amp;"$P$39:$AD$42"),15,FALSE)</f>
        <v>0</v>
      </c>
      <c r="AD39" s="81">
        <v>2020</v>
      </c>
      <c r="AE39" s="81"/>
      <c r="AF39" s="220"/>
    </row>
    <row r="40" spans="2:36">
      <c r="B40" s="357" t="s">
        <v>1000</v>
      </c>
      <c r="D40" s="212"/>
      <c r="E40" s="261"/>
      <c r="F40" s="224" t="s">
        <v>1149</v>
      </c>
      <c r="G40" s="173" t="str">
        <f>$AI$20</f>
        <v>INDIWH</v>
      </c>
      <c r="H40" s="174"/>
      <c r="I40" s="174"/>
      <c r="K40" s="81"/>
      <c r="L40" s="333"/>
      <c r="M40" s="199"/>
      <c r="N40" s="81"/>
      <c r="O40" s="723"/>
      <c r="P40" s="723"/>
      <c r="Q40" s="81"/>
      <c r="R40" s="200"/>
      <c r="S40" s="772"/>
      <c r="T40" s="772"/>
      <c r="U40" s="199">
        <f ca="1">1-U39</f>
        <v>0.63636363636363635</v>
      </c>
      <c r="V40" s="772"/>
      <c r="W40" s="298"/>
      <c r="X40" s="698"/>
      <c r="Y40" s="81"/>
      <c r="Z40" s="81"/>
      <c r="AA40" s="81"/>
      <c r="AB40" s="81"/>
      <c r="AD40" s="81"/>
      <c r="AE40" s="81"/>
      <c r="AF40" s="220"/>
    </row>
    <row r="41" spans="2:36">
      <c r="B41" s="357" t="s">
        <v>1000</v>
      </c>
      <c r="D41" s="212"/>
      <c r="E41" s="212"/>
      <c r="F41" s="224" t="s">
        <v>1149</v>
      </c>
      <c r="G41" s="173" t="s">
        <v>499</v>
      </c>
      <c r="H41" s="174" t="str">
        <f>$AI$15</f>
        <v>IIDSH</v>
      </c>
      <c r="I41" s="174"/>
      <c r="J41" s="224">
        <f t="shared" ref="J41" si="11">AD41</f>
        <v>2030</v>
      </c>
      <c r="K41" s="81"/>
      <c r="L41" s="333">
        <v>1</v>
      </c>
      <c r="M41" s="199">
        <f ca="1">VLOOKUP($AD41,INDIRECT("'"&amp;$B41&amp;"'!"&amp;"$P$39:$AD$42"),3,FALSE)</f>
        <v>2.875</v>
      </c>
      <c r="N41" s="81"/>
      <c r="O41" s="723">
        <f ca="1">VLOOKUP($AD41,INDIRECT("'"&amp;$B41&amp;"'!"&amp;"$P$39:$AD$42"),6,FALSE)/1000</f>
        <v>6.3822660000000013</v>
      </c>
      <c r="P41" s="723">
        <f ca="1">VLOOKUP($AD41,INDIRECT("'"&amp;$B41&amp;"'!"&amp;"$P$39:$AD$42"),7,FALSE)/1000</f>
        <v>6.4814999999999994E-3</v>
      </c>
      <c r="Q41" s="81">
        <f ca="1">VLOOKUP($AD41,INDIRECT("'"&amp;$B41&amp;"'!"&amp;"$P$39:$AD$42"),8,FALSE)</f>
        <v>6.6222222222222227</v>
      </c>
      <c r="R41" s="300"/>
      <c r="S41" s="300"/>
      <c r="T41" s="300"/>
      <c r="U41" s="199">
        <f ca="1">1/M41</f>
        <v>0.34782608695652173</v>
      </c>
      <c r="V41" s="199"/>
      <c r="W41" s="298"/>
      <c r="X41" s="698">
        <f ca="1">IF(VLOOKUP($AD41,INDIRECT("'"&amp;$B41&amp;"'!"&amp;"$P$39:$AD$42"),11,FALSE)="Cf. the utilized electricity",0,VLOOKUP($AD41,INDIRECT("'"&amp;$B41&amp;"'!"&amp;"$P$39:$AD$42"),11,FALSE))</f>
        <v>0</v>
      </c>
      <c r="Y41" s="81">
        <f ca="1">VLOOKUP($AD41,INDIRECT("'"&amp;$B41&amp;"'!"&amp;"$P$39:$AD$42"),12,FALSE)</f>
        <v>0</v>
      </c>
      <c r="Z41" s="81">
        <f ca="1">VLOOKUP($AD41,INDIRECT("'"&amp;$B41&amp;"'!"&amp;"$P$39:$AD$42"),13,FALSE)</f>
        <v>0</v>
      </c>
      <c r="AA41" s="81">
        <f ca="1">VLOOKUP($AD41,INDIRECT("'"&amp;$B41&amp;"'!"&amp;"$P$39:$AD$42"),14,FALSE)</f>
        <v>0</v>
      </c>
      <c r="AB41" s="81">
        <f ca="1">VLOOKUP($AD41,INDIRECT("'"&amp;$B41&amp;"'!"&amp;"$P$39:$AD$42"),15,FALSE)</f>
        <v>0</v>
      </c>
      <c r="AD41" s="81">
        <v>2030</v>
      </c>
      <c r="AE41" s="81"/>
      <c r="AF41" s="220"/>
    </row>
    <row r="42" spans="2:36">
      <c r="B42" s="357" t="s">
        <v>1000</v>
      </c>
      <c r="D42" s="212"/>
      <c r="E42" s="212"/>
      <c r="F42" s="224" t="s">
        <v>1149</v>
      </c>
      <c r="G42" s="173" t="str">
        <f>$AI$20</f>
        <v>INDIWH</v>
      </c>
      <c r="H42" s="174"/>
      <c r="I42" s="174"/>
      <c r="K42" s="81"/>
      <c r="L42" s="333"/>
      <c r="M42" s="199"/>
      <c r="N42" s="81"/>
      <c r="O42" s="723"/>
      <c r="P42" s="723"/>
      <c r="Q42" s="81"/>
      <c r="R42" s="300"/>
      <c r="S42" s="300"/>
      <c r="T42" s="300"/>
      <c r="U42" s="199">
        <f ca="1">1-U41</f>
        <v>0.65217391304347827</v>
      </c>
      <c r="V42" s="300"/>
      <c r="W42" s="298"/>
      <c r="X42" s="698"/>
      <c r="Y42" s="81"/>
      <c r="Z42" s="81"/>
      <c r="AA42" s="81"/>
      <c r="AB42" s="81"/>
      <c r="AD42" s="81"/>
      <c r="AE42" s="81"/>
      <c r="AF42" s="220"/>
    </row>
    <row r="43" spans="2:36">
      <c r="B43" s="357" t="s">
        <v>1000</v>
      </c>
      <c r="D43" s="212"/>
      <c r="E43" s="212"/>
      <c r="F43" s="224" t="s">
        <v>1149</v>
      </c>
      <c r="G43" s="173" t="s">
        <v>499</v>
      </c>
      <c r="H43" s="174" t="str">
        <f>$AI$15</f>
        <v>IIDSH</v>
      </c>
      <c r="I43" s="174"/>
      <c r="J43" s="224">
        <f t="shared" ref="J43" si="12">AD43</f>
        <v>2050</v>
      </c>
      <c r="K43" s="81"/>
      <c r="L43" s="333">
        <v>1</v>
      </c>
      <c r="M43" s="199">
        <f ca="1">VLOOKUP($AD43,INDIRECT("'"&amp;$B43&amp;"'!"&amp;"$P$39:$AD$42"),3,FALSE)</f>
        <v>3.0249999999999999</v>
      </c>
      <c r="N43" s="81"/>
      <c r="O43" s="723">
        <f ca="1">VLOOKUP($AD43,INDIRECT("'"&amp;$B43&amp;"'!"&amp;"$P$39:$AD$42"),6,FALSE)/1000</f>
        <v>5.7365000000000004</v>
      </c>
      <c r="P43" s="723">
        <f ca="1">VLOOKUP($AD43,INDIRECT("'"&amp;$B43&amp;"'!"&amp;"$P$39:$AD$42"),7,FALSE)/1000</f>
        <v>5.3639999999999998E-3</v>
      </c>
      <c r="Q43" s="81">
        <f ca="1">VLOOKUP($AD43,INDIRECT("'"&amp;$B43&amp;"'!"&amp;"$P$39:$AD$42"),8,FALSE)</f>
        <v>6.4566666666666661</v>
      </c>
      <c r="R43" s="300"/>
      <c r="S43" s="300"/>
      <c r="T43" s="300"/>
      <c r="U43" s="199">
        <f ca="1">1/M43</f>
        <v>0.33057851239669422</v>
      </c>
      <c r="V43" s="199"/>
      <c r="W43" s="298"/>
      <c r="X43" s="698">
        <f ca="1">IF(VLOOKUP($AD43,INDIRECT("'"&amp;$B43&amp;"'!"&amp;"$P$39:$AD$42"),11,FALSE)="Cf. the utilized electricity",0,VLOOKUP($AD43,INDIRECT("'"&amp;$B43&amp;"'!"&amp;"$P$39:$AD$42"),11,FALSE))</f>
        <v>0</v>
      </c>
      <c r="Y43" s="81">
        <f ca="1">VLOOKUP($AD43,INDIRECT("'"&amp;$B43&amp;"'!"&amp;"$P$39:$AD$42"),12,FALSE)</f>
        <v>0</v>
      </c>
      <c r="Z43" s="81">
        <f ca="1">VLOOKUP($AD43,INDIRECT("'"&amp;$B43&amp;"'!"&amp;"$P$39:$AD$42"),13,FALSE)</f>
        <v>0</v>
      </c>
      <c r="AA43" s="81">
        <f ca="1">VLOOKUP($AD43,INDIRECT("'"&amp;$B43&amp;"'!"&amp;"$P$39:$AD$42"),14,FALSE)</f>
        <v>0</v>
      </c>
      <c r="AB43" s="81">
        <f ca="1">VLOOKUP($AD43,INDIRECT("'"&amp;$B43&amp;"'!"&amp;"$P$39:$AD$42"),15,FALSE)</f>
        <v>0</v>
      </c>
      <c r="AD43" s="81">
        <v>2050</v>
      </c>
      <c r="AE43" s="81"/>
      <c r="AF43" s="220"/>
    </row>
    <row r="44" spans="2:36">
      <c r="B44" s="357" t="s">
        <v>1000</v>
      </c>
      <c r="D44" s="212"/>
      <c r="E44" s="212"/>
      <c r="F44" s="224" t="s">
        <v>1149</v>
      </c>
      <c r="G44" s="173" t="str">
        <f>$AI$20</f>
        <v>INDIWH</v>
      </c>
      <c r="H44" s="174"/>
      <c r="I44" s="174"/>
      <c r="K44" s="81"/>
      <c r="L44" s="333"/>
      <c r="M44" s="199"/>
      <c r="N44" s="81"/>
      <c r="O44" s="723"/>
      <c r="P44" s="723"/>
      <c r="Q44" s="81"/>
      <c r="R44" s="300"/>
      <c r="S44" s="300"/>
      <c r="T44" s="300"/>
      <c r="U44" s="199">
        <f ca="1">1-U43</f>
        <v>0.66942148760330578</v>
      </c>
      <c r="V44" s="300"/>
      <c r="W44" s="298"/>
      <c r="X44" s="698"/>
      <c r="Y44" s="81"/>
      <c r="Z44" s="81"/>
      <c r="AA44" s="81"/>
      <c r="AB44" s="81"/>
      <c r="AD44" s="81"/>
      <c r="AE44" s="81"/>
      <c r="AF44" s="220"/>
    </row>
    <row r="45" spans="2:36">
      <c r="B45" s="357" t="s">
        <v>1001</v>
      </c>
      <c r="D45" s="212" t="str">
        <f>"IND"&amp;RIGHT(H45,4)&amp;RIGHT(G45,3)&amp;"N"&amp;RIGHT(E45,1)</f>
        <v>INDIDPHELCN4</v>
      </c>
      <c r="E45" s="261" t="str">
        <f>"Industrial heating technology "&amp;$AJ$12&amp;" "&amp;RIGHT(H45,2)&amp;" - Booster Heat pump utilizing waste heat - new 4"</f>
        <v>Industrial heating technology Mining PH - Booster Heat pump utilizing waste heat - new 4</v>
      </c>
      <c r="F45" s="224" t="s">
        <v>1149</v>
      </c>
      <c r="G45" s="173" t="s">
        <v>499</v>
      </c>
      <c r="H45" s="174" t="str">
        <f>$AI$14</f>
        <v>IIDPH</v>
      </c>
      <c r="I45" s="174"/>
      <c r="J45" s="224">
        <f t="shared" ref="J45" si="13">AD45</f>
        <v>2020</v>
      </c>
      <c r="K45" s="81">
        <v>2020</v>
      </c>
      <c r="L45" s="333">
        <v>1</v>
      </c>
      <c r="M45" s="199">
        <f ca="1">VLOOKUP($AD45,INDIRECT("'"&amp;$B45&amp;"'!"&amp;"$P$39:$AD$42"),3,FALSE)</f>
        <v>1.93</v>
      </c>
      <c r="N45" s="81">
        <f ca="1">VLOOKUP($AD45,INDIRECT("'"&amp;$B45&amp;"'!"&amp;"$P$39:$AD$42"),5,FALSE)</f>
        <v>20</v>
      </c>
      <c r="O45" s="723">
        <f ca="1">VLOOKUP($AD45,INDIRECT("'"&amp;$B45&amp;"'!"&amp;"$P$39:$AD$42"),6,FALSE)/1000</f>
        <v>12.158890687341184</v>
      </c>
      <c r="P45" s="723">
        <f ca="1">VLOOKUP($AD45,INDIRECT("'"&amp;$B45&amp;"'!"&amp;"$P$39:$AD$42"),7,FALSE)/1000</f>
        <v>1.49E-2</v>
      </c>
      <c r="Q45" s="81">
        <f ca="1">VLOOKUP($AD45,INDIRECT("'"&amp;$B45&amp;"'!"&amp;"$P$39:$AD$42"),8,FALSE)</f>
        <v>7.1188888888888897</v>
      </c>
      <c r="R45" s="81">
        <v>3.1536000000000002E-2</v>
      </c>
      <c r="S45" s="199">
        <v>0.5</v>
      </c>
      <c r="T45" s="199">
        <f ca="1">HLOOKUP($T$2,INDIRECT("'"&amp;$B45&amp;"'!"&amp;"$P$6:$AC$19"),IF(H45=$AI$13,6,IF(H45=$AI$14,9,14)),FALSE)-T9</f>
        <v>0</v>
      </c>
      <c r="U45" s="199">
        <f ca="1">1/M45</f>
        <v>0.5181347150259068</v>
      </c>
      <c r="V45" s="199"/>
      <c r="W45" s="298"/>
      <c r="X45" s="698">
        <f ca="1">IF(VLOOKUP($AD45,INDIRECT("'"&amp;$B45&amp;"'!"&amp;"$P$39:$AD$42"),11,FALSE)="Cf. the utilized electricity",0,VLOOKUP($AD45,INDIRECT("'"&amp;$B45&amp;"'!"&amp;"$P$39:$AD$42"),11,FALSE))</f>
        <v>0</v>
      </c>
      <c r="Y45" s="81">
        <f ca="1">VLOOKUP($AD45,INDIRECT("'"&amp;$B45&amp;"'!"&amp;"$P$39:$AD$42"),12,FALSE)</f>
        <v>0</v>
      </c>
      <c r="Z45" s="81">
        <f ca="1">VLOOKUP($AD45,INDIRECT("'"&amp;$B45&amp;"'!"&amp;"$P$39:$AD$42"),13,FALSE)</f>
        <v>0</v>
      </c>
      <c r="AA45" s="81">
        <f ca="1">VLOOKUP($AD45,INDIRECT("'"&amp;$B45&amp;"'!"&amp;"$P$39:$AD$42"),14,FALSE)</f>
        <v>0</v>
      </c>
      <c r="AB45" s="81">
        <f ca="1">VLOOKUP($AD45,INDIRECT("'"&amp;$B45&amp;"'!"&amp;"$P$39:$AD$42"),15,FALSE)</f>
        <v>0</v>
      </c>
      <c r="AD45" s="81">
        <v>2020</v>
      </c>
      <c r="AE45" s="81"/>
      <c r="AF45" s="220"/>
    </row>
    <row r="46" spans="2:36">
      <c r="B46" s="357" t="s">
        <v>1001</v>
      </c>
      <c r="D46" s="212"/>
      <c r="E46" s="261"/>
      <c r="F46" s="224" t="s">
        <v>1149</v>
      </c>
      <c r="G46" s="173" t="str">
        <f>$AI$20</f>
        <v>INDIWH</v>
      </c>
      <c r="H46" s="174"/>
      <c r="I46" s="174"/>
      <c r="K46" s="81"/>
      <c r="L46" s="333"/>
      <c r="M46" s="199"/>
      <c r="N46" s="81"/>
      <c r="O46" s="723"/>
      <c r="P46" s="723"/>
      <c r="Q46" s="81"/>
      <c r="R46" s="200"/>
      <c r="S46" s="772"/>
      <c r="T46" s="772"/>
      <c r="U46" s="199">
        <f ca="1">1-U45</f>
        <v>0.4818652849740932</v>
      </c>
      <c r="V46" s="772"/>
      <c r="W46" s="298"/>
      <c r="X46" s="698"/>
      <c r="Y46" s="81"/>
      <c r="Z46" s="81"/>
      <c r="AA46" s="81"/>
      <c r="AB46" s="81"/>
      <c r="AD46" s="81"/>
      <c r="AE46" s="81"/>
      <c r="AF46" s="220"/>
    </row>
    <row r="47" spans="2:36">
      <c r="B47" s="357" t="s">
        <v>1001</v>
      </c>
      <c r="D47" s="212"/>
      <c r="E47" s="212"/>
      <c r="F47" s="224" t="s">
        <v>1149</v>
      </c>
      <c r="G47" s="173" t="s">
        <v>499</v>
      </c>
      <c r="H47" s="174" t="str">
        <f>$AI$14</f>
        <v>IIDPH</v>
      </c>
      <c r="I47" s="174"/>
      <c r="J47" s="224">
        <f t="shared" ref="J47" si="14">AD47</f>
        <v>2030</v>
      </c>
      <c r="K47" s="81"/>
      <c r="L47" s="333">
        <v>1</v>
      </c>
      <c r="M47" s="199">
        <f ca="1">VLOOKUP($AD47,INDIRECT("'"&amp;$B47&amp;"'!"&amp;"$P$39:$AD$42"),3,FALSE)</f>
        <v>1.9894000000000001</v>
      </c>
      <c r="N47" s="81"/>
      <c r="O47" s="723">
        <f ca="1">VLOOKUP($AD47,INDIRECT("'"&amp;$B47&amp;"'!"&amp;"$P$39:$AD$42"),6,FALSE)/1000</f>
        <v>9.8570539139933757</v>
      </c>
      <c r="P47" s="723">
        <f ca="1">VLOOKUP($AD47,INDIRECT("'"&amp;$B47&amp;"'!"&amp;"$P$39:$AD$42"),7,FALSE)/1000</f>
        <v>1.49E-2</v>
      </c>
      <c r="Q47" s="81">
        <f ca="1">VLOOKUP($AD47,INDIRECT("'"&amp;$B47&amp;"'!"&amp;"$P$39:$AD$42"),8,FALSE)</f>
        <v>6.9740277777777777</v>
      </c>
      <c r="R47" s="300"/>
      <c r="S47" s="300"/>
      <c r="T47" s="300"/>
      <c r="U47" s="199">
        <f ca="1">1/M47</f>
        <v>0.50266411983512616</v>
      </c>
      <c r="V47" s="199"/>
      <c r="W47" s="298"/>
      <c r="X47" s="698">
        <f ca="1">IF(VLOOKUP($AD47,INDIRECT("'"&amp;$B47&amp;"'!"&amp;"$P$39:$AD$42"),11,FALSE)="Cf. the utilized electricity",0,VLOOKUP($AD47,INDIRECT("'"&amp;$B47&amp;"'!"&amp;"$P$39:$AD$42"),11,FALSE))</f>
        <v>0</v>
      </c>
      <c r="Y47" s="81">
        <f ca="1">VLOOKUP($AD47,INDIRECT("'"&amp;$B47&amp;"'!"&amp;"$P$39:$AD$42"),12,FALSE)</f>
        <v>0</v>
      </c>
      <c r="Z47" s="81">
        <f ca="1">VLOOKUP($AD47,INDIRECT("'"&amp;$B47&amp;"'!"&amp;"$P$39:$AD$42"),13,FALSE)</f>
        <v>0</v>
      </c>
      <c r="AA47" s="81">
        <f ca="1">VLOOKUP($AD47,INDIRECT("'"&amp;$B47&amp;"'!"&amp;"$P$39:$AD$42"),14,FALSE)</f>
        <v>0</v>
      </c>
      <c r="AB47" s="81">
        <f ca="1">VLOOKUP($AD47,INDIRECT("'"&amp;$B47&amp;"'!"&amp;"$P$39:$AD$42"),15,FALSE)</f>
        <v>0</v>
      </c>
      <c r="AD47" s="81">
        <v>2030</v>
      </c>
      <c r="AE47" s="81"/>
      <c r="AF47" s="220"/>
    </row>
    <row r="48" spans="2:36">
      <c r="B48" s="357" t="s">
        <v>1001</v>
      </c>
      <c r="D48" s="212"/>
      <c r="E48" s="212"/>
      <c r="F48" s="224" t="s">
        <v>1149</v>
      </c>
      <c r="G48" s="173" t="str">
        <f>$AI$20</f>
        <v>INDIWH</v>
      </c>
      <c r="H48" s="174"/>
      <c r="I48" s="174"/>
      <c r="K48" s="81"/>
      <c r="L48" s="333"/>
      <c r="M48" s="199"/>
      <c r="N48" s="81"/>
      <c r="O48" s="723"/>
      <c r="P48" s="723"/>
      <c r="Q48" s="81"/>
      <c r="R48" s="300"/>
      <c r="S48" s="300"/>
      <c r="T48" s="300"/>
      <c r="U48" s="199">
        <f ca="1">1-U47</f>
        <v>0.49733588016487384</v>
      </c>
      <c r="V48" s="300"/>
      <c r="W48" s="298"/>
      <c r="X48" s="698"/>
      <c r="Y48" s="81"/>
      <c r="Z48" s="81"/>
      <c r="AA48" s="81"/>
      <c r="AB48" s="81"/>
      <c r="AD48" s="81"/>
      <c r="AE48" s="81"/>
      <c r="AF48" s="220"/>
    </row>
    <row r="49" spans="2:32">
      <c r="B49" s="357" t="s">
        <v>1001</v>
      </c>
      <c r="D49" s="212"/>
      <c r="E49" s="212"/>
      <c r="F49" s="224" t="s">
        <v>1149</v>
      </c>
      <c r="G49" s="173" t="s">
        <v>499</v>
      </c>
      <c r="H49" s="174" t="str">
        <f>$AI$14</f>
        <v>IIDPH</v>
      </c>
      <c r="I49" s="174"/>
      <c r="J49" s="224">
        <f t="shared" ref="J49" si="15">AD49</f>
        <v>2050</v>
      </c>
      <c r="K49" s="81"/>
      <c r="L49" s="333">
        <v>1</v>
      </c>
      <c r="M49" s="199">
        <f ca="1">VLOOKUP($AD49,INDIRECT("'"&amp;$B49&amp;"'!"&amp;"$P$39:$AD$42"),3,FALSE)</f>
        <v>2.0509898799999999</v>
      </c>
      <c r="N49" s="81"/>
      <c r="O49" s="723">
        <f ca="1">VLOOKUP($AD49,INDIRECT("'"&amp;$B49&amp;"'!"&amp;"$P$39:$AD$42"),6,FALSE)/1000</f>
        <v>6.955935359434223</v>
      </c>
      <c r="P49" s="723">
        <f ca="1">VLOOKUP($AD49,INDIRECT("'"&amp;$B49&amp;"'!"&amp;"$P$39:$AD$42"),7,FALSE)/1000</f>
        <v>1.49E-2</v>
      </c>
      <c r="Q49" s="81">
        <f ca="1">VLOOKUP($AD49,INDIRECT("'"&amp;$B49&amp;"'!"&amp;"$P$39:$AD$42"),8,FALSE)</f>
        <v>6.7877777777777784</v>
      </c>
      <c r="R49" s="300"/>
      <c r="S49" s="300"/>
      <c r="T49" s="300"/>
      <c r="U49" s="199">
        <f ca="1">1/M49</f>
        <v>0.48756944622271858</v>
      </c>
      <c r="V49" s="199"/>
      <c r="W49" s="298"/>
      <c r="X49" s="698">
        <f ca="1">IF(VLOOKUP($AD49,INDIRECT("'"&amp;$B49&amp;"'!"&amp;"$P$39:$AD$42"),11,FALSE)="Cf. the utilized electricity",0,VLOOKUP($AD49,INDIRECT("'"&amp;$B49&amp;"'!"&amp;"$P$39:$AD$42"),11,FALSE))</f>
        <v>0</v>
      </c>
      <c r="Y49" s="81">
        <f ca="1">VLOOKUP($AD49,INDIRECT("'"&amp;$B49&amp;"'!"&amp;"$P$39:$AD$42"),12,FALSE)</f>
        <v>0</v>
      </c>
      <c r="Z49" s="81">
        <f ca="1">VLOOKUP($AD49,INDIRECT("'"&amp;$B49&amp;"'!"&amp;"$P$39:$AD$42"),13,FALSE)</f>
        <v>0</v>
      </c>
      <c r="AA49" s="81">
        <f ca="1">VLOOKUP($AD49,INDIRECT("'"&amp;$B49&amp;"'!"&amp;"$P$39:$AD$42"),14,FALSE)</f>
        <v>0</v>
      </c>
      <c r="AB49" s="81">
        <f ca="1">VLOOKUP($AD49,INDIRECT("'"&amp;$B49&amp;"'!"&amp;"$P$39:$AD$42"),15,FALSE)</f>
        <v>0</v>
      </c>
      <c r="AD49" s="81">
        <v>2050</v>
      </c>
      <c r="AE49" s="81"/>
      <c r="AF49" s="220"/>
    </row>
    <row r="50" spans="2:32">
      <c r="B50" s="357" t="s">
        <v>1001</v>
      </c>
      <c r="D50" s="212"/>
      <c r="E50" s="212"/>
      <c r="F50" s="224" t="s">
        <v>1149</v>
      </c>
      <c r="G50" s="173" t="str">
        <f>$AI$20</f>
        <v>INDIWH</v>
      </c>
      <c r="H50" s="174"/>
      <c r="I50" s="174"/>
      <c r="K50" s="81"/>
      <c r="L50" s="333"/>
      <c r="M50" s="199"/>
      <c r="N50" s="81"/>
      <c r="O50" s="723"/>
      <c r="P50" s="723"/>
      <c r="Q50" s="81"/>
      <c r="R50" s="300"/>
      <c r="S50" s="300"/>
      <c r="T50" s="300"/>
      <c r="U50" s="199">
        <f ca="1">1-U49</f>
        <v>0.51243055377728142</v>
      </c>
      <c r="V50" s="300"/>
      <c r="W50" s="298"/>
      <c r="X50" s="698"/>
      <c r="Y50" s="81"/>
      <c r="Z50" s="81"/>
      <c r="AA50" s="81"/>
      <c r="AB50" s="81"/>
      <c r="AD50" s="81"/>
      <c r="AE50" s="81"/>
      <c r="AF50" s="220"/>
    </row>
    <row r="51" spans="2:32">
      <c r="B51" s="357" t="s">
        <v>1001</v>
      </c>
      <c r="D51" s="212" t="str">
        <f>"IND"&amp;RIGHT(H51,4)&amp;RIGHT(G51,3)&amp;"N"&amp;RIGHT(E51,1)</f>
        <v>INDIDSHELCN4</v>
      </c>
      <c r="E51" s="261" t="str">
        <f>"Industrial heating technology "&amp;$AJ$12&amp;" "&amp;RIGHT(H51,2)&amp;" - Booster Heat pump utilizing waste heat - new 4"</f>
        <v>Industrial heating technology Mining SH - Booster Heat pump utilizing waste heat - new 4</v>
      </c>
      <c r="F51" s="224" t="s">
        <v>1149</v>
      </c>
      <c r="G51" s="173" t="s">
        <v>499</v>
      </c>
      <c r="H51" s="174" t="str">
        <f>$AI$15</f>
        <v>IIDSH</v>
      </c>
      <c r="I51" s="174"/>
      <c r="J51" s="224">
        <f t="shared" ref="J51" si="16">AD51</f>
        <v>2020</v>
      </c>
      <c r="K51" s="81">
        <v>2020</v>
      </c>
      <c r="L51" s="333">
        <v>1</v>
      </c>
      <c r="M51" s="199">
        <f ca="1">VLOOKUP($AD51,INDIRECT("'"&amp;$B51&amp;"'!"&amp;"$P$39:$AD$42"),3,FALSE)</f>
        <v>1.93</v>
      </c>
      <c r="N51" s="81">
        <f ca="1">VLOOKUP($AD51,INDIRECT("'"&amp;$B51&amp;"'!"&amp;"$P$39:$AD$42"),5,FALSE)</f>
        <v>20</v>
      </c>
      <c r="O51" s="723">
        <f ca="1">VLOOKUP($AD51,INDIRECT("'"&amp;$B51&amp;"'!"&amp;"$P$39:$AD$42"),6,FALSE)/1000</f>
        <v>12.158890687341184</v>
      </c>
      <c r="P51" s="723">
        <f ca="1">VLOOKUP($AD51,INDIRECT("'"&amp;$B51&amp;"'!"&amp;"$P$39:$AD$42"),7,FALSE)/1000</f>
        <v>1.49E-2</v>
      </c>
      <c r="Q51" s="81">
        <f ca="1">VLOOKUP($AD51,INDIRECT("'"&amp;$B51&amp;"'!"&amp;"$P$39:$AD$42"),8,FALSE)</f>
        <v>7.1188888888888897</v>
      </c>
      <c r="R51" s="81">
        <v>3.1536000000000002E-2</v>
      </c>
      <c r="S51" s="199">
        <v>0.5</v>
      </c>
      <c r="T51" s="199">
        <f ca="1">HLOOKUP($T$2,INDIRECT("'"&amp;$B51&amp;"'!"&amp;"$P$6:$AC$19"),IF(H51=$AI$13,6,IF(H51=$AI$14,9,14)),FALSE)</f>
        <v>1</v>
      </c>
      <c r="U51" s="199">
        <f ca="1">1/M51</f>
        <v>0.5181347150259068</v>
      </c>
      <c r="V51" s="199"/>
      <c r="W51" s="298"/>
      <c r="X51" s="698">
        <f ca="1">IF(VLOOKUP($AD51,INDIRECT("'"&amp;$B51&amp;"'!"&amp;"$P$39:$AD$42"),11,FALSE)="Cf. the utilized electricity",0,VLOOKUP($AD51,INDIRECT("'"&amp;$B51&amp;"'!"&amp;"$P$39:$AD$42"),11,FALSE))</f>
        <v>0</v>
      </c>
      <c r="Y51" s="81">
        <f ca="1">VLOOKUP($AD51,INDIRECT("'"&amp;$B51&amp;"'!"&amp;"$P$39:$AD$42"),12,FALSE)</f>
        <v>0</v>
      </c>
      <c r="Z51" s="81">
        <f ca="1">VLOOKUP($AD51,INDIRECT("'"&amp;$B51&amp;"'!"&amp;"$P$39:$AD$42"),13,FALSE)</f>
        <v>0</v>
      </c>
      <c r="AA51" s="81">
        <f ca="1">VLOOKUP($AD51,INDIRECT("'"&amp;$B51&amp;"'!"&amp;"$P$39:$AD$42"),14,FALSE)</f>
        <v>0</v>
      </c>
      <c r="AB51" s="81">
        <f ca="1">VLOOKUP($AD51,INDIRECT("'"&amp;$B51&amp;"'!"&amp;"$P$39:$AD$42"),15,FALSE)</f>
        <v>0</v>
      </c>
      <c r="AD51" s="81">
        <v>2020</v>
      </c>
      <c r="AE51" s="81"/>
      <c r="AF51" s="220"/>
    </row>
    <row r="52" spans="2:32">
      <c r="B52" s="357" t="s">
        <v>1001</v>
      </c>
      <c r="D52" s="212"/>
      <c r="E52" s="261"/>
      <c r="F52" s="224" t="s">
        <v>1149</v>
      </c>
      <c r="G52" s="173" t="str">
        <f>$AI$20</f>
        <v>INDIWH</v>
      </c>
      <c r="H52" s="174"/>
      <c r="I52" s="174"/>
      <c r="K52" s="81"/>
      <c r="L52" s="333"/>
      <c r="M52" s="199"/>
      <c r="N52" s="81"/>
      <c r="O52" s="723"/>
      <c r="P52" s="723"/>
      <c r="Q52" s="81"/>
      <c r="R52" s="200"/>
      <c r="S52" s="772"/>
      <c r="T52" s="772"/>
      <c r="U52" s="199">
        <f ca="1">1-U51</f>
        <v>0.4818652849740932</v>
      </c>
      <c r="V52" s="772"/>
      <c r="W52" s="298"/>
      <c r="X52" s="698"/>
      <c r="Y52" s="81"/>
      <c r="Z52" s="81"/>
      <c r="AA52" s="81"/>
      <c r="AB52" s="81"/>
      <c r="AD52" s="81"/>
      <c r="AE52" s="81"/>
      <c r="AF52" s="220"/>
    </row>
    <row r="53" spans="2:32">
      <c r="B53" s="357" t="s">
        <v>1001</v>
      </c>
      <c r="D53" s="212"/>
      <c r="E53" s="212"/>
      <c r="F53" s="224" t="s">
        <v>1149</v>
      </c>
      <c r="G53" s="173" t="s">
        <v>499</v>
      </c>
      <c r="H53" s="174" t="str">
        <f>$AI$15</f>
        <v>IIDSH</v>
      </c>
      <c r="I53" s="174"/>
      <c r="J53" s="224">
        <f t="shared" ref="J53" si="17">AD53</f>
        <v>2030</v>
      </c>
      <c r="K53" s="81"/>
      <c r="L53" s="333">
        <v>1</v>
      </c>
      <c r="M53" s="199">
        <f ca="1">VLOOKUP($AD53,INDIRECT("'"&amp;$B53&amp;"'!"&amp;"$P$39:$AD$42"),3,FALSE)</f>
        <v>1.9894000000000001</v>
      </c>
      <c r="N53" s="81"/>
      <c r="O53" s="723">
        <f ca="1">VLOOKUP($AD53,INDIRECT("'"&amp;$B53&amp;"'!"&amp;"$P$39:$AD$42"),6,FALSE)/1000</f>
        <v>9.8570539139933757</v>
      </c>
      <c r="P53" s="723">
        <f ca="1">VLOOKUP($AD53,INDIRECT("'"&amp;$B53&amp;"'!"&amp;"$P$39:$AD$42"),7,FALSE)/1000</f>
        <v>1.49E-2</v>
      </c>
      <c r="Q53" s="81">
        <f ca="1">VLOOKUP($AD53,INDIRECT("'"&amp;$B53&amp;"'!"&amp;"$P$39:$AD$42"),8,FALSE)</f>
        <v>6.9740277777777777</v>
      </c>
      <c r="R53" s="300"/>
      <c r="S53" s="300"/>
      <c r="T53" s="300"/>
      <c r="U53" s="199">
        <f ca="1">1/M53</f>
        <v>0.50266411983512616</v>
      </c>
      <c r="V53" s="199"/>
      <c r="W53" s="298"/>
      <c r="X53" s="698">
        <f ca="1">IF(VLOOKUP($AD53,INDIRECT("'"&amp;$B53&amp;"'!"&amp;"$P$39:$AD$42"),11,FALSE)="Cf. the utilized electricity",0,VLOOKUP($AD53,INDIRECT("'"&amp;$B53&amp;"'!"&amp;"$P$39:$AD$42"),11,FALSE))</f>
        <v>0</v>
      </c>
      <c r="Y53" s="81">
        <f ca="1">VLOOKUP($AD53,INDIRECT("'"&amp;$B53&amp;"'!"&amp;"$P$39:$AD$42"),12,FALSE)</f>
        <v>0</v>
      </c>
      <c r="Z53" s="81">
        <f ca="1">VLOOKUP($AD53,INDIRECT("'"&amp;$B53&amp;"'!"&amp;"$P$39:$AD$42"),13,FALSE)</f>
        <v>0</v>
      </c>
      <c r="AA53" s="81">
        <f ca="1">VLOOKUP($AD53,INDIRECT("'"&amp;$B53&amp;"'!"&amp;"$P$39:$AD$42"),14,FALSE)</f>
        <v>0</v>
      </c>
      <c r="AB53" s="81">
        <f ca="1">VLOOKUP($AD53,INDIRECT("'"&amp;$B53&amp;"'!"&amp;"$P$39:$AD$42"),15,FALSE)</f>
        <v>0</v>
      </c>
      <c r="AD53" s="81">
        <v>2030</v>
      </c>
      <c r="AE53" s="81"/>
      <c r="AF53" s="220"/>
    </row>
    <row r="54" spans="2:32">
      <c r="B54" s="357" t="s">
        <v>1001</v>
      </c>
      <c r="D54" s="212"/>
      <c r="E54" s="212"/>
      <c r="F54" s="224" t="s">
        <v>1149</v>
      </c>
      <c r="G54" s="173" t="str">
        <f>$AI$20</f>
        <v>INDIWH</v>
      </c>
      <c r="H54" s="174"/>
      <c r="I54" s="174"/>
      <c r="K54" s="81"/>
      <c r="L54" s="333"/>
      <c r="M54" s="199"/>
      <c r="N54" s="81"/>
      <c r="O54" s="723"/>
      <c r="P54" s="723"/>
      <c r="Q54" s="81"/>
      <c r="R54" s="300"/>
      <c r="S54" s="300"/>
      <c r="T54" s="300"/>
      <c r="U54" s="199">
        <f ca="1">1-U53</f>
        <v>0.49733588016487384</v>
      </c>
      <c r="V54" s="300"/>
      <c r="W54" s="298"/>
      <c r="X54" s="698"/>
      <c r="Y54" s="81"/>
      <c r="Z54" s="81"/>
      <c r="AA54" s="81"/>
      <c r="AB54" s="81"/>
      <c r="AD54" s="81"/>
      <c r="AE54" s="81"/>
      <c r="AF54" s="220"/>
    </row>
    <row r="55" spans="2:32">
      <c r="B55" s="357" t="s">
        <v>1001</v>
      </c>
      <c r="D55" s="212"/>
      <c r="E55" s="212"/>
      <c r="F55" s="224" t="s">
        <v>1149</v>
      </c>
      <c r="G55" s="173" t="s">
        <v>499</v>
      </c>
      <c r="H55" s="174" t="str">
        <f>$AI$15</f>
        <v>IIDSH</v>
      </c>
      <c r="I55" s="174"/>
      <c r="J55" s="224">
        <f t="shared" ref="J55" si="18">AD55</f>
        <v>2050</v>
      </c>
      <c r="K55" s="81"/>
      <c r="L55" s="333">
        <v>1</v>
      </c>
      <c r="M55" s="199">
        <f ca="1">VLOOKUP($AD55,INDIRECT("'"&amp;$B55&amp;"'!"&amp;"$P$39:$AD$42"),3,FALSE)</f>
        <v>2.0509898799999999</v>
      </c>
      <c r="N55" s="81"/>
      <c r="O55" s="723">
        <f ca="1">VLOOKUP($AD55,INDIRECT("'"&amp;$B55&amp;"'!"&amp;"$P$39:$AD$42"),6,FALSE)/1000</f>
        <v>6.955935359434223</v>
      </c>
      <c r="P55" s="723">
        <f ca="1">VLOOKUP($AD55,INDIRECT("'"&amp;$B55&amp;"'!"&amp;"$P$39:$AD$42"),7,FALSE)/1000</f>
        <v>1.49E-2</v>
      </c>
      <c r="Q55" s="81">
        <f ca="1">VLOOKUP($AD55,INDIRECT("'"&amp;$B55&amp;"'!"&amp;"$P$39:$AD$42"),8,FALSE)</f>
        <v>6.7877777777777784</v>
      </c>
      <c r="R55" s="300"/>
      <c r="S55" s="300"/>
      <c r="T55" s="300"/>
      <c r="U55" s="199">
        <f ca="1">1/M55</f>
        <v>0.48756944622271858</v>
      </c>
      <c r="V55" s="199"/>
      <c r="W55" s="298"/>
      <c r="X55" s="698">
        <f ca="1">IF(VLOOKUP($AD55,INDIRECT("'"&amp;$B55&amp;"'!"&amp;"$P$39:$AD$42"),11,FALSE)="Cf. the utilized electricity",0,VLOOKUP($AD55,INDIRECT("'"&amp;$B55&amp;"'!"&amp;"$P$39:$AD$42"),11,FALSE))</f>
        <v>0</v>
      </c>
      <c r="Y55" s="81">
        <f ca="1">VLOOKUP($AD55,INDIRECT("'"&amp;$B55&amp;"'!"&amp;"$P$39:$AD$42"),12,FALSE)</f>
        <v>0</v>
      </c>
      <c r="Z55" s="81">
        <f ca="1">VLOOKUP($AD55,INDIRECT("'"&amp;$B55&amp;"'!"&amp;"$P$39:$AD$42"),13,FALSE)</f>
        <v>0</v>
      </c>
      <c r="AA55" s="81">
        <f ca="1">VLOOKUP($AD55,INDIRECT("'"&amp;$B55&amp;"'!"&amp;"$P$39:$AD$42"),14,FALSE)</f>
        <v>0</v>
      </c>
      <c r="AB55" s="81">
        <f ca="1">VLOOKUP($AD55,INDIRECT("'"&amp;$B55&amp;"'!"&amp;"$P$39:$AD$42"),15,FALSE)</f>
        <v>0</v>
      </c>
      <c r="AD55" s="81">
        <v>2050</v>
      </c>
      <c r="AE55" s="81"/>
      <c r="AF55" s="220"/>
    </row>
    <row r="56" spans="2:32">
      <c r="B56" s="357" t="s">
        <v>1001</v>
      </c>
      <c r="D56" s="212"/>
      <c r="E56" s="212"/>
      <c r="F56" s="224" t="s">
        <v>1149</v>
      </c>
      <c r="G56" s="173" t="str">
        <f>$AI$20</f>
        <v>INDIWH</v>
      </c>
      <c r="H56" s="174"/>
      <c r="I56" s="174"/>
      <c r="K56" s="81"/>
      <c r="L56" s="333"/>
      <c r="M56" s="199"/>
      <c r="N56" s="81"/>
      <c r="O56" s="723"/>
      <c r="P56" s="723"/>
      <c r="Q56" s="81"/>
      <c r="R56" s="300"/>
      <c r="S56" s="300"/>
      <c r="T56" s="300"/>
      <c r="U56" s="199">
        <f ca="1">1-U55</f>
        <v>0.51243055377728142</v>
      </c>
      <c r="V56" s="300"/>
      <c r="W56" s="298"/>
      <c r="X56" s="698"/>
      <c r="Y56" s="81"/>
      <c r="Z56" s="81"/>
      <c r="AA56" s="81"/>
      <c r="AB56" s="81"/>
      <c r="AD56" s="81"/>
      <c r="AE56" s="81"/>
      <c r="AF56" s="220"/>
    </row>
    <row r="57" spans="2:32">
      <c r="B57" s="357" t="s">
        <v>1002</v>
      </c>
      <c r="D57" s="212" t="str">
        <f>"IND"&amp;RIGHT(H57,4)&amp;RIGHT(G57,3)&amp;"N"&amp;RIGHT(E57,1)</f>
        <v>INDIDPHELCN5</v>
      </c>
      <c r="E57" s="261" t="str">
        <f>"Industrial heating technology "&amp;$AJ$12&amp;" "&amp;RIGHT(H57,2)&amp;" - MVR utilizing waste heat - new 5"</f>
        <v>Industrial heating technology Mining PH - MVR utilizing waste heat - new 5</v>
      </c>
      <c r="F57" s="224" t="s">
        <v>1149</v>
      </c>
      <c r="G57" s="173" t="s">
        <v>499</v>
      </c>
      <c r="H57" s="174" t="str">
        <f>$AI$14</f>
        <v>IIDPH</v>
      </c>
      <c r="I57" s="174"/>
      <c r="J57" s="224">
        <f t="shared" ref="J57" si="19">AD57</f>
        <v>2020</v>
      </c>
      <c r="K57" s="81">
        <v>2020</v>
      </c>
      <c r="L57" s="333">
        <v>1</v>
      </c>
      <c r="M57" s="199">
        <f ca="1">VLOOKUP($AD57,INDIRECT("'"&amp;$B57&amp;"'!"&amp;"$P$39:$AD$42"),3,FALSE)</f>
        <v>12.1</v>
      </c>
      <c r="N57" s="81">
        <f ca="1">VLOOKUP($AD57,INDIRECT("'"&amp;$B57&amp;"'!"&amp;"$P$39:$AD$42"),5,FALSE)</f>
        <v>25</v>
      </c>
      <c r="O57" s="723">
        <f ca="1">VLOOKUP($AD57,INDIRECT("'"&amp;$B57&amp;"'!"&amp;"$P$39:$AD$42"),6,FALSE)/1000</f>
        <v>2.6074999999999999</v>
      </c>
      <c r="P57" s="723">
        <f ca="1">VLOOKUP($AD57,INDIRECT("'"&amp;$B57&amp;"'!"&amp;"$P$39:$AD$42"),7,FALSE)/1000</f>
        <v>1.49E-2</v>
      </c>
      <c r="Q57" s="81">
        <f ca="1">VLOOKUP($AD57,INDIRECT("'"&amp;$B57&amp;"'!"&amp;"$P$39:$AD$42"),8,FALSE)</f>
        <v>5.2356944444444444</v>
      </c>
      <c r="R57" s="81">
        <v>3.1536000000000002E-2</v>
      </c>
      <c r="S57" s="199">
        <v>0.5</v>
      </c>
      <c r="T57" s="199">
        <f ca="1">HLOOKUP($T$2,INDIRECT("'"&amp;$B57&amp;"'!"&amp;"$P$6:$AC$19"),IF(H57=$AI$13,6,IF(H57=$AI$14,9,14)),FALSE)</f>
        <v>0</v>
      </c>
      <c r="U57" s="199">
        <f ca="1">1/M57</f>
        <v>8.2644628099173556E-2</v>
      </c>
      <c r="V57" s="199"/>
      <c r="W57" s="298"/>
      <c r="X57" s="698">
        <f ca="1">IF(VLOOKUP($AD57,INDIRECT("'"&amp;$B57&amp;"'!"&amp;"$P$39:$AD$42"),11,FALSE)="Cf. the utilized electricity",0,VLOOKUP($AD57,INDIRECT("'"&amp;$B57&amp;"'!"&amp;"$P$39:$AD$42"),11,FALSE))</f>
        <v>0</v>
      </c>
      <c r="Y57" s="81">
        <f ca="1">VLOOKUP($AD57,INDIRECT("'"&amp;$B57&amp;"'!"&amp;"$P$39:$AD$42"),12,FALSE)</f>
        <v>0</v>
      </c>
      <c r="Z57" s="81">
        <f ca="1">VLOOKUP($AD57,INDIRECT("'"&amp;$B57&amp;"'!"&amp;"$P$39:$AD$42"),13,FALSE)</f>
        <v>0</v>
      </c>
      <c r="AA57" s="81">
        <f ca="1">VLOOKUP($AD57,INDIRECT("'"&amp;$B57&amp;"'!"&amp;"$P$39:$AD$42"),14,FALSE)</f>
        <v>0</v>
      </c>
      <c r="AB57" s="81">
        <f ca="1">VLOOKUP($AD57,INDIRECT("'"&amp;$B57&amp;"'!"&amp;"$P$39:$AD$42"),15,FALSE)</f>
        <v>0</v>
      </c>
      <c r="AD57" s="81">
        <v>2020</v>
      </c>
      <c r="AE57" s="81"/>
      <c r="AF57" s="220"/>
    </row>
    <row r="58" spans="2:32">
      <c r="B58" s="357" t="s">
        <v>1002</v>
      </c>
      <c r="D58" s="212"/>
      <c r="E58" s="261"/>
      <c r="F58" s="224" t="s">
        <v>1149</v>
      </c>
      <c r="G58" s="173" t="str">
        <f>$AI$20</f>
        <v>INDIWH</v>
      </c>
      <c r="H58" s="174"/>
      <c r="I58" s="174"/>
      <c r="K58" s="81"/>
      <c r="L58" s="199"/>
      <c r="M58" s="199"/>
      <c r="N58" s="81"/>
      <c r="O58" s="723"/>
      <c r="P58" s="723"/>
      <c r="Q58" s="81"/>
      <c r="R58" s="200"/>
      <c r="S58" s="772"/>
      <c r="T58" s="772"/>
      <c r="U58" s="199">
        <f ca="1">1-U57</f>
        <v>0.9173553719008265</v>
      </c>
      <c r="V58" s="772"/>
      <c r="W58" s="298"/>
      <c r="X58" s="698"/>
      <c r="Y58" s="81"/>
      <c r="Z58" s="81"/>
      <c r="AA58" s="81"/>
      <c r="AB58" s="81"/>
      <c r="AD58" s="81"/>
      <c r="AE58" s="81"/>
      <c r="AF58" s="220"/>
    </row>
    <row r="59" spans="2:32">
      <c r="B59" s="357" t="s">
        <v>1002</v>
      </c>
      <c r="D59" s="212"/>
      <c r="E59" s="212"/>
      <c r="F59" s="224" t="s">
        <v>1149</v>
      </c>
      <c r="G59" s="173" t="s">
        <v>499</v>
      </c>
      <c r="H59" s="174" t="str">
        <f>$AI$14</f>
        <v>IIDPH</v>
      </c>
      <c r="I59" s="174"/>
      <c r="J59" s="224">
        <f t="shared" ref="J59" si="20">AD59</f>
        <v>2030</v>
      </c>
      <c r="K59" s="81"/>
      <c r="L59" s="333">
        <v>1</v>
      </c>
      <c r="M59" s="199">
        <f ca="1">VLOOKUP($AD59,INDIRECT("'"&amp;$B59&amp;"'!"&amp;"$P$39:$AD$42"),3,FALSE)</f>
        <v>12.7</v>
      </c>
      <c r="N59" s="81"/>
      <c r="O59" s="723">
        <f ca="1">VLOOKUP($AD59,INDIRECT("'"&amp;$B59&amp;"'!"&amp;"$P$39:$AD$42"),6,FALSE)/1000</f>
        <v>2.4585000000000004</v>
      </c>
      <c r="P59" s="723">
        <f ca="1">VLOOKUP($AD59,INDIRECT("'"&amp;$B59&amp;"'!"&amp;"$P$39:$AD$42"),7,FALSE)/1000</f>
        <v>1.49E-2</v>
      </c>
      <c r="Q59" s="81">
        <f ca="1">VLOOKUP($AD59,INDIRECT("'"&amp;$B59&amp;"'!"&amp;"$P$39:$AD$42"),8,FALSE)</f>
        <v>5.0701388888888888</v>
      </c>
      <c r="R59" s="300"/>
      <c r="S59" s="300"/>
      <c r="T59" s="300"/>
      <c r="U59" s="199">
        <f ca="1">1/M59</f>
        <v>7.874015748031496E-2</v>
      </c>
      <c r="V59" s="199"/>
      <c r="W59" s="298"/>
      <c r="X59" s="698">
        <f ca="1">IF(VLOOKUP($AD59,INDIRECT("'"&amp;$B59&amp;"'!"&amp;"$P$39:$AD$42"),11,FALSE)="Cf. the utilized electricity",0,VLOOKUP($AD59,INDIRECT("'"&amp;$B59&amp;"'!"&amp;"$P$39:$AD$42"),11,FALSE))</f>
        <v>0</v>
      </c>
      <c r="Y59" s="81">
        <f ca="1">VLOOKUP($AD59,INDIRECT("'"&amp;$B59&amp;"'!"&amp;"$P$39:$AD$42"),12,FALSE)</f>
        <v>0</v>
      </c>
      <c r="Z59" s="81">
        <f ca="1">VLOOKUP($AD59,INDIRECT("'"&amp;$B59&amp;"'!"&amp;"$P$39:$AD$42"),13,FALSE)</f>
        <v>0</v>
      </c>
      <c r="AA59" s="81">
        <f ca="1">VLOOKUP($AD59,INDIRECT("'"&amp;$B59&amp;"'!"&amp;"$P$39:$AD$42"),14,FALSE)</f>
        <v>0</v>
      </c>
      <c r="AB59" s="81">
        <f ca="1">VLOOKUP($AD59,INDIRECT("'"&amp;$B59&amp;"'!"&amp;"$P$39:$AD$42"),15,FALSE)</f>
        <v>0</v>
      </c>
      <c r="AD59" s="81">
        <v>2030</v>
      </c>
      <c r="AE59" s="81"/>
      <c r="AF59" s="220"/>
    </row>
    <row r="60" spans="2:32">
      <c r="B60" s="357" t="s">
        <v>1002</v>
      </c>
      <c r="D60" s="212"/>
      <c r="E60" s="212"/>
      <c r="F60" s="224" t="s">
        <v>1149</v>
      </c>
      <c r="G60" s="173" t="str">
        <f>$AI$20</f>
        <v>INDIWH</v>
      </c>
      <c r="H60" s="174"/>
      <c r="I60" s="174"/>
      <c r="K60" s="81"/>
      <c r="L60" s="199"/>
      <c r="M60" s="199"/>
      <c r="N60" s="81"/>
      <c r="O60" s="723"/>
      <c r="P60" s="723"/>
      <c r="Q60" s="81"/>
      <c r="R60" s="300"/>
      <c r="S60" s="300"/>
      <c r="T60" s="300"/>
      <c r="U60" s="199">
        <f ca="1">1-U59</f>
        <v>0.92125984251968507</v>
      </c>
      <c r="V60" s="300"/>
      <c r="W60" s="298"/>
      <c r="X60" s="698"/>
      <c r="Y60" s="81"/>
      <c r="Z60" s="81"/>
      <c r="AA60" s="81"/>
      <c r="AB60" s="81"/>
      <c r="AD60" s="81"/>
      <c r="AE60" s="81"/>
      <c r="AF60" s="220"/>
    </row>
    <row r="61" spans="2:32">
      <c r="B61" s="357" t="s">
        <v>1002</v>
      </c>
      <c r="D61" s="212"/>
      <c r="E61" s="212"/>
      <c r="F61" s="224" t="s">
        <v>1149</v>
      </c>
      <c r="G61" s="173" t="s">
        <v>499</v>
      </c>
      <c r="H61" s="174" t="str">
        <f>$AI$14</f>
        <v>IIDPH</v>
      </c>
      <c r="I61" s="174"/>
      <c r="J61" s="224">
        <f t="shared" ref="J61" si="21">AD61</f>
        <v>2050</v>
      </c>
      <c r="K61" s="81"/>
      <c r="L61" s="333">
        <v>1</v>
      </c>
      <c r="M61" s="199">
        <f ca="1">VLOOKUP($AD61,INDIRECT("'"&amp;$B61&amp;"'!"&amp;"$P$39:$AD$42"),3,FALSE)</f>
        <v>13.8</v>
      </c>
      <c r="N61" s="81"/>
      <c r="O61" s="723">
        <f ca="1">VLOOKUP($AD61,INDIRECT("'"&amp;$B61&amp;"'!"&amp;"$P$39:$AD$42"),6,FALSE)/1000</f>
        <v>2.3094999999999999</v>
      </c>
      <c r="P61" s="723">
        <f ca="1">VLOOKUP($AD61,INDIRECT("'"&amp;$B61&amp;"'!"&amp;"$P$39:$AD$42"),7,FALSE)/1000</f>
        <v>1.49E-2</v>
      </c>
      <c r="Q61" s="81">
        <f ca="1">VLOOKUP($AD61,INDIRECT("'"&amp;$B61&amp;"'!"&amp;"$P$39:$AD$42"),8,FALSE)</f>
        <v>4.8838888888888903</v>
      </c>
      <c r="R61" s="300"/>
      <c r="S61" s="300"/>
      <c r="T61" s="300"/>
      <c r="U61" s="199">
        <f ca="1">1/M61</f>
        <v>7.2463768115942032E-2</v>
      </c>
      <c r="V61" s="199"/>
      <c r="W61" s="298"/>
      <c r="X61" s="698">
        <f ca="1">IF(VLOOKUP($AD61,INDIRECT("'"&amp;$B61&amp;"'!"&amp;"$P$39:$AD$42"),11,FALSE)="Cf. the utilized electricity",0,VLOOKUP($AD61,INDIRECT("'"&amp;$B61&amp;"'!"&amp;"$P$39:$AD$42"),11,FALSE))</f>
        <v>0</v>
      </c>
      <c r="Y61" s="81">
        <f ca="1">VLOOKUP($AD61,INDIRECT("'"&amp;$B61&amp;"'!"&amp;"$P$39:$AD$42"),12,FALSE)</f>
        <v>0</v>
      </c>
      <c r="Z61" s="81">
        <f ca="1">VLOOKUP($AD61,INDIRECT("'"&amp;$B61&amp;"'!"&amp;"$P$39:$AD$42"),13,FALSE)</f>
        <v>0</v>
      </c>
      <c r="AA61" s="81">
        <f ca="1">VLOOKUP($AD61,INDIRECT("'"&amp;$B61&amp;"'!"&amp;"$P$39:$AD$42"),14,FALSE)</f>
        <v>0</v>
      </c>
      <c r="AB61" s="81">
        <f ca="1">VLOOKUP($AD61,INDIRECT("'"&amp;$B61&amp;"'!"&amp;"$P$39:$AD$42"),15,FALSE)</f>
        <v>0</v>
      </c>
      <c r="AD61" s="81">
        <v>2050</v>
      </c>
      <c r="AE61" s="81"/>
      <c r="AF61" s="220"/>
    </row>
    <row r="62" spans="2:32" ht="16" thickBot="1">
      <c r="B62" s="786" t="s">
        <v>1002</v>
      </c>
      <c r="C62" s="787"/>
      <c r="D62" s="732"/>
      <c r="E62" s="732"/>
      <c r="F62" s="224" t="s">
        <v>1149</v>
      </c>
      <c r="G62" s="788" t="str">
        <f>$AI$20</f>
        <v>INDIWH</v>
      </c>
      <c r="H62" s="788"/>
      <c r="I62" s="788"/>
      <c r="K62" s="789"/>
      <c r="L62" s="790"/>
      <c r="M62" s="790"/>
      <c r="N62" s="789"/>
      <c r="O62" s="791"/>
      <c r="P62" s="791"/>
      <c r="Q62" s="789"/>
      <c r="R62" s="792"/>
      <c r="S62" s="792"/>
      <c r="T62" s="792"/>
      <c r="U62" s="790">
        <f ca="1">1-U61</f>
        <v>0.92753623188405798</v>
      </c>
      <c r="V62" s="796"/>
      <c r="W62" s="793"/>
      <c r="X62" s="794"/>
      <c r="Y62" s="789"/>
      <c r="Z62" s="789"/>
      <c r="AA62" s="789"/>
      <c r="AB62" s="789"/>
      <c r="AC62" s="787"/>
      <c r="AD62" s="789"/>
      <c r="AE62" s="789"/>
      <c r="AF62" s="795"/>
    </row>
    <row r="63" spans="2:32">
      <c r="B63" s="357" t="s">
        <v>920</v>
      </c>
      <c r="D63" s="212" t="str">
        <f>"IND"&amp;RIGHT(H63,4)&amp;RIGHT(G63,3)&amp;"N"&amp;RIGHT(E63,1)</f>
        <v>INDIDPHWSTN1</v>
      </c>
      <c r="E63" s="261" t="str">
        <f>"Industrial heating technology "&amp;$AJ$12&amp;" "&amp;RIGHT(H63,2)&amp;" - Hotdisc - new 1"</f>
        <v>Industrial heating technology Mining PH - Hotdisc - new 1</v>
      </c>
      <c r="F63" s="224" t="s">
        <v>1149</v>
      </c>
      <c r="G63" s="832" t="s">
        <v>1005</v>
      </c>
      <c r="H63" s="174" t="str">
        <f>$AI$13</f>
        <v>IIDPH</v>
      </c>
      <c r="I63" s="173" t="str">
        <f t="shared" ref="I63:I126" si="22">$AI$20</f>
        <v>INDIWH</v>
      </c>
      <c r="J63" s="224">
        <f>IF(AD63=2020,2011,AD63)</f>
        <v>2011</v>
      </c>
      <c r="K63" s="299">
        <v>2025</v>
      </c>
      <c r="L63" s="699">
        <f t="shared" ref="L63:L80" ca="1" si="23">VLOOKUP($AD63,INDIRECT("'"&amp;$B63&amp;"'!"&amp;"$P$39:$AD$42"),3,FALSE)</f>
        <v>0.9</v>
      </c>
      <c r="M63" s="699"/>
      <c r="N63" s="299">
        <f ca="1">VLOOKUP($AD63,INDIRECT("'"&amp;$B63&amp;"'!"&amp;"$P$39:$AD$42"),5,FALSE)</f>
        <v>20</v>
      </c>
      <c r="O63" s="725">
        <f t="shared" ref="O63:O80" ca="1" si="24">VLOOKUP($AD63,INDIRECT("'"&amp;$B63&amp;"'!"&amp;"$P$39:$AD$42"),6,FALSE)/1000</f>
        <v>3.7250000000000001</v>
      </c>
      <c r="P63" s="725">
        <f t="shared" ref="P63:P80" ca="1" si="25">VLOOKUP($AD63,INDIRECT("'"&amp;$B63&amp;"'!"&amp;"$P$39:$AD$42"),7,FALSE)/1000</f>
        <v>2.98E-3</v>
      </c>
      <c r="Q63" s="299">
        <f t="shared" ref="Q63:Q80" ca="1" si="26">VLOOKUP($AD63,INDIRECT("'"&amp;$B63&amp;"'!"&amp;"$P$39:$AD$42"),8,FALSE)</f>
        <v>2.4315972222222224</v>
      </c>
      <c r="R63" s="299">
        <v>3.1536000000000002E-2</v>
      </c>
      <c r="S63" s="699">
        <v>0.5</v>
      </c>
      <c r="T63" s="699">
        <f ca="1">HLOOKUP($S$2,INDIRECT("'"&amp;$B63&amp;"'!"&amp;"$P$6:$AC$19"),IF(H63=$AI$13,6,IF(H63=$AI$14,9,14)),FALSE)</f>
        <v>0.15</v>
      </c>
      <c r="U63" s="772"/>
      <c r="V63" s="199">
        <f ca="1">IF(IF(RIGHT(H63,2)="PH",(1-L63)+$W$2,IF(RIGHT(H63,2)="HT",(1-L63)+$W$1,IF(RIGHT(H63,2)="SH",(1-L63)+$W$3,"")))&gt;0,IF(RIGHT(H63,2)="PH",(1-L63)+$W$2,IF(RIGHT(H63,2)="HT",(1-L63)+$W$1,IF(RIGHT(H63,2)="SH",(1-L63)+$W$3,""))),0)</f>
        <v>0.3</v>
      </c>
      <c r="W63" s="298"/>
      <c r="X63" s="785">
        <f t="shared" ref="X63:X94" ca="1" si="27">IF(VLOOKUP($AD63,INDIRECT("'"&amp;$B63&amp;"'!"&amp;"$P$39:$AD$42"),11,FALSE)="Cf. the utilized electricity",0,VLOOKUP($AD63,INDIRECT("'"&amp;$B63&amp;"'!"&amp;"$P$39:$AD$42"),11,FALSE))</f>
        <v>8.3000000000000007</v>
      </c>
      <c r="Y63" s="299">
        <f t="shared" ref="Y63:Y80" ca="1" si="28">VLOOKUP($AD63,INDIRECT("'"&amp;$B63&amp;"'!"&amp;"$P$39:$AD$42"),12,FALSE)</f>
        <v>56</v>
      </c>
      <c r="Z63" s="299">
        <f t="shared" ref="Z63:Z80" ca="1" si="29">VLOOKUP($AD63,INDIRECT("'"&amp;$B63&amp;"'!"&amp;"$P$39:$AD$42"),13,FALSE)</f>
        <v>0.1</v>
      </c>
      <c r="AA63" s="299">
        <f t="shared" ref="AA63:AA80" ca="1" si="30">VLOOKUP($AD63,INDIRECT("'"&amp;$B63&amp;"'!"&amp;"$P$39:$AD$42"),14,FALSE)</f>
        <v>1</v>
      </c>
      <c r="AB63" s="299">
        <f t="shared" ref="AB63:AB80" ca="1" si="31">VLOOKUP($AD63,INDIRECT("'"&amp;$B63&amp;"'!"&amp;"$P$39:$AD$42"),15,FALSE)</f>
        <v>0.28999999999999998</v>
      </c>
      <c r="AD63" s="299">
        <v>2020</v>
      </c>
      <c r="AE63" s="299"/>
      <c r="AF63" s="220"/>
    </row>
    <row r="64" spans="2:32">
      <c r="B64" s="357" t="s">
        <v>920</v>
      </c>
      <c r="D64" s="212"/>
      <c r="E64" s="212"/>
      <c r="F64" s="224" t="s">
        <v>1149</v>
      </c>
      <c r="H64" s="174"/>
      <c r="I64" s="173" t="str">
        <f t="shared" si="22"/>
        <v>INDIWH</v>
      </c>
      <c r="J64" s="224">
        <f t="shared" ref="J64:J127" si="32">IF(AD64=2020,2011,AD64)</f>
        <v>2030</v>
      </c>
      <c r="K64" s="81"/>
      <c r="L64" s="199">
        <f t="shared" ca="1" si="23"/>
        <v>0.91</v>
      </c>
      <c r="M64" s="199"/>
      <c r="N64" s="81"/>
      <c r="O64" s="723">
        <f t="shared" ca="1" si="24"/>
        <v>3.4642500000000003</v>
      </c>
      <c r="P64" s="723">
        <f t="shared" ca="1" si="25"/>
        <v>2.98E-3</v>
      </c>
      <c r="Q64" s="81">
        <f t="shared" ca="1" si="26"/>
        <v>2.4729861111111116</v>
      </c>
      <c r="R64" s="300"/>
      <c r="S64" s="300"/>
      <c r="T64" s="300"/>
      <c r="U64" s="300"/>
      <c r="V64" s="199">
        <f ca="1">IF(IF(RIGHT(H63,2)="PH",(1-L64)+$W$2,IF(RIGHT(H63,2)="HT",(1-L64)+$W$1,IF(RIGHT(H63,2)="SH",(1-L64)+$W$3,"")))&gt;0,IF(RIGHT(H63,2)="PH",(1-L64)+$W$2,IF(RIGHT(H63,2)="HT",(1-L64)+$W$1,IF(RIGHT(H63,2)="SH",(1-L64)+$W$3,""))),0)</f>
        <v>0.28999999999999998</v>
      </c>
      <c r="W64" s="298"/>
      <c r="X64" s="698">
        <f t="shared" ca="1" si="27"/>
        <v>8.3000000000000007</v>
      </c>
      <c r="Y64" s="81">
        <f t="shared" ca="1" si="28"/>
        <v>45</v>
      </c>
      <c r="Z64" s="81">
        <f t="shared" ca="1" si="29"/>
        <v>0.1</v>
      </c>
      <c r="AA64" s="81">
        <f t="shared" ca="1" si="30"/>
        <v>1</v>
      </c>
      <c r="AB64" s="81">
        <f t="shared" ca="1" si="31"/>
        <v>0.28999999999999998</v>
      </c>
      <c r="AD64" s="81">
        <v>2030</v>
      </c>
      <c r="AE64" s="81"/>
      <c r="AF64" s="220"/>
    </row>
    <row r="65" spans="2:32">
      <c r="B65" s="357" t="s">
        <v>920</v>
      </c>
      <c r="D65" s="212"/>
      <c r="E65" s="212"/>
      <c r="F65" s="224" t="s">
        <v>1149</v>
      </c>
      <c r="H65" s="174"/>
      <c r="I65" s="173" t="str">
        <f t="shared" si="22"/>
        <v>INDIWH</v>
      </c>
      <c r="J65" s="224">
        <f t="shared" si="32"/>
        <v>2050</v>
      </c>
      <c r="K65" s="81"/>
      <c r="L65" s="199">
        <f t="shared" ca="1" si="23"/>
        <v>0.93</v>
      </c>
      <c r="M65" s="199"/>
      <c r="N65" s="81"/>
      <c r="O65" s="723">
        <f t="shared" ca="1" si="24"/>
        <v>3.3525</v>
      </c>
      <c r="P65" s="723">
        <f t="shared" ca="1" si="25"/>
        <v>2.98E-3</v>
      </c>
      <c r="Q65" s="81">
        <f t="shared" ca="1" si="26"/>
        <v>2.4936805555555561</v>
      </c>
      <c r="R65" s="300"/>
      <c r="S65" s="300"/>
      <c r="T65" s="300"/>
      <c r="U65" s="300"/>
      <c r="V65" s="199">
        <f ca="1">IF(IF(RIGHT(H63,2)="PH",(1-L65)+$W$2,IF(RIGHT(H63,2)="HT",(1-L65)+$W$1,IF(RIGHT(H63,2)="SH",(1-L65)+$W$3,"")))&gt;0,IF(RIGHT(H63,2)="PH",(1-L65)+$W$2,IF(RIGHT(H63,2)="HT",(1-L65)+$W$1,IF(RIGHT(H63,2)="SH",(1-L65)+$W$3,""))),0)</f>
        <v>0.26999999999999996</v>
      </c>
      <c r="W65" s="298"/>
      <c r="X65" s="698">
        <f t="shared" ca="1" si="27"/>
        <v>8.3000000000000007</v>
      </c>
      <c r="Y65" s="81">
        <f t="shared" ca="1" si="28"/>
        <v>11</v>
      </c>
      <c r="Z65" s="81">
        <f t="shared" ca="1" si="29"/>
        <v>0.1</v>
      </c>
      <c r="AA65" s="81">
        <f t="shared" ca="1" si="30"/>
        <v>1</v>
      </c>
      <c r="AB65" s="81">
        <f t="shared" ca="1" si="31"/>
        <v>0.28999999999999998</v>
      </c>
      <c r="AD65" s="81">
        <v>2050</v>
      </c>
      <c r="AE65" s="81"/>
      <c r="AF65" s="220"/>
    </row>
    <row r="66" spans="2:32">
      <c r="B66" s="357" t="s">
        <v>922</v>
      </c>
      <c r="D66" s="212" t="str">
        <f>"IND"&amp;RIGHT(H66,4)&amp;RIGHT(G66,3)&amp;"N"&amp;RIGHT(E66,1)</f>
        <v>INDIDPHELCN6</v>
      </c>
      <c r="E66" s="261" t="str">
        <f>"Industrial heating technology "&amp;$AJ$12&amp;" "&amp;RIGHT(H66,2)&amp;" - Dielectric heating - new 6"</f>
        <v>Industrial heating technology Mining PH - Dielectric heating - new 6</v>
      </c>
      <c r="F66" s="224" t="s">
        <v>1149</v>
      </c>
      <c r="G66" s="173" t="s">
        <v>499</v>
      </c>
      <c r="H66" s="174" t="str">
        <f>$AI$14</f>
        <v>IIDPH</v>
      </c>
      <c r="I66" s="173" t="str">
        <f t="shared" si="22"/>
        <v>INDIWH</v>
      </c>
      <c r="J66" s="224">
        <f t="shared" si="32"/>
        <v>2011</v>
      </c>
      <c r="K66" s="299">
        <v>2020</v>
      </c>
      <c r="L66" s="199">
        <f t="shared" ca="1" si="23"/>
        <v>0.95</v>
      </c>
      <c r="M66" s="199"/>
      <c r="N66" s="81">
        <f ca="1">VLOOKUP($AD66,INDIRECT("'"&amp;$B66&amp;"'!"&amp;"$P$39:$AD$42"),5,FALSE)</f>
        <v>30</v>
      </c>
      <c r="O66" s="723">
        <f t="shared" ca="1" si="24"/>
        <v>20.115000000000002</v>
      </c>
      <c r="P66" s="723">
        <f t="shared" ca="1" si="25"/>
        <v>0</v>
      </c>
      <c r="Q66" s="81">
        <f t="shared" ca="1" si="26"/>
        <v>94.828152777777774</v>
      </c>
      <c r="R66" s="81">
        <v>3.1536000000000002E-2</v>
      </c>
      <c r="S66" s="199">
        <v>0.5</v>
      </c>
      <c r="T66" s="199">
        <f ca="1">HLOOKUP($S$2,INDIRECT("'"&amp;$B66&amp;"'!"&amp;"$P$6:$AC$19"),IF(H66=$AI$13,6,IF(H66=$AI$14,9,14)),FALSE)</f>
        <v>0</v>
      </c>
      <c r="U66" s="772"/>
      <c r="V66" s="199">
        <f t="shared" ref="V66" ca="1" si="33">IF(IF(RIGHT(H66,2)="PH",(1-L66)+$W$2,IF(RIGHT(H66,2)="HT",(1-L66)+$W$1,IF(RIGHT(H66,2)="SH",(1-L66)+$W$3,"")))&gt;0,IF(RIGHT(H66,2)="PH",(1-L66)+$W$2,IF(RIGHT(H66,2)="HT",(1-L66)+$W$1,IF(RIGHT(H66,2)="SH",(1-L66)+$W$3,""))),0)</f>
        <v>0.25000000000000006</v>
      </c>
      <c r="W66" s="298"/>
      <c r="X66" s="698">
        <f t="shared" ca="1" si="27"/>
        <v>0</v>
      </c>
      <c r="Y66" s="81">
        <f t="shared" ca="1" si="28"/>
        <v>0</v>
      </c>
      <c r="Z66" s="81">
        <f t="shared" ca="1" si="29"/>
        <v>0</v>
      </c>
      <c r="AA66" s="81">
        <f t="shared" ca="1" si="30"/>
        <v>0</v>
      </c>
      <c r="AB66" s="81">
        <f t="shared" ca="1" si="31"/>
        <v>0</v>
      </c>
      <c r="AD66" s="81">
        <v>2020</v>
      </c>
      <c r="AE66" s="81"/>
      <c r="AF66" s="220"/>
    </row>
    <row r="67" spans="2:32">
      <c r="B67" s="357" t="s">
        <v>922</v>
      </c>
      <c r="D67" s="212"/>
      <c r="E67" s="212"/>
      <c r="F67" s="224" t="s">
        <v>1149</v>
      </c>
      <c r="H67" s="174"/>
      <c r="I67" s="173" t="str">
        <f t="shared" si="22"/>
        <v>INDIWH</v>
      </c>
      <c r="J67" s="224">
        <f t="shared" si="32"/>
        <v>2030</v>
      </c>
      <c r="K67" s="81"/>
      <c r="L67" s="199">
        <f t="shared" ca="1" si="23"/>
        <v>0.95</v>
      </c>
      <c r="M67" s="199"/>
      <c r="N67" s="81"/>
      <c r="O67" s="723">
        <f t="shared" ca="1" si="24"/>
        <v>19.511550000000003</v>
      </c>
      <c r="P67" s="723">
        <f t="shared" ca="1" si="25"/>
        <v>0</v>
      </c>
      <c r="Q67" s="81">
        <f t="shared" ca="1" si="26"/>
        <v>94.832291666666663</v>
      </c>
      <c r="R67" s="300"/>
      <c r="S67" s="300"/>
      <c r="T67" s="300"/>
      <c r="U67" s="300"/>
      <c r="V67" s="199">
        <f t="shared" ref="V67" ca="1" si="34">IF(IF(RIGHT(H66,2)="PH",(1-L67)+$W$2,IF(RIGHT(H66,2)="HT",(1-L67)+$W$1,IF(RIGHT(H66,2)="SH",(1-L67)+$W$3,"")))&gt;0,IF(RIGHT(H66,2)="PH",(1-L67)+$W$2,IF(RIGHT(H66,2)="HT",(1-L67)+$W$1,IF(RIGHT(H66,2)="SH",(1-L67)+$W$3,""))),0)</f>
        <v>0.25000000000000006</v>
      </c>
      <c r="W67" s="298"/>
      <c r="X67" s="698">
        <f t="shared" ca="1" si="27"/>
        <v>0</v>
      </c>
      <c r="Y67" s="81">
        <f t="shared" ca="1" si="28"/>
        <v>0</v>
      </c>
      <c r="Z67" s="81">
        <f t="shared" ca="1" si="29"/>
        <v>0</v>
      </c>
      <c r="AA67" s="81">
        <f t="shared" ca="1" si="30"/>
        <v>0</v>
      </c>
      <c r="AB67" s="81">
        <f t="shared" ca="1" si="31"/>
        <v>0</v>
      </c>
      <c r="AD67" s="81">
        <v>2030</v>
      </c>
      <c r="AE67" s="81"/>
      <c r="AF67" s="220"/>
    </row>
    <row r="68" spans="2:32">
      <c r="B68" s="357" t="s">
        <v>922</v>
      </c>
      <c r="D68" s="212"/>
      <c r="E68" s="212"/>
      <c r="F68" s="224" t="s">
        <v>1149</v>
      </c>
      <c r="H68" s="174"/>
      <c r="I68" s="173" t="str">
        <f t="shared" si="22"/>
        <v>INDIWH</v>
      </c>
      <c r="J68" s="224">
        <f t="shared" si="32"/>
        <v>2050</v>
      </c>
      <c r="K68" s="81"/>
      <c r="L68" s="199">
        <f t="shared" ca="1" si="23"/>
        <v>0.95</v>
      </c>
      <c r="M68" s="199"/>
      <c r="N68" s="81"/>
      <c r="O68" s="723">
        <f t="shared" ca="1" si="24"/>
        <v>18.1035</v>
      </c>
      <c r="P68" s="723">
        <f t="shared" ca="1" si="25"/>
        <v>0</v>
      </c>
      <c r="Q68" s="81">
        <f t="shared" ca="1" si="26"/>
        <v>94.834361111111107</v>
      </c>
      <c r="R68" s="300"/>
      <c r="S68" s="300"/>
      <c r="T68" s="300"/>
      <c r="U68" s="300"/>
      <c r="V68" s="199">
        <f t="shared" ref="V68" ca="1" si="35">IF(IF(RIGHT(H66,2)="PH",(1-L68)+$W$2,IF(RIGHT(H66,2)="HT",(1-L68)+$W$1,IF(RIGHT(H66,2)="SH",(1-L68)+$W$3,"")))&gt;0,IF(RIGHT(H66,2)="PH",(1-L68)+$W$2,IF(RIGHT(H66,2)="HT",(1-L68)+$W$1,IF(RIGHT(H66,2)="SH",(1-L68)+$W$3,""))),0)</f>
        <v>0.25000000000000006</v>
      </c>
      <c r="W68" s="298"/>
      <c r="X68" s="698">
        <f t="shared" ca="1" si="27"/>
        <v>0</v>
      </c>
      <c r="Y68" s="81">
        <f t="shared" ca="1" si="28"/>
        <v>0</v>
      </c>
      <c r="Z68" s="81">
        <f t="shared" ca="1" si="29"/>
        <v>0</v>
      </c>
      <c r="AA68" s="81">
        <f t="shared" ca="1" si="30"/>
        <v>0</v>
      </c>
      <c r="AB68" s="81">
        <f t="shared" ca="1" si="31"/>
        <v>0</v>
      </c>
      <c r="AD68" s="81">
        <v>2050</v>
      </c>
      <c r="AE68" s="81"/>
      <c r="AF68" s="220"/>
    </row>
    <row r="69" spans="2:32">
      <c r="B69" s="357" t="s">
        <v>1006</v>
      </c>
      <c r="D69" s="212" t="str">
        <f>"IND"&amp;RIGHT(H69,4)&amp;RIGHT(G69,3)&amp;"N"&amp;RIGHT(E69,1)</f>
        <v>INDIDPHELCN7</v>
      </c>
      <c r="E69" s="261" t="str">
        <f>"Industrial heating technology "&amp;$AJ$12&amp;" "&amp;RIGHT(H69,2)&amp;" - Infrared heating - new 7"</f>
        <v>Industrial heating technology Mining PH - Infrared heating - new 7</v>
      </c>
      <c r="F69" s="224" t="s">
        <v>1149</v>
      </c>
      <c r="G69" s="173" t="s">
        <v>499</v>
      </c>
      <c r="H69" s="174" t="str">
        <f>$AI$14</f>
        <v>IIDPH</v>
      </c>
      <c r="I69" s="173" t="str">
        <f t="shared" si="22"/>
        <v>INDIWH</v>
      </c>
      <c r="J69" s="224">
        <f t="shared" si="32"/>
        <v>2011</v>
      </c>
      <c r="K69" s="299">
        <v>2020</v>
      </c>
      <c r="L69" s="199">
        <f t="shared" ca="1" si="23"/>
        <v>0.96</v>
      </c>
      <c r="M69" s="199"/>
      <c r="N69" s="81">
        <f ca="1">VLOOKUP($AD69,INDIRECT("'"&amp;$B69&amp;"'!"&amp;"$P$39:$AD$42"),5,FALSE)</f>
        <v>30</v>
      </c>
      <c r="O69" s="723">
        <f t="shared" ca="1" si="24"/>
        <v>2.6074999999999999</v>
      </c>
      <c r="P69" s="723">
        <f t="shared" ca="1" si="25"/>
        <v>0</v>
      </c>
      <c r="Q69" s="81">
        <f t="shared" ca="1" si="26"/>
        <v>242.27606944444443</v>
      </c>
      <c r="R69" s="81">
        <v>3.1536000000000002E-2</v>
      </c>
      <c r="S69" s="199">
        <v>0.5</v>
      </c>
      <c r="T69" s="199">
        <f ca="1">HLOOKUP($S$2,INDIRECT("'"&amp;$B69&amp;"'!"&amp;"$P$6:$AC$19"),IF(H69=$AI$13,6,IF(H69=$AI$14,9,14)),FALSE)</f>
        <v>0</v>
      </c>
      <c r="U69" s="772"/>
      <c r="V69" s="199">
        <f t="shared" ref="V69" ca="1" si="36">IF(IF(RIGHT(H69,2)="PH",(1-L69)+$W$2,IF(RIGHT(H69,2)="HT",(1-L69)+$W$1,IF(RIGHT(H69,2)="SH",(1-L69)+$W$3,"")))&gt;0,IF(RIGHT(H69,2)="PH",(1-L69)+$W$2,IF(RIGHT(H69,2)="HT",(1-L69)+$W$1,IF(RIGHT(H69,2)="SH",(1-L69)+$W$3,""))),0)</f>
        <v>0.24000000000000005</v>
      </c>
      <c r="W69" s="298"/>
      <c r="X69" s="698">
        <f t="shared" ca="1" si="27"/>
        <v>0</v>
      </c>
      <c r="Y69" s="81">
        <f t="shared" ca="1" si="28"/>
        <v>0</v>
      </c>
      <c r="Z69" s="81">
        <f t="shared" ca="1" si="29"/>
        <v>0</v>
      </c>
      <c r="AA69" s="81">
        <f t="shared" ca="1" si="30"/>
        <v>0</v>
      </c>
      <c r="AB69" s="81">
        <f t="shared" ca="1" si="31"/>
        <v>0</v>
      </c>
      <c r="AD69" s="81">
        <v>2020</v>
      </c>
      <c r="AE69" s="81"/>
      <c r="AF69" s="220"/>
    </row>
    <row r="70" spans="2:32">
      <c r="B70" s="357" t="s">
        <v>1006</v>
      </c>
      <c r="D70" s="212"/>
      <c r="E70" s="212"/>
      <c r="F70" s="224" t="s">
        <v>1149</v>
      </c>
      <c r="H70" s="174"/>
      <c r="I70" s="173" t="str">
        <f t="shared" si="22"/>
        <v>INDIWH</v>
      </c>
      <c r="J70" s="224">
        <f t="shared" si="32"/>
        <v>2030</v>
      </c>
      <c r="K70" s="81"/>
      <c r="L70" s="199">
        <f t="shared" ca="1" si="23"/>
        <v>0.96</v>
      </c>
      <c r="M70" s="199"/>
      <c r="N70" s="81"/>
      <c r="O70" s="723">
        <f t="shared" ca="1" si="24"/>
        <v>2.5330000000000004</v>
      </c>
      <c r="P70" s="723">
        <f t="shared" ca="1" si="25"/>
        <v>0</v>
      </c>
      <c r="Q70" s="81">
        <f t="shared" ca="1" si="26"/>
        <v>242.28020833333332</v>
      </c>
      <c r="R70" s="300"/>
      <c r="S70" s="300"/>
      <c r="T70" s="300"/>
      <c r="U70" s="300"/>
      <c r="V70" s="199">
        <f t="shared" ref="V70" ca="1" si="37">IF(IF(RIGHT(H69,2)="PH",(1-L70)+$W$2,IF(RIGHT(H69,2)="HT",(1-L70)+$W$1,IF(RIGHT(H69,2)="SH",(1-L70)+$W$3,"")))&gt;0,IF(RIGHT(H69,2)="PH",(1-L70)+$W$2,IF(RIGHT(H69,2)="HT",(1-L70)+$W$1,IF(RIGHT(H69,2)="SH",(1-L70)+$W$3,""))),0)</f>
        <v>0.24000000000000005</v>
      </c>
      <c r="W70" s="298"/>
      <c r="X70" s="698">
        <f t="shared" ca="1" si="27"/>
        <v>0</v>
      </c>
      <c r="Y70" s="81">
        <f t="shared" ca="1" si="28"/>
        <v>0</v>
      </c>
      <c r="Z70" s="81">
        <f t="shared" ca="1" si="29"/>
        <v>0</v>
      </c>
      <c r="AA70" s="81">
        <f t="shared" ca="1" si="30"/>
        <v>0</v>
      </c>
      <c r="AB70" s="81">
        <f t="shared" ca="1" si="31"/>
        <v>0</v>
      </c>
      <c r="AD70" s="81">
        <v>2030</v>
      </c>
      <c r="AE70" s="81"/>
      <c r="AF70" s="220"/>
    </row>
    <row r="71" spans="2:32">
      <c r="B71" s="357" t="s">
        <v>1006</v>
      </c>
      <c r="D71" s="212"/>
      <c r="E71" s="212"/>
      <c r="F71" s="224" t="s">
        <v>1149</v>
      </c>
      <c r="H71" s="174"/>
      <c r="I71" s="174" t="str">
        <f t="shared" si="22"/>
        <v>INDIWH</v>
      </c>
      <c r="J71" s="224">
        <f t="shared" si="32"/>
        <v>2050</v>
      </c>
      <c r="K71" s="81"/>
      <c r="L71" s="199">
        <f t="shared" ca="1" si="23"/>
        <v>0.96</v>
      </c>
      <c r="M71" s="199"/>
      <c r="N71" s="81"/>
      <c r="O71" s="723">
        <f t="shared" ca="1" si="24"/>
        <v>2.3467500000000001</v>
      </c>
      <c r="P71" s="723">
        <f t="shared" ca="1" si="25"/>
        <v>0</v>
      </c>
      <c r="Q71" s="81">
        <f t="shared" ca="1" si="26"/>
        <v>242.28227777777775</v>
      </c>
      <c r="R71" s="300"/>
      <c r="S71" s="300"/>
      <c r="T71" s="300"/>
      <c r="U71" s="300"/>
      <c r="V71" s="199">
        <f t="shared" ref="V71" ca="1" si="38">IF(IF(RIGHT(H69,2)="PH",(1-L71)+$W$2,IF(RIGHT(H69,2)="HT",(1-L71)+$W$1,IF(RIGHT(H69,2)="SH",(1-L71)+$W$3,"")))&gt;0,IF(RIGHT(H69,2)="PH",(1-L71)+$W$2,IF(RIGHT(H69,2)="HT",(1-L71)+$W$1,IF(RIGHT(H69,2)="SH",(1-L71)+$W$3,""))),0)</f>
        <v>0.24000000000000005</v>
      </c>
      <c r="W71" s="298"/>
      <c r="X71" s="698">
        <f t="shared" ca="1" si="27"/>
        <v>0</v>
      </c>
      <c r="Y71" s="81">
        <f t="shared" ca="1" si="28"/>
        <v>0</v>
      </c>
      <c r="Z71" s="81">
        <f t="shared" ca="1" si="29"/>
        <v>0</v>
      </c>
      <c r="AA71" s="81">
        <f t="shared" ca="1" si="30"/>
        <v>0</v>
      </c>
      <c r="AB71" s="81">
        <f t="shared" ca="1" si="31"/>
        <v>0</v>
      </c>
      <c r="AD71" s="81">
        <v>2050</v>
      </c>
      <c r="AE71" s="81"/>
      <c r="AF71" s="220"/>
    </row>
    <row r="72" spans="2:32">
      <c r="B72" s="357" t="s">
        <v>1007</v>
      </c>
      <c r="D72" s="212" t="str">
        <f>"IND"&amp;RIGHT(H72,4)&amp;RIGHT(G72,3)&amp;"N"&amp;RIGHT(E72,1)</f>
        <v>INDIDPHELCN8</v>
      </c>
      <c r="E72" s="261" t="str">
        <f>"Industrial heating technology "&amp;$AJ$12&amp;" "&amp;RIGHT(H72,2)&amp;" - Electric boiler (Steam) - new 8"</f>
        <v>Industrial heating technology Mining PH - Electric boiler (Steam) - new 8</v>
      </c>
      <c r="F72" s="224" t="s">
        <v>1149</v>
      </c>
      <c r="G72" s="173" t="s">
        <v>499</v>
      </c>
      <c r="H72" s="174" t="str">
        <f>$AI$13</f>
        <v>IIDPH</v>
      </c>
      <c r="I72" s="174" t="str">
        <f t="shared" si="22"/>
        <v>INDIWH</v>
      </c>
      <c r="J72" s="224">
        <f t="shared" si="32"/>
        <v>2011</v>
      </c>
      <c r="K72" s="299">
        <v>2020</v>
      </c>
      <c r="L72" s="199">
        <f t="shared" ca="1" si="23"/>
        <v>0.99</v>
      </c>
      <c r="M72" s="199"/>
      <c r="N72" s="81">
        <f ca="1">VLOOKUP($AD72,INDIRECT("'"&amp;$B72&amp;"'!"&amp;"$P$39:$AD$42"),5,FALSE)</f>
        <v>25</v>
      </c>
      <c r="O72" s="723">
        <f t="shared" ca="1" si="24"/>
        <v>0.59599999999999997</v>
      </c>
      <c r="P72" s="723">
        <f t="shared" ca="1" si="25"/>
        <v>7.9714999999999994E-3</v>
      </c>
      <c r="Q72" s="81">
        <f t="shared" ca="1" si="26"/>
        <v>1.7900694444444445</v>
      </c>
      <c r="R72" s="81">
        <v>3.1536000000000002E-2</v>
      </c>
      <c r="S72" s="199">
        <v>0.5</v>
      </c>
      <c r="T72" s="199">
        <f ca="1">HLOOKUP($T$2,INDIRECT("'"&amp;$B72&amp;"'!"&amp;"$P$6:$AC$19"),IF(H72=$AI$13,6,IF(H72=$AI$14,9,14)),FALSE)</f>
        <v>1</v>
      </c>
      <c r="U72" s="772"/>
      <c r="V72" s="199">
        <f t="shared" ref="V72" ca="1" si="39">IF(IF(RIGHT(H72,2)="PH",(1-L72)+$W$2,IF(RIGHT(H72,2)="HT",(1-L72)+$W$1,IF(RIGHT(H72,2)="SH",(1-L72)+$W$3,"")))&gt;0,IF(RIGHT(H72,2)="PH",(1-L72)+$W$2,IF(RIGHT(H72,2)="HT",(1-L72)+$W$1,IF(RIGHT(H72,2)="SH",(1-L72)+$W$3,""))),0)</f>
        <v>0.21000000000000002</v>
      </c>
      <c r="W72" s="298"/>
      <c r="X72" s="698">
        <f t="shared" ca="1" si="27"/>
        <v>0</v>
      </c>
      <c r="Y72" s="81">
        <f t="shared" ca="1" si="28"/>
        <v>0</v>
      </c>
      <c r="Z72" s="81">
        <f t="shared" ca="1" si="29"/>
        <v>0</v>
      </c>
      <c r="AA72" s="81">
        <f t="shared" ca="1" si="30"/>
        <v>0</v>
      </c>
      <c r="AB72" s="81">
        <f t="shared" ca="1" si="31"/>
        <v>0</v>
      </c>
      <c r="AD72" s="81">
        <v>2020</v>
      </c>
      <c r="AE72" s="81"/>
      <c r="AF72" s="220"/>
    </row>
    <row r="73" spans="2:32">
      <c r="B73" s="357" t="s">
        <v>1007</v>
      </c>
      <c r="D73" s="212"/>
      <c r="E73" s="212"/>
      <c r="F73" s="224" t="s">
        <v>1149</v>
      </c>
      <c r="H73" s="174"/>
      <c r="I73" s="174" t="str">
        <f t="shared" si="22"/>
        <v>INDIWH</v>
      </c>
      <c r="J73" s="224">
        <f t="shared" si="32"/>
        <v>2030</v>
      </c>
      <c r="K73" s="81"/>
      <c r="L73" s="199">
        <f t="shared" ca="1" si="23"/>
        <v>0.99</v>
      </c>
      <c r="M73" s="199"/>
      <c r="N73" s="81"/>
      <c r="O73" s="723">
        <f t="shared" ca="1" si="24"/>
        <v>0.52150000000000007</v>
      </c>
      <c r="P73" s="723">
        <f t="shared" ca="1" si="25"/>
        <v>7.5989999999999999E-3</v>
      </c>
      <c r="Q73" s="81">
        <f t="shared" ca="1" si="26"/>
        <v>1.8107638888888888</v>
      </c>
      <c r="R73" s="300"/>
      <c r="S73" s="300"/>
      <c r="T73" s="300"/>
      <c r="U73" s="300"/>
      <c r="V73" s="199">
        <f t="shared" ref="V73" ca="1" si="40">IF(IF(RIGHT(H72,2)="PH",(1-L73)+$W$2,IF(RIGHT(H72,2)="HT",(1-L73)+$W$1,IF(RIGHT(H72,2)="SH",(1-L73)+$W$3,"")))&gt;0,IF(RIGHT(H72,2)="PH",(1-L73)+$W$2,IF(RIGHT(H72,2)="HT",(1-L73)+$W$1,IF(RIGHT(H72,2)="SH",(1-L73)+$W$3,""))),0)</f>
        <v>0.21000000000000002</v>
      </c>
      <c r="W73" s="298"/>
      <c r="X73" s="698">
        <f t="shared" ca="1" si="27"/>
        <v>0</v>
      </c>
      <c r="Y73" s="81">
        <f t="shared" ca="1" si="28"/>
        <v>0</v>
      </c>
      <c r="Z73" s="81">
        <f t="shared" ca="1" si="29"/>
        <v>0</v>
      </c>
      <c r="AA73" s="81">
        <f t="shared" ca="1" si="30"/>
        <v>0</v>
      </c>
      <c r="AB73" s="81">
        <f t="shared" ca="1" si="31"/>
        <v>0</v>
      </c>
      <c r="AD73" s="81">
        <v>2030</v>
      </c>
      <c r="AE73" s="81"/>
      <c r="AF73" s="220"/>
    </row>
    <row r="74" spans="2:32">
      <c r="B74" s="357" t="s">
        <v>1007</v>
      </c>
      <c r="D74" s="212"/>
      <c r="E74" s="212"/>
      <c r="F74" s="224" t="s">
        <v>1149</v>
      </c>
      <c r="H74" s="174"/>
      <c r="I74" s="174" t="str">
        <f t="shared" si="22"/>
        <v>INDIWH</v>
      </c>
      <c r="J74" s="224">
        <f t="shared" si="32"/>
        <v>2050</v>
      </c>
      <c r="K74" s="81"/>
      <c r="L74" s="199">
        <f t="shared" ca="1" si="23"/>
        <v>0.99</v>
      </c>
      <c r="M74" s="199"/>
      <c r="N74" s="81"/>
      <c r="O74" s="723">
        <f t="shared" ca="1" si="24"/>
        <v>0.52150000000000007</v>
      </c>
      <c r="P74" s="723">
        <f t="shared" ca="1" si="25"/>
        <v>6.8539999999999998E-3</v>
      </c>
      <c r="Q74" s="81">
        <f t="shared" ca="1" si="26"/>
        <v>1.6141666666666665</v>
      </c>
      <c r="R74" s="300"/>
      <c r="S74" s="300"/>
      <c r="T74" s="300"/>
      <c r="U74" s="300"/>
      <c r="V74" s="199">
        <f t="shared" ref="V74" ca="1" si="41">IF(IF(RIGHT(H72,2)="PH",(1-L74)+$W$2,IF(RIGHT(H72,2)="HT",(1-L74)+$W$1,IF(RIGHT(H72,2)="SH",(1-L74)+$W$3,"")))&gt;0,IF(RIGHT(H72,2)="PH",(1-L74)+$W$2,IF(RIGHT(H72,2)="HT",(1-L74)+$W$1,IF(RIGHT(H72,2)="SH",(1-L74)+$W$3,""))),0)</f>
        <v>0.21000000000000002</v>
      </c>
      <c r="W74" s="298"/>
      <c r="X74" s="698">
        <f t="shared" ca="1" si="27"/>
        <v>0</v>
      </c>
      <c r="Y74" s="81">
        <f t="shared" ca="1" si="28"/>
        <v>0</v>
      </c>
      <c r="Z74" s="81">
        <f t="shared" ca="1" si="29"/>
        <v>0</v>
      </c>
      <c r="AA74" s="81">
        <f t="shared" ca="1" si="30"/>
        <v>0</v>
      </c>
      <c r="AB74" s="81">
        <f t="shared" ca="1" si="31"/>
        <v>0</v>
      </c>
      <c r="AD74" s="81">
        <v>2050</v>
      </c>
      <c r="AE74" s="81"/>
      <c r="AF74" s="220"/>
    </row>
    <row r="75" spans="2:32">
      <c r="B75" s="357" t="s">
        <v>1007</v>
      </c>
      <c r="D75" s="212" t="str">
        <f>"IND"&amp;RIGHT(H75,4)&amp;RIGHT(G75,3)&amp;"N"&amp;RIGHT(E75,1)</f>
        <v>INDIDPHELCN8</v>
      </c>
      <c r="E75" s="261" t="str">
        <f>"Industrial heating technology "&amp;$AJ$12&amp;" "&amp;RIGHT(H75,2)&amp;" - Electric boiler (Steam) - new 8"</f>
        <v>Industrial heating technology Mining PH - Electric boiler (Steam) - new 8</v>
      </c>
      <c r="F75" s="224" t="s">
        <v>1149</v>
      </c>
      <c r="G75" s="173" t="s">
        <v>499</v>
      </c>
      <c r="H75" s="174" t="str">
        <f>$AI$14</f>
        <v>IIDPH</v>
      </c>
      <c r="I75" s="174" t="str">
        <f t="shared" si="22"/>
        <v>INDIWH</v>
      </c>
      <c r="J75" s="224">
        <f t="shared" si="32"/>
        <v>2011</v>
      </c>
      <c r="K75" s="299">
        <v>2020</v>
      </c>
      <c r="L75" s="199">
        <f t="shared" ca="1" si="23"/>
        <v>0.99</v>
      </c>
      <c r="M75" s="199"/>
      <c r="N75" s="81">
        <f ca="1">VLOOKUP($AD75,INDIRECT("'"&amp;$B75&amp;"'!"&amp;"$P$39:$AD$42"),5,FALSE)</f>
        <v>25</v>
      </c>
      <c r="O75" s="723">
        <f t="shared" ca="1" si="24"/>
        <v>0.59599999999999997</v>
      </c>
      <c r="P75" s="723">
        <f t="shared" ca="1" si="25"/>
        <v>7.9714999999999994E-3</v>
      </c>
      <c r="Q75" s="81">
        <f t="shared" ca="1" si="26"/>
        <v>1.7900694444444445</v>
      </c>
      <c r="R75" s="81">
        <v>3.1536000000000002E-2</v>
      </c>
      <c r="S75" s="199">
        <v>0.5</v>
      </c>
      <c r="T75" s="199">
        <f ca="1">HLOOKUP($T$2,INDIRECT("'"&amp;$B75&amp;"'!"&amp;"$P$6:$AC$19"),IF(H75=$AI$13,6,IF(H75=$AI$14,9,14)),FALSE)</f>
        <v>1</v>
      </c>
      <c r="U75" s="772"/>
      <c r="V75" s="199">
        <f t="shared" ref="V75" ca="1" si="42">IF(IF(RIGHT(H75,2)="PH",(1-L75)+$W$2,IF(RIGHT(H75,2)="HT",(1-L75)+$W$1,IF(RIGHT(H75,2)="SH",(1-L75)+$W$3,"")))&gt;0,IF(RIGHT(H75,2)="PH",(1-L75)+$W$2,IF(RIGHT(H75,2)="HT",(1-L75)+$W$1,IF(RIGHT(H75,2)="SH",(1-L75)+$W$3,""))),0)</f>
        <v>0.21000000000000002</v>
      </c>
      <c r="W75" s="298"/>
      <c r="X75" s="698">
        <f t="shared" ca="1" si="27"/>
        <v>0</v>
      </c>
      <c r="Y75" s="81">
        <f t="shared" ca="1" si="28"/>
        <v>0</v>
      </c>
      <c r="Z75" s="81">
        <f t="shared" ca="1" si="29"/>
        <v>0</v>
      </c>
      <c r="AA75" s="81">
        <f t="shared" ca="1" si="30"/>
        <v>0</v>
      </c>
      <c r="AB75" s="81">
        <f t="shared" ca="1" si="31"/>
        <v>0</v>
      </c>
      <c r="AD75" s="81">
        <v>2020</v>
      </c>
      <c r="AE75" s="81"/>
      <c r="AF75" s="220"/>
    </row>
    <row r="76" spans="2:32">
      <c r="B76" s="357" t="s">
        <v>1007</v>
      </c>
      <c r="D76" s="212"/>
      <c r="E76" s="212"/>
      <c r="F76" s="224" t="s">
        <v>1149</v>
      </c>
      <c r="H76" s="174"/>
      <c r="I76" s="174" t="str">
        <f t="shared" si="22"/>
        <v>INDIWH</v>
      </c>
      <c r="J76" s="224">
        <f t="shared" si="32"/>
        <v>2030</v>
      </c>
      <c r="K76" s="81"/>
      <c r="L76" s="199">
        <f t="shared" ca="1" si="23"/>
        <v>0.99</v>
      </c>
      <c r="M76" s="199"/>
      <c r="N76" s="81"/>
      <c r="O76" s="723">
        <f t="shared" ca="1" si="24"/>
        <v>0.52150000000000007</v>
      </c>
      <c r="P76" s="723">
        <f t="shared" ca="1" si="25"/>
        <v>7.5989999999999999E-3</v>
      </c>
      <c r="Q76" s="81">
        <f t="shared" ca="1" si="26"/>
        <v>1.8107638888888888</v>
      </c>
      <c r="R76" s="300"/>
      <c r="S76" s="300"/>
      <c r="T76" s="300"/>
      <c r="U76" s="300"/>
      <c r="V76" s="199">
        <f t="shared" ref="V76" ca="1" si="43">IF(IF(RIGHT(H75,2)="PH",(1-L76)+$W$2,IF(RIGHT(H75,2)="HT",(1-L76)+$W$1,IF(RIGHT(H75,2)="SH",(1-L76)+$W$3,"")))&gt;0,IF(RIGHT(H75,2)="PH",(1-L76)+$W$2,IF(RIGHT(H75,2)="HT",(1-L76)+$W$1,IF(RIGHT(H75,2)="SH",(1-L76)+$W$3,""))),0)</f>
        <v>0.21000000000000002</v>
      </c>
      <c r="W76" s="298"/>
      <c r="X76" s="698">
        <f t="shared" ca="1" si="27"/>
        <v>0</v>
      </c>
      <c r="Y76" s="81">
        <f t="shared" ca="1" si="28"/>
        <v>0</v>
      </c>
      <c r="Z76" s="81">
        <f t="shared" ca="1" si="29"/>
        <v>0</v>
      </c>
      <c r="AA76" s="81">
        <f t="shared" ca="1" si="30"/>
        <v>0</v>
      </c>
      <c r="AB76" s="81">
        <f t="shared" ca="1" si="31"/>
        <v>0</v>
      </c>
      <c r="AD76" s="81">
        <v>2030</v>
      </c>
      <c r="AE76" s="81"/>
      <c r="AF76" s="220"/>
    </row>
    <row r="77" spans="2:32">
      <c r="B77" s="357" t="s">
        <v>1007</v>
      </c>
      <c r="D77" s="212"/>
      <c r="E77" s="212"/>
      <c r="F77" s="224" t="s">
        <v>1149</v>
      </c>
      <c r="H77" s="174"/>
      <c r="I77" s="174" t="str">
        <f t="shared" si="22"/>
        <v>INDIWH</v>
      </c>
      <c r="J77" s="224">
        <f t="shared" si="32"/>
        <v>2050</v>
      </c>
      <c r="K77" s="81"/>
      <c r="L77" s="199">
        <f t="shared" ca="1" si="23"/>
        <v>0.99</v>
      </c>
      <c r="M77" s="199"/>
      <c r="N77" s="81"/>
      <c r="O77" s="723">
        <f t="shared" ca="1" si="24"/>
        <v>0.52150000000000007</v>
      </c>
      <c r="P77" s="723">
        <f t="shared" ca="1" si="25"/>
        <v>6.8539999999999998E-3</v>
      </c>
      <c r="Q77" s="81">
        <f t="shared" ca="1" si="26"/>
        <v>1.6141666666666665</v>
      </c>
      <c r="R77" s="300"/>
      <c r="S77" s="300"/>
      <c r="T77" s="300"/>
      <c r="U77" s="300"/>
      <c r="V77" s="199">
        <f t="shared" ref="V77" ca="1" si="44">IF(IF(RIGHT(H75,2)="PH",(1-L77)+$W$2,IF(RIGHT(H75,2)="HT",(1-L77)+$W$1,IF(RIGHT(H75,2)="SH",(1-L77)+$W$3,"")))&gt;0,IF(RIGHT(H75,2)="PH",(1-L77)+$W$2,IF(RIGHT(H75,2)="HT",(1-L77)+$W$1,IF(RIGHT(H75,2)="SH",(1-L77)+$W$3,""))),0)</f>
        <v>0.21000000000000002</v>
      </c>
      <c r="W77" s="298"/>
      <c r="X77" s="698">
        <f t="shared" ca="1" si="27"/>
        <v>0</v>
      </c>
      <c r="Y77" s="81">
        <f t="shared" ca="1" si="28"/>
        <v>0</v>
      </c>
      <c r="Z77" s="81">
        <f t="shared" ca="1" si="29"/>
        <v>0</v>
      </c>
      <c r="AA77" s="81">
        <f t="shared" ca="1" si="30"/>
        <v>0</v>
      </c>
      <c r="AB77" s="81">
        <f t="shared" ca="1" si="31"/>
        <v>0</v>
      </c>
      <c r="AD77" s="81">
        <v>2050</v>
      </c>
      <c r="AE77" s="706"/>
      <c r="AF77" s="220"/>
    </row>
    <row r="78" spans="2:32">
      <c r="B78" s="357" t="s">
        <v>1007</v>
      </c>
      <c r="D78" s="212" t="str">
        <f>"IND"&amp;RIGHT(H78,4)&amp;RIGHT(G78,3)&amp;"N"&amp;RIGHT(E78,1)</f>
        <v>INDIDSHELCN8</v>
      </c>
      <c r="E78" s="261" t="str">
        <f>"Industrial heating technology "&amp;$AJ$12&amp;" "&amp;RIGHT(H78,2)&amp;" - Electric boiler (Steam) - new 8"</f>
        <v>Industrial heating technology Mining SH - Electric boiler (Steam) - new 8</v>
      </c>
      <c r="F78" s="224" t="s">
        <v>1149</v>
      </c>
      <c r="G78" s="173" t="s">
        <v>499</v>
      </c>
      <c r="H78" s="174" t="str">
        <f>$AI$15</f>
        <v>IIDSH</v>
      </c>
      <c r="I78" s="174" t="str">
        <f t="shared" si="22"/>
        <v>INDIWH</v>
      </c>
      <c r="J78" s="224">
        <f t="shared" si="32"/>
        <v>2011</v>
      </c>
      <c r="K78" s="299">
        <v>2020</v>
      </c>
      <c r="L78" s="199">
        <f t="shared" ca="1" si="23"/>
        <v>0.99</v>
      </c>
      <c r="M78" s="199"/>
      <c r="N78" s="81">
        <f ca="1">VLOOKUP($AD78,INDIRECT("'"&amp;$B78&amp;"'!"&amp;"$P$39:$AD$42"),5,FALSE)</f>
        <v>25</v>
      </c>
      <c r="O78" s="723">
        <f t="shared" ca="1" si="24"/>
        <v>0.59599999999999997</v>
      </c>
      <c r="P78" s="723">
        <f t="shared" ca="1" si="25"/>
        <v>7.9714999999999994E-3</v>
      </c>
      <c r="Q78" s="81">
        <f t="shared" ca="1" si="26"/>
        <v>1.7900694444444445</v>
      </c>
      <c r="R78" s="81">
        <v>3.1536000000000002E-2</v>
      </c>
      <c r="S78" s="199">
        <v>0.5</v>
      </c>
      <c r="T78" s="199">
        <f ca="1">HLOOKUP($T$2,INDIRECT("'"&amp;$B78&amp;"'!"&amp;"$P$6:$AC$19"),IF(H78=$AI$13,6,IF(H78=$AI$14,9,14)),FALSE)</f>
        <v>1</v>
      </c>
      <c r="U78" s="772"/>
      <c r="V78" s="199">
        <f t="shared" ref="V78" ca="1" si="45">IF(IF(RIGHT(H78,2)="PH",(1-L78)+$W$2,IF(RIGHT(H78,2)="HT",(1-L78)+$W$1,IF(RIGHT(H78,2)="SH",(1-L78)+$W$3,"")))&gt;0,IF(RIGHT(H78,2)="PH",(1-L78)+$W$2,IF(RIGHT(H78,2)="HT",(1-L78)+$W$1,IF(RIGHT(H78,2)="SH",(1-L78)+$W$3,""))),0)</f>
        <v>1.0000000000000009E-2</v>
      </c>
      <c r="W78" s="298"/>
      <c r="X78" s="698">
        <f t="shared" ca="1" si="27"/>
        <v>0</v>
      </c>
      <c r="Y78" s="81">
        <f t="shared" ca="1" si="28"/>
        <v>0</v>
      </c>
      <c r="Z78" s="81">
        <f t="shared" ca="1" si="29"/>
        <v>0</v>
      </c>
      <c r="AA78" s="81">
        <f t="shared" ca="1" si="30"/>
        <v>0</v>
      </c>
      <c r="AB78" s="81">
        <f t="shared" ca="1" si="31"/>
        <v>0</v>
      </c>
      <c r="AC78" s="296"/>
      <c r="AD78" s="81">
        <v>2020</v>
      </c>
      <c r="AE78" s="81"/>
      <c r="AF78" s="710"/>
    </row>
    <row r="79" spans="2:32">
      <c r="B79" s="357" t="s">
        <v>1007</v>
      </c>
      <c r="D79" s="212"/>
      <c r="E79" s="212"/>
      <c r="F79" s="224" t="s">
        <v>1149</v>
      </c>
      <c r="H79" s="174"/>
      <c r="I79" s="174" t="str">
        <f t="shared" si="22"/>
        <v>INDIWH</v>
      </c>
      <c r="J79" s="224">
        <f t="shared" si="32"/>
        <v>2030</v>
      </c>
      <c r="K79" s="81"/>
      <c r="L79" s="199">
        <f t="shared" ca="1" si="23"/>
        <v>0.99</v>
      </c>
      <c r="M79" s="199"/>
      <c r="N79" s="81"/>
      <c r="O79" s="723">
        <f t="shared" ca="1" si="24"/>
        <v>0.52150000000000007</v>
      </c>
      <c r="P79" s="723">
        <f t="shared" ca="1" si="25"/>
        <v>7.5989999999999999E-3</v>
      </c>
      <c r="Q79" s="81">
        <f t="shared" ca="1" si="26"/>
        <v>1.8107638888888888</v>
      </c>
      <c r="R79" s="300"/>
      <c r="S79" s="300"/>
      <c r="T79" s="300"/>
      <c r="U79" s="300"/>
      <c r="V79" s="199">
        <f t="shared" ref="V79" ca="1" si="46">IF(IF(RIGHT(H78,2)="PH",(1-L79)+$W$2,IF(RIGHT(H78,2)="HT",(1-L79)+$W$1,IF(RIGHT(H78,2)="SH",(1-L79)+$W$3,"")))&gt;0,IF(RIGHT(H78,2)="PH",(1-L79)+$W$2,IF(RIGHT(H78,2)="HT",(1-L79)+$W$1,IF(RIGHT(H78,2)="SH",(1-L79)+$W$3,""))),0)</f>
        <v>1.0000000000000009E-2</v>
      </c>
      <c r="W79" s="298"/>
      <c r="X79" s="698">
        <f t="shared" ca="1" si="27"/>
        <v>0</v>
      </c>
      <c r="Y79" s="81">
        <f t="shared" ca="1" si="28"/>
        <v>0</v>
      </c>
      <c r="Z79" s="81">
        <f t="shared" ca="1" si="29"/>
        <v>0</v>
      </c>
      <c r="AA79" s="81">
        <f t="shared" ca="1" si="30"/>
        <v>0</v>
      </c>
      <c r="AB79" s="81">
        <f t="shared" ca="1" si="31"/>
        <v>0</v>
      </c>
      <c r="AC79" s="55"/>
      <c r="AD79" s="81">
        <v>2030</v>
      </c>
      <c r="AE79" s="81"/>
      <c r="AF79" s="700"/>
    </row>
    <row r="80" spans="2:32">
      <c r="B80" s="357" t="s">
        <v>1007</v>
      </c>
      <c r="D80" s="212"/>
      <c r="E80" s="212"/>
      <c r="F80" s="224" t="s">
        <v>1149</v>
      </c>
      <c r="H80" s="174"/>
      <c r="I80" s="174" t="str">
        <f t="shared" si="22"/>
        <v>INDIWH</v>
      </c>
      <c r="J80" s="224">
        <f t="shared" si="32"/>
        <v>2050</v>
      </c>
      <c r="K80" s="706"/>
      <c r="L80" s="199">
        <f t="shared" ca="1" si="23"/>
        <v>0.99</v>
      </c>
      <c r="M80" s="774"/>
      <c r="N80" s="706"/>
      <c r="O80" s="724">
        <f t="shared" ca="1" si="24"/>
        <v>0.52150000000000007</v>
      </c>
      <c r="P80" s="724">
        <f t="shared" ca="1" si="25"/>
        <v>6.8539999999999998E-3</v>
      </c>
      <c r="Q80" s="706">
        <f t="shared" ca="1" si="26"/>
        <v>1.6141666666666665</v>
      </c>
      <c r="R80" s="300"/>
      <c r="S80" s="300"/>
      <c r="T80" s="300"/>
      <c r="U80" s="300"/>
      <c r="V80" s="199">
        <f t="shared" ref="V80" ca="1" si="47">IF(IF(RIGHT(H78,2)="PH",(1-L80)+$W$2,IF(RIGHT(H78,2)="HT",(1-L80)+$W$1,IF(RIGHT(H78,2)="SH",(1-L80)+$W$3,"")))&gt;0,IF(RIGHT(H78,2)="PH",(1-L80)+$W$2,IF(RIGHT(H78,2)="HT",(1-L80)+$W$1,IF(RIGHT(H78,2)="SH",(1-L80)+$W$3,""))),0)</f>
        <v>1.0000000000000009E-2</v>
      </c>
      <c r="W80" s="298"/>
      <c r="X80" s="698">
        <f t="shared" ca="1" si="27"/>
        <v>0</v>
      </c>
      <c r="Y80" s="706">
        <f t="shared" ca="1" si="28"/>
        <v>0</v>
      </c>
      <c r="Z80" s="706">
        <f t="shared" ca="1" si="29"/>
        <v>0</v>
      </c>
      <c r="AA80" s="706">
        <f t="shared" ca="1" si="30"/>
        <v>0</v>
      </c>
      <c r="AB80" s="706">
        <f t="shared" ca="1" si="31"/>
        <v>0</v>
      </c>
      <c r="AC80" s="55"/>
      <c r="AD80" s="706">
        <v>2050</v>
      </c>
      <c r="AE80" s="81"/>
      <c r="AF80" s="700"/>
    </row>
    <row r="81" spans="1:33">
      <c r="B81" s="716" t="s">
        <v>1007</v>
      </c>
      <c r="C81" s="296"/>
      <c r="D81" s="707" t="str">
        <f>"IND"&amp;RIGHT(H81,4)&amp;RIGHT(G81,3)&amp;"N"&amp;RIGHT(E81,1)</f>
        <v>INDIDPHELCN9</v>
      </c>
      <c r="E81" s="707" t="str">
        <f>"Industrial heating technology "&amp;$AJ$12&amp;" "&amp;RIGHT(H81,2)&amp;" - Electric boiler (Hot Water) - new 9"</f>
        <v>Industrial heating technology Mining PH - Electric boiler (Hot Water) - new 9</v>
      </c>
      <c r="F81" s="224" t="s">
        <v>1149</v>
      </c>
      <c r="G81" s="708" t="s">
        <v>499</v>
      </c>
      <c r="H81" s="708" t="str">
        <f>$AI$14</f>
        <v>IIDPH</v>
      </c>
      <c r="I81" s="708" t="str">
        <f t="shared" si="22"/>
        <v>INDIWH</v>
      </c>
      <c r="J81" s="224">
        <f t="shared" si="32"/>
        <v>2011</v>
      </c>
      <c r="K81" s="299">
        <v>2020</v>
      </c>
      <c r="L81" s="199">
        <f t="shared" ref="L81:L86" ca="1" si="48">VLOOKUP($AD81,INDIRECT("'"&amp;$B81&amp;"'!"&amp;"$P$118:$AD$121"),3,FALSE)</f>
        <v>0.99</v>
      </c>
      <c r="M81" s="199"/>
      <c r="N81" s="81">
        <f ca="1">VLOOKUP($AD81,INDIRECT("'"&amp;$B81&amp;"'!"&amp;"$P$118:$AD$121"),5,FALSE)</f>
        <v>25</v>
      </c>
      <c r="O81" s="723">
        <f t="shared" ref="O81:O86" ca="1" si="49">VLOOKUP($AD81,INDIRECT("'"&amp;$B81&amp;"'!"&amp;"$P$118:$AD$121"),6,FALSE)/1000</f>
        <v>0.52150000000000007</v>
      </c>
      <c r="P81" s="723">
        <f t="shared" ref="P81:P86" ca="1" si="50">VLOOKUP($AD81,INDIRECT("'"&amp;$B81&amp;"'!"&amp;"$P$118:$AD$121"),7,FALSE)/1000</f>
        <v>7.9714999999999994E-3</v>
      </c>
      <c r="Q81" s="81">
        <f t="shared" ref="Q81:Q86" ca="1" si="51">VLOOKUP($AD81,INDIRECT("'"&amp;$B81&amp;"'!"&amp;"$P$118:$AD$121"),8,FALSE)</f>
        <v>1.7900694444444445</v>
      </c>
      <c r="R81" s="81">
        <v>3.1536000000000002E-2</v>
      </c>
      <c r="S81" s="199">
        <v>0.5</v>
      </c>
      <c r="T81" s="199">
        <f ca="1">HLOOKUP($T$2,INDIRECT("'"&amp;$B81&amp;"'!"&amp;"$P$85:$AC$98"),IF(H81=$AI$13,6,IF(H81=$AI$14,9,14)),FALSE)</f>
        <v>0</v>
      </c>
      <c r="U81" s="773"/>
      <c r="V81" s="199">
        <f t="shared" ref="V81" ca="1" si="52">IF(IF(RIGHT(H81,2)="PH",(1-L81)+$W$2,IF(RIGHT(H81,2)="HT",(1-L81)+$W$1,IF(RIGHT(H81,2)="SH",(1-L81)+$W$3,"")))&gt;0,IF(RIGHT(H81,2)="PH",(1-L81)+$W$2,IF(RIGHT(H81,2)="HT",(1-L81)+$W$1,IF(RIGHT(H81,2)="SH",(1-L81)+$W$3,""))),0)</f>
        <v>0.21000000000000002</v>
      </c>
      <c r="W81" s="709"/>
      <c r="X81" s="698">
        <f t="shared" ca="1" si="27"/>
        <v>0</v>
      </c>
      <c r="Y81" s="698">
        <f t="shared" ref="Y81:Y86" ca="1" si="53">VLOOKUP($AD81,INDIRECT("'"&amp;$B81&amp;"'!"&amp;"$P$118:$AD$121"),12,FALSE)</f>
        <v>0</v>
      </c>
      <c r="Z81" s="698">
        <f t="shared" ref="Z81:Z86" ca="1" si="54">VLOOKUP($AD81,INDIRECT("'"&amp;$B81&amp;"'!"&amp;"$P$118:$AD$121"),13,FALSE)</f>
        <v>0</v>
      </c>
      <c r="AA81" s="698">
        <f t="shared" ref="AA81:AA86" ca="1" si="55">VLOOKUP($AD81,INDIRECT("'"&amp;$B81&amp;"'!"&amp;"$P$118:$AD$121"),14,FALSE)</f>
        <v>0</v>
      </c>
      <c r="AB81" s="698">
        <f t="shared" ref="AB81:AB86" ca="1" si="56">VLOOKUP($AD81,INDIRECT("'"&amp;$B81&amp;"'!"&amp;"$P$118:$AD$121"),15,FALSE)</f>
        <v>0</v>
      </c>
      <c r="AC81" s="55"/>
      <c r="AD81" s="81">
        <v>2020</v>
      </c>
      <c r="AE81" s="81"/>
      <c r="AF81" s="700"/>
    </row>
    <row r="82" spans="1:33">
      <c r="B82" s="357" t="s">
        <v>1007</v>
      </c>
      <c r="C82" s="55"/>
      <c r="D82" s="261"/>
      <c r="E82" s="261"/>
      <c r="F82" s="224" t="s">
        <v>1149</v>
      </c>
      <c r="G82" s="55"/>
      <c r="H82" s="174"/>
      <c r="I82" s="174" t="str">
        <f t="shared" si="22"/>
        <v>INDIWH</v>
      </c>
      <c r="J82" s="224">
        <f t="shared" si="32"/>
        <v>2030</v>
      </c>
      <c r="K82" s="81"/>
      <c r="L82" s="199">
        <f t="shared" ca="1" si="48"/>
        <v>0.99</v>
      </c>
      <c r="M82" s="199"/>
      <c r="N82" s="81"/>
      <c r="O82" s="723">
        <f t="shared" ca="1" si="49"/>
        <v>0.44700000000000001</v>
      </c>
      <c r="P82" s="723">
        <f t="shared" ca="1" si="50"/>
        <v>7.5989999999999999E-3</v>
      </c>
      <c r="Q82" s="81">
        <f t="shared" ca="1" si="51"/>
        <v>1.8107638888888888</v>
      </c>
      <c r="R82" s="300"/>
      <c r="S82" s="300"/>
      <c r="T82" s="300"/>
      <c r="U82" s="300"/>
      <c r="V82" s="199">
        <f t="shared" ref="V82" ca="1" si="57">IF(IF(RIGHT(H81,2)="PH",(1-L82)+$W$2,IF(RIGHT(H81,2)="HT",(1-L82)+$W$1,IF(RIGHT(H81,2)="SH",(1-L82)+$W$3,"")))&gt;0,IF(RIGHT(H81,2)="PH",(1-L82)+$W$2,IF(RIGHT(H81,2)="HT",(1-L82)+$W$1,IF(RIGHT(H81,2)="SH",(1-L82)+$W$3,""))),0)</f>
        <v>0.21000000000000002</v>
      </c>
      <c r="W82" s="298"/>
      <c r="X82" s="698">
        <f t="shared" ca="1" si="27"/>
        <v>0</v>
      </c>
      <c r="Y82" s="698">
        <f t="shared" ca="1" si="53"/>
        <v>0</v>
      </c>
      <c r="Z82" s="698">
        <f t="shared" ca="1" si="54"/>
        <v>0</v>
      </c>
      <c r="AA82" s="698">
        <f t="shared" ca="1" si="55"/>
        <v>0</v>
      </c>
      <c r="AB82" s="698">
        <f t="shared" ca="1" si="56"/>
        <v>0</v>
      </c>
      <c r="AC82" s="55"/>
      <c r="AD82" s="81">
        <v>2030</v>
      </c>
      <c r="AE82" s="81"/>
      <c r="AF82" s="700"/>
    </row>
    <row r="83" spans="1:33">
      <c r="B83" s="357" t="s">
        <v>1007</v>
      </c>
      <c r="C83" s="55"/>
      <c r="D83" s="261"/>
      <c r="E83" s="261"/>
      <c r="F83" s="224" t="s">
        <v>1149</v>
      </c>
      <c r="G83" s="55"/>
      <c r="H83" s="174"/>
      <c r="I83" s="174" t="str">
        <f t="shared" si="22"/>
        <v>INDIWH</v>
      </c>
      <c r="J83" s="224">
        <f t="shared" si="32"/>
        <v>2050</v>
      </c>
      <c r="K83" s="81"/>
      <c r="L83" s="199">
        <f t="shared" ca="1" si="48"/>
        <v>0.99</v>
      </c>
      <c r="M83" s="199"/>
      <c r="N83" s="81"/>
      <c r="O83" s="723">
        <f t="shared" ca="1" si="49"/>
        <v>0.44700000000000001</v>
      </c>
      <c r="P83" s="723">
        <f t="shared" ca="1" si="50"/>
        <v>6.8539999999999998E-3</v>
      </c>
      <c r="Q83" s="81">
        <f t="shared" ca="1" si="51"/>
        <v>1.6141666666666665</v>
      </c>
      <c r="R83" s="300"/>
      <c r="S83" s="300"/>
      <c r="T83" s="300"/>
      <c r="U83" s="300"/>
      <c r="V83" s="199">
        <f t="shared" ref="V83" ca="1" si="58">IF(IF(RIGHT(H81,2)="PH",(1-L83)+$W$2,IF(RIGHT(H81,2)="HT",(1-L83)+$W$1,IF(RIGHT(H81,2)="SH",(1-L83)+$W$3,"")))&gt;0,IF(RIGHT(H81,2)="PH",(1-L83)+$W$2,IF(RIGHT(H81,2)="HT",(1-L83)+$W$1,IF(RIGHT(H81,2)="SH",(1-L83)+$W$3,""))),0)</f>
        <v>0.21000000000000002</v>
      </c>
      <c r="W83" s="298"/>
      <c r="X83" s="698">
        <f t="shared" ca="1" si="27"/>
        <v>0</v>
      </c>
      <c r="Y83" s="698">
        <f t="shared" ca="1" si="53"/>
        <v>0</v>
      </c>
      <c r="Z83" s="698">
        <f t="shared" ca="1" si="54"/>
        <v>0</v>
      </c>
      <c r="AA83" s="698">
        <f t="shared" ca="1" si="55"/>
        <v>0</v>
      </c>
      <c r="AB83" s="698">
        <f t="shared" ca="1" si="56"/>
        <v>0</v>
      </c>
      <c r="AC83" s="203"/>
      <c r="AD83" s="81">
        <v>2050</v>
      </c>
      <c r="AE83" s="81"/>
      <c r="AF83" s="705"/>
    </row>
    <row r="84" spans="1:33">
      <c r="B84" s="357" t="s">
        <v>1007</v>
      </c>
      <c r="C84" s="55"/>
      <c r="D84" s="261" t="str">
        <f>"IND"&amp;RIGHT(H84,4)&amp;RIGHT(G84,3)&amp;"N"&amp;RIGHT(E84,1)</f>
        <v>INDIDSHELCN9</v>
      </c>
      <c r="E84" s="261" t="str">
        <f>"Industrial heating technology "&amp;$AJ$12&amp;" "&amp;RIGHT(H84,2)&amp;" - Electric boiler (Hot Water) - new 9"</f>
        <v>Industrial heating technology Mining SH - Electric boiler (Hot Water) - new 9</v>
      </c>
      <c r="F84" s="224" t="s">
        <v>1149</v>
      </c>
      <c r="G84" s="174" t="s">
        <v>499</v>
      </c>
      <c r="H84" s="174" t="str">
        <f>$AI$15</f>
        <v>IIDSH</v>
      </c>
      <c r="I84" s="174" t="str">
        <f t="shared" si="22"/>
        <v>INDIWH</v>
      </c>
      <c r="J84" s="224">
        <f t="shared" si="32"/>
        <v>2011</v>
      </c>
      <c r="K84" s="299">
        <v>2020</v>
      </c>
      <c r="L84" s="199">
        <f t="shared" ca="1" si="48"/>
        <v>0.99</v>
      </c>
      <c r="M84" s="199"/>
      <c r="N84" s="81">
        <f ca="1">VLOOKUP($AD84,INDIRECT("'"&amp;$B84&amp;"'!"&amp;"$P$118:$AD$121"),5,FALSE)</f>
        <v>25</v>
      </c>
      <c r="O84" s="723">
        <f t="shared" ca="1" si="49"/>
        <v>0.52150000000000007</v>
      </c>
      <c r="P84" s="723">
        <f t="shared" ca="1" si="50"/>
        <v>7.9714999999999994E-3</v>
      </c>
      <c r="Q84" s="81">
        <f t="shared" ca="1" si="51"/>
        <v>1.7900694444444445</v>
      </c>
      <c r="R84" s="81">
        <v>3.1536000000000002E-2</v>
      </c>
      <c r="S84" s="199">
        <v>0.5</v>
      </c>
      <c r="T84" s="199">
        <f ca="1">HLOOKUP($T$2,INDIRECT("'"&amp;$B84&amp;"'!"&amp;"$P$85:$AC$98"),IF(H84=$AI$13,6,IF(H84=$AI$14,9,14)),FALSE)</f>
        <v>1</v>
      </c>
      <c r="U84" s="772"/>
      <c r="V84" s="199">
        <f t="shared" ref="V84" ca="1" si="59">IF(IF(RIGHT(H84,2)="PH",(1-L84)+$W$2,IF(RIGHT(H84,2)="HT",(1-L84)+$W$1,IF(RIGHT(H84,2)="SH",(1-L84)+$W$3,"")))&gt;0,IF(RIGHT(H84,2)="PH",(1-L84)+$W$2,IF(RIGHT(H84,2)="HT",(1-L84)+$W$1,IF(RIGHT(H84,2)="SH",(1-L84)+$W$3,""))),0)</f>
        <v>1.0000000000000009E-2</v>
      </c>
      <c r="W84" s="298"/>
      <c r="X84" s="698">
        <f t="shared" ca="1" si="27"/>
        <v>0</v>
      </c>
      <c r="Y84" s="698">
        <f t="shared" ca="1" si="53"/>
        <v>0</v>
      </c>
      <c r="Z84" s="698">
        <f t="shared" ca="1" si="54"/>
        <v>0</v>
      </c>
      <c r="AA84" s="698">
        <f t="shared" ca="1" si="55"/>
        <v>0</v>
      </c>
      <c r="AB84" s="698">
        <f t="shared" ca="1" si="56"/>
        <v>0</v>
      </c>
      <c r="AD84" s="81">
        <v>2020</v>
      </c>
      <c r="AE84" s="299"/>
      <c r="AF84" s="220"/>
    </row>
    <row r="85" spans="1:33">
      <c r="B85" s="357" t="s">
        <v>1007</v>
      </c>
      <c r="C85" s="55"/>
      <c r="D85" s="261"/>
      <c r="E85" s="261"/>
      <c r="F85" s="224" t="s">
        <v>1149</v>
      </c>
      <c r="G85" s="55"/>
      <c r="H85" s="174"/>
      <c r="I85" s="174" t="str">
        <f t="shared" si="22"/>
        <v>INDIWH</v>
      </c>
      <c r="J85" s="224">
        <f t="shared" si="32"/>
        <v>2030</v>
      </c>
      <c r="K85" s="81"/>
      <c r="L85" s="199">
        <f t="shared" ca="1" si="48"/>
        <v>0.99</v>
      </c>
      <c r="M85" s="199"/>
      <c r="N85" s="81"/>
      <c r="O85" s="723">
        <f t="shared" ca="1" si="49"/>
        <v>0.44700000000000001</v>
      </c>
      <c r="P85" s="723">
        <f t="shared" ca="1" si="50"/>
        <v>7.5989999999999999E-3</v>
      </c>
      <c r="Q85" s="81">
        <f t="shared" ca="1" si="51"/>
        <v>1.8107638888888888</v>
      </c>
      <c r="R85" s="300"/>
      <c r="S85" s="300"/>
      <c r="T85" s="300"/>
      <c r="U85" s="300"/>
      <c r="V85" s="199">
        <f t="shared" ref="V85" ca="1" si="60">IF(IF(RIGHT(H84,2)="PH",(1-L85)+$W$2,IF(RIGHT(H84,2)="HT",(1-L85)+$W$1,IF(RIGHT(H84,2)="SH",(1-L85)+$W$3,"")))&gt;0,IF(RIGHT(H84,2)="PH",(1-L85)+$W$2,IF(RIGHT(H84,2)="HT",(1-L85)+$W$1,IF(RIGHT(H84,2)="SH",(1-L85)+$W$3,""))),0)</f>
        <v>1.0000000000000009E-2</v>
      </c>
      <c r="W85" s="298"/>
      <c r="X85" s="698">
        <f t="shared" ca="1" si="27"/>
        <v>0</v>
      </c>
      <c r="Y85" s="698">
        <f t="shared" ca="1" si="53"/>
        <v>0</v>
      </c>
      <c r="Z85" s="698">
        <f t="shared" ca="1" si="54"/>
        <v>0</v>
      </c>
      <c r="AA85" s="698">
        <f t="shared" ca="1" si="55"/>
        <v>0</v>
      </c>
      <c r="AB85" s="698">
        <f t="shared" ca="1" si="56"/>
        <v>0</v>
      </c>
      <c r="AD85" s="81">
        <v>2030</v>
      </c>
      <c r="AE85" s="81"/>
      <c r="AF85" s="220"/>
    </row>
    <row r="86" spans="1:33">
      <c r="B86" s="356" t="s">
        <v>1007</v>
      </c>
      <c r="C86" s="203"/>
      <c r="D86" s="701"/>
      <c r="E86" s="701"/>
      <c r="F86" s="224" t="s">
        <v>1149</v>
      </c>
      <c r="G86" s="203"/>
      <c r="H86" s="702"/>
      <c r="I86" s="702" t="str">
        <f t="shared" si="22"/>
        <v>INDIWH</v>
      </c>
      <c r="J86" s="224">
        <f t="shared" si="32"/>
        <v>2050</v>
      </c>
      <c r="K86" s="81"/>
      <c r="L86" s="199">
        <f t="shared" ca="1" si="48"/>
        <v>0.99</v>
      </c>
      <c r="M86" s="199"/>
      <c r="N86" s="81"/>
      <c r="O86" s="723">
        <f t="shared" ca="1" si="49"/>
        <v>0.44700000000000001</v>
      </c>
      <c r="P86" s="723">
        <f t="shared" ca="1" si="50"/>
        <v>6.8539999999999998E-3</v>
      </c>
      <c r="Q86" s="81">
        <f t="shared" ca="1" si="51"/>
        <v>1.6141666666666665</v>
      </c>
      <c r="R86" s="703"/>
      <c r="S86" s="703"/>
      <c r="T86" s="703"/>
      <c r="U86" s="703"/>
      <c r="V86" s="199">
        <f t="shared" ref="V86" ca="1" si="61">IF(IF(RIGHT(H84,2)="PH",(1-L86)+$W$2,IF(RIGHT(H84,2)="HT",(1-L86)+$W$1,IF(RIGHT(H84,2)="SH",(1-L86)+$W$3,"")))&gt;0,IF(RIGHT(H84,2)="PH",(1-L86)+$W$2,IF(RIGHT(H84,2)="HT",(1-L86)+$W$1,IF(RIGHT(H84,2)="SH",(1-L86)+$W$3,""))),0)</f>
        <v>1.0000000000000009E-2</v>
      </c>
      <c r="W86" s="704"/>
      <c r="X86" s="698">
        <f t="shared" ca="1" si="27"/>
        <v>0</v>
      </c>
      <c r="Y86" s="698">
        <f t="shared" ca="1" si="53"/>
        <v>0</v>
      </c>
      <c r="Z86" s="698">
        <f t="shared" ca="1" si="54"/>
        <v>0</v>
      </c>
      <c r="AA86" s="698">
        <f t="shared" ca="1" si="55"/>
        <v>0</v>
      </c>
      <c r="AB86" s="698">
        <f t="shared" ca="1" si="56"/>
        <v>0</v>
      </c>
      <c r="AD86" s="81">
        <v>2050</v>
      </c>
      <c r="AE86" s="81"/>
      <c r="AF86" s="220"/>
    </row>
    <row r="87" spans="1:33">
      <c r="B87" s="357" t="s">
        <v>1008</v>
      </c>
      <c r="D87" s="212" t="str">
        <f>"IND"&amp;RIGHT(H87,4)&amp;RIGHT(G87,3)&amp;"N"&amp;RIGHT(E87,1)</f>
        <v>INDIDPHWCHN1</v>
      </c>
      <c r="E87" s="261" t="str">
        <f>"Industrial heating technology "&amp;$AJ$12&amp;" "&amp;RIGHT(H87,2)&amp;" - Wood chip boiler (Steam) - new 1"</f>
        <v>Industrial heating technology Mining PH - Wood chip boiler (Steam) - new 1</v>
      </c>
      <c r="F87" s="224" t="s">
        <v>1149</v>
      </c>
      <c r="G87" s="173" t="s">
        <v>498</v>
      </c>
      <c r="H87" s="174" t="str">
        <f>$AI$13</f>
        <v>IIDPH</v>
      </c>
      <c r="I87" s="174" t="str">
        <f t="shared" si="22"/>
        <v>INDIWH</v>
      </c>
      <c r="J87" s="224">
        <f t="shared" si="32"/>
        <v>2011</v>
      </c>
      <c r="K87" s="299">
        <v>2025</v>
      </c>
      <c r="L87" s="199">
        <f t="shared" ref="L87:L95" ca="1" si="62">VLOOKUP($AD87,INDIRECT("'"&amp;$B87&amp;"'!"&amp;"$P$39:$AD$42"),3,FALSE)</f>
        <v>0.89</v>
      </c>
      <c r="M87" s="699"/>
      <c r="N87" s="299">
        <f ca="1">VLOOKUP($AD87,INDIRECT("'"&amp;$B87&amp;"'!"&amp;"$P$39:$AD$42"),5,FALSE)</f>
        <v>25</v>
      </c>
      <c r="O87" s="725">
        <f t="shared" ref="O87:O95" ca="1" si="63">VLOOKUP($AD87,INDIRECT("'"&amp;$B87&amp;"'!"&amp;"$P$39:$AD$42"),6,FALSE)/1000</f>
        <v>4.6054545454545455</v>
      </c>
      <c r="P87" s="725">
        <f t="shared" ref="P87:P95" ca="1" si="64">VLOOKUP($AD87,INDIRECT("'"&amp;$B87&amp;"'!"&amp;"$P$39:$AD$42"),7,FALSE)/1000</f>
        <v>0.25106499999999998</v>
      </c>
      <c r="Q87" s="299">
        <f t="shared" ref="Q87:Q95" ca="1" si="65">VLOOKUP($AD87,INDIRECT("'"&amp;$B87&amp;"'!"&amp;"$P$39:$AD$42"),8,FALSE)</f>
        <v>5.7509861111111107</v>
      </c>
      <c r="R87" s="299">
        <v>3.1536000000000002E-2</v>
      </c>
      <c r="S87" s="699">
        <v>0.5</v>
      </c>
      <c r="T87" s="699">
        <f ca="1">HLOOKUP($T$2,INDIRECT("'"&amp;$B87&amp;"'!"&amp;"$P$6:$AC$19"),IF(H87=$AI$13,6,IF(H87=$AI$14,9,14)),FALSE)</f>
        <v>1</v>
      </c>
      <c r="U87" s="772"/>
      <c r="V87" s="199">
        <f t="shared" ref="V87" ca="1" si="66">IF(IF(RIGHT(H87,2)="PH",(1-L87)+$W$2,IF(RIGHT(H87,2)="HT",(1-L87)+$W$1,IF(RIGHT(H87,2)="SH",(1-L87)+$W$3,"")))&gt;0,IF(RIGHT(H87,2)="PH",(1-L87)+$W$2,IF(RIGHT(H87,2)="HT",(1-L87)+$W$1,IF(RIGHT(H87,2)="SH",(1-L87)+$W$3,""))),0)</f>
        <v>0.31</v>
      </c>
      <c r="W87" s="298"/>
      <c r="X87" s="698">
        <f t="shared" ca="1" si="27"/>
        <v>11</v>
      </c>
      <c r="Y87" s="299">
        <f t="shared" ref="Y87:Y95" ca="1" si="67">VLOOKUP($AD87,INDIRECT("'"&amp;$B87&amp;"'!"&amp;"$P$39:$AD$42"),12,FALSE)</f>
        <v>63</v>
      </c>
      <c r="Z87" s="299">
        <f t="shared" ref="Z87:Z95" ca="1" si="68">VLOOKUP($AD87,INDIRECT("'"&amp;$B87&amp;"'!"&amp;"$P$39:$AD$42"),13,FALSE)</f>
        <v>11</v>
      </c>
      <c r="AA87" s="299">
        <f t="shared" ref="AA87:AA95" ca="1" si="69">VLOOKUP($AD87,INDIRECT("'"&amp;$B87&amp;"'!"&amp;"$P$39:$AD$42"),14,FALSE)</f>
        <v>3</v>
      </c>
      <c r="AB87" s="299">
        <f t="shared" ref="AB87:AB95" ca="1" si="70">VLOOKUP($AD87,INDIRECT("'"&amp;$B87&amp;"'!"&amp;"$P$39:$AD$42"),15,FALSE)</f>
        <v>10</v>
      </c>
      <c r="AD87" s="299">
        <v>2020</v>
      </c>
      <c r="AE87" s="81"/>
      <c r="AF87" s="220"/>
    </row>
    <row r="88" spans="1:33">
      <c r="B88" s="357" t="s">
        <v>1008</v>
      </c>
      <c r="D88" s="212"/>
      <c r="E88" s="212"/>
      <c r="F88" s="224" t="s">
        <v>1149</v>
      </c>
      <c r="H88" s="174"/>
      <c r="I88" s="174" t="str">
        <f t="shared" si="22"/>
        <v>INDIWH</v>
      </c>
      <c r="J88" s="224">
        <f t="shared" si="32"/>
        <v>2030</v>
      </c>
      <c r="K88" s="81"/>
      <c r="L88" s="199">
        <f t="shared" ca="1" si="62"/>
        <v>0.89</v>
      </c>
      <c r="M88" s="199"/>
      <c r="N88" s="81"/>
      <c r="O88" s="723">
        <f t="shared" ca="1" si="63"/>
        <v>4.4022727272727264</v>
      </c>
      <c r="P88" s="723">
        <f t="shared" ca="1" si="64"/>
        <v>0.267455</v>
      </c>
      <c r="Q88" s="81">
        <f t="shared" ca="1" si="65"/>
        <v>5.8461805555555557</v>
      </c>
      <c r="R88" s="300"/>
      <c r="S88" s="300"/>
      <c r="T88" s="300"/>
      <c r="U88" s="300"/>
      <c r="V88" s="199">
        <f t="shared" ref="V88" ca="1" si="71">IF(IF(RIGHT(H87,2)="PH",(1-L88)+$W$2,IF(RIGHT(H87,2)="HT",(1-L88)+$W$1,IF(RIGHT(H87,2)="SH",(1-L88)+$W$3,"")))&gt;0,IF(RIGHT(H87,2)="PH",(1-L88)+$W$2,IF(RIGHT(H87,2)="HT",(1-L88)+$W$1,IF(RIGHT(H87,2)="SH",(1-L88)+$W$3,""))),0)</f>
        <v>0.31</v>
      </c>
      <c r="W88" s="298"/>
      <c r="X88" s="698">
        <f t="shared" ca="1" si="27"/>
        <v>11</v>
      </c>
      <c r="Y88" s="81">
        <f t="shared" ca="1" si="67"/>
        <v>49</v>
      </c>
      <c r="Z88" s="81">
        <f t="shared" ca="1" si="68"/>
        <v>8</v>
      </c>
      <c r="AA88" s="81">
        <f t="shared" ca="1" si="69"/>
        <v>3</v>
      </c>
      <c r="AB88" s="81">
        <f t="shared" ca="1" si="70"/>
        <v>10</v>
      </c>
      <c r="AD88" s="81">
        <v>2030</v>
      </c>
      <c r="AE88" s="81"/>
      <c r="AF88" s="220"/>
    </row>
    <row r="89" spans="1:33">
      <c r="B89" s="357" t="s">
        <v>1008</v>
      </c>
      <c r="D89" s="212"/>
      <c r="E89" s="212"/>
      <c r="F89" s="224" t="s">
        <v>1149</v>
      </c>
      <c r="H89" s="174"/>
      <c r="I89" s="174" t="str">
        <f t="shared" si="22"/>
        <v>INDIWH</v>
      </c>
      <c r="J89" s="224">
        <f t="shared" si="32"/>
        <v>2050</v>
      </c>
      <c r="K89" s="81"/>
      <c r="L89" s="199">
        <f t="shared" ca="1" si="62"/>
        <v>0.9</v>
      </c>
      <c r="M89" s="199"/>
      <c r="N89" s="81"/>
      <c r="O89" s="723">
        <f t="shared" ca="1" si="63"/>
        <v>3.9959090909090902</v>
      </c>
      <c r="P89" s="723">
        <f t="shared" ca="1" si="64"/>
        <v>0.25106499999999998</v>
      </c>
      <c r="Q89" s="81">
        <f t="shared" ca="1" si="65"/>
        <v>5.8937777777777782</v>
      </c>
      <c r="R89" s="300"/>
      <c r="S89" s="300"/>
      <c r="T89" s="300"/>
      <c r="U89" s="300"/>
      <c r="V89" s="199">
        <f t="shared" ref="V89" ca="1" si="72">IF(IF(RIGHT(H87,2)="PH",(1-L89)+$W$2,IF(RIGHT(H87,2)="HT",(1-L89)+$W$1,IF(RIGHT(H87,2)="SH",(1-L89)+$W$3,"")))&gt;0,IF(RIGHT(H87,2)="PH",(1-L89)+$W$2,IF(RIGHT(H87,2)="HT",(1-L89)+$W$1,IF(RIGHT(H87,2)="SH",(1-L89)+$W$3,""))),0)</f>
        <v>0.3</v>
      </c>
      <c r="W89" s="298"/>
      <c r="X89" s="698">
        <f t="shared" ca="1" si="27"/>
        <v>11</v>
      </c>
      <c r="Y89" s="81">
        <f t="shared" ca="1" si="67"/>
        <v>41</v>
      </c>
      <c r="Z89" s="81">
        <f t="shared" ca="1" si="68"/>
        <v>4</v>
      </c>
      <c r="AA89" s="81">
        <f t="shared" ca="1" si="69"/>
        <v>1</v>
      </c>
      <c r="AB89" s="81">
        <f t="shared" ca="1" si="70"/>
        <v>10</v>
      </c>
      <c r="AD89" s="81">
        <v>2050</v>
      </c>
      <c r="AE89" s="81"/>
      <c r="AF89" s="220"/>
    </row>
    <row r="90" spans="1:33" s="226" customFormat="1">
      <c r="A90" s="224"/>
      <c r="B90" s="357" t="s">
        <v>1008</v>
      </c>
      <c r="C90" s="224"/>
      <c r="D90" s="212" t="str">
        <f>"IND"&amp;RIGHT(H90,4)&amp;RIGHT(G90,3)&amp;"N"&amp;RIGHT(E90,1)</f>
        <v>INDIDPHWCHN1</v>
      </c>
      <c r="E90" s="261" t="str">
        <f>"Industrial heating technology "&amp;$AJ$12&amp;" "&amp;RIGHT(H90,2)&amp;" - Wood chip boiler (Steam) - new 1"</f>
        <v>Industrial heating technology Mining PH - Wood chip boiler (Steam) - new 1</v>
      </c>
      <c r="F90" s="224" t="s">
        <v>1149</v>
      </c>
      <c r="G90" s="173" t="s">
        <v>498</v>
      </c>
      <c r="H90" s="174" t="str">
        <f>$AI$14</f>
        <v>IIDPH</v>
      </c>
      <c r="I90" s="174" t="str">
        <f t="shared" si="22"/>
        <v>INDIWH</v>
      </c>
      <c r="J90" s="224">
        <f t="shared" si="32"/>
        <v>2011</v>
      </c>
      <c r="K90" s="299">
        <v>2025</v>
      </c>
      <c r="L90" s="199">
        <f t="shared" ca="1" si="62"/>
        <v>0.89</v>
      </c>
      <c r="M90" s="199"/>
      <c r="N90" s="81">
        <f ca="1">VLOOKUP($AD90,INDIRECT("'"&amp;$B90&amp;"'!"&amp;"$P$39:$AD$42"),5,FALSE)</f>
        <v>25</v>
      </c>
      <c r="O90" s="723">
        <f t="shared" ca="1" si="63"/>
        <v>4.6054545454545455</v>
      </c>
      <c r="P90" s="723">
        <f t="shared" ca="1" si="64"/>
        <v>0.25106499999999998</v>
      </c>
      <c r="Q90" s="81">
        <f t="shared" ca="1" si="65"/>
        <v>5.7509861111111107</v>
      </c>
      <c r="R90" s="81">
        <v>3.1536000000000002E-2</v>
      </c>
      <c r="S90" s="199">
        <v>0.5</v>
      </c>
      <c r="T90" s="199">
        <f ca="1">HLOOKUP($T$2,INDIRECT("'"&amp;$B90&amp;"'!"&amp;"$P$6:$AC$19"),IF(H90=$AI$13,6,IF(H90=$AI$14,9,14)),FALSE)</f>
        <v>1</v>
      </c>
      <c r="U90" s="772"/>
      <c r="V90" s="199">
        <f t="shared" ref="V90" ca="1" si="73">IF(IF(RIGHT(H90,2)="PH",(1-L90)+$W$2,IF(RIGHT(H90,2)="HT",(1-L90)+$W$1,IF(RIGHT(H90,2)="SH",(1-L90)+$W$3,"")))&gt;0,IF(RIGHT(H90,2)="PH",(1-L90)+$W$2,IF(RIGHT(H90,2)="HT",(1-L90)+$W$1,IF(RIGHT(H90,2)="SH",(1-L90)+$W$3,""))),0)</f>
        <v>0.31</v>
      </c>
      <c r="W90" s="298"/>
      <c r="X90" s="698">
        <f t="shared" ca="1" si="27"/>
        <v>11</v>
      </c>
      <c r="Y90" s="81">
        <f t="shared" ca="1" si="67"/>
        <v>63</v>
      </c>
      <c r="Z90" s="81">
        <f t="shared" ca="1" si="68"/>
        <v>11</v>
      </c>
      <c r="AA90" s="81">
        <f t="shared" ca="1" si="69"/>
        <v>3</v>
      </c>
      <c r="AB90" s="81">
        <f t="shared" ca="1" si="70"/>
        <v>10</v>
      </c>
      <c r="AC90" s="224"/>
      <c r="AD90" s="81">
        <v>2020</v>
      </c>
      <c r="AE90" s="81"/>
      <c r="AF90" s="220"/>
      <c r="AG90" s="224"/>
    </row>
    <row r="91" spans="1:33" s="226" customFormat="1">
      <c r="A91" s="224"/>
      <c r="B91" s="357" t="s">
        <v>1008</v>
      </c>
      <c r="C91" s="224"/>
      <c r="D91" s="212"/>
      <c r="E91" s="212"/>
      <c r="F91" s="224" t="s">
        <v>1149</v>
      </c>
      <c r="G91" s="224"/>
      <c r="H91" s="174"/>
      <c r="I91" s="174" t="str">
        <f t="shared" si="22"/>
        <v>INDIWH</v>
      </c>
      <c r="J91" s="224">
        <f t="shared" si="32"/>
        <v>2030</v>
      </c>
      <c r="K91" s="81"/>
      <c r="L91" s="199">
        <f t="shared" ca="1" si="62"/>
        <v>0.89</v>
      </c>
      <c r="M91" s="199"/>
      <c r="N91" s="81"/>
      <c r="O91" s="723">
        <f t="shared" ca="1" si="63"/>
        <v>4.4022727272727264</v>
      </c>
      <c r="P91" s="723">
        <f t="shared" ca="1" si="64"/>
        <v>0.267455</v>
      </c>
      <c r="Q91" s="81">
        <f t="shared" ca="1" si="65"/>
        <v>5.8461805555555557</v>
      </c>
      <c r="R91" s="300"/>
      <c r="S91" s="300"/>
      <c r="T91" s="300"/>
      <c r="U91" s="300"/>
      <c r="V91" s="199">
        <f t="shared" ref="V91" ca="1" si="74">IF(IF(RIGHT(H90,2)="PH",(1-L91)+$W$2,IF(RIGHT(H90,2)="HT",(1-L91)+$W$1,IF(RIGHT(H90,2)="SH",(1-L91)+$W$3,"")))&gt;0,IF(RIGHT(H90,2)="PH",(1-L91)+$W$2,IF(RIGHT(H90,2)="HT",(1-L91)+$W$1,IF(RIGHT(H90,2)="SH",(1-L91)+$W$3,""))),0)</f>
        <v>0.31</v>
      </c>
      <c r="W91" s="298"/>
      <c r="X91" s="698">
        <f t="shared" ca="1" si="27"/>
        <v>11</v>
      </c>
      <c r="Y91" s="81">
        <f t="shared" ca="1" si="67"/>
        <v>49</v>
      </c>
      <c r="Z91" s="81">
        <f t="shared" ca="1" si="68"/>
        <v>8</v>
      </c>
      <c r="AA91" s="81">
        <f t="shared" ca="1" si="69"/>
        <v>3</v>
      </c>
      <c r="AB91" s="81">
        <f t="shared" ca="1" si="70"/>
        <v>10</v>
      </c>
      <c r="AC91" s="224"/>
      <c r="AD91" s="81">
        <v>2030</v>
      </c>
      <c r="AE91" s="81"/>
      <c r="AF91" s="220"/>
    </row>
    <row r="92" spans="1:33" s="226" customFormat="1">
      <c r="A92" s="224"/>
      <c r="B92" s="357" t="s">
        <v>1008</v>
      </c>
      <c r="C92" s="224"/>
      <c r="D92" s="212"/>
      <c r="E92" s="212"/>
      <c r="F92" s="224" t="s">
        <v>1149</v>
      </c>
      <c r="G92" s="224"/>
      <c r="H92" s="174"/>
      <c r="I92" s="174" t="str">
        <f t="shared" si="22"/>
        <v>INDIWH</v>
      </c>
      <c r="J92" s="224">
        <f t="shared" si="32"/>
        <v>2050</v>
      </c>
      <c r="K92" s="81"/>
      <c r="L92" s="199">
        <f t="shared" ca="1" si="62"/>
        <v>0.9</v>
      </c>
      <c r="M92" s="199"/>
      <c r="N92" s="81"/>
      <c r="O92" s="723">
        <f t="shared" ca="1" si="63"/>
        <v>3.9959090909090902</v>
      </c>
      <c r="P92" s="723">
        <f t="shared" ca="1" si="64"/>
        <v>0.25106499999999998</v>
      </c>
      <c r="Q92" s="81">
        <f t="shared" ca="1" si="65"/>
        <v>5.8937777777777782</v>
      </c>
      <c r="R92" s="300"/>
      <c r="S92" s="300"/>
      <c r="T92" s="300"/>
      <c r="U92" s="300"/>
      <c r="V92" s="199">
        <f t="shared" ref="V92" ca="1" si="75">IF(IF(RIGHT(H90,2)="PH",(1-L92)+$W$2,IF(RIGHT(H90,2)="HT",(1-L92)+$W$1,IF(RIGHT(H90,2)="SH",(1-L92)+$W$3,"")))&gt;0,IF(RIGHT(H90,2)="PH",(1-L92)+$W$2,IF(RIGHT(H90,2)="HT",(1-L92)+$W$1,IF(RIGHT(H90,2)="SH",(1-L92)+$W$3,""))),0)</f>
        <v>0.3</v>
      </c>
      <c r="W92" s="298"/>
      <c r="X92" s="698">
        <f t="shared" ca="1" si="27"/>
        <v>11</v>
      </c>
      <c r="Y92" s="81">
        <f t="shared" ca="1" si="67"/>
        <v>41</v>
      </c>
      <c r="Z92" s="81">
        <f t="shared" ca="1" si="68"/>
        <v>4</v>
      </c>
      <c r="AA92" s="81">
        <f t="shared" ca="1" si="69"/>
        <v>1</v>
      </c>
      <c r="AB92" s="81">
        <f t="shared" ca="1" si="70"/>
        <v>10</v>
      </c>
      <c r="AC92" s="224"/>
      <c r="AD92" s="81">
        <v>2050</v>
      </c>
      <c r="AE92" s="706"/>
      <c r="AF92" s="220"/>
    </row>
    <row r="93" spans="1:33" s="226" customFormat="1">
      <c r="A93" s="224"/>
      <c r="B93" s="357" t="s">
        <v>1008</v>
      </c>
      <c r="C93" s="224"/>
      <c r="D93" s="212" t="str">
        <f>"IND"&amp;RIGHT(H93,4)&amp;RIGHT(G93,3)&amp;"N"&amp;RIGHT(E93,1)</f>
        <v>INDIDSHWCHN1</v>
      </c>
      <c r="E93" s="261" t="str">
        <f>"Industrial heating technology "&amp;$AJ$12&amp;" "&amp;RIGHT(H93,2)&amp;" - Wood chip boiler (Steam) - new 1"</f>
        <v>Industrial heating technology Mining SH - Wood chip boiler (Steam) - new 1</v>
      </c>
      <c r="F93" s="224" t="s">
        <v>1149</v>
      </c>
      <c r="G93" s="173" t="s">
        <v>498</v>
      </c>
      <c r="H93" s="174" t="str">
        <f>$AI$15</f>
        <v>IIDSH</v>
      </c>
      <c r="I93" s="174" t="str">
        <f t="shared" si="22"/>
        <v>INDIWH</v>
      </c>
      <c r="J93" s="224">
        <f t="shared" si="32"/>
        <v>2011</v>
      </c>
      <c r="K93" s="299">
        <v>2025</v>
      </c>
      <c r="L93" s="199">
        <f t="shared" ca="1" si="62"/>
        <v>0.89</v>
      </c>
      <c r="M93" s="199"/>
      <c r="N93" s="81">
        <f ca="1">VLOOKUP($AD93,INDIRECT("'"&amp;$B93&amp;"'!"&amp;"$P$39:$AD$42"),5,FALSE)</f>
        <v>25</v>
      </c>
      <c r="O93" s="723">
        <f t="shared" ca="1" si="63"/>
        <v>4.6054545454545455</v>
      </c>
      <c r="P93" s="723">
        <f t="shared" ca="1" si="64"/>
        <v>0.25106499999999998</v>
      </c>
      <c r="Q93" s="81">
        <f t="shared" ca="1" si="65"/>
        <v>5.7509861111111107</v>
      </c>
      <c r="R93" s="81">
        <v>3.1536000000000002E-2</v>
      </c>
      <c r="S93" s="199">
        <v>0.5</v>
      </c>
      <c r="T93" s="199">
        <f ca="1">HLOOKUP($T$2,INDIRECT("'"&amp;$B93&amp;"'!"&amp;"$P$6:$AC$19"),IF(H93=$AI$13,6,IF(H93=$AI$14,9,14)),FALSE)</f>
        <v>1</v>
      </c>
      <c r="U93" s="772"/>
      <c r="V93" s="199">
        <f t="shared" ref="V93" ca="1" si="76">IF(IF(RIGHT(H93,2)="PH",(1-L93)+$W$2,IF(RIGHT(H93,2)="HT",(1-L93)+$W$1,IF(RIGHT(H93,2)="SH",(1-L93)+$W$3,"")))&gt;0,IF(RIGHT(H93,2)="PH",(1-L93)+$W$2,IF(RIGHT(H93,2)="HT",(1-L93)+$W$1,IF(RIGHT(H93,2)="SH",(1-L93)+$W$3,""))),0)</f>
        <v>0.10999999999999999</v>
      </c>
      <c r="W93" s="298"/>
      <c r="X93" s="698">
        <f t="shared" ca="1" si="27"/>
        <v>11</v>
      </c>
      <c r="Y93" s="81">
        <f t="shared" ca="1" si="67"/>
        <v>63</v>
      </c>
      <c r="Z93" s="81">
        <f t="shared" ca="1" si="68"/>
        <v>11</v>
      </c>
      <c r="AA93" s="81">
        <f t="shared" ca="1" si="69"/>
        <v>3</v>
      </c>
      <c r="AB93" s="81">
        <f t="shared" ca="1" si="70"/>
        <v>10</v>
      </c>
      <c r="AC93" s="296"/>
      <c r="AD93" s="81">
        <v>2020</v>
      </c>
      <c r="AE93" s="81"/>
      <c r="AF93" s="710"/>
    </row>
    <row r="94" spans="1:33" s="226" customFormat="1">
      <c r="A94" s="224"/>
      <c r="B94" s="357" t="s">
        <v>1008</v>
      </c>
      <c r="C94" s="224"/>
      <c r="D94" s="212"/>
      <c r="E94" s="212"/>
      <c r="F94" s="224" t="s">
        <v>1149</v>
      </c>
      <c r="G94" s="224"/>
      <c r="H94" s="174"/>
      <c r="I94" s="174" t="str">
        <f t="shared" si="22"/>
        <v>INDIWH</v>
      </c>
      <c r="J94" s="224">
        <f t="shared" si="32"/>
        <v>2030</v>
      </c>
      <c r="K94" s="81"/>
      <c r="L94" s="199">
        <f t="shared" ca="1" si="62"/>
        <v>0.89</v>
      </c>
      <c r="M94" s="199"/>
      <c r="N94" s="81"/>
      <c r="O94" s="723">
        <f t="shared" ca="1" si="63"/>
        <v>4.4022727272727264</v>
      </c>
      <c r="P94" s="723">
        <f t="shared" ca="1" si="64"/>
        <v>0.267455</v>
      </c>
      <c r="Q94" s="81">
        <f t="shared" ca="1" si="65"/>
        <v>5.8461805555555557</v>
      </c>
      <c r="R94" s="300"/>
      <c r="S94" s="300"/>
      <c r="T94" s="300"/>
      <c r="U94" s="300"/>
      <c r="V94" s="199">
        <f t="shared" ref="V94" ca="1" si="77">IF(IF(RIGHT(H93,2)="PH",(1-L94)+$W$2,IF(RIGHT(H93,2)="HT",(1-L94)+$W$1,IF(RIGHT(H93,2)="SH",(1-L94)+$W$3,"")))&gt;0,IF(RIGHT(H93,2)="PH",(1-L94)+$W$2,IF(RIGHT(H93,2)="HT",(1-L94)+$W$1,IF(RIGHT(H93,2)="SH",(1-L94)+$W$3,""))),0)</f>
        <v>0.10999999999999999</v>
      </c>
      <c r="W94" s="298"/>
      <c r="X94" s="698">
        <f t="shared" ca="1" si="27"/>
        <v>11</v>
      </c>
      <c r="Y94" s="81">
        <f t="shared" ca="1" si="67"/>
        <v>49</v>
      </c>
      <c r="Z94" s="81">
        <f t="shared" ca="1" si="68"/>
        <v>8</v>
      </c>
      <c r="AA94" s="81">
        <f t="shared" ca="1" si="69"/>
        <v>3</v>
      </c>
      <c r="AB94" s="81">
        <f t="shared" ca="1" si="70"/>
        <v>10</v>
      </c>
      <c r="AC94" s="55"/>
      <c r="AD94" s="81">
        <v>2030</v>
      </c>
      <c r="AE94" s="81"/>
      <c r="AF94" s="700"/>
    </row>
    <row r="95" spans="1:33" s="226" customFormat="1">
      <c r="A95" s="224"/>
      <c r="B95" s="357" t="s">
        <v>1008</v>
      </c>
      <c r="C95" s="224"/>
      <c r="D95" s="212"/>
      <c r="E95" s="212"/>
      <c r="F95" s="224" t="s">
        <v>1149</v>
      </c>
      <c r="G95" s="224"/>
      <c r="H95" s="174"/>
      <c r="I95" s="174" t="str">
        <f t="shared" si="22"/>
        <v>INDIWH</v>
      </c>
      <c r="J95" s="224">
        <f t="shared" si="32"/>
        <v>2050</v>
      </c>
      <c r="K95" s="706"/>
      <c r="L95" s="199">
        <f t="shared" ca="1" si="62"/>
        <v>0.9</v>
      </c>
      <c r="M95" s="774"/>
      <c r="N95" s="706"/>
      <c r="O95" s="724">
        <f t="shared" ca="1" si="63"/>
        <v>3.9959090909090902</v>
      </c>
      <c r="P95" s="724">
        <f t="shared" ca="1" si="64"/>
        <v>0.25106499999999998</v>
      </c>
      <c r="Q95" s="706">
        <f t="shared" ca="1" si="65"/>
        <v>5.8937777777777782</v>
      </c>
      <c r="R95" s="300"/>
      <c r="S95" s="300"/>
      <c r="T95" s="300"/>
      <c r="U95" s="300"/>
      <c r="V95" s="199">
        <f t="shared" ref="V95" ca="1" si="78">IF(IF(RIGHT(H93,2)="PH",(1-L95)+$W$2,IF(RIGHT(H93,2)="HT",(1-L95)+$W$1,IF(RIGHT(H93,2)="SH",(1-L95)+$W$3,"")))&gt;0,IF(RIGHT(H93,2)="PH",(1-L95)+$W$2,IF(RIGHT(H93,2)="HT",(1-L95)+$W$1,IF(RIGHT(H93,2)="SH",(1-L95)+$W$3,""))),0)</f>
        <v>9.9999999999999978E-2</v>
      </c>
      <c r="W95" s="298"/>
      <c r="X95" s="698">
        <f t="shared" ref="X95:X126" ca="1" si="79">IF(VLOOKUP($AD95,INDIRECT("'"&amp;$B95&amp;"'!"&amp;"$P$39:$AD$42"),11,FALSE)="Cf. the utilized electricity",0,VLOOKUP($AD95,INDIRECT("'"&amp;$B95&amp;"'!"&amp;"$P$39:$AD$42"),11,FALSE))</f>
        <v>11</v>
      </c>
      <c r="Y95" s="706">
        <f t="shared" ca="1" si="67"/>
        <v>41</v>
      </c>
      <c r="Z95" s="706">
        <f t="shared" ca="1" si="68"/>
        <v>4</v>
      </c>
      <c r="AA95" s="706">
        <f t="shared" ca="1" si="69"/>
        <v>1</v>
      </c>
      <c r="AB95" s="706">
        <f t="shared" ca="1" si="70"/>
        <v>10</v>
      </c>
      <c r="AC95" s="55"/>
      <c r="AD95" s="706">
        <v>2050</v>
      </c>
      <c r="AE95" s="81"/>
      <c r="AF95" s="700"/>
    </row>
    <row r="96" spans="1:33">
      <c r="B96" s="716" t="s">
        <v>1008</v>
      </c>
      <c r="C96" s="296"/>
      <c r="D96" s="707" t="str">
        <f>"IND"&amp;RIGHT(H96,4)&amp;RIGHT(G96,3)&amp;"N"&amp;RIGHT(E96,1)</f>
        <v>INDIDPHWCHN2</v>
      </c>
      <c r="E96" s="707" t="str">
        <f>"Industrial heating technology "&amp;$AJ$12&amp;" "&amp;RIGHT(H96,2)&amp;" - Wood chip boiler (Steam - condensing) - new 2"</f>
        <v>Industrial heating technology Mining PH - Wood chip boiler (Steam - condensing) - new 2</v>
      </c>
      <c r="F96" s="224" t="s">
        <v>1149</v>
      </c>
      <c r="G96" s="708" t="s">
        <v>498</v>
      </c>
      <c r="H96" s="708" t="str">
        <f>$AI$14</f>
        <v>IIDPH</v>
      </c>
      <c r="I96" s="708" t="str">
        <f t="shared" si="22"/>
        <v>INDIWH</v>
      </c>
      <c r="J96" s="224">
        <f t="shared" si="32"/>
        <v>2011</v>
      </c>
      <c r="K96" s="299">
        <v>2025</v>
      </c>
      <c r="L96" s="199">
        <f t="shared" ref="L96:L101" ca="1" si="80">VLOOKUP($AD96,INDIRECT("'"&amp;$B96&amp;"'!"&amp;"$P$118:$AD$121"),3,FALSE)</f>
        <v>1.1618960947726835</v>
      </c>
      <c r="M96" s="199"/>
      <c r="N96" s="81">
        <f ca="1">VLOOKUP($AD96,INDIRECT("'"&amp;$B96&amp;"'!"&amp;"$P$118:$AD$121"),5,FALSE)</f>
        <v>25</v>
      </c>
      <c r="O96" s="723">
        <f t="shared" ref="O96:O101" ca="1" si="81">VLOOKUP($AD96,INDIRECT("'"&amp;$B96&amp;"'!"&amp;"$P$118:$AD$121"),6,FALSE)/1000</f>
        <v>5.0660000000000007</v>
      </c>
      <c r="P96" s="723">
        <f t="shared" ref="P96:P101" ca="1" si="82">VLOOKUP($AD96,INDIRECT("'"&amp;$B96&amp;"'!"&amp;"$P$118:$AD$121"),7,FALSE)/1000</f>
        <v>0.27564999999999995</v>
      </c>
      <c r="Q96" s="81">
        <f t="shared" ref="Q96:Q101" ca="1" si="83">VLOOKUP($AD96,INDIRECT("'"&amp;$B96&amp;"'!"&amp;"$P$118:$AD$121"),8,FALSE)</f>
        <v>5.7509861111111107</v>
      </c>
      <c r="R96" s="81">
        <v>3.1536000000000002E-2</v>
      </c>
      <c r="S96" s="199">
        <v>0.5</v>
      </c>
      <c r="T96" s="199">
        <f ca="1">HLOOKUP($T$2,INDIRECT("'"&amp;$B96&amp;"'!"&amp;"$P$85:$AC$98"),IF(H96=$AI$13,6,IF(H96=$AI$14,9,14)),FALSE)</f>
        <v>0</v>
      </c>
      <c r="U96" s="773"/>
      <c r="V96" s="199">
        <f t="shared" ref="V96" ca="1" si="84">IF(IF(RIGHT(H96,2)="PH",(1-L96)+$W$2,IF(RIGHT(H96,2)="HT",(1-L96)+$W$1,IF(RIGHT(H96,2)="SH",(1-L96)+$W$3,"")))&gt;0,IF(RIGHT(H96,2)="PH",(1-L96)+$W$2,IF(RIGHT(H96,2)="HT",(1-L96)+$W$1,IF(RIGHT(H96,2)="SH",(1-L96)+$W$3,""))),0)</f>
        <v>3.8103905227316492E-2</v>
      </c>
      <c r="W96" s="709"/>
      <c r="X96" s="698">
        <f t="shared" ca="1" si="79"/>
        <v>11</v>
      </c>
      <c r="Y96" s="698">
        <f t="shared" ref="Y96:Y101" ca="1" si="85">VLOOKUP($AD96,INDIRECT("'"&amp;$B96&amp;"'!"&amp;"$P$118:$AD$121"),12,FALSE)</f>
        <v>63</v>
      </c>
      <c r="Z96" s="698">
        <f t="shared" ref="Z96:Z101" ca="1" si="86">VLOOKUP($AD96,INDIRECT("'"&amp;$B96&amp;"'!"&amp;"$P$118:$AD$121"),13,FALSE)</f>
        <v>11</v>
      </c>
      <c r="AA96" s="698">
        <f t="shared" ref="AA96:AA101" ca="1" si="87">VLOOKUP($AD96,INDIRECT("'"&amp;$B96&amp;"'!"&amp;"$P$118:$AD$121"),14,FALSE)</f>
        <v>3</v>
      </c>
      <c r="AB96" s="698">
        <f t="shared" ref="AB96:AB101" ca="1" si="88">VLOOKUP($AD96,INDIRECT("'"&amp;$B96&amp;"'!"&amp;"$P$118:$AD$121"),15,FALSE)</f>
        <v>10</v>
      </c>
      <c r="AC96" s="55"/>
      <c r="AD96" s="81">
        <v>2020</v>
      </c>
      <c r="AE96" s="81"/>
      <c r="AF96" s="700"/>
      <c r="AG96" s="226"/>
    </row>
    <row r="97" spans="2:32">
      <c r="B97" s="357" t="s">
        <v>1008</v>
      </c>
      <c r="C97" s="55"/>
      <c r="D97" s="261"/>
      <c r="E97" s="261"/>
      <c r="F97" s="224" t="s">
        <v>1149</v>
      </c>
      <c r="G97" s="55"/>
      <c r="H97" s="174"/>
      <c r="I97" s="174" t="str">
        <f t="shared" si="22"/>
        <v>INDIWH</v>
      </c>
      <c r="J97" s="224">
        <f t="shared" si="32"/>
        <v>2030</v>
      </c>
      <c r="K97" s="81"/>
      <c r="L97" s="199">
        <f t="shared" ca="1" si="80"/>
        <v>1.1618960947726835</v>
      </c>
      <c r="M97" s="199"/>
      <c r="N97" s="81"/>
      <c r="O97" s="723">
        <f t="shared" ca="1" si="81"/>
        <v>4.8425000000000002</v>
      </c>
      <c r="P97" s="723">
        <f t="shared" ca="1" si="82"/>
        <v>0.267455</v>
      </c>
      <c r="Q97" s="81">
        <f t="shared" ca="1" si="83"/>
        <v>5.8461805555555557</v>
      </c>
      <c r="R97" s="300"/>
      <c r="S97" s="300"/>
      <c r="T97" s="300"/>
      <c r="U97" s="300"/>
      <c r="V97" s="199">
        <f t="shared" ref="V97" ca="1" si="89">IF(IF(RIGHT(H96,2)="PH",(1-L97)+$W$2,IF(RIGHT(H96,2)="HT",(1-L97)+$W$1,IF(RIGHT(H96,2)="SH",(1-L97)+$W$3,"")))&gt;0,IF(RIGHT(H96,2)="PH",(1-L97)+$W$2,IF(RIGHT(H96,2)="HT",(1-L97)+$W$1,IF(RIGHT(H96,2)="SH",(1-L97)+$W$3,""))),0)</f>
        <v>3.8103905227316492E-2</v>
      </c>
      <c r="W97" s="298"/>
      <c r="X97" s="698">
        <f t="shared" ca="1" si="79"/>
        <v>11</v>
      </c>
      <c r="Y97" s="698">
        <f t="shared" ca="1" si="85"/>
        <v>49</v>
      </c>
      <c r="Z97" s="698">
        <f t="shared" ca="1" si="86"/>
        <v>8</v>
      </c>
      <c r="AA97" s="698">
        <f t="shared" ca="1" si="87"/>
        <v>3</v>
      </c>
      <c r="AB97" s="698">
        <f t="shared" ca="1" si="88"/>
        <v>10</v>
      </c>
      <c r="AC97" s="55"/>
      <c r="AD97" s="81">
        <v>2030</v>
      </c>
      <c r="AE97" s="81"/>
      <c r="AF97" s="700"/>
    </row>
    <row r="98" spans="2:32">
      <c r="B98" s="357" t="s">
        <v>1008</v>
      </c>
      <c r="C98" s="55"/>
      <c r="D98" s="261"/>
      <c r="E98" s="261"/>
      <c r="F98" s="224" t="s">
        <v>1149</v>
      </c>
      <c r="G98" s="55"/>
      <c r="H98" s="174"/>
      <c r="I98" s="174" t="str">
        <f t="shared" si="22"/>
        <v>INDIWH</v>
      </c>
      <c r="J98" s="224">
        <f t="shared" si="32"/>
        <v>2050</v>
      </c>
      <c r="K98" s="81"/>
      <c r="L98" s="199">
        <f t="shared" ca="1" si="80"/>
        <v>1.1618960947726835</v>
      </c>
      <c r="M98" s="199"/>
      <c r="N98" s="81"/>
      <c r="O98" s="723">
        <f t="shared" ca="1" si="81"/>
        <v>4.3955000000000002</v>
      </c>
      <c r="P98" s="723">
        <f t="shared" ca="1" si="82"/>
        <v>0.25106499999999998</v>
      </c>
      <c r="Q98" s="81">
        <f t="shared" ca="1" si="83"/>
        <v>5.8937777777777782</v>
      </c>
      <c r="R98" s="300"/>
      <c r="S98" s="300"/>
      <c r="T98" s="300"/>
      <c r="U98" s="300"/>
      <c r="V98" s="199">
        <f t="shared" ref="V98" ca="1" si="90">IF(IF(RIGHT(H96,2)="PH",(1-L98)+$W$2,IF(RIGHT(H96,2)="HT",(1-L98)+$W$1,IF(RIGHT(H96,2)="SH",(1-L98)+$W$3,"")))&gt;0,IF(RIGHT(H96,2)="PH",(1-L98)+$W$2,IF(RIGHT(H96,2)="HT",(1-L98)+$W$1,IF(RIGHT(H96,2)="SH",(1-L98)+$W$3,""))),0)</f>
        <v>3.8103905227316492E-2</v>
      </c>
      <c r="W98" s="298"/>
      <c r="X98" s="698">
        <f t="shared" ca="1" si="79"/>
        <v>11</v>
      </c>
      <c r="Y98" s="698">
        <f t="shared" ca="1" si="85"/>
        <v>41</v>
      </c>
      <c r="Z98" s="698">
        <f t="shared" ca="1" si="86"/>
        <v>4</v>
      </c>
      <c r="AA98" s="698">
        <f t="shared" ca="1" si="87"/>
        <v>1</v>
      </c>
      <c r="AB98" s="698">
        <f t="shared" ca="1" si="88"/>
        <v>10</v>
      </c>
      <c r="AC98" s="203"/>
      <c r="AD98" s="81">
        <v>2050</v>
      </c>
      <c r="AE98" s="81"/>
      <c r="AF98" s="705"/>
    </row>
    <row r="99" spans="2:32">
      <c r="B99" s="357" t="s">
        <v>1008</v>
      </c>
      <c r="C99" s="55"/>
      <c r="D99" s="261" t="str">
        <f>"IND"&amp;RIGHT(H99,4)&amp;RIGHT(G99,3)&amp;"N"&amp;RIGHT(E99,1)</f>
        <v>INDIDSHWCHN2</v>
      </c>
      <c r="E99" s="261" t="str">
        <f>"Industrial heating technology "&amp;$AJ$12&amp;" "&amp;RIGHT(H99,2)&amp;" - Wood chip boiler (Steam - condensing) - new 2"</f>
        <v>Industrial heating technology Mining SH - Wood chip boiler (Steam - condensing) - new 2</v>
      </c>
      <c r="F99" s="224" t="s">
        <v>1149</v>
      </c>
      <c r="G99" s="174" t="s">
        <v>498</v>
      </c>
      <c r="H99" s="174" t="str">
        <f>$AI$15</f>
        <v>IIDSH</v>
      </c>
      <c r="I99" s="174" t="str">
        <f t="shared" si="22"/>
        <v>INDIWH</v>
      </c>
      <c r="J99" s="224">
        <f t="shared" si="32"/>
        <v>2011</v>
      </c>
      <c r="K99" s="299">
        <v>2025</v>
      </c>
      <c r="L99" s="199">
        <f t="shared" ca="1" si="80"/>
        <v>1.1618960947726835</v>
      </c>
      <c r="M99" s="199"/>
      <c r="N99" s="81">
        <f ca="1">VLOOKUP($AD99,INDIRECT("'"&amp;$B99&amp;"'!"&amp;"$P$118:$AD$121"),5,FALSE)</f>
        <v>25</v>
      </c>
      <c r="O99" s="723">
        <f t="shared" ca="1" si="81"/>
        <v>5.0660000000000007</v>
      </c>
      <c r="P99" s="723">
        <f t="shared" ca="1" si="82"/>
        <v>0.27564999999999995</v>
      </c>
      <c r="Q99" s="81">
        <f t="shared" ca="1" si="83"/>
        <v>5.7509861111111107</v>
      </c>
      <c r="R99" s="81">
        <v>3.1536000000000002E-2</v>
      </c>
      <c r="S99" s="199">
        <v>0.5</v>
      </c>
      <c r="T99" s="199">
        <f ca="1">HLOOKUP($T$2,INDIRECT("'"&amp;$B99&amp;"'!"&amp;"$P$85:$AC$98"),IF(H99=$AI$13,6,IF(H99=$AI$14,9,14)),FALSE)</f>
        <v>0</v>
      </c>
      <c r="U99" s="772"/>
      <c r="V99" s="199">
        <f t="shared" ref="V99" ca="1" si="91">IF(IF(RIGHT(H99,2)="PH",(1-L99)+$W$2,IF(RIGHT(H99,2)="HT",(1-L99)+$W$1,IF(RIGHT(H99,2)="SH",(1-L99)+$W$3,"")))&gt;0,IF(RIGHT(H99,2)="PH",(1-L99)+$W$2,IF(RIGHT(H99,2)="HT",(1-L99)+$W$1,IF(RIGHT(H99,2)="SH",(1-L99)+$W$3,""))),0)</f>
        <v>0</v>
      </c>
      <c r="W99" s="298"/>
      <c r="X99" s="698">
        <f t="shared" ca="1" si="79"/>
        <v>11</v>
      </c>
      <c r="Y99" s="698">
        <f t="shared" ca="1" si="85"/>
        <v>63</v>
      </c>
      <c r="Z99" s="698">
        <f t="shared" ca="1" si="86"/>
        <v>11</v>
      </c>
      <c r="AA99" s="698">
        <f t="shared" ca="1" si="87"/>
        <v>3</v>
      </c>
      <c r="AB99" s="698">
        <f t="shared" ca="1" si="88"/>
        <v>10</v>
      </c>
      <c r="AC99" s="296"/>
      <c r="AD99" s="81">
        <v>2020</v>
      </c>
      <c r="AE99" s="81"/>
      <c r="AF99" s="710"/>
    </row>
    <row r="100" spans="2:32">
      <c r="B100" s="357" t="s">
        <v>1008</v>
      </c>
      <c r="C100" s="55"/>
      <c r="D100" s="261"/>
      <c r="E100" s="261"/>
      <c r="F100" s="224" t="s">
        <v>1149</v>
      </c>
      <c r="G100" s="55"/>
      <c r="H100" s="174"/>
      <c r="I100" s="174" t="str">
        <f t="shared" si="22"/>
        <v>INDIWH</v>
      </c>
      <c r="J100" s="224">
        <f t="shared" si="32"/>
        <v>2030</v>
      </c>
      <c r="K100" s="81"/>
      <c r="L100" s="199">
        <f t="shared" ca="1" si="80"/>
        <v>1.1618960947726835</v>
      </c>
      <c r="M100" s="199"/>
      <c r="N100" s="81"/>
      <c r="O100" s="723">
        <f t="shared" ca="1" si="81"/>
        <v>4.8425000000000002</v>
      </c>
      <c r="P100" s="723">
        <f t="shared" ca="1" si="82"/>
        <v>0.267455</v>
      </c>
      <c r="Q100" s="81">
        <f t="shared" ca="1" si="83"/>
        <v>5.8461805555555557</v>
      </c>
      <c r="R100" s="300"/>
      <c r="S100" s="300"/>
      <c r="T100" s="300"/>
      <c r="U100" s="300"/>
      <c r="V100" s="199">
        <f t="shared" ref="V100" ca="1" si="92">IF(IF(RIGHT(H99,2)="PH",(1-L100)+$W$2,IF(RIGHT(H99,2)="HT",(1-L100)+$W$1,IF(RIGHT(H99,2)="SH",(1-L100)+$W$3,"")))&gt;0,IF(RIGHT(H99,2)="PH",(1-L100)+$W$2,IF(RIGHT(H99,2)="HT",(1-L100)+$W$1,IF(RIGHT(H99,2)="SH",(1-L100)+$W$3,""))),0)</f>
        <v>0</v>
      </c>
      <c r="W100" s="298"/>
      <c r="X100" s="698">
        <f t="shared" ca="1" si="79"/>
        <v>11</v>
      </c>
      <c r="Y100" s="698">
        <f t="shared" ca="1" si="85"/>
        <v>49</v>
      </c>
      <c r="Z100" s="698">
        <f t="shared" ca="1" si="86"/>
        <v>8</v>
      </c>
      <c r="AA100" s="698">
        <f t="shared" ca="1" si="87"/>
        <v>3</v>
      </c>
      <c r="AB100" s="698">
        <f t="shared" ca="1" si="88"/>
        <v>10</v>
      </c>
      <c r="AC100" s="55"/>
      <c r="AD100" s="81">
        <v>2030</v>
      </c>
      <c r="AE100" s="81"/>
      <c r="AF100" s="700"/>
    </row>
    <row r="101" spans="2:32">
      <c r="B101" s="356" t="s">
        <v>1008</v>
      </c>
      <c r="C101" s="203"/>
      <c r="D101" s="701"/>
      <c r="E101" s="701"/>
      <c r="F101" s="224" t="s">
        <v>1149</v>
      </c>
      <c r="G101" s="203"/>
      <c r="H101" s="702"/>
      <c r="I101" s="702" t="str">
        <f t="shared" si="22"/>
        <v>INDIWH</v>
      </c>
      <c r="J101" s="224">
        <f t="shared" si="32"/>
        <v>2050</v>
      </c>
      <c r="K101" s="81"/>
      <c r="L101" s="199">
        <f t="shared" ca="1" si="80"/>
        <v>1.1618960947726835</v>
      </c>
      <c r="M101" s="199"/>
      <c r="N101" s="81"/>
      <c r="O101" s="723">
        <f t="shared" ca="1" si="81"/>
        <v>4.3955000000000002</v>
      </c>
      <c r="P101" s="723">
        <f t="shared" ca="1" si="82"/>
        <v>0.25106499999999998</v>
      </c>
      <c r="Q101" s="81">
        <f t="shared" ca="1" si="83"/>
        <v>5.8937777777777782</v>
      </c>
      <c r="R101" s="703"/>
      <c r="S101" s="703"/>
      <c r="T101" s="703"/>
      <c r="U101" s="703"/>
      <c r="V101" s="199">
        <f t="shared" ref="V101" ca="1" si="93">IF(IF(RIGHT(H99,2)="PH",(1-L101)+$W$2,IF(RIGHT(H99,2)="HT",(1-L101)+$W$1,IF(RIGHT(H99,2)="SH",(1-L101)+$W$3,"")))&gt;0,IF(RIGHT(H99,2)="PH",(1-L101)+$W$2,IF(RIGHT(H99,2)="HT",(1-L101)+$W$1,IF(RIGHT(H99,2)="SH",(1-L101)+$W$3,""))),0)</f>
        <v>0</v>
      </c>
      <c r="W101" s="704"/>
      <c r="X101" s="698">
        <f t="shared" ca="1" si="79"/>
        <v>11</v>
      </c>
      <c r="Y101" s="698">
        <f t="shared" ca="1" si="85"/>
        <v>41</v>
      </c>
      <c r="Z101" s="698">
        <f t="shared" ca="1" si="86"/>
        <v>4</v>
      </c>
      <c r="AA101" s="698">
        <f t="shared" ca="1" si="87"/>
        <v>1</v>
      </c>
      <c r="AB101" s="698">
        <f t="shared" ca="1" si="88"/>
        <v>10</v>
      </c>
      <c r="AC101" s="55"/>
      <c r="AD101" s="81">
        <v>2050</v>
      </c>
      <c r="AE101" s="81"/>
      <c r="AF101" s="700"/>
    </row>
    <row r="102" spans="2:32">
      <c r="B102" s="717" t="s">
        <v>1008</v>
      </c>
      <c r="C102" s="712"/>
      <c r="D102" s="707" t="str">
        <f>"IND"&amp;RIGHT(H102,4)&amp;RIGHT(G102,3)&amp;"N"&amp;RIGHT(E102,1)</f>
        <v>INDIDPHWCHN3</v>
      </c>
      <c r="E102" s="707" t="str">
        <f>"Industrial heating technology "&amp;$AJ$12&amp;" "&amp;RIGHT(H102,2)&amp;" - Wood chip boiler (Hot Water) - new 3"</f>
        <v>Industrial heating technology Mining PH - Wood chip boiler (Hot Water) - new 3</v>
      </c>
      <c r="F102" s="224" t="s">
        <v>1149</v>
      </c>
      <c r="G102" s="708" t="s">
        <v>498</v>
      </c>
      <c r="H102" s="708" t="str">
        <f>$AI$14</f>
        <v>IIDPH</v>
      </c>
      <c r="I102" s="708" t="str">
        <f t="shared" si="22"/>
        <v>INDIWH</v>
      </c>
      <c r="J102" s="224">
        <f t="shared" si="32"/>
        <v>2011</v>
      </c>
      <c r="K102" s="299">
        <v>2025</v>
      </c>
      <c r="L102" s="199">
        <f t="shared" ref="L102:L107" ca="1" si="94">VLOOKUP($AD102,INDIRECT("'"&amp;$B102&amp;"'!"&amp;"$P$200:$AD$203"),3,FALSE)</f>
        <v>0.9</v>
      </c>
      <c r="M102" s="199"/>
      <c r="N102" s="81">
        <f ca="1">VLOOKUP($AD102,INDIRECT("'"&amp;$B102&amp;"'!"&amp;"$P$200:$AD$203"),5,FALSE)</f>
        <v>25</v>
      </c>
      <c r="O102" s="723">
        <f t="shared" ref="O102:O107" ca="1" si="95">VLOOKUP($AD102,INDIRECT("'"&amp;$B102&amp;"'!"&amp;"$P$200:$AD$203"),6,FALSE)/1000</f>
        <v>4.6054545454545437</v>
      </c>
      <c r="P102" s="723">
        <f t="shared" ref="P102:P107" ca="1" si="96">VLOOKUP($AD102,INDIRECT("'"&amp;$B102&amp;"'!"&amp;"$P$200:$AD$203"),7,FALSE)/1000</f>
        <v>0.25106499999999998</v>
      </c>
      <c r="Q102" s="81">
        <f t="shared" ref="Q102:Q107" ca="1" si="97">VLOOKUP($AD102,INDIRECT("'"&amp;$B102&amp;"'!"&amp;"$P$200:$AD$203"),8,FALSE)</f>
        <v>5.7509861111111107</v>
      </c>
      <c r="R102" s="81">
        <v>3.1536000000000002E-2</v>
      </c>
      <c r="S102" s="199">
        <v>0.5</v>
      </c>
      <c r="T102" s="199">
        <f ca="1">HLOOKUP($T$2,INDIRECT("'"&amp;$B102&amp;"'!"&amp;"$P$167:$AC$180"),IF(H102=$AI$13,6,IF(H102=$AI$14,9,14)),FALSE)</f>
        <v>0</v>
      </c>
      <c r="U102" s="773"/>
      <c r="V102" s="199">
        <f t="shared" ref="V102" ca="1" si="98">IF(IF(RIGHT(H102,2)="PH",(1-L102)+$W$2,IF(RIGHT(H102,2)="HT",(1-L102)+$W$1,IF(RIGHT(H102,2)="SH",(1-L102)+$W$3,"")))&gt;0,IF(RIGHT(H102,2)="PH",(1-L102)+$W$2,IF(RIGHT(H102,2)="HT",(1-L102)+$W$1,IF(RIGHT(H102,2)="SH",(1-L102)+$W$3,""))),0)</f>
        <v>0.3</v>
      </c>
      <c r="W102" s="709"/>
      <c r="X102" s="698">
        <f t="shared" ca="1" si="79"/>
        <v>11</v>
      </c>
      <c r="Y102" s="698">
        <f t="shared" ref="Y102:Y107" ca="1" si="99">VLOOKUP($AD102,INDIRECT("'"&amp;$B102&amp;"'!"&amp;"$P$200:$AD$203"),12,FALSE)</f>
        <v>63</v>
      </c>
      <c r="Z102" s="698">
        <f t="shared" ref="Z102:Z107" ca="1" si="100">VLOOKUP($AD102,INDIRECT("'"&amp;$B102&amp;"'!"&amp;"$P$200:$AD$203"),13,FALSE)</f>
        <v>11</v>
      </c>
      <c r="AA102" s="698">
        <f t="shared" ref="AA102:AA107" ca="1" si="101">VLOOKUP($AD102,INDIRECT("'"&amp;$B102&amp;"'!"&amp;"$P$200:$AD$203"),14,FALSE)</f>
        <v>3</v>
      </c>
      <c r="AB102" s="698">
        <f t="shared" ref="AB102:AB107" ca="1" si="102">VLOOKUP($AD102,INDIRECT("'"&amp;$B102&amp;"'!"&amp;"$P$200:$AD$203"),15,FALSE)</f>
        <v>10</v>
      </c>
      <c r="AC102" s="55"/>
      <c r="AD102" s="81">
        <v>2020</v>
      </c>
      <c r="AE102" s="81"/>
      <c r="AF102" s="700"/>
    </row>
    <row r="103" spans="2:32">
      <c r="B103" s="718" t="s">
        <v>1008</v>
      </c>
      <c r="C103" s="226"/>
      <c r="D103" s="261"/>
      <c r="E103" s="261"/>
      <c r="F103" s="224" t="s">
        <v>1149</v>
      </c>
      <c r="G103" s="55"/>
      <c r="H103" s="174"/>
      <c r="I103" s="174" t="str">
        <f t="shared" si="22"/>
        <v>INDIWH</v>
      </c>
      <c r="J103" s="224">
        <f t="shared" si="32"/>
        <v>2030</v>
      </c>
      <c r="K103" s="81"/>
      <c r="L103" s="199">
        <f t="shared" ca="1" si="94"/>
        <v>0.9</v>
      </c>
      <c r="M103" s="199"/>
      <c r="N103" s="81"/>
      <c r="O103" s="723">
        <f t="shared" ca="1" si="95"/>
        <v>4.4022727272727282</v>
      </c>
      <c r="P103" s="723">
        <f t="shared" ca="1" si="96"/>
        <v>0.267455</v>
      </c>
      <c r="Q103" s="81">
        <f t="shared" ca="1" si="97"/>
        <v>5.8461805555555557</v>
      </c>
      <c r="R103" s="300"/>
      <c r="S103" s="300"/>
      <c r="T103" s="300"/>
      <c r="U103" s="300"/>
      <c r="V103" s="199">
        <f t="shared" ref="V103" ca="1" si="103">IF(IF(RIGHT(H102,2)="PH",(1-L103)+$W$2,IF(RIGHT(H102,2)="HT",(1-L103)+$W$1,IF(RIGHT(H102,2)="SH",(1-L103)+$W$3,"")))&gt;0,IF(RIGHT(H102,2)="PH",(1-L103)+$W$2,IF(RIGHT(H102,2)="HT",(1-L103)+$W$1,IF(RIGHT(H102,2)="SH",(1-L103)+$W$3,""))),0)</f>
        <v>0.3</v>
      </c>
      <c r="W103" s="298"/>
      <c r="X103" s="698">
        <f t="shared" ca="1" si="79"/>
        <v>11</v>
      </c>
      <c r="Y103" s="698">
        <f t="shared" ca="1" si="99"/>
        <v>49</v>
      </c>
      <c r="Z103" s="698">
        <f t="shared" ca="1" si="100"/>
        <v>8</v>
      </c>
      <c r="AA103" s="698">
        <f t="shared" ca="1" si="101"/>
        <v>3</v>
      </c>
      <c r="AB103" s="698">
        <f t="shared" ca="1" si="102"/>
        <v>10</v>
      </c>
      <c r="AC103" s="55"/>
      <c r="AD103" s="81">
        <v>2030</v>
      </c>
      <c r="AE103" s="81"/>
      <c r="AF103" s="700"/>
    </row>
    <row r="104" spans="2:32">
      <c r="B104" s="718" t="s">
        <v>1008</v>
      </c>
      <c r="C104" s="226"/>
      <c r="D104" s="261"/>
      <c r="E104" s="261"/>
      <c r="F104" s="224" t="s">
        <v>1149</v>
      </c>
      <c r="G104" s="55"/>
      <c r="H104" s="174"/>
      <c r="I104" s="174" t="str">
        <f t="shared" si="22"/>
        <v>INDIWH</v>
      </c>
      <c r="J104" s="224">
        <f t="shared" si="32"/>
        <v>2050</v>
      </c>
      <c r="K104" s="81"/>
      <c r="L104" s="199">
        <f t="shared" ca="1" si="94"/>
        <v>0.91</v>
      </c>
      <c r="M104" s="199"/>
      <c r="N104" s="81"/>
      <c r="O104" s="723">
        <f t="shared" ca="1" si="95"/>
        <v>3.9959090909090884</v>
      </c>
      <c r="P104" s="723">
        <f t="shared" ca="1" si="96"/>
        <v>0.25106499999999998</v>
      </c>
      <c r="Q104" s="81">
        <f t="shared" ca="1" si="97"/>
        <v>5.8937777777777782</v>
      </c>
      <c r="R104" s="300"/>
      <c r="S104" s="300"/>
      <c r="T104" s="300"/>
      <c r="U104" s="300"/>
      <c r="V104" s="199">
        <f t="shared" ref="V104" ca="1" si="104">IF(IF(RIGHT(H102,2)="PH",(1-L104)+$W$2,IF(RIGHT(H102,2)="HT",(1-L104)+$W$1,IF(RIGHT(H102,2)="SH",(1-L104)+$W$3,"")))&gt;0,IF(RIGHT(H102,2)="PH",(1-L104)+$W$2,IF(RIGHT(H102,2)="HT",(1-L104)+$W$1,IF(RIGHT(H102,2)="SH",(1-L104)+$W$3,""))),0)</f>
        <v>0.28999999999999998</v>
      </c>
      <c r="W104" s="298"/>
      <c r="X104" s="698">
        <f t="shared" ca="1" si="79"/>
        <v>11</v>
      </c>
      <c r="Y104" s="698">
        <f t="shared" ca="1" si="99"/>
        <v>41</v>
      </c>
      <c r="Z104" s="698">
        <f t="shared" ca="1" si="100"/>
        <v>4</v>
      </c>
      <c r="AA104" s="698">
        <f t="shared" ca="1" si="101"/>
        <v>1</v>
      </c>
      <c r="AB104" s="698">
        <f t="shared" ca="1" si="102"/>
        <v>10</v>
      </c>
      <c r="AC104" s="203"/>
      <c r="AD104" s="81">
        <v>2050</v>
      </c>
      <c r="AE104" s="81"/>
      <c r="AF104" s="705"/>
    </row>
    <row r="105" spans="2:32">
      <c r="B105" s="718" t="s">
        <v>1008</v>
      </c>
      <c r="C105" s="226"/>
      <c r="D105" s="261" t="str">
        <f>"IND"&amp;RIGHT(H105,4)&amp;RIGHT(G105,3)&amp;"N"&amp;RIGHT(E105,1)</f>
        <v>INDIDSHWCHN3</v>
      </c>
      <c r="E105" s="261" t="str">
        <f>"Industrial heating technology "&amp;$AJ$12&amp;" "&amp;RIGHT(H105,2)&amp;" - Wood chip boiler (Hot Water) - new 3"</f>
        <v>Industrial heating technology Mining SH - Wood chip boiler (Hot Water) - new 3</v>
      </c>
      <c r="F105" s="224" t="s">
        <v>1149</v>
      </c>
      <c r="G105" s="174" t="s">
        <v>498</v>
      </c>
      <c r="H105" s="174" t="str">
        <f>$AI$15</f>
        <v>IIDSH</v>
      </c>
      <c r="I105" s="174" t="str">
        <f t="shared" si="22"/>
        <v>INDIWH</v>
      </c>
      <c r="J105" s="224">
        <f t="shared" si="32"/>
        <v>2011</v>
      </c>
      <c r="K105" s="299">
        <v>2025</v>
      </c>
      <c r="L105" s="199">
        <f t="shared" ca="1" si="94"/>
        <v>0.9</v>
      </c>
      <c r="M105" s="199"/>
      <c r="N105" s="81">
        <f ca="1">VLOOKUP($AD105,INDIRECT("'"&amp;$B105&amp;"'!"&amp;"$P$200:$AD$203"),5,FALSE)</f>
        <v>25</v>
      </c>
      <c r="O105" s="723">
        <f t="shared" ca="1" si="95"/>
        <v>4.6054545454545437</v>
      </c>
      <c r="P105" s="723">
        <f t="shared" ca="1" si="96"/>
        <v>0.25106499999999998</v>
      </c>
      <c r="Q105" s="81">
        <f t="shared" ca="1" si="97"/>
        <v>5.7509861111111107</v>
      </c>
      <c r="R105" s="81">
        <v>3.1536000000000002E-2</v>
      </c>
      <c r="S105" s="199">
        <v>0.5</v>
      </c>
      <c r="T105" s="199">
        <f ca="1">HLOOKUP($T$2,INDIRECT("'"&amp;$B105&amp;"'!"&amp;"$P$167:$AC$180"),IF(H105=$AI$13,6,IF(H105=$AI$14,9,14)),FALSE)</f>
        <v>1</v>
      </c>
      <c r="U105" s="773"/>
      <c r="V105" s="199">
        <f t="shared" ref="V105" ca="1" si="105">IF(IF(RIGHT(H105,2)="PH",(1-L105)+$W$2,IF(RIGHT(H105,2)="HT",(1-L105)+$W$1,IF(RIGHT(H105,2)="SH",(1-L105)+$W$3,"")))&gt;0,IF(RIGHT(H105,2)="PH",(1-L105)+$W$2,IF(RIGHT(H105,2)="HT",(1-L105)+$W$1,IF(RIGHT(H105,2)="SH",(1-L105)+$W$3,""))),0)</f>
        <v>9.9999999999999978E-2</v>
      </c>
      <c r="W105" s="709"/>
      <c r="X105" s="698">
        <f t="shared" ca="1" si="79"/>
        <v>11</v>
      </c>
      <c r="Y105" s="698">
        <f t="shared" ca="1" si="99"/>
        <v>63</v>
      </c>
      <c r="Z105" s="698">
        <f t="shared" ca="1" si="100"/>
        <v>11</v>
      </c>
      <c r="AA105" s="698">
        <f t="shared" ca="1" si="101"/>
        <v>3</v>
      </c>
      <c r="AB105" s="698">
        <f t="shared" ca="1" si="102"/>
        <v>10</v>
      </c>
      <c r="AC105" s="296"/>
      <c r="AD105" s="81">
        <v>2020</v>
      </c>
      <c r="AE105" s="81"/>
      <c r="AF105" s="710"/>
    </row>
    <row r="106" spans="2:32">
      <c r="B106" s="718" t="s">
        <v>1008</v>
      </c>
      <c r="C106" s="226"/>
      <c r="D106" s="261"/>
      <c r="E106" s="261"/>
      <c r="F106" s="224" t="s">
        <v>1149</v>
      </c>
      <c r="G106" s="55"/>
      <c r="H106" s="174"/>
      <c r="I106" s="174" t="str">
        <f t="shared" si="22"/>
        <v>INDIWH</v>
      </c>
      <c r="J106" s="224">
        <f t="shared" si="32"/>
        <v>2030</v>
      </c>
      <c r="K106" s="81"/>
      <c r="L106" s="199">
        <f t="shared" ca="1" si="94"/>
        <v>0.9</v>
      </c>
      <c r="M106" s="199"/>
      <c r="N106" s="81"/>
      <c r="O106" s="723">
        <f t="shared" ca="1" si="95"/>
        <v>4.4022727272727282</v>
      </c>
      <c r="P106" s="723">
        <f t="shared" ca="1" si="96"/>
        <v>0.267455</v>
      </c>
      <c r="Q106" s="81">
        <f t="shared" ca="1" si="97"/>
        <v>5.8461805555555557</v>
      </c>
      <c r="R106" s="300"/>
      <c r="S106" s="300"/>
      <c r="T106" s="300"/>
      <c r="U106" s="300"/>
      <c r="V106" s="199">
        <f t="shared" ref="V106" ca="1" si="106">IF(IF(RIGHT(H105,2)="PH",(1-L106)+$W$2,IF(RIGHT(H105,2)="HT",(1-L106)+$W$1,IF(RIGHT(H105,2)="SH",(1-L106)+$W$3,"")))&gt;0,IF(RIGHT(H105,2)="PH",(1-L106)+$W$2,IF(RIGHT(H105,2)="HT",(1-L106)+$W$1,IF(RIGHT(H105,2)="SH",(1-L106)+$W$3,""))),0)</f>
        <v>9.9999999999999978E-2</v>
      </c>
      <c r="W106" s="298"/>
      <c r="X106" s="698">
        <f t="shared" ca="1" si="79"/>
        <v>11</v>
      </c>
      <c r="Y106" s="698">
        <f t="shared" ca="1" si="99"/>
        <v>49</v>
      </c>
      <c r="Z106" s="698">
        <f t="shared" ca="1" si="100"/>
        <v>8</v>
      </c>
      <c r="AA106" s="698">
        <f t="shared" ca="1" si="101"/>
        <v>3</v>
      </c>
      <c r="AB106" s="698">
        <f t="shared" ca="1" si="102"/>
        <v>10</v>
      </c>
      <c r="AC106" s="55"/>
      <c r="AD106" s="81">
        <v>2030</v>
      </c>
      <c r="AE106" s="81"/>
      <c r="AF106" s="700"/>
    </row>
    <row r="107" spans="2:32">
      <c r="B107" s="719" t="s">
        <v>1008</v>
      </c>
      <c r="C107" s="713"/>
      <c r="D107" s="701"/>
      <c r="E107" s="701"/>
      <c r="F107" s="224" t="s">
        <v>1149</v>
      </c>
      <c r="G107" s="203"/>
      <c r="H107" s="702"/>
      <c r="I107" s="702" t="str">
        <f t="shared" si="22"/>
        <v>INDIWH</v>
      </c>
      <c r="J107" s="224">
        <f t="shared" si="32"/>
        <v>2050</v>
      </c>
      <c r="K107" s="81"/>
      <c r="L107" s="199">
        <f t="shared" ca="1" si="94"/>
        <v>0.91</v>
      </c>
      <c r="M107" s="199"/>
      <c r="N107" s="81"/>
      <c r="O107" s="723">
        <f t="shared" ca="1" si="95"/>
        <v>3.9959090909090884</v>
      </c>
      <c r="P107" s="723">
        <f t="shared" ca="1" si="96"/>
        <v>0.25106499999999998</v>
      </c>
      <c r="Q107" s="81">
        <f t="shared" ca="1" si="97"/>
        <v>5.8937777777777782</v>
      </c>
      <c r="R107" s="300"/>
      <c r="S107" s="300"/>
      <c r="T107" s="300"/>
      <c r="U107" s="300"/>
      <c r="V107" s="199">
        <f t="shared" ref="V107" ca="1" si="107">IF(IF(RIGHT(H105,2)="PH",(1-L107)+$W$2,IF(RIGHT(H105,2)="HT",(1-L107)+$W$1,IF(RIGHT(H105,2)="SH",(1-L107)+$W$3,"")))&gt;0,IF(RIGHT(H105,2)="PH",(1-L107)+$W$2,IF(RIGHT(H105,2)="HT",(1-L107)+$W$1,IF(RIGHT(H105,2)="SH",(1-L107)+$W$3,""))),0)</f>
        <v>8.9999999999999969E-2</v>
      </c>
      <c r="W107" s="298"/>
      <c r="X107" s="698">
        <f t="shared" ca="1" si="79"/>
        <v>11</v>
      </c>
      <c r="Y107" s="698">
        <f t="shared" ca="1" si="99"/>
        <v>41</v>
      </c>
      <c r="Z107" s="698">
        <f t="shared" ca="1" si="100"/>
        <v>4</v>
      </c>
      <c r="AA107" s="698">
        <f t="shared" ca="1" si="101"/>
        <v>1</v>
      </c>
      <c r="AB107" s="698">
        <f t="shared" ca="1" si="102"/>
        <v>10</v>
      </c>
      <c r="AC107" s="55"/>
      <c r="AD107" s="81">
        <v>2050</v>
      </c>
      <c r="AE107" s="81"/>
      <c r="AF107" s="700"/>
    </row>
    <row r="108" spans="2:32">
      <c r="B108" s="717" t="s">
        <v>1008</v>
      </c>
      <c r="C108" s="712"/>
      <c r="D108" s="707" t="str">
        <f>"IND"&amp;RIGHT(H108,4)&amp;RIGHT(G108,3)&amp;"N"&amp;RIGHT(E108,1)</f>
        <v>INDIDPHWCHN4</v>
      </c>
      <c r="E108" s="707" t="str">
        <f>"Industrial heating technology "&amp;$AJ$12&amp;" "&amp;RIGHT(H108,2)&amp;" - Wood chip boiler (Hot Water - condensing) - new 4"</f>
        <v>Industrial heating technology Mining PH - Wood chip boiler (Hot Water - condensing) - new 4</v>
      </c>
      <c r="F108" s="224" t="s">
        <v>1149</v>
      </c>
      <c r="G108" s="708" t="s">
        <v>498</v>
      </c>
      <c r="H108" s="708" t="str">
        <f>$AI$14</f>
        <v>IIDPH</v>
      </c>
      <c r="I108" s="708" t="str">
        <f t="shared" si="22"/>
        <v>INDIWH</v>
      </c>
      <c r="J108" s="224">
        <f t="shared" si="32"/>
        <v>2011</v>
      </c>
      <c r="K108" s="299">
        <v>2025</v>
      </c>
      <c r="L108" s="199">
        <f t="shared" ref="L108:L113" ca="1" si="108">VLOOKUP($AD108,INDIRECT("'"&amp;$B108&amp;"'!"&amp;"$P$279:$AD$282"),3,FALSE)</f>
        <v>1.1618960947726835</v>
      </c>
      <c r="M108" s="199"/>
      <c r="N108" s="81">
        <f ca="1">VLOOKUP($AD108,INDIRECT("'"&amp;$B108&amp;"'!"&amp;"$P$279:$AD$282"),5,FALSE)</f>
        <v>25</v>
      </c>
      <c r="O108" s="723">
        <f t="shared" ref="O108:O113" ca="1" si="109">VLOOKUP($AD108,INDIRECT("'"&amp;$B108&amp;"'!"&amp;"$P$279:$AD$282"),6,FALSE)/1000</f>
        <v>5.0660000000000007</v>
      </c>
      <c r="P108" s="723">
        <f t="shared" ref="P108:P113" ca="1" si="110">VLOOKUP($AD108,INDIRECT("'"&amp;$B108&amp;"'!"&amp;"$P$279:$AD$282"),7,FALSE)/1000</f>
        <v>0.27564999999999995</v>
      </c>
      <c r="Q108" s="81">
        <f t="shared" ref="Q108:Q113" ca="1" si="111">VLOOKUP($AD108,INDIRECT("'"&amp;$B108&amp;"'!"&amp;"$P$279:$AD$282"),8,FALSE)</f>
        <v>5.7509861111111107</v>
      </c>
      <c r="R108" s="81">
        <v>3.1536000000000002E-2</v>
      </c>
      <c r="S108" s="199">
        <v>0.5</v>
      </c>
      <c r="T108" s="199">
        <f ca="1">HLOOKUP($T$2,INDIRECT("'"&amp;$B108&amp;"'!"&amp;"$P$246:$AC$259"),IF(H108=$AI$13,6,IF(H108=$AI$14,9,14)),FALSE)</f>
        <v>0</v>
      </c>
      <c r="U108" s="773"/>
      <c r="V108" s="199">
        <f t="shared" ref="V108" ca="1" si="112">IF(IF(RIGHT(H108,2)="PH",(1-L108)+$W$2,IF(RIGHT(H108,2)="HT",(1-L108)+$W$1,IF(RIGHT(H108,2)="SH",(1-L108)+$W$3,"")))&gt;0,IF(RIGHT(H108,2)="PH",(1-L108)+$W$2,IF(RIGHT(H108,2)="HT",(1-L108)+$W$1,IF(RIGHT(H108,2)="SH",(1-L108)+$W$3,""))),0)</f>
        <v>3.8103905227316492E-2</v>
      </c>
      <c r="W108" s="709"/>
      <c r="X108" s="698">
        <f t="shared" ca="1" si="79"/>
        <v>11</v>
      </c>
      <c r="Y108" s="698">
        <f t="shared" ref="Y108:Y113" ca="1" si="113">VLOOKUP($AD108,INDIRECT("'"&amp;$B108&amp;"'!"&amp;"$P$279:$AD$282"),12,FALSE)</f>
        <v>63</v>
      </c>
      <c r="Z108" s="698">
        <f t="shared" ref="Z108:Z113" ca="1" si="114">VLOOKUP($AD108,INDIRECT("'"&amp;$B108&amp;"'!"&amp;"$P$279:$AD$282"),13,FALSE)</f>
        <v>11</v>
      </c>
      <c r="AA108" s="698">
        <f t="shared" ref="AA108:AA113" ca="1" si="115">VLOOKUP($AD108,INDIRECT("'"&amp;$B108&amp;"'!"&amp;"$P$279:$AD$282"),14,FALSE)</f>
        <v>3</v>
      </c>
      <c r="AB108" s="698">
        <f t="shared" ref="AB108:AB113" ca="1" si="116">VLOOKUP($AD108,INDIRECT("'"&amp;$B108&amp;"'!"&amp;"$P$279:$AD$282"),15,FALSE)</f>
        <v>10</v>
      </c>
      <c r="AC108" s="55"/>
      <c r="AD108" s="81">
        <v>2020</v>
      </c>
      <c r="AE108" s="81"/>
      <c r="AF108" s="700"/>
    </row>
    <row r="109" spans="2:32">
      <c r="B109" s="718" t="s">
        <v>1008</v>
      </c>
      <c r="C109" s="226"/>
      <c r="D109" s="261"/>
      <c r="E109" s="261"/>
      <c r="F109" s="224" t="s">
        <v>1149</v>
      </c>
      <c r="G109" s="55"/>
      <c r="H109" s="174"/>
      <c r="I109" s="174" t="str">
        <f t="shared" si="22"/>
        <v>INDIWH</v>
      </c>
      <c r="J109" s="224">
        <f t="shared" si="32"/>
        <v>2030</v>
      </c>
      <c r="K109" s="81"/>
      <c r="L109" s="199">
        <f t="shared" ca="1" si="108"/>
        <v>1.1618960947726835</v>
      </c>
      <c r="M109" s="199"/>
      <c r="N109" s="81"/>
      <c r="O109" s="723">
        <f t="shared" ca="1" si="109"/>
        <v>4.8425000000000002</v>
      </c>
      <c r="P109" s="723">
        <f t="shared" ca="1" si="110"/>
        <v>0.267455</v>
      </c>
      <c r="Q109" s="81">
        <f t="shared" ca="1" si="111"/>
        <v>5.8461805555555557</v>
      </c>
      <c r="R109" s="300"/>
      <c r="S109" s="300"/>
      <c r="T109" s="300"/>
      <c r="U109" s="300"/>
      <c r="V109" s="199">
        <f t="shared" ref="V109" ca="1" si="117">IF(IF(RIGHT(H108,2)="PH",(1-L109)+$W$2,IF(RIGHT(H108,2)="HT",(1-L109)+$W$1,IF(RIGHT(H108,2)="SH",(1-L109)+$W$3,"")))&gt;0,IF(RIGHT(H108,2)="PH",(1-L109)+$W$2,IF(RIGHT(H108,2)="HT",(1-L109)+$W$1,IF(RIGHT(H108,2)="SH",(1-L109)+$W$3,""))),0)</f>
        <v>3.8103905227316492E-2</v>
      </c>
      <c r="W109" s="298"/>
      <c r="X109" s="698">
        <f t="shared" ca="1" si="79"/>
        <v>11</v>
      </c>
      <c r="Y109" s="698">
        <f t="shared" ca="1" si="113"/>
        <v>49</v>
      </c>
      <c r="Z109" s="698">
        <f t="shared" ca="1" si="114"/>
        <v>8</v>
      </c>
      <c r="AA109" s="698">
        <f t="shared" ca="1" si="115"/>
        <v>3</v>
      </c>
      <c r="AB109" s="698">
        <f t="shared" ca="1" si="116"/>
        <v>10</v>
      </c>
      <c r="AC109" s="55"/>
      <c r="AD109" s="81">
        <v>2030</v>
      </c>
      <c r="AE109" s="81"/>
      <c r="AF109" s="700"/>
    </row>
    <row r="110" spans="2:32">
      <c r="B110" s="718" t="s">
        <v>1008</v>
      </c>
      <c r="C110" s="226"/>
      <c r="D110" s="261"/>
      <c r="E110" s="261"/>
      <c r="F110" s="224" t="s">
        <v>1149</v>
      </c>
      <c r="G110" s="55"/>
      <c r="H110" s="174"/>
      <c r="I110" s="174" t="str">
        <f t="shared" si="22"/>
        <v>INDIWH</v>
      </c>
      <c r="J110" s="224">
        <f t="shared" si="32"/>
        <v>2050</v>
      </c>
      <c r="K110" s="81"/>
      <c r="L110" s="199">
        <f t="shared" ca="1" si="108"/>
        <v>1.1618960947726835</v>
      </c>
      <c r="M110" s="199"/>
      <c r="N110" s="81"/>
      <c r="O110" s="723">
        <f t="shared" ca="1" si="109"/>
        <v>4.3955000000000002</v>
      </c>
      <c r="P110" s="723">
        <f t="shared" ca="1" si="110"/>
        <v>0.25106499999999998</v>
      </c>
      <c r="Q110" s="81">
        <f t="shared" ca="1" si="111"/>
        <v>5.8937777777777782</v>
      </c>
      <c r="R110" s="300"/>
      <c r="S110" s="300"/>
      <c r="T110" s="300"/>
      <c r="U110" s="300"/>
      <c r="V110" s="199">
        <f t="shared" ref="V110" ca="1" si="118">IF(IF(RIGHT(H108,2)="PH",(1-L110)+$W$2,IF(RIGHT(H108,2)="HT",(1-L110)+$W$1,IF(RIGHT(H108,2)="SH",(1-L110)+$W$3,"")))&gt;0,IF(RIGHT(H108,2)="PH",(1-L110)+$W$2,IF(RIGHT(H108,2)="HT",(1-L110)+$W$1,IF(RIGHT(H108,2)="SH",(1-L110)+$W$3,""))),0)</f>
        <v>3.8103905227316492E-2</v>
      </c>
      <c r="W110" s="298"/>
      <c r="X110" s="698">
        <f t="shared" ca="1" si="79"/>
        <v>11</v>
      </c>
      <c r="Y110" s="698">
        <f t="shared" ca="1" si="113"/>
        <v>41</v>
      </c>
      <c r="Z110" s="698">
        <f t="shared" ca="1" si="114"/>
        <v>4</v>
      </c>
      <c r="AA110" s="698">
        <f t="shared" ca="1" si="115"/>
        <v>1</v>
      </c>
      <c r="AB110" s="698">
        <f t="shared" ca="1" si="116"/>
        <v>10</v>
      </c>
      <c r="AC110" s="203"/>
      <c r="AD110" s="81">
        <v>2050</v>
      </c>
      <c r="AE110" s="81"/>
      <c r="AF110" s="705"/>
    </row>
    <row r="111" spans="2:32">
      <c r="B111" s="718" t="s">
        <v>1008</v>
      </c>
      <c r="C111" s="226"/>
      <c r="D111" s="261" t="str">
        <f>"IND"&amp;RIGHT(H111,4)&amp;RIGHT(G111,3)&amp;"N"&amp;RIGHT(E111,1)</f>
        <v>INDIDSHWCHN4</v>
      </c>
      <c r="E111" s="261" t="str">
        <f>"Industrial heating technology "&amp;$AJ$12&amp;" "&amp;RIGHT(H111,2)&amp;" - Wood chip boiler (Hot Water- condensing) - new 4"</f>
        <v>Industrial heating technology Mining SH - Wood chip boiler (Hot Water- condensing) - new 4</v>
      </c>
      <c r="F111" s="224" t="s">
        <v>1149</v>
      </c>
      <c r="G111" s="174" t="s">
        <v>498</v>
      </c>
      <c r="H111" s="174" t="str">
        <f>$AI$15</f>
        <v>IIDSH</v>
      </c>
      <c r="I111" s="174" t="str">
        <f t="shared" si="22"/>
        <v>INDIWH</v>
      </c>
      <c r="J111" s="224">
        <f t="shared" si="32"/>
        <v>2011</v>
      </c>
      <c r="K111" s="299">
        <v>2025</v>
      </c>
      <c r="L111" s="199">
        <f t="shared" ca="1" si="108"/>
        <v>1.1618960947726835</v>
      </c>
      <c r="M111" s="199"/>
      <c r="N111" s="81">
        <f ca="1">VLOOKUP($AD111,INDIRECT("'"&amp;$B111&amp;"'!"&amp;"$P$279:$AD$282"),5,FALSE)</f>
        <v>25</v>
      </c>
      <c r="O111" s="723">
        <f t="shared" ca="1" si="109"/>
        <v>5.0660000000000007</v>
      </c>
      <c r="P111" s="723">
        <f t="shared" ca="1" si="110"/>
        <v>0.27564999999999995</v>
      </c>
      <c r="Q111" s="81">
        <f t="shared" ca="1" si="111"/>
        <v>5.7509861111111107</v>
      </c>
      <c r="R111" s="81">
        <v>3.1536000000000002E-2</v>
      </c>
      <c r="S111" s="199">
        <v>0.5</v>
      </c>
      <c r="T111" s="199">
        <f ca="1">HLOOKUP($T$2,INDIRECT("'"&amp;$B111&amp;"'!"&amp;"$P$246:$AC$259"),IF(H111=$AI$13,6,IF(H111=$AI$14,9,14)),FALSE)</f>
        <v>0</v>
      </c>
      <c r="U111" s="773"/>
      <c r="V111" s="199">
        <f t="shared" ref="V111" ca="1" si="119">IF(IF(RIGHT(H111,2)="PH",(1-L111)+$W$2,IF(RIGHT(H111,2)="HT",(1-L111)+$W$1,IF(RIGHT(H111,2)="SH",(1-L111)+$W$3,"")))&gt;0,IF(RIGHT(H111,2)="PH",(1-L111)+$W$2,IF(RIGHT(H111,2)="HT",(1-L111)+$W$1,IF(RIGHT(H111,2)="SH",(1-L111)+$W$3,""))),0)</f>
        <v>0</v>
      </c>
      <c r="W111" s="709"/>
      <c r="X111" s="698">
        <f t="shared" ca="1" si="79"/>
        <v>11</v>
      </c>
      <c r="Y111" s="698">
        <f t="shared" ca="1" si="113"/>
        <v>63</v>
      </c>
      <c r="Z111" s="698">
        <f t="shared" ca="1" si="114"/>
        <v>11</v>
      </c>
      <c r="AA111" s="698">
        <f t="shared" ca="1" si="115"/>
        <v>3</v>
      </c>
      <c r="AB111" s="698">
        <f t="shared" ca="1" si="116"/>
        <v>10</v>
      </c>
      <c r="AD111" s="81">
        <v>2020</v>
      </c>
      <c r="AE111" s="81"/>
      <c r="AF111" s="220"/>
    </row>
    <row r="112" spans="2:32">
      <c r="B112" s="718" t="s">
        <v>1008</v>
      </c>
      <c r="C112" s="226"/>
      <c r="D112" s="261"/>
      <c r="E112" s="261"/>
      <c r="F112" s="224" t="s">
        <v>1149</v>
      </c>
      <c r="G112" s="55"/>
      <c r="H112" s="174"/>
      <c r="I112" s="174" t="str">
        <f t="shared" si="22"/>
        <v>INDIWH</v>
      </c>
      <c r="J112" s="224">
        <f t="shared" si="32"/>
        <v>2030</v>
      </c>
      <c r="K112" s="81"/>
      <c r="L112" s="199">
        <f t="shared" ca="1" si="108"/>
        <v>1.1618960947726835</v>
      </c>
      <c r="M112" s="199"/>
      <c r="N112" s="81"/>
      <c r="O112" s="723">
        <f t="shared" ca="1" si="109"/>
        <v>4.8425000000000002</v>
      </c>
      <c r="P112" s="723">
        <f t="shared" ca="1" si="110"/>
        <v>0.267455</v>
      </c>
      <c r="Q112" s="81">
        <f t="shared" ca="1" si="111"/>
        <v>5.8461805555555557</v>
      </c>
      <c r="R112" s="300"/>
      <c r="S112" s="300"/>
      <c r="T112" s="300"/>
      <c r="U112" s="300"/>
      <c r="V112" s="199">
        <f t="shared" ref="V112" ca="1" si="120">IF(IF(RIGHT(H111,2)="PH",(1-L112)+$W$2,IF(RIGHT(H111,2)="HT",(1-L112)+$W$1,IF(RIGHT(H111,2)="SH",(1-L112)+$W$3,"")))&gt;0,IF(RIGHT(H111,2)="PH",(1-L112)+$W$2,IF(RIGHT(H111,2)="HT",(1-L112)+$W$1,IF(RIGHT(H111,2)="SH",(1-L112)+$W$3,""))),0)</f>
        <v>0</v>
      </c>
      <c r="W112" s="298"/>
      <c r="X112" s="698">
        <f t="shared" ca="1" si="79"/>
        <v>11</v>
      </c>
      <c r="Y112" s="698">
        <f t="shared" ca="1" si="113"/>
        <v>49</v>
      </c>
      <c r="Z112" s="698">
        <f t="shared" ca="1" si="114"/>
        <v>8</v>
      </c>
      <c r="AA112" s="698">
        <f t="shared" ca="1" si="115"/>
        <v>3</v>
      </c>
      <c r="AB112" s="698">
        <f t="shared" ca="1" si="116"/>
        <v>10</v>
      </c>
      <c r="AD112" s="81">
        <v>2030</v>
      </c>
      <c r="AE112" s="81"/>
      <c r="AF112" s="220"/>
    </row>
    <row r="113" spans="2:32">
      <c r="B113" s="719" t="s">
        <v>1008</v>
      </c>
      <c r="C113" s="713"/>
      <c r="D113" s="701"/>
      <c r="E113" s="701"/>
      <c r="F113" s="224" t="s">
        <v>1149</v>
      </c>
      <c r="G113" s="203"/>
      <c r="H113" s="702"/>
      <c r="I113" s="702" t="str">
        <f t="shared" si="22"/>
        <v>INDIWH</v>
      </c>
      <c r="J113" s="224">
        <f t="shared" si="32"/>
        <v>2050</v>
      </c>
      <c r="K113" s="81"/>
      <c r="L113" s="199">
        <f t="shared" ca="1" si="108"/>
        <v>1.1618960947726835</v>
      </c>
      <c r="M113" s="199"/>
      <c r="N113" s="81"/>
      <c r="O113" s="723">
        <f t="shared" ca="1" si="109"/>
        <v>4.3955000000000002</v>
      </c>
      <c r="P113" s="723">
        <f t="shared" ca="1" si="110"/>
        <v>0.25106499999999998</v>
      </c>
      <c r="Q113" s="81">
        <f t="shared" ca="1" si="111"/>
        <v>5.8937777777777782</v>
      </c>
      <c r="R113" s="300"/>
      <c r="S113" s="300"/>
      <c r="T113" s="300"/>
      <c r="U113" s="300"/>
      <c r="V113" s="199">
        <f t="shared" ref="V113" ca="1" si="121">IF(IF(RIGHT(H111,2)="PH",(1-L113)+$W$2,IF(RIGHT(H111,2)="HT",(1-L113)+$W$1,IF(RIGHT(H111,2)="SH",(1-L113)+$W$3,"")))&gt;0,IF(RIGHT(H111,2)="PH",(1-L113)+$W$2,IF(RIGHT(H111,2)="HT",(1-L113)+$W$1,IF(RIGHT(H111,2)="SH",(1-L113)+$W$3,""))),0)</f>
        <v>0</v>
      </c>
      <c r="W113" s="714"/>
      <c r="X113" s="698">
        <f t="shared" ca="1" si="79"/>
        <v>11</v>
      </c>
      <c r="Y113" s="698">
        <f t="shared" ca="1" si="113"/>
        <v>41</v>
      </c>
      <c r="Z113" s="698">
        <f t="shared" ca="1" si="114"/>
        <v>4</v>
      </c>
      <c r="AA113" s="698">
        <f t="shared" ca="1" si="115"/>
        <v>1</v>
      </c>
      <c r="AB113" s="698">
        <f t="shared" ca="1" si="116"/>
        <v>10</v>
      </c>
      <c r="AD113" s="81">
        <v>2050</v>
      </c>
      <c r="AE113" s="81"/>
      <c r="AF113" s="220"/>
    </row>
    <row r="114" spans="2:32">
      <c r="B114" s="718" t="s">
        <v>1014</v>
      </c>
      <c r="C114" s="226"/>
      <c r="D114" s="212" t="str">
        <f>"IND"&amp;RIGHT(H114,4)&amp;RIGHT(G114,3)&amp;"N"&amp;RIGHT(E114,2)</f>
        <v>INDIDPHELCN10</v>
      </c>
      <c r="E114" s="261" t="str">
        <f>"Industrial heating technology "&amp;$AJ$12&amp;" "&amp;RIGHT(H114,2)&amp;" - Direct electric heating - new 10"</f>
        <v>Industrial heating technology Mining PH - Direct electric heating - new 10</v>
      </c>
      <c r="F114" s="224" t="s">
        <v>1149</v>
      </c>
      <c r="G114" s="173" t="s">
        <v>499</v>
      </c>
      <c r="H114" s="174" t="str">
        <f>$AI$13</f>
        <v>IIDPH</v>
      </c>
      <c r="I114" s="174" t="str">
        <f t="shared" si="22"/>
        <v>INDIWH</v>
      </c>
      <c r="J114" s="224">
        <f t="shared" si="32"/>
        <v>2011</v>
      </c>
      <c r="K114" s="299">
        <v>2020</v>
      </c>
      <c r="L114" s="199">
        <f t="shared" ref="L114:L128" ca="1" si="122">VLOOKUP($AD114,INDIRECT("'"&amp;$B114&amp;"'!"&amp;"$P$39:$AD$42"),3,FALSE)</f>
        <v>1</v>
      </c>
      <c r="M114" s="199"/>
      <c r="N114" s="81">
        <f ca="1">VLOOKUP($AD114,INDIRECT("'"&amp;$B114&amp;"'!"&amp;"$P$39:$AD$42"),5,FALSE)</f>
        <v>12.5</v>
      </c>
      <c r="O114" s="723">
        <f t="shared" ref="O114:O128" ca="1" si="123">VLOOKUP($AD114,INDIRECT("'"&amp;$B114&amp;"'!"&amp;"$P$39:$AD$42"),6,FALSE)/1000</f>
        <v>0.44700000000000001</v>
      </c>
      <c r="P114" s="723">
        <f t="shared" ref="P114:P128" ca="1" si="124">VLOOKUP($AD114,INDIRECT("'"&amp;$B114&amp;"'!"&amp;"$P$39:$AD$42"),7,FALSE)/1000</f>
        <v>0</v>
      </c>
      <c r="Q114" s="81">
        <f t="shared" ref="Q114:Q128" ca="1" si="125">VLOOKUP($AD114,INDIRECT("'"&amp;$B114&amp;"'!"&amp;"$P$39:$AD$42"),8,FALSE)</f>
        <v>0.37767361111111114</v>
      </c>
      <c r="R114" s="81">
        <v>3.1536000000000002E-2</v>
      </c>
      <c r="S114" s="199">
        <v>0.5</v>
      </c>
      <c r="T114" s="199">
        <f ca="1">HLOOKUP($S$2,INDIRECT("'"&amp;$B114&amp;"'!"&amp;"$P$6:$AC$19"),IF(H114=$AI$13,6,IF(H114=$AI$14,9,14)),FALSE)</f>
        <v>0</v>
      </c>
      <c r="U114" s="772"/>
      <c r="V114" s="199">
        <f t="shared" ref="V114" ca="1" si="126">IF(IF(RIGHT(H114,2)="PH",(1-L114)+$W$2,IF(RIGHT(H114,2)="HT",(1-L114)+$W$1,IF(RIGHT(H114,2)="SH",(1-L114)+$W$3,"")))&gt;0,IF(RIGHT(H114,2)="PH",(1-L114)+$W$2,IF(RIGHT(H114,2)="HT",(1-L114)+$W$1,IF(RIGHT(H114,2)="SH",(1-L114)+$W$3,""))),0)</f>
        <v>0.2</v>
      </c>
      <c r="W114" s="298"/>
      <c r="X114" s="698">
        <f t="shared" ca="1" si="79"/>
        <v>0</v>
      </c>
      <c r="Y114" s="81">
        <f t="shared" ref="Y114:Y128" ca="1" si="127">VLOOKUP($AD114,INDIRECT("'"&amp;$B114&amp;"'!"&amp;"$P$39:$AD$42"),12,FALSE)</f>
        <v>0</v>
      </c>
      <c r="Z114" s="81">
        <f t="shared" ref="Z114:Z128" ca="1" si="128">VLOOKUP($AD114,INDIRECT("'"&amp;$B114&amp;"'!"&amp;"$P$39:$AD$42"),13,FALSE)</f>
        <v>0</v>
      </c>
      <c r="AA114" s="81">
        <f t="shared" ref="AA114:AA128" ca="1" si="129">VLOOKUP($AD114,INDIRECT("'"&amp;$B114&amp;"'!"&amp;"$P$39:$AD$42"),14,FALSE)</f>
        <v>0</v>
      </c>
      <c r="AB114" s="81">
        <f t="shared" ref="AB114:AB128" ca="1" si="130">VLOOKUP($AD114,INDIRECT("'"&amp;$B114&amp;"'!"&amp;"$P$39:$AD$42"),15,FALSE)</f>
        <v>0</v>
      </c>
      <c r="AD114" s="81">
        <v>2020</v>
      </c>
      <c r="AE114" s="81"/>
      <c r="AF114" s="220"/>
    </row>
    <row r="115" spans="2:32">
      <c r="B115" s="718" t="s">
        <v>1014</v>
      </c>
      <c r="C115" s="226"/>
      <c r="D115" s="212"/>
      <c r="E115" s="212"/>
      <c r="F115" s="224" t="s">
        <v>1149</v>
      </c>
      <c r="H115" s="174"/>
      <c r="I115" s="174" t="str">
        <f t="shared" si="22"/>
        <v>INDIWH</v>
      </c>
      <c r="J115" s="224">
        <f t="shared" si="32"/>
        <v>2030</v>
      </c>
      <c r="K115" s="81"/>
      <c r="L115" s="199">
        <f t="shared" ca="1" si="122"/>
        <v>1</v>
      </c>
      <c r="M115" s="199"/>
      <c r="N115" s="81"/>
      <c r="O115" s="723">
        <f t="shared" ca="1" si="123"/>
        <v>0.44700000000000001</v>
      </c>
      <c r="P115" s="723">
        <f t="shared" ca="1" si="124"/>
        <v>0</v>
      </c>
      <c r="Q115" s="81">
        <f t="shared" ca="1" si="125"/>
        <v>0.38802083333333331</v>
      </c>
      <c r="R115" s="300"/>
      <c r="S115" s="300"/>
      <c r="T115" s="300"/>
      <c r="U115" s="300"/>
      <c r="V115" s="199">
        <f t="shared" ref="V115" ca="1" si="131">IF(IF(RIGHT(H114,2)="PH",(1-L115)+$W$2,IF(RIGHT(H114,2)="HT",(1-L115)+$W$1,IF(RIGHT(H114,2)="SH",(1-L115)+$W$3,"")))&gt;0,IF(RIGHT(H114,2)="PH",(1-L115)+$W$2,IF(RIGHT(H114,2)="HT",(1-L115)+$W$1,IF(RIGHT(H114,2)="SH",(1-L115)+$W$3,""))),0)</f>
        <v>0.2</v>
      </c>
      <c r="W115" s="298"/>
      <c r="X115" s="698">
        <f t="shared" ca="1" si="79"/>
        <v>0</v>
      </c>
      <c r="Y115" s="81">
        <f t="shared" ca="1" si="127"/>
        <v>0</v>
      </c>
      <c r="Z115" s="81">
        <f t="shared" ca="1" si="128"/>
        <v>0</v>
      </c>
      <c r="AA115" s="81">
        <f t="shared" ca="1" si="129"/>
        <v>0</v>
      </c>
      <c r="AB115" s="81">
        <f t="shared" ca="1" si="130"/>
        <v>0</v>
      </c>
      <c r="AD115" s="81">
        <v>2030</v>
      </c>
      <c r="AE115" s="81"/>
      <c r="AF115" s="220"/>
    </row>
    <row r="116" spans="2:32">
      <c r="B116" s="718" t="s">
        <v>1014</v>
      </c>
      <c r="C116" s="226"/>
      <c r="D116" s="212"/>
      <c r="E116" s="212"/>
      <c r="F116" s="224" t="s">
        <v>1149</v>
      </c>
      <c r="H116" s="174"/>
      <c r="I116" s="174" t="str">
        <f t="shared" si="22"/>
        <v>INDIWH</v>
      </c>
      <c r="J116" s="224">
        <f t="shared" si="32"/>
        <v>2050</v>
      </c>
      <c r="K116" s="81"/>
      <c r="L116" s="199">
        <f t="shared" ca="1" si="122"/>
        <v>1</v>
      </c>
      <c r="M116" s="199"/>
      <c r="N116" s="81"/>
      <c r="O116" s="723">
        <f t="shared" ca="1" si="123"/>
        <v>0.44700000000000001</v>
      </c>
      <c r="P116" s="723">
        <f t="shared" ca="1" si="124"/>
        <v>0</v>
      </c>
      <c r="Q116" s="81">
        <f t="shared" ca="1" si="125"/>
        <v>0.39319444444444446</v>
      </c>
      <c r="R116" s="300"/>
      <c r="S116" s="300"/>
      <c r="T116" s="300"/>
      <c r="U116" s="300"/>
      <c r="V116" s="199">
        <f t="shared" ref="V116" ca="1" si="132">IF(IF(RIGHT(H114,2)="PH",(1-L116)+$W$2,IF(RIGHT(H114,2)="HT",(1-L116)+$W$1,IF(RIGHT(H114,2)="SH",(1-L116)+$W$3,"")))&gt;0,IF(RIGHT(H114,2)="PH",(1-L116)+$W$2,IF(RIGHT(H114,2)="HT",(1-L116)+$W$1,IF(RIGHT(H114,2)="SH",(1-L116)+$W$3,""))),0)</f>
        <v>0.2</v>
      </c>
      <c r="W116" s="298"/>
      <c r="X116" s="698">
        <f t="shared" ca="1" si="79"/>
        <v>0</v>
      </c>
      <c r="Y116" s="81">
        <f t="shared" ca="1" si="127"/>
        <v>0</v>
      </c>
      <c r="Z116" s="81">
        <f t="shared" ca="1" si="128"/>
        <v>0</v>
      </c>
      <c r="AA116" s="81">
        <f t="shared" ca="1" si="129"/>
        <v>0</v>
      </c>
      <c r="AB116" s="81">
        <f t="shared" ca="1" si="130"/>
        <v>0</v>
      </c>
      <c r="AC116" s="203"/>
      <c r="AD116" s="81">
        <v>2050</v>
      </c>
      <c r="AE116" s="81"/>
      <c r="AF116" s="705"/>
    </row>
    <row r="117" spans="2:32">
      <c r="B117" s="718" t="s">
        <v>1014</v>
      </c>
      <c r="C117" s="226"/>
      <c r="D117" s="212" t="str">
        <f>"IND"&amp;RIGHT(H117,4)&amp;RIGHT(G117,3)&amp;"N"&amp;RIGHT(E117,2)</f>
        <v>INDIDPHELCN10</v>
      </c>
      <c r="E117" s="261" t="str">
        <f>"Industrial heating technology "&amp;$AJ$12&amp;" "&amp;RIGHT(H117,2)&amp;" - Direct electric heating - new 10"</f>
        <v>Industrial heating technology Mining PH - Direct electric heating - new 10</v>
      </c>
      <c r="F117" s="224" t="s">
        <v>1149</v>
      </c>
      <c r="G117" s="173" t="s">
        <v>499</v>
      </c>
      <c r="H117" s="174" t="str">
        <f>$AI$14</f>
        <v>IIDPH</v>
      </c>
      <c r="I117" s="174" t="str">
        <f t="shared" si="22"/>
        <v>INDIWH</v>
      </c>
      <c r="J117" s="224">
        <f t="shared" si="32"/>
        <v>2011</v>
      </c>
      <c r="K117" s="299">
        <v>2020</v>
      </c>
      <c r="L117" s="199">
        <f t="shared" ca="1" si="122"/>
        <v>1</v>
      </c>
      <c r="M117" s="199"/>
      <c r="N117" s="81">
        <f ca="1">VLOOKUP($AD117,INDIRECT("'"&amp;$B117&amp;"'!"&amp;"$P$39:$AD$42"),5,FALSE)</f>
        <v>12.5</v>
      </c>
      <c r="O117" s="723">
        <f t="shared" ca="1" si="123"/>
        <v>0.44700000000000001</v>
      </c>
      <c r="P117" s="723">
        <f t="shared" ca="1" si="124"/>
        <v>0</v>
      </c>
      <c r="Q117" s="81">
        <f t="shared" ca="1" si="125"/>
        <v>0.37767361111111114</v>
      </c>
      <c r="R117" s="81">
        <v>3.1536000000000002E-2</v>
      </c>
      <c r="S117" s="199">
        <v>0.5</v>
      </c>
      <c r="T117" s="199">
        <f ca="1">HLOOKUP($S$2,INDIRECT("'"&amp;$B117&amp;"'!"&amp;"$P$6:$AC$19"),IF(H117=$AI$13,6,IF(H117=$AI$14,9,14)),FALSE)</f>
        <v>0</v>
      </c>
      <c r="U117" s="772"/>
      <c r="V117" s="199">
        <f t="shared" ref="V117" ca="1" si="133">IF(IF(RIGHT(H117,2)="PH",(1-L117)+$W$2,IF(RIGHT(H117,2)="HT",(1-L117)+$W$1,IF(RIGHT(H117,2)="SH",(1-L117)+$W$3,"")))&gt;0,IF(RIGHT(H117,2)="PH",(1-L117)+$W$2,IF(RIGHT(H117,2)="HT",(1-L117)+$W$1,IF(RIGHT(H117,2)="SH",(1-L117)+$W$3,""))),0)</f>
        <v>0.2</v>
      </c>
      <c r="W117" s="298"/>
      <c r="X117" s="698">
        <f t="shared" ca="1" si="79"/>
        <v>0</v>
      </c>
      <c r="Y117" s="81">
        <f t="shared" ca="1" si="127"/>
        <v>0</v>
      </c>
      <c r="Z117" s="81">
        <f t="shared" ca="1" si="128"/>
        <v>0</v>
      </c>
      <c r="AA117" s="81">
        <f t="shared" ca="1" si="129"/>
        <v>0</v>
      </c>
      <c r="AB117" s="81">
        <f t="shared" ca="1" si="130"/>
        <v>0</v>
      </c>
      <c r="AD117" s="81">
        <v>2020</v>
      </c>
      <c r="AE117" s="299"/>
      <c r="AF117" s="220"/>
    </row>
    <row r="118" spans="2:32">
      <c r="B118" s="718" t="s">
        <v>1014</v>
      </c>
      <c r="C118" s="226"/>
      <c r="D118" s="212"/>
      <c r="E118" s="212"/>
      <c r="F118" s="224" t="s">
        <v>1149</v>
      </c>
      <c r="H118" s="174"/>
      <c r="I118" s="174" t="str">
        <f t="shared" si="22"/>
        <v>INDIWH</v>
      </c>
      <c r="J118" s="224">
        <f t="shared" si="32"/>
        <v>2030</v>
      </c>
      <c r="K118" s="81"/>
      <c r="L118" s="199">
        <f t="shared" ca="1" si="122"/>
        <v>1</v>
      </c>
      <c r="M118" s="199"/>
      <c r="N118" s="81"/>
      <c r="O118" s="723">
        <f t="shared" ca="1" si="123"/>
        <v>0.44700000000000001</v>
      </c>
      <c r="P118" s="723">
        <f t="shared" ca="1" si="124"/>
        <v>0</v>
      </c>
      <c r="Q118" s="81">
        <f t="shared" ca="1" si="125"/>
        <v>0.38802083333333331</v>
      </c>
      <c r="R118" s="300"/>
      <c r="S118" s="300"/>
      <c r="T118" s="300"/>
      <c r="U118" s="300"/>
      <c r="V118" s="199">
        <f t="shared" ref="V118" ca="1" si="134">IF(IF(RIGHT(H117,2)="PH",(1-L118)+$W$2,IF(RIGHT(H117,2)="HT",(1-L118)+$W$1,IF(RIGHT(H117,2)="SH",(1-L118)+$W$3,"")))&gt;0,IF(RIGHT(H117,2)="PH",(1-L118)+$W$2,IF(RIGHT(H117,2)="HT",(1-L118)+$W$1,IF(RIGHT(H117,2)="SH",(1-L118)+$W$3,""))),0)</f>
        <v>0.2</v>
      </c>
      <c r="W118" s="298"/>
      <c r="X118" s="698">
        <f t="shared" ca="1" si="79"/>
        <v>0</v>
      </c>
      <c r="Y118" s="81">
        <f t="shared" ca="1" si="127"/>
        <v>0</v>
      </c>
      <c r="Z118" s="81">
        <f t="shared" ca="1" si="128"/>
        <v>0</v>
      </c>
      <c r="AA118" s="81">
        <f t="shared" ca="1" si="129"/>
        <v>0</v>
      </c>
      <c r="AB118" s="81">
        <f t="shared" ca="1" si="130"/>
        <v>0</v>
      </c>
      <c r="AD118" s="81">
        <v>2030</v>
      </c>
      <c r="AE118" s="81"/>
      <c r="AF118" s="220"/>
    </row>
    <row r="119" spans="2:32">
      <c r="B119" s="719" t="s">
        <v>1014</v>
      </c>
      <c r="C119" s="713"/>
      <c r="D119" s="701"/>
      <c r="E119" s="701"/>
      <c r="F119" s="224" t="s">
        <v>1149</v>
      </c>
      <c r="G119" s="203"/>
      <c r="H119" s="702"/>
      <c r="I119" s="702" t="str">
        <f t="shared" si="22"/>
        <v>INDIWH</v>
      </c>
      <c r="J119" s="224">
        <f t="shared" si="32"/>
        <v>2050</v>
      </c>
      <c r="K119" s="81"/>
      <c r="L119" s="199">
        <f t="shared" ca="1" si="122"/>
        <v>1</v>
      </c>
      <c r="M119" s="199"/>
      <c r="N119" s="81"/>
      <c r="O119" s="723">
        <f t="shared" ca="1" si="123"/>
        <v>0.44700000000000001</v>
      </c>
      <c r="P119" s="723">
        <f t="shared" ca="1" si="124"/>
        <v>0</v>
      </c>
      <c r="Q119" s="81">
        <f t="shared" ca="1" si="125"/>
        <v>0.39319444444444446</v>
      </c>
      <c r="R119" s="703"/>
      <c r="S119" s="703"/>
      <c r="T119" s="703"/>
      <c r="U119" s="703"/>
      <c r="V119" s="199">
        <f t="shared" ref="V119" ca="1" si="135">IF(IF(RIGHT(H117,2)="PH",(1-L119)+$W$2,IF(RIGHT(H117,2)="HT",(1-L119)+$W$1,IF(RIGHT(H117,2)="SH",(1-L119)+$W$3,"")))&gt;0,IF(RIGHT(H117,2)="PH",(1-L119)+$W$2,IF(RIGHT(H117,2)="HT",(1-L119)+$W$1,IF(RIGHT(H117,2)="SH",(1-L119)+$W$3,""))),0)</f>
        <v>0.2</v>
      </c>
      <c r="W119" s="704"/>
      <c r="X119" s="698">
        <f t="shared" ca="1" si="79"/>
        <v>0</v>
      </c>
      <c r="Y119" s="81">
        <f t="shared" ca="1" si="127"/>
        <v>0</v>
      </c>
      <c r="Z119" s="81">
        <f t="shared" ca="1" si="128"/>
        <v>0</v>
      </c>
      <c r="AA119" s="81">
        <f t="shared" ca="1" si="129"/>
        <v>0</v>
      </c>
      <c r="AB119" s="81">
        <f t="shared" ca="1" si="130"/>
        <v>0</v>
      </c>
      <c r="AD119" s="81">
        <v>2050</v>
      </c>
      <c r="AE119" s="81"/>
      <c r="AF119" s="220"/>
    </row>
    <row r="120" spans="2:32">
      <c r="B120" s="718" t="s">
        <v>1009</v>
      </c>
      <c r="C120" s="226"/>
      <c r="D120" s="212" t="str">
        <f>"IND"&amp;RIGHT(H120,4)&amp;"DSL"&amp;"N"&amp;RIGHT(E120,1)</f>
        <v>INDIDPHDSLN1</v>
      </c>
      <c r="E120" s="261" t="str">
        <f>"Industrial heating technology "&amp;$AJ$12&amp;" "&amp;RIGHT(H120,2)&amp;" - Oil boiler (Steam) - new 1"</f>
        <v>Industrial heating technology Mining PH - Oil boiler (Steam) - new 1</v>
      </c>
      <c r="F120" s="224" t="s">
        <v>1149</v>
      </c>
      <c r="G120" s="173" t="s">
        <v>2081</v>
      </c>
      <c r="H120" s="174" t="str">
        <f>$AI$13</f>
        <v>IIDPH</v>
      </c>
      <c r="I120" s="174" t="str">
        <f t="shared" si="22"/>
        <v>INDIWH</v>
      </c>
      <c r="J120" s="224">
        <f t="shared" si="32"/>
        <v>2011</v>
      </c>
      <c r="K120" s="299">
        <v>2025</v>
      </c>
      <c r="L120" s="199">
        <f t="shared" ca="1" si="122"/>
        <v>0.94</v>
      </c>
      <c r="M120" s="699"/>
      <c r="N120" s="299">
        <f ca="1">VLOOKUP($AD120,INDIRECT("'"&amp;$B120&amp;"'!"&amp;"$P$39:$AD$42"),5,FALSE)</f>
        <v>25</v>
      </c>
      <c r="O120" s="725">
        <f t="shared" ca="1" si="123"/>
        <v>0.40975</v>
      </c>
      <c r="P120" s="725">
        <f t="shared" ca="1" si="124"/>
        <v>1.341E-2</v>
      </c>
      <c r="Q120" s="299">
        <f t="shared" ca="1" si="125"/>
        <v>2.0694444444444446</v>
      </c>
      <c r="R120" s="299">
        <v>3.1536000000000002E-2</v>
      </c>
      <c r="S120" s="699">
        <v>0.5</v>
      </c>
      <c r="T120" s="699">
        <f ca="1">HLOOKUP($T$2,INDIRECT("'"&amp;$B120&amp;"'!"&amp;"$P$6:$AC$19"),IF(H120=$AI$13,6,IF(H120=$AI$14,9,14)),FALSE)</f>
        <v>1</v>
      </c>
      <c r="U120" s="772"/>
      <c r="V120" s="199">
        <f t="shared" ref="V120" ca="1" si="136">IF(IF(RIGHT(H120,2)="PH",(1-L120)+$W$2,IF(RIGHT(H120,2)="HT",(1-L120)+$W$1,IF(RIGHT(H120,2)="SH",(1-L120)+$W$3,"")))&gt;0,IF(RIGHT(H120,2)="PH",(1-L120)+$W$2,IF(RIGHT(H120,2)="HT",(1-L120)+$W$1,IF(RIGHT(H120,2)="SH",(1-L120)+$W$3,""))),0)</f>
        <v>0.26000000000000006</v>
      </c>
      <c r="W120" s="298"/>
      <c r="X120" s="698">
        <f t="shared" ca="1" si="79"/>
        <v>0.5</v>
      </c>
      <c r="Y120" s="299">
        <f t="shared" ca="1" si="127"/>
        <v>25</v>
      </c>
      <c r="Z120" s="299">
        <f t="shared" ca="1" si="128"/>
        <v>0</v>
      </c>
      <c r="AA120" s="299">
        <f t="shared" ca="1" si="129"/>
        <v>0</v>
      </c>
      <c r="AB120" s="299">
        <f t="shared" ca="1" si="130"/>
        <v>0.1</v>
      </c>
      <c r="AD120" s="299">
        <v>2020</v>
      </c>
      <c r="AE120" s="81"/>
      <c r="AF120" s="220"/>
    </row>
    <row r="121" spans="2:32">
      <c r="B121" s="718" t="s">
        <v>1009</v>
      </c>
      <c r="C121" s="226"/>
      <c r="D121" s="212"/>
      <c r="E121" s="212"/>
      <c r="F121" s="224" t="s">
        <v>1149</v>
      </c>
      <c r="H121" s="174"/>
      <c r="I121" s="174" t="str">
        <f t="shared" si="22"/>
        <v>INDIWH</v>
      </c>
      <c r="J121" s="224">
        <f t="shared" si="32"/>
        <v>2030</v>
      </c>
      <c r="K121" s="81"/>
      <c r="L121" s="199">
        <f t="shared" ca="1" si="122"/>
        <v>0.95</v>
      </c>
      <c r="M121" s="199"/>
      <c r="N121" s="81"/>
      <c r="O121" s="723">
        <f t="shared" ca="1" si="123"/>
        <v>0.3469940346244772</v>
      </c>
      <c r="P121" s="723">
        <f t="shared" ca="1" si="124"/>
        <v>1.2664999999999999E-2</v>
      </c>
      <c r="Q121" s="81">
        <f t="shared" ca="1" si="125"/>
        <v>1.8625</v>
      </c>
      <c r="R121" s="300"/>
      <c r="S121" s="300"/>
      <c r="T121" s="300"/>
      <c r="U121" s="300"/>
      <c r="V121" s="199">
        <f t="shared" ref="V121" ca="1" si="137">IF(IF(RIGHT(H120,2)="PH",(1-L121)+$W$2,IF(RIGHT(H120,2)="HT",(1-L121)+$W$1,IF(RIGHT(H120,2)="SH",(1-L121)+$W$3,"")))&gt;0,IF(RIGHT(H120,2)="PH",(1-L121)+$W$2,IF(RIGHT(H120,2)="HT",(1-L121)+$W$1,IF(RIGHT(H120,2)="SH",(1-L121)+$W$3,""))),0)</f>
        <v>0.25000000000000006</v>
      </c>
      <c r="W121" s="298"/>
      <c r="X121" s="698">
        <f t="shared" ca="1" si="79"/>
        <v>0.5</v>
      </c>
      <c r="Y121" s="81">
        <f t="shared" ca="1" si="127"/>
        <v>20</v>
      </c>
      <c r="Z121" s="81">
        <f t="shared" ca="1" si="128"/>
        <v>0</v>
      </c>
      <c r="AA121" s="81">
        <f t="shared" ca="1" si="129"/>
        <v>0</v>
      </c>
      <c r="AB121" s="81">
        <f t="shared" ca="1" si="130"/>
        <v>0.1</v>
      </c>
      <c r="AD121" s="81">
        <v>2030</v>
      </c>
      <c r="AE121" s="81"/>
      <c r="AF121" s="220"/>
    </row>
    <row r="122" spans="2:32">
      <c r="B122" s="718" t="s">
        <v>1009</v>
      </c>
      <c r="C122" s="226"/>
      <c r="D122" s="212"/>
      <c r="E122" s="212"/>
      <c r="F122" s="224" t="s">
        <v>1149</v>
      </c>
      <c r="H122" s="174"/>
      <c r="I122" s="174" t="str">
        <f t="shared" si="22"/>
        <v>INDIWH</v>
      </c>
      <c r="J122" s="224">
        <f t="shared" si="32"/>
        <v>2050</v>
      </c>
      <c r="K122" s="81"/>
      <c r="L122" s="199">
        <f t="shared" ca="1" si="122"/>
        <v>0.96</v>
      </c>
      <c r="M122" s="199"/>
      <c r="N122" s="81"/>
      <c r="O122" s="723">
        <f t="shared" ca="1" si="123"/>
        <v>0.32813985758696651</v>
      </c>
      <c r="P122" s="723">
        <f t="shared" ca="1" si="124"/>
        <v>1.1175000000000001E-2</v>
      </c>
      <c r="Q122" s="81">
        <f t="shared" ca="1" si="125"/>
        <v>1.8625</v>
      </c>
      <c r="R122" s="300"/>
      <c r="S122" s="300"/>
      <c r="T122" s="300"/>
      <c r="U122" s="300"/>
      <c r="V122" s="199">
        <f t="shared" ref="V122" ca="1" si="138">IF(IF(RIGHT(H120,2)="PH",(1-L122)+$W$2,IF(RIGHT(H120,2)="HT",(1-L122)+$W$1,IF(RIGHT(H120,2)="SH",(1-L122)+$W$3,"")))&gt;0,IF(RIGHT(H120,2)="PH",(1-L122)+$W$2,IF(RIGHT(H120,2)="HT",(1-L122)+$W$1,IF(RIGHT(H120,2)="SH",(1-L122)+$W$3,""))),0)</f>
        <v>0.24000000000000005</v>
      </c>
      <c r="W122" s="298"/>
      <c r="X122" s="698">
        <f t="shared" ca="1" si="79"/>
        <v>0.5</v>
      </c>
      <c r="Y122" s="81">
        <f t="shared" ca="1" si="127"/>
        <v>15</v>
      </c>
      <c r="Z122" s="81">
        <f t="shared" ca="1" si="128"/>
        <v>0</v>
      </c>
      <c r="AA122" s="81">
        <f t="shared" ca="1" si="129"/>
        <v>0</v>
      </c>
      <c r="AB122" s="81">
        <f t="shared" ca="1" si="130"/>
        <v>0.1</v>
      </c>
      <c r="AD122" s="81">
        <v>2050</v>
      </c>
      <c r="AE122" s="81"/>
      <c r="AF122" s="220"/>
    </row>
    <row r="123" spans="2:32">
      <c r="B123" s="718" t="s">
        <v>1009</v>
      </c>
      <c r="C123" s="226"/>
      <c r="D123" s="212" t="str">
        <f>"IND"&amp;RIGHT(H123,4)&amp;"DSL"&amp;"N"&amp;RIGHT(E123,1)</f>
        <v>INDIDPHDSLN1</v>
      </c>
      <c r="E123" s="261" t="str">
        <f>"Industrial heating technology "&amp;$AJ$12&amp;" "&amp;RIGHT(H123,2)&amp;" - Oil boiler (Steam) - new 1"</f>
        <v>Industrial heating technology Mining PH - Oil boiler (Steam) - new 1</v>
      </c>
      <c r="F123" s="224" t="s">
        <v>1149</v>
      </c>
      <c r="G123" s="173" t="s">
        <v>2081</v>
      </c>
      <c r="H123" s="174" t="str">
        <f>$AI$14</f>
        <v>IIDPH</v>
      </c>
      <c r="I123" s="174" t="str">
        <f t="shared" si="22"/>
        <v>INDIWH</v>
      </c>
      <c r="J123" s="224">
        <f t="shared" si="32"/>
        <v>2011</v>
      </c>
      <c r="K123" s="299">
        <v>2025</v>
      </c>
      <c r="L123" s="199">
        <f t="shared" ca="1" si="122"/>
        <v>0.94</v>
      </c>
      <c r="M123" s="199"/>
      <c r="N123" s="81">
        <f ca="1">VLOOKUP($AD123,INDIRECT("'"&amp;$B123&amp;"'!"&amp;"$P$39:$AD$42"),5,FALSE)</f>
        <v>25</v>
      </c>
      <c r="O123" s="723">
        <f t="shared" ca="1" si="123"/>
        <v>0.40975</v>
      </c>
      <c r="P123" s="723">
        <f t="shared" ca="1" si="124"/>
        <v>1.341E-2</v>
      </c>
      <c r="Q123" s="81">
        <f t="shared" ca="1" si="125"/>
        <v>2.0694444444444446</v>
      </c>
      <c r="R123" s="81">
        <v>3.1536000000000002E-2</v>
      </c>
      <c r="S123" s="199">
        <v>0.5</v>
      </c>
      <c r="T123" s="199">
        <f ca="1">HLOOKUP($T$2,INDIRECT("'"&amp;$B123&amp;"'!"&amp;"$P$6:$AC$19"),IF(H123=$AI$13,6,IF(H123=$AI$14,9,14)),FALSE)</f>
        <v>1</v>
      </c>
      <c r="U123" s="772"/>
      <c r="V123" s="199">
        <f t="shared" ref="V123" ca="1" si="139">IF(IF(RIGHT(H123,2)="PH",(1-L123)+$W$2,IF(RIGHT(H123,2)="HT",(1-L123)+$W$1,IF(RIGHT(H123,2)="SH",(1-L123)+$W$3,"")))&gt;0,IF(RIGHT(H123,2)="PH",(1-L123)+$W$2,IF(RIGHT(H123,2)="HT",(1-L123)+$W$1,IF(RIGHT(H123,2)="SH",(1-L123)+$W$3,""))),0)</f>
        <v>0.26000000000000006</v>
      </c>
      <c r="W123" s="298"/>
      <c r="X123" s="698">
        <f t="shared" ca="1" si="79"/>
        <v>0.5</v>
      </c>
      <c r="Y123" s="81">
        <f t="shared" ca="1" si="127"/>
        <v>25</v>
      </c>
      <c r="Z123" s="81">
        <f t="shared" ca="1" si="128"/>
        <v>0</v>
      </c>
      <c r="AA123" s="81">
        <f t="shared" ca="1" si="129"/>
        <v>0</v>
      </c>
      <c r="AB123" s="81">
        <f t="shared" ca="1" si="130"/>
        <v>0.1</v>
      </c>
      <c r="AD123" s="81">
        <v>2020</v>
      </c>
      <c r="AE123" s="81"/>
      <c r="AF123" s="220"/>
    </row>
    <row r="124" spans="2:32">
      <c r="B124" s="718" t="s">
        <v>1009</v>
      </c>
      <c r="C124" s="226"/>
      <c r="D124" s="212"/>
      <c r="E124" s="212"/>
      <c r="F124" s="224" t="s">
        <v>1149</v>
      </c>
      <c r="H124" s="174"/>
      <c r="I124" s="174" t="str">
        <f t="shared" si="22"/>
        <v>INDIWH</v>
      </c>
      <c r="J124" s="224">
        <f t="shared" si="32"/>
        <v>2030</v>
      </c>
      <c r="K124" s="81"/>
      <c r="L124" s="199">
        <f t="shared" ca="1" si="122"/>
        <v>0.95</v>
      </c>
      <c r="M124" s="199"/>
      <c r="N124" s="81"/>
      <c r="O124" s="723">
        <f t="shared" ca="1" si="123"/>
        <v>0.3469940346244772</v>
      </c>
      <c r="P124" s="723">
        <f t="shared" ca="1" si="124"/>
        <v>1.2664999999999999E-2</v>
      </c>
      <c r="Q124" s="81">
        <f t="shared" ca="1" si="125"/>
        <v>1.8625</v>
      </c>
      <c r="R124" s="300"/>
      <c r="S124" s="300"/>
      <c r="T124" s="300"/>
      <c r="U124" s="300"/>
      <c r="V124" s="199">
        <f t="shared" ref="V124" ca="1" si="140">IF(IF(RIGHT(H123,2)="PH",(1-L124)+$W$2,IF(RIGHT(H123,2)="HT",(1-L124)+$W$1,IF(RIGHT(H123,2)="SH",(1-L124)+$W$3,"")))&gt;0,IF(RIGHT(H123,2)="PH",(1-L124)+$W$2,IF(RIGHT(H123,2)="HT",(1-L124)+$W$1,IF(RIGHT(H123,2)="SH",(1-L124)+$W$3,""))),0)</f>
        <v>0.25000000000000006</v>
      </c>
      <c r="W124" s="298"/>
      <c r="X124" s="698">
        <f t="shared" ca="1" si="79"/>
        <v>0.5</v>
      </c>
      <c r="Y124" s="81">
        <f t="shared" ca="1" si="127"/>
        <v>20</v>
      </c>
      <c r="Z124" s="81">
        <f t="shared" ca="1" si="128"/>
        <v>0</v>
      </c>
      <c r="AA124" s="81">
        <f t="shared" ca="1" si="129"/>
        <v>0</v>
      </c>
      <c r="AB124" s="81">
        <f t="shared" ca="1" si="130"/>
        <v>0.1</v>
      </c>
      <c r="AD124" s="81">
        <v>2030</v>
      </c>
      <c r="AE124" s="81"/>
      <c r="AF124" s="220"/>
    </row>
    <row r="125" spans="2:32">
      <c r="B125" s="718" t="s">
        <v>1009</v>
      </c>
      <c r="C125" s="226"/>
      <c r="D125" s="212"/>
      <c r="E125" s="212"/>
      <c r="F125" s="224" t="s">
        <v>1149</v>
      </c>
      <c r="H125" s="174"/>
      <c r="I125" s="174" t="str">
        <f t="shared" si="22"/>
        <v>INDIWH</v>
      </c>
      <c r="J125" s="224">
        <f t="shared" si="32"/>
        <v>2050</v>
      </c>
      <c r="K125" s="81"/>
      <c r="L125" s="199">
        <f t="shared" ca="1" si="122"/>
        <v>0.96</v>
      </c>
      <c r="M125" s="199"/>
      <c r="N125" s="81"/>
      <c r="O125" s="723">
        <f t="shared" ca="1" si="123"/>
        <v>0.32813985758696651</v>
      </c>
      <c r="P125" s="723">
        <f t="shared" ca="1" si="124"/>
        <v>1.1175000000000001E-2</v>
      </c>
      <c r="Q125" s="81">
        <f t="shared" ca="1" si="125"/>
        <v>1.8625</v>
      </c>
      <c r="R125" s="300"/>
      <c r="S125" s="300"/>
      <c r="T125" s="300"/>
      <c r="U125" s="300"/>
      <c r="V125" s="199">
        <f t="shared" ref="V125" ca="1" si="141">IF(IF(RIGHT(H123,2)="PH",(1-L125)+$W$2,IF(RIGHT(H123,2)="HT",(1-L125)+$W$1,IF(RIGHT(H123,2)="SH",(1-L125)+$W$3,"")))&gt;0,IF(RIGHT(H123,2)="PH",(1-L125)+$W$2,IF(RIGHT(H123,2)="HT",(1-L125)+$W$1,IF(RIGHT(H123,2)="SH",(1-L125)+$W$3,""))),0)</f>
        <v>0.24000000000000005</v>
      </c>
      <c r="W125" s="298"/>
      <c r="X125" s="698">
        <f t="shared" ca="1" si="79"/>
        <v>0.5</v>
      </c>
      <c r="Y125" s="81">
        <f t="shared" ca="1" si="127"/>
        <v>15</v>
      </c>
      <c r="Z125" s="81">
        <f t="shared" ca="1" si="128"/>
        <v>0</v>
      </c>
      <c r="AA125" s="81">
        <f t="shared" ca="1" si="129"/>
        <v>0</v>
      </c>
      <c r="AB125" s="81">
        <f t="shared" ca="1" si="130"/>
        <v>0.1</v>
      </c>
      <c r="AC125" s="203"/>
      <c r="AD125" s="81">
        <v>2050</v>
      </c>
      <c r="AE125" s="81"/>
      <c r="AF125" s="705"/>
    </row>
    <row r="126" spans="2:32">
      <c r="B126" s="718" t="s">
        <v>1009</v>
      </c>
      <c r="C126" s="226"/>
      <c r="D126" s="212" t="str">
        <f>"IND"&amp;RIGHT(H126,4)&amp;"DSL"&amp;"N"&amp;RIGHT(E126,1)</f>
        <v>INDIDSHDSLN1</v>
      </c>
      <c r="E126" s="261" t="str">
        <f>"Industrial heating technology "&amp;$AJ$12&amp;" "&amp;RIGHT(H126,2)&amp;" - Oil boiler (Steam) - new 1"</f>
        <v>Industrial heating technology Mining SH - Oil boiler (Steam) - new 1</v>
      </c>
      <c r="F126" s="224" t="s">
        <v>1149</v>
      </c>
      <c r="G126" s="173" t="s">
        <v>2081</v>
      </c>
      <c r="H126" s="174" t="str">
        <f>$AI$15</f>
        <v>IIDSH</v>
      </c>
      <c r="I126" s="174" t="str">
        <f t="shared" si="22"/>
        <v>INDIWH</v>
      </c>
      <c r="J126" s="224">
        <f t="shared" si="32"/>
        <v>2011</v>
      </c>
      <c r="K126" s="299">
        <v>2025</v>
      </c>
      <c r="L126" s="199">
        <f t="shared" ca="1" si="122"/>
        <v>0.94</v>
      </c>
      <c r="M126" s="199"/>
      <c r="N126" s="81">
        <f ca="1">VLOOKUP($AD126,INDIRECT("'"&amp;$B126&amp;"'!"&amp;"$P$39:$AD$42"),5,FALSE)</f>
        <v>25</v>
      </c>
      <c r="O126" s="723">
        <f t="shared" ca="1" si="123"/>
        <v>0.40975</v>
      </c>
      <c r="P126" s="723">
        <f t="shared" ca="1" si="124"/>
        <v>1.341E-2</v>
      </c>
      <c r="Q126" s="81">
        <f t="shared" ca="1" si="125"/>
        <v>2.0694444444444446</v>
      </c>
      <c r="R126" s="81">
        <v>3.1536000000000002E-2</v>
      </c>
      <c r="S126" s="199">
        <v>0.5</v>
      </c>
      <c r="T126" s="199">
        <f ca="1">HLOOKUP($T$2,INDIRECT("'"&amp;$B126&amp;"'!"&amp;"$P$6:$AC$19"),IF(H126=$AI$13,6,IF(H126=$AI$14,9,14)),FALSE)</f>
        <v>1</v>
      </c>
      <c r="U126" s="772"/>
      <c r="V126" s="199">
        <f t="shared" ref="V126" ca="1" si="142">IF(IF(RIGHT(H126,2)="PH",(1-L126)+$W$2,IF(RIGHT(H126,2)="HT",(1-L126)+$W$1,IF(RIGHT(H126,2)="SH",(1-L126)+$W$3,"")))&gt;0,IF(RIGHT(H126,2)="PH",(1-L126)+$W$2,IF(RIGHT(H126,2)="HT",(1-L126)+$W$1,IF(RIGHT(H126,2)="SH",(1-L126)+$W$3,""))),0)</f>
        <v>6.0000000000000053E-2</v>
      </c>
      <c r="W126" s="298"/>
      <c r="X126" s="698">
        <f t="shared" ca="1" si="79"/>
        <v>0.5</v>
      </c>
      <c r="Y126" s="81">
        <f t="shared" ca="1" si="127"/>
        <v>25</v>
      </c>
      <c r="Z126" s="81">
        <f t="shared" ca="1" si="128"/>
        <v>0</v>
      </c>
      <c r="AA126" s="81">
        <f t="shared" ca="1" si="129"/>
        <v>0</v>
      </c>
      <c r="AB126" s="81">
        <f t="shared" ca="1" si="130"/>
        <v>0.1</v>
      </c>
      <c r="AC126" s="296"/>
      <c r="AD126" s="81">
        <v>2020</v>
      </c>
      <c r="AE126" s="81"/>
      <c r="AF126" s="710"/>
    </row>
    <row r="127" spans="2:32">
      <c r="B127" s="718" t="s">
        <v>1009</v>
      </c>
      <c r="C127" s="226"/>
      <c r="D127" s="212"/>
      <c r="E127" s="212"/>
      <c r="F127" s="224" t="s">
        <v>1149</v>
      </c>
      <c r="H127" s="174"/>
      <c r="I127" s="174" t="str">
        <f t="shared" ref="I127:I182" si="143">$AI$20</f>
        <v>INDIWH</v>
      </c>
      <c r="J127" s="224">
        <f t="shared" si="32"/>
        <v>2030</v>
      </c>
      <c r="K127" s="81"/>
      <c r="L127" s="199">
        <f t="shared" ca="1" si="122"/>
        <v>0.95</v>
      </c>
      <c r="M127" s="199"/>
      <c r="N127" s="81"/>
      <c r="O127" s="723">
        <f t="shared" ca="1" si="123"/>
        <v>0.3469940346244772</v>
      </c>
      <c r="P127" s="723">
        <f t="shared" ca="1" si="124"/>
        <v>1.2664999999999999E-2</v>
      </c>
      <c r="Q127" s="81">
        <f t="shared" ca="1" si="125"/>
        <v>1.8625</v>
      </c>
      <c r="R127" s="300"/>
      <c r="S127" s="300"/>
      <c r="T127" s="300"/>
      <c r="U127" s="300"/>
      <c r="V127" s="199">
        <f t="shared" ref="V127" ca="1" si="144">IF(IF(RIGHT(H126,2)="PH",(1-L127)+$W$2,IF(RIGHT(H126,2)="HT",(1-L127)+$W$1,IF(RIGHT(H126,2)="SH",(1-L127)+$W$3,"")))&gt;0,IF(RIGHT(H126,2)="PH",(1-L127)+$W$2,IF(RIGHT(H126,2)="HT",(1-L127)+$W$1,IF(RIGHT(H126,2)="SH",(1-L127)+$W$3,""))),0)</f>
        <v>5.0000000000000044E-2</v>
      </c>
      <c r="W127" s="298"/>
      <c r="X127" s="698">
        <f t="shared" ref="X127:X158" ca="1" si="145">IF(VLOOKUP($AD127,INDIRECT("'"&amp;$B127&amp;"'!"&amp;"$P$39:$AD$42"),11,FALSE)="Cf. the utilized electricity",0,VLOOKUP($AD127,INDIRECT("'"&amp;$B127&amp;"'!"&amp;"$P$39:$AD$42"),11,FALSE))</f>
        <v>0.5</v>
      </c>
      <c r="Y127" s="81">
        <f t="shared" ca="1" si="127"/>
        <v>20</v>
      </c>
      <c r="Z127" s="81">
        <f t="shared" ca="1" si="128"/>
        <v>0</v>
      </c>
      <c r="AA127" s="81">
        <f t="shared" ca="1" si="129"/>
        <v>0</v>
      </c>
      <c r="AB127" s="81">
        <f t="shared" ca="1" si="130"/>
        <v>0.1</v>
      </c>
      <c r="AC127" s="55"/>
      <c r="AD127" s="81">
        <v>2030</v>
      </c>
      <c r="AE127" s="81"/>
      <c r="AF127" s="700"/>
    </row>
    <row r="128" spans="2:32">
      <c r="B128" s="719" t="s">
        <v>1009</v>
      </c>
      <c r="C128" s="713"/>
      <c r="D128" s="701"/>
      <c r="E128" s="701"/>
      <c r="F128" s="224" t="s">
        <v>1149</v>
      </c>
      <c r="G128" s="203"/>
      <c r="H128" s="702"/>
      <c r="I128" s="702" t="str">
        <f t="shared" si="143"/>
        <v>INDIWH</v>
      </c>
      <c r="J128" s="224">
        <f t="shared" ref="J128:J186" si="146">IF(AD128=2020,2011,AD128)</f>
        <v>2050</v>
      </c>
      <c r="K128" s="81"/>
      <c r="L128" s="199">
        <f t="shared" ca="1" si="122"/>
        <v>0.96</v>
      </c>
      <c r="M128" s="199"/>
      <c r="N128" s="81"/>
      <c r="O128" s="723">
        <f t="shared" ca="1" si="123"/>
        <v>0.32813985758696651</v>
      </c>
      <c r="P128" s="723">
        <f t="shared" ca="1" si="124"/>
        <v>1.1175000000000001E-2</v>
      </c>
      <c r="Q128" s="81">
        <f t="shared" ca="1" si="125"/>
        <v>1.8625</v>
      </c>
      <c r="R128" s="703"/>
      <c r="S128" s="703"/>
      <c r="T128" s="703"/>
      <c r="U128" s="703"/>
      <c r="V128" s="199">
        <f t="shared" ref="V128" ca="1" si="147">IF(IF(RIGHT(H126,2)="PH",(1-L128)+$W$2,IF(RIGHT(H126,2)="HT",(1-L128)+$W$1,IF(RIGHT(H126,2)="SH",(1-L128)+$W$3,"")))&gt;0,IF(RIGHT(H126,2)="PH",(1-L128)+$W$2,IF(RIGHT(H126,2)="HT",(1-L128)+$W$1,IF(RIGHT(H126,2)="SH",(1-L128)+$W$3,""))),0)</f>
        <v>4.0000000000000036E-2</v>
      </c>
      <c r="W128" s="704"/>
      <c r="X128" s="698">
        <f t="shared" ca="1" si="145"/>
        <v>0.5</v>
      </c>
      <c r="Y128" s="81">
        <f t="shared" ca="1" si="127"/>
        <v>15</v>
      </c>
      <c r="Z128" s="81">
        <f t="shared" ca="1" si="128"/>
        <v>0</v>
      </c>
      <c r="AA128" s="81">
        <f t="shared" ca="1" si="129"/>
        <v>0</v>
      </c>
      <c r="AB128" s="81">
        <f t="shared" ca="1" si="130"/>
        <v>0.1</v>
      </c>
      <c r="AC128" s="55"/>
      <c r="AD128" s="81">
        <v>2050</v>
      </c>
      <c r="AE128" s="81"/>
      <c r="AF128" s="700"/>
    </row>
    <row r="129" spans="2:32">
      <c r="B129" s="718" t="s">
        <v>1009</v>
      </c>
      <c r="C129" s="226"/>
      <c r="D129" s="212" t="str">
        <f>"IND"&amp;RIGHT(H129,4)&amp;"DSL"&amp;"N"&amp;RIGHT(E129,1)</f>
        <v>INDIDPHDSLN2</v>
      </c>
      <c r="E129" s="707" t="str">
        <f>"Industrial heating technology "&amp;$AJ$12&amp;" "&amp;RIGHT(H129,2)&amp;" - Oil boiler (Steam - condensing) - new 2"</f>
        <v>Industrial heating technology Mining PH - Oil boiler (Steam - condensing) - new 2</v>
      </c>
      <c r="F129" s="224" t="s">
        <v>1149</v>
      </c>
      <c r="G129" s="173" t="s">
        <v>2081</v>
      </c>
      <c r="H129" s="708" t="str">
        <f>$AI$14</f>
        <v>IIDPH</v>
      </c>
      <c r="I129" s="708" t="str">
        <f t="shared" si="143"/>
        <v>INDIWH</v>
      </c>
      <c r="J129" s="224">
        <f t="shared" si="146"/>
        <v>2011</v>
      </c>
      <c r="K129" s="299">
        <v>2025</v>
      </c>
      <c r="L129" s="199">
        <f t="shared" ref="L129:L134" ca="1" si="148">VLOOKUP($AD129,INDIRECT("'"&amp;$B129&amp;"'!"&amp;"$P$118:$AD$121"),3,FALSE)</f>
        <v>0.95</v>
      </c>
      <c r="M129" s="199"/>
      <c r="N129" s="81">
        <f ca="1">VLOOKUP($AD129,INDIRECT("'"&amp;$B129&amp;"'!"&amp;"$P$118:$AD$121"),5,FALSE)</f>
        <v>25</v>
      </c>
      <c r="O129" s="723">
        <f t="shared" ref="O129:O134" ca="1" si="149">VLOOKUP($AD129,INDIRECT("'"&amp;$B129&amp;"'!"&amp;"$P$118:$AD$121"),6,FALSE)/1000</f>
        <v>0.32780000000000004</v>
      </c>
      <c r="P129" s="723">
        <f t="shared" ref="P129:P134" ca="1" si="150">VLOOKUP($AD129,INDIRECT("'"&amp;$B129&amp;"'!"&amp;"$P$118:$AD$121"),7,FALSE)/1000</f>
        <v>1.341E-2</v>
      </c>
      <c r="Q129" s="81">
        <f t="shared" ref="Q129:Q134" ca="1" si="151">VLOOKUP($AD129,INDIRECT("'"&amp;$B129&amp;"'!"&amp;"$P$118:$AD$121"),8,FALSE)</f>
        <v>2.0694444444444446</v>
      </c>
      <c r="R129" s="81">
        <v>3.1536000000000002E-2</v>
      </c>
      <c r="S129" s="199">
        <v>0.5</v>
      </c>
      <c r="T129" s="199">
        <f ca="1">HLOOKUP($T$2,INDIRECT("'"&amp;$B129&amp;"'!"&amp;"$P$85:$AC$98"),IF(H129=$AI$13,6,IF(H129=$AI$14,9,14)),FALSE)</f>
        <v>0</v>
      </c>
      <c r="U129" s="773"/>
      <c r="V129" s="199">
        <f t="shared" ref="V129" ca="1" si="152">IF(IF(RIGHT(H129,2)="PH",(1-L129)+$W$2,IF(RIGHT(H129,2)="HT",(1-L129)+$W$1,IF(RIGHT(H129,2)="SH",(1-L129)+$W$3,"")))&gt;0,IF(RIGHT(H129,2)="PH",(1-L129)+$W$2,IF(RIGHT(H129,2)="HT",(1-L129)+$W$1,IF(RIGHT(H129,2)="SH",(1-L129)+$W$3,""))),0)</f>
        <v>0.25000000000000006</v>
      </c>
      <c r="W129" s="709"/>
      <c r="X129" s="698">
        <f t="shared" ca="1" si="145"/>
        <v>0.5</v>
      </c>
      <c r="Y129" s="698">
        <f t="shared" ref="Y129:Y134" ca="1" si="153">VLOOKUP($AD129,INDIRECT("'"&amp;$B129&amp;"'!"&amp;"$P$118:$AD$121"),12,FALSE)</f>
        <v>25</v>
      </c>
      <c r="Z129" s="698">
        <f t="shared" ref="Z129:Z134" ca="1" si="154">VLOOKUP($AD129,INDIRECT("'"&amp;$B129&amp;"'!"&amp;"$P$118:$AD$121"),13,FALSE)</f>
        <v>0</v>
      </c>
      <c r="AA129" s="698">
        <f t="shared" ref="AA129:AA134" ca="1" si="155">VLOOKUP($AD129,INDIRECT("'"&amp;$B129&amp;"'!"&amp;"$P$118:$AD$121"),14,FALSE)</f>
        <v>0</v>
      </c>
      <c r="AB129" s="698">
        <f t="shared" ref="AB129:AB134" ca="1" si="156">VLOOKUP($AD129,INDIRECT("'"&amp;$B129&amp;"'!"&amp;"$P$118:$AD$121"),15,FALSE)</f>
        <v>0.1</v>
      </c>
      <c r="AC129" s="55"/>
      <c r="AD129" s="81">
        <v>2020</v>
      </c>
      <c r="AE129" s="81"/>
      <c r="AF129" s="700"/>
    </row>
    <row r="130" spans="2:32">
      <c r="B130" s="718" t="s">
        <v>1009</v>
      </c>
      <c r="C130" s="226"/>
      <c r="D130" s="212"/>
      <c r="E130" s="261"/>
      <c r="F130" s="224" t="s">
        <v>1149</v>
      </c>
      <c r="G130" s="55"/>
      <c r="H130" s="174"/>
      <c r="I130" s="174" t="str">
        <f t="shared" si="143"/>
        <v>INDIWH</v>
      </c>
      <c r="J130" s="224">
        <f t="shared" si="146"/>
        <v>2030</v>
      </c>
      <c r="K130" s="81"/>
      <c r="L130" s="199">
        <f t="shared" ca="1" si="148"/>
        <v>0.96</v>
      </c>
      <c r="M130" s="199"/>
      <c r="N130" s="81"/>
      <c r="O130" s="723">
        <f t="shared" ca="1" si="149"/>
        <v>0.27759522769958173</v>
      </c>
      <c r="P130" s="723">
        <f t="shared" ca="1" si="150"/>
        <v>1.2664999999999999E-2</v>
      </c>
      <c r="Q130" s="81">
        <f t="shared" ca="1" si="151"/>
        <v>1.8625</v>
      </c>
      <c r="R130" s="300"/>
      <c r="S130" s="300"/>
      <c r="T130" s="300"/>
      <c r="U130" s="300"/>
      <c r="V130" s="199">
        <f t="shared" ref="V130" ca="1" si="157">IF(IF(RIGHT(H129,2)="PH",(1-L130)+$W$2,IF(RIGHT(H129,2)="HT",(1-L130)+$W$1,IF(RIGHT(H129,2)="SH",(1-L130)+$W$3,"")))&gt;0,IF(RIGHT(H129,2)="PH",(1-L130)+$W$2,IF(RIGHT(H129,2)="HT",(1-L130)+$W$1,IF(RIGHT(H129,2)="SH",(1-L130)+$W$3,""))),0)</f>
        <v>0.24000000000000005</v>
      </c>
      <c r="W130" s="298"/>
      <c r="X130" s="698">
        <f t="shared" ca="1" si="145"/>
        <v>0.5</v>
      </c>
      <c r="Y130" s="698">
        <f t="shared" ca="1" si="153"/>
        <v>20</v>
      </c>
      <c r="Z130" s="698">
        <f t="shared" ca="1" si="154"/>
        <v>0</v>
      </c>
      <c r="AA130" s="698">
        <f t="shared" ca="1" si="155"/>
        <v>0</v>
      </c>
      <c r="AB130" s="698">
        <f t="shared" ca="1" si="156"/>
        <v>0.1</v>
      </c>
      <c r="AC130" s="55"/>
      <c r="AD130" s="81">
        <v>2030</v>
      </c>
      <c r="AE130" s="81"/>
      <c r="AF130" s="700"/>
    </row>
    <row r="131" spans="2:32">
      <c r="B131" s="718" t="s">
        <v>1009</v>
      </c>
      <c r="C131" s="226"/>
      <c r="E131" s="261"/>
      <c r="F131" s="224" t="s">
        <v>1149</v>
      </c>
      <c r="G131" s="55"/>
      <c r="H131" s="174"/>
      <c r="I131" s="174" t="str">
        <f t="shared" si="143"/>
        <v>INDIWH</v>
      </c>
      <c r="J131" s="224">
        <f t="shared" si="146"/>
        <v>2050</v>
      </c>
      <c r="K131" s="81"/>
      <c r="L131" s="199">
        <f t="shared" ca="1" si="148"/>
        <v>0.97</v>
      </c>
      <c r="M131" s="199"/>
      <c r="N131" s="81"/>
      <c r="O131" s="723">
        <f t="shared" ca="1" si="149"/>
        <v>0.26251188606957326</v>
      </c>
      <c r="P131" s="723">
        <f t="shared" ca="1" si="150"/>
        <v>1.1175000000000001E-2</v>
      </c>
      <c r="Q131" s="81">
        <f t="shared" ca="1" si="151"/>
        <v>1.8625</v>
      </c>
      <c r="R131" s="300"/>
      <c r="S131" s="300"/>
      <c r="T131" s="300"/>
      <c r="U131" s="300"/>
      <c r="V131" s="199">
        <f t="shared" ref="V131" ca="1" si="158">IF(IF(RIGHT(H129,2)="PH",(1-L131)+$W$2,IF(RIGHT(H129,2)="HT",(1-L131)+$W$1,IF(RIGHT(H129,2)="SH",(1-L131)+$W$3,"")))&gt;0,IF(RIGHT(H129,2)="PH",(1-L131)+$W$2,IF(RIGHT(H129,2)="HT",(1-L131)+$W$1,IF(RIGHT(H129,2)="SH",(1-L131)+$W$3,""))),0)</f>
        <v>0.23000000000000004</v>
      </c>
      <c r="W131" s="298"/>
      <c r="X131" s="698">
        <f t="shared" ca="1" si="145"/>
        <v>0.5</v>
      </c>
      <c r="Y131" s="698">
        <f t="shared" ca="1" si="153"/>
        <v>15</v>
      </c>
      <c r="Z131" s="698">
        <f t="shared" ca="1" si="154"/>
        <v>0</v>
      </c>
      <c r="AA131" s="698">
        <f t="shared" ca="1" si="155"/>
        <v>0</v>
      </c>
      <c r="AB131" s="698">
        <f t="shared" ca="1" si="156"/>
        <v>0.1</v>
      </c>
      <c r="AC131" s="203"/>
      <c r="AD131" s="81">
        <v>2050</v>
      </c>
      <c r="AE131" s="81"/>
      <c r="AF131" s="705"/>
    </row>
    <row r="132" spans="2:32">
      <c r="B132" s="718" t="s">
        <v>1009</v>
      </c>
      <c r="C132" s="226"/>
      <c r="D132" s="212" t="str">
        <f>"IND"&amp;RIGHT(H132,4)&amp;"DSL"&amp;"N"&amp;RIGHT(E132,1)</f>
        <v>INDIDSHDSLN2</v>
      </c>
      <c r="E132" s="261" t="str">
        <f>"Industrial heating technology "&amp;$AJ$12&amp;" "&amp;RIGHT(H132,2)&amp;" - Oil boiler (Steam - condensing) - new 2"</f>
        <v>Industrial heating technology Mining SH - Oil boiler (Steam - condensing) - new 2</v>
      </c>
      <c r="F132" s="224" t="s">
        <v>1149</v>
      </c>
      <c r="G132" s="173" t="s">
        <v>2081</v>
      </c>
      <c r="H132" s="174" t="str">
        <f>$AI$15</f>
        <v>IIDSH</v>
      </c>
      <c r="I132" s="174" t="str">
        <f t="shared" si="143"/>
        <v>INDIWH</v>
      </c>
      <c r="J132" s="224">
        <f t="shared" si="146"/>
        <v>2011</v>
      </c>
      <c r="K132" s="299">
        <v>2025</v>
      </c>
      <c r="L132" s="199">
        <f t="shared" ca="1" si="148"/>
        <v>0.95</v>
      </c>
      <c r="M132" s="199"/>
      <c r="N132" s="81">
        <f ca="1">VLOOKUP($AD132,INDIRECT("'"&amp;$B132&amp;"'!"&amp;"$P$118:$AD$121"),5,FALSE)</f>
        <v>25</v>
      </c>
      <c r="O132" s="723">
        <f t="shared" ca="1" si="149"/>
        <v>0.32780000000000004</v>
      </c>
      <c r="P132" s="723">
        <f t="shared" ca="1" si="150"/>
        <v>1.341E-2</v>
      </c>
      <c r="Q132" s="81">
        <f t="shared" ca="1" si="151"/>
        <v>2.0694444444444446</v>
      </c>
      <c r="R132" s="81">
        <v>3.1536000000000002E-2</v>
      </c>
      <c r="S132" s="199">
        <v>0.5</v>
      </c>
      <c r="T132" s="199">
        <f ca="1">HLOOKUP($T$2,INDIRECT("'"&amp;$B132&amp;"'!"&amp;"$P$85:$AC$98"),IF(H132=$AI$13,6,IF(H132=$AI$14,9,14)),FALSE)</f>
        <v>1</v>
      </c>
      <c r="U132" s="772"/>
      <c r="V132" s="199">
        <f t="shared" ref="V132" ca="1" si="159">IF(IF(RIGHT(H132,2)="PH",(1-L132)+$W$2,IF(RIGHT(H132,2)="HT",(1-L132)+$W$1,IF(RIGHT(H132,2)="SH",(1-L132)+$W$3,"")))&gt;0,IF(RIGHT(H132,2)="PH",(1-L132)+$W$2,IF(RIGHT(H132,2)="HT",(1-L132)+$W$1,IF(RIGHT(H132,2)="SH",(1-L132)+$W$3,""))),0)</f>
        <v>5.0000000000000044E-2</v>
      </c>
      <c r="W132" s="298"/>
      <c r="X132" s="698">
        <f t="shared" ca="1" si="145"/>
        <v>0.5</v>
      </c>
      <c r="Y132" s="698">
        <f t="shared" ca="1" si="153"/>
        <v>25</v>
      </c>
      <c r="Z132" s="698">
        <f t="shared" ca="1" si="154"/>
        <v>0</v>
      </c>
      <c r="AA132" s="698">
        <f t="shared" ca="1" si="155"/>
        <v>0</v>
      </c>
      <c r="AB132" s="698">
        <f t="shared" ca="1" si="156"/>
        <v>0.1</v>
      </c>
      <c r="AD132" s="81">
        <v>2020</v>
      </c>
      <c r="AE132" s="299"/>
      <c r="AF132" s="220"/>
    </row>
    <row r="133" spans="2:32">
      <c r="B133" s="718" t="s">
        <v>1009</v>
      </c>
      <c r="C133" s="226"/>
      <c r="E133" s="261"/>
      <c r="F133" s="224" t="s">
        <v>1149</v>
      </c>
      <c r="G133" s="55"/>
      <c r="H133" s="174"/>
      <c r="I133" s="174" t="str">
        <f t="shared" si="143"/>
        <v>INDIWH</v>
      </c>
      <c r="J133" s="224">
        <f t="shared" si="146"/>
        <v>2030</v>
      </c>
      <c r="K133" s="81"/>
      <c r="L133" s="199">
        <f t="shared" ca="1" si="148"/>
        <v>0.96</v>
      </c>
      <c r="M133" s="199"/>
      <c r="N133" s="81"/>
      <c r="O133" s="723">
        <f t="shared" ca="1" si="149"/>
        <v>0.27759522769958173</v>
      </c>
      <c r="P133" s="723">
        <f t="shared" ca="1" si="150"/>
        <v>1.2664999999999999E-2</v>
      </c>
      <c r="Q133" s="81">
        <f t="shared" ca="1" si="151"/>
        <v>1.8625</v>
      </c>
      <c r="R133" s="300"/>
      <c r="S133" s="300"/>
      <c r="T133" s="300"/>
      <c r="U133" s="300"/>
      <c r="V133" s="199">
        <f t="shared" ref="V133" ca="1" si="160">IF(IF(RIGHT(H132,2)="PH",(1-L133)+$W$2,IF(RIGHT(H132,2)="HT",(1-L133)+$W$1,IF(RIGHT(H132,2)="SH",(1-L133)+$W$3,"")))&gt;0,IF(RIGHT(H132,2)="PH",(1-L133)+$W$2,IF(RIGHT(H132,2)="HT",(1-L133)+$W$1,IF(RIGHT(H132,2)="SH",(1-L133)+$W$3,""))),0)</f>
        <v>4.0000000000000036E-2</v>
      </c>
      <c r="W133" s="298"/>
      <c r="X133" s="698">
        <f t="shared" ca="1" si="145"/>
        <v>0.5</v>
      </c>
      <c r="Y133" s="698">
        <f t="shared" ca="1" si="153"/>
        <v>20</v>
      </c>
      <c r="Z133" s="698">
        <f t="shared" ca="1" si="154"/>
        <v>0</v>
      </c>
      <c r="AA133" s="698">
        <f t="shared" ca="1" si="155"/>
        <v>0</v>
      </c>
      <c r="AB133" s="698">
        <f t="shared" ca="1" si="156"/>
        <v>0.1</v>
      </c>
      <c r="AD133" s="81">
        <v>2030</v>
      </c>
      <c r="AE133" s="81"/>
      <c r="AF133" s="220"/>
    </row>
    <row r="134" spans="2:32">
      <c r="B134" s="719" t="s">
        <v>1009</v>
      </c>
      <c r="C134" s="713"/>
      <c r="D134" s="701"/>
      <c r="E134" s="701"/>
      <c r="F134" s="224" t="s">
        <v>1149</v>
      </c>
      <c r="G134" s="203"/>
      <c r="H134" s="702"/>
      <c r="I134" s="702" t="str">
        <f t="shared" si="143"/>
        <v>INDIWH</v>
      </c>
      <c r="J134" s="224">
        <f t="shared" si="146"/>
        <v>2050</v>
      </c>
      <c r="K134" s="81"/>
      <c r="L134" s="199">
        <f t="shared" ca="1" si="148"/>
        <v>0.97</v>
      </c>
      <c r="M134" s="199"/>
      <c r="N134" s="81"/>
      <c r="O134" s="723">
        <f t="shared" ca="1" si="149"/>
        <v>0.26251188606957326</v>
      </c>
      <c r="P134" s="723">
        <f t="shared" ca="1" si="150"/>
        <v>1.1175000000000001E-2</v>
      </c>
      <c r="Q134" s="81">
        <f t="shared" ca="1" si="151"/>
        <v>1.8625</v>
      </c>
      <c r="R134" s="703"/>
      <c r="S134" s="703"/>
      <c r="T134" s="703"/>
      <c r="U134" s="703"/>
      <c r="V134" s="199">
        <f t="shared" ref="V134" ca="1" si="161">IF(IF(RIGHT(H132,2)="PH",(1-L134)+$W$2,IF(RIGHT(H132,2)="HT",(1-L134)+$W$1,IF(RIGHT(H132,2)="SH",(1-L134)+$W$3,"")))&gt;0,IF(RIGHT(H132,2)="PH",(1-L134)+$W$2,IF(RIGHT(H132,2)="HT",(1-L134)+$W$1,IF(RIGHT(H132,2)="SH",(1-L134)+$W$3,""))),0)</f>
        <v>3.0000000000000027E-2</v>
      </c>
      <c r="W134" s="704"/>
      <c r="X134" s="698">
        <f t="shared" ca="1" si="145"/>
        <v>0.5</v>
      </c>
      <c r="Y134" s="698">
        <f t="shared" ca="1" si="153"/>
        <v>15</v>
      </c>
      <c r="Z134" s="698">
        <f t="shared" ca="1" si="154"/>
        <v>0</v>
      </c>
      <c r="AA134" s="698">
        <f t="shared" ca="1" si="155"/>
        <v>0</v>
      </c>
      <c r="AB134" s="698">
        <f t="shared" ca="1" si="156"/>
        <v>0.1</v>
      </c>
      <c r="AD134" s="81">
        <v>2050</v>
      </c>
      <c r="AE134" s="81"/>
      <c r="AF134" s="220"/>
    </row>
    <row r="135" spans="2:32">
      <c r="B135" s="718" t="s">
        <v>1010</v>
      </c>
      <c r="C135" s="226"/>
      <c r="D135" s="212" t="str">
        <f>"IND"&amp;RIGHT(H135,4)&amp;"GAS"&amp;"N"&amp;RIGHT(E135,1)</f>
        <v>INDIDPHGASN1</v>
      </c>
      <c r="E135" s="261" t="str">
        <f>"Industrial heating technology "&amp;$AJ$12&amp;" "&amp;RIGHT(H135,2)&amp;" - Gas boiler (Steam) - new 1"</f>
        <v>Industrial heating technology Mining PH - Gas boiler (Steam) - new 1</v>
      </c>
      <c r="F135" s="224" t="s">
        <v>1149</v>
      </c>
      <c r="G135" s="173" t="s">
        <v>2080</v>
      </c>
      <c r="H135" s="174" t="str">
        <f>$AI$13</f>
        <v>IIDPH</v>
      </c>
      <c r="I135" s="174" t="str">
        <f t="shared" si="143"/>
        <v>INDIWH</v>
      </c>
      <c r="J135" s="224">
        <f t="shared" si="146"/>
        <v>2011</v>
      </c>
      <c r="K135" s="299">
        <v>2011</v>
      </c>
      <c r="L135" s="199">
        <f t="shared" ref="L135:L143" ca="1" si="162">VLOOKUP($AD135,INDIRECT("'"&amp;$B135&amp;"'!"&amp;"$P$39:$AD$42"),3,FALSE)</f>
        <v>0.92</v>
      </c>
      <c r="M135" s="699"/>
      <c r="N135" s="299">
        <f ca="1">VLOOKUP($AD135,INDIRECT("'"&amp;$B135&amp;"'!"&amp;"$P$39:$AD$42"),5,FALSE)</f>
        <v>25</v>
      </c>
      <c r="O135" s="725">
        <f t="shared" ref="O135:O143" ca="1" si="163">VLOOKUP($AD135,INDIRECT("'"&amp;$B135&amp;"'!"&amp;"$P$39:$AD$42"),6,FALSE)/1000</f>
        <v>0.40636363636363632</v>
      </c>
      <c r="P135" s="725">
        <f t="shared" ref="P135:P143" ca="1" si="164">VLOOKUP($AD135,INDIRECT("'"&amp;$B135&amp;"'!"&amp;"$P$39:$AD$42"),7,FALSE)/1000</f>
        <v>1.49E-2</v>
      </c>
      <c r="Q135" s="299">
        <f t="shared" ref="Q135:Q143" ca="1" si="165">VLOOKUP($AD135,INDIRECT("'"&amp;$B135&amp;"'!"&amp;"$P$39:$AD$42"),8,FALSE)</f>
        <v>2.276388888888889</v>
      </c>
      <c r="R135" s="299">
        <v>3.1536000000000002E-2</v>
      </c>
      <c r="S135" s="699">
        <v>0.5</v>
      </c>
      <c r="T135" s="699">
        <f ca="1">HLOOKUP($T$2,INDIRECT("'"&amp;$B135&amp;"'!"&amp;"$P$6:$AC$19"),IF(H135=$AI$13,6,IF(H135=$AI$14,9,14)),FALSE)</f>
        <v>1</v>
      </c>
      <c r="U135" s="772"/>
      <c r="V135" s="199">
        <f t="shared" ref="V135" ca="1" si="166">IF(IF(RIGHT(H135,2)="PH",(1-L135)+$W$2,IF(RIGHT(H135,2)="HT",(1-L135)+$W$1,IF(RIGHT(H135,2)="SH",(1-L135)+$W$3,"")))&gt;0,IF(RIGHT(H135,2)="PH",(1-L135)+$W$2,IF(RIGHT(H135,2)="HT",(1-L135)+$W$1,IF(RIGHT(H135,2)="SH",(1-L135)+$W$3,""))),0)</f>
        <v>0.27999999999999997</v>
      </c>
      <c r="W135" s="298"/>
      <c r="X135" s="698">
        <f t="shared" ca="1" si="145"/>
        <v>0.3</v>
      </c>
      <c r="Y135" s="299">
        <f t="shared" ref="Y135:Y143" ca="1" si="167">VLOOKUP($AD135,INDIRECT("'"&amp;$B135&amp;"'!"&amp;"$P$39:$AD$42"),12,FALSE)</f>
        <v>9</v>
      </c>
      <c r="Z135" s="299">
        <f t="shared" ref="Z135:Z143" ca="1" si="168">VLOOKUP($AD135,INDIRECT("'"&amp;$B135&amp;"'!"&amp;"$P$39:$AD$42"),13,FALSE)</f>
        <v>3</v>
      </c>
      <c r="AA135" s="299">
        <f t="shared" ref="AA135:AA143" ca="1" si="169">VLOOKUP($AD135,INDIRECT("'"&amp;$B135&amp;"'!"&amp;"$P$39:$AD$42"),14,FALSE)</f>
        <v>1</v>
      </c>
      <c r="AB135" s="299">
        <f t="shared" ref="AB135:AB143" ca="1" si="170">VLOOKUP($AD135,INDIRECT("'"&amp;$B135&amp;"'!"&amp;"$P$39:$AD$42"),15,FALSE)</f>
        <v>0.1</v>
      </c>
      <c r="AD135" s="299">
        <v>2020</v>
      </c>
      <c r="AE135" s="81"/>
      <c r="AF135" s="220"/>
    </row>
    <row r="136" spans="2:32">
      <c r="B136" s="718" t="s">
        <v>1010</v>
      </c>
      <c r="C136" s="226"/>
      <c r="E136" s="212"/>
      <c r="F136" s="224" t="s">
        <v>1149</v>
      </c>
      <c r="H136" s="174"/>
      <c r="I136" s="174" t="str">
        <f t="shared" si="143"/>
        <v>INDIWH</v>
      </c>
      <c r="J136" s="224">
        <f t="shared" si="146"/>
        <v>2030</v>
      </c>
      <c r="K136" s="81"/>
      <c r="L136" s="199">
        <f t="shared" ca="1" si="162"/>
        <v>0.93</v>
      </c>
      <c r="M136" s="199"/>
      <c r="N136" s="81"/>
      <c r="O136" s="723">
        <f t="shared" ca="1" si="163"/>
        <v>0.33863636363636368</v>
      </c>
      <c r="P136" s="723">
        <f t="shared" ca="1" si="164"/>
        <v>1.4154999999999999E-2</v>
      </c>
      <c r="Q136" s="81">
        <f t="shared" ca="1" si="165"/>
        <v>2.0694444444444446</v>
      </c>
      <c r="R136" s="300"/>
      <c r="S136" s="300"/>
      <c r="T136" s="300"/>
      <c r="U136" s="300"/>
      <c r="V136" s="199">
        <f t="shared" ref="V136" ca="1" si="171">IF(IF(RIGHT(H135,2)="PH",(1-L136)+$W$2,IF(RIGHT(H135,2)="HT",(1-L136)+$W$1,IF(RIGHT(H135,2)="SH",(1-L136)+$W$3,"")))&gt;0,IF(RIGHT(H135,2)="PH",(1-L136)+$W$2,IF(RIGHT(H135,2)="HT",(1-L136)+$W$1,IF(RIGHT(H135,2)="SH",(1-L136)+$W$3,""))),0)</f>
        <v>0.26999999999999996</v>
      </c>
      <c r="W136" s="298"/>
      <c r="X136" s="698">
        <f t="shared" ca="1" si="145"/>
        <v>0.3</v>
      </c>
      <c r="Y136" s="81">
        <f t="shared" ca="1" si="167"/>
        <v>7</v>
      </c>
      <c r="Z136" s="81">
        <f t="shared" ca="1" si="168"/>
        <v>2</v>
      </c>
      <c r="AA136" s="81">
        <f t="shared" ca="1" si="169"/>
        <v>1</v>
      </c>
      <c r="AB136" s="81">
        <f t="shared" ca="1" si="170"/>
        <v>0.1</v>
      </c>
      <c r="AD136" s="81">
        <v>2030</v>
      </c>
      <c r="AE136" s="81"/>
      <c r="AF136" s="220"/>
    </row>
    <row r="137" spans="2:32">
      <c r="B137" s="718" t="s">
        <v>1010</v>
      </c>
      <c r="C137" s="226"/>
      <c r="E137" s="212"/>
      <c r="F137" s="224" t="s">
        <v>1149</v>
      </c>
      <c r="H137" s="174"/>
      <c r="I137" s="174" t="str">
        <f t="shared" si="143"/>
        <v>INDIWH</v>
      </c>
      <c r="J137" s="224">
        <f t="shared" si="146"/>
        <v>2050</v>
      </c>
      <c r="K137" s="81"/>
      <c r="L137" s="199">
        <f t="shared" ca="1" si="162"/>
        <v>0.94</v>
      </c>
      <c r="M137" s="199"/>
      <c r="N137" s="81"/>
      <c r="O137" s="723">
        <f t="shared" ca="1" si="163"/>
        <v>0.33863636363636368</v>
      </c>
      <c r="P137" s="723">
        <f t="shared" ca="1" si="164"/>
        <v>1.2664999999999999E-2</v>
      </c>
      <c r="Q137" s="81">
        <f t="shared" ca="1" si="165"/>
        <v>2.0694444444444446</v>
      </c>
      <c r="R137" s="300"/>
      <c r="S137" s="300"/>
      <c r="T137" s="300"/>
      <c r="U137" s="300"/>
      <c r="V137" s="199">
        <f t="shared" ref="V137" ca="1" si="172">IF(IF(RIGHT(H135,2)="PH",(1-L137)+$W$2,IF(RIGHT(H135,2)="HT",(1-L137)+$W$1,IF(RIGHT(H135,2)="SH",(1-L137)+$W$3,"")))&gt;0,IF(RIGHT(H135,2)="PH",(1-L137)+$W$2,IF(RIGHT(H135,2)="HT",(1-L137)+$W$1,IF(RIGHT(H135,2)="SH",(1-L137)+$W$3,""))),0)</f>
        <v>0.26000000000000006</v>
      </c>
      <c r="W137" s="298"/>
      <c r="X137" s="698">
        <f t="shared" ca="1" si="145"/>
        <v>0.3</v>
      </c>
      <c r="Y137" s="81">
        <f t="shared" ca="1" si="167"/>
        <v>6</v>
      </c>
      <c r="Z137" s="81">
        <f t="shared" ca="1" si="168"/>
        <v>2</v>
      </c>
      <c r="AA137" s="81">
        <f t="shared" ca="1" si="169"/>
        <v>1</v>
      </c>
      <c r="AB137" s="81">
        <f t="shared" ca="1" si="170"/>
        <v>0.1</v>
      </c>
      <c r="AD137" s="81">
        <v>2050</v>
      </c>
      <c r="AE137" s="81"/>
      <c r="AF137" s="220"/>
    </row>
    <row r="138" spans="2:32">
      <c r="B138" s="718" t="s">
        <v>1010</v>
      </c>
      <c r="C138" s="226"/>
      <c r="D138" s="212" t="str">
        <f>"IND"&amp;RIGHT(H138,4)&amp;"GAS"&amp;"N"&amp;RIGHT(E138,1)</f>
        <v>INDIDPHGASN1</v>
      </c>
      <c r="E138" s="261" t="str">
        <f>"Industrial heating technology "&amp;$AJ$12&amp;" "&amp;RIGHT(H138,2)&amp;" - Gas boiler (Steam) - new 1"</f>
        <v>Industrial heating technology Mining PH - Gas boiler (Steam) - new 1</v>
      </c>
      <c r="F138" s="224" t="s">
        <v>1149</v>
      </c>
      <c r="G138" s="173" t="s">
        <v>2080</v>
      </c>
      <c r="H138" s="174" t="str">
        <f>$AI$14</f>
        <v>IIDPH</v>
      </c>
      <c r="I138" s="174" t="str">
        <f t="shared" si="143"/>
        <v>INDIWH</v>
      </c>
      <c r="J138" s="224">
        <f t="shared" si="146"/>
        <v>2011</v>
      </c>
      <c r="K138" s="299">
        <f>J138</f>
        <v>2011</v>
      </c>
      <c r="L138" s="199">
        <f t="shared" ca="1" si="162"/>
        <v>0.92</v>
      </c>
      <c r="M138" s="199"/>
      <c r="N138" s="81">
        <f ca="1">VLOOKUP($AD138,INDIRECT("'"&amp;$B138&amp;"'!"&amp;"$P$39:$AD$42"),5,FALSE)</f>
        <v>25</v>
      </c>
      <c r="O138" s="723">
        <f t="shared" ca="1" si="163"/>
        <v>0.40636363636363632</v>
      </c>
      <c r="P138" s="723">
        <f t="shared" ca="1" si="164"/>
        <v>1.49E-2</v>
      </c>
      <c r="Q138" s="81">
        <f t="shared" ca="1" si="165"/>
        <v>2.276388888888889</v>
      </c>
      <c r="R138" s="81">
        <v>3.1536000000000002E-2</v>
      </c>
      <c r="S138" s="199">
        <v>0.5</v>
      </c>
      <c r="T138" s="199">
        <f ca="1">HLOOKUP($T$2,INDIRECT("'"&amp;$B138&amp;"'!"&amp;"$P$6:$AC$19"),IF(H138=$AI$13,6,IF(H138=$AI$14,9,14)),FALSE)</f>
        <v>1</v>
      </c>
      <c r="U138" s="772"/>
      <c r="V138" s="199">
        <f t="shared" ref="V138" ca="1" si="173">IF(IF(RIGHT(H138,2)="PH",(1-L138)+$W$2,IF(RIGHT(H138,2)="HT",(1-L138)+$W$1,IF(RIGHT(H138,2)="SH",(1-L138)+$W$3,"")))&gt;0,IF(RIGHT(H138,2)="PH",(1-L138)+$W$2,IF(RIGHT(H138,2)="HT",(1-L138)+$W$1,IF(RIGHT(H138,2)="SH",(1-L138)+$W$3,""))),0)</f>
        <v>0.27999999999999997</v>
      </c>
      <c r="W138" s="298"/>
      <c r="X138" s="698">
        <f t="shared" ca="1" si="145"/>
        <v>0.3</v>
      </c>
      <c r="Y138" s="81">
        <f t="shared" ca="1" si="167"/>
        <v>9</v>
      </c>
      <c r="Z138" s="81">
        <f t="shared" ca="1" si="168"/>
        <v>3</v>
      </c>
      <c r="AA138" s="81">
        <f t="shared" ca="1" si="169"/>
        <v>1</v>
      </c>
      <c r="AB138" s="81">
        <f t="shared" ca="1" si="170"/>
        <v>0.1</v>
      </c>
      <c r="AD138" s="81">
        <v>2020</v>
      </c>
      <c r="AE138" s="81"/>
      <c r="AF138" s="220"/>
    </row>
    <row r="139" spans="2:32">
      <c r="B139" s="718" t="s">
        <v>1010</v>
      </c>
      <c r="C139" s="226"/>
      <c r="E139" s="212"/>
      <c r="F139" s="224" t="s">
        <v>1149</v>
      </c>
      <c r="H139" s="174"/>
      <c r="I139" s="174" t="str">
        <f t="shared" si="143"/>
        <v>INDIWH</v>
      </c>
      <c r="J139" s="224">
        <f t="shared" si="146"/>
        <v>2030</v>
      </c>
      <c r="K139" s="81"/>
      <c r="L139" s="199">
        <f t="shared" ca="1" si="162"/>
        <v>0.93</v>
      </c>
      <c r="M139" s="199"/>
      <c r="N139" s="81"/>
      <c r="O139" s="723">
        <f t="shared" ca="1" si="163"/>
        <v>0.33863636363636368</v>
      </c>
      <c r="P139" s="723">
        <f t="shared" ca="1" si="164"/>
        <v>1.4154999999999999E-2</v>
      </c>
      <c r="Q139" s="81">
        <f t="shared" ca="1" si="165"/>
        <v>2.0694444444444446</v>
      </c>
      <c r="R139" s="300"/>
      <c r="S139" s="300"/>
      <c r="T139" s="300"/>
      <c r="U139" s="300"/>
      <c r="V139" s="199">
        <f t="shared" ref="V139" ca="1" si="174">IF(IF(RIGHT(H138,2)="PH",(1-L139)+$W$2,IF(RIGHT(H138,2)="HT",(1-L139)+$W$1,IF(RIGHT(H138,2)="SH",(1-L139)+$W$3,"")))&gt;0,IF(RIGHT(H138,2)="PH",(1-L139)+$W$2,IF(RIGHT(H138,2)="HT",(1-L139)+$W$1,IF(RIGHT(H138,2)="SH",(1-L139)+$W$3,""))),0)</f>
        <v>0.26999999999999996</v>
      </c>
      <c r="W139" s="298"/>
      <c r="X139" s="698">
        <f t="shared" ca="1" si="145"/>
        <v>0.3</v>
      </c>
      <c r="Y139" s="81">
        <f t="shared" ca="1" si="167"/>
        <v>7</v>
      </c>
      <c r="Z139" s="81">
        <f t="shared" ca="1" si="168"/>
        <v>2</v>
      </c>
      <c r="AA139" s="81">
        <f t="shared" ca="1" si="169"/>
        <v>1</v>
      </c>
      <c r="AB139" s="81">
        <f t="shared" ca="1" si="170"/>
        <v>0.1</v>
      </c>
      <c r="AD139" s="81">
        <v>2030</v>
      </c>
      <c r="AE139" s="81"/>
      <c r="AF139" s="220"/>
    </row>
    <row r="140" spans="2:32">
      <c r="B140" s="718" t="s">
        <v>1010</v>
      </c>
      <c r="C140" s="226"/>
      <c r="E140" s="212"/>
      <c r="F140" s="224" t="s">
        <v>1149</v>
      </c>
      <c r="H140" s="174"/>
      <c r="I140" s="174" t="str">
        <f t="shared" si="143"/>
        <v>INDIWH</v>
      </c>
      <c r="J140" s="224">
        <f t="shared" si="146"/>
        <v>2050</v>
      </c>
      <c r="K140" s="81"/>
      <c r="L140" s="199">
        <f t="shared" ca="1" si="162"/>
        <v>0.94</v>
      </c>
      <c r="M140" s="199"/>
      <c r="N140" s="81"/>
      <c r="O140" s="723">
        <f t="shared" ca="1" si="163"/>
        <v>0.33863636363636368</v>
      </c>
      <c r="P140" s="723">
        <f t="shared" ca="1" si="164"/>
        <v>1.2664999999999999E-2</v>
      </c>
      <c r="Q140" s="81">
        <f t="shared" ca="1" si="165"/>
        <v>2.0694444444444446</v>
      </c>
      <c r="R140" s="300"/>
      <c r="S140" s="300"/>
      <c r="T140" s="300"/>
      <c r="U140" s="300"/>
      <c r="V140" s="199">
        <f t="shared" ref="V140" ca="1" si="175">IF(IF(RIGHT(H138,2)="PH",(1-L140)+$W$2,IF(RIGHT(H138,2)="HT",(1-L140)+$W$1,IF(RIGHT(H138,2)="SH",(1-L140)+$W$3,"")))&gt;0,IF(RIGHT(H138,2)="PH",(1-L140)+$W$2,IF(RIGHT(H138,2)="HT",(1-L140)+$W$1,IF(RIGHT(H138,2)="SH",(1-L140)+$W$3,""))),0)</f>
        <v>0.26000000000000006</v>
      </c>
      <c r="W140" s="298"/>
      <c r="X140" s="698">
        <f t="shared" ca="1" si="145"/>
        <v>0.3</v>
      </c>
      <c r="Y140" s="81">
        <f t="shared" ca="1" si="167"/>
        <v>6</v>
      </c>
      <c r="Z140" s="81">
        <f t="shared" ca="1" si="168"/>
        <v>2</v>
      </c>
      <c r="AA140" s="81">
        <f t="shared" ca="1" si="169"/>
        <v>1</v>
      </c>
      <c r="AB140" s="81">
        <f t="shared" ca="1" si="170"/>
        <v>0.1</v>
      </c>
      <c r="AC140" s="203"/>
      <c r="AD140" s="81">
        <v>2050</v>
      </c>
      <c r="AE140" s="81"/>
      <c r="AF140" s="705"/>
    </row>
    <row r="141" spans="2:32">
      <c r="B141" s="718" t="s">
        <v>1010</v>
      </c>
      <c r="C141" s="226"/>
      <c r="D141" s="212" t="str">
        <f>"IND"&amp;RIGHT(H141,4)&amp;"GAS"&amp;"N"&amp;RIGHT(E141,1)</f>
        <v>INDIDSHGASN1</v>
      </c>
      <c r="E141" s="261" t="str">
        <f>"Industrial heating technology "&amp;$AJ$12&amp;" "&amp;RIGHT(H141,2)&amp;" - Gas boiler (Steam) - new 1"</f>
        <v>Industrial heating technology Mining SH - Gas boiler (Steam) - new 1</v>
      </c>
      <c r="F141" s="224" t="s">
        <v>1149</v>
      </c>
      <c r="G141" s="173" t="s">
        <v>2080</v>
      </c>
      <c r="H141" s="174" t="str">
        <f>$AI$15</f>
        <v>IIDSH</v>
      </c>
      <c r="I141" s="174" t="str">
        <f t="shared" si="143"/>
        <v>INDIWH</v>
      </c>
      <c r="J141" s="224">
        <f t="shared" si="146"/>
        <v>2011</v>
      </c>
      <c r="K141" s="299">
        <f>J141</f>
        <v>2011</v>
      </c>
      <c r="L141" s="199">
        <f t="shared" ca="1" si="162"/>
        <v>0.92</v>
      </c>
      <c r="M141" s="199"/>
      <c r="N141" s="81">
        <f ca="1">VLOOKUP($AD141,INDIRECT("'"&amp;$B141&amp;"'!"&amp;"$P$39:$AD$42"),5,FALSE)</f>
        <v>25</v>
      </c>
      <c r="O141" s="723">
        <f t="shared" ca="1" si="163"/>
        <v>0.40636363636363632</v>
      </c>
      <c r="P141" s="723">
        <f t="shared" ca="1" si="164"/>
        <v>1.49E-2</v>
      </c>
      <c r="Q141" s="81">
        <f t="shared" ca="1" si="165"/>
        <v>2.276388888888889</v>
      </c>
      <c r="R141" s="81">
        <v>3.1536000000000002E-2</v>
      </c>
      <c r="S141" s="199">
        <v>0.5</v>
      </c>
      <c r="T141" s="199">
        <f ca="1">HLOOKUP($T$2,INDIRECT("'"&amp;$B141&amp;"'!"&amp;"$P$6:$AC$19"),IF(H141=$AI$13,6,IF(H141=$AI$14,9,14)),FALSE)</f>
        <v>1</v>
      </c>
      <c r="U141" s="772"/>
      <c r="V141" s="199">
        <f t="shared" ref="V141" ca="1" si="176">IF(IF(RIGHT(H141,2)="PH",(1-L141)+$W$2,IF(RIGHT(H141,2)="HT",(1-L141)+$W$1,IF(RIGHT(H141,2)="SH",(1-L141)+$W$3,"")))&gt;0,IF(RIGHT(H141,2)="PH",(1-L141)+$W$2,IF(RIGHT(H141,2)="HT",(1-L141)+$W$1,IF(RIGHT(H141,2)="SH",(1-L141)+$W$3,""))),0)</f>
        <v>7.999999999999996E-2</v>
      </c>
      <c r="W141" s="298"/>
      <c r="X141" s="698">
        <f t="shared" ca="1" si="145"/>
        <v>0.3</v>
      </c>
      <c r="Y141" s="81">
        <f t="shared" ca="1" si="167"/>
        <v>9</v>
      </c>
      <c r="Z141" s="81">
        <f t="shared" ca="1" si="168"/>
        <v>3</v>
      </c>
      <c r="AA141" s="81">
        <f t="shared" ca="1" si="169"/>
        <v>1</v>
      </c>
      <c r="AB141" s="81">
        <f t="shared" ca="1" si="170"/>
        <v>0.1</v>
      </c>
      <c r="AC141" s="296"/>
      <c r="AD141" s="81">
        <v>2020</v>
      </c>
      <c r="AE141" s="81"/>
      <c r="AF141" s="710"/>
    </row>
    <row r="142" spans="2:32">
      <c r="B142" s="718" t="s">
        <v>1010</v>
      </c>
      <c r="C142" s="226"/>
      <c r="E142" s="212"/>
      <c r="F142" s="224" t="s">
        <v>1149</v>
      </c>
      <c r="H142" s="174"/>
      <c r="I142" s="174" t="str">
        <f t="shared" si="143"/>
        <v>INDIWH</v>
      </c>
      <c r="J142" s="224">
        <f t="shared" si="146"/>
        <v>2030</v>
      </c>
      <c r="K142" s="81"/>
      <c r="L142" s="199">
        <f t="shared" ca="1" si="162"/>
        <v>0.93</v>
      </c>
      <c r="M142" s="199"/>
      <c r="N142" s="81"/>
      <c r="O142" s="723">
        <f t="shared" ca="1" si="163"/>
        <v>0.33863636363636368</v>
      </c>
      <c r="P142" s="723">
        <f t="shared" ca="1" si="164"/>
        <v>1.4154999999999999E-2</v>
      </c>
      <c r="Q142" s="81">
        <f t="shared" ca="1" si="165"/>
        <v>2.0694444444444446</v>
      </c>
      <c r="R142" s="300"/>
      <c r="S142" s="300"/>
      <c r="T142" s="300"/>
      <c r="U142" s="300"/>
      <c r="V142" s="199">
        <f t="shared" ref="V142" ca="1" si="177">IF(IF(RIGHT(H141,2)="PH",(1-L142)+$W$2,IF(RIGHT(H141,2)="HT",(1-L142)+$W$1,IF(RIGHT(H141,2)="SH",(1-L142)+$W$3,"")))&gt;0,IF(RIGHT(H141,2)="PH",(1-L142)+$W$2,IF(RIGHT(H141,2)="HT",(1-L142)+$W$1,IF(RIGHT(H141,2)="SH",(1-L142)+$W$3,""))),0)</f>
        <v>6.9999999999999951E-2</v>
      </c>
      <c r="W142" s="298"/>
      <c r="X142" s="698">
        <f t="shared" ca="1" si="145"/>
        <v>0.3</v>
      </c>
      <c r="Y142" s="81">
        <f t="shared" ca="1" si="167"/>
        <v>7</v>
      </c>
      <c r="Z142" s="81">
        <f t="shared" ca="1" si="168"/>
        <v>2</v>
      </c>
      <c r="AA142" s="81">
        <f t="shared" ca="1" si="169"/>
        <v>1</v>
      </c>
      <c r="AB142" s="81">
        <f t="shared" ca="1" si="170"/>
        <v>0.1</v>
      </c>
      <c r="AC142" s="55"/>
      <c r="AD142" s="81">
        <v>2030</v>
      </c>
      <c r="AE142" s="81"/>
      <c r="AF142" s="700"/>
    </row>
    <row r="143" spans="2:32">
      <c r="B143" s="719" t="s">
        <v>1010</v>
      </c>
      <c r="C143" s="713"/>
      <c r="D143" s="203"/>
      <c r="E143" s="701"/>
      <c r="F143" s="224" t="s">
        <v>1149</v>
      </c>
      <c r="G143" s="203"/>
      <c r="H143" s="702"/>
      <c r="I143" s="702" t="str">
        <f t="shared" si="143"/>
        <v>INDIWH</v>
      </c>
      <c r="J143" s="224">
        <f t="shared" si="146"/>
        <v>2050</v>
      </c>
      <c r="K143" s="81"/>
      <c r="L143" s="199">
        <f t="shared" ca="1" si="162"/>
        <v>0.94</v>
      </c>
      <c r="M143" s="199"/>
      <c r="N143" s="81"/>
      <c r="O143" s="723">
        <f t="shared" ca="1" si="163"/>
        <v>0.33863636363636368</v>
      </c>
      <c r="P143" s="723">
        <f t="shared" ca="1" si="164"/>
        <v>1.2664999999999999E-2</v>
      </c>
      <c r="Q143" s="81">
        <f t="shared" ca="1" si="165"/>
        <v>2.0694444444444446</v>
      </c>
      <c r="R143" s="703"/>
      <c r="S143" s="703"/>
      <c r="T143" s="703"/>
      <c r="U143" s="703"/>
      <c r="V143" s="199">
        <f t="shared" ref="V143" ca="1" si="178">IF(IF(RIGHT(H141,2)="PH",(1-L143)+$W$2,IF(RIGHT(H141,2)="HT",(1-L143)+$W$1,IF(RIGHT(H141,2)="SH",(1-L143)+$W$3,"")))&gt;0,IF(RIGHT(H141,2)="PH",(1-L143)+$W$2,IF(RIGHT(H141,2)="HT",(1-L143)+$W$1,IF(RIGHT(H141,2)="SH",(1-L143)+$W$3,""))),0)</f>
        <v>6.0000000000000053E-2</v>
      </c>
      <c r="W143" s="704"/>
      <c r="X143" s="698">
        <f t="shared" ca="1" si="145"/>
        <v>0.3</v>
      </c>
      <c r="Y143" s="81">
        <f t="shared" ca="1" si="167"/>
        <v>6</v>
      </c>
      <c r="Z143" s="81">
        <f t="shared" ca="1" si="168"/>
        <v>2</v>
      </c>
      <c r="AA143" s="81">
        <f t="shared" ca="1" si="169"/>
        <v>1</v>
      </c>
      <c r="AB143" s="81">
        <f t="shared" ca="1" si="170"/>
        <v>0.1</v>
      </c>
      <c r="AC143" s="55"/>
      <c r="AD143" s="81">
        <v>2050</v>
      </c>
      <c r="AE143" s="81"/>
      <c r="AF143" s="700"/>
    </row>
    <row r="144" spans="2:32">
      <c r="B144" s="718" t="s">
        <v>1010</v>
      </c>
      <c r="C144" s="226"/>
      <c r="D144" s="212" t="str">
        <f>"IND"&amp;RIGHT(H144,4)&amp;"GAS"&amp;"N"&amp;RIGHT(E144,1)</f>
        <v>INDIDPHGASN2</v>
      </c>
      <c r="E144" s="707" t="str">
        <f>"Industrial heating technology "&amp;$AJ$12&amp;" "&amp;RIGHT(H144,2)&amp;" - Gas boiler (Steam - condensing) - new 2"</f>
        <v>Industrial heating technology Mining PH - Gas boiler (Steam - condensing) - new 2</v>
      </c>
      <c r="F144" s="224" t="s">
        <v>1149</v>
      </c>
      <c r="G144" s="173" t="s">
        <v>2080</v>
      </c>
      <c r="H144" s="708" t="str">
        <f>$AI$14</f>
        <v>IIDPH</v>
      </c>
      <c r="I144" s="708" t="str">
        <f t="shared" si="143"/>
        <v>INDIWH</v>
      </c>
      <c r="J144" s="224">
        <f t="shared" si="146"/>
        <v>2011</v>
      </c>
      <c r="K144" s="299">
        <f>J144</f>
        <v>2011</v>
      </c>
      <c r="L144" s="199">
        <f t="shared" ref="L144:L149" ca="1" si="179">VLOOKUP($AD144,INDIRECT("'"&amp;$B144&amp;"'!"&amp;"$P$118:$AD$121"),3,FALSE)</f>
        <v>1.01</v>
      </c>
      <c r="M144" s="199"/>
      <c r="N144" s="81">
        <f ca="1">VLOOKUP($AD144,INDIRECT("'"&amp;$B144&amp;"'!"&amp;"$P$118:$AD$121"),5,FALSE)</f>
        <v>25</v>
      </c>
      <c r="O144" s="723">
        <f t="shared" ref="O144:O149" ca="1" si="180">VLOOKUP($AD144,INDIRECT("'"&amp;$B144&amp;"'!"&amp;"$P$118:$AD$121"),6,FALSE)/1000</f>
        <v>0.44700000000000001</v>
      </c>
      <c r="P144" s="723">
        <f t="shared" ref="P144:P149" ca="1" si="181">VLOOKUP($AD144,INDIRECT("'"&amp;$B144&amp;"'!"&amp;"$P$118:$AD$121"),7,FALSE)/1000</f>
        <v>1.49E-2</v>
      </c>
      <c r="Q144" s="81">
        <f t="shared" ref="Q144:Q149" ca="1" si="182">VLOOKUP($AD144,INDIRECT("'"&amp;$B144&amp;"'!"&amp;"$P$118:$AD$121"),8,FALSE)</f>
        <v>2.276388888888889</v>
      </c>
      <c r="R144" s="81">
        <v>3.1536000000000002E-2</v>
      </c>
      <c r="S144" s="199">
        <v>0.5</v>
      </c>
      <c r="T144" s="199">
        <f ca="1">HLOOKUP($T$2,INDIRECT("'"&amp;$B144&amp;"'!"&amp;"$P$85:$AC$98"),IF(H144=$AI$13,6,IF(H144=$AI$14,9,14)),FALSE)</f>
        <v>0</v>
      </c>
      <c r="U144" s="773"/>
      <c r="V144" s="199">
        <f t="shared" ref="V144" ca="1" si="183">IF(IF(RIGHT(H144,2)="PH",(1-L144)+$W$2,IF(RIGHT(H144,2)="HT",(1-L144)+$W$1,IF(RIGHT(H144,2)="SH",(1-L144)+$W$3,"")))&gt;0,IF(RIGHT(H144,2)="PH",(1-L144)+$W$2,IF(RIGHT(H144,2)="HT",(1-L144)+$W$1,IF(RIGHT(H144,2)="SH",(1-L144)+$W$3,""))),0)</f>
        <v>0.19</v>
      </c>
      <c r="W144" s="709"/>
      <c r="X144" s="698">
        <f t="shared" ca="1" si="145"/>
        <v>0.3</v>
      </c>
      <c r="Y144" s="698">
        <f t="shared" ref="Y144:Y149" ca="1" si="184">VLOOKUP($AD144,INDIRECT("'"&amp;$B144&amp;"'!"&amp;"$P$118:$AD$121"),12,FALSE)</f>
        <v>9</v>
      </c>
      <c r="Z144" s="698">
        <f t="shared" ref="Z144:Z149" ca="1" si="185">VLOOKUP($AD144,INDIRECT("'"&amp;$B144&amp;"'!"&amp;"$P$118:$AD$121"),13,FALSE)</f>
        <v>3</v>
      </c>
      <c r="AA144" s="698">
        <f t="shared" ref="AA144:AA149" ca="1" si="186">VLOOKUP($AD144,INDIRECT("'"&amp;$B144&amp;"'!"&amp;"$P$118:$AD$121"),14,FALSE)</f>
        <v>1</v>
      </c>
      <c r="AB144" s="698">
        <f t="shared" ref="AB144:AB149" ca="1" si="187">VLOOKUP($AD144,INDIRECT("'"&amp;$B144&amp;"'!"&amp;"$P$118:$AD$121"),15,FALSE)</f>
        <v>0.1</v>
      </c>
      <c r="AC144" s="55"/>
      <c r="AD144" s="81">
        <v>2020</v>
      </c>
      <c r="AE144" s="81"/>
      <c r="AF144" s="700"/>
    </row>
    <row r="145" spans="1:32">
      <c r="B145" s="718" t="s">
        <v>1010</v>
      </c>
      <c r="C145" s="226"/>
      <c r="E145" s="261"/>
      <c r="F145" s="224" t="s">
        <v>1149</v>
      </c>
      <c r="G145" s="55"/>
      <c r="H145" s="174"/>
      <c r="I145" s="174" t="str">
        <f t="shared" si="143"/>
        <v>INDIWH</v>
      </c>
      <c r="J145" s="224">
        <f t="shared" si="146"/>
        <v>2030</v>
      </c>
      <c r="K145" s="81"/>
      <c r="L145" s="199">
        <f t="shared" ca="1" si="179"/>
        <v>1.03</v>
      </c>
      <c r="M145" s="199"/>
      <c r="N145" s="81"/>
      <c r="O145" s="723">
        <f t="shared" ca="1" si="180"/>
        <v>0.37250000000000005</v>
      </c>
      <c r="P145" s="723">
        <f t="shared" ca="1" si="181"/>
        <v>1.4154999999999999E-2</v>
      </c>
      <c r="Q145" s="81">
        <f t="shared" ca="1" si="182"/>
        <v>2.0694444444444446</v>
      </c>
      <c r="R145" s="300"/>
      <c r="S145" s="300"/>
      <c r="T145" s="300"/>
      <c r="U145" s="300"/>
      <c r="V145" s="199">
        <f t="shared" ref="V145" ca="1" si="188">IF(IF(RIGHT(H144,2)="PH",(1-L145)+$W$2,IF(RIGHT(H144,2)="HT",(1-L145)+$W$1,IF(RIGHT(H144,2)="SH",(1-L145)+$W$3,"")))&gt;0,IF(RIGHT(H144,2)="PH",(1-L145)+$W$2,IF(RIGHT(H144,2)="HT",(1-L145)+$W$1,IF(RIGHT(H144,2)="SH",(1-L145)+$W$3,""))),0)</f>
        <v>0.16999999999999998</v>
      </c>
      <c r="W145" s="298"/>
      <c r="X145" s="698">
        <f t="shared" ca="1" si="145"/>
        <v>0.3</v>
      </c>
      <c r="Y145" s="698">
        <f t="shared" ca="1" si="184"/>
        <v>7</v>
      </c>
      <c r="Z145" s="698">
        <f t="shared" ca="1" si="185"/>
        <v>2</v>
      </c>
      <c r="AA145" s="698">
        <f t="shared" ca="1" si="186"/>
        <v>1</v>
      </c>
      <c r="AB145" s="698">
        <f t="shared" ca="1" si="187"/>
        <v>0.1</v>
      </c>
      <c r="AC145" s="55"/>
      <c r="AD145" s="81">
        <v>2030</v>
      </c>
      <c r="AE145" s="81"/>
      <c r="AF145" s="700"/>
    </row>
    <row r="146" spans="1:32">
      <c r="A146" s="226"/>
      <c r="B146" s="718" t="s">
        <v>1010</v>
      </c>
      <c r="C146" s="226"/>
      <c r="E146" s="261"/>
      <c r="F146" s="224" t="s">
        <v>1149</v>
      </c>
      <c r="G146" s="55"/>
      <c r="H146" s="174"/>
      <c r="I146" s="174" t="str">
        <f t="shared" si="143"/>
        <v>INDIWH</v>
      </c>
      <c r="J146" s="224">
        <f t="shared" si="146"/>
        <v>2050</v>
      </c>
      <c r="K146" s="81"/>
      <c r="L146" s="199">
        <f t="shared" ca="1" si="179"/>
        <v>1.03</v>
      </c>
      <c r="M146" s="199"/>
      <c r="N146" s="81"/>
      <c r="O146" s="723">
        <f t="shared" ca="1" si="180"/>
        <v>0.37250000000000005</v>
      </c>
      <c r="P146" s="723">
        <f t="shared" ca="1" si="181"/>
        <v>1.2664999999999999E-2</v>
      </c>
      <c r="Q146" s="81">
        <f t="shared" ca="1" si="182"/>
        <v>2.0694444444444446</v>
      </c>
      <c r="R146" s="300"/>
      <c r="S146" s="300"/>
      <c r="T146" s="300"/>
      <c r="U146" s="300"/>
      <c r="V146" s="199">
        <f t="shared" ref="V146" ca="1" si="189">IF(IF(RIGHT(H144,2)="PH",(1-L146)+$W$2,IF(RIGHT(H144,2)="HT",(1-L146)+$W$1,IF(RIGHT(H144,2)="SH",(1-L146)+$W$3,"")))&gt;0,IF(RIGHT(H144,2)="PH",(1-L146)+$W$2,IF(RIGHT(H144,2)="HT",(1-L146)+$W$1,IF(RIGHT(H144,2)="SH",(1-L146)+$W$3,""))),0)</f>
        <v>0.16999999999999998</v>
      </c>
      <c r="W146" s="298"/>
      <c r="X146" s="698">
        <f t="shared" ca="1" si="145"/>
        <v>0.3</v>
      </c>
      <c r="Y146" s="698">
        <f t="shared" ca="1" si="184"/>
        <v>6</v>
      </c>
      <c r="Z146" s="698">
        <f t="shared" ca="1" si="185"/>
        <v>2</v>
      </c>
      <c r="AA146" s="698">
        <f t="shared" ca="1" si="186"/>
        <v>1</v>
      </c>
      <c r="AB146" s="698">
        <f t="shared" ca="1" si="187"/>
        <v>0.1</v>
      </c>
      <c r="AC146" s="203"/>
      <c r="AD146" s="81">
        <v>2050</v>
      </c>
      <c r="AE146" s="81"/>
      <c r="AF146" s="705"/>
    </row>
    <row r="147" spans="1:32">
      <c r="A147" s="226"/>
      <c r="B147" s="718" t="s">
        <v>1010</v>
      </c>
      <c r="C147" s="226"/>
      <c r="D147" s="212" t="str">
        <f>"IND"&amp;RIGHT(H147,4)&amp;"GAS"&amp;"N"&amp;RIGHT(E147,1)</f>
        <v>INDIDSHGASN2</v>
      </c>
      <c r="E147" s="261" t="str">
        <f>"Industrial heating technology "&amp;$AJ$12&amp;" "&amp;RIGHT(H147,2)&amp;" - Gas boiler (Steam - condensing) - new 2"</f>
        <v>Industrial heating technology Mining SH - Gas boiler (Steam - condensing) - new 2</v>
      </c>
      <c r="F147" s="224" t="s">
        <v>1149</v>
      </c>
      <c r="G147" s="173" t="s">
        <v>2080</v>
      </c>
      <c r="H147" s="174" t="str">
        <f>$AI$15</f>
        <v>IIDSH</v>
      </c>
      <c r="I147" s="174" t="str">
        <f t="shared" si="143"/>
        <v>INDIWH</v>
      </c>
      <c r="J147" s="224">
        <f t="shared" si="146"/>
        <v>2011</v>
      </c>
      <c r="K147" s="299">
        <f>J147</f>
        <v>2011</v>
      </c>
      <c r="L147" s="199">
        <f t="shared" ca="1" si="179"/>
        <v>1.01</v>
      </c>
      <c r="M147" s="199"/>
      <c r="N147" s="81">
        <f ca="1">VLOOKUP($AD147,INDIRECT("'"&amp;$B147&amp;"'!"&amp;"$P$118:$AD$121"),5,FALSE)</f>
        <v>25</v>
      </c>
      <c r="O147" s="723">
        <f t="shared" ca="1" si="180"/>
        <v>0.44700000000000001</v>
      </c>
      <c r="P147" s="723">
        <f t="shared" ca="1" si="181"/>
        <v>1.49E-2</v>
      </c>
      <c r="Q147" s="81">
        <f t="shared" ca="1" si="182"/>
        <v>2.276388888888889</v>
      </c>
      <c r="R147" s="81">
        <v>3.1536000000000002E-2</v>
      </c>
      <c r="S147" s="199">
        <v>0.5</v>
      </c>
      <c r="T147" s="199">
        <f ca="1">HLOOKUP($T$2,INDIRECT("'"&amp;$B147&amp;"'!"&amp;"$P$85:$AC$98"),IF(H147=$AI$13,6,IF(H147=$AI$14,9,14)),FALSE)</f>
        <v>0</v>
      </c>
      <c r="U147" s="772"/>
      <c r="V147" s="199">
        <f t="shared" ref="V147" ca="1" si="190">IF(IF(RIGHT(H147,2)="PH",(1-L147)+$W$2,IF(RIGHT(H147,2)="HT",(1-L147)+$W$1,IF(RIGHT(H147,2)="SH",(1-L147)+$W$3,"")))&gt;0,IF(RIGHT(H147,2)="PH",(1-L147)+$W$2,IF(RIGHT(H147,2)="HT",(1-L147)+$W$1,IF(RIGHT(H147,2)="SH",(1-L147)+$W$3,""))),0)</f>
        <v>0</v>
      </c>
      <c r="W147" s="298"/>
      <c r="X147" s="698">
        <f t="shared" ca="1" si="145"/>
        <v>0.3</v>
      </c>
      <c r="Y147" s="698">
        <f t="shared" ca="1" si="184"/>
        <v>9</v>
      </c>
      <c r="Z147" s="698">
        <f t="shared" ca="1" si="185"/>
        <v>3</v>
      </c>
      <c r="AA147" s="698">
        <f t="shared" ca="1" si="186"/>
        <v>1</v>
      </c>
      <c r="AB147" s="698">
        <f t="shared" ca="1" si="187"/>
        <v>0.1</v>
      </c>
      <c r="AC147" s="296"/>
      <c r="AD147" s="81">
        <v>2020</v>
      </c>
      <c r="AE147" s="81"/>
      <c r="AF147" s="710"/>
    </row>
    <row r="148" spans="1:32">
      <c r="A148" s="226"/>
      <c r="B148" s="718" t="s">
        <v>1010</v>
      </c>
      <c r="C148" s="226"/>
      <c r="E148" s="261"/>
      <c r="F148" s="224" t="s">
        <v>1149</v>
      </c>
      <c r="G148" s="55"/>
      <c r="H148" s="174"/>
      <c r="I148" s="174" t="str">
        <f t="shared" si="143"/>
        <v>INDIWH</v>
      </c>
      <c r="J148" s="224">
        <f t="shared" si="146"/>
        <v>2030</v>
      </c>
      <c r="K148" s="81"/>
      <c r="L148" s="199">
        <f t="shared" ca="1" si="179"/>
        <v>1.03</v>
      </c>
      <c r="M148" s="199"/>
      <c r="N148" s="81"/>
      <c r="O148" s="723">
        <f t="shared" ca="1" si="180"/>
        <v>0.37250000000000005</v>
      </c>
      <c r="P148" s="723">
        <f t="shared" ca="1" si="181"/>
        <v>1.4154999999999999E-2</v>
      </c>
      <c r="Q148" s="81">
        <f t="shared" ca="1" si="182"/>
        <v>2.0694444444444446</v>
      </c>
      <c r="R148" s="300"/>
      <c r="S148" s="300"/>
      <c r="T148" s="300"/>
      <c r="U148" s="300"/>
      <c r="V148" s="199">
        <f t="shared" ref="V148" ca="1" si="191">IF(IF(RIGHT(H147,2)="PH",(1-L148)+$W$2,IF(RIGHT(H147,2)="HT",(1-L148)+$W$1,IF(RIGHT(H147,2)="SH",(1-L148)+$W$3,"")))&gt;0,IF(RIGHT(H147,2)="PH",(1-L148)+$W$2,IF(RIGHT(H147,2)="HT",(1-L148)+$W$1,IF(RIGHT(H147,2)="SH",(1-L148)+$W$3,""))),0)</f>
        <v>0</v>
      </c>
      <c r="W148" s="298"/>
      <c r="X148" s="698">
        <f t="shared" ca="1" si="145"/>
        <v>0.3</v>
      </c>
      <c r="Y148" s="698">
        <f t="shared" ca="1" si="184"/>
        <v>7</v>
      </c>
      <c r="Z148" s="698">
        <f t="shared" ca="1" si="185"/>
        <v>2</v>
      </c>
      <c r="AA148" s="698">
        <f t="shared" ca="1" si="186"/>
        <v>1</v>
      </c>
      <c r="AB148" s="698">
        <f t="shared" ca="1" si="187"/>
        <v>0.1</v>
      </c>
      <c r="AC148" s="55"/>
      <c r="AD148" s="81">
        <v>2030</v>
      </c>
      <c r="AE148" s="81"/>
      <c r="AF148" s="700"/>
    </row>
    <row r="149" spans="1:32">
      <c r="A149" s="226"/>
      <c r="B149" s="719" t="s">
        <v>1010</v>
      </c>
      <c r="C149" s="713"/>
      <c r="D149" s="203"/>
      <c r="E149" s="701"/>
      <c r="F149" s="224" t="s">
        <v>1149</v>
      </c>
      <c r="G149" s="203"/>
      <c r="H149" s="702"/>
      <c r="I149" s="702" t="str">
        <f t="shared" si="143"/>
        <v>INDIWH</v>
      </c>
      <c r="J149" s="224">
        <f t="shared" si="146"/>
        <v>2050</v>
      </c>
      <c r="K149" s="81"/>
      <c r="L149" s="199">
        <f t="shared" ca="1" si="179"/>
        <v>1.03</v>
      </c>
      <c r="M149" s="199"/>
      <c r="N149" s="81"/>
      <c r="O149" s="723">
        <f t="shared" ca="1" si="180"/>
        <v>0.37250000000000005</v>
      </c>
      <c r="P149" s="723">
        <f t="shared" ca="1" si="181"/>
        <v>1.2664999999999999E-2</v>
      </c>
      <c r="Q149" s="81">
        <f t="shared" ca="1" si="182"/>
        <v>2.0694444444444446</v>
      </c>
      <c r="R149" s="703"/>
      <c r="S149" s="703"/>
      <c r="T149" s="703"/>
      <c r="U149" s="703"/>
      <c r="V149" s="199">
        <f t="shared" ref="V149" ca="1" si="192">IF(IF(RIGHT(H147,2)="PH",(1-L149)+$W$2,IF(RIGHT(H147,2)="HT",(1-L149)+$W$1,IF(RIGHT(H147,2)="SH",(1-L149)+$W$3,"")))&gt;0,IF(RIGHT(H147,2)="PH",(1-L149)+$W$2,IF(RIGHT(H147,2)="HT",(1-L149)+$W$1,IF(RIGHT(H147,2)="SH",(1-L149)+$W$3,""))),0)</f>
        <v>0</v>
      </c>
      <c r="W149" s="704"/>
      <c r="X149" s="698">
        <f t="shared" ca="1" si="145"/>
        <v>0.3</v>
      </c>
      <c r="Y149" s="698">
        <f t="shared" ca="1" si="184"/>
        <v>6</v>
      </c>
      <c r="Z149" s="698">
        <f t="shared" ca="1" si="185"/>
        <v>2</v>
      </c>
      <c r="AA149" s="698">
        <f t="shared" ca="1" si="186"/>
        <v>1</v>
      </c>
      <c r="AB149" s="698">
        <f t="shared" ca="1" si="187"/>
        <v>0.1</v>
      </c>
      <c r="AC149" s="55"/>
      <c r="AD149" s="81">
        <v>2050</v>
      </c>
      <c r="AE149" s="81"/>
      <c r="AF149" s="700"/>
    </row>
    <row r="150" spans="1:32">
      <c r="A150" s="226"/>
      <c r="B150" s="718" t="s">
        <v>1010</v>
      </c>
      <c r="C150" s="226"/>
      <c r="D150" s="212" t="str">
        <f>"IND"&amp;RIGHT(H150,4)&amp;"GAS"&amp;"N"&amp;RIGHT(E150,1)</f>
        <v>INDIDPHGASN3</v>
      </c>
      <c r="E150" s="707" t="str">
        <f>"Industrial heating technology "&amp;$AJ$12&amp;" "&amp;RIGHT(H150,2)&amp;" - Gas boiler (Hot Water) - new 3"</f>
        <v>Industrial heating technology Mining PH - Gas boiler (Hot Water) - new 3</v>
      </c>
      <c r="F150" s="224" t="s">
        <v>1149</v>
      </c>
      <c r="G150" s="173" t="s">
        <v>2080</v>
      </c>
      <c r="H150" s="708" t="str">
        <f>$AI$14</f>
        <v>IIDPH</v>
      </c>
      <c r="I150" s="708" t="str">
        <f t="shared" si="143"/>
        <v>INDIWH</v>
      </c>
      <c r="J150" s="224">
        <f t="shared" si="146"/>
        <v>2011</v>
      </c>
      <c r="K150" s="299">
        <f>J150</f>
        <v>2011</v>
      </c>
      <c r="L150" s="199">
        <f t="shared" ref="L150:L155" ca="1" si="193">VLOOKUP($AD150,INDIRECT("'"&amp;$B150&amp;"'!"&amp;"$P$200:$AD$203"),3,FALSE)</f>
        <v>0.93</v>
      </c>
      <c r="M150" s="199"/>
      <c r="N150" s="81">
        <f ca="1">VLOOKUP($AD150,INDIRECT("'"&amp;$B150&amp;"'!"&amp;"$P$200:$AD$203"),5,FALSE)</f>
        <v>25</v>
      </c>
      <c r="O150" s="723">
        <f t="shared" ref="O150:O155" ca="1" si="194">VLOOKUP($AD150,INDIRECT("'"&amp;$B150&amp;"'!"&amp;"$P$200:$AD$203"),6,FALSE)/1000</f>
        <v>0.3250909090909091</v>
      </c>
      <c r="P150" s="723">
        <f t="shared" ref="P150:P155" ca="1" si="195">VLOOKUP($AD150,INDIRECT("'"&amp;$B150&amp;"'!"&amp;"$P$200:$AD$203"),7,FALSE)/1000</f>
        <v>1.49E-2</v>
      </c>
      <c r="Q150" s="81">
        <f t="shared" ref="Q150:Q155" ca="1" si="196">VLOOKUP($AD150,INDIRECT("'"&amp;$B150&amp;"'!"&amp;"$P$200:$AD$203"),8,FALSE)</f>
        <v>2.276388888888889</v>
      </c>
      <c r="R150" s="81">
        <v>3.1536000000000002E-2</v>
      </c>
      <c r="S150" s="199">
        <v>0.5</v>
      </c>
      <c r="T150" s="199">
        <f ca="1">HLOOKUP($T$2,INDIRECT("'"&amp;$B150&amp;"'!"&amp;"$P$167:$AC$180"),IF(H150=$AI$13,6,IF(H150=$AI$14,9,14)),FALSE)</f>
        <v>0</v>
      </c>
      <c r="U150" s="773"/>
      <c r="V150" s="199">
        <f t="shared" ref="V150" ca="1" si="197">IF(IF(RIGHT(H150,2)="PH",(1-L150)+$W$2,IF(RIGHT(H150,2)="HT",(1-L150)+$W$1,IF(RIGHT(H150,2)="SH",(1-L150)+$W$3,"")))&gt;0,IF(RIGHT(H150,2)="PH",(1-L150)+$W$2,IF(RIGHT(H150,2)="HT",(1-L150)+$W$1,IF(RIGHT(H150,2)="SH",(1-L150)+$W$3,""))),0)</f>
        <v>0.26999999999999996</v>
      </c>
      <c r="W150" s="709"/>
      <c r="X150" s="698">
        <f t="shared" ca="1" si="145"/>
        <v>0.3</v>
      </c>
      <c r="Y150" s="698">
        <f t="shared" ref="Y150:Y155" ca="1" si="198">VLOOKUP($AD150,INDIRECT("'"&amp;$B150&amp;"'!"&amp;"$P$200:$AD$203"),12,FALSE)</f>
        <v>9</v>
      </c>
      <c r="Z150" s="698">
        <f t="shared" ref="Z150:Z155" ca="1" si="199">VLOOKUP($AD150,INDIRECT("'"&amp;$B150&amp;"'!"&amp;"$P$200:$AD$203"),13,FALSE)</f>
        <v>3</v>
      </c>
      <c r="AA150" s="698">
        <f t="shared" ref="AA150:AA155" ca="1" si="200">VLOOKUP($AD150,INDIRECT("'"&amp;$B150&amp;"'!"&amp;"$P$200:$AD$203"),14,FALSE)</f>
        <v>1</v>
      </c>
      <c r="AB150" s="698">
        <f t="shared" ref="AB150:AB155" ca="1" si="201">VLOOKUP($AD150,INDIRECT("'"&amp;$B150&amp;"'!"&amp;"$P$200:$AD$203"),15,FALSE)</f>
        <v>0.1</v>
      </c>
      <c r="AC150" s="55"/>
      <c r="AD150" s="81">
        <v>2020</v>
      </c>
      <c r="AE150" s="81"/>
      <c r="AF150" s="700"/>
    </row>
    <row r="151" spans="1:32">
      <c r="A151" s="226"/>
      <c r="B151" s="718" t="s">
        <v>1010</v>
      </c>
      <c r="C151" s="226"/>
      <c r="E151" s="261"/>
      <c r="F151" s="224" t="s">
        <v>1149</v>
      </c>
      <c r="G151" s="55"/>
      <c r="H151" s="174"/>
      <c r="I151" s="174" t="str">
        <f t="shared" si="143"/>
        <v>INDIWH</v>
      </c>
      <c r="J151" s="224">
        <f t="shared" si="146"/>
        <v>2030</v>
      </c>
      <c r="K151" s="81"/>
      <c r="L151" s="199">
        <f t="shared" ca="1" si="193"/>
        <v>0.94</v>
      </c>
      <c r="M151" s="199"/>
      <c r="N151" s="81"/>
      <c r="O151" s="723">
        <f t="shared" ca="1" si="194"/>
        <v>0.27090909090909093</v>
      </c>
      <c r="P151" s="723">
        <f t="shared" ca="1" si="195"/>
        <v>1.4154999999999999E-2</v>
      </c>
      <c r="Q151" s="81">
        <f t="shared" ca="1" si="196"/>
        <v>2.0694444444444446</v>
      </c>
      <c r="R151" s="300"/>
      <c r="S151" s="300"/>
      <c r="T151" s="300"/>
      <c r="U151" s="300"/>
      <c r="V151" s="199">
        <f t="shared" ref="V151" ca="1" si="202">IF(IF(RIGHT(H150,2)="PH",(1-L151)+$W$2,IF(RIGHT(H150,2)="HT",(1-L151)+$W$1,IF(RIGHT(H150,2)="SH",(1-L151)+$W$3,"")))&gt;0,IF(RIGHT(H150,2)="PH",(1-L151)+$W$2,IF(RIGHT(H150,2)="HT",(1-L151)+$W$1,IF(RIGHT(H150,2)="SH",(1-L151)+$W$3,""))),0)</f>
        <v>0.26000000000000006</v>
      </c>
      <c r="W151" s="298"/>
      <c r="X151" s="698">
        <f t="shared" ca="1" si="145"/>
        <v>0.3</v>
      </c>
      <c r="Y151" s="698">
        <f t="shared" ca="1" si="198"/>
        <v>7</v>
      </c>
      <c r="Z151" s="698">
        <f t="shared" ca="1" si="199"/>
        <v>2</v>
      </c>
      <c r="AA151" s="698">
        <f t="shared" ca="1" si="200"/>
        <v>1</v>
      </c>
      <c r="AB151" s="698">
        <f t="shared" ca="1" si="201"/>
        <v>0.1</v>
      </c>
      <c r="AC151" s="55"/>
      <c r="AD151" s="81">
        <v>2030</v>
      </c>
      <c r="AE151" s="81"/>
      <c r="AF151" s="700"/>
    </row>
    <row r="152" spans="1:32">
      <c r="B152" s="718" t="s">
        <v>1010</v>
      </c>
      <c r="C152" s="226"/>
      <c r="E152" s="261"/>
      <c r="F152" s="224" t="s">
        <v>1149</v>
      </c>
      <c r="G152" s="55"/>
      <c r="H152" s="174"/>
      <c r="I152" s="174" t="str">
        <f t="shared" si="143"/>
        <v>INDIWH</v>
      </c>
      <c r="J152" s="224">
        <f t="shared" si="146"/>
        <v>2050</v>
      </c>
      <c r="K152" s="81"/>
      <c r="L152" s="199">
        <f t="shared" ca="1" si="193"/>
        <v>0.95</v>
      </c>
      <c r="M152" s="199"/>
      <c r="N152" s="81"/>
      <c r="O152" s="723">
        <f t="shared" ca="1" si="194"/>
        <v>0.27090909090909093</v>
      </c>
      <c r="P152" s="723">
        <f t="shared" ca="1" si="195"/>
        <v>1.2664999999999999E-2</v>
      </c>
      <c r="Q152" s="81">
        <f t="shared" ca="1" si="196"/>
        <v>2.0694444444444446</v>
      </c>
      <c r="R152" s="300"/>
      <c r="S152" s="300"/>
      <c r="T152" s="300"/>
      <c r="U152" s="300"/>
      <c r="V152" s="199">
        <f t="shared" ref="V152" ca="1" si="203">IF(IF(RIGHT(H150,2)="PH",(1-L152)+$W$2,IF(RIGHT(H150,2)="HT",(1-L152)+$W$1,IF(RIGHT(H150,2)="SH",(1-L152)+$W$3,"")))&gt;0,IF(RIGHT(H150,2)="PH",(1-L152)+$W$2,IF(RIGHT(H150,2)="HT",(1-L152)+$W$1,IF(RIGHT(H150,2)="SH",(1-L152)+$W$3,""))),0)</f>
        <v>0.25000000000000006</v>
      </c>
      <c r="W152" s="720"/>
      <c r="X152" s="698">
        <f t="shared" ca="1" si="145"/>
        <v>0.3</v>
      </c>
      <c r="Y152" s="698">
        <f t="shared" ca="1" si="198"/>
        <v>6</v>
      </c>
      <c r="Z152" s="698">
        <f t="shared" ca="1" si="199"/>
        <v>2</v>
      </c>
      <c r="AA152" s="698">
        <f t="shared" ca="1" si="200"/>
        <v>1</v>
      </c>
      <c r="AB152" s="698">
        <f t="shared" ca="1" si="201"/>
        <v>0.1</v>
      </c>
      <c r="AC152" s="203"/>
      <c r="AD152" s="81">
        <v>2050</v>
      </c>
      <c r="AE152" s="81"/>
      <c r="AF152" s="705"/>
    </row>
    <row r="153" spans="1:32">
      <c r="B153" s="718" t="s">
        <v>1010</v>
      </c>
      <c r="C153" s="64"/>
      <c r="D153" s="212" t="str">
        <f>"IND"&amp;RIGHT(H153,4)&amp;"GAS"&amp;"N"&amp;RIGHT(E153,1)</f>
        <v>INDIDSHGASN3</v>
      </c>
      <c r="E153" s="261" t="str">
        <f>"Industrial heating technology "&amp;$AJ$12&amp;" "&amp;RIGHT(H153,2)&amp;" - Gas boiler (Hot Water) - new 3"</f>
        <v>Industrial heating technology Mining SH - Gas boiler (Hot Water) - new 3</v>
      </c>
      <c r="F153" s="224" t="s">
        <v>1149</v>
      </c>
      <c r="G153" s="173" t="s">
        <v>2080</v>
      </c>
      <c r="H153" s="174" t="str">
        <f>$AI$15</f>
        <v>IIDSH</v>
      </c>
      <c r="I153" s="174" t="str">
        <f t="shared" si="143"/>
        <v>INDIWH</v>
      </c>
      <c r="J153" s="224">
        <f t="shared" si="146"/>
        <v>2011</v>
      </c>
      <c r="K153" s="299">
        <f>J153</f>
        <v>2011</v>
      </c>
      <c r="L153" s="199">
        <f t="shared" ca="1" si="193"/>
        <v>0.93</v>
      </c>
      <c r="M153" s="199"/>
      <c r="N153" s="81">
        <f ca="1">VLOOKUP($AD153,INDIRECT("'"&amp;$B153&amp;"'!"&amp;"$P$200:$AD$203"),5,FALSE)</f>
        <v>25</v>
      </c>
      <c r="O153" s="723">
        <f t="shared" ca="1" si="194"/>
        <v>0.3250909090909091</v>
      </c>
      <c r="P153" s="723">
        <f t="shared" ca="1" si="195"/>
        <v>1.49E-2</v>
      </c>
      <c r="Q153" s="81">
        <f t="shared" ca="1" si="196"/>
        <v>2.276388888888889</v>
      </c>
      <c r="R153" s="81">
        <v>3.1536000000000002E-2</v>
      </c>
      <c r="S153" s="199">
        <v>0.5</v>
      </c>
      <c r="T153" s="199">
        <f ca="1">HLOOKUP($T$2,INDIRECT("'"&amp;$B153&amp;"'!"&amp;"$P$167:$AC$180"),IF(H153=$AI$13,6,IF(H153=$AI$14,9,14)),FALSE)</f>
        <v>1</v>
      </c>
      <c r="U153" s="772"/>
      <c r="V153" s="199">
        <f t="shared" ref="V153" ca="1" si="204">IF(IF(RIGHT(H153,2)="PH",(1-L153)+$W$2,IF(RIGHT(H153,2)="HT",(1-L153)+$W$1,IF(RIGHT(H153,2)="SH",(1-L153)+$W$3,"")))&gt;0,IF(RIGHT(H153,2)="PH",(1-L153)+$W$2,IF(RIGHT(H153,2)="HT",(1-L153)+$W$1,IF(RIGHT(H153,2)="SH",(1-L153)+$W$3,""))),0)</f>
        <v>6.9999999999999951E-2</v>
      </c>
      <c r="W153" s="298"/>
      <c r="X153" s="698">
        <f t="shared" ca="1" si="145"/>
        <v>0.3</v>
      </c>
      <c r="Y153" s="698">
        <f t="shared" ca="1" si="198"/>
        <v>9</v>
      </c>
      <c r="Z153" s="698">
        <f t="shared" ca="1" si="199"/>
        <v>3</v>
      </c>
      <c r="AA153" s="698">
        <f t="shared" ca="1" si="200"/>
        <v>1</v>
      </c>
      <c r="AB153" s="698">
        <f t="shared" ca="1" si="201"/>
        <v>0.1</v>
      </c>
      <c r="AC153" s="296"/>
      <c r="AD153" s="81">
        <v>2020</v>
      </c>
      <c r="AE153" s="81"/>
      <c r="AF153" s="710"/>
    </row>
    <row r="154" spans="1:32">
      <c r="B154" s="718" t="s">
        <v>1010</v>
      </c>
      <c r="C154" s="64"/>
      <c r="E154" s="261"/>
      <c r="F154" s="224" t="s">
        <v>1149</v>
      </c>
      <c r="G154" s="55"/>
      <c r="H154" s="174"/>
      <c r="I154" s="174" t="str">
        <f t="shared" si="143"/>
        <v>INDIWH</v>
      </c>
      <c r="J154" s="224">
        <f t="shared" si="146"/>
        <v>2030</v>
      </c>
      <c r="K154" s="81"/>
      <c r="L154" s="199">
        <f t="shared" ca="1" si="193"/>
        <v>0.94</v>
      </c>
      <c r="M154" s="199"/>
      <c r="N154" s="81"/>
      <c r="O154" s="723">
        <f t="shared" ca="1" si="194"/>
        <v>0.27090909090909093</v>
      </c>
      <c r="P154" s="723">
        <f t="shared" ca="1" si="195"/>
        <v>1.4154999999999999E-2</v>
      </c>
      <c r="Q154" s="81">
        <f t="shared" ca="1" si="196"/>
        <v>2.0694444444444446</v>
      </c>
      <c r="R154" s="300"/>
      <c r="S154" s="300"/>
      <c r="T154" s="300"/>
      <c r="U154" s="300"/>
      <c r="V154" s="199">
        <f t="shared" ref="V154" ca="1" si="205">IF(IF(RIGHT(H153,2)="PH",(1-L154)+$W$2,IF(RIGHT(H153,2)="HT",(1-L154)+$W$1,IF(RIGHT(H153,2)="SH",(1-L154)+$W$3,"")))&gt;0,IF(RIGHT(H153,2)="PH",(1-L154)+$W$2,IF(RIGHT(H153,2)="HT",(1-L154)+$W$1,IF(RIGHT(H153,2)="SH",(1-L154)+$W$3,""))),0)</f>
        <v>6.0000000000000053E-2</v>
      </c>
      <c r="W154" s="298"/>
      <c r="X154" s="698">
        <f t="shared" ca="1" si="145"/>
        <v>0.3</v>
      </c>
      <c r="Y154" s="698">
        <f t="shared" ca="1" si="198"/>
        <v>7</v>
      </c>
      <c r="Z154" s="698">
        <f t="shared" ca="1" si="199"/>
        <v>2</v>
      </c>
      <c r="AA154" s="698">
        <f t="shared" ca="1" si="200"/>
        <v>1</v>
      </c>
      <c r="AB154" s="698">
        <f t="shared" ca="1" si="201"/>
        <v>0.1</v>
      </c>
      <c r="AC154" s="55"/>
      <c r="AD154" s="81">
        <v>2030</v>
      </c>
      <c r="AE154" s="81"/>
      <c r="AF154" s="700"/>
    </row>
    <row r="155" spans="1:32">
      <c r="A155" s="226"/>
      <c r="B155" s="719" t="s">
        <v>1010</v>
      </c>
      <c r="C155" s="713"/>
      <c r="D155" s="203"/>
      <c r="E155" s="701"/>
      <c r="F155" s="224" t="s">
        <v>1149</v>
      </c>
      <c r="G155" s="203"/>
      <c r="H155" s="702"/>
      <c r="I155" s="702" t="str">
        <f t="shared" si="143"/>
        <v>INDIWH</v>
      </c>
      <c r="J155" s="224">
        <f t="shared" si="146"/>
        <v>2050</v>
      </c>
      <c r="K155" s="81"/>
      <c r="L155" s="199">
        <f t="shared" ca="1" si="193"/>
        <v>0.95</v>
      </c>
      <c r="M155" s="199"/>
      <c r="N155" s="81"/>
      <c r="O155" s="723">
        <f t="shared" ca="1" si="194"/>
        <v>0.27090909090909093</v>
      </c>
      <c r="P155" s="723">
        <f t="shared" ca="1" si="195"/>
        <v>1.2664999999999999E-2</v>
      </c>
      <c r="Q155" s="81">
        <f t="shared" ca="1" si="196"/>
        <v>2.0694444444444446</v>
      </c>
      <c r="R155" s="300"/>
      <c r="S155" s="300"/>
      <c r="T155" s="300"/>
      <c r="U155" s="300"/>
      <c r="V155" s="199">
        <f t="shared" ref="V155" ca="1" si="206">IF(IF(RIGHT(H153,2)="PH",(1-L155)+$W$2,IF(RIGHT(H153,2)="HT",(1-L155)+$W$1,IF(RIGHT(H153,2)="SH",(1-L155)+$W$3,"")))&gt;0,IF(RIGHT(H153,2)="PH",(1-L155)+$W$2,IF(RIGHT(H153,2)="HT",(1-L155)+$W$1,IF(RIGHT(H153,2)="SH",(1-L155)+$W$3,""))),0)</f>
        <v>5.0000000000000044E-2</v>
      </c>
      <c r="W155" s="298"/>
      <c r="X155" s="698">
        <f t="shared" ca="1" si="145"/>
        <v>0.3</v>
      </c>
      <c r="Y155" s="698">
        <f t="shared" ca="1" si="198"/>
        <v>6</v>
      </c>
      <c r="Z155" s="698">
        <f t="shared" ca="1" si="199"/>
        <v>2</v>
      </c>
      <c r="AA155" s="698">
        <f t="shared" ca="1" si="200"/>
        <v>1</v>
      </c>
      <c r="AB155" s="698">
        <f t="shared" ca="1" si="201"/>
        <v>0.1</v>
      </c>
      <c r="AC155" s="55"/>
      <c r="AD155" s="81">
        <v>2050</v>
      </c>
      <c r="AE155" s="81"/>
      <c r="AF155" s="700"/>
    </row>
    <row r="156" spans="1:32">
      <c r="B156" s="718" t="s">
        <v>1010</v>
      </c>
      <c r="C156" s="64"/>
      <c r="D156" s="212" t="str">
        <f>"IND"&amp;RIGHT(H156,4)&amp;"GAS"&amp;"N"&amp;RIGHT(E156,1)</f>
        <v>INDIDPHGASN4</v>
      </c>
      <c r="E156" s="707" t="str">
        <f>"Industrial heating technology "&amp;$AJ$12&amp;" "&amp;RIGHT(H156,2)&amp;" - Gas boiler (Hot Water - condensing) - new 4"</f>
        <v>Industrial heating technology Mining PH - Gas boiler (Hot Water - condensing) - new 4</v>
      </c>
      <c r="F156" s="224" t="s">
        <v>1149</v>
      </c>
      <c r="G156" s="173" t="s">
        <v>2080</v>
      </c>
      <c r="H156" s="708" t="str">
        <f>$AI$14</f>
        <v>IIDPH</v>
      </c>
      <c r="I156" s="708" t="str">
        <f t="shared" si="143"/>
        <v>INDIWH</v>
      </c>
      <c r="J156" s="224">
        <f t="shared" si="146"/>
        <v>2011</v>
      </c>
      <c r="K156" s="299">
        <f>J156</f>
        <v>2011</v>
      </c>
      <c r="L156" s="199">
        <f t="shared" ref="L156:L161" ca="1" si="207">VLOOKUP($AD156,INDIRECT("'"&amp;$B156&amp;"'!"&amp;"$P$279:$AD$282"),3,FALSE)</f>
        <v>1.01</v>
      </c>
      <c r="M156" s="199"/>
      <c r="N156" s="81">
        <f ca="1">VLOOKUP($AD156,INDIRECT("'"&amp;$B156&amp;"'!"&amp;"$P$279:$AD$282"),5,FALSE)</f>
        <v>25</v>
      </c>
      <c r="O156" s="723">
        <f t="shared" ref="O156:O161" ca="1" si="208">VLOOKUP($AD156,INDIRECT("'"&amp;$B156&amp;"'!"&amp;"$P$279:$AD$282"),6,FALSE)/1000</f>
        <v>0.35760000000000003</v>
      </c>
      <c r="P156" s="723">
        <f t="shared" ref="P156:P161" ca="1" si="209">VLOOKUP($AD156,INDIRECT("'"&amp;$B156&amp;"'!"&amp;"$P$279:$AD$282"),7,FALSE)/1000</f>
        <v>1.49E-2</v>
      </c>
      <c r="Q156" s="81">
        <f t="shared" ref="Q156:Q161" ca="1" si="210">VLOOKUP($AD156,INDIRECT("'"&amp;$B156&amp;"'!"&amp;"$P$279:$AD$282"),8,FALSE)</f>
        <v>2.276388888888889</v>
      </c>
      <c r="R156" s="81">
        <v>3.1536000000000002E-2</v>
      </c>
      <c r="S156" s="199">
        <v>0.5</v>
      </c>
      <c r="T156" s="199">
        <f ca="1">HLOOKUP($T$2,INDIRECT("'"&amp;$B156&amp;"'!"&amp;"$P$246:$AC$259"),IF(H156=$AI$13,6,IF(H156=$AI$14,9,14)),FALSE)</f>
        <v>0</v>
      </c>
      <c r="U156" s="773"/>
      <c r="V156" s="199">
        <f t="shared" ref="V156" ca="1" si="211">IF(IF(RIGHT(H156,2)="PH",(1-L156)+$W$2,IF(RIGHT(H156,2)="HT",(1-L156)+$W$1,IF(RIGHT(H156,2)="SH",(1-L156)+$W$3,"")))&gt;0,IF(RIGHT(H156,2)="PH",(1-L156)+$W$2,IF(RIGHT(H156,2)="HT",(1-L156)+$W$1,IF(RIGHT(H156,2)="SH",(1-L156)+$W$3,""))),0)</f>
        <v>0.19</v>
      </c>
      <c r="W156" s="709"/>
      <c r="X156" s="698">
        <f t="shared" ca="1" si="145"/>
        <v>0.3</v>
      </c>
      <c r="Y156" s="698">
        <f t="shared" ref="Y156:Y161" ca="1" si="212">VLOOKUP($AD156,INDIRECT("'"&amp;$B156&amp;"'!"&amp;"$P$279:$AD$282"),12,FALSE)</f>
        <v>9</v>
      </c>
      <c r="Z156" s="698">
        <f t="shared" ref="Z156:Z161" ca="1" si="213">VLOOKUP($AD156,INDIRECT("'"&amp;$B156&amp;"'!"&amp;"$P$279:$AD$282"),13,FALSE)</f>
        <v>3</v>
      </c>
      <c r="AA156" s="698">
        <f t="shared" ref="AA156:AA161" ca="1" si="214">VLOOKUP($AD156,INDIRECT("'"&amp;$B156&amp;"'!"&amp;"$P$279:$AD$282"),14,FALSE)</f>
        <v>1</v>
      </c>
      <c r="AB156" s="698">
        <f t="shared" ref="AB156:AB161" ca="1" si="215">VLOOKUP($AD156,INDIRECT("'"&amp;$B156&amp;"'!"&amp;"$P$279:$AD$282"),15,FALSE)</f>
        <v>0.1</v>
      </c>
      <c r="AC156" s="55"/>
      <c r="AD156" s="81">
        <v>2020</v>
      </c>
      <c r="AE156" s="81"/>
      <c r="AF156" s="700"/>
    </row>
    <row r="157" spans="1:32">
      <c r="B157" s="718" t="s">
        <v>1010</v>
      </c>
      <c r="C157" s="64"/>
      <c r="E157" s="261"/>
      <c r="F157" s="224" t="s">
        <v>1149</v>
      </c>
      <c r="G157" s="55"/>
      <c r="H157" s="174"/>
      <c r="I157" s="174" t="str">
        <f t="shared" si="143"/>
        <v>INDIWH</v>
      </c>
      <c r="J157" s="224">
        <f t="shared" si="146"/>
        <v>2030</v>
      </c>
      <c r="K157" s="81"/>
      <c r="L157" s="199">
        <f t="shared" ca="1" si="207"/>
        <v>1.03</v>
      </c>
      <c r="M157" s="199"/>
      <c r="N157" s="81"/>
      <c r="O157" s="723">
        <f t="shared" ca="1" si="208"/>
        <v>0.29800000000000004</v>
      </c>
      <c r="P157" s="723">
        <f t="shared" ca="1" si="209"/>
        <v>1.4154999999999999E-2</v>
      </c>
      <c r="Q157" s="81">
        <f t="shared" ca="1" si="210"/>
        <v>2.0694444444444446</v>
      </c>
      <c r="R157" s="300"/>
      <c r="S157" s="300"/>
      <c r="T157" s="300"/>
      <c r="U157" s="300"/>
      <c r="V157" s="199">
        <f t="shared" ref="V157" ca="1" si="216">IF(IF(RIGHT(H156,2)="PH",(1-L157)+$W$2,IF(RIGHT(H156,2)="HT",(1-L157)+$W$1,IF(RIGHT(H156,2)="SH",(1-L157)+$W$3,"")))&gt;0,IF(RIGHT(H156,2)="PH",(1-L157)+$W$2,IF(RIGHT(H156,2)="HT",(1-L157)+$W$1,IF(RIGHT(H156,2)="SH",(1-L157)+$W$3,""))),0)</f>
        <v>0.16999999999999998</v>
      </c>
      <c r="W157" s="298"/>
      <c r="X157" s="698">
        <f t="shared" ca="1" si="145"/>
        <v>0.3</v>
      </c>
      <c r="Y157" s="698">
        <f t="shared" ca="1" si="212"/>
        <v>7</v>
      </c>
      <c r="Z157" s="698">
        <f t="shared" ca="1" si="213"/>
        <v>2</v>
      </c>
      <c r="AA157" s="698">
        <f t="shared" ca="1" si="214"/>
        <v>1</v>
      </c>
      <c r="AB157" s="698">
        <f t="shared" ca="1" si="215"/>
        <v>0.1</v>
      </c>
      <c r="AC157" s="55"/>
      <c r="AD157" s="81">
        <v>2030</v>
      </c>
      <c r="AE157" s="81"/>
      <c r="AF157" s="700"/>
    </row>
    <row r="158" spans="1:32">
      <c r="B158" s="718" t="s">
        <v>1010</v>
      </c>
      <c r="C158" s="64"/>
      <c r="E158" s="261"/>
      <c r="F158" s="224" t="s">
        <v>1149</v>
      </c>
      <c r="G158" s="55"/>
      <c r="H158" s="174"/>
      <c r="I158" s="174" t="str">
        <f t="shared" si="143"/>
        <v>INDIWH</v>
      </c>
      <c r="J158" s="224">
        <f t="shared" si="146"/>
        <v>2050</v>
      </c>
      <c r="K158" s="81"/>
      <c r="L158" s="199">
        <f t="shared" ca="1" si="207"/>
        <v>1.03</v>
      </c>
      <c r="M158" s="199"/>
      <c r="N158" s="81"/>
      <c r="O158" s="723">
        <f t="shared" ca="1" si="208"/>
        <v>0.29800000000000004</v>
      </c>
      <c r="P158" s="723">
        <f t="shared" ca="1" si="209"/>
        <v>1.2664999999999999E-2</v>
      </c>
      <c r="Q158" s="81">
        <f t="shared" ca="1" si="210"/>
        <v>2.0694444444444446</v>
      </c>
      <c r="R158" s="300"/>
      <c r="S158" s="300"/>
      <c r="T158" s="300"/>
      <c r="U158" s="300"/>
      <c r="V158" s="199">
        <f t="shared" ref="V158" ca="1" si="217">IF(IF(RIGHT(H156,2)="PH",(1-L158)+$W$2,IF(RIGHT(H156,2)="HT",(1-L158)+$W$1,IF(RIGHT(H156,2)="SH",(1-L158)+$W$3,"")))&gt;0,IF(RIGHT(H156,2)="PH",(1-L158)+$W$2,IF(RIGHT(H156,2)="HT",(1-L158)+$W$1,IF(RIGHT(H156,2)="SH",(1-L158)+$W$3,""))),0)</f>
        <v>0.16999999999999998</v>
      </c>
      <c r="W158" s="298"/>
      <c r="X158" s="698">
        <f t="shared" ca="1" si="145"/>
        <v>0.3</v>
      </c>
      <c r="Y158" s="698">
        <f t="shared" ca="1" si="212"/>
        <v>6</v>
      </c>
      <c r="Z158" s="698">
        <f t="shared" ca="1" si="213"/>
        <v>2</v>
      </c>
      <c r="AA158" s="698">
        <f t="shared" ca="1" si="214"/>
        <v>1</v>
      </c>
      <c r="AB158" s="698">
        <f t="shared" ca="1" si="215"/>
        <v>0.1</v>
      </c>
      <c r="AC158" s="203"/>
      <c r="AD158" s="81">
        <v>2050</v>
      </c>
      <c r="AE158" s="81"/>
      <c r="AF158" s="705"/>
    </row>
    <row r="159" spans="1:32">
      <c r="A159" s="226"/>
      <c r="B159" s="718" t="s">
        <v>1010</v>
      </c>
      <c r="C159" s="64"/>
      <c r="D159" s="212" t="str">
        <f>"IND"&amp;RIGHT(H159,4)&amp;"GAS"&amp;"N"&amp;RIGHT(E159,1)</f>
        <v>INDIDSHGASN4</v>
      </c>
      <c r="E159" s="261" t="str">
        <f>"Industrial heating technology "&amp;$AJ$12&amp;" "&amp;RIGHT(H159,2)&amp;" - Gas boiler (Hot Water- condensing) - new 4"</f>
        <v>Industrial heating technology Mining SH - Gas boiler (Hot Water- condensing) - new 4</v>
      </c>
      <c r="F159" s="224" t="s">
        <v>1149</v>
      </c>
      <c r="G159" s="173" t="s">
        <v>2080</v>
      </c>
      <c r="H159" s="174" t="str">
        <f>$AI$15</f>
        <v>IIDSH</v>
      </c>
      <c r="I159" s="174" t="str">
        <f t="shared" si="143"/>
        <v>INDIWH</v>
      </c>
      <c r="J159" s="224">
        <f t="shared" si="146"/>
        <v>2011</v>
      </c>
      <c r="K159" s="299">
        <f>J159</f>
        <v>2011</v>
      </c>
      <c r="L159" s="199">
        <f t="shared" ca="1" si="207"/>
        <v>1.01</v>
      </c>
      <c r="M159" s="199"/>
      <c r="N159" s="81">
        <f ca="1">VLOOKUP($AD159,INDIRECT("'"&amp;$B159&amp;"'!"&amp;"$P$279:$AD$282"),5,FALSE)</f>
        <v>25</v>
      </c>
      <c r="O159" s="723">
        <f t="shared" ca="1" si="208"/>
        <v>0.35760000000000003</v>
      </c>
      <c r="P159" s="723">
        <f t="shared" ca="1" si="209"/>
        <v>1.49E-2</v>
      </c>
      <c r="Q159" s="81">
        <f t="shared" ca="1" si="210"/>
        <v>2.276388888888889</v>
      </c>
      <c r="R159" s="81">
        <v>3.1536000000000002E-2</v>
      </c>
      <c r="S159" s="199">
        <v>0.5</v>
      </c>
      <c r="T159" s="199">
        <f ca="1">HLOOKUP($T$2,INDIRECT("'"&amp;$B159&amp;"'!"&amp;"$P$246:$AC$259"),IF(H159=$AI$13,6,IF(H159=$AI$14,9,14)),FALSE)</f>
        <v>0</v>
      </c>
      <c r="U159" s="773"/>
      <c r="V159" s="199">
        <f t="shared" ref="V159" ca="1" si="218">IF(IF(RIGHT(H159,2)="PH",(1-L159)+$W$2,IF(RIGHT(H159,2)="HT",(1-L159)+$W$1,IF(RIGHT(H159,2)="SH",(1-L159)+$W$3,"")))&gt;0,IF(RIGHT(H159,2)="PH",(1-L159)+$W$2,IF(RIGHT(H159,2)="HT",(1-L159)+$W$1,IF(RIGHT(H159,2)="SH",(1-L159)+$W$3,""))),0)</f>
        <v>0</v>
      </c>
      <c r="W159" s="709"/>
      <c r="X159" s="698">
        <f t="shared" ref="X159:X177" ca="1" si="219">IF(VLOOKUP($AD159,INDIRECT("'"&amp;$B159&amp;"'!"&amp;"$P$39:$AD$42"),11,FALSE)="Cf. the utilized electricity",0,VLOOKUP($AD159,INDIRECT("'"&amp;$B159&amp;"'!"&amp;"$P$39:$AD$42"),11,FALSE))</f>
        <v>0.3</v>
      </c>
      <c r="Y159" s="698">
        <f t="shared" ca="1" si="212"/>
        <v>9</v>
      </c>
      <c r="Z159" s="698">
        <f t="shared" ca="1" si="213"/>
        <v>3</v>
      </c>
      <c r="AA159" s="698">
        <f t="shared" ca="1" si="214"/>
        <v>1</v>
      </c>
      <c r="AB159" s="698">
        <f t="shared" ca="1" si="215"/>
        <v>0.1</v>
      </c>
      <c r="AC159" s="296"/>
      <c r="AD159" s="81">
        <v>2020</v>
      </c>
      <c r="AE159" s="81"/>
      <c r="AF159" s="710"/>
    </row>
    <row r="160" spans="1:32">
      <c r="B160" s="718" t="s">
        <v>1010</v>
      </c>
      <c r="C160" s="64"/>
      <c r="E160" s="261"/>
      <c r="F160" s="224" t="s">
        <v>1149</v>
      </c>
      <c r="G160" s="55"/>
      <c r="H160" s="174"/>
      <c r="I160" s="174" t="str">
        <f t="shared" si="143"/>
        <v>INDIWH</v>
      </c>
      <c r="J160" s="224">
        <f t="shared" si="146"/>
        <v>2030</v>
      </c>
      <c r="K160" s="81"/>
      <c r="L160" s="199">
        <f t="shared" ca="1" si="207"/>
        <v>1.03</v>
      </c>
      <c r="M160" s="199"/>
      <c r="N160" s="81"/>
      <c r="O160" s="723">
        <f t="shared" ca="1" si="208"/>
        <v>0.29800000000000004</v>
      </c>
      <c r="P160" s="723">
        <f t="shared" ca="1" si="209"/>
        <v>1.4154999999999999E-2</v>
      </c>
      <c r="Q160" s="81">
        <f t="shared" ca="1" si="210"/>
        <v>2.0694444444444446</v>
      </c>
      <c r="R160" s="300"/>
      <c r="S160" s="300"/>
      <c r="T160" s="300"/>
      <c r="U160" s="300"/>
      <c r="V160" s="199">
        <f t="shared" ref="V160" ca="1" si="220">IF(IF(RIGHT(H159,2)="PH",(1-L160)+$W$2,IF(RIGHT(H159,2)="HT",(1-L160)+$W$1,IF(RIGHT(H159,2)="SH",(1-L160)+$W$3,"")))&gt;0,IF(RIGHT(H159,2)="PH",(1-L160)+$W$2,IF(RIGHT(H159,2)="HT",(1-L160)+$W$1,IF(RIGHT(H159,2)="SH",(1-L160)+$W$3,""))),0)</f>
        <v>0</v>
      </c>
      <c r="W160" s="298"/>
      <c r="X160" s="698">
        <f t="shared" ca="1" si="219"/>
        <v>0.3</v>
      </c>
      <c r="Y160" s="698">
        <f t="shared" ca="1" si="212"/>
        <v>7</v>
      </c>
      <c r="Z160" s="698">
        <f t="shared" ca="1" si="213"/>
        <v>2</v>
      </c>
      <c r="AA160" s="698">
        <f t="shared" ca="1" si="214"/>
        <v>1</v>
      </c>
      <c r="AB160" s="698">
        <f t="shared" ca="1" si="215"/>
        <v>0.1</v>
      </c>
      <c r="AC160" s="55"/>
      <c r="AD160" s="81">
        <v>2030</v>
      </c>
      <c r="AE160" s="81"/>
      <c r="AF160" s="700"/>
    </row>
    <row r="161" spans="1:32">
      <c r="B161" s="719" t="s">
        <v>1010</v>
      </c>
      <c r="C161" s="713"/>
      <c r="D161" s="701"/>
      <c r="E161" s="701"/>
      <c r="F161" s="224" t="s">
        <v>1149</v>
      </c>
      <c r="G161" s="203"/>
      <c r="H161" s="702"/>
      <c r="I161" s="702" t="str">
        <f t="shared" si="143"/>
        <v>INDIWH</v>
      </c>
      <c r="J161" s="224">
        <f t="shared" si="146"/>
        <v>2050</v>
      </c>
      <c r="K161" s="81"/>
      <c r="L161" s="199">
        <f t="shared" ca="1" si="207"/>
        <v>1.03</v>
      </c>
      <c r="M161" s="199"/>
      <c r="N161" s="81"/>
      <c r="O161" s="723">
        <f t="shared" ca="1" si="208"/>
        <v>0.29800000000000004</v>
      </c>
      <c r="P161" s="723">
        <f t="shared" ca="1" si="209"/>
        <v>1.2664999999999999E-2</v>
      </c>
      <c r="Q161" s="81">
        <f t="shared" ca="1" si="210"/>
        <v>2.0694444444444446</v>
      </c>
      <c r="R161" s="300"/>
      <c r="S161" s="300"/>
      <c r="T161" s="300"/>
      <c r="U161" s="300"/>
      <c r="V161" s="199">
        <f t="shared" ref="V161" ca="1" si="221">IF(IF(RIGHT(H159,2)="PH",(1-L161)+$W$2,IF(RIGHT(H159,2)="HT",(1-L161)+$W$1,IF(RIGHT(H159,2)="SH",(1-L161)+$W$3,"")))&gt;0,IF(RIGHT(H159,2)="PH",(1-L161)+$W$2,IF(RIGHT(H159,2)="HT",(1-L161)+$W$1,IF(RIGHT(H159,2)="SH",(1-L161)+$W$3,""))),0)</f>
        <v>0</v>
      </c>
      <c r="W161" s="714"/>
      <c r="X161" s="698">
        <f t="shared" ca="1" si="219"/>
        <v>0.3</v>
      </c>
      <c r="Y161" s="698">
        <f t="shared" ca="1" si="212"/>
        <v>6</v>
      </c>
      <c r="Z161" s="698">
        <f t="shared" ca="1" si="213"/>
        <v>2</v>
      </c>
      <c r="AA161" s="698">
        <f t="shared" ca="1" si="214"/>
        <v>1</v>
      </c>
      <c r="AB161" s="698">
        <f t="shared" ca="1" si="215"/>
        <v>0.1</v>
      </c>
      <c r="AC161" s="55"/>
      <c r="AD161" s="81">
        <v>2050</v>
      </c>
      <c r="AE161" s="81"/>
      <c r="AF161" s="700"/>
    </row>
    <row r="162" spans="1:32">
      <c r="B162" s="718" t="s">
        <v>1010</v>
      </c>
      <c r="C162" s="64"/>
      <c r="D162" s="212" t="str">
        <f>"IND"&amp;RIGHT(H162,4)&amp;"GAS"&amp;"N"&amp;RIGHT(E162,1)</f>
        <v>INDIDPHGASN5</v>
      </c>
      <c r="E162" s="707" t="str">
        <f>"Industrial heating technology "&amp;$AJ$12&amp;" "&amp;RIGHT(H162,2)&amp;" - Gas boiler (Direct firing) - new 5"</f>
        <v>Industrial heating technology Mining PH - Gas boiler (Direct firing) - new 5</v>
      </c>
      <c r="F162" s="224" t="s">
        <v>1149</v>
      </c>
      <c r="G162" s="173" t="s">
        <v>2080</v>
      </c>
      <c r="H162" s="174" t="str">
        <f>$AI$13</f>
        <v>IIDPH</v>
      </c>
      <c r="I162" s="174" t="str">
        <f t="shared" si="143"/>
        <v>INDIWH</v>
      </c>
      <c r="J162" s="224">
        <f t="shared" si="146"/>
        <v>2011</v>
      </c>
      <c r="K162" s="299">
        <f>J162</f>
        <v>2011</v>
      </c>
      <c r="L162" s="199">
        <f t="shared" ref="L162:L167" ca="1" si="222">VLOOKUP($AD162,INDIRECT("'"&amp;$B162&amp;"'!"&amp;"$P$345:$AD$348"),3,FALSE)</f>
        <v>1</v>
      </c>
      <c r="M162" s="199"/>
      <c r="N162" s="81">
        <f ca="1">VLOOKUP($AD162,INDIRECT("'"&amp;$B162&amp;"'!"&amp;"$P$345:$AD$348"),5,FALSE)</f>
        <v>15</v>
      </c>
      <c r="O162" s="723">
        <f t="shared" ref="O162:O167" ca="1" si="223">VLOOKUP($AD162,INDIRECT("'"&amp;$B162&amp;"'!"&amp;"$P$345:$AD$348"),6,FALSE)/1000</f>
        <v>0.11175</v>
      </c>
      <c r="P162" s="723">
        <f t="shared" ref="P162:P167" ca="1" si="224">VLOOKUP($AD162,INDIRECT("'"&amp;$B162&amp;"'!"&amp;"$P$345:$AD$348"),7,FALSE)/1000</f>
        <v>1.3545454545454561E-3</v>
      </c>
      <c r="Q162" s="81">
        <f t="shared" ref="Q162:Q167" ca="1" si="225">VLOOKUP($AD162,INDIRECT("'"&amp;$B162&amp;"'!"&amp;"$P$345:$AD$348"),8,FALSE)</f>
        <v>0.58461805555555546</v>
      </c>
      <c r="R162" s="81">
        <v>3.1536000000000002E-2</v>
      </c>
      <c r="S162" s="199">
        <v>0.5</v>
      </c>
      <c r="T162" s="199">
        <f ca="1">HLOOKUP($S$2,INDIRECT("'"&amp;$B162&amp;"'!"&amp;"$P$312:$AC$325"),IF(H162=$AI$13,6,IF(H162=$AI$14,9,14)),FALSE)</f>
        <v>1</v>
      </c>
      <c r="U162" s="773"/>
      <c r="V162" s="199">
        <f t="shared" ref="V162" ca="1" si="226">IF(IF(RIGHT(H162,2)="PH",(1-L162)+$W$2,IF(RIGHT(H162,2)="HT",(1-L162)+$W$1,IF(RIGHT(H162,2)="SH",(1-L162)+$W$3,"")))&gt;0,IF(RIGHT(H162,2)="PH",(1-L162)+$W$2,IF(RIGHT(H162,2)="HT",(1-L162)+$W$1,IF(RIGHT(H162,2)="SH",(1-L162)+$W$3,""))),0)</f>
        <v>0.2</v>
      </c>
      <c r="W162" s="709"/>
      <c r="X162" s="698">
        <f t="shared" ca="1" si="219"/>
        <v>0.3</v>
      </c>
      <c r="Y162" s="698">
        <f t="shared" ref="Y162:Y167" ca="1" si="227">VLOOKUP($AD162,INDIRECT("'"&amp;$B162&amp;"'!"&amp;"$P$345:$AD$348"),12,FALSE)</f>
        <v>9</v>
      </c>
      <c r="Z162" s="698">
        <f t="shared" ref="Z162:Z167" ca="1" si="228">VLOOKUP($AD162,INDIRECT("'"&amp;$B162&amp;"'!"&amp;"$P$345:$AD$348"),13,FALSE)</f>
        <v>3</v>
      </c>
      <c r="AA162" s="698">
        <f t="shared" ref="AA162:AA167" ca="1" si="229">VLOOKUP($AD162,INDIRECT("'"&amp;$B162&amp;"'!"&amp;"$P$345:$AD$348"),14,FALSE)</f>
        <v>1</v>
      </c>
      <c r="AB162" s="698">
        <f t="shared" ref="AB162:AB167" ca="1" si="230">VLOOKUP($AD162,INDIRECT("'"&amp;$B162&amp;"'!"&amp;"$P$345:$AD$348"),15,FALSE)</f>
        <v>0.1</v>
      </c>
      <c r="AC162" s="55"/>
      <c r="AD162" s="81">
        <v>2020</v>
      </c>
      <c r="AE162" s="81"/>
      <c r="AF162" s="700"/>
    </row>
    <row r="163" spans="1:32">
      <c r="B163" s="718" t="s">
        <v>1010</v>
      </c>
      <c r="C163" s="64"/>
      <c r="E163" s="261"/>
      <c r="F163" s="224" t="s">
        <v>1149</v>
      </c>
      <c r="G163" s="55"/>
      <c r="H163" s="174"/>
      <c r="I163" s="174" t="str">
        <f t="shared" si="143"/>
        <v>INDIWH</v>
      </c>
      <c r="J163" s="224">
        <f t="shared" si="146"/>
        <v>2030</v>
      </c>
      <c r="K163" s="81"/>
      <c r="L163" s="199">
        <f t="shared" ca="1" si="222"/>
        <v>1</v>
      </c>
      <c r="M163" s="199"/>
      <c r="N163" s="81"/>
      <c r="O163" s="723">
        <f t="shared" ca="1" si="223"/>
        <v>0.11175</v>
      </c>
      <c r="P163" s="723">
        <f t="shared" ca="1" si="224"/>
        <v>1.3206818181818161E-3</v>
      </c>
      <c r="Q163" s="81">
        <f t="shared" ca="1" si="225"/>
        <v>0.5742708333333334</v>
      </c>
      <c r="R163" s="300"/>
      <c r="S163" s="300"/>
      <c r="T163" s="300"/>
      <c r="U163" s="300"/>
      <c r="V163" s="199">
        <f t="shared" ref="V163" ca="1" si="231">IF(IF(RIGHT(H162,2)="PH",(1-L163)+$W$2,IF(RIGHT(H162,2)="HT",(1-L163)+$W$1,IF(RIGHT(H162,2)="SH",(1-L163)+$W$3,"")))&gt;0,IF(RIGHT(H162,2)="PH",(1-L163)+$W$2,IF(RIGHT(H162,2)="HT",(1-L163)+$W$1,IF(RIGHT(H162,2)="SH",(1-L163)+$W$3,""))),0)</f>
        <v>0.2</v>
      </c>
      <c r="W163" s="298"/>
      <c r="X163" s="698">
        <f t="shared" ca="1" si="219"/>
        <v>0.3</v>
      </c>
      <c r="Y163" s="698">
        <f t="shared" ca="1" si="227"/>
        <v>7</v>
      </c>
      <c r="Z163" s="698">
        <f t="shared" ca="1" si="228"/>
        <v>2</v>
      </c>
      <c r="AA163" s="698">
        <f t="shared" ca="1" si="229"/>
        <v>1</v>
      </c>
      <c r="AB163" s="698">
        <f t="shared" ca="1" si="230"/>
        <v>0.1</v>
      </c>
      <c r="AC163" s="55"/>
      <c r="AD163" s="81">
        <v>2030</v>
      </c>
      <c r="AE163" s="81"/>
      <c r="AF163" s="700"/>
    </row>
    <row r="164" spans="1:32">
      <c r="B164" s="718" t="s">
        <v>1010</v>
      </c>
      <c r="C164" s="64"/>
      <c r="E164" s="261"/>
      <c r="F164" s="224" t="s">
        <v>1149</v>
      </c>
      <c r="G164" s="55"/>
      <c r="H164" s="174"/>
      <c r="I164" s="174" t="str">
        <f t="shared" si="143"/>
        <v>INDIWH</v>
      </c>
      <c r="J164" s="224">
        <f t="shared" si="146"/>
        <v>2050</v>
      </c>
      <c r="K164" s="81"/>
      <c r="L164" s="199">
        <f t="shared" ca="1" si="222"/>
        <v>1</v>
      </c>
      <c r="M164" s="199"/>
      <c r="N164" s="81"/>
      <c r="O164" s="723">
        <f t="shared" ca="1" si="223"/>
        <v>0.11175</v>
      </c>
      <c r="P164" s="723">
        <f t="shared" ca="1" si="224"/>
        <v>1.1513636363636396E-3</v>
      </c>
      <c r="Q164" s="81">
        <f t="shared" ca="1" si="225"/>
        <v>0.57944444444444443</v>
      </c>
      <c r="R164" s="300"/>
      <c r="S164" s="300"/>
      <c r="T164" s="300"/>
      <c r="U164" s="300"/>
      <c r="V164" s="199">
        <f t="shared" ref="V164" ca="1" si="232">IF(IF(RIGHT(H162,2)="PH",(1-L164)+$W$2,IF(RIGHT(H162,2)="HT",(1-L164)+$W$1,IF(RIGHT(H162,2)="SH",(1-L164)+$W$3,"")))&gt;0,IF(RIGHT(H162,2)="PH",(1-L164)+$W$2,IF(RIGHT(H162,2)="HT",(1-L164)+$W$1,IF(RIGHT(H162,2)="SH",(1-L164)+$W$3,""))),0)</f>
        <v>0.2</v>
      </c>
      <c r="W164" s="298"/>
      <c r="X164" s="698">
        <f t="shared" ca="1" si="219"/>
        <v>0.3</v>
      </c>
      <c r="Y164" s="698">
        <f t="shared" ca="1" si="227"/>
        <v>6</v>
      </c>
      <c r="Z164" s="698">
        <f t="shared" ca="1" si="228"/>
        <v>2</v>
      </c>
      <c r="AA164" s="698">
        <f t="shared" ca="1" si="229"/>
        <v>1</v>
      </c>
      <c r="AB164" s="698">
        <f t="shared" ca="1" si="230"/>
        <v>0.1</v>
      </c>
      <c r="AC164" s="203"/>
      <c r="AD164" s="81">
        <v>2050</v>
      </c>
      <c r="AE164" s="81"/>
      <c r="AF164" s="700"/>
    </row>
    <row r="165" spans="1:32">
      <c r="B165" s="718" t="s">
        <v>1010</v>
      </c>
      <c r="C165" s="64"/>
      <c r="D165" s="212" t="str">
        <f>"IND"&amp;RIGHT(H165,4)&amp;"GAS"&amp;"N"&amp;RIGHT(E165,1)</f>
        <v>INDIDPHGASN5</v>
      </c>
      <c r="E165" s="261" t="str">
        <f>"Industrial heating technology "&amp;$AJ$12&amp;" "&amp;RIGHT(H165,2)&amp;" - Gas boiler (Direct firing) - new 5"</f>
        <v>Industrial heating technology Mining PH - Gas boiler (Direct firing) - new 5</v>
      </c>
      <c r="F165" s="224" t="s">
        <v>1149</v>
      </c>
      <c r="G165" s="173" t="s">
        <v>2080</v>
      </c>
      <c r="H165" s="174" t="str">
        <f>$AI$14</f>
        <v>IIDPH</v>
      </c>
      <c r="I165" s="721" t="str">
        <f t="shared" si="143"/>
        <v>INDIWH</v>
      </c>
      <c r="J165" s="224">
        <f t="shared" si="146"/>
        <v>2011</v>
      </c>
      <c r="K165" s="299">
        <f>J165</f>
        <v>2011</v>
      </c>
      <c r="L165" s="199">
        <f t="shared" ca="1" si="222"/>
        <v>1</v>
      </c>
      <c r="M165" s="199"/>
      <c r="N165" s="81">
        <f ca="1">VLOOKUP($AD165,INDIRECT("'"&amp;$B165&amp;"'!"&amp;"$P$279:$AD$282"),5,FALSE)</f>
        <v>25</v>
      </c>
      <c r="O165" s="723">
        <f t="shared" ca="1" si="223"/>
        <v>0.11175</v>
      </c>
      <c r="P165" s="723">
        <f t="shared" ca="1" si="224"/>
        <v>1.3545454545454561E-3</v>
      </c>
      <c r="Q165" s="81">
        <f t="shared" ca="1" si="225"/>
        <v>0.58461805555555546</v>
      </c>
      <c r="R165" s="81">
        <v>3.1536000000000002E-2</v>
      </c>
      <c r="S165" s="199">
        <v>0.5</v>
      </c>
      <c r="T165" s="199">
        <f ca="1">HLOOKUP($S$2,INDIRECT("'"&amp;$B165&amp;"'!"&amp;"$P$312:$AC$325"),IF(H165=$AI$13,6,IF(H165=$AI$14,9,14)),FALSE)</f>
        <v>1</v>
      </c>
      <c r="U165" s="773"/>
      <c r="V165" s="199">
        <f t="shared" ref="V165" ca="1" si="233">IF(IF(RIGHT(H165,2)="PH",(1-L165)+$W$2,IF(RIGHT(H165,2)="HT",(1-L165)+$W$1,IF(RIGHT(H165,2)="SH",(1-L165)+$W$3,"")))&gt;0,IF(RIGHT(H165,2)="PH",(1-L165)+$W$2,IF(RIGHT(H165,2)="HT",(1-L165)+$W$1,IF(RIGHT(H165,2)="SH",(1-L165)+$W$3,""))),0)</f>
        <v>0.2</v>
      </c>
      <c r="W165" s="709"/>
      <c r="X165" s="698">
        <f t="shared" ca="1" si="219"/>
        <v>0.3</v>
      </c>
      <c r="Y165" s="698">
        <f t="shared" ca="1" si="227"/>
        <v>9</v>
      </c>
      <c r="Z165" s="698">
        <f t="shared" ca="1" si="228"/>
        <v>3</v>
      </c>
      <c r="AA165" s="698">
        <f t="shared" ca="1" si="229"/>
        <v>1</v>
      </c>
      <c r="AB165" s="698">
        <f t="shared" ca="1" si="230"/>
        <v>0.1</v>
      </c>
      <c r="AD165" s="277">
        <v>2020</v>
      </c>
      <c r="AE165" s="273"/>
      <c r="AF165" s="830"/>
    </row>
    <row r="166" spans="1:32">
      <c r="B166" s="718" t="s">
        <v>1010</v>
      </c>
      <c r="C166" s="64"/>
      <c r="E166" s="261"/>
      <c r="F166" s="224" t="s">
        <v>1149</v>
      </c>
      <c r="G166" s="55"/>
      <c r="H166" s="174"/>
      <c r="I166" s="174" t="str">
        <f t="shared" si="143"/>
        <v>INDIWH</v>
      </c>
      <c r="J166" s="224">
        <f t="shared" si="146"/>
        <v>2030</v>
      </c>
      <c r="K166" s="81"/>
      <c r="L166" s="199">
        <f t="shared" ca="1" si="222"/>
        <v>1</v>
      </c>
      <c r="M166" s="199"/>
      <c r="N166" s="81"/>
      <c r="O166" s="723">
        <f t="shared" ca="1" si="223"/>
        <v>0.11175</v>
      </c>
      <c r="P166" s="723">
        <f t="shared" ca="1" si="224"/>
        <v>1.3206818181818161E-3</v>
      </c>
      <c r="Q166" s="81">
        <f t="shared" ca="1" si="225"/>
        <v>0.5742708333333334</v>
      </c>
      <c r="R166" s="300"/>
      <c r="S166" s="300"/>
      <c r="T166" s="300"/>
      <c r="U166" s="300"/>
      <c r="V166" s="199">
        <f t="shared" ref="V166" ca="1" si="234">IF(IF(RIGHT(H165,2)="PH",(1-L166)+$W$2,IF(RIGHT(H165,2)="HT",(1-L166)+$W$1,IF(RIGHT(H165,2)="SH",(1-L166)+$W$3,"")))&gt;0,IF(RIGHT(H165,2)="PH",(1-L166)+$W$2,IF(RIGHT(H165,2)="HT",(1-L166)+$W$1,IF(RIGHT(H165,2)="SH",(1-L166)+$W$3,""))),0)</f>
        <v>0.2</v>
      </c>
      <c r="W166" s="298"/>
      <c r="X166" s="698">
        <f t="shared" ca="1" si="219"/>
        <v>0.3</v>
      </c>
      <c r="Y166" s="698">
        <f t="shared" ca="1" si="227"/>
        <v>7</v>
      </c>
      <c r="Z166" s="698">
        <f t="shared" ca="1" si="228"/>
        <v>2</v>
      </c>
      <c r="AA166" s="698">
        <f t="shared" ca="1" si="229"/>
        <v>1</v>
      </c>
      <c r="AB166" s="698">
        <f t="shared" ca="1" si="230"/>
        <v>0.1</v>
      </c>
      <c r="AD166" s="81">
        <v>2030</v>
      </c>
      <c r="AE166" s="273"/>
      <c r="AF166" s="828"/>
    </row>
    <row r="167" spans="1:32">
      <c r="A167" s="169"/>
      <c r="B167" s="719" t="s">
        <v>1010</v>
      </c>
      <c r="C167" s="713"/>
      <c r="D167" s="701"/>
      <c r="E167" s="701"/>
      <c r="F167" s="224" t="s">
        <v>1149</v>
      </c>
      <c r="G167" s="203"/>
      <c r="H167" s="702"/>
      <c r="I167" s="702" t="str">
        <f t="shared" si="143"/>
        <v>INDIWH</v>
      </c>
      <c r="J167" s="224">
        <f t="shared" si="146"/>
        <v>2050</v>
      </c>
      <c r="K167" s="81"/>
      <c r="L167" s="199">
        <f t="shared" ca="1" si="222"/>
        <v>1</v>
      </c>
      <c r="M167" s="199"/>
      <c r="N167" s="81"/>
      <c r="O167" s="723">
        <f t="shared" ca="1" si="223"/>
        <v>0.11175</v>
      </c>
      <c r="P167" s="723">
        <f t="shared" ca="1" si="224"/>
        <v>1.1513636363636396E-3</v>
      </c>
      <c r="Q167" s="81">
        <f t="shared" ca="1" si="225"/>
        <v>0.57944444444444443</v>
      </c>
      <c r="R167" s="722"/>
      <c r="S167" s="703"/>
      <c r="T167" s="703"/>
      <c r="U167" s="703"/>
      <c r="V167" s="199">
        <f t="shared" ref="V167" ca="1" si="235">IF(IF(RIGHT(H165,2)="PH",(1-L167)+$W$2,IF(RIGHT(H165,2)="HT",(1-L167)+$W$1,IF(RIGHT(H165,2)="SH",(1-L167)+$W$3,"")))&gt;0,IF(RIGHT(H165,2)="PH",(1-L167)+$W$2,IF(RIGHT(H165,2)="HT",(1-L167)+$W$1,IF(RIGHT(H165,2)="SH",(1-L167)+$W$3,""))),0)</f>
        <v>0.2</v>
      </c>
      <c r="W167" s="714"/>
      <c r="X167" s="698">
        <f t="shared" ca="1" si="219"/>
        <v>0.3</v>
      </c>
      <c r="Y167" s="698">
        <f t="shared" ca="1" si="227"/>
        <v>6</v>
      </c>
      <c r="Z167" s="698">
        <f t="shared" ca="1" si="228"/>
        <v>2</v>
      </c>
      <c r="AA167" s="698">
        <f t="shared" ca="1" si="229"/>
        <v>1</v>
      </c>
      <c r="AB167" s="698">
        <f t="shared" ca="1" si="230"/>
        <v>0.1</v>
      </c>
      <c r="AD167" s="81">
        <v>2050</v>
      </c>
      <c r="AE167" s="273"/>
      <c r="AF167" s="828"/>
    </row>
    <row r="168" spans="1:32">
      <c r="A168" s="169"/>
      <c r="B168" s="718" t="s">
        <v>1099</v>
      </c>
      <c r="C168" s="226"/>
      <c r="D168" s="707" t="str">
        <f>"IND"&amp;RIGHT(H168,4)&amp;RIGHT(G168,3)&amp;"N"&amp;RIGHT(E168,1)</f>
        <v>INDIDPHCOAN1</v>
      </c>
      <c r="E168" s="261" t="str">
        <f>"Industrial heating technology "&amp;$AJ$12&amp;" "&amp;RIGHT(H168,2)&amp;" - Coal boiler (Steam) - new 1"</f>
        <v>Industrial heating technology Mining PH - Coal boiler (Steam) - new 1</v>
      </c>
      <c r="F168" s="224" t="s">
        <v>1149</v>
      </c>
      <c r="G168" s="55" t="s">
        <v>617</v>
      </c>
      <c r="H168" s="174" t="str">
        <f>$AI$13</f>
        <v>IIDPH</v>
      </c>
      <c r="I168" s="174" t="str">
        <f t="shared" si="143"/>
        <v>INDIWH</v>
      </c>
      <c r="J168" s="224">
        <f t="shared" si="146"/>
        <v>2011</v>
      </c>
      <c r="K168" s="299">
        <v>2025</v>
      </c>
      <c r="L168" s="199">
        <f t="shared" ref="L168:L176" ca="1" si="236">VLOOKUP($AD168,INDIRECT("'"&amp;$B168&amp;"'!"&amp;"$P$39:$AD$42"),3,FALSE)</f>
        <v>0.89</v>
      </c>
      <c r="M168" s="699"/>
      <c r="N168" s="299">
        <f ca="1">VLOOKUP($AD168,INDIRECT("'"&amp;$B168&amp;"'!"&amp;"$P$39:$AD$42"),5,FALSE)</f>
        <v>25</v>
      </c>
      <c r="O168" s="725">
        <f t="shared" ref="O168:O176" ca="1" si="237">VLOOKUP($AD168,INDIRECT("'"&amp;$B168&amp;"'!"&amp;"$P$39:$AD$42"),6,FALSE)/1000</f>
        <v>3.7250000000000001</v>
      </c>
      <c r="P168" s="725">
        <f t="shared" ref="P168:P176" ca="1" si="238">VLOOKUP($AD168,INDIRECT("'"&amp;$B168&amp;"'!"&amp;"$P$39:$AD$42"),7,FALSE)/1000</f>
        <v>0.25106499999999998</v>
      </c>
      <c r="Q168" s="299">
        <f t="shared" ref="Q168:Q176" ca="1" si="239">VLOOKUP($AD168,INDIRECT("'"&amp;$B168&amp;"'!"&amp;"$P$39:$AD$42"),8,FALSE)</f>
        <v>3.9381527777777778</v>
      </c>
      <c r="R168" s="299">
        <v>3.1536000000000002E-2</v>
      </c>
      <c r="S168" s="699">
        <v>0.5</v>
      </c>
      <c r="T168" s="699">
        <f ca="1">HLOOKUP($T$2,INDIRECT("'"&amp;$B168&amp;"'!"&amp;"$P$6:$AC$19"),IF(H168=$AI$13,6,IF(H168=$AI$14,9,14)),FALSE)</f>
        <v>1</v>
      </c>
      <c r="U168" s="772"/>
      <c r="V168" s="199">
        <f t="shared" ref="V168" ca="1" si="240">IF(IF(RIGHT(H168,2)="PH",(1-L168)+$W$2,IF(RIGHT(H168,2)="HT",(1-L168)+$W$1,IF(RIGHT(H168,2)="SH",(1-L168)+$W$3,"")))&gt;0,IF(RIGHT(H168,2)="PH",(1-L168)+$W$2,IF(RIGHT(H168,2)="HT",(1-L168)+$W$1,IF(RIGHT(H168,2)="SH",(1-L168)+$W$3,""))),0)</f>
        <v>0.31</v>
      </c>
      <c r="W168" s="298"/>
      <c r="X168" s="698">
        <f t="shared" ca="1" si="219"/>
        <v>8</v>
      </c>
      <c r="Y168" s="299">
        <f t="shared" ref="Y168:Y176" ca="1" si="241">VLOOKUP($AD168,INDIRECT("'"&amp;$B168&amp;"'!"&amp;"$P$39:$AD$42"),12,FALSE)</f>
        <v>35</v>
      </c>
      <c r="Z168" s="299">
        <f t="shared" ref="Z168:Z176" ca="1" si="242">VLOOKUP($AD168,INDIRECT("'"&amp;$B168&amp;"'!"&amp;"$P$39:$AD$42"),13,FALSE)</f>
        <v>1.5</v>
      </c>
      <c r="AA168" s="299">
        <f t="shared" ref="AA168:AA176" ca="1" si="243">VLOOKUP($AD168,INDIRECT("'"&amp;$B168&amp;"'!"&amp;"$P$39:$AD$42"),14,FALSE)</f>
        <v>0.8</v>
      </c>
      <c r="AB168" s="299">
        <f t="shared" ref="AB168:AB176" ca="1" si="244">VLOOKUP($AD168,INDIRECT("'"&amp;$B168&amp;"'!"&amp;"$P$39:$AD$42"),15,FALSE)</f>
        <v>2.1</v>
      </c>
      <c r="AD168" s="81">
        <v>2020</v>
      </c>
      <c r="AE168" s="273"/>
      <c r="AF168" s="828"/>
    </row>
    <row r="169" spans="1:32">
      <c r="A169" s="169"/>
      <c r="B169" s="718" t="s">
        <v>1099</v>
      </c>
      <c r="C169" s="226"/>
      <c r="D169" s="261"/>
      <c r="E169" s="261"/>
      <c r="F169" s="224" t="s">
        <v>1149</v>
      </c>
      <c r="G169" s="55"/>
      <c r="H169" s="174"/>
      <c r="I169" s="174" t="str">
        <f t="shared" si="143"/>
        <v>INDIWH</v>
      </c>
      <c r="J169" s="224">
        <f t="shared" si="146"/>
        <v>2030</v>
      </c>
      <c r="K169" s="81"/>
      <c r="L169" s="199">
        <f t="shared" ca="1" si="236"/>
        <v>0.89</v>
      </c>
      <c r="M169" s="772"/>
      <c r="N169" s="200"/>
      <c r="O169" s="725">
        <f t="shared" ca="1" si="237"/>
        <v>3.4699403462447704</v>
      </c>
      <c r="P169" s="725">
        <f t="shared" ca="1" si="238"/>
        <v>0.24287</v>
      </c>
      <c r="Q169" s="299">
        <f t="shared" ca="1" si="239"/>
        <v>3.9836805555555559</v>
      </c>
      <c r="R169" s="823"/>
      <c r="S169" s="300"/>
      <c r="T169" s="300"/>
      <c r="U169" s="300"/>
      <c r="V169" s="199">
        <f t="shared" ref="V169" ca="1" si="245">IF(IF(RIGHT(H168,2)="PH",(1-L169)+$W$2,IF(RIGHT(H168,2)="HT",(1-L169)+$W$1,IF(RIGHT(H168,2)="SH",(1-L169)+$W$3,"")))&gt;0,IF(RIGHT(H168,2)="PH",(1-L169)+$W$2,IF(RIGHT(H168,2)="HT",(1-L169)+$W$1,IF(RIGHT(H168,2)="SH",(1-L169)+$W$3,""))),0)</f>
        <v>0.31</v>
      </c>
      <c r="W169" s="298"/>
      <c r="X169" s="698">
        <f t="shared" ca="1" si="219"/>
        <v>8</v>
      </c>
      <c r="Y169" s="299">
        <f t="shared" ca="1" si="241"/>
        <v>35</v>
      </c>
      <c r="Z169" s="299">
        <f t="shared" ca="1" si="242"/>
        <v>1.5</v>
      </c>
      <c r="AA169" s="299">
        <f t="shared" ca="1" si="243"/>
        <v>0.8</v>
      </c>
      <c r="AB169" s="299">
        <f t="shared" ca="1" si="244"/>
        <v>2.1</v>
      </c>
      <c r="AD169" s="81">
        <v>2030</v>
      </c>
      <c r="AE169" s="273"/>
      <c r="AF169" s="828"/>
    </row>
    <row r="170" spans="1:32">
      <c r="A170" s="169"/>
      <c r="B170" s="718" t="s">
        <v>1099</v>
      </c>
      <c r="C170" s="226"/>
      <c r="D170" s="261"/>
      <c r="E170" s="261"/>
      <c r="F170" s="224" t="s">
        <v>1149</v>
      </c>
      <c r="G170" s="55"/>
      <c r="H170" s="174"/>
      <c r="I170" s="174" t="str">
        <f t="shared" si="143"/>
        <v>INDIWH</v>
      </c>
      <c r="J170" s="224">
        <f t="shared" si="146"/>
        <v>2050</v>
      </c>
      <c r="K170" s="81"/>
      <c r="L170" s="199">
        <f t="shared" ca="1" si="236"/>
        <v>0.91</v>
      </c>
      <c r="M170" s="772"/>
      <c r="N170" s="200"/>
      <c r="O170" s="725">
        <f t="shared" ca="1" si="237"/>
        <v>3.2813985758696647</v>
      </c>
      <c r="P170" s="725">
        <f t="shared" ca="1" si="238"/>
        <v>0.22797000000000001</v>
      </c>
      <c r="Q170" s="299">
        <f t="shared" ca="1" si="239"/>
        <v>4.0064444444444449</v>
      </c>
      <c r="R170" s="823"/>
      <c r="S170" s="300"/>
      <c r="T170" s="300"/>
      <c r="U170" s="300"/>
      <c r="V170" s="199">
        <f t="shared" ref="V170" ca="1" si="246">IF(IF(RIGHT(H168,2)="PH",(1-L170)+$W$2,IF(RIGHT(H168,2)="HT",(1-L170)+$W$1,IF(RIGHT(H168,2)="SH",(1-L170)+$W$3,"")))&gt;0,IF(RIGHT(H168,2)="PH",(1-L170)+$W$2,IF(RIGHT(H168,2)="HT",(1-L170)+$W$1,IF(RIGHT(H168,2)="SH",(1-L170)+$W$3,""))),0)</f>
        <v>0.28999999999999998</v>
      </c>
      <c r="W170" s="298"/>
      <c r="X170" s="698">
        <f t="shared" ca="1" si="219"/>
        <v>8</v>
      </c>
      <c r="Y170" s="299">
        <f t="shared" ca="1" si="241"/>
        <v>35</v>
      </c>
      <c r="Z170" s="299">
        <f t="shared" ca="1" si="242"/>
        <v>1.5</v>
      </c>
      <c r="AA170" s="299">
        <f t="shared" ca="1" si="243"/>
        <v>0.8</v>
      </c>
      <c r="AB170" s="299">
        <f t="shared" ca="1" si="244"/>
        <v>2.1</v>
      </c>
      <c r="AD170" s="81">
        <v>2050</v>
      </c>
      <c r="AE170" s="273"/>
      <c r="AF170" s="828"/>
    </row>
    <row r="171" spans="1:32">
      <c r="A171" s="169"/>
      <c r="B171" s="718" t="s">
        <v>1099</v>
      </c>
      <c r="C171" s="226"/>
      <c r="D171" s="261" t="str">
        <f>"IND"&amp;RIGHT(H171,4)&amp;RIGHT(G171,3)&amp;"N"&amp;RIGHT(E171,1)</f>
        <v>INDIDPHCOAN1</v>
      </c>
      <c r="E171" s="261" t="str">
        <f>"Industrial heating technology "&amp;$AJ$12&amp;" "&amp;RIGHT(H171,2)&amp;" - Coal boiler (Steam) - new 1"</f>
        <v>Industrial heating technology Mining PH - Coal boiler (Steam) - new 1</v>
      </c>
      <c r="F171" s="224" t="s">
        <v>1149</v>
      </c>
      <c r="G171" s="55" t="s">
        <v>617</v>
      </c>
      <c r="H171" s="174" t="str">
        <f>$AI$14</f>
        <v>IIDPH</v>
      </c>
      <c r="I171" s="174" t="str">
        <f t="shared" si="143"/>
        <v>INDIWH</v>
      </c>
      <c r="J171" s="224">
        <f t="shared" si="146"/>
        <v>2011</v>
      </c>
      <c r="K171" s="299">
        <v>2025</v>
      </c>
      <c r="L171" s="199">
        <f t="shared" ca="1" si="236"/>
        <v>0.89</v>
      </c>
      <c r="M171" s="199"/>
      <c r="N171" s="81">
        <f ca="1">VLOOKUP($AD171,INDIRECT("'"&amp;$B171&amp;"'!"&amp;"$P$39:$AD$42"),5,FALSE)</f>
        <v>25</v>
      </c>
      <c r="O171" s="725">
        <f t="shared" ca="1" si="237"/>
        <v>3.7250000000000001</v>
      </c>
      <c r="P171" s="725">
        <f t="shared" ca="1" si="238"/>
        <v>0.25106499999999998</v>
      </c>
      <c r="Q171" s="299">
        <f t="shared" ca="1" si="239"/>
        <v>3.9381527777777778</v>
      </c>
      <c r="R171" s="81">
        <v>3.1536000000000002E-2</v>
      </c>
      <c r="S171" s="199">
        <v>0.5</v>
      </c>
      <c r="T171" s="199">
        <f ca="1">HLOOKUP($T$2,INDIRECT("'"&amp;$B171&amp;"'!"&amp;"$P$6:$AC$19"),IF(H171=$AI$13,6,IF(H171=$AI$14,9,14)),FALSE)</f>
        <v>1</v>
      </c>
      <c r="U171" s="772"/>
      <c r="V171" s="199">
        <f t="shared" ref="V171" ca="1" si="247">IF(IF(RIGHT(H171,2)="PH",(1-L171)+$W$2,IF(RIGHT(H171,2)="HT",(1-L171)+$W$1,IF(RIGHT(H171,2)="SH",(1-L171)+$W$3,"")))&gt;0,IF(RIGHT(H171,2)="PH",(1-L171)+$W$2,IF(RIGHT(H171,2)="HT",(1-L171)+$W$1,IF(RIGHT(H171,2)="SH",(1-L171)+$W$3,""))),0)</f>
        <v>0.31</v>
      </c>
      <c r="W171" s="298"/>
      <c r="X171" s="698">
        <f t="shared" ca="1" si="219"/>
        <v>8</v>
      </c>
      <c r="Y171" s="299">
        <f t="shared" ca="1" si="241"/>
        <v>35</v>
      </c>
      <c r="Z171" s="299">
        <f t="shared" ca="1" si="242"/>
        <v>1.5</v>
      </c>
      <c r="AA171" s="299">
        <f t="shared" ca="1" si="243"/>
        <v>0.8</v>
      </c>
      <c r="AB171" s="299">
        <f t="shared" ca="1" si="244"/>
        <v>2.1</v>
      </c>
      <c r="AD171" s="81">
        <v>2020</v>
      </c>
      <c r="AE171" s="273"/>
      <c r="AF171" s="828"/>
    </row>
    <row r="172" spans="1:32">
      <c r="A172" s="169"/>
      <c r="B172" s="718" t="s">
        <v>1099</v>
      </c>
      <c r="C172" s="226"/>
      <c r="D172" s="261"/>
      <c r="E172" s="261"/>
      <c r="F172" s="224" t="s">
        <v>1149</v>
      </c>
      <c r="G172" s="55"/>
      <c r="H172" s="174"/>
      <c r="I172" s="174" t="str">
        <f t="shared" si="143"/>
        <v>INDIWH</v>
      </c>
      <c r="J172" s="224">
        <f t="shared" si="146"/>
        <v>2030</v>
      </c>
      <c r="K172" s="81"/>
      <c r="L172" s="199">
        <f t="shared" ca="1" si="236"/>
        <v>0.89</v>
      </c>
      <c r="M172" s="772"/>
      <c r="N172" s="200"/>
      <c r="O172" s="725">
        <f t="shared" ca="1" si="237"/>
        <v>3.4699403462447704</v>
      </c>
      <c r="P172" s="725">
        <f t="shared" ca="1" si="238"/>
        <v>0.24287</v>
      </c>
      <c r="Q172" s="299">
        <f t="shared" ca="1" si="239"/>
        <v>3.9836805555555559</v>
      </c>
      <c r="R172" s="823"/>
      <c r="S172" s="300"/>
      <c r="T172" s="300"/>
      <c r="U172" s="300"/>
      <c r="V172" s="199">
        <f t="shared" ref="V172" ca="1" si="248">IF(IF(RIGHT(H171,2)="PH",(1-L172)+$W$2,IF(RIGHT(H171,2)="HT",(1-L172)+$W$1,IF(RIGHT(H171,2)="SH",(1-L172)+$W$3,"")))&gt;0,IF(RIGHT(H171,2)="PH",(1-L172)+$W$2,IF(RIGHT(H171,2)="HT",(1-L172)+$W$1,IF(RIGHT(H171,2)="SH",(1-L172)+$W$3,""))),0)</f>
        <v>0.31</v>
      </c>
      <c r="W172" s="298"/>
      <c r="X172" s="698">
        <f t="shared" ca="1" si="219"/>
        <v>8</v>
      </c>
      <c r="Y172" s="299">
        <f t="shared" ca="1" si="241"/>
        <v>35</v>
      </c>
      <c r="Z172" s="299">
        <f t="shared" ca="1" si="242"/>
        <v>1.5</v>
      </c>
      <c r="AA172" s="299">
        <f t="shared" ca="1" si="243"/>
        <v>0.8</v>
      </c>
      <c r="AB172" s="299">
        <f t="shared" ca="1" si="244"/>
        <v>2.1</v>
      </c>
      <c r="AD172" s="81">
        <v>2030</v>
      </c>
      <c r="AE172" s="273"/>
      <c r="AF172" s="828"/>
    </row>
    <row r="173" spans="1:32">
      <c r="A173" s="169"/>
      <c r="B173" s="718" t="s">
        <v>1099</v>
      </c>
      <c r="C173" s="226"/>
      <c r="D173" s="261"/>
      <c r="E173" s="261"/>
      <c r="F173" s="224" t="s">
        <v>1149</v>
      </c>
      <c r="G173" s="55"/>
      <c r="H173" s="174"/>
      <c r="I173" s="174" t="str">
        <f t="shared" si="143"/>
        <v>INDIWH</v>
      </c>
      <c r="J173" s="224">
        <f t="shared" si="146"/>
        <v>2050</v>
      </c>
      <c r="K173" s="81"/>
      <c r="L173" s="199">
        <f t="shared" ca="1" si="236"/>
        <v>0.91</v>
      </c>
      <c r="M173" s="772"/>
      <c r="N173" s="200"/>
      <c r="O173" s="725">
        <f t="shared" ca="1" si="237"/>
        <v>3.2813985758696647</v>
      </c>
      <c r="P173" s="725">
        <f t="shared" ca="1" si="238"/>
        <v>0.22797000000000001</v>
      </c>
      <c r="Q173" s="299">
        <f t="shared" ca="1" si="239"/>
        <v>4.0064444444444449</v>
      </c>
      <c r="R173" s="823"/>
      <c r="S173" s="300"/>
      <c r="T173" s="300"/>
      <c r="U173" s="300"/>
      <c r="V173" s="199">
        <f t="shared" ref="V173" ca="1" si="249">IF(IF(RIGHT(H171,2)="PH",(1-L173)+$W$2,IF(RIGHT(H171,2)="HT",(1-L173)+$W$1,IF(RIGHT(H171,2)="SH",(1-L173)+$W$3,"")))&gt;0,IF(RIGHT(H171,2)="PH",(1-L173)+$W$2,IF(RIGHT(H171,2)="HT",(1-L173)+$W$1,IF(RIGHT(H171,2)="SH",(1-L173)+$W$3,""))),0)</f>
        <v>0.28999999999999998</v>
      </c>
      <c r="W173" s="298"/>
      <c r="X173" s="698">
        <f t="shared" ca="1" si="219"/>
        <v>8</v>
      </c>
      <c r="Y173" s="299">
        <f t="shared" ca="1" si="241"/>
        <v>35</v>
      </c>
      <c r="Z173" s="299">
        <f t="shared" ca="1" si="242"/>
        <v>1.5</v>
      </c>
      <c r="AA173" s="299">
        <f t="shared" ca="1" si="243"/>
        <v>0.8</v>
      </c>
      <c r="AB173" s="299">
        <f t="shared" ca="1" si="244"/>
        <v>2.1</v>
      </c>
      <c r="AD173" s="81">
        <v>2050</v>
      </c>
      <c r="AE173" s="273"/>
      <c r="AF173" s="828"/>
    </row>
    <row r="174" spans="1:32">
      <c r="A174" s="169"/>
      <c r="B174" s="718" t="s">
        <v>1099</v>
      </c>
      <c r="C174" s="226"/>
      <c r="D174" s="261" t="str">
        <f>"IND"&amp;RIGHT(H174,4)&amp;RIGHT(G174,3)&amp;"N"&amp;RIGHT(E174,1)</f>
        <v>INDIDSHCOAN1</v>
      </c>
      <c r="E174" s="261" t="str">
        <f>"Industrial heating technology "&amp;$AJ$12&amp;" "&amp;RIGHT(H174,2)&amp;" - Coal boiler (Steam) - new 1"</f>
        <v>Industrial heating technology Mining SH - Coal boiler (Steam) - new 1</v>
      </c>
      <c r="F174" s="224" t="s">
        <v>1149</v>
      </c>
      <c r="G174" s="55" t="s">
        <v>617</v>
      </c>
      <c r="H174" s="174" t="str">
        <f>$AI$15</f>
        <v>IIDSH</v>
      </c>
      <c r="I174" s="174" t="str">
        <f t="shared" si="143"/>
        <v>INDIWH</v>
      </c>
      <c r="J174" s="224">
        <f t="shared" si="146"/>
        <v>2011</v>
      </c>
      <c r="K174" s="299">
        <v>2025</v>
      </c>
      <c r="L174" s="199">
        <f t="shared" ca="1" si="236"/>
        <v>0.89</v>
      </c>
      <c r="M174" s="199"/>
      <c r="N174" s="81">
        <f ca="1">VLOOKUP($AD174,INDIRECT("'"&amp;$B174&amp;"'!"&amp;"$P$39:$AD$42"),5,FALSE)</f>
        <v>25</v>
      </c>
      <c r="O174" s="725">
        <f t="shared" ca="1" si="237"/>
        <v>3.7250000000000001</v>
      </c>
      <c r="P174" s="725">
        <f t="shared" ca="1" si="238"/>
        <v>0.25106499999999998</v>
      </c>
      <c r="Q174" s="299">
        <f t="shared" ca="1" si="239"/>
        <v>3.9381527777777778</v>
      </c>
      <c r="R174" s="81">
        <v>3.1536000000000002E-2</v>
      </c>
      <c r="S174" s="199">
        <v>0.5</v>
      </c>
      <c r="T174" s="199">
        <f ca="1">HLOOKUP($T$2,INDIRECT("'"&amp;$B174&amp;"'!"&amp;"$P$6:$AC$19"),IF(H174=$AI$13,6,IF(H174=$AI$14,9,14)),FALSE)</f>
        <v>1</v>
      </c>
      <c r="U174" s="772"/>
      <c r="V174" s="199">
        <f t="shared" ref="V174" ca="1" si="250">IF(IF(RIGHT(H174,2)="PH",(1-L174)+$W$2,IF(RIGHT(H174,2)="HT",(1-L174)+$W$1,IF(RIGHT(H174,2)="SH",(1-L174)+$W$3,"")))&gt;0,IF(RIGHT(H174,2)="PH",(1-L174)+$W$2,IF(RIGHT(H174,2)="HT",(1-L174)+$W$1,IF(RIGHT(H174,2)="SH",(1-L174)+$W$3,""))),0)</f>
        <v>0.10999999999999999</v>
      </c>
      <c r="W174" s="298"/>
      <c r="X174" s="698">
        <f t="shared" ca="1" si="219"/>
        <v>8</v>
      </c>
      <c r="Y174" s="299">
        <f t="shared" ca="1" si="241"/>
        <v>35</v>
      </c>
      <c r="Z174" s="299">
        <f t="shared" ca="1" si="242"/>
        <v>1.5</v>
      </c>
      <c r="AA174" s="299">
        <f t="shared" ca="1" si="243"/>
        <v>0.8</v>
      </c>
      <c r="AB174" s="299">
        <f t="shared" ca="1" si="244"/>
        <v>2.1</v>
      </c>
      <c r="AD174" s="81">
        <v>2020</v>
      </c>
      <c r="AE174" s="273"/>
      <c r="AF174" s="828"/>
    </row>
    <row r="175" spans="1:32">
      <c r="A175" s="169"/>
      <c r="B175" s="718" t="s">
        <v>1099</v>
      </c>
      <c r="C175" s="226"/>
      <c r="D175" s="261"/>
      <c r="E175" s="261"/>
      <c r="F175" s="224" t="s">
        <v>1149</v>
      </c>
      <c r="G175" s="55"/>
      <c r="H175" s="174"/>
      <c r="I175" s="174" t="str">
        <f t="shared" si="143"/>
        <v>INDIWH</v>
      </c>
      <c r="J175" s="224">
        <f t="shared" si="146"/>
        <v>2030</v>
      </c>
      <c r="K175" s="81"/>
      <c r="L175" s="199">
        <f t="shared" ca="1" si="236"/>
        <v>0.89</v>
      </c>
      <c r="M175" s="772"/>
      <c r="N175" s="200"/>
      <c r="O175" s="725">
        <f t="shared" ca="1" si="237"/>
        <v>3.4699403462447704</v>
      </c>
      <c r="P175" s="725">
        <f t="shared" ca="1" si="238"/>
        <v>0.24287</v>
      </c>
      <c r="Q175" s="299">
        <f t="shared" ca="1" si="239"/>
        <v>3.9836805555555559</v>
      </c>
      <c r="R175" s="823"/>
      <c r="S175" s="300"/>
      <c r="T175" s="300"/>
      <c r="U175" s="300"/>
      <c r="V175" s="199">
        <f t="shared" ref="V175" ca="1" si="251">IF(IF(RIGHT(H174,2)="PH",(1-L175)+$W$2,IF(RIGHT(H174,2)="HT",(1-L175)+$W$1,IF(RIGHT(H174,2)="SH",(1-L175)+$W$3,"")))&gt;0,IF(RIGHT(H174,2)="PH",(1-L175)+$W$2,IF(RIGHT(H174,2)="HT",(1-L175)+$W$1,IF(RIGHT(H174,2)="SH",(1-L175)+$W$3,""))),0)</f>
        <v>0.10999999999999999</v>
      </c>
      <c r="W175" s="298"/>
      <c r="X175" s="698">
        <f t="shared" ca="1" si="219"/>
        <v>8</v>
      </c>
      <c r="Y175" s="299">
        <f t="shared" ca="1" si="241"/>
        <v>35</v>
      </c>
      <c r="Z175" s="299">
        <f t="shared" ca="1" si="242"/>
        <v>1.5</v>
      </c>
      <c r="AA175" s="299">
        <f t="shared" ca="1" si="243"/>
        <v>0.8</v>
      </c>
      <c r="AB175" s="299">
        <f t="shared" ca="1" si="244"/>
        <v>2.1</v>
      </c>
      <c r="AD175" s="81">
        <v>2030</v>
      </c>
      <c r="AE175" s="273"/>
      <c r="AF175" s="828"/>
    </row>
    <row r="176" spans="1:32">
      <c r="A176" s="169"/>
      <c r="B176" s="719" t="s">
        <v>1099</v>
      </c>
      <c r="C176" s="713"/>
      <c r="D176" s="701"/>
      <c r="E176" s="701"/>
      <c r="F176" s="224" t="s">
        <v>1149</v>
      </c>
      <c r="G176" s="203"/>
      <c r="H176" s="702"/>
      <c r="I176" s="702" t="str">
        <f t="shared" si="143"/>
        <v>INDIWH</v>
      </c>
      <c r="J176" s="224">
        <f t="shared" si="146"/>
        <v>2050</v>
      </c>
      <c r="K176" s="81"/>
      <c r="L176" s="199">
        <f t="shared" ca="1" si="236"/>
        <v>0.91</v>
      </c>
      <c r="M176" s="826"/>
      <c r="N176" s="825"/>
      <c r="O176" s="725">
        <f t="shared" ca="1" si="237"/>
        <v>3.2813985758696647</v>
      </c>
      <c r="P176" s="725">
        <f t="shared" ca="1" si="238"/>
        <v>0.22797000000000001</v>
      </c>
      <c r="Q176" s="299">
        <f t="shared" ca="1" si="239"/>
        <v>4.0064444444444449</v>
      </c>
      <c r="R176" s="722"/>
      <c r="S176" s="703"/>
      <c r="T176" s="703"/>
      <c r="U176" s="703"/>
      <c r="V176" s="199">
        <f t="shared" ref="V176" ca="1" si="252">IF(IF(RIGHT(H174,2)="PH",(1-L176)+$W$2,IF(RIGHT(H174,2)="HT",(1-L176)+$W$1,IF(RIGHT(H174,2)="SH",(1-L176)+$W$3,"")))&gt;0,IF(RIGHT(H174,2)="PH",(1-L176)+$W$2,IF(RIGHT(H174,2)="HT",(1-L176)+$W$1,IF(RIGHT(H174,2)="SH",(1-L176)+$W$3,""))),0)</f>
        <v>8.9999999999999969E-2</v>
      </c>
      <c r="W176" s="704"/>
      <c r="X176" s="698">
        <f t="shared" ca="1" si="219"/>
        <v>8</v>
      </c>
      <c r="Y176" s="299">
        <f t="shared" ca="1" si="241"/>
        <v>35</v>
      </c>
      <c r="Z176" s="299">
        <f t="shared" ca="1" si="242"/>
        <v>1.5</v>
      </c>
      <c r="AA176" s="299">
        <f t="shared" ca="1" si="243"/>
        <v>0.8</v>
      </c>
      <c r="AB176" s="299">
        <f t="shared" ca="1" si="244"/>
        <v>2.1</v>
      </c>
      <c r="AC176" s="203"/>
      <c r="AD176" s="81">
        <v>2050</v>
      </c>
      <c r="AE176" s="273"/>
      <c r="AF176" s="829"/>
    </row>
    <row r="177" spans="1:32">
      <c r="A177" s="169"/>
      <c r="B177" s="718" t="s">
        <v>1099</v>
      </c>
      <c r="C177" s="226"/>
      <c r="D177" s="707" t="str">
        <f>"IND"&amp;RIGHT(H177,4)&amp;RIGHT(G177,3)&amp;"N"&amp;RIGHT(E177,1)</f>
        <v>INDIDPHCOAN2</v>
      </c>
      <c r="E177" s="261" t="str">
        <f>"Industrial heating technology "&amp;$AJ$12&amp;" "&amp;RIGHT(H177,2)&amp;" - Coal boiler (Hot Water) - new 2"</f>
        <v>Industrial heating technology Mining PH - Coal boiler (Hot Water) - new 2</v>
      </c>
      <c r="F177" s="224" t="s">
        <v>1149</v>
      </c>
      <c r="G177" s="55" t="s">
        <v>617</v>
      </c>
      <c r="H177" s="174" t="str">
        <f>$AI$14</f>
        <v>IIDPH</v>
      </c>
      <c r="I177" s="174" t="str">
        <f t="shared" si="143"/>
        <v>INDIWH</v>
      </c>
      <c r="J177" s="224">
        <f t="shared" si="146"/>
        <v>2011</v>
      </c>
      <c r="K177" s="299">
        <v>2025</v>
      </c>
      <c r="L177" s="199">
        <f t="shared" ref="L177:L182" ca="1" si="253">VLOOKUP($AD177,INDIRECT("'"&amp;$B177&amp;"'!"&amp;"$P$118:$AD$121"),3,FALSE)</f>
        <v>0.89</v>
      </c>
      <c r="M177" s="199"/>
      <c r="N177" s="81">
        <f ca="1">VLOOKUP($AD177,INDIRECT("'"&amp;$B177&amp;"'!"&amp;"$P$118:$AD$121"),5,FALSE)</f>
        <v>25</v>
      </c>
      <c r="O177" s="723">
        <f t="shared" ref="O177:O182" ca="1" si="254">VLOOKUP($AD177,INDIRECT("'"&amp;$B177&amp;"'!"&amp;"$P$118:$AD$121"),6,FALSE)/1000</f>
        <v>3.7250000000000001</v>
      </c>
      <c r="P177" s="723">
        <f t="shared" ref="P177:P182" ca="1" si="255">VLOOKUP($AD177,INDIRECT("'"&amp;$B177&amp;"'!"&amp;"$P$118:$AD$121"),7,FALSE)/1000</f>
        <v>0.25106499999999998</v>
      </c>
      <c r="Q177" s="81">
        <f t="shared" ref="Q177:Q182" ca="1" si="256">VLOOKUP($AD177,INDIRECT("'"&amp;$B177&amp;"'!"&amp;"$P$118:$AD$121"),8,FALSE)</f>
        <v>3.9381527777777778</v>
      </c>
      <c r="R177" s="81">
        <v>3.1536000000000002E-2</v>
      </c>
      <c r="S177" s="199">
        <v>0.5</v>
      </c>
      <c r="T177" s="199">
        <f ca="1">HLOOKUP($T$2,INDIRECT("'"&amp;$B177&amp;"'!"&amp;"$P$85:$AC$98"),IF(H177=$AI$13,6,IF(H177=$AI$14,9,14)),FALSE)</f>
        <v>0</v>
      </c>
      <c r="U177" s="773"/>
      <c r="V177" s="199">
        <f t="shared" ref="V177" ca="1" si="257">IF(IF(RIGHT(H177,2)="PH",(1-L177)+$W$2,IF(RIGHT(H177,2)="HT",(1-L177)+$W$1,IF(RIGHT(H177,2)="SH",(1-L177)+$W$3,"")))&gt;0,IF(RIGHT(H177,2)="PH",(1-L177)+$W$2,IF(RIGHT(H177,2)="HT",(1-L177)+$W$1,IF(RIGHT(H177,2)="SH",(1-L177)+$W$3,""))),0)</f>
        <v>0.31</v>
      </c>
      <c r="W177" s="709"/>
      <c r="X177" s="698">
        <f t="shared" ca="1" si="219"/>
        <v>8</v>
      </c>
      <c r="Y177" s="698">
        <f ca="1">VLOOKUP($AD177,INDIRECT("'"&amp;$B177&amp;"'!"&amp;"$P$118:$AD$121"),12,FALSE)</f>
        <v>35</v>
      </c>
      <c r="Z177" s="698">
        <f ca="1">VLOOKUP($AD177,INDIRECT("'"&amp;$B177&amp;"'!"&amp;"$P$118:$AD$121"),13,FALSE)</f>
        <v>1.5</v>
      </c>
      <c r="AA177" s="698">
        <f ca="1">VLOOKUP($AD177,INDIRECT("'"&amp;$B177&amp;"'!"&amp;"$P$118:$AD$121"),14,FALSE)</f>
        <v>0.8</v>
      </c>
      <c r="AB177" s="698">
        <f ca="1">VLOOKUP($AD177,INDIRECT("'"&amp;$B177&amp;"'!"&amp;"$P$118:$AD$121"),15,FALSE)</f>
        <v>2.1</v>
      </c>
      <c r="AC177" s="55"/>
      <c r="AD177" s="81">
        <v>2020</v>
      </c>
      <c r="AE177" s="273"/>
      <c r="AF177" s="828"/>
    </row>
    <row r="178" spans="1:32">
      <c r="A178" s="169"/>
      <c r="B178" s="718" t="s">
        <v>1099</v>
      </c>
      <c r="C178" s="226"/>
      <c r="D178" s="261"/>
      <c r="E178" s="261"/>
      <c r="F178" s="224" t="s">
        <v>1149</v>
      </c>
      <c r="G178" s="55"/>
      <c r="H178" s="174"/>
      <c r="I178" s="174" t="str">
        <f t="shared" si="143"/>
        <v>INDIWH</v>
      </c>
      <c r="J178" s="224">
        <f t="shared" si="146"/>
        <v>2030</v>
      </c>
      <c r="K178" s="81"/>
      <c r="L178" s="199">
        <f t="shared" ca="1" si="253"/>
        <v>0.89</v>
      </c>
      <c r="M178" s="772"/>
      <c r="N178" s="200"/>
      <c r="O178" s="723">
        <f t="shared" ca="1" si="254"/>
        <v>3.7250000000000001</v>
      </c>
      <c r="P178" s="723">
        <f t="shared" ca="1" si="255"/>
        <v>0.24287</v>
      </c>
      <c r="Q178" s="81">
        <f t="shared" ca="1" si="256"/>
        <v>3.9836805555555559</v>
      </c>
      <c r="R178" s="823"/>
      <c r="S178" s="300"/>
      <c r="T178" s="300"/>
      <c r="U178" s="300"/>
      <c r="V178" s="199">
        <f t="shared" ref="V178" ca="1" si="258">IF(IF(RIGHT(H177,2)="PH",(1-L178)+$W$2,IF(RIGHT(H177,2)="HT",(1-L178)+$W$1,IF(RIGHT(H177,2)="SH",(1-L178)+$W$3,"")))&gt;0,IF(RIGHT(H177,2)="PH",(1-L178)+$W$2,IF(RIGHT(H177,2)="HT",(1-L178)+$W$1,IF(RIGHT(H177,2)="SH",(1-L178)+$W$3,""))),0)</f>
        <v>0.31</v>
      </c>
      <c r="W178" s="298"/>
      <c r="X178" s="824"/>
      <c r="Y178" s="824"/>
      <c r="Z178" s="824"/>
      <c r="AA178" s="824"/>
      <c r="AB178" s="824"/>
      <c r="AD178" s="81">
        <v>2030</v>
      </c>
      <c r="AE178" s="273"/>
      <c r="AF178" s="828"/>
    </row>
    <row r="179" spans="1:32">
      <c r="A179" s="169"/>
      <c r="B179" s="718" t="s">
        <v>1099</v>
      </c>
      <c r="C179" s="226"/>
      <c r="D179" s="261"/>
      <c r="E179" s="261"/>
      <c r="F179" s="224" t="s">
        <v>1149</v>
      </c>
      <c r="G179" s="55"/>
      <c r="H179" s="174"/>
      <c r="I179" s="174" t="str">
        <f t="shared" si="143"/>
        <v>INDIWH</v>
      </c>
      <c r="J179" s="224">
        <f t="shared" si="146"/>
        <v>2050</v>
      </c>
      <c r="K179" s="81"/>
      <c r="L179" s="199">
        <f t="shared" ca="1" si="253"/>
        <v>0.91</v>
      </c>
      <c r="M179" s="772"/>
      <c r="N179" s="200"/>
      <c r="O179" s="723">
        <f t="shared" ca="1" si="254"/>
        <v>3.7250000000000001</v>
      </c>
      <c r="P179" s="723">
        <f t="shared" ca="1" si="255"/>
        <v>0.22797000000000001</v>
      </c>
      <c r="Q179" s="81">
        <f t="shared" ca="1" si="256"/>
        <v>4.0064444444444449</v>
      </c>
      <c r="R179" s="823"/>
      <c r="S179" s="300"/>
      <c r="T179" s="300"/>
      <c r="U179" s="300"/>
      <c r="V179" s="199">
        <f t="shared" ref="V179" ca="1" si="259">IF(IF(RIGHT(H177,2)="PH",(1-L179)+$W$2,IF(RIGHT(H177,2)="HT",(1-L179)+$W$1,IF(RIGHT(H177,2)="SH",(1-L179)+$W$3,"")))&gt;0,IF(RIGHT(H177,2)="PH",(1-L179)+$W$2,IF(RIGHT(H177,2)="HT",(1-L179)+$W$1,IF(RIGHT(H177,2)="SH",(1-L179)+$W$3,""))),0)</f>
        <v>0.28999999999999998</v>
      </c>
      <c r="W179" s="298"/>
      <c r="X179" s="824"/>
      <c r="Y179" s="824"/>
      <c r="Z179" s="824"/>
      <c r="AA179" s="824"/>
      <c r="AB179" s="824"/>
      <c r="AD179" s="81">
        <v>2050</v>
      </c>
      <c r="AE179" s="273"/>
      <c r="AF179" s="828"/>
    </row>
    <row r="180" spans="1:32">
      <c r="A180" s="169"/>
      <c r="B180" s="718" t="s">
        <v>1099</v>
      </c>
      <c r="C180" s="226"/>
      <c r="D180" s="261" t="str">
        <f>"IND"&amp;RIGHT(H180,4)&amp;RIGHT(G180,3)&amp;"N"&amp;RIGHT(E180,1)</f>
        <v>INDIDSHCOAN2</v>
      </c>
      <c r="E180" s="261" t="str">
        <f>"Industrial heating technology "&amp;$AJ$12&amp;" "&amp;RIGHT(H180,2)&amp;" - Coal boiler (Hot Water) - new 2"</f>
        <v>Industrial heating technology Mining SH - Coal boiler (Hot Water) - new 2</v>
      </c>
      <c r="F180" s="224" t="s">
        <v>1149</v>
      </c>
      <c r="G180" s="55" t="s">
        <v>617</v>
      </c>
      <c r="H180" s="174" t="str">
        <f>$AI$15</f>
        <v>IIDSH</v>
      </c>
      <c r="I180" s="174" t="str">
        <f t="shared" si="143"/>
        <v>INDIWH</v>
      </c>
      <c r="J180" s="224">
        <f t="shared" si="146"/>
        <v>2011</v>
      </c>
      <c r="K180" s="299">
        <v>2025</v>
      </c>
      <c r="L180" s="199">
        <f t="shared" ca="1" si="253"/>
        <v>0.89</v>
      </c>
      <c r="M180" s="199"/>
      <c r="N180" s="81">
        <f ca="1">VLOOKUP($AD180,INDIRECT("'"&amp;$B180&amp;"'!"&amp;"$P$118:$AD$121"),5,FALSE)</f>
        <v>25</v>
      </c>
      <c r="O180" s="723">
        <f t="shared" ca="1" si="254"/>
        <v>3.7250000000000001</v>
      </c>
      <c r="P180" s="723">
        <f t="shared" ca="1" si="255"/>
        <v>0.25106499999999998</v>
      </c>
      <c r="Q180" s="81">
        <f t="shared" ca="1" si="256"/>
        <v>3.9381527777777778</v>
      </c>
      <c r="R180" s="81">
        <v>3.1536000000000002E-2</v>
      </c>
      <c r="S180" s="199">
        <v>0.5</v>
      </c>
      <c r="T180" s="199">
        <f ca="1">HLOOKUP($T$2,INDIRECT("'"&amp;$B180&amp;"'!"&amp;"$P$85:$AC$98"),IF(H180=$AI$13,6,IF(H180=$AI$14,9,14)),FALSE)</f>
        <v>1</v>
      </c>
      <c r="U180" s="773"/>
      <c r="V180" s="199">
        <f t="shared" ref="V180" ca="1" si="260">IF(IF(RIGHT(H180,2)="PH",(1-L180)+$W$2,IF(RIGHT(H180,2)="HT",(1-L180)+$W$1,IF(RIGHT(H180,2)="SH",(1-L180)+$W$3,"")))&gt;0,IF(RIGHT(H180,2)="PH",(1-L180)+$W$2,IF(RIGHT(H180,2)="HT",(1-L180)+$W$1,IF(RIGHT(H180,2)="SH",(1-L180)+$W$3,""))),0)</f>
        <v>0.10999999999999999</v>
      </c>
      <c r="W180" s="709"/>
      <c r="X180" s="698">
        <f ca="1">IF(VLOOKUP($AD180,INDIRECT("'"&amp;$B180&amp;"'!"&amp;"$P$39:$AD$42"),11,FALSE)="Cf. the utilized electricity",0,VLOOKUP($AD180,INDIRECT("'"&amp;$B180&amp;"'!"&amp;"$P$39:$AD$42"),11,FALSE))</f>
        <v>8</v>
      </c>
      <c r="Y180" s="698">
        <f ca="1">VLOOKUP($AD180,INDIRECT("'"&amp;$B180&amp;"'!"&amp;"$P$118:$AD$121"),12,FALSE)</f>
        <v>35</v>
      </c>
      <c r="Z180" s="698">
        <f ca="1">VLOOKUP($AD180,INDIRECT("'"&amp;$B180&amp;"'!"&amp;"$P$118:$AD$121"),13,FALSE)</f>
        <v>1.5</v>
      </c>
      <c r="AA180" s="698">
        <f ca="1">VLOOKUP($AD180,INDIRECT("'"&amp;$B180&amp;"'!"&amp;"$P$118:$AD$121"),14,FALSE)</f>
        <v>0.8</v>
      </c>
      <c r="AB180" s="698">
        <f ca="1">VLOOKUP($AD180,INDIRECT("'"&amp;$B180&amp;"'!"&amp;"$P$118:$AD$121"),15,FALSE)</f>
        <v>2.1</v>
      </c>
      <c r="AC180" s="55"/>
      <c r="AD180" s="81">
        <v>2020</v>
      </c>
      <c r="AE180" s="273"/>
      <c r="AF180" s="828"/>
    </row>
    <row r="181" spans="1:32">
      <c r="A181" s="169"/>
      <c r="B181" s="718" t="s">
        <v>1099</v>
      </c>
      <c r="C181" s="226"/>
      <c r="D181" s="261"/>
      <c r="E181" s="261"/>
      <c r="F181" s="224" t="s">
        <v>1149</v>
      </c>
      <c r="G181" s="55"/>
      <c r="H181" s="174"/>
      <c r="I181" s="174" t="str">
        <f t="shared" si="143"/>
        <v>INDIWH</v>
      </c>
      <c r="J181" s="224">
        <f t="shared" si="146"/>
        <v>2030</v>
      </c>
      <c r="K181" s="200"/>
      <c r="L181" s="199">
        <f t="shared" ca="1" si="253"/>
        <v>0.89</v>
      </c>
      <c r="M181" s="772"/>
      <c r="N181" s="200"/>
      <c r="O181" s="723">
        <f t="shared" ca="1" si="254"/>
        <v>3.7250000000000001</v>
      </c>
      <c r="P181" s="723">
        <f t="shared" ca="1" si="255"/>
        <v>0.24287</v>
      </c>
      <c r="Q181" s="81">
        <f t="shared" ca="1" si="256"/>
        <v>3.9836805555555559</v>
      </c>
      <c r="R181" s="823"/>
      <c r="S181" s="300"/>
      <c r="T181" s="300"/>
      <c r="U181" s="300"/>
      <c r="V181" s="199">
        <f t="shared" ref="V181" ca="1" si="261">IF(IF(RIGHT(H180,2)="PH",(1-L181)+$W$2,IF(RIGHT(H180,2)="HT",(1-L181)+$W$1,IF(RIGHT(H180,2)="SH",(1-L181)+$W$3,"")))&gt;0,IF(RIGHT(H180,2)="PH",(1-L181)+$W$2,IF(RIGHT(H180,2)="HT",(1-L181)+$W$1,IF(RIGHT(H180,2)="SH",(1-L181)+$W$3,""))),0)</f>
        <v>0.10999999999999999</v>
      </c>
      <c r="W181" s="298"/>
      <c r="X181" s="824"/>
      <c r="Y181" s="824"/>
      <c r="Z181" s="824"/>
      <c r="AA181" s="824"/>
      <c r="AB181" s="824"/>
      <c r="AD181" s="81">
        <v>2030</v>
      </c>
      <c r="AE181" s="273"/>
      <c r="AF181" s="828"/>
    </row>
    <row r="182" spans="1:32">
      <c r="A182" s="831"/>
      <c r="B182" s="719" t="s">
        <v>1099</v>
      </c>
      <c r="C182" s="713"/>
      <c r="D182" s="701"/>
      <c r="E182" s="701"/>
      <c r="F182" s="224" t="s">
        <v>1149</v>
      </c>
      <c r="G182" s="203"/>
      <c r="H182" s="702"/>
      <c r="I182" s="266" t="str">
        <f t="shared" si="143"/>
        <v>INDIWH</v>
      </c>
      <c r="J182" s="224">
        <f t="shared" si="146"/>
        <v>2050</v>
      </c>
      <c r="K182" s="825"/>
      <c r="L182" s="199">
        <f t="shared" ca="1" si="253"/>
        <v>0.91</v>
      </c>
      <c r="M182" s="826"/>
      <c r="N182" s="825"/>
      <c r="O182" s="723">
        <f t="shared" ca="1" si="254"/>
        <v>3.7250000000000001</v>
      </c>
      <c r="P182" s="723">
        <f t="shared" ca="1" si="255"/>
        <v>0.22797000000000001</v>
      </c>
      <c r="Q182" s="81">
        <f t="shared" ca="1" si="256"/>
        <v>4.0064444444444449</v>
      </c>
      <c r="R182" s="722"/>
      <c r="S182" s="703"/>
      <c r="T182" s="703"/>
      <c r="U182" s="703"/>
      <c r="V182" s="199">
        <f t="shared" ref="V182" ca="1" si="262">IF(IF(RIGHT(H180,2)="PH",(1-L182)+$W$2,IF(RIGHT(H180,2)="HT",(1-L182)+$W$1,IF(RIGHT(H180,2)="SH",(1-L182)+$W$3,"")))&gt;0,IF(RIGHT(H180,2)="PH",(1-L182)+$W$2,IF(RIGHT(H180,2)="HT",(1-L182)+$W$1,IF(RIGHT(H180,2)="SH",(1-L182)+$W$3,""))),0)</f>
        <v>8.9999999999999969E-2</v>
      </c>
      <c r="W182" s="704"/>
      <c r="X182" s="827"/>
      <c r="Y182" s="827"/>
      <c r="Z182" s="827"/>
      <c r="AA182" s="827"/>
      <c r="AB182" s="827"/>
      <c r="AC182" s="203"/>
      <c r="AD182" s="81">
        <v>2050</v>
      </c>
      <c r="AE182" s="273"/>
      <c r="AF182" s="829"/>
    </row>
    <row r="183" spans="1:32">
      <c r="A183" s="831"/>
      <c r="B183" s="226" t="s">
        <v>576</v>
      </c>
      <c r="C183" s="901"/>
      <c r="D183" s="261" t="str">
        <f>"IND"&amp;RIGHT(H183,4)&amp;RIGHT(G183,3)&amp;"N"&amp;RIGHT(E183,1)</f>
        <v>INDIDSHSOLN1</v>
      </c>
      <c r="E183" s="261" t="str">
        <f>"Industrial heating technology "&amp;$AJ$12&amp;" "&amp;RIGHT(H183,2)&amp;" - Solar - new 1"</f>
        <v>Industrial heating technology Mining SH - Solar - new 1</v>
      </c>
      <c r="F183" s="224" t="s">
        <v>1149</v>
      </c>
      <c r="G183" s="55" t="s">
        <v>500</v>
      </c>
      <c r="H183" s="174" t="str">
        <f>$AI$15</f>
        <v>IIDSH</v>
      </c>
      <c r="I183" s="174"/>
      <c r="J183" s="224">
        <f t="shared" si="146"/>
        <v>2011</v>
      </c>
      <c r="K183" s="299">
        <v>2025</v>
      </c>
      <c r="L183" s="199">
        <f ca="1">VLOOKUP($AD183,INDIRECT("'"&amp;$B183&amp;"'!"&amp;"$J$40:$X$43"),3,FALSE)</f>
        <v>1</v>
      </c>
      <c r="M183" s="772"/>
      <c r="N183" s="199">
        <f ca="1">VLOOKUP($AD183,INDIRECT("'"&amp;$B183&amp;"'!"&amp;"$J$40:$X$43"),5,FALSE)</f>
        <v>25</v>
      </c>
      <c r="O183" s="199">
        <f ca="1">VLOOKUP($AD183,INDIRECT("'"&amp;$B183&amp;"'!"&amp;"$J$40:$X$43"),6,FALSE)/1000</f>
        <v>4.2857142857142865</v>
      </c>
      <c r="P183" s="199">
        <f ca="1">VLOOKUP($AD183,INDIRECT("'"&amp;$B183&amp;"'!"&amp;"$J$40:$X$43"),7,FALSE)/1000</f>
        <v>2.0660433158225668E-2</v>
      </c>
      <c r="Q183" s="199">
        <f ca="1">VLOOKUP($AD183,INDIRECT("'"&amp;$B183&amp;"'!"&amp;"$J$40:$X$43"),8,FALSE)</f>
        <v>0</v>
      </c>
      <c r="R183" s="81">
        <v>3.1536000000000002E-2</v>
      </c>
      <c r="S183" s="199">
        <v>8.5500000000000007E-2</v>
      </c>
      <c r="T183" s="199">
        <v>1</v>
      </c>
      <c r="U183" s="300"/>
      <c r="V183" s="199"/>
      <c r="W183" s="298"/>
      <c r="X183" s="698">
        <v>0</v>
      </c>
      <c r="Y183" s="81">
        <v>0</v>
      </c>
      <c r="Z183" s="81">
        <v>0</v>
      </c>
      <c r="AA183" s="81">
        <v>0</v>
      </c>
      <c r="AB183" s="81">
        <v>0</v>
      </c>
      <c r="AC183" s="55"/>
      <c r="AD183" s="81">
        <v>2020</v>
      </c>
      <c r="AE183" s="200"/>
      <c r="AF183" s="700"/>
    </row>
    <row r="184" spans="1:32">
      <c r="A184" s="831"/>
      <c r="B184" s="226" t="s">
        <v>576</v>
      </c>
      <c r="C184" s="902"/>
      <c r="D184" s="261"/>
      <c r="E184" s="261"/>
      <c r="F184" s="224" t="s">
        <v>1149</v>
      </c>
      <c r="G184" s="55"/>
      <c r="H184" s="174"/>
      <c r="I184" s="174"/>
      <c r="J184" s="224">
        <f t="shared" si="146"/>
        <v>2030</v>
      </c>
      <c r="K184" s="200"/>
      <c r="L184" s="199">
        <f ca="1">VLOOKUP($AD184,INDIRECT("'"&amp;$B184&amp;"'!"&amp;"$J$40:$X$43"),3,FALSE)</f>
        <v>1</v>
      </c>
      <c r="M184" s="772"/>
      <c r="N184" s="199">
        <f ca="1">VLOOKUP($AD184,INDIRECT("'"&amp;$B184&amp;"'!"&amp;"$J$40:$X$43"),5,FALSE)</f>
        <v>30</v>
      </c>
      <c r="O184" s="199">
        <f ca="1">VLOOKUP($AD184,INDIRECT("'"&amp;$B184&amp;"'!"&amp;"$J$40:$X$43"),6,FALSE)/1000</f>
        <v>3.9285714285714284</v>
      </c>
      <c r="P184" s="199">
        <f ca="1">VLOOKUP($AD184,INDIRECT("'"&amp;$B184&amp;"'!"&amp;"$J$40:$X$43"),7,FALSE)/1000</f>
        <v>2.328125E-2</v>
      </c>
      <c r="Q184" s="199">
        <f ca="1">VLOOKUP($AD184,INDIRECT("'"&amp;$B184&amp;"'!"&amp;"$J$40:$X$43"),8,FALSE)</f>
        <v>0</v>
      </c>
      <c r="R184" s="823"/>
      <c r="S184" s="300"/>
      <c r="T184" s="300"/>
      <c r="U184" s="300"/>
      <c r="V184" s="772"/>
      <c r="W184" s="298"/>
      <c r="X184" s="824"/>
      <c r="Y184" s="824"/>
      <c r="Z184" s="824"/>
      <c r="AA184" s="824"/>
      <c r="AB184" s="824"/>
      <c r="AC184" s="55"/>
      <c r="AD184" s="81">
        <v>2030</v>
      </c>
      <c r="AE184" s="200"/>
      <c r="AF184" s="700"/>
    </row>
    <row r="185" spans="1:32" s="203" customFormat="1">
      <c r="A185" s="900"/>
      <c r="B185" s="713" t="s">
        <v>576</v>
      </c>
      <c r="C185" s="903"/>
      <c r="D185" s="701"/>
      <c r="E185" s="701"/>
      <c r="F185" s="224" t="s">
        <v>1149</v>
      </c>
      <c r="H185" s="702"/>
      <c r="I185" s="702"/>
      <c r="J185" s="224">
        <f t="shared" si="146"/>
        <v>2050</v>
      </c>
      <c r="K185" s="825"/>
      <c r="L185" s="199">
        <f ca="1">VLOOKUP($AD185,INDIRECT("'"&amp;$B185&amp;"'!"&amp;"$J$40:$X$43"),3,FALSE)</f>
        <v>1</v>
      </c>
      <c r="M185" s="826"/>
      <c r="N185" s="199">
        <f ca="1">VLOOKUP($AD185,INDIRECT("'"&amp;$B185&amp;"'!"&amp;"$J$40:$X$43"),5,FALSE)</f>
        <v>30</v>
      </c>
      <c r="O185" s="199">
        <f ca="1">VLOOKUP($AD185,INDIRECT("'"&amp;$B185&amp;"'!"&amp;"$J$40:$X$43"),6,FALSE)/1000</f>
        <v>3.5714285714285721</v>
      </c>
      <c r="P185" s="199">
        <f ca="1">VLOOKUP($AD185,INDIRECT("'"&amp;$B185&amp;"'!"&amp;"$J$40:$X$43"),7,FALSE)/1000</f>
        <v>2.1498571428571429E-2</v>
      </c>
      <c r="Q185" s="199">
        <f ca="1">VLOOKUP($AD185,INDIRECT("'"&amp;$B185&amp;"'!"&amp;"$J$40:$X$43"),8,FALSE)</f>
        <v>0</v>
      </c>
      <c r="R185" s="722"/>
      <c r="S185" s="703"/>
      <c r="T185" s="703"/>
      <c r="U185" s="703"/>
      <c r="V185" s="826"/>
      <c r="W185" s="704"/>
      <c r="X185" s="827"/>
      <c r="Y185" s="827"/>
      <c r="Z185" s="827"/>
      <c r="AA185" s="827"/>
      <c r="AB185" s="827"/>
      <c r="AD185" s="81">
        <v>2050</v>
      </c>
      <c r="AE185" s="825"/>
      <c r="AF185" s="705"/>
    </row>
    <row r="186" spans="1:32">
      <c r="A186" s="169"/>
      <c r="D186" s="36" t="s">
        <v>503</v>
      </c>
      <c r="E186" s="36"/>
      <c r="F186" s="224" t="s">
        <v>1149</v>
      </c>
      <c r="H186" s="173"/>
      <c r="I186" s="173"/>
      <c r="J186" s="224">
        <f t="shared" si="146"/>
        <v>0</v>
      </c>
      <c r="K186" s="198"/>
      <c r="L186" s="204"/>
      <c r="M186" s="204"/>
      <c r="N186" s="204"/>
      <c r="O186" s="37"/>
      <c r="P186" s="37"/>
      <c r="Q186" s="205"/>
      <c r="R186" s="252"/>
      <c r="S186" s="274"/>
      <c r="T186" s="204"/>
      <c r="U186" s="204"/>
      <c r="V186" s="204"/>
      <c r="W186" s="204"/>
      <c r="X186" s="204"/>
      <c r="Y186" s="204"/>
      <c r="Z186" s="204"/>
      <c r="AA186" s="204"/>
      <c r="AB186" s="204"/>
    </row>
    <row r="187" spans="1:32">
      <c r="A187" s="169"/>
      <c r="D187" s="212" t="str">
        <f t="shared" ref="D187:D192" si="263">"IND"&amp;RIGHT(H187,4)&amp;RIGHT(G187,3)&amp;"N"&amp;RIGHT(E187,1)</f>
        <v>INDIDSHHCEN1</v>
      </c>
      <c r="E187" s="224" t="str">
        <f>"Industrial heating technology "&amp;$AJ$12&amp;" "&amp;RIGHT(H187,2)&amp;" - central district heating - within DH area - new 1"</f>
        <v>Industrial heating technology Mining SH - central district heating - within DH area - new 1</v>
      </c>
      <c r="F187" s="224" t="s">
        <v>1149</v>
      </c>
      <c r="G187" s="225" t="s">
        <v>501</v>
      </c>
      <c r="H187" s="225" t="str">
        <f>AI15</f>
        <v>IIDSH</v>
      </c>
      <c r="I187" s="225"/>
      <c r="J187" s="81">
        <v>2011</v>
      </c>
      <c r="K187" s="299">
        <v>2025</v>
      </c>
      <c r="L187" s="81">
        <v>0.96</v>
      </c>
      <c r="M187" s="81"/>
      <c r="N187" s="81">
        <v>30</v>
      </c>
      <c r="O187" s="253">
        <v>1.17</v>
      </c>
      <c r="P187" s="254">
        <f>'DH network'!$M$9</f>
        <v>5.8735799999999998E-2</v>
      </c>
      <c r="Q187" s="254">
        <f ca="1">Q31*0.95</f>
        <v>1.9463124999999999</v>
      </c>
      <c r="R187" s="201">
        <v>3.1536000000000002E-2</v>
      </c>
      <c r="S187" s="275">
        <v>0.5</v>
      </c>
      <c r="T187" s="228"/>
      <c r="U187" s="228"/>
      <c r="V187" s="228"/>
      <c r="W187" s="287"/>
      <c r="X187" s="278"/>
      <c r="Y187" s="61"/>
      <c r="Z187" s="61"/>
      <c r="AA187" s="61"/>
      <c r="AB187" s="61"/>
    </row>
    <row r="188" spans="1:32">
      <c r="A188" s="169"/>
      <c r="D188" s="212" t="str">
        <f t="shared" si="263"/>
        <v>INDIDPHHCEN1</v>
      </c>
      <c r="E188" s="224" t="str">
        <f>"Industrial heating technology "&amp;$AJ$12&amp;" "&amp;RIGHT(H188,2)&amp;" - central district heating - within DH area - new 1"</f>
        <v>Industrial heating technology Mining PH - central district heating - within DH area - new 1</v>
      </c>
      <c r="F188" s="224" t="s">
        <v>1149</v>
      </c>
      <c r="G188" s="225" t="s">
        <v>501</v>
      </c>
      <c r="H188" s="281" t="str">
        <f>AI14</f>
        <v>IIDPH</v>
      </c>
      <c r="I188" s="281"/>
      <c r="J188" s="81">
        <v>2011</v>
      </c>
      <c r="K188" s="299">
        <v>2025</v>
      </c>
      <c r="L188" s="81">
        <v>0.96</v>
      </c>
      <c r="M188" s="81"/>
      <c r="N188" s="81">
        <v>30</v>
      </c>
      <c r="O188" s="253">
        <v>1.17</v>
      </c>
      <c r="P188" s="254">
        <f>'DH network'!$M$9</f>
        <v>5.8735799999999998E-2</v>
      </c>
      <c r="Q188" s="254">
        <f ca="1">Q33*0.95</f>
        <v>6.4090694444444436</v>
      </c>
      <c r="R188" s="201">
        <v>3.1536000000000002E-2</v>
      </c>
      <c r="S188" s="275">
        <v>0.5</v>
      </c>
      <c r="T188" s="228">
        <v>0.05</v>
      </c>
      <c r="U188" s="228"/>
      <c r="V188" s="228"/>
      <c r="W188" s="287"/>
      <c r="X188" s="278"/>
      <c r="Y188" s="61"/>
      <c r="Z188" s="61"/>
      <c r="AA188" s="61"/>
      <c r="AB188" s="61"/>
      <c r="AC188" s="226"/>
      <c r="AD188" s="226"/>
      <c r="AE188" s="226"/>
      <c r="AF188" s="226"/>
    </row>
    <row r="189" spans="1:32">
      <c r="A189" s="169"/>
      <c r="D189" s="212" t="str">
        <f t="shared" si="263"/>
        <v>INDIDSHHSEN1</v>
      </c>
      <c r="E189" s="224" t="str">
        <f>"Industrial heating technology "&amp;$AJ$12&amp;" "&amp;RIGHT(H189,2)&amp;" - central district heating - within DH area - new 1"</f>
        <v>Industrial heating technology Mining SH - central district heating - within DH area - new 1</v>
      </c>
      <c r="F189" s="224" t="s">
        <v>1149</v>
      </c>
      <c r="G189" s="225" t="s">
        <v>2123</v>
      </c>
      <c r="H189" s="225" t="str">
        <f>H187</f>
        <v>IIDSH</v>
      </c>
      <c r="I189" s="225"/>
      <c r="J189" s="81">
        <f t="shared" ref="J189:L190" si="264">J187</f>
        <v>2011</v>
      </c>
      <c r="K189" s="81">
        <f t="shared" si="264"/>
        <v>2025</v>
      </c>
      <c r="L189" s="81">
        <f t="shared" si="264"/>
        <v>0.96</v>
      </c>
      <c r="M189" s="81"/>
      <c r="N189" s="81">
        <f t="shared" ref="N189:S190" si="265">N187</f>
        <v>30</v>
      </c>
      <c r="O189" s="81">
        <f t="shared" si="265"/>
        <v>1.17</v>
      </c>
      <c r="P189" s="81">
        <f t="shared" si="265"/>
        <v>5.8735799999999998E-2</v>
      </c>
      <c r="Q189" s="81">
        <f t="shared" ca="1" si="265"/>
        <v>1.9463124999999999</v>
      </c>
      <c r="R189" s="81">
        <f t="shared" si="265"/>
        <v>3.1536000000000002E-2</v>
      </c>
      <c r="S189" s="81">
        <f t="shared" si="265"/>
        <v>0.5</v>
      </c>
      <c r="T189" s="228"/>
      <c r="U189" s="228"/>
      <c r="V189" s="228"/>
      <c r="W189" s="287"/>
      <c r="X189" s="278"/>
      <c r="Y189" s="61"/>
      <c r="Z189" s="61"/>
      <c r="AA189" s="61"/>
      <c r="AB189" s="61"/>
    </row>
    <row r="190" spans="1:32">
      <c r="A190" s="169"/>
      <c r="D190" s="212" t="str">
        <f t="shared" si="263"/>
        <v>INDIDPHHSEN1</v>
      </c>
      <c r="E190" s="224" t="str">
        <f>"Industrial heating technology "&amp;$AJ$12&amp;" "&amp;RIGHT(H190,2)&amp;" - central district heating - within DH area - new 1"</f>
        <v>Industrial heating technology Mining PH - central district heating - within DH area - new 1</v>
      </c>
      <c r="F190" s="224" t="s">
        <v>1149</v>
      </c>
      <c r="G190" s="225" t="s">
        <v>2123</v>
      </c>
      <c r="H190" s="225" t="str">
        <f>H188</f>
        <v>IIDPH</v>
      </c>
      <c r="I190" s="281"/>
      <c r="J190" s="81">
        <f t="shared" si="264"/>
        <v>2011</v>
      </c>
      <c r="K190" s="81">
        <f t="shared" si="264"/>
        <v>2025</v>
      </c>
      <c r="L190" s="81">
        <f t="shared" si="264"/>
        <v>0.96</v>
      </c>
      <c r="M190" s="81"/>
      <c r="N190" s="81">
        <f t="shared" si="265"/>
        <v>30</v>
      </c>
      <c r="O190" s="81">
        <f t="shared" si="265"/>
        <v>1.17</v>
      </c>
      <c r="P190" s="81">
        <f t="shared" si="265"/>
        <v>5.8735799999999998E-2</v>
      </c>
      <c r="Q190" s="81">
        <f t="shared" ca="1" si="265"/>
        <v>6.4090694444444436</v>
      </c>
      <c r="R190" s="81">
        <f t="shared" si="265"/>
        <v>3.1536000000000002E-2</v>
      </c>
      <c r="S190" s="81">
        <f t="shared" si="265"/>
        <v>0.5</v>
      </c>
      <c r="T190" s="81">
        <f>T188</f>
        <v>0.05</v>
      </c>
      <c r="U190" s="228"/>
      <c r="V190" s="228"/>
      <c r="W190" s="287"/>
      <c r="X190" s="278"/>
      <c r="Y190" s="61"/>
      <c r="Z190" s="61"/>
      <c r="AA190" s="61"/>
      <c r="AB190" s="61"/>
      <c r="AC190" s="226"/>
      <c r="AD190" s="226"/>
      <c r="AE190" s="226"/>
      <c r="AF190" s="226"/>
    </row>
    <row r="191" spans="1:32">
      <c r="A191" s="169"/>
      <c r="D191" s="212" t="str">
        <f t="shared" si="263"/>
        <v>INDIDSHHDEN1</v>
      </c>
      <c r="E191" s="224" t="str">
        <f>"Industrial heating technology "&amp;$AJ$12&amp;" "&amp;RIGHT(H191,2)&amp;" - decentral district heating - within DH area - new 1"</f>
        <v>Industrial heating technology Mining SH - decentral district heating - within DH area - new 1</v>
      </c>
      <c r="F191" s="224" t="s">
        <v>1149</v>
      </c>
      <c r="G191" s="259" t="s">
        <v>502</v>
      </c>
      <c r="H191" s="265" t="str">
        <f>AI15</f>
        <v>IIDSH</v>
      </c>
      <c r="I191" s="265"/>
      <c r="J191" s="81">
        <v>2011</v>
      </c>
      <c r="K191" s="299">
        <v>2025</v>
      </c>
      <c r="L191" s="81">
        <f>L187</f>
        <v>0.96</v>
      </c>
      <c r="M191" s="81"/>
      <c r="N191" s="81">
        <v>30</v>
      </c>
      <c r="O191" s="253">
        <v>1.25</v>
      </c>
      <c r="P191" s="254">
        <f>'DH network'!$M$9</f>
        <v>5.8735799999999998E-2</v>
      </c>
      <c r="Q191" s="254">
        <f ca="1">Q187</f>
        <v>1.9463124999999999</v>
      </c>
      <c r="R191" s="201">
        <v>3.1536000000000002E-2</v>
      </c>
      <c r="S191" s="275">
        <v>0.5</v>
      </c>
      <c r="T191" s="228"/>
      <c r="U191" s="228"/>
      <c r="V191" s="228"/>
      <c r="W191" s="287"/>
      <c r="X191" s="278"/>
      <c r="Y191" s="61"/>
      <c r="Z191" s="61"/>
      <c r="AA191" s="61"/>
      <c r="AB191" s="61"/>
      <c r="AC191" s="226"/>
      <c r="AD191" s="226"/>
      <c r="AE191" s="226"/>
      <c r="AF191" s="226"/>
    </row>
    <row r="192" spans="1:32">
      <c r="A192" s="169"/>
      <c r="D192" s="212" t="str">
        <f t="shared" si="263"/>
        <v>INDIDPHHDEN1</v>
      </c>
      <c r="E192" s="224" t="str">
        <f>"Industrial heating technology "&amp;$AJ$12&amp;" "&amp;RIGHT(H192,2)&amp;" - decentral district heating - within DH area - new 1"</f>
        <v>Industrial heating technology Mining PH - decentral district heating - within DH area - new 1</v>
      </c>
      <c r="F192" s="224" t="s">
        <v>1149</v>
      </c>
      <c r="G192" s="259" t="s">
        <v>502</v>
      </c>
      <c r="H192" s="225" t="str">
        <f>AI14</f>
        <v>IIDPH</v>
      </c>
      <c r="I192" s="225"/>
      <c r="J192" s="81">
        <v>2011</v>
      </c>
      <c r="K192" s="299">
        <v>2025</v>
      </c>
      <c r="L192" s="81">
        <f>L188</f>
        <v>0.96</v>
      </c>
      <c r="M192" s="81"/>
      <c r="N192" s="81">
        <v>30</v>
      </c>
      <c r="O192" s="253">
        <v>1.25</v>
      </c>
      <c r="P192" s="254">
        <f>'DH network'!$M$9</f>
        <v>5.8735799999999998E-2</v>
      </c>
      <c r="Q192" s="254">
        <f ca="1">Q188</f>
        <v>6.4090694444444436</v>
      </c>
      <c r="R192" s="201">
        <v>3.1536000000000002E-2</v>
      </c>
      <c r="S192" s="275">
        <v>0.5</v>
      </c>
      <c r="T192" s="228">
        <v>0.05</v>
      </c>
      <c r="U192" s="228"/>
      <c r="V192" s="228"/>
      <c r="W192" s="287"/>
      <c r="X192" s="278"/>
      <c r="Y192" s="61"/>
      <c r="Z192" s="61"/>
      <c r="AA192" s="61"/>
      <c r="AB192" s="61"/>
      <c r="AC192" s="226"/>
      <c r="AD192" s="226"/>
      <c r="AE192" s="226"/>
      <c r="AF192" s="226"/>
    </row>
    <row r="193" spans="1:32">
      <c r="A193" s="169"/>
      <c r="B193" s="226"/>
      <c r="C193" s="226"/>
      <c r="D193" s="258" t="s">
        <v>497</v>
      </c>
      <c r="E193" s="258"/>
      <c r="F193" s="224" t="s">
        <v>1149</v>
      </c>
      <c r="G193" s="206"/>
      <c r="H193" s="225"/>
      <c r="I193" s="225"/>
      <c r="J193" s="200"/>
      <c r="K193" s="200"/>
      <c r="L193" s="200"/>
      <c r="M193" s="200"/>
      <c r="N193" s="200"/>
      <c r="O193" s="227"/>
      <c r="P193" s="227"/>
      <c r="Q193" s="227"/>
      <c r="R193" s="202"/>
      <c r="S193" s="228"/>
      <c r="T193" s="228"/>
      <c r="U193" s="228"/>
      <c r="V193" s="228"/>
      <c r="W193" s="287"/>
      <c r="X193" s="226"/>
      <c r="Y193" s="226"/>
      <c r="Z193" s="226"/>
      <c r="AA193" s="226"/>
      <c r="AB193" s="226"/>
      <c r="AC193" s="226"/>
      <c r="AD193" s="226"/>
      <c r="AE193" s="226"/>
      <c r="AF193" s="226"/>
    </row>
    <row r="194" spans="1:32">
      <c r="A194" s="169"/>
      <c r="B194" s="226"/>
      <c r="C194" s="226"/>
      <c r="D194" s="212" t="str">
        <f>"IND"&amp;RIGHT(H194,4)&amp;RIGHT(G194,3)&amp;"N"&amp;RIGHT(E194,1)</f>
        <v>INDIDLAELCN1</v>
      </c>
      <c r="E194" s="224" t="str">
        <f>"Industry "&amp;$AJ$12&amp;" "&amp;RIGHT(H194,2)&amp;" Electricity Light Appliance - New 1"</f>
        <v>Industry Mining LA Electricity Light Appliance - New 1</v>
      </c>
      <c r="F194" s="224" t="s">
        <v>1149</v>
      </c>
      <c r="G194" s="225" t="s">
        <v>499</v>
      </c>
      <c r="H194" s="225" t="str">
        <f>AI16</f>
        <v>IIDLA</v>
      </c>
      <c r="I194" s="225"/>
      <c r="J194" s="81">
        <v>2011</v>
      </c>
      <c r="K194" s="81">
        <v>2011</v>
      </c>
      <c r="L194" s="256">
        <v>1</v>
      </c>
      <c r="M194" s="256"/>
      <c r="N194" s="256">
        <v>10</v>
      </c>
      <c r="O194" s="254"/>
      <c r="P194" s="254"/>
      <c r="Q194" s="254"/>
      <c r="R194" s="201"/>
      <c r="S194" s="275">
        <v>0.9</v>
      </c>
      <c r="T194" s="228"/>
      <c r="U194" s="228"/>
      <c r="V194" s="228"/>
      <c r="W194" s="287"/>
      <c r="X194" s="279"/>
      <c r="Y194" s="255"/>
      <c r="Z194" s="255"/>
      <c r="AA194" s="255"/>
      <c r="AB194" s="255"/>
      <c r="AC194" s="226"/>
      <c r="AD194" s="226"/>
      <c r="AE194" s="226"/>
      <c r="AF194" s="226"/>
    </row>
    <row r="195" spans="1:32">
      <c r="A195" s="169"/>
      <c r="B195" s="226"/>
      <c r="C195" s="226"/>
      <c r="F195" s="224" t="s">
        <v>1149</v>
      </c>
      <c r="G195" s="225"/>
      <c r="H195" s="226"/>
      <c r="I195" s="226"/>
      <c r="J195" s="256">
        <v>2020</v>
      </c>
      <c r="K195" s="256"/>
      <c r="L195" s="256"/>
      <c r="M195" s="256"/>
      <c r="N195" s="256"/>
      <c r="O195" s="254"/>
      <c r="P195" s="254"/>
      <c r="Q195" s="254"/>
      <c r="R195" s="201"/>
      <c r="S195" s="275"/>
      <c r="T195" s="228"/>
      <c r="U195" s="228"/>
      <c r="V195" s="228"/>
      <c r="W195" s="287"/>
      <c r="X195" s="279"/>
      <c r="Y195" s="255"/>
      <c r="Z195" s="255"/>
      <c r="AA195" s="255"/>
      <c r="AB195" s="255"/>
      <c r="AC195" s="226"/>
      <c r="AD195" s="226"/>
      <c r="AE195" s="226"/>
      <c r="AF195" s="226"/>
    </row>
    <row r="196" spans="1:32">
      <c r="A196" s="169"/>
      <c r="B196" s="226"/>
      <c r="C196" s="226"/>
      <c r="F196" s="224" t="s">
        <v>1149</v>
      </c>
      <c r="G196" s="225"/>
      <c r="H196" s="225"/>
      <c r="I196" s="225"/>
      <c r="J196" s="256">
        <v>2030</v>
      </c>
      <c r="K196" s="256"/>
      <c r="L196" s="256"/>
      <c r="M196" s="256"/>
      <c r="N196" s="256"/>
      <c r="O196" s="254"/>
      <c r="P196" s="254"/>
      <c r="Q196" s="254"/>
      <c r="R196" s="201"/>
      <c r="S196" s="275"/>
      <c r="T196" s="228"/>
      <c r="U196" s="228"/>
      <c r="V196" s="228"/>
      <c r="W196" s="287"/>
      <c r="X196" s="279"/>
      <c r="Y196" s="255"/>
      <c r="Z196" s="255"/>
      <c r="AA196" s="255"/>
      <c r="AB196" s="255"/>
    </row>
    <row r="197" spans="1:32">
      <c r="A197" s="169"/>
      <c r="B197" s="226"/>
      <c r="C197" s="226"/>
      <c r="F197" s="224" t="s">
        <v>1149</v>
      </c>
      <c r="G197" s="225"/>
      <c r="H197" s="225"/>
      <c r="I197" s="225"/>
      <c r="J197" s="256">
        <v>2050</v>
      </c>
      <c r="K197" s="256"/>
      <c r="L197" s="256"/>
      <c r="M197" s="256"/>
      <c r="N197" s="256"/>
      <c r="O197" s="254"/>
      <c r="P197" s="254"/>
      <c r="Q197" s="254"/>
      <c r="R197" s="201"/>
      <c r="S197" s="275"/>
      <c r="T197" s="228"/>
      <c r="U197" s="228"/>
      <c r="V197" s="228"/>
      <c r="W197" s="287"/>
      <c r="X197" s="279"/>
      <c r="Y197" s="255"/>
      <c r="Z197" s="255"/>
      <c r="AA197" s="255"/>
      <c r="AB197" s="255"/>
    </row>
    <row r="198" spans="1:32">
      <c r="A198" s="169"/>
      <c r="B198" s="226"/>
      <c r="C198" s="226"/>
      <c r="D198" s="212" t="str">
        <f>"IND"&amp;RIGHT(H198,4)&amp;RIGHT(G198,3)&amp;"N"&amp;RIGHT(E198,1)</f>
        <v>INDIDEMELCN1</v>
      </c>
      <c r="E198" s="224" t="str">
        <f>"Industry "&amp;$AJ$12&amp;" "&amp;RIGHT(H198,2)&amp;" Electricity Motors - New 1"</f>
        <v>Industry Mining EM Electricity Motors - New 1</v>
      </c>
      <c r="F198" s="224" t="s">
        <v>1149</v>
      </c>
      <c r="G198" s="225" t="s">
        <v>499</v>
      </c>
      <c r="H198" s="225" t="str">
        <f>AI17</f>
        <v>IIDEM</v>
      </c>
      <c r="I198" s="225"/>
      <c r="J198" s="81">
        <v>2011</v>
      </c>
      <c r="K198" s="81">
        <v>2011</v>
      </c>
      <c r="L198" s="256">
        <v>1</v>
      </c>
      <c r="M198" s="256"/>
      <c r="N198" s="256">
        <v>10</v>
      </c>
      <c r="O198" s="254"/>
      <c r="P198" s="254"/>
      <c r="Q198" s="254"/>
      <c r="R198" s="201"/>
      <c r="S198" s="275">
        <v>0.9</v>
      </c>
      <c r="T198" s="228"/>
      <c r="U198" s="228"/>
      <c r="V198" s="228"/>
      <c r="W198" s="287"/>
      <c r="X198" s="279"/>
      <c r="Y198" s="255"/>
      <c r="Z198" s="255"/>
      <c r="AA198" s="255"/>
      <c r="AB198" s="255"/>
    </row>
    <row r="199" spans="1:32">
      <c r="A199" s="169"/>
      <c r="D199" s="170"/>
      <c r="E199" s="64"/>
      <c r="F199" s="224" t="s">
        <v>1149</v>
      </c>
      <c r="H199" s="173"/>
      <c r="I199" s="173"/>
      <c r="J199" s="256">
        <v>2020</v>
      </c>
      <c r="K199" s="257"/>
      <c r="L199" s="257"/>
      <c r="M199" s="257"/>
      <c r="N199" s="257"/>
      <c r="O199" s="61"/>
      <c r="P199" s="61"/>
      <c r="Q199" s="61"/>
      <c r="R199" s="61"/>
      <c r="S199" s="276"/>
      <c r="T199" s="55"/>
      <c r="U199" s="55"/>
      <c r="V199" s="55"/>
      <c r="W199" s="283"/>
      <c r="X199" s="278"/>
      <c r="Y199" s="61"/>
      <c r="Z199" s="61"/>
      <c r="AA199" s="61"/>
      <c r="AB199" s="61"/>
    </row>
    <row r="200" spans="1:32">
      <c r="A200" s="169"/>
      <c r="F200" s="224" t="s">
        <v>1149</v>
      </c>
      <c r="H200" s="173"/>
      <c r="I200" s="173"/>
      <c r="J200" s="256">
        <v>2030</v>
      </c>
      <c r="K200" s="257"/>
      <c r="L200" s="257"/>
      <c r="M200" s="257"/>
      <c r="N200" s="257"/>
      <c r="O200" s="61"/>
      <c r="P200" s="61"/>
      <c r="Q200" s="61"/>
      <c r="R200" s="61"/>
      <c r="S200" s="276"/>
      <c r="T200" s="55"/>
      <c r="U200" s="55"/>
      <c r="V200" s="55"/>
      <c r="W200" s="283"/>
      <c r="X200" s="278"/>
      <c r="Y200" s="61"/>
      <c r="Z200" s="61"/>
      <c r="AA200" s="61"/>
      <c r="AB200" s="61"/>
    </row>
    <row r="201" spans="1:32">
      <c r="A201" s="169"/>
      <c r="D201" s="203"/>
      <c r="E201" s="203"/>
      <c r="F201" s="224" t="s">
        <v>1149</v>
      </c>
      <c r="G201" s="203"/>
      <c r="H201" s="266"/>
      <c r="I201" s="266"/>
      <c r="J201" s="256">
        <v>2050</v>
      </c>
      <c r="K201" s="257"/>
      <c r="L201" s="257"/>
      <c r="M201" s="257"/>
      <c r="N201" s="257"/>
      <c r="O201" s="61"/>
      <c r="P201" s="61"/>
      <c r="Q201" s="61"/>
      <c r="R201" s="61"/>
      <c r="S201" s="276"/>
      <c r="T201" s="55"/>
      <c r="U201" s="55"/>
      <c r="V201" s="55"/>
      <c r="W201" s="283"/>
      <c r="X201" s="278"/>
      <c r="Y201" s="61"/>
      <c r="Z201" s="61"/>
      <c r="AA201" s="61"/>
      <c r="AB201" s="61"/>
    </row>
    <row r="202" spans="1:32">
      <c r="A202" s="169" t="s">
        <v>2057</v>
      </c>
      <c r="B202" s="224" t="s">
        <v>2064</v>
      </c>
      <c r="D202" s="212" t="str">
        <f>"IND"&amp;RIGHT(H202,4)&amp;"DSL"&amp;"N"&amp;RIGHT(E202,1)</f>
        <v>INDIDTFDSLN1</v>
      </c>
      <c r="E202" s="224" t="str">
        <f>"Industry "&amp;$AJ$12&amp;" "&amp;RIGHT(H202,2)&amp;" Tractors, Trucks, Fishing boats - New 1"</f>
        <v>Industry Mining TF Tractors, Trucks, Fishing boats - New 1</v>
      </c>
      <c r="F202" s="224" t="s">
        <v>1149</v>
      </c>
      <c r="G202" s="173" t="s">
        <v>2081</v>
      </c>
      <c r="H202" s="174" t="str">
        <f>$AI$18</f>
        <v>IIDTF</v>
      </c>
      <c r="I202" s="174"/>
      <c r="J202" s="81">
        <v>2011</v>
      </c>
      <c r="K202" s="81">
        <v>2011</v>
      </c>
      <c r="L202" s="1127">
        <f>L203</f>
        <v>1</v>
      </c>
      <c r="M202" s="256"/>
      <c r="N202" s="256">
        <v>20</v>
      </c>
      <c r="O202" s="1127">
        <f>O203</f>
        <v>30.836264040545181</v>
      </c>
      <c r="P202" s="254"/>
      <c r="Q202" s="254"/>
      <c r="R202" s="1126">
        <v>1</v>
      </c>
      <c r="S202" s="1127">
        <v>1</v>
      </c>
      <c r="T202" s="228"/>
      <c r="U202" s="228"/>
      <c r="V202" s="228"/>
      <c r="W202" s="287"/>
      <c r="X202" s="55"/>
      <c r="Y202" s="55"/>
      <c r="Z202" s="55"/>
      <c r="AA202" s="55"/>
      <c r="AB202" s="55"/>
    </row>
    <row r="203" spans="1:32">
      <c r="A203" s="169" t="s">
        <v>2057</v>
      </c>
      <c r="B203" s="224" t="s">
        <v>2064</v>
      </c>
      <c r="D203" s="55"/>
      <c r="E203" s="55"/>
      <c r="F203" s="224" t="s">
        <v>1149</v>
      </c>
      <c r="G203" s="55"/>
      <c r="H203" s="174"/>
      <c r="I203" s="174"/>
      <c r="J203" s="256">
        <v>2017</v>
      </c>
      <c r="K203" s="256"/>
      <c r="L203" s="1127">
        <f>1/SUMIFS(Transport!$AS$13:$AS$264,Transport!$D$13:$D$264,$B203,Transport!$E$13:$E$264,$A203,Transport!$A$13:$A$264,$J203)</f>
        <v>1</v>
      </c>
      <c r="M203" s="256"/>
      <c r="N203" s="256"/>
      <c r="O203" s="1127">
        <f>SUMIFS(Transport!$AT$13:$AT$264,Transport!$D$13:$D$264,$B203,Transport!$E$13:$E$264,$A203,Transport!$A$13:$A$264,$J203)/1000*6.5</f>
        <v>30.836264040545181</v>
      </c>
      <c r="P203" s="254"/>
      <c r="Q203" s="254"/>
      <c r="R203" s="1126"/>
      <c r="S203" s="275"/>
      <c r="T203" s="228"/>
      <c r="U203" s="228"/>
      <c r="V203" s="228"/>
      <c r="W203" s="228"/>
      <c r="X203" s="55"/>
      <c r="Y203" s="55"/>
      <c r="Z203" s="55"/>
      <c r="AA203" s="55"/>
      <c r="AB203" s="55"/>
    </row>
    <row r="204" spans="1:32">
      <c r="A204" s="169" t="s">
        <v>2057</v>
      </c>
      <c r="B204" s="224" t="s">
        <v>2064</v>
      </c>
      <c r="D204" s="55"/>
      <c r="E204" s="55"/>
      <c r="F204" s="224" t="s">
        <v>1149</v>
      </c>
      <c r="G204" s="55"/>
      <c r="J204" s="256">
        <v>2030</v>
      </c>
      <c r="K204" s="256"/>
      <c r="L204" s="1127">
        <f>1/SUMIFS(Transport!$AS$13:$AS$264,Transport!$D$13:$D$264,$B204,Transport!$E$13:$E$264,$A204,Transport!$A$13:$A$264,$J204)</f>
        <v>1.4579105312754643</v>
      </c>
      <c r="M204" s="256"/>
      <c r="N204" s="256"/>
      <c r="O204" s="1127">
        <f>SUMIFS(Transport!$AT$13:$AT$264,Transport!$D$13:$D$264,$B204,Transport!$E$13:$E$264,$A204,Transport!$A$13:$A$264,$J204)/1000*6.5</f>
        <v>31.806294618979205</v>
      </c>
      <c r="P204" s="254"/>
      <c r="Q204" s="254"/>
      <c r="R204" s="1126"/>
      <c r="S204" s="275"/>
      <c r="T204" s="228"/>
      <c r="U204" s="228"/>
      <c r="V204" s="228"/>
      <c r="W204" s="228"/>
      <c r="X204" s="55"/>
      <c r="Y204" s="55"/>
      <c r="Z204" s="55"/>
      <c r="AA204" s="55"/>
      <c r="AB204" s="55"/>
    </row>
    <row r="205" spans="1:32">
      <c r="A205" s="169" t="s">
        <v>2057</v>
      </c>
      <c r="B205" s="224" t="s">
        <v>2064</v>
      </c>
      <c r="D205" s="55"/>
      <c r="E205" s="55"/>
      <c r="F205" s="224" t="s">
        <v>1149</v>
      </c>
      <c r="G205" s="55"/>
      <c r="J205" s="256">
        <v>2050</v>
      </c>
      <c r="K205" s="256"/>
      <c r="L205" s="1127">
        <f>1/SUMIFS(Transport!$AS$13:$AS$264,Transport!$D$13:$D$264,$B205,Transport!$E$13:$E$264,$A205,Transport!$A$13:$A$264,$J205)</f>
        <v>1.612189818950156</v>
      </c>
      <c r="M205" s="256"/>
      <c r="N205" s="256"/>
      <c r="O205" s="1127">
        <f>SUMIFS(Transport!$AT$13:$AT$264,Transport!$D$13:$D$264,$B205,Transport!$E$13:$E$264,$A205,Transport!$A$13:$A$264,$J205)/1000*6.5</f>
        <v>32.165108628526795</v>
      </c>
      <c r="P205" s="254"/>
      <c r="Q205" s="254"/>
      <c r="R205" s="1126"/>
      <c r="S205" s="275"/>
      <c r="T205" s="228"/>
      <c r="U205" s="228"/>
      <c r="V205" s="228"/>
      <c r="W205" s="228"/>
      <c r="X205" s="55"/>
      <c r="Y205" s="55"/>
      <c r="Z205" s="55"/>
      <c r="AA205" s="55"/>
      <c r="AB205" s="55"/>
    </row>
    <row r="206" spans="1:32">
      <c r="A206" s="169" t="s">
        <v>2062</v>
      </c>
      <c r="B206" s="224" t="s">
        <v>2064</v>
      </c>
      <c r="D206" s="212" t="str">
        <f>"IND"&amp;RIGHT(H206,4)&amp;"H2G"&amp;"N"&amp;RIGHT(E206,1)</f>
        <v>INDIDTFH2GN2</v>
      </c>
      <c r="E206" s="224" t="str">
        <f>"Industry "&amp;$AJ$12&amp;" "&amp;RIGHT(H206,2)&amp;" Tractors, Trucks, Fishing boats - New 2"</f>
        <v>Industry Mining TF Tractors, Trucks, Fishing boats - New 2</v>
      </c>
      <c r="F206" s="224" t="s">
        <v>1149</v>
      </c>
      <c r="G206" s="55" t="s">
        <v>2077</v>
      </c>
      <c r="H206" s="174" t="str">
        <f>$AI$18</f>
        <v>IIDTF</v>
      </c>
      <c r="I206" s="174"/>
      <c r="J206" s="81">
        <v>2017</v>
      </c>
      <c r="K206" s="81">
        <v>2030</v>
      </c>
      <c r="L206" s="1127">
        <f>1/SUMIFS(Transport!$AS$13:$AS$264,Transport!$D$13:$D$264,$B206,Transport!$E$13:$E$264,$A206,Transport!$A$13:$A$264,$J206)</f>
        <v>1.6201914448931107</v>
      </c>
      <c r="M206" s="256"/>
      <c r="N206" s="256">
        <v>20</v>
      </c>
      <c r="O206" s="1127">
        <f>SUMIFS(Transport!$AT$13:$AT$264,Transport!$D$13:$D$264,$B206,Transport!$E$13:$E$264,$A206,Transport!$A$13:$A$264,$J206)/1000*6.5</f>
        <v>81.840656028484005</v>
      </c>
      <c r="P206" s="254"/>
      <c r="Q206" s="254"/>
      <c r="R206" s="1126">
        <v>1</v>
      </c>
      <c r="S206" s="1127">
        <v>1</v>
      </c>
      <c r="T206" s="228"/>
      <c r="U206" s="228"/>
      <c r="V206" s="228"/>
      <c r="W206" s="287"/>
      <c r="X206" s="55"/>
      <c r="Y206" s="55"/>
      <c r="Z206" s="55"/>
      <c r="AA206" s="55"/>
      <c r="AB206" s="55"/>
    </row>
    <row r="207" spans="1:32">
      <c r="A207" s="169" t="s">
        <v>2062</v>
      </c>
      <c r="B207" s="224" t="s">
        <v>2064</v>
      </c>
      <c r="D207" s="55"/>
      <c r="E207" s="55"/>
      <c r="F207" s="224" t="s">
        <v>1149</v>
      </c>
      <c r="G207" s="55"/>
      <c r="H207" s="174"/>
      <c r="I207" s="174"/>
      <c r="J207" s="256">
        <v>2017</v>
      </c>
      <c r="K207" s="256"/>
      <c r="L207" s="1127">
        <f>1/SUMIFS(Transport!$AS$13:$AS$264,Transport!$D$13:$D$264,$B207,Transport!$E$13:$E$264,$A207,Transport!$A$13:$A$264,$J207)</f>
        <v>1.6201914448931107</v>
      </c>
      <c r="M207" s="256"/>
      <c r="N207" s="256"/>
      <c r="O207" s="1127">
        <f>SUMIFS(Transport!$AT$13:$AT$264,Transport!$D$13:$D$264,$B207,Transport!$E$13:$E$264,$A207,Transport!$A$13:$A$264,$J207)/1000*6.5</f>
        <v>81.840656028484005</v>
      </c>
      <c r="P207" s="254"/>
      <c r="Q207" s="254"/>
      <c r="R207" s="1126"/>
      <c r="S207" s="275"/>
      <c r="T207" s="228"/>
      <c r="U207" s="228"/>
      <c r="V207" s="228"/>
      <c r="W207" s="228"/>
      <c r="X207" s="55"/>
      <c r="Y207" s="55"/>
      <c r="Z207" s="55"/>
      <c r="AA207" s="55"/>
      <c r="AB207" s="55"/>
    </row>
    <row r="208" spans="1:32">
      <c r="A208" s="169" t="s">
        <v>2062</v>
      </c>
      <c r="B208" s="224" t="s">
        <v>2064</v>
      </c>
      <c r="D208" s="55"/>
      <c r="E208" s="55"/>
      <c r="F208" s="224" t="s">
        <v>1149</v>
      </c>
      <c r="G208" s="55"/>
      <c r="J208" s="256">
        <v>2030</v>
      </c>
      <c r="K208" s="256"/>
      <c r="L208" s="1127">
        <f>1/SUMIFS(Transport!$AS$13:$AS$264,Transport!$D$13:$D$264,$B208,Transport!$E$13:$E$264,$A208,Transport!$A$13:$A$264,$J208)</f>
        <v>2.4143776559781225</v>
      </c>
      <c r="M208" s="256"/>
      <c r="N208" s="256"/>
      <c r="O208" s="1127">
        <f>SUMIFS(Transport!$AT$13:$AT$264,Transport!$D$13:$D$264,$B208,Transport!$E$13:$E$264,$A208,Transport!$A$13:$A$264,$J208)/1000*6.5</f>
        <v>34.253254247071318</v>
      </c>
      <c r="P208" s="254"/>
      <c r="Q208" s="254"/>
      <c r="R208" s="1126"/>
      <c r="S208" s="275"/>
      <c r="T208" s="228"/>
      <c r="U208" s="228"/>
      <c r="V208" s="228"/>
      <c r="W208" s="228"/>
      <c r="X208" s="55"/>
      <c r="Y208" s="55"/>
      <c r="Z208" s="55"/>
      <c r="AA208" s="55"/>
      <c r="AB208" s="55"/>
    </row>
    <row r="209" spans="1:28">
      <c r="A209" s="169" t="s">
        <v>2062</v>
      </c>
      <c r="B209" s="224" t="s">
        <v>2064</v>
      </c>
      <c r="D209" s="55"/>
      <c r="E209" s="55"/>
      <c r="F209" s="224" t="s">
        <v>1149</v>
      </c>
      <c r="G209" s="55"/>
      <c r="J209" s="256">
        <v>2050</v>
      </c>
      <c r="K209" s="256"/>
      <c r="L209" s="1127">
        <f>1/SUMIFS(Transport!$AS$13:$AS$264,Transport!$D$13:$D$264,$B209,Transport!$E$13:$E$264,$A209,Transport!$A$13:$A$264,$J209)</f>
        <v>2.9956358502626648</v>
      </c>
      <c r="M209" s="256"/>
      <c r="N209" s="256"/>
      <c r="O209" s="1127">
        <f>SUMIFS(Transport!$AT$13:$AT$264,Transport!$D$13:$D$264,$B209,Transport!$E$13:$E$264,$A209,Transport!$A$13:$A$264,$J209)/1000*6.5</f>
        <v>28.800352543800432</v>
      </c>
      <c r="P209" s="254"/>
      <c r="Q209" s="254"/>
      <c r="R209" s="1126"/>
      <c r="S209" s="275"/>
      <c r="T209" s="228"/>
      <c r="U209" s="228"/>
      <c r="V209" s="228"/>
      <c r="W209" s="228"/>
      <c r="X209" s="55"/>
      <c r="Y209" s="55"/>
      <c r="Z209" s="55"/>
      <c r="AA209" s="55"/>
      <c r="AB209" s="55"/>
    </row>
    <row r="210" spans="1:28">
      <c r="A210" s="169" t="s">
        <v>2061</v>
      </c>
      <c r="B210" s="224" t="s">
        <v>2064</v>
      </c>
      <c r="D210" s="212" t="str">
        <f>"IND"&amp;RIGHT(H210,4)&amp;"ELC"&amp;"N"&amp;RIGHT(E210,1)</f>
        <v>INDIDTFELCN3</v>
      </c>
      <c r="E210" s="224" t="str">
        <f>"Industry "&amp;$AJ$12&amp;" "&amp;RIGHT(H210,2)&amp;" Tractors, Trucks, Fishing boats - New 3"</f>
        <v>Industry Mining TF Tractors, Trucks, Fishing boats - New 3</v>
      </c>
      <c r="F210" s="224" t="s">
        <v>1149</v>
      </c>
      <c r="G210" s="55" t="s">
        <v>499</v>
      </c>
      <c r="H210" s="174" t="str">
        <f>$AI$18</f>
        <v>IIDTF</v>
      </c>
      <c r="I210" s="174"/>
      <c r="J210" s="81">
        <v>2017</v>
      </c>
      <c r="K210" s="81">
        <v>2025</v>
      </c>
      <c r="L210" s="1127">
        <f>1/SUMIFS(Transport!$AS$13:$AS$264,Transport!$D$13:$D$264,$B210,Transport!$E$13:$E$264,$A210,Transport!$A$13:$A$264,$J210)</f>
        <v>3.2991956437648962</v>
      </c>
      <c r="M210" s="256"/>
      <c r="N210" s="256">
        <v>20</v>
      </c>
      <c r="O210" s="1127">
        <f>SUMIFS(Transport!$AT$13:$AT$264,Transport!$D$13:$D$264,$B210,Transport!$E$13:$E$264,$A210,Transport!$A$13:$A$264,$J210)/1000*6.5</f>
        <v>72.592990417868862</v>
      </c>
      <c r="P210" s="254"/>
      <c r="Q210" s="254"/>
      <c r="R210" s="1126">
        <v>1</v>
      </c>
      <c r="S210" s="1127">
        <v>1</v>
      </c>
      <c r="T210" s="228"/>
      <c r="U210" s="228"/>
      <c r="V210" s="228"/>
      <c r="W210" s="287"/>
      <c r="X210" s="55"/>
      <c r="Y210" s="55"/>
      <c r="Z210" s="55"/>
      <c r="AA210" s="55"/>
      <c r="AB210" s="55"/>
    </row>
    <row r="211" spans="1:28">
      <c r="A211" s="169" t="s">
        <v>2061</v>
      </c>
      <c r="B211" s="224" t="s">
        <v>2064</v>
      </c>
      <c r="D211" s="55"/>
      <c r="E211" s="55"/>
      <c r="F211" s="224" t="s">
        <v>1149</v>
      </c>
      <c r="G211" s="55"/>
      <c r="H211" s="174"/>
      <c r="I211" s="174"/>
      <c r="J211" s="256">
        <v>2017</v>
      </c>
      <c r="K211" s="256"/>
      <c r="L211" s="1127">
        <f>1/SUMIFS(Transport!$AS$13:$AS$264,Transport!$D$13:$D$264,$B211,Transport!$E$13:$E$264,$A211,Transport!$A$13:$A$264,$J211)</f>
        <v>3.2991956437648962</v>
      </c>
      <c r="M211" s="256"/>
      <c r="N211" s="256"/>
      <c r="O211" s="1127">
        <f>SUMIFS(Transport!$AT$13:$AT$264,Transport!$D$13:$D$264,$B211,Transport!$E$13:$E$264,$A211,Transport!$A$13:$A$264,$J211)/1000*6.5</f>
        <v>72.592990417868862</v>
      </c>
      <c r="P211" s="254"/>
      <c r="Q211" s="254"/>
      <c r="R211" s="201"/>
      <c r="S211" s="275"/>
      <c r="T211" s="228"/>
      <c r="U211" s="228"/>
      <c r="V211" s="228"/>
      <c r="W211" s="228"/>
      <c r="X211" s="55"/>
      <c r="Y211" s="55"/>
      <c r="Z211" s="55"/>
      <c r="AA211" s="55"/>
      <c r="AB211" s="55"/>
    </row>
    <row r="212" spans="1:28">
      <c r="A212" s="169" t="s">
        <v>2061</v>
      </c>
      <c r="B212" s="224" t="s">
        <v>2064</v>
      </c>
      <c r="D212" s="55"/>
      <c r="E212" s="55"/>
      <c r="F212" s="224" t="s">
        <v>1149</v>
      </c>
      <c r="G212" s="55"/>
      <c r="J212" s="256">
        <v>2030</v>
      </c>
      <c r="K212" s="256"/>
      <c r="L212" s="1127">
        <f>1/SUMIFS(Transport!$AS$13:$AS$264,Transport!$D$13:$D$264,$B212,Transport!$E$13:$E$264,$A212,Transport!$A$13:$A$264,$J212)</f>
        <v>3.2991956437648962</v>
      </c>
      <c r="M212" s="256"/>
      <c r="N212" s="256"/>
      <c r="O212" s="1127">
        <f>SUMIFS(Transport!$AT$13:$AT$264,Transport!$D$13:$D$264,$B212,Transport!$E$13:$E$264,$A212,Transport!$A$13:$A$264,$J212)/1000*6.5</f>
        <v>35.973025982850046</v>
      </c>
      <c r="P212" s="254"/>
      <c r="Q212" s="254"/>
      <c r="R212" s="201"/>
      <c r="S212" s="275"/>
      <c r="T212" s="228"/>
      <c r="U212" s="228"/>
      <c r="V212" s="228"/>
      <c r="W212" s="228"/>
      <c r="X212" s="55"/>
      <c r="Y212" s="55"/>
      <c r="Z212" s="55"/>
      <c r="AA212" s="55"/>
      <c r="AB212" s="55"/>
    </row>
    <row r="213" spans="1:28">
      <c r="A213" s="169" t="s">
        <v>2061</v>
      </c>
      <c r="B213" s="224" t="s">
        <v>2064</v>
      </c>
      <c r="D213" s="55"/>
      <c r="E213" s="55"/>
      <c r="F213" s="224" t="s">
        <v>1149</v>
      </c>
      <c r="G213" s="55"/>
      <c r="J213" s="256">
        <v>2050</v>
      </c>
      <c r="K213" s="256"/>
      <c r="L213" s="1127">
        <f>1/SUMIFS(Transport!$AS$13:$AS$264,Transport!$D$13:$D$264,$B213,Transport!$E$13:$E$264,$A213,Transport!$A$13:$A$264,$J213)</f>
        <v>3.2991956437648962</v>
      </c>
      <c r="M213" s="256"/>
      <c r="N213" s="256"/>
      <c r="O213" s="1127">
        <f>SUMIFS(Transport!$AT$13:$AT$264,Transport!$D$13:$D$264,$B213,Transport!$E$13:$E$264,$A213,Transport!$A$13:$A$264,$J213)/1000*6.5</f>
        <v>28.759134300809922</v>
      </c>
      <c r="P213" s="254"/>
      <c r="Q213" s="254"/>
      <c r="R213" s="201"/>
      <c r="S213" s="275"/>
      <c r="T213" s="228"/>
      <c r="U213" s="228"/>
      <c r="V213" s="228"/>
      <c r="W213" s="228"/>
      <c r="X213" s="55"/>
      <c r="Y213" s="55"/>
      <c r="Z213" s="55"/>
      <c r="AA213" s="55"/>
      <c r="AB213" s="55"/>
    </row>
    <row r="214" spans="1:28">
      <c r="A214" s="169"/>
      <c r="D214" s="212" t="str">
        <f>"IND"&amp;RIGHT(H214,4)&amp;RIGHT(G214,3)&amp;"N"&amp;RIGHT(E214,1)</f>
        <v>INDIDFLELCN1</v>
      </c>
      <c r="E214" s="224" t="str">
        <f>"Industry "&amp;$AJ$12&amp;" "&amp;RIGHT(H202,2)&amp;" Forklifts - New 1"</f>
        <v>Industry Mining TF Forklifts - New 1</v>
      </c>
      <c r="F214" s="224" t="s">
        <v>1149</v>
      </c>
      <c r="G214" s="173" t="s">
        <v>2128</v>
      </c>
      <c r="H214" s="224" t="str">
        <f>AI19</f>
        <v>IIDFL</v>
      </c>
      <c r="J214" s="81">
        <v>2011</v>
      </c>
      <c r="K214" s="81">
        <v>2011</v>
      </c>
      <c r="L214" s="256">
        <v>1</v>
      </c>
      <c r="M214" s="256"/>
      <c r="N214" s="256">
        <v>10</v>
      </c>
      <c r="O214" s="254"/>
      <c r="P214" s="254"/>
      <c r="Q214" s="254"/>
      <c r="R214" s="201"/>
      <c r="S214" s="275">
        <v>0.9</v>
      </c>
      <c r="T214" s="228"/>
      <c r="U214" s="228"/>
      <c r="V214" s="228"/>
      <c r="W214" s="228"/>
      <c r="X214" s="55"/>
      <c r="Y214" s="55"/>
      <c r="Z214" s="55"/>
      <c r="AA214" s="55"/>
      <c r="AB214" s="55"/>
    </row>
    <row r="215" spans="1:28">
      <c r="A215" s="169"/>
      <c r="D215" s="55"/>
      <c r="E215" s="55"/>
      <c r="F215" s="224" t="s">
        <v>1149</v>
      </c>
      <c r="G215" s="55"/>
      <c r="H215" s="174"/>
      <c r="I215" s="174"/>
      <c r="J215" s="256">
        <v>2020</v>
      </c>
      <c r="K215" s="256"/>
      <c r="L215" s="256"/>
      <c r="M215" s="256"/>
      <c r="N215" s="257"/>
      <c r="O215" s="61"/>
      <c r="P215" s="61"/>
      <c r="Q215" s="61"/>
      <c r="R215" s="61"/>
      <c r="S215" s="276"/>
      <c r="T215" s="55"/>
      <c r="U215" s="55"/>
      <c r="V215" s="55"/>
      <c r="W215" s="55"/>
      <c r="X215" s="55"/>
      <c r="Y215" s="55"/>
      <c r="Z215" s="55"/>
      <c r="AA215" s="55"/>
      <c r="AB215" s="55"/>
    </row>
    <row r="216" spans="1:28">
      <c r="A216" s="169"/>
      <c r="D216" s="55"/>
      <c r="E216" s="55"/>
      <c r="F216" s="224" t="s">
        <v>1149</v>
      </c>
      <c r="G216" s="55"/>
      <c r="J216" s="256">
        <v>2030</v>
      </c>
      <c r="K216" s="256"/>
      <c r="L216" s="256"/>
      <c r="M216" s="256"/>
      <c r="N216" s="257"/>
      <c r="O216" s="61"/>
      <c r="P216" s="61"/>
      <c r="Q216" s="61"/>
      <c r="R216" s="61"/>
      <c r="S216" s="276"/>
      <c r="T216" s="55"/>
      <c r="U216" s="55"/>
      <c r="V216" s="55"/>
      <c r="W216" s="55"/>
      <c r="X216" s="55"/>
      <c r="Y216" s="55"/>
      <c r="Z216" s="55"/>
      <c r="AA216" s="55"/>
      <c r="AB216" s="55"/>
    </row>
    <row r="217" spans="1:28">
      <c r="A217" s="169"/>
      <c r="D217" s="55"/>
      <c r="E217" s="55"/>
      <c r="F217" s="224" t="s">
        <v>1149</v>
      </c>
      <c r="G217" s="55"/>
      <c r="H217" s="174"/>
      <c r="I217" s="174"/>
      <c r="J217" s="256">
        <v>2050</v>
      </c>
      <c r="K217" s="256"/>
      <c r="L217" s="256"/>
      <c r="M217" s="256"/>
      <c r="N217" s="257"/>
      <c r="O217" s="61"/>
      <c r="P217" s="61"/>
      <c r="Q217" s="61"/>
      <c r="R217" s="61"/>
      <c r="S217" s="276"/>
      <c r="T217" s="55"/>
      <c r="U217" s="55"/>
      <c r="V217" s="55"/>
      <c r="W217" s="55"/>
      <c r="X217" s="55"/>
      <c r="Y217" s="55"/>
      <c r="Z217" s="55"/>
      <c r="AA217" s="55"/>
      <c r="AB217" s="55"/>
    </row>
    <row r="218" spans="1:28">
      <c r="A218" s="169" t="s">
        <v>2107</v>
      </c>
      <c r="D218" s="212" t="str">
        <f>"IND"&amp;RIGHT(H218,4)&amp;RIGHT(G218,3)&amp;"N"&amp;RIGHT(E218,1)</f>
        <v>INDIDCOELCN1</v>
      </c>
      <c r="E218" s="224" t="str">
        <f>"Industry "&amp;$AJ$12&amp;" "&amp;RIGHT(H218,2)&amp;" Cooling - New 1"</f>
        <v>Industry Mining CO Cooling - New 1</v>
      </c>
      <c r="F218" s="224" t="s">
        <v>1149</v>
      </c>
      <c r="G218" s="173" t="s">
        <v>499</v>
      </c>
      <c r="H218" s="224" t="str">
        <f>AI21</f>
        <v>IIDCO</v>
      </c>
      <c r="J218" s="82">
        <v>2015</v>
      </c>
      <c r="K218" s="82">
        <v>2015</v>
      </c>
      <c r="L218" s="1128">
        <v>1</v>
      </c>
      <c r="M218" s="1129"/>
      <c r="N218" s="1129">
        <v>12</v>
      </c>
      <c r="O218" s="1130">
        <v>3.3525</v>
      </c>
      <c r="P218" s="1131">
        <v>0.31662500000000005</v>
      </c>
      <c r="Q218" s="1131"/>
      <c r="R218" s="1132">
        <v>3.1536000000000002E-2</v>
      </c>
      <c r="S218" s="1133">
        <v>8.3999999999999991E-2</v>
      </c>
    </row>
    <row r="219" spans="1:28">
      <c r="A219" s="169"/>
      <c r="F219" s="224" t="s">
        <v>1149</v>
      </c>
      <c r="H219" s="173"/>
      <c r="I219" s="173"/>
      <c r="J219" s="1129">
        <v>2020</v>
      </c>
      <c r="K219" s="1129"/>
      <c r="L219" s="1128">
        <v>1</v>
      </c>
      <c r="M219" s="1129"/>
      <c r="N219" s="257">
        <v>12</v>
      </c>
      <c r="O219" s="61">
        <v>3.1662499999999998</v>
      </c>
      <c r="P219" s="61">
        <v>0.30110722454958749</v>
      </c>
      <c r="Q219" s="61"/>
      <c r="R219" s="61">
        <v>3.1536000000000002E-2</v>
      </c>
      <c r="S219" s="276">
        <v>8.3999999999999991E-2</v>
      </c>
    </row>
    <row r="220" spans="1:28">
      <c r="A220" s="169"/>
      <c r="F220" s="224" t="s">
        <v>1149</v>
      </c>
      <c r="J220" s="1129">
        <v>2030</v>
      </c>
      <c r="K220" s="1129"/>
      <c r="L220" s="1128">
        <v>1</v>
      </c>
      <c r="M220" s="1129"/>
      <c r="N220" s="257">
        <v>12</v>
      </c>
      <c r="O220" s="61">
        <v>3.1662499999999998</v>
      </c>
      <c r="P220" s="61">
        <v>0.30110722454958749</v>
      </c>
      <c r="Q220" s="61"/>
      <c r="R220" s="61">
        <v>3.1536000000000002E-2</v>
      </c>
      <c r="S220" s="276">
        <v>8.3999999999999991E-2</v>
      </c>
    </row>
    <row r="221" spans="1:28">
      <c r="A221" s="169"/>
      <c r="F221" s="224" t="s">
        <v>1149</v>
      </c>
      <c r="H221" s="173"/>
      <c r="I221" s="173"/>
      <c r="J221" s="1129">
        <v>2050</v>
      </c>
      <c r="K221" s="1129"/>
      <c r="L221" s="1128">
        <v>1</v>
      </c>
      <c r="M221" s="1129"/>
      <c r="N221" s="257">
        <v>12</v>
      </c>
      <c r="O221" s="61">
        <v>3.1662499999999998</v>
      </c>
      <c r="P221" s="61">
        <v>0.30110722454958749</v>
      </c>
      <c r="Q221" s="61"/>
      <c r="R221" s="61">
        <v>3.1536000000000002E-2</v>
      </c>
      <c r="S221" s="276">
        <v>8.3999999999999991E-2</v>
      </c>
    </row>
    <row r="222" spans="1:28">
      <c r="A222" s="169"/>
    </row>
    <row r="223" spans="1:28">
      <c r="A223" s="169"/>
    </row>
    <row r="224" spans="1:28">
      <c r="A224" s="169"/>
    </row>
    <row r="225" spans="1:10">
      <c r="A225" s="169"/>
    </row>
    <row r="226" spans="1:10">
      <c r="A226" s="169"/>
      <c r="C226" s="207" t="s">
        <v>467</v>
      </c>
      <c r="D226" s="208"/>
      <c r="E226" s="208"/>
      <c r="F226" s="208"/>
      <c r="G226" s="208"/>
      <c r="H226" s="208"/>
      <c r="I226" s="208"/>
      <c r="J226" s="208"/>
    </row>
    <row r="227" spans="1:10">
      <c r="A227" s="169"/>
      <c r="C227" s="209" t="s">
        <v>466</v>
      </c>
      <c r="D227" s="209" t="s">
        <v>425</v>
      </c>
      <c r="E227" s="209" t="s">
        <v>465</v>
      </c>
      <c r="F227" s="209" t="s">
        <v>464</v>
      </c>
      <c r="G227" s="209" t="s">
        <v>463</v>
      </c>
      <c r="H227" s="209" t="s">
        <v>462</v>
      </c>
      <c r="I227" s="209" t="s">
        <v>461</v>
      </c>
      <c r="J227" s="209" t="s">
        <v>460</v>
      </c>
    </row>
    <row r="228" spans="1:10" ht="25" thickBot="1">
      <c r="A228" s="169"/>
      <c r="C228" s="210" t="s">
        <v>459</v>
      </c>
      <c r="D228" s="210" t="s">
        <v>458</v>
      </c>
      <c r="E228" s="210" t="s">
        <v>457</v>
      </c>
      <c r="F228" s="210" t="s">
        <v>456</v>
      </c>
      <c r="G228" s="210" t="s">
        <v>455</v>
      </c>
      <c r="H228" s="210" t="s">
        <v>454</v>
      </c>
      <c r="I228" s="210" t="s">
        <v>453</v>
      </c>
      <c r="J228" s="210" t="s">
        <v>452</v>
      </c>
    </row>
    <row r="229" spans="1:10">
      <c r="A229" s="169"/>
      <c r="C229" s="211" t="s">
        <v>504</v>
      </c>
      <c r="D229" s="212" t="str">
        <f>D9</f>
        <v>INDIDPHELCN1</v>
      </c>
      <c r="E229" s="212" t="str">
        <f t="shared" ref="E229:E260" si="266">VLOOKUP(D229,$D$9:$E$222,2,FALSE)</f>
        <v>Industrial heating technology Mining PH - Heat pump utilizing waste heat - new 1</v>
      </c>
      <c r="F229" s="211" t="s">
        <v>450</v>
      </c>
      <c r="G229" s="211" t="s">
        <v>449</v>
      </c>
      <c r="H229" s="263" t="s">
        <v>620</v>
      </c>
      <c r="I229" s="301"/>
      <c r="J229" s="208" t="s">
        <v>469</v>
      </c>
    </row>
    <row r="230" spans="1:10">
      <c r="A230" s="169"/>
      <c r="B230" s="301"/>
      <c r="C230" s="301"/>
      <c r="D230" s="212" t="str">
        <f t="shared" ref="D230:D238" ca="1" si="267">OFFSET($D$9,(ROW(D1)*6),0)</f>
        <v>INDIDSHELCN1</v>
      </c>
      <c r="E230" s="212" t="str">
        <f t="shared" ca="1" si="266"/>
        <v>Industrial heating technology Mining SH - Heat pump utilizing waste heat - new 1</v>
      </c>
      <c r="F230" s="262" t="s">
        <v>450</v>
      </c>
      <c r="G230" s="262" t="s">
        <v>449</v>
      </c>
      <c r="H230" s="263" t="s">
        <v>620</v>
      </c>
      <c r="I230" s="301"/>
      <c r="J230" s="264" t="s">
        <v>469</v>
      </c>
    </row>
    <row r="231" spans="1:10">
      <c r="A231" s="169"/>
      <c r="D231" s="212" t="str">
        <f t="shared" ca="1" si="267"/>
        <v>INDIDPHELCN2</v>
      </c>
      <c r="E231" s="212" t="str">
        <f t="shared" ca="1" si="266"/>
        <v>Industrial heating technology Mining PH - Heat driven heat pump utilizing waste heat - new 2</v>
      </c>
      <c r="F231" s="211" t="s">
        <v>450</v>
      </c>
      <c r="G231" s="211" t="s">
        <v>449</v>
      </c>
      <c r="H231" s="263" t="s">
        <v>620</v>
      </c>
      <c r="I231" s="208"/>
      <c r="J231" s="264" t="s">
        <v>469</v>
      </c>
    </row>
    <row r="232" spans="1:10">
      <c r="A232" s="169"/>
      <c r="B232" s="211"/>
      <c r="C232" s="211"/>
      <c r="D232" s="212" t="str">
        <f t="shared" ca="1" si="267"/>
        <v>INDIDSHELCN2</v>
      </c>
      <c r="E232" s="212" t="str">
        <f t="shared" ca="1" si="266"/>
        <v>Industrial heating technology Mining SH - Heat driven heat pump utilizing waste heat - new 2</v>
      </c>
      <c r="F232" s="262" t="s">
        <v>450</v>
      </c>
      <c r="G232" s="262" t="s">
        <v>449</v>
      </c>
      <c r="H232" s="263" t="s">
        <v>620</v>
      </c>
      <c r="I232" s="264"/>
      <c r="J232" s="264" t="s">
        <v>469</v>
      </c>
    </row>
    <row r="233" spans="1:10">
      <c r="A233" s="169"/>
      <c r="B233" s="211"/>
      <c r="C233" s="211"/>
      <c r="D233" s="212" t="str">
        <f t="shared" ca="1" si="267"/>
        <v>INDIDPHELCN3</v>
      </c>
      <c r="E233" s="212" t="str">
        <f t="shared" ca="1" si="266"/>
        <v>Industrial heating technology Mining PH - High Temp abs. Heat pump utilizing waste heat - new 3</v>
      </c>
      <c r="F233" s="262" t="s">
        <v>450</v>
      </c>
      <c r="G233" s="262" t="s">
        <v>449</v>
      </c>
      <c r="H233" s="263" t="s">
        <v>620</v>
      </c>
      <c r="I233" s="264"/>
      <c r="J233" s="264" t="s">
        <v>469</v>
      </c>
    </row>
    <row r="234" spans="1:10">
      <c r="A234" s="169"/>
      <c r="B234" s="211"/>
      <c r="C234" s="211"/>
      <c r="D234" s="212" t="str">
        <f t="shared" ca="1" si="267"/>
        <v>INDIDSHELCN3</v>
      </c>
      <c r="E234" s="212" t="str">
        <f t="shared" ca="1" si="266"/>
        <v>Industrial heating technology Mining SH - High Temp abs. Heat pump utilizing waste heat - new 3</v>
      </c>
      <c r="F234" s="262" t="s">
        <v>450</v>
      </c>
      <c r="G234" s="262" t="s">
        <v>449</v>
      </c>
      <c r="H234" s="263" t="s">
        <v>620</v>
      </c>
      <c r="I234" s="264"/>
      <c r="J234" s="264" t="s">
        <v>469</v>
      </c>
    </row>
    <row r="235" spans="1:10">
      <c r="A235" s="169"/>
      <c r="B235" s="211"/>
      <c r="C235" s="211"/>
      <c r="D235" s="212" t="str">
        <f t="shared" ca="1" si="267"/>
        <v>INDIDPHELCN4</v>
      </c>
      <c r="E235" s="212" t="str">
        <f t="shared" ca="1" si="266"/>
        <v>Industrial heating technology Mining PH - Booster Heat pump utilizing waste heat - new 4</v>
      </c>
      <c r="F235" s="262" t="s">
        <v>450</v>
      </c>
      <c r="G235" s="262" t="s">
        <v>449</v>
      </c>
      <c r="H235" s="263" t="s">
        <v>620</v>
      </c>
      <c r="I235" s="264"/>
      <c r="J235" s="264" t="s">
        <v>469</v>
      </c>
    </row>
    <row r="236" spans="1:10">
      <c r="A236" s="169"/>
      <c r="B236" s="211"/>
      <c r="C236" s="211"/>
      <c r="D236" s="212" t="str">
        <f t="shared" ca="1" si="267"/>
        <v>INDIDSHELCN4</v>
      </c>
      <c r="E236" s="212" t="str">
        <f t="shared" ca="1" si="266"/>
        <v>Industrial heating technology Mining SH - Booster Heat pump utilizing waste heat - new 4</v>
      </c>
      <c r="F236" s="262" t="s">
        <v>450</v>
      </c>
      <c r="G236" s="262" t="s">
        <v>449</v>
      </c>
      <c r="H236" s="263" t="s">
        <v>620</v>
      </c>
      <c r="I236" s="264"/>
      <c r="J236" s="264" t="s">
        <v>469</v>
      </c>
    </row>
    <row r="237" spans="1:10">
      <c r="A237" s="169"/>
      <c r="B237" s="211"/>
      <c r="C237" s="211"/>
      <c r="D237" s="212" t="str">
        <f t="shared" ca="1" si="267"/>
        <v>INDIDPHELCN5</v>
      </c>
      <c r="E237" s="212" t="str">
        <f t="shared" ca="1" si="266"/>
        <v>Industrial heating technology Mining PH - MVR utilizing waste heat - new 5</v>
      </c>
      <c r="F237" s="262" t="s">
        <v>450</v>
      </c>
      <c r="G237" s="262" t="s">
        <v>449</v>
      </c>
      <c r="H237" s="263"/>
      <c r="I237" s="264"/>
      <c r="J237" s="264" t="s">
        <v>469</v>
      </c>
    </row>
    <row r="238" spans="1:10">
      <c r="A238" s="169"/>
      <c r="B238" s="211"/>
      <c r="C238" s="211"/>
      <c r="D238" s="212" t="str">
        <f t="shared" ca="1" si="267"/>
        <v>INDIDPHWSTN1</v>
      </c>
      <c r="E238" s="212" t="str">
        <f t="shared" ca="1" si="266"/>
        <v>Industrial heating technology Mining PH - Hotdisc - new 1</v>
      </c>
      <c r="F238" s="262" t="s">
        <v>450</v>
      </c>
      <c r="G238" s="262" t="s">
        <v>449</v>
      </c>
      <c r="H238" s="263" t="s">
        <v>620</v>
      </c>
      <c r="I238" s="264"/>
      <c r="J238" s="264" t="s">
        <v>469</v>
      </c>
    </row>
    <row r="239" spans="1:10">
      <c r="A239" s="169"/>
      <c r="B239" s="211"/>
      <c r="C239" s="211"/>
      <c r="D239" s="212" t="str">
        <f t="shared" ref="D239:D278" ca="1" si="268">OFFSET($D$9,(ROW(D19)*3),0)</f>
        <v>INDIDPHELCN6</v>
      </c>
      <c r="E239" s="212" t="str">
        <f t="shared" ca="1" si="266"/>
        <v>Industrial heating technology Mining PH - Dielectric heating - new 6</v>
      </c>
      <c r="F239" s="262" t="s">
        <v>450</v>
      </c>
      <c r="G239" s="262" t="s">
        <v>449</v>
      </c>
      <c r="H239" s="263" t="s">
        <v>620</v>
      </c>
      <c r="I239" s="264"/>
      <c r="J239" s="264" t="s">
        <v>469</v>
      </c>
    </row>
    <row r="240" spans="1:10">
      <c r="A240" s="169"/>
      <c r="B240" s="211"/>
      <c r="C240" s="211"/>
      <c r="D240" s="212" t="str">
        <f t="shared" ca="1" si="268"/>
        <v>INDIDPHELCN7</v>
      </c>
      <c r="E240" s="212" t="str">
        <f t="shared" ca="1" si="266"/>
        <v>Industrial heating technology Mining PH - Infrared heating - new 7</v>
      </c>
      <c r="F240" s="262" t="s">
        <v>450</v>
      </c>
      <c r="G240" s="262" t="s">
        <v>449</v>
      </c>
      <c r="H240" s="263" t="s">
        <v>620</v>
      </c>
      <c r="I240" s="264"/>
      <c r="J240" s="264" t="s">
        <v>469</v>
      </c>
    </row>
    <row r="241" spans="1:16">
      <c r="A241" s="169"/>
      <c r="B241" s="211"/>
      <c r="C241" s="211"/>
      <c r="D241" s="212" t="str">
        <f t="shared" ca="1" si="268"/>
        <v>INDIDPHELCN8</v>
      </c>
      <c r="E241" s="212" t="str">
        <f t="shared" ca="1" si="266"/>
        <v>Industrial heating technology Mining PH - Electric boiler (Steam) - new 8</v>
      </c>
      <c r="F241" s="262" t="s">
        <v>450</v>
      </c>
      <c r="G241" s="262" t="s">
        <v>449</v>
      </c>
      <c r="H241" s="263" t="s">
        <v>620</v>
      </c>
      <c r="I241" s="264"/>
      <c r="J241" s="264" t="s">
        <v>469</v>
      </c>
    </row>
    <row r="242" spans="1:16">
      <c r="A242" s="169"/>
      <c r="B242" s="211"/>
      <c r="C242" s="211"/>
      <c r="D242" s="212" t="str">
        <f t="shared" ca="1" si="268"/>
        <v>INDIDPHELCN8</v>
      </c>
      <c r="E242" s="212" t="str">
        <f t="shared" ca="1" si="266"/>
        <v>Industrial heating technology Mining PH - Electric boiler (Steam) - new 8</v>
      </c>
      <c r="F242" s="262" t="s">
        <v>450</v>
      </c>
      <c r="G242" s="262" t="s">
        <v>449</v>
      </c>
      <c r="H242" s="263" t="s">
        <v>620</v>
      </c>
      <c r="I242" s="264"/>
      <c r="J242" s="264" t="s">
        <v>469</v>
      </c>
    </row>
    <row r="243" spans="1:16">
      <c r="A243" s="169"/>
      <c r="B243" s="211"/>
      <c r="C243" s="211"/>
      <c r="D243" s="212" t="str">
        <f t="shared" ca="1" si="268"/>
        <v>INDIDSHELCN8</v>
      </c>
      <c r="E243" s="212" t="str">
        <f t="shared" ca="1" si="266"/>
        <v>Industrial heating technology Mining SH - Electric boiler (Steam) - new 8</v>
      </c>
      <c r="F243" s="262" t="s">
        <v>450</v>
      </c>
      <c r="G243" s="262" t="s">
        <v>449</v>
      </c>
      <c r="H243" s="263" t="s">
        <v>620</v>
      </c>
      <c r="I243" s="264"/>
      <c r="J243" s="264" t="s">
        <v>469</v>
      </c>
      <c r="P243" s="173"/>
    </row>
    <row r="244" spans="1:16">
      <c r="A244" s="169"/>
      <c r="B244" s="211"/>
      <c r="C244" s="211"/>
      <c r="D244" s="212" t="str">
        <f t="shared" ca="1" si="268"/>
        <v>INDIDPHELCN9</v>
      </c>
      <c r="E244" s="212" t="str">
        <f t="shared" ca="1" si="266"/>
        <v>Industrial heating technology Mining PH - Electric boiler (Hot Water) - new 9</v>
      </c>
      <c r="F244" s="262" t="s">
        <v>450</v>
      </c>
      <c r="G244" s="262" t="s">
        <v>449</v>
      </c>
      <c r="H244" s="263" t="s">
        <v>620</v>
      </c>
      <c r="I244" s="264"/>
      <c r="J244" s="264" t="s">
        <v>469</v>
      </c>
      <c r="P244" s="173"/>
    </row>
    <row r="245" spans="1:16">
      <c r="A245" s="169"/>
      <c r="B245" s="211"/>
      <c r="C245" s="211"/>
      <c r="D245" s="212" t="str">
        <f t="shared" ca="1" si="268"/>
        <v>INDIDSHELCN9</v>
      </c>
      <c r="E245" s="212" t="str">
        <f t="shared" ca="1" si="266"/>
        <v>Industrial heating technology Mining SH - Electric boiler (Hot Water) - new 9</v>
      </c>
      <c r="F245" s="262" t="s">
        <v>450</v>
      </c>
      <c r="G245" s="262" t="s">
        <v>449</v>
      </c>
      <c r="H245" s="263" t="s">
        <v>620</v>
      </c>
      <c r="I245" s="264"/>
      <c r="J245" s="264" t="s">
        <v>469</v>
      </c>
      <c r="P245" s="173"/>
    </row>
    <row r="246" spans="1:16">
      <c r="A246" s="169"/>
      <c r="B246" s="211"/>
      <c r="C246" s="211"/>
      <c r="D246" s="212" t="str">
        <f t="shared" ca="1" si="268"/>
        <v>INDIDPHWCHN1</v>
      </c>
      <c r="E246" s="212" t="str">
        <f t="shared" ca="1" si="266"/>
        <v>Industrial heating technology Mining PH - Wood chip boiler (Steam) - new 1</v>
      </c>
      <c r="F246" s="262" t="s">
        <v>450</v>
      </c>
      <c r="G246" s="262" t="s">
        <v>449</v>
      </c>
      <c r="H246" s="263"/>
      <c r="I246" s="264"/>
      <c r="J246" s="264" t="s">
        <v>469</v>
      </c>
      <c r="P246" s="173"/>
    </row>
    <row r="247" spans="1:16">
      <c r="A247" s="169"/>
      <c r="B247" s="211"/>
      <c r="C247" s="211"/>
      <c r="D247" s="212" t="str">
        <f t="shared" ca="1" si="268"/>
        <v>INDIDPHWCHN1</v>
      </c>
      <c r="E247" s="212" t="str">
        <f t="shared" ca="1" si="266"/>
        <v>Industrial heating technology Mining PH - Wood chip boiler (Steam) - new 1</v>
      </c>
      <c r="F247" s="262" t="s">
        <v>450</v>
      </c>
      <c r="G247" s="262" t="s">
        <v>449</v>
      </c>
      <c r="H247" s="263"/>
      <c r="I247" s="264"/>
      <c r="J247" s="264" t="s">
        <v>469</v>
      </c>
      <c r="M247" s="171"/>
      <c r="N247" s="171"/>
      <c r="P247" s="173"/>
    </row>
    <row r="248" spans="1:16">
      <c r="A248" s="169"/>
      <c r="B248" s="211"/>
      <c r="C248" s="211"/>
      <c r="D248" s="212" t="str">
        <f t="shared" ca="1" si="268"/>
        <v>INDIDSHWCHN1</v>
      </c>
      <c r="E248" s="212" t="str">
        <f t="shared" ca="1" si="266"/>
        <v>Industrial heating technology Mining SH - Wood chip boiler (Steam) - new 1</v>
      </c>
      <c r="F248" s="262" t="s">
        <v>450</v>
      </c>
      <c r="G248" s="262" t="s">
        <v>449</v>
      </c>
      <c r="H248" s="263"/>
      <c r="I248" s="264"/>
      <c r="J248" s="264" t="s">
        <v>469</v>
      </c>
      <c r="M248" s="171"/>
      <c r="N248" s="171"/>
      <c r="P248" s="173"/>
    </row>
    <row r="249" spans="1:16">
      <c r="A249" s="169"/>
      <c r="B249" s="211"/>
      <c r="C249" s="211"/>
      <c r="D249" s="212" t="str">
        <f t="shared" ca="1" si="268"/>
        <v>INDIDPHWCHN2</v>
      </c>
      <c r="E249" s="212" t="str">
        <f t="shared" ca="1" si="266"/>
        <v>Industrial heating technology Mining PH - Wood chip boiler (Steam - condensing) - new 2</v>
      </c>
      <c r="F249" s="262" t="s">
        <v>450</v>
      </c>
      <c r="G249" s="262" t="s">
        <v>449</v>
      </c>
      <c r="H249" s="263"/>
      <c r="I249" s="264"/>
      <c r="J249" s="264" t="s">
        <v>469</v>
      </c>
      <c r="M249" s="171"/>
      <c r="N249" s="171"/>
      <c r="P249" s="173"/>
    </row>
    <row r="250" spans="1:16">
      <c r="A250" s="169"/>
      <c r="B250" s="212"/>
      <c r="C250" s="212"/>
      <c r="D250" s="212" t="str">
        <f t="shared" ca="1" si="268"/>
        <v>INDIDSHWCHN2</v>
      </c>
      <c r="E250" s="212" t="str">
        <f t="shared" ca="1" si="266"/>
        <v>Industrial heating technology Mining SH - Wood chip boiler (Steam - condensing) - new 2</v>
      </c>
      <c r="F250" s="262" t="s">
        <v>450</v>
      </c>
      <c r="G250" s="262" t="s">
        <v>449</v>
      </c>
      <c r="H250" s="263"/>
      <c r="I250" s="264"/>
      <c r="J250" s="264" t="s">
        <v>469</v>
      </c>
    </row>
    <row r="251" spans="1:16">
      <c r="A251" s="169"/>
      <c r="B251" s="212"/>
      <c r="C251" s="212"/>
      <c r="D251" s="212" t="str">
        <f t="shared" ca="1" si="268"/>
        <v>INDIDPHWCHN3</v>
      </c>
      <c r="E251" s="212" t="str">
        <f t="shared" ca="1" si="266"/>
        <v>Industrial heating technology Mining PH - Wood chip boiler (Hot Water) - new 3</v>
      </c>
      <c r="F251" s="262" t="s">
        <v>450</v>
      </c>
      <c r="G251" s="262" t="s">
        <v>449</v>
      </c>
      <c r="H251" s="261"/>
      <c r="I251" s="261"/>
      <c r="J251" s="264" t="s">
        <v>469</v>
      </c>
    </row>
    <row r="252" spans="1:16">
      <c r="A252" s="169"/>
      <c r="B252" s="212"/>
      <c r="C252" s="212"/>
      <c r="D252" s="212" t="str">
        <f t="shared" ca="1" si="268"/>
        <v>INDIDSHWCHN3</v>
      </c>
      <c r="E252" s="212" t="str">
        <f t="shared" ca="1" si="266"/>
        <v>Industrial heating technology Mining SH - Wood chip boiler (Hot Water) - new 3</v>
      </c>
      <c r="F252" s="262" t="s">
        <v>450</v>
      </c>
      <c r="G252" s="262" t="s">
        <v>449</v>
      </c>
      <c r="H252" s="261"/>
      <c r="I252" s="261"/>
      <c r="J252" s="264" t="s">
        <v>469</v>
      </c>
    </row>
    <row r="253" spans="1:16">
      <c r="A253" s="169"/>
      <c r="B253" s="212"/>
      <c r="C253" s="212"/>
      <c r="D253" s="212" t="str">
        <f t="shared" ca="1" si="268"/>
        <v>INDIDPHWCHN4</v>
      </c>
      <c r="E253" s="212" t="str">
        <f t="shared" ca="1" si="266"/>
        <v>Industrial heating technology Mining PH - Wood chip boiler (Hot Water - condensing) - new 4</v>
      </c>
      <c r="F253" s="262" t="s">
        <v>450</v>
      </c>
      <c r="G253" s="262" t="s">
        <v>449</v>
      </c>
      <c r="H253" s="261"/>
      <c r="I253" s="261"/>
      <c r="J253" s="264" t="s">
        <v>469</v>
      </c>
    </row>
    <row r="254" spans="1:16">
      <c r="A254" s="169"/>
      <c r="B254" s="212"/>
      <c r="C254" s="212"/>
      <c r="D254" s="212" t="str">
        <f t="shared" ca="1" si="268"/>
        <v>INDIDSHWCHN4</v>
      </c>
      <c r="E254" s="212" t="str">
        <f t="shared" ca="1" si="266"/>
        <v>Industrial heating technology Mining SH - Wood chip boiler (Hot Water- condensing) - new 4</v>
      </c>
      <c r="F254" s="262" t="s">
        <v>450</v>
      </c>
      <c r="G254" s="262" t="s">
        <v>449</v>
      </c>
      <c r="H254" s="261"/>
      <c r="I254" s="261"/>
      <c r="J254" s="264" t="s">
        <v>469</v>
      </c>
    </row>
    <row r="255" spans="1:16">
      <c r="B255" s="212"/>
      <c r="C255" s="212"/>
      <c r="D255" s="212" t="str">
        <f t="shared" ca="1" si="268"/>
        <v>INDIDPHELCN10</v>
      </c>
      <c r="E255" s="212" t="str">
        <f t="shared" ca="1" si="266"/>
        <v>Industrial heating technology Mining PH - Direct electric heating - new 10</v>
      </c>
      <c r="F255" s="262" t="s">
        <v>450</v>
      </c>
      <c r="G255" s="262" t="s">
        <v>449</v>
      </c>
      <c r="H255" s="261"/>
      <c r="I255" s="261"/>
      <c r="J255" s="264" t="s">
        <v>469</v>
      </c>
    </row>
    <row r="256" spans="1:16">
      <c r="B256" s="212"/>
      <c r="C256" s="212"/>
      <c r="D256" s="212" t="str">
        <f t="shared" ca="1" si="268"/>
        <v>INDIDPHELCN10</v>
      </c>
      <c r="E256" s="212" t="str">
        <f t="shared" ca="1" si="266"/>
        <v>Industrial heating technology Mining PH - Direct electric heating - new 10</v>
      </c>
      <c r="F256" s="262" t="s">
        <v>450</v>
      </c>
      <c r="G256" s="262" t="s">
        <v>449</v>
      </c>
      <c r="H256" s="261"/>
      <c r="I256" s="261"/>
      <c r="J256" s="264" t="s">
        <v>469</v>
      </c>
    </row>
    <row r="257" spans="1:10">
      <c r="B257" s="212"/>
      <c r="C257" s="212"/>
      <c r="D257" s="212" t="str">
        <f t="shared" ca="1" si="268"/>
        <v>INDIDPHDSLN1</v>
      </c>
      <c r="E257" s="212" t="str">
        <f t="shared" ca="1" si="266"/>
        <v>Industrial heating technology Mining PH - Oil boiler (Steam) - new 1</v>
      </c>
      <c r="F257" s="262" t="s">
        <v>450</v>
      </c>
      <c r="G257" s="262" t="s">
        <v>449</v>
      </c>
      <c r="H257" s="261"/>
      <c r="I257" s="261"/>
      <c r="J257" s="264" t="s">
        <v>469</v>
      </c>
    </row>
    <row r="258" spans="1:10">
      <c r="B258" s="212"/>
      <c r="C258" s="212"/>
      <c r="D258" s="212" t="str">
        <f t="shared" ca="1" si="268"/>
        <v>INDIDPHDSLN1</v>
      </c>
      <c r="E258" s="212" t="str">
        <f t="shared" ca="1" si="266"/>
        <v>Industrial heating technology Mining PH - Oil boiler (Steam) - new 1</v>
      </c>
      <c r="F258" s="262" t="s">
        <v>450</v>
      </c>
      <c r="G258" s="262" t="s">
        <v>449</v>
      </c>
      <c r="H258" s="261"/>
      <c r="I258" s="261"/>
      <c r="J258" s="264" t="s">
        <v>469</v>
      </c>
    </row>
    <row r="259" spans="1:10">
      <c r="B259" s="212"/>
      <c r="C259" s="212"/>
      <c r="D259" s="212" t="str">
        <f t="shared" ca="1" si="268"/>
        <v>INDIDSHDSLN1</v>
      </c>
      <c r="E259" s="212" t="str">
        <f t="shared" ca="1" si="266"/>
        <v>Industrial heating technology Mining SH - Oil boiler (Steam) - new 1</v>
      </c>
      <c r="F259" s="262" t="s">
        <v>450</v>
      </c>
      <c r="G259" s="262" t="s">
        <v>449</v>
      </c>
      <c r="H259" s="261"/>
      <c r="I259" s="261"/>
      <c r="J259" s="264" t="s">
        <v>469</v>
      </c>
    </row>
    <row r="260" spans="1:10">
      <c r="A260" s="214"/>
      <c r="B260" s="212"/>
      <c r="C260" s="212"/>
      <c r="D260" s="212" t="str">
        <f t="shared" ca="1" si="268"/>
        <v>INDIDPHDSLN2</v>
      </c>
      <c r="E260" s="212" t="str">
        <f t="shared" ca="1" si="266"/>
        <v>Industrial heating technology Mining PH - Oil boiler (Steam - condensing) - new 2</v>
      </c>
      <c r="F260" s="262" t="s">
        <v>450</v>
      </c>
      <c r="G260" s="262" t="s">
        <v>449</v>
      </c>
      <c r="H260" s="261"/>
      <c r="I260" s="261"/>
      <c r="J260" s="264" t="s">
        <v>469</v>
      </c>
    </row>
    <row r="261" spans="1:10">
      <c r="A261" s="214"/>
      <c r="B261" s="212"/>
      <c r="C261" s="212"/>
      <c r="D261" s="212" t="str">
        <f t="shared" ca="1" si="268"/>
        <v>INDIDSHDSLN2</v>
      </c>
      <c r="E261" s="212" t="str">
        <f t="shared" ref="E261:E290" ca="1" si="269">VLOOKUP(D261,$D$9:$E$222,2,FALSE)</f>
        <v>Industrial heating technology Mining SH - Oil boiler (Steam - condensing) - new 2</v>
      </c>
      <c r="F261" s="262" t="s">
        <v>450</v>
      </c>
      <c r="G261" s="262" t="s">
        <v>449</v>
      </c>
      <c r="H261" s="261"/>
      <c r="I261" s="261"/>
      <c r="J261" s="264" t="s">
        <v>469</v>
      </c>
    </row>
    <row r="262" spans="1:10">
      <c r="A262" s="214"/>
      <c r="B262" s="212"/>
      <c r="C262" s="212"/>
      <c r="D262" s="212" t="str">
        <f t="shared" ca="1" si="268"/>
        <v>INDIDPHGASN1</v>
      </c>
      <c r="E262" s="212" t="str">
        <f t="shared" ca="1" si="269"/>
        <v>Industrial heating technology Mining PH - Gas boiler (Steam) - new 1</v>
      </c>
      <c r="F262" s="262" t="s">
        <v>450</v>
      </c>
      <c r="G262" s="262" t="s">
        <v>449</v>
      </c>
      <c r="H262" s="261"/>
      <c r="I262" s="261"/>
      <c r="J262" s="264" t="s">
        <v>469</v>
      </c>
    </row>
    <row r="263" spans="1:10">
      <c r="A263" s="214"/>
      <c r="B263" s="212"/>
      <c r="C263" s="212"/>
      <c r="D263" s="212" t="str">
        <f t="shared" ca="1" si="268"/>
        <v>INDIDPHGASN1</v>
      </c>
      <c r="E263" s="212" t="str">
        <f t="shared" ca="1" si="269"/>
        <v>Industrial heating technology Mining PH - Gas boiler (Steam) - new 1</v>
      </c>
      <c r="F263" s="262" t="s">
        <v>450</v>
      </c>
      <c r="G263" s="262" t="s">
        <v>449</v>
      </c>
      <c r="H263" s="261"/>
      <c r="I263" s="261"/>
      <c r="J263" s="264" t="s">
        <v>469</v>
      </c>
    </row>
    <row r="264" spans="1:10">
      <c r="B264" s="212"/>
      <c r="C264" s="212"/>
      <c r="D264" s="212" t="str">
        <f t="shared" ca="1" si="268"/>
        <v>INDIDSHGASN1</v>
      </c>
      <c r="E264" s="212" t="str">
        <f t="shared" ca="1" si="269"/>
        <v>Industrial heating technology Mining SH - Gas boiler (Steam) - new 1</v>
      </c>
      <c r="F264" s="262" t="s">
        <v>450</v>
      </c>
      <c r="G264" s="262" t="s">
        <v>449</v>
      </c>
      <c r="H264" s="261"/>
      <c r="I264" s="261"/>
      <c r="J264" s="264" t="s">
        <v>469</v>
      </c>
    </row>
    <row r="265" spans="1:10">
      <c r="B265" s="212"/>
      <c r="C265" s="212"/>
      <c r="D265" s="212" t="str">
        <f t="shared" ca="1" si="268"/>
        <v>INDIDPHGASN2</v>
      </c>
      <c r="E265" s="212" t="str">
        <f t="shared" ca="1" si="269"/>
        <v>Industrial heating technology Mining PH - Gas boiler (Steam - condensing) - new 2</v>
      </c>
      <c r="F265" s="262" t="s">
        <v>450</v>
      </c>
      <c r="G265" s="262" t="s">
        <v>449</v>
      </c>
      <c r="H265" s="261"/>
      <c r="I265" s="261"/>
      <c r="J265" s="264" t="s">
        <v>469</v>
      </c>
    </row>
    <row r="266" spans="1:10">
      <c r="B266" s="212"/>
      <c r="C266" s="212"/>
      <c r="D266" s="212" t="str">
        <f t="shared" ca="1" si="268"/>
        <v>INDIDSHGASN2</v>
      </c>
      <c r="E266" s="212" t="str">
        <f t="shared" ca="1" si="269"/>
        <v>Industrial heating technology Mining SH - Gas boiler (Steam - condensing) - new 2</v>
      </c>
      <c r="F266" s="262" t="s">
        <v>450</v>
      </c>
      <c r="G266" s="262" t="s">
        <v>449</v>
      </c>
      <c r="H266" s="261"/>
      <c r="I266" s="261"/>
      <c r="J266" s="264" t="s">
        <v>469</v>
      </c>
    </row>
    <row r="267" spans="1:10">
      <c r="B267" s="212"/>
      <c r="C267" s="212"/>
      <c r="D267" s="212" t="str">
        <f t="shared" ca="1" si="268"/>
        <v>INDIDPHGASN3</v>
      </c>
      <c r="E267" s="212" t="str">
        <f t="shared" ca="1" si="269"/>
        <v>Industrial heating technology Mining PH - Gas boiler (Hot Water) - new 3</v>
      </c>
      <c r="F267" s="262" t="s">
        <v>450</v>
      </c>
      <c r="G267" s="262" t="s">
        <v>449</v>
      </c>
      <c r="H267" s="261"/>
      <c r="I267" s="261"/>
      <c r="J267" s="264" t="s">
        <v>469</v>
      </c>
    </row>
    <row r="268" spans="1:10">
      <c r="B268" s="212"/>
      <c r="C268" s="212"/>
      <c r="D268" s="212" t="str">
        <f t="shared" ca="1" si="268"/>
        <v>INDIDSHGASN3</v>
      </c>
      <c r="E268" s="212" t="str">
        <f t="shared" ca="1" si="269"/>
        <v>Industrial heating technology Mining SH - Gas boiler (Hot Water) - new 3</v>
      </c>
      <c r="F268" s="262" t="s">
        <v>450</v>
      </c>
      <c r="G268" s="262" t="s">
        <v>449</v>
      </c>
      <c r="H268" s="261"/>
      <c r="I268" s="261"/>
      <c r="J268" s="264" t="s">
        <v>469</v>
      </c>
    </row>
    <row r="269" spans="1:10">
      <c r="B269" s="212"/>
      <c r="C269" s="212"/>
      <c r="D269" s="212" t="str">
        <f t="shared" ca="1" si="268"/>
        <v>INDIDPHGASN4</v>
      </c>
      <c r="E269" s="212" t="str">
        <f t="shared" ca="1" si="269"/>
        <v>Industrial heating technology Mining PH - Gas boiler (Hot Water - condensing) - new 4</v>
      </c>
      <c r="F269" s="262" t="s">
        <v>450</v>
      </c>
      <c r="G269" s="262" t="s">
        <v>449</v>
      </c>
      <c r="H269" s="261"/>
      <c r="I269" s="261"/>
      <c r="J269" s="264" t="s">
        <v>469</v>
      </c>
    </row>
    <row r="270" spans="1:10">
      <c r="B270" s="212"/>
      <c r="C270" s="212"/>
      <c r="D270" s="212" t="str">
        <f t="shared" ca="1" si="268"/>
        <v>INDIDSHGASN4</v>
      </c>
      <c r="E270" s="212" t="str">
        <f t="shared" ca="1" si="269"/>
        <v>Industrial heating technology Mining SH - Gas boiler (Hot Water- condensing) - new 4</v>
      </c>
      <c r="F270" s="262" t="s">
        <v>450</v>
      </c>
      <c r="G270" s="262" t="s">
        <v>449</v>
      </c>
      <c r="H270" s="261"/>
      <c r="I270" s="261"/>
      <c r="J270" s="264" t="s">
        <v>469</v>
      </c>
    </row>
    <row r="271" spans="1:10">
      <c r="B271" s="212"/>
      <c r="C271" s="212"/>
      <c r="D271" s="212" t="str">
        <f t="shared" ca="1" si="268"/>
        <v>INDIDPHGASN5</v>
      </c>
      <c r="E271" s="212" t="str">
        <f t="shared" ca="1" si="269"/>
        <v>Industrial heating technology Mining PH - Gas boiler (Direct firing) - new 5</v>
      </c>
      <c r="F271" s="262" t="s">
        <v>450</v>
      </c>
      <c r="G271" s="262" t="s">
        <v>449</v>
      </c>
      <c r="H271" s="261"/>
      <c r="I271" s="261"/>
      <c r="J271" s="264" t="s">
        <v>469</v>
      </c>
    </row>
    <row r="272" spans="1:10">
      <c r="B272" s="212"/>
      <c r="C272" s="212"/>
      <c r="D272" s="212" t="str">
        <f t="shared" ca="1" si="268"/>
        <v>INDIDPHGASN5</v>
      </c>
      <c r="E272" s="212" t="str">
        <f t="shared" ca="1" si="269"/>
        <v>Industrial heating technology Mining PH - Gas boiler (Direct firing) - new 5</v>
      </c>
      <c r="F272" s="262" t="s">
        <v>450</v>
      </c>
      <c r="G272" s="262" t="s">
        <v>449</v>
      </c>
      <c r="H272" s="261"/>
      <c r="I272" s="261"/>
      <c r="J272" s="264" t="s">
        <v>469</v>
      </c>
    </row>
    <row r="273" spans="2:10">
      <c r="B273" s="212"/>
      <c r="C273" s="212"/>
      <c r="D273" s="212" t="str">
        <f t="shared" ca="1" si="268"/>
        <v>INDIDPHCOAN1</v>
      </c>
      <c r="E273" s="212" t="str">
        <f t="shared" ca="1" si="269"/>
        <v>Industrial heating technology Mining PH - Coal boiler (Steam) - new 1</v>
      </c>
      <c r="F273" s="262" t="s">
        <v>450</v>
      </c>
      <c r="G273" s="262" t="s">
        <v>449</v>
      </c>
      <c r="H273" s="261"/>
      <c r="I273" s="261"/>
      <c r="J273" s="264" t="s">
        <v>469</v>
      </c>
    </row>
    <row r="274" spans="2:10">
      <c r="B274" s="212"/>
      <c r="C274" s="212"/>
      <c r="D274" s="212" t="str">
        <f t="shared" ca="1" si="268"/>
        <v>INDIDPHCOAN1</v>
      </c>
      <c r="E274" s="212" t="str">
        <f t="shared" ca="1" si="269"/>
        <v>Industrial heating technology Mining PH - Coal boiler (Steam) - new 1</v>
      </c>
      <c r="F274" s="262" t="s">
        <v>450</v>
      </c>
      <c r="G274" s="262" t="s">
        <v>449</v>
      </c>
      <c r="H274" s="261"/>
      <c r="I274" s="261"/>
      <c r="J274" s="264" t="s">
        <v>469</v>
      </c>
    </row>
    <row r="275" spans="2:10">
      <c r="B275" s="212"/>
      <c r="C275" s="212"/>
      <c r="D275" s="212" t="str">
        <f t="shared" ca="1" si="268"/>
        <v>INDIDSHCOAN1</v>
      </c>
      <c r="E275" s="212" t="str">
        <f t="shared" ca="1" si="269"/>
        <v>Industrial heating technology Mining SH - Coal boiler (Steam) - new 1</v>
      </c>
      <c r="F275" s="262" t="s">
        <v>450</v>
      </c>
      <c r="G275" s="262" t="s">
        <v>449</v>
      </c>
      <c r="H275" s="261"/>
      <c r="I275" s="261"/>
      <c r="J275" s="264" t="s">
        <v>469</v>
      </c>
    </row>
    <row r="276" spans="2:10">
      <c r="B276" s="212"/>
      <c r="C276" s="212"/>
      <c r="D276" s="212" t="str">
        <f t="shared" ca="1" si="268"/>
        <v>INDIDPHCOAN2</v>
      </c>
      <c r="E276" s="212" t="str">
        <f t="shared" ca="1" si="269"/>
        <v>Industrial heating technology Mining PH - Coal boiler (Hot Water) - new 2</v>
      </c>
      <c r="F276" s="262" t="s">
        <v>450</v>
      </c>
      <c r="G276" s="262" t="s">
        <v>449</v>
      </c>
      <c r="H276" s="261"/>
      <c r="I276" s="261"/>
      <c r="J276" s="264" t="s">
        <v>469</v>
      </c>
    </row>
    <row r="277" spans="2:10">
      <c r="B277" s="212"/>
      <c r="C277" s="212"/>
      <c r="D277" s="212" t="str">
        <f t="shared" ca="1" si="268"/>
        <v>INDIDSHCOAN2</v>
      </c>
      <c r="E277" s="212" t="str">
        <f t="shared" ca="1" si="269"/>
        <v>Industrial heating technology Mining SH - Coal boiler (Hot Water) - new 2</v>
      </c>
      <c r="F277" s="262" t="s">
        <v>450</v>
      </c>
      <c r="G277" s="262" t="s">
        <v>449</v>
      </c>
      <c r="H277" s="261"/>
      <c r="I277" s="261"/>
      <c r="J277" s="264" t="s">
        <v>469</v>
      </c>
    </row>
    <row r="278" spans="2:10">
      <c r="B278" s="212"/>
      <c r="C278" s="212"/>
      <c r="D278" s="212" t="str">
        <f t="shared" ca="1" si="268"/>
        <v>INDIDSHSOLN1</v>
      </c>
      <c r="E278" s="212" t="str">
        <f t="shared" ca="1" si="269"/>
        <v>Industrial heating technology Mining SH - Solar - new 1</v>
      </c>
      <c r="F278" s="262" t="s">
        <v>450</v>
      </c>
      <c r="G278" s="262" t="s">
        <v>449</v>
      </c>
      <c r="H278" s="263" t="s">
        <v>620</v>
      </c>
      <c r="I278" s="261"/>
      <c r="J278" s="264" t="s">
        <v>469</v>
      </c>
    </row>
    <row r="279" spans="2:10">
      <c r="B279" s="212"/>
      <c r="C279" s="212"/>
      <c r="D279" s="889" t="str">
        <f>D187</f>
        <v>INDIDSHHCEN1</v>
      </c>
      <c r="E279" s="889" t="str">
        <f t="shared" si="269"/>
        <v>Industrial heating technology Mining SH - central district heating - within DH area - new 1</v>
      </c>
      <c r="F279" s="262" t="s">
        <v>450</v>
      </c>
      <c r="G279" s="262" t="s">
        <v>449</v>
      </c>
      <c r="H279" s="890"/>
      <c r="I279" s="890"/>
      <c r="J279" s="263" t="s">
        <v>469</v>
      </c>
    </row>
    <row r="280" spans="2:10">
      <c r="B280" s="212"/>
      <c r="C280" s="212"/>
      <c r="D280" s="889" t="str">
        <f>D188</f>
        <v>INDIDPHHCEN1</v>
      </c>
      <c r="E280" s="889" t="str">
        <f t="shared" si="269"/>
        <v>Industrial heating technology Mining PH - central district heating - within DH area - new 1</v>
      </c>
      <c r="F280" s="262" t="s">
        <v>450</v>
      </c>
      <c r="G280" s="262" t="s">
        <v>449</v>
      </c>
      <c r="H280" s="890"/>
      <c r="I280" s="890"/>
      <c r="J280" s="263" t="s">
        <v>469</v>
      </c>
    </row>
    <row r="281" spans="2:10">
      <c r="B281" s="212"/>
      <c r="C281" s="212"/>
      <c r="D281" s="889" t="str">
        <f>D189</f>
        <v>INDIDSHHSEN1</v>
      </c>
      <c r="E281" s="889" t="str">
        <f t="shared" si="269"/>
        <v>Industrial heating technology Mining SH - central district heating - within DH area - new 1</v>
      </c>
      <c r="F281" s="262" t="s">
        <v>450</v>
      </c>
      <c r="G281" s="262" t="s">
        <v>449</v>
      </c>
      <c r="H281" s="890"/>
      <c r="I281" s="890"/>
      <c r="J281" s="263" t="s">
        <v>469</v>
      </c>
    </row>
    <row r="282" spans="2:10">
      <c r="B282" s="212"/>
      <c r="C282" s="212"/>
      <c r="D282" s="889" t="str">
        <f>D190</f>
        <v>INDIDPHHSEN1</v>
      </c>
      <c r="E282" s="889" t="str">
        <f t="shared" si="269"/>
        <v>Industrial heating technology Mining PH - central district heating - within DH area - new 1</v>
      </c>
      <c r="F282" s="262" t="s">
        <v>450</v>
      </c>
      <c r="G282" s="262" t="s">
        <v>449</v>
      </c>
      <c r="H282" s="890"/>
      <c r="I282" s="890"/>
      <c r="J282" s="263" t="s">
        <v>469</v>
      </c>
    </row>
    <row r="283" spans="2:10">
      <c r="B283" s="212"/>
      <c r="C283" s="212"/>
      <c r="D283" s="212" t="str">
        <f t="shared" ref="D283" si="270">D191</f>
        <v>INDIDSHHDEN1</v>
      </c>
      <c r="E283" s="212" t="str">
        <f t="shared" si="269"/>
        <v>Industrial heating technology Mining SH - decentral district heating - within DH area - new 1</v>
      </c>
      <c r="F283" s="262" t="s">
        <v>450</v>
      </c>
      <c r="G283" s="262" t="s">
        <v>449</v>
      </c>
      <c r="H283" s="261"/>
      <c r="I283" s="261"/>
      <c r="J283" s="264" t="s">
        <v>469</v>
      </c>
    </row>
    <row r="284" spans="2:10">
      <c r="B284" s="212"/>
      <c r="C284" s="212"/>
      <c r="D284" s="212" t="str">
        <f>D192</f>
        <v>INDIDPHHDEN1</v>
      </c>
      <c r="E284" s="212" t="str">
        <f t="shared" si="269"/>
        <v>Industrial heating technology Mining PH - decentral district heating - within DH area - new 1</v>
      </c>
      <c r="F284" s="262" t="s">
        <v>450</v>
      </c>
      <c r="G284" s="262" t="s">
        <v>449</v>
      </c>
      <c r="H284" s="261"/>
      <c r="I284" s="261"/>
      <c r="J284" s="264" t="s">
        <v>469</v>
      </c>
    </row>
    <row r="285" spans="2:10">
      <c r="B285" s="212"/>
      <c r="C285" s="212"/>
      <c r="D285" s="212" t="str">
        <f>D194</f>
        <v>INDIDLAELCN1</v>
      </c>
      <c r="E285" s="212" t="str">
        <f t="shared" si="269"/>
        <v>Industry Mining LA Electricity Light Appliance - New 1</v>
      </c>
      <c r="F285" s="262" t="s">
        <v>450</v>
      </c>
      <c r="G285" s="262" t="s">
        <v>449</v>
      </c>
      <c r="H285" s="261"/>
      <c r="I285" s="261"/>
      <c r="J285" s="264" t="s">
        <v>469</v>
      </c>
    </row>
    <row r="286" spans="2:10">
      <c r="B286" s="212"/>
      <c r="C286" s="212"/>
      <c r="D286" s="212" t="str">
        <f>D198</f>
        <v>INDIDEMELCN1</v>
      </c>
      <c r="E286" s="212" t="str">
        <f t="shared" si="269"/>
        <v>Industry Mining EM Electricity Motors - New 1</v>
      </c>
      <c r="F286" s="262" t="s">
        <v>450</v>
      </c>
      <c r="G286" s="262" t="s">
        <v>449</v>
      </c>
      <c r="H286" s="261"/>
      <c r="I286" s="261"/>
      <c r="J286" s="264" t="s">
        <v>469</v>
      </c>
    </row>
    <row r="287" spans="2:10">
      <c r="B287" s="212"/>
      <c r="C287" s="212"/>
      <c r="D287" s="212" t="str">
        <f>D202</f>
        <v>INDIDTFDSLN1</v>
      </c>
      <c r="E287" s="212" t="str">
        <f t="shared" si="269"/>
        <v>Industry Mining TF Tractors, Trucks, Fishing boats - New 1</v>
      </c>
      <c r="F287" s="262" t="s">
        <v>450</v>
      </c>
      <c r="G287" s="262" t="s">
        <v>2078</v>
      </c>
      <c r="H287" s="261"/>
      <c r="I287" s="261"/>
      <c r="J287" s="264" t="s">
        <v>469</v>
      </c>
    </row>
    <row r="288" spans="2:10">
      <c r="B288" s="212"/>
      <c r="C288" s="212"/>
      <c r="D288" s="212" t="str">
        <f>D206</f>
        <v>INDIDTFH2GN2</v>
      </c>
      <c r="E288" s="212" t="str">
        <f t="shared" si="269"/>
        <v>Industry Mining TF Tractors, Trucks, Fishing boats - New 2</v>
      </c>
      <c r="F288" s="262" t="s">
        <v>450</v>
      </c>
      <c r="G288" s="262" t="s">
        <v>2078</v>
      </c>
      <c r="H288" s="261"/>
      <c r="I288" s="261"/>
      <c r="J288" s="264" t="s">
        <v>469</v>
      </c>
    </row>
    <row r="289" spans="2:10">
      <c r="B289" s="212"/>
      <c r="C289" s="212"/>
      <c r="D289" s="212" t="str">
        <f>D210</f>
        <v>INDIDTFELCN3</v>
      </c>
      <c r="E289" s="212" t="str">
        <f t="shared" si="269"/>
        <v>Industry Mining TF Tractors, Trucks, Fishing boats - New 3</v>
      </c>
      <c r="F289" s="262" t="s">
        <v>450</v>
      </c>
      <c r="G289" s="262" t="s">
        <v>2078</v>
      </c>
      <c r="H289" s="261"/>
      <c r="I289" s="261"/>
      <c r="J289" s="264" t="s">
        <v>469</v>
      </c>
    </row>
    <row r="290" spans="2:10">
      <c r="B290" s="212"/>
      <c r="C290" s="212"/>
      <c r="D290" s="212" t="str">
        <f>D214</f>
        <v>INDIDFLELCN1</v>
      </c>
      <c r="E290" s="212" t="str">
        <f t="shared" si="269"/>
        <v>Industry Mining TF Forklifts - New 1</v>
      </c>
      <c r="F290" s="262" t="s">
        <v>450</v>
      </c>
      <c r="G290" s="262" t="s">
        <v>449</v>
      </c>
      <c r="H290" s="261"/>
      <c r="I290" s="261"/>
      <c r="J290" s="264" t="s">
        <v>469</v>
      </c>
    </row>
    <row r="291" spans="2:10">
      <c r="B291" s="212"/>
      <c r="C291" s="212"/>
      <c r="D291" s="212" t="str">
        <f>D218</f>
        <v>INDIDCOELCN1</v>
      </c>
      <c r="E291" s="212" t="str">
        <f>E218</f>
        <v>Industry Mining CO Cooling - New 1</v>
      </c>
      <c r="F291" s="262" t="s">
        <v>450</v>
      </c>
      <c r="G291" s="262" t="s">
        <v>449</v>
      </c>
      <c r="H291" s="261" t="s">
        <v>620</v>
      </c>
      <c r="I291" s="261"/>
      <c r="J291" s="264"/>
    </row>
    <row r="292" spans="2:10">
      <c r="D292" s="212"/>
      <c r="E292" s="212"/>
    </row>
    <row r="293" spans="2:10">
      <c r="B293" s="213" t="s">
        <v>448</v>
      </c>
      <c r="C293" s="213"/>
      <c r="D293" s="214"/>
      <c r="E293" s="214"/>
      <c r="F293" s="214"/>
      <c r="G293" s="214"/>
      <c r="H293" s="214"/>
      <c r="I293" s="214"/>
      <c r="J293" s="214"/>
    </row>
    <row r="294" spans="2:10">
      <c r="B294" s="209" t="s">
        <v>447</v>
      </c>
      <c r="C294" s="209" t="s">
        <v>446</v>
      </c>
      <c r="D294" s="209" t="s">
        <v>445</v>
      </c>
      <c r="E294" s="209" t="s">
        <v>444</v>
      </c>
      <c r="F294" s="209" t="s">
        <v>435</v>
      </c>
      <c r="G294" s="209" t="s">
        <v>443</v>
      </c>
      <c r="H294" s="209" t="s">
        <v>442</v>
      </c>
      <c r="I294" s="209" t="s">
        <v>441</v>
      </c>
      <c r="J294" s="209" t="s">
        <v>440</v>
      </c>
    </row>
    <row r="295" spans="2:10" ht="25" thickBot="1">
      <c r="B295" s="215" t="s">
        <v>439</v>
      </c>
      <c r="C295" s="216" t="s">
        <v>438</v>
      </c>
      <c r="D295" s="216" t="s">
        <v>437</v>
      </c>
      <c r="E295" s="216" t="s">
        <v>436</v>
      </c>
      <c r="F295" s="216" t="s">
        <v>435</v>
      </c>
      <c r="G295" s="216" t="s">
        <v>434</v>
      </c>
      <c r="H295" s="216" t="s">
        <v>433</v>
      </c>
      <c r="I295" s="216" t="s">
        <v>432</v>
      </c>
      <c r="J295" s="216" t="s">
        <v>431</v>
      </c>
    </row>
    <row r="296" spans="2:10">
      <c r="B296" s="217" t="s">
        <v>430</v>
      </c>
      <c r="C296" s="218"/>
      <c r="D296" s="260" t="str">
        <f>"I"&amp;LEFT($AJ$12,1)&amp;"DSOx"</f>
        <v>IMDSOx</v>
      </c>
      <c r="E296" s="270" t="str">
        <f>"Industrial heating  heating technology "&amp;$AJ$12&amp;" - SOx emission"</f>
        <v>Industrial heating  heating technology Mining - SOx emission</v>
      </c>
      <c r="F296" s="219" t="s">
        <v>352</v>
      </c>
      <c r="G296" s="211"/>
      <c r="H296" s="211"/>
      <c r="I296" s="211"/>
      <c r="J296" s="211"/>
    </row>
    <row r="297" spans="2:10">
      <c r="B297" s="214"/>
      <c r="C297" s="214"/>
      <c r="D297" s="260" t="str">
        <f>"I"&amp;LEFT($AJ$12,1)&amp;"DNOx"</f>
        <v>IMDNOx</v>
      </c>
      <c r="E297" s="270" t="str">
        <f>"Industrial heating  heating technology "&amp;$AJ$12&amp;" - NOx emission"</f>
        <v>Industrial heating  heating technology Mining - NOx emission</v>
      </c>
      <c r="F297" s="219" t="s">
        <v>352</v>
      </c>
      <c r="G297" s="211"/>
      <c r="H297" s="214"/>
      <c r="I297" s="214"/>
      <c r="J297" s="214"/>
    </row>
    <row r="298" spans="2:10">
      <c r="B298" s="214"/>
      <c r="C298" s="214"/>
      <c r="D298" s="260" t="str">
        <f>"I"&amp;LEFT($AJ$12,1)&amp;"DCH4"</f>
        <v>IMDCH4</v>
      </c>
      <c r="E298" s="270" t="str">
        <f>"Industrial heating  heating technology "&amp;$AJ$12&amp;" - CH4 emission"</f>
        <v>Industrial heating  heating technology Mining - CH4 emission</v>
      </c>
      <c r="F298" s="219" t="s">
        <v>352</v>
      </c>
      <c r="G298" s="211"/>
      <c r="H298" s="214"/>
      <c r="I298" s="214"/>
      <c r="J298" s="214"/>
    </row>
    <row r="299" spans="2:10">
      <c r="B299" s="214"/>
      <c r="C299" s="214"/>
      <c r="D299" s="260" t="str">
        <f>"I"&amp;LEFT($AJ$12,1)&amp;"DNO2"</f>
        <v>IMDNO2</v>
      </c>
      <c r="E299" s="270" t="str">
        <f>"Industrial heating  heating technology "&amp;$AJ$12&amp;" - NO2 emission"</f>
        <v>Industrial heating  heating technology Mining - NO2 emission</v>
      </c>
      <c r="F299" s="219" t="s">
        <v>352</v>
      </c>
      <c r="G299" s="211"/>
      <c r="H299" s="214"/>
      <c r="I299" s="214"/>
      <c r="J299" s="214"/>
    </row>
    <row r="300" spans="2:10">
      <c r="B300" s="214"/>
      <c r="C300" s="214"/>
      <c r="D300" s="260" t="str">
        <f>"I"&amp;LEFT($AJ$12,1)&amp;"DPM"</f>
        <v>IMDPM</v>
      </c>
      <c r="E300" s="270" t="str">
        <f>"Industrial heating  heating technology "&amp;$AJ$12&amp;" - Particle emission"</f>
        <v>Industrial heating  heating technology Mining - Particle emission</v>
      </c>
      <c r="F300" s="219" t="s">
        <v>352</v>
      </c>
      <c r="G300" s="211"/>
      <c r="H300" s="214"/>
      <c r="I300" s="214"/>
      <c r="J300" s="214"/>
    </row>
    <row r="301" spans="2:10">
      <c r="B301" s="224" t="s">
        <v>1057</v>
      </c>
      <c r="D301" s="224" t="str">
        <f>AI20</f>
        <v>INDIWH</v>
      </c>
      <c r="E301" s="270" t="str">
        <f>"Industrial heating technology "&amp;$AJ$12&amp;" - Waste heat"</f>
        <v>Industrial heating technology Mining - Waste heat</v>
      </c>
      <c r="F301" s="263" t="s">
        <v>450</v>
      </c>
    </row>
  </sheetData>
  <pageMargins left="0.7" right="0.7" top="0.75" bottom="0.75" header="0.3" footer="0.3"/>
  <pageSetup paperSize="9" orientation="portrait"/>
  <legacyDrawing r:id="rId1"/>
  <extLst>
    <ext xmlns:x14="http://schemas.microsoft.com/office/spreadsheetml/2009/9/main" uri="{CCE6A557-97BC-4b89-ADB6-D9C93CAAB3DF}">
      <x14:dataValidations xmlns:xm="http://schemas.microsoft.com/office/excel/2006/main" count="1">
        <x14:dataValidation type="list" allowBlank="1" showInputMessage="1" showErrorMessage="1" xr:uid="{E366FB9B-FF25-41C5-96C9-CBB893057C75}">
          <x14:formula1>
            <xm:f>'Oil-fired boiler_NEW'!$T$4:$X$4</xm:f>
          </x14:formula1>
          <xm:sqref>E1</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ADE50E-67AD-4BD9-B9DD-192AE8B500D6}">
  <sheetPr>
    <tabColor rgb="FF00B050"/>
  </sheetPr>
  <dimension ref="A1:AP301"/>
  <sheetViews>
    <sheetView tabSelected="1" zoomScale="80" zoomScaleNormal="80" workbookViewId="0">
      <pane xSplit="4" ySplit="7" topLeftCell="E193" activePane="bottomRight" state="frozen"/>
      <selection activeCell="G215" sqref="G215"/>
      <selection pane="topRight" activeCell="G215" sqref="G215"/>
      <selection pane="bottomLeft" activeCell="G215" sqref="G215"/>
      <selection pane="bottomRight" activeCell="G215" sqref="G215"/>
    </sheetView>
  </sheetViews>
  <sheetFormatPr baseColWidth="10" defaultColWidth="9.1640625" defaultRowHeight="15"/>
  <cols>
    <col min="1" max="1" width="9.1640625" style="224"/>
    <col min="2" max="2" width="31.5" style="224" customWidth="1"/>
    <col min="3" max="3" width="11.5" style="224" bestFit="1" customWidth="1"/>
    <col min="4" max="4" width="19.83203125" style="224" customWidth="1"/>
    <col min="5" max="5" width="98.5" style="224" bestFit="1" customWidth="1"/>
    <col min="6" max="6" width="10.5" style="224" bestFit="1" customWidth="1"/>
    <col min="7" max="7" width="55.83203125" style="224" bestFit="1" customWidth="1"/>
    <col min="8" max="8" width="27.83203125" style="224" bestFit="1" customWidth="1"/>
    <col min="9" max="9" width="27.83203125" style="224" customWidth="1"/>
    <col min="10" max="10" width="10.1640625" style="224" bestFit="1" customWidth="1"/>
    <col min="11" max="11" width="8.5" style="224" bestFit="1" customWidth="1"/>
    <col min="12" max="12" width="6.5" style="224" bestFit="1" customWidth="1"/>
    <col min="13" max="13" width="6.5" style="224" customWidth="1"/>
    <col min="14" max="15" width="12.83203125" style="224" bestFit="1" customWidth="1"/>
    <col min="16" max="16" width="12.5" style="224" bestFit="1" customWidth="1"/>
    <col min="17" max="17" width="6.1640625" style="224" customWidth="1"/>
    <col min="18" max="18" width="8.1640625" style="224" bestFit="1" customWidth="1"/>
    <col min="19" max="19" width="11.83203125" style="224" bestFit="1" customWidth="1"/>
    <col min="20" max="20" width="11.5" style="224" bestFit="1" customWidth="1"/>
    <col min="21" max="21" width="18.1640625" style="224" bestFit="1" customWidth="1"/>
    <col min="22" max="22" width="11.83203125" style="224" customWidth="1"/>
    <col min="23" max="23" width="7.83203125" style="224" bestFit="1" customWidth="1"/>
    <col min="24" max="24" width="8.5" style="224" bestFit="1" customWidth="1"/>
    <col min="25" max="25" width="6.5" style="224" bestFit="1" customWidth="1"/>
    <col min="26" max="26" width="6.5" style="224" customWidth="1"/>
    <col min="27" max="27" width="8" style="224" customWidth="1"/>
    <col min="28" max="38" width="9.1640625" style="224"/>
    <col min="39" max="39" width="64.1640625" style="224" bestFit="1" customWidth="1"/>
    <col min="40" max="16384" width="9.1640625" style="224"/>
  </cols>
  <sheetData>
    <row r="1" spans="2:42" ht="14.5" customHeight="1">
      <c r="D1" s="728" t="s">
        <v>1016</v>
      </c>
      <c r="E1" s="729" t="s">
        <v>719</v>
      </c>
      <c r="N1" s="64"/>
      <c r="O1" s="64"/>
      <c r="P1" s="64"/>
      <c r="S1" s="727" t="s">
        <v>1004</v>
      </c>
      <c r="T1" s="776" t="s">
        <v>1003</v>
      </c>
      <c r="U1" s="775" t="s">
        <v>1053</v>
      </c>
      <c r="V1" s="776" t="s">
        <v>1054</v>
      </c>
      <c r="W1" s="780">
        <v>0.3</v>
      </c>
    </row>
    <row r="2" spans="2:42" ht="16" thickBot="1">
      <c r="E2" s="730" t="s">
        <v>1138</v>
      </c>
      <c r="N2" s="731"/>
      <c r="O2" s="731"/>
      <c r="P2" s="731"/>
      <c r="S2" s="726">
        <f>MATCH($E$1,$AJ$22:$AJ$35)</f>
        <v>13</v>
      </c>
      <c r="T2" s="778">
        <f>MATCH($E$1,$AJ$22:$AJ$35)+1</f>
        <v>14</v>
      </c>
      <c r="U2" s="779"/>
      <c r="V2" s="768" t="s">
        <v>1055</v>
      </c>
      <c r="W2" s="781">
        <v>0.2</v>
      </c>
    </row>
    <row r="3" spans="2:42" ht="16" thickBot="1">
      <c r="N3" s="731"/>
      <c r="O3" s="731"/>
      <c r="P3" s="731"/>
      <c r="S3" s="768"/>
      <c r="T3" s="768"/>
      <c r="U3" s="777"/>
      <c r="V3" s="778" t="s">
        <v>1056</v>
      </c>
      <c r="W3" s="782">
        <v>0</v>
      </c>
    </row>
    <row r="4" spans="2:42">
      <c r="N4" s="731"/>
      <c r="O4" s="731"/>
      <c r="P4" s="731"/>
      <c r="S4" s="768"/>
      <c r="T4" s="768"/>
      <c r="U4" s="768"/>
      <c r="V4" s="768"/>
    </row>
    <row r="5" spans="2:42">
      <c r="J5" s="172" t="s">
        <v>468</v>
      </c>
      <c r="N5" s="731"/>
      <c r="O5" s="731"/>
      <c r="P5" s="731"/>
      <c r="S5" s="768"/>
      <c r="T5" s="768"/>
      <c r="U5" s="768"/>
      <c r="V5" s="768"/>
    </row>
    <row r="6" spans="2:42" ht="26.25" customHeight="1">
      <c r="B6" s="166" t="s">
        <v>1015</v>
      </c>
      <c r="C6" s="46"/>
      <c r="D6" s="46" t="s">
        <v>425</v>
      </c>
      <c r="E6" s="46" t="s">
        <v>426</v>
      </c>
      <c r="F6" s="46" t="s">
        <v>689</v>
      </c>
      <c r="G6" s="46" t="s">
        <v>427</v>
      </c>
      <c r="H6" s="46" t="s">
        <v>428</v>
      </c>
      <c r="I6" s="771" t="s">
        <v>1049</v>
      </c>
      <c r="J6" s="46" t="s">
        <v>335</v>
      </c>
      <c r="K6" s="46" t="s">
        <v>336</v>
      </c>
      <c r="L6" s="47" t="s">
        <v>337</v>
      </c>
      <c r="M6" s="47" t="s">
        <v>1052</v>
      </c>
      <c r="N6" s="47" t="s">
        <v>339</v>
      </c>
      <c r="O6" s="48" t="s">
        <v>340</v>
      </c>
      <c r="P6" s="47" t="s">
        <v>341</v>
      </c>
      <c r="Q6" s="49" t="s">
        <v>342</v>
      </c>
      <c r="R6" s="49" t="s">
        <v>343</v>
      </c>
      <c r="S6" s="769" t="s">
        <v>344</v>
      </c>
      <c r="T6" s="770" t="s">
        <v>997</v>
      </c>
      <c r="U6" s="769" t="s">
        <v>1050</v>
      </c>
      <c r="V6" s="783" t="s">
        <v>1051</v>
      </c>
      <c r="W6" s="284"/>
      <c r="X6" s="280" t="str">
        <f>"FEMIS~"&amp;D296</f>
        <v>FEMIS~IIDSOx</v>
      </c>
      <c r="Y6" s="280" t="str">
        <f>"FEMIS~"&amp;D297</f>
        <v>FEMIS~IIDNOx</v>
      </c>
      <c r="Z6" s="280" t="str">
        <f>"FEMIS~"&amp;D298</f>
        <v>FEMIS~IIDCH4</v>
      </c>
      <c r="AA6" s="280" t="str">
        <f>"FEMIS~"&amp;D299</f>
        <v>FEMIS~IIDNO2</v>
      </c>
      <c r="AB6" s="280" t="str">
        <f>"FEMIS~"&amp;D300</f>
        <v>FEMIS~IIDPM</v>
      </c>
      <c r="AC6" s="224" t="s">
        <v>424</v>
      </c>
      <c r="AD6" s="224" t="s">
        <v>2001</v>
      </c>
      <c r="AE6" s="47" t="s">
        <v>338</v>
      </c>
      <c r="AF6" s="221" t="s">
        <v>473</v>
      </c>
    </row>
    <row r="7" spans="2:42" ht="16" thickBot="1">
      <c r="B7" s="715"/>
      <c r="C7" s="167"/>
      <c r="D7" s="167" t="s">
        <v>429</v>
      </c>
      <c r="E7" s="50"/>
      <c r="F7" s="50"/>
      <c r="G7" s="50"/>
      <c r="H7" s="50"/>
      <c r="I7" s="168"/>
      <c r="J7" s="50"/>
      <c r="K7" s="50"/>
      <c r="L7" s="51"/>
      <c r="M7" s="51"/>
      <c r="N7" s="51"/>
      <c r="O7" s="52"/>
      <c r="P7" s="50"/>
      <c r="Q7" s="50"/>
      <c r="R7" s="50"/>
      <c r="S7" s="50"/>
      <c r="T7" s="50"/>
      <c r="U7" s="50"/>
      <c r="V7" s="168"/>
      <c r="W7" s="285"/>
      <c r="X7" s="50"/>
      <c r="Y7" s="50"/>
      <c r="Z7" s="50"/>
      <c r="AA7" s="50"/>
      <c r="AB7" s="50"/>
      <c r="AE7" s="51"/>
      <c r="AF7" s="222"/>
    </row>
    <row r="8" spans="2:42">
      <c r="B8" s="357"/>
      <c r="D8" s="224" t="s">
        <v>451</v>
      </c>
      <c r="I8" s="357"/>
      <c r="J8" s="57"/>
      <c r="K8" s="57"/>
      <c r="L8" s="57"/>
      <c r="M8" s="57"/>
      <c r="N8" s="57"/>
      <c r="O8" s="57" t="s">
        <v>470</v>
      </c>
      <c r="P8" s="57" t="s">
        <v>471</v>
      </c>
      <c r="Q8" s="57" t="s">
        <v>472</v>
      </c>
      <c r="R8" s="57" t="s">
        <v>351</v>
      </c>
      <c r="S8" s="57" t="s">
        <v>351</v>
      </c>
      <c r="T8" s="57"/>
      <c r="U8" s="57"/>
      <c r="V8" s="784"/>
      <c r="W8" s="286"/>
      <c r="X8" s="57" t="s">
        <v>352</v>
      </c>
      <c r="Y8" s="57" t="s">
        <v>352</v>
      </c>
      <c r="Z8" s="57" t="s">
        <v>352</v>
      </c>
      <c r="AA8" s="57" t="s">
        <v>352</v>
      </c>
      <c r="AB8" s="57" t="s">
        <v>352</v>
      </c>
      <c r="AE8" s="57"/>
      <c r="AF8" s="220"/>
    </row>
    <row r="9" spans="2:42">
      <c r="B9" s="357" t="s">
        <v>998</v>
      </c>
      <c r="D9" s="212" t="str">
        <f>"IND"&amp;RIGHT(H9,4)&amp;RIGHT(G9,3)&amp;"N"&amp;RIGHT(E9,1)</f>
        <v>INDSDPHELCN1</v>
      </c>
      <c r="E9" s="261" t="str">
        <f>"Industrial heating technology "&amp;$AJ$12&amp;" "&amp;RIGHT(H9,2)&amp;" - Heat pump utilizing waste heat - new 1"</f>
        <v>Industrial heating technology Iron &amp; Steel PH - Heat pump utilizing waste heat - new 1</v>
      </c>
      <c r="F9" s="224" t="s">
        <v>1149</v>
      </c>
      <c r="G9" s="173" t="s">
        <v>499</v>
      </c>
      <c r="H9" s="174" t="str">
        <f>$AI$14</f>
        <v>ISDPH</v>
      </c>
      <c r="I9" s="173"/>
      <c r="J9" s="224">
        <f>AD9</f>
        <v>2020</v>
      </c>
      <c r="K9" s="81">
        <v>2020</v>
      </c>
      <c r="L9" s="333">
        <v>1</v>
      </c>
      <c r="M9" s="199">
        <f ca="1">VLOOKUP($AD9,INDIRECT("'"&amp;$B9&amp;"'!"&amp;"$P$39:$AD$42"),3,FALSE)</f>
        <v>4.4754761904761899</v>
      </c>
      <c r="N9" s="81">
        <f ca="1">VLOOKUP($AD9,INDIRECT("'"&amp;$B9&amp;"'!"&amp;"$P$39:$AD$42"),5,FALSE)</f>
        <v>20</v>
      </c>
      <c r="O9" s="723">
        <f ca="1">VLOOKUP($AD9,INDIRECT("'"&amp;$B9&amp;"'!"&amp;"$P$39:$AD$42"),6,FALSE)/1000</f>
        <v>5.4385000000000003</v>
      </c>
      <c r="P9" s="723">
        <f ca="1">VLOOKUP($AD9,INDIRECT("'"&amp;$B9&amp;"'!"&amp;"$P$39:$AD$42"),7,FALSE)/1000</f>
        <v>1.49E-2</v>
      </c>
      <c r="Q9" s="81">
        <f ca="1">VLOOKUP($AD9,INDIRECT("'"&amp;$B9&amp;"'!"&amp;"$P$39:$AD$42"),8,FALSE)</f>
        <v>6.7463888888888883</v>
      </c>
      <c r="R9" s="81">
        <v>3.1536000000000002E-2</v>
      </c>
      <c r="S9" s="199">
        <v>0.5</v>
      </c>
      <c r="T9" s="199">
        <f ca="1">HLOOKUP($T$2,INDIRECT("'"&amp;$B9&amp;"'!"&amp;"$P$6:$AC$19"),IF(H9=$AI$13,6,IF(H9=$AI$14,9,14)),FALSE)</f>
        <v>0</v>
      </c>
      <c r="U9" s="199">
        <f ca="1">1/M9</f>
        <v>0.22343991062403579</v>
      </c>
      <c r="V9" s="199"/>
      <c r="W9" s="298"/>
      <c r="X9" s="698">
        <f ca="1">IF(VLOOKUP($AD9,INDIRECT("'"&amp;$B9&amp;"'!"&amp;"$P$39:$AD$42"),11,FALSE)="Cf. the utilized electricity",0,VLOOKUP($AD9,INDIRECT("'"&amp;$B9&amp;"'!"&amp;"$P$39:$AD$42"),11,FALSE))</f>
        <v>0</v>
      </c>
      <c r="Y9" s="81">
        <f ca="1">VLOOKUP($AD9,INDIRECT("'"&amp;$B9&amp;"'!"&amp;"$P$39:$AD$42"),12,FALSE)</f>
        <v>0</v>
      </c>
      <c r="Z9" s="81">
        <f ca="1">VLOOKUP($AD9,INDIRECT("'"&amp;$B9&amp;"'!"&amp;"$P$39:$AD$42"),13,FALSE)</f>
        <v>0</v>
      </c>
      <c r="AA9" s="81">
        <f ca="1">VLOOKUP($AD9,INDIRECT("'"&amp;$B9&amp;"'!"&amp;"$P$39:$AD$42"),14,FALSE)</f>
        <v>0</v>
      </c>
      <c r="AB9" s="81">
        <f ca="1">VLOOKUP($AD9,INDIRECT("'"&amp;$B9&amp;"'!"&amp;"$P$39:$AD$42"),15,FALSE)</f>
        <v>0</v>
      </c>
      <c r="AC9" s="226"/>
      <c r="AD9" s="81">
        <v>2020</v>
      </c>
      <c r="AE9" s="81"/>
      <c r="AF9" s="220"/>
    </row>
    <row r="10" spans="2:42">
      <c r="B10" s="357" t="s">
        <v>998</v>
      </c>
      <c r="D10" s="212"/>
      <c r="E10" s="261"/>
      <c r="F10" s="224" t="s">
        <v>1149</v>
      </c>
      <c r="G10" s="173" t="str">
        <f>$AI$20</f>
        <v>INDSWH</v>
      </c>
      <c r="H10" s="174"/>
      <c r="I10" s="174"/>
      <c r="K10" s="81"/>
      <c r="L10" s="333"/>
      <c r="M10" s="199"/>
      <c r="N10" s="81"/>
      <c r="O10" s="723"/>
      <c r="P10" s="723"/>
      <c r="Q10" s="81"/>
      <c r="R10" s="200"/>
      <c r="S10" s="772"/>
      <c r="T10" s="772"/>
      <c r="U10" s="199">
        <f ca="1">1-U9</f>
        <v>0.77656008937596421</v>
      </c>
      <c r="V10" s="772"/>
      <c r="W10" s="298"/>
      <c r="X10" s="698"/>
      <c r="Y10" s="81"/>
      <c r="Z10" s="81"/>
      <c r="AA10" s="81"/>
      <c r="AB10" s="81"/>
      <c r="AC10" s="226"/>
      <c r="AD10" s="81"/>
      <c r="AE10" s="81"/>
      <c r="AF10" s="220"/>
    </row>
    <row r="11" spans="2:42">
      <c r="B11" s="357" t="s">
        <v>998</v>
      </c>
      <c r="D11" s="212"/>
      <c r="E11" s="212"/>
      <c r="F11" s="224" t="s">
        <v>1149</v>
      </c>
      <c r="G11" s="173" t="s">
        <v>499</v>
      </c>
      <c r="H11" s="174" t="str">
        <f>$AI$14</f>
        <v>ISDPH</v>
      </c>
      <c r="I11" s="173"/>
      <c r="J11" s="224">
        <f>AD11</f>
        <v>2030</v>
      </c>
      <c r="K11" s="81"/>
      <c r="L11" s="333">
        <v>1</v>
      </c>
      <c r="M11" s="199">
        <f ca="1">VLOOKUP($AD11,INDIRECT("'"&amp;$B11&amp;"'!"&amp;"$P$39:$AD$42"),3,FALSE)</f>
        <v>4.5792982142857133</v>
      </c>
      <c r="N11" s="81"/>
      <c r="O11" s="723">
        <f ca="1">VLOOKUP($AD11,INDIRECT("'"&amp;$B11&amp;"'!"&amp;"$P$39:$AD$42"),6,FALSE)/1000</f>
        <v>4.8425000000000002</v>
      </c>
      <c r="P11" s="723">
        <f ca="1">VLOOKUP($AD11,INDIRECT("'"&amp;$B11&amp;"'!"&amp;"$P$39:$AD$42"),7,FALSE)/1000</f>
        <v>1.49E-2</v>
      </c>
      <c r="Q11" s="81">
        <f ca="1">VLOOKUP($AD11,INDIRECT("'"&amp;$B11&amp;"'!"&amp;"$P$39:$AD$42"),8,FALSE)</f>
        <v>6.6222222222222227</v>
      </c>
      <c r="R11" s="300"/>
      <c r="S11" s="300"/>
      <c r="T11" s="300"/>
      <c r="U11" s="199">
        <f ca="1">1/M11</f>
        <v>0.21837407244637849</v>
      </c>
      <c r="V11" s="199"/>
      <c r="W11" s="298"/>
      <c r="X11" s="698">
        <f ca="1">IF(VLOOKUP($AD11,INDIRECT("'"&amp;$B11&amp;"'!"&amp;"$P$39:$AD$42"),11,FALSE)="Cf. the utilized electricity",0,VLOOKUP($AD11,INDIRECT("'"&amp;$B11&amp;"'!"&amp;"$P$39:$AD$42"),11,FALSE))</f>
        <v>0</v>
      </c>
      <c r="Y11" s="81">
        <f ca="1">VLOOKUP($AD11,INDIRECT("'"&amp;$B11&amp;"'!"&amp;"$P$39:$AD$42"),12,FALSE)</f>
        <v>0</v>
      </c>
      <c r="Z11" s="81">
        <f ca="1">VLOOKUP($AD11,INDIRECT("'"&amp;$B11&amp;"'!"&amp;"$P$39:$AD$42"),13,FALSE)</f>
        <v>0</v>
      </c>
      <c r="AA11" s="81">
        <f ca="1">VLOOKUP($AD11,INDIRECT("'"&amp;$B11&amp;"'!"&amp;"$P$39:$AD$42"),14,FALSE)</f>
        <v>0</v>
      </c>
      <c r="AB11" s="81">
        <f ca="1">VLOOKUP($AD11,INDIRECT("'"&amp;$B11&amp;"'!"&amp;"$P$39:$AD$42"),15,FALSE)</f>
        <v>0</v>
      </c>
      <c r="AC11" s="226"/>
      <c r="AD11" s="81">
        <v>2030</v>
      </c>
      <c r="AE11" s="81"/>
      <c r="AF11" s="220"/>
    </row>
    <row r="12" spans="2:42">
      <c r="B12" s="357" t="s">
        <v>998</v>
      </c>
      <c r="D12" s="212"/>
      <c r="E12" s="212"/>
      <c r="F12" s="224" t="s">
        <v>1149</v>
      </c>
      <c r="G12" s="173" t="str">
        <f>$AI$20</f>
        <v>INDSWH</v>
      </c>
      <c r="H12" s="174"/>
      <c r="I12" s="174"/>
      <c r="K12" s="81"/>
      <c r="L12" s="333"/>
      <c r="M12" s="199"/>
      <c r="N12" s="81"/>
      <c r="O12" s="723"/>
      <c r="P12" s="723"/>
      <c r="Q12" s="81"/>
      <c r="R12" s="300"/>
      <c r="S12" s="300"/>
      <c r="T12" s="300"/>
      <c r="U12" s="199">
        <f ca="1">1-U11</f>
        <v>0.78162592755362148</v>
      </c>
      <c r="V12" s="300"/>
      <c r="W12" s="298"/>
      <c r="X12" s="698"/>
      <c r="Y12" s="81"/>
      <c r="Z12" s="81"/>
      <c r="AA12" s="81"/>
      <c r="AB12" s="81"/>
      <c r="AC12" s="226"/>
      <c r="AD12" s="81"/>
      <c r="AE12" s="81"/>
      <c r="AF12" s="220"/>
      <c r="AI12" s="224" t="s">
        <v>518</v>
      </c>
      <c r="AJ12" s="224" t="str">
        <f>E2</f>
        <v>Iron &amp; Steel</v>
      </c>
    </row>
    <row r="13" spans="2:42">
      <c r="B13" s="357" t="s">
        <v>998</v>
      </c>
      <c r="D13" s="212"/>
      <c r="E13" s="212"/>
      <c r="F13" s="224" t="s">
        <v>1149</v>
      </c>
      <c r="G13" s="173" t="s">
        <v>499</v>
      </c>
      <c r="H13" s="174" t="str">
        <f>$AI$14</f>
        <v>ISDPH</v>
      </c>
      <c r="I13" s="173"/>
      <c r="J13" s="224">
        <f>AD13</f>
        <v>2050</v>
      </c>
      <c r="K13" s="81"/>
      <c r="L13" s="333">
        <v>1</v>
      </c>
      <c r="M13" s="199">
        <f ca="1">VLOOKUP($AD13,INDIRECT("'"&amp;$B13&amp;"'!"&amp;"$P$39:$AD$42"),3,FALSE)</f>
        <v>4.7191030203571422</v>
      </c>
      <c r="N13" s="81"/>
      <c r="O13" s="723">
        <f ca="1">VLOOKUP($AD13,INDIRECT("'"&amp;$B13&amp;"'!"&amp;"$P$39:$AD$42"),6,FALSE)/1000</f>
        <v>4.3209999999999997</v>
      </c>
      <c r="P13" s="723">
        <f ca="1">VLOOKUP($AD13,INDIRECT("'"&amp;$B13&amp;"'!"&amp;"$P$39:$AD$42"),7,FALSE)/1000</f>
        <v>1.49E-2</v>
      </c>
      <c r="Q13" s="81">
        <f ca="1">VLOOKUP($AD13,INDIRECT("'"&amp;$B13&amp;"'!"&amp;"$P$39:$AD$42"),8,FALSE)</f>
        <v>6.4566666666666661</v>
      </c>
      <c r="R13" s="300"/>
      <c r="S13" s="300"/>
      <c r="T13" s="300"/>
      <c r="U13" s="199">
        <f ca="1">1/M13</f>
        <v>0.21190467673331698</v>
      </c>
      <c r="V13" s="199"/>
      <c r="W13" s="298"/>
      <c r="X13" s="698">
        <f ca="1">IF(VLOOKUP($AD13,INDIRECT("'"&amp;$B13&amp;"'!"&amp;"$P$39:$AD$42"),11,FALSE)="Cf. the utilized electricity",0,VLOOKUP($AD13,INDIRECT("'"&amp;$B13&amp;"'!"&amp;"$P$39:$AD$42"),11,FALSE))</f>
        <v>0</v>
      </c>
      <c r="Y13" s="81">
        <f ca="1">VLOOKUP($AD13,INDIRECT("'"&amp;$B13&amp;"'!"&amp;"$P$39:$AD$42"),12,FALSE)</f>
        <v>0</v>
      </c>
      <c r="Z13" s="81">
        <f ca="1">VLOOKUP($AD13,INDIRECT("'"&amp;$B13&amp;"'!"&amp;"$P$39:$AD$42"),13,FALSE)</f>
        <v>0</v>
      </c>
      <c r="AA13" s="81">
        <f ca="1">VLOOKUP($AD13,INDIRECT("'"&amp;$B13&amp;"'!"&amp;"$P$39:$AD$42"),14,FALSE)</f>
        <v>0</v>
      </c>
      <c r="AB13" s="81">
        <f ca="1">VLOOKUP($AD13,INDIRECT("'"&amp;$B13&amp;"'!"&amp;"$P$39:$AD$42"),15,FALSE)</f>
        <v>0</v>
      </c>
      <c r="AC13" s="226"/>
      <c r="AD13" s="81">
        <v>2050</v>
      </c>
      <c r="AE13" s="81"/>
      <c r="AF13" s="220"/>
      <c r="AI13" s="224" t="str">
        <f>AO14</f>
        <v>ISDPH</v>
      </c>
      <c r="AJ13" s="224" t="str">
        <f>AP14</f>
        <v>Iron &amp; Steel  Demand Heat High Temp. over 150C</v>
      </c>
      <c r="AO13" s="224" t="s">
        <v>2090</v>
      </c>
      <c r="AP13" s="224" t="s">
        <v>1201</v>
      </c>
    </row>
    <row r="14" spans="2:42">
      <c r="B14" s="357" t="s">
        <v>998</v>
      </c>
      <c r="D14" s="212"/>
      <c r="E14" s="212"/>
      <c r="F14" s="224" t="s">
        <v>1149</v>
      </c>
      <c r="G14" s="173" t="str">
        <f>$AI$20</f>
        <v>INDSWH</v>
      </c>
      <c r="H14" s="174"/>
      <c r="I14" s="174"/>
      <c r="K14" s="81"/>
      <c r="L14" s="333"/>
      <c r="M14" s="199"/>
      <c r="N14" s="81"/>
      <c r="O14" s="723"/>
      <c r="P14" s="723"/>
      <c r="Q14" s="81"/>
      <c r="R14" s="300"/>
      <c r="S14" s="300"/>
      <c r="T14" s="300"/>
      <c r="U14" s="199">
        <f ca="1">1-U13</f>
        <v>0.78809532326668297</v>
      </c>
      <c r="V14" s="300"/>
      <c r="W14" s="298"/>
      <c r="X14" s="698"/>
      <c r="Y14" s="81"/>
      <c r="Z14" s="81"/>
      <c r="AA14" s="81"/>
      <c r="AB14" s="81"/>
      <c r="AC14" s="226"/>
      <c r="AD14" s="81"/>
      <c r="AE14" s="81"/>
      <c r="AF14" s="220"/>
      <c r="AI14" s="224" t="str">
        <f>AO13</f>
        <v>ISDPH</v>
      </c>
      <c r="AJ14" s="224" t="str">
        <f>AP13</f>
        <v>Iron &amp; Steel  Demand Heat Medium Temp. up to 150C</v>
      </c>
      <c r="AO14" s="224" t="s">
        <v>2090</v>
      </c>
      <c r="AP14" s="224" t="s">
        <v>1202</v>
      </c>
    </row>
    <row r="15" spans="2:42">
      <c r="B15" s="357" t="s">
        <v>998</v>
      </c>
      <c r="D15" s="212" t="str">
        <f>"IND"&amp;RIGHT(H15,4)&amp;RIGHT(G15,3)&amp;"N"&amp;RIGHT(E15,1)</f>
        <v>INDSDSHELCN1</v>
      </c>
      <c r="E15" s="261" t="str">
        <f>"Industrial heating technology "&amp;$AJ$12&amp;" "&amp;RIGHT(H15,2)&amp;" - Heat pump utilizing waste heat - new 1"</f>
        <v>Industrial heating technology Iron &amp; Steel SH - Heat pump utilizing waste heat - new 1</v>
      </c>
      <c r="F15" s="224" t="s">
        <v>1149</v>
      </c>
      <c r="G15" s="173" t="s">
        <v>499</v>
      </c>
      <c r="H15" s="174" t="str">
        <f>$AI$15</f>
        <v>ISDSH</v>
      </c>
      <c r="I15" s="174"/>
      <c r="J15" s="224">
        <f>AD15</f>
        <v>2020</v>
      </c>
      <c r="K15" s="81">
        <v>2020</v>
      </c>
      <c r="L15" s="333">
        <v>1</v>
      </c>
      <c r="M15" s="199">
        <f ca="1">VLOOKUP($AD15,INDIRECT("'"&amp;$B15&amp;"'!"&amp;"$P$39:$AD$42"),3,FALSE)</f>
        <v>4.4754761904761899</v>
      </c>
      <c r="N15" s="81">
        <f ca="1">VLOOKUP($AD15,INDIRECT("'"&amp;$B15&amp;"'!"&amp;"$P$39:$AD$42"),5,FALSE)</f>
        <v>20</v>
      </c>
      <c r="O15" s="723">
        <f ca="1">VLOOKUP($AD15,INDIRECT("'"&amp;$B15&amp;"'!"&amp;"$P$39:$AD$42"),6,FALSE)/1000</f>
        <v>5.4385000000000003</v>
      </c>
      <c r="P15" s="723">
        <f ca="1">VLOOKUP($AD15,INDIRECT("'"&amp;$B15&amp;"'!"&amp;"$P$39:$AD$42"),7,FALSE)/1000</f>
        <v>1.49E-2</v>
      </c>
      <c r="Q15" s="81">
        <f ca="1">VLOOKUP($AD15,INDIRECT("'"&amp;$B15&amp;"'!"&amp;"$P$39:$AD$42"),8,FALSE)</f>
        <v>6.7463888888888883</v>
      </c>
      <c r="R15" s="81">
        <v>3.1536000000000002E-2</v>
      </c>
      <c r="S15" s="199">
        <v>0.5</v>
      </c>
      <c r="T15" s="199">
        <f ca="1">HLOOKUP($T$2,INDIRECT("'"&amp;$B15&amp;"'!"&amp;"$P$6:$AC$19"),IF(H15=$AI$13,6,IF(H15=$AI$14,9,14)),FALSE)</f>
        <v>1</v>
      </c>
      <c r="U15" s="199">
        <f ca="1">1/M15</f>
        <v>0.22343991062403579</v>
      </c>
      <c r="V15" s="199"/>
      <c r="W15" s="298"/>
      <c r="X15" s="698">
        <f ca="1">IF(VLOOKUP($AD15,INDIRECT("'"&amp;$B15&amp;"'!"&amp;"$P$39:$AD$42"),11,FALSE)="Cf. the utilized electricity",0,VLOOKUP($AD15,INDIRECT("'"&amp;$B15&amp;"'!"&amp;"$P$39:$AD$42"),11,FALSE))</f>
        <v>0</v>
      </c>
      <c r="Y15" s="81">
        <f ca="1">VLOOKUP($AD15,INDIRECT("'"&amp;$B15&amp;"'!"&amp;"$P$39:$AD$42"),12,FALSE)</f>
        <v>0</v>
      </c>
      <c r="Z15" s="81">
        <f ca="1">VLOOKUP($AD15,INDIRECT("'"&amp;$B15&amp;"'!"&amp;"$P$39:$AD$42"),13,FALSE)</f>
        <v>0</v>
      </c>
      <c r="AA15" s="81">
        <f ca="1">VLOOKUP($AD15,INDIRECT("'"&amp;$B15&amp;"'!"&amp;"$P$39:$AD$42"),14,FALSE)</f>
        <v>0</v>
      </c>
      <c r="AB15" s="81">
        <f ca="1">VLOOKUP($AD15,INDIRECT("'"&amp;$B15&amp;"'!"&amp;"$P$39:$AD$42"),15,FALSE)</f>
        <v>0</v>
      </c>
      <c r="AC15" s="226"/>
      <c r="AD15" s="81">
        <v>2020</v>
      </c>
      <c r="AE15" s="81"/>
      <c r="AF15" s="220"/>
      <c r="AI15" s="224" t="str">
        <f>AO15</f>
        <v>ISDSH</v>
      </c>
      <c r="AJ15" s="224" t="str">
        <f>AP15</f>
        <v>Iron &amp; Steel  Demand Heat Room Heat</v>
      </c>
      <c r="AO15" s="224" t="s">
        <v>2091</v>
      </c>
      <c r="AP15" s="224" t="s">
        <v>1203</v>
      </c>
    </row>
    <row r="16" spans="2:42">
      <c r="B16" s="357" t="s">
        <v>998</v>
      </c>
      <c r="D16" s="212"/>
      <c r="E16" s="261"/>
      <c r="F16" s="224" t="s">
        <v>1149</v>
      </c>
      <c r="G16" s="173" t="str">
        <f>$AI$20</f>
        <v>INDSWH</v>
      </c>
      <c r="H16" s="174"/>
      <c r="I16" s="174"/>
      <c r="K16" s="81"/>
      <c r="L16" s="333"/>
      <c r="M16" s="199"/>
      <c r="N16" s="81"/>
      <c r="O16" s="723"/>
      <c r="P16" s="723"/>
      <c r="Q16" s="81"/>
      <c r="R16" s="200"/>
      <c r="S16" s="772"/>
      <c r="T16" s="772"/>
      <c r="U16" s="199">
        <f ca="1">1-U15</f>
        <v>0.77656008937596421</v>
      </c>
      <c r="V16" s="772"/>
      <c r="W16" s="298"/>
      <c r="X16" s="698"/>
      <c r="Y16" s="81"/>
      <c r="Z16" s="81"/>
      <c r="AA16" s="81"/>
      <c r="AB16" s="81"/>
      <c r="AC16" s="226"/>
      <c r="AD16" s="81"/>
      <c r="AE16" s="81"/>
      <c r="AF16" s="220"/>
      <c r="AI16" s="224" t="str">
        <f t="shared" ref="AI16:AJ19" si="0">AO16</f>
        <v>ISDLA</v>
      </c>
      <c r="AJ16" s="224" t="str">
        <f t="shared" si="0"/>
        <v>Iron &amp; Steel  Demand Light</v>
      </c>
      <c r="AO16" s="224" t="s">
        <v>1204</v>
      </c>
      <c r="AP16" s="224" t="s">
        <v>1205</v>
      </c>
    </row>
    <row r="17" spans="2:42">
      <c r="B17" s="357" t="s">
        <v>998</v>
      </c>
      <c r="D17" s="212"/>
      <c r="E17" s="212"/>
      <c r="F17" s="224" t="s">
        <v>1149</v>
      </c>
      <c r="G17" s="173" t="s">
        <v>499</v>
      </c>
      <c r="H17" s="174" t="str">
        <f>$AI$15</f>
        <v>ISDSH</v>
      </c>
      <c r="I17" s="174"/>
      <c r="J17" s="224">
        <f>AD17</f>
        <v>2030</v>
      </c>
      <c r="K17" s="81"/>
      <c r="L17" s="333">
        <v>1</v>
      </c>
      <c r="M17" s="199">
        <f ca="1">VLOOKUP($AD17,INDIRECT("'"&amp;$B17&amp;"'!"&amp;"$P$39:$AD$42"),3,FALSE)</f>
        <v>4.5792982142857133</v>
      </c>
      <c r="N17" s="81"/>
      <c r="O17" s="723">
        <f ca="1">VLOOKUP($AD17,INDIRECT("'"&amp;$B17&amp;"'!"&amp;"$P$39:$AD$42"),6,FALSE)/1000</f>
        <v>4.8425000000000002</v>
      </c>
      <c r="P17" s="723">
        <f ca="1">VLOOKUP($AD17,INDIRECT("'"&amp;$B17&amp;"'!"&amp;"$P$39:$AD$42"),7,FALSE)/1000</f>
        <v>1.49E-2</v>
      </c>
      <c r="Q17" s="81">
        <f ca="1">VLOOKUP($AD17,INDIRECT("'"&amp;$B17&amp;"'!"&amp;"$P$39:$AD$42"),8,FALSE)</f>
        <v>6.6222222222222227</v>
      </c>
      <c r="R17" s="300"/>
      <c r="S17" s="300"/>
      <c r="T17" s="300"/>
      <c r="U17" s="199">
        <f ca="1">1/M17</f>
        <v>0.21837407244637849</v>
      </c>
      <c r="V17" s="199"/>
      <c r="W17" s="298"/>
      <c r="X17" s="698">
        <f ca="1">IF(VLOOKUP($AD17,INDIRECT("'"&amp;$B17&amp;"'!"&amp;"$P$39:$AD$42"),11,FALSE)="Cf. the utilized electricity",0,VLOOKUP($AD17,INDIRECT("'"&amp;$B17&amp;"'!"&amp;"$P$39:$AD$42"),11,FALSE))</f>
        <v>0</v>
      </c>
      <c r="Y17" s="81">
        <f ca="1">VLOOKUP($AD17,INDIRECT("'"&amp;$B17&amp;"'!"&amp;"$P$39:$AD$42"),12,FALSE)</f>
        <v>0</v>
      </c>
      <c r="Z17" s="81">
        <f ca="1">VLOOKUP($AD17,INDIRECT("'"&amp;$B17&amp;"'!"&amp;"$P$39:$AD$42"),13,FALSE)</f>
        <v>0</v>
      </c>
      <c r="AA17" s="81">
        <f ca="1">VLOOKUP($AD17,INDIRECT("'"&amp;$B17&amp;"'!"&amp;"$P$39:$AD$42"),14,FALSE)</f>
        <v>0</v>
      </c>
      <c r="AB17" s="81">
        <f ca="1">VLOOKUP($AD17,INDIRECT("'"&amp;$B17&amp;"'!"&amp;"$P$39:$AD$42"),15,FALSE)</f>
        <v>0</v>
      </c>
      <c r="AC17" s="226"/>
      <c r="AD17" s="81">
        <v>2030</v>
      </c>
      <c r="AE17" s="81"/>
      <c r="AF17" s="220"/>
      <c r="AI17" s="224" t="str">
        <f t="shared" si="0"/>
        <v>ISDEM</v>
      </c>
      <c r="AJ17" s="224" t="str">
        <f t="shared" si="0"/>
        <v>Iron &amp; Steel  Demand Electric Motors</v>
      </c>
      <c r="AO17" s="224" t="s">
        <v>1206</v>
      </c>
      <c r="AP17" s="224" t="s">
        <v>1207</v>
      </c>
    </row>
    <row r="18" spans="2:42">
      <c r="B18" s="357" t="s">
        <v>998</v>
      </c>
      <c r="D18" s="212"/>
      <c r="E18" s="212"/>
      <c r="F18" s="224" t="s">
        <v>1149</v>
      </c>
      <c r="G18" s="173" t="str">
        <f>$AI$20</f>
        <v>INDSWH</v>
      </c>
      <c r="H18" s="174"/>
      <c r="I18" s="174"/>
      <c r="K18" s="81"/>
      <c r="L18" s="333"/>
      <c r="M18" s="199"/>
      <c r="N18" s="81"/>
      <c r="O18" s="723"/>
      <c r="P18" s="723"/>
      <c r="Q18" s="81"/>
      <c r="R18" s="300"/>
      <c r="S18" s="300"/>
      <c r="T18" s="300"/>
      <c r="U18" s="199">
        <f ca="1">1-U17</f>
        <v>0.78162592755362148</v>
      </c>
      <c r="V18" s="300"/>
      <c r="W18" s="298"/>
      <c r="X18" s="698"/>
      <c r="Y18" s="81"/>
      <c r="Z18" s="81"/>
      <c r="AA18" s="81"/>
      <c r="AB18" s="81"/>
      <c r="AC18" s="226"/>
      <c r="AD18" s="81"/>
      <c r="AE18" s="81"/>
      <c r="AF18" s="220"/>
      <c r="AI18" s="224" t="str">
        <f t="shared" si="0"/>
        <v>ISDTF</v>
      </c>
      <c r="AJ18" s="224" t="str">
        <f t="shared" si="0"/>
        <v>Iron &amp; Steel  Demand Haulage Tractors, Trucks, Fishing boats, Forest machines</v>
      </c>
      <c r="AO18" s="224" t="s">
        <v>1208</v>
      </c>
      <c r="AP18" s="224" t="s">
        <v>1209</v>
      </c>
    </row>
    <row r="19" spans="2:42">
      <c r="B19" s="357" t="s">
        <v>998</v>
      </c>
      <c r="D19" s="212"/>
      <c r="E19" s="212"/>
      <c r="F19" s="224" t="s">
        <v>1149</v>
      </c>
      <c r="G19" s="173" t="s">
        <v>499</v>
      </c>
      <c r="H19" s="174" t="str">
        <f>$AI$15</f>
        <v>ISDSH</v>
      </c>
      <c r="I19" s="174"/>
      <c r="J19" s="224">
        <f>AD19</f>
        <v>2050</v>
      </c>
      <c r="K19" s="81"/>
      <c r="L19" s="333">
        <v>1</v>
      </c>
      <c r="M19" s="199">
        <f ca="1">VLOOKUP($AD19,INDIRECT("'"&amp;$B19&amp;"'!"&amp;"$P$39:$AD$42"),3,FALSE)</f>
        <v>4.7191030203571422</v>
      </c>
      <c r="N19" s="81"/>
      <c r="O19" s="723">
        <f ca="1">VLOOKUP($AD19,INDIRECT("'"&amp;$B19&amp;"'!"&amp;"$P$39:$AD$42"),6,FALSE)/1000</f>
        <v>4.3209999999999997</v>
      </c>
      <c r="P19" s="723">
        <f ca="1">VLOOKUP($AD19,INDIRECT("'"&amp;$B19&amp;"'!"&amp;"$P$39:$AD$42"),7,FALSE)/1000</f>
        <v>1.49E-2</v>
      </c>
      <c r="Q19" s="81">
        <f ca="1">VLOOKUP($AD19,INDIRECT("'"&amp;$B19&amp;"'!"&amp;"$P$39:$AD$42"),8,FALSE)</f>
        <v>6.4566666666666661</v>
      </c>
      <c r="R19" s="300"/>
      <c r="S19" s="300"/>
      <c r="T19" s="300"/>
      <c r="U19" s="199">
        <f ca="1">1/M19</f>
        <v>0.21190467673331698</v>
      </c>
      <c r="V19" s="199"/>
      <c r="W19" s="298"/>
      <c r="X19" s="698">
        <f ca="1">IF(VLOOKUP($AD19,INDIRECT("'"&amp;$B19&amp;"'!"&amp;"$P$39:$AD$42"),11,FALSE)="Cf. the utilized electricity",0,VLOOKUP($AD19,INDIRECT("'"&amp;$B19&amp;"'!"&amp;"$P$39:$AD$42"),11,FALSE))</f>
        <v>0</v>
      </c>
      <c r="Y19" s="81">
        <f ca="1">VLOOKUP($AD19,INDIRECT("'"&amp;$B19&amp;"'!"&amp;"$P$39:$AD$42"),12,FALSE)</f>
        <v>0</v>
      </c>
      <c r="Z19" s="81">
        <f ca="1">VLOOKUP($AD19,INDIRECT("'"&amp;$B19&amp;"'!"&amp;"$P$39:$AD$42"),13,FALSE)</f>
        <v>0</v>
      </c>
      <c r="AA19" s="81">
        <f ca="1">VLOOKUP($AD19,INDIRECT("'"&amp;$B19&amp;"'!"&amp;"$P$39:$AD$42"),14,FALSE)</f>
        <v>0</v>
      </c>
      <c r="AB19" s="81">
        <f ca="1">VLOOKUP($AD19,INDIRECT("'"&amp;$B19&amp;"'!"&amp;"$P$39:$AD$42"),15,FALSE)</f>
        <v>0</v>
      </c>
      <c r="AC19" s="226"/>
      <c r="AD19" s="81">
        <v>2050</v>
      </c>
      <c r="AE19" s="81"/>
      <c r="AF19" s="220"/>
      <c r="AI19" s="224" t="str">
        <f t="shared" si="0"/>
        <v>ISDFL</v>
      </c>
      <c r="AJ19" s="224" t="str">
        <f t="shared" si="0"/>
        <v>Iron &amp; Steel  Demand Haulage Forklifts</v>
      </c>
      <c r="AO19" s="224" t="s">
        <v>1210</v>
      </c>
      <c r="AP19" s="224" t="s">
        <v>1211</v>
      </c>
    </row>
    <row r="20" spans="2:42">
      <c r="B20" s="357" t="s">
        <v>998</v>
      </c>
      <c r="D20" s="212"/>
      <c r="E20" s="212"/>
      <c r="F20" s="224" t="s">
        <v>1149</v>
      </c>
      <c r="G20" s="173" t="str">
        <f>$AI$20</f>
        <v>INDSWH</v>
      </c>
      <c r="H20" s="174"/>
      <c r="I20" s="174"/>
      <c r="K20" s="81"/>
      <c r="L20" s="333"/>
      <c r="M20" s="199"/>
      <c r="N20" s="81"/>
      <c r="O20" s="723"/>
      <c r="P20" s="723"/>
      <c r="Q20" s="81"/>
      <c r="R20" s="300"/>
      <c r="S20" s="300"/>
      <c r="T20" s="300"/>
      <c r="U20" s="199">
        <f ca="1">1-U19</f>
        <v>0.78809532326668297</v>
      </c>
      <c r="V20" s="300"/>
      <c r="W20" s="298"/>
      <c r="X20" s="698"/>
      <c r="Y20" s="81"/>
      <c r="Z20" s="81"/>
      <c r="AA20" s="81"/>
      <c r="AB20" s="81"/>
      <c r="AC20" s="226"/>
      <c r="AD20" s="81"/>
      <c r="AE20" s="81"/>
      <c r="AF20" s="220"/>
      <c r="AI20" s="36" t="str">
        <f>"IND"&amp;MID(AI19,2,1)&amp;"WH"</f>
        <v>INDSWH</v>
      </c>
      <c r="AJ20" s="224" t="str">
        <f>$AJ$12&amp;" Industrial Waste Heat"</f>
        <v>Iron &amp; Steel Industrial Waste Heat</v>
      </c>
    </row>
    <row r="21" spans="2:42">
      <c r="B21" s="357" t="s">
        <v>999</v>
      </c>
      <c r="D21" s="212" t="str">
        <f>"IND"&amp;RIGHT(H21,4)&amp;RIGHT(G21,3)&amp;"N"&amp;RIGHT(E21,1)</f>
        <v>INDSDPHELCN2</v>
      </c>
      <c r="E21" s="261" t="str">
        <f>"Industrial heating technology "&amp;$AJ$12&amp;" "&amp;RIGHT(H21,2)&amp;" - Heat driven heat pump utilizing waste heat - new 2"</f>
        <v>Industrial heating technology Iron &amp; Steel PH - Heat driven heat pump utilizing waste heat - new 2</v>
      </c>
      <c r="F21" s="224" t="s">
        <v>1149</v>
      </c>
      <c r="G21" s="173" t="s">
        <v>499</v>
      </c>
      <c r="H21" s="174" t="str">
        <f>$AI$14</f>
        <v>ISDPH</v>
      </c>
      <c r="I21" s="174"/>
      <c r="J21" s="224">
        <f t="shared" ref="J21" si="1">AD21</f>
        <v>2020</v>
      </c>
      <c r="K21" s="81">
        <v>2020</v>
      </c>
      <c r="L21" s="333">
        <v>1</v>
      </c>
      <c r="M21" s="199">
        <f ca="1">VLOOKUP($AD21,INDIRECT("'"&amp;$B21&amp;"'!"&amp;"$P$39:$AD$42"),3,FALSE)</f>
        <v>1.68</v>
      </c>
      <c r="N21" s="81">
        <f ca="1">VLOOKUP($AD21,INDIRECT("'"&amp;$B21&amp;"'!"&amp;"$P$39:$AD$42"),5,FALSE)</f>
        <v>20</v>
      </c>
      <c r="O21" s="723">
        <f ca="1">VLOOKUP($AD21,INDIRECT("'"&amp;$B21&amp;"'!"&amp;"$P$39:$AD$42"),6,FALSE)/1000</f>
        <v>4.1720000000000006</v>
      </c>
      <c r="P21" s="723">
        <f ca="1">VLOOKUP($AD21,INDIRECT("'"&amp;$B21&amp;"'!"&amp;"$P$39:$AD$42"),7,FALSE)/1000</f>
        <v>1.49E-2</v>
      </c>
      <c r="Q21" s="81">
        <f ca="1">VLOOKUP($AD21,INDIRECT("'"&amp;$B21&amp;"'!"&amp;"$P$39:$AD$42"),8,FALSE)</f>
        <v>2.0901388888888892</v>
      </c>
      <c r="R21" s="81">
        <v>3.1536000000000002E-2</v>
      </c>
      <c r="S21" s="199">
        <v>0.5</v>
      </c>
      <c r="T21" s="199">
        <f ca="1">HLOOKUP($T$2,INDIRECT("'"&amp;$B21&amp;"'!"&amp;"$P$6:$AC$19"),IF(H21=$AI$13,6,IF(H21=$AI$14,9,14)),FALSE)</f>
        <v>0</v>
      </c>
      <c r="U21" s="199">
        <f ca="1">1/M21</f>
        <v>0.59523809523809523</v>
      </c>
      <c r="V21" s="199"/>
      <c r="W21" s="298"/>
      <c r="X21" s="698">
        <f ca="1">IF(VLOOKUP($AD21,INDIRECT("'"&amp;$B21&amp;"'!"&amp;"$P$39:$AD$42"),11,FALSE)="Cf. the utilized electricity",0,VLOOKUP($AD21,INDIRECT("'"&amp;$B21&amp;"'!"&amp;"$P$39:$AD$42"),11,FALSE))</f>
        <v>0</v>
      </c>
      <c r="Y21" s="81">
        <f ca="1">VLOOKUP($AD21,INDIRECT("'"&amp;$B21&amp;"'!"&amp;"$P$39:$AD$42"),12,FALSE)</f>
        <v>0</v>
      </c>
      <c r="Z21" s="81">
        <f ca="1">VLOOKUP($AD21,INDIRECT("'"&amp;$B21&amp;"'!"&amp;"$P$39:$AD$42"),13,FALSE)</f>
        <v>0</v>
      </c>
      <c r="AA21" s="81">
        <f ca="1">VLOOKUP($AD21,INDIRECT("'"&amp;$B21&amp;"'!"&amp;"$P$39:$AD$42"),14,FALSE)</f>
        <v>0</v>
      </c>
      <c r="AB21" s="81">
        <f ca="1">VLOOKUP($AD21,INDIRECT("'"&amp;$B21&amp;"'!"&amp;"$P$39:$AD$42"),15,FALSE)</f>
        <v>0</v>
      </c>
      <c r="AC21" s="226"/>
      <c r="AD21" s="81">
        <v>2020</v>
      </c>
      <c r="AE21" s="81"/>
      <c r="AF21" s="220"/>
      <c r="AI21" s="224" t="s">
        <v>2115</v>
      </c>
      <c r="AJ21" s="224" t="s">
        <v>2114</v>
      </c>
    </row>
    <row r="22" spans="2:42">
      <c r="B22" s="357" t="s">
        <v>999</v>
      </c>
      <c r="D22" s="212"/>
      <c r="E22" s="261"/>
      <c r="F22" s="224" t="s">
        <v>1149</v>
      </c>
      <c r="G22" s="173" t="str">
        <f>$AI$20</f>
        <v>INDSWH</v>
      </c>
      <c r="H22" s="174"/>
      <c r="I22" s="174"/>
      <c r="K22" s="81"/>
      <c r="L22" s="333"/>
      <c r="M22" s="199"/>
      <c r="N22" s="81"/>
      <c r="O22" s="723"/>
      <c r="P22" s="723"/>
      <c r="Q22" s="81"/>
      <c r="R22" s="200"/>
      <c r="S22" s="772"/>
      <c r="T22" s="772"/>
      <c r="U22" s="199">
        <f ca="1">1-U21</f>
        <v>0.40476190476190477</v>
      </c>
      <c r="V22" s="772"/>
      <c r="W22" s="298"/>
      <c r="X22" s="698"/>
      <c r="Y22" s="81"/>
      <c r="Z22" s="81"/>
      <c r="AA22" s="81"/>
      <c r="AB22" s="81"/>
      <c r="AC22" s="226"/>
      <c r="AD22" s="81"/>
      <c r="AE22" s="81"/>
      <c r="AF22" s="220"/>
      <c r="AI22" s="224">
        <v>1</v>
      </c>
    </row>
    <row r="23" spans="2:42">
      <c r="B23" s="357" t="s">
        <v>999</v>
      </c>
      <c r="D23" s="212"/>
      <c r="E23" s="212"/>
      <c r="F23" s="224" t="s">
        <v>1149</v>
      </c>
      <c r="G23" s="173" t="s">
        <v>499</v>
      </c>
      <c r="H23" s="174" t="str">
        <f>$AI$14</f>
        <v>ISDPH</v>
      </c>
      <c r="I23" s="174"/>
      <c r="J23" s="224">
        <f t="shared" ref="J23" si="2">AD23</f>
        <v>2030</v>
      </c>
      <c r="K23" s="81"/>
      <c r="L23" s="333">
        <v>1</v>
      </c>
      <c r="M23" s="199">
        <f ca="1">VLOOKUP($AD23,INDIRECT("'"&amp;$B23&amp;"'!"&amp;"$P$39:$AD$42"),3,FALSE)</f>
        <v>1.69</v>
      </c>
      <c r="N23" s="81"/>
      <c r="O23" s="723">
        <f ca="1">VLOOKUP($AD23,INDIRECT("'"&amp;$B23&amp;"'!"&amp;"$P$39:$AD$42"),6,FALSE)/1000</f>
        <v>3.7995000000000001</v>
      </c>
      <c r="P23" s="723">
        <f ca="1">VLOOKUP($AD23,INDIRECT("'"&amp;$B23&amp;"'!"&amp;"$P$39:$AD$42"),7,FALSE)/1000</f>
        <v>1.49E-2</v>
      </c>
      <c r="Q23" s="81">
        <f ca="1">VLOOKUP($AD23,INDIRECT("'"&amp;$B23&amp;"'!"&amp;"$P$39:$AD$42"),8,FALSE)</f>
        <v>2.0694444444444446</v>
      </c>
      <c r="R23" s="300"/>
      <c r="S23" s="300"/>
      <c r="T23" s="300"/>
      <c r="U23" s="199">
        <f ca="1">1/M23</f>
        <v>0.59171597633136097</v>
      </c>
      <c r="V23" s="199"/>
      <c r="W23" s="298"/>
      <c r="X23" s="698">
        <f ca="1">IF(VLOOKUP($AD23,INDIRECT("'"&amp;$B23&amp;"'!"&amp;"$P$39:$AD$42"),11,FALSE)="Cf. the utilized electricity",0,VLOOKUP($AD23,INDIRECT("'"&amp;$B23&amp;"'!"&amp;"$P$39:$AD$42"),11,FALSE))</f>
        <v>0</v>
      </c>
      <c r="Y23" s="81">
        <f ca="1">VLOOKUP($AD23,INDIRECT("'"&amp;$B23&amp;"'!"&amp;"$P$39:$AD$42"),12,FALSE)</f>
        <v>0</v>
      </c>
      <c r="Z23" s="81">
        <f ca="1">VLOOKUP($AD23,INDIRECT("'"&amp;$B23&amp;"'!"&amp;"$P$39:$AD$42"),13,FALSE)</f>
        <v>0</v>
      </c>
      <c r="AA23" s="81">
        <f ca="1">VLOOKUP($AD23,INDIRECT("'"&amp;$B23&amp;"'!"&amp;"$P$39:$AD$42"),14,FALSE)</f>
        <v>0</v>
      </c>
      <c r="AB23" s="81">
        <f ca="1">VLOOKUP($AD23,INDIRECT("'"&amp;$B23&amp;"'!"&amp;"$P$39:$AD$42"),15,FALSE)</f>
        <v>0</v>
      </c>
      <c r="AC23" s="226"/>
      <c r="AD23" s="81">
        <v>2030</v>
      </c>
      <c r="AE23" s="81"/>
      <c r="AF23" s="220"/>
      <c r="AI23" s="224">
        <v>2</v>
      </c>
    </row>
    <row r="24" spans="2:42" ht="14.5" customHeight="1">
      <c r="B24" s="357" t="s">
        <v>999</v>
      </c>
      <c r="D24" s="212"/>
      <c r="E24" s="212"/>
      <c r="F24" s="224" t="s">
        <v>1149</v>
      </c>
      <c r="G24" s="173" t="str">
        <f>$AI$20</f>
        <v>INDSWH</v>
      </c>
      <c r="H24" s="174"/>
      <c r="I24" s="174"/>
      <c r="K24" s="81"/>
      <c r="L24" s="333"/>
      <c r="M24" s="199"/>
      <c r="N24" s="81"/>
      <c r="O24" s="723"/>
      <c r="P24" s="723"/>
      <c r="Q24" s="81"/>
      <c r="R24" s="300"/>
      <c r="S24" s="300"/>
      <c r="T24" s="300"/>
      <c r="U24" s="199">
        <f ca="1">1-U23</f>
        <v>0.40828402366863903</v>
      </c>
      <c r="V24" s="300"/>
      <c r="W24" s="298"/>
      <c r="X24" s="698"/>
      <c r="Y24" s="81"/>
      <c r="Z24" s="81"/>
      <c r="AA24" s="81"/>
      <c r="AB24" s="81"/>
      <c r="AC24" s="226"/>
      <c r="AD24" s="81"/>
      <c r="AE24" s="81"/>
      <c r="AF24" s="220"/>
      <c r="AI24" s="224">
        <v>3</v>
      </c>
    </row>
    <row r="25" spans="2:42" ht="14.5" customHeight="1">
      <c r="B25" s="357" t="s">
        <v>999</v>
      </c>
      <c r="D25" s="212"/>
      <c r="E25" s="212"/>
      <c r="F25" s="224" t="s">
        <v>1149</v>
      </c>
      <c r="G25" s="173" t="s">
        <v>499</v>
      </c>
      <c r="H25" s="174" t="str">
        <f>$AI$14</f>
        <v>ISDPH</v>
      </c>
      <c r="I25" s="174"/>
      <c r="J25" s="224">
        <f t="shared" ref="J25" si="3">AD25</f>
        <v>2050</v>
      </c>
      <c r="K25" s="81"/>
      <c r="L25" s="333">
        <v>1</v>
      </c>
      <c r="M25" s="199">
        <f ca="1">VLOOKUP($AD25,INDIRECT("'"&amp;$B25&amp;"'!"&amp;"$P$39:$AD$42"),3,FALSE)</f>
        <v>1.71</v>
      </c>
      <c r="N25" s="81"/>
      <c r="O25" s="723">
        <f ca="1">VLOOKUP($AD25,INDIRECT("'"&amp;$B25&amp;"'!"&amp;"$P$39:$AD$42"),6,FALSE)/1000</f>
        <v>3.427</v>
      </c>
      <c r="P25" s="723">
        <f ca="1">VLOOKUP($AD25,INDIRECT("'"&amp;$B25&amp;"'!"&amp;"$P$39:$AD$42"),7,FALSE)/1000</f>
        <v>1.49E-2</v>
      </c>
      <c r="Q25" s="81">
        <f ca="1">VLOOKUP($AD25,INDIRECT("'"&amp;$B25&amp;"'!"&amp;"$P$39:$AD$42"),8,FALSE)</f>
        <v>2.0487500000000001</v>
      </c>
      <c r="R25" s="300"/>
      <c r="S25" s="300"/>
      <c r="T25" s="300"/>
      <c r="U25" s="199">
        <f ca="1">1/M25</f>
        <v>0.58479532163742687</v>
      </c>
      <c r="V25" s="199"/>
      <c r="W25" s="298"/>
      <c r="X25" s="698">
        <f ca="1">IF(VLOOKUP($AD25,INDIRECT("'"&amp;$B25&amp;"'!"&amp;"$P$39:$AD$42"),11,FALSE)="Cf. the utilized electricity",0,VLOOKUP($AD25,INDIRECT("'"&amp;$B25&amp;"'!"&amp;"$P$39:$AD$42"),11,FALSE))</f>
        <v>0</v>
      </c>
      <c r="Y25" s="81">
        <f ca="1">VLOOKUP($AD25,INDIRECT("'"&amp;$B25&amp;"'!"&amp;"$P$39:$AD$42"),12,FALSE)</f>
        <v>0</v>
      </c>
      <c r="Z25" s="81">
        <f ca="1">VLOOKUP($AD25,INDIRECT("'"&amp;$B25&amp;"'!"&amp;"$P$39:$AD$42"),13,FALSE)</f>
        <v>0</v>
      </c>
      <c r="AA25" s="81">
        <f ca="1">VLOOKUP($AD25,INDIRECT("'"&amp;$B25&amp;"'!"&amp;"$P$39:$AD$42"),14,FALSE)</f>
        <v>0</v>
      </c>
      <c r="AB25" s="81">
        <f ca="1">VLOOKUP($AD25,INDIRECT("'"&amp;$B25&amp;"'!"&amp;"$P$39:$AD$42"),15,FALSE)</f>
        <v>0</v>
      </c>
      <c r="AC25" s="226"/>
      <c r="AD25" s="81">
        <v>2050</v>
      </c>
      <c r="AE25" s="81"/>
      <c r="AF25" s="220"/>
      <c r="AI25" s="224">
        <v>4</v>
      </c>
    </row>
    <row r="26" spans="2:42" ht="15" customHeight="1">
      <c r="B26" s="357" t="s">
        <v>999</v>
      </c>
      <c r="D26" s="212"/>
      <c r="E26" s="212"/>
      <c r="F26" s="224" t="s">
        <v>1149</v>
      </c>
      <c r="G26" s="173" t="str">
        <f>$AI$20</f>
        <v>INDSWH</v>
      </c>
      <c r="H26" s="174"/>
      <c r="I26" s="174"/>
      <c r="K26" s="81"/>
      <c r="L26" s="333"/>
      <c r="M26" s="199"/>
      <c r="N26" s="81"/>
      <c r="O26" s="723"/>
      <c r="P26" s="723"/>
      <c r="Q26" s="81"/>
      <c r="R26" s="300"/>
      <c r="S26" s="300"/>
      <c r="T26" s="300"/>
      <c r="U26" s="199">
        <f ca="1">1-U25</f>
        <v>0.41520467836257313</v>
      </c>
      <c r="V26" s="300"/>
      <c r="W26" s="298"/>
      <c r="X26" s="698"/>
      <c r="Y26" s="81"/>
      <c r="Z26" s="81"/>
      <c r="AA26" s="81"/>
      <c r="AB26" s="81"/>
      <c r="AC26" s="226"/>
      <c r="AD26" s="81"/>
      <c r="AE26" s="81"/>
      <c r="AF26" s="220"/>
      <c r="AI26" s="224">
        <v>5</v>
      </c>
      <c r="AJ26" s="224" t="s">
        <v>715</v>
      </c>
    </row>
    <row r="27" spans="2:42">
      <c r="B27" s="357" t="s">
        <v>999</v>
      </c>
      <c r="D27" s="212" t="str">
        <f>"IND"&amp;RIGHT(H27,4)&amp;RIGHT(G27,3)&amp;"N"&amp;RIGHT(E27,1)</f>
        <v>INDSDSHELCN2</v>
      </c>
      <c r="E27" s="261" t="str">
        <f>"Industrial heating technology "&amp;$AJ$12&amp;" "&amp;RIGHT(H27,2)&amp;" - Heat driven heat pump utilizing waste heat - new 2"</f>
        <v>Industrial heating technology Iron &amp; Steel SH - Heat driven heat pump utilizing waste heat - new 2</v>
      </c>
      <c r="F27" s="224" t="s">
        <v>1149</v>
      </c>
      <c r="G27" s="173" t="s">
        <v>499</v>
      </c>
      <c r="H27" s="174" t="str">
        <f>$AI$15</f>
        <v>ISDSH</v>
      </c>
      <c r="I27" s="174"/>
      <c r="J27" s="224">
        <f t="shared" ref="J27" si="4">AD27</f>
        <v>2020</v>
      </c>
      <c r="K27" s="81">
        <v>2020</v>
      </c>
      <c r="L27" s="333">
        <v>1</v>
      </c>
      <c r="M27" s="199">
        <f ca="1">VLOOKUP($AD27,INDIRECT("'"&amp;$B27&amp;"'!"&amp;"$P$39:$AD$42"),3,FALSE)</f>
        <v>1.68</v>
      </c>
      <c r="N27" s="81">
        <f ca="1">VLOOKUP($AD27,INDIRECT("'"&amp;$B27&amp;"'!"&amp;"$P$39:$AD$42"),5,FALSE)</f>
        <v>20</v>
      </c>
      <c r="O27" s="723">
        <f ca="1">VLOOKUP($AD27,INDIRECT("'"&amp;$B27&amp;"'!"&amp;"$P$39:$AD$42"),6,FALSE)/1000</f>
        <v>4.1720000000000006</v>
      </c>
      <c r="P27" s="723">
        <f ca="1">VLOOKUP($AD27,INDIRECT("'"&amp;$B27&amp;"'!"&amp;"$P$39:$AD$42"),7,FALSE)/1000</f>
        <v>1.49E-2</v>
      </c>
      <c r="Q27" s="81">
        <f ca="1">VLOOKUP($AD27,INDIRECT("'"&amp;$B27&amp;"'!"&amp;"$P$39:$AD$42"),8,FALSE)</f>
        <v>2.0901388888888892</v>
      </c>
      <c r="R27" s="81">
        <v>3.1536000000000002E-2</v>
      </c>
      <c r="S27" s="199">
        <v>0.5</v>
      </c>
      <c r="T27" s="199">
        <f ca="1">HLOOKUP($T$2,INDIRECT("'"&amp;$B27&amp;"'!"&amp;"$P$6:$AC$19"),IF(H27=$AI$13,6,IF(H27=$AI$14,9,14)),FALSE)</f>
        <v>1</v>
      </c>
      <c r="U27" s="199">
        <f ca="1">1/M27</f>
        <v>0.59523809523809523</v>
      </c>
      <c r="V27" s="199"/>
      <c r="W27" s="298"/>
      <c r="X27" s="698">
        <f ca="1">IF(VLOOKUP($AD27,INDIRECT("'"&amp;$B27&amp;"'!"&amp;"$P$39:$AD$42"),11,FALSE)="Cf. the utilized electricity",0,VLOOKUP($AD27,INDIRECT("'"&amp;$B27&amp;"'!"&amp;"$P$39:$AD$42"),11,FALSE))</f>
        <v>0</v>
      </c>
      <c r="Y27" s="81">
        <f ca="1">VLOOKUP($AD27,INDIRECT("'"&amp;$B27&amp;"'!"&amp;"$P$39:$AD$42"),12,FALSE)</f>
        <v>0</v>
      </c>
      <c r="Z27" s="81">
        <f ca="1">VLOOKUP($AD27,INDIRECT("'"&amp;$B27&amp;"'!"&amp;"$P$39:$AD$42"),13,FALSE)</f>
        <v>0</v>
      </c>
      <c r="AA27" s="81">
        <f ca="1">VLOOKUP($AD27,INDIRECT("'"&amp;$B27&amp;"'!"&amp;"$P$39:$AD$42"),14,FALSE)</f>
        <v>0</v>
      </c>
      <c r="AB27" s="81">
        <f ca="1">VLOOKUP($AD27,INDIRECT("'"&amp;$B27&amp;"'!"&amp;"$P$39:$AD$42"),15,FALSE)</f>
        <v>0</v>
      </c>
      <c r="AD27" s="81">
        <v>2020</v>
      </c>
      <c r="AE27" s="81"/>
      <c r="AF27" s="220"/>
      <c r="AI27" s="224">
        <v>6</v>
      </c>
    </row>
    <row r="28" spans="2:42" ht="15" customHeight="1">
      <c r="B28" s="357" t="s">
        <v>999</v>
      </c>
      <c r="D28" s="212"/>
      <c r="E28" s="261"/>
      <c r="F28" s="224" t="s">
        <v>1149</v>
      </c>
      <c r="G28" s="173" t="str">
        <f>$AI$20</f>
        <v>INDSWH</v>
      </c>
      <c r="H28" s="174"/>
      <c r="I28" s="174"/>
      <c r="K28" s="81"/>
      <c r="L28" s="333"/>
      <c r="M28" s="199"/>
      <c r="N28" s="81"/>
      <c r="O28" s="723"/>
      <c r="P28" s="723"/>
      <c r="Q28" s="81"/>
      <c r="R28" s="200"/>
      <c r="S28" s="772"/>
      <c r="T28" s="772"/>
      <c r="U28" s="199">
        <f ca="1">1-U27</f>
        <v>0.40476190476190477</v>
      </c>
      <c r="V28" s="772"/>
      <c r="W28" s="298"/>
      <c r="X28" s="698"/>
      <c r="Y28" s="81"/>
      <c r="Z28" s="81"/>
      <c r="AA28" s="81"/>
      <c r="AB28" s="81"/>
      <c r="AD28" s="81"/>
      <c r="AE28" s="81"/>
      <c r="AF28" s="220"/>
      <c r="AI28" s="224">
        <v>7</v>
      </c>
      <c r="AJ28" s="224" t="s">
        <v>716</v>
      </c>
    </row>
    <row r="29" spans="2:42">
      <c r="B29" s="357" t="s">
        <v>999</v>
      </c>
      <c r="D29" s="212"/>
      <c r="E29" s="212"/>
      <c r="F29" s="224" t="s">
        <v>1149</v>
      </c>
      <c r="G29" s="173" t="s">
        <v>499</v>
      </c>
      <c r="H29" s="174" t="str">
        <f>$AI$15</f>
        <v>ISDSH</v>
      </c>
      <c r="I29" s="174"/>
      <c r="J29" s="224">
        <f t="shared" ref="J29" si="5">AD29</f>
        <v>2030</v>
      </c>
      <c r="K29" s="81"/>
      <c r="L29" s="333">
        <v>1</v>
      </c>
      <c r="M29" s="199">
        <f ca="1">VLOOKUP($AD29,INDIRECT("'"&amp;$B29&amp;"'!"&amp;"$P$39:$AD$42"),3,FALSE)</f>
        <v>1.69</v>
      </c>
      <c r="N29" s="81"/>
      <c r="O29" s="723">
        <f ca="1">VLOOKUP($AD29,INDIRECT("'"&amp;$B29&amp;"'!"&amp;"$P$39:$AD$42"),6,FALSE)/1000</f>
        <v>3.7995000000000001</v>
      </c>
      <c r="P29" s="723">
        <f ca="1">VLOOKUP($AD29,INDIRECT("'"&amp;$B29&amp;"'!"&amp;"$P$39:$AD$42"),7,FALSE)/1000</f>
        <v>1.49E-2</v>
      </c>
      <c r="Q29" s="81">
        <f ca="1">VLOOKUP($AD29,INDIRECT("'"&amp;$B29&amp;"'!"&amp;"$P$39:$AD$42"),8,FALSE)</f>
        <v>2.0694444444444446</v>
      </c>
      <c r="R29" s="300"/>
      <c r="S29" s="300"/>
      <c r="T29" s="300"/>
      <c r="U29" s="199">
        <f ca="1">1/M29</f>
        <v>0.59171597633136097</v>
      </c>
      <c r="V29" s="199"/>
      <c r="W29" s="298"/>
      <c r="X29" s="698">
        <f ca="1">IF(VLOOKUP($AD29,INDIRECT("'"&amp;$B29&amp;"'!"&amp;"$P$39:$AD$42"),11,FALSE)="Cf. the utilized electricity",0,VLOOKUP($AD29,INDIRECT("'"&amp;$B29&amp;"'!"&amp;"$P$39:$AD$42"),11,FALSE))</f>
        <v>0</v>
      </c>
      <c r="Y29" s="81">
        <f ca="1">VLOOKUP($AD29,INDIRECT("'"&amp;$B29&amp;"'!"&amp;"$P$39:$AD$42"),12,FALSE)</f>
        <v>0</v>
      </c>
      <c r="Z29" s="81">
        <f ca="1">VLOOKUP($AD29,INDIRECT("'"&amp;$B29&amp;"'!"&amp;"$P$39:$AD$42"),13,FALSE)</f>
        <v>0</v>
      </c>
      <c r="AA29" s="81">
        <f ca="1">VLOOKUP($AD29,INDIRECT("'"&amp;$B29&amp;"'!"&amp;"$P$39:$AD$42"),14,FALSE)</f>
        <v>0</v>
      </c>
      <c r="AB29" s="81">
        <f ca="1">VLOOKUP($AD29,INDIRECT("'"&amp;$B29&amp;"'!"&amp;"$P$39:$AD$42"),15,FALSE)</f>
        <v>0</v>
      </c>
      <c r="AD29" s="81">
        <v>2030</v>
      </c>
      <c r="AE29" s="81"/>
      <c r="AF29" s="220"/>
      <c r="AI29" s="224">
        <v>8</v>
      </c>
    </row>
    <row r="30" spans="2:42" ht="15" customHeight="1">
      <c r="B30" s="357" t="s">
        <v>999</v>
      </c>
      <c r="D30" s="212"/>
      <c r="E30" s="212"/>
      <c r="F30" s="224" t="s">
        <v>1149</v>
      </c>
      <c r="G30" s="173" t="str">
        <f>$AI$20</f>
        <v>INDSWH</v>
      </c>
      <c r="H30" s="174"/>
      <c r="I30" s="174"/>
      <c r="K30" s="81"/>
      <c r="L30" s="333"/>
      <c r="M30" s="199"/>
      <c r="N30" s="81"/>
      <c r="O30" s="723"/>
      <c r="P30" s="723"/>
      <c r="Q30" s="81"/>
      <c r="R30" s="300"/>
      <c r="S30" s="300"/>
      <c r="T30" s="300"/>
      <c r="U30" s="199">
        <f ca="1">1-U29</f>
        <v>0.40828402366863903</v>
      </c>
      <c r="V30" s="300"/>
      <c r="W30" s="298"/>
      <c r="X30" s="698"/>
      <c r="Y30" s="81"/>
      <c r="Z30" s="81"/>
      <c r="AA30" s="81"/>
      <c r="AB30" s="81"/>
      <c r="AD30" s="81"/>
      <c r="AE30" s="81"/>
      <c r="AF30" s="220"/>
      <c r="AI30" s="224">
        <v>9</v>
      </c>
      <c r="AJ30" s="224" t="s">
        <v>717</v>
      </c>
    </row>
    <row r="31" spans="2:42">
      <c r="B31" s="357" t="s">
        <v>999</v>
      </c>
      <c r="D31" s="212"/>
      <c r="E31" s="212"/>
      <c r="F31" s="224" t="s">
        <v>1149</v>
      </c>
      <c r="G31" s="173" t="s">
        <v>499</v>
      </c>
      <c r="H31" s="174" t="str">
        <f>$AI$15</f>
        <v>ISDSH</v>
      </c>
      <c r="I31" s="174"/>
      <c r="J31" s="224">
        <f t="shared" ref="J31" si="6">AD31</f>
        <v>2050</v>
      </c>
      <c r="K31" s="81"/>
      <c r="L31" s="333">
        <v>1</v>
      </c>
      <c r="M31" s="199">
        <f ca="1">VLOOKUP($AD31,INDIRECT("'"&amp;$B31&amp;"'!"&amp;"$P$39:$AD$42"),3,FALSE)</f>
        <v>1.71</v>
      </c>
      <c r="N31" s="81"/>
      <c r="O31" s="723">
        <f ca="1">VLOOKUP($AD31,INDIRECT("'"&amp;$B31&amp;"'!"&amp;"$P$39:$AD$42"),6,FALSE)/1000</f>
        <v>3.427</v>
      </c>
      <c r="P31" s="723">
        <f ca="1">VLOOKUP($AD31,INDIRECT("'"&amp;$B31&amp;"'!"&amp;"$P$39:$AD$42"),7,FALSE)/1000</f>
        <v>1.49E-2</v>
      </c>
      <c r="Q31" s="81">
        <f ca="1">VLOOKUP($AD31,INDIRECT("'"&amp;$B31&amp;"'!"&amp;"$P$39:$AD$42"),8,FALSE)</f>
        <v>2.0487500000000001</v>
      </c>
      <c r="R31" s="300"/>
      <c r="S31" s="300"/>
      <c r="T31" s="300"/>
      <c r="U31" s="199">
        <f ca="1">1/M31</f>
        <v>0.58479532163742687</v>
      </c>
      <c r="V31" s="199"/>
      <c r="W31" s="298"/>
      <c r="X31" s="698">
        <f ca="1">IF(VLOOKUP($AD31,INDIRECT("'"&amp;$B31&amp;"'!"&amp;"$P$39:$AD$42"),11,FALSE)="Cf. the utilized electricity",0,VLOOKUP($AD31,INDIRECT("'"&amp;$B31&amp;"'!"&amp;"$P$39:$AD$42"),11,FALSE))</f>
        <v>0</v>
      </c>
      <c r="Y31" s="81">
        <f ca="1">VLOOKUP($AD31,INDIRECT("'"&amp;$B31&amp;"'!"&amp;"$P$39:$AD$42"),12,FALSE)</f>
        <v>0</v>
      </c>
      <c r="Z31" s="81">
        <f ca="1">VLOOKUP($AD31,INDIRECT("'"&amp;$B31&amp;"'!"&amp;"$P$39:$AD$42"),13,FALSE)</f>
        <v>0</v>
      </c>
      <c r="AA31" s="81">
        <f ca="1">VLOOKUP($AD31,INDIRECT("'"&amp;$B31&amp;"'!"&amp;"$P$39:$AD$42"),14,FALSE)</f>
        <v>0</v>
      </c>
      <c r="AB31" s="81">
        <f ca="1">VLOOKUP($AD31,INDIRECT("'"&amp;$B31&amp;"'!"&amp;"$P$39:$AD$42"),15,FALSE)</f>
        <v>0</v>
      </c>
      <c r="AD31" s="81">
        <v>2050</v>
      </c>
      <c r="AE31" s="81"/>
      <c r="AF31" s="220"/>
      <c r="AI31" s="224">
        <v>10</v>
      </c>
    </row>
    <row r="32" spans="2:42">
      <c r="B32" s="357" t="s">
        <v>999</v>
      </c>
      <c r="D32" s="212"/>
      <c r="E32" s="212"/>
      <c r="F32" s="224" t="s">
        <v>1149</v>
      </c>
      <c r="G32" s="173" t="str">
        <f>$AI$20</f>
        <v>INDSWH</v>
      </c>
      <c r="H32" s="174"/>
      <c r="I32" s="174"/>
      <c r="K32" s="81"/>
      <c r="L32" s="333"/>
      <c r="M32" s="199"/>
      <c r="N32" s="81"/>
      <c r="O32" s="723"/>
      <c r="P32" s="723"/>
      <c r="Q32" s="81"/>
      <c r="R32" s="300"/>
      <c r="S32" s="300"/>
      <c r="T32" s="300"/>
      <c r="U32" s="199">
        <f ca="1">1-U31</f>
        <v>0.41520467836257313</v>
      </c>
      <c r="V32" s="300"/>
      <c r="W32" s="298"/>
      <c r="X32" s="698"/>
      <c r="Y32" s="81"/>
      <c r="Z32" s="81"/>
      <c r="AA32" s="81"/>
      <c r="AB32" s="81"/>
      <c r="AD32" s="81"/>
      <c r="AE32" s="81"/>
      <c r="AF32" s="220"/>
      <c r="AI32" s="224">
        <v>11</v>
      </c>
      <c r="AJ32" s="224" t="s">
        <v>718</v>
      </c>
    </row>
    <row r="33" spans="2:36">
      <c r="B33" s="357" t="s">
        <v>1000</v>
      </c>
      <c r="D33" s="212" t="str">
        <f>"IND"&amp;RIGHT(H33,4)&amp;RIGHT(G33,3)&amp;"N"&amp;RIGHT(E33,1)</f>
        <v>INDSDPHELCN3</v>
      </c>
      <c r="E33" s="261" t="str">
        <f>"Industrial heating technology "&amp;$AJ$12&amp;" "&amp;RIGHT(H33,2)&amp;" - High Temp abs. Heat pump utilizing waste heat - new 3"</f>
        <v>Industrial heating technology Iron &amp; Steel PH - High Temp abs. Heat pump utilizing waste heat - new 3</v>
      </c>
      <c r="F33" s="224" t="s">
        <v>1149</v>
      </c>
      <c r="G33" s="173" t="s">
        <v>499</v>
      </c>
      <c r="H33" s="174" t="str">
        <f>$AI$14</f>
        <v>ISDPH</v>
      </c>
      <c r="I33" s="174"/>
      <c r="J33" s="224">
        <f t="shared" ref="J33" si="7">AD33</f>
        <v>2020</v>
      </c>
      <c r="K33" s="81">
        <v>2020</v>
      </c>
      <c r="L33" s="333">
        <v>1</v>
      </c>
      <c r="M33" s="199">
        <f ca="1">VLOOKUP($AD33,INDIRECT("'"&amp;$B33&amp;"'!"&amp;"$P$39:$AD$42"),3,FALSE)</f>
        <v>2.75</v>
      </c>
      <c r="N33" s="81">
        <f ca="1">VLOOKUP($AD33,INDIRECT("'"&amp;$B33&amp;"'!"&amp;"$P$39:$AD$42"),5,FALSE)</f>
        <v>20</v>
      </c>
      <c r="O33" s="723">
        <f ca="1">VLOOKUP($AD33,INDIRECT("'"&amp;$B33&amp;"'!"&amp;"$P$39:$AD$42"),6,FALSE)/1000</f>
        <v>7.1394840000000004</v>
      </c>
      <c r="P33" s="723">
        <f ca="1">VLOOKUP($AD33,INDIRECT("'"&amp;$B33&amp;"'!"&amp;"$P$39:$AD$42"),7,FALSE)/1000</f>
        <v>7.2264999999999994E-3</v>
      </c>
      <c r="Q33" s="81">
        <f ca="1">VLOOKUP($AD33,INDIRECT("'"&amp;$B33&amp;"'!"&amp;"$P$39:$AD$42"),8,FALSE)</f>
        <v>6.7463888888888883</v>
      </c>
      <c r="R33" s="81">
        <v>3.1536000000000002E-2</v>
      </c>
      <c r="S33" s="199">
        <v>0.5</v>
      </c>
      <c r="T33" s="199">
        <f ca="1">HLOOKUP($T$2,INDIRECT("'"&amp;$B33&amp;"'!"&amp;"$P$6:$AC$19"),IF(H33=$AI$13,6,IF(H33=$AI$14,9,14)),FALSE)-T9</f>
        <v>0</v>
      </c>
      <c r="U33" s="199">
        <f ca="1">1/M33</f>
        <v>0.36363636363636365</v>
      </c>
      <c r="V33" s="199"/>
      <c r="W33" s="298"/>
      <c r="X33" s="698">
        <f ca="1">IF(VLOOKUP($AD33,INDIRECT("'"&amp;$B33&amp;"'!"&amp;"$P$39:$AD$42"),11,FALSE)="Cf. the utilized electricity",0,VLOOKUP($AD33,INDIRECT("'"&amp;$B33&amp;"'!"&amp;"$P$39:$AD$42"),11,FALSE))</f>
        <v>0</v>
      </c>
      <c r="Y33" s="81">
        <f ca="1">VLOOKUP($AD33,INDIRECT("'"&amp;$B33&amp;"'!"&amp;"$P$39:$AD$42"),12,FALSE)</f>
        <v>0</v>
      </c>
      <c r="Z33" s="81">
        <f ca="1">VLOOKUP($AD33,INDIRECT("'"&amp;$B33&amp;"'!"&amp;"$P$39:$AD$42"),13,FALSE)</f>
        <v>0</v>
      </c>
      <c r="AA33" s="81">
        <f ca="1">VLOOKUP($AD33,INDIRECT("'"&amp;$B33&amp;"'!"&amp;"$P$39:$AD$42"),14,FALSE)</f>
        <v>0</v>
      </c>
      <c r="AB33" s="81">
        <f ca="1">VLOOKUP($AD33,INDIRECT("'"&amp;$B33&amp;"'!"&amp;"$P$39:$AD$42"),15,FALSE)</f>
        <v>0</v>
      </c>
      <c r="AD33" s="81">
        <v>2020</v>
      </c>
      <c r="AE33" s="81"/>
      <c r="AF33" s="220"/>
      <c r="AI33" s="224">
        <v>12</v>
      </c>
    </row>
    <row r="34" spans="2:36">
      <c r="B34" s="357" t="s">
        <v>1000</v>
      </c>
      <c r="D34" s="212"/>
      <c r="E34" s="261"/>
      <c r="F34" s="224" t="s">
        <v>1149</v>
      </c>
      <c r="G34" s="173" t="str">
        <f>$AI$20</f>
        <v>INDSWH</v>
      </c>
      <c r="H34" s="174"/>
      <c r="I34" s="174"/>
      <c r="K34" s="81"/>
      <c r="L34" s="333"/>
      <c r="M34" s="199"/>
      <c r="N34" s="81"/>
      <c r="O34" s="723"/>
      <c r="P34" s="723"/>
      <c r="Q34" s="81"/>
      <c r="R34" s="200"/>
      <c r="S34" s="772"/>
      <c r="T34" s="772"/>
      <c r="U34" s="199">
        <f ca="1">1-U33</f>
        <v>0.63636363636363635</v>
      </c>
      <c r="V34" s="772"/>
      <c r="W34" s="298"/>
      <c r="X34" s="698"/>
      <c r="Y34" s="81"/>
      <c r="Z34" s="81"/>
      <c r="AA34" s="81"/>
      <c r="AB34" s="81"/>
      <c r="AD34" s="81"/>
      <c r="AE34" s="81"/>
      <c r="AF34" s="220"/>
      <c r="AI34" s="224">
        <v>13</v>
      </c>
      <c r="AJ34" s="224" t="s">
        <v>719</v>
      </c>
    </row>
    <row r="35" spans="2:36">
      <c r="B35" s="357" t="s">
        <v>1000</v>
      </c>
      <c r="D35" s="212"/>
      <c r="E35" s="212"/>
      <c r="F35" s="224" t="s">
        <v>1149</v>
      </c>
      <c r="G35" s="173" t="s">
        <v>499</v>
      </c>
      <c r="H35" s="174" t="str">
        <f>$AI$14</f>
        <v>ISDPH</v>
      </c>
      <c r="I35" s="174"/>
      <c r="J35" s="224">
        <f t="shared" ref="J35" si="8">AD35</f>
        <v>2030</v>
      </c>
      <c r="K35" s="81"/>
      <c r="L35" s="333">
        <v>1</v>
      </c>
      <c r="M35" s="199">
        <f ca="1">VLOOKUP($AD35,INDIRECT("'"&amp;$B35&amp;"'!"&amp;"$P$39:$AD$42"),3,FALSE)</f>
        <v>2.875</v>
      </c>
      <c r="N35" s="81"/>
      <c r="O35" s="723">
        <f ca="1">VLOOKUP($AD35,INDIRECT("'"&amp;$B35&amp;"'!"&amp;"$P$39:$AD$42"),6,FALSE)/1000</f>
        <v>6.3822660000000013</v>
      </c>
      <c r="P35" s="723">
        <f ca="1">VLOOKUP($AD35,INDIRECT("'"&amp;$B35&amp;"'!"&amp;"$P$39:$AD$42"),7,FALSE)/1000</f>
        <v>6.4814999999999994E-3</v>
      </c>
      <c r="Q35" s="81">
        <f ca="1">VLOOKUP($AD35,INDIRECT("'"&amp;$B35&amp;"'!"&amp;"$P$39:$AD$42"),8,FALSE)</f>
        <v>6.6222222222222227</v>
      </c>
      <c r="R35" s="300"/>
      <c r="S35" s="300"/>
      <c r="T35" s="300"/>
      <c r="U35" s="199">
        <f ca="1">1/M35</f>
        <v>0.34782608695652173</v>
      </c>
      <c r="V35" s="199"/>
      <c r="W35" s="298"/>
      <c r="X35" s="698">
        <f ca="1">IF(VLOOKUP($AD35,INDIRECT("'"&amp;$B35&amp;"'!"&amp;"$P$39:$AD$42"),11,FALSE)="Cf. the utilized electricity",0,VLOOKUP($AD35,INDIRECT("'"&amp;$B35&amp;"'!"&amp;"$P$39:$AD$42"),11,FALSE))</f>
        <v>0</v>
      </c>
      <c r="Y35" s="81">
        <f ca="1">VLOOKUP($AD35,INDIRECT("'"&amp;$B35&amp;"'!"&amp;"$P$39:$AD$42"),12,FALSE)</f>
        <v>0</v>
      </c>
      <c r="Z35" s="81">
        <f ca="1">VLOOKUP($AD35,INDIRECT("'"&amp;$B35&amp;"'!"&amp;"$P$39:$AD$42"),13,FALSE)</f>
        <v>0</v>
      </c>
      <c r="AA35" s="81">
        <f ca="1">VLOOKUP($AD35,INDIRECT("'"&amp;$B35&amp;"'!"&amp;"$P$39:$AD$42"),14,FALSE)</f>
        <v>0</v>
      </c>
      <c r="AB35" s="81">
        <f ca="1">VLOOKUP($AD35,INDIRECT("'"&amp;$B35&amp;"'!"&amp;"$P$39:$AD$42"),15,FALSE)</f>
        <v>0</v>
      </c>
      <c r="AD35" s="81">
        <v>2030</v>
      </c>
      <c r="AE35" s="81"/>
      <c r="AF35" s="220"/>
      <c r="AI35" s="224">
        <v>14</v>
      </c>
    </row>
    <row r="36" spans="2:36">
      <c r="B36" s="357" t="s">
        <v>1000</v>
      </c>
      <c r="D36" s="212"/>
      <c r="E36" s="212"/>
      <c r="F36" s="224" t="s">
        <v>1149</v>
      </c>
      <c r="G36" s="173" t="str">
        <f>$AI$20</f>
        <v>INDSWH</v>
      </c>
      <c r="H36" s="174"/>
      <c r="I36" s="174"/>
      <c r="K36" s="81"/>
      <c r="L36" s="333"/>
      <c r="M36" s="199"/>
      <c r="N36" s="81"/>
      <c r="O36" s="723"/>
      <c r="P36" s="723"/>
      <c r="Q36" s="81"/>
      <c r="R36" s="300"/>
      <c r="S36" s="300"/>
      <c r="T36" s="300"/>
      <c r="U36" s="199">
        <f ca="1">1-U35</f>
        <v>0.65217391304347827</v>
      </c>
      <c r="V36" s="300"/>
      <c r="W36" s="298"/>
      <c r="X36" s="698"/>
      <c r="Y36" s="81"/>
      <c r="Z36" s="81"/>
      <c r="AA36" s="81"/>
      <c r="AB36" s="81"/>
      <c r="AD36" s="81"/>
      <c r="AE36" s="81"/>
      <c r="AF36" s="220"/>
    </row>
    <row r="37" spans="2:36">
      <c r="B37" s="357" t="s">
        <v>1000</v>
      </c>
      <c r="D37" s="212"/>
      <c r="E37" s="212"/>
      <c r="F37" s="224" t="s">
        <v>1149</v>
      </c>
      <c r="G37" s="173" t="s">
        <v>499</v>
      </c>
      <c r="H37" s="174" t="str">
        <f>$AI$14</f>
        <v>ISDPH</v>
      </c>
      <c r="I37" s="174"/>
      <c r="J37" s="224">
        <f t="shared" ref="J37" si="9">AD37</f>
        <v>2050</v>
      </c>
      <c r="K37" s="81"/>
      <c r="L37" s="333">
        <v>1</v>
      </c>
      <c r="M37" s="199">
        <f ca="1">VLOOKUP($AD37,INDIRECT("'"&amp;$B37&amp;"'!"&amp;"$P$39:$AD$42"),3,FALSE)</f>
        <v>3.0249999999999999</v>
      </c>
      <c r="N37" s="81"/>
      <c r="O37" s="723">
        <f ca="1">VLOOKUP($AD37,INDIRECT("'"&amp;$B37&amp;"'!"&amp;"$P$39:$AD$42"),6,FALSE)/1000</f>
        <v>5.7365000000000004</v>
      </c>
      <c r="P37" s="723">
        <f ca="1">VLOOKUP($AD37,INDIRECT("'"&amp;$B37&amp;"'!"&amp;"$P$39:$AD$42"),7,FALSE)/1000</f>
        <v>5.3639999999999998E-3</v>
      </c>
      <c r="Q37" s="81">
        <f ca="1">VLOOKUP($AD37,INDIRECT("'"&amp;$B37&amp;"'!"&amp;"$P$39:$AD$42"),8,FALSE)</f>
        <v>6.4566666666666661</v>
      </c>
      <c r="R37" s="300"/>
      <c r="S37" s="300"/>
      <c r="T37" s="300"/>
      <c r="U37" s="199">
        <f ca="1">1/M37</f>
        <v>0.33057851239669422</v>
      </c>
      <c r="V37" s="199"/>
      <c r="W37" s="298"/>
      <c r="X37" s="698">
        <f ca="1">IF(VLOOKUP($AD37,INDIRECT("'"&amp;$B37&amp;"'!"&amp;"$P$39:$AD$42"),11,FALSE)="Cf. the utilized electricity",0,VLOOKUP($AD37,INDIRECT("'"&amp;$B37&amp;"'!"&amp;"$P$39:$AD$42"),11,FALSE))</f>
        <v>0</v>
      </c>
      <c r="Y37" s="81">
        <f ca="1">VLOOKUP($AD37,INDIRECT("'"&amp;$B37&amp;"'!"&amp;"$P$39:$AD$42"),12,FALSE)</f>
        <v>0</v>
      </c>
      <c r="Z37" s="81">
        <f ca="1">VLOOKUP($AD37,INDIRECT("'"&amp;$B37&amp;"'!"&amp;"$P$39:$AD$42"),13,FALSE)</f>
        <v>0</v>
      </c>
      <c r="AA37" s="81">
        <f ca="1">VLOOKUP($AD37,INDIRECT("'"&amp;$B37&amp;"'!"&amp;"$P$39:$AD$42"),14,FALSE)</f>
        <v>0</v>
      </c>
      <c r="AB37" s="81">
        <f ca="1">VLOOKUP($AD37,INDIRECT("'"&amp;$B37&amp;"'!"&amp;"$P$39:$AD$42"),15,FALSE)</f>
        <v>0</v>
      </c>
      <c r="AD37" s="81">
        <v>2050</v>
      </c>
      <c r="AE37" s="81"/>
      <c r="AF37" s="220"/>
    </row>
    <row r="38" spans="2:36">
      <c r="B38" s="357" t="s">
        <v>1000</v>
      </c>
      <c r="D38" s="212"/>
      <c r="E38" s="212"/>
      <c r="F38" s="224" t="s">
        <v>1149</v>
      </c>
      <c r="G38" s="173" t="str">
        <f>$AI$20</f>
        <v>INDSWH</v>
      </c>
      <c r="H38" s="174"/>
      <c r="I38" s="174"/>
      <c r="K38" s="81"/>
      <c r="L38" s="333"/>
      <c r="M38" s="199"/>
      <c r="N38" s="81"/>
      <c r="O38" s="723"/>
      <c r="P38" s="723"/>
      <c r="Q38" s="81"/>
      <c r="R38" s="300"/>
      <c r="S38" s="300"/>
      <c r="T38" s="300"/>
      <c r="U38" s="199">
        <f ca="1">1-U37</f>
        <v>0.66942148760330578</v>
      </c>
      <c r="V38" s="300"/>
      <c r="W38" s="298"/>
      <c r="X38" s="698"/>
      <c r="Y38" s="81"/>
      <c r="Z38" s="81"/>
      <c r="AA38" s="81"/>
      <c r="AB38" s="81"/>
      <c r="AD38" s="81"/>
      <c r="AE38" s="81"/>
      <c r="AF38" s="220"/>
    </row>
    <row r="39" spans="2:36">
      <c r="B39" s="357" t="s">
        <v>1000</v>
      </c>
      <c r="D39" s="212" t="str">
        <f>"IND"&amp;RIGHT(H39,4)&amp;RIGHT(G39,3)&amp;"N"&amp;RIGHT(E39,1)</f>
        <v>INDSDSHELCN3</v>
      </c>
      <c r="E39" s="261" t="str">
        <f>"Industrial heating technology "&amp;$AJ$12&amp;" "&amp;RIGHT(H39,2)&amp;" - High Temp abs. Heat pump utilizing waste heat - new 3"</f>
        <v>Industrial heating technology Iron &amp; Steel SH - High Temp abs. Heat pump utilizing waste heat - new 3</v>
      </c>
      <c r="F39" s="224" t="s">
        <v>1149</v>
      </c>
      <c r="G39" s="173" t="s">
        <v>499</v>
      </c>
      <c r="H39" s="174" t="str">
        <f>$AI$15</f>
        <v>ISDSH</v>
      </c>
      <c r="I39" s="174"/>
      <c r="J39" s="224">
        <f t="shared" ref="J39" si="10">AD39</f>
        <v>2020</v>
      </c>
      <c r="K39" s="81">
        <v>2020</v>
      </c>
      <c r="L39" s="333">
        <v>1</v>
      </c>
      <c r="M39" s="199">
        <f ca="1">VLOOKUP($AD39,INDIRECT("'"&amp;$B39&amp;"'!"&amp;"$P$39:$AD$42"),3,FALSE)</f>
        <v>2.75</v>
      </c>
      <c r="N39" s="81">
        <f ca="1">VLOOKUP($AD39,INDIRECT("'"&amp;$B39&amp;"'!"&amp;"$P$39:$AD$42"),5,FALSE)</f>
        <v>20</v>
      </c>
      <c r="O39" s="723">
        <f ca="1">VLOOKUP($AD39,INDIRECT("'"&amp;$B39&amp;"'!"&amp;"$P$39:$AD$42"),6,FALSE)/1000</f>
        <v>7.1394840000000004</v>
      </c>
      <c r="P39" s="723">
        <f ca="1">VLOOKUP($AD39,INDIRECT("'"&amp;$B39&amp;"'!"&amp;"$P$39:$AD$42"),7,FALSE)/1000</f>
        <v>7.2264999999999994E-3</v>
      </c>
      <c r="Q39" s="81">
        <f ca="1">VLOOKUP($AD39,INDIRECT("'"&amp;$B39&amp;"'!"&amp;"$P$39:$AD$42"),8,FALSE)</f>
        <v>6.7463888888888883</v>
      </c>
      <c r="R39" s="81">
        <v>3.1536000000000002E-2</v>
      </c>
      <c r="S39" s="199">
        <v>0.5</v>
      </c>
      <c r="T39" s="199">
        <f ca="1">HLOOKUP($T$2,INDIRECT("'"&amp;$B39&amp;"'!"&amp;"$P$6:$AC$19"),IF(H39=$AI$13,6,IF(H39=$AI$14,9,14)),FALSE)</f>
        <v>1</v>
      </c>
      <c r="U39" s="199">
        <f ca="1">1/M39</f>
        <v>0.36363636363636365</v>
      </c>
      <c r="V39" s="199"/>
      <c r="W39" s="298"/>
      <c r="X39" s="698">
        <f ca="1">IF(VLOOKUP($AD39,INDIRECT("'"&amp;$B39&amp;"'!"&amp;"$P$39:$AD$42"),11,FALSE)="Cf. the utilized electricity",0,VLOOKUP($AD39,INDIRECT("'"&amp;$B39&amp;"'!"&amp;"$P$39:$AD$42"),11,FALSE))</f>
        <v>0</v>
      </c>
      <c r="Y39" s="81">
        <f ca="1">VLOOKUP($AD39,INDIRECT("'"&amp;$B39&amp;"'!"&amp;"$P$39:$AD$42"),12,FALSE)</f>
        <v>0</v>
      </c>
      <c r="Z39" s="81">
        <f ca="1">VLOOKUP($AD39,INDIRECT("'"&amp;$B39&amp;"'!"&amp;"$P$39:$AD$42"),13,FALSE)</f>
        <v>0</v>
      </c>
      <c r="AA39" s="81">
        <f ca="1">VLOOKUP($AD39,INDIRECT("'"&amp;$B39&amp;"'!"&amp;"$P$39:$AD$42"),14,FALSE)</f>
        <v>0</v>
      </c>
      <c r="AB39" s="81">
        <f ca="1">VLOOKUP($AD39,INDIRECT("'"&amp;$B39&amp;"'!"&amp;"$P$39:$AD$42"),15,FALSE)</f>
        <v>0</v>
      </c>
      <c r="AD39" s="81">
        <v>2020</v>
      </c>
      <c r="AE39" s="81"/>
      <c r="AF39" s="220"/>
    </row>
    <row r="40" spans="2:36">
      <c r="B40" s="357" t="s">
        <v>1000</v>
      </c>
      <c r="D40" s="212"/>
      <c r="E40" s="261"/>
      <c r="F40" s="224" t="s">
        <v>1149</v>
      </c>
      <c r="G40" s="173" t="str">
        <f>$AI$20</f>
        <v>INDSWH</v>
      </c>
      <c r="H40" s="174"/>
      <c r="I40" s="174"/>
      <c r="K40" s="81"/>
      <c r="L40" s="333"/>
      <c r="M40" s="199"/>
      <c r="N40" s="81"/>
      <c r="O40" s="723"/>
      <c r="P40" s="723"/>
      <c r="Q40" s="81"/>
      <c r="R40" s="200"/>
      <c r="S40" s="772"/>
      <c r="T40" s="772"/>
      <c r="U40" s="199">
        <f ca="1">1-U39</f>
        <v>0.63636363636363635</v>
      </c>
      <c r="V40" s="772"/>
      <c r="W40" s="298"/>
      <c r="X40" s="698"/>
      <c r="Y40" s="81"/>
      <c r="Z40" s="81"/>
      <c r="AA40" s="81"/>
      <c r="AB40" s="81"/>
      <c r="AD40" s="81"/>
      <c r="AE40" s="81"/>
      <c r="AF40" s="220"/>
    </row>
    <row r="41" spans="2:36">
      <c r="B41" s="357" t="s">
        <v>1000</v>
      </c>
      <c r="D41" s="212"/>
      <c r="E41" s="212"/>
      <c r="F41" s="224" t="s">
        <v>1149</v>
      </c>
      <c r="G41" s="173" t="s">
        <v>499</v>
      </c>
      <c r="H41" s="174" t="str">
        <f>$AI$15</f>
        <v>ISDSH</v>
      </c>
      <c r="I41" s="174"/>
      <c r="J41" s="224">
        <f t="shared" ref="J41" si="11">AD41</f>
        <v>2030</v>
      </c>
      <c r="K41" s="81"/>
      <c r="L41" s="333">
        <v>1</v>
      </c>
      <c r="M41" s="199">
        <f ca="1">VLOOKUP($AD41,INDIRECT("'"&amp;$B41&amp;"'!"&amp;"$P$39:$AD$42"),3,FALSE)</f>
        <v>2.875</v>
      </c>
      <c r="N41" s="81"/>
      <c r="O41" s="723">
        <f ca="1">VLOOKUP($AD41,INDIRECT("'"&amp;$B41&amp;"'!"&amp;"$P$39:$AD$42"),6,FALSE)/1000</f>
        <v>6.3822660000000013</v>
      </c>
      <c r="P41" s="723">
        <f ca="1">VLOOKUP($AD41,INDIRECT("'"&amp;$B41&amp;"'!"&amp;"$P$39:$AD$42"),7,FALSE)/1000</f>
        <v>6.4814999999999994E-3</v>
      </c>
      <c r="Q41" s="81">
        <f ca="1">VLOOKUP($AD41,INDIRECT("'"&amp;$B41&amp;"'!"&amp;"$P$39:$AD$42"),8,FALSE)</f>
        <v>6.6222222222222227</v>
      </c>
      <c r="R41" s="300"/>
      <c r="S41" s="300"/>
      <c r="T41" s="300"/>
      <c r="U41" s="199">
        <f ca="1">1/M41</f>
        <v>0.34782608695652173</v>
      </c>
      <c r="V41" s="199"/>
      <c r="W41" s="298"/>
      <c r="X41" s="698">
        <f ca="1">IF(VLOOKUP($AD41,INDIRECT("'"&amp;$B41&amp;"'!"&amp;"$P$39:$AD$42"),11,FALSE)="Cf. the utilized electricity",0,VLOOKUP($AD41,INDIRECT("'"&amp;$B41&amp;"'!"&amp;"$P$39:$AD$42"),11,FALSE))</f>
        <v>0</v>
      </c>
      <c r="Y41" s="81">
        <f ca="1">VLOOKUP($AD41,INDIRECT("'"&amp;$B41&amp;"'!"&amp;"$P$39:$AD$42"),12,FALSE)</f>
        <v>0</v>
      </c>
      <c r="Z41" s="81">
        <f ca="1">VLOOKUP($AD41,INDIRECT("'"&amp;$B41&amp;"'!"&amp;"$P$39:$AD$42"),13,FALSE)</f>
        <v>0</v>
      </c>
      <c r="AA41" s="81">
        <f ca="1">VLOOKUP($AD41,INDIRECT("'"&amp;$B41&amp;"'!"&amp;"$P$39:$AD$42"),14,FALSE)</f>
        <v>0</v>
      </c>
      <c r="AB41" s="81">
        <f ca="1">VLOOKUP($AD41,INDIRECT("'"&amp;$B41&amp;"'!"&amp;"$P$39:$AD$42"),15,FALSE)</f>
        <v>0</v>
      </c>
      <c r="AD41" s="81">
        <v>2030</v>
      </c>
      <c r="AE41" s="81"/>
      <c r="AF41" s="220"/>
    </row>
    <row r="42" spans="2:36">
      <c r="B42" s="357" t="s">
        <v>1000</v>
      </c>
      <c r="D42" s="212"/>
      <c r="E42" s="212"/>
      <c r="F42" s="224" t="s">
        <v>1149</v>
      </c>
      <c r="G42" s="173" t="str">
        <f>$AI$20</f>
        <v>INDSWH</v>
      </c>
      <c r="H42" s="174"/>
      <c r="I42" s="174"/>
      <c r="K42" s="81"/>
      <c r="L42" s="333"/>
      <c r="M42" s="199"/>
      <c r="N42" s="81"/>
      <c r="O42" s="723"/>
      <c r="P42" s="723"/>
      <c r="Q42" s="81"/>
      <c r="R42" s="300"/>
      <c r="S42" s="300"/>
      <c r="T42" s="300"/>
      <c r="U42" s="199">
        <f ca="1">1-U41</f>
        <v>0.65217391304347827</v>
      </c>
      <c r="V42" s="300"/>
      <c r="W42" s="298"/>
      <c r="X42" s="698"/>
      <c r="Y42" s="81"/>
      <c r="Z42" s="81"/>
      <c r="AA42" s="81"/>
      <c r="AB42" s="81"/>
      <c r="AD42" s="81"/>
      <c r="AE42" s="81"/>
      <c r="AF42" s="220"/>
    </row>
    <row r="43" spans="2:36">
      <c r="B43" s="357" t="s">
        <v>1000</v>
      </c>
      <c r="D43" s="212"/>
      <c r="E43" s="212"/>
      <c r="F43" s="224" t="s">
        <v>1149</v>
      </c>
      <c r="G43" s="173" t="s">
        <v>499</v>
      </c>
      <c r="H43" s="174" t="str">
        <f>$AI$15</f>
        <v>ISDSH</v>
      </c>
      <c r="I43" s="174"/>
      <c r="J43" s="224">
        <f t="shared" ref="J43" si="12">AD43</f>
        <v>2050</v>
      </c>
      <c r="K43" s="81"/>
      <c r="L43" s="333">
        <v>1</v>
      </c>
      <c r="M43" s="199">
        <f ca="1">VLOOKUP($AD43,INDIRECT("'"&amp;$B43&amp;"'!"&amp;"$P$39:$AD$42"),3,FALSE)</f>
        <v>3.0249999999999999</v>
      </c>
      <c r="N43" s="81"/>
      <c r="O43" s="723">
        <f ca="1">VLOOKUP($AD43,INDIRECT("'"&amp;$B43&amp;"'!"&amp;"$P$39:$AD$42"),6,FALSE)/1000</f>
        <v>5.7365000000000004</v>
      </c>
      <c r="P43" s="723">
        <f ca="1">VLOOKUP($AD43,INDIRECT("'"&amp;$B43&amp;"'!"&amp;"$P$39:$AD$42"),7,FALSE)/1000</f>
        <v>5.3639999999999998E-3</v>
      </c>
      <c r="Q43" s="81">
        <f ca="1">VLOOKUP($AD43,INDIRECT("'"&amp;$B43&amp;"'!"&amp;"$P$39:$AD$42"),8,FALSE)</f>
        <v>6.4566666666666661</v>
      </c>
      <c r="R43" s="300"/>
      <c r="S43" s="300"/>
      <c r="T43" s="300"/>
      <c r="U43" s="199">
        <f ca="1">1/M43</f>
        <v>0.33057851239669422</v>
      </c>
      <c r="V43" s="199"/>
      <c r="W43" s="298"/>
      <c r="X43" s="698">
        <f ca="1">IF(VLOOKUP($AD43,INDIRECT("'"&amp;$B43&amp;"'!"&amp;"$P$39:$AD$42"),11,FALSE)="Cf. the utilized electricity",0,VLOOKUP($AD43,INDIRECT("'"&amp;$B43&amp;"'!"&amp;"$P$39:$AD$42"),11,FALSE))</f>
        <v>0</v>
      </c>
      <c r="Y43" s="81">
        <f ca="1">VLOOKUP($AD43,INDIRECT("'"&amp;$B43&amp;"'!"&amp;"$P$39:$AD$42"),12,FALSE)</f>
        <v>0</v>
      </c>
      <c r="Z43" s="81">
        <f ca="1">VLOOKUP($AD43,INDIRECT("'"&amp;$B43&amp;"'!"&amp;"$P$39:$AD$42"),13,FALSE)</f>
        <v>0</v>
      </c>
      <c r="AA43" s="81">
        <f ca="1">VLOOKUP($AD43,INDIRECT("'"&amp;$B43&amp;"'!"&amp;"$P$39:$AD$42"),14,FALSE)</f>
        <v>0</v>
      </c>
      <c r="AB43" s="81">
        <f ca="1">VLOOKUP($AD43,INDIRECT("'"&amp;$B43&amp;"'!"&amp;"$P$39:$AD$42"),15,FALSE)</f>
        <v>0</v>
      </c>
      <c r="AD43" s="81">
        <v>2050</v>
      </c>
      <c r="AE43" s="81"/>
      <c r="AF43" s="220"/>
    </row>
    <row r="44" spans="2:36">
      <c r="B44" s="357" t="s">
        <v>1000</v>
      </c>
      <c r="D44" s="212"/>
      <c r="E44" s="212"/>
      <c r="F44" s="224" t="s">
        <v>1149</v>
      </c>
      <c r="G44" s="173" t="str">
        <f>$AI$20</f>
        <v>INDSWH</v>
      </c>
      <c r="H44" s="174"/>
      <c r="I44" s="174"/>
      <c r="K44" s="81"/>
      <c r="L44" s="333"/>
      <c r="M44" s="199"/>
      <c r="N44" s="81"/>
      <c r="O44" s="723"/>
      <c r="P44" s="723"/>
      <c r="Q44" s="81"/>
      <c r="R44" s="300"/>
      <c r="S44" s="300"/>
      <c r="T44" s="300"/>
      <c r="U44" s="199">
        <f ca="1">1-U43</f>
        <v>0.66942148760330578</v>
      </c>
      <c r="V44" s="300"/>
      <c r="W44" s="298"/>
      <c r="X44" s="698"/>
      <c r="Y44" s="81"/>
      <c r="Z44" s="81"/>
      <c r="AA44" s="81"/>
      <c r="AB44" s="81"/>
      <c r="AD44" s="81"/>
      <c r="AE44" s="81"/>
      <c r="AF44" s="220"/>
    </row>
    <row r="45" spans="2:36">
      <c r="B45" s="357" t="s">
        <v>1001</v>
      </c>
      <c r="D45" s="212" t="str">
        <f>"IND"&amp;RIGHT(H45,4)&amp;RIGHT(G45,3)&amp;"N"&amp;RIGHT(E45,1)</f>
        <v>INDSDPHELCN4</v>
      </c>
      <c r="E45" s="261" t="str">
        <f>"Industrial heating technology "&amp;$AJ$12&amp;" "&amp;RIGHT(H45,2)&amp;" - Booster Heat pump utilizing waste heat - new 4"</f>
        <v>Industrial heating technology Iron &amp; Steel PH - Booster Heat pump utilizing waste heat - new 4</v>
      </c>
      <c r="F45" s="224" t="s">
        <v>1149</v>
      </c>
      <c r="G45" s="173" t="s">
        <v>499</v>
      </c>
      <c r="H45" s="174" t="str">
        <f>$AI$14</f>
        <v>ISDPH</v>
      </c>
      <c r="I45" s="174"/>
      <c r="J45" s="224">
        <f t="shared" ref="J45" si="13">AD45</f>
        <v>2020</v>
      </c>
      <c r="K45" s="81">
        <v>2020</v>
      </c>
      <c r="L45" s="333">
        <v>1</v>
      </c>
      <c r="M45" s="199">
        <f ca="1">VLOOKUP($AD45,INDIRECT("'"&amp;$B45&amp;"'!"&amp;"$P$39:$AD$42"),3,FALSE)</f>
        <v>1.93</v>
      </c>
      <c r="N45" s="81">
        <f ca="1">VLOOKUP($AD45,INDIRECT("'"&amp;$B45&amp;"'!"&amp;"$P$39:$AD$42"),5,FALSE)</f>
        <v>20</v>
      </c>
      <c r="O45" s="723">
        <f ca="1">VLOOKUP($AD45,INDIRECT("'"&amp;$B45&amp;"'!"&amp;"$P$39:$AD$42"),6,FALSE)/1000</f>
        <v>12.158890687341184</v>
      </c>
      <c r="P45" s="723">
        <f ca="1">VLOOKUP($AD45,INDIRECT("'"&amp;$B45&amp;"'!"&amp;"$P$39:$AD$42"),7,FALSE)/1000</f>
        <v>1.49E-2</v>
      </c>
      <c r="Q45" s="81">
        <f ca="1">VLOOKUP($AD45,INDIRECT("'"&amp;$B45&amp;"'!"&amp;"$P$39:$AD$42"),8,FALSE)</f>
        <v>7.1188888888888897</v>
      </c>
      <c r="R45" s="81">
        <v>3.1536000000000002E-2</v>
      </c>
      <c r="S45" s="199">
        <v>0.5</v>
      </c>
      <c r="T45" s="199">
        <f ca="1">HLOOKUP($T$2,INDIRECT("'"&amp;$B45&amp;"'!"&amp;"$P$6:$AC$19"),IF(H45=$AI$13,6,IF(H45=$AI$14,9,14)),FALSE)-T9</f>
        <v>0</v>
      </c>
      <c r="U45" s="199">
        <f ca="1">1/M45</f>
        <v>0.5181347150259068</v>
      </c>
      <c r="V45" s="199"/>
      <c r="W45" s="298"/>
      <c r="X45" s="698">
        <f ca="1">IF(VLOOKUP($AD45,INDIRECT("'"&amp;$B45&amp;"'!"&amp;"$P$39:$AD$42"),11,FALSE)="Cf. the utilized electricity",0,VLOOKUP($AD45,INDIRECT("'"&amp;$B45&amp;"'!"&amp;"$P$39:$AD$42"),11,FALSE))</f>
        <v>0</v>
      </c>
      <c r="Y45" s="81">
        <f ca="1">VLOOKUP($AD45,INDIRECT("'"&amp;$B45&amp;"'!"&amp;"$P$39:$AD$42"),12,FALSE)</f>
        <v>0</v>
      </c>
      <c r="Z45" s="81">
        <f ca="1">VLOOKUP($AD45,INDIRECT("'"&amp;$B45&amp;"'!"&amp;"$P$39:$AD$42"),13,FALSE)</f>
        <v>0</v>
      </c>
      <c r="AA45" s="81">
        <f ca="1">VLOOKUP($AD45,INDIRECT("'"&amp;$B45&amp;"'!"&amp;"$P$39:$AD$42"),14,FALSE)</f>
        <v>0</v>
      </c>
      <c r="AB45" s="81">
        <f ca="1">VLOOKUP($AD45,INDIRECT("'"&amp;$B45&amp;"'!"&amp;"$P$39:$AD$42"),15,FALSE)</f>
        <v>0</v>
      </c>
      <c r="AD45" s="81">
        <v>2020</v>
      </c>
      <c r="AE45" s="81"/>
      <c r="AF45" s="220"/>
    </row>
    <row r="46" spans="2:36">
      <c r="B46" s="357" t="s">
        <v>1001</v>
      </c>
      <c r="D46" s="212"/>
      <c r="E46" s="261"/>
      <c r="F46" s="224" t="s">
        <v>1149</v>
      </c>
      <c r="G46" s="173" t="str">
        <f>$AI$20</f>
        <v>INDSWH</v>
      </c>
      <c r="H46" s="174"/>
      <c r="I46" s="174"/>
      <c r="K46" s="81"/>
      <c r="L46" s="333"/>
      <c r="M46" s="199"/>
      <c r="N46" s="81"/>
      <c r="O46" s="723"/>
      <c r="P46" s="723"/>
      <c r="Q46" s="81"/>
      <c r="R46" s="200"/>
      <c r="S46" s="772"/>
      <c r="T46" s="772"/>
      <c r="U46" s="199">
        <f ca="1">1-U45</f>
        <v>0.4818652849740932</v>
      </c>
      <c r="V46" s="772"/>
      <c r="W46" s="298"/>
      <c r="X46" s="698"/>
      <c r="Y46" s="81"/>
      <c r="Z46" s="81"/>
      <c r="AA46" s="81"/>
      <c r="AB46" s="81"/>
      <c r="AD46" s="81"/>
      <c r="AE46" s="81"/>
      <c r="AF46" s="220"/>
    </row>
    <row r="47" spans="2:36">
      <c r="B47" s="357" t="s">
        <v>1001</v>
      </c>
      <c r="D47" s="212"/>
      <c r="E47" s="212"/>
      <c r="F47" s="224" t="s">
        <v>1149</v>
      </c>
      <c r="G47" s="173" t="s">
        <v>499</v>
      </c>
      <c r="H47" s="174" t="str">
        <f>$AI$14</f>
        <v>ISDPH</v>
      </c>
      <c r="I47" s="174"/>
      <c r="J47" s="224">
        <f t="shared" ref="J47" si="14">AD47</f>
        <v>2030</v>
      </c>
      <c r="K47" s="81"/>
      <c r="L47" s="333">
        <v>1</v>
      </c>
      <c r="M47" s="199">
        <f ca="1">VLOOKUP($AD47,INDIRECT("'"&amp;$B47&amp;"'!"&amp;"$P$39:$AD$42"),3,FALSE)</f>
        <v>1.9894000000000001</v>
      </c>
      <c r="N47" s="81"/>
      <c r="O47" s="723">
        <f ca="1">VLOOKUP($AD47,INDIRECT("'"&amp;$B47&amp;"'!"&amp;"$P$39:$AD$42"),6,FALSE)/1000</f>
        <v>9.8570539139933757</v>
      </c>
      <c r="P47" s="723">
        <f ca="1">VLOOKUP($AD47,INDIRECT("'"&amp;$B47&amp;"'!"&amp;"$P$39:$AD$42"),7,FALSE)/1000</f>
        <v>1.49E-2</v>
      </c>
      <c r="Q47" s="81">
        <f ca="1">VLOOKUP($AD47,INDIRECT("'"&amp;$B47&amp;"'!"&amp;"$P$39:$AD$42"),8,FALSE)</f>
        <v>6.9740277777777777</v>
      </c>
      <c r="R47" s="300"/>
      <c r="S47" s="300"/>
      <c r="T47" s="300"/>
      <c r="U47" s="199">
        <f ca="1">1/M47</f>
        <v>0.50266411983512616</v>
      </c>
      <c r="V47" s="199"/>
      <c r="W47" s="298"/>
      <c r="X47" s="698">
        <f ca="1">IF(VLOOKUP($AD47,INDIRECT("'"&amp;$B47&amp;"'!"&amp;"$P$39:$AD$42"),11,FALSE)="Cf. the utilized electricity",0,VLOOKUP($AD47,INDIRECT("'"&amp;$B47&amp;"'!"&amp;"$P$39:$AD$42"),11,FALSE))</f>
        <v>0</v>
      </c>
      <c r="Y47" s="81">
        <f ca="1">VLOOKUP($AD47,INDIRECT("'"&amp;$B47&amp;"'!"&amp;"$P$39:$AD$42"),12,FALSE)</f>
        <v>0</v>
      </c>
      <c r="Z47" s="81">
        <f ca="1">VLOOKUP($AD47,INDIRECT("'"&amp;$B47&amp;"'!"&amp;"$P$39:$AD$42"),13,FALSE)</f>
        <v>0</v>
      </c>
      <c r="AA47" s="81">
        <f ca="1">VLOOKUP($AD47,INDIRECT("'"&amp;$B47&amp;"'!"&amp;"$P$39:$AD$42"),14,FALSE)</f>
        <v>0</v>
      </c>
      <c r="AB47" s="81">
        <f ca="1">VLOOKUP($AD47,INDIRECT("'"&amp;$B47&amp;"'!"&amp;"$P$39:$AD$42"),15,FALSE)</f>
        <v>0</v>
      </c>
      <c r="AD47" s="81">
        <v>2030</v>
      </c>
      <c r="AE47" s="81"/>
      <c r="AF47" s="220"/>
    </row>
    <row r="48" spans="2:36">
      <c r="B48" s="357" t="s">
        <v>1001</v>
      </c>
      <c r="D48" s="212"/>
      <c r="E48" s="212"/>
      <c r="F48" s="224" t="s">
        <v>1149</v>
      </c>
      <c r="G48" s="173" t="str">
        <f>$AI$20</f>
        <v>INDSWH</v>
      </c>
      <c r="H48" s="174"/>
      <c r="I48" s="174"/>
      <c r="K48" s="81"/>
      <c r="L48" s="333"/>
      <c r="M48" s="199"/>
      <c r="N48" s="81"/>
      <c r="O48" s="723"/>
      <c r="P48" s="723"/>
      <c r="Q48" s="81"/>
      <c r="R48" s="300"/>
      <c r="S48" s="300"/>
      <c r="T48" s="300"/>
      <c r="U48" s="199">
        <f ca="1">1-U47</f>
        <v>0.49733588016487384</v>
      </c>
      <c r="V48" s="300"/>
      <c r="W48" s="298"/>
      <c r="X48" s="698"/>
      <c r="Y48" s="81"/>
      <c r="Z48" s="81"/>
      <c r="AA48" s="81"/>
      <c r="AB48" s="81"/>
      <c r="AD48" s="81"/>
      <c r="AE48" s="81"/>
      <c r="AF48" s="220"/>
    </row>
    <row r="49" spans="2:32">
      <c r="B49" s="357" t="s">
        <v>1001</v>
      </c>
      <c r="D49" s="212"/>
      <c r="E49" s="212"/>
      <c r="F49" s="224" t="s">
        <v>1149</v>
      </c>
      <c r="G49" s="173" t="s">
        <v>499</v>
      </c>
      <c r="H49" s="174" t="str">
        <f>$AI$14</f>
        <v>ISDPH</v>
      </c>
      <c r="I49" s="174"/>
      <c r="J49" s="224">
        <f t="shared" ref="J49" si="15">AD49</f>
        <v>2050</v>
      </c>
      <c r="K49" s="81"/>
      <c r="L49" s="333">
        <v>1</v>
      </c>
      <c r="M49" s="199">
        <f ca="1">VLOOKUP($AD49,INDIRECT("'"&amp;$B49&amp;"'!"&amp;"$P$39:$AD$42"),3,FALSE)</f>
        <v>2.0509898799999999</v>
      </c>
      <c r="N49" s="81"/>
      <c r="O49" s="723">
        <f ca="1">VLOOKUP($AD49,INDIRECT("'"&amp;$B49&amp;"'!"&amp;"$P$39:$AD$42"),6,FALSE)/1000</f>
        <v>6.955935359434223</v>
      </c>
      <c r="P49" s="723">
        <f ca="1">VLOOKUP($AD49,INDIRECT("'"&amp;$B49&amp;"'!"&amp;"$P$39:$AD$42"),7,FALSE)/1000</f>
        <v>1.49E-2</v>
      </c>
      <c r="Q49" s="81">
        <f ca="1">VLOOKUP($AD49,INDIRECT("'"&amp;$B49&amp;"'!"&amp;"$P$39:$AD$42"),8,FALSE)</f>
        <v>6.7877777777777784</v>
      </c>
      <c r="R49" s="300"/>
      <c r="S49" s="300"/>
      <c r="T49" s="300"/>
      <c r="U49" s="199">
        <f ca="1">1/M49</f>
        <v>0.48756944622271858</v>
      </c>
      <c r="V49" s="199"/>
      <c r="W49" s="298"/>
      <c r="X49" s="698">
        <f ca="1">IF(VLOOKUP($AD49,INDIRECT("'"&amp;$B49&amp;"'!"&amp;"$P$39:$AD$42"),11,FALSE)="Cf. the utilized electricity",0,VLOOKUP($AD49,INDIRECT("'"&amp;$B49&amp;"'!"&amp;"$P$39:$AD$42"),11,FALSE))</f>
        <v>0</v>
      </c>
      <c r="Y49" s="81">
        <f ca="1">VLOOKUP($AD49,INDIRECT("'"&amp;$B49&amp;"'!"&amp;"$P$39:$AD$42"),12,FALSE)</f>
        <v>0</v>
      </c>
      <c r="Z49" s="81">
        <f ca="1">VLOOKUP($AD49,INDIRECT("'"&amp;$B49&amp;"'!"&amp;"$P$39:$AD$42"),13,FALSE)</f>
        <v>0</v>
      </c>
      <c r="AA49" s="81">
        <f ca="1">VLOOKUP($AD49,INDIRECT("'"&amp;$B49&amp;"'!"&amp;"$P$39:$AD$42"),14,FALSE)</f>
        <v>0</v>
      </c>
      <c r="AB49" s="81">
        <f ca="1">VLOOKUP($AD49,INDIRECT("'"&amp;$B49&amp;"'!"&amp;"$P$39:$AD$42"),15,FALSE)</f>
        <v>0</v>
      </c>
      <c r="AD49" s="81">
        <v>2050</v>
      </c>
      <c r="AE49" s="81"/>
      <c r="AF49" s="220"/>
    </row>
    <row r="50" spans="2:32">
      <c r="B50" s="357" t="s">
        <v>1001</v>
      </c>
      <c r="D50" s="212"/>
      <c r="E50" s="212"/>
      <c r="F50" s="224" t="s">
        <v>1149</v>
      </c>
      <c r="G50" s="173" t="str">
        <f>$AI$20</f>
        <v>INDSWH</v>
      </c>
      <c r="H50" s="174"/>
      <c r="I50" s="174"/>
      <c r="K50" s="81"/>
      <c r="L50" s="333"/>
      <c r="M50" s="199"/>
      <c r="N50" s="81"/>
      <c r="O50" s="723"/>
      <c r="P50" s="723"/>
      <c r="Q50" s="81"/>
      <c r="R50" s="300"/>
      <c r="S50" s="300"/>
      <c r="T50" s="300"/>
      <c r="U50" s="199">
        <f ca="1">1-U49</f>
        <v>0.51243055377728142</v>
      </c>
      <c r="V50" s="300"/>
      <c r="W50" s="298"/>
      <c r="X50" s="698"/>
      <c r="Y50" s="81"/>
      <c r="Z50" s="81"/>
      <c r="AA50" s="81"/>
      <c r="AB50" s="81"/>
      <c r="AD50" s="81"/>
      <c r="AE50" s="81"/>
      <c r="AF50" s="220"/>
    </row>
    <row r="51" spans="2:32">
      <c r="B51" s="357" t="s">
        <v>1001</v>
      </c>
      <c r="D51" s="212" t="str">
        <f>"IND"&amp;RIGHT(H51,4)&amp;RIGHT(G51,3)&amp;"N"&amp;RIGHT(E51,1)</f>
        <v>INDSDSHELCN4</v>
      </c>
      <c r="E51" s="261" t="str">
        <f>"Industrial heating technology "&amp;$AJ$12&amp;" "&amp;RIGHT(H51,2)&amp;" - Booster Heat pump utilizing waste heat - new 4"</f>
        <v>Industrial heating technology Iron &amp; Steel SH - Booster Heat pump utilizing waste heat - new 4</v>
      </c>
      <c r="F51" s="224" t="s">
        <v>1149</v>
      </c>
      <c r="G51" s="173" t="s">
        <v>499</v>
      </c>
      <c r="H51" s="174" t="str">
        <f>$AI$15</f>
        <v>ISDSH</v>
      </c>
      <c r="I51" s="174"/>
      <c r="J51" s="224">
        <f t="shared" ref="J51" si="16">AD51</f>
        <v>2020</v>
      </c>
      <c r="K51" s="81">
        <v>2020</v>
      </c>
      <c r="L51" s="333">
        <v>1</v>
      </c>
      <c r="M51" s="199">
        <f ca="1">VLOOKUP($AD51,INDIRECT("'"&amp;$B51&amp;"'!"&amp;"$P$39:$AD$42"),3,FALSE)</f>
        <v>1.93</v>
      </c>
      <c r="N51" s="81">
        <f ca="1">VLOOKUP($AD51,INDIRECT("'"&amp;$B51&amp;"'!"&amp;"$P$39:$AD$42"),5,FALSE)</f>
        <v>20</v>
      </c>
      <c r="O51" s="723">
        <f ca="1">VLOOKUP($AD51,INDIRECT("'"&amp;$B51&amp;"'!"&amp;"$P$39:$AD$42"),6,FALSE)/1000</f>
        <v>12.158890687341184</v>
      </c>
      <c r="P51" s="723">
        <f ca="1">VLOOKUP($AD51,INDIRECT("'"&amp;$B51&amp;"'!"&amp;"$P$39:$AD$42"),7,FALSE)/1000</f>
        <v>1.49E-2</v>
      </c>
      <c r="Q51" s="81">
        <f ca="1">VLOOKUP($AD51,INDIRECT("'"&amp;$B51&amp;"'!"&amp;"$P$39:$AD$42"),8,FALSE)</f>
        <v>7.1188888888888897</v>
      </c>
      <c r="R51" s="81">
        <v>3.1536000000000002E-2</v>
      </c>
      <c r="S51" s="199">
        <v>0.5</v>
      </c>
      <c r="T51" s="199">
        <f ca="1">HLOOKUP($T$2,INDIRECT("'"&amp;$B51&amp;"'!"&amp;"$P$6:$AC$19"),IF(H51=$AI$13,6,IF(H51=$AI$14,9,14)),FALSE)</f>
        <v>1</v>
      </c>
      <c r="U51" s="199">
        <f ca="1">1/M51</f>
        <v>0.5181347150259068</v>
      </c>
      <c r="V51" s="199"/>
      <c r="W51" s="298"/>
      <c r="X51" s="698">
        <f ca="1">IF(VLOOKUP($AD51,INDIRECT("'"&amp;$B51&amp;"'!"&amp;"$P$39:$AD$42"),11,FALSE)="Cf. the utilized electricity",0,VLOOKUP($AD51,INDIRECT("'"&amp;$B51&amp;"'!"&amp;"$P$39:$AD$42"),11,FALSE))</f>
        <v>0</v>
      </c>
      <c r="Y51" s="81">
        <f ca="1">VLOOKUP($AD51,INDIRECT("'"&amp;$B51&amp;"'!"&amp;"$P$39:$AD$42"),12,FALSE)</f>
        <v>0</v>
      </c>
      <c r="Z51" s="81">
        <f ca="1">VLOOKUP($AD51,INDIRECT("'"&amp;$B51&amp;"'!"&amp;"$P$39:$AD$42"),13,FALSE)</f>
        <v>0</v>
      </c>
      <c r="AA51" s="81">
        <f ca="1">VLOOKUP($AD51,INDIRECT("'"&amp;$B51&amp;"'!"&amp;"$P$39:$AD$42"),14,FALSE)</f>
        <v>0</v>
      </c>
      <c r="AB51" s="81">
        <f ca="1">VLOOKUP($AD51,INDIRECT("'"&amp;$B51&amp;"'!"&amp;"$P$39:$AD$42"),15,FALSE)</f>
        <v>0</v>
      </c>
      <c r="AD51" s="81">
        <v>2020</v>
      </c>
      <c r="AE51" s="81"/>
      <c r="AF51" s="220"/>
    </row>
    <row r="52" spans="2:32">
      <c r="B52" s="357" t="s">
        <v>1001</v>
      </c>
      <c r="D52" s="212"/>
      <c r="E52" s="261"/>
      <c r="F52" s="224" t="s">
        <v>1149</v>
      </c>
      <c r="G52" s="173" t="str">
        <f>$AI$20</f>
        <v>INDSWH</v>
      </c>
      <c r="H52" s="174"/>
      <c r="I52" s="174"/>
      <c r="K52" s="81"/>
      <c r="L52" s="333"/>
      <c r="M52" s="199"/>
      <c r="N52" s="81"/>
      <c r="O52" s="723"/>
      <c r="P52" s="723"/>
      <c r="Q52" s="81"/>
      <c r="R52" s="200"/>
      <c r="S52" s="772"/>
      <c r="T52" s="772"/>
      <c r="U52" s="199">
        <f ca="1">1-U51</f>
        <v>0.4818652849740932</v>
      </c>
      <c r="V52" s="772"/>
      <c r="W52" s="298"/>
      <c r="X52" s="698"/>
      <c r="Y52" s="81"/>
      <c r="Z52" s="81"/>
      <c r="AA52" s="81"/>
      <c r="AB52" s="81"/>
      <c r="AD52" s="81"/>
      <c r="AE52" s="81"/>
      <c r="AF52" s="220"/>
    </row>
    <row r="53" spans="2:32">
      <c r="B53" s="357" t="s">
        <v>1001</v>
      </c>
      <c r="D53" s="212"/>
      <c r="E53" s="212"/>
      <c r="F53" s="224" t="s">
        <v>1149</v>
      </c>
      <c r="G53" s="173" t="s">
        <v>499</v>
      </c>
      <c r="H53" s="174" t="str">
        <f>$AI$15</f>
        <v>ISDSH</v>
      </c>
      <c r="I53" s="174"/>
      <c r="J53" s="224">
        <f t="shared" ref="J53" si="17">AD53</f>
        <v>2030</v>
      </c>
      <c r="K53" s="81"/>
      <c r="L53" s="333">
        <v>1</v>
      </c>
      <c r="M53" s="199">
        <f ca="1">VLOOKUP($AD53,INDIRECT("'"&amp;$B53&amp;"'!"&amp;"$P$39:$AD$42"),3,FALSE)</f>
        <v>1.9894000000000001</v>
      </c>
      <c r="N53" s="81"/>
      <c r="O53" s="723">
        <f ca="1">VLOOKUP($AD53,INDIRECT("'"&amp;$B53&amp;"'!"&amp;"$P$39:$AD$42"),6,FALSE)/1000</f>
        <v>9.8570539139933757</v>
      </c>
      <c r="P53" s="723">
        <f ca="1">VLOOKUP($AD53,INDIRECT("'"&amp;$B53&amp;"'!"&amp;"$P$39:$AD$42"),7,FALSE)/1000</f>
        <v>1.49E-2</v>
      </c>
      <c r="Q53" s="81">
        <f ca="1">VLOOKUP($AD53,INDIRECT("'"&amp;$B53&amp;"'!"&amp;"$P$39:$AD$42"),8,FALSE)</f>
        <v>6.9740277777777777</v>
      </c>
      <c r="R53" s="300"/>
      <c r="S53" s="300"/>
      <c r="T53" s="300"/>
      <c r="U53" s="199">
        <f ca="1">1/M53</f>
        <v>0.50266411983512616</v>
      </c>
      <c r="V53" s="199"/>
      <c r="W53" s="298"/>
      <c r="X53" s="698">
        <f ca="1">IF(VLOOKUP($AD53,INDIRECT("'"&amp;$B53&amp;"'!"&amp;"$P$39:$AD$42"),11,FALSE)="Cf. the utilized electricity",0,VLOOKUP($AD53,INDIRECT("'"&amp;$B53&amp;"'!"&amp;"$P$39:$AD$42"),11,FALSE))</f>
        <v>0</v>
      </c>
      <c r="Y53" s="81">
        <f ca="1">VLOOKUP($AD53,INDIRECT("'"&amp;$B53&amp;"'!"&amp;"$P$39:$AD$42"),12,FALSE)</f>
        <v>0</v>
      </c>
      <c r="Z53" s="81">
        <f ca="1">VLOOKUP($AD53,INDIRECT("'"&amp;$B53&amp;"'!"&amp;"$P$39:$AD$42"),13,FALSE)</f>
        <v>0</v>
      </c>
      <c r="AA53" s="81">
        <f ca="1">VLOOKUP($AD53,INDIRECT("'"&amp;$B53&amp;"'!"&amp;"$P$39:$AD$42"),14,FALSE)</f>
        <v>0</v>
      </c>
      <c r="AB53" s="81">
        <f ca="1">VLOOKUP($AD53,INDIRECT("'"&amp;$B53&amp;"'!"&amp;"$P$39:$AD$42"),15,FALSE)</f>
        <v>0</v>
      </c>
      <c r="AD53" s="81">
        <v>2030</v>
      </c>
      <c r="AE53" s="81"/>
      <c r="AF53" s="220"/>
    </row>
    <row r="54" spans="2:32">
      <c r="B54" s="357" t="s">
        <v>1001</v>
      </c>
      <c r="D54" s="212"/>
      <c r="E54" s="212"/>
      <c r="F54" s="224" t="s">
        <v>1149</v>
      </c>
      <c r="G54" s="173" t="str">
        <f>$AI$20</f>
        <v>INDSWH</v>
      </c>
      <c r="H54" s="174"/>
      <c r="I54" s="174"/>
      <c r="K54" s="81"/>
      <c r="L54" s="333"/>
      <c r="M54" s="199"/>
      <c r="N54" s="81"/>
      <c r="O54" s="723"/>
      <c r="P54" s="723"/>
      <c r="Q54" s="81"/>
      <c r="R54" s="300"/>
      <c r="S54" s="300"/>
      <c r="T54" s="300"/>
      <c r="U54" s="199">
        <f ca="1">1-U53</f>
        <v>0.49733588016487384</v>
      </c>
      <c r="V54" s="300"/>
      <c r="W54" s="298"/>
      <c r="X54" s="698"/>
      <c r="Y54" s="81"/>
      <c r="Z54" s="81"/>
      <c r="AA54" s="81"/>
      <c r="AB54" s="81"/>
      <c r="AD54" s="81"/>
      <c r="AE54" s="81"/>
      <c r="AF54" s="220"/>
    </row>
    <row r="55" spans="2:32">
      <c r="B55" s="357" t="s">
        <v>1001</v>
      </c>
      <c r="D55" s="212"/>
      <c r="E55" s="212"/>
      <c r="F55" s="224" t="s">
        <v>1149</v>
      </c>
      <c r="G55" s="173" t="s">
        <v>499</v>
      </c>
      <c r="H55" s="174" t="str">
        <f>$AI$15</f>
        <v>ISDSH</v>
      </c>
      <c r="I55" s="174"/>
      <c r="J55" s="224">
        <f t="shared" ref="J55" si="18">AD55</f>
        <v>2050</v>
      </c>
      <c r="K55" s="81"/>
      <c r="L55" s="333">
        <v>1</v>
      </c>
      <c r="M55" s="199">
        <f ca="1">VLOOKUP($AD55,INDIRECT("'"&amp;$B55&amp;"'!"&amp;"$P$39:$AD$42"),3,FALSE)</f>
        <v>2.0509898799999999</v>
      </c>
      <c r="N55" s="81"/>
      <c r="O55" s="723">
        <f ca="1">VLOOKUP($AD55,INDIRECT("'"&amp;$B55&amp;"'!"&amp;"$P$39:$AD$42"),6,FALSE)/1000</f>
        <v>6.955935359434223</v>
      </c>
      <c r="P55" s="723">
        <f ca="1">VLOOKUP($AD55,INDIRECT("'"&amp;$B55&amp;"'!"&amp;"$P$39:$AD$42"),7,FALSE)/1000</f>
        <v>1.49E-2</v>
      </c>
      <c r="Q55" s="81">
        <f ca="1">VLOOKUP($AD55,INDIRECT("'"&amp;$B55&amp;"'!"&amp;"$P$39:$AD$42"),8,FALSE)</f>
        <v>6.7877777777777784</v>
      </c>
      <c r="R55" s="300"/>
      <c r="S55" s="300"/>
      <c r="T55" s="300"/>
      <c r="U55" s="199">
        <f ca="1">1/M55</f>
        <v>0.48756944622271858</v>
      </c>
      <c r="V55" s="199"/>
      <c r="W55" s="298"/>
      <c r="X55" s="698">
        <f ca="1">IF(VLOOKUP($AD55,INDIRECT("'"&amp;$B55&amp;"'!"&amp;"$P$39:$AD$42"),11,FALSE)="Cf. the utilized electricity",0,VLOOKUP($AD55,INDIRECT("'"&amp;$B55&amp;"'!"&amp;"$P$39:$AD$42"),11,FALSE))</f>
        <v>0</v>
      </c>
      <c r="Y55" s="81">
        <f ca="1">VLOOKUP($AD55,INDIRECT("'"&amp;$B55&amp;"'!"&amp;"$P$39:$AD$42"),12,FALSE)</f>
        <v>0</v>
      </c>
      <c r="Z55" s="81">
        <f ca="1">VLOOKUP($AD55,INDIRECT("'"&amp;$B55&amp;"'!"&amp;"$P$39:$AD$42"),13,FALSE)</f>
        <v>0</v>
      </c>
      <c r="AA55" s="81">
        <f ca="1">VLOOKUP($AD55,INDIRECT("'"&amp;$B55&amp;"'!"&amp;"$P$39:$AD$42"),14,FALSE)</f>
        <v>0</v>
      </c>
      <c r="AB55" s="81">
        <f ca="1">VLOOKUP($AD55,INDIRECT("'"&amp;$B55&amp;"'!"&amp;"$P$39:$AD$42"),15,FALSE)</f>
        <v>0</v>
      </c>
      <c r="AD55" s="81">
        <v>2050</v>
      </c>
      <c r="AE55" s="81"/>
      <c r="AF55" s="220"/>
    </row>
    <row r="56" spans="2:32">
      <c r="B56" s="357" t="s">
        <v>1001</v>
      </c>
      <c r="D56" s="212"/>
      <c r="E56" s="212"/>
      <c r="F56" s="224" t="s">
        <v>1149</v>
      </c>
      <c r="G56" s="173" t="str">
        <f>$AI$20</f>
        <v>INDSWH</v>
      </c>
      <c r="H56" s="174"/>
      <c r="I56" s="174"/>
      <c r="K56" s="81"/>
      <c r="L56" s="333"/>
      <c r="M56" s="199"/>
      <c r="N56" s="81"/>
      <c r="O56" s="723"/>
      <c r="P56" s="723"/>
      <c r="Q56" s="81"/>
      <c r="R56" s="300"/>
      <c r="S56" s="300"/>
      <c r="T56" s="300"/>
      <c r="U56" s="199">
        <f ca="1">1-U55</f>
        <v>0.51243055377728142</v>
      </c>
      <c r="V56" s="300"/>
      <c r="W56" s="298"/>
      <c r="X56" s="698"/>
      <c r="Y56" s="81"/>
      <c r="Z56" s="81"/>
      <c r="AA56" s="81"/>
      <c r="AB56" s="81"/>
      <c r="AD56" s="81"/>
      <c r="AE56" s="81"/>
      <c r="AF56" s="220"/>
    </row>
    <row r="57" spans="2:32">
      <c r="B57" s="357" t="s">
        <v>1002</v>
      </c>
      <c r="D57" s="212" t="str">
        <f>"IND"&amp;RIGHT(H57,4)&amp;RIGHT(G57,3)&amp;"N"&amp;RIGHT(E57,1)</f>
        <v>INDSDPHELCN5</v>
      </c>
      <c r="E57" s="261" t="str">
        <f>"Industrial heating technology "&amp;$AJ$12&amp;" "&amp;RIGHT(H57,2)&amp;" - MVR utilizing waste heat - new 5"</f>
        <v>Industrial heating technology Iron &amp; Steel PH - MVR utilizing waste heat - new 5</v>
      </c>
      <c r="F57" s="224" t="s">
        <v>1149</v>
      </c>
      <c r="G57" s="173" t="s">
        <v>499</v>
      </c>
      <c r="H57" s="174" t="str">
        <f>$AI$14</f>
        <v>ISDPH</v>
      </c>
      <c r="I57" s="174"/>
      <c r="J57" s="224">
        <f t="shared" ref="J57" si="19">AD57</f>
        <v>2020</v>
      </c>
      <c r="K57" s="81">
        <v>2020</v>
      </c>
      <c r="L57" s="333">
        <v>1</v>
      </c>
      <c r="M57" s="199">
        <f ca="1">VLOOKUP($AD57,INDIRECT("'"&amp;$B57&amp;"'!"&amp;"$P$39:$AD$42"),3,FALSE)</f>
        <v>12.1</v>
      </c>
      <c r="N57" s="81">
        <f ca="1">VLOOKUP($AD57,INDIRECT("'"&amp;$B57&amp;"'!"&amp;"$P$39:$AD$42"),5,FALSE)</f>
        <v>25</v>
      </c>
      <c r="O57" s="723">
        <f ca="1">VLOOKUP($AD57,INDIRECT("'"&amp;$B57&amp;"'!"&amp;"$P$39:$AD$42"),6,FALSE)/1000</f>
        <v>2.6074999999999999</v>
      </c>
      <c r="P57" s="723">
        <f ca="1">VLOOKUP($AD57,INDIRECT("'"&amp;$B57&amp;"'!"&amp;"$P$39:$AD$42"),7,FALSE)/1000</f>
        <v>1.49E-2</v>
      </c>
      <c r="Q57" s="81">
        <f ca="1">VLOOKUP($AD57,INDIRECT("'"&amp;$B57&amp;"'!"&amp;"$P$39:$AD$42"),8,FALSE)</f>
        <v>5.2356944444444444</v>
      </c>
      <c r="R57" s="81">
        <v>3.1536000000000002E-2</v>
      </c>
      <c r="S57" s="199">
        <v>0.5</v>
      </c>
      <c r="T57" s="199">
        <f ca="1">HLOOKUP($T$2,INDIRECT("'"&amp;$B57&amp;"'!"&amp;"$P$6:$AC$19"),IF(H57=$AI$13,6,IF(H57=$AI$14,9,14)),FALSE)</f>
        <v>0</v>
      </c>
      <c r="U57" s="199">
        <f ca="1">1/M57</f>
        <v>8.2644628099173556E-2</v>
      </c>
      <c r="V57" s="199"/>
      <c r="W57" s="298"/>
      <c r="X57" s="698">
        <f ca="1">IF(VLOOKUP($AD57,INDIRECT("'"&amp;$B57&amp;"'!"&amp;"$P$39:$AD$42"),11,FALSE)="Cf. the utilized electricity",0,VLOOKUP($AD57,INDIRECT("'"&amp;$B57&amp;"'!"&amp;"$P$39:$AD$42"),11,FALSE))</f>
        <v>0</v>
      </c>
      <c r="Y57" s="81">
        <f ca="1">VLOOKUP($AD57,INDIRECT("'"&amp;$B57&amp;"'!"&amp;"$P$39:$AD$42"),12,FALSE)</f>
        <v>0</v>
      </c>
      <c r="Z57" s="81">
        <f ca="1">VLOOKUP($AD57,INDIRECT("'"&amp;$B57&amp;"'!"&amp;"$P$39:$AD$42"),13,FALSE)</f>
        <v>0</v>
      </c>
      <c r="AA57" s="81">
        <f ca="1">VLOOKUP($AD57,INDIRECT("'"&amp;$B57&amp;"'!"&amp;"$P$39:$AD$42"),14,FALSE)</f>
        <v>0</v>
      </c>
      <c r="AB57" s="81">
        <f ca="1">VLOOKUP($AD57,INDIRECT("'"&amp;$B57&amp;"'!"&amp;"$P$39:$AD$42"),15,FALSE)</f>
        <v>0</v>
      </c>
      <c r="AD57" s="81">
        <v>2020</v>
      </c>
      <c r="AE57" s="81"/>
      <c r="AF57" s="220"/>
    </row>
    <row r="58" spans="2:32">
      <c r="B58" s="357" t="s">
        <v>1002</v>
      </c>
      <c r="D58" s="212"/>
      <c r="E58" s="261"/>
      <c r="F58" s="224" t="s">
        <v>1149</v>
      </c>
      <c r="G58" s="173" t="str">
        <f>$AI$20</f>
        <v>INDSWH</v>
      </c>
      <c r="H58" s="174"/>
      <c r="I58" s="174"/>
      <c r="K58" s="81"/>
      <c r="L58" s="199"/>
      <c r="M58" s="199"/>
      <c r="N58" s="81"/>
      <c r="O58" s="723"/>
      <c r="P58" s="723"/>
      <c r="Q58" s="81"/>
      <c r="R58" s="200"/>
      <c r="S58" s="772"/>
      <c r="T58" s="772"/>
      <c r="U58" s="199">
        <f ca="1">1-U57</f>
        <v>0.9173553719008265</v>
      </c>
      <c r="V58" s="772"/>
      <c r="W58" s="298"/>
      <c r="X58" s="698"/>
      <c r="Y58" s="81"/>
      <c r="Z58" s="81"/>
      <c r="AA58" s="81"/>
      <c r="AB58" s="81"/>
      <c r="AD58" s="81"/>
      <c r="AE58" s="81"/>
      <c r="AF58" s="220"/>
    </row>
    <row r="59" spans="2:32">
      <c r="B59" s="357" t="s">
        <v>1002</v>
      </c>
      <c r="D59" s="212"/>
      <c r="E59" s="212"/>
      <c r="F59" s="224" t="s">
        <v>1149</v>
      </c>
      <c r="G59" s="173" t="s">
        <v>499</v>
      </c>
      <c r="H59" s="174" t="str">
        <f>$AI$14</f>
        <v>ISDPH</v>
      </c>
      <c r="I59" s="174"/>
      <c r="J59" s="224">
        <f t="shared" ref="J59" si="20">AD59</f>
        <v>2030</v>
      </c>
      <c r="K59" s="81"/>
      <c r="L59" s="333">
        <v>1</v>
      </c>
      <c r="M59" s="199">
        <f ca="1">VLOOKUP($AD59,INDIRECT("'"&amp;$B59&amp;"'!"&amp;"$P$39:$AD$42"),3,FALSE)</f>
        <v>12.7</v>
      </c>
      <c r="N59" s="81"/>
      <c r="O59" s="723">
        <f ca="1">VLOOKUP($AD59,INDIRECT("'"&amp;$B59&amp;"'!"&amp;"$P$39:$AD$42"),6,FALSE)/1000</f>
        <v>2.4585000000000004</v>
      </c>
      <c r="P59" s="723">
        <f ca="1">VLOOKUP($AD59,INDIRECT("'"&amp;$B59&amp;"'!"&amp;"$P$39:$AD$42"),7,FALSE)/1000</f>
        <v>1.49E-2</v>
      </c>
      <c r="Q59" s="81">
        <f ca="1">VLOOKUP($AD59,INDIRECT("'"&amp;$B59&amp;"'!"&amp;"$P$39:$AD$42"),8,FALSE)</f>
        <v>5.0701388888888888</v>
      </c>
      <c r="R59" s="300"/>
      <c r="S59" s="300"/>
      <c r="T59" s="300"/>
      <c r="U59" s="199">
        <f ca="1">1/M59</f>
        <v>7.874015748031496E-2</v>
      </c>
      <c r="V59" s="199"/>
      <c r="W59" s="298"/>
      <c r="X59" s="698">
        <f ca="1">IF(VLOOKUP($AD59,INDIRECT("'"&amp;$B59&amp;"'!"&amp;"$P$39:$AD$42"),11,FALSE)="Cf. the utilized electricity",0,VLOOKUP($AD59,INDIRECT("'"&amp;$B59&amp;"'!"&amp;"$P$39:$AD$42"),11,FALSE))</f>
        <v>0</v>
      </c>
      <c r="Y59" s="81">
        <f ca="1">VLOOKUP($AD59,INDIRECT("'"&amp;$B59&amp;"'!"&amp;"$P$39:$AD$42"),12,FALSE)</f>
        <v>0</v>
      </c>
      <c r="Z59" s="81">
        <f ca="1">VLOOKUP($AD59,INDIRECT("'"&amp;$B59&amp;"'!"&amp;"$P$39:$AD$42"),13,FALSE)</f>
        <v>0</v>
      </c>
      <c r="AA59" s="81">
        <f ca="1">VLOOKUP($AD59,INDIRECT("'"&amp;$B59&amp;"'!"&amp;"$P$39:$AD$42"),14,FALSE)</f>
        <v>0</v>
      </c>
      <c r="AB59" s="81">
        <f ca="1">VLOOKUP($AD59,INDIRECT("'"&amp;$B59&amp;"'!"&amp;"$P$39:$AD$42"),15,FALSE)</f>
        <v>0</v>
      </c>
      <c r="AD59" s="81">
        <v>2030</v>
      </c>
      <c r="AE59" s="81"/>
      <c r="AF59" s="220"/>
    </row>
    <row r="60" spans="2:32">
      <c r="B60" s="357" t="s">
        <v>1002</v>
      </c>
      <c r="D60" s="212"/>
      <c r="E60" s="212"/>
      <c r="F60" s="224" t="s">
        <v>1149</v>
      </c>
      <c r="G60" s="173" t="str">
        <f>$AI$20</f>
        <v>INDSWH</v>
      </c>
      <c r="H60" s="174"/>
      <c r="I60" s="174"/>
      <c r="K60" s="81"/>
      <c r="L60" s="199"/>
      <c r="M60" s="199"/>
      <c r="N60" s="81"/>
      <c r="O60" s="723"/>
      <c r="P60" s="723"/>
      <c r="Q60" s="81"/>
      <c r="R60" s="300"/>
      <c r="S60" s="300"/>
      <c r="T60" s="300"/>
      <c r="U60" s="199">
        <f ca="1">1-U59</f>
        <v>0.92125984251968507</v>
      </c>
      <c r="V60" s="300"/>
      <c r="W60" s="298"/>
      <c r="X60" s="698"/>
      <c r="Y60" s="81"/>
      <c r="Z60" s="81"/>
      <c r="AA60" s="81"/>
      <c r="AB60" s="81"/>
      <c r="AD60" s="81"/>
      <c r="AE60" s="81"/>
      <c r="AF60" s="220"/>
    </row>
    <row r="61" spans="2:32">
      <c r="B61" s="357" t="s">
        <v>1002</v>
      </c>
      <c r="D61" s="212"/>
      <c r="E61" s="212"/>
      <c r="F61" s="224" t="s">
        <v>1149</v>
      </c>
      <c r="G61" s="173" t="s">
        <v>499</v>
      </c>
      <c r="H61" s="174" t="str">
        <f>$AI$14</f>
        <v>ISDPH</v>
      </c>
      <c r="I61" s="174"/>
      <c r="J61" s="224">
        <f t="shared" ref="J61" si="21">AD61</f>
        <v>2050</v>
      </c>
      <c r="K61" s="81"/>
      <c r="L61" s="333">
        <v>1</v>
      </c>
      <c r="M61" s="199">
        <f ca="1">VLOOKUP($AD61,INDIRECT("'"&amp;$B61&amp;"'!"&amp;"$P$39:$AD$42"),3,FALSE)</f>
        <v>13.8</v>
      </c>
      <c r="N61" s="81"/>
      <c r="O61" s="723">
        <f ca="1">VLOOKUP($AD61,INDIRECT("'"&amp;$B61&amp;"'!"&amp;"$P$39:$AD$42"),6,FALSE)/1000</f>
        <v>2.3094999999999999</v>
      </c>
      <c r="P61" s="723">
        <f ca="1">VLOOKUP($AD61,INDIRECT("'"&amp;$B61&amp;"'!"&amp;"$P$39:$AD$42"),7,FALSE)/1000</f>
        <v>1.49E-2</v>
      </c>
      <c r="Q61" s="81">
        <f ca="1">VLOOKUP($AD61,INDIRECT("'"&amp;$B61&amp;"'!"&amp;"$P$39:$AD$42"),8,FALSE)</f>
        <v>4.8838888888888903</v>
      </c>
      <c r="R61" s="300"/>
      <c r="S61" s="300"/>
      <c r="T61" s="300"/>
      <c r="U61" s="199">
        <f ca="1">1/M61</f>
        <v>7.2463768115942032E-2</v>
      </c>
      <c r="V61" s="199"/>
      <c r="W61" s="298"/>
      <c r="X61" s="698">
        <f ca="1">IF(VLOOKUP($AD61,INDIRECT("'"&amp;$B61&amp;"'!"&amp;"$P$39:$AD$42"),11,FALSE)="Cf. the utilized electricity",0,VLOOKUP($AD61,INDIRECT("'"&amp;$B61&amp;"'!"&amp;"$P$39:$AD$42"),11,FALSE))</f>
        <v>0</v>
      </c>
      <c r="Y61" s="81">
        <f ca="1">VLOOKUP($AD61,INDIRECT("'"&amp;$B61&amp;"'!"&amp;"$P$39:$AD$42"),12,FALSE)</f>
        <v>0</v>
      </c>
      <c r="Z61" s="81">
        <f ca="1">VLOOKUP($AD61,INDIRECT("'"&amp;$B61&amp;"'!"&amp;"$P$39:$AD$42"),13,FALSE)</f>
        <v>0</v>
      </c>
      <c r="AA61" s="81">
        <f ca="1">VLOOKUP($AD61,INDIRECT("'"&amp;$B61&amp;"'!"&amp;"$P$39:$AD$42"),14,FALSE)</f>
        <v>0</v>
      </c>
      <c r="AB61" s="81">
        <f ca="1">VLOOKUP($AD61,INDIRECT("'"&amp;$B61&amp;"'!"&amp;"$P$39:$AD$42"),15,FALSE)</f>
        <v>0</v>
      </c>
      <c r="AD61" s="81">
        <v>2050</v>
      </c>
      <c r="AE61" s="81"/>
      <c r="AF61" s="220"/>
    </row>
    <row r="62" spans="2:32" ht="16" thickBot="1">
      <c r="B62" s="786" t="s">
        <v>1002</v>
      </c>
      <c r="C62" s="787"/>
      <c r="D62" s="732"/>
      <c r="E62" s="732"/>
      <c r="F62" s="224" t="s">
        <v>1149</v>
      </c>
      <c r="G62" s="788" t="str">
        <f>$AI$20</f>
        <v>INDSWH</v>
      </c>
      <c r="H62" s="788"/>
      <c r="I62" s="788"/>
      <c r="K62" s="789"/>
      <c r="L62" s="790"/>
      <c r="M62" s="790"/>
      <c r="N62" s="789"/>
      <c r="O62" s="791"/>
      <c r="P62" s="791"/>
      <c r="Q62" s="789"/>
      <c r="R62" s="792"/>
      <c r="S62" s="792"/>
      <c r="T62" s="792"/>
      <c r="U62" s="790">
        <f ca="1">1-U61</f>
        <v>0.92753623188405798</v>
      </c>
      <c r="V62" s="796"/>
      <c r="W62" s="793"/>
      <c r="X62" s="794"/>
      <c r="Y62" s="789"/>
      <c r="Z62" s="789"/>
      <c r="AA62" s="789"/>
      <c r="AB62" s="789"/>
      <c r="AC62" s="787"/>
      <c r="AD62" s="789"/>
      <c r="AE62" s="789"/>
      <c r="AF62" s="795"/>
    </row>
    <row r="63" spans="2:32">
      <c r="B63" s="357" t="s">
        <v>920</v>
      </c>
      <c r="D63" s="212" t="str">
        <f>"IND"&amp;RIGHT(H63,4)&amp;RIGHT(G63,3)&amp;"N"&amp;RIGHT(E63,1)</f>
        <v>INDSDPHWSTN1</v>
      </c>
      <c r="E63" s="261" t="str">
        <f>"Industrial heating technology "&amp;$AJ$12&amp;" "&amp;RIGHT(H63,2)&amp;" - Hotdisc - new 1"</f>
        <v>Industrial heating technology Iron &amp; Steel PH - Hotdisc - new 1</v>
      </c>
      <c r="F63" s="224" t="s">
        <v>1149</v>
      </c>
      <c r="G63" s="832" t="s">
        <v>1005</v>
      </c>
      <c r="H63" s="174" t="str">
        <f>$AI$13</f>
        <v>ISDPH</v>
      </c>
      <c r="I63" s="173" t="str">
        <f t="shared" ref="I63:I126" si="22">$AI$20</f>
        <v>INDSWH</v>
      </c>
      <c r="J63" s="224">
        <f>IF(AD63=2020,2011,AD63)</f>
        <v>2011</v>
      </c>
      <c r="K63" s="299">
        <v>2025</v>
      </c>
      <c r="L63" s="699">
        <f t="shared" ref="L63:L80" ca="1" si="23">VLOOKUP($AD63,INDIRECT("'"&amp;$B63&amp;"'!"&amp;"$P$39:$AD$42"),3,FALSE)</f>
        <v>0.9</v>
      </c>
      <c r="M63" s="699"/>
      <c r="N63" s="299">
        <f ca="1">VLOOKUP($AD63,INDIRECT("'"&amp;$B63&amp;"'!"&amp;"$P$39:$AD$42"),5,FALSE)</f>
        <v>20</v>
      </c>
      <c r="O63" s="725">
        <f t="shared" ref="O63:O80" ca="1" si="24">VLOOKUP($AD63,INDIRECT("'"&amp;$B63&amp;"'!"&amp;"$P$39:$AD$42"),6,FALSE)/1000</f>
        <v>3.7250000000000001</v>
      </c>
      <c r="P63" s="725">
        <f t="shared" ref="P63:P80" ca="1" si="25">VLOOKUP($AD63,INDIRECT("'"&amp;$B63&amp;"'!"&amp;"$P$39:$AD$42"),7,FALSE)/1000</f>
        <v>2.98E-3</v>
      </c>
      <c r="Q63" s="299">
        <f t="shared" ref="Q63:Q80" ca="1" si="26">VLOOKUP($AD63,INDIRECT("'"&amp;$B63&amp;"'!"&amp;"$P$39:$AD$42"),8,FALSE)</f>
        <v>2.4315972222222224</v>
      </c>
      <c r="R63" s="299">
        <v>3.1536000000000002E-2</v>
      </c>
      <c r="S63" s="699">
        <v>0.5</v>
      </c>
      <c r="T63" s="699">
        <f ca="1">HLOOKUP($S$2,INDIRECT("'"&amp;$B63&amp;"'!"&amp;"$P$6:$AC$19"),IF(H63=$AI$13,6,IF(H63=$AI$14,9,14)),FALSE)</f>
        <v>0</v>
      </c>
      <c r="U63" s="772"/>
      <c r="V63" s="199">
        <f ca="1">IF(IF(RIGHT(H63,2)="PH",(1-L63)+$W$2,IF(RIGHT(H63,2)="HT",(1-L63)+$W$1,IF(RIGHT(H63,2)="SH",(1-L63)+$W$3,"")))&gt;0,IF(RIGHT(H63,2)="PH",(1-L63)+$W$2,IF(RIGHT(H63,2)="HT",(1-L63)+$W$1,IF(RIGHT(H63,2)="SH",(1-L63)+$W$3,""))),0)</f>
        <v>0.3</v>
      </c>
      <c r="W63" s="298"/>
      <c r="X63" s="785">
        <f t="shared" ref="X63:X94" ca="1" si="27">IF(VLOOKUP($AD63,INDIRECT("'"&amp;$B63&amp;"'!"&amp;"$P$39:$AD$42"),11,FALSE)="Cf. the utilized electricity",0,VLOOKUP($AD63,INDIRECT("'"&amp;$B63&amp;"'!"&amp;"$P$39:$AD$42"),11,FALSE))</f>
        <v>8.3000000000000007</v>
      </c>
      <c r="Y63" s="299">
        <f t="shared" ref="Y63:Y80" ca="1" si="28">VLOOKUP($AD63,INDIRECT("'"&amp;$B63&amp;"'!"&amp;"$P$39:$AD$42"),12,FALSE)</f>
        <v>56</v>
      </c>
      <c r="Z63" s="299">
        <f t="shared" ref="Z63:Z80" ca="1" si="29">VLOOKUP($AD63,INDIRECT("'"&amp;$B63&amp;"'!"&amp;"$P$39:$AD$42"),13,FALSE)</f>
        <v>0.1</v>
      </c>
      <c r="AA63" s="299">
        <f t="shared" ref="AA63:AA80" ca="1" si="30">VLOOKUP($AD63,INDIRECT("'"&amp;$B63&amp;"'!"&amp;"$P$39:$AD$42"),14,FALSE)</f>
        <v>1</v>
      </c>
      <c r="AB63" s="299">
        <f t="shared" ref="AB63:AB80" ca="1" si="31">VLOOKUP($AD63,INDIRECT("'"&amp;$B63&amp;"'!"&amp;"$P$39:$AD$42"),15,FALSE)</f>
        <v>0.28999999999999998</v>
      </c>
      <c r="AD63" s="299">
        <v>2020</v>
      </c>
      <c r="AE63" s="299"/>
      <c r="AF63" s="220"/>
    </row>
    <row r="64" spans="2:32">
      <c r="B64" s="357" t="s">
        <v>920</v>
      </c>
      <c r="D64" s="212"/>
      <c r="E64" s="212"/>
      <c r="F64" s="224" t="s">
        <v>1149</v>
      </c>
      <c r="H64" s="174"/>
      <c r="I64" s="173" t="str">
        <f t="shared" si="22"/>
        <v>INDSWH</v>
      </c>
      <c r="J64" s="224">
        <f t="shared" ref="J64:J127" si="32">IF(AD64=2020,2011,AD64)</f>
        <v>2030</v>
      </c>
      <c r="K64" s="81"/>
      <c r="L64" s="199">
        <f t="shared" ca="1" si="23"/>
        <v>0.91</v>
      </c>
      <c r="M64" s="199"/>
      <c r="N64" s="81"/>
      <c r="O64" s="723">
        <f t="shared" ca="1" si="24"/>
        <v>3.4642500000000003</v>
      </c>
      <c r="P64" s="723">
        <f t="shared" ca="1" si="25"/>
        <v>2.98E-3</v>
      </c>
      <c r="Q64" s="81">
        <f t="shared" ca="1" si="26"/>
        <v>2.4729861111111116</v>
      </c>
      <c r="R64" s="300"/>
      <c r="S64" s="300"/>
      <c r="T64" s="300"/>
      <c r="U64" s="300"/>
      <c r="V64" s="199">
        <f ca="1">IF(IF(RIGHT(H63,2)="PH",(1-L64)+$W$2,IF(RIGHT(H63,2)="HT",(1-L64)+$W$1,IF(RIGHT(H63,2)="SH",(1-L64)+$W$3,"")))&gt;0,IF(RIGHT(H63,2)="PH",(1-L64)+$W$2,IF(RIGHT(H63,2)="HT",(1-L64)+$W$1,IF(RIGHT(H63,2)="SH",(1-L64)+$W$3,""))),0)</f>
        <v>0.28999999999999998</v>
      </c>
      <c r="W64" s="298"/>
      <c r="X64" s="698">
        <f t="shared" ca="1" si="27"/>
        <v>8.3000000000000007</v>
      </c>
      <c r="Y64" s="81">
        <f t="shared" ca="1" si="28"/>
        <v>45</v>
      </c>
      <c r="Z64" s="81">
        <f t="shared" ca="1" si="29"/>
        <v>0.1</v>
      </c>
      <c r="AA64" s="81">
        <f t="shared" ca="1" si="30"/>
        <v>1</v>
      </c>
      <c r="AB64" s="81">
        <f t="shared" ca="1" si="31"/>
        <v>0.28999999999999998</v>
      </c>
      <c r="AD64" s="81">
        <v>2030</v>
      </c>
      <c r="AE64" s="81"/>
      <c r="AF64" s="220"/>
    </row>
    <row r="65" spans="2:32">
      <c r="B65" s="357" t="s">
        <v>920</v>
      </c>
      <c r="D65" s="212"/>
      <c r="E65" s="212"/>
      <c r="F65" s="224" t="s">
        <v>1149</v>
      </c>
      <c r="H65" s="174"/>
      <c r="I65" s="173" t="str">
        <f t="shared" si="22"/>
        <v>INDSWH</v>
      </c>
      <c r="J65" s="224">
        <f t="shared" si="32"/>
        <v>2050</v>
      </c>
      <c r="K65" s="81"/>
      <c r="L65" s="199">
        <f t="shared" ca="1" si="23"/>
        <v>0.93</v>
      </c>
      <c r="M65" s="199"/>
      <c r="N65" s="81"/>
      <c r="O65" s="723">
        <f t="shared" ca="1" si="24"/>
        <v>3.3525</v>
      </c>
      <c r="P65" s="723">
        <f t="shared" ca="1" si="25"/>
        <v>2.98E-3</v>
      </c>
      <c r="Q65" s="81">
        <f t="shared" ca="1" si="26"/>
        <v>2.4936805555555561</v>
      </c>
      <c r="R65" s="300"/>
      <c r="S65" s="300"/>
      <c r="T65" s="300"/>
      <c r="U65" s="300"/>
      <c r="V65" s="199">
        <f ca="1">IF(IF(RIGHT(H63,2)="PH",(1-L65)+$W$2,IF(RIGHT(H63,2)="HT",(1-L65)+$W$1,IF(RIGHT(H63,2)="SH",(1-L65)+$W$3,"")))&gt;0,IF(RIGHT(H63,2)="PH",(1-L65)+$W$2,IF(RIGHT(H63,2)="HT",(1-L65)+$W$1,IF(RIGHT(H63,2)="SH",(1-L65)+$W$3,""))),0)</f>
        <v>0.26999999999999996</v>
      </c>
      <c r="W65" s="298"/>
      <c r="X65" s="698">
        <f t="shared" ca="1" si="27"/>
        <v>8.3000000000000007</v>
      </c>
      <c r="Y65" s="81">
        <f t="shared" ca="1" si="28"/>
        <v>11</v>
      </c>
      <c r="Z65" s="81">
        <f t="shared" ca="1" si="29"/>
        <v>0.1</v>
      </c>
      <c r="AA65" s="81">
        <f t="shared" ca="1" si="30"/>
        <v>1</v>
      </c>
      <c r="AB65" s="81">
        <f t="shared" ca="1" si="31"/>
        <v>0.28999999999999998</v>
      </c>
      <c r="AD65" s="81">
        <v>2050</v>
      </c>
      <c r="AE65" s="81"/>
      <c r="AF65" s="220"/>
    </row>
    <row r="66" spans="2:32">
      <c r="B66" s="357" t="s">
        <v>922</v>
      </c>
      <c r="D66" s="212" t="str">
        <f>"IND"&amp;RIGHT(H66,4)&amp;RIGHT(G66,3)&amp;"N"&amp;RIGHT(E66,1)</f>
        <v>INDSDPHELCN6</v>
      </c>
      <c r="E66" s="261" t="str">
        <f>"Industrial heating technology "&amp;$AJ$12&amp;" "&amp;RIGHT(H66,2)&amp;" - Dielectric heating - new 6"</f>
        <v>Industrial heating technology Iron &amp; Steel PH - Dielectric heating - new 6</v>
      </c>
      <c r="F66" s="224" t="s">
        <v>1149</v>
      </c>
      <c r="G66" s="173" t="s">
        <v>499</v>
      </c>
      <c r="H66" s="174" t="str">
        <f>$AI$14</f>
        <v>ISDPH</v>
      </c>
      <c r="I66" s="173" t="str">
        <f t="shared" si="22"/>
        <v>INDSWH</v>
      </c>
      <c r="J66" s="224">
        <f t="shared" si="32"/>
        <v>2011</v>
      </c>
      <c r="K66" s="299">
        <v>2020</v>
      </c>
      <c r="L66" s="199">
        <f t="shared" ca="1" si="23"/>
        <v>0.95</v>
      </c>
      <c r="M66" s="199"/>
      <c r="N66" s="81">
        <f ca="1">VLOOKUP($AD66,INDIRECT("'"&amp;$B66&amp;"'!"&amp;"$P$39:$AD$42"),5,FALSE)</f>
        <v>30</v>
      </c>
      <c r="O66" s="723">
        <f t="shared" ca="1" si="24"/>
        <v>20.115000000000002</v>
      </c>
      <c r="P66" s="723">
        <f t="shared" ca="1" si="25"/>
        <v>0</v>
      </c>
      <c r="Q66" s="81">
        <f t="shared" ca="1" si="26"/>
        <v>94.828152777777774</v>
      </c>
      <c r="R66" s="81">
        <v>3.1536000000000002E-2</v>
      </c>
      <c r="S66" s="199">
        <v>0.5</v>
      </c>
      <c r="T66" s="199">
        <f ca="1">HLOOKUP($S$2,INDIRECT("'"&amp;$B66&amp;"'!"&amp;"$P$6:$AC$19"),IF(H66=$AI$13,6,IF(H66=$AI$14,9,14)),FALSE)</f>
        <v>0</v>
      </c>
      <c r="U66" s="772"/>
      <c r="V66" s="199">
        <f t="shared" ref="V66" ca="1" si="33">IF(IF(RIGHT(H66,2)="PH",(1-L66)+$W$2,IF(RIGHT(H66,2)="HT",(1-L66)+$W$1,IF(RIGHT(H66,2)="SH",(1-L66)+$W$3,"")))&gt;0,IF(RIGHT(H66,2)="PH",(1-L66)+$W$2,IF(RIGHT(H66,2)="HT",(1-L66)+$W$1,IF(RIGHT(H66,2)="SH",(1-L66)+$W$3,""))),0)</f>
        <v>0.25000000000000006</v>
      </c>
      <c r="W66" s="298"/>
      <c r="X66" s="698">
        <f t="shared" ca="1" si="27"/>
        <v>0</v>
      </c>
      <c r="Y66" s="81">
        <f t="shared" ca="1" si="28"/>
        <v>0</v>
      </c>
      <c r="Z66" s="81">
        <f t="shared" ca="1" si="29"/>
        <v>0</v>
      </c>
      <c r="AA66" s="81">
        <f t="shared" ca="1" si="30"/>
        <v>0</v>
      </c>
      <c r="AB66" s="81">
        <f t="shared" ca="1" si="31"/>
        <v>0</v>
      </c>
      <c r="AD66" s="81">
        <v>2020</v>
      </c>
      <c r="AE66" s="81"/>
      <c r="AF66" s="220"/>
    </row>
    <row r="67" spans="2:32">
      <c r="B67" s="357" t="s">
        <v>922</v>
      </c>
      <c r="D67" s="212"/>
      <c r="E67" s="212"/>
      <c r="F67" s="224" t="s">
        <v>1149</v>
      </c>
      <c r="H67" s="174"/>
      <c r="I67" s="173" t="str">
        <f t="shared" si="22"/>
        <v>INDSWH</v>
      </c>
      <c r="J67" s="224">
        <f t="shared" si="32"/>
        <v>2030</v>
      </c>
      <c r="K67" s="81"/>
      <c r="L67" s="199">
        <f t="shared" ca="1" si="23"/>
        <v>0.95</v>
      </c>
      <c r="M67" s="199"/>
      <c r="N67" s="81"/>
      <c r="O67" s="723">
        <f t="shared" ca="1" si="24"/>
        <v>19.511550000000003</v>
      </c>
      <c r="P67" s="723">
        <f t="shared" ca="1" si="25"/>
        <v>0</v>
      </c>
      <c r="Q67" s="81">
        <f t="shared" ca="1" si="26"/>
        <v>94.832291666666663</v>
      </c>
      <c r="R67" s="300"/>
      <c r="S67" s="300"/>
      <c r="T67" s="300"/>
      <c r="U67" s="300"/>
      <c r="V67" s="199">
        <f t="shared" ref="V67" ca="1" si="34">IF(IF(RIGHT(H66,2)="PH",(1-L67)+$W$2,IF(RIGHT(H66,2)="HT",(1-L67)+$W$1,IF(RIGHT(H66,2)="SH",(1-L67)+$W$3,"")))&gt;0,IF(RIGHT(H66,2)="PH",(1-L67)+$W$2,IF(RIGHT(H66,2)="HT",(1-L67)+$W$1,IF(RIGHT(H66,2)="SH",(1-L67)+$W$3,""))),0)</f>
        <v>0.25000000000000006</v>
      </c>
      <c r="W67" s="298"/>
      <c r="X67" s="698">
        <f t="shared" ca="1" si="27"/>
        <v>0</v>
      </c>
      <c r="Y67" s="81">
        <f t="shared" ca="1" si="28"/>
        <v>0</v>
      </c>
      <c r="Z67" s="81">
        <f t="shared" ca="1" si="29"/>
        <v>0</v>
      </c>
      <c r="AA67" s="81">
        <f t="shared" ca="1" si="30"/>
        <v>0</v>
      </c>
      <c r="AB67" s="81">
        <f t="shared" ca="1" si="31"/>
        <v>0</v>
      </c>
      <c r="AD67" s="81">
        <v>2030</v>
      </c>
      <c r="AE67" s="81"/>
      <c r="AF67" s="220"/>
    </row>
    <row r="68" spans="2:32">
      <c r="B68" s="357" t="s">
        <v>922</v>
      </c>
      <c r="D68" s="212"/>
      <c r="E68" s="212"/>
      <c r="F68" s="224" t="s">
        <v>1149</v>
      </c>
      <c r="H68" s="174"/>
      <c r="I68" s="173" t="str">
        <f t="shared" si="22"/>
        <v>INDSWH</v>
      </c>
      <c r="J68" s="224">
        <f t="shared" si="32"/>
        <v>2050</v>
      </c>
      <c r="K68" s="81"/>
      <c r="L68" s="199">
        <f t="shared" ca="1" si="23"/>
        <v>0.95</v>
      </c>
      <c r="M68" s="199"/>
      <c r="N68" s="81"/>
      <c r="O68" s="723">
        <f t="shared" ca="1" si="24"/>
        <v>18.1035</v>
      </c>
      <c r="P68" s="723">
        <f t="shared" ca="1" si="25"/>
        <v>0</v>
      </c>
      <c r="Q68" s="81">
        <f t="shared" ca="1" si="26"/>
        <v>94.834361111111107</v>
      </c>
      <c r="R68" s="300"/>
      <c r="S68" s="300"/>
      <c r="T68" s="300"/>
      <c r="U68" s="300"/>
      <c r="V68" s="199">
        <f t="shared" ref="V68" ca="1" si="35">IF(IF(RIGHT(H66,2)="PH",(1-L68)+$W$2,IF(RIGHT(H66,2)="HT",(1-L68)+$W$1,IF(RIGHT(H66,2)="SH",(1-L68)+$W$3,"")))&gt;0,IF(RIGHT(H66,2)="PH",(1-L68)+$W$2,IF(RIGHT(H66,2)="HT",(1-L68)+$W$1,IF(RIGHT(H66,2)="SH",(1-L68)+$W$3,""))),0)</f>
        <v>0.25000000000000006</v>
      </c>
      <c r="W68" s="298"/>
      <c r="X68" s="698">
        <f t="shared" ca="1" si="27"/>
        <v>0</v>
      </c>
      <c r="Y68" s="81">
        <f t="shared" ca="1" si="28"/>
        <v>0</v>
      </c>
      <c r="Z68" s="81">
        <f t="shared" ca="1" si="29"/>
        <v>0</v>
      </c>
      <c r="AA68" s="81">
        <f t="shared" ca="1" si="30"/>
        <v>0</v>
      </c>
      <c r="AB68" s="81">
        <f t="shared" ca="1" si="31"/>
        <v>0</v>
      </c>
      <c r="AD68" s="81">
        <v>2050</v>
      </c>
      <c r="AE68" s="81"/>
      <c r="AF68" s="220"/>
    </row>
    <row r="69" spans="2:32">
      <c r="B69" s="357" t="s">
        <v>1006</v>
      </c>
      <c r="D69" s="212" t="str">
        <f>"IND"&amp;RIGHT(H69,4)&amp;RIGHT(G69,3)&amp;"N"&amp;RIGHT(E69,1)</f>
        <v>INDSDPHELCN7</v>
      </c>
      <c r="E69" s="261" t="str">
        <f>"Industrial heating technology "&amp;$AJ$12&amp;" "&amp;RIGHT(H69,2)&amp;" - Infrared heating - new 7"</f>
        <v>Industrial heating technology Iron &amp; Steel PH - Infrared heating - new 7</v>
      </c>
      <c r="F69" s="224" t="s">
        <v>1149</v>
      </c>
      <c r="G69" s="173" t="s">
        <v>499</v>
      </c>
      <c r="H69" s="174" t="str">
        <f>$AI$14</f>
        <v>ISDPH</v>
      </c>
      <c r="I69" s="173" t="str">
        <f t="shared" si="22"/>
        <v>INDSWH</v>
      </c>
      <c r="J69" s="224">
        <f t="shared" si="32"/>
        <v>2011</v>
      </c>
      <c r="K69" s="299">
        <v>2020</v>
      </c>
      <c r="L69" s="199">
        <f t="shared" ca="1" si="23"/>
        <v>0.96</v>
      </c>
      <c r="M69" s="199"/>
      <c r="N69" s="81">
        <f ca="1">VLOOKUP($AD69,INDIRECT("'"&amp;$B69&amp;"'!"&amp;"$P$39:$AD$42"),5,FALSE)</f>
        <v>30</v>
      </c>
      <c r="O69" s="723">
        <f t="shared" ca="1" si="24"/>
        <v>2.6074999999999999</v>
      </c>
      <c r="P69" s="723">
        <f t="shared" ca="1" si="25"/>
        <v>0</v>
      </c>
      <c r="Q69" s="81">
        <f t="shared" ca="1" si="26"/>
        <v>242.27606944444443</v>
      </c>
      <c r="R69" s="81">
        <v>3.1536000000000002E-2</v>
      </c>
      <c r="S69" s="199">
        <v>0.5</v>
      </c>
      <c r="T69" s="199">
        <f ca="1">HLOOKUP($S$2,INDIRECT("'"&amp;$B69&amp;"'!"&amp;"$P$6:$AC$19"),IF(H69=$AI$13,6,IF(H69=$AI$14,9,14)),FALSE)</f>
        <v>0</v>
      </c>
      <c r="U69" s="772"/>
      <c r="V69" s="199">
        <f t="shared" ref="V69" ca="1" si="36">IF(IF(RIGHT(H69,2)="PH",(1-L69)+$W$2,IF(RIGHT(H69,2)="HT",(1-L69)+$W$1,IF(RIGHT(H69,2)="SH",(1-L69)+$W$3,"")))&gt;0,IF(RIGHT(H69,2)="PH",(1-L69)+$W$2,IF(RIGHT(H69,2)="HT",(1-L69)+$W$1,IF(RIGHT(H69,2)="SH",(1-L69)+$W$3,""))),0)</f>
        <v>0.24000000000000005</v>
      </c>
      <c r="W69" s="298"/>
      <c r="X69" s="698">
        <f t="shared" ca="1" si="27"/>
        <v>0</v>
      </c>
      <c r="Y69" s="81">
        <f t="shared" ca="1" si="28"/>
        <v>0</v>
      </c>
      <c r="Z69" s="81">
        <f t="shared" ca="1" si="29"/>
        <v>0</v>
      </c>
      <c r="AA69" s="81">
        <f t="shared" ca="1" si="30"/>
        <v>0</v>
      </c>
      <c r="AB69" s="81">
        <f t="shared" ca="1" si="31"/>
        <v>0</v>
      </c>
      <c r="AD69" s="81">
        <v>2020</v>
      </c>
      <c r="AE69" s="81"/>
      <c r="AF69" s="220"/>
    </row>
    <row r="70" spans="2:32">
      <c r="B70" s="357" t="s">
        <v>1006</v>
      </c>
      <c r="D70" s="212"/>
      <c r="E70" s="212"/>
      <c r="F70" s="224" t="s">
        <v>1149</v>
      </c>
      <c r="H70" s="174"/>
      <c r="I70" s="173" t="str">
        <f t="shared" si="22"/>
        <v>INDSWH</v>
      </c>
      <c r="J70" s="224">
        <f t="shared" si="32"/>
        <v>2030</v>
      </c>
      <c r="K70" s="81"/>
      <c r="L70" s="199">
        <f t="shared" ca="1" si="23"/>
        <v>0.96</v>
      </c>
      <c r="M70" s="199"/>
      <c r="N70" s="81"/>
      <c r="O70" s="723">
        <f t="shared" ca="1" si="24"/>
        <v>2.5330000000000004</v>
      </c>
      <c r="P70" s="723">
        <f t="shared" ca="1" si="25"/>
        <v>0</v>
      </c>
      <c r="Q70" s="81">
        <f t="shared" ca="1" si="26"/>
        <v>242.28020833333332</v>
      </c>
      <c r="R70" s="300"/>
      <c r="S70" s="300"/>
      <c r="T70" s="300"/>
      <c r="U70" s="300"/>
      <c r="V70" s="199">
        <f t="shared" ref="V70" ca="1" si="37">IF(IF(RIGHT(H69,2)="PH",(1-L70)+$W$2,IF(RIGHT(H69,2)="HT",(1-L70)+$W$1,IF(RIGHT(H69,2)="SH",(1-L70)+$W$3,"")))&gt;0,IF(RIGHT(H69,2)="PH",(1-L70)+$W$2,IF(RIGHT(H69,2)="HT",(1-L70)+$W$1,IF(RIGHT(H69,2)="SH",(1-L70)+$W$3,""))),0)</f>
        <v>0.24000000000000005</v>
      </c>
      <c r="W70" s="298"/>
      <c r="X70" s="698">
        <f t="shared" ca="1" si="27"/>
        <v>0</v>
      </c>
      <c r="Y70" s="81">
        <f t="shared" ca="1" si="28"/>
        <v>0</v>
      </c>
      <c r="Z70" s="81">
        <f t="shared" ca="1" si="29"/>
        <v>0</v>
      </c>
      <c r="AA70" s="81">
        <f t="shared" ca="1" si="30"/>
        <v>0</v>
      </c>
      <c r="AB70" s="81">
        <f t="shared" ca="1" si="31"/>
        <v>0</v>
      </c>
      <c r="AD70" s="81">
        <v>2030</v>
      </c>
      <c r="AE70" s="81"/>
      <c r="AF70" s="220"/>
    </row>
    <row r="71" spans="2:32">
      <c r="B71" s="357" t="s">
        <v>1006</v>
      </c>
      <c r="D71" s="212"/>
      <c r="E71" s="212"/>
      <c r="F71" s="224" t="s">
        <v>1149</v>
      </c>
      <c r="H71" s="174"/>
      <c r="I71" s="174" t="str">
        <f t="shared" si="22"/>
        <v>INDSWH</v>
      </c>
      <c r="J71" s="224">
        <f t="shared" si="32"/>
        <v>2050</v>
      </c>
      <c r="K71" s="81"/>
      <c r="L71" s="199">
        <f t="shared" ca="1" si="23"/>
        <v>0.96</v>
      </c>
      <c r="M71" s="199"/>
      <c r="N71" s="81"/>
      <c r="O71" s="723">
        <f t="shared" ca="1" si="24"/>
        <v>2.3467500000000001</v>
      </c>
      <c r="P71" s="723">
        <f t="shared" ca="1" si="25"/>
        <v>0</v>
      </c>
      <c r="Q71" s="81">
        <f t="shared" ca="1" si="26"/>
        <v>242.28227777777775</v>
      </c>
      <c r="R71" s="300"/>
      <c r="S71" s="300"/>
      <c r="T71" s="300"/>
      <c r="U71" s="300"/>
      <c r="V71" s="199">
        <f t="shared" ref="V71" ca="1" si="38">IF(IF(RIGHT(H69,2)="PH",(1-L71)+$W$2,IF(RIGHT(H69,2)="HT",(1-L71)+$W$1,IF(RIGHT(H69,2)="SH",(1-L71)+$W$3,"")))&gt;0,IF(RIGHT(H69,2)="PH",(1-L71)+$W$2,IF(RIGHT(H69,2)="HT",(1-L71)+$W$1,IF(RIGHT(H69,2)="SH",(1-L71)+$W$3,""))),0)</f>
        <v>0.24000000000000005</v>
      </c>
      <c r="W71" s="298"/>
      <c r="X71" s="698">
        <f t="shared" ca="1" si="27"/>
        <v>0</v>
      </c>
      <c r="Y71" s="81">
        <f t="shared" ca="1" si="28"/>
        <v>0</v>
      </c>
      <c r="Z71" s="81">
        <f t="shared" ca="1" si="29"/>
        <v>0</v>
      </c>
      <c r="AA71" s="81">
        <f t="shared" ca="1" si="30"/>
        <v>0</v>
      </c>
      <c r="AB71" s="81">
        <f t="shared" ca="1" si="31"/>
        <v>0</v>
      </c>
      <c r="AD71" s="81">
        <v>2050</v>
      </c>
      <c r="AE71" s="81"/>
      <c r="AF71" s="220"/>
    </row>
    <row r="72" spans="2:32">
      <c r="B72" s="357" t="s">
        <v>1007</v>
      </c>
      <c r="D72" s="212" t="str">
        <f>"IND"&amp;RIGHT(H72,4)&amp;RIGHT(G72,3)&amp;"N"&amp;RIGHT(E72,1)</f>
        <v>INDSDPHELCN8</v>
      </c>
      <c r="E72" s="261" t="str">
        <f>"Industrial heating technology "&amp;$AJ$12&amp;" "&amp;RIGHT(H72,2)&amp;" - Electric boiler (Steam) - new 8"</f>
        <v>Industrial heating technology Iron &amp; Steel PH - Electric boiler (Steam) - new 8</v>
      </c>
      <c r="F72" s="224" t="s">
        <v>1149</v>
      </c>
      <c r="G72" s="173" t="s">
        <v>499</v>
      </c>
      <c r="H72" s="174" t="str">
        <f>$AI$13</f>
        <v>ISDPH</v>
      </c>
      <c r="I72" s="174" t="str">
        <f t="shared" si="22"/>
        <v>INDSWH</v>
      </c>
      <c r="J72" s="224">
        <f t="shared" si="32"/>
        <v>2011</v>
      </c>
      <c r="K72" s="299">
        <v>2020</v>
      </c>
      <c r="L72" s="199">
        <f t="shared" ca="1" si="23"/>
        <v>0.99</v>
      </c>
      <c r="M72" s="199"/>
      <c r="N72" s="81">
        <f ca="1">VLOOKUP($AD72,INDIRECT("'"&amp;$B72&amp;"'!"&amp;"$P$39:$AD$42"),5,FALSE)</f>
        <v>25</v>
      </c>
      <c r="O72" s="723">
        <f t="shared" ca="1" si="24"/>
        <v>0.59599999999999997</v>
      </c>
      <c r="P72" s="723">
        <f t="shared" ca="1" si="25"/>
        <v>7.9714999999999994E-3</v>
      </c>
      <c r="Q72" s="81">
        <f t="shared" ca="1" si="26"/>
        <v>1.7900694444444445</v>
      </c>
      <c r="R72" s="81">
        <v>3.1536000000000002E-2</v>
      </c>
      <c r="S72" s="199">
        <v>0.5</v>
      </c>
      <c r="T72" s="199">
        <f ca="1">HLOOKUP($T$2,INDIRECT("'"&amp;$B72&amp;"'!"&amp;"$P$6:$AC$19"),IF(H72=$AI$13,6,IF(H72=$AI$14,9,14)),FALSE)</f>
        <v>1</v>
      </c>
      <c r="U72" s="772"/>
      <c r="V72" s="199">
        <f t="shared" ref="V72" ca="1" si="39">IF(IF(RIGHT(H72,2)="PH",(1-L72)+$W$2,IF(RIGHT(H72,2)="HT",(1-L72)+$W$1,IF(RIGHT(H72,2)="SH",(1-L72)+$W$3,"")))&gt;0,IF(RIGHT(H72,2)="PH",(1-L72)+$W$2,IF(RIGHT(H72,2)="HT",(1-L72)+$W$1,IF(RIGHT(H72,2)="SH",(1-L72)+$W$3,""))),0)</f>
        <v>0.21000000000000002</v>
      </c>
      <c r="W72" s="298"/>
      <c r="X72" s="698">
        <f t="shared" ca="1" si="27"/>
        <v>0</v>
      </c>
      <c r="Y72" s="81">
        <f t="shared" ca="1" si="28"/>
        <v>0</v>
      </c>
      <c r="Z72" s="81">
        <f t="shared" ca="1" si="29"/>
        <v>0</v>
      </c>
      <c r="AA72" s="81">
        <f t="shared" ca="1" si="30"/>
        <v>0</v>
      </c>
      <c r="AB72" s="81">
        <f t="shared" ca="1" si="31"/>
        <v>0</v>
      </c>
      <c r="AD72" s="81">
        <v>2020</v>
      </c>
      <c r="AE72" s="81"/>
      <c r="AF72" s="220"/>
    </row>
    <row r="73" spans="2:32">
      <c r="B73" s="357" t="s">
        <v>1007</v>
      </c>
      <c r="D73" s="212"/>
      <c r="E73" s="212"/>
      <c r="F73" s="224" t="s">
        <v>1149</v>
      </c>
      <c r="H73" s="174"/>
      <c r="I73" s="174" t="str">
        <f t="shared" si="22"/>
        <v>INDSWH</v>
      </c>
      <c r="J73" s="224">
        <f t="shared" si="32"/>
        <v>2030</v>
      </c>
      <c r="K73" s="81"/>
      <c r="L73" s="199">
        <f t="shared" ca="1" si="23"/>
        <v>0.99</v>
      </c>
      <c r="M73" s="199"/>
      <c r="N73" s="81"/>
      <c r="O73" s="723">
        <f t="shared" ca="1" si="24"/>
        <v>0.52150000000000007</v>
      </c>
      <c r="P73" s="723">
        <f t="shared" ca="1" si="25"/>
        <v>7.5989999999999999E-3</v>
      </c>
      <c r="Q73" s="81">
        <f t="shared" ca="1" si="26"/>
        <v>1.8107638888888888</v>
      </c>
      <c r="R73" s="300"/>
      <c r="S73" s="300"/>
      <c r="T73" s="300"/>
      <c r="U73" s="300"/>
      <c r="V73" s="199">
        <f t="shared" ref="V73" ca="1" si="40">IF(IF(RIGHT(H72,2)="PH",(1-L73)+$W$2,IF(RIGHT(H72,2)="HT",(1-L73)+$W$1,IF(RIGHT(H72,2)="SH",(1-L73)+$W$3,"")))&gt;0,IF(RIGHT(H72,2)="PH",(1-L73)+$W$2,IF(RIGHT(H72,2)="HT",(1-L73)+$W$1,IF(RIGHT(H72,2)="SH",(1-L73)+$W$3,""))),0)</f>
        <v>0.21000000000000002</v>
      </c>
      <c r="W73" s="298"/>
      <c r="X73" s="698">
        <f t="shared" ca="1" si="27"/>
        <v>0</v>
      </c>
      <c r="Y73" s="81">
        <f t="shared" ca="1" si="28"/>
        <v>0</v>
      </c>
      <c r="Z73" s="81">
        <f t="shared" ca="1" si="29"/>
        <v>0</v>
      </c>
      <c r="AA73" s="81">
        <f t="shared" ca="1" si="30"/>
        <v>0</v>
      </c>
      <c r="AB73" s="81">
        <f t="shared" ca="1" si="31"/>
        <v>0</v>
      </c>
      <c r="AD73" s="81">
        <v>2030</v>
      </c>
      <c r="AE73" s="81"/>
      <c r="AF73" s="220"/>
    </row>
    <row r="74" spans="2:32">
      <c r="B74" s="357" t="s">
        <v>1007</v>
      </c>
      <c r="D74" s="212"/>
      <c r="E74" s="212"/>
      <c r="F74" s="224" t="s">
        <v>1149</v>
      </c>
      <c r="H74" s="174"/>
      <c r="I74" s="174" t="str">
        <f t="shared" si="22"/>
        <v>INDSWH</v>
      </c>
      <c r="J74" s="224">
        <f t="shared" si="32"/>
        <v>2050</v>
      </c>
      <c r="K74" s="81"/>
      <c r="L74" s="199">
        <f t="shared" ca="1" si="23"/>
        <v>0.99</v>
      </c>
      <c r="M74" s="199"/>
      <c r="N74" s="81"/>
      <c r="O74" s="723">
        <f t="shared" ca="1" si="24"/>
        <v>0.52150000000000007</v>
      </c>
      <c r="P74" s="723">
        <f t="shared" ca="1" si="25"/>
        <v>6.8539999999999998E-3</v>
      </c>
      <c r="Q74" s="81">
        <f t="shared" ca="1" si="26"/>
        <v>1.6141666666666665</v>
      </c>
      <c r="R74" s="300"/>
      <c r="S74" s="300"/>
      <c r="T74" s="300"/>
      <c r="U74" s="300"/>
      <c r="V74" s="199">
        <f t="shared" ref="V74" ca="1" si="41">IF(IF(RIGHT(H72,2)="PH",(1-L74)+$W$2,IF(RIGHT(H72,2)="HT",(1-L74)+$W$1,IF(RIGHT(H72,2)="SH",(1-L74)+$W$3,"")))&gt;0,IF(RIGHT(H72,2)="PH",(1-L74)+$W$2,IF(RIGHT(H72,2)="HT",(1-L74)+$W$1,IF(RIGHT(H72,2)="SH",(1-L74)+$W$3,""))),0)</f>
        <v>0.21000000000000002</v>
      </c>
      <c r="W74" s="298"/>
      <c r="X74" s="698">
        <f t="shared" ca="1" si="27"/>
        <v>0</v>
      </c>
      <c r="Y74" s="81">
        <f t="shared" ca="1" si="28"/>
        <v>0</v>
      </c>
      <c r="Z74" s="81">
        <f t="shared" ca="1" si="29"/>
        <v>0</v>
      </c>
      <c r="AA74" s="81">
        <f t="shared" ca="1" si="30"/>
        <v>0</v>
      </c>
      <c r="AB74" s="81">
        <f t="shared" ca="1" si="31"/>
        <v>0</v>
      </c>
      <c r="AD74" s="81">
        <v>2050</v>
      </c>
      <c r="AE74" s="81"/>
      <c r="AF74" s="220"/>
    </row>
    <row r="75" spans="2:32">
      <c r="B75" s="357" t="s">
        <v>1007</v>
      </c>
      <c r="D75" s="212" t="str">
        <f>"IND"&amp;RIGHT(H75,4)&amp;RIGHT(G75,3)&amp;"N"&amp;RIGHT(E75,1)</f>
        <v>INDSDPHELCN8</v>
      </c>
      <c r="E75" s="261" t="str">
        <f>"Industrial heating technology "&amp;$AJ$12&amp;" "&amp;RIGHT(H75,2)&amp;" - Electric boiler (Steam) - new 8"</f>
        <v>Industrial heating technology Iron &amp; Steel PH - Electric boiler (Steam) - new 8</v>
      </c>
      <c r="F75" s="224" t="s">
        <v>1149</v>
      </c>
      <c r="G75" s="173" t="s">
        <v>499</v>
      </c>
      <c r="H75" s="174" t="str">
        <f>$AI$14</f>
        <v>ISDPH</v>
      </c>
      <c r="I75" s="174" t="str">
        <f t="shared" si="22"/>
        <v>INDSWH</v>
      </c>
      <c r="J75" s="224">
        <f t="shared" si="32"/>
        <v>2011</v>
      </c>
      <c r="K75" s="299">
        <v>2020</v>
      </c>
      <c r="L75" s="199">
        <f t="shared" ca="1" si="23"/>
        <v>0.99</v>
      </c>
      <c r="M75" s="199"/>
      <c r="N75" s="81">
        <f ca="1">VLOOKUP($AD75,INDIRECT("'"&amp;$B75&amp;"'!"&amp;"$P$39:$AD$42"),5,FALSE)</f>
        <v>25</v>
      </c>
      <c r="O75" s="723">
        <f t="shared" ca="1" si="24"/>
        <v>0.59599999999999997</v>
      </c>
      <c r="P75" s="723">
        <f t="shared" ca="1" si="25"/>
        <v>7.9714999999999994E-3</v>
      </c>
      <c r="Q75" s="81">
        <f t="shared" ca="1" si="26"/>
        <v>1.7900694444444445</v>
      </c>
      <c r="R75" s="81">
        <v>3.1536000000000002E-2</v>
      </c>
      <c r="S75" s="199">
        <v>0.5</v>
      </c>
      <c r="T75" s="199">
        <f ca="1">HLOOKUP($T$2,INDIRECT("'"&amp;$B75&amp;"'!"&amp;"$P$6:$AC$19"),IF(H75=$AI$13,6,IF(H75=$AI$14,9,14)),FALSE)</f>
        <v>1</v>
      </c>
      <c r="U75" s="772"/>
      <c r="V75" s="199">
        <f t="shared" ref="V75" ca="1" si="42">IF(IF(RIGHT(H75,2)="PH",(1-L75)+$W$2,IF(RIGHT(H75,2)="HT",(1-L75)+$W$1,IF(RIGHT(H75,2)="SH",(1-L75)+$W$3,"")))&gt;0,IF(RIGHT(H75,2)="PH",(1-L75)+$W$2,IF(RIGHT(H75,2)="HT",(1-L75)+$W$1,IF(RIGHT(H75,2)="SH",(1-L75)+$W$3,""))),0)</f>
        <v>0.21000000000000002</v>
      </c>
      <c r="W75" s="298"/>
      <c r="X75" s="698">
        <f t="shared" ca="1" si="27"/>
        <v>0</v>
      </c>
      <c r="Y75" s="81">
        <f t="shared" ca="1" si="28"/>
        <v>0</v>
      </c>
      <c r="Z75" s="81">
        <f t="shared" ca="1" si="29"/>
        <v>0</v>
      </c>
      <c r="AA75" s="81">
        <f t="shared" ca="1" si="30"/>
        <v>0</v>
      </c>
      <c r="AB75" s="81">
        <f t="shared" ca="1" si="31"/>
        <v>0</v>
      </c>
      <c r="AD75" s="81">
        <v>2020</v>
      </c>
      <c r="AE75" s="81"/>
      <c r="AF75" s="220"/>
    </row>
    <row r="76" spans="2:32">
      <c r="B76" s="357" t="s">
        <v>1007</v>
      </c>
      <c r="D76" s="212"/>
      <c r="E76" s="212"/>
      <c r="F76" s="224" t="s">
        <v>1149</v>
      </c>
      <c r="H76" s="174"/>
      <c r="I76" s="174" t="str">
        <f t="shared" si="22"/>
        <v>INDSWH</v>
      </c>
      <c r="J76" s="224">
        <f t="shared" si="32"/>
        <v>2030</v>
      </c>
      <c r="K76" s="81"/>
      <c r="L76" s="199">
        <f t="shared" ca="1" si="23"/>
        <v>0.99</v>
      </c>
      <c r="M76" s="199"/>
      <c r="N76" s="81"/>
      <c r="O76" s="723">
        <f t="shared" ca="1" si="24"/>
        <v>0.52150000000000007</v>
      </c>
      <c r="P76" s="723">
        <f t="shared" ca="1" si="25"/>
        <v>7.5989999999999999E-3</v>
      </c>
      <c r="Q76" s="81">
        <f t="shared" ca="1" si="26"/>
        <v>1.8107638888888888</v>
      </c>
      <c r="R76" s="300"/>
      <c r="S76" s="300"/>
      <c r="T76" s="300"/>
      <c r="U76" s="300"/>
      <c r="V76" s="199">
        <f t="shared" ref="V76" ca="1" si="43">IF(IF(RIGHT(H75,2)="PH",(1-L76)+$W$2,IF(RIGHT(H75,2)="HT",(1-L76)+$W$1,IF(RIGHT(H75,2)="SH",(1-L76)+$W$3,"")))&gt;0,IF(RIGHT(H75,2)="PH",(1-L76)+$W$2,IF(RIGHT(H75,2)="HT",(1-L76)+$W$1,IF(RIGHT(H75,2)="SH",(1-L76)+$W$3,""))),0)</f>
        <v>0.21000000000000002</v>
      </c>
      <c r="W76" s="298"/>
      <c r="X76" s="698">
        <f t="shared" ca="1" si="27"/>
        <v>0</v>
      </c>
      <c r="Y76" s="81">
        <f t="shared" ca="1" si="28"/>
        <v>0</v>
      </c>
      <c r="Z76" s="81">
        <f t="shared" ca="1" si="29"/>
        <v>0</v>
      </c>
      <c r="AA76" s="81">
        <f t="shared" ca="1" si="30"/>
        <v>0</v>
      </c>
      <c r="AB76" s="81">
        <f t="shared" ca="1" si="31"/>
        <v>0</v>
      </c>
      <c r="AD76" s="81">
        <v>2030</v>
      </c>
      <c r="AE76" s="81"/>
      <c r="AF76" s="220"/>
    </row>
    <row r="77" spans="2:32">
      <c r="B77" s="357" t="s">
        <v>1007</v>
      </c>
      <c r="D77" s="212"/>
      <c r="E77" s="212"/>
      <c r="F77" s="224" t="s">
        <v>1149</v>
      </c>
      <c r="H77" s="174"/>
      <c r="I77" s="174" t="str">
        <f t="shared" si="22"/>
        <v>INDSWH</v>
      </c>
      <c r="J77" s="224">
        <f t="shared" si="32"/>
        <v>2050</v>
      </c>
      <c r="K77" s="81"/>
      <c r="L77" s="199">
        <f t="shared" ca="1" si="23"/>
        <v>0.99</v>
      </c>
      <c r="M77" s="199"/>
      <c r="N77" s="81"/>
      <c r="O77" s="723">
        <f t="shared" ca="1" si="24"/>
        <v>0.52150000000000007</v>
      </c>
      <c r="P77" s="723">
        <f t="shared" ca="1" si="25"/>
        <v>6.8539999999999998E-3</v>
      </c>
      <c r="Q77" s="81">
        <f t="shared" ca="1" si="26"/>
        <v>1.6141666666666665</v>
      </c>
      <c r="R77" s="300"/>
      <c r="S77" s="300"/>
      <c r="T77" s="300"/>
      <c r="U77" s="300"/>
      <c r="V77" s="199">
        <f t="shared" ref="V77" ca="1" si="44">IF(IF(RIGHT(H75,2)="PH",(1-L77)+$W$2,IF(RIGHT(H75,2)="HT",(1-L77)+$W$1,IF(RIGHT(H75,2)="SH",(1-L77)+$W$3,"")))&gt;0,IF(RIGHT(H75,2)="PH",(1-L77)+$W$2,IF(RIGHT(H75,2)="HT",(1-L77)+$W$1,IF(RIGHT(H75,2)="SH",(1-L77)+$W$3,""))),0)</f>
        <v>0.21000000000000002</v>
      </c>
      <c r="W77" s="298"/>
      <c r="X77" s="698">
        <f t="shared" ca="1" si="27"/>
        <v>0</v>
      </c>
      <c r="Y77" s="81">
        <f t="shared" ca="1" si="28"/>
        <v>0</v>
      </c>
      <c r="Z77" s="81">
        <f t="shared" ca="1" si="29"/>
        <v>0</v>
      </c>
      <c r="AA77" s="81">
        <f t="shared" ca="1" si="30"/>
        <v>0</v>
      </c>
      <c r="AB77" s="81">
        <f t="shared" ca="1" si="31"/>
        <v>0</v>
      </c>
      <c r="AD77" s="81">
        <v>2050</v>
      </c>
      <c r="AE77" s="706"/>
      <c r="AF77" s="220"/>
    </row>
    <row r="78" spans="2:32">
      <c r="B78" s="357" t="s">
        <v>1007</v>
      </c>
      <c r="D78" s="212" t="str">
        <f>"IND"&amp;RIGHT(H78,4)&amp;RIGHT(G78,3)&amp;"N"&amp;RIGHT(E78,1)</f>
        <v>INDSDSHELCN8</v>
      </c>
      <c r="E78" s="261" t="str">
        <f>"Industrial heating technology "&amp;$AJ$12&amp;" "&amp;RIGHT(H78,2)&amp;" - Electric boiler (Steam) - new 8"</f>
        <v>Industrial heating technology Iron &amp; Steel SH - Electric boiler (Steam) - new 8</v>
      </c>
      <c r="F78" s="224" t="s">
        <v>1149</v>
      </c>
      <c r="G78" s="173" t="s">
        <v>499</v>
      </c>
      <c r="H78" s="174" t="str">
        <f>$AI$15</f>
        <v>ISDSH</v>
      </c>
      <c r="I78" s="174" t="str">
        <f t="shared" si="22"/>
        <v>INDSWH</v>
      </c>
      <c r="J78" s="224">
        <f t="shared" si="32"/>
        <v>2011</v>
      </c>
      <c r="K78" s="299">
        <v>2020</v>
      </c>
      <c r="L78" s="199">
        <f t="shared" ca="1" si="23"/>
        <v>0.99</v>
      </c>
      <c r="M78" s="199"/>
      <c r="N78" s="81">
        <f ca="1">VLOOKUP($AD78,INDIRECT("'"&amp;$B78&amp;"'!"&amp;"$P$39:$AD$42"),5,FALSE)</f>
        <v>25</v>
      </c>
      <c r="O78" s="723">
        <f t="shared" ca="1" si="24"/>
        <v>0.59599999999999997</v>
      </c>
      <c r="P78" s="723">
        <f t="shared" ca="1" si="25"/>
        <v>7.9714999999999994E-3</v>
      </c>
      <c r="Q78" s="81">
        <f t="shared" ca="1" si="26"/>
        <v>1.7900694444444445</v>
      </c>
      <c r="R78" s="81">
        <v>3.1536000000000002E-2</v>
      </c>
      <c r="S78" s="199">
        <v>0.5</v>
      </c>
      <c r="T78" s="199">
        <f ca="1">HLOOKUP($T$2,INDIRECT("'"&amp;$B78&amp;"'!"&amp;"$P$6:$AC$19"),IF(H78=$AI$13,6,IF(H78=$AI$14,9,14)),FALSE)</f>
        <v>1</v>
      </c>
      <c r="U78" s="772"/>
      <c r="V78" s="199">
        <f t="shared" ref="V78" ca="1" si="45">IF(IF(RIGHT(H78,2)="PH",(1-L78)+$W$2,IF(RIGHT(H78,2)="HT",(1-L78)+$W$1,IF(RIGHT(H78,2)="SH",(1-L78)+$W$3,"")))&gt;0,IF(RIGHT(H78,2)="PH",(1-L78)+$W$2,IF(RIGHT(H78,2)="HT",(1-L78)+$W$1,IF(RIGHT(H78,2)="SH",(1-L78)+$W$3,""))),0)</f>
        <v>1.0000000000000009E-2</v>
      </c>
      <c r="W78" s="298"/>
      <c r="X78" s="698">
        <f t="shared" ca="1" si="27"/>
        <v>0</v>
      </c>
      <c r="Y78" s="81">
        <f t="shared" ca="1" si="28"/>
        <v>0</v>
      </c>
      <c r="Z78" s="81">
        <f t="shared" ca="1" si="29"/>
        <v>0</v>
      </c>
      <c r="AA78" s="81">
        <f t="shared" ca="1" si="30"/>
        <v>0</v>
      </c>
      <c r="AB78" s="81">
        <f t="shared" ca="1" si="31"/>
        <v>0</v>
      </c>
      <c r="AC78" s="296"/>
      <c r="AD78" s="81">
        <v>2020</v>
      </c>
      <c r="AE78" s="81"/>
      <c r="AF78" s="710"/>
    </row>
    <row r="79" spans="2:32">
      <c r="B79" s="357" t="s">
        <v>1007</v>
      </c>
      <c r="D79" s="212"/>
      <c r="E79" s="212"/>
      <c r="F79" s="224" t="s">
        <v>1149</v>
      </c>
      <c r="H79" s="174"/>
      <c r="I79" s="174" t="str">
        <f t="shared" si="22"/>
        <v>INDSWH</v>
      </c>
      <c r="J79" s="224">
        <f t="shared" si="32"/>
        <v>2030</v>
      </c>
      <c r="K79" s="81"/>
      <c r="L79" s="199">
        <f t="shared" ca="1" si="23"/>
        <v>0.99</v>
      </c>
      <c r="M79" s="199"/>
      <c r="N79" s="81"/>
      <c r="O79" s="723">
        <f t="shared" ca="1" si="24"/>
        <v>0.52150000000000007</v>
      </c>
      <c r="P79" s="723">
        <f t="shared" ca="1" si="25"/>
        <v>7.5989999999999999E-3</v>
      </c>
      <c r="Q79" s="81">
        <f t="shared" ca="1" si="26"/>
        <v>1.8107638888888888</v>
      </c>
      <c r="R79" s="300"/>
      <c r="S79" s="300"/>
      <c r="T79" s="300"/>
      <c r="U79" s="300"/>
      <c r="V79" s="199">
        <f t="shared" ref="V79" ca="1" si="46">IF(IF(RIGHT(H78,2)="PH",(1-L79)+$W$2,IF(RIGHT(H78,2)="HT",(1-L79)+$W$1,IF(RIGHT(H78,2)="SH",(1-L79)+$W$3,"")))&gt;0,IF(RIGHT(H78,2)="PH",(1-L79)+$W$2,IF(RIGHT(H78,2)="HT",(1-L79)+$W$1,IF(RIGHT(H78,2)="SH",(1-L79)+$W$3,""))),0)</f>
        <v>1.0000000000000009E-2</v>
      </c>
      <c r="W79" s="298"/>
      <c r="X79" s="698">
        <f t="shared" ca="1" si="27"/>
        <v>0</v>
      </c>
      <c r="Y79" s="81">
        <f t="shared" ca="1" si="28"/>
        <v>0</v>
      </c>
      <c r="Z79" s="81">
        <f t="shared" ca="1" si="29"/>
        <v>0</v>
      </c>
      <c r="AA79" s="81">
        <f t="shared" ca="1" si="30"/>
        <v>0</v>
      </c>
      <c r="AB79" s="81">
        <f t="shared" ca="1" si="31"/>
        <v>0</v>
      </c>
      <c r="AC79" s="55"/>
      <c r="AD79" s="81">
        <v>2030</v>
      </c>
      <c r="AE79" s="81"/>
      <c r="AF79" s="700"/>
    </row>
    <row r="80" spans="2:32">
      <c r="B80" s="357" t="s">
        <v>1007</v>
      </c>
      <c r="D80" s="212"/>
      <c r="E80" s="212"/>
      <c r="F80" s="224" t="s">
        <v>1149</v>
      </c>
      <c r="H80" s="174"/>
      <c r="I80" s="174" t="str">
        <f t="shared" si="22"/>
        <v>INDSWH</v>
      </c>
      <c r="J80" s="224">
        <f t="shared" si="32"/>
        <v>2050</v>
      </c>
      <c r="K80" s="706"/>
      <c r="L80" s="199">
        <f t="shared" ca="1" si="23"/>
        <v>0.99</v>
      </c>
      <c r="M80" s="774"/>
      <c r="N80" s="706"/>
      <c r="O80" s="724">
        <f t="shared" ca="1" si="24"/>
        <v>0.52150000000000007</v>
      </c>
      <c r="P80" s="724">
        <f t="shared" ca="1" si="25"/>
        <v>6.8539999999999998E-3</v>
      </c>
      <c r="Q80" s="706">
        <f t="shared" ca="1" si="26"/>
        <v>1.6141666666666665</v>
      </c>
      <c r="R80" s="300"/>
      <c r="S80" s="300"/>
      <c r="T80" s="300"/>
      <c r="U80" s="300"/>
      <c r="V80" s="199">
        <f t="shared" ref="V80" ca="1" si="47">IF(IF(RIGHT(H78,2)="PH",(1-L80)+$W$2,IF(RIGHT(H78,2)="HT",(1-L80)+$W$1,IF(RIGHT(H78,2)="SH",(1-L80)+$W$3,"")))&gt;0,IF(RIGHT(H78,2)="PH",(1-L80)+$W$2,IF(RIGHT(H78,2)="HT",(1-L80)+$W$1,IF(RIGHT(H78,2)="SH",(1-L80)+$W$3,""))),0)</f>
        <v>1.0000000000000009E-2</v>
      </c>
      <c r="W80" s="298"/>
      <c r="X80" s="698">
        <f t="shared" ca="1" si="27"/>
        <v>0</v>
      </c>
      <c r="Y80" s="706">
        <f t="shared" ca="1" si="28"/>
        <v>0</v>
      </c>
      <c r="Z80" s="706">
        <f t="shared" ca="1" si="29"/>
        <v>0</v>
      </c>
      <c r="AA80" s="706">
        <f t="shared" ca="1" si="30"/>
        <v>0</v>
      </c>
      <c r="AB80" s="706">
        <f t="shared" ca="1" si="31"/>
        <v>0</v>
      </c>
      <c r="AC80" s="55"/>
      <c r="AD80" s="706">
        <v>2050</v>
      </c>
      <c r="AE80" s="81"/>
      <c r="AF80" s="700"/>
    </row>
    <row r="81" spans="1:33">
      <c r="B81" s="716" t="s">
        <v>1007</v>
      </c>
      <c r="C81" s="296"/>
      <c r="D81" s="707" t="str">
        <f>"IND"&amp;RIGHT(H81,4)&amp;RIGHT(G81,3)&amp;"N"&amp;RIGHT(E81,1)</f>
        <v>INDSDPHELCN9</v>
      </c>
      <c r="E81" s="707" t="str">
        <f>"Industrial heating technology "&amp;$AJ$12&amp;" "&amp;RIGHT(H81,2)&amp;" - Electric boiler (Hot Water) - new 9"</f>
        <v>Industrial heating technology Iron &amp; Steel PH - Electric boiler (Hot Water) - new 9</v>
      </c>
      <c r="F81" s="224" t="s">
        <v>1149</v>
      </c>
      <c r="G81" s="708" t="s">
        <v>499</v>
      </c>
      <c r="H81" s="708" t="str">
        <f>$AI$14</f>
        <v>ISDPH</v>
      </c>
      <c r="I81" s="708" t="str">
        <f t="shared" si="22"/>
        <v>INDSWH</v>
      </c>
      <c r="J81" s="224">
        <f t="shared" si="32"/>
        <v>2011</v>
      </c>
      <c r="K81" s="299">
        <v>2020</v>
      </c>
      <c r="L81" s="199">
        <f t="shared" ref="L81:L86" ca="1" si="48">VLOOKUP($AD81,INDIRECT("'"&amp;$B81&amp;"'!"&amp;"$P$118:$AD$121"),3,FALSE)</f>
        <v>0.99</v>
      </c>
      <c r="M81" s="199"/>
      <c r="N81" s="81">
        <f ca="1">VLOOKUP($AD81,INDIRECT("'"&amp;$B81&amp;"'!"&amp;"$P$118:$AD$121"),5,FALSE)</f>
        <v>25</v>
      </c>
      <c r="O81" s="723">
        <f t="shared" ref="O81:O86" ca="1" si="49">VLOOKUP($AD81,INDIRECT("'"&amp;$B81&amp;"'!"&amp;"$P$118:$AD$121"),6,FALSE)/1000</f>
        <v>0.52150000000000007</v>
      </c>
      <c r="P81" s="723">
        <f t="shared" ref="P81:P86" ca="1" si="50">VLOOKUP($AD81,INDIRECT("'"&amp;$B81&amp;"'!"&amp;"$P$118:$AD$121"),7,FALSE)/1000</f>
        <v>7.9714999999999994E-3</v>
      </c>
      <c r="Q81" s="81">
        <f t="shared" ref="Q81:Q86" ca="1" si="51">VLOOKUP($AD81,INDIRECT("'"&amp;$B81&amp;"'!"&amp;"$P$118:$AD$121"),8,FALSE)</f>
        <v>1.7900694444444445</v>
      </c>
      <c r="R81" s="81">
        <v>3.1536000000000002E-2</v>
      </c>
      <c r="S81" s="199">
        <v>0.5</v>
      </c>
      <c r="T81" s="199">
        <f ca="1">HLOOKUP($T$2,INDIRECT("'"&amp;$B81&amp;"'!"&amp;"$P$85:$AC$98"),IF(H81=$AI$13,6,IF(H81=$AI$14,9,14)),FALSE)</f>
        <v>0</v>
      </c>
      <c r="U81" s="773"/>
      <c r="V81" s="199">
        <f t="shared" ref="V81" ca="1" si="52">IF(IF(RIGHT(H81,2)="PH",(1-L81)+$W$2,IF(RIGHT(H81,2)="HT",(1-L81)+$W$1,IF(RIGHT(H81,2)="SH",(1-L81)+$W$3,"")))&gt;0,IF(RIGHT(H81,2)="PH",(1-L81)+$W$2,IF(RIGHT(H81,2)="HT",(1-L81)+$W$1,IF(RIGHT(H81,2)="SH",(1-L81)+$W$3,""))),0)</f>
        <v>0.21000000000000002</v>
      </c>
      <c r="W81" s="709"/>
      <c r="X81" s="698">
        <f t="shared" ca="1" si="27"/>
        <v>0</v>
      </c>
      <c r="Y81" s="698">
        <f t="shared" ref="Y81:Y86" ca="1" si="53">VLOOKUP($AD81,INDIRECT("'"&amp;$B81&amp;"'!"&amp;"$P$118:$AD$121"),12,FALSE)</f>
        <v>0</v>
      </c>
      <c r="Z81" s="698">
        <f t="shared" ref="Z81:Z86" ca="1" si="54">VLOOKUP($AD81,INDIRECT("'"&amp;$B81&amp;"'!"&amp;"$P$118:$AD$121"),13,FALSE)</f>
        <v>0</v>
      </c>
      <c r="AA81" s="698">
        <f t="shared" ref="AA81:AA86" ca="1" si="55">VLOOKUP($AD81,INDIRECT("'"&amp;$B81&amp;"'!"&amp;"$P$118:$AD$121"),14,FALSE)</f>
        <v>0</v>
      </c>
      <c r="AB81" s="698">
        <f t="shared" ref="AB81:AB86" ca="1" si="56">VLOOKUP($AD81,INDIRECT("'"&amp;$B81&amp;"'!"&amp;"$P$118:$AD$121"),15,FALSE)</f>
        <v>0</v>
      </c>
      <c r="AC81" s="55"/>
      <c r="AD81" s="81">
        <v>2020</v>
      </c>
      <c r="AE81" s="81"/>
      <c r="AF81" s="700"/>
    </row>
    <row r="82" spans="1:33">
      <c r="B82" s="357" t="s">
        <v>1007</v>
      </c>
      <c r="C82" s="55"/>
      <c r="D82" s="261"/>
      <c r="E82" s="261"/>
      <c r="F82" s="224" t="s">
        <v>1149</v>
      </c>
      <c r="G82" s="55"/>
      <c r="H82" s="174"/>
      <c r="I82" s="174" t="str">
        <f t="shared" si="22"/>
        <v>INDSWH</v>
      </c>
      <c r="J82" s="224">
        <f t="shared" si="32"/>
        <v>2030</v>
      </c>
      <c r="K82" s="81"/>
      <c r="L82" s="199">
        <f t="shared" ca="1" si="48"/>
        <v>0.99</v>
      </c>
      <c r="M82" s="199"/>
      <c r="N82" s="81"/>
      <c r="O82" s="723">
        <f t="shared" ca="1" si="49"/>
        <v>0.44700000000000001</v>
      </c>
      <c r="P82" s="723">
        <f t="shared" ca="1" si="50"/>
        <v>7.5989999999999999E-3</v>
      </c>
      <c r="Q82" s="81">
        <f t="shared" ca="1" si="51"/>
        <v>1.8107638888888888</v>
      </c>
      <c r="R82" s="300"/>
      <c r="S82" s="300"/>
      <c r="T82" s="300"/>
      <c r="U82" s="300"/>
      <c r="V82" s="199">
        <f t="shared" ref="V82" ca="1" si="57">IF(IF(RIGHT(H81,2)="PH",(1-L82)+$W$2,IF(RIGHT(H81,2)="HT",(1-L82)+$W$1,IF(RIGHT(H81,2)="SH",(1-L82)+$W$3,"")))&gt;0,IF(RIGHT(H81,2)="PH",(1-L82)+$W$2,IF(RIGHT(H81,2)="HT",(1-L82)+$W$1,IF(RIGHT(H81,2)="SH",(1-L82)+$W$3,""))),0)</f>
        <v>0.21000000000000002</v>
      </c>
      <c r="W82" s="298"/>
      <c r="X82" s="698">
        <f t="shared" ca="1" si="27"/>
        <v>0</v>
      </c>
      <c r="Y82" s="698">
        <f t="shared" ca="1" si="53"/>
        <v>0</v>
      </c>
      <c r="Z82" s="698">
        <f t="shared" ca="1" si="54"/>
        <v>0</v>
      </c>
      <c r="AA82" s="698">
        <f t="shared" ca="1" si="55"/>
        <v>0</v>
      </c>
      <c r="AB82" s="698">
        <f t="shared" ca="1" si="56"/>
        <v>0</v>
      </c>
      <c r="AC82" s="55"/>
      <c r="AD82" s="81">
        <v>2030</v>
      </c>
      <c r="AE82" s="81"/>
      <c r="AF82" s="700"/>
    </row>
    <row r="83" spans="1:33">
      <c r="B83" s="357" t="s">
        <v>1007</v>
      </c>
      <c r="C83" s="55"/>
      <c r="D83" s="261"/>
      <c r="E83" s="261"/>
      <c r="F83" s="224" t="s">
        <v>1149</v>
      </c>
      <c r="G83" s="55"/>
      <c r="H83" s="174"/>
      <c r="I83" s="174" t="str">
        <f t="shared" si="22"/>
        <v>INDSWH</v>
      </c>
      <c r="J83" s="224">
        <f t="shared" si="32"/>
        <v>2050</v>
      </c>
      <c r="K83" s="81"/>
      <c r="L83" s="199">
        <f t="shared" ca="1" si="48"/>
        <v>0.99</v>
      </c>
      <c r="M83" s="199"/>
      <c r="N83" s="81"/>
      <c r="O83" s="723">
        <f t="shared" ca="1" si="49"/>
        <v>0.44700000000000001</v>
      </c>
      <c r="P83" s="723">
        <f t="shared" ca="1" si="50"/>
        <v>6.8539999999999998E-3</v>
      </c>
      <c r="Q83" s="81">
        <f t="shared" ca="1" si="51"/>
        <v>1.6141666666666665</v>
      </c>
      <c r="R83" s="300"/>
      <c r="S83" s="300"/>
      <c r="T83" s="300"/>
      <c r="U83" s="300"/>
      <c r="V83" s="199">
        <f t="shared" ref="V83" ca="1" si="58">IF(IF(RIGHT(H81,2)="PH",(1-L83)+$W$2,IF(RIGHT(H81,2)="HT",(1-L83)+$W$1,IF(RIGHT(H81,2)="SH",(1-L83)+$W$3,"")))&gt;0,IF(RIGHT(H81,2)="PH",(1-L83)+$W$2,IF(RIGHT(H81,2)="HT",(1-L83)+$W$1,IF(RIGHT(H81,2)="SH",(1-L83)+$W$3,""))),0)</f>
        <v>0.21000000000000002</v>
      </c>
      <c r="W83" s="298"/>
      <c r="X83" s="698">
        <f t="shared" ca="1" si="27"/>
        <v>0</v>
      </c>
      <c r="Y83" s="698">
        <f t="shared" ca="1" si="53"/>
        <v>0</v>
      </c>
      <c r="Z83" s="698">
        <f t="shared" ca="1" si="54"/>
        <v>0</v>
      </c>
      <c r="AA83" s="698">
        <f t="shared" ca="1" si="55"/>
        <v>0</v>
      </c>
      <c r="AB83" s="698">
        <f t="shared" ca="1" si="56"/>
        <v>0</v>
      </c>
      <c r="AC83" s="203"/>
      <c r="AD83" s="81">
        <v>2050</v>
      </c>
      <c r="AE83" s="81"/>
      <c r="AF83" s="705"/>
    </row>
    <row r="84" spans="1:33">
      <c r="B84" s="357" t="s">
        <v>1007</v>
      </c>
      <c r="C84" s="55"/>
      <c r="D84" s="261" t="str">
        <f>"IND"&amp;RIGHT(H84,4)&amp;RIGHT(G84,3)&amp;"N"&amp;RIGHT(E84,1)</f>
        <v>INDSDSHELCN9</v>
      </c>
      <c r="E84" s="261" t="str">
        <f>"Industrial heating technology "&amp;$AJ$12&amp;" "&amp;RIGHT(H84,2)&amp;" - Electric boiler (Hot Water) - new 9"</f>
        <v>Industrial heating technology Iron &amp; Steel SH - Electric boiler (Hot Water) - new 9</v>
      </c>
      <c r="F84" s="224" t="s">
        <v>1149</v>
      </c>
      <c r="G84" s="174" t="s">
        <v>499</v>
      </c>
      <c r="H84" s="174" t="str">
        <f>$AI$15</f>
        <v>ISDSH</v>
      </c>
      <c r="I84" s="174" t="str">
        <f t="shared" si="22"/>
        <v>INDSWH</v>
      </c>
      <c r="J84" s="224">
        <f t="shared" si="32"/>
        <v>2011</v>
      </c>
      <c r="K84" s="299">
        <v>2020</v>
      </c>
      <c r="L84" s="199">
        <f t="shared" ca="1" si="48"/>
        <v>0.99</v>
      </c>
      <c r="M84" s="199"/>
      <c r="N84" s="81">
        <f ca="1">VLOOKUP($AD84,INDIRECT("'"&amp;$B84&amp;"'!"&amp;"$P$118:$AD$121"),5,FALSE)</f>
        <v>25</v>
      </c>
      <c r="O84" s="723">
        <f t="shared" ca="1" si="49"/>
        <v>0.52150000000000007</v>
      </c>
      <c r="P84" s="723">
        <f t="shared" ca="1" si="50"/>
        <v>7.9714999999999994E-3</v>
      </c>
      <c r="Q84" s="81">
        <f t="shared" ca="1" si="51"/>
        <v>1.7900694444444445</v>
      </c>
      <c r="R84" s="81">
        <v>3.1536000000000002E-2</v>
      </c>
      <c r="S84" s="199">
        <v>0.5</v>
      </c>
      <c r="T84" s="199">
        <f ca="1">HLOOKUP($T$2,INDIRECT("'"&amp;$B84&amp;"'!"&amp;"$P$85:$AC$98"),IF(H84=$AI$13,6,IF(H84=$AI$14,9,14)),FALSE)</f>
        <v>1</v>
      </c>
      <c r="U84" s="772"/>
      <c r="V84" s="199">
        <f t="shared" ref="V84" ca="1" si="59">IF(IF(RIGHT(H84,2)="PH",(1-L84)+$W$2,IF(RIGHT(H84,2)="HT",(1-L84)+$W$1,IF(RIGHT(H84,2)="SH",(1-L84)+$W$3,"")))&gt;0,IF(RIGHT(H84,2)="PH",(1-L84)+$W$2,IF(RIGHT(H84,2)="HT",(1-L84)+$W$1,IF(RIGHT(H84,2)="SH",(1-L84)+$W$3,""))),0)</f>
        <v>1.0000000000000009E-2</v>
      </c>
      <c r="W84" s="298"/>
      <c r="X84" s="698">
        <f t="shared" ca="1" si="27"/>
        <v>0</v>
      </c>
      <c r="Y84" s="698">
        <f t="shared" ca="1" si="53"/>
        <v>0</v>
      </c>
      <c r="Z84" s="698">
        <f t="shared" ca="1" si="54"/>
        <v>0</v>
      </c>
      <c r="AA84" s="698">
        <f t="shared" ca="1" si="55"/>
        <v>0</v>
      </c>
      <c r="AB84" s="698">
        <f t="shared" ca="1" si="56"/>
        <v>0</v>
      </c>
      <c r="AD84" s="81">
        <v>2020</v>
      </c>
      <c r="AE84" s="299"/>
      <c r="AF84" s="220"/>
    </row>
    <row r="85" spans="1:33">
      <c r="B85" s="357" t="s">
        <v>1007</v>
      </c>
      <c r="C85" s="55"/>
      <c r="D85" s="261"/>
      <c r="E85" s="261"/>
      <c r="F85" s="224" t="s">
        <v>1149</v>
      </c>
      <c r="G85" s="55"/>
      <c r="H85" s="174"/>
      <c r="I85" s="174" t="str">
        <f t="shared" si="22"/>
        <v>INDSWH</v>
      </c>
      <c r="J85" s="224">
        <f t="shared" si="32"/>
        <v>2030</v>
      </c>
      <c r="K85" s="81"/>
      <c r="L85" s="199">
        <f t="shared" ca="1" si="48"/>
        <v>0.99</v>
      </c>
      <c r="M85" s="199"/>
      <c r="N85" s="81"/>
      <c r="O85" s="723">
        <f t="shared" ca="1" si="49"/>
        <v>0.44700000000000001</v>
      </c>
      <c r="P85" s="723">
        <f t="shared" ca="1" si="50"/>
        <v>7.5989999999999999E-3</v>
      </c>
      <c r="Q85" s="81">
        <f t="shared" ca="1" si="51"/>
        <v>1.8107638888888888</v>
      </c>
      <c r="R85" s="300"/>
      <c r="S85" s="300"/>
      <c r="T85" s="300"/>
      <c r="U85" s="300"/>
      <c r="V85" s="199">
        <f t="shared" ref="V85" ca="1" si="60">IF(IF(RIGHT(H84,2)="PH",(1-L85)+$W$2,IF(RIGHT(H84,2)="HT",(1-L85)+$W$1,IF(RIGHT(H84,2)="SH",(1-L85)+$W$3,"")))&gt;0,IF(RIGHT(H84,2)="PH",(1-L85)+$W$2,IF(RIGHT(H84,2)="HT",(1-L85)+$W$1,IF(RIGHT(H84,2)="SH",(1-L85)+$W$3,""))),0)</f>
        <v>1.0000000000000009E-2</v>
      </c>
      <c r="W85" s="298"/>
      <c r="X85" s="698">
        <f t="shared" ca="1" si="27"/>
        <v>0</v>
      </c>
      <c r="Y85" s="698">
        <f t="shared" ca="1" si="53"/>
        <v>0</v>
      </c>
      <c r="Z85" s="698">
        <f t="shared" ca="1" si="54"/>
        <v>0</v>
      </c>
      <c r="AA85" s="698">
        <f t="shared" ca="1" si="55"/>
        <v>0</v>
      </c>
      <c r="AB85" s="698">
        <f t="shared" ca="1" si="56"/>
        <v>0</v>
      </c>
      <c r="AD85" s="81">
        <v>2030</v>
      </c>
      <c r="AE85" s="81"/>
      <c r="AF85" s="220"/>
    </row>
    <row r="86" spans="1:33">
      <c r="B86" s="356" t="s">
        <v>1007</v>
      </c>
      <c r="C86" s="203"/>
      <c r="D86" s="701"/>
      <c r="E86" s="701"/>
      <c r="F86" s="224" t="s">
        <v>1149</v>
      </c>
      <c r="G86" s="203"/>
      <c r="H86" s="702"/>
      <c r="I86" s="702" t="str">
        <f t="shared" si="22"/>
        <v>INDSWH</v>
      </c>
      <c r="J86" s="224">
        <f t="shared" si="32"/>
        <v>2050</v>
      </c>
      <c r="K86" s="81"/>
      <c r="L86" s="199">
        <f t="shared" ca="1" si="48"/>
        <v>0.99</v>
      </c>
      <c r="M86" s="199"/>
      <c r="N86" s="81"/>
      <c r="O86" s="723">
        <f t="shared" ca="1" si="49"/>
        <v>0.44700000000000001</v>
      </c>
      <c r="P86" s="723">
        <f t="shared" ca="1" si="50"/>
        <v>6.8539999999999998E-3</v>
      </c>
      <c r="Q86" s="81">
        <f t="shared" ca="1" si="51"/>
        <v>1.6141666666666665</v>
      </c>
      <c r="R86" s="703"/>
      <c r="S86" s="703"/>
      <c r="T86" s="703"/>
      <c r="U86" s="703"/>
      <c r="V86" s="199">
        <f t="shared" ref="V86" ca="1" si="61">IF(IF(RIGHT(H84,2)="PH",(1-L86)+$W$2,IF(RIGHT(H84,2)="HT",(1-L86)+$W$1,IF(RIGHT(H84,2)="SH",(1-L86)+$W$3,"")))&gt;0,IF(RIGHT(H84,2)="PH",(1-L86)+$W$2,IF(RIGHT(H84,2)="HT",(1-L86)+$W$1,IF(RIGHT(H84,2)="SH",(1-L86)+$W$3,""))),0)</f>
        <v>1.0000000000000009E-2</v>
      </c>
      <c r="W86" s="704"/>
      <c r="X86" s="698">
        <f t="shared" ca="1" si="27"/>
        <v>0</v>
      </c>
      <c r="Y86" s="698">
        <f t="shared" ca="1" si="53"/>
        <v>0</v>
      </c>
      <c r="Z86" s="698">
        <f t="shared" ca="1" si="54"/>
        <v>0</v>
      </c>
      <c r="AA86" s="698">
        <f t="shared" ca="1" si="55"/>
        <v>0</v>
      </c>
      <c r="AB86" s="698">
        <f t="shared" ca="1" si="56"/>
        <v>0</v>
      </c>
      <c r="AD86" s="81">
        <v>2050</v>
      </c>
      <c r="AE86" s="81"/>
      <c r="AF86" s="220"/>
    </row>
    <row r="87" spans="1:33">
      <c r="B87" s="357" t="s">
        <v>1008</v>
      </c>
      <c r="D87" s="212" t="str">
        <f>"IND"&amp;RIGHT(H87,4)&amp;RIGHT(G87,3)&amp;"N"&amp;RIGHT(E87,1)</f>
        <v>INDSDPHWCHN1</v>
      </c>
      <c r="E87" s="261" t="str">
        <f>"Industrial heating technology "&amp;$AJ$12&amp;" "&amp;RIGHT(H87,2)&amp;" - Wood chip boiler (Steam) - new 1"</f>
        <v>Industrial heating technology Iron &amp; Steel PH - Wood chip boiler (Steam) - new 1</v>
      </c>
      <c r="F87" s="224" t="s">
        <v>1149</v>
      </c>
      <c r="G87" s="173" t="s">
        <v>498</v>
      </c>
      <c r="H87" s="174" t="str">
        <f>$AI$13</f>
        <v>ISDPH</v>
      </c>
      <c r="I87" s="174" t="str">
        <f t="shared" si="22"/>
        <v>INDSWH</v>
      </c>
      <c r="J87" s="224">
        <f t="shared" si="32"/>
        <v>2011</v>
      </c>
      <c r="K87" s="299">
        <v>2025</v>
      </c>
      <c r="L87" s="199">
        <f t="shared" ref="L87:L95" ca="1" si="62">VLOOKUP($AD87,INDIRECT("'"&amp;$B87&amp;"'!"&amp;"$P$39:$AD$42"),3,FALSE)</f>
        <v>0.89</v>
      </c>
      <c r="M87" s="699"/>
      <c r="N87" s="299">
        <f ca="1">VLOOKUP($AD87,INDIRECT("'"&amp;$B87&amp;"'!"&amp;"$P$39:$AD$42"),5,FALSE)</f>
        <v>25</v>
      </c>
      <c r="O87" s="725">
        <f t="shared" ref="O87:O95" ca="1" si="63">VLOOKUP($AD87,INDIRECT("'"&amp;$B87&amp;"'!"&amp;"$P$39:$AD$42"),6,FALSE)/1000</f>
        <v>4.6054545454545455</v>
      </c>
      <c r="P87" s="725">
        <f t="shared" ref="P87:P95" ca="1" si="64">VLOOKUP($AD87,INDIRECT("'"&amp;$B87&amp;"'!"&amp;"$P$39:$AD$42"),7,FALSE)/1000</f>
        <v>0.25106499999999998</v>
      </c>
      <c r="Q87" s="299">
        <f t="shared" ref="Q87:Q95" ca="1" si="65">VLOOKUP($AD87,INDIRECT("'"&amp;$B87&amp;"'!"&amp;"$P$39:$AD$42"),8,FALSE)</f>
        <v>5.7509861111111107</v>
      </c>
      <c r="R87" s="299">
        <v>3.1536000000000002E-2</v>
      </c>
      <c r="S87" s="699">
        <v>0.5</v>
      </c>
      <c r="T87" s="699">
        <f ca="1">HLOOKUP($T$2,INDIRECT("'"&amp;$B87&amp;"'!"&amp;"$P$6:$AC$19"),IF(H87=$AI$13,6,IF(H87=$AI$14,9,14)),FALSE)</f>
        <v>1</v>
      </c>
      <c r="U87" s="772"/>
      <c r="V87" s="199">
        <f t="shared" ref="V87" ca="1" si="66">IF(IF(RIGHT(H87,2)="PH",(1-L87)+$W$2,IF(RIGHT(H87,2)="HT",(1-L87)+$W$1,IF(RIGHT(H87,2)="SH",(1-L87)+$W$3,"")))&gt;0,IF(RIGHT(H87,2)="PH",(1-L87)+$W$2,IF(RIGHT(H87,2)="HT",(1-L87)+$W$1,IF(RIGHT(H87,2)="SH",(1-L87)+$W$3,""))),0)</f>
        <v>0.31</v>
      </c>
      <c r="W87" s="298"/>
      <c r="X87" s="698">
        <f t="shared" ca="1" si="27"/>
        <v>11</v>
      </c>
      <c r="Y87" s="299">
        <f t="shared" ref="Y87:Y95" ca="1" si="67">VLOOKUP($AD87,INDIRECT("'"&amp;$B87&amp;"'!"&amp;"$P$39:$AD$42"),12,FALSE)</f>
        <v>63</v>
      </c>
      <c r="Z87" s="299">
        <f t="shared" ref="Z87:Z95" ca="1" si="68">VLOOKUP($AD87,INDIRECT("'"&amp;$B87&amp;"'!"&amp;"$P$39:$AD$42"),13,FALSE)</f>
        <v>11</v>
      </c>
      <c r="AA87" s="299">
        <f t="shared" ref="AA87:AA95" ca="1" si="69">VLOOKUP($AD87,INDIRECT("'"&amp;$B87&amp;"'!"&amp;"$P$39:$AD$42"),14,FALSE)</f>
        <v>3</v>
      </c>
      <c r="AB87" s="299">
        <f t="shared" ref="AB87:AB95" ca="1" si="70">VLOOKUP($AD87,INDIRECT("'"&amp;$B87&amp;"'!"&amp;"$P$39:$AD$42"),15,FALSE)</f>
        <v>10</v>
      </c>
      <c r="AD87" s="299">
        <v>2020</v>
      </c>
      <c r="AE87" s="81"/>
      <c r="AF87" s="220"/>
    </row>
    <row r="88" spans="1:33">
      <c r="B88" s="357" t="s">
        <v>1008</v>
      </c>
      <c r="D88" s="212"/>
      <c r="E88" s="212"/>
      <c r="F88" s="224" t="s">
        <v>1149</v>
      </c>
      <c r="H88" s="174"/>
      <c r="I88" s="174" t="str">
        <f t="shared" si="22"/>
        <v>INDSWH</v>
      </c>
      <c r="J88" s="224">
        <f t="shared" si="32"/>
        <v>2030</v>
      </c>
      <c r="K88" s="81"/>
      <c r="L88" s="199">
        <f t="shared" ca="1" si="62"/>
        <v>0.89</v>
      </c>
      <c r="M88" s="199"/>
      <c r="N88" s="81"/>
      <c r="O88" s="723">
        <f t="shared" ca="1" si="63"/>
        <v>4.4022727272727264</v>
      </c>
      <c r="P88" s="723">
        <f t="shared" ca="1" si="64"/>
        <v>0.267455</v>
      </c>
      <c r="Q88" s="81">
        <f t="shared" ca="1" si="65"/>
        <v>5.8461805555555557</v>
      </c>
      <c r="R88" s="300"/>
      <c r="S88" s="300"/>
      <c r="T88" s="300"/>
      <c r="U88" s="300"/>
      <c r="V88" s="199">
        <f t="shared" ref="V88" ca="1" si="71">IF(IF(RIGHT(H87,2)="PH",(1-L88)+$W$2,IF(RIGHT(H87,2)="HT",(1-L88)+$W$1,IF(RIGHT(H87,2)="SH",(1-L88)+$W$3,"")))&gt;0,IF(RIGHT(H87,2)="PH",(1-L88)+$W$2,IF(RIGHT(H87,2)="HT",(1-L88)+$W$1,IF(RIGHT(H87,2)="SH",(1-L88)+$W$3,""))),0)</f>
        <v>0.31</v>
      </c>
      <c r="W88" s="298"/>
      <c r="X88" s="698">
        <f t="shared" ca="1" si="27"/>
        <v>11</v>
      </c>
      <c r="Y88" s="81">
        <f t="shared" ca="1" si="67"/>
        <v>49</v>
      </c>
      <c r="Z88" s="81">
        <f t="shared" ca="1" si="68"/>
        <v>8</v>
      </c>
      <c r="AA88" s="81">
        <f t="shared" ca="1" si="69"/>
        <v>3</v>
      </c>
      <c r="AB88" s="81">
        <f t="shared" ca="1" si="70"/>
        <v>10</v>
      </c>
      <c r="AD88" s="81">
        <v>2030</v>
      </c>
      <c r="AE88" s="81"/>
      <c r="AF88" s="220"/>
    </row>
    <row r="89" spans="1:33">
      <c r="B89" s="357" t="s">
        <v>1008</v>
      </c>
      <c r="D89" s="212"/>
      <c r="E89" s="212"/>
      <c r="F89" s="224" t="s">
        <v>1149</v>
      </c>
      <c r="H89" s="174"/>
      <c r="I89" s="174" t="str">
        <f t="shared" si="22"/>
        <v>INDSWH</v>
      </c>
      <c r="J89" s="224">
        <f t="shared" si="32"/>
        <v>2050</v>
      </c>
      <c r="K89" s="81"/>
      <c r="L89" s="199">
        <f t="shared" ca="1" si="62"/>
        <v>0.9</v>
      </c>
      <c r="M89" s="199"/>
      <c r="N89" s="81"/>
      <c r="O89" s="723">
        <f t="shared" ca="1" si="63"/>
        <v>3.9959090909090902</v>
      </c>
      <c r="P89" s="723">
        <f t="shared" ca="1" si="64"/>
        <v>0.25106499999999998</v>
      </c>
      <c r="Q89" s="81">
        <f t="shared" ca="1" si="65"/>
        <v>5.8937777777777782</v>
      </c>
      <c r="R89" s="300"/>
      <c r="S89" s="300"/>
      <c r="T89" s="300"/>
      <c r="U89" s="300"/>
      <c r="V89" s="199">
        <f t="shared" ref="V89" ca="1" si="72">IF(IF(RIGHT(H87,2)="PH",(1-L89)+$W$2,IF(RIGHT(H87,2)="HT",(1-L89)+$W$1,IF(RIGHT(H87,2)="SH",(1-L89)+$W$3,"")))&gt;0,IF(RIGHT(H87,2)="PH",(1-L89)+$W$2,IF(RIGHT(H87,2)="HT",(1-L89)+$W$1,IF(RIGHT(H87,2)="SH",(1-L89)+$W$3,""))),0)</f>
        <v>0.3</v>
      </c>
      <c r="W89" s="298"/>
      <c r="X89" s="698">
        <f t="shared" ca="1" si="27"/>
        <v>11</v>
      </c>
      <c r="Y89" s="81">
        <f t="shared" ca="1" si="67"/>
        <v>41</v>
      </c>
      <c r="Z89" s="81">
        <f t="shared" ca="1" si="68"/>
        <v>4</v>
      </c>
      <c r="AA89" s="81">
        <f t="shared" ca="1" si="69"/>
        <v>1</v>
      </c>
      <c r="AB89" s="81">
        <f t="shared" ca="1" si="70"/>
        <v>10</v>
      </c>
      <c r="AD89" s="81">
        <v>2050</v>
      </c>
      <c r="AE89" s="81"/>
      <c r="AF89" s="220"/>
    </row>
    <row r="90" spans="1:33" s="226" customFormat="1">
      <c r="A90" s="224"/>
      <c r="B90" s="357" t="s">
        <v>1008</v>
      </c>
      <c r="C90" s="224"/>
      <c r="D90" s="212" t="str">
        <f>"IND"&amp;RIGHT(H90,4)&amp;RIGHT(G90,3)&amp;"N"&amp;RIGHT(E90,1)</f>
        <v>INDSDPHWCHN1</v>
      </c>
      <c r="E90" s="261" t="str">
        <f>"Industrial heating technology "&amp;$AJ$12&amp;" "&amp;RIGHT(H90,2)&amp;" - Wood chip boiler (Steam) - new 1"</f>
        <v>Industrial heating technology Iron &amp; Steel PH - Wood chip boiler (Steam) - new 1</v>
      </c>
      <c r="F90" s="224" t="s">
        <v>1149</v>
      </c>
      <c r="G90" s="173" t="s">
        <v>498</v>
      </c>
      <c r="H90" s="174" t="str">
        <f>$AI$14</f>
        <v>ISDPH</v>
      </c>
      <c r="I90" s="174" t="str">
        <f t="shared" si="22"/>
        <v>INDSWH</v>
      </c>
      <c r="J90" s="224">
        <f t="shared" si="32"/>
        <v>2011</v>
      </c>
      <c r="K90" s="299">
        <v>2025</v>
      </c>
      <c r="L90" s="199">
        <f t="shared" ca="1" si="62"/>
        <v>0.89</v>
      </c>
      <c r="M90" s="199"/>
      <c r="N90" s="81">
        <f ca="1">VLOOKUP($AD90,INDIRECT("'"&amp;$B90&amp;"'!"&amp;"$P$39:$AD$42"),5,FALSE)</f>
        <v>25</v>
      </c>
      <c r="O90" s="723">
        <f t="shared" ca="1" si="63"/>
        <v>4.6054545454545455</v>
      </c>
      <c r="P90" s="723">
        <f t="shared" ca="1" si="64"/>
        <v>0.25106499999999998</v>
      </c>
      <c r="Q90" s="81">
        <f t="shared" ca="1" si="65"/>
        <v>5.7509861111111107</v>
      </c>
      <c r="R90" s="81">
        <v>3.1536000000000002E-2</v>
      </c>
      <c r="S90" s="199">
        <v>0.5</v>
      </c>
      <c r="T90" s="199">
        <f ca="1">HLOOKUP($T$2,INDIRECT("'"&amp;$B90&amp;"'!"&amp;"$P$6:$AC$19"),IF(H90=$AI$13,6,IF(H90=$AI$14,9,14)),FALSE)</f>
        <v>1</v>
      </c>
      <c r="U90" s="772"/>
      <c r="V90" s="199">
        <f t="shared" ref="V90" ca="1" si="73">IF(IF(RIGHT(H90,2)="PH",(1-L90)+$W$2,IF(RIGHT(H90,2)="HT",(1-L90)+$W$1,IF(RIGHT(H90,2)="SH",(1-L90)+$W$3,"")))&gt;0,IF(RIGHT(H90,2)="PH",(1-L90)+$W$2,IF(RIGHT(H90,2)="HT",(1-L90)+$W$1,IF(RIGHT(H90,2)="SH",(1-L90)+$W$3,""))),0)</f>
        <v>0.31</v>
      </c>
      <c r="W90" s="298"/>
      <c r="X90" s="698">
        <f t="shared" ca="1" si="27"/>
        <v>11</v>
      </c>
      <c r="Y90" s="81">
        <f t="shared" ca="1" si="67"/>
        <v>63</v>
      </c>
      <c r="Z90" s="81">
        <f t="shared" ca="1" si="68"/>
        <v>11</v>
      </c>
      <c r="AA90" s="81">
        <f t="shared" ca="1" si="69"/>
        <v>3</v>
      </c>
      <c r="AB90" s="81">
        <f t="shared" ca="1" si="70"/>
        <v>10</v>
      </c>
      <c r="AC90" s="224"/>
      <c r="AD90" s="81">
        <v>2020</v>
      </c>
      <c r="AE90" s="81"/>
      <c r="AF90" s="220"/>
      <c r="AG90" s="224"/>
    </row>
    <row r="91" spans="1:33" s="226" customFormat="1">
      <c r="A91" s="224"/>
      <c r="B91" s="357" t="s">
        <v>1008</v>
      </c>
      <c r="C91" s="224"/>
      <c r="D91" s="212"/>
      <c r="E91" s="212"/>
      <c r="F91" s="224" t="s">
        <v>1149</v>
      </c>
      <c r="G91" s="224"/>
      <c r="H91" s="174"/>
      <c r="I91" s="174" t="str">
        <f t="shared" si="22"/>
        <v>INDSWH</v>
      </c>
      <c r="J91" s="224">
        <f t="shared" si="32"/>
        <v>2030</v>
      </c>
      <c r="K91" s="81"/>
      <c r="L91" s="199">
        <f t="shared" ca="1" si="62"/>
        <v>0.89</v>
      </c>
      <c r="M91" s="199"/>
      <c r="N91" s="81"/>
      <c r="O91" s="723">
        <f t="shared" ca="1" si="63"/>
        <v>4.4022727272727264</v>
      </c>
      <c r="P91" s="723">
        <f t="shared" ca="1" si="64"/>
        <v>0.267455</v>
      </c>
      <c r="Q91" s="81">
        <f t="shared" ca="1" si="65"/>
        <v>5.8461805555555557</v>
      </c>
      <c r="R91" s="300"/>
      <c r="S91" s="300"/>
      <c r="T91" s="300"/>
      <c r="U91" s="300"/>
      <c r="V91" s="199">
        <f t="shared" ref="V91" ca="1" si="74">IF(IF(RIGHT(H90,2)="PH",(1-L91)+$W$2,IF(RIGHT(H90,2)="HT",(1-L91)+$W$1,IF(RIGHT(H90,2)="SH",(1-L91)+$W$3,"")))&gt;0,IF(RIGHT(H90,2)="PH",(1-L91)+$W$2,IF(RIGHT(H90,2)="HT",(1-L91)+$W$1,IF(RIGHT(H90,2)="SH",(1-L91)+$W$3,""))),0)</f>
        <v>0.31</v>
      </c>
      <c r="W91" s="298"/>
      <c r="X91" s="698">
        <f t="shared" ca="1" si="27"/>
        <v>11</v>
      </c>
      <c r="Y91" s="81">
        <f t="shared" ca="1" si="67"/>
        <v>49</v>
      </c>
      <c r="Z91" s="81">
        <f t="shared" ca="1" si="68"/>
        <v>8</v>
      </c>
      <c r="AA91" s="81">
        <f t="shared" ca="1" si="69"/>
        <v>3</v>
      </c>
      <c r="AB91" s="81">
        <f t="shared" ca="1" si="70"/>
        <v>10</v>
      </c>
      <c r="AC91" s="224"/>
      <c r="AD91" s="81">
        <v>2030</v>
      </c>
      <c r="AE91" s="81"/>
      <c r="AF91" s="220"/>
    </row>
    <row r="92" spans="1:33" s="226" customFormat="1">
      <c r="A92" s="224"/>
      <c r="B92" s="357" t="s">
        <v>1008</v>
      </c>
      <c r="C92" s="224"/>
      <c r="D92" s="212"/>
      <c r="E92" s="212"/>
      <c r="F92" s="224" t="s">
        <v>1149</v>
      </c>
      <c r="G92" s="224"/>
      <c r="H92" s="174"/>
      <c r="I92" s="174" t="str">
        <f t="shared" si="22"/>
        <v>INDSWH</v>
      </c>
      <c r="J92" s="224">
        <f t="shared" si="32"/>
        <v>2050</v>
      </c>
      <c r="K92" s="81"/>
      <c r="L92" s="199">
        <f t="shared" ca="1" si="62"/>
        <v>0.9</v>
      </c>
      <c r="M92" s="199"/>
      <c r="N92" s="81"/>
      <c r="O92" s="723">
        <f t="shared" ca="1" si="63"/>
        <v>3.9959090909090902</v>
      </c>
      <c r="P92" s="723">
        <f t="shared" ca="1" si="64"/>
        <v>0.25106499999999998</v>
      </c>
      <c r="Q92" s="81">
        <f t="shared" ca="1" si="65"/>
        <v>5.8937777777777782</v>
      </c>
      <c r="R92" s="300"/>
      <c r="S92" s="300"/>
      <c r="T92" s="300"/>
      <c r="U92" s="300"/>
      <c r="V92" s="199">
        <f t="shared" ref="V92" ca="1" si="75">IF(IF(RIGHT(H90,2)="PH",(1-L92)+$W$2,IF(RIGHT(H90,2)="HT",(1-L92)+$W$1,IF(RIGHT(H90,2)="SH",(1-L92)+$W$3,"")))&gt;0,IF(RIGHT(H90,2)="PH",(1-L92)+$W$2,IF(RIGHT(H90,2)="HT",(1-L92)+$W$1,IF(RIGHT(H90,2)="SH",(1-L92)+$W$3,""))),0)</f>
        <v>0.3</v>
      </c>
      <c r="W92" s="298"/>
      <c r="X92" s="698">
        <f t="shared" ca="1" si="27"/>
        <v>11</v>
      </c>
      <c r="Y92" s="81">
        <f t="shared" ca="1" si="67"/>
        <v>41</v>
      </c>
      <c r="Z92" s="81">
        <f t="shared" ca="1" si="68"/>
        <v>4</v>
      </c>
      <c r="AA92" s="81">
        <f t="shared" ca="1" si="69"/>
        <v>1</v>
      </c>
      <c r="AB92" s="81">
        <f t="shared" ca="1" si="70"/>
        <v>10</v>
      </c>
      <c r="AC92" s="224"/>
      <c r="AD92" s="81">
        <v>2050</v>
      </c>
      <c r="AE92" s="706"/>
      <c r="AF92" s="220"/>
    </row>
    <row r="93" spans="1:33" s="226" customFormat="1">
      <c r="A93" s="224"/>
      <c r="B93" s="357" t="s">
        <v>1008</v>
      </c>
      <c r="C93" s="224"/>
      <c r="D93" s="212" t="str">
        <f>"IND"&amp;RIGHT(H93,4)&amp;RIGHT(G93,3)&amp;"N"&amp;RIGHT(E93,1)</f>
        <v>INDSDSHWCHN1</v>
      </c>
      <c r="E93" s="261" t="str">
        <f>"Industrial heating technology "&amp;$AJ$12&amp;" "&amp;RIGHT(H93,2)&amp;" - Wood chip boiler (Steam) - new 1"</f>
        <v>Industrial heating technology Iron &amp; Steel SH - Wood chip boiler (Steam) - new 1</v>
      </c>
      <c r="F93" s="224" t="s">
        <v>1149</v>
      </c>
      <c r="G93" s="173" t="s">
        <v>498</v>
      </c>
      <c r="H93" s="174" t="str">
        <f>$AI$15</f>
        <v>ISDSH</v>
      </c>
      <c r="I93" s="174" t="str">
        <f t="shared" si="22"/>
        <v>INDSWH</v>
      </c>
      <c r="J93" s="224">
        <f t="shared" si="32"/>
        <v>2011</v>
      </c>
      <c r="K93" s="299">
        <v>2025</v>
      </c>
      <c r="L93" s="199">
        <f t="shared" ca="1" si="62"/>
        <v>0.89</v>
      </c>
      <c r="M93" s="199"/>
      <c r="N93" s="81">
        <f ca="1">VLOOKUP($AD93,INDIRECT("'"&amp;$B93&amp;"'!"&amp;"$P$39:$AD$42"),5,FALSE)</f>
        <v>25</v>
      </c>
      <c r="O93" s="723">
        <f t="shared" ca="1" si="63"/>
        <v>4.6054545454545455</v>
      </c>
      <c r="P93" s="723">
        <f t="shared" ca="1" si="64"/>
        <v>0.25106499999999998</v>
      </c>
      <c r="Q93" s="81">
        <f t="shared" ca="1" si="65"/>
        <v>5.7509861111111107</v>
      </c>
      <c r="R93" s="81">
        <v>3.1536000000000002E-2</v>
      </c>
      <c r="S93" s="199">
        <v>0.5</v>
      </c>
      <c r="T93" s="199">
        <f ca="1">HLOOKUP($T$2,INDIRECT("'"&amp;$B93&amp;"'!"&amp;"$P$6:$AC$19"),IF(H93=$AI$13,6,IF(H93=$AI$14,9,14)),FALSE)</f>
        <v>1</v>
      </c>
      <c r="U93" s="772"/>
      <c r="V93" s="199">
        <f t="shared" ref="V93" ca="1" si="76">IF(IF(RIGHT(H93,2)="PH",(1-L93)+$W$2,IF(RIGHT(H93,2)="HT",(1-L93)+$W$1,IF(RIGHT(H93,2)="SH",(1-L93)+$W$3,"")))&gt;0,IF(RIGHT(H93,2)="PH",(1-L93)+$W$2,IF(RIGHT(H93,2)="HT",(1-L93)+$W$1,IF(RIGHT(H93,2)="SH",(1-L93)+$W$3,""))),0)</f>
        <v>0.10999999999999999</v>
      </c>
      <c r="W93" s="298"/>
      <c r="X93" s="698">
        <f t="shared" ca="1" si="27"/>
        <v>11</v>
      </c>
      <c r="Y93" s="81">
        <f t="shared" ca="1" si="67"/>
        <v>63</v>
      </c>
      <c r="Z93" s="81">
        <f t="shared" ca="1" si="68"/>
        <v>11</v>
      </c>
      <c r="AA93" s="81">
        <f t="shared" ca="1" si="69"/>
        <v>3</v>
      </c>
      <c r="AB93" s="81">
        <f t="shared" ca="1" si="70"/>
        <v>10</v>
      </c>
      <c r="AC93" s="296"/>
      <c r="AD93" s="81">
        <v>2020</v>
      </c>
      <c r="AE93" s="81"/>
      <c r="AF93" s="710"/>
    </row>
    <row r="94" spans="1:33" s="226" customFormat="1">
      <c r="A94" s="224"/>
      <c r="B94" s="357" t="s">
        <v>1008</v>
      </c>
      <c r="C94" s="224"/>
      <c r="D94" s="212"/>
      <c r="E94" s="212"/>
      <c r="F94" s="224" t="s">
        <v>1149</v>
      </c>
      <c r="G94" s="224"/>
      <c r="H94" s="174"/>
      <c r="I94" s="174" t="str">
        <f t="shared" si="22"/>
        <v>INDSWH</v>
      </c>
      <c r="J94" s="224">
        <f t="shared" si="32"/>
        <v>2030</v>
      </c>
      <c r="K94" s="81"/>
      <c r="L94" s="199">
        <f t="shared" ca="1" si="62"/>
        <v>0.89</v>
      </c>
      <c r="M94" s="199"/>
      <c r="N94" s="81"/>
      <c r="O94" s="723">
        <f t="shared" ca="1" si="63"/>
        <v>4.4022727272727264</v>
      </c>
      <c r="P94" s="723">
        <f t="shared" ca="1" si="64"/>
        <v>0.267455</v>
      </c>
      <c r="Q94" s="81">
        <f t="shared" ca="1" si="65"/>
        <v>5.8461805555555557</v>
      </c>
      <c r="R94" s="300"/>
      <c r="S94" s="300"/>
      <c r="T94" s="300"/>
      <c r="U94" s="300"/>
      <c r="V94" s="199">
        <f t="shared" ref="V94" ca="1" si="77">IF(IF(RIGHT(H93,2)="PH",(1-L94)+$W$2,IF(RIGHT(H93,2)="HT",(1-L94)+$W$1,IF(RIGHT(H93,2)="SH",(1-L94)+$W$3,"")))&gt;0,IF(RIGHT(H93,2)="PH",(1-L94)+$W$2,IF(RIGHT(H93,2)="HT",(1-L94)+$W$1,IF(RIGHT(H93,2)="SH",(1-L94)+$W$3,""))),0)</f>
        <v>0.10999999999999999</v>
      </c>
      <c r="W94" s="298"/>
      <c r="X94" s="698">
        <f t="shared" ca="1" si="27"/>
        <v>11</v>
      </c>
      <c r="Y94" s="81">
        <f t="shared" ca="1" si="67"/>
        <v>49</v>
      </c>
      <c r="Z94" s="81">
        <f t="shared" ca="1" si="68"/>
        <v>8</v>
      </c>
      <c r="AA94" s="81">
        <f t="shared" ca="1" si="69"/>
        <v>3</v>
      </c>
      <c r="AB94" s="81">
        <f t="shared" ca="1" si="70"/>
        <v>10</v>
      </c>
      <c r="AC94" s="55"/>
      <c r="AD94" s="81">
        <v>2030</v>
      </c>
      <c r="AE94" s="81"/>
      <c r="AF94" s="700"/>
    </row>
    <row r="95" spans="1:33" s="226" customFormat="1">
      <c r="A95" s="224"/>
      <c r="B95" s="357" t="s">
        <v>1008</v>
      </c>
      <c r="C95" s="224"/>
      <c r="D95" s="212"/>
      <c r="E95" s="212"/>
      <c r="F95" s="224" t="s">
        <v>1149</v>
      </c>
      <c r="G95" s="224"/>
      <c r="H95" s="174"/>
      <c r="I95" s="174" t="str">
        <f t="shared" si="22"/>
        <v>INDSWH</v>
      </c>
      <c r="J95" s="224">
        <f t="shared" si="32"/>
        <v>2050</v>
      </c>
      <c r="K95" s="706"/>
      <c r="L95" s="199">
        <f t="shared" ca="1" si="62"/>
        <v>0.9</v>
      </c>
      <c r="M95" s="774"/>
      <c r="N95" s="706"/>
      <c r="O95" s="724">
        <f t="shared" ca="1" si="63"/>
        <v>3.9959090909090902</v>
      </c>
      <c r="P95" s="724">
        <f t="shared" ca="1" si="64"/>
        <v>0.25106499999999998</v>
      </c>
      <c r="Q95" s="706">
        <f t="shared" ca="1" si="65"/>
        <v>5.8937777777777782</v>
      </c>
      <c r="R95" s="300"/>
      <c r="S95" s="300"/>
      <c r="T95" s="300"/>
      <c r="U95" s="300"/>
      <c r="V95" s="199">
        <f t="shared" ref="V95" ca="1" si="78">IF(IF(RIGHT(H93,2)="PH",(1-L95)+$W$2,IF(RIGHT(H93,2)="HT",(1-L95)+$W$1,IF(RIGHT(H93,2)="SH",(1-L95)+$W$3,"")))&gt;0,IF(RIGHT(H93,2)="PH",(1-L95)+$W$2,IF(RIGHT(H93,2)="HT",(1-L95)+$W$1,IF(RIGHT(H93,2)="SH",(1-L95)+$W$3,""))),0)</f>
        <v>9.9999999999999978E-2</v>
      </c>
      <c r="W95" s="298"/>
      <c r="X95" s="698">
        <f t="shared" ref="X95:X126" ca="1" si="79">IF(VLOOKUP($AD95,INDIRECT("'"&amp;$B95&amp;"'!"&amp;"$P$39:$AD$42"),11,FALSE)="Cf. the utilized electricity",0,VLOOKUP($AD95,INDIRECT("'"&amp;$B95&amp;"'!"&amp;"$P$39:$AD$42"),11,FALSE))</f>
        <v>11</v>
      </c>
      <c r="Y95" s="706">
        <f t="shared" ca="1" si="67"/>
        <v>41</v>
      </c>
      <c r="Z95" s="706">
        <f t="shared" ca="1" si="68"/>
        <v>4</v>
      </c>
      <c r="AA95" s="706">
        <f t="shared" ca="1" si="69"/>
        <v>1</v>
      </c>
      <c r="AB95" s="706">
        <f t="shared" ca="1" si="70"/>
        <v>10</v>
      </c>
      <c r="AC95" s="55"/>
      <c r="AD95" s="706">
        <v>2050</v>
      </c>
      <c r="AE95" s="81"/>
      <c r="AF95" s="700"/>
    </row>
    <row r="96" spans="1:33">
      <c r="B96" s="716" t="s">
        <v>1008</v>
      </c>
      <c r="C96" s="296"/>
      <c r="D96" s="707" t="str">
        <f>"IND"&amp;RIGHT(H96,4)&amp;RIGHT(G96,3)&amp;"N"&amp;RIGHT(E96,1)</f>
        <v>INDSDPHWCHN2</v>
      </c>
      <c r="E96" s="707" t="str">
        <f>"Industrial heating technology "&amp;$AJ$12&amp;" "&amp;RIGHT(H96,2)&amp;" - Wood chip boiler (Steam - condensing) - new 2"</f>
        <v>Industrial heating technology Iron &amp; Steel PH - Wood chip boiler (Steam - condensing) - new 2</v>
      </c>
      <c r="F96" s="224" t="s">
        <v>1149</v>
      </c>
      <c r="G96" s="708" t="s">
        <v>498</v>
      </c>
      <c r="H96" s="708" t="str">
        <f>$AI$14</f>
        <v>ISDPH</v>
      </c>
      <c r="I96" s="708" t="str">
        <f t="shared" si="22"/>
        <v>INDSWH</v>
      </c>
      <c r="J96" s="224">
        <f t="shared" si="32"/>
        <v>2011</v>
      </c>
      <c r="K96" s="299">
        <v>2025</v>
      </c>
      <c r="L96" s="199">
        <f t="shared" ref="L96:L101" ca="1" si="80">VLOOKUP($AD96,INDIRECT("'"&amp;$B96&amp;"'!"&amp;"$P$118:$AD$121"),3,FALSE)</f>
        <v>1.1618960947726835</v>
      </c>
      <c r="M96" s="199"/>
      <c r="N96" s="81">
        <f ca="1">VLOOKUP($AD96,INDIRECT("'"&amp;$B96&amp;"'!"&amp;"$P$118:$AD$121"),5,FALSE)</f>
        <v>25</v>
      </c>
      <c r="O96" s="723">
        <f t="shared" ref="O96:O101" ca="1" si="81">VLOOKUP($AD96,INDIRECT("'"&amp;$B96&amp;"'!"&amp;"$P$118:$AD$121"),6,FALSE)/1000</f>
        <v>5.0660000000000007</v>
      </c>
      <c r="P96" s="723">
        <f t="shared" ref="P96:P101" ca="1" si="82">VLOOKUP($AD96,INDIRECT("'"&amp;$B96&amp;"'!"&amp;"$P$118:$AD$121"),7,FALSE)/1000</f>
        <v>0.27564999999999995</v>
      </c>
      <c r="Q96" s="81">
        <f t="shared" ref="Q96:Q101" ca="1" si="83">VLOOKUP($AD96,INDIRECT("'"&amp;$B96&amp;"'!"&amp;"$P$118:$AD$121"),8,FALSE)</f>
        <v>5.7509861111111107</v>
      </c>
      <c r="R96" s="81">
        <v>3.1536000000000002E-2</v>
      </c>
      <c r="S96" s="199">
        <v>0.5</v>
      </c>
      <c r="T96" s="199">
        <f ca="1">HLOOKUP($T$2,INDIRECT("'"&amp;$B96&amp;"'!"&amp;"$P$85:$AC$98"),IF(H96=$AI$13,6,IF(H96=$AI$14,9,14)),FALSE)</f>
        <v>0</v>
      </c>
      <c r="U96" s="773"/>
      <c r="V96" s="199">
        <f t="shared" ref="V96" ca="1" si="84">IF(IF(RIGHT(H96,2)="PH",(1-L96)+$W$2,IF(RIGHT(H96,2)="HT",(1-L96)+$W$1,IF(RIGHT(H96,2)="SH",(1-L96)+$W$3,"")))&gt;0,IF(RIGHT(H96,2)="PH",(1-L96)+$W$2,IF(RIGHT(H96,2)="HT",(1-L96)+$W$1,IF(RIGHT(H96,2)="SH",(1-L96)+$W$3,""))),0)</f>
        <v>3.8103905227316492E-2</v>
      </c>
      <c r="W96" s="709"/>
      <c r="X96" s="698">
        <f t="shared" ca="1" si="79"/>
        <v>11</v>
      </c>
      <c r="Y96" s="698">
        <f t="shared" ref="Y96:Y101" ca="1" si="85">VLOOKUP($AD96,INDIRECT("'"&amp;$B96&amp;"'!"&amp;"$P$118:$AD$121"),12,FALSE)</f>
        <v>63</v>
      </c>
      <c r="Z96" s="698">
        <f t="shared" ref="Z96:Z101" ca="1" si="86">VLOOKUP($AD96,INDIRECT("'"&amp;$B96&amp;"'!"&amp;"$P$118:$AD$121"),13,FALSE)</f>
        <v>11</v>
      </c>
      <c r="AA96" s="698">
        <f t="shared" ref="AA96:AA101" ca="1" si="87">VLOOKUP($AD96,INDIRECT("'"&amp;$B96&amp;"'!"&amp;"$P$118:$AD$121"),14,FALSE)</f>
        <v>3</v>
      </c>
      <c r="AB96" s="698">
        <f t="shared" ref="AB96:AB101" ca="1" si="88">VLOOKUP($AD96,INDIRECT("'"&amp;$B96&amp;"'!"&amp;"$P$118:$AD$121"),15,FALSE)</f>
        <v>10</v>
      </c>
      <c r="AC96" s="55"/>
      <c r="AD96" s="81">
        <v>2020</v>
      </c>
      <c r="AE96" s="81"/>
      <c r="AF96" s="700"/>
      <c r="AG96" s="226"/>
    </row>
    <row r="97" spans="2:32">
      <c r="B97" s="357" t="s">
        <v>1008</v>
      </c>
      <c r="C97" s="55"/>
      <c r="D97" s="261"/>
      <c r="E97" s="261"/>
      <c r="F97" s="224" t="s">
        <v>1149</v>
      </c>
      <c r="G97" s="55"/>
      <c r="H97" s="174"/>
      <c r="I97" s="174" t="str">
        <f t="shared" si="22"/>
        <v>INDSWH</v>
      </c>
      <c r="J97" s="224">
        <f t="shared" si="32"/>
        <v>2030</v>
      </c>
      <c r="K97" s="81"/>
      <c r="L97" s="199">
        <f t="shared" ca="1" si="80"/>
        <v>1.1618960947726835</v>
      </c>
      <c r="M97" s="199"/>
      <c r="N97" s="81"/>
      <c r="O97" s="723">
        <f t="shared" ca="1" si="81"/>
        <v>4.8425000000000002</v>
      </c>
      <c r="P97" s="723">
        <f t="shared" ca="1" si="82"/>
        <v>0.267455</v>
      </c>
      <c r="Q97" s="81">
        <f t="shared" ca="1" si="83"/>
        <v>5.8461805555555557</v>
      </c>
      <c r="R97" s="300"/>
      <c r="S97" s="300"/>
      <c r="T97" s="300"/>
      <c r="U97" s="300"/>
      <c r="V97" s="199">
        <f t="shared" ref="V97" ca="1" si="89">IF(IF(RIGHT(H96,2)="PH",(1-L97)+$W$2,IF(RIGHT(H96,2)="HT",(1-L97)+$W$1,IF(RIGHT(H96,2)="SH",(1-L97)+$W$3,"")))&gt;0,IF(RIGHT(H96,2)="PH",(1-L97)+$W$2,IF(RIGHT(H96,2)="HT",(1-L97)+$W$1,IF(RIGHT(H96,2)="SH",(1-L97)+$W$3,""))),0)</f>
        <v>3.8103905227316492E-2</v>
      </c>
      <c r="W97" s="298"/>
      <c r="X97" s="698">
        <f t="shared" ca="1" si="79"/>
        <v>11</v>
      </c>
      <c r="Y97" s="698">
        <f t="shared" ca="1" si="85"/>
        <v>49</v>
      </c>
      <c r="Z97" s="698">
        <f t="shared" ca="1" si="86"/>
        <v>8</v>
      </c>
      <c r="AA97" s="698">
        <f t="shared" ca="1" si="87"/>
        <v>3</v>
      </c>
      <c r="AB97" s="698">
        <f t="shared" ca="1" si="88"/>
        <v>10</v>
      </c>
      <c r="AC97" s="55"/>
      <c r="AD97" s="81">
        <v>2030</v>
      </c>
      <c r="AE97" s="81"/>
      <c r="AF97" s="700"/>
    </row>
    <row r="98" spans="2:32">
      <c r="B98" s="357" t="s">
        <v>1008</v>
      </c>
      <c r="C98" s="55"/>
      <c r="D98" s="261"/>
      <c r="E98" s="261"/>
      <c r="F98" s="224" t="s">
        <v>1149</v>
      </c>
      <c r="G98" s="55"/>
      <c r="H98" s="174"/>
      <c r="I98" s="174" t="str">
        <f t="shared" si="22"/>
        <v>INDSWH</v>
      </c>
      <c r="J98" s="224">
        <f t="shared" si="32"/>
        <v>2050</v>
      </c>
      <c r="K98" s="81"/>
      <c r="L98" s="199">
        <f t="shared" ca="1" si="80"/>
        <v>1.1618960947726835</v>
      </c>
      <c r="M98" s="199"/>
      <c r="N98" s="81"/>
      <c r="O98" s="723">
        <f t="shared" ca="1" si="81"/>
        <v>4.3955000000000002</v>
      </c>
      <c r="P98" s="723">
        <f t="shared" ca="1" si="82"/>
        <v>0.25106499999999998</v>
      </c>
      <c r="Q98" s="81">
        <f t="shared" ca="1" si="83"/>
        <v>5.8937777777777782</v>
      </c>
      <c r="R98" s="300"/>
      <c r="S98" s="300"/>
      <c r="T98" s="300"/>
      <c r="U98" s="300"/>
      <c r="V98" s="199">
        <f t="shared" ref="V98" ca="1" si="90">IF(IF(RIGHT(H96,2)="PH",(1-L98)+$W$2,IF(RIGHT(H96,2)="HT",(1-L98)+$W$1,IF(RIGHT(H96,2)="SH",(1-L98)+$W$3,"")))&gt;0,IF(RIGHT(H96,2)="PH",(1-L98)+$W$2,IF(RIGHT(H96,2)="HT",(1-L98)+$W$1,IF(RIGHT(H96,2)="SH",(1-L98)+$W$3,""))),0)</f>
        <v>3.8103905227316492E-2</v>
      </c>
      <c r="W98" s="298"/>
      <c r="X98" s="698">
        <f t="shared" ca="1" si="79"/>
        <v>11</v>
      </c>
      <c r="Y98" s="698">
        <f t="shared" ca="1" si="85"/>
        <v>41</v>
      </c>
      <c r="Z98" s="698">
        <f t="shared" ca="1" si="86"/>
        <v>4</v>
      </c>
      <c r="AA98" s="698">
        <f t="shared" ca="1" si="87"/>
        <v>1</v>
      </c>
      <c r="AB98" s="698">
        <f t="shared" ca="1" si="88"/>
        <v>10</v>
      </c>
      <c r="AC98" s="203"/>
      <c r="AD98" s="81">
        <v>2050</v>
      </c>
      <c r="AE98" s="81"/>
      <c r="AF98" s="705"/>
    </row>
    <row r="99" spans="2:32">
      <c r="B99" s="357" t="s">
        <v>1008</v>
      </c>
      <c r="C99" s="55"/>
      <c r="D99" s="261" t="str">
        <f>"IND"&amp;RIGHT(H99,4)&amp;RIGHT(G99,3)&amp;"N"&amp;RIGHT(E99,1)</f>
        <v>INDSDSHWCHN2</v>
      </c>
      <c r="E99" s="261" t="str">
        <f>"Industrial heating technology "&amp;$AJ$12&amp;" "&amp;RIGHT(H99,2)&amp;" - Wood chip boiler (Steam - condensing) - new 2"</f>
        <v>Industrial heating technology Iron &amp; Steel SH - Wood chip boiler (Steam - condensing) - new 2</v>
      </c>
      <c r="F99" s="224" t="s">
        <v>1149</v>
      </c>
      <c r="G99" s="174" t="s">
        <v>498</v>
      </c>
      <c r="H99" s="174" t="str">
        <f>$AI$15</f>
        <v>ISDSH</v>
      </c>
      <c r="I99" s="174" t="str">
        <f t="shared" si="22"/>
        <v>INDSWH</v>
      </c>
      <c r="J99" s="224">
        <f t="shared" si="32"/>
        <v>2011</v>
      </c>
      <c r="K99" s="299">
        <v>2025</v>
      </c>
      <c r="L99" s="199">
        <f t="shared" ca="1" si="80"/>
        <v>1.1618960947726835</v>
      </c>
      <c r="M99" s="199"/>
      <c r="N99" s="81">
        <f ca="1">VLOOKUP($AD99,INDIRECT("'"&amp;$B99&amp;"'!"&amp;"$P$118:$AD$121"),5,FALSE)</f>
        <v>25</v>
      </c>
      <c r="O99" s="723">
        <f t="shared" ca="1" si="81"/>
        <v>5.0660000000000007</v>
      </c>
      <c r="P99" s="723">
        <f t="shared" ca="1" si="82"/>
        <v>0.27564999999999995</v>
      </c>
      <c r="Q99" s="81">
        <f t="shared" ca="1" si="83"/>
        <v>5.7509861111111107</v>
      </c>
      <c r="R99" s="81">
        <v>3.1536000000000002E-2</v>
      </c>
      <c r="S99" s="199">
        <v>0.5</v>
      </c>
      <c r="T99" s="199">
        <f ca="1">HLOOKUP($T$2,INDIRECT("'"&amp;$B99&amp;"'!"&amp;"$P$85:$AC$98"),IF(H99=$AI$13,6,IF(H99=$AI$14,9,14)),FALSE)</f>
        <v>0</v>
      </c>
      <c r="U99" s="772"/>
      <c r="V99" s="199">
        <f t="shared" ref="V99" ca="1" si="91">IF(IF(RIGHT(H99,2)="PH",(1-L99)+$W$2,IF(RIGHT(H99,2)="HT",(1-L99)+$W$1,IF(RIGHT(H99,2)="SH",(1-L99)+$W$3,"")))&gt;0,IF(RIGHT(H99,2)="PH",(1-L99)+$W$2,IF(RIGHT(H99,2)="HT",(1-L99)+$W$1,IF(RIGHT(H99,2)="SH",(1-L99)+$W$3,""))),0)</f>
        <v>0</v>
      </c>
      <c r="W99" s="298"/>
      <c r="X99" s="698">
        <f t="shared" ca="1" si="79"/>
        <v>11</v>
      </c>
      <c r="Y99" s="698">
        <f t="shared" ca="1" si="85"/>
        <v>63</v>
      </c>
      <c r="Z99" s="698">
        <f t="shared" ca="1" si="86"/>
        <v>11</v>
      </c>
      <c r="AA99" s="698">
        <f t="shared" ca="1" si="87"/>
        <v>3</v>
      </c>
      <c r="AB99" s="698">
        <f t="shared" ca="1" si="88"/>
        <v>10</v>
      </c>
      <c r="AC99" s="296"/>
      <c r="AD99" s="81">
        <v>2020</v>
      </c>
      <c r="AE99" s="81"/>
      <c r="AF99" s="710"/>
    </row>
    <row r="100" spans="2:32">
      <c r="B100" s="357" t="s">
        <v>1008</v>
      </c>
      <c r="C100" s="55"/>
      <c r="D100" s="261"/>
      <c r="E100" s="261"/>
      <c r="F100" s="224" t="s">
        <v>1149</v>
      </c>
      <c r="G100" s="55"/>
      <c r="H100" s="174"/>
      <c r="I100" s="174" t="str">
        <f t="shared" si="22"/>
        <v>INDSWH</v>
      </c>
      <c r="J100" s="224">
        <f t="shared" si="32"/>
        <v>2030</v>
      </c>
      <c r="K100" s="81"/>
      <c r="L100" s="199">
        <f t="shared" ca="1" si="80"/>
        <v>1.1618960947726835</v>
      </c>
      <c r="M100" s="199"/>
      <c r="N100" s="81"/>
      <c r="O100" s="723">
        <f t="shared" ca="1" si="81"/>
        <v>4.8425000000000002</v>
      </c>
      <c r="P100" s="723">
        <f t="shared" ca="1" si="82"/>
        <v>0.267455</v>
      </c>
      <c r="Q100" s="81">
        <f t="shared" ca="1" si="83"/>
        <v>5.8461805555555557</v>
      </c>
      <c r="R100" s="300"/>
      <c r="S100" s="300"/>
      <c r="T100" s="300"/>
      <c r="U100" s="300"/>
      <c r="V100" s="199">
        <f t="shared" ref="V100" ca="1" si="92">IF(IF(RIGHT(H99,2)="PH",(1-L100)+$W$2,IF(RIGHT(H99,2)="HT",(1-L100)+$W$1,IF(RIGHT(H99,2)="SH",(1-L100)+$W$3,"")))&gt;0,IF(RIGHT(H99,2)="PH",(1-L100)+$W$2,IF(RIGHT(H99,2)="HT",(1-L100)+$W$1,IF(RIGHT(H99,2)="SH",(1-L100)+$W$3,""))),0)</f>
        <v>0</v>
      </c>
      <c r="W100" s="298"/>
      <c r="X100" s="698">
        <f t="shared" ca="1" si="79"/>
        <v>11</v>
      </c>
      <c r="Y100" s="698">
        <f t="shared" ca="1" si="85"/>
        <v>49</v>
      </c>
      <c r="Z100" s="698">
        <f t="shared" ca="1" si="86"/>
        <v>8</v>
      </c>
      <c r="AA100" s="698">
        <f t="shared" ca="1" si="87"/>
        <v>3</v>
      </c>
      <c r="AB100" s="698">
        <f t="shared" ca="1" si="88"/>
        <v>10</v>
      </c>
      <c r="AC100" s="55"/>
      <c r="AD100" s="81">
        <v>2030</v>
      </c>
      <c r="AE100" s="81"/>
      <c r="AF100" s="700"/>
    </row>
    <row r="101" spans="2:32">
      <c r="B101" s="356" t="s">
        <v>1008</v>
      </c>
      <c r="C101" s="203"/>
      <c r="D101" s="701"/>
      <c r="E101" s="701"/>
      <c r="F101" s="224" t="s">
        <v>1149</v>
      </c>
      <c r="G101" s="203"/>
      <c r="H101" s="702"/>
      <c r="I101" s="702" t="str">
        <f t="shared" si="22"/>
        <v>INDSWH</v>
      </c>
      <c r="J101" s="224">
        <f t="shared" si="32"/>
        <v>2050</v>
      </c>
      <c r="K101" s="81"/>
      <c r="L101" s="199">
        <f t="shared" ca="1" si="80"/>
        <v>1.1618960947726835</v>
      </c>
      <c r="M101" s="199"/>
      <c r="N101" s="81"/>
      <c r="O101" s="723">
        <f t="shared" ca="1" si="81"/>
        <v>4.3955000000000002</v>
      </c>
      <c r="P101" s="723">
        <f t="shared" ca="1" si="82"/>
        <v>0.25106499999999998</v>
      </c>
      <c r="Q101" s="81">
        <f t="shared" ca="1" si="83"/>
        <v>5.8937777777777782</v>
      </c>
      <c r="R101" s="703"/>
      <c r="S101" s="703"/>
      <c r="T101" s="703"/>
      <c r="U101" s="703"/>
      <c r="V101" s="199">
        <f t="shared" ref="V101" ca="1" si="93">IF(IF(RIGHT(H99,2)="PH",(1-L101)+$W$2,IF(RIGHT(H99,2)="HT",(1-L101)+$W$1,IF(RIGHT(H99,2)="SH",(1-L101)+$W$3,"")))&gt;0,IF(RIGHT(H99,2)="PH",(1-L101)+$W$2,IF(RIGHT(H99,2)="HT",(1-L101)+$W$1,IF(RIGHT(H99,2)="SH",(1-L101)+$W$3,""))),0)</f>
        <v>0</v>
      </c>
      <c r="W101" s="704"/>
      <c r="X101" s="698">
        <f t="shared" ca="1" si="79"/>
        <v>11</v>
      </c>
      <c r="Y101" s="698">
        <f t="shared" ca="1" si="85"/>
        <v>41</v>
      </c>
      <c r="Z101" s="698">
        <f t="shared" ca="1" si="86"/>
        <v>4</v>
      </c>
      <c r="AA101" s="698">
        <f t="shared" ca="1" si="87"/>
        <v>1</v>
      </c>
      <c r="AB101" s="698">
        <f t="shared" ca="1" si="88"/>
        <v>10</v>
      </c>
      <c r="AC101" s="55"/>
      <c r="AD101" s="81">
        <v>2050</v>
      </c>
      <c r="AE101" s="81"/>
      <c r="AF101" s="700"/>
    </row>
    <row r="102" spans="2:32">
      <c r="B102" s="717" t="s">
        <v>1008</v>
      </c>
      <c r="C102" s="712"/>
      <c r="D102" s="707" t="str">
        <f>"IND"&amp;RIGHT(H102,4)&amp;RIGHT(G102,3)&amp;"N"&amp;RIGHT(E102,1)</f>
        <v>INDSDPHWCHN3</v>
      </c>
      <c r="E102" s="707" t="str">
        <f>"Industrial heating technology "&amp;$AJ$12&amp;" "&amp;RIGHT(H102,2)&amp;" - Wood chip boiler (Hot Water) - new 3"</f>
        <v>Industrial heating technology Iron &amp; Steel PH - Wood chip boiler (Hot Water) - new 3</v>
      </c>
      <c r="F102" s="224" t="s">
        <v>1149</v>
      </c>
      <c r="G102" s="708" t="s">
        <v>498</v>
      </c>
      <c r="H102" s="708" t="str">
        <f>$AI$14</f>
        <v>ISDPH</v>
      </c>
      <c r="I102" s="708" t="str">
        <f t="shared" si="22"/>
        <v>INDSWH</v>
      </c>
      <c r="J102" s="224">
        <f t="shared" si="32"/>
        <v>2011</v>
      </c>
      <c r="K102" s="299">
        <v>2025</v>
      </c>
      <c r="L102" s="199">
        <f t="shared" ref="L102:L107" ca="1" si="94">VLOOKUP($AD102,INDIRECT("'"&amp;$B102&amp;"'!"&amp;"$P$200:$AD$203"),3,FALSE)</f>
        <v>0.9</v>
      </c>
      <c r="M102" s="199"/>
      <c r="N102" s="81">
        <f ca="1">VLOOKUP($AD102,INDIRECT("'"&amp;$B102&amp;"'!"&amp;"$P$200:$AD$203"),5,FALSE)</f>
        <v>25</v>
      </c>
      <c r="O102" s="723">
        <f t="shared" ref="O102:O107" ca="1" si="95">VLOOKUP($AD102,INDIRECT("'"&amp;$B102&amp;"'!"&amp;"$P$200:$AD$203"),6,FALSE)/1000</f>
        <v>4.6054545454545437</v>
      </c>
      <c r="P102" s="723">
        <f t="shared" ref="P102:P107" ca="1" si="96">VLOOKUP($AD102,INDIRECT("'"&amp;$B102&amp;"'!"&amp;"$P$200:$AD$203"),7,FALSE)/1000</f>
        <v>0.25106499999999998</v>
      </c>
      <c r="Q102" s="81">
        <f t="shared" ref="Q102:Q107" ca="1" si="97">VLOOKUP($AD102,INDIRECT("'"&amp;$B102&amp;"'!"&amp;"$P$200:$AD$203"),8,FALSE)</f>
        <v>5.7509861111111107</v>
      </c>
      <c r="R102" s="81">
        <v>3.1536000000000002E-2</v>
      </c>
      <c r="S102" s="199">
        <v>0.5</v>
      </c>
      <c r="T102" s="199">
        <f ca="1">HLOOKUP($T$2,INDIRECT("'"&amp;$B102&amp;"'!"&amp;"$P$167:$AC$180"),IF(H102=$AI$13,6,IF(H102=$AI$14,9,14)),FALSE)</f>
        <v>0</v>
      </c>
      <c r="U102" s="773"/>
      <c r="V102" s="199">
        <f t="shared" ref="V102" ca="1" si="98">IF(IF(RIGHT(H102,2)="PH",(1-L102)+$W$2,IF(RIGHT(H102,2)="HT",(1-L102)+$W$1,IF(RIGHT(H102,2)="SH",(1-L102)+$W$3,"")))&gt;0,IF(RIGHT(H102,2)="PH",(1-L102)+$W$2,IF(RIGHT(H102,2)="HT",(1-L102)+$W$1,IF(RIGHT(H102,2)="SH",(1-L102)+$W$3,""))),0)</f>
        <v>0.3</v>
      </c>
      <c r="W102" s="709"/>
      <c r="X102" s="698">
        <f t="shared" ca="1" si="79"/>
        <v>11</v>
      </c>
      <c r="Y102" s="698">
        <f t="shared" ref="Y102:Y107" ca="1" si="99">VLOOKUP($AD102,INDIRECT("'"&amp;$B102&amp;"'!"&amp;"$P$200:$AD$203"),12,FALSE)</f>
        <v>63</v>
      </c>
      <c r="Z102" s="698">
        <f t="shared" ref="Z102:Z107" ca="1" si="100">VLOOKUP($AD102,INDIRECT("'"&amp;$B102&amp;"'!"&amp;"$P$200:$AD$203"),13,FALSE)</f>
        <v>11</v>
      </c>
      <c r="AA102" s="698">
        <f t="shared" ref="AA102:AA107" ca="1" si="101">VLOOKUP($AD102,INDIRECT("'"&amp;$B102&amp;"'!"&amp;"$P$200:$AD$203"),14,FALSE)</f>
        <v>3</v>
      </c>
      <c r="AB102" s="698">
        <f t="shared" ref="AB102:AB107" ca="1" si="102">VLOOKUP($AD102,INDIRECT("'"&amp;$B102&amp;"'!"&amp;"$P$200:$AD$203"),15,FALSE)</f>
        <v>10</v>
      </c>
      <c r="AC102" s="55"/>
      <c r="AD102" s="81">
        <v>2020</v>
      </c>
      <c r="AE102" s="81"/>
      <c r="AF102" s="700"/>
    </row>
    <row r="103" spans="2:32">
      <c r="B103" s="718" t="s">
        <v>1008</v>
      </c>
      <c r="C103" s="226"/>
      <c r="D103" s="261"/>
      <c r="E103" s="261"/>
      <c r="F103" s="224" t="s">
        <v>1149</v>
      </c>
      <c r="G103" s="55"/>
      <c r="H103" s="174"/>
      <c r="I103" s="174" t="str">
        <f t="shared" si="22"/>
        <v>INDSWH</v>
      </c>
      <c r="J103" s="224">
        <f t="shared" si="32"/>
        <v>2030</v>
      </c>
      <c r="K103" s="81"/>
      <c r="L103" s="199">
        <f t="shared" ca="1" si="94"/>
        <v>0.9</v>
      </c>
      <c r="M103" s="199"/>
      <c r="N103" s="81"/>
      <c r="O103" s="723">
        <f t="shared" ca="1" si="95"/>
        <v>4.4022727272727282</v>
      </c>
      <c r="P103" s="723">
        <f t="shared" ca="1" si="96"/>
        <v>0.267455</v>
      </c>
      <c r="Q103" s="81">
        <f t="shared" ca="1" si="97"/>
        <v>5.8461805555555557</v>
      </c>
      <c r="R103" s="300"/>
      <c r="S103" s="300"/>
      <c r="T103" s="300"/>
      <c r="U103" s="300"/>
      <c r="V103" s="199">
        <f t="shared" ref="V103" ca="1" si="103">IF(IF(RIGHT(H102,2)="PH",(1-L103)+$W$2,IF(RIGHT(H102,2)="HT",(1-L103)+$W$1,IF(RIGHT(H102,2)="SH",(1-L103)+$W$3,"")))&gt;0,IF(RIGHT(H102,2)="PH",(1-L103)+$W$2,IF(RIGHT(H102,2)="HT",(1-L103)+$W$1,IF(RIGHT(H102,2)="SH",(1-L103)+$W$3,""))),0)</f>
        <v>0.3</v>
      </c>
      <c r="W103" s="298"/>
      <c r="X103" s="698">
        <f t="shared" ca="1" si="79"/>
        <v>11</v>
      </c>
      <c r="Y103" s="698">
        <f t="shared" ca="1" si="99"/>
        <v>49</v>
      </c>
      <c r="Z103" s="698">
        <f t="shared" ca="1" si="100"/>
        <v>8</v>
      </c>
      <c r="AA103" s="698">
        <f t="shared" ca="1" si="101"/>
        <v>3</v>
      </c>
      <c r="AB103" s="698">
        <f t="shared" ca="1" si="102"/>
        <v>10</v>
      </c>
      <c r="AC103" s="55"/>
      <c r="AD103" s="81">
        <v>2030</v>
      </c>
      <c r="AE103" s="81"/>
      <c r="AF103" s="700"/>
    </row>
    <row r="104" spans="2:32">
      <c r="B104" s="718" t="s">
        <v>1008</v>
      </c>
      <c r="C104" s="226"/>
      <c r="D104" s="261"/>
      <c r="E104" s="261"/>
      <c r="F104" s="224" t="s">
        <v>1149</v>
      </c>
      <c r="G104" s="55"/>
      <c r="H104" s="174"/>
      <c r="I104" s="174" t="str">
        <f t="shared" si="22"/>
        <v>INDSWH</v>
      </c>
      <c r="J104" s="224">
        <f t="shared" si="32"/>
        <v>2050</v>
      </c>
      <c r="K104" s="81"/>
      <c r="L104" s="199">
        <f t="shared" ca="1" si="94"/>
        <v>0.91</v>
      </c>
      <c r="M104" s="199"/>
      <c r="N104" s="81"/>
      <c r="O104" s="723">
        <f t="shared" ca="1" si="95"/>
        <v>3.9959090909090884</v>
      </c>
      <c r="P104" s="723">
        <f t="shared" ca="1" si="96"/>
        <v>0.25106499999999998</v>
      </c>
      <c r="Q104" s="81">
        <f t="shared" ca="1" si="97"/>
        <v>5.8937777777777782</v>
      </c>
      <c r="R104" s="300"/>
      <c r="S104" s="300"/>
      <c r="T104" s="300"/>
      <c r="U104" s="300"/>
      <c r="V104" s="199">
        <f t="shared" ref="V104" ca="1" si="104">IF(IF(RIGHT(H102,2)="PH",(1-L104)+$W$2,IF(RIGHT(H102,2)="HT",(1-L104)+$W$1,IF(RIGHT(H102,2)="SH",(1-L104)+$W$3,"")))&gt;0,IF(RIGHT(H102,2)="PH",(1-L104)+$W$2,IF(RIGHT(H102,2)="HT",(1-L104)+$W$1,IF(RIGHT(H102,2)="SH",(1-L104)+$W$3,""))),0)</f>
        <v>0.28999999999999998</v>
      </c>
      <c r="W104" s="298"/>
      <c r="X104" s="698">
        <f t="shared" ca="1" si="79"/>
        <v>11</v>
      </c>
      <c r="Y104" s="698">
        <f t="shared" ca="1" si="99"/>
        <v>41</v>
      </c>
      <c r="Z104" s="698">
        <f t="shared" ca="1" si="100"/>
        <v>4</v>
      </c>
      <c r="AA104" s="698">
        <f t="shared" ca="1" si="101"/>
        <v>1</v>
      </c>
      <c r="AB104" s="698">
        <f t="shared" ca="1" si="102"/>
        <v>10</v>
      </c>
      <c r="AC104" s="203"/>
      <c r="AD104" s="81">
        <v>2050</v>
      </c>
      <c r="AE104" s="81"/>
      <c r="AF104" s="705"/>
    </row>
    <row r="105" spans="2:32">
      <c r="B105" s="718" t="s">
        <v>1008</v>
      </c>
      <c r="C105" s="226"/>
      <c r="D105" s="261" t="str">
        <f>"IND"&amp;RIGHT(H105,4)&amp;RIGHT(G105,3)&amp;"N"&amp;RIGHT(E105,1)</f>
        <v>INDSDSHWCHN3</v>
      </c>
      <c r="E105" s="261" t="str">
        <f>"Industrial heating technology "&amp;$AJ$12&amp;" "&amp;RIGHT(H105,2)&amp;" - Wood chip boiler (Hot Water) - new 3"</f>
        <v>Industrial heating technology Iron &amp; Steel SH - Wood chip boiler (Hot Water) - new 3</v>
      </c>
      <c r="F105" s="224" t="s">
        <v>1149</v>
      </c>
      <c r="G105" s="174" t="s">
        <v>498</v>
      </c>
      <c r="H105" s="174" t="str">
        <f>$AI$15</f>
        <v>ISDSH</v>
      </c>
      <c r="I105" s="174" t="str">
        <f t="shared" si="22"/>
        <v>INDSWH</v>
      </c>
      <c r="J105" s="224">
        <f t="shared" si="32"/>
        <v>2011</v>
      </c>
      <c r="K105" s="299">
        <v>2025</v>
      </c>
      <c r="L105" s="199">
        <f t="shared" ca="1" si="94"/>
        <v>0.9</v>
      </c>
      <c r="M105" s="199"/>
      <c r="N105" s="81">
        <f ca="1">VLOOKUP($AD105,INDIRECT("'"&amp;$B105&amp;"'!"&amp;"$P$200:$AD$203"),5,FALSE)</f>
        <v>25</v>
      </c>
      <c r="O105" s="723">
        <f t="shared" ca="1" si="95"/>
        <v>4.6054545454545437</v>
      </c>
      <c r="P105" s="723">
        <f t="shared" ca="1" si="96"/>
        <v>0.25106499999999998</v>
      </c>
      <c r="Q105" s="81">
        <f t="shared" ca="1" si="97"/>
        <v>5.7509861111111107</v>
      </c>
      <c r="R105" s="81">
        <v>3.1536000000000002E-2</v>
      </c>
      <c r="S105" s="199">
        <v>0.5</v>
      </c>
      <c r="T105" s="199">
        <f ca="1">HLOOKUP($T$2,INDIRECT("'"&amp;$B105&amp;"'!"&amp;"$P$167:$AC$180"),IF(H105=$AI$13,6,IF(H105=$AI$14,9,14)),FALSE)</f>
        <v>1</v>
      </c>
      <c r="U105" s="773"/>
      <c r="V105" s="199">
        <f t="shared" ref="V105" ca="1" si="105">IF(IF(RIGHT(H105,2)="PH",(1-L105)+$W$2,IF(RIGHT(H105,2)="HT",(1-L105)+$W$1,IF(RIGHT(H105,2)="SH",(1-L105)+$W$3,"")))&gt;0,IF(RIGHT(H105,2)="PH",(1-L105)+$W$2,IF(RIGHT(H105,2)="HT",(1-L105)+$W$1,IF(RIGHT(H105,2)="SH",(1-L105)+$W$3,""))),0)</f>
        <v>9.9999999999999978E-2</v>
      </c>
      <c r="W105" s="709"/>
      <c r="X105" s="698">
        <f t="shared" ca="1" si="79"/>
        <v>11</v>
      </c>
      <c r="Y105" s="698">
        <f t="shared" ca="1" si="99"/>
        <v>63</v>
      </c>
      <c r="Z105" s="698">
        <f t="shared" ca="1" si="100"/>
        <v>11</v>
      </c>
      <c r="AA105" s="698">
        <f t="shared" ca="1" si="101"/>
        <v>3</v>
      </c>
      <c r="AB105" s="698">
        <f t="shared" ca="1" si="102"/>
        <v>10</v>
      </c>
      <c r="AC105" s="296"/>
      <c r="AD105" s="81">
        <v>2020</v>
      </c>
      <c r="AE105" s="81"/>
      <c r="AF105" s="710"/>
    </row>
    <row r="106" spans="2:32">
      <c r="B106" s="718" t="s">
        <v>1008</v>
      </c>
      <c r="C106" s="226"/>
      <c r="D106" s="261"/>
      <c r="E106" s="261"/>
      <c r="F106" s="224" t="s">
        <v>1149</v>
      </c>
      <c r="G106" s="55"/>
      <c r="H106" s="174"/>
      <c r="I106" s="174" t="str">
        <f t="shared" si="22"/>
        <v>INDSWH</v>
      </c>
      <c r="J106" s="224">
        <f t="shared" si="32"/>
        <v>2030</v>
      </c>
      <c r="K106" s="81"/>
      <c r="L106" s="199">
        <f t="shared" ca="1" si="94"/>
        <v>0.9</v>
      </c>
      <c r="M106" s="199"/>
      <c r="N106" s="81"/>
      <c r="O106" s="723">
        <f t="shared" ca="1" si="95"/>
        <v>4.4022727272727282</v>
      </c>
      <c r="P106" s="723">
        <f t="shared" ca="1" si="96"/>
        <v>0.267455</v>
      </c>
      <c r="Q106" s="81">
        <f t="shared" ca="1" si="97"/>
        <v>5.8461805555555557</v>
      </c>
      <c r="R106" s="300"/>
      <c r="S106" s="300"/>
      <c r="T106" s="300"/>
      <c r="U106" s="300"/>
      <c r="V106" s="199">
        <f t="shared" ref="V106" ca="1" si="106">IF(IF(RIGHT(H105,2)="PH",(1-L106)+$W$2,IF(RIGHT(H105,2)="HT",(1-L106)+$W$1,IF(RIGHT(H105,2)="SH",(1-L106)+$W$3,"")))&gt;0,IF(RIGHT(H105,2)="PH",(1-L106)+$W$2,IF(RIGHT(H105,2)="HT",(1-L106)+$W$1,IF(RIGHT(H105,2)="SH",(1-L106)+$W$3,""))),0)</f>
        <v>9.9999999999999978E-2</v>
      </c>
      <c r="W106" s="298"/>
      <c r="X106" s="698">
        <f t="shared" ca="1" si="79"/>
        <v>11</v>
      </c>
      <c r="Y106" s="698">
        <f t="shared" ca="1" si="99"/>
        <v>49</v>
      </c>
      <c r="Z106" s="698">
        <f t="shared" ca="1" si="100"/>
        <v>8</v>
      </c>
      <c r="AA106" s="698">
        <f t="shared" ca="1" si="101"/>
        <v>3</v>
      </c>
      <c r="AB106" s="698">
        <f t="shared" ca="1" si="102"/>
        <v>10</v>
      </c>
      <c r="AC106" s="55"/>
      <c r="AD106" s="81">
        <v>2030</v>
      </c>
      <c r="AE106" s="81"/>
      <c r="AF106" s="700"/>
    </row>
    <row r="107" spans="2:32">
      <c r="B107" s="719" t="s">
        <v>1008</v>
      </c>
      <c r="C107" s="713"/>
      <c r="D107" s="701"/>
      <c r="E107" s="701"/>
      <c r="F107" s="224" t="s">
        <v>1149</v>
      </c>
      <c r="G107" s="203"/>
      <c r="H107" s="702"/>
      <c r="I107" s="702" t="str">
        <f t="shared" si="22"/>
        <v>INDSWH</v>
      </c>
      <c r="J107" s="224">
        <f t="shared" si="32"/>
        <v>2050</v>
      </c>
      <c r="K107" s="81"/>
      <c r="L107" s="199">
        <f t="shared" ca="1" si="94"/>
        <v>0.91</v>
      </c>
      <c r="M107" s="199"/>
      <c r="N107" s="81"/>
      <c r="O107" s="723">
        <f t="shared" ca="1" si="95"/>
        <v>3.9959090909090884</v>
      </c>
      <c r="P107" s="723">
        <f t="shared" ca="1" si="96"/>
        <v>0.25106499999999998</v>
      </c>
      <c r="Q107" s="81">
        <f t="shared" ca="1" si="97"/>
        <v>5.8937777777777782</v>
      </c>
      <c r="R107" s="300"/>
      <c r="S107" s="300"/>
      <c r="T107" s="300"/>
      <c r="U107" s="300"/>
      <c r="V107" s="199">
        <f t="shared" ref="V107" ca="1" si="107">IF(IF(RIGHT(H105,2)="PH",(1-L107)+$W$2,IF(RIGHT(H105,2)="HT",(1-L107)+$W$1,IF(RIGHT(H105,2)="SH",(1-L107)+$W$3,"")))&gt;0,IF(RIGHT(H105,2)="PH",(1-L107)+$W$2,IF(RIGHT(H105,2)="HT",(1-L107)+$W$1,IF(RIGHT(H105,2)="SH",(1-L107)+$W$3,""))),0)</f>
        <v>8.9999999999999969E-2</v>
      </c>
      <c r="W107" s="298"/>
      <c r="X107" s="698">
        <f t="shared" ca="1" si="79"/>
        <v>11</v>
      </c>
      <c r="Y107" s="698">
        <f t="shared" ca="1" si="99"/>
        <v>41</v>
      </c>
      <c r="Z107" s="698">
        <f t="shared" ca="1" si="100"/>
        <v>4</v>
      </c>
      <c r="AA107" s="698">
        <f t="shared" ca="1" si="101"/>
        <v>1</v>
      </c>
      <c r="AB107" s="698">
        <f t="shared" ca="1" si="102"/>
        <v>10</v>
      </c>
      <c r="AC107" s="55"/>
      <c r="AD107" s="81">
        <v>2050</v>
      </c>
      <c r="AE107" s="81"/>
      <c r="AF107" s="700"/>
    </row>
    <row r="108" spans="2:32">
      <c r="B108" s="717" t="s">
        <v>1008</v>
      </c>
      <c r="C108" s="712"/>
      <c r="D108" s="707" t="str">
        <f>"IND"&amp;RIGHT(H108,4)&amp;RIGHT(G108,3)&amp;"N"&amp;RIGHT(E108,1)</f>
        <v>INDSDPHWCHN4</v>
      </c>
      <c r="E108" s="707" t="str">
        <f>"Industrial heating technology "&amp;$AJ$12&amp;" "&amp;RIGHT(H108,2)&amp;" - Wood chip boiler (Hot Water - condensing) - new 4"</f>
        <v>Industrial heating technology Iron &amp; Steel PH - Wood chip boiler (Hot Water - condensing) - new 4</v>
      </c>
      <c r="F108" s="224" t="s">
        <v>1149</v>
      </c>
      <c r="G108" s="708" t="s">
        <v>498</v>
      </c>
      <c r="H108" s="708" t="str">
        <f>$AI$14</f>
        <v>ISDPH</v>
      </c>
      <c r="I108" s="708" t="str">
        <f t="shared" si="22"/>
        <v>INDSWH</v>
      </c>
      <c r="J108" s="224">
        <f t="shared" si="32"/>
        <v>2011</v>
      </c>
      <c r="K108" s="299">
        <v>2025</v>
      </c>
      <c r="L108" s="199">
        <f t="shared" ref="L108:L113" ca="1" si="108">VLOOKUP($AD108,INDIRECT("'"&amp;$B108&amp;"'!"&amp;"$P$279:$AD$282"),3,FALSE)</f>
        <v>1.1618960947726835</v>
      </c>
      <c r="M108" s="199"/>
      <c r="N108" s="81">
        <f ca="1">VLOOKUP($AD108,INDIRECT("'"&amp;$B108&amp;"'!"&amp;"$P$279:$AD$282"),5,FALSE)</f>
        <v>25</v>
      </c>
      <c r="O108" s="723">
        <f t="shared" ref="O108:O113" ca="1" si="109">VLOOKUP($AD108,INDIRECT("'"&amp;$B108&amp;"'!"&amp;"$P$279:$AD$282"),6,FALSE)/1000</f>
        <v>5.0660000000000007</v>
      </c>
      <c r="P108" s="723">
        <f t="shared" ref="P108:P113" ca="1" si="110">VLOOKUP($AD108,INDIRECT("'"&amp;$B108&amp;"'!"&amp;"$P$279:$AD$282"),7,FALSE)/1000</f>
        <v>0.27564999999999995</v>
      </c>
      <c r="Q108" s="81">
        <f t="shared" ref="Q108:Q113" ca="1" si="111">VLOOKUP($AD108,INDIRECT("'"&amp;$B108&amp;"'!"&amp;"$P$279:$AD$282"),8,FALSE)</f>
        <v>5.7509861111111107</v>
      </c>
      <c r="R108" s="81">
        <v>3.1536000000000002E-2</v>
      </c>
      <c r="S108" s="199">
        <v>0.5</v>
      </c>
      <c r="T108" s="199">
        <f ca="1">HLOOKUP($T$2,INDIRECT("'"&amp;$B108&amp;"'!"&amp;"$P$246:$AC$259"),IF(H108=$AI$13,6,IF(H108=$AI$14,9,14)),FALSE)</f>
        <v>0</v>
      </c>
      <c r="U108" s="773"/>
      <c r="V108" s="199">
        <f t="shared" ref="V108" ca="1" si="112">IF(IF(RIGHT(H108,2)="PH",(1-L108)+$W$2,IF(RIGHT(H108,2)="HT",(1-L108)+$W$1,IF(RIGHT(H108,2)="SH",(1-L108)+$W$3,"")))&gt;0,IF(RIGHT(H108,2)="PH",(1-L108)+$W$2,IF(RIGHT(H108,2)="HT",(1-L108)+$W$1,IF(RIGHT(H108,2)="SH",(1-L108)+$W$3,""))),0)</f>
        <v>3.8103905227316492E-2</v>
      </c>
      <c r="W108" s="709"/>
      <c r="X108" s="698">
        <f t="shared" ca="1" si="79"/>
        <v>11</v>
      </c>
      <c r="Y108" s="698">
        <f t="shared" ref="Y108:Y113" ca="1" si="113">VLOOKUP($AD108,INDIRECT("'"&amp;$B108&amp;"'!"&amp;"$P$279:$AD$282"),12,FALSE)</f>
        <v>63</v>
      </c>
      <c r="Z108" s="698">
        <f t="shared" ref="Z108:Z113" ca="1" si="114">VLOOKUP($AD108,INDIRECT("'"&amp;$B108&amp;"'!"&amp;"$P$279:$AD$282"),13,FALSE)</f>
        <v>11</v>
      </c>
      <c r="AA108" s="698">
        <f t="shared" ref="AA108:AA113" ca="1" si="115">VLOOKUP($AD108,INDIRECT("'"&amp;$B108&amp;"'!"&amp;"$P$279:$AD$282"),14,FALSE)</f>
        <v>3</v>
      </c>
      <c r="AB108" s="698">
        <f t="shared" ref="AB108:AB113" ca="1" si="116">VLOOKUP($AD108,INDIRECT("'"&amp;$B108&amp;"'!"&amp;"$P$279:$AD$282"),15,FALSE)</f>
        <v>10</v>
      </c>
      <c r="AC108" s="55"/>
      <c r="AD108" s="81">
        <v>2020</v>
      </c>
      <c r="AE108" s="81"/>
      <c r="AF108" s="700"/>
    </row>
    <row r="109" spans="2:32">
      <c r="B109" s="718" t="s">
        <v>1008</v>
      </c>
      <c r="C109" s="226"/>
      <c r="D109" s="261"/>
      <c r="E109" s="261"/>
      <c r="F109" s="224" t="s">
        <v>1149</v>
      </c>
      <c r="G109" s="55"/>
      <c r="H109" s="174"/>
      <c r="I109" s="174" t="str">
        <f t="shared" si="22"/>
        <v>INDSWH</v>
      </c>
      <c r="J109" s="224">
        <f t="shared" si="32"/>
        <v>2030</v>
      </c>
      <c r="K109" s="81"/>
      <c r="L109" s="199">
        <f t="shared" ca="1" si="108"/>
        <v>1.1618960947726835</v>
      </c>
      <c r="M109" s="199"/>
      <c r="N109" s="81"/>
      <c r="O109" s="723">
        <f t="shared" ca="1" si="109"/>
        <v>4.8425000000000002</v>
      </c>
      <c r="P109" s="723">
        <f t="shared" ca="1" si="110"/>
        <v>0.267455</v>
      </c>
      <c r="Q109" s="81">
        <f t="shared" ca="1" si="111"/>
        <v>5.8461805555555557</v>
      </c>
      <c r="R109" s="300"/>
      <c r="S109" s="300"/>
      <c r="T109" s="300"/>
      <c r="U109" s="300"/>
      <c r="V109" s="199">
        <f t="shared" ref="V109" ca="1" si="117">IF(IF(RIGHT(H108,2)="PH",(1-L109)+$W$2,IF(RIGHT(H108,2)="HT",(1-L109)+$W$1,IF(RIGHT(H108,2)="SH",(1-L109)+$W$3,"")))&gt;0,IF(RIGHT(H108,2)="PH",(1-L109)+$W$2,IF(RIGHT(H108,2)="HT",(1-L109)+$W$1,IF(RIGHT(H108,2)="SH",(1-L109)+$W$3,""))),0)</f>
        <v>3.8103905227316492E-2</v>
      </c>
      <c r="W109" s="298"/>
      <c r="X109" s="698">
        <f t="shared" ca="1" si="79"/>
        <v>11</v>
      </c>
      <c r="Y109" s="698">
        <f t="shared" ca="1" si="113"/>
        <v>49</v>
      </c>
      <c r="Z109" s="698">
        <f t="shared" ca="1" si="114"/>
        <v>8</v>
      </c>
      <c r="AA109" s="698">
        <f t="shared" ca="1" si="115"/>
        <v>3</v>
      </c>
      <c r="AB109" s="698">
        <f t="shared" ca="1" si="116"/>
        <v>10</v>
      </c>
      <c r="AC109" s="55"/>
      <c r="AD109" s="81">
        <v>2030</v>
      </c>
      <c r="AE109" s="81"/>
      <c r="AF109" s="700"/>
    </row>
    <row r="110" spans="2:32">
      <c r="B110" s="718" t="s">
        <v>1008</v>
      </c>
      <c r="C110" s="226"/>
      <c r="D110" s="261"/>
      <c r="E110" s="261"/>
      <c r="F110" s="224" t="s">
        <v>1149</v>
      </c>
      <c r="G110" s="55"/>
      <c r="H110" s="174"/>
      <c r="I110" s="174" t="str">
        <f t="shared" si="22"/>
        <v>INDSWH</v>
      </c>
      <c r="J110" s="224">
        <f t="shared" si="32"/>
        <v>2050</v>
      </c>
      <c r="K110" s="81"/>
      <c r="L110" s="199">
        <f t="shared" ca="1" si="108"/>
        <v>1.1618960947726835</v>
      </c>
      <c r="M110" s="199"/>
      <c r="N110" s="81"/>
      <c r="O110" s="723">
        <f t="shared" ca="1" si="109"/>
        <v>4.3955000000000002</v>
      </c>
      <c r="P110" s="723">
        <f t="shared" ca="1" si="110"/>
        <v>0.25106499999999998</v>
      </c>
      <c r="Q110" s="81">
        <f t="shared" ca="1" si="111"/>
        <v>5.8937777777777782</v>
      </c>
      <c r="R110" s="300"/>
      <c r="S110" s="300"/>
      <c r="T110" s="300"/>
      <c r="U110" s="300"/>
      <c r="V110" s="199">
        <f t="shared" ref="V110" ca="1" si="118">IF(IF(RIGHT(H108,2)="PH",(1-L110)+$W$2,IF(RIGHT(H108,2)="HT",(1-L110)+$W$1,IF(RIGHT(H108,2)="SH",(1-L110)+$W$3,"")))&gt;0,IF(RIGHT(H108,2)="PH",(1-L110)+$W$2,IF(RIGHT(H108,2)="HT",(1-L110)+$W$1,IF(RIGHT(H108,2)="SH",(1-L110)+$W$3,""))),0)</f>
        <v>3.8103905227316492E-2</v>
      </c>
      <c r="W110" s="298"/>
      <c r="X110" s="698">
        <f t="shared" ca="1" si="79"/>
        <v>11</v>
      </c>
      <c r="Y110" s="698">
        <f t="shared" ca="1" si="113"/>
        <v>41</v>
      </c>
      <c r="Z110" s="698">
        <f t="shared" ca="1" si="114"/>
        <v>4</v>
      </c>
      <c r="AA110" s="698">
        <f t="shared" ca="1" si="115"/>
        <v>1</v>
      </c>
      <c r="AB110" s="698">
        <f t="shared" ca="1" si="116"/>
        <v>10</v>
      </c>
      <c r="AC110" s="203"/>
      <c r="AD110" s="81">
        <v>2050</v>
      </c>
      <c r="AE110" s="81"/>
      <c r="AF110" s="705"/>
    </row>
    <row r="111" spans="2:32">
      <c r="B111" s="718" t="s">
        <v>1008</v>
      </c>
      <c r="C111" s="226"/>
      <c r="D111" s="261" t="str">
        <f>"IND"&amp;RIGHT(H111,4)&amp;RIGHT(G111,3)&amp;"N"&amp;RIGHT(E111,1)</f>
        <v>INDSDSHWCHN4</v>
      </c>
      <c r="E111" s="261" t="str">
        <f>"Industrial heating technology "&amp;$AJ$12&amp;" "&amp;RIGHT(H111,2)&amp;" - Wood chip boiler (Hot Water- condensing) - new 4"</f>
        <v>Industrial heating technology Iron &amp; Steel SH - Wood chip boiler (Hot Water- condensing) - new 4</v>
      </c>
      <c r="F111" s="224" t="s">
        <v>1149</v>
      </c>
      <c r="G111" s="174" t="s">
        <v>498</v>
      </c>
      <c r="H111" s="174" t="str">
        <f>$AI$15</f>
        <v>ISDSH</v>
      </c>
      <c r="I111" s="174" t="str">
        <f t="shared" si="22"/>
        <v>INDSWH</v>
      </c>
      <c r="J111" s="224">
        <f t="shared" si="32"/>
        <v>2011</v>
      </c>
      <c r="K111" s="299">
        <v>2025</v>
      </c>
      <c r="L111" s="199">
        <f t="shared" ca="1" si="108"/>
        <v>1.1618960947726835</v>
      </c>
      <c r="M111" s="199"/>
      <c r="N111" s="81">
        <f ca="1">VLOOKUP($AD111,INDIRECT("'"&amp;$B111&amp;"'!"&amp;"$P$279:$AD$282"),5,FALSE)</f>
        <v>25</v>
      </c>
      <c r="O111" s="723">
        <f t="shared" ca="1" si="109"/>
        <v>5.0660000000000007</v>
      </c>
      <c r="P111" s="723">
        <f t="shared" ca="1" si="110"/>
        <v>0.27564999999999995</v>
      </c>
      <c r="Q111" s="81">
        <f t="shared" ca="1" si="111"/>
        <v>5.7509861111111107</v>
      </c>
      <c r="R111" s="81">
        <v>3.1536000000000002E-2</v>
      </c>
      <c r="S111" s="199">
        <v>0.5</v>
      </c>
      <c r="T111" s="199">
        <f ca="1">HLOOKUP($T$2,INDIRECT("'"&amp;$B111&amp;"'!"&amp;"$P$246:$AC$259"),IF(H111=$AI$13,6,IF(H111=$AI$14,9,14)),FALSE)</f>
        <v>0</v>
      </c>
      <c r="U111" s="773"/>
      <c r="V111" s="199">
        <f t="shared" ref="V111" ca="1" si="119">IF(IF(RIGHT(H111,2)="PH",(1-L111)+$W$2,IF(RIGHT(H111,2)="HT",(1-L111)+$W$1,IF(RIGHT(H111,2)="SH",(1-L111)+$W$3,"")))&gt;0,IF(RIGHT(H111,2)="PH",(1-L111)+$W$2,IF(RIGHT(H111,2)="HT",(1-L111)+$W$1,IF(RIGHT(H111,2)="SH",(1-L111)+$W$3,""))),0)</f>
        <v>0</v>
      </c>
      <c r="W111" s="709"/>
      <c r="X111" s="698">
        <f t="shared" ca="1" si="79"/>
        <v>11</v>
      </c>
      <c r="Y111" s="698">
        <f t="shared" ca="1" si="113"/>
        <v>63</v>
      </c>
      <c r="Z111" s="698">
        <f t="shared" ca="1" si="114"/>
        <v>11</v>
      </c>
      <c r="AA111" s="698">
        <f t="shared" ca="1" si="115"/>
        <v>3</v>
      </c>
      <c r="AB111" s="698">
        <f t="shared" ca="1" si="116"/>
        <v>10</v>
      </c>
      <c r="AD111" s="81">
        <v>2020</v>
      </c>
      <c r="AE111" s="81"/>
      <c r="AF111" s="220"/>
    </row>
    <row r="112" spans="2:32">
      <c r="B112" s="718" t="s">
        <v>1008</v>
      </c>
      <c r="C112" s="226"/>
      <c r="D112" s="261"/>
      <c r="E112" s="261"/>
      <c r="F112" s="224" t="s">
        <v>1149</v>
      </c>
      <c r="G112" s="55"/>
      <c r="H112" s="174"/>
      <c r="I112" s="174" t="str">
        <f t="shared" si="22"/>
        <v>INDSWH</v>
      </c>
      <c r="J112" s="224">
        <f t="shared" si="32"/>
        <v>2030</v>
      </c>
      <c r="K112" s="81"/>
      <c r="L112" s="199">
        <f t="shared" ca="1" si="108"/>
        <v>1.1618960947726835</v>
      </c>
      <c r="M112" s="199"/>
      <c r="N112" s="81"/>
      <c r="O112" s="723">
        <f t="shared" ca="1" si="109"/>
        <v>4.8425000000000002</v>
      </c>
      <c r="P112" s="723">
        <f t="shared" ca="1" si="110"/>
        <v>0.267455</v>
      </c>
      <c r="Q112" s="81">
        <f t="shared" ca="1" si="111"/>
        <v>5.8461805555555557</v>
      </c>
      <c r="R112" s="300"/>
      <c r="S112" s="300"/>
      <c r="T112" s="300"/>
      <c r="U112" s="300"/>
      <c r="V112" s="199">
        <f t="shared" ref="V112" ca="1" si="120">IF(IF(RIGHT(H111,2)="PH",(1-L112)+$W$2,IF(RIGHT(H111,2)="HT",(1-L112)+$W$1,IF(RIGHT(H111,2)="SH",(1-L112)+$W$3,"")))&gt;0,IF(RIGHT(H111,2)="PH",(1-L112)+$W$2,IF(RIGHT(H111,2)="HT",(1-L112)+$W$1,IF(RIGHT(H111,2)="SH",(1-L112)+$W$3,""))),0)</f>
        <v>0</v>
      </c>
      <c r="W112" s="298"/>
      <c r="X112" s="698">
        <f t="shared" ca="1" si="79"/>
        <v>11</v>
      </c>
      <c r="Y112" s="698">
        <f t="shared" ca="1" si="113"/>
        <v>49</v>
      </c>
      <c r="Z112" s="698">
        <f t="shared" ca="1" si="114"/>
        <v>8</v>
      </c>
      <c r="AA112" s="698">
        <f t="shared" ca="1" si="115"/>
        <v>3</v>
      </c>
      <c r="AB112" s="698">
        <f t="shared" ca="1" si="116"/>
        <v>10</v>
      </c>
      <c r="AD112" s="81">
        <v>2030</v>
      </c>
      <c r="AE112" s="81"/>
      <c r="AF112" s="220"/>
    </row>
    <row r="113" spans="2:32">
      <c r="B113" s="719" t="s">
        <v>1008</v>
      </c>
      <c r="C113" s="713"/>
      <c r="D113" s="701"/>
      <c r="E113" s="701"/>
      <c r="F113" s="224" t="s">
        <v>1149</v>
      </c>
      <c r="G113" s="203"/>
      <c r="H113" s="702"/>
      <c r="I113" s="702" t="str">
        <f t="shared" si="22"/>
        <v>INDSWH</v>
      </c>
      <c r="J113" s="224">
        <f t="shared" si="32"/>
        <v>2050</v>
      </c>
      <c r="K113" s="81"/>
      <c r="L113" s="199">
        <f t="shared" ca="1" si="108"/>
        <v>1.1618960947726835</v>
      </c>
      <c r="M113" s="199"/>
      <c r="N113" s="81"/>
      <c r="O113" s="723">
        <f t="shared" ca="1" si="109"/>
        <v>4.3955000000000002</v>
      </c>
      <c r="P113" s="723">
        <f t="shared" ca="1" si="110"/>
        <v>0.25106499999999998</v>
      </c>
      <c r="Q113" s="81">
        <f t="shared" ca="1" si="111"/>
        <v>5.8937777777777782</v>
      </c>
      <c r="R113" s="300"/>
      <c r="S113" s="300"/>
      <c r="T113" s="300"/>
      <c r="U113" s="300"/>
      <c r="V113" s="199">
        <f t="shared" ref="V113" ca="1" si="121">IF(IF(RIGHT(H111,2)="PH",(1-L113)+$W$2,IF(RIGHT(H111,2)="HT",(1-L113)+$W$1,IF(RIGHT(H111,2)="SH",(1-L113)+$W$3,"")))&gt;0,IF(RIGHT(H111,2)="PH",(1-L113)+$W$2,IF(RIGHT(H111,2)="HT",(1-L113)+$W$1,IF(RIGHT(H111,2)="SH",(1-L113)+$W$3,""))),0)</f>
        <v>0</v>
      </c>
      <c r="W113" s="714"/>
      <c r="X113" s="698">
        <f t="shared" ca="1" si="79"/>
        <v>11</v>
      </c>
      <c r="Y113" s="698">
        <f t="shared" ca="1" si="113"/>
        <v>41</v>
      </c>
      <c r="Z113" s="698">
        <f t="shared" ca="1" si="114"/>
        <v>4</v>
      </c>
      <c r="AA113" s="698">
        <f t="shared" ca="1" si="115"/>
        <v>1</v>
      </c>
      <c r="AB113" s="698">
        <f t="shared" ca="1" si="116"/>
        <v>10</v>
      </c>
      <c r="AD113" s="81">
        <v>2050</v>
      </c>
      <c r="AE113" s="81"/>
      <c r="AF113" s="220"/>
    </row>
    <row r="114" spans="2:32">
      <c r="B114" s="718" t="s">
        <v>1014</v>
      </c>
      <c r="C114" s="226"/>
      <c r="D114" s="212" t="str">
        <f>"IND"&amp;RIGHT(H114,4)&amp;RIGHT(G114,3)&amp;"N"&amp;RIGHT(E114,2)</f>
        <v>INDSDPHELCN10</v>
      </c>
      <c r="E114" s="261" t="str">
        <f>"Industrial heating technology "&amp;$AJ$12&amp;" "&amp;RIGHT(H114,2)&amp;" - Direct electric heating - new 10"</f>
        <v>Industrial heating technology Iron &amp; Steel PH - Direct electric heating - new 10</v>
      </c>
      <c r="F114" s="224" t="s">
        <v>1149</v>
      </c>
      <c r="G114" s="173" t="s">
        <v>499</v>
      </c>
      <c r="H114" s="174" t="str">
        <f>$AI$13</f>
        <v>ISDPH</v>
      </c>
      <c r="I114" s="174" t="str">
        <f t="shared" si="22"/>
        <v>INDSWH</v>
      </c>
      <c r="J114" s="224">
        <f t="shared" si="32"/>
        <v>2011</v>
      </c>
      <c r="K114" s="299">
        <v>2020</v>
      </c>
      <c r="L114" s="199">
        <f t="shared" ref="L114:L128" ca="1" si="122">VLOOKUP($AD114,INDIRECT("'"&amp;$B114&amp;"'!"&amp;"$P$39:$AD$42"),3,FALSE)</f>
        <v>1</v>
      </c>
      <c r="M114" s="199"/>
      <c r="N114" s="81">
        <f ca="1">VLOOKUP($AD114,INDIRECT("'"&amp;$B114&amp;"'!"&amp;"$P$39:$AD$42"),5,FALSE)</f>
        <v>12.5</v>
      </c>
      <c r="O114" s="723">
        <f t="shared" ref="O114:O128" ca="1" si="123">VLOOKUP($AD114,INDIRECT("'"&amp;$B114&amp;"'!"&amp;"$P$39:$AD$42"),6,FALSE)/1000</f>
        <v>0.44700000000000001</v>
      </c>
      <c r="P114" s="723">
        <f t="shared" ref="P114:P128" ca="1" si="124">VLOOKUP($AD114,INDIRECT("'"&amp;$B114&amp;"'!"&amp;"$P$39:$AD$42"),7,FALSE)/1000</f>
        <v>0</v>
      </c>
      <c r="Q114" s="81">
        <f t="shared" ref="Q114:Q128" ca="1" si="125">VLOOKUP($AD114,INDIRECT("'"&amp;$B114&amp;"'!"&amp;"$P$39:$AD$42"),8,FALSE)</f>
        <v>0.37767361111111114</v>
      </c>
      <c r="R114" s="81">
        <v>3.1536000000000002E-2</v>
      </c>
      <c r="S114" s="199">
        <v>0.5</v>
      </c>
      <c r="T114" s="199">
        <f ca="1">HLOOKUP($S$2,INDIRECT("'"&amp;$B114&amp;"'!"&amp;"$P$6:$AC$19"),IF(H114=$AI$13,6,IF(H114=$AI$14,9,14)),FALSE)</f>
        <v>0.05</v>
      </c>
      <c r="U114" s="772"/>
      <c r="V114" s="199">
        <f t="shared" ref="V114" ca="1" si="126">IF(IF(RIGHT(H114,2)="PH",(1-L114)+$W$2,IF(RIGHT(H114,2)="HT",(1-L114)+$W$1,IF(RIGHT(H114,2)="SH",(1-L114)+$W$3,"")))&gt;0,IF(RIGHT(H114,2)="PH",(1-L114)+$W$2,IF(RIGHT(H114,2)="HT",(1-L114)+$W$1,IF(RIGHT(H114,2)="SH",(1-L114)+$W$3,""))),0)</f>
        <v>0.2</v>
      </c>
      <c r="W114" s="298"/>
      <c r="X114" s="698">
        <f t="shared" ca="1" si="79"/>
        <v>0</v>
      </c>
      <c r="Y114" s="81">
        <f t="shared" ref="Y114:Y128" ca="1" si="127">VLOOKUP($AD114,INDIRECT("'"&amp;$B114&amp;"'!"&amp;"$P$39:$AD$42"),12,FALSE)</f>
        <v>0</v>
      </c>
      <c r="Z114" s="81">
        <f t="shared" ref="Z114:Z128" ca="1" si="128">VLOOKUP($AD114,INDIRECT("'"&amp;$B114&amp;"'!"&amp;"$P$39:$AD$42"),13,FALSE)</f>
        <v>0</v>
      </c>
      <c r="AA114" s="81">
        <f t="shared" ref="AA114:AA128" ca="1" si="129">VLOOKUP($AD114,INDIRECT("'"&amp;$B114&amp;"'!"&amp;"$P$39:$AD$42"),14,FALSE)</f>
        <v>0</v>
      </c>
      <c r="AB114" s="81">
        <f t="shared" ref="AB114:AB128" ca="1" si="130">VLOOKUP($AD114,INDIRECT("'"&amp;$B114&amp;"'!"&amp;"$P$39:$AD$42"),15,FALSE)</f>
        <v>0</v>
      </c>
      <c r="AD114" s="81">
        <v>2020</v>
      </c>
      <c r="AE114" s="81"/>
      <c r="AF114" s="220"/>
    </row>
    <row r="115" spans="2:32">
      <c r="B115" s="718" t="s">
        <v>1014</v>
      </c>
      <c r="C115" s="226"/>
      <c r="D115" s="212"/>
      <c r="E115" s="212"/>
      <c r="F115" s="224" t="s">
        <v>1149</v>
      </c>
      <c r="H115" s="174"/>
      <c r="I115" s="174" t="str">
        <f t="shared" si="22"/>
        <v>INDSWH</v>
      </c>
      <c r="J115" s="224">
        <f t="shared" si="32"/>
        <v>2030</v>
      </c>
      <c r="K115" s="81"/>
      <c r="L115" s="199">
        <f t="shared" ca="1" si="122"/>
        <v>1</v>
      </c>
      <c r="M115" s="199"/>
      <c r="N115" s="81"/>
      <c r="O115" s="723">
        <f t="shared" ca="1" si="123"/>
        <v>0.44700000000000001</v>
      </c>
      <c r="P115" s="723">
        <f t="shared" ca="1" si="124"/>
        <v>0</v>
      </c>
      <c r="Q115" s="81">
        <f t="shared" ca="1" si="125"/>
        <v>0.38802083333333331</v>
      </c>
      <c r="R115" s="300"/>
      <c r="S115" s="300"/>
      <c r="T115" s="300"/>
      <c r="U115" s="300"/>
      <c r="V115" s="199">
        <f t="shared" ref="V115" ca="1" si="131">IF(IF(RIGHT(H114,2)="PH",(1-L115)+$W$2,IF(RIGHT(H114,2)="HT",(1-L115)+$W$1,IF(RIGHT(H114,2)="SH",(1-L115)+$W$3,"")))&gt;0,IF(RIGHT(H114,2)="PH",(1-L115)+$W$2,IF(RIGHT(H114,2)="HT",(1-L115)+$W$1,IF(RIGHT(H114,2)="SH",(1-L115)+$W$3,""))),0)</f>
        <v>0.2</v>
      </c>
      <c r="W115" s="298"/>
      <c r="X115" s="698">
        <f t="shared" ca="1" si="79"/>
        <v>0</v>
      </c>
      <c r="Y115" s="81">
        <f t="shared" ca="1" si="127"/>
        <v>0</v>
      </c>
      <c r="Z115" s="81">
        <f t="shared" ca="1" si="128"/>
        <v>0</v>
      </c>
      <c r="AA115" s="81">
        <f t="shared" ca="1" si="129"/>
        <v>0</v>
      </c>
      <c r="AB115" s="81">
        <f t="shared" ca="1" si="130"/>
        <v>0</v>
      </c>
      <c r="AD115" s="81">
        <v>2030</v>
      </c>
      <c r="AE115" s="81"/>
      <c r="AF115" s="220"/>
    </row>
    <row r="116" spans="2:32">
      <c r="B116" s="718" t="s">
        <v>1014</v>
      </c>
      <c r="C116" s="226"/>
      <c r="D116" s="212"/>
      <c r="E116" s="212"/>
      <c r="F116" s="224" t="s">
        <v>1149</v>
      </c>
      <c r="H116" s="174"/>
      <c r="I116" s="174" t="str">
        <f t="shared" si="22"/>
        <v>INDSWH</v>
      </c>
      <c r="J116" s="224">
        <f t="shared" si="32"/>
        <v>2050</v>
      </c>
      <c r="K116" s="81"/>
      <c r="L116" s="199">
        <f t="shared" ca="1" si="122"/>
        <v>1</v>
      </c>
      <c r="M116" s="199"/>
      <c r="N116" s="81"/>
      <c r="O116" s="723">
        <f t="shared" ca="1" si="123"/>
        <v>0.44700000000000001</v>
      </c>
      <c r="P116" s="723">
        <f t="shared" ca="1" si="124"/>
        <v>0</v>
      </c>
      <c r="Q116" s="81">
        <f t="shared" ca="1" si="125"/>
        <v>0.39319444444444446</v>
      </c>
      <c r="R116" s="300"/>
      <c r="S116" s="300"/>
      <c r="T116" s="300"/>
      <c r="U116" s="300"/>
      <c r="V116" s="199">
        <f t="shared" ref="V116" ca="1" si="132">IF(IF(RIGHT(H114,2)="PH",(1-L116)+$W$2,IF(RIGHT(H114,2)="HT",(1-L116)+$W$1,IF(RIGHT(H114,2)="SH",(1-L116)+$W$3,"")))&gt;0,IF(RIGHT(H114,2)="PH",(1-L116)+$W$2,IF(RIGHT(H114,2)="HT",(1-L116)+$W$1,IF(RIGHT(H114,2)="SH",(1-L116)+$W$3,""))),0)</f>
        <v>0.2</v>
      </c>
      <c r="W116" s="298"/>
      <c r="X116" s="698">
        <f t="shared" ca="1" si="79"/>
        <v>0</v>
      </c>
      <c r="Y116" s="81">
        <f t="shared" ca="1" si="127"/>
        <v>0</v>
      </c>
      <c r="Z116" s="81">
        <f t="shared" ca="1" si="128"/>
        <v>0</v>
      </c>
      <c r="AA116" s="81">
        <f t="shared" ca="1" si="129"/>
        <v>0</v>
      </c>
      <c r="AB116" s="81">
        <f t="shared" ca="1" si="130"/>
        <v>0</v>
      </c>
      <c r="AC116" s="203"/>
      <c r="AD116" s="81">
        <v>2050</v>
      </c>
      <c r="AE116" s="81"/>
      <c r="AF116" s="705"/>
    </row>
    <row r="117" spans="2:32">
      <c r="B117" s="718" t="s">
        <v>1014</v>
      </c>
      <c r="C117" s="226"/>
      <c r="D117" s="212" t="str">
        <f>"IND"&amp;RIGHT(H117,4)&amp;RIGHT(G117,3)&amp;"N"&amp;RIGHT(E117,2)</f>
        <v>INDSDPHELCN10</v>
      </c>
      <c r="E117" s="261" t="str">
        <f>"Industrial heating technology "&amp;$AJ$12&amp;" "&amp;RIGHT(H117,2)&amp;" - Direct electric heating - new 10"</f>
        <v>Industrial heating technology Iron &amp; Steel PH - Direct electric heating - new 10</v>
      </c>
      <c r="F117" s="224" t="s">
        <v>1149</v>
      </c>
      <c r="G117" s="173" t="s">
        <v>499</v>
      </c>
      <c r="H117" s="174" t="str">
        <f>$AI$14</f>
        <v>ISDPH</v>
      </c>
      <c r="I117" s="174" t="str">
        <f t="shared" si="22"/>
        <v>INDSWH</v>
      </c>
      <c r="J117" s="224">
        <f t="shared" si="32"/>
        <v>2011</v>
      </c>
      <c r="K117" s="299">
        <v>2020</v>
      </c>
      <c r="L117" s="199">
        <f t="shared" ca="1" si="122"/>
        <v>1</v>
      </c>
      <c r="M117" s="199"/>
      <c r="N117" s="81">
        <f ca="1">VLOOKUP($AD117,INDIRECT("'"&amp;$B117&amp;"'!"&amp;"$P$39:$AD$42"),5,FALSE)</f>
        <v>12.5</v>
      </c>
      <c r="O117" s="723">
        <f t="shared" ca="1" si="123"/>
        <v>0.44700000000000001</v>
      </c>
      <c r="P117" s="723">
        <f t="shared" ca="1" si="124"/>
        <v>0</v>
      </c>
      <c r="Q117" s="81">
        <f t="shared" ca="1" si="125"/>
        <v>0.37767361111111114</v>
      </c>
      <c r="R117" s="81">
        <v>3.1536000000000002E-2</v>
      </c>
      <c r="S117" s="199">
        <v>0.5</v>
      </c>
      <c r="T117" s="199">
        <f ca="1">HLOOKUP($S$2,INDIRECT("'"&amp;$B117&amp;"'!"&amp;"$P$6:$AC$19"),IF(H117=$AI$13,6,IF(H117=$AI$14,9,14)),FALSE)</f>
        <v>0.05</v>
      </c>
      <c r="U117" s="772"/>
      <c r="V117" s="199">
        <f t="shared" ref="V117" ca="1" si="133">IF(IF(RIGHT(H117,2)="PH",(1-L117)+$W$2,IF(RIGHT(H117,2)="HT",(1-L117)+$W$1,IF(RIGHT(H117,2)="SH",(1-L117)+$W$3,"")))&gt;0,IF(RIGHT(H117,2)="PH",(1-L117)+$W$2,IF(RIGHT(H117,2)="HT",(1-L117)+$W$1,IF(RIGHT(H117,2)="SH",(1-L117)+$W$3,""))),0)</f>
        <v>0.2</v>
      </c>
      <c r="W117" s="298"/>
      <c r="X117" s="698">
        <f t="shared" ca="1" si="79"/>
        <v>0</v>
      </c>
      <c r="Y117" s="81">
        <f t="shared" ca="1" si="127"/>
        <v>0</v>
      </c>
      <c r="Z117" s="81">
        <f t="shared" ca="1" si="128"/>
        <v>0</v>
      </c>
      <c r="AA117" s="81">
        <f t="shared" ca="1" si="129"/>
        <v>0</v>
      </c>
      <c r="AB117" s="81">
        <f t="shared" ca="1" si="130"/>
        <v>0</v>
      </c>
      <c r="AD117" s="81">
        <v>2020</v>
      </c>
      <c r="AE117" s="299"/>
      <c r="AF117" s="220"/>
    </row>
    <row r="118" spans="2:32">
      <c r="B118" s="718" t="s">
        <v>1014</v>
      </c>
      <c r="C118" s="226"/>
      <c r="D118" s="212"/>
      <c r="E118" s="212"/>
      <c r="F118" s="224" t="s">
        <v>1149</v>
      </c>
      <c r="H118" s="174"/>
      <c r="I118" s="174" t="str">
        <f t="shared" si="22"/>
        <v>INDSWH</v>
      </c>
      <c r="J118" s="224">
        <f t="shared" si="32"/>
        <v>2030</v>
      </c>
      <c r="K118" s="81"/>
      <c r="L118" s="199">
        <f t="shared" ca="1" si="122"/>
        <v>1</v>
      </c>
      <c r="M118" s="199"/>
      <c r="N118" s="81"/>
      <c r="O118" s="723">
        <f t="shared" ca="1" si="123"/>
        <v>0.44700000000000001</v>
      </c>
      <c r="P118" s="723">
        <f t="shared" ca="1" si="124"/>
        <v>0</v>
      </c>
      <c r="Q118" s="81">
        <f t="shared" ca="1" si="125"/>
        <v>0.38802083333333331</v>
      </c>
      <c r="R118" s="300"/>
      <c r="S118" s="300"/>
      <c r="T118" s="300"/>
      <c r="U118" s="300"/>
      <c r="V118" s="199">
        <f t="shared" ref="V118" ca="1" si="134">IF(IF(RIGHT(H117,2)="PH",(1-L118)+$W$2,IF(RIGHT(H117,2)="HT",(1-L118)+$W$1,IF(RIGHT(H117,2)="SH",(1-L118)+$W$3,"")))&gt;0,IF(RIGHT(H117,2)="PH",(1-L118)+$W$2,IF(RIGHT(H117,2)="HT",(1-L118)+$W$1,IF(RIGHT(H117,2)="SH",(1-L118)+$W$3,""))),0)</f>
        <v>0.2</v>
      </c>
      <c r="W118" s="298"/>
      <c r="X118" s="698">
        <f t="shared" ca="1" si="79"/>
        <v>0</v>
      </c>
      <c r="Y118" s="81">
        <f t="shared" ca="1" si="127"/>
        <v>0</v>
      </c>
      <c r="Z118" s="81">
        <f t="shared" ca="1" si="128"/>
        <v>0</v>
      </c>
      <c r="AA118" s="81">
        <f t="shared" ca="1" si="129"/>
        <v>0</v>
      </c>
      <c r="AB118" s="81">
        <f t="shared" ca="1" si="130"/>
        <v>0</v>
      </c>
      <c r="AD118" s="81">
        <v>2030</v>
      </c>
      <c r="AE118" s="81"/>
      <c r="AF118" s="220"/>
    </row>
    <row r="119" spans="2:32">
      <c r="B119" s="719" t="s">
        <v>1014</v>
      </c>
      <c r="C119" s="713"/>
      <c r="D119" s="701"/>
      <c r="E119" s="701"/>
      <c r="F119" s="224" t="s">
        <v>1149</v>
      </c>
      <c r="G119" s="203"/>
      <c r="H119" s="702"/>
      <c r="I119" s="702" t="str">
        <f t="shared" si="22"/>
        <v>INDSWH</v>
      </c>
      <c r="J119" s="224">
        <f t="shared" si="32"/>
        <v>2050</v>
      </c>
      <c r="K119" s="81"/>
      <c r="L119" s="199">
        <f t="shared" ca="1" si="122"/>
        <v>1</v>
      </c>
      <c r="M119" s="199"/>
      <c r="N119" s="81"/>
      <c r="O119" s="723">
        <f t="shared" ca="1" si="123"/>
        <v>0.44700000000000001</v>
      </c>
      <c r="P119" s="723">
        <f t="shared" ca="1" si="124"/>
        <v>0</v>
      </c>
      <c r="Q119" s="81">
        <f t="shared" ca="1" si="125"/>
        <v>0.39319444444444446</v>
      </c>
      <c r="R119" s="703"/>
      <c r="S119" s="703"/>
      <c r="T119" s="703"/>
      <c r="U119" s="703"/>
      <c r="V119" s="199">
        <f t="shared" ref="V119" ca="1" si="135">IF(IF(RIGHT(H117,2)="PH",(1-L119)+$W$2,IF(RIGHT(H117,2)="HT",(1-L119)+$W$1,IF(RIGHT(H117,2)="SH",(1-L119)+$W$3,"")))&gt;0,IF(RIGHT(H117,2)="PH",(1-L119)+$W$2,IF(RIGHT(H117,2)="HT",(1-L119)+$W$1,IF(RIGHT(H117,2)="SH",(1-L119)+$W$3,""))),0)</f>
        <v>0.2</v>
      </c>
      <c r="W119" s="704"/>
      <c r="X119" s="698">
        <f t="shared" ca="1" si="79"/>
        <v>0</v>
      </c>
      <c r="Y119" s="81">
        <f t="shared" ca="1" si="127"/>
        <v>0</v>
      </c>
      <c r="Z119" s="81">
        <f t="shared" ca="1" si="128"/>
        <v>0</v>
      </c>
      <c r="AA119" s="81">
        <f t="shared" ca="1" si="129"/>
        <v>0</v>
      </c>
      <c r="AB119" s="81">
        <f t="shared" ca="1" si="130"/>
        <v>0</v>
      </c>
      <c r="AD119" s="81">
        <v>2050</v>
      </c>
      <c r="AE119" s="81"/>
      <c r="AF119" s="220"/>
    </row>
    <row r="120" spans="2:32">
      <c r="B120" s="718" t="s">
        <v>1009</v>
      </c>
      <c r="C120" s="226"/>
      <c r="D120" s="212" t="str">
        <f>"IND"&amp;RIGHT(H120,4)&amp;"DSL"&amp;"N"&amp;RIGHT(E120,1)</f>
        <v>INDSDPHDSLN1</v>
      </c>
      <c r="E120" s="261" t="str">
        <f>"Industrial heating technology "&amp;$AJ$12&amp;" "&amp;RIGHT(H120,2)&amp;" - Oil boiler (Steam) - new 1"</f>
        <v>Industrial heating technology Iron &amp; Steel PH - Oil boiler (Steam) - new 1</v>
      </c>
      <c r="F120" s="224" t="s">
        <v>1149</v>
      </c>
      <c r="G120" s="173" t="s">
        <v>2081</v>
      </c>
      <c r="H120" s="174" t="str">
        <f>$AI$13</f>
        <v>ISDPH</v>
      </c>
      <c r="I120" s="174" t="str">
        <f t="shared" si="22"/>
        <v>INDSWH</v>
      </c>
      <c r="J120" s="224">
        <f t="shared" si="32"/>
        <v>2011</v>
      </c>
      <c r="K120" s="299">
        <v>2025</v>
      </c>
      <c r="L120" s="199">
        <f t="shared" ca="1" si="122"/>
        <v>0.94</v>
      </c>
      <c r="M120" s="699"/>
      <c r="N120" s="299">
        <f ca="1">VLOOKUP($AD120,INDIRECT("'"&amp;$B120&amp;"'!"&amp;"$P$39:$AD$42"),5,FALSE)</f>
        <v>25</v>
      </c>
      <c r="O120" s="725">
        <f t="shared" ca="1" si="123"/>
        <v>0.40975</v>
      </c>
      <c r="P120" s="725">
        <f t="shared" ca="1" si="124"/>
        <v>1.341E-2</v>
      </c>
      <c r="Q120" s="299">
        <f t="shared" ca="1" si="125"/>
        <v>2.0694444444444446</v>
      </c>
      <c r="R120" s="299">
        <v>3.1536000000000002E-2</v>
      </c>
      <c r="S120" s="699">
        <v>0.5</v>
      </c>
      <c r="T120" s="699">
        <f ca="1">HLOOKUP($T$2,INDIRECT("'"&amp;$B120&amp;"'!"&amp;"$P$6:$AC$19"),IF(H120=$AI$13,6,IF(H120=$AI$14,9,14)),FALSE)</f>
        <v>1</v>
      </c>
      <c r="U120" s="772"/>
      <c r="V120" s="199">
        <f t="shared" ref="V120" ca="1" si="136">IF(IF(RIGHT(H120,2)="PH",(1-L120)+$W$2,IF(RIGHT(H120,2)="HT",(1-L120)+$W$1,IF(RIGHT(H120,2)="SH",(1-L120)+$W$3,"")))&gt;0,IF(RIGHT(H120,2)="PH",(1-L120)+$W$2,IF(RIGHT(H120,2)="HT",(1-L120)+$W$1,IF(RIGHT(H120,2)="SH",(1-L120)+$W$3,""))),0)</f>
        <v>0.26000000000000006</v>
      </c>
      <c r="W120" s="298"/>
      <c r="X120" s="698">
        <f t="shared" ca="1" si="79"/>
        <v>0.5</v>
      </c>
      <c r="Y120" s="299">
        <f t="shared" ca="1" si="127"/>
        <v>25</v>
      </c>
      <c r="Z120" s="299">
        <f t="shared" ca="1" si="128"/>
        <v>0</v>
      </c>
      <c r="AA120" s="299">
        <f t="shared" ca="1" si="129"/>
        <v>0</v>
      </c>
      <c r="AB120" s="299">
        <f t="shared" ca="1" si="130"/>
        <v>0.1</v>
      </c>
      <c r="AD120" s="299">
        <v>2020</v>
      </c>
      <c r="AE120" s="81"/>
      <c r="AF120" s="220"/>
    </row>
    <row r="121" spans="2:32">
      <c r="B121" s="718" t="s">
        <v>1009</v>
      </c>
      <c r="C121" s="226"/>
      <c r="D121" s="212"/>
      <c r="E121" s="212"/>
      <c r="F121" s="224" t="s">
        <v>1149</v>
      </c>
      <c r="H121" s="174"/>
      <c r="I121" s="174" t="str">
        <f t="shared" si="22"/>
        <v>INDSWH</v>
      </c>
      <c r="J121" s="224">
        <f t="shared" si="32"/>
        <v>2030</v>
      </c>
      <c r="K121" s="81"/>
      <c r="L121" s="199">
        <f t="shared" ca="1" si="122"/>
        <v>0.95</v>
      </c>
      <c r="M121" s="199"/>
      <c r="N121" s="81"/>
      <c r="O121" s="723">
        <f t="shared" ca="1" si="123"/>
        <v>0.3469940346244772</v>
      </c>
      <c r="P121" s="723">
        <f t="shared" ca="1" si="124"/>
        <v>1.2664999999999999E-2</v>
      </c>
      <c r="Q121" s="81">
        <f t="shared" ca="1" si="125"/>
        <v>1.8625</v>
      </c>
      <c r="R121" s="300"/>
      <c r="S121" s="300"/>
      <c r="T121" s="300"/>
      <c r="U121" s="300"/>
      <c r="V121" s="199">
        <f t="shared" ref="V121" ca="1" si="137">IF(IF(RIGHT(H120,2)="PH",(1-L121)+$W$2,IF(RIGHT(H120,2)="HT",(1-L121)+$W$1,IF(RIGHT(H120,2)="SH",(1-L121)+$W$3,"")))&gt;0,IF(RIGHT(H120,2)="PH",(1-L121)+$W$2,IF(RIGHT(H120,2)="HT",(1-L121)+$W$1,IF(RIGHT(H120,2)="SH",(1-L121)+$W$3,""))),0)</f>
        <v>0.25000000000000006</v>
      </c>
      <c r="W121" s="298"/>
      <c r="X121" s="698">
        <f t="shared" ca="1" si="79"/>
        <v>0.5</v>
      </c>
      <c r="Y121" s="81">
        <f t="shared" ca="1" si="127"/>
        <v>20</v>
      </c>
      <c r="Z121" s="81">
        <f t="shared" ca="1" si="128"/>
        <v>0</v>
      </c>
      <c r="AA121" s="81">
        <f t="shared" ca="1" si="129"/>
        <v>0</v>
      </c>
      <c r="AB121" s="81">
        <f t="shared" ca="1" si="130"/>
        <v>0.1</v>
      </c>
      <c r="AD121" s="81">
        <v>2030</v>
      </c>
      <c r="AE121" s="81"/>
      <c r="AF121" s="220"/>
    </row>
    <row r="122" spans="2:32">
      <c r="B122" s="718" t="s">
        <v>1009</v>
      </c>
      <c r="C122" s="226"/>
      <c r="D122" s="212"/>
      <c r="E122" s="212"/>
      <c r="F122" s="224" t="s">
        <v>1149</v>
      </c>
      <c r="H122" s="174"/>
      <c r="I122" s="174" t="str">
        <f t="shared" si="22"/>
        <v>INDSWH</v>
      </c>
      <c r="J122" s="224">
        <f t="shared" si="32"/>
        <v>2050</v>
      </c>
      <c r="K122" s="81"/>
      <c r="L122" s="199">
        <f t="shared" ca="1" si="122"/>
        <v>0.96</v>
      </c>
      <c r="M122" s="199"/>
      <c r="N122" s="81"/>
      <c r="O122" s="723">
        <f t="shared" ca="1" si="123"/>
        <v>0.32813985758696651</v>
      </c>
      <c r="P122" s="723">
        <f t="shared" ca="1" si="124"/>
        <v>1.1175000000000001E-2</v>
      </c>
      <c r="Q122" s="81">
        <f t="shared" ca="1" si="125"/>
        <v>1.8625</v>
      </c>
      <c r="R122" s="300"/>
      <c r="S122" s="300"/>
      <c r="T122" s="300"/>
      <c r="U122" s="300"/>
      <c r="V122" s="199">
        <f t="shared" ref="V122" ca="1" si="138">IF(IF(RIGHT(H120,2)="PH",(1-L122)+$W$2,IF(RIGHT(H120,2)="HT",(1-L122)+$W$1,IF(RIGHT(H120,2)="SH",(1-L122)+$W$3,"")))&gt;0,IF(RIGHT(H120,2)="PH",(1-L122)+$W$2,IF(RIGHT(H120,2)="HT",(1-L122)+$W$1,IF(RIGHT(H120,2)="SH",(1-L122)+$W$3,""))),0)</f>
        <v>0.24000000000000005</v>
      </c>
      <c r="W122" s="298"/>
      <c r="X122" s="698">
        <f t="shared" ca="1" si="79"/>
        <v>0.5</v>
      </c>
      <c r="Y122" s="81">
        <f t="shared" ca="1" si="127"/>
        <v>15</v>
      </c>
      <c r="Z122" s="81">
        <f t="shared" ca="1" si="128"/>
        <v>0</v>
      </c>
      <c r="AA122" s="81">
        <f t="shared" ca="1" si="129"/>
        <v>0</v>
      </c>
      <c r="AB122" s="81">
        <f t="shared" ca="1" si="130"/>
        <v>0.1</v>
      </c>
      <c r="AD122" s="81">
        <v>2050</v>
      </c>
      <c r="AE122" s="81"/>
      <c r="AF122" s="220"/>
    </row>
    <row r="123" spans="2:32">
      <c r="B123" s="718" t="s">
        <v>1009</v>
      </c>
      <c r="C123" s="226"/>
      <c r="D123" s="212" t="str">
        <f>"IND"&amp;RIGHT(H123,4)&amp;"DSL"&amp;"N"&amp;RIGHT(E123,1)</f>
        <v>INDSDPHDSLN1</v>
      </c>
      <c r="E123" s="261" t="str">
        <f>"Industrial heating technology "&amp;$AJ$12&amp;" "&amp;RIGHT(H123,2)&amp;" - Oil boiler (Steam) - new 1"</f>
        <v>Industrial heating technology Iron &amp; Steel PH - Oil boiler (Steam) - new 1</v>
      </c>
      <c r="F123" s="224" t="s">
        <v>1149</v>
      </c>
      <c r="G123" s="173" t="s">
        <v>2081</v>
      </c>
      <c r="H123" s="174" t="str">
        <f>$AI$14</f>
        <v>ISDPH</v>
      </c>
      <c r="I123" s="174" t="str">
        <f t="shared" si="22"/>
        <v>INDSWH</v>
      </c>
      <c r="J123" s="224">
        <f t="shared" si="32"/>
        <v>2011</v>
      </c>
      <c r="K123" s="299">
        <v>2025</v>
      </c>
      <c r="L123" s="199">
        <f t="shared" ca="1" si="122"/>
        <v>0.94</v>
      </c>
      <c r="M123" s="199"/>
      <c r="N123" s="81">
        <f ca="1">VLOOKUP($AD123,INDIRECT("'"&amp;$B123&amp;"'!"&amp;"$P$39:$AD$42"),5,FALSE)</f>
        <v>25</v>
      </c>
      <c r="O123" s="723">
        <f t="shared" ca="1" si="123"/>
        <v>0.40975</v>
      </c>
      <c r="P123" s="723">
        <f t="shared" ca="1" si="124"/>
        <v>1.341E-2</v>
      </c>
      <c r="Q123" s="81">
        <f t="shared" ca="1" si="125"/>
        <v>2.0694444444444446</v>
      </c>
      <c r="R123" s="81">
        <v>3.1536000000000002E-2</v>
      </c>
      <c r="S123" s="199">
        <v>0.5</v>
      </c>
      <c r="T123" s="199">
        <f ca="1">HLOOKUP($T$2,INDIRECT("'"&amp;$B123&amp;"'!"&amp;"$P$6:$AC$19"),IF(H123=$AI$13,6,IF(H123=$AI$14,9,14)),FALSE)</f>
        <v>1</v>
      </c>
      <c r="U123" s="772"/>
      <c r="V123" s="199">
        <f t="shared" ref="V123" ca="1" si="139">IF(IF(RIGHT(H123,2)="PH",(1-L123)+$W$2,IF(RIGHT(H123,2)="HT",(1-L123)+$W$1,IF(RIGHT(H123,2)="SH",(1-L123)+$W$3,"")))&gt;0,IF(RIGHT(H123,2)="PH",(1-L123)+$W$2,IF(RIGHT(H123,2)="HT",(1-L123)+$W$1,IF(RIGHT(H123,2)="SH",(1-L123)+$W$3,""))),0)</f>
        <v>0.26000000000000006</v>
      </c>
      <c r="W123" s="298"/>
      <c r="X123" s="698">
        <f t="shared" ca="1" si="79"/>
        <v>0.5</v>
      </c>
      <c r="Y123" s="81">
        <f t="shared" ca="1" si="127"/>
        <v>25</v>
      </c>
      <c r="Z123" s="81">
        <f t="shared" ca="1" si="128"/>
        <v>0</v>
      </c>
      <c r="AA123" s="81">
        <f t="shared" ca="1" si="129"/>
        <v>0</v>
      </c>
      <c r="AB123" s="81">
        <f t="shared" ca="1" si="130"/>
        <v>0.1</v>
      </c>
      <c r="AD123" s="81">
        <v>2020</v>
      </c>
      <c r="AE123" s="81"/>
      <c r="AF123" s="220"/>
    </row>
    <row r="124" spans="2:32">
      <c r="B124" s="718" t="s">
        <v>1009</v>
      </c>
      <c r="C124" s="226"/>
      <c r="D124" s="212"/>
      <c r="E124" s="212"/>
      <c r="F124" s="224" t="s">
        <v>1149</v>
      </c>
      <c r="H124" s="174"/>
      <c r="I124" s="174" t="str">
        <f t="shared" si="22"/>
        <v>INDSWH</v>
      </c>
      <c r="J124" s="224">
        <f t="shared" si="32"/>
        <v>2030</v>
      </c>
      <c r="K124" s="81"/>
      <c r="L124" s="199">
        <f t="shared" ca="1" si="122"/>
        <v>0.95</v>
      </c>
      <c r="M124" s="199"/>
      <c r="N124" s="81"/>
      <c r="O124" s="723">
        <f t="shared" ca="1" si="123"/>
        <v>0.3469940346244772</v>
      </c>
      <c r="P124" s="723">
        <f t="shared" ca="1" si="124"/>
        <v>1.2664999999999999E-2</v>
      </c>
      <c r="Q124" s="81">
        <f t="shared" ca="1" si="125"/>
        <v>1.8625</v>
      </c>
      <c r="R124" s="300"/>
      <c r="S124" s="300"/>
      <c r="T124" s="300"/>
      <c r="U124" s="300"/>
      <c r="V124" s="199">
        <f t="shared" ref="V124" ca="1" si="140">IF(IF(RIGHT(H123,2)="PH",(1-L124)+$W$2,IF(RIGHT(H123,2)="HT",(1-L124)+$W$1,IF(RIGHT(H123,2)="SH",(1-L124)+$W$3,"")))&gt;0,IF(RIGHT(H123,2)="PH",(1-L124)+$W$2,IF(RIGHT(H123,2)="HT",(1-L124)+$W$1,IF(RIGHT(H123,2)="SH",(1-L124)+$W$3,""))),0)</f>
        <v>0.25000000000000006</v>
      </c>
      <c r="W124" s="298"/>
      <c r="X124" s="698">
        <f t="shared" ca="1" si="79"/>
        <v>0.5</v>
      </c>
      <c r="Y124" s="81">
        <f t="shared" ca="1" si="127"/>
        <v>20</v>
      </c>
      <c r="Z124" s="81">
        <f t="shared" ca="1" si="128"/>
        <v>0</v>
      </c>
      <c r="AA124" s="81">
        <f t="shared" ca="1" si="129"/>
        <v>0</v>
      </c>
      <c r="AB124" s="81">
        <f t="shared" ca="1" si="130"/>
        <v>0.1</v>
      </c>
      <c r="AD124" s="81">
        <v>2030</v>
      </c>
      <c r="AE124" s="81"/>
      <c r="AF124" s="220"/>
    </row>
    <row r="125" spans="2:32">
      <c r="B125" s="718" t="s">
        <v>1009</v>
      </c>
      <c r="C125" s="226"/>
      <c r="D125" s="212"/>
      <c r="E125" s="212"/>
      <c r="F125" s="224" t="s">
        <v>1149</v>
      </c>
      <c r="H125" s="174"/>
      <c r="I125" s="174" t="str">
        <f t="shared" si="22"/>
        <v>INDSWH</v>
      </c>
      <c r="J125" s="224">
        <f t="shared" si="32"/>
        <v>2050</v>
      </c>
      <c r="K125" s="81"/>
      <c r="L125" s="199">
        <f t="shared" ca="1" si="122"/>
        <v>0.96</v>
      </c>
      <c r="M125" s="199"/>
      <c r="N125" s="81"/>
      <c r="O125" s="723">
        <f t="shared" ca="1" si="123"/>
        <v>0.32813985758696651</v>
      </c>
      <c r="P125" s="723">
        <f t="shared" ca="1" si="124"/>
        <v>1.1175000000000001E-2</v>
      </c>
      <c r="Q125" s="81">
        <f t="shared" ca="1" si="125"/>
        <v>1.8625</v>
      </c>
      <c r="R125" s="300"/>
      <c r="S125" s="300"/>
      <c r="T125" s="300"/>
      <c r="U125" s="300"/>
      <c r="V125" s="199">
        <f t="shared" ref="V125" ca="1" si="141">IF(IF(RIGHT(H123,2)="PH",(1-L125)+$W$2,IF(RIGHT(H123,2)="HT",(1-L125)+$W$1,IF(RIGHT(H123,2)="SH",(1-L125)+$W$3,"")))&gt;0,IF(RIGHT(H123,2)="PH",(1-L125)+$W$2,IF(RIGHT(H123,2)="HT",(1-L125)+$W$1,IF(RIGHT(H123,2)="SH",(1-L125)+$W$3,""))),0)</f>
        <v>0.24000000000000005</v>
      </c>
      <c r="W125" s="298"/>
      <c r="X125" s="698">
        <f t="shared" ca="1" si="79"/>
        <v>0.5</v>
      </c>
      <c r="Y125" s="81">
        <f t="shared" ca="1" si="127"/>
        <v>15</v>
      </c>
      <c r="Z125" s="81">
        <f t="shared" ca="1" si="128"/>
        <v>0</v>
      </c>
      <c r="AA125" s="81">
        <f t="shared" ca="1" si="129"/>
        <v>0</v>
      </c>
      <c r="AB125" s="81">
        <f t="shared" ca="1" si="130"/>
        <v>0.1</v>
      </c>
      <c r="AC125" s="203"/>
      <c r="AD125" s="81">
        <v>2050</v>
      </c>
      <c r="AE125" s="81"/>
      <c r="AF125" s="705"/>
    </row>
    <row r="126" spans="2:32">
      <c r="B126" s="718" t="s">
        <v>1009</v>
      </c>
      <c r="C126" s="226"/>
      <c r="D126" s="212" t="str">
        <f>"IND"&amp;RIGHT(H126,4)&amp;"DSL"&amp;"N"&amp;RIGHT(E126,1)</f>
        <v>INDSDSHDSLN1</v>
      </c>
      <c r="E126" s="261" t="str">
        <f>"Industrial heating technology "&amp;$AJ$12&amp;" "&amp;RIGHT(H126,2)&amp;" - Oil boiler (Steam) - new 1"</f>
        <v>Industrial heating technology Iron &amp; Steel SH - Oil boiler (Steam) - new 1</v>
      </c>
      <c r="F126" s="224" t="s">
        <v>1149</v>
      </c>
      <c r="G126" s="173" t="s">
        <v>2081</v>
      </c>
      <c r="H126" s="174" t="str">
        <f>$AI$15</f>
        <v>ISDSH</v>
      </c>
      <c r="I126" s="174" t="str">
        <f t="shared" si="22"/>
        <v>INDSWH</v>
      </c>
      <c r="J126" s="224">
        <f t="shared" si="32"/>
        <v>2011</v>
      </c>
      <c r="K126" s="299">
        <v>2025</v>
      </c>
      <c r="L126" s="199">
        <f t="shared" ca="1" si="122"/>
        <v>0.94</v>
      </c>
      <c r="M126" s="199"/>
      <c r="N126" s="81">
        <f ca="1">VLOOKUP($AD126,INDIRECT("'"&amp;$B126&amp;"'!"&amp;"$P$39:$AD$42"),5,FALSE)</f>
        <v>25</v>
      </c>
      <c r="O126" s="723">
        <f t="shared" ca="1" si="123"/>
        <v>0.40975</v>
      </c>
      <c r="P126" s="723">
        <f t="shared" ca="1" si="124"/>
        <v>1.341E-2</v>
      </c>
      <c r="Q126" s="81">
        <f t="shared" ca="1" si="125"/>
        <v>2.0694444444444446</v>
      </c>
      <c r="R126" s="81">
        <v>3.1536000000000002E-2</v>
      </c>
      <c r="S126" s="199">
        <v>0.5</v>
      </c>
      <c r="T126" s="199">
        <f ca="1">HLOOKUP($T$2,INDIRECT("'"&amp;$B126&amp;"'!"&amp;"$P$6:$AC$19"),IF(H126=$AI$13,6,IF(H126=$AI$14,9,14)),FALSE)</f>
        <v>1</v>
      </c>
      <c r="U126" s="772"/>
      <c r="V126" s="199">
        <f t="shared" ref="V126" ca="1" si="142">IF(IF(RIGHT(H126,2)="PH",(1-L126)+$W$2,IF(RIGHT(H126,2)="HT",(1-L126)+$W$1,IF(RIGHT(H126,2)="SH",(1-L126)+$W$3,"")))&gt;0,IF(RIGHT(H126,2)="PH",(1-L126)+$W$2,IF(RIGHT(H126,2)="HT",(1-L126)+$W$1,IF(RIGHT(H126,2)="SH",(1-L126)+$W$3,""))),0)</f>
        <v>6.0000000000000053E-2</v>
      </c>
      <c r="W126" s="298"/>
      <c r="X126" s="698">
        <f t="shared" ca="1" si="79"/>
        <v>0.5</v>
      </c>
      <c r="Y126" s="81">
        <f t="shared" ca="1" si="127"/>
        <v>25</v>
      </c>
      <c r="Z126" s="81">
        <f t="shared" ca="1" si="128"/>
        <v>0</v>
      </c>
      <c r="AA126" s="81">
        <f t="shared" ca="1" si="129"/>
        <v>0</v>
      </c>
      <c r="AB126" s="81">
        <f t="shared" ca="1" si="130"/>
        <v>0.1</v>
      </c>
      <c r="AC126" s="296"/>
      <c r="AD126" s="81">
        <v>2020</v>
      </c>
      <c r="AE126" s="81"/>
      <c r="AF126" s="710"/>
    </row>
    <row r="127" spans="2:32">
      <c r="B127" s="718" t="s">
        <v>1009</v>
      </c>
      <c r="C127" s="226"/>
      <c r="D127" s="212"/>
      <c r="E127" s="212"/>
      <c r="F127" s="224" t="s">
        <v>1149</v>
      </c>
      <c r="H127" s="174"/>
      <c r="I127" s="174" t="str">
        <f t="shared" ref="I127:I182" si="143">$AI$20</f>
        <v>INDSWH</v>
      </c>
      <c r="J127" s="224">
        <f t="shared" si="32"/>
        <v>2030</v>
      </c>
      <c r="K127" s="81"/>
      <c r="L127" s="199">
        <f t="shared" ca="1" si="122"/>
        <v>0.95</v>
      </c>
      <c r="M127" s="199"/>
      <c r="N127" s="81"/>
      <c r="O127" s="723">
        <f t="shared" ca="1" si="123"/>
        <v>0.3469940346244772</v>
      </c>
      <c r="P127" s="723">
        <f t="shared" ca="1" si="124"/>
        <v>1.2664999999999999E-2</v>
      </c>
      <c r="Q127" s="81">
        <f t="shared" ca="1" si="125"/>
        <v>1.8625</v>
      </c>
      <c r="R127" s="300"/>
      <c r="S127" s="300"/>
      <c r="T127" s="300"/>
      <c r="U127" s="300"/>
      <c r="V127" s="199">
        <f t="shared" ref="V127" ca="1" si="144">IF(IF(RIGHT(H126,2)="PH",(1-L127)+$W$2,IF(RIGHT(H126,2)="HT",(1-L127)+$W$1,IF(RIGHT(H126,2)="SH",(1-L127)+$W$3,"")))&gt;0,IF(RIGHT(H126,2)="PH",(1-L127)+$W$2,IF(RIGHT(H126,2)="HT",(1-L127)+$W$1,IF(RIGHT(H126,2)="SH",(1-L127)+$W$3,""))),0)</f>
        <v>5.0000000000000044E-2</v>
      </c>
      <c r="W127" s="298"/>
      <c r="X127" s="698">
        <f t="shared" ref="X127:X158" ca="1" si="145">IF(VLOOKUP($AD127,INDIRECT("'"&amp;$B127&amp;"'!"&amp;"$P$39:$AD$42"),11,FALSE)="Cf. the utilized electricity",0,VLOOKUP($AD127,INDIRECT("'"&amp;$B127&amp;"'!"&amp;"$P$39:$AD$42"),11,FALSE))</f>
        <v>0.5</v>
      </c>
      <c r="Y127" s="81">
        <f t="shared" ca="1" si="127"/>
        <v>20</v>
      </c>
      <c r="Z127" s="81">
        <f t="shared" ca="1" si="128"/>
        <v>0</v>
      </c>
      <c r="AA127" s="81">
        <f t="shared" ca="1" si="129"/>
        <v>0</v>
      </c>
      <c r="AB127" s="81">
        <f t="shared" ca="1" si="130"/>
        <v>0.1</v>
      </c>
      <c r="AC127" s="55"/>
      <c r="AD127" s="81">
        <v>2030</v>
      </c>
      <c r="AE127" s="81"/>
      <c r="AF127" s="700"/>
    </row>
    <row r="128" spans="2:32">
      <c r="B128" s="719" t="s">
        <v>1009</v>
      </c>
      <c r="C128" s="713"/>
      <c r="D128" s="701"/>
      <c r="E128" s="701"/>
      <c r="F128" s="224" t="s">
        <v>1149</v>
      </c>
      <c r="G128" s="203"/>
      <c r="H128" s="702"/>
      <c r="I128" s="702" t="str">
        <f t="shared" si="143"/>
        <v>INDSWH</v>
      </c>
      <c r="J128" s="224">
        <f t="shared" ref="J128:J186" si="146">IF(AD128=2020,2011,AD128)</f>
        <v>2050</v>
      </c>
      <c r="K128" s="81"/>
      <c r="L128" s="199">
        <f t="shared" ca="1" si="122"/>
        <v>0.96</v>
      </c>
      <c r="M128" s="199"/>
      <c r="N128" s="81"/>
      <c r="O128" s="723">
        <f t="shared" ca="1" si="123"/>
        <v>0.32813985758696651</v>
      </c>
      <c r="P128" s="723">
        <f t="shared" ca="1" si="124"/>
        <v>1.1175000000000001E-2</v>
      </c>
      <c r="Q128" s="81">
        <f t="shared" ca="1" si="125"/>
        <v>1.8625</v>
      </c>
      <c r="R128" s="703"/>
      <c r="S128" s="703"/>
      <c r="T128" s="703"/>
      <c r="U128" s="703"/>
      <c r="V128" s="199">
        <f t="shared" ref="V128" ca="1" si="147">IF(IF(RIGHT(H126,2)="PH",(1-L128)+$W$2,IF(RIGHT(H126,2)="HT",(1-L128)+$W$1,IF(RIGHT(H126,2)="SH",(1-L128)+$W$3,"")))&gt;0,IF(RIGHT(H126,2)="PH",(1-L128)+$W$2,IF(RIGHT(H126,2)="HT",(1-L128)+$W$1,IF(RIGHT(H126,2)="SH",(1-L128)+$W$3,""))),0)</f>
        <v>4.0000000000000036E-2</v>
      </c>
      <c r="W128" s="704"/>
      <c r="X128" s="698">
        <f t="shared" ca="1" si="145"/>
        <v>0.5</v>
      </c>
      <c r="Y128" s="81">
        <f t="shared" ca="1" si="127"/>
        <v>15</v>
      </c>
      <c r="Z128" s="81">
        <f t="shared" ca="1" si="128"/>
        <v>0</v>
      </c>
      <c r="AA128" s="81">
        <f t="shared" ca="1" si="129"/>
        <v>0</v>
      </c>
      <c r="AB128" s="81">
        <f t="shared" ca="1" si="130"/>
        <v>0.1</v>
      </c>
      <c r="AC128" s="55"/>
      <c r="AD128" s="81">
        <v>2050</v>
      </c>
      <c r="AE128" s="81"/>
      <c r="AF128" s="700"/>
    </row>
    <row r="129" spans="2:32">
      <c r="B129" s="718" t="s">
        <v>1009</v>
      </c>
      <c r="C129" s="226"/>
      <c r="D129" s="212" t="str">
        <f>"IND"&amp;RIGHT(H129,4)&amp;"DSL"&amp;"N"&amp;RIGHT(E129,1)</f>
        <v>INDSDPHDSLN2</v>
      </c>
      <c r="E129" s="707" t="str">
        <f>"Industrial heating technology "&amp;$AJ$12&amp;" "&amp;RIGHT(H129,2)&amp;" - Oil boiler (Steam - condensing) - new 2"</f>
        <v>Industrial heating technology Iron &amp; Steel PH - Oil boiler (Steam - condensing) - new 2</v>
      </c>
      <c r="F129" s="224" t="s">
        <v>1149</v>
      </c>
      <c r="G129" s="173" t="s">
        <v>2081</v>
      </c>
      <c r="H129" s="708" t="str">
        <f>$AI$14</f>
        <v>ISDPH</v>
      </c>
      <c r="I129" s="708" t="str">
        <f t="shared" si="143"/>
        <v>INDSWH</v>
      </c>
      <c r="J129" s="224">
        <f t="shared" si="146"/>
        <v>2011</v>
      </c>
      <c r="K129" s="299">
        <v>2025</v>
      </c>
      <c r="L129" s="199">
        <f t="shared" ref="L129:L134" ca="1" si="148">VLOOKUP($AD129,INDIRECT("'"&amp;$B129&amp;"'!"&amp;"$P$118:$AD$121"),3,FALSE)</f>
        <v>0.95</v>
      </c>
      <c r="M129" s="199"/>
      <c r="N129" s="81">
        <f ca="1">VLOOKUP($AD129,INDIRECT("'"&amp;$B129&amp;"'!"&amp;"$P$118:$AD$121"),5,FALSE)</f>
        <v>25</v>
      </c>
      <c r="O129" s="723">
        <f t="shared" ref="O129:O134" ca="1" si="149">VLOOKUP($AD129,INDIRECT("'"&amp;$B129&amp;"'!"&amp;"$P$118:$AD$121"),6,FALSE)/1000</f>
        <v>0.32780000000000004</v>
      </c>
      <c r="P129" s="723">
        <f t="shared" ref="P129:P134" ca="1" si="150">VLOOKUP($AD129,INDIRECT("'"&amp;$B129&amp;"'!"&amp;"$P$118:$AD$121"),7,FALSE)/1000</f>
        <v>1.341E-2</v>
      </c>
      <c r="Q129" s="81">
        <f t="shared" ref="Q129:Q134" ca="1" si="151">VLOOKUP($AD129,INDIRECT("'"&amp;$B129&amp;"'!"&amp;"$P$118:$AD$121"),8,FALSE)</f>
        <v>2.0694444444444446</v>
      </c>
      <c r="R129" s="81">
        <v>3.1536000000000002E-2</v>
      </c>
      <c r="S129" s="199">
        <v>0.5</v>
      </c>
      <c r="T129" s="199">
        <f ca="1">HLOOKUP($T$2,INDIRECT("'"&amp;$B129&amp;"'!"&amp;"$P$85:$AC$98"),IF(H129=$AI$13,6,IF(H129=$AI$14,9,14)),FALSE)</f>
        <v>0</v>
      </c>
      <c r="U129" s="773"/>
      <c r="V129" s="199">
        <f t="shared" ref="V129" ca="1" si="152">IF(IF(RIGHT(H129,2)="PH",(1-L129)+$W$2,IF(RIGHT(H129,2)="HT",(1-L129)+$W$1,IF(RIGHT(H129,2)="SH",(1-L129)+$W$3,"")))&gt;0,IF(RIGHT(H129,2)="PH",(1-L129)+$W$2,IF(RIGHT(H129,2)="HT",(1-L129)+$W$1,IF(RIGHT(H129,2)="SH",(1-L129)+$W$3,""))),0)</f>
        <v>0.25000000000000006</v>
      </c>
      <c r="W129" s="709"/>
      <c r="X129" s="698">
        <f t="shared" ca="1" si="145"/>
        <v>0.5</v>
      </c>
      <c r="Y129" s="698">
        <f t="shared" ref="Y129:Y134" ca="1" si="153">VLOOKUP($AD129,INDIRECT("'"&amp;$B129&amp;"'!"&amp;"$P$118:$AD$121"),12,FALSE)</f>
        <v>25</v>
      </c>
      <c r="Z129" s="698">
        <f t="shared" ref="Z129:Z134" ca="1" si="154">VLOOKUP($AD129,INDIRECT("'"&amp;$B129&amp;"'!"&amp;"$P$118:$AD$121"),13,FALSE)</f>
        <v>0</v>
      </c>
      <c r="AA129" s="698">
        <f t="shared" ref="AA129:AA134" ca="1" si="155">VLOOKUP($AD129,INDIRECT("'"&amp;$B129&amp;"'!"&amp;"$P$118:$AD$121"),14,FALSE)</f>
        <v>0</v>
      </c>
      <c r="AB129" s="698">
        <f t="shared" ref="AB129:AB134" ca="1" si="156">VLOOKUP($AD129,INDIRECT("'"&amp;$B129&amp;"'!"&amp;"$P$118:$AD$121"),15,FALSE)</f>
        <v>0.1</v>
      </c>
      <c r="AC129" s="55"/>
      <c r="AD129" s="81">
        <v>2020</v>
      </c>
      <c r="AE129" s="81"/>
      <c r="AF129" s="700"/>
    </row>
    <row r="130" spans="2:32">
      <c r="B130" s="718" t="s">
        <v>1009</v>
      </c>
      <c r="C130" s="226"/>
      <c r="D130" s="212"/>
      <c r="E130" s="261"/>
      <c r="F130" s="224" t="s">
        <v>1149</v>
      </c>
      <c r="G130" s="55"/>
      <c r="H130" s="174"/>
      <c r="I130" s="174" t="str">
        <f t="shared" si="143"/>
        <v>INDSWH</v>
      </c>
      <c r="J130" s="224">
        <f t="shared" si="146"/>
        <v>2030</v>
      </c>
      <c r="K130" s="81"/>
      <c r="L130" s="199">
        <f t="shared" ca="1" si="148"/>
        <v>0.96</v>
      </c>
      <c r="M130" s="199"/>
      <c r="N130" s="81"/>
      <c r="O130" s="723">
        <f t="shared" ca="1" si="149"/>
        <v>0.27759522769958173</v>
      </c>
      <c r="P130" s="723">
        <f t="shared" ca="1" si="150"/>
        <v>1.2664999999999999E-2</v>
      </c>
      <c r="Q130" s="81">
        <f t="shared" ca="1" si="151"/>
        <v>1.8625</v>
      </c>
      <c r="R130" s="300"/>
      <c r="S130" s="300"/>
      <c r="T130" s="300"/>
      <c r="U130" s="300"/>
      <c r="V130" s="199">
        <f t="shared" ref="V130" ca="1" si="157">IF(IF(RIGHT(H129,2)="PH",(1-L130)+$W$2,IF(RIGHT(H129,2)="HT",(1-L130)+$W$1,IF(RIGHT(H129,2)="SH",(1-L130)+$W$3,"")))&gt;0,IF(RIGHT(H129,2)="PH",(1-L130)+$W$2,IF(RIGHT(H129,2)="HT",(1-L130)+$W$1,IF(RIGHT(H129,2)="SH",(1-L130)+$W$3,""))),0)</f>
        <v>0.24000000000000005</v>
      </c>
      <c r="W130" s="298"/>
      <c r="X130" s="698">
        <f t="shared" ca="1" si="145"/>
        <v>0.5</v>
      </c>
      <c r="Y130" s="698">
        <f t="shared" ca="1" si="153"/>
        <v>20</v>
      </c>
      <c r="Z130" s="698">
        <f t="shared" ca="1" si="154"/>
        <v>0</v>
      </c>
      <c r="AA130" s="698">
        <f t="shared" ca="1" si="155"/>
        <v>0</v>
      </c>
      <c r="AB130" s="698">
        <f t="shared" ca="1" si="156"/>
        <v>0.1</v>
      </c>
      <c r="AC130" s="55"/>
      <c r="AD130" s="81">
        <v>2030</v>
      </c>
      <c r="AE130" s="81"/>
      <c r="AF130" s="700"/>
    </row>
    <row r="131" spans="2:32">
      <c r="B131" s="718" t="s">
        <v>1009</v>
      </c>
      <c r="C131" s="226"/>
      <c r="E131" s="261"/>
      <c r="F131" s="224" t="s">
        <v>1149</v>
      </c>
      <c r="G131" s="55"/>
      <c r="H131" s="174"/>
      <c r="I131" s="174" t="str">
        <f t="shared" si="143"/>
        <v>INDSWH</v>
      </c>
      <c r="J131" s="224">
        <f t="shared" si="146"/>
        <v>2050</v>
      </c>
      <c r="K131" s="81"/>
      <c r="L131" s="199">
        <f t="shared" ca="1" si="148"/>
        <v>0.97</v>
      </c>
      <c r="M131" s="199"/>
      <c r="N131" s="81"/>
      <c r="O131" s="723">
        <f t="shared" ca="1" si="149"/>
        <v>0.26251188606957326</v>
      </c>
      <c r="P131" s="723">
        <f t="shared" ca="1" si="150"/>
        <v>1.1175000000000001E-2</v>
      </c>
      <c r="Q131" s="81">
        <f t="shared" ca="1" si="151"/>
        <v>1.8625</v>
      </c>
      <c r="R131" s="300"/>
      <c r="S131" s="300"/>
      <c r="T131" s="300"/>
      <c r="U131" s="300"/>
      <c r="V131" s="199">
        <f t="shared" ref="V131" ca="1" si="158">IF(IF(RIGHT(H129,2)="PH",(1-L131)+$W$2,IF(RIGHT(H129,2)="HT",(1-L131)+$W$1,IF(RIGHT(H129,2)="SH",(1-L131)+$W$3,"")))&gt;0,IF(RIGHT(H129,2)="PH",(1-L131)+$W$2,IF(RIGHT(H129,2)="HT",(1-L131)+$W$1,IF(RIGHT(H129,2)="SH",(1-L131)+$W$3,""))),0)</f>
        <v>0.23000000000000004</v>
      </c>
      <c r="W131" s="298"/>
      <c r="X131" s="698">
        <f t="shared" ca="1" si="145"/>
        <v>0.5</v>
      </c>
      <c r="Y131" s="698">
        <f t="shared" ca="1" si="153"/>
        <v>15</v>
      </c>
      <c r="Z131" s="698">
        <f t="shared" ca="1" si="154"/>
        <v>0</v>
      </c>
      <c r="AA131" s="698">
        <f t="shared" ca="1" si="155"/>
        <v>0</v>
      </c>
      <c r="AB131" s="698">
        <f t="shared" ca="1" si="156"/>
        <v>0.1</v>
      </c>
      <c r="AC131" s="203"/>
      <c r="AD131" s="81">
        <v>2050</v>
      </c>
      <c r="AE131" s="81"/>
      <c r="AF131" s="705"/>
    </row>
    <row r="132" spans="2:32">
      <c r="B132" s="718" t="s">
        <v>1009</v>
      </c>
      <c r="C132" s="226"/>
      <c r="D132" s="212" t="str">
        <f>"IND"&amp;RIGHT(H132,4)&amp;"DSL"&amp;"N"&amp;RIGHT(E132,1)</f>
        <v>INDSDSHDSLN2</v>
      </c>
      <c r="E132" s="261" t="str">
        <f>"Industrial heating technology "&amp;$AJ$12&amp;" "&amp;RIGHT(H132,2)&amp;" - Oil boiler (Steam - condensing) - new 2"</f>
        <v>Industrial heating technology Iron &amp; Steel SH - Oil boiler (Steam - condensing) - new 2</v>
      </c>
      <c r="F132" s="224" t="s">
        <v>1149</v>
      </c>
      <c r="G132" s="173" t="s">
        <v>2081</v>
      </c>
      <c r="H132" s="174" t="str">
        <f>$AI$15</f>
        <v>ISDSH</v>
      </c>
      <c r="I132" s="174" t="str">
        <f t="shared" si="143"/>
        <v>INDSWH</v>
      </c>
      <c r="J132" s="224">
        <f t="shared" si="146"/>
        <v>2011</v>
      </c>
      <c r="K132" s="299">
        <v>2025</v>
      </c>
      <c r="L132" s="199">
        <f t="shared" ca="1" si="148"/>
        <v>0.95</v>
      </c>
      <c r="M132" s="199"/>
      <c r="N132" s="81">
        <f ca="1">VLOOKUP($AD132,INDIRECT("'"&amp;$B132&amp;"'!"&amp;"$P$118:$AD$121"),5,FALSE)</f>
        <v>25</v>
      </c>
      <c r="O132" s="723">
        <f t="shared" ca="1" si="149"/>
        <v>0.32780000000000004</v>
      </c>
      <c r="P132" s="723">
        <f t="shared" ca="1" si="150"/>
        <v>1.341E-2</v>
      </c>
      <c r="Q132" s="81">
        <f t="shared" ca="1" si="151"/>
        <v>2.0694444444444446</v>
      </c>
      <c r="R132" s="81">
        <v>3.1536000000000002E-2</v>
      </c>
      <c r="S132" s="199">
        <v>0.5</v>
      </c>
      <c r="T132" s="199">
        <f ca="1">HLOOKUP($T$2,INDIRECT("'"&amp;$B132&amp;"'!"&amp;"$P$85:$AC$98"),IF(H132=$AI$13,6,IF(H132=$AI$14,9,14)),FALSE)</f>
        <v>1</v>
      </c>
      <c r="U132" s="772"/>
      <c r="V132" s="199">
        <f t="shared" ref="V132" ca="1" si="159">IF(IF(RIGHT(H132,2)="PH",(1-L132)+$W$2,IF(RIGHT(H132,2)="HT",(1-L132)+$W$1,IF(RIGHT(H132,2)="SH",(1-L132)+$W$3,"")))&gt;0,IF(RIGHT(H132,2)="PH",(1-L132)+$W$2,IF(RIGHT(H132,2)="HT",(1-L132)+$W$1,IF(RIGHT(H132,2)="SH",(1-L132)+$W$3,""))),0)</f>
        <v>5.0000000000000044E-2</v>
      </c>
      <c r="W132" s="298"/>
      <c r="X132" s="698">
        <f t="shared" ca="1" si="145"/>
        <v>0.5</v>
      </c>
      <c r="Y132" s="698">
        <f t="shared" ca="1" si="153"/>
        <v>25</v>
      </c>
      <c r="Z132" s="698">
        <f t="shared" ca="1" si="154"/>
        <v>0</v>
      </c>
      <c r="AA132" s="698">
        <f t="shared" ca="1" si="155"/>
        <v>0</v>
      </c>
      <c r="AB132" s="698">
        <f t="shared" ca="1" si="156"/>
        <v>0.1</v>
      </c>
      <c r="AD132" s="81">
        <v>2020</v>
      </c>
      <c r="AE132" s="299"/>
      <c r="AF132" s="220"/>
    </row>
    <row r="133" spans="2:32">
      <c r="B133" s="718" t="s">
        <v>1009</v>
      </c>
      <c r="C133" s="226"/>
      <c r="E133" s="261"/>
      <c r="F133" s="224" t="s">
        <v>1149</v>
      </c>
      <c r="G133" s="55"/>
      <c r="H133" s="174"/>
      <c r="I133" s="174" t="str">
        <f t="shared" si="143"/>
        <v>INDSWH</v>
      </c>
      <c r="J133" s="224">
        <f t="shared" si="146"/>
        <v>2030</v>
      </c>
      <c r="K133" s="81"/>
      <c r="L133" s="199">
        <f t="shared" ca="1" si="148"/>
        <v>0.96</v>
      </c>
      <c r="M133" s="199"/>
      <c r="N133" s="81"/>
      <c r="O133" s="723">
        <f t="shared" ca="1" si="149"/>
        <v>0.27759522769958173</v>
      </c>
      <c r="P133" s="723">
        <f t="shared" ca="1" si="150"/>
        <v>1.2664999999999999E-2</v>
      </c>
      <c r="Q133" s="81">
        <f t="shared" ca="1" si="151"/>
        <v>1.8625</v>
      </c>
      <c r="R133" s="300"/>
      <c r="S133" s="300"/>
      <c r="T133" s="300"/>
      <c r="U133" s="300"/>
      <c r="V133" s="199">
        <f t="shared" ref="V133" ca="1" si="160">IF(IF(RIGHT(H132,2)="PH",(1-L133)+$W$2,IF(RIGHT(H132,2)="HT",(1-L133)+$W$1,IF(RIGHT(H132,2)="SH",(1-L133)+$W$3,"")))&gt;0,IF(RIGHT(H132,2)="PH",(1-L133)+$W$2,IF(RIGHT(H132,2)="HT",(1-L133)+$W$1,IF(RIGHT(H132,2)="SH",(1-L133)+$W$3,""))),0)</f>
        <v>4.0000000000000036E-2</v>
      </c>
      <c r="W133" s="298"/>
      <c r="X133" s="698">
        <f t="shared" ca="1" si="145"/>
        <v>0.5</v>
      </c>
      <c r="Y133" s="698">
        <f t="shared" ca="1" si="153"/>
        <v>20</v>
      </c>
      <c r="Z133" s="698">
        <f t="shared" ca="1" si="154"/>
        <v>0</v>
      </c>
      <c r="AA133" s="698">
        <f t="shared" ca="1" si="155"/>
        <v>0</v>
      </c>
      <c r="AB133" s="698">
        <f t="shared" ca="1" si="156"/>
        <v>0.1</v>
      </c>
      <c r="AD133" s="81">
        <v>2030</v>
      </c>
      <c r="AE133" s="81"/>
      <c r="AF133" s="220"/>
    </row>
    <row r="134" spans="2:32">
      <c r="B134" s="719" t="s">
        <v>1009</v>
      </c>
      <c r="C134" s="713"/>
      <c r="D134" s="701"/>
      <c r="E134" s="701"/>
      <c r="F134" s="224" t="s">
        <v>1149</v>
      </c>
      <c r="G134" s="203"/>
      <c r="H134" s="702"/>
      <c r="I134" s="702" t="str">
        <f t="shared" si="143"/>
        <v>INDSWH</v>
      </c>
      <c r="J134" s="224">
        <f t="shared" si="146"/>
        <v>2050</v>
      </c>
      <c r="K134" s="81"/>
      <c r="L134" s="199">
        <f t="shared" ca="1" si="148"/>
        <v>0.97</v>
      </c>
      <c r="M134" s="199"/>
      <c r="N134" s="81"/>
      <c r="O134" s="723">
        <f t="shared" ca="1" si="149"/>
        <v>0.26251188606957326</v>
      </c>
      <c r="P134" s="723">
        <f t="shared" ca="1" si="150"/>
        <v>1.1175000000000001E-2</v>
      </c>
      <c r="Q134" s="81">
        <f t="shared" ca="1" si="151"/>
        <v>1.8625</v>
      </c>
      <c r="R134" s="703"/>
      <c r="S134" s="703"/>
      <c r="T134" s="703"/>
      <c r="U134" s="703"/>
      <c r="V134" s="199">
        <f t="shared" ref="V134" ca="1" si="161">IF(IF(RIGHT(H132,2)="PH",(1-L134)+$W$2,IF(RIGHT(H132,2)="HT",(1-L134)+$W$1,IF(RIGHT(H132,2)="SH",(1-L134)+$W$3,"")))&gt;0,IF(RIGHT(H132,2)="PH",(1-L134)+$W$2,IF(RIGHT(H132,2)="HT",(1-L134)+$W$1,IF(RIGHT(H132,2)="SH",(1-L134)+$W$3,""))),0)</f>
        <v>3.0000000000000027E-2</v>
      </c>
      <c r="W134" s="704"/>
      <c r="X134" s="698">
        <f t="shared" ca="1" si="145"/>
        <v>0.5</v>
      </c>
      <c r="Y134" s="698">
        <f t="shared" ca="1" si="153"/>
        <v>15</v>
      </c>
      <c r="Z134" s="698">
        <f t="shared" ca="1" si="154"/>
        <v>0</v>
      </c>
      <c r="AA134" s="698">
        <f t="shared" ca="1" si="155"/>
        <v>0</v>
      </c>
      <c r="AB134" s="698">
        <f t="shared" ca="1" si="156"/>
        <v>0.1</v>
      </c>
      <c r="AD134" s="81">
        <v>2050</v>
      </c>
      <c r="AE134" s="81"/>
      <c r="AF134" s="220"/>
    </row>
    <row r="135" spans="2:32">
      <c r="B135" s="718" t="s">
        <v>1010</v>
      </c>
      <c r="C135" s="226"/>
      <c r="D135" s="212" t="str">
        <f>"IND"&amp;RIGHT(H135,4)&amp;"GAS"&amp;"N"&amp;RIGHT(E135,1)</f>
        <v>INDSDPHGASN1</v>
      </c>
      <c r="E135" s="261" t="str">
        <f>"Industrial heating technology "&amp;$AJ$12&amp;" "&amp;RIGHT(H135,2)&amp;" - Gas boiler (Steam) - new 1"</f>
        <v>Industrial heating technology Iron &amp; Steel PH - Gas boiler (Steam) - new 1</v>
      </c>
      <c r="F135" s="224" t="s">
        <v>1149</v>
      </c>
      <c r="G135" s="173" t="s">
        <v>2080</v>
      </c>
      <c r="H135" s="174" t="str">
        <f>$AI$13</f>
        <v>ISDPH</v>
      </c>
      <c r="I135" s="174" t="str">
        <f t="shared" si="143"/>
        <v>INDSWH</v>
      </c>
      <c r="J135" s="224">
        <f t="shared" si="146"/>
        <v>2011</v>
      </c>
      <c r="K135" s="299">
        <v>2011</v>
      </c>
      <c r="L135" s="199">
        <f t="shared" ref="L135:L143" ca="1" si="162">VLOOKUP($AD135,INDIRECT("'"&amp;$B135&amp;"'!"&amp;"$P$39:$AD$42"),3,FALSE)</f>
        <v>0.92</v>
      </c>
      <c r="M135" s="699"/>
      <c r="N135" s="299">
        <f ca="1">VLOOKUP($AD135,INDIRECT("'"&amp;$B135&amp;"'!"&amp;"$P$39:$AD$42"),5,FALSE)</f>
        <v>25</v>
      </c>
      <c r="O135" s="725">
        <f t="shared" ref="O135:O143" ca="1" si="163">VLOOKUP($AD135,INDIRECT("'"&amp;$B135&amp;"'!"&amp;"$P$39:$AD$42"),6,FALSE)/1000</f>
        <v>0.40636363636363632</v>
      </c>
      <c r="P135" s="725">
        <f t="shared" ref="P135:P143" ca="1" si="164">VLOOKUP($AD135,INDIRECT("'"&amp;$B135&amp;"'!"&amp;"$P$39:$AD$42"),7,FALSE)/1000</f>
        <v>1.49E-2</v>
      </c>
      <c r="Q135" s="299">
        <f t="shared" ref="Q135:Q143" ca="1" si="165">VLOOKUP($AD135,INDIRECT("'"&amp;$B135&amp;"'!"&amp;"$P$39:$AD$42"),8,FALSE)</f>
        <v>2.276388888888889</v>
      </c>
      <c r="R135" s="299">
        <v>3.1536000000000002E-2</v>
      </c>
      <c r="S135" s="699">
        <v>0.5</v>
      </c>
      <c r="T135" s="699">
        <f ca="1">HLOOKUP($T$2,INDIRECT("'"&amp;$B135&amp;"'!"&amp;"$P$6:$AC$19"),IF(H135=$AI$13,6,IF(H135=$AI$14,9,14)),FALSE)</f>
        <v>1</v>
      </c>
      <c r="U135" s="772"/>
      <c r="V135" s="199">
        <f t="shared" ref="V135" ca="1" si="166">IF(IF(RIGHT(H135,2)="PH",(1-L135)+$W$2,IF(RIGHT(H135,2)="HT",(1-L135)+$W$1,IF(RIGHT(H135,2)="SH",(1-L135)+$W$3,"")))&gt;0,IF(RIGHT(H135,2)="PH",(1-L135)+$W$2,IF(RIGHT(H135,2)="HT",(1-L135)+$W$1,IF(RIGHT(H135,2)="SH",(1-L135)+$W$3,""))),0)</f>
        <v>0.27999999999999997</v>
      </c>
      <c r="W135" s="298"/>
      <c r="X135" s="698">
        <f t="shared" ca="1" si="145"/>
        <v>0.3</v>
      </c>
      <c r="Y135" s="299">
        <f t="shared" ref="Y135:Y143" ca="1" si="167">VLOOKUP($AD135,INDIRECT("'"&amp;$B135&amp;"'!"&amp;"$P$39:$AD$42"),12,FALSE)</f>
        <v>9</v>
      </c>
      <c r="Z135" s="299">
        <f t="shared" ref="Z135:Z143" ca="1" si="168">VLOOKUP($AD135,INDIRECT("'"&amp;$B135&amp;"'!"&amp;"$P$39:$AD$42"),13,FALSE)</f>
        <v>3</v>
      </c>
      <c r="AA135" s="299">
        <f t="shared" ref="AA135:AA143" ca="1" si="169">VLOOKUP($AD135,INDIRECT("'"&amp;$B135&amp;"'!"&amp;"$P$39:$AD$42"),14,FALSE)</f>
        <v>1</v>
      </c>
      <c r="AB135" s="299">
        <f t="shared" ref="AB135:AB143" ca="1" si="170">VLOOKUP($AD135,INDIRECT("'"&amp;$B135&amp;"'!"&amp;"$P$39:$AD$42"),15,FALSE)</f>
        <v>0.1</v>
      </c>
      <c r="AD135" s="299">
        <v>2020</v>
      </c>
      <c r="AE135" s="81"/>
      <c r="AF135" s="220"/>
    </row>
    <row r="136" spans="2:32">
      <c r="B136" s="718" t="s">
        <v>1010</v>
      </c>
      <c r="C136" s="226"/>
      <c r="E136" s="212"/>
      <c r="F136" s="224" t="s">
        <v>1149</v>
      </c>
      <c r="H136" s="174"/>
      <c r="I136" s="174" t="str">
        <f t="shared" si="143"/>
        <v>INDSWH</v>
      </c>
      <c r="J136" s="224">
        <f t="shared" si="146"/>
        <v>2030</v>
      </c>
      <c r="K136" s="81"/>
      <c r="L136" s="199">
        <f t="shared" ca="1" si="162"/>
        <v>0.93</v>
      </c>
      <c r="M136" s="199"/>
      <c r="N136" s="81"/>
      <c r="O136" s="723">
        <f t="shared" ca="1" si="163"/>
        <v>0.33863636363636368</v>
      </c>
      <c r="P136" s="723">
        <f t="shared" ca="1" si="164"/>
        <v>1.4154999999999999E-2</v>
      </c>
      <c r="Q136" s="81">
        <f t="shared" ca="1" si="165"/>
        <v>2.0694444444444446</v>
      </c>
      <c r="R136" s="300"/>
      <c r="S136" s="300"/>
      <c r="T136" s="300"/>
      <c r="U136" s="300"/>
      <c r="V136" s="199">
        <f t="shared" ref="V136" ca="1" si="171">IF(IF(RIGHT(H135,2)="PH",(1-L136)+$W$2,IF(RIGHT(H135,2)="HT",(1-L136)+$W$1,IF(RIGHT(H135,2)="SH",(1-L136)+$W$3,"")))&gt;0,IF(RIGHT(H135,2)="PH",(1-L136)+$W$2,IF(RIGHT(H135,2)="HT",(1-L136)+$W$1,IF(RIGHT(H135,2)="SH",(1-L136)+$W$3,""))),0)</f>
        <v>0.26999999999999996</v>
      </c>
      <c r="W136" s="298"/>
      <c r="X136" s="698">
        <f t="shared" ca="1" si="145"/>
        <v>0.3</v>
      </c>
      <c r="Y136" s="81">
        <f t="shared" ca="1" si="167"/>
        <v>7</v>
      </c>
      <c r="Z136" s="81">
        <f t="shared" ca="1" si="168"/>
        <v>2</v>
      </c>
      <c r="AA136" s="81">
        <f t="shared" ca="1" si="169"/>
        <v>1</v>
      </c>
      <c r="AB136" s="81">
        <f t="shared" ca="1" si="170"/>
        <v>0.1</v>
      </c>
      <c r="AD136" s="81">
        <v>2030</v>
      </c>
      <c r="AE136" s="81"/>
      <c r="AF136" s="220"/>
    </row>
    <row r="137" spans="2:32">
      <c r="B137" s="718" t="s">
        <v>1010</v>
      </c>
      <c r="C137" s="226"/>
      <c r="E137" s="212"/>
      <c r="F137" s="224" t="s">
        <v>1149</v>
      </c>
      <c r="H137" s="174"/>
      <c r="I137" s="174" t="str">
        <f t="shared" si="143"/>
        <v>INDSWH</v>
      </c>
      <c r="J137" s="224">
        <f t="shared" si="146"/>
        <v>2050</v>
      </c>
      <c r="K137" s="81"/>
      <c r="L137" s="199">
        <f t="shared" ca="1" si="162"/>
        <v>0.94</v>
      </c>
      <c r="M137" s="199"/>
      <c r="N137" s="81"/>
      <c r="O137" s="723">
        <f t="shared" ca="1" si="163"/>
        <v>0.33863636363636368</v>
      </c>
      <c r="P137" s="723">
        <f t="shared" ca="1" si="164"/>
        <v>1.2664999999999999E-2</v>
      </c>
      <c r="Q137" s="81">
        <f t="shared" ca="1" si="165"/>
        <v>2.0694444444444446</v>
      </c>
      <c r="R137" s="300"/>
      <c r="S137" s="300"/>
      <c r="T137" s="300"/>
      <c r="U137" s="300"/>
      <c r="V137" s="199">
        <f t="shared" ref="V137" ca="1" si="172">IF(IF(RIGHT(H135,2)="PH",(1-L137)+$W$2,IF(RIGHT(H135,2)="HT",(1-L137)+$W$1,IF(RIGHT(H135,2)="SH",(1-L137)+$W$3,"")))&gt;0,IF(RIGHT(H135,2)="PH",(1-L137)+$W$2,IF(RIGHT(H135,2)="HT",(1-L137)+$W$1,IF(RIGHT(H135,2)="SH",(1-L137)+$W$3,""))),0)</f>
        <v>0.26000000000000006</v>
      </c>
      <c r="W137" s="298"/>
      <c r="X137" s="698">
        <f t="shared" ca="1" si="145"/>
        <v>0.3</v>
      </c>
      <c r="Y137" s="81">
        <f t="shared" ca="1" si="167"/>
        <v>6</v>
      </c>
      <c r="Z137" s="81">
        <f t="shared" ca="1" si="168"/>
        <v>2</v>
      </c>
      <c r="AA137" s="81">
        <f t="shared" ca="1" si="169"/>
        <v>1</v>
      </c>
      <c r="AB137" s="81">
        <f t="shared" ca="1" si="170"/>
        <v>0.1</v>
      </c>
      <c r="AD137" s="81">
        <v>2050</v>
      </c>
      <c r="AE137" s="81"/>
      <c r="AF137" s="220"/>
    </row>
    <row r="138" spans="2:32">
      <c r="B138" s="718" t="s">
        <v>1010</v>
      </c>
      <c r="C138" s="226"/>
      <c r="D138" s="212" t="str">
        <f>"IND"&amp;RIGHT(H138,4)&amp;"GAS"&amp;"N"&amp;RIGHT(E138,1)</f>
        <v>INDSDPHGASN1</v>
      </c>
      <c r="E138" s="261" t="str">
        <f>"Industrial heating technology "&amp;$AJ$12&amp;" "&amp;RIGHT(H138,2)&amp;" - Gas boiler (Steam) - new 1"</f>
        <v>Industrial heating technology Iron &amp; Steel PH - Gas boiler (Steam) - new 1</v>
      </c>
      <c r="F138" s="224" t="s">
        <v>1149</v>
      </c>
      <c r="G138" s="173" t="s">
        <v>2080</v>
      </c>
      <c r="H138" s="174" t="str">
        <f>$AI$14</f>
        <v>ISDPH</v>
      </c>
      <c r="I138" s="174" t="str">
        <f t="shared" si="143"/>
        <v>INDSWH</v>
      </c>
      <c r="J138" s="224">
        <f t="shared" si="146"/>
        <v>2011</v>
      </c>
      <c r="K138" s="299">
        <f>J138</f>
        <v>2011</v>
      </c>
      <c r="L138" s="199">
        <f t="shared" ca="1" si="162"/>
        <v>0.92</v>
      </c>
      <c r="M138" s="199"/>
      <c r="N138" s="81">
        <f ca="1">VLOOKUP($AD138,INDIRECT("'"&amp;$B138&amp;"'!"&amp;"$P$39:$AD$42"),5,FALSE)</f>
        <v>25</v>
      </c>
      <c r="O138" s="723">
        <f t="shared" ca="1" si="163"/>
        <v>0.40636363636363632</v>
      </c>
      <c r="P138" s="723">
        <f t="shared" ca="1" si="164"/>
        <v>1.49E-2</v>
      </c>
      <c r="Q138" s="81">
        <f t="shared" ca="1" si="165"/>
        <v>2.276388888888889</v>
      </c>
      <c r="R138" s="81">
        <v>3.1536000000000002E-2</v>
      </c>
      <c r="S138" s="199">
        <v>0.5</v>
      </c>
      <c r="T138" s="199">
        <f ca="1">HLOOKUP($T$2,INDIRECT("'"&amp;$B138&amp;"'!"&amp;"$P$6:$AC$19"),IF(H138=$AI$13,6,IF(H138=$AI$14,9,14)),FALSE)</f>
        <v>1</v>
      </c>
      <c r="U138" s="772"/>
      <c r="V138" s="199">
        <f t="shared" ref="V138" ca="1" si="173">IF(IF(RIGHT(H138,2)="PH",(1-L138)+$W$2,IF(RIGHT(H138,2)="HT",(1-L138)+$W$1,IF(RIGHT(H138,2)="SH",(1-L138)+$W$3,"")))&gt;0,IF(RIGHT(H138,2)="PH",(1-L138)+$W$2,IF(RIGHT(H138,2)="HT",(1-L138)+$W$1,IF(RIGHT(H138,2)="SH",(1-L138)+$W$3,""))),0)</f>
        <v>0.27999999999999997</v>
      </c>
      <c r="W138" s="298"/>
      <c r="X138" s="698">
        <f t="shared" ca="1" si="145"/>
        <v>0.3</v>
      </c>
      <c r="Y138" s="81">
        <f t="shared" ca="1" si="167"/>
        <v>9</v>
      </c>
      <c r="Z138" s="81">
        <f t="shared" ca="1" si="168"/>
        <v>3</v>
      </c>
      <c r="AA138" s="81">
        <f t="shared" ca="1" si="169"/>
        <v>1</v>
      </c>
      <c r="AB138" s="81">
        <f t="shared" ca="1" si="170"/>
        <v>0.1</v>
      </c>
      <c r="AD138" s="81">
        <v>2020</v>
      </c>
      <c r="AE138" s="81"/>
      <c r="AF138" s="220"/>
    </row>
    <row r="139" spans="2:32">
      <c r="B139" s="718" t="s">
        <v>1010</v>
      </c>
      <c r="C139" s="226"/>
      <c r="E139" s="212"/>
      <c r="F139" s="224" t="s">
        <v>1149</v>
      </c>
      <c r="H139" s="174"/>
      <c r="I139" s="174" t="str">
        <f t="shared" si="143"/>
        <v>INDSWH</v>
      </c>
      <c r="J139" s="224">
        <f t="shared" si="146"/>
        <v>2030</v>
      </c>
      <c r="K139" s="81"/>
      <c r="L139" s="199">
        <f t="shared" ca="1" si="162"/>
        <v>0.93</v>
      </c>
      <c r="M139" s="199"/>
      <c r="N139" s="81"/>
      <c r="O139" s="723">
        <f t="shared" ca="1" si="163"/>
        <v>0.33863636363636368</v>
      </c>
      <c r="P139" s="723">
        <f t="shared" ca="1" si="164"/>
        <v>1.4154999999999999E-2</v>
      </c>
      <c r="Q139" s="81">
        <f t="shared" ca="1" si="165"/>
        <v>2.0694444444444446</v>
      </c>
      <c r="R139" s="300"/>
      <c r="S139" s="300"/>
      <c r="T139" s="300"/>
      <c r="U139" s="300"/>
      <c r="V139" s="199">
        <f t="shared" ref="V139" ca="1" si="174">IF(IF(RIGHT(H138,2)="PH",(1-L139)+$W$2,IF(RIGHT(H138,2)="HT",(1-L139)+$W$1,IF(RIGHT(H138,2)="SH",(1-L139)+$W$3,"")))&gt;0,IF(RIGHT(H138,2)="PH",(1-L139)+$W$2,IF(RIGHT(H138,2)="HT",(1-L139)+$W$1,IF(RIGHT(H138,2)="SH",(1-L139)+$W$3,""))),0)</f>
        <v>0.26999999999999996</v>
      </c>
      <c r="W139" s="298"/>
      <c r="X139" s="698">
        <f t="shared" ca="1" si="145"/>
        <v>0.3</v>
      </c>
      <c r="Y139" s="81">
        <f t="shared" ca="1" si="167"/>
        <v>7</v>
      </c>
      <c r="Z139" s="81">
        <f t="shared" ca="1" si="168"/>
        <v>2</v>
      </c>
      <c r="AA139" s="81">
        <f t="shared" ca="1" si="169"/>
        <v>1</v>
      </c>
      <c r="AB139" s="81">
        <f t="shared" ca="1" si="170"/>
        <v>0.1</v>
      </c>
      <c r="AD139" s="81">
        <v>2030</v>
      </c>
      <c r="AE139" s="81"/>
      <c r="AF139" s="220"/>
    </row>
    <row r="140" spans="2:32">
      <c r="B140" s="718" t="s">
        <v>1010</v>
      </c>
      <c r="C140" s="226"/>
      <c r="E140" s="212"/>
      <c r="F140" s="224" t="s">
        <v>1149</v>
      </c>
      <c r="H140" s="174"/>
      <c r="I140" s="174" t="str">
        <f t="shared" si="143"/>
        <v>INDSWH</v>
      </c>
      <c r="J140" s="224">
        <f t="shared" si="146"/>
        <v>2050</v>
      </c>
      <c r="K140" s="81"/>
      <c r="L140" s="199">
        <f t="shared" ca="1" si="162"/>
        <v>0.94</v>
      </c>
      <c r="M140" s="199"/>
      <c r="N140" s="81"/>
      <c r="O140" s="723">
        <f t="shared" ca="1" si="163"/>
        <v>0.33863636363636368</v>
      </c>
      <c r="P140" s="723">
        <f t="shared" ca="1" si="164"/>
        <v>1.2664999999999999E-2</v>
      </c>
      <c r="Q140" s="81">
        <f t="shared" ca="1" si="165"/>
        <v>2.0694444444444446</v>
      </c>
      <c r="R140" s="300"/>
      <c r="S140" s="300"/>
      <c r="T140" s="300"/>
      <c r="U140" s="300"/>
      <c r="V140" s="199">
        <f t="shared" ref="V140" ca="1" si="175">IF(IF(RIGHT(H138,2)="PH",(1-L140)+$W$2,IF(RIGHT(H138,2)="HT",(1-L140)+$W$1,IF(RIGHT(H138,2)="SH",(1-L140)+$W$3,"")))&gt;0,IF(RIGHT(H138,2)="PH",(1-L140)+$W$2,IF(RIGHT(H138,2)="HT",(1-L140)+$W$1,IF(RIGHT(H138,2)="SH",(1-L140)+$W$3,""))),0)</f>
        <v>0.26000000000000006</v>
      </c>
      <c r="W140" s="298"/>
      <c r="X140" s="698">
        <f t="shared" ca="1" si="145"/>
        <v>0.3</v>
      </c>
      <c r="Y140" s="81">
        <f t="shared" ca="1" si="167"/>
        <v>6</v>
      </c>
      <c r="Z140" s="81">
        <f t="shared" ca="1" si="168"/>
        <v>2</v>
      </c>
      <c r="AA140" s="81">
        <f t="shared" ca="1" si="169"/>
        <v>1</v>
      </c>
      <c r="AB140" s="81">
        <f t="shared" ca="1" si="170"/>
        <v>0.1</v>
      </c>
      <c r="AC140" s="203"/>
      <c r="AD140" s="81">
        <v>2050</v>
      </c>
      <c r="AE140" s="81"/>
      <c r="AF140" s="705"/>
    </row>
    <row r="141" spans="2:32">
      <c r="B141" s="718" t="s">
        <v>1010</v>
      </c>
      <c r="C141" s="226"/>
      <c r="D141" s="212" t="str">
        <f>"IND"&amp;RIGHT(H141,4)&amp;"GAS"&amp;"N"&amp;RIGHT(E141,1)</f>
        <v>INDSDSHGASN1</v>
      </c>
      <c r="E141" s="261" t="str">
        <f>"Industrial heating technology "&amp;$AJ$12&amp;" "&amp;RIGHT(H141,2)&amp;" - Gas boiler (Steam) - new 1"</f>
        <v>Industrial heating technology Iron &amp; Steel SH - Gas boiler (Steam) - new 1</v>
      </c>
      <c r="F141" s="224" t="s">
        <v>1149</v>
      </c>
      <c r="G141" s="173" t="s">
        <v>2080</v>
      </c>
      <c r="H141" s="174" t="str">
        <f>$AI$15</f>
        <v>ISDSH</v>
      </c>
      <c r="I141" s="174" t="str">
        <f t="shared" si="143"/>
        <v>INDSWH</v>
      </c>
      <c r="J141" s="224">
        <f t="shared" si="146"/>
        <v>2011</v>
      </c>
      <c r="K141" s="299">
        <f>J141</f>
        <v>2011</v>
      </c>
      <c r="L141" s="199">
        <f t="shared" ca="1" si="162"/>
        <v>0.92</v>
      </c>
      <c r="M141" s="199"/>
      <c r="N141" s="81">
        <f ca="1">VLOOKUP($AD141,INDIRECT("'"&amp;$B141&amp;"'!"&amp;"$P$39:$AD$42"),5,FALSE)</f>
        <v>25</v>
      </c>
      <c r="O141" s="723">
        <f t="shared" ca="1" si="163"/>
        <v>0.40636363636363632</v>
      </c>
      <c r="P141" s="723">
        <f t="shared" ca="1" si="164"/>
        <v>1.49E-2</v>
      </c>
      <c r="Q141" s="81">
        <f t="shared" ca="1" si="165"/>
        <v>2.276388888888889</v>
      </c>
      <c r="R141" s="81">
        <v>3.1536000000000002E-2</v>
      </c>
      <c r="S141" s="199">
        <v>0.5</v>
      </c>
      <c r="T141" s="199">
        <f ca="1">HLOOKUP($T$2,INDIRECT("'"&amp;$B141&amp;"'!"&amp;"$P$6:$AC$19"),IF(H141=$AI$13,6,IF(H141=$AI$14,9,14)),FALSE)</f>
        <v>1</v>
      </c>
      <c r="U141" s="772"/>
      <c r="V141" s="199">
        <f t="shared" ref="V141" ca="1" si="176">IF(IF(RIGHT(H141,2)="PH",(1-L141)+$W$2,IF(RIGHT(H141,2)="HT",(1-L141)+$W$1,IF(RIGHT(H141,2)="SH",(1-L141)+$W$3,"")))&gt;0,IF(RIGHT(H141,2)="PH",(1-L141)+$W$2,IF(RIGHT(H141,2)="HT",(1-L141)+$W$1,IF(RIGHT(H141,2)="SH",(1-L141)+$W$3,""))),0)</f>
        <v>7.999999999999996E-2</v>
      </c>
      <c r="W141" s="298"/>
      <c r="X141" s="698">
        <f t="shared" ca="1" si="145"/>
        <v>0.3</v>
      </c>
      <c r="Y141" s="81">
        <f t="shared" ca="1" si="167"/>
        <v>9</v>
      </c>
      <c r="Z141" s="81">
        <f t="shared" ca="1" si="168"/>
        <v>3</v>
      </c>
      <c r="AA141" s="81">
        <f t="shared" ca="1" si="169"/>
        <v>1</v>
      </c>
      <c r="AB141" s="81">
        <f t="shared" ca="1" si="170"/>
        <v>0.1</v>
      </c>
      <c r="AC141" s="296"/>
      <c r="AD141" s="81">
        <v>2020</v>
      </c>
      <c r="AE141" s="81"/>
      <c r="AF141" s="710"/>
    </row>
    <row r="142" spans="2:32">
      <c r="B142" s="718" t="s">
        <v>1010</v>
      </c>
      <c r="C142" s="226"/>
      <c r="E142" s="212"/>
      <c r="F142" s="224" t="s">
        <v>1149</v>
      </c>
      <c r="H142" s="174"/>
      <c r="I142" s="174" t="str">
        <f t="shared" si="143"/>
        <v>INDSWH</v>
      </c>
      <c r="J142" s="224">
        <f t="shared" si="146"/>
        <v>2030</v>
      </c>
      <c r="K142" s="81"/>
      <c r="L142" s="199">
        <f t="shared" ca="1" si="162"/>
        <v>0.93</v>
      </c>
      <c r="M142" s="199"/>
      <c r="N142" s="81"/>
      <c r="O142" s="723">
        <f t="shared" ca="1" si="163"/>
        <v>0.33863636363636368</v>
      </c>
      <c r="P142" s="723">
        <f t="shared" ca="1" si="164"/>
        <v>1.4154999999999999E-2</v>
      </c>
      <c r="Q142" s="81">
        <f t="shared" ca="1" si="165"/>
        <v>2.0694444444444446</v>
      </c>
      <c r="R142" s="300"/>
      <c r="S142" s="300"/>
      <c r="T142" s="300"/>
      <c r="U142" s="300"/>
      <c r="V142" s="199">
        <f t="shared" ref="V142" ca="1" si="177">IF(IF(RIGHT(H141,2)="PH",(1-L142)+$W$2,IF(RIGHT(H141,2)="HT",(1-L142)+$W$1,IF(RIGHT(H141,2)="SH",(1-L142)+$W$3,"")))&gt;0,IF(RIGHT(H141,2)="PH",(1-L142)+$W$2,IF(RIGHT(H141,2)="HT",(1-L142)+$W$1,IF(RIGHT(H141,2)="SH",(1-L142)+$W$3,""))),0)</f>
        <v>6.9999999999999951E-2</v>
      </c>
      <c r="W142" s="298"/>
      <c r="X142" s="698">
        <f t="shared" ca="1" si="145"/>
        <v>0.3</v>
      </c>
      <c r="Y142" s="81">
        <f t="shared" ca="1" si="167"/>
        <v>7</v>
      </c>
      <c r="Z142" s="81">
        <f t="shared" ca="1" si="168"/>
        <v>2</v>
      </c>
      <c r="AA142" s="81">
        <f t="shared" ca="1" si="169"/>
        <v>1</v>
      </c>
      <c r="AB142" s="81">
        <f t="shared" ca="1" si="170"/>
        <v>0.1</v>
      </c>
      <c r="AC142" s="55"/>
      <c r="AD142" s="81">
        <v>2030</v>
      </c>
      <c r="AE142" s="81"/>
      <c r="AF142" s="700"/>
    </row>
    <row r="143" spans="2:32">
      <c r="B143" s="719" t="s">
        <v>1010</v>
      </c>
      <c r="C143" s="713"/>
      <c r="D143" s="203"/>
      <c r="E143" s="701"/>
      <c r="F143" s="224" t="s">
        <v>1149</v>
      </c>
      <c r="G143" s="203"/>
      <c r="H143" s="702"/>
      <c r="I143" s="702" t="str">
        <f t="shared" si="143"/>
        <v>INDSWH</v>
      </c>
      <c r="J143" s="224">
        <f t="shared" si="146"/>
        <v>2050</v>
      </c>
      <c r="K143" s="81"/>
      <c r="L143" s="199">
        <f t="shared" ca="1" si="162"/>
        <v>0.94</v>
      </c>
      <c r="M143" s="199"/>
      <c r="N143" s="81"/>
      <c r="O143" s="723">
        <f t="shared" ca="1" si="163"/>
        <v>0.33863636363636368</v>
      </c>
      <c r="P143" s="723">
        <f t="shared" ca="1" si="164"/>
        <v>1.2664999999999999E-2</v>
      </c>
      <c r="Q143" s="81">
        <f t="shared" ca="1" si="165"/>
        <v>2.0694444444444446</v>
      </c>
      <c r="R143" s="703"/>
      <c r="S143" s="703"/>
      <c r="T143" s="703"/>
      <c r="U143" s="703"/>
      <c r="V143" s="199">
        <f t="shared" ref="V143" ca="1" si="178">IF(IF(RIGHT(H141,2)="PH",(1-L143)+$W$2,IF(RIGHT(H141,2)="HT",(1-L143)+$W$1,IF(RIGHT(H141,2)="SH",(1-L143)+$W$3,"")))&gt;0,IF(RIGHT(H141,2)="PH",(1-L143)+$W$2,IF(RIGHT(H141,2)="HT",(1-L143)+$W$1,IF(RIGHT(H141,2)="SH",(1-L143)+$W$3,""))),0)</f>
        <v>6.0000000000000053E-2</v>
      </c>
      <c r="W143" s="704"/>
      <c r="X143" s="698">
        <f t="shared" ca="1" si="145"/>
        <v>0.3</v>
      </c>
      <c r="Y143" s="81">
        <f t="shared" ca="1" si="167"/>
        <v>6</v>
      </c>
      <c r="Z143" s="81">
        <f t="shared" ca="1" si="168"/>
        <v>2</v>
      </c>
      <c r="AA143" s="81">
        <f t="shared" ca="1" si="169"/>
        <v>1</v>
      </c>
      <c r="AB143" s="81">
        <f t="shared" ca="1" si="170"/>
        <v>0.1</v>
      </c>
      <c r="AC143" s="55"/>
      <c r="AD143" s="81">
        <v>2050</v>
      </c>
      <c r="AE143" s="81"/>
      <c r="AF143" s="700"/>
    </row>
    <row r="144" spans="2:32">
      <c r="B144" s="718" t="s">
        <v>1010</v>
      </c>
      <c r="C144" s="226"/>
      <c r="D144" s="212" t="str">
        <f>"IND"&amp;RIGHT(H144,4)&amp;"GAS"&amp;"N"&amp;RIGHT(E144,1)</f>
        <v>INDSDPHGASN2</v>
      </c>
      <c r="E144" s="707" t="str">
        <f>"Industrial heating technology "&amp;$AJ$12&amp;" "&amp;RIGHT(H144,2)&amp;" - Gas boiler (Steam - condensing) - new 2"</f>
        <v>Industrial heating technology Iron &amp; Steel PH - Gas boiler (Steam - condensing) - new 2</v>
      </c>
      <c r="F144" s="224" t="s">
        <v>1149</v>
      </c>
      <c r="G144" s="173" t="s">
        <v>2080</v>
      </c>
      <c r="H144" s="708" t="str">
        <f>$AI$14</f>
        <v>ISDPH</v>
      </c>
      <c r="I144" s="708" t="str">
        <f t="shared" si="143"/>
        <v>INDSWH</v>
      </c>
      <c r="J144" s="224">
        <f t="shared" si="146"/>
        <v>2011</v>
      </c>
      <c r="K144" s="299">
        <f>J144</f>
        <v>2011</v>
      </c>
      <c r="L144" s="199">
        <f t="shared" ref="L144:L149" ca="1" si="179">VLOOKUP($AD144,INDIRECT("'"&amp;$B144&amp;"'!"&amp;"$P$118:$AD$121"),3,FALSE)</f>
        <v>1.01</v>
      </c>
      <c r="M144" s="199"/>
      <c r="N144" s="81">
        <f ca="1">VLOOKUP($AD144,INDIRECT("'"&amp;$B144&amp;"'!"&amp;"$P$118:$AD$121"),5,FALSE)</f>
        <v>25</v>
      </c>
      <c r="O144" s="723">
        <f t="shared" ref="O144:O149" ca="1" si="180">VLOOKUP($AD144,INDIRECT("'"&amp;$B144&amp;"'!"&amp;"$P$118:$AD$121"),6,FALSE)/1000</f>
        <v>0.44700000000000001</v>
      </c>
      <c r="P144" s="723">
        <f t="shared" ref="P144:P149" ca="1" si="181">VLOOKUP($AD144,INDIRECT("'"&amp;$B144&amp;"'!"&amp;"$P$118:$AD$121"),7,FALSE)/1000</f>
        <v>1.49E-2</v>
      </c>
      <c r="Q144" s="81">
        <f t="shared" ref="Q144:Q149" ca="1" si="182">VLOOKUP($AD144,INDIRECT("'"&amp;$B144&amp;"'!"&amp;"$P$118:$AD$121"),8,FALSE)</f>
        <v>2.276388888888889</v>
      </c>
      <c r="R144" s="81">
        <v>3.1536000000000002E-2</v>
      </c>
      <c r="S144" s="199">
        <v>0.5</v>
      </c>
      <c r="T144" s="199">
        <f ca="1">HLOOKUP($T$2,INDIRECT("'"&amp;$B144&amp;"'!"&amp;"$P$85:$AC$98"),IF(H144=$AI$13,6,IF(H144=$AI$14,9,14)),FALSE)</f>
        <v>0</v>
      </c>
      <c r="U144" s="773"/>
      <c r="V144" s="199">
        <f t="shared" ref="V144" ca="1" si="183">IF(IF(RIGHT(H144,2)="PH",(1-L144)+$W$2,IF(RIGHT(H144,2)="HT",(1-L144)+$W$1,IF(RIGHT(H144,2)="SH",(1-L144)+$W$3,"")))&gt;0,IF(RIGHT(H144,2)="PH",(1-L144)+$W$2,IF(RIGHT(H144,2)="HT",(1-L144)+$W$1,IF(RIGHT(H144,2)="SH",(1-L144)+$W$3,""))),0)</f>
        <v>0.19</v>
      </c>
      <c r="W144" s="709"/>
      <c r="X144" s="698">
        <f t="shared" ca="1" si="145"/>
        <v>0.3</v>
      </c>
      <c r="Y144" s="698">
        <f t="shared" ref="Y144:Y149" ca="1" si="184">VLOOKUP($AD144,INDIRECT("'"&amp;$B144&amp;"'!"&amp;"$P$118:$AD$121"),12,FALSE)</f>
        <v>9</v>
      </c>
      <c r="Z144" s="698">
        <f t="shared" ref="Z144:Z149" ca="1" si="185">VLOOKUP($AD144,INDIRECT("'"&amp;$B144&amp;"'!"&amp;"$P$118:$AD$121"),13,FALSE)</f>
        <v>3</v>
      </c>
      <c r="AA144" s="698">
        <f t="shared" ref="AA144:AA149" ca="1" si="186">VLOOKUP($AD144,INDIRECT("'"&amp;$B144&amp;"'!"&amp;"$P$118:$AD$121"),14,FALSE)</f>
        <v>1</v>
      </c>
      <c r="AB144" s="698">
        <f t="shared" ref="AB144:AB149" ca="1" si="187">VLOOKUP($AD144,INDIRECT("'"&amp;$B144&amp;"'!"&amp;"$P$118:$AD$121"),15,FALSE)</f>
        <v>0.1</v>
      </c>
      <c r="AC144" s="55"/>
      <c r="AD144" s="81">
        <v>2020</v>
      </c>
      <c r="AE144" s="81"/>
      <c r="AF144" s="700"/>
    </row>
    <row r="145" spans="1:32">
      <c r="B145" s="718" t="s">
        <v>1010</v>
      </c>
      <c r="C145" s="226"/>
      <c r="E145" s="261"/>
      <c r="F145" s="224" t="s">
        <v>1149</v>
      </c>
      <c r="G145" s="55"/>
      <c r="H145" s="174"/>
      <c r="I145" s="174" t="str">
        <f t="shared" si="143"/>
        <v>INDSWH</v>
      </c>
      <c r="J145" s="224">
        <f t="shared" si="146"/>
        <v>2030</v>
      </c>
      <c r="K145" s="81"/>
      <c r="L145" s="199">
        <f t="shared" ca="1" si="179"/>
        <v>1.03</v>
      </c>
      <c r="M145" s="199"/>
      <c r="N145" s="81"/>
      <c r="O145" s="723">
        <f t="shared" ca="1" si="180"/>
        <v>0.37250000000000005</v>
      </c>
      <c r="P145" s="723">
        <f t="shared" ca="1" si="181"/>
        <v>1.4154999999999999E-2</v>
      </c>
      <c r="Q145" s="81">
        <f t="shared" ca="1" si="182"/>
        <v>2.0694444444444446</v>
      </c>
      <c r="R145" s="300"/>
      <c r="S145" s="300"/>
      <c r="T145" s="300"/>
      <c r="U145" s="300"/>
      <c r="V145" s="199">
        <f t="shared" ref="V145" ca="1" si="188">IF(IF(RIGHT(H144,2)="PH",(1-L145)+$W$2,IF(RIGHT(H144,2)="HT",(1-L145)+$W$1,IF(RIGHT(H144,2)="SH",(1-L145)+$W$3,"")))&gt;0,IF(RIGHT(H144,2)="PH",(1-L145)+$W$2,IF(RIGHT(H144,2)="HT",(1-L145)+$W$1,IF(RIGHT(H144,2)="SH",(1-L145)+$W$3,""))),0)</f>
        <v>0.16999999999999998</v>
      </c>
      <c r="W145" s="298"/>
      <c r="X145" s="698">
        <f t="shared" ca="1" si="145"/>
        <v>0.3</v>
      </c>
      <c r="Y145" s="698">
        <f t="shared" ca="1" si="184"/>
        <v>7</v>
      </c>
      <c r="Z145" s="698">
        <f t="shared" ca="1" si="185"/>
        <v>2</v>
      </c>
      <c r="AA145" s="698">
        <f t="shared" ca="1" si="186"/>
        <v>1</v>
      </c>
      <c r="AB145" s="698">
        <f t="shared" ca="1" si="187"/>
        <v>0.1</v>
      </c>
      <c r="AC145" s="55"/>
      <c r="AD145" s="81">
        <v>2030</v>
      </c>
      <c r="AE145" s="81"/>
      <c r="AF145" s="700"/>
    </row>
    <row r="146" spans="1:32">
      <c r="A146" s="226"/>
      <c r="B146" s="718" t="s">
        <v>1010</v>
      </c>
      <c r="C146" s="226"/>
      <c r="E146" s="261"/>
      <c r="F146" s="224" t="s">
        <v>1149</v>
      </c>
      <c r="G146" s="55"/>
      <c r="H146" s="174"/>
      <c r="I146" s="174" t="str">
        <f t="shared" si="143"/>
        <v>INDSWH</v>
      </c>
      <c r="J146" s="224">
        <f t="shared" si="146"/>
        <v>2050</v>
      </c>
      <c r="K146" s="81"/>
      <c r="L146" s="199">
        <f t="shared" ca="1" si="179"/>
        <v>1.03</v>
      </c>
      <c r="M146" s="199"/>
      <c r="N146" s="81"/>
      <c r="O146" s="723">
        <f t="shared" ca="1" si="180"/>
        <v>0.37250000000000005</v>
      </c>
      <c r="P146" s="723">
        <f t="shared" ca="1" si="181"/>
        <v>1.2664999999999999E-2</v>
      </c>
      <c r="Q146" s="81">
        <f t="shared" ca="1" si="182"/>
        <v>2.0694444444444446</v>
      </c>
      <c r="R146" s="300"/>
      <c r="S146" s="300"/>
      <c r="T146" s="300"/>
      <c r="U146" s="300"/>
      <c r="V146" s="199">
        <f t="shared" ref="V146" ca="1" si="189">IF(IF(RIGHT(H144,2)="PH",(1-L146)+$W$2,IF(RIGHT(H144,2)="HT",(1-L146)+$W$1,IF(RIGHT(H144,2)="SH",(1-L146)+$W$3,"")))&gt;0,IF(RIGHT(H144,2)="PH",(1-L146)+$W$2,IF(RIGHT(H144,2)="HT",(1-L146)+$W$1,IF(RIGHT(H144,2)="SH",(1-L146)+$W$3,""))),0)</f>
        <v>0.16999999999999998</v>
      </c>
      <c r="W146" s="298"/>
      <c r="X146" s="698">
        <f t="shared" ca="1" si="145"/>
        <v>0.3</v>
      </c>
      <c r="Y146" s="698">
        <f t="shared" ca="1" si="184"/>
        <v>6</v>
      </c>
      <c r="Z146" s="698">
        <f t="shared" ca="1" si="185"/>
        <v>2</v>
      </c>
      <c r="AA146" s="698">
        <f t="shared" ca="1" si="186"/>
        <v>1</v>
      </c>
      <c r="AB146" s="698">
        <f t="shared" ca="1" si="187"/>
        <v>0.1</v>
      </c>
      <c r="AC146" s="203"/>
      <c r="AD146" s="81">
        <v>2050</v>
      </c>
      <c r="AE146" s="81"/>
      <c r="AF146" s="705"/>
    </row>
    <row r="147" spans="1:32">
      <c r="A147" s="226"/>
      <c r="B147" s="718" t="s">
        <v>1010</v>
      </c>
      <c r="C147" s="226"/>
      <c r="D147" s="212" t="str">
        <f>"IND"&amp;RIGHT(H147,4)&amp;"GAS"&amp;"N"&amp;RIGHT(E147,1)</f>
        <v>INDSDSHGASN2</v>
      </c>
      <c r="E147" s="261" t="str">
        <f>"Industrial heating technology "&amp;$AJ$12&amp;" "&amp;RIGHT(H147,2)&amp;" - Gas boiler (Steam - condensing) - new 2"</f>
        <v>Industrial heating technology Iron &amp; Steel SH - Gas boiler (Steam - condensing) - new 2</v>
      </c>
      <c r="F147" s="224" t="s">
        <v>1149</v>
      </c>
      <c r="G147" s="173" t="s">
        <v>2080</v>
      </c>
      <c r="H147" s="174" t="str">
        <f>$AI$15</f>
        <v>ISDSH</v>
      </c>
      <c r="I147" s="174" t="str">
        <f t="shared" si="143"/>
        <v>INDSWH</v>
      </c>
      <c r="J147" s="224">
        <f t="shared" si="146"/>
        <v>2011</v>
      </c>
      <c r="K147" s="299">
        <f>J147</f>
        <v>2011</v>
      </c>
      <c r="L147" s="199">
        <f t="shared" ca="1" si="179"/>
        <v>1.01</v>
      </c>
      <c r="M147" s="199"/>
      <c r="N147" s="81">
        <f ca="1">VLOOKUP($AD147,INDIRECT("'"&amp;$B147&amp;"'!"&amp;"$P$118:$AD$121"),5,FALSE)</f>
        <v>25</v>
      </c>
      <c r="O147" s="723">
        <f t="shared" ca="1" si="180"/>
        <v>0.44700000000000001</v>
      </c>
      <c r="P147" s="723">
        <f t="shared" ca="1" si="181"/>
        <v>1.49E-2</v>
      </c>
      <c r="Q147" s="81">
        <f t="shared" ca="1" si="182"/>
        <v>2.276388888888889</v>
      </c>
      <c r="R147" s="81">
        <v>3.1536000000000002E-2</v>
      </c>
      <c r="S147" s="199">
        <v>0.5</v>
      </c>
      <c r="T147" s="199">
        <f ca="1">HLOOKUP($T$2,INDIRECT("'"&amp;$B147&amp;"'!"&amp;"$P$85:$AC$98"),IF(H147=$AI$13,6,IF(H147=$AI$14,9,14)),FALSE)</f>
        <v>0</v>
      </c>
      <c r="U147" s="772"/>
      <c r="V147" s="199">
        <f t="shared" ref="V147" ca="1" si="190">IF(IF(RIGHT(H147,2)="PH",(1-L147)+$W$2,IF(RIGHT(H147,2)="HT",(1-L147)+$W$1,IF(RIGHT(H147,2)="SH",(1-L147)+$W$3,"")))&gt;0,IF(RIGHT(H147,2)="PH",(1-L147)+$W$2,IF(RIGHT(H147,2)="HT",(1-L147)+$W$1,IF(RIGHT(H147,2)="SH",(1-L147)+$W$3,""))),0)</f>
        <v>0</v>
      </c>
      <c r="W147" s="298"/>
      <c r="X147" s="698">
        <f t="shared" ca="1" si="145"/>
        <v>0.3</v>
      </c>
      <c r="Y147" s="698">
        <f t="shared" ca="1" si="184"/>
        <v>9</v>
      </c>
      <c r="Z147" s="698">
        <f t="shared" ca="1" si="185"/>
        <v>3</v>
      </c>
      <c r="AA147" s="698">
        <f t="shared" ca="1" si="186"/>
        <v>1</v>
      </c>
      <c r="AB147" s="698">
        <f t="shared" ca="1" si="187"/>
        <v>0.1</v>
      </c>
      <c r="AC147" s="296"/>
      <c r="AD147" s="81">
        <v>2020</v>
      </c>
      <c r="AE147" s="81"/>
      <c r="AF147" s="710"/>
    </row>
    <row r="148" spans="1:32">
      <c r="A148" s="226"/>
      <c r="B148" s="718" t="s">
        <v>1010</v>
      </c>
      <c r="C148" s="226"/>
      <c r="E148" s="261"/>
      <c r="F148" s="224" t="s">
        <v>1149</v>
      </c>
      <c r="G148" s="55"/>
      <c r="H148" s="174"/>
      <c r="I148" s="174" t="str">
        <f t="shared" si="143"/>
        <v>INDSWH</v>
      </c>
      <c r="J148" s="224">
        <f t="shared" si="146"/>
        <v>2030</v>
      </c>
      <c r="K148" s="81"/>
      <c r="L148" s="199">
        <f t="shared" ca="1" si="179"/>
        <v>1.03</v>
      </c>
      <c r="M148" s="199"/>
      <c r="N148" s="81"/>
      <c r="O148" s="723">
        <f t="shared" ca="1" si="180"/>
        <v>0.37250000000000005</v>
      </c>
      <c r="P148" s="723">
        <f t="shared" ca="1" si="181"/>
        <v>1.4154999999999999E-2</v>
      </c>
      <c r="Q148" s="81">
        <f t="shared" ca="1" si="182"/>
        <v>2.0694444444444446</v>
      </c>
      <c r="R148" s="300"/>
      <c r="S148" s="300"/>
      <c r="T148" s="300"/>
      <c r="U148" s="300"/>
      <c r="V148" s="199">
        <f t="shared" ref="V148" ca="1" si="191">IF(IF(RIGHT(H147,2)="PH",(1-L148)+$W$2,IF(RIGHT(H147,2)="HT",(1-L148)+$W$1,IF(RIGHT(H147,2)="SH",(1-L148)+$W$3,"")))&gt;0,IF(RIGHT(H147,2)="PH",(1-L148)+$W$2,IF(RIGHT(H147,2)="HT",(1-L148)+$W$1,IF(RIGHT(H147,2)="SH",(1-L148)+$W$3,""))),0)</f>
        <v>0</v>
      </c>
      <c r="W148" s="298"/>
      <c r="X148" s="698">
        <f t="shared" ca="1" si="145"/>
        <v>0.3</v>
      </c>
      <c r="Y148" s="698">
        <f t="shared" ca="1" si="184"/>
        <v>7</v>
      </c>
      <c r="Z148" s="698">
        <f t="shared" ca="1" si="185"/>
        <v>2</v>
      </c>
      <c r="AA148" s="698">
        <f t="shared" ca="1" si="186"/>
        <v>1</v>
      </c>
      <c r="AB148" s="698">
        <f t="shared" ca="1" si="187"/>
        <v>0.1</v>
      </c>
      <c r="AC148" s="55"/>
      <c r="AD148" s="81">
        <v>2030</v>
      </c>
      <c r="AE148" s="81"/>
      <c r="AF148" s="700"/>
    </row>
    <row r="149" spans="1:32">
      <c r="A149" s="226"/>
      <c r="B149" s="719" t="s">
        <v>1010</v>
      </c>
      <c r="C149" s="713"/>
      <c r="D149" s="203"/>
      <c r="E149" s="701"/>
      <c r="F149" s="224" t="s">
        <v>1149</v>
      </c>
      <c r="G149" s="203"/>
      <c r="H149" s="702"/>
      <c r="I149" s="702" t="str">
        <f t="shared" si="143"/>
        <v>INDSWH</v>
      </c>
      <c r="J149" s="224">
        <f t="shared" si="146"/>
        <v>2050</v>
      </c>
      <c r="K149" s="81"/>
      <c r="L149" s="199">
        <f t="shared" ca="1" si="179"/>
        <v>1.03</v>
      </c>
      <c r="M149" s="199"/>
      <c r="N149" s="81"/>
      <c r="O149" s="723">
        <f t="shared" ca="1" si="180"/>
        <v>0.37250000000000005</v>
      </c>
      <c r="P149" s="723">
        <f t="shared" ca="1" si="181"/>
        <v>1.2664999999999999E-2</v>
      </c>
      <c r="Q149" s="81">
        <f t="shared" ca="1" si="182"/>
        <v>2.0694444444444446</v>
      </c>
      <c r="R149" s="703"/>
      <c r="S149" s="703"/>
      <c r="T149" s="703"/>
      <c r="U149" s="703"/>
      <c r="V149" s="199">
        <f t="shared" ref="V149" ca="1" si="192">IF(IF(RIGHT(H147,2)="PH",(1-L149)+$W$2,IF(RIGHT(H147,2)="HT",(1-L149)+$W$1,IF(RIGHT(H147,2)="SH",(1-L149)+$W$3,"")))&gt;0,IF(RIGHT(H147,2)="PH",(1-L149)+$W$2,IF(RIGHT(H147,2)="HT",(1-L149)+$W$1,IF(RIGHT(H147,2)="SH",(1-L149)+$W$3,""))),0)</f>
        <v>0</v>
      </c>
      <c r="W149" s="704"/>
      <c r="X149" s="698">
        <f t="shared" ca="1" si="145"/>
        <v>0.3</v>
      </c>
      <c r="Y149" s="698">
        <f t="shared" ca="1" si="184"/>
        <v>6</v>
      </c>
      <c r="Z149" s="698">
        <f t="shared" ca="1" si="185"/>
        <v>2</v>
      </c>
      <c r="AA149" s="698">
        <f t="shared" ca="1" si="186"/>
        <v>1</v>
      </c>
      <c r="AB149" s="698">
        <f t="shared" ca="1" si="187"/>
        <v>0.1</v>
      </c>
      <c r="AC149" s="55"/>
      <c r="AD149" s="81">
        <v>2050</v>
      </c>
      <c r="AE149" s="81"/>
      <c r="AF149" s="700"/>
    </row>
    <row r="150" spans="1:32">
      <c r="A150" s="226"/>
      <c r="B150" s="718" t="s">
        <v>1010</v>
      </c>
      <c r="C150" s="226"/>
      <c r="D150" s="212" t="str">
        <f>"IND"&amp;RIGHT(H150,4)&amp;"GAS"&amp;"N"&amp;RIGHT(E150,1)</f>
        <v>INDSDPHGASN3</v>
      </c>
      <c r="E150" s="707" t="str">
        <f>"Industrial heating technology "&amp;$AJ$12&amp;" "&amp;RIGHT(H150,2)&amp;" - Gas boiler (Hot Water) - new 3"</f>
        <v>Industrial heating technology Iron &amp; Steel PH - Gas boiler (Hot Water) - new 3</v>
      </c>
      <c r="F150" s="224" t="s">
        <v>1149</v>
      </c>
      <c r="G150" s="173" t="s">
        <v>2080</v>
      </c>
      <c r="H150" s="708" t="str">
        <f>$AI$14</f>
        <v>ISDPH</v>
      </c>
      <c r="I150" s="708" t="str">
        <f t="shared" si="143"/>
        <v>INDSWH</v>
      </c>
      <c r="J150" s="224">
        <f t="shared" si="146"/>
        <v>2011</v>
      </c>
      <c r="K150" s="299">
        <f>J150</f>
        <v>2011</v>
      </c>
      <c r="L150" s="199">
        <f t="shared" ref="L150:L155" ca="1" si="193">VLOOKUP($AD150,INDIRECT("'"&amp;$B150&amp;"'!"&amp;"$P$200:$AD$203"),3,FALSE)</f>
        <v>0.93</v>
      </c>
      <c r="M150" s="199"/>
      <c r="N150" s="81">
        <f ca="1">VLOOKUP($AD150,INDIRECT("'"&amp;$B150&amp;"'!"&amp;"$P$200:$AD$203"),5,FALSE)</f>
        <v>25</v>
      </c>
      <c r="O150" s="723">
        <f t="shared" ref="O150:O155" ca="1" si="194">VLOOKUP($AD150,INDIRECT("'"&amp;$B150&amp;"'!"&amp;"$P$200:$AD$203"),6,FALSE)/1000</f>
        <v>0.3250909090909091</v>
      </c>
      <c r="P150" s="723">
        <f t="shared" ref="P150:P155" ca="1" si="195">VLOOKUP($AD150,INDIRECT("'"&amp;$B150&amp;"'!"&amp;"$P$200:$AD$203"),7,FALSE)/1000</f>
        <v>1.49E-2</v>
      </c>
      <c r="Q150" s="81">
        <f t="shared" ref="Q150:Q155" ca="1" si="196">VLOOKUP($AD150,INDIRECT("'"&amp;$B150&amp;"'!"&amp;"$P$200:$AD$203"),8,FALSE)</f>
        <v>2.276388888888889</v>
      </c>
      <c r="R150" s="81">
        <v>3.1536000000000002E-2</v>
      </c>
      <c r="S150" s="199">
        <v>0.5</v>
      </c>
      <c r="T150" s="199">
        <f ca="1">HLOOKUP($T$2,INDIRECT("'"&amp;$B150&amp;"'!"&amp;"$P$167:$AC$180"),IF(H150=$AI$13,6,IF(H150=$AI$14,9,14)),FALSE)</f>
        <v>0</v>
      </c>
      <c r="U150" s="773"/>
      <c r="V150" s="199">
        <f t="shared" ref="V150" ca="1" si="197">IF(IF(RIGHT(H150,2)="PH",(1-L150)+$W$2,IF(RIGHT(H150,2)="HT",(1-L150)+$W$1,IF(RIGHT(H150,2)="SH",(1-L150)+$W$3,"")))&gt;0,IF(RIGHT(H150,2)="PH",(1-L150)+$W$2,IF(RIGHT(H150,2)="HT",(1-L150)+$W$1,IF(RIGHT(H150,2)="SH",(1-L150)+$W$3,""))),0)</f>
        <v>0.26999999999999996</v>
      </c>
      <c r="W150" s="709"/>
      <c r="X150" s="698">
        <f t="shared" ca="1" si="145"/>
        <v>0.3</v>
      </c>
      <c r="Y150" s="698">
        <f t="shared" ref="Y150:Y155" ca="1" si="198">VLOOKUP($AD150,INDIRECT("'"&amp;$B150&amp;"'!"&amp;"$P$200:$AD$203"),12,FALSE)</f>
        <v>9</v>
      </c>
      <c r="Z150" s="698">
        <f t="shared" ref="Z150:Z155" ca="1" si="199">VLOOKUP($AD150,INDIRECT("'"&amp;$B150&amp;"'!"&amp;"$P$200:$AD$203"),13,FALSE)</f>
        <v>3</v>
      </c>
      <c r="AA150" s="698">
        <f t="shared" ref="AA150:AA155" ca="1" si="200">VLOOKUP($AD150,INDIRECT("'"&amp;$B150&amp;"'!"&amp;"$P$200:$AD$203"),14,FALSE)</f>
        <v>1</v>
      </c>
      <c r="AB150" s="698">
        <f t="shared" ref="AB150:AB155" ca="1" si="201">VLOOKUP($AD150,INDIRECT("'"&amp;$B150&amp;"'!"&amp;"$P$200:$AD$203"),15,FALSE)</f>
        <v>0.1</v>
      </c>
      <c r="AC150" s="55"/>
      <c r="AD150" s="81">
        <v>2020</v>
      </c>
      <c r="AE150" s="81"/>
      <c r="AF150" s="700"/>
    </row>
    <row r="151" spans="1:32">
      <c r="A151" s="226"/>
      <c r="B151" s="718" t="s">
        <v>1010</v>
      </c>
      <c r="C151" s="226"/>
      <c r="E151" s="261"/>
      <c r="F151" s="224" t="s">
        <v>1149</v>
      </c>
      <c r="G151" s="55"/>
      <c r="H151" s="174"/>
      <c r="I151" s="174" t="str">
        <f t="shared" si="143"/>
        <v>INDSWH</v>
      </c>
      <c r="J151" s="224">
        <f t="shared" si="146"/>
        <v>2030</v>
      </c>
      <c r="K151" s="81"/>
      <c r="L151" s="199">
        <f t="shared" ca="1" si="193"/>
        <v>0.94</v>
      </c>
      <c r="M151" s="199"/>
      <c r="N151" s="81"/>
      <c r="O151" s="723">
        <f t="shared" ca="1" si="194"/>
        <v>0.27090909090909093</v>
      </c>
      <c r="P151" s="723">
        <f t="shared" ca="1" si="195"/>
        <v>1.4154999999999999E-2</v>
      </c>
      <c r="Q151" s="81">
        <f t="shared" ca="1" si="196"/>
        <v>2.0694444444444446</v>
      </c>
      <c r="R151" s="300"/>
      <c r="S151" s="300"/>
      <c r="T151" s="300"/>
      <c r="U151" s="300"/>
      <c r="V151" s="199">
        <f t="shared" ref="V151" ca="1" si="202">IF(IF(RIGHT(H150,2)="PH",(1-L151)+$W$2,IF(RIGHT(H150,2)="HT",(1-L151)+$W$1,IF(RIGHT(H150,2)="SH",(1-L151)+$W$3,"")))&gt;0,IF(RIGHT(H150,2)="PH",(1-L151)+$W$2,IF(RIGHT(H150,2)="HT",(1-L151)+$W$1,IF(RIGHT(H150,2)="SH",(1-L151)+$W$3,""))),0)</f>
        <v>0.26000000000000006</v>
      </c>
      <c r="W151" s="298"/>
      <c r="X151" s="698">
        <f t="shared" ca="1" si="145"/>
        <v>0.3</v>
      </c>
      <c r="Y151" s="698">
        <f t="shared" ca="1" si="198"/>
        <v>7</v>
      </c>
      <c r="Z151" s="698">
        <f t="shared" ca="1" si="199"/>
        <v>2</v>
      </c>
      <c r="AA151" s="698">
        <f t="shared" ca="1" si="200"/>
        <v>1</v>
      </c>
      <c r="AB151" s="698">
        <f t="shared" ca="1" si="201"/>
        <v>0.1</v>
      </c>
      <c r="AC151" s="55"/>
      <c r="AD151" s="81">
        <v>2030</v>
      </c>
      <c r="AE151" s="81"/>
      <c r="AF151" s="700"/>
    </row>
    <row r="152" spans="1:32">
      <c r="B152" s="718" t="s">
        <v>1010</v>
      </c>
      <c r="C152" s="226"/>
      <c r="E152" s="261"/>
      <c r="F152" s="224" t="s">
        <v>1149</v>
      </c>
      <c r="G152" s="55"/>
      <c r="H152" s="174"/>
      <c r="I152" s="174" t="str">
        <f t="shared" si="143"/>
        <v>INDSWH</v>
      </c>
      <c r="J152" s="224">
        <f t="shared" si="146"/>
        <v>2050</v>
      </c>
      <c r="K152" s="81"/>
      <c r="L152" s="199">
        <f t="shared" ca="1" si="193"/>
        <v>0.95</v>
      </c>
      <c r="M152" s="199"/>
      <c r="N152" s="81"/>
      <c r="O152" s="723">
        <f t="shared" ca="1" si="194"/>
        <v>0.27090909090909093</v>
      </c>
      <c r="P152" s="723">
        <f t="shared" ca="1" si="195"/>
        <v>1.2664999999999999E-2</v>
      </c>
      <c r="Q152" s="81">
        <f t="shared" ca="1" si="196"/>
        <v>2.0694444444444446</v>
      </c>
      <c r="R152" s="300"/>
      <c r="S152" s="300"/>
      <c r="T152" s="300"/>
      <c r="U152" s="300"/>
      <c r="V152" s="199">
        <f t="shared" ref="V152" ca="1" si="203">IF(IF(RIGHT(H150,2)="PH",(1-L152)+$W$2,IF(RIGHT(H150,2)="HT",(1-L152)+$W$1,IF(RIGHT(H150,2)="SH",(1-L152)+$W$3,"")))&gt;0,IF(RIGHT(H150,2)="PH",(1-L152)+$W$2,IF(RIGHT(H150,2)="HT",(1-L152)+$W$1,IF(RIGHT(H150,2)="SH",(1-L152)+$W$3,""))),0)</f>
        <v>0.25000000000000006</v>
      </c>
      <c r="W152" s="720"/>
      <c r="X152" s="698">
        <f t="shared" ca="1" si="145"/>
        <v>0.3</v>
      </c>
      <c r="Y152" s="698">
        <f t="shared" ca="1" si="198"/>
        <v>6</v>
      </c>
      <c r="Z152" s="698">
        <f t="shared" ca="1" si="199"/>
        <v>2</v>
      </c>
      <c r="AA152" s="698">
        <f t="shared" ca="1" si="200"/>
        <v>1</v>
      </c>
      <c r="AB152" s="698">
        <f t="shared" ca="1" si="201"/>
        <v>0.1</v>
      </c>
      <c r="AC152" s="203"/>
      <c r="AD152" s="81">
        <v>2050</v>
      </c>
      <c r="AE152" s="81"/>
      <c r="AF152" s="705"/>
    </row>
    <row r="153" spans="1:32">
      <c r="B153" s="718" t="s">
        <v>1010</v>
      </c>
      <c r="C153" s="64"/>
      <c r="D153" s="212" t="str">
        <f>"IND"&amp;RIGHT(H153,4)&amp;"GAS"&amp;"N"&amp;RIGHT(E153,1)</f>
        <v>INDSDSHGASN3</v>
      </c>
      <c r="E153" s="261" t="str">
        <f>"Industrial heating technology "&amp;$AJ$12&amp;" "&amp;RIGHT(H153,2)&amp;" - Gas boiler (Hot Water) - new 3"</f>
        <v>Industrial heating technology Iron &amp; Steel SH - Gas boiler (Hot Water) - new 3</v>
      </c>
      <c r="F153" s="224" t="s">
        <v>1149</v>
      </c>
      <c r="G153" s="173" t="s">
        <v>2080</v>
      </c>
      <c r="H153" s="174" t="str">
        <f>$AI$15</f>
        <v>ISDSH</v>
      </c>
      <c r="I153" s="174" t="str">
        <f t="shared" si="143"/>
        <v>INDSWH</v>
      </c>
      <c r="J153" s="224">
        <f t="shared" si="146"/>
        <v>2011</v>
      </c>
      <c r="K153" s="299">
        <f>J153</f>
        <v>2011</v>
      </c>
      <c r="L153" s="199">
        <f t="shared" ca="1" si="193"/>
        <v>0.93</v>
      </c>
      <c r="M153" s="199"/>
      <c r="N153" s="81">
        <f ca="1">VLOOKUP($AD153,INDIRECT("'"&amp;$B153&amp;"'!"&amp;"$P$200:$AD$203"),5,FALSE)</f>
        <v>25</v>
      </c>
      <c r="O153" s="723">
        <f t="shared" ca="1" si="194"/>
        <v>0.3250909090909091</v>
      </c>
      <c r="P153" s="723">
        <f t="shared" ca="1" si="195"/>
        <v>1.49E-2</v>
      </c>
      <c r="Q153" s="81">
        <f t="shared" ca="1" si="196"/>
        <v>2.276388888888889</v>
      </c>
      <c r="R153" s="81">
        <v>3.1536000000000002E-2</v>
      </c>
      <c r="S153" s="199">
        <v>0.5</v>
      </c>
      <c r="T153" s="199">
        <f ca="1">HLOOKUP($T$2,INDIRECT("'"&amp;$B153&amp;"'!"&amp;"$P$167:$AC$180"),IF(H153=$AI$13,6,IF(H153=$AI$14,9,14)),FALSE)</f>
        <v>1</v>
      </c>
      <c r="U153" s="772"/>
      <c r="V153" s="199">
        <f t="shared" ref="V153" ca="1" si="204">IF(IF(RIGHT(H153,2)="PH",(1-L153)+$W$2,IF(RIGHT(H153,2)="HT",(1-L153)+$W$1,IF(RIGHT(H153,2)="SH",(1-L153)+$W$3,"")))&gt;0,IF(RIGHT(H153,2)="PH",(1-L153)+$W$2,IF(RIGHT(H153,2)="HT",(1-L153)+$W$1,IF(RIGHT(H153,2)="SH",(1-L153)+$W$3,""))),0)</f>
        <v>6.9999999999999951E-2</v>
      </c>
      <c r="W153" s="298"/>
      <c r="X153" s="698">
        <f t="shared" ca="1" si="145"/>
        <v>0.3</v>
      </c>
      <c r="Y153" s="698">
        <f t="shared" ca="1" si="198"/>
        <v>9</v>
      </c>
      <c r="Z153" s="698">
        <f t="shared" ca="1" si="199"/>
        <v>3</v>
      </c>
      <c r="AA153" s="698">
        <f t="shared" ca="1" si="200"/>
        <v>1</v>
      </c>
      <c r="AB153" s="698">
        <f t="shared" ca="1" si="201"/>
        <v>0.1</v>
      </c>
      <c r="AC153" s="296"/>
      <c r="AD153" s="81">
        <v>2020</v>
      </c>
      <c r="AE153" s="81"/>
      <c r="AF153" s="710"/>
    </row>
    <row r="154" spans="1:32">
      <c r="B154" s="718" t="s">
        <v>1010</v>
      </c>
      <c r="C154" s="64"/>
      <c r="E154" s="261"/>
      <c r="F154" s="224" t="s">
        <v>1149</v>
      </c>
      <c r="G154" s="55"/>
      <c r="H154" s="174"/>
      <c r="I154" s="174" t="str">
        <f t="shared" si="143"/>
        <v>INDSWH</v>
      </c>
      <c r="J154" s="224">
        <f t="shared" si="146"/>
        <v>2030</v>
      </c>
      <c r="K154" s="81"/>
      <c r="L154" s="199">
        <f t="shared" ca="1" si="193"/>
        <v>0.94</v>
      </c>
      <c r="M154" s="199"/>
      <c r="N154" s="81"/>
      <c r="O154" s="723">
        <f t="shared" ca="1" si="194"/>
        <v>0.27090909090909093</v>
      </c>
      <c r="P154" s="723">
        <f t="shared" ca="1" si="195"/>
        <v>1.4154999999999999E-2</v>
      </c>
      <c r="Q154" s="81">
        <f t="shared" ca="1" si="196"/>
        <v>2.0694444444444446</v>
      </c>
      <c r="R154" s="300"/>
      <c r="S154" s="300"/>
      <c r="T154" s="300"/>
      <c r="U154" s="300"/>
      <c r="V154" s="199">
        <f t="shared" ref="V154" ca="1" si="205">IF(IF(RIGHT(H153,2)="PH",(1-L154)+$W$2,IF(RIGHT(H153,2)="HT",(1-L154)+$W$1,IF(RIGHT(H153,2)="SH",(1-L154)+$W$3,"")))&gt;0,IF(RIGHT(H153,2)="PH",(1-L154)+$W$2,IF(RIGHT(H153,2)="HT",(1-L154)+$W$1,IF(RIGHT(H153,2)="SH",(1-L154)+$W$3,""))),0)</f>
        <v>6.0000000000000053E-2</v>
      </c>
      <c r="W154" s="298"/>
      <c r="X154" s="698">
        <f t="shared" ca="1" si="145"/>
        <v>0.3</v>
      </c>
      <c r="Y154" s="698">
        <f t="shared" ca="1" si="198"/>
        <v>7</v>
      </c>
      <c r="Z154" s="698">
        <f t="shared" ca="1" si="199"/>
        <v>2</v>
      </c>
      <c r="AA154" s="698">
        <f t="shared" ca="1" si="200"/>
        <v>1</v>
      </c>
      <c r="AB154" s="698">
        <f t="shared" ca="1" si="201"/>
        <v>0.1</v>
      </c>
      <c r="AC154" s="55"/>
      <c r="AD154" s="81">
        <v>2030</v>
      </c>
      <c r="AE154" s="81"/>
      <c r="AF154" s="700"/>
    </row>
    <row r="155" spans="1:32">
      <c r="A155" s="226"/>
      <c r="B155" s="719" t="s">
        <v>1010</v>
      </c>
      <c r="C155" s="713"/>
      <c r="D155" s="203"/>
      <c r="E155" s="701"/>
      <c r="F155" s="224" t="s">
        <v>1149</v>
      </c>
      <c r="G155" s="203"/>
      <c r="H155" s="702"/>
      <c r="I155" s="702" t="str">
        <f t="shared" si="143"/>
        <v>INDSWH</v>
      </c>
      <c r="J155" s="224">
        <f t="shared" si="146"/>
        <v>2050</v>
      </c>
      <c r="K155" s="81"/>
      <c r="L155" s="199">
        <f t="shared" ca="1" si="193"/>
        <v>0.95</v>
      </c>
      <c r="M155" s="199"/>
      <c r="N155" s="81"/>
      <c r="O155" s="723">
        <f t="shared" ca="1" si="194"/>
        <v>0.27090909090909093</v>
      </c>
      <c r="P155" s="723">
        <f t="shared" ca="1" si="195"/>
        <v>1.2664999999999999E-2</v>
      </c>
      <c r="Q155" s="81">
        <f t="shared" ca="1" si="196"/>
        <v>2.0694444444444446</v>
      </c>
      <c r="R155" s="300"/>
      <c r="S155" s="300"/>
      <c r="T155" s="300"/>
      <c r="U155" s="300"/>
      <c r="V155" s="199">
        <f t="shared" ref="V155" ca="1" si="206">IF(IF(RIGHT(H153,2)="PH",(1-L155)+$W$2,IF(RIGHT(H153,2)="HT",(1-L155)+$W$1,IF(RIGHT(H153,2)="SH",(1-L155)+$W$3,"")))&gt;0,IF(RIGHT(H153,2)="PH",(1-L155)+$W$2,IF(RIGHT(H153,2)="HT",(1-L155)+$W$1,IF(RIGHT(H153,2)="SH",(1-L155)+$W$3,""))),0)</f>
        <v>5.0000000000000044E-2</v>
      </c>
      <c r="W155" s="298"/>
      <c r="X155" s="698">
        <f t="shared" ca="1" si="145"/>
        <v>0.3</v>
      </c>
      <c r="Y155" s="698">
        <f t="shared" ca="1" si="198"/>
        <v>6</v>
      </c>
      <c r="Z155" s="698">
        <f t="shared" ca="1" si="199"/>
        <v>2</v>
      </c>
      <c r="AA155" s="698">
        <f t="shared" ca="1" si="200"/>
        <v>1</v>
      </c>
      <c r="AB155" s="698">
        <f t="shared" ca="1" si="201"/>
        <v>0.1</v>
      </c>
      <c r="AC155" s="55"/>
      <c r="AD155" s="81">
        <v>2050</v>
      </c>
      <c r="AE155" s="81"/>
      <c r="AF155" s="700"/>
    </row>
    <row r="156" spans="1:32">
      <c r="B156" s="718" t="s">
        <v>1010</v>
      </c>
      <c r="C156" s="64"/>
      <c r="D156" s="212" t="str">
        <f>"IND"&amp;RIGHT(H156,4)&amp;"GAS"&amp;"N"&amp;RIGHT(E156,1)</f>
        <v>INDSDPHGASN4</v>
      </c>
      <c r="E156" s="707" t="str">
        <f>"Industrial heating technology "&amp;$AJ$12&amp;" "&amp;RIGHT(H156,2)&amp;" - Gas boiler (Hot Water - condensing) - new 4"</f>
        <v>Industrial heating technology Iron &amp; Steel PH - Gas boiler (Hot Water - condensing) - new 4</v>
      </c>
      <c r="F156" s="224" t="s">
        <v>1149</v>
      </c>
      <c r="G156" s="173" t="s">
        <v>2080</v>
      </c>
      <c r="H156" s="708" t="str">
        <f>$AI$14</f>
        <v>ISDPH</v>
      </c>
      <c r="I156" s="708" t="str">
        <f t="shared" si="143"/>
        <v>INDSWH</v>
      </c>
      <c r="J156" s="224">
        <f t="shared" si="146"/>
        <v>2011</v>
      </c>
      <c r="K156" s="299">
        <f>J156</f>
        <v>2011</v>
      </c>
      <c r="L156" s="199">
        <f t="shared" ref="L156:L161" ca="1" si="207">VLOOKUP($AD156,INDIRECT("'"&amp;$B156&amp;"'!"&amp;"$P$279:$AD$282"),3,FALSE)</f>
        <v>1.01</v>
      </c>
      <c r="M156" s="199"/>
      <c r="N156" s="81">
        <f ca="1">VLOOKUP($AD156,INDIRECT("'"&amp;$B156&amp;"'!"&amp;"$P$279:$AD$282"),5,FALSE)</f>
        <v>25</v>
      </c>
      <c r="O156" s="723">
        <f t="shared" ref="O156:O161" ca="1" si="208">VLOOKUP($AD156,INDIRECT("'"&amp;$B156&amp;"'!"&amp;"$P$279:$AD$282"),6,FALSE)/1000</f>
        <v>0.35760000000000003</v>
      </c>
      <c r="P156" s="723">
        <f t="shared" ref="P156:P161" ca="1" si="209">VLOOKUP($AD156,INDIRECT("'"&amp;$B156&amp;"'!"&amp;"$P$279:$AD$282"),7,FALSE)/1000</f>
        <v>1.49E-2</v>
      </c>
      <c r="Q156" s="81">
        <f t="shared" ref="Q156:Q161" ca="1" si="210">VLOOKUP($AD156,INDIRECT("'"&amp;$B156&amp;"'!"&amp;"$P$279:$AD$282"),8,FALSE)</f>
        <v>2.276388888888889</v>
      </c>
      <c r="R156" s="81">
        <v>3.1536000000000002E-2</v>
      </c>
      <c r="S156" s="199">
        <v>0.5</v>
      </c>
      <c r="T156" s="199">
        <f ca="1">HLOOKUP($T$2,INDIRECT("'"&amp;$B156&amp;"'!"&amp;"$P$246:$AC$259"),IF(H156=$AI$13,6,IF(H156=$AI$14,9,14)),FALSE)</f>
        <v>0</v>
      </c>
      <c r="U156" s="773"/>
      <c r="V156" s="199">
        <f t="shared" ref="V156" ca="1" si="211">IF(IF(RIGHT(H156,2)="PH",(1-L156)+$W$2,IF(RIGHT(H156,2)="HT",(1-L156)+$W$1,IF(RIGHT(H156,2)="SH",(1-L156)+$W$3,"")))&gt;0,IF(RIGHT(H156,2)="PH",(1-L156)+$W$2,IF(RIGHT(H156,2)="HT",(1-L156)+$W$1,IF(RIGHT(H156,2)="SH",(1-L156)+$W$3,""))),0)</f>
        <v>0.19</v>
      </c>
      <c r="W156" s="709"/>
      <c r="X156" s="698">
        <f t="shared" ca="1" si="145"/>
        <v>0.3</v>
      </c>
      <c r="Y156" s="698">
        <f t="shared" ref="Y156:Y161" ca="1" si="212">VLOOKUP($AD156,INDIRECT("'"&amp;$B156&amp;"'!"&amp;"$P$279:$AD$282"),12,FALSE)</f>
        <v>9</v>
      </c>
      <c r="Z156" s="698">
        <f t="shared" ref="Z156:Z161" ca="1" si="213">VLOOKUP($AD156,INDIRECT("'"&amp;$B156&amp;"'!"&amp;"$P$279:$AD$282"),13,FALSE)</f>
        <v>3</v>
      </c>
      <c r="AA156" s="698">
        <f t="shared" ref="AA156:AA161" ca="1" si="214">VLOOKUP($AD156,INDIRECT("'"&amp;$B156&amp;"'!"&amp;"$P$279:$AD$282"),14,FALSE)</f>
        <v>1</v>
      </c>
      <c r="AB156" s="698">
        <f t="shared" ref="AB156:AB161" ca="1" si="215">VLOOKUP($AD156,INDIRECT("'"&amp;$B156&amp;"'!"&amp;"$P$279:$AD$282"),15,FALSE)</f>
        <v>0.1</v>
      </c>
      <c r="AC156" s="55"/>
      <c r="AD156" s="81">
        <v>2020</v>
      </c>
      <c r="AE156" s="81"/>
      <c r="AF156" s="700"/>
    </row>
    <row r="157" spans="1:32">
      <c r="B157" s="718" t="s">
        <v>1010</v>
      </c>
      <c r="C157" s="64"/>
      <c r="E157" s="261"/>
      <c r="F157" s="224" t="s">
        <v>1149</v>
      </c>
      <c r="G157" s="55"/>
      <c r="H157" s="174"/>
      <c r="I157" s="174" t="str">
        <f t="shared" si="143"/>
        <v>INDSWH</v>
      </c>
      <c r="J157" s="224">
        <f t="shared" si="146"/>
        <v>2030</v>
      </c>
      <c r="K157" s="81"/>
      <c r="L157" s="199">
        <f t="shared" ca="1" si="207"/>
        <v>1.03</v>
      </c>
      <c r="M157" s="199"/>
      <c r="N157" s="81"/>
      <c r="O157" s="723">
        <f t="shared" ca="1" si="208"/>
        <v>0.29800000000000004</v>
      </c>
      <c r="P157" s="723">
        <f t="shared" ca="1" si="209"/>
        <v>1.4154999999999999E-2</v>
      </c>
      <c r="Q157" s="81">
        <f t="shared" ca="1" si="210"/>
        <v>2.0694444444444446</v>
      </c>
      <c r="R157" s="300"/>
      <c r="S157" s="300"/>
      <c r="T157" s="300"/>
      <c r="U157" s="300"/>
      <c r="V157" s="199">
        <f t="shared" ref="V157" ca="1" si="216">IF(IF(RIGHT(H156,2)="PH",(1-L157)+$W$2,IF(RIGHT(H156,2)="HT",(1-L157)+$W$1,IF(RIGHT(H156,2)="SH",(1-L157)+$W$3,"")))&gt;0,IF(RIGHT(H156,2)="PH",(1-L157)+$W$2,IF(RIGHT(H156,2)="HT",(1-L157)+$W$1,IF(RIGHT(H156,2)="SH",(1-L157)+$W$3,""))),0)</f>
        <v>0.16999999999999998</v>
      </c>
      <c r="W157" s="298"/>
      <c r="X157" s="698">
        <f t="shared" ca="1" si="145"/>
        <v>0.3</v>
      </c>
      <c r="Y157" s="698">
        <f t="shared" ca="1" si="212"/>
        <v>7</v>
      </c>
      <c r="Z157" s="698">
        <f t="shared" ca="1" si="213"/>
        <v>2</v>
      </c>
      <c r="AA157" s="698">
        <f t="shared" ca="1" si="214"/>
        <v>1</v>
      </c>
      <c r="AB157" s="698">
        <f t="shared" ca="1" si="215"/>
        <v>0.1</v>
      </c>
      <c r="AC157" s="55"/>
      <c r="AD157" s="81">
        <v>2030</v>
      </c>
      <c r="AE157" s="81"/>
      <c r="AF157" s="700"/>
    </row>
    <row r="158" spans="1:32">
      <c r="B158" s="718" t="s">
        <v>1010</v>
      </c>
      <c r="C158" s="64"/>
      <c r="E158" s="261"/>
      <c r="F158" s="224" t="s">
        <v>1149</v>
      </c>
      <c r="G158" s="55"/>
      <c r="H158" s="174"/>
      <c r="I158" s="174" t="str">
        <f t="shared" si="143"/>
        <v>INDSWH</v>
      </c>
      <c r="J158" s="224">
        <f t="shared" si="146"/>
        <v>2050</v>
      </c>
      <c r="K158" s="81"/>
      <c r="L158" s="199">
        <f t="shared" ca="1" si="207"/>
        <v>1.03</v>
      </c>
      <c r="M158" s="199"/>
      <c r="N158" s="81"/>
      <c r="O158" s="723">
        <f t="shared" ca="1" si="208"/>
        <v>0.29800000000000004</v>
      </c>
      <c r="P158" s="723">
        <f t="shared" ca="1" si="209"/>
        <v>1.2664999999999999E-2</v>
      </c>
      <c r="Q158" s="81">
        <f t="shared" ca="1" si="210"/>
        <v>2.0694444444444446</v>
      </c>
      <c r="R158" s="300"/>
      <c r="S158" s="300"/>
      <c r="T158" s="300"/>
      <c r="U158" s="300"/>
      <c r="V158" s="199">
        <f t="shared" ref="V158" ca="1" si="217">IF(IF(RIGHT(H156,2)="PH",(1-L158)+$W$2,IF(RIGHT(H156,2)="HT",(1-L158)+$W$1,IF(RIGHT(H156,2)="SH",(1-L158)+$W$3,"")))&gt;0,IF(RIGHT(H156,2)="PH",(1-L158)+$W$2,IF(RIGHT(H156,2)="HT",(1-L158)+$W$1,IF(RIGHT(H156,2)="SH",(1-L158)+$W$3,""))),0)</f>
        <v>0.16999999999999998</v>
      </c>
      <c r="W158" s="298"/>
      <c r="X158" s="698">
        <f t="shared" ca="1" si="145"/>
        <v>0.3</v>
      </c>
      <c r="Y158" s="698">
        <f t="shared" ca="1" si="212"/>
        <v>6</v>
      </c>
      <c r="Z158" s="698">
        <f t="shared" ca="1" si="213"/>
        <v>2</v>
      </c>
      <c r="AA158" s="698">
        <f t="shared" ca="1" si="214"/>
        <v>1</v>
      </c>
      <c r="AB158" s="698">
        <f t="shared" ca="1" si="215"/>
        <v>0.1</v>
      </c>
      <c r="AC158" s="203"/>
      <c r="AD158" s="81">
        <v>2050</v>
      </c>
      <c r="AE158" s="81"/>
      <c r="AF158" s="705"/>
    </row>
    <row r="159" spans="1:32">
      <c r="A159" s="226"/>
      <c r="B159" s="718" t="s">
        <v>1010</v>
      </c>
      <c r="C159" s="64"/>
      <c r="D159" s="212" t="str">
        <f>"IND"&amp;RIGHT(H159,4)&amp;"GAS"&amp;"N"&amp;RIGHT(E159,1)</f>
        <v>INDSDSHGASN4</v>
      </c>
      <c r="E159" s="261" t="str">
        <f>"Industrial heating technology "&amp;$AJ$12&amp;" "&amp;RIGHT(H159,2)&amp;" - Gas boiler (Hot Water- condensing) - new 4"</f>
        <v>Industrial heating technology Iron &amp; Steel SH - Gas boiler (Hot Water- condensing) - new 4</v>
      </c>
      <c r="F159" s="224" t="s">
        <v>1149</v>
      </c>
      <c r="G159" s="173" t="s">
        <v>2080</v>
      </c>
      <c r="H159" s="174" t="str">
        <f>$AI$15</f>
        <v>ISDSH</v>
      </c>
      <c r="I159" s="174" t="str">
        <f t="shared" si="143"/>
        <v>INDSWH</v>
      </c>
      <c r="J159" s="224">
        <f t="shared" si="146"/>
        <v>2011</v>
      </c>
      <c r="K159" s="299">
        <f>J159</f>
        <v>2011</v>
      </c>
      <c r="L159" s="199">
        <f t="shared" ca="1" si="207"/>
        <v>1.01</v>
      </c>
      <c r="M159" s="199"/>
      <c r="N159" s="81">
        <f ca="1">VLOOKUP($AD159,INDIRECT("'"&amp;$B159&amp;"'!"&amp;"$P$279:$AD$282"),5,FALSE)</f>
        <v>25</v>
      </c>
      <c r="O159" s="723">
        <f t="shared" ca="1" si="208"/>
        <v>0.35760000000000003</v>
      </c>
      <c r="P159" s="723">
        <f t="shared" ca="1" si="209"/>
        <v>1.49E-2</v>
      </c>
      <c r="Q159" s="81">
        <f t="shared" ca="1" si="210"/>
        <v>2.276388888888889</v>
      </c>
      <c r="R159" s="81">
        <v>3.1536000000000002E-2</v>
      </c>
      <c r="S159" s="199">
        <v>0.5</v>
      </c>
      <c r="T159" s="199">
        <f ca="1">HLOOKUP($T$2,INDIRECT("'"&amp;$B159&amp;"'!"&amp;"$P$246:$AC$259"),IF(H159=$AI$13,6,IF(H159=$AI$14,9,14)),FALSE)</f>
        <v>0</v>
      </c>
      <c r="U159" s="773"/>
      <c r="V159" s="199">
        <f t="shared" ref="V159" ca="1" si="218">IF(IF(RIGHT(H159,2)="PH",(1-L159)+$W$2,IF(RIGHT(H159,2)="HT",(1-L159)+$W$1,IF(RIGHT(H159,2)="SH",(1-L159)+$W$3,"")))&gt;0,IF(RIGHT(H159,2)="PH",(1-L159)+$W$2,IF(RIGHT(H159,2)="HT",(1-L159)+$W$1,IF(RIGHT(H159,2)="SH",(1-L159)+$W$3,""))),0)</f>
        <v>0</v>
      </c>
      <c r="W159" s="709"/>
      <c r="X159" s="698">
        <f t="shared" ref="X159:X177" ca="1" si="219">IF(VLOOKUP($AD159,INDIRECT("'"&amp;$B159&amp;"'!"&amp;"$P$39:$AD$42"),11,FALSE)="Cf. the utilized electricity",0,VLOOKUP($AD159,INDIRECT("'"&amp;$B159&amp;"'!"&amp;"$P$39:$AD$42"),11,FALSE))</f>
        <v>0.3</v>
      </c>
      <c r="Y159" s="698">
        <f t="shared" ca="1" si="212"/>
        <v>9</v>
      </c>
      <c r="Z159" s="698">
        <f t="shared" ca="1" si="213"/>
        <v>3</v>
      </c>
      <c r="AA159" s="698">
        <f t="shared" ca="1" si="214"/>
        <v>1</v>
      </c>
      <c r="AB159" s="698">
        <f t="shared" ca="1" si="215"/>
        <v>0.1</v>
      </c>
      <c r="AC159" s="296"/>
      <c r="AD159" s="81">
        <v>2020</v>
      </c>
      <c r="AE159" s="81"/>
      <c r="AF159" s="710"/>
    </row>
    <row r="160" spans="1:32">
      <c r="B160" s="718" t="s">
        <v>1010</v>
      </c>
      <c r="C160" s="64"/>
      <c r="E160" s="261"/>
      <c r="F160" s="224" t="s">
        <v>1149</v>
      </c>
      <c r="G160" s="55"/>
      <c r="H160" s="174"/>
      <c r="I160" s="174" t="str">
        <f t="shared" si="143"/>
        <v>INDSWH</v>
      </c>
      <c r="J160" s="224">
        <f t="shared" si="146"/>
        <v>2030</v>
      </c>
      <c r="K160" s="81"/>
      <c r="L160" s="199">
        <f t="shared" ca="1" si="207"/>
        <v>1.03</v>
      </c>
      <c r="M160" s="199"/>
      <c r="N160" s="81"/>
      <c r="O160" s="723">
        <f t="shared" ca="1" si="208"/>
        <v>0.29800000000000004</v>
      </c>
      <c r="P160" s="723">
        <f t="shared" ca="1" si="209"/>
        <v>1.4154999999999999E-2</v>
      </c>
      <c r="Q160" s="81">
        <f t="shared" ca="1" si="210"/>
        <v>2.0694444444444446</v>
      </c>
      <c r="R160" s="300"/>
      <c r="S160" s="300"/>
      <c r="T160" s="300"/>
      <c r="U160" s="300"/>
      <c r="V160" s="199">
        <f t="shared" ref="V160" ca="1" si="220">IF(IF(RIGHT(H159,2)="PH",(1-L160)+$W$2,IF(RIGHT(H159,2)="HT",(1-L160)+$W$1,IF(RIGHT(H159,2)="SH",(1-L160)+$W$3,"")))&gt;0,IF(RIGHT(H159,2)="PH",(1-L160)+$W$2,IF(RIGHT(H159,2)="HT",(1-L160)+$W$1,IF(RIGHT(H159,2)="SH",(1-L160)+$W$3,""))),0)</f>
        <v>0</v>
      </c>
      <c r="W160" s="298"/>
      <c r="X160" s="698">
        <f t="shared" ca="1" si="219"/>
        <v>0.3</v>
      </c>
      <c r="Y160" s="698">
        <f t="shared" ca="1" si="212"/>
        <v>7</v>
      </c>
      <c r="Z160" s="698">
        <f t="shared" ca="1" si="213"/>
        <v>2</v>
      </c>
      <c r="AA160" s="698">
        <f t="shared" ca="1" si="214"/>
        <v>1</v>
      </c>
      <c r="AB160" s="698">
        <f t="shared" ca="1" si="215"/>
        <v>0.1</v>
      </c>
      <c r="AC160" s="55"/>
      <c r="AD160" s="81">
        <v>2030</v>
      </c>
      <c r="AE160" s="81"/>
      <c r="AF160" s="700"/>
    </row>
    <row r="161" spans="1:32">
      <c r="B161" s="719" t="s">
        <v>1010</v>
      </c>
      <c r="C161" s="713"/>
      <c r="D161" s="701"/>
      <c r="E161" s="701"/>
      <c r="F161" s="224" t="s">
        <v>1149</v>
      </c>
      <c r="G161" s="203"/>
      <c r="H161" s="702"/>
      <c r="I161" s="702" t="str">
        <f t="shared" si="143"/>
        <v>INDSWH</v>
      </c>
      <c r="J161" s="224">
        <f t="shared" si="146"/>
        <v>2050</v>
      </c>
      <c r="K161" s="81"/>
      <c r="L161" s="199">
        <f t="shared" ca="1" si="207"/>
        <v>1.03</v>
      </c>
      <c r="M161" s="199"/>
      <c r="N161" s="81"/>
      <c r="O161" s="723">
        <f t="shared" ca="1" si="208"/>
        <v>0.29800000000000004</v>
      </c>
      <c r="P161" s="723">
        <f t="shared" ca="1" si="209"/>
        <v>1.2664999999999999E-2</v>
      </c>
      <c r="Q161" s="81">
        <f t="shared" ca="1" si="210"/>
        <v>2.0694444444444446</v>
      </c>
      <c r="R161" s="300"/>
      <c r="S161" s="300"/>
      <c r="T161" s="300"/>
      <c r="U161" s="300"/>
      <c r="V161" s="199">
        <f t="shared" ref="V161" ca="1" si="221">IF(IF(RIGHT(H159,2)="PH",(1-L161)+$W$2,IF(RIGHT(H159,2)="HT",(1-L161)+$W$1,IF(RIGHT(H159,2)="SH",(1-L161)+$W$3,"")))&gt;0,IF(RIGHT(H159,2)="PH",(1-L161)+$W$2,IF(RIGHT(H159,2)="HT",(1-L161)+$W$1,IF(RIGHT(H159,2)="SH",(1-L161)+$W$3,""))),0)</f>
        <v>0</v>
      </c>
      <c r="W161" s="714"/>
      <c r="X161" s="698">
        <f t="shared" ca="1" si="219"/>
        <v>0.3</v>
      </c>
      <c r="Y161" s="698">
        <f t="shared" ca="1" si="212"/>
        <v>6</v>
      </c>
      <c r="Z161" s="698">
        <f t="shared" ca="1" si="213"/>
        <v>2</v>
      </c>
      <c r="AA161" s="698">
        <f t="shared" ca="1" si="214"/>
        <v>1</v>
      </c>
      <c r="AB161" s="698">
        <f t="shared" ca="1" si="215"/>
        <v>0.1</v>
      </c>
      <c r="AC161" s="55"/>
      <c r="AD161" s="81">
        <v>2050</v>
      </c>
      <c r="AE161" s="81"/>
      <c r="AF161" s="700"/>
    </row>
    <row r="162" spans="1:32">
      <c r="B162" s="718" t="s">
        <v>1010</v>
      </c>
      <c r="C162" s="64"/>
      <c r="D162" s="212" t="str">
        <f>"IND"&amp;RIGHT(H162,4)&amp;"GAS"&amp;"N"&amp;RIGHT(E162,1)</f>
        <v>INDSDPHGASN5</v>
      </c>
      <c r="E162" s="707" t="str">
        <f>"Industrial heating technology "&amp;$AJ$12&amp;" "&amp;RIGHT(H162,2)&amp;" - Gas boiler (Direct firing) - new 5"</f>
        <v>Industrial heating technology Iron &amp; Steel PH - Gas boiler (Direct firing) - new 5</v>
      </c>
      <c r="F162" s="224" t="s">
        <v>1149</v>
      </c>
      <c r="G162" s="173" t="s">
        <v>2080</v>
      </c>
      <c r="H162" s="174" t="str">
        <f>$AI$13</f>
        <v>ISDPH</v>
      </c>
      <c r="I162" s="174" t="str">
        <f t="shared" si="143"/>
        <v>INDSWH</v>
      </c>
      <c r="J162" s="224">
        <f t="shared" si="146"/>
        <v>2011</v>
      </c>
      <c r="K162" s="299">
        <f>J162</f>
        <v>2011</v>
      </c>
      <c r="L162" s="199">
        <f t="shared" ref="L162:L167" ca="1" si="222">VLOOKUP($AD162,INDIRECT("'"&amp;$B162&amp;"'!"&amp;"$P$345:$AD$348"),3,FALSE)</f>
        <v>1</v>
      </c>
      <c r="M162" s="199"/>
      <c r="N162" s="81">
        <f ca="1">VLOOKUP($AD162,INDIRECT("'"&amp;$B162&amp;"'!"&amp;"$P$345:$AD$348"),5,FALSE)</f>
        <v>15</v>
      </c>
      <c r="O162" s="723">
        <f t="shared" ref="O162:O167" ca="1" si="223">VLOOKUP($AD162,INDIRECT("'"&amp;$B162&amp;"'!"&amp;"$P$345:$AD$348"),6,FALSE)/1000</f>
        <v>0.11175</v>
      </c>
      <c r="P162" s="723">
        <f t="shared" ref="P162:P167" ca="1" si="224">VLOOKUP($AD162,INDIRECT("'"&amp;$B162&amp;"'!"&amp;"$P$345:$AD$348"),7,FALSE)/1000</f>
        <v>1.3545454545454561E-3</v>
      </c>
      <c r="Q162" s="81">
        <f t="shared" ref="Q162:Q167" ca="1" si="225">VLOOKUP($AD162,INDIRECT("'"&amp;$B162&amp;"'!"&amp;"$P$345:$AD$348"),8,FALSE)</f>
        <v>0.58461805555555546</v>
      </c>
      <c r="R162" s="81">
        <v>3.1536000000000002E-2</v>
      </c>
      <c r="S162" s="199">
        <v>0.5</v>
      </c>
      <c r="T162" s="199">
        <f ca="1">HLOOKUP($S$2,INDIRECT("'"&amp;$B162&amp;"'!"&amp;"$P$312:$AC$325"),IF(H162=$AI$13,6,IF(H162=$AI$14,9,14)),FALSE)</f>
        <v>1</v>
      </c>
      <c r="U162" s="773"/>
      <c r="V162" s="199">
        <f t="shared" ref="V162" ca="1" si="226">IF(IF(RIGHT(H162,2)="PH",(1-L162)+$W$2,IF(RIGHT(H162,2)="HT",(1-L162)+$W$1,IF(RIGHT(H162,2)="SH",(1-L162)+$W$3,"")))&gt;0,IF(RIGHT(H162,2)="PH",(1-L162)+$W$2,IF(RIGHT(H162,2)="HT",(1-L162)+$W$1,IF(RIGHT(H162,2)="SH",(1-L162)+$W$3,""))),0)</f>
        <v>0.2</v>
      </c>
      <c r="W162" s="709"/>
      <c r="X162" s="698">
        <f t="shared" ca="1" si="219"/>
        <v>0.3</v>
      </c>
      <c r="Y162" s="698">
        <f t="shared" ref="Y162:Y167" ca="1" si="227">VLOOKUP($AD162,INDIRECT("'"&amp;$B162&amp;"'!"&amp;"$P$345:$AD$348"),12,FALSE)</f>
        <v>9</v>
      </c>
      <c r="Z162" s="698">
        <f t="shared" ref="Z162:Z167" ca="1" si="228">VLOOKUP($AD162,INDIRECT("'"&amp;$B162&amp;"'!"&amp;"$P$345:$AD$348"),13,FALSE)</f>
        <v>3</v>
      </c>
      <c r="AA162" s="698">
        <f t="shared" ref="AA162:AA167" ca="1" si="229">VLOOKUP($AD162,INDIRECT("'"&amp;$B162&amp;"'!"&amp;"$P$345:$AD$348"),14,FALSE)</f>
        <v>1</v>
      </c>
      <c r="AB162" s="698">
        <f t="shared" ref="AB162:AB167" ca="1" si="230">VLOOKUP($AD162,INDIRECT("'"&amp;$B162&amp;"'!"&amp;"$P$345:$AD$348"),15,FALSE)</f>
        <v>0.1</v>
      </c>
      <c r="AC162" s="55"/>
      <c r="AD162" s="81">
        <v>2020</v>
      </c>
      <c r="AE162" s="81"/>
      <c r="AF162" s="700"/>
    </row>
    <row r="163" spans="1:32">
      <c r="B163" s="718" t="s">
        <v>1010</v>
      </c>
      <c r="C163" s="64"/>
      <c r="E163" s="261"/>
      <c r="F163" s="224" t="s">
        <v>1149</v>
      </c>
      <c r="G163" s="55"/>
      <c r="H163" s="174"/>
      <c r="I163" s="174" t="str">
        <f t="shared" si="143"/>
        <v>INDSWH</v>
      </c>
      <c r="J163" s="224">
        <f t="shared" si="146"/>
        <v>2030</v>
      </c>
      <c r="K163" s="81"/>
      <c r="L163" s="199">
        <f t="shared" ca="1" si="222"/>
        <v>1</v>
      </c>
      <c r="M163" s="199"/>
      <c r="N163" s="81"/>
      <c r="O163" s="723">
        <f t="shared" ca="1" si="223"/>
        <v>0.11175</v>
      </c>
      <c r="P163" s="723">
        <f t="shared" ca="1" si="224"/>
        <v>1.3206818181818161E-3</v>
      </c>
      <c r="Q163" s="81">
        <f t="shared" ca="1" si="225"/>
        <v>0.5742708333333334</v>
      </c>
      <c r="R163" s="300"/>
      <c r="S163" s="300"/>
      <c r="T163" s="300"/>
      <c r="U163" s="300"/>
      <c r="V163" s="199">
        <f t="shared" ref="V163" ca="1" si="231">IF(IF(RIGHT(H162,2)="PH",(1-L163)+$W$2,IF(RIGHT(H162,2)="HT",(1-L163)+$W$1,IF(RIGHT(H162,2)="SH",(1-L163)+$W$3,"")))&gt;0,IF(RIGHT(H162,2)="PH",(1-L163)+$W$2,IF(RIGHT(H162,2)="HT",(1-L163)+$W$1,IF(RIGHT(H162,2)="SH",(1-L163)+$W$3,""))),0)</f>
        <v>0.2</v>
      </c>
      <c r="W163" s="298"/>
      <c r="X163" s="698">
        <f t="shared" ca="1" si="219"/>
        <v>0.3</v>
      </c>
      <c r="Y163" s="698">
        <f t="shared" ca="1" si="227"/>
        <v>7</v>
      </c>
      <c r="Z163" s="698">
        <f t="shared" ca="1" si="228"/>
        <v>2</v>
      </c>
      <c r="AA163" s="698">
        <f t="shared" ca="1" si="229"/>
        <v>1</v>
      </c>
      <c r="AB163" s="698">
        <f t="shared" ca="1" si="230"/>
        <v>0.1</v>
      </c>
      <c r="AC163" s="55"/>
      <c r="AD163" s="81">
        <v>2030</v>
      </c>
      <c r="AE163" s="81"/>
      <c r="AF163" s="700"/>
    </row>
    <row r="164" spans="1:32">
      <c r="B164" s="718" t="s">
        <v>1010</v>
      </c>
      <c r="C164" s="64"/>
      <c r="E164" s="261"/>
      <c r="F164" s="224" t="s">
        <v>1149</v>
      </c>
      <c r="G164" s="55"/>
      <c r="H164" s="174"/>
      <c r="I164" s="174" t="str">
        <f t="shared" si="143"/>
        <v>INDSWH</v>
      </c>
      <c r="J164" s="224">
        <f t="shared" si="146"/>
        <v>2050</v>
      </c>
      <c r="K164" s="81"/>
      <c r="L164" s="199">
        <f t="shared" ca="1" si="222"/>
        <v>1</v>
      </c>
      <c r="M164" s="199"/>
      <c r="N164" s="81"/>
      <c r="O164" s="723">
        <f t="shared" ca="1" si="223"/>
        <v>0.11175</v>
      </c>
      <c r="P164" s="723">
        <f t="shared" ca="1" si="224"/>
        <v>1.1513636363636396E-3</v>
      </c>
      <c r="Q164" s="81">
        <f t="shared" ca="1" si="225"/>
        <v>0.57944444444444443</v>
      </c>
      <c r="R164" s="300"/>
      <c r="S164" s="300"/>
      <c r="T164" s="300"/>
      <c r="U164" s="300"/>
      <c r="V164" s="199">
        <f t="shared" ref="V164" ca="1" si="232">IF(IF(RIGHT(H162,2)="PH",(1-L164)+$W$2,IF(RIGHT(H162,2)="HT",(1-L164)+$W$1,IF(RIGHT(H162,2)="SH",(1-L164)+$W$3,"")))&gt;0,IF(RIGHT(H162,2)="PH",(1-L164)+$W$2,IF(RIGHT(H162,2)="HT",(1-L164)+$W$1,IF(RIGHT(H162,2)="SH",(1-L164)+$W$3,""))),0)</f>
        <v>0.2</v>
      </c>
      <c r="W164" s="298"/>
      <c r="X164" s="698">
        <f t="shared" ca="1" si="219"/>
        <v>0.3</v>
      </c>
      <c r="Y164" s="698">
        <f t="shared" ca="1" si="227"/>
        <v>6</v>
      </c>
      <c r="Z164" s="698">
        <f t="shared" ca="1" si="228"/>
        <v>2</v>
      </c>
      <c r="AA164" s="698">
        <f t="shared" ca="1" si="229"/>
        <v>1</v>
      </c>
      <c r="AB164" s="698">
        <f t="shared" ca="1" si="230"/>
        <v>0.1</v>
      </c>
      <c r="AC164" s="203"/>
      <c r="AD164" s="81">
        <v>2050</v>
      </c>
      <c r="AE164" s="81"/>
      <c r="AF164" s="700"/>
    </row>
    <row r="165" spans="1:32">
      <c r="B165" s="718" t="s">
        <v>1010</v>
      </c>
      <c r="C165" s="64"/>
      <c r="D165" s="212" t="str">
        <f>"IND"&amp;RIGHT(H165,4)&amp;"GAS"&amp;"N"&amp;RIGHT(E165,1)</f>
        <v>INDSDPHGASN5</v>
      </c>
      <c r="E165" s="261" t="str">
        <f>"Industrial heating technology "&amp;$AJ$12&amp;" "&amp;RIGHT(H165,2)&amp;" - Gas boiler (Direct firing) - new 5"</f>
        <v>Industrial heating technology Iron &amp; Steel PH - Gas boiler (Direct firing) - new 5</v>
      </c>
      <c r="F165" s="224" t="s">
        <v>1149</v>
      </c>
      <c r="G165" s="173" t="s">
        <v>2080</v>
      </c>
      <c r="H165" s="174" t="str">
        <f>$AI$14</f>
        <v>ISDPH</v>
      </c>
      <c r="I165" s="721" t="str">
        <f t="shared" si="143"/>
        <v>INDSWH</v>
      </c>
      <c r="J165" s="224">
        <f t="shared" si="146"/>
        <v>2011</v>
      </c>
      <c r="K165" s="299">
        <f>J165</f>
        <v>2011</v>
      </c>
      <c r="L165" s="199">
        <f t="shared" ca="1" si="222"/>
        <v>1</v>
      </c>
      <c r="M165" s="199"/>
      <c r="N165" s="81">
        <f ca="1">VLOOKUP($AD165,INDIRECT("'"&amp;$B165&amp;"'!"&amp;"$P$279:$AD$282"),5,FALSE)</f>
        <v>25</v>
      </c>
      <c r="O165" s="723">
        <f t="shared" ca="1" si="223"/>
        <v>0.11175</v>
      </c>
      <c r="P165" s="723">
        <f t="shared" ca="1" si="224"/>
        <v>1.3545454545454561E-3</v>
      </c>
      <c r="Q165" s="81">
        <f t="shared" ca="1" si="225"/>
        <v>0.58461805555555546</v>
      </c>
      <c r="R165" s="81">
        <v>3.1536000000000002E-2</v>
      </c>
      <c r="S165" s="199">
        <v>0.5</v>
      </c>
      <c r="T165" s="199">
        <f ca="1">HLOOKUP($S$2,INDIRECT("'"&amp;$B165&amp;"'!"&amp;"$P$312:$AC$325"),IF(H165=$AI$13,6,IF(H165=$AI$14,9,14)),FALSE)</f>
        <v>1</v>
      </c>
      <c r="U165" s="773"/>
      <c r="V165" s="199">
        <f t="shared" ref="V165" ca="1" si="233">IF(IF(RIGHT(H165,2)="PH",(1-L165)+$W$2,IF(RIGHT(H165,2)="HT",(1-L165)+$W$1,IF(RIGHT(H165,2)="SH",(1-L165)+$W$3,"")))&gt;0,IF(RIGHT(H165,2)="PH",(1-L165)+$W$2,IF(RIGHT(H165,2)="HT",(1-L165)+$W$1,IF(RIGHT(H165,2)="SH",(1-L165)+$W$3,""))),0)</f>
        <v>0.2</v>
      </c>
      <c r="W165" s="709"/>
      <c r="X165" s="698">
        <f t="shared" ca="1" si="219"/>
        <v>0.3</v>
      </c>
      <c r="Y165" s="698">
        <f t="shared" ca="1" si="227"/>
        <v>9</v>
      </c>
      <c r="Z165" s="698">
        <f t="shared" ca="1" si="228"/>
        <v>3</v>
      </c>
      <c r="AA165" s="698">
        <f t="shared" ca="1" si="229"/>
        <v>1</v>
      </c>
      <c r="AB165" s="698">
        <f t="shared" ca="1" si="230"/>
        <v>0.1</v>
      </c>
      <c r="AD165" s="277">
        <v>2020</v>
      </c>
      <c r="AE165" s="273"/>
      <c r="AF165" s="830"/>
    </row>
    <row r="166" spans="1:32">
      <c r="B166" s="718" t="s">
        <v>1010</v>
      </c>
      <c r="C166" s="64"/>
      <c r="E166" s="261"/>
      <c r="F166" s="224" t="s">
        <v>1149</v>
      </c>
      <c r="G166" s="55"/>
      <c r="H166" s="174"/>
      <c r="I166" s="174" t="str">
        <f t="shared" si="143"/>
        <v>INDSWH</v>
      </c>
      <c r="J166" s="224">
        <f t="shared" si="146"/>
        <v>2030</v>
      </c>
      <c r="K166" s="81"/>
      <c r="L166" s="199">
        <f t="shared" ca="1" si="222"/>
        <v>1</v>
      </c>
      <c r="M166" s="199"/>
      <c r="N166" s="81"/>
      <c r="O166" s="723">
        <f t="shared" ca="1" si="223"/>
        <v>0.11175</v>
      </c>
      <c r="P166" s="723">
        <f t="shared" ca="1" si="224"/>
        <v>1.3206818181818161E-3</v>
      </c>
      <c r="Q166" s="81">
        <f t="shared" ca="1" si="225"/>
        <v>0.5742708333333334</v>
      </c>
      <c r="R166" s="300"/>
      <c r="S166" s="300"/>
      <c r="T166" s="300"/>
      <c r="U166" s="300"/>
      <c r="V166" s="199">
        <f t="shared" ref="V166" ca="1" si="234">IF(IF(RIGHT(H165,2)="PH",(1-L166)+$W$2,IF(RIGHT(H165,2)="HT",(1-L166)+$W$1,IF(RIGHT(H165,2)="SH",(1-L166)+$W$3,"")))&gt;0,IF(RIGHT(H165,2)="PH",(1-L166)+$W$2,IF(RIGHT(H165,2)="HT",(1-L166)+$W$1,IF(RIGHT(H165,2)="SH",(1-L166)+$W$3,""))),0)</f>
        <v>0.2</v>
      </c>
      <c r="W166" s="298"/>
      <c r="X166" s="698">
        <f t="shared" ca="1" si="219"/>
        <v>0.3</v>
      </c>
      <c r="Y166" s="698">
        <f t="shared" ca="1" si="227"/>
        <v>7</v>
      </c>
      <c r="Z166" s="698">
        <f t="shared" ca="1" si="228"/>
        <v>2</v>
      </c>
      <c r="AA166" s="698">
        <f t="shared" ca="1" si="229"/>
        <v>1</v>
      </c>
      <c r="AB166" s="698">
        <f t="shared" ca="1" si="230"/>
        <v>0.1</v>
      </c>
      <c r="AD166" s="81">
        <v>2030</v>
      </c>
      <c r="AE166" s="273"/>
      <c r="AF166" s="828"/>
    </row>
    <row r="167" spans="1:32">
      <c r="A167" s="169"/>
      <c r="B167" s="719" t="s">
        <v>1010</v>
      </c>
      <c r="C167" s="713"/>
      <c r="D167" s="701"/>
      <c r="E167" s="701"/>
      <c r="F167" s="224" t="s">
        <v>1149</v>
      </c>
      <c r="G167" s="203"/>
      <c r="H167" s="702"/>
      <c r="I167" s="702" t="str">
        <f t="shared" si="143"/>
        <v>INDSWH</v>
      </c>
      <c r="J167" s="224">
        <f t="shared" si="146"/>
        <v>2050</v>
      </c>
      <c r="K167" s="81"/>
      <c r="L167" s="199">
        <f t="shared" ca="1" si="222"/>
        <v>1</v>
      </c>
      <c r="M167" s="199"/>
      <c r="N167" s="81"/>
      <c r="O167" s="723">
        <f t="shared" ca="1" si="223"/>
        <v>0.11175</v>
      </c>
      <c r="P167" s="723">
        <f t="shared" ca="1" si="224"/>
        <v>1.1513636363636396E-3</v>
      </c>
      <c r="Q167" s="81">
        <f t="shared" ca="1" si="225"/>
        <v>0.57944444444444443</v>
      </c>
      <c r="R167" s="722"/>
      <c r="S167" s="703"/>
      <c r="T167" s="703"/>
      <c r="U167" s="703"/>
      <c r="V167" s="199">
        <f t="shared" ref="V167" ca="1" si="235">IF(IF(RIGHT(H165,2)="PH",(1-L167)+$W$2,IF(RIGHT(H165,2)="HT",(1-L167)+$W$1,IF(RIGHT(H165,2)="SH",(1-L167)+$W$3,"")))&gt;0,IF(RIGHT(H165,2)="PH",(1-L167)+$W$2,IF(RIGHT(H165,2)="HT",(1-L167)+$W$1,IF(RIGHT(H165,2)="SH",(1-L167)+$W$3,""))),0)</f>
        <v>0.2</v>
      </c>
      <c r="W167" s="714"/>
      <c r="X167" s="698">
        <f t="shared" ca="1" si="219"/>
        <v>0.3</v>
      </c>
      <c r="Y167" s="698">
        <f t="shared" ca="1" si="227"/>
        <v>6</v>
      </c>
      <c r="Z167" s="698">
        <f t="shared" ca="1" si="228"/>
        <v>2</v>
      </c>
      <c r="AA167" s="698">
        <f t="shared" ca="1" si="229"/>
        <v>1</v>
      </c>
      <c r="AB167" s="698">
        <f t="shared" ca="1" si="230"/>
        <v>0.1</v>
      </c>
      <c r="AD167" s="81">
        <v>2050</v>
      </c>
      <c r="AE167" s="273"/>
      <c r="AF167" s="828"/>
    </row>
    <row r="168" spans="1:32">
      <c r="A168" s="169"/>
      <c r="B168" s="718" t="s">
        <v>1099</v>
      </c>
      <c r="C168" s="226"/>
      <c r="D168" s="707" t="str">
        <f>"IND"&amp;RIGHT(H168,4)&amp;RIGHT(G168,3)&amp;"N"&amp;RIGHT(E168,1)</f>
        <v>INDSDPHCOAN1</v>
      </c>
      <c r="E168" s="261" t="str">
        <f>"Industrial heating technology "&amp;$AJ$12&amp;" "&amp;RIGHT(H168,2)&amp;" - Coal boiler (Steam) - new 1"</f>
        <v>Industrial heating technology Iron &amp; Steel PH - Coal boiler (Steam) - new 1</v>
      </c>
      <c r="F168" s="224" t="s">
        <v>1149</v>
      </c>
      <c r="G168" s="55" t="s">
        <v>617</v>
      </c>
      <c r="H168" s="174" t="str">
        <f>$AI$13</f>
        <v>ISDPH</v>
      </c>
      <c r="I168" s="174" t="str">
        <f t="shared" si="143"/>
        <v>INDSWH</v>
      </c>
      <c r="J168" s="224">
        <f t="shared" si="146"/>
        <v>2011</v>
      </c>
      <c r="K168" s="299">
        <v>2025</v>
      </c>
      <c r="L168" s="199">
        <f t="shared" ref="L168:L176" ca="1" si="236">VLOOKUP($AD168,INDIRECT("'"&amp;$B168&amp;"'!"&amp;"$P$39:$AD$42"),3,FALSE)</f>
        <v>0.89</v>
      </c>
      <c r="M168" s="699"/>
      <c r="N168" s="299">
        <f ca="1">VLOOKUP($AD168,INDIRECT("'"&amp;$B168&amp;"'!"&amp;"$P$39:$AD$42"),5,FALSE)</f>
        <v>25</v>
      </c>
      <c r="O168" s="725">
        <f t="shared" ref="O168:O176" ca="1" si="237">VLOOKUP($AD168,INDIRECT("'"&amp;$B168&amp;"'!"&amp;"$P$39:$AD$42"),6,FALSE)/1000</f>
        <v>3.7250000000000001</v>
      </c>
      <c r="P168" s="725">
        <f t="shared" ref="P168:P176" ca="1" si="238">VLOOKUP($AD168,INDIRECT("'"&amp;$B168&amp;"'!"&amp;"$P$39:$AD$42"),7,FALSE)/1000</f>
        <v>0.25106499999999998</v>
      </c>
      <c r="Q168" s="299">
        <f t="shared" ref="Q168:Q176" ca="1" si="239">VLOOKUP($AD168,INDIRECT("'"&amp;$B168&amp;"'!"&amp;"$P$39:$AD$42"),8,FALSE)</f>
        <v>3.9381527777777778</v>
      </c>
      <c r="R168" s="299">
        <v>3.1536000000000002E-2</v>
      </c>
      <c r="S168" s="699">
        <v>0.5</v>
      </c>
      <c r="T168" s="699">
        <f ca="1">HLOOKUP($T$2,INDIRECT("'"&amp;$B168&amp;"'!"&amp;"$P$6:$AC$19"),IF(H168=$AI$13,6,IF(H168=$AI$14,9,14)),FALSE)</f>
        <v>1</v>
      </c>
      <c r="U168" s="772"/>
      <c r="V168" s="199">
        <f t="shared" ref="V168" ca="1" si="240">IF(IF(RIGHT(H168,2)="PH",(1-L168)+$W$2,IF(RIGHT(H168,2)="HT",(1-L168)+$W$1,IF(RIGHT(H168,2)="SH",(1-L168)+$W$3,"")))&gt;0,IF(RIGHT(H168,2)="PH",(1-L168)+$W$2,IF(RIGHT(H168,2)="HT",(1-L168)+$W$1,IF(RIGHT(H168,2)="SH",(1-L168)+$W$3,""))),0)</f>
        <v>0.31</v>
      </c>
      <c r="W168" s="298"/>
      <c r="X168" s="698">
        <f t="shared" ca="1" si="219"/>
        <v>8</v>
      </c>
      <c r="Y168" s="299">
        <f t="shared" ref="Y168:Y176" ca="1" si="241">VLOOKUP($AD168,INDIRECT("'"&amp;$B168&amp;"'!"&amp;"$P$39:$AD$42"),12,FALSE)</f>
        <v>35</v>
      </c>
      <c r="Z168" s="299">
        <f t="shared" ref="Z168:Z176" ca="1" si="242">VLOOKUP($AD168,INDIRECT("'"&amp;$B168&amp;"'!"&amp;"$P$39:$AD$42"),13,FALSE)</f>
        <v>1.5</v>
      </c>
      <c r="AA168" s="299">
        <f t="shared" ref="AA168:AA176" ca="1" si="243">VLOOKUP($AD168,INDIRECT("'"&amp;$B168&amp;"'!"&amp;"$P$39:$AD$42"),14,FALSE)</f>
        <v>0.8</v>
      </c>
      <c r="AB168" s="299">
        <f t="shared" ref="AB168:AB176" ca="1" si="244">VLOOKUP($AD168,INDIRECT("'"&amp;$B168&amp;"'!"&amp;"$P$39:$AD$42"),15,FALSE)</f>
        <v>2.1</v>
      </c>
      <c r="AD168" s="81">
        <v>2020</v>
      </c>
      <c r="AE168" s="273"/>
      <c r="AF168" s="828"/>
    </row>
    <row r="169" spans="1:32">
      <c r="A169" s="169"/>
      <c r="B169" s="718" t="s">
        <v>1099</v>
      </c>
      <c r="C169" s="226"/>
      <c r="D169" s="261"/>
      <c r="E169" s="261"/>
      <c r="F169" s="224" t="s">
        <v>1149</v>
      </c>
      <c r="G169" s="55"/>
      <c r="H169" s="174"/>
      <c r="I169" s="174" t="str">
        <f t="shared" si="143"/>
        <v>INDSWH</v>
      </c>
      <c r="J169" s="224">
        <f t="shared" si="146"/>
        <v>2030</v>
      </c>
      <c r="K169" s="81"/>
      <c r="L169" s="199">
        <f t="shared" ca="1" si="236"/>
        <v>0.89</v>
      </c>
      <c r="M169" s="772"/>
      <c r="N169" s="200"/>
      <c r="O169" s="725">
        <f t="shared" ca="1" si="237"/>
        <v>3.4699403462447704</v>
      </c>
      <c r="P169" s="725">
        <f t="shared" ca="1" si="238"/>
        <v>0.24287</v>
      </c>
      <c r="Q169" s="299">
        <f t="shared" ca="1" si="239"/>
        <v>3.9836805555555559</v>
      </c>
      <c r="R169" s="823"/>
      <c r="S169" s="300"/>
      <c r="T169" s="300"/>
      <c r="U169" s="300"/>
      <c r="V169" s="199">
        <f t="shared" ref="V169" ca="1" si="245">IF(IF(RIGHT(H168,2)="PH",(1-L169)+$W$2,IF(RIGHT(H168,2)="HT",(1-L169)+$W$1,IF(RIGHT(H168,2)="SH",(1-L169)+$W$3,"")))&gt;0,IF(RIGHT(H168,2)="PH",(1-L169)+$W$2,IF(RIGHT(H168,2)="HT",(1-L169)+$W$1,IF(RIGHT(H168,2)="SH",(1-L169)+$W$3,""))),0)</f>
        <v>0.31</v>
      </c>
      <c r="W169" s="298"/>
      <c r="X169" s="698">
        <f t="shared" ca="1" si="219"/>
        <v>8</v>
      </c>
      <c r="Y169" s="299">
        <f t="shared" ca="1" si="241"/>
        <v>35</v>
      </c>
      <c r="Z169" s="299">
        <f t="shared" ca="1" si="242"/>
        <v>1.5</v>
      </c>
      <c r="AA169" s="299">
        <f t="shared" ca="1" si="243"/>
        <v>0.8</v>
      </c>
      <c r="AB169" s="299">
        <f t="shared" ca="1" si="244"/>
        <v>2.1</v>
      </c>
      <c r="AD169" s="81">
        <v>2030</v>
      </c>
      <c r="AE169" s="273"/>
      <c r="AF169" s="828"/>
    </row>
    <row r="170" spans="1:32">
      <c r="A170" s="169"/>
      <c r="B170" s="718" t="s">
        <v>1099</v>
      </c>
      <c r="C170" s="226"/>
      <c r="D170" s="261"/>
      <c r="E170" s="261"/>
      <c r="F170" s="224" t="s">
        <v>1149</v>
      </c>
      <c r="G170" s="55"/>
      <c r="H170" s="174"/>
      <c r="I170" s="174" t="str">
        <f t="shared" si="143"/>
        <v>INDSWH</v>
      </c>
      <c r="J170" s="224">
        <f t="shared" si="146"/>
        <v>2050</v>
      </c>
      <c r="K170" s="81"/>
      <c r="L170" s="199">
        <f t="shared" ca="1" si="236"/>
        <v>0.91</v>
      </c>
      <c r="M170" s="772"/>
      <c r="N170" s="200"/>
      <c r="O170" s="725">
        <f t="shared" ca="1" si="237"/>
        <v>3.2813985758696647</v>
      </c>
      <c r="P170" s="725">
        <f t="shared" ca="1" si="238"/>
        <v>0.22797000000000001</v>
      </c>
      <c r="Q170" s="299">
        <f t="shared" ca="1" si="239"/>
        <v>4.0064444444444449</v>
      </c>
      <c r="R170" s="823"/>
      <c r="S170" s="300"/>
      <c r="T170" s="300"/>
      <c r="U170" s="300"/>
      <c r="V170" s="199">
        <f t="shared" ref="V170" ca="1" si="246">IF(IF(RIGHT(H168,2)="PH",(1-L170)+$W$2,IF(RIGHT(H168,2)="HT",(1-L170)+$W$1,IF(RIGHT(H168,2)="SH",(1-L170)+$W$3,"")))&gt;0,IF(RIGHT(H168,2)="PH",(1-L170)+$W$2,IF(RIGHT(H168,2)="HT",(1-L170)+$W$1,IF(RIGHT(H168,2)="SH",(1-L170)+$W$3,""))),0)</f>
        <v>0.28999999999999998</v>
      </c>
      <c r="W170" s="298"/>
      <c r="X170" s="698">
        <f t="shared" ca="1" si="219"/>
        <v>8</v>
      </c>
      <c r="Y170" s="299">
        <f t="shared" ca="1" si="241"/>
        <v>35</v>
      </c>
      <c r="Z170" s="299">
        <f t="shared" ca="1" si="242"/>
        <v>1.5</v>
      </c>
      <c r="AA170" s="299">
        <f t="shared" ca="1" si="243"/>
        <v>0.8</v>
      </c>
      <c r="AB170" s="299">
        <f t="shared" ca="1" si="244"/>
        <v>2.1</v>
      </c>
      <c r="AD170" s="81">
        <v>2050</v>
      </c>
      <c r="AE170" s="273"/>
      <c r="AF170" s="828"/>
    </row>
    <row r="171" spans="1:32">
      <c r="A171" s="169"/>
      <c r="B171" s="718" t="s">
        <v>1099</v>
      </c>
      <c r="C171" s="226"/>
      <c r="D171" s="261" t="str">
        <f>"IND"&amp;RIGHT(H171,4)&amp;RIGHT(G171,3)&amp;"N"&amp;RIGHT(E171,1)</f>
        <v>INDSDPHCOAN1</v>
      </c>
      <c r="E171" s="261" t="str">
        <f>"Industrial heating technology "&amp;$AJ$12&amp;" "&amp;RIGHT(H171,2)&amp;" - Coal boiler (Steam) - new 1"</f>
        <v>Industrial heating technology Iron &amp; Steel PH - Coal boiler (Steam) - new 1</v>
      </c>
      <c r="F171" s="224" t="s">
        <v>1149</v>
      </c>
      <c r="G171" s="55" t="s">
        <v>617</v>
      </c>
      <c r="H171" s="174" t="str">
        <f>$AI$14</f>
        <v>ISDPH</v>
      </c>
      <c r="I171" s="174" t="str">
        <f t="shared" si="143"/>
        <v>INDSWH</v>
      </c>
      <c r="J171" s="224">
        <f t="shared" si="146"/>
        <v>2011</v>
      </c>
      <c r="K171" s="299">
        <v>2025</v>
      </c>
      <c r="L171" s="199">
        <f t="shared" ca="1" si="236"/>
        <v>0.89</v>
      </c>
      <c r="M171" s="199"/>
      <c r="N171" s="81">
        <f ca="1">VLOOKUP($AD171,INDIRECT("'"&amp;$B171&amp;"'!"&amp;"$P$39:$AD$42"),5,FALSE)</f>
        <v>25</v>
      </c>
      <c r="O171" s="725">
        <f t="shared" ca="1" si="237"/>
        <v>3.7250000000000001</v>
      </c>
      <c r="P171" s="725">
        <f t="shared" ca="1" si="238"/>
        <v>0.25106499999999998</v>
      </c>
      <c r="Q171" s="299">
        <f t="shared" ca="1" si="239"/>
        <v>3.9381527777777778</v>
      </c>
      <c r="R171" s="81">
        <v>3.1536000000000002E-2</v>
      </c>
      <c r="S171" s="199">
        <v>0.5</v>
      </c>
      <c r="T171" s="199">
        <f ca="1">HLOOKUP($T$2,INDIRECT("'"&amp;$B171&amp;"'!"&amp;"$P$6:$AC$19"),IF(H171=$AI$13,6,IF(H171=$AI$14,9,14)),FALSE)</f>
        <v>1</v>
      </c>
      <c r="U171" s="772"/>
      <c r="V171" s="199">
        <f t="shared" ref="V171" ca="1" si="247">IF(IF(RIGHT(H171,2)="PH",(1-L171)+$W$2,IF(RIGHT(H171,2)="HT",(1-L171)+$W$1,IF(RIGHT(H171,2)="SH",(1-L171)+$W$3,"")))&gt;0,IF(RIGHT(H171,2)="PH",(1-L171)+$W$2,IF(RIGHT(H171,2)="HT",(1-L171)+$W$1,IF(RIGHT(H171,2)="SH",(1-L171)+$W$3,""))),0)</f>
        <v>0.31</v>
      </c>
      <c r="W171" s="298"/>
      <c r="X171" s="698">
        <f t="shared" ca="1" si="219"/>
        <v>8</v>
      </c>
      <c r="Y171" s="299">
        <f t="shared" ca="1" si="241"/>
        <v>35</v>
      </c>
      <c r="Z171" s="299">
        <f t="shared" ca="1" si="242"/>
        <v>1.5</v>
      </c>
      <c r="AA171" s="299">
        <f t="shared" ca="1" si="243"/>
        <v>0.8</v>
      </c>
      <c r="AB171" s="299">
        <f t="shared" ca="1" si="244"/>
        <v>2.1</v>
      </c>
      <c r="AD171" s="81">
        <v>2020</v>
      </c>
      <c r="AE171" s="273"/>
      <c r="AF171" s="828"/>
    </row>
    <row r="172" spans="1:32">
      <c r="A172" s="169"/>
      <c r="B172" s="718" t="s">
        <v>1099</v>
      </c>
      <c r="C172" s="226"/>
      <c r="D172" s="261"/>
      <c r="E172" s="261"/>
      <c r="F172" s="224" t="s">
        <v>1149</v>
      </c>
      <c r="G172" s="55"/>
      <c r="H172" s="174"/>
      <c r="I172" s="174" t="str">
        <f t="shared" si="143"/>
        <v>INDSWH</v>
      </c>
      <c r="J172" s="224">
        <f t="shared" si="146"/>
        <v>2030</v>
      </c>
      <c r="K172" s="81"/>
      <c r="L172" s="199">
        <f t="shared" ca="1" si="236"/>
        <v>0.89</v>
      </c>
      <c r="M172" s="772"/>
      <c r="N172" s="200"/>
      <c r="O172" s="725">
        <f t="shared" ca="1" si="237"/>
        <v>3.4699403462447704</v>
      </c>
      <c r="P172" s="725">
        <f t="shared" ca="1" si="238"/>
        <v>0.24287</v>
      </c>
      <c r="Q172" s="299">
        <f t="shared" ca="1" si="239"/>
        <v>3.9836805555555559</v>
      </c>
      <c r="R172" s="823"/>
      <c r="S172" s="300"/>
      <c r="T172" s="300"/>
      <c r="U172" s="300"/>
      <c r="V172" s="199">
        <f t="shared" ref="V172" ca="1" si="248">IF(IF(RIGHT(H171,2)="PH",(1-L172)+$W$2,IF(RIGHT(H171,2)="HT",(1-L172)+$W$1,IF(RIGHT(H171,2)="SH",(1-L172)+$W$3,"")))&gt;0,IF(RIGHT(H171,2)="PH",(1-L172)+$W$2,IF(RIGHT(H171,2)="HT",(1-L172)+$W$1,IF(RIGHT(H171,2)="SH",(1-L172)+$W$3,""))),0)</f>
        <v>0.31</v>
      </c>
      <c r="W172" s="298"/>
      <c r="X172" s="698">
        <f t="shared" ca="1" si="219"/>
        <v>8</v>
      </c>
      <c r="Y172" s="299">
        <f t="shared" ca="1" si="241"/>
        <v>35</v>
      </c>
      <c r="Z172" s="299">
        <f t="shared" ca="1" si="242"/>
        <v>1.5</v>
      </c>
      <c r="AA172" s="299">
        <f t="shared" ca="1" si="243"/>
        <v>0.8</v>
      </c>
      <c r="AB172" s="299">
        <f t="shared" ca="1" si="244"/>
        <v>2.1</v>
      </c>
      <c r="AD172" s="81">
        <v>2030</v>
      </c>
      <c r="AE172" s="273"/>
      <c r="AF172" s="828"/>
    </row>
    <row r="173" spans="1:32">
      <c r="A173" s="169"/>
      <c r="B173" s="718" t="s">
        <v>1099</v>
      </c>
      <c r="C173" s="226"/>
      <c r="D173" s="261"/>
      <c r="E173" s="261"/>
      <c r="F173" s="224" t="s">
        <v>1149</v>
      </c>
      <c r="G173" s="55"/>
      <c r="H173" s="174"/>
      <c r="I173" s="174" t="str">
        <f t="shared" si="143"/>
        <v>INDSWH</v>
      </c>
      <c r="J173" s="224">
        <f t="shared" si="146"/>
        <v>2050</v>
      </c>
      <c r="K173" s="81"/>
      <c r="L173" s="199">
        <f t="shared" ca="1" si="236"/>
        <v>0.91</v>
      </c>
      <c r="M173" s="772"/>
      <c r="N173" s="200"/>
      <c r="O173" s="725">
        <f t="shared" ca="1" si="237"/>
        <v>3.2813985758696647</v>
      </c>
      <c r="P173" s="725">
        <f t="shared" ca="1" si="238"/>
        <v>0.22797000000000001</v>
      </c>
      <c r="Q173" s="299">
        <f t="shared" ca="1" si="239"/>
        <v>4.0064444444444449</v>
      </c>
      <c r="R173" s="823"/>
      <c r="S173" s="300"/>
      <c r="T173" s="300"/>
      <c r="U173" s="300"/>
      <c r="V173" s="199">
        <f t="shared" ref="V173" ca="1" si="249">IF(IF(RIGHT(H171,2)="PH",(1-L173)+$W$2,IF(RIGHT(H171,2)="HT",(1-L173)+$W$1,IF(RIGHT(H171,2)="SH",(1-L173)+$W$3,"")))&gt;0,IF(RIGHT(H171,2)="PH",(1-L173)+$W$2,IF(RIGHT(H171,2)="HT",(1-L173)+$W$1,IF(RIGHT(H171,2)="SH",(1-L173)+$W$3,""))),0)</f>
        <v>0.28999999999999998</v>
      </c>
      <c r="W173" s="298"/>
      <c r="X173" s="698">
        <f t="shared" ca="1" si="219"/>
        <v>8</v>
      </c>
      <c r="Y173" s="299">
        <f t="shared" ca="1" si="241"/>
        <v>35</v>
      </c>
      <c r="Z173" s="299">
        <f t="shared" ca="1" si="242"/>
        <v>1.5</v>
      </c>
      <c r="AA173" s="299">
        <f t="shared" ca="1" si="243"/>
        <v>0.8</v>
      </c>
      <c r="AB173" s="299">
        <f t="shared" ca="1" si="244"/>
        <v>2.1</v>
      </c>
      <c r="AD173" s="81">
        <v>2050</v>
      </c>
      <c r="AE173" s="273"/>
      <c r="AF173" s="828"/>
    </row>
    <row r="174" spans="1:32">
      <c r="A174" s="169"/>
      <c r="B174" s="718" t="s">
        <v>1099</v>
      </c>
      <c r="C174" s="226"/>
      <c r="D174" s="261" t="str">
        <f>"IND"&amp;RIGHT(H174,4)&amp;RIGHT(G174,3)&amp;"N"&amp;RIGHT(E174,1)</f>
        <v>INDSDSHCOAN1</v>
      </c>
      <c r="E174" s="261" t="str">
        <f>"Industrial heating technology "&amp;$AJ$12&amp;" "&amp;RIGHT(H174,2)&amp;" - Coal boiler (Steam) - new 1"</f>
        <v>Industrial heating technology Iron &amp; Steel SH - Coal boiler (Steam) - new 1</v>
      </c>
      <c r="F174" s="224" t="s">
        <v>1149</v>
      </c>
      <c r="G174" s="55" t="s">
        <v>617</v>
      </c>
      <c r="H174" s="174" t="str">
        <f>$AI$15</f>
        <v>ISDSH</v>
      </c>
      <c r="I174" s="174" t="str">
        <f t="shared" si="143"/>
        <v>INDSWH</v>
      </c>
      <c r="J174" s="224">
        <f t="shared" si="146"/>
        <v>2011</v>
      </c>
      <c r="K174" s="299">
        <v>2025</v>
      </c>
      <c r="L174" s="199">
        <f t="shared" ca="1" si="236"/>
        <v>0.89</v>
      </c>
      <c r="M174" s="199"/>
      <c r="N174" s="81">
        <f ca="1">VLOOKUP($AD174,INDIRECT("'"&amp;$B174&amp;"'!"&amp;"$P$39:$AD$42"),5,FALSE)</f>
        <v>25</v>
      </c>
      <c r="O174" s="725">
        <f t="shared" ca="1" si="237"/>
        <v>3.7250000000000001</v>
      </c>
      <c r="P174" s="725">
        <f t="shared" ca="1" si="238"/>
        <v>0.25106499999999998</v>
      </c>
      <c r="Q174" s="299">
        <f t="shared" ca="1" si="239"/>
        <v>3.9381527777777778</v>
      </c>
      <c r="R174" s="81">
        <v>3.1536000000000002E-2</v>
      </c>
      <c r="S174" s="199">
        <v>0.5</v>
      </c>
      <c r="T174" s="199">
        <f ca="1">HLOOKUP($T$2,INDIRECT("'"&amp;$B174&amp;"'!"&amp;"$P$6:$AC$19"),IF(H174=$AI$13,6,IF(H174=$AI$14,9,14)),FALSE)</f>
        <v>1</v>
      </c>
      <c r="U174" s="772"/>
      <c r="V174" s="199">
        <f t="shared" ref="V174" ca="1" si="250">IF(IF(RIGHT(H174,2)="PH",(1-L174)+$W$2,IF(RIGHT(H174,2)="HT",(1-L174)+$W$1,IF(RIGHT(H174,2)="SH",(1-L174)+$W$3,"")))&gt;0,IF(RIGHT(H174,2)="PH",(1-L174)+$W$2,IF(RIGHT(H174,2)="HT",(1-L174)+$W$1,IF(RIGHT(H174,2)="SH",(1-L174)+$W$3,""))),0)</f>
        <v>0.10999999999999999</v>
      </c>
      <c r="W174" s="298"/>
      <c r="X174" s="698">
        <f t="shared" ca="1" si="219"/>
        <v>8</v>
      </c>
      <c r="Y174" s="299">
        <f t="shared" ca="1" si="241"/>
        <v>35</v>
      </c>
      <c r="Z174" s="299">
        <f t="shared" ca="1" si="242"/>
        <v>1.5</v>
      </c>
      <c r="AA174" s="299">
        <f t="shared" ca="1" si="243"/>
        <v>0.8</v>
      </c>
      <c r="AB174" s="299">
        <f t="shared" ca="1" si="244"/>
        <v>2.1</v>
      </c>
      <c r="AD174" s="81">
        <v>2020</v>
      </c>
      <c r="AE174" s="273"/>
      <c r="AF174" s="828"/>
    </row>
    <row r="175" spans="1:32">
      <c r="A175" s="169"/>
      <c r="B175" s="718" t="s">
        <v>1099</v>
      </c>
      <c r="C175" s="226"/>
      <c r="D175" s="261"/>
      <c r="E175" s="261"/>
      <c r="F175" s="224" t="s">
        <v>1149</v>
      </c>
      <c r="G175" s="55"/>
      <c r="H175" s="174"/>
      <c r="I175" s="174" t="str">
        <f t="shared" si="143"/>
        <v>INDSWH</v>
      </c>
      <c r="J175" s="224">
        <f t="shared" si="146"/>
        <v>2030</v>
      </c>
      <c r="K175" s="81"/>
      <c r="L175" s="199">
        <f t="shared" ca="1" si="236"/>
        <v>0.89</v>
      </c>
      <c r="M175" s="772"/>
      <c r="N175" s="200"/>
      <c r="O175" s="725">
        <f t="shared" ca="1" si="237"/>
        <v>3.4699403462447704</v>
      </c>
      <c r="P175" s="725">
        <f t="shared" ca="1" si="238"/>
        <v>0.24287</v>
      </c>
      <c r="Q175" s="299">
        <f t="shared" ca="1" si="239"/>
        <v>3.9836805555555559</v>
      </c>
      <c r="R175" s="823"/>
      <c r="S175" s="300"/>
      <c r="T175" s="300"/>
      <c r="U175" s="300"/>
      <c r="V175" s="199">
        <f t="shared" ref="V175" ca="1" si="251">IF(IF(RIGHT(H174,2)="PH",(1-L175)+$W$2,IF(RIGHT(H174,2)="HT",(1-L175)+$W$1,IF(RIGHT(H174,2)="SH",(1-L175)+$W$3,"")))&gt;0,IF(RIGHT(H174,2)="PH",(1-L175)+$W$2,IF(RIGHT(H174,2)="HT",(1-L175)+$W$1,IF(RIGHT(H174,2)="SH",(1-L175)+$W$3,""))),0)</f>
        <v>0.10999999999999999</v>
      </c>
      <c r="W175" s="298"/>
      <c r="X175" s="698">
        <f t="shared" ca="1" si="219"/>
        <v>8</v>
      </c>
      <c r="Y175" s="299">
        <f t="shared" ca="1" si="241"/>
        <v>35</v>
      </c>
      <c r="Z175" s="299">
        <f t="shared" ca="1" si="242"/>
        <v>1.5</v>
      </c>
      <c r="AA175" s="299">
        <f t="shared" ca="1" si="243"/>
        <v>0.8</v>
      </c>
      <c r="AB175" s="299">
        <f t="shared" ca="1" si="244"/>
        <v>2.1</v>
      </c>
      <c r="AD175" s="81">
        <v>2030</v>
      </c>
      <c r="AE175" s="273"/>
      <c r="AF175" s="828"/>
    </row>
    <row r="176" spans="1:32">
      <c r="A176" s="169"/>
      <c r="B176" s="719" t="s">
        <v>1099</v>
      </c>
      <c r="C176" s="713"/>
      <c r="D176" s="701"/>
      <c r="E176" s="701"/>
      <c r="F176" s="224" t="s">
        <v>1149</v>
      </c>
      <c r="G176" s="203"/>
      <c r="H176" s="702"/>
      <c r="I176" s="702" t="str">
        <f t="shared" si="143"/>
        <v>INDSWH</v>
      </c>
      <c r="J176" s="224">
        <f t="shared" si="146"/>
        <v>2050</v>
      </c>
      <c r="K176" s="81"/>
      <c r="L176" s="199">
        <f t="shared" ca="1" si="236"/>
        <v>0.91</v>
      </c>
      <c r="M176" s="826"/>
      <c r="N176" s="825"/>
      <c r="O176" s="725">
        <f t="shared" ca="1" si="237"/>
        <v>3.2813985758696647</v>
      </c>
      <c r="P176" s="725">
        <f t="shared" ca="1" si="238"/>
        <v>0.22797000000000001</v>
      </c>
      <c r="Q176" s="299">
        <f t="shared" ca="1" si="239"/>
        <v>4.0064444444444449</v>
      </c>
      <c r="R176" s="722"/>
      <c r="S176" s="703"/>
      <c r="T176" s="703"/>
      <c r="U176" s="703"/>
      <c r="V176" s="199">
        <f t="shared" ref="V176" ca="1" si="252">IF(IF(RIGHT(H174,2)="PH",(1-L176)+$W$2,IF(RIGHT(H174,2)="HT",(1-L176)+$W$1,IF(RIGHT(H174,2)="SH",(1-L176)+$W$3,"")))&gt;0,IF(RIGHT(H174,2)="PH",(1-L176)+$W$2,IF(RIGHT(H174,2)="HT",(1-L176)+$W$1,IF(RIGHT(H174,2)="SH",(1-L176)+$W$3,""))),0)</f>
        <v>8.9999999999999969E-2</v>
      </c>
      <c r="W176" s="704"/>
      <c r="X176" s="698">
        <f t="shared" ca="1" si="219"/>
        <v>8</v>
      </c>
      <c r="Y176" s="299">
        <f t="shared" ca="1" si="241"/>
        <v>35</v>
      </c>
      <c r="Z176" s="299">
        <f t="shared" ca="1" si="242"/>
        <v>1.5</v>
      </c>
      <c r="AA176" s="299">
        <f t="shared" ca="1" si="243"/>
        <v>0.8</v>
      </c>
      <c r="AB176" s="299">
        <f t="shared" ca="1" si="244"/>
        <v>2.1</v>
      </c>
      <c r="AC176" s="203"/>
      <c r="AD176" s="81">
        <v>2050</v>
      </c>
      <c r="AE176" s="273"/>
      <c r="AF176" s="829"/>
    </row>
    <row r="177" spans="1:32">
      <c r="A177" s="169"/>
      <c r="B177" s="718" t="s">
        <v>1099</v>
      </c>
      <c r="C177" s="226"/>
      <c r="D177" s="707" t="str">
        <f>"IND"&amp;RIGHT(H177,4)&amp;RIGHT(G177,3)&amp;"N"&amp;RIGHT(E177,1)</f>
        <v>INDSDPHCOAN2</v>
      </c>
      <c r="E177" s="261" t="str">
        <f>"Industrial heating technology "&amp;$AJ$12&amp;" "&amp;RIGHT(H177,2)&amp;" - Coal boiler (Hot Water) - new 2"</f>
        <v>Industrial heating technology Iron &amp; Steel PH - Coal boiler (Hot Water) - new 2</v>
      </c>
      <c r="F177" s="224" t="s">
        <v>1149</v>
      </c>
      <c r="G177" s="55" t="s">
        <v>617</v>
      </c>
      <c r="H177" s="174" t="str">
        <f>$AI$14</f>
        <v>ISDPH</v>
      </c>
      <c r="I177" s="174" t="str">
        <f t="shared" si="143"/>
        <v>INDSWH</v>
      </c>
      <c r="J177" s="224">
        <f t="shared" si="146"/>
        <v>2011</v>
      </c>
      <c r="K177" s="299">
        <v>2025</v>
      </c>
      <c r="L177" s="199">
        <f t="shared" ref="L177:L182" ca="1" si="253">VLOOKUP($AD177,INDIRECT("'"&amp;$B177&amp;"'!"&amp;"$P$118:$AD$121"),3,FALSE)</f>
        <v>0.89</v>
      </c>
      <c r="M177" s="199"/>
      <c r="N177" s="81">
        <f ca="1">VLOOKUP($AD177,INDIRECT("'"&amp;$B177&amp;"'!"&amp;"$P$118:$AD$121"),5,FALSE)</f>
        <v>25</v>
      </c>
      <c r="O177" s="723">
        <f t="shared" ref="O177:O182" ca="1" si="254">VLOOKUP($AD177,INDIRECT("'"&amp;$B177&amp;"'!"&amp;"$P$118:$AD$121"),6,FALSE)/1000</f>
        <v>3.7250000000000001</v>
      </c>
      <c r="P177" s="723">
        <f t="shared" ref="P177:P182" ca="1" si="255">VLOOKUP($AD177,INDIRECT("'"&amp;$B177&amp;"'!"&amp;"$P$118:$AD$121"),7,FALSE)/1000</f>
        <v>0.25106499999999998</v>
      </c>
      <c r="Q177" s="81">
        <f t="shared" ref="Q177:Q182" ca="1" si="256">VLOOKUP($AD177,INDIRECT("'"&amp;$B177&amp;"'!"&amp;"$P$118:$AD$121"),8,FALSE)</f>
        <v>3.9381527777777778</v>
      </c>
      <c r="R177" s="81">
        <v>3.1536000000000002E-2</v>
      </c>
      <c r="S177" s="199">
        <v>0.5</v>
      </c>
      <c r="T177" s="199">
        <f ca="1">HLOOKUP($T$2,INDIRECT("'"&amp;$B177&amp;"'!"&amp;"$P$85:$AC$98"),IF(H177=$AI$13,6,IF(H177=$AI$14,9,14)),FALSE)</f>
        <v>0</v>
      </c>
      <c r="U177" s="773"/>
      <c r="V177" s="199">
        <f t="shared" ref="V177" ca="1" si="257">IF(IF(RIGHT(H177,2)="PH",(1-L177)+$W$2,IF(RIGHT(H177,2)="HT",(1-L177)+$W$1,IF(RIGHT(H177,2)="SH",(1-L177)+$W$3,"")))&gt;0,IF(RIGHT(H177,2)="PH",(1-L177)+$W$2,IF(RIGHT(H177,2)="HT",(1-L177)+$W$1,IF(RIGHT(H177,2)="SH",(1-L177)+$W$3,""))),0)</f>
        <v>0.31</v>
      </c>
      <c r="W177" s="709"/>
      <c r="X177" s="698">
        <f t="shared" ca="1" si="219"/>
        <v>8</v>
      </c>
      <c r="Y177" s="698">
        <f ca="1">VLOOKUP($AD177,INDIRECT("'"&amp;$B177&amp;"'!"&amp;"$P$118:$AD$121"),12,FALSE)</f>
        <v>35</v>
      </c>
      <c r="Z177" s="698">
        <f ca="1">VLOOKUP($AD177,INDIRECT("'"&amp;$B177&amp;"'!"&amp;"$P$118:$AD$121"),13,FALSE)</f>
        <v>1.5</v>
      </c>
      <c r="AA177" s="698">
        <f ca="1">VLOOKUP($AD177,INDIRECT("'"&amp;$B177&amp;"'!"&amp;"$P$118:$AD$121"),14,FALSE)</f>
        <v>0.8</v>
      </c>
      <c r="AB177" s="698">
        <f ca="1">VLOOKUP($AD177,INDIRECT("'"&amp;$B177&amp;"'!"&amp;"$P$118:$AD$121"),15,FALSE)</f>
        <v>2.1</v>
      </c>
      <c r="AC177" s="55"/>
      <c r="AD177" s="81">
        <v>2020</v>
      </c>
      <c r="AE177" s="273"/>
      <c r="AF177" s="828"/>
    </row>
    <row r="178" spans="1:32">
      <c r="A178" s="169"/>
      <c r="B178" s="718" t="s">
        <v>1099</v>
      </c>
      <c r="C178" s="226"/>
      <c r="D178" s="261"/>
      <c r="E178" s="261"/>
      <c r="F178" s="224" t="s">
        <v>1149</v>
      </c>
      <c r="G178" s="55"/>
      <c r="H178" s="174"/>
      <c r="I178" s="174" t="str">
        <f t="shared" si="143"/>
        <v>INDSWH</v>
      </c>
      <c r="J178" s="224">
        <f t="shared" si="146"/>
        <v>2030</v>
      </c>
      <c r="K178" s="81"/>
      <c r="L178" s="199">
        <f t="shared" ca="1" si="253"/>
        <v>0.89</v>
      </c>
      <c r="M178" s="772"/>
      <c r="N178" s="200"/>
      <c r="O178" s="723">
        <f t="shared" ca="1" si="254"/>
        <v>3.7250000000000001</v>
      </c>
      <c r="P178" s="723">
        <f t="shared" ca="1" si="255"/>
        <v>0.24287</v>
      </c>
      <c r="Q178" s="81">
        <f t="shared" ca="1" si="256"/>
        <v>3.9836805555555559</v>
      </c>
      <c r="R178" s="823"/>
      <c r="S178" s="300"/>
      <c r="T178" s="300"/>
      <c r="U178" s="300"/>
      <c r="V178" s="199">
        <f t="shared" ref="V178" ca="1" si="258">IF(IF(RIGHT(H177,2)="PH",(1-L178)+$W$2,IF(RIGHT(H177,2)="HT",(1-L178)+$W$1,IF(RIGHT(H177,2)="SH",(1-L178)+$W$3,"")))&gt;0,IF(RIGHT(H177,2)="PH",(1-L178)+$W$2,IF(RIGHT(H177,2)="HT",(1-L178)+$W$1,IF(RIGHT(H177,2)="SH",(1-L178)+$W$3,""))),0)</f>
        <v>0.31</v>
      </c>
      <c r="W178" s="298"/>
      <c r="X178" s="824"/>
      <c r="Y178" s="824"/>
      <c r="Z178" s="824"/>
      <c r="AA178" s="824"/>
      <c r="AB178" s="824"/>
      <c r="AD178" s="81">
        <v>2030</v>
      </c>
      <c r="AE178" s="273"/>
      <c r="AF178" s="828"/>
    </row>
    <row r="179" spans="1:32">
      <c r="A179" s="169"/>
      <c r="B179" s="718" t="s">
        <v>1099</v>
      </c>
      <c r="C179" s="226"/>
      <c r="D179" s="261"/>
      <c r="E179" s="261"/>
      <c r="F179" s="224" t="s">
        <v>1149</v>
      </c>
      <c r="G179" s="55"/>
      <c r="H179" s="174"/>
      <c r="I179" s="174" t="str">
        <f t="shared" si="143"/>
        <v>INDSWH</v>
      </c>
      <c r="J179" s="224">
        <f t="shared" si="146"/>
        <v>2050</v>
      </c>
      <c r="K179" s="81"/>
      <c r="L179" s="199">
        <f t="shared" ca="1" si="253"/>
        <v>0.91</v>
      </c>
      <c r="M179" s="772"/>
      <c r="N179" s="200"/>
      <c r="O179" s="723">
        <f t="shared" ca="1" si="254"/>
        <v>3.7250000000000001</v>
      </c>
      <c r="P179" s="723">
        <f t="shared" ca="1" si="255"/>
        <v>0.22797000000000001</v>
      </c>
      <c r="Q179" s="81">
        <f t="shared" ca="1" si="256"/>
        <v>4.0064444444444449</v>
      </c>
      <c r="R179" s="823"/>
      <c r="S179" s="300"/>
      <c r="T179" s="300"/>
      <c r="U179" s="300"/>
      <c r="V179" s="199">
        <f t="shared" ref="V179" ca="1" si="259">IF(IF(RIGHT(H177,2)="PH",(1-L179)+$W$2,IF(RIGHT(H177,2)="HT",(1-L179)+$W$1,IF(RIGHT(H177,2)="SH",(1-L179)+$W$3,"")))&gt;0,IF(RIGHT(H177,2)="PH",(1-L179)+$W$2,IF(RIGHT(H177,2)="HT",(1-L179)+$W$1,IF(RIGHT(H177,2)="SH",(1-L179)+$W$3,""))),0)</f>
        <v>0.28999999999999998</v>
      </c>
      <c r="W179" s="298"/>
      <c r="X179" s="824"/>
      <c r="Y179" s="824"/>
      <c r="Z179" s="824"/>
      <c r="AA179" s="824"/>
      <c r="AB179" s="824"/>
      <c r="AD179" s="81">
        <v>2050</v>
      </c>
      <c r="AE179" s="273"/>
      <c r="AF179" s="828"/>
    </row>
    <row r="180" spans="1:32">
      <c r="A180" s="169"/>
      <c r="B180" s="718" t="s">
        <v>1099</v>
      </c>
      <c r="C180" s="226"/>
      <c r="D180" s="261" t="str">
        <f>"IND"&amp;RIGHT(H180,4)&amp;RIGHT(G180,3)&amp;"N"&amp;RIGHT(E180,1)</f>
        <v>INDSDSHCOAN2</v>
      </c>
      <c r="E180" s="261" t="str">
        <f>"Industrial heating technology "&amp;$AJ$12&amp;" "&amp;RIGHT(H180,2)&amp;" - Coal boiler (Hot Water) - new 2"</f>
        <v>Industrial heating technology Iron &amp; Steel SH - Coal boiler (Hot Water) - new 2</v>
      </c>
      <c r="F180" s="224" t="s">
        <v>1149</v>
      </c>
      <c r="G180" s="55" t="s">
        <v>617</v>
      </c>
      <c r="H180" s="174" t="str">
        <f>$AI$15</f>
        <v>ISDSH</v>
      </c>
      <c r="I180" s="174" t="str">
        <f t="shared" si="143"/>
        <v>INDSWH</v>
      </c>
      <c r="J180" s="224">
        <f t="shared" si="146"/>
        <v>2011</v>
      </c>
      <c r="K180" s="299">
        <v>2025</v>
      </c>
      <c r="L180" s="199">
        <f t="shared" ca="1" si="253"/>
        <v>0.89</v>
      </c>
      <c r="M180" s="199"/>
      <c r="N180" s="81">
        <f ca="1">VLOOKUP($AD180,INDIRECT("'"&amp;$B180&amp;"'!"&amp;"$P$118:$AD$121"),5,FALSE)</f>
        <v>25</v>
      </c>
      <c r="O180" s="723">
        <f t="shared" ca="1" si="254"/>
        <v>3.7250000000000001</v>
      </c>
      <c r="P180" s="723">
        <f t="shared" ca="1" si="255"/>
        <v>0.25106499999999998</v>
      </c>
      <c r="Q180" s="81">
        <f t="shared" ca="1" si="256"/>
        <v>3.9381527777777778</v>
      </c>
      <c r="R180" s="81">
        <v>3.1536000000000002E-2</v>
      </c>
      <c r="S180" s="199">
        <v>0.5</v>
      </c>
      <c r="T180" s="199">
        <f ca="1">HLOOKUP($T$2,INDIRECT("'"&amp;$B180&amp;"'!"&amp;"$P$85:$AC$98"),IF(H180=$AI$13,6,IF(H180=$AI$14,9,14)),FALSE)</f>
        <v>1</v>
      </c>
      <c r="U180" s="773"/>
      <c r="V180" s="199">
        <f t="shared" ref="V180" ca="1" si="260">IF(IF(RIGHT(H180,2)="PH",(1-L180)+$W$2,IF(RIGHT(H180,2)="HT",(1-L180)+$W$1,IF(RIGHT(H180,2)="SH",(1-L180)+$W$3,"")))&gt;0,IF(RIGHT(H180,2)="PH",(1-L180)+$W$2,IF(RIGHT(H180,2)="HT",(1-L180)+$W$1,IF(RIGHT(H180,2)="SH",(1-L180)+$W$3,""))),0)</f>
        <v>0.10999999999999999</v>
      </c>
      <c r="W180" s="709"/>
      <c r="X180" s="698">
        <f ca="1">IF(VLOOKUP($AD180,INDIRECT("'"&amp;$B180&amp;"'!"&amp;"$P$39:$AD$42"),11,FALSE)="Cf. the utilized electricity",0,VLOOKUP($AD180,INDIRECT("'"&amp;$B180&amp;"'!"&amp;"$P$39:$AD$42"),11,FALSE))</f>
        <v>8</v>
      </c>
      <c r="Y180" s="698">
        <f ca="1">VLOOKUP($AD180,INDIRECT("'"&amp;$B180&amp;"'!"&amp;"$P$118:$AD$121"),12,FALSE)</f>
        <v>35</v>
      </c>
      <c r="Z180" s="698">
        <f ca="1">VLOOKUP($AD180,INDIRECT("'"&amp;$B180&amp;"'!"&amp;"$P$118:$AD$121"),13,FALSE)</f>
        <v>1.5</v>
      </c>
      <c r="AA180" s="698">
        <f ca="1">VLOOKUP($AD180,INDIRECT("'"&amp;$B180&amp;"'!"&amp;"$P$118:$AD$121"),14,FALSE)</f>
        <v>0.8</v>
      </c>
      <c r="AB180" s="698">
        <f ca="1">VLOOKUP($AD180,INDIRECT("'"&amp;$B180&amp;"'!"&amp;"$P$118:$AD$121"),15,FALSE)</f>
        <v>2.1</v>
      </c>
      <c r="AC180" s="55"/>
      <c r="AD180" s="81">
        <v>2020</v>
      </c>
      <c r="AE180" s="273"/>
      <c r="AF180" s="828"/>
    </row>
    <row r="181" spans="1:32">
      <c r="A181" s="169"/>
      <c r="B181" s="718" t="s">
        <v>1099</v>
      </c>
      <c r="C181" s="226"/>
      <c r="D181" s="261"/>
      <c r="E181" s="261"/>
      <c r="F181" s="224" t="s">
        <v>1149</v>
      </c>
      <c r="G181" s="55"/>
      <c r="H181" s="174"/>
      <c r="I181" s="174" t="str">
        <f t="shared" si="143"/>
        <v>INDSWH</v>
      </c>
      <c r="J181" s="224">
        <f t="shared" si="146"/>
        <v>2030</v>
      </c>
      <c r="K181" s="200"/>
      <c r="L181" s="199">
        <f t="shared" ca="1" si="253"/>
        <v>0.89</v>
      </c>
      <c r="M181" s="772"/>
      <c r="N181" s="200"/>
      <c r="O181" s="723">
        <f t="shared" ca="1" si="254"/>
        <v>3.7250000000000001</v>
      </c>
      <c r="P181" s="723">
        <f t="shared" ca="1" si="255"/>
        <v>0.24287</v>
      </c>
      <c r="Q181" s="81">
        <f t="shared" ca="1" si="256"/>
        <v>3.9836805555555559</v>
      </c>
      <c r="R181" s="823"/>
      <c r="S181" s="300"/>
      <c r="T181" s="300"/>
      <c r="U181" s="300"/>
      <c r="V181" s="199">
        <f t="shared" ref="V181" ca="1" si="261">IF(IF(RIGHT(H180,2)="PH",(1-L181)+$W$2,IF(RIGHT(H180,2)="HT",(1-L181)+$W$1,IF(RIGHT(H180,2)="SH",(1-L181)+$W$3,"")))&gt;0,IF(RIGHT(H180,2)="PH",(1-L181)+$W$2,IF(RIGHT(H180,2)="HT",(1-L181)+$W$1,IF(RIGHT(H180,2)="SH",(1-L181)+$W$3,""))),0)</f>
        <v>0.10999999999999999</v>
      </c>
      <c r="W181" s="298"/>
      <c r="X181" s="824"/>
      <c r="Y181" s="824"/>
      <c r="Z181" s="824"/>
      <c r="AA181" s="824"/>
      <c r="AB181" s="824"/>
      <c r="AD181" s="81">
        <v>2030</v>
      </c>
      <c r="AE181" s="273"/>
      <c r="AF181" s="828"/>
    </row>
    <row r="182" spans="1:32">
      <c r="A182" s="831"/>
      <c r="B182" s="719" t="s">
        <v>1099</v>
      </c>
      <c r="C182" s="713"/>
      <c r="D182" s="701"/>
      <c r="E182" s="701"/>
      <c r="F182" s="224" t="s">
        <v>1149</v>
      </c>
      <c r="G182" s="203"/>
      <c r="H182" s="702"/>
      <c r="I182" s="266" t="str">
        <f t="shared" si="143"/>
        <v>INDSWH</v>
      </c>
      <c r="J182" s="224">
        <f t="shared" si="146"/>
        <v>2050</v>
      </c>
      <c r="K182" s="825"/>
      <c r="L182" s="199">
        <f t="shared" ca="1" si="253"/>
        <v>0.91</v>
      </c>
      <c r="M182" s="826"/>
      <c r="N182" s="825"/>
      <c r="O182" s="723">
        <f t="shared" ca="1" si="254"/>
        <v>3.7250000000000001</v>
      </c>
      <c r="P182" s="723">
        <f t="shared" ca="1" si="255"/>
        <v>0.22797000000000001</v>
      </c>
      <c r="Q182" s="81">
        <f t="shared" ca="1" si="256"/>
        <v>4.0064444444444449</v>
      </c>
      <c r="R182" s="722"/>
      <c r="S182" s="703"/>
      <c r="T182" s="703"/>
      <c r="U182" s="703"/>
      <c r="V182" s="199">
        <f t="shared" ref="V182" ca="1" si="262">IF(IF(RIGHT(H180,2)="PH",(1-L182)+$W$2,IF(RIGHT(H180,2)="HT",(1-L182)+$W$1,IF(RIGHT(H180,2)="SH",(1-L182)+$W$3,"")))&gt;0,IF(RIGHT(H180,2)="PH",(1-L182)+$W$2,IF(RIGHT(H180,2)="HT",(1-L182)+$W$1,IF(RIGHT(H180,2)="SH",(1-L182)+$W$3,""))),0)</f>
        <v>8.9999999999999969E-2</v>
      </c>
      <c r="W182" s="704"/>
      <c r="X182" s="827"/>
      <c r="Y182" s="827"/>
      <c r="Z182" s="827"/>
      <c r="AA182" s="827"/>
      <c r="AB182" s="827"/>
      <c r="AC182" s="203"/>
      <c r="AD182" s="81">
        <v>2050</v>
      </c>
      <c r="AE182" s="273"/>
      <c r="AF182" s="829"/>
    </row>
    <row r="183" spans="1:32">
      <c r="A183" s="831"/>
      <c r="B183" s="226" t="s">
        <v>576</v>
      </c>
      <c r="C183" s="901"/>
      <c r="D183" s="261" t="str">
        <f>"IND"&amp;RIGHT(H183,4)&amp;RIGHT(G183,3)&amp;"N"&amp;RIGHT(E183,1)</f>
        <v>INDSDSHSOLN1</v>
      </c>
      <c r="E183" s="261" t="str">
        <f>"Industrial heating technology "&amp;$AJ$12&amp;" "&amp;RIGHT(H183,2)&amp;" - Solar - new 1"</f>
        <v>Industrial heating technology Iron &amp; Steel SH - Solar - new 1</v>
      </c>
      <c r="F183" s="224" t="s">
        <v>1149</v>
      </c>
      <c r="G183" s="55" t="s">
        <v>500</v>
      </c>
      <c r="H183" s="174" t="str">
        <f>$AI$15</f>
        <v>ISDSH</v>
      </c>
      <c r="I183" s="174"/>
      <c r="J183" s="224">
        <f t="shared" si="146"/>
        <v>2011</v>
      </c>
      <c r="K183" s="299">
        <v>2025</v>
      </c>
      <c r="L183" s="199">
        <f ca="1">VLOOKUP($AD183,INDIRECT("'"&amp;$B183&amp;"'!"&amp;"$J$40:$X$43"),3,FALSE)</f>
        <v>1</v>
      </c>
      <c r="M183" s="772"/>
      <c r="N183" s="199">
        <f ca="1">VLOOKUP($AD183,INDIRECT("'"&amp;$B183&amp;"'!"&amp;"$J$40:$X$43"),5,FALSE)</f>
        <v>25</v>
      </c>
      <c r="O183" s="199">
        <f ca="1">VLOOKUP($AD183,INDIRECT("'"&amp;$B183&amp;"'!"&amp;"$J$40:$X$43"),6,FALSE)/1000</f>
        <v>4.2857142857142865</v>
      </c>
      <c r="P183" s="199">
        <f ca="1">VLOOKUP($AD183,INDIRECT("'"&amp;$B183&amp;"'!"&amp;"$J$40:$X$43"),7,FALSE)/1000</f>
        <v>2.0660433158225668E-2</v>
      </c>
      <c r="Q183" s="199">
        <f ca="1">VLOOKUP($AD183,INDIRECT("'"&amp;$B183&amp;"'!"&amp;"$J$40:$X$43"),8,FALSE)</f>
        <v>0</v>
      </c>
      <c r="R183" s="81">
        <v>3.1536000000000002E-2</v>
      </c>
      <c r="S183" s="199">
        <v>8.5500000000000007E-2</v>
      </c>
      <c r="T183" s="199">
        <v>1</v>
      </c>
      <c r="U183" s="300"/>
      <c r="V183" s="199"/>
      <c r="W183" s="298"/>
      <c r="X183" s="698">
        <v>0</v>
      </c>
      <c r="Y183" s="81">
        <v>0</v>
      </c>
      <c r="Z183" s="81">
        <v>0</v>
      </c>
      <c r="AA183" s="81">
        <v>0</v>
      </c>
      <c r="AB183" s="81">
        <v>0</v>
      </c>
      <c r="AC183" s="55"/>
      <c r="AD183" s="81">
        <v>2020</v>
      </c>
      <c r="AE183" s="200"/>
      <c r="AF183" s="700"/>
    </row>
    <row r="184" spans="1:32">
      <c r="A184" s="831"/>
      <c r="B184" s="226" t="s">
        <v>576</v>
      </c>
      <c r="C184" s="902"/>
      <c r="D184" s="261"/>
      <c r="E184" s="261"/>
      <c r="F184" s="224" t="s">
        <v>1149</v>
      </c>
      <c r="G184" s="55"/>
      <c r="H184" s="174"/>
      <c r="I184" s="174"/>
      <c r="J184" s="224">
        <f t="shared" si="146"/>
        <v>2030</v>
      </c>
      <c r="K184" s="200"/>
      <c r="L184" s="199">
        <f ca="1">VLOOKUP($AD184,INDIRECT("'"&amp;$B184&amp;"'!"&amp;"$J$40:$X$43"),3,FALSE)</f>
        <v>1</v>
      </c>
      <c r="M184" s="772"/>
      <c r="N184" s="199">
        <f ca="1">VLOOKUP($AD184,INDIRECT("'"&amp;$B184&amp;"'!"&amp;"$J$40:$X$43"),5,FALSE)</f>
        <v>30</v>
      </c>
      <c r="O184" s="199">
        <f ca="1">VLOOKUP($AD184,INDIRECT("'"&amp;$B184&amp;"'!"&amp;"$J$40:$X$43"),6,FALSE)/1000</f>
        <v>3.9285714285714284</v>
      </c>
      <c r="P184" s="199">
        <f ca="1">VLOOKUP($AD184,INDIRECT("'"&amp;$B184&amp;"'!"&amp;"$J$40:$X$43"),7,FALSE)/1000</f>
        <v>2.328125E-2</v>
      </c>
      <c r="Q184" s="199">
        <f ca="1">VLOOKUP($AD184,INDIRECT("'"&amp;$B184&amp;"'!"&amp;"$J$40:$X$43"),8,FALSE)</f>
        <v>0</v>
      </c>
      <c r="R184" s="823"/>
      <c r="S184" s="300"/>
      <c r="T184" s="300"/>
      <c r="U184" s="300"/>
      <c r="V184" s="772"/>
      <c r="W184" s="298"/>
      <c r="X184" s="824"/>
      <c r="Y184" s="824"/>
      <c r="Z184" s="824"/>
      <c r="AA184" s="824"/>
      <c r="AB184" s="824"/>
      <c r="AC184" s="55"/>
      <c r="AD184" s="81">
        <v>2030</v>
      </c>
      <c r="AE184" s="200"/>
      <c r="AF184" s="700"/>
    </row>
    <row r="185" spans="1:32" s="203" customFormat="1">
      <c r="A185" s="900"/>
      <c r="B185" s="713" t="s">
        <v>576</v>
      </c>
      <c r="C185" s="903"/>
      <c r="D185" s="701"/>
      <c r="E185" s="701"/>
      <c r="F185" s="224" t="s">
        <v>1149</v>
      </c>
      <c r="H185" s="702"/>
      <c r="I185" s="702"/>
      <c r="J185" s="224">
        <f t="shared" si="146"/>
        <v>2050</v>
      </c>
      <c r="K185" s="825"/>
      <c r="L185" s="199">
        <f ca="1">VLOOKUP($AD185,INDIRECT("'"&amp;$B185&amp;"'!"&amp;"$J$40:$X$43"),3,FALSE)</f>
        <v>1</v>
      </c>
      <c r="M185" s="826"/>
      <c r="N185" s="199">
        <f ca="1">VLOOKUP($AD185,INDIRECT("'"&amp;$B185&amp;"'!"&amp;"$J$40:$X$43"),5,FALSE)</f>
        <v>30</v>
      </c>
      <c r="O185" s="199">
        <f ca="1">VLOOKUP($AD185,INDIRECT("'"&amp;$B185&amp;"'!"&amp;"$J$40:$X$43"),6,FALSE)/1000</f>
        <v>3.5714285714285721</v>
      </c>
      <c r="P185" s="199">
        <f ca="1">VLOOKUP($AD185,INDIRECT("'"&amp;$B185&amp;"'!"&amp;"$J$40:$X$43"),7,FALSE)/1000</f>
        <v>2.1498571428571429E-2</v>
      </c>
      <c r="Q185" s="199">
        <f ca="1">VLOOKUP($AD185,INDIRECT("'"&amp;$B185&amp;"'!"&amp;"$J$40:$X$43"),8,FALSE)</f>
        <v>0</v>
      </c>
      <c r="R185" s="722"/>
      <c r="S185" s="703"/>
      <c r="T185" s="703"/>
      <c r="U185" s="703"/>
      <c r="V185" s="826"/>
      <c r="W185" s="704"/>
      <c r="X185" s="827"/>
      <c r="Y185" s="827"/>
      <c r="Z185" s="827"/>
      <c r="AA185" s="827"/>
      <c r="AB185" s="827"/>
      <c r="AD185" s="81">
        <v>2050</v>
      </c>
      <c r="AE185" s="825"/>
      <c r="AF185" s="705"/>
    </row>
    <row r="186" spans="1:32">
      <c r="A186" s="169"/>
      <c r="D186" s="36" t="s">
        <v>503</v>
      </c>
      <c r="E186" s="36"/>
      <c r="F186" s="224" t="s">
        <v>1149</v>
      </c>
      <c r="H186" s="173"/>
      <c r="I186" s="173"/>
      <c r="J186" s="224">
        <f t="shared" si="146"/>
        <v>0</v>
      </c>
      <c r="K186" s="198"/>
      <c r="L186" s="204"/>
      <c r="M186" s="204"/>
      <c r="N186" s="204"/>
      <c r="O186" s="37"/>
      <c r="P186" s="37"/>
      <c r="Q186" s="205"/>
      <c r="R186" s="252"/>
      <c r="S186" s="274"/>
      <c r="T186" s="204"/>
      <c r="U186" s="204"/>
      <c r="V186" s="204"/>
      <c r="W186" s="204"/>
      <c r="X186" s="204"/>
      <c r="Y186" s="204"/>
      <c r="Z186" s="204"/>
      <c r="AA186" s="204"/>
      <c r="AB186" s="204"/>
    </row>
    <row r="187" spans="1:32">
      <c r="A187" s="169"/>
      <c r="D187" s="212" t="str">
        <f t="shared" ref="D187:D192" si="263">"IND"&amp;RIGHT(H187,4)&amp;RIGHT(G187,3)&amp;"N"&amp;RIGHT(E187,1)</f>
        <v>INDSDSHHCEN1</v>
      </c>
      <c r="E187" s="224" t="str">
        <f>"Industrial heating technology "&amp;$AJ$12&amp;" "&amp;RIGHT(H187,2)&amp;" - central district heating - within DH area - new 1"</f>
        <v>Industrial heating technology Iron &amp; Steel SH - central district heating - within DH area - new 1</v>
      </c>
      <c r="F187" s="224" t="s">
        <v>1149</v>
      </c>
      <c r="G187" s="225" t="s">
        <v>501</v>
      </c>
      <c r="H187" s="225" t="str">
        <f>AI15</f>
        <v>ISDSH</v>
      </c>
      <c r="I187" s="225"/>
      <c r="J187" s="81">
        <v>2011</v>
      </c>
      <c r="K187" s="299">
        <v>2025</v>
      </c>
      <c r="L187" s="81">
        <v>0.96</v>
      </c>
      <c r="M187" s="81"/>
      <c r="N187" s="81">
        <v>30</v>
      </c>
      <c r="O187" s="253">
        <v>1.17</v>
      </c>
      <c r="P187" s="254">
        <f>'DH network'!$M$9</f>
        <v>5.8735799999999998E-2</v>
      </c>
      <c r="Q187" s="254">
        <f ca="1">Q31*0.95</f>
        <v>1.9463124999999999</v>
      </c>
      <c r="R187" s="201">
        <v>3.1536000000000002E-2</v>
      </c>
      <c r="S187" s="275">
        <v>0.5</v>
      </c>
      <c r="T187" s="228"/>
      <c r="U187" s="228"/>
      <c r="V187" s="228"/>
      <c r="W187" s="287"/>
      <c r="X187" s="278"/>
      <c r="Y187" s="61"/>
      <c r="Z187" s="61"/>
      <c r="AA187" s="61"/>
      <c r="AB187" s="61"/>
    </row>
    <row r="188" spans="1:32">
      <c r="A188" s="169"/>
      <c r="D188" s="212" t="str">
        <f t="shared" si="263"/>
        <v>INDSDPHHCEN1</v>
      </c>
      <c r="E188" s="224" t="str">
        <f>"Industrial heating technology "&amp;$AJ$12&amp;" "&amp;RIGHT(H188,2)&amp;" - central district heating - within DH area - new 1"</f>
        <v>Industrial heating technology Iron &amp; Steel PH - central district heating - within DH area - new 1</v>
      </c>
      <c r="F188" s="224" t="s">
        <v>1149</v>
      </c>
      <c r="G188" s="225" t="s">
        <v>501</v>
      </c>
      <c r="H188" s="281" t="str">
        <f>AI14</f>
        <v>ISDPH</v>
      </c>
      <c r="I188" s="281"/>
      <c r="J188" s="81">
        <v>2011</v>
      </c>
      <c r="K188" s="299">
        <v>2025</v>
      </c>
      <c r="L188" s="81">
        <v>0.96</v>
      </c>
      <c r="M188" s="81"/>
      <c r="N188" s="81">
        <v>30</v>
      </c>
      <c r="O188" s="253">
        <v>1.17</v>
      </c>
      <c r="P188" s="254">
        <f>'DH network'!$M$9</f>
        <v>5.8735799999999998E-2</v>
      </c>
      <c r="Q188" s="254">
        <f ca="1">Q33*0.95</f>
        <v>6.4090694444444436</v>
      </c>
      <c r="R188" s="201">
        <v>3.1536000000000002E-2</v>
      </c>
      <c r="S188" s="275">
        <v>0.5</v>
      </c>
      <c r="T188" s="228">
        <v>0.05</v>
      </c>
      <c r="U188" s="228"/>
      <c r="V188" s="228"/>
      <c r="W188" s="287"/>
      <c r="X188" s="278"/>
      <c r="Y188" s="61"/>
      <c r="Z188" s="61"/>
      <c r="AA188" s="61"/>
      <c r="AB188" s="61"/>
      <c r="AC188" s="226"/>
      <c r="AD188" s="226"/>
      <c r="AE188" s="226"/>
      <c r="AF188" s="226"/>
    </row>
    <row r="189" spans="1:32">
      <c r="A189" s="169"/>
      <c r="D189" s="212" t="str">
        <f t="shared" si="263"/>
        <v>INDSDSHHSEN1</v>
      </c>
      <c r="E189" s="224" t="str">
        <f>"Industrial heating technology "&amp;$AJ$12&amp;" "&amp;RIGHT(H189,2)&amp;" - central district heating - within DH area - new 1"</f>
        <v>Industrial heating technology Iron &amp; Steel SH - central district heating - within DH area - new 1</v>
      </c>
      <c r="F189" s="224" t="s">
        <v>1149</v>
      </c>
      <c r="G189" s="225" t="s">
        <v>2123</v>
      </c>
      <c r="H189" s="225" t="str">
        <f>H187</f>
        <v>ISDSH</v>
      </c>
      <c r="I189" s="225"/>
      <c r="J189" s="81">
        <f t="shared" ref="J189:L190" si="264">J187</f>
        <v>2011</v>
      </c>
      <c r="K189" s="81">
        <f t="shared" si="264"/>
        <v>2025</v>
      </c>
      <c r="L189" s="81">
        <f t="shared" si="264"/>
        <v>0.96</v>
      </c>
      <c r="M189" s="81"/>
      <c r="N189" s="81">
        <f t="shared" ref="N189:S190" si="265">N187</f>
        <v>30</v>
      </c>
      <c r="O189" s="81">
        <f t="shared" si="265"/>
        <v>1.17</v>
      </c>
      <c r="P189" s="81">
        <f t="shared" si="265"/>
        <v>5.8735799999999998E-2</v>
      </c>
      <c r="Q189" s="81">
        <f t="shared" ca="1" si="265"/>
        <v>1.9463124999999999</v>
      </c>
      <c r="R189" s="81">
        <f t="shared" si="265"/>
        <v>3.1536000000000002E-2</v>
      </c>
      <c r="S189" s="81">
        <f t="shared" si="265"/>
        <v>0.5</v>
      </c>
      <c r="T189" s="228"/>
      <c r="U189" s="228"/>
      <c r="V189" s="228"/>
      <c r="W189" s="287"/>
      <c r="X189" s="278"/>
      <c r="Y189" s="61"/>
      <c r="Z189" s="61"/>
      <c r="AA189" s="61"/>
      <c r="AB189" s="61"/>
    </row>
    <row r="190" spans="1:32">
      <c r="A190" s="169"/>
      <c r="D190" s="212" t="str">
        <f t="shared" si="263"/>
        <v>INDSDPHHSEN1</v>
      </c>
      <c r="E190" s="224" t="str">
        <f>"Industrial heating technology "&amp;$AJ$12&amp;" "&amp;RIGHT(H190,2)&amp;" - central district heating - within DH area - new 1"</f>
        <v>Industrial heating technology Iron &amp; Steel PH - central district heating - within DH area - new 1</v>
      </c>
      <c r="F190" s="224" t="s">
        <v>1149</v>
      </c>
      <c r="G190" s="225" t="s">
        <v>2123</v>
      </c>
      <c r="H190" s="225" t="str">
        <f>H188</f>
        <v>ISDPH</v>
      </c>
      <c r="I190" s="281"/>
      <c r="J190" s="81">
        <f t="shared" si="264"/>
        <v>2011</v>
      </c>
      <c r="K190" s="81">
        <f t="shared" si="264"/>
        <v>2025</v>
      </c>
      <c r="L190" s="81">
        <f t="shared" si="264"/>
        <v>0.96</v>
      </c>
      <c r="M190" s="81"/>
      <c r="N190" s="81">
        <f t="shared" si="265"/>
        <v>30</v>
      </c>
      <c r="O190" s="81">
        <f t="shared" si="265"/>
        <v>1.17</v>
      </c>
      <c r="P190" s="81">
        <f t="shared" si="265"/>
        <v>5.8735799999999998E-2</v>
      </c>
      <c r="Q190" s="81">
        <f t="shared" ca="1" si="265"/>
        <v>6.4090694444444436</v>
      </c>
      <c r="R190" s="81">
        <f t="shared" si="265"/>
        <v>3.1536000000000002E-2</v>
      </c>
      <c r="S190" s="81">
        <f t="shared" si="265"/>
        <v>0.5</v>
      </c>
      <c r="T190" s="81">
        <f>T188</f>
        <v>0.05</v>
      </c>
      <c r="U190" s="228"/>
      <c r="V190" s="228"/>
      <c r="W190" s="287"/>
      <c r="X190" s="278"/>
      <c r="Y190" s="61"/>
      <c r="Z190" s="61"/>
      <c r="AA190" s="61"/>
      <c r="AB190" s="61"/>
      <c r="AC190" s="226"/>
      <c r="AD190" s="226"/>
      <c r="AE190" s="226"/>
      <c r="AF190" s="226"/>
    </row>
    <row r="191" spans="1:32">
      <c r="A191" s="169"/>
      <c r="D191" s="212" t="str">
        <f t="shared" si="263"/>
        <v>INDSDSHHDEN1</v>
      </c>
      <c r="E191" s="224" t="str">
        <f>"Industrial heating technology "&amp;$AJ$12&amp;" "&amp;RIGHT(H191,2)&amp;" - decentral district heating - within DH area - new 1"</f>
        <v>Industrial heating technology Iron &amp; Steel SH - decentral district heating - within DH area - new 1</v>
      </c>
      <c r="F191" s="224" t="s">
        <v>1149</v>
      </c>
      <c r="G191" s="259" t="s">
        <v>502</v>
      </c>
      <c r="H191" s="265" t="str">
        <f>AI15</f>
        <v>ISDSH</v>
      </c>
      <c r="I191" s="265"/>
      <c r="J191" s="81">
        <v>2011</v>
      </c>
      <c r="K191" s="299">
        <v>2025</v>
      </c>
      <c r="L191" s="81">
        <f>L187</f>
        <v>0.96</v>
      </c>
      <c r="M191" s="81"/>
      <c r="N191" s="81">
        <v>30</v>
      </c>
      <c r="O191" s="253">
        <v>1.25</v>
      </c>
      <c r="P191" s="254">
        <f>'DH network'!$M$9</f>
        <v>5.8735799999999998E-2</v>
      </c>
      <c r="Q191" s="254">
        <f ca="1">Q187</f>
        <v>1.9463124999999999</v>
      </c>
      <c r="R191" s="201">
        <v>3.1536000000000002E-2</v>
      </c>
      <c r="S191" s="275">
        <v>0.5</v>
      </c>
      <c r="T191" s="228"/>
      <c r="U191" s="228"/>
      <c r="V191" s="228"/>
      <c r="W191" s="287"/>
      <c r="X191" s="278"/>
      <c r="Y191" s="61"/>
      <c r="Z191" s="61"/>
      <c r="AA191" s="61"/>
      <c r="AB191" s="61"/>
      <c r="AC191" s="226"/>
      <c r="AD191" s="226"/>
      <c r="AE191" s="226"/>
      <c r="AF191" s="226"/>
    </row>
    <row r="192" spans="1:32">
      <c r="A192" s="169"/>
      <c r="D192" s="212" t="str">
        <f t="shared" si="263"/>
        <v>INDSDPHHDEN1</v>
      </c>
      <c r="E192" s="224" t="str">
        <f>"Industrial heating technology "&amp;$AJ$12&amp;" "&amp;RIGHT(H192,2)&amp;" - decentral district heating - within DH area - new 1"</f>
        <v>Industrial heating technology Iron &amp; Steel PH - decentral district heating - within DH area - new 1</v>
      </c>
      <c r="F192" s="224" t="s">
        <v>1149</v>
      </c>
      <c r="G192" s="259" t="s">
        <v>502</v>
      </c>
      <c r="H192" s="225" t="str">
        <f>AI14</f>
        <v>ISDPH</v>
      </c>
      <c r="I192" s="225"/>
      <c r="J192" s="81">
        <v>2011</v>
      </c>
      <c r="K192" s="299">
        <v>2025</v>
      </c>
      <c r="L192" s="81">
        <f>L188</f>
        <v>0.96</v>
      </c>
      <c r="M192" s="81"/>
      <c r="N192" s="81">
        <v>30</v>
      </c>
      <c r="O192" s="253">
        <v>1.25</v>
      </c>
      <c r="P192" s="254">
        <f>'DH network'!$M$9</f>
        <v>5.8735799999999998E-2</v>
      </c>
      <c r="Q192" s="254">
        <f ca="1">Q188</f>
        <v>6.4090694444444436</v>
      </c>
      <c r="R192" s="201">
        <v>3.1536000000000002E-2</v>
      </c>
      <c r="S192" s="275">
        <v>0.5</v>
      </c>
      <c r="T192" s="228">
        <v>0.05</v>
      </c>
      <c r="U192" s="228"/>
      <c r="V192" s="228"/>
      <c r="W192" s="287"/>
      <c r="X192" s="278"/>
      <c r="Y192" s="61"/>
      <c r="Z192" s="61"/>
      <c r="AA192" s="61"/>
      <c r="AB192" s="61"/>
      <c r="AC192" s="226"/>
      <c r="AD192" s="226"/>
      <c r="AE192" s="226"/>
      <c r="AF192" s="226"/>
    </row>
    <row r="193" spans="1:32">
      <c r="A193" s="169"/>
      <c r="B193" s="226"/>
      <c r="C193" s="226"/>
      <c r="D193" s="258" t="s">
        <v>497</v>
      </c>
      <c r="E193" s="258"/>
      <c r="F193" s="224" t="s">
        <v>1149</v>
      </c>
      <c r="G193" s="206"/>
      <c r="H193" s="225"/>
      <c r="I193" s="225"/>
      <c r="J193" s="200"/>
      <c r="K193" s="200"/>
      <c r="L193" s="200"/>
      <c r="M193" s="200"/>
      <c r="N193" s="200"/>
      <c r="O193" s="227"/>
      <c r="P193" s="227"/>
      <c r="Q193" s="227"/>
      <c r="R193" s="202"/>
      <c r="S193" s="228"/>
      <c r="T193" s="228"/>
      <c r="U193" s="228"/>
      <c r="V193" s="228"/>
      <c r="W193" s="287"/>
      <c r="X193" s="226"/>
      <c r="Y193" s="226"/>
      <c r="Z193" s="226"/>
      <c r="AA193" s="226"/>
      <c r="AB193" s="226"/>
      <c r="AC193" s="226"/>
      <c r="AD193" s="226"/>
      <c r="AE193" s="226"/>
      <c r="AF193" s="226"/>
    </row>
    <row r="194" spans="1:32">
      <c r="A194" s="169"/>
      <c r="B194" s="226"/>
      <c r="C194" s="226"/>
      <c r="D194" s="212" t="str">
        <f>"IND"&amp;RIGHT(H194,4)&amp;RIGHT(G194,3)&amp;"N"&amp;RIGHT(E194,1)</f>
        <v>INDSDLAELCN1</v>
      </c>
      <c r="E194" s="224" t="str">
        <f>"Industry "&amp;$AJ$12&amp;" "&amp;RIGHT(H194,2)&amp;" Electricity Light Appliance - New 1"</f>
        <v>Industry Iron &amp; Steel LA Electricity Light Appliance - New 1</v>
      </c>
      <c r="F194" s="224" t="s">
        <v>1149</v>
      </c>
      <c r="G194" s="225" t="s">
        <v>499</v>
      </c>
      <c r="H194" s="225" t="str">
        <f>AI16</f>
        <v>ISDLA</v>
      </c>
      <c r="I194" s="225"/>
      <c r="J194" s="81">
        <v>2011</v>
      </c>
      <c r="K194" s="81">
        <v>2011</v>
      </c>
      <c r="L194" s="256">
        <v>1</v>
      </c>
      <c r="M194" s="256"/>
      <c r="N194" s="256">
        <v>10</v>
      </c>
      <c r="O194" s="254"/>
      <c r="P194" s="254"/>
      <c r="Q194" s="254"/>
      <c r="R194" s="201"/>
      <c r="S194" s="275">
        <v>0.9</v>
      </c>
      <c r="T194" s="228"/>
      <c r="U194" s="228"/>
      <c r="V194" s="228"/>
      <c r="W194" s="287"/>
      <c r="X194" s="279"/>
      <c r="Y194" s="255"/>
      <c r="Z194" s="255"/>
      <c r="AA194" s="255"/>
      <c r="AB194" s="255"/>
      <c r="AC194" s="226"/>
      <c r="AD194" s="226"/>
      <c r="AE194" s="226"/>
      <c r="AF194" s="226"/>
    </row>
    <row r="195" spans="1:32">
      <c r="A195" s="169"/>
      <c r="B195" s="226"/>
      <c r="C195" s="226"/>
      <c r="F195" s="224" t="s">
        <v>1149</v>
      </c>
      <c r="G195" s="225"/>
      <c r="H195" s="226"/>
      <c r="I195" s="226"/>
      <c r="J195" s="256">
        <v>2020</v>
      </c>
      <c r="K195" s="256"/>
      <c r="L195" s="256"/>
      <c r="M195" s="256"/>
      <c r="N195" s="256"/>
      <c r="O195" s="254"/>
      <c r="P195" s="254"/>
      <c r="Q195" s="254"/>
      <c r="R195" s="201"/>
      <c r="S195" s="275"/>
      <c r="T195" s="228"/>
      <c r="U195" s="228"/>
      <c r="V195" s="228"/>
      <c r="W195" s="287"/>
      <c r="X195" s="279"/>
      <c r="Y195" s="255"/>
      <c r="Z195" s="255"/>
      <c r="AA195" s="255"/>
      <c r="AB195" s="255"/>
      <c r="AC195" s="226"/>
      <c r="AD195" s="226"/>
      <c r="AE195" s="226"/>
      <c r="AF195" s="226"/>
    </row>
    <row r="196" spans="1:32">
      <c r="A196" s="169"/>
      <c r="B196" s="226"/>
      <c r="C196" s="226"/>
      <c r="F196" s="224" t="s">
        <v>1149</v>
      </c>
      <c r="G196" s="225"/>
      <c r="H196" s="225"/>
      <c r="I196" s="225"/>
      <c r="J196" s="256">
        <v>2030</v>
      </c>
      <c r="K196" s="256"/>
      <c r="L196" s="256"/>
      <c r="M196" s="256"/>
      <c r="N196" s="256"/>
      <c r="O196" s="254"/>
      <c r="P196" s="254"/>
      <c r="Q196" s="254"/>
      <c r="R196" s="201"/>
      <c r="S196" s="275"/>
      <c r="T196" s="228"/>
      <c r="U196" s="228"/>
      <c r="V196" s="228"/>
      <c r="W196" s="287"/>
      <c r="X196" s="279"/>
      <c r="Y196" s="255"/>
      <c r="Z196" s="255"/>
      <c r="AA196" s="255"/>
      <c r="AB196" s="255"/>
    </row>
    <row r="197" spans="1:32">
      <c r="A197" s="169"/>
      <c r="B197" s="226"/>
      <c r="C197" s="226"/>
      <c r="F197" s="224" t="s">
        <v>1149</v>
      </c>
      <c r="G197" s="225"/>
      <c r="H197" s="225"/>
      <c r="I197" s="225"/>
      <c r="J197" s="256">
        <v>2050</v>
      </c>
      <c r="K197" s="256"/>
      <c r="L197" s="256"/>
      <c r="M197" s="256"/>
      <c r="N197" s="256"/>
      <c r="O197" s="254"/>
      <c r="P197" s="254"/>
      <c r="Q197" s="254"/>
      <c r="R197" s="201"/>
      <c r="S197" s="275"/>
      <c r="T197" s="228"/>
      <c r="U197" s="228"/>
      <c r="V197" s="228"/>
      <c r="W197" s="287"/>
      <c r="X197" s="279"/>
      <c r="Y197" s="255"/>
      <c r="Z197" s="255"/>
      <c r="AA197" s="255"/>
      <c r="AB197" s="255"/>
    </row>
    <row r="198" spans="1:32">
      <c r="A198" s="169"/>
      <c r="B198" s="226"/>
      <c r="C198" s="226"/>
      <c r="D198" s="212" t="str">
        <f>"IND"&amp;RIGHT(H198,4)&amp;RIGHT(G198,3)&amp;"N"&amp;RIGHT(E198,1)</f>
        <v>INDSDEMELCN1</v>
      </c>
      <c r="E198" s="224" t="str">
        <f>"Industry "&amp;$AJ$12&amp;" "&amp;RIGHT(H198,2)&amp;" Electricity Motors - New 1"</f>
        <v>Industry Iron &amp; Steel EM Electricity Motors - New 1</v>
      </c>
      <c r="F198" s="224" t="s">
        <v>1149</v>
      </c>
      <c r="G198" s="225" t="s">
        <v>499</v>
      </c>
      <c r="H198" s="225" t="str">
        <f>AI17</f>
        <v>ISDEM</v>
      </c>
      <c r="I198" s="225"/>
      <c r="J198" s="81">
        <v>2011</v>
      </c>
      <c r="K198" s="81">
        <v>2011</v>
      </c>
      <c r="L198" s="256">
        <v>1</v>
      </c>
      <c r="M198" s="256"/>
      <c r="N198" s="256">
        <v>10</v>
      </c>
      <c r="O198" s="254"/>
      <c r="P198" s="254"/>
      <c r="Q198" s="254"/>
      <c r="R198" s="201"/>
      <c r="S198" s="275">
        <v>0.9</v>
      </c>
      <c r="T198" s="228"/>
      <c r="U198" s="228"/>
      <c r="V198" s="228"/>
      <c r="W198" s="287"/>
      <c r="X198" s="279"/>
      <c r="Y198" s="255"/>
      <c r="Z198" s="255"/>
      <c r="AA198" s="255"/>
      <c r="AB198" s="255"/>
    </row>
    <row r="199" spans="1:32">
      <c r="A199" s="169"/>
      <c r="D199" s="170"/>
      <c r="E199" s="64"/>
      <c r="F199" s="224" t="s">
        <v>1149</v>
      </c>
      <c r="H199" s="173"/>
      <c r="I199" s="173"/>
      <c r="J199" s="256">
        <v>2020</v>
      </c>
      <c r="K199" s="257"/>
      <c r="L199" s="257"/>
      <c r="M199" s="257"/>
      <c r="N199" s="257"/>
      <c r="O199" s="61"/>
      <c r="P199" s="61"/>
      <c r="Q199" s="61"/>
      <c r="R199" s="61"/>
      <c r="S199" s="276"/>
      <c r="T199" s="55"/>
      <c r="U199" s="55"/>
      <c r="V199" s="55"/>
      <c r="W199" s="283"/>
      <c r="X199" s="278"/>
      <c r="Y199" s="61"/>
      <c r="Z199" s="61"/>
      <c r="AA199" s="61"/>
      <c r="AB199" s="61"/>
    </row>
    <row r="200" spans="1:32">
      <c r="A200" s="169"/>
      <c r="F200" s="224" t="s">
        <v>1149</v>
      </c>
      <c r="H200" s="173"/>
      <c r="I200" s="173"/>
      <c r="J200" s="256">
        <v>2030</v>
      </c>
      <c r="K200" s="257"/>
      <c r="L200" s="257"/>
      <c r="M200" s="257"/>
      <c r="N200" s="257"/>
      <c r="O200" s="61"/>
      <c r="P200" s="61"/>
      <c r="Q200" s="61"/>
      <c r="R200" s="61"/>
      <c r="S200" s="276"/>
      <c r="T200" s="55"/>
      <c r="U200" s="55"/>
      <c r="V200" s="55"/>
      <c r="W200" s="283"/>
      <c r="X200" s="278"/>
      <c r="Y200" s="61"/>
      <c r="Z200" s="61"/>
      <c r="AA200" s="61"/>
      <c r="AB200" s="61"/>
    </row>
    <row r="201" spans="1:32">
      <c r="A201" s="169"/>
      <c r="D201" s="203"/>
      <c r="E201" s="203"/>
      <c r="F201" s="224" t="s">
        <v>1149</v>
      </c>
      <c r="G201" s="203"/>
      <c r="H201" s="266"/>
      <c r="I201" s="266"/>
      <c r="J201" s="256">
        <v>2050</v>
      </c>
      <c r="K201" s="257"/>
      <c r="L201" s="257"/>
      <c r="M201" s="257"/>
      <c r="N201" s="257"/>
      <c r="O201" s="61"/>
      <c r="P201" s="61"/>
      <c r="Q201" s="61"/>
      <c r="R201" s="61"/>
      <c r="S201" s="276"/>
      <c r="T201" s="55"/>
      <c r="U201" s="55"/>
      <c r="V201" s="55"/>
      <c r="W201" s="283"/>
      <c r="X201" s="278"/>
      <c r="Y201" s="61"/>
      <c r="Z201" s="61"/>
      <c r="AA201" s="61"/>
      <c r="AB201" s="61"/>
    </row>
    <row r="202" spans="1:32">
      <c r="A202" s="169" t="s">
        <v>2057</v>
      </c>
      <c r="B202" s="224" t="s">
        <v>2064</v>
      </c>
      <c r="D202" s="212" t="str">
        <f>"IND"&amp;RIGHT(H202,4)&amp;"DSL"&amp;"N"&amp;RIGHT(E202,1)</f>
        <v>INDSDTFDSLN1</v>
      </c>
      <c r="E202" s="224" t="str">
        <f>"Industry "&amp;$AJ$12&amp;" "&amp;RIGHT(H202,2)&amp;" Tractors, Trucks, Fishing boats - New 1"</f>
        <v>Industry Iron &amp; Steel TF Tractors, Trucks, Fishing boats - New 1</v>
      </c>
      <c r="F202" s="224" t="s">
        <v>1149</v>
      </c>
      <c r="G202" s="173" t="s">
        <v>2081</v>
      </c>
      <c r="H202" s="174" t="str">
        <f>$AI$18</f>
        <v>ISDTF</v>
      </c>
      <c r="I202" s="174"/>
      <c r="J202" s="81">
        <v>2011</v>
      </c>
      <c r="K202" s="81">
        <v>2011</v>
      </c>
      <c r="L202" s="1127">
        <f>L203</f>
        <v>1</v>
      </c>
      <c r="M202" s="256"/>
      <c r="N202" s="256">
        <v>20</v>
      </c>
      <c r="O202" s="1127">
        <f>O203</f>
        <v>30.836264040545181</v>
      </c>
      <c r="P202" s="254"/>
      <c r="Q202" s="254"/>
      <c r="R202" s="1126">
        <v>1</v>
      </c>
      <c r="S202" s="1127">
        <v>1</v>
      </c>
      <c r="T202" s="228"/>
      <c r="U202" s="228"/>
      <c r="V202" s="228"/>
      <c r="W202" s="287"/>
      <c r="X202" s="55"/>
      <c r="Y202" s="55"/>
      <c r="Z202" s="55"/>
      <c r="AA202" s="55"/>
      <c r="AB202" s="55"/>
    </row>
    <row r="203" spans="1:32">
      <c r="A203" s="169" t="s">
        <v>2057</v>
      </c>
      <c r="B203" s="224" t="s">
        <v>2064</v>
      </c>
      <c r="D203" s="55"/>
      <c r="E203" s="55"/>
      <c r="F203" s="224" t="s">
        <v>1149</v>
      </c>
      <c r="G203" s="55"/>
      <c r="H203" s="174"/>
      <c r="I203" s="174"/>
      <c r="J203" s="256">
        <v>2017</v>
      </c>
      <c r="K203" s="256"/>
      <c r="L203" s="1127">
        <f>1/SUMIFS(Transport!$AS$13:$AS$264,Transport!$D$13:$D$264,$B203,Transport!$E$13:$E$264,$A203,Transport!$A$13:$A$264,$J203)</f>
        <v>1</v>
      </c>
      <c r="M203" s="256"/>
      <c r="N203" s="256"/>
      <c r="O203" s="1127">
        <f>SUMIFS(Transport!$AT$13:$AT$264,Transport!$D$13:$D$264,$B203,Transport!$E$13:$E$264,$A203,Transport!$A$13:$A$264,$J203)/1000*6.5</f>
        <v>30.836264040545181</v>
      </c>
      <c r="P203" s="254"/>
      <c r="Q203" s="254"/>
      <c r="R203" s="1126"/>
      <c r="S203" s="275"/>
      <c r="T203" s="228"/>
      <c r="U203" s="228"/>
      <c r="V203" s="228"/>
      <c r="W203" s="228"/>
      <c r="X203" s="55"/>
      <c r="Y203" s="55"/>
      <c r="Z203" s="55"/>
      <c r="AA203" s="55"/>
      <c r="AB203" s="55"/>
    </row>
    <row r="204" spans="1:32">
      <c r="A204" s="169" t="s">
        <v>2057</v>
      </c>
      <c r="B204" s="224" t="s">
        <v>2064</v>
      </c>
      <c r="D204" s="55"/>
      <c r="E204" s="55"/>
      <c r="F204" s="224" t="s">
        <v>1149</v>
      </c>
      <c r="G204" s="55"/>
      <c r="J204" s="256">
        <v>2030</v>
      </c>
      <c r="K204" s="256"/>
      <c r="L204" s="1127">
        <f>1/SUMIFS(Transport!$AS$13:$AS$264,Transport!$D$13:$D$264,$B204,Transport!$E$13:$E$264,$A204,Transport!$A$13:$A$264,$J204)</f>
        <v>1.4579105312754643</v>
      </c>
      <c r="M204" s="256"/>
      <c r="N204" s="256"/>
      <c r="O204" s="1127">
        <f>SUMIFS(Transport!$AT$13:$AT$264,Transport!$D$13:$D$264,$B204,Transport!$E$13:$E$264,$A204,Transport!$A$13:$A$264,$J204)/1000*6.5</f>
        <v>31.806294618979205</v>
      </c>
      <c r="P204" s="254"/>
      <c r="Q204" s="254"/>
      <c r="R204" s="1126"/>
      <c r="S204" s="275"/>
      <c r="T204" s="228"/>
      <c r="U204" s="228"/>
      <c r="V204" s="228"/>
      <c r="W204" s="228"/>
      <c r="X204" s="55"/>
      <c r="Y204" s="55"/>
      <c r="Z204" s="55"/>
      <c r="AA204" s="55"/>
      <c r="AB204" s="55"/>
    </row>
    <row r="205" spans="1:32">
      <c r="A205" s="169" t="s">
        <v>2057</v>
      </c>
      <c r="B205" s="224" t="s">
        <v>2064</v>
      </c>
      <c r="D205" s="55"/>
      <c r="E205" s="55"/>
      <c r="F205" s="224" t="s">
        <v>1149</v>
      </c>
      <c r="G205" s="55"/>
      <c r="J205" s="256">
        <v>2050</v>
      </c>
      <c r="K205" s="256"/>
      <c r="L205" s="1127">
        <f>1/SUMIFS(Transport!$AS$13:$AS$264,Transport!$D$13:$D$264,$B205,Transport!$E$13:$E$264,$A205,Transport!$A$13:$A$264,$J205)</f>
        <v>1.612189818950156</v>
      </c>
      <c r="M205" s="256"/>
      <c r="N205" s="256"/>
      <c r="O205" s="1127">
        <f>SUMIFS(Transport!$AT$13:$AT$264,Transport!$D$13:$D$264,$B205,Transport!$E$13:$E$264,$A205,Transport!$A$13:$A$264,$J205)/1000*6.5</f>
        <v>32.165108628526795</v>
      </c>
      <c r="P205" s="254"/>
      <c r="Q205" s="254"/>
      <c r="R205" s="1126"/>
      <c r="S205" s="275"/>
      <c r="T205" s="228"/>
      <c r="U205" s="228"/>
      <c r="V205" s="228"/>
      <c r="W205" s="228"/>
      <c r="X205" s="55"/>
      <c r="Y205" s="55"/>
      <c r="Z205" s="55"/>
      <c r="AA205" s="55"/>
      <c r="AB205" s="55"/>
    </row>
    <row r="206" spans="1:32">
      <c r="A206" s="169" t="s">
        <v>2062</v>
      </c>
      <c r="B206" s="224" t="s">
        <v>2064</v>
      </c>
      <c r="D206" s="212" t="str">
        <f>"IND"&amp;RIGHT(H206,4)&amp;"H2G"&amp;"N"&amp;RIGHT(E206,1)</f>
        <v>INDSDTFH2GN2</v>
      </c>
      <c r="E206" s="224" t="str">
        <f>"Industry "&amp;$AJ$12&amp;" "&amp;RIGHT(H206,2)&amp;" Tractors, Trucks, Fishing boats - New 2"</f>
        <v>Industry Iron &amp; Steel TF Tractors, Trucks, Fishing boats - New 2</v>
      </c>
      <c r="F206" s="224" t="s">
        <v>1149</v>
      </c>
      <c r="G206" s="55" t="s">
        <v>2077</v>
      </c>
      <c r="H206" s="174" t="str">
        <f>$AI$18</f>
        <v>ISDTF</v>
      </c>
      <c r="I206" s="174"/>
      <c r="J206" s="81">
        <v>2017</v>
      </c>
      <c r="K206" s="81">
        <v>2030</v>
      </c>
      <c r="L206" s="1127">
        <f>1/SUMIFS(Transport!$AS$13:$AS$264,Transport!$D$13:$D$264,$B206,Transport!$E$13:$E$264,$A206,Transport!$A$13:$A$264,$J206)</f>
        <v>1.6201914448931107</v>
      </c>
      <c r="M206" s="256"/>
      <c r="N206" s="256">
        <v>20</v>
      </c>
      <c r="O206" s="1127">
        <f>SUMIFS(Transport!$AT$13:$AT$264,Transport!$D$13:$D$264,$B206,Transport!$E$13:$E$264,$A206,Transport!$A$13:$A$264,$J206)/1000*6.5</f>
        <v>81.840656028484005</v>
      </c>
      <c r="P206" s="254"/>
      <c r="Q206" s="254"/>
      <c r="R206" s="1126">
        <v>1</v>
      </c>
      <c r="S206" s="1127">
        <v>1</v>
      </c>
      <c r="T206" s="228"/>
      <c r="U206" s="228"/>
      <c r="V206" s="228"/>
      <c r="W206" s="287"/>
      <c r="X206" s="55"/>
      <c r="Y206" s="55"/>
      <c r="Z206" s="55"/>
      <c r="AA206" s="55"/>
      <c r="AB206" s="55"/>
    </row>
    <row r="207" spans="1:32">
      <c r="A207" s="169" t="s">
        <v>2062</v>
      </c>
      <c r="B207" s="224" t="s">
        <v>2064</v>
      </c>
      <c r="D207" s="55"/>
      <c r="E207" s="55"/>
      <c r="F207" s="224" t="s">
        <v>1149</v>
      </c>
      <c r="G207" s="55"/>
      <c r="H207" s="174"/>
      <c r="I207" s="174"/>
      <c r="J207" s="256">
        <v>2017</v>
      </c>
      <c r="K207" s="256"/>
      <c r="L207" s="1127">
        <f>1/SUMIFS(Transport!$AS$13:$AS$264,Transport!$D$13:$D$264,$B207,Transport!$E$13:$E$264,$A207,Transport!$A$13:$A$264,$J207)</f>
        <v>1.6201914448931107</v>
      </c>
      <c r="M207" s="256"/>
      <c r="N207" s="256"/>
      <c r="O207" s="1127">
        <f>SUMIFS(Transport!$AT$13:$AT$264,Transport!$D$13:$D$264,$B207,Transport!$E$13:$E$264,$A207,Transport!$A$13:$A$264,$J207)/1000*6.5</f>
        <v>81.840656028484005</v>
      </c>
      <c r="P207" s="254"/>
      <c r="Q207" s="254"/>
      <c r="R207" s="1126"/>
      <c r="S207" s="275"/>
      <c r="T207" s="228"/>
      <c r="U207" s="228"/>
      <c r="V207" s="228"/>
      <c r="W207" s="228"/>
      <c r="X207" s="55"/>
      <c r="Y207" s="55"/>
      <c r="Z207" s="55"/>
      <c r="AA207" s="55"/>
      <c r="AB207" s="55"/>
    </row>
    <row r="208" spans="1:32">
      <c r="A208" s="169" t="s">
        <v>2062</v>
      </c>
      <c r="B208" s="224" t="s">
        <v>2064</v>
      </c>
      <c r="D208" s="55"/>
      <c r="E208" s="55"/>
      <c r="F208" s="224" t="s">
        <v>1149</v>
      </c>
      <c r="G208" s="55"/>
      <c r="J208" s="256">
        <v>2030</v>
      </c>
      <c r="K208" s="256"/>
      <c r="L208" s="1127">
        <f>1/SUMIFS(Transport!$AS$13:$AS$264,Transport!$D$13:$D$264,$B208,Transport!$E$13:$E$264,$A208,Transport!$A$13:$A$264,$J208)</f>
        <v>2.4143776559781225</v>
      </c>
      <c r="M208" s="256"/>
      <c r="N208" s="256"/>
      <c r="O208" s="1127">
        <f>SUMIFS(Transport!$AT$13:$AT$264,Transport!$D$13:$D$264,$B208,Transport!$E$13:$E$264,$A208,Transport!$A$13:$A$264,$J208)/1000*6.5</f>
        <v>34.253254247071318</v>
      </c>
      <c r="P208" s="254"/>
      <c r="Q208" s="254"/>
      <c r="R208" s="1126"/>
      <c r="S208" s="275"/>
      <c r="T208" s="228"/>
      <c r="U208" s="228"/>
      <c r="V208" s="228"/>
      <c r="W208" s="228"/>
      <c r="X208" s="55"/>
      <c r="Y208" s="55"/>
      <c r="Z208" s="55"/>
      <c r="AA208" s="55"/>
      <c r="AB208" s="55"/>
    </row>
    <row r="209" spans="1:28">
      <c r="A209" s="169" t="s">
        <v>2062</v>
      </c>
      <c r="B209" s="224" t="s">
        <v>2064</v>
      </c>
      <c r="D209" s="55"/>
      <c r="E209" s="55"/>
      <c r="F209" s="224" t="s">
        <v>1149</v>
      </c>
      <c r="G209" s="55"/>
      <c r="J209" s="256">
        <v>2050</v>
      </c>
      <c r="K209" s="256"/>
      <c r="L209" s="1127">
        <f>1/SUMIFS(Transport!$AS$13:$AS$264,Transport!$D$13:$D$264,$B209,Transport!$E$13:$E$264,$A209,Transport!$A$13:$A$264,$J209)</f>
        <v>2.9956358502626648</v>
      </c>
      <c r="M209" s="256"/>
      <c r="N209" s="256"/>
      <c r="O209" s="1127">
        <f>SUMIFS(Transport!$AT$13:$AT$264,Transport!$D$13:$D$264,$B209,Transport!$E$13:$E$264,$A209,Transport!$A$13:$A$264,$J209)/1000*6.5</f>
        <v>28.800352543800432</v>
      </c>
      <c r="P209" s="254"/>
      <c r="Q209" s="254"/>
      <c r="R209" s="1126"/>
      <c r="S209" s="275"/>
      <c r="T209" s="228"/>
      <c r="U209" s="228"/>
      <c r="V209" s="228"/>
      <c r="W209" s="228"/>
      <c r="X209" s="55"/>
      <c r="Y209" s="55"/>
      <c r="Z209" s="55"/>
      <c r="AA209" s="55"/>
      <c r="AB209" s="55"/>
    </row>
    <row r="210" spans="1:28">
      <c r="A210" s="169" t="s">
        <v>2061</v>
      </c>
      <c r="B210" s="224" t="s">
        <v>2064</v>
      </c>
      <c r="D210" s="212" t="str">
        <f>"IND"&amp;RIGHT(H210,4)&amp;"ELC"&amp;"N"&amp;RIGHT(E210,1)</f>
        <v>INDSDTFELCN3</v>
      </c>
      <c r="E210" s="224" t="str">
        <f>"Industry "&amp;$AJ$12&amp;" "&amp;RIGHT(H210,2)&amp;" Tractors, Trucks, Fishing boats - New 3"</f>
        <v>Industry Iron &amp; Steel TF Tractors, Trucks, Fishing boats - New 3</v>
      </c>
      <c r="F210" s="224" t="s">
        <v>1149</v>
      </c>
      <c r="G210" s="55" t="s">
        <v>499</v>
      </c>
      <c r="H210" s="174" t="str">
        <f>$AI$18</f>
        <v>ISDTF</v>
      </c>
      <c r="I210" s="174"/>
      <c r="J210" s="81">
        <v>2017</v>
      </c>
      <c r="K210" s="81">
        <v>2025</v>
      </c>
      <c r="L210" s="1127">
        <f>1/SUMIFS(Transport!$AS$13:$AS$264,Transport!$D$13:$D$264,$B210,Transport!$E$13:$E$264,$A210,Transport!$A$13:$A$264,$J210)</f>
        <v>3.2991956437648962</v>
      </c>
      <c r="M210" s="256"/>
      <c r="N210" s="256">
        <v>20</v>
      </c>
      <c r="O210" s="1127">
        <f>SUMIFS(Transport!$AT$13:$AT$264,Transport!$D$13:$D$264,$B210,Transport!$E$13:$E$264,$A210,Transport!$A$13:$A$264,$J210)/1000*6.5</f>
        <v>72.592990417868862</v>
      </c>
      <c r="P210" s="254"/>
      <c r="Q210" s="254"/>
      <c r="R210" s="1126">
        <v>1</v>
      </c>
      <c r="S210" s="1127">
        <v>1</v>
      </c>
      <c r="T210" s="228"/>
      <c r="U210" s="228"/>
      <c r="V210" s="228"/>
      <c r="W210" s="287"/>
      <c r="X210" s="55"/>
      <c r="Y210" s="55"/>
      <c r="Z210" s="55"/>
      <c r="AA210" s="55"/>
      <c r="AB210" s="55"/>
    </row>
    <row r="211" spans="1:28">
      <c r="A211" s="169" t="s">
        <v>2061</v>
      </c>
      <c r="B211" s="224" t="s">
        <v>2064</v>
      </c>
      <c r="D211" s="55"/>
      <c r="E211" s="55"/>
      <c r="F211" s="224" t="s">
        <v>1149</v>
      </c>
      <c r="G211" s="55"/>
      <c r="H211" s="174"/>
      <c r="I211" s="174"/>
      <c r="J211" s="256">
        <v>2017</v>
      </c>
      <c r="K211" s="256"/>
      <c r="L211" s="1127">
        <f>1/SUMIFS(Transport!$AS$13:$AS$264,Transport!$D$13:$D$264,$B211,Transport!$E$13:$E$264,$A211,Transport!$A$13:$A$264,$J211)</f>
        <v>3.2991956437648962</v>
      </c>
      <c r="M211" s="256"/>
      <c r="N211" s="256"/>
      <c r="O211" s="1127">
        <f>SUMIFS(Transport!$AT$13:$AT$264,Transport!$D$13:$D$264,$B211,Transport!$E$13:$E$264,$A211,Transport!$A$13:$A$264,$J211)/1000*6.5</f>
        <v>72.592990417868862</v>
      </c>
      <c r="P211" s="254"/>
      <c r="Q211" s="254"/>
      <c r="R211" s="201"/>
      <c r="S211" s="275"/>
      <c r="T211" s="228"/>
      <c r="U211" s="228"/>
      <c r="V211" s="228"/>
      <c r="W211" s="228"/>
      <c r="X211" s="55"/>
      <c r="Y211" s="55"/>
      <c r="Z211" s="55"/>
      <c r="AA211" s="55"/>
      <c r="AB211" s="55"/>
    </row>
    <row r="212" spans="1:28">
      <c r="A212" s="169" t="s">
        <v>2061</v>
      </c>
      <c r="B212" s="224" t="s">
        <v>2064</v>
      </c>
      <c r="D212" s="55"/>
      <c r="E212" s="55"/>
      <c r="F212" s="224" t="s">
        <v>1149</v>
      </c>
      <c r="G212" s="55"/>
      <c r="J212" s="256">
        <v>2030</v>
      </c>
      <c r="K212" s="256"/>
      <c r="L212" s="1127">
        <f>1/SUMIFS(Transport!$AS$13:$AS$264,Transport!$D$13:$D$264,$B212,Transport!$E$13:$E$264,$A212,Transport!$A$13:$A$264,$J212)</f>
        <v>3.2991956437648962</v>
      </c>
      <c r="M212" s="256"/>
      <c r="N212" s="256"/>
      <c r="O212" s="1127">
        <f>SUMIFS(Transport!$AT$13:$AT$264,Transport!$D$13:$D$264,$B212,Transport!$E$13:$E$264,$A212,Transport!$A$13:$A$264,$J212)/1000*6.5</f>
        <v>35.973025982850046</v>
      </c>
      <c r="P212" s="254"/>
      <c r="Q212" s="254"/>
      <c r="R212" s="201"/>
      <c r="S212" s="275"/>
      <c r="T212" s="228"/>
      <c r="U212" s="228"/>
      <c r="V212" s="228"/>
      <c r="W212" s="228"/>
      <c r="X212" s="55"/>
      <c r="Y212" s="55"/>
      <c r="Z212" s="55"/>
      <c r="AA212" s="55"/>
      <c r="AB212" s="55"/>
    </row>
    <row r="213" spans="1:28">
      <c r="A213" s="169" t="s">
        <v>2061</v>
      </c>
      <c r="B213" s="224" t="s">
        <v>2064</v>
      </c>
      <c r="D213" s="55"/>
      <c r="E213" s="55"/>
      <c r="F213" s="224" t="s">
        <v>1149</v>
      </c>
      <c r="G213" s="55"/>
      <c r="J213" s="256">
        <v>2050</v>
      </c>
      <c r="K213" s="256"/>
      <c r="L213" s="1127">
        <f>1/SUMIFS(Transport!$AS$13:$AS$264,Transport!$D$13:$D$264,$B213,Transport!$E$13:$E$264,$A213,Transport!$A$13:$A$264,$J213)</f>
        <v>3.2991956437648962</v>
      </c>
      <c r="M213" s="256"/>
      <c r="N213" s="256"/>
      <c r="O213" s="1127">
        <f>SUMIFS(Transport!$AT$13:$AT$264,Transport!$D$13:$D$264,$B213,Transport!$E$13:$E$264,$A213,Transport!$A$13:$A$264,$J213)/1000*6.5</f>
        <v>28.759134300809922</v>
      </c>
      <c r="P213" s="254"/>
      <c r="Q213" s="254"/>
      <c r="R213" s="201"/>
      <c r="S213" s="275"/>
      <c r="T213" s="228"/>
      <c r="U213" s="228"/>
      <c r="V213" s="228"/>
      <c r="W213" s="228"/>
      <c r="X213" s="55"/>
      <c r="Y213" s="55"/>
      <c r="Z213" s="55"/>
      <c r="AA213" s="55"/>
      <c r="AB213" s="55"/>
    </row>
    <row r="214" spans="1:28">
      <c r="A214" s="169"/>
      <c r="D214" s="212" t="str">
        <f>"IND"&amp;RIGHT(H214,4)&amp;RIGHT(G214,3)&amp;"N"&amp;RIGHT(E214,1)</f>
        <v>INDSDFLELCN1</v>
      </c>
      <c r="E214" s="224" t="str">
        <f>"Industry "&amp;$AJ$12&amp;" "&amp;RIGHT(H202,2)&amp;" Forklifts - New 1"</f>
        <v>Industry Iron &amp; Steel TF Forklifts - New 1</v>
      </c>
      <c r="F214" s="224" t="s">
        <v>1149</v>
      </c>
      <c r="G214" s="173" t="s">
        <v>2128</v>
      </c>
      <c r="H214" s="224" t="str">
        <f>AI19</f>
        <v>ISDFL</v>
      </c>
      <c r="J214" s="81">
        <v>2011</v>
      </c>
      <c r="K214" s="81">
        <v>2011</v>
      </c>
      <c r="L214" s="256">
        <v>1</v>
      </c>
      <c r="M214" s="256"/>
      <c r="N214" s="256">
        <v>10</v>
      </c>
      <c r="O214" s="254"/>
      <c r="P214" s="254"/>
      <c r="Q214" s="254"/>
      <c r="R214" s="201"/>
      <c r="S214" s="275">
        <v>0.9</v>
      </c>
      <c r="T214" s="228"/>
      <c r="U214" s="228"/>
      <c r="V214" s="228"/>
      <c r="W214" s="228"/>
      <c r="X214" s="55"/>
      <c r="Y214" s="55"/>
      <c r="Z214" s="55"/>
      <c r="AA214" s="55"/>
      <c r="AB214" s="55"/>
    </row>
    <row r="215" spans="1:28">
      <c r="A215" s="169"/>
      <c r="D215" s="55"/>
      <c r="E215" s="55"/>
      <c r="F215" s="224" t="s">
        <v>1149</v>
      </c>
      <c r="G215" s="55"/>
      <c r="H215" s="174"/>
      <c r="I215" s="174"/>
      <c r="J215" s="256">
        <v>2020</v>
      </c>
      <c r="K215" s="256"/>
      <c r="L215" s="256"/>
      <c r="M215" s="256"/>
      <c r="N215" s="257"/>
      <c r="O215" s="61"/>
      <c r="P215" s="61"/>
      <c r="Q215" s="61"/>
      <c r="R215" s="61"/>
      <c r="S215" s="276"/>
      <c r="T215" s="55"/>
      <c r="U215" s="55"/>
      <c r="V215" s="55"/>
      <c r="W215" s="55"/>
      <c r="X215" s="55"/>
      <c r="Y215" s="55"/>
      <c r="Z215" s="55"/>
      <c r="AA215" s="55"/>
      <c r="AB215" s="55"/>
    </row>
    <row r="216" spans="1:28">
      <c r="A216" s="169"/>
      <c r="D216" s="55"/>
      <c r="E216" s="55"/>
      <c r="F216" s="224" t="s">
        <v>1149</v>
      </c>
      <c r="G216" s="55"/>
      <c r="J216" s="256">
        <v>2030</v>
      </c>
      <c r="K216" s="256"/>
      <c r="L216" s="256"/>
      <c r="M216" s="256"/>
      <c r="N216" s="257"/>
      <c r="O216" s="61"/>
      <c r="P216" s="61"/>
      <c r="Q216" s="61"/>
      <c r="R216" s="61"/>
      <c r="S216" s="276"/>
      <c r="T216" s="55"/>
      <c r="U216" s="55"/>
      <c r="V216" s="55"/>
      <c r="W216" s="55"/>
      <c r="X216" s="55"/>
      <c r="Y216" s="55"/>
      <c r="Z216" s="55"/>
      <c r="AA216" s="55"/>
      <c r="AB216" s="55"/>
    </row>
    <row r="217" spans="1:28">
      <c r="A217" s="169"/>
      <c r="D217" s="55"/>
      <c r="E217" s="55"/>
      <c r="F217" s="224" t="s">
        <v>1149</v>
      </c>
      <c r="G217" s="55"/>
      <c r="H217" s="174"/>
      <c r="I217" s="174"/>
      <c r="J217" s="256">
        <v>2050</v>
      </c>
      <c r="K217" s="256"/>
      <c r="L217" s="256"/>
      <c r="M217" s="256"/>
      <c r="N217" s="257"/>
      <c r="O217" s="61"/>
      <c r="P217" s="61"/>
      <c r="Q217" s="61"/>
      <c r="R217" s="61"/>
      <c r="S217" s="276"/>
      <c r="T217" s="55"/>
      <c r="U217" s="55"/>
      <c r="V217" s="55"/>
      <c r="W217" s="55"/>
      <c r="X217" s="55"/>
      <c r="Y217" s="55"/>
      <c r="Z217" s="55"/>
      <c r="AA217" s="55"/>
      <c r="AB217" s="55"/>
    </row>
    <row r="218" spans="1:28">
      <c r="A218" s="169" t="s">
        <v>2107</v>
      </c>
      <c r="D218" s="212" t="str">
        <f>"IND"&amp;RIGHT(H218,4)&amp;RIGHT(G218,3)&amp;"N"&amp;RIGHT(E218,1)</f>
        <v>INDSDCOELCN1</v>
      </c>
      <c r="E218" s="224" t="str">
        <f>"Industry "&amp;$AJ$12&amp;" "&amp;RIGHT(H218,2)&amp;" Cooling - New 1"</f>
        <v>Industry Iron &amp; Steel CO Cooling - New 1</v>
      </c>
      <c r="F218" s="224" t="s">
        <v>1149</v>
      </c>
      <c r="G218" s="173" t="s">
        <v>499</v>
      </c>
      <c r="H218" s="224" t="str">
        <f>AI21</f>
        <v>ISDCO</v>
      </c>
      <c r="J218" s="82">
        <v>2015</v>
      </c>
      <c r="K218" s="82">
        <v>2015</v>
      </c>
      <c r="L218" s="1128">
        <v>1</v>
      </c>
      <c r="M218" s="1129"/>
      <c r="N218" s="1129">
        <v>12</v>
      </c>
      <c r="O218" s="1130">
        <v>3.3525</v>
      </c>
      <c r="P218" s="1131">
        <v>0.31662500000000005</v>
      </c>
      <c r="Q218" s="1131"/>
      <c r="R218" s="1132">
        <v>3.1536000000000002E-2</v>
      </c>
      <c r="S218" s="1133">
        <v>8.3999999999999991E-2</v>
      </c>
    </row>
    <row r="219" spans="1:28">
      <c r="A219" s="169"/>
      <c r="F219" s="224" t="s">
        <v>1149</v>
      </c>
      <c r="H219" s="173"/>
      <c r="I219" s="173"/>
      <c r="J219" s="1129">
        <v>2020</v>
      </c>
      <c r="K219" s="1129"/>
      <c r="L219" s="1128">
        <v>1</v>
      </c>
      <c r="M219" s="1129"/>
      <c r="N219" s="257">
        <v>12</v>
      </c>
      <c r="O219" s="61">
        <v>3.1662499999999998</v>
      </c>
      <c r="P219" s="61">
        <v>0.30110722454958749</v>
      </c>
      <c r="Q219" s="61"/>
      <c r="R219" s="61">
        <v>3.1536000000000002E-2</v>
      </c>
      <c r="S219" s="276">
        <v>8.3999999999999991E-2</v>
      </c>
    </row>
    <row r="220" spans="1:28">
      <c r="A220" s="169"/>
      <c r="F220" s="224" t="s">
        <v>1149</v>
      </c>
      <c r="J220" s="1129">
        <v>2030</v>
      </c>
      <c r="K220" s="1129"/>
      <c r="L220" s="1128">
        <v>1</v>
      </c>
      <c r="M220" s="1129"/>
      <c r="N220" s="257">
        <v>12</v>
      </c>
      <c r="O220" s="61">
        <v>3.1662499999999998</v>
      </c>
      <c r="P220" s="61">
        <v>0.30110722454958749</v>
      </c>
      <c r="Q220" s="61"/>
      <c r="R220" s="61">
        <v>3.1536000000000002E-2</v>
      </c>
      <c r="S220" s="276">
        <v>8.3999999999999991E-2</v>
      </c>
    </row>
    <row r="221" spans="1:28">
      <c r="A221" s="169"/>
      <c r="F221" s="224" t="s">
        <v>1149</v>
      </c>
      <c r="H221" s="173"/>
      <c r="I221" s="173"/>
      <c r="J221" s="1129">
        <v>2050</v>
      </c>
      <c r="K221" s="1129"/>
      <c r="L221" s="1128">
        <v>1</v>
      </c>
      <c r="M221" s="1129"/>
      <c r="N221" s="257">
        <v>12</v>
      </c>
      <c r="O221" s="61">
        <v>3.1662499999999998</v>
      </c>
      <c r="P221" s="61">
        <v>0.30110722454958749</v>
      </c>
      <c r="Q221" s="61"/>
      <c r="R221" s="61">
        <v>3.1536000000000002E-2</v>
      </c>
      <c r="S221" s="276">
        <v>8.3999999999999991E-2</v>
      </c>
    </row>
    <row r="222" spans="1:28">
      <c r="A222" s="169"/>
    </row>
    <row r="223" spans="1:28">
      <c r="A223" s="169"/>
    </row>
    <row r="224" spans="1:28">
      <c r="A224" s="169"/>
    </row>
    <row r="225" spans="1:10">
      <c r="A225" s="169"/>
    </row>
    <row r="226" spans="1:10">
      <c r="A226" s="169"/>
      <c r="C226" s="207" t="s">
        <v>467</v>
      </c>
      <c r="D226" s="208"/>
      <c r="E226" s="208"/>
      <c r="F226" s="208"/>
      <c r="G226" s="208"/>
      <c r="H226" s="208"/>
      <c r="I226" s="208"/>
      <c r="J226" s="208"/>
    </row>
    <row r="227" spans="1:10">
      <c r="A227" s="169"/>
      <c r="C227" s="209" t="s">
        <v>466</v>
      </c>
      <c r="D227" s="209" t="s">
        <v>425</v>
      </c>
      <c r="E227" s="209" t="s">
        <v>465</v>
      </c>
      <c r="F227" s="209" t="s">
        <v>464</v>
      </c>
      <c r="G227" s="209" t="s">
        <v>463</v>
      </c>
      <c r="H227" s="209" t="s">
        <v>462</v>
      </c>
      <c r="I227" s="209" t="s">
        <v>461</v>
      </c>
      <c r="J227" s="209" t="s">
        <v>460</v>
      </c>
    </row>
    <row r="228" spans="1:10" ht="25" thickBot="1">
      <c r="A228" s="169"/>
      <c r="C228" s="210" t="s">
        <v>459</v>
      </c>
      <c r="D228" s="210" t="s">
        <v>458</v>
      </c>
      <c r="E228" s="210" t="s">
        <v>457</v>
      </c>
      <c r="F228" s="210" t="s">
        <v>456</v>
      </c>
      <c r="G228" s="210" t="s">
        <v>455</v>
      </c>
      <c r="H228" s="210" t="s">
        <v>454</v>
      </c>
      <c r="I228" s="210" t="s">
        <v>453</v>
      </c>
      <c r="J228" s="210" t="s">
        <v>452</v>
      </c>
    </row>
    <row r="229" spans="1:10">
      <c r="A229" s="169"/>
      <c r="C229" s="211" t="s">
        <v>504</v>
      </c>
      <c r="D229" s="212" t="str">
        <f>D9</f>
        <v>INDSDPHELCN1</v>
      </c>
      <c r="E229" s="212" t="str">
        <f t="shared" ref="E229:E260" si="266">VLOOKUP(D229,$D$9:$E$222,2,FALSE)</f>
        <v>Industrial heating technology Iron &amp; Steel PH - Heat pump utilizing waste heat - new 1</v>
      </c>
      <c r="F229" s="211" t="s">
        <v>450</v>
      </c>
      <c r="G229" s="211" t="s">
        <v>449</v>
      </c>
      <c r="H229" s="263" t="s">
        <v>620</v>
      </c>
      <c r="I229" s="301"/>
      <c r="J229" s="208" t="s">
        <v>469</v>
      </c>
    </row>
    <row r="230" spans="1:10">
      <c r="A230" s="169"/>
      <c r="B230" s="301"/>
      <c r="C230" s="301"/>
      <c r="D230" s="212" t="str">
        <f t="shared" ref="D230:D238" ca="1" si="267">OFFSET($D$9,(ROW(D1)*6),0)</f>
        <v>INDSDSHELCN1</v>
      </c>
      <c r="E230" s="212" t="str">
        <f t="shared" ca="1" si="266"/>
        <v>Industrial heating technology Iron &amp; Steel SH - Heat pump utilizing waste heat - new 1</v>
      </c>
      <c r="F230" s="262" t="s">
        <v>450</v>
      </c>
      <c r="G230" s="262" t="s">
        <v>449</v>
      </c>
      <c r="H230" s="263" t="s">
        <v>620</v>
      </c>
      <c r="I230" s="301"/>
      <c r="J230" s="264" t="s">
        <v>469</v>
      </c>
    </row>
    <row r="231" spans="1:10">
      <c r="A231" s="169"/>
      <c r="D231" s="212" t="str">
        <f t="shared" ca="1" si="267"/>
        <v>INDSDPHELCN2</v>
      </c>
      <c r="E231" s="212" t="str">
        <f t="shared" ca="1" si="266"/>
        <v>Industrial heating technology Iron &amp; Steel PH - Heat driven heat pump utilizing waste heat - new 2</v>
      </c>
      <c r="F231" s="211" t="s">
        <v>450</v>
      </c>
      <c r="G231" s="211" t="s">
        <v>449</v>
      </c>
      <c r="H231" s="263" t="s">
        <v>620</v>
      </c>
      <c r="I231" s="208"/>
      <c r="J231" s="264" t="s">
        <v>469</v>
      </c>
    </row>
    <row r="232" spans="1:10">
      <c r="A232" s="169"/>
      <c r="B232" s="211"/>
      <c r="C232" s="211"/>
      <c r="D232" s="212" t="str">
        <f t="shared" ca="1" si="267"/>
        <v>INDSDSHELCN2</v>
      </c>
      <c r="E232" s="212" t="str">
        <f t="shared" ca="1" si="266"/>
        <v>Industrial heating technology Iron &amp; Steel SH - Heat driven heat pump utilizing waste heat - new 2</v>
      </c>
      <c r="F232" s="262" t="s">
        <v>450</v>
      </c>
      <c r="G232" s="262" t="s">
        <v>449</v>
      </c>
      <c r="H232" s="263" t="s">
        <v>620</v>
      </c>
      <c r="I232" s="264"/>
      <c r="J232" s="264" t="s">
        <v>469</v>
      </c>
    </row>
    <row r="233" spans="1:10">
      <c r="A233" s="169"/>
      <c r="B233" s="211"/>
      <c r="C233" s="211"/>
      <c r="D233" s="212" t="str">
        <f t="shared" ca="1" si="267"/>
        <v>INDSDPHELCN3</v>
      </c>
      <c r="E233" s="212" t="str">
        <f t="shared" ca="1" si="266"/>
        <v>Industrial heating technology Iron &amp; Steel PH - High Temp abs. Heat pump utilizing waste heat - new 3</v>
      </c>
      <c r="F233" s="262" t="s">
        <v>450</v>
      </c>
      <c r="G233" s="262" t="s">
        <v>449</v>
      </c>
      <c r="H233" s="263" t="s">
        <v>620</v>
      </c>
      <c r="I233" s="264"/>
      <c r="J233" s="264" t="s">
        <v>469</v>
      </c>
    </row>
    <row r="234" spans="1:10">
      <c r="A234" s="169"/>
      <c r="B234" s="211"/>
      <c r="C234" s="211"/>
      <c r="D234" s="212" t="str">
        <f t="shared" ca="1" si="267"/>
        <v>INDSDSHELCN3</v>
      </c>
      <c r="E234" s="212" t="str">
        <f t="shared" ca="1" si="266"/>
        <v>Industrial heating technology Iron &amp; Steel SH - High Temp abs. Heat pump utilizing waste heat - new 3</v>
      </c>
      <c r="F234" s="262" t="s">
        <v>450</v>
      </c>
      <c r="G234" s="262" t="s">
        <v>449</v>
      </c>
      <c r="H234" s="263" t="s">
        <v>620</v>
      </c>
      <c r="I234" s="264"/>
      <c r="J234" s="264" t="s">
        <v>469</v>
      </c>
    </row>
    <row r="235" spans="1:10">
      <c r="A235" s="169"/>
      <c r="B235" s="211"/>
      <c r="C235" s="211"/>
      <c r="D235" s="212" t="str">
        <f t="shared" ca="1" si="267"/>
        <v>INDSDPHELCN4</v>
      </c>
      <c r="E235" s="212" t="str">
        <f t="shared" ca="1" si="266"/>
        <v>Industrial heating technology Iron &amp; Steel PH - Booster Heat pump utilizing waste heat - new 4</v>
      </c>
      <c r="F235" s="262" t="s">
        <v>450</v>
      </c>
      <c r="G235" s="262" t="s">
        <v>449</v>
      </c>
      <c r="H235" s="263" t="s">
        <v>620</v>
      </c>
      <c r="I235" s="264"/>
      <c r="J235" s="264" t="s">
        <v>469</v>
      </c>
    </row>
    <row r="236" spans="1:10">
      <c r="A236" s="169"/>
      <c r="B236" s="211"/>
      <c r="C236" s="211"/>
      <c r="D236" s="212" t="str">
        <f t="shared" ca="1" si="267"/>
        <v>INDSDSHELCN4</v>
      </c>
      <c r="E236" s="212" t="str">
        <f t="shared" ca="1" si="266"/>
        <v>Industrial heating technology Iron &amp; Steel SH - Booster Heat pump utilizing waste heat - new 4</v>
      </c>
      <c r="F236" s="262" t="s">
        <v>450</v>
      </c>
      <c r="G236" s="262" t="s">
        <v>449</v>
      </c>
      <c r="H236" s="263" t="s">
        <v>620</v>
      </c>
      <c r="I236" s="264"/>
      <c r="J236" s="264" t="s">
        <v>469</v>
      </c>
    </row>
    <row r="237" spans="1:10">
      <c r="A237" s="169"/>
      <c r="B237" s="211"/>
      <c r="C237" s="211"/>
      <c r="D237" s="212" t="str">
        <f t="shared" ca="1" si="267"/>
        <v>INDSDPHELCN5</v>
      </c>
      <c r="E237" s="212" t="str">
        <f t="shared" ca="1" si="266"/>
        <v>Industrial heating technology Iron &amp; Steel PH - MVR utilizing waste heat - new 5</v>
      </c>
      <c r="F237" s="262" t="s">
        <v>450</v>
      </c>
      <c r="G237" s="262" t="s">
        <v>449</v>
      </c>
      <c r="H237" s="263"/>
      <c r="I237" s="264"/>
      <c r="J237" s="264" t="s">
        <v>469</v>
      </c>
    </row>
    <row r="238" spans="1:10">
      <c r="A238" s="169"/>
      <c r="B238" s="211"/>
      <c r="C238" s="211"/>
      <c r="D238" s="212" t="str">
        <f t="shared" ca="1" si="267"/>
        <v>INDSDPHWSTN1</v>
      </c>
      <c r="E238" s="212" t="str">
        <f t="shared" ca="1" si="266"/>
        <v>Industrial heating technology Iron &amp; Steel PH - Hotdisc - new 1</v>
      </c>
      <c r="F238" s="262" t="s">
        <v>450</v>
      </c>
      <c r="G238" s="262" t="s">
        <v>449</v>
      </c>
      <c r="H238" s="263" t="s">
        <v>620</v>
      </c>
      <c r="I238" s="264"/>
      <c r="J238" s="264" t="s">
        <v>469</v>
      </c>
    </row>
    <row r="239" spans="1:10">
      <c r="A239" s="169"/>
      <c r="B239" s="211"/>
      <c r="C239" s="211"/>
      <c r="D239" s="212" t="str">
        <f t="shared" ref="D239:D278" ca="1" si="268">OFFSET($D$9,(ROW(D19)*3),0)</f>
        <v>INDSDPHELCN6</v>
      </c>
      <c r="E239" s="212" t="str">
        <f t="shared" ca="1" si="266"/>
        <v>Industrial heating technology Iron &amp; Steel PH - Dielectric heating - new 6</v>
      </c>
      <c r="F239" s="262" t="s">
        <v>450</v>
      </c>
      <c r="G239" s="262" t="s">
        <v>449</v>
      </c>
      <c r="H239" s="263" t="s">
        <v>620</v>
      </c>
      <c r="I239" s="264"/>
      <c r="J239" s="264" t="s">
        <v>469</v>
      </c>
    </row>
    <row r="240" spans="1:10">
      <c r="A240" s="169"/>
      <c r="B240" s="211"/>
      <c r="C240" s="211"/>
      <c r="D240" s="212" t="str">
        <f t="shared" ca="1" si="268"/>
        <v>INDSDPHELCN7</v>
      </c>
      <c r="E240" s="212" t="str">
        <f t="shared" ca="1" si="266"/>
        <v>Industrial heating technology Iron &amp; Steel PH - Infrared heating - new 7</v>
      </c>
      <c r="F240" s="262" t="s">
        <v>450</v>
      </c>
      <c r="G240" s="262" t="s">
        <v>449</v>
      </c>
      <c r="H240" s="263" t="s">
        <v>620</v>
      </c>
      <c r="I240" s="264"/>
      <c r="J240" s="264" t="s">
        <v>469</v>
      </c>
    </row>
    <row r="241" spans="1:16">
      <c r="A241" s="169"/>
      <c r="B241" s="211"/>
      <c r="C241" s="211"/>
      <c r="D241" s="212" t="str">
        <f t="shared" ca="1" si="268"/>
        <v>INDSDPHELCN8</v>
      </c>
      <c r="E241" s="212" t="str">
        <f t="shared" ca="1" si="266"/>
        <v>Industrial heating technology Iron &amp; Steel PH - Electric boiler (Steam) - new 8</v>
      </c>
      <c r="F241" s="262" t="s">
        <v>450</v>
      </c>
      <c r="G241" s="262" t="s">
        <v>449</v>
      </c>
      <c r="H241" s="263" t="s">
        <v>620</v>
      </c>
      <c r="I241" s="264"/>
      <c r="J241" s="264" t="s">
        <v>469</v>
      </c>
    </row>
    <row r="242" spans="1:16">
      <c r="A242" s="169"/>
      <c r="B242" s="211"/>
      <c r="C242" s="211"/>
      <c r="D242" s="212" t="str">
        <f t="shared" ca="1" si="268"/>
        <v>INDSDPHELCN8</v>
      </c>
      <c r="E242" s="212" t="str">
        <f t="shared" ca="1" si="266"/>
        <v>Industrial heating technology Iron &amp; Steel PH - Electric boiler (Steam) - new 8</v>
      </c>
      <c r="F242" s="262" t="s">
        <v>450</v>
      </c>
      <c r="G242" s="262" t="s">
        <v>449</v>
      </c>
      <c r="H242" s="263" t="s">
        <v>620</v>
      </c>
      <c r="I242" s="264"/>
      <c r="J242" s="264" t="s">
        <v>469</v>
      </c>
    </row>
    <row r="243" spans="1:16">
      <c r="A243" s="169"/>
      <c r="B243" s="211"/>
      <c r="C243" s="211"/>
      <c r="D243" s="212" t="str">
        <f t="shared" ca="1" si="268"/>
        <v>INDSDSHELCN8</v>
      </c>
      <c r="E243" s="212" t="str">
        <f t="shared" ca="1" si="266"/>
        <v>Industrial heating technology Iron &amp; Steel SH - Electric boiler (Steam) - new 8</v>
      </c>
      <c r="F243" s="262" t="s">
        <v>450</v>
      </c>
      <c r="G243" s="262" t="s">
        <v>449</v>
      </c>
      <c r="H243" s="263" t="s">
        <v>620</v>
      </c>
      <c r="I243" s="264"/>
      <c r="J243" s="264" t="s">
        <v>469</v>
      </c>
      <c r="P243" s="173"/>
    </row>
    <row r="244" spans="1:16">
      <c r="A244" s="169"/>
      <c r="B244" s="211"/>
      <c r="C244" s="211"/>
      <c r="D244" s="212" t="str">
        <f t="shared" ca="1" si="268"/>
        <v>INDSDPHELCN9</v>
      </c>
      <c r="E244" s="212" t="str">
        <f t="shared" ca="1" si="266"/>
        <v>Industrial heating technology Iron &amp; Steel PH - Electric boiler (Hot Water) - new 9</v>
      </c>
      <c r="F244" s="262" t="s">
        <v>450</v>
      </c>
      <c r="G244" s="262" t="s">
        <v>449</v>
      </c>
      <c r="H244" s="263" t="s">
        <v>620</v>
      </c>
      <c r="I244" s="264"/>
      <c r="J244" s="264" t="s">
        <v>469</v>
      </c>
      <c r="P244" s="173"/>
    </row>
    <row r="245" spans="1:16">
      <c r="A245" s="169"/>
      <c r="B245" s="211"/>
      <c r="C245" s="211"/>
      <c r="D245" s="212" t="str">
        <f t="shared" ca="1" si="268"/>
        <v>INDSDSHELCN9</v>
      </c>
      <c r="E245" s="212" t="str">
        <f t="shared" ca="1" si="266"/>
        <v>Industrial heating technology Iron &amp; Steel SH - Electric boiler (Hot Water) - new 9</v>
      </c>
      <c r="F245" s="262" t="s">
        <v>450</v>
      </c>
      <c r="G245" s="262" t="s">
        <v>449</v>
      </c>
      <c r="H245" s="263" t="s">
        <v>620</v>
      </c>
      <c r="I245" s="264"/>
      <c r="J245" s="264" t="s">
        <v>469</v>
      </c>
      <c r="P245" s="173"/>
    </row>
    <row r="246" spans="1:16">
      <c r="A246" s="169"/>
      <c r="B246" s="211"/>
      <c r="C246" s="211"/>
      <c r="D246" s="212" t="str">
        <f t="shared" ca="1" si="268"/>
        <v>INDSDPHWCHN1</v>
      </c>
      <c r="E246" s="212" t="str">
        <f t="shared" ca="1" si="266"/>
        <v>Industrial heating technology Iron &amp; Steel PH - Wood chip boiler (Steam) - new 1</v>
      </c>
      <c r="F246" s="262" t="s">
        <v>450</v>
      </c>
      <c r="G246" s="262" t="s">
        <v>449</v>
      </c>
      <c r="H246" s="263"/>
      <c r="I246" s="264"/>
      <c r="J246" s="264" t="s">
        <v>469</v>
      </c>
      <c r="P246" s="173"/>
    </row>
    <row r="247" spans="1:16">
      <c r="A247" s="169"/>
      <c r="B247" s="211"/>
      <c r="C247" s="211"/>
      <c r="D247" s="212" t="str">
        <f t="shared" ca="1" si="268"/>
        <v>INDSDPHWCHN1</v>
      </c>
      <c r="E247" s="212" t="str">
        <f t="shared" ca="1" si="266"/>
        <v>Industrial heating technology Iron &amp; Steel PH - Wood chip boiler (Steam) - new 1</v>
      </c>
      <c r="F247" s="262" t="s">
        <v>450</v>
      </c>
      <c r="G247" s="262" t="s">
        <v>449</v>
      </c>
      <c r="H247" s="263"/>
      <c r="I247" s="264"/>
      <c r="J247" s="264" t="s">
        <v>469</v>
      </c>
      <c r="M247" s="171"/>
      <c r="N247" s="171"/>
      <c r="P247" s="173"/>
    </row>
    <row r="248" spans="1:16">
      <c r="A248" s="169"/>
      <c r="B248" s="211"/>
      <c r="C248" s="211"/>
      <c r="D248" s="212" t="str">
        <f t="shared" ca="1" si="268"/>
        <v>INDSDSHWCHN1</v>
      </c>
      <c r="E248" s="212" t="str">
        <f t="shared" ca="1" si="266"/>
        <v>Industrial heating technology Iron &amp; Steel SH - Wood chip boiler (Steam) - new 1</v>
      </c>
      <c r="F248" s="262" t="s">
        <v>450</v>
      </c>
      <c r="G248" s="262" t="s">
        <v>449</v>
      </c>
      <c r="H248" s="263"/>
      <c r="I248" s="264"/>
      <c r="J248" s="264" t="s">
        <v>469</v>
      </c>
      <c r="M248" s="171"/>
      <c r="N248" s="171"/>
      <c r="P248" s="173"/>
    </row>
    <row r="249" spans="1:16">
      <c r="A249" s="169"/>
      <c r="B249" s="211"/>
      <c r="C249" s="211"/>
      <c r="D249" s="212" t="str">
        <f t="shared" ca="1" si="268"/>
        <v>INDSDPHWCHN2</v>
      </c>
      <c r="E249" s="212" t="str">
        <f t="shared" ca="1" si="266"/>
        <v>Industrial heating technology Iron &amp; Steel PH - Wood chip boiler (Steam - condensing) - new 2</v>
      </c>
      <c r="F249" s="262" t="s">
        <v>450</v>
      </c>
      <c r="G249" s="262" t="s">
        <v>449</v>
      </c>
      <c r="H249" s="263"/>
      <c r="I249" s="264"/>
      <c r="J249" s="264" t="s">
        <v>469</v>
      </c>
      <c r="M249" s="171"/>
      <c r="N249" s="171"/>
      <c r="P249" s="173"/>
    </row>
    <row r="250" spans="1:16">
      <c r="A250" s="169"/>
      <c r="B250" s="212"/>
      <c r="C250" s="212"/>
      <c r="D250" s="212" t="str">
        <f t="shared" ca="1" si="268"/>
        <v>INDSDSHWCHN2</v>
      </c>
      <c r="E250" s="212" t="str">
        <f t="shared" ca="1" si="266"/>
        <v>Industrial heating technology Iron &amp; Steel SH - Wood chip boiler (Steam - condensing) - new 2</v>
      </c>
      <c r="F250" s="262" t="s">
        <v>450</v>
      </c>
      <c r="G250" s="262" t="s">
        <v>449</v>
      </c>
      <c r="H250" s="263"/>
      <c r="I250" s="264"/>
      <c r="J250" s="264" t="s">
        <v>469</v>
      </c>
    </row>
    <row r="251" spans="1:16">
      <c r="A251" s="169"/>
      <c r="B251" s="212"/>
      <c r="C251" s="212"/>
      <c r="D251" s="212" t="str">
        <f t="shared" ca="1" si="268"/>
        <v>INDSDPHWCHN3</v>
      </c>
      <c r="E251" s="212" t="str">
        <f t="shared" ca="1" si="266"/>
        <v>Industrial heating technology Iron &amp; Steel PH - Wood chip boiler (Hot Water) - new 3</v>
      </c>
      <c r="F251" s="262" t="s">
        <v>450</v>
      </c>
      <c r="G251" s="262" t="s">
        <v>449</v>
      </c>
      <c r="H251" s="261"/>
      <c r="I251" s="261"/>
      <c r="J251" s="264" t="s">
        <v>469</v>
      </c>
    </row>
    <row r="252" spans="1:16">
      <c r="A252" s="169"/>
      <c r="B252" s="212"/>
      <c r="C252" s="212"/>
      <c r="D252" s="212" t="str">
        <f t="shared" ca="1" si="268"/>
        <v>INDSDSHWCHN3</v>
      </c>
      <c r="E252" s="212" t="str">
        <f t="shared" ca="1" si="266"/>
        <v>Industrial heating technology Iron &amp; Steel SH - Wood chip boiler (Hot Water) - new 3</v>
      </c>
      <c r="F252" s="262" t="s">
        <v>450</v>
      </c>
      <c r="G252" s="262" t="s">
        <v>449</v>
      </c>
      <c r="H252" s="261"/>
      <c r="I252" s="261"/>
      <c r="J252" s="264" t="s">
        <v>469</v>
      </c>
    </row>
    <row r="253" spans="1:16">
      <c r="A253" s="169"/>
      <c r="B253" s="212"/>
      <c r="C253" s="212"/>
      <c r="D253" s="212" t="str">
        <f t="shared" ca="1" si="268"/>
        <v>INDSDPHWCHN4</v>
      </c>
      <c r="E253" s="212" t="str">
        <f t="shared" ca="1" si="266"/>
        <v>Industrial heating technology Iron &amp; Steel PH - Wood chip boiler (Hot Water - condensing) - new 4</v>
      </c>
      <c r="F253" s="262" t="s">
        <v>450</v>
      </c>
      <c r="G253" s="262" t="s">
        <v>449</v>
      </c>
      <c r="H253" s="261"/>
      <c r="I253" s="261"/>
      <c r="J253" s="264" t="s">
        <v>469</v>
      </c>
    </row>
    <row r="254" spans="1:16">
      <c r="A254" s="169"/>
      <c r="B254" s="212"/>
      <c r="C254" s="212"/>
      <c r="D254" s="212" t="str">
        <f t="shared" ca="1" si="268"/>
        <v>INDSDSHWCHN4</v>
      </c>
      <c r="E254" s="212" t="str">
        <f t="shared" ca="1" si="266"/>
        <v>Industrial heating technology Iron &amp; Steel SH - Wood chip boiler (Hot Water- condensing) - new 4</v>
      </c>
      <c r="F254" s="262" t="s">
        <v>450</v>
      </c>
      <c r="G254" s="262" t="s">
        <v>449</v>
      </c>
      <c r="H254" s="261"/>
      <c r="I254" s="261"/>
      <c r="J254" s="264" t="s">
        <v>469</v>
      </c>
    </row>
    <row r="255" spans="1:16">
      <c r="B255" s="212"/>
      <c r="C255" s="212"/>
      <c r="D255" s="212" t="str">
        <f t="shared" ca="1" si="268"/>
        <v>INDSDPHELCN10</v>
      </c>
      <c r="E255" s="212" t="str">
        <f t="shared" ca="1" si="266"/>
        <v>Industrial heating technology Iron &amp; Steel PH - Direct electric heating - new 10</v>
      </c>
      <c r="F255" s="262" t="s">
        <v>450</v>
      </c>
      <c r="G255" s="262" t="s">
        <v>449</v>
      </c>
      <c r="H255" s="261"/>
      <c r="I255" s="261"/>
      <c r="J255" s="264" t="s">
        <v>469</v>
      </c>
    </row>
    <row r="256" spans="1:16">
      <c r="B256" s="212"/>
      <c r="C256" s="212"/>
      <c r="D256" s="212" t="str">
        <f t="shared" ca="1" si="268"/>
        <v>INDSDPHELCN10</v>
      </c>
      <c r="E256" s="212" t="str">
        <f t="shared" ca="1" si="266"/>
        <v>Industrial heating technology Iron &amp; Steel PH - Direct electric heating - new 10</v>
      </c>
      <c r="F256" s="262" t="s">
        <v>450</v>
      </c>
      <c r="G256" s="262" t="s">
        <v>449</v>
      </c>
      <c r="H256" s="261"/>
      <c r="I256" s="261"/>
      <c r="J256" s="264" t="s">
        <v>469</v>
      </c>
    </row>
    <row r="257" spans="1:10">
      <c r="B257" s="212"/>
      <c r="C257" s="212"/>
      <c r="D257" s="212" t="str">
        <f t="shared" ca="1" si="268"/>
        <v>INDSDPHDSLN1</v>
      </c>
      <c r="E257" s="212" t="str">
        <f t="shared" ca="1" si="266"/>
        <v>Industrial heating technology Iron &amp; Steel PH - Oil boiler (Steam) - new 1</v>
      </c>
      <c r="F257" s="262" t="s">
        <v>450</v>
      </c>
      <c r="G257" s="262" t="s">
        <v>449</v>
      </c>
      <c r="H257" s="261"/>
      <c r="I257" s="261"/>
      <c r="J257" s="264" t="s">
        <v>469</v>
      </c>
    </row>
    <row r="258" spans="1:10">
      <c r="B258" s="212"/>
      <c r="C258" s="212"/>
      <c r="D258" s="212" t="str">
        <f t="shared" ca="1" si="268"/>
        <v>INDSDPHDSLN1</v>
      </c>
      <c r="E258" s="212" t="str">
        <f t="shared" ca="1" si="266"/>
        <v>Industrial heating technology Iron &amp; Steel PH - Oil boiler (Steam) - new 1</v>
      </c>
      <c r="F258" s="262" t="s">
        <v>450</v>
      </c>
      <c r="G258" s="262" t="s">
        <v>449</v>
      </c>
      <c r="H258" s="261"/>
      <c r="I258" s="261"/>
      <c r="J258" s="264" t="s">
        <v>469</v>
      </c>
    </row>
    <row r="259" spans="1:10">
      <c r="B259" s="212"/>
      <c r="C259" s="212"/>
      <c r="D259" s="212" t="str">
        <f t="shared" ca="1" si="268"/>
        <v>INDSDSHDSLN1</v>
      </c>
      <c r="E259" s="212" t="str">
        <f t="shared" ca="1" si="266"/>
        <v>Industrial heating technology Iron &amp; Steel SH - Oil boiler (Steam) - new 1</v>
      </c>
      <c r="F259" s="262" t="s">
        <v>450</v>
      </c>
      <c r="G259" s="262" t="s">
        <v>449</v>
      </c>
      <c r="H259" s="261"/>
      <c r="I259" s="261"/>
      <c r="J259" s="264" t="s">
        <v>469</v>
      </c>
    </row>
    <row r="260" spans="1:10">
      <c r="A260" s="214"/>
      <c r="B260" s="212"/>
      <c r="C260" s="212"/>
      <c r="D260" s="212" t="str">
        <f t="shared" ca="1" si="268"/>
        <v>INDSDPHDSLN2</v>
      </c>
      <c r="E260" s="212" t="str">
        <f t="shared" ca="1" si="266"/>
        <v>Industrial heating technology Iron &amp; Steel PH - Oil boiler (Steam - condensing) - new 2</v>
      </c>
      <c r="F260" s="262" t="s">
        <v>450</v>
      </c>
      <c r="G260" s="262" t="s">
        <v>449</v>
      </c>
      <c r="H260" s="261"/>
      <c r="I260" s="261"/>
      <c r="J260" s="264" t="s">
        <v>469</v>
      </c>
    </row>
    <row r="261" spans="1:10">
      <c r="A261" s="214"/>
      <c r="B261" s="212"/>
      <c r="C261" s="212"/>
      <c r="D261" s="212" t="str">
        <f t="shared" ca="1" si="268"/>
        <v>INDSDSHDSLN2</v>
      </c>
      <c r="E261" s="212" t="str">
        <f t="shared" ref="E261:E290" ca="1" si="269">VLOOKUP(D261,$D$9:$E$222,2,FALSE)</f>
        <v>Industrial heating technology Iron &amp; Steel SH - Oil boiler (Steam - condensing) - new 2</v>
      </c>
      <c r="F261" s="262" t="s">
        <v>450</v>
      </c>
      <c r="G261" s="262" t="s">
        <v>449</v>
      </c>
      <c r="H261" s="261"/>
      <c r="I261" s="261"/>
      <c r="J261" s="264" t="s">
        <v>469</v>
      </c>
    </row>
    <row r="262" spans="1:10">
      <c r="A262" s="214"/>
      <c r="B262" s="212"/>
      <c r="C262" s="212"/>
      <c r="D262" s="212" t="str">
        <f t="shared" ca="1" si="268"/>
        <v>INDSDPHGASN1</v>
      </c>
      <c r="E262" s="212" t="str">
        <f t="shared" ca="1" si="269"/>
        <v>Industrial heating technology Iron &amp; Steel PH - Gas boiler (Steam) - new 1</v>
      </c>
      <c r="F262" s="262" t="s">
        <v>450</v>
      </c>
      <c r="G262" s="262" t="s">
        <v>449</v>
      </c>
      <c r="H262" s="261"/>
      <c r="I262" s="261"/>
      <c r="J262" s="264" t="s">
        <v>469</v>
      </c>
    </row>
    <row r="263" spans="1:10">
      <c r="A263" s="214"/>
      <c r="B263" s="212"/>
      <c r="C263" s="212"/>
      <c r="D263" s="212" t="str">
        <f t="shared" ca="1" si="268"/>
        <v>INDSDPHGASN1</v>
      </c>
      <c r="E263" s="212" t="str">
        <f t="shared" ca="1" si="269"/>
        <v>Industrial heating technology Iron &amp; Steel PH - Gas boiler (Steam) - new 1</v>
      </c>
      <c r="F263" s="262" t="s">
        <v>450</v>
      </c>
      <c r="G263" s="262" t="s">
        <v>449</v>
      </c>
      <c r="H263" s="261"/>
      <c r="I263" s="261"/>
      <c r="J263" s="264" t="s">
        <v>469</v>
      </c>
    </row>
    <row r="264" spans="1:10">
      <c r="B264" s="212"/>
      <c r="C264" s="212"/>
      <c r="D264" s="212" t="str">
        <f t="shared" ca="1" si="268"/>
        <v>INDSDSHGASN1</v>
      </c>
      <c r="E264" s="212" t="str">
        <f t="shared" ca="1" si="269"/>
        <v>Industrial heating technology Iron &amp; Steel SH - Gas boiler (Steam) - new 1</v>
      </c>
      <c r="F264" s="262" t="s">
        <v>450</v>
      </c>
      <c r="G264" s="262" t="s">
        <v>449</v>
      </c>
      <c r="H264" s="261"/>
      <c r="I264" s="261"/>
      <c r="J264" s="264" t="s">
        <v>469</v>
      </c>
    </row>
    <row r="265" spans="1:10">
      <c r="B265" s="212"/>
      <c r="C265" s="212"/>
      <c r="D265" s="212" t="str">
        <f t="shared" ca="1" si="268"/>
        <v>INDSDPHGASN2</v>
      </c>
      <c r="E265" s="212" t="str">
        <f t="shared" ca="1" si="269"/>
        <v>Industrial heating technology Iron &amp; Steel PH - Gas boiler (Steam - condensing) - new 2</v>
      </c>
      <c r="F265" s="262" t="s">
        <v>450</v>
      </c>
      <c r="G265" s="262" t="s">
        <v>449</v>
      </c>
      <c r="H265" s="261"/>
      <c r="I265" s="261"/>
      <c r="J265" s="264" t="s">
        <v>469</v>
      </c>
    </row>
    <row r="266" spans="1:10">
      <c r="B266" s="212"/>
      <c r="C266" s="212"/>
      <c r="D266" s="212" t="str">
        <f t="shared" ca="1" si="268"/>
        <v>INDSDSHGASN2</v>
      </c>
      <c r="E266" s="212" t="str">
        <f t="shared" ca="1" si="269"/>
        <v>Industrial heating technology Iron &amp; Steel SH - Gas boiler (Steam - condensing) - new 2</v>
      </c>
      <c r="F266" s="262" t="s">
        <v>450</v>
      </c>
      <c r="G266" s="262" t="s">
        <v>449</v>
      </c>
      <c r="H266" s="261"/>
      <c r="I266" s="261"/>
      <c r="J266" s="264" t="s">
        <v>469</v>
      </c>
    </row>
    <row r="267" spans="1:10">
      <c r="B267" s="212"/>
      <c r="C267" s="212"/>
      <c r="D267" s="212" t="str">
        <f t="shared" ca="1" si="268"/>
        <v>INDSDPHGASN3</v>
      </c>
      <c r="E267" s="212" t="str">
        <f t="shared" ca="1" si="269"/>
        <v>Industrial heating technology Iron &amp; Steel PH - Gas boiler (Hot Water) - new 3</v>
      </c>
      <c r="F267" s="262" t="s">
        <v>450</v>
      </c>
      <c r="G267" s="262" t="s">
        <v>449</v>
      </c>
      <c r="H267" s="261"/>
      <c r="I267" s="261"/>
      <c r="J267" s="264" t="s">
        <v>469</v>
      </c>
    </row>
    <row r="268" spans="1:10">
      <c r="B268" s="212"/>
      <c r="C268" s="212"/>
      <c r="D268" s="212" t="str">
        <f t="shared" ca="1" si="268"/>
        <v>INDSDSHGASN3</v>
      </c>
      <c r="E268" s="212" t="str">
        <f t="shared" ca="1" si="269"/>
        <v>Industrial heating technology Iron &amp; Steel SH - Gas boiler (Hot Water) - new 3</v>
      </c>
      <c r="F268" s="262" t="s">
        <v>450</v>
      </c>
      <c r="G268" s="262" t="s">
        <v>449</v>
      </c>
      <c r="H268" s="261"/>
      <c r="I268" s="261"/>
      <c r="J268" s="264" t="s">
        <v>469</v>
      </c>
    </row>
    <row r="269" spans="1:10">
      <c r="B269" s="212"/>
      <c r="C269" s="212"/>
      <c r="D269" s="212" t="str">
        <f t="shared" ca="1" si="268"/>
        <v>INDSDPHGASN4</v>
      </c>
      <c r="E269" s="212" t="str">
        <f t="shared" ca="1" si="269"/>
        <v>Industrial heating technology Iron &amp; Steel PH - Gas boiler (Hot Water - condensing) - new 4</v>
      </c>
      <c r="F269" s="262" t="s">
        <v>450</v>
      </c>
      <c r="G269" s="262" t="s">
        <v>449</v>
      </c>
      <c r="H269" s="261"/>
      <c r="I269" s="261"/>
      <c r="J269" s="264" t="s">
        <v>469</v>
      </c>
    </row>
    <row r="270" spans="1:10">
      <c r="B270" s="212"/>
      <c r="C270" s="212"/>
      <c r="D270" s="212" t="str">
        <f t="shared" ca="1" si="268"/>
        <v>INDSDSHGASN4</v>
      </c>
      <c r="E270" s="212" t="str">
        <f t="shared" ca="1" si="269"/>
        <v>Industrial heating technology Iron &amp; Steel SH - Gas boiler (Hot Water- condensing) - new 4</v>
      </c>
      <c r="F270" s="262" t="s">
        <v>450</v>
      </c>
      <c r="G270" s="262" t="s">
        <v>449</v>
      </c>
      <c r="H270" s="261"/>
      <c r="I270" s="261"/>
      <c r="J270" s="264" t="s">
        <v>469</v>
      </c>
    </row>
    <row r="271" spans="1:10">
      <c r="B271" s="212"/>
      <c r="C271" s="212"/>
      <c r="D271" s="212" t="str">
        <f t="shared" ca="1" si="268"/>
        <v>INDSDPHGASN5</v>
      </c>
      <c r="E271" s="212" t="str">
        <f t="shared" ca="1" si="269"/>
        <v>Industrial heating technology Iron &amp; Steel PH - Gas boiler (Direct firing) - new 5</v>
      </c>
      <c r="F271" s="262" t="s">
        <v>450</v>
      </c>
      <c r="G271" s="262" t="s">
        <v>449</v>
      </c>
      <c r="H271" s="261"/>
      <c r="I271" s="261"/>
      <c r="J271" s="264" t="s">
        <v>469</v>
      </c>
    </row>
    <row r="272" spans="1:10">
      <c r="B272" s="212"/>
      <c r="C272" s="212"/>
      <c r="D272" s="212" t="str">
        <f t="shared" ca="1" si="268"/>
        <v>INDSDPHGASN5</v>
      </c>
      <c r="E272" s="212" t="str">
        <f t="shared" ca="1" si="269"/>
        <v>Industrial heating technology Iron &amp; Steel PH - Gas boiler (Direct firing) - new 5</v>
      </c>
      <c r="F272" s="262" t="s">
        <v>450</v>
      </c>
      <c r="G272" s="262" t="s">
        <v>449</v>
      </c>
      <c r="H272" s="261"/>
      <c r="I272" s="261"/>
      <c r="J272" s="264" t="s">
        <v>469</v>
      </c>
    </row>
    <row r="273" spans="2:10">
      <c r="B273" s="212"/>
      <c r="C273" s="212"/>
      <c r="D273" s="212" t="str">
        <f t="shared" ca="1" si="268"/>
        <v>INDSDPHCOAN1</v>
      </c>
      <c r="E273" s="212" t="str">
        <f t="shared" ca="1" si="269"/>
        <v>Industrial heating technology Iron &amp; Steel PH - Coal boiler (Steam) - new 1</v>
      </c>
      <c r="F273" s="262" t="s">
        <v>450</v>
      </c>
      <c r="G273" s="262" t="s">
        <v>449</v>
      </c>
      <c r="H273" s="261"/>
      <c r="I273" s="261"/>
      <c r="J273" s="264" t="s">
        <v>469</v>
      </c>
    </row>
    <row r="274" spans="2:10">
      <c r="B274" s="212"/>
      <c r="C274" s="212"/>
      <c r="D274" s="212" t="str">
        <f t="shared" ca="1" si="268"/>
        <v>INDSDPHCOAN1</v>
      </c>
      <c r="E274" s="212" t="str">
        <f t="shared" ca="1" si="269"/>
        <v>Industrial heating technology Iron &amp; Steel PH - Coal boiler (Steam) - new 1</v>
      </c>
      <c r="F274" s="262" t="s">
        <v>450</v>
      </c>
      <c r="G274" s="262" t="s">
        <v>449</v>
      </c>
      <c r="H274" s="261"/>
      <c r="I274" s="261"/>
      <c r="J274" s="264" t="s">
        <v>469</v>
      </c>
    </row>
    <row r="275" spans="2:10">
      <c r="B275" s="212"/>
      <c r="C275" s="212"/>
      <c r="D275" s="212" t="str">
        <f t="shared" ca="1" si="268"/>
        <v>INDSDSHCOAN1</v>
      </c>
      <c r="E275" s="212" t="str">
        <f t="shared" ca="1" si="269"/>
        <v>Industrial heating technology Iron &amp; Steel SH - Coal boiler (Steam) - new 1</v>
      </c>
      <c r="F275" s="262" t="s">
        <v>450</v>
      </c>
      <c r="G275" s="262" t="s">
        <v>449</v>
      </c>
      <c r="H275" s="261"/>
      <c r="I275" s="261"/>
      <c r="J275" s="264" t="s">
        <v>469</v>
      </c>
    </row>
    <row r="276" spans="2:10">
      <c r="B276" s="212"/>
      <c r="C276" s="212"/>
      <c r="D276" s="212" t="str">
        <f t="shared" ca="1" si="268"/>
        <v>INDSDPHCOAN2</v>
      </c>
      <c r="E276" s="212" t="str">
        <f t="shared" ca="1" si="269"/>
        <v>Industrial heating technology Iron &amp; Steel PH - Coal boiler (Hot Water) - new 2</v>
      </c>
      <c r="F276" s="262" t="s">
        <v>450</v>
      </c>
      <c r="G276" s="262" t="s">
        <v>449</v>
      </c>
      <c r="H276" s="261"/>
      <c r="I276" s="261"/>
      <c r="J276" s="264" t="s">
        <v>469</v>
      </c>
    </row>
    <row r="277" spans="2:10">
      <c r="B277" s="212"/>
      <c r="C277" s="212"/>
      <c r="D277" s="212" t="str">
        <f t="shared" ca="1" si="268"/>
        <v>INDSDSHCOAN2</v>
      </c>
      <c r="E277" s="212" t="str">
        <f t="shared" ca="1" si="269"/>
        <v>Industrial heating technology Iron &amp; Steel SH - Coal boiler (Hot Water) - new 2</v>
      </c>
      <c r="F277" s="262" t="s">
        <v>450</v>
      </c>
      <c r="G277" s="262" t="s">
        <v>449</v>
      </c>
      <c r="H277" s="261"/>
      <c r="I277" s="261"/>
      <c r="J277" s="264" t="s">
        <v>469</v>
      </c>
    </row>
    <row r="278" spans="2:10">
      <c r="B278" s="212"/>
      <c r="C278" s="212"/>
      <c r="D278" s="212" t="str">
        <f t="shared" ca="1" si="268"/>
        <v>INDSDSHSOLN1</v>
      </c>
      <c r="E278" s="212" t="str">
        <f t="shared" ca="1" si="269"/>
        <v>Industrial heating technology Iron &amp; Steel SH - Solar - new 1</v>
      </c>
      <c r="F278" s="262" t="s">
        <v>450</v>
      </c>
      <c r="G278" s="262" t="s">
        <v>449</v>
      </c>
      <c r="H278" s="263" t="s">
        <v>620</v>
      </c>
      <c r="I278" s="261"/>
      <c r="J278" s="264" t="s">
        <v>469</v>
      </c>
    </row>
    <row r="279" spans="2:10">
      <c r="B279" s="212"/>
      <c r="C279" s="212"/>
      <c r="D279" s="889" t="str">
        <f>D187</f>
        <v>INDSDSHHCEN1</v>
      </c>
      <c r="E279" s="889" t="str">
        <f t="shared" si="269"/>
        <v>Industrial heating technology Iron &amp; Steel SH - central district heating - within DH area - new 1</v>
      </c>
      <c r="F279" s="262" t="s">
        <v>450</v>
      </c>
      <c r="G279" s="262" t="s">
        <v>449</v>
      </c>
      <c r="H279" s="890"/>
      <c r="I279" s="890"/>
      <c r="J279" s="263" t="s">
        <v>469</v>
      </c>
    </row>
    <row r="280" spans="2:10">
      <c r="B280" s="212"/>
      <c r="C280" s="212"/>
      <c r="D280" s="889" t="str">
        <f>D188</f>
        <v>INDSDPHHCEN1</v>
      </c>
      <c r="E280" s="889" t="str">
        <f t="shared" si="269"/>
        <v>Industrial heating technology Iron &amp; Steel PH - central district heating - within DH area - new 1</v>
      </c>
      <c r="F280" s="262" t="s">
        <v>450</v>
      </c>
      <c r="G280" s="262" t="s">
        <v>449</v>
      </c>
      <c r="H280" s="890"/>
      <c r="I280" s="890"/>
      <c r="J280" s="263" t="s">
        <v>469</v>
      </c>
    </row>
    <row r="281" spans="2:10">
      <c r="B281" s="212"/>
      <c r="C281" s="212"/>
      <c r="D281" s="889" t="str">
        <f>D189</f>
        <v>INDSDSHHSEN1</v>
      </c>
      <c r="E281" s="889" t="str">
        <f t="shared" si="269"/>
        <v>Industrial heating technology Iron &amp; Steel SH - central district heating - within DH area - new 1</v>
      </c>
      <c r="F281" s="262" t="s">
        <v>450</v>
      </c>
      <c r="G281" s="262" t="s">
        <v>449</v>
      </c>
      <c r="H281" s="890"/>
      <c r="I281" s="890"/>
      <c r="J281" s="263" t="s">
        <v>469</v>
      </c>
    </row>
    <row r="282" spans="2:10">
      <c r="B282" s="212"/>
      <c r="C282" s="212"/>
      <c r="D282" s="889" t="str">
        <f>D190</f>
        <v>INDSDPHHSEN1</v>
      </c>
      <c r="E282" s="889" t="str">
        <f t="shared" si="269"/>
        <v>Industrial heating technology Iron &amp; Steel PH - central district heating - within DH area - new 1</v>
      </c>
      <c r="F282" s="262" t="s">
        <v>450</v>
      </c>
      <c r="G282" s="262" t="s">
        <v>449</v>
      </c>
      <c r="H282" s="890"/>
      <c r="I282" s="890"/>
      <c r="J282" s="263" t="s">
        <v>469</v>
      </c>
    </row>
    <row r="283" spans="2:10">
      <c r="B283" s="212"/>
      <c r="C283" s="212"/>
      <c r="D283" s="212" t="str">
        <f t="shared" ref="D283" si="270">D191</f>
        <v>INDSDSHHDEN1</v>
      </c>
      <c r="E283" s="212" t="str">
        <f t="shared" si="269"/>
        <v>Industrial heating technology Iron &amp; Steel SH - decentral district heating - within DH area - new 1</v>
      </c>
      <c r="F283" s="262" t="s">
        <v>450</v>
      </c>
      <c r="G283" s="262" t="s">
        <v>449</v>
      </c>
      <c r="H283" s="261"/>
      <c r="I283" s="261"/>
      <c r="J283" s="264" t="s">
        <v>469</v>
      </c>
    </row>
    <row r="284" spans="2:10">
      <c r="B284" s="212"/>
      <c r="C284" s="212"/>
      <c r="D284" s="212" t="str">
        <f>D192</f>
        <v>INDSDPHHDEN1</v>
      </c>
      <c r="E284" s="212" t="str">
        <f t="shared" si="269"/>
        <v>Industrial heating technology Iron &amp; Steel PH - decentral district heating - within DH area - new 1</v>
      </c>
      <c r="F284" s="262" t="s">
        <v>450</v>
      </c>
      <c r="G284" s="262" t="s">
        <v>449</v>
      </c>
      <c r="H284" s="261"/>
      <c r="I284" s="261"/>
      <c r="J284" s="264" t="s">
        <v>469</v>
      </c>
    </row>
    <row r="285" spans="2:10">
      <c r="B285" s="212"/>
      <c r="C285" s="212"/>
      <c r="D285" s="212" t="str">
        <f>D194</f>
        <v>INDSDLAELCN1</v>
      </c>
      <c r="E285" s="212" t="str">
        <f t="shared" si="269"/>
        <v>Industry Iron &amp; Steel LA Electricity Light Appliance - New 1</v>
      </c>
      <c r="F285" s="262" t="s">
        <v>450</v>
      </c>
      <c r="G285" s="262" t="s">
        <v>449</v>
      </c>
      <c r="H285" s="261"/>
      <c r="I285" s="261"/>
      <c r="J285" s="264" t="s">
        <v>469</v>
      </c>
    </row>
    <row r="286" spans="2:10">
      <c r="B286" s="212"/>
      <c r="C286" s="212"/>
      <c r="D286" s="212" t="str">
        <f>D198</f>
        <v>INDSDEMELCN1</v>
      </c>
      <c r="E286" s="212" t="str">
        <f t="shared" si="269"/>
        <v>Industry Iron &amp; Steel EM Electricity Motors - New 1</v>
      </c>
      <c r="F286" s="262" t="s">
        <v>450</v>
      </c>
      <c r="G286" s="262" t="s">
        <v>449</v>
      </c>
      <c r="H286" s="261"/>
      <c r="I286" s="261"/>
      <c r="J286" s="264" t="s">
        <v>469</v>
      </c>
    </row>
    <row r="287" spans="2:10">
      <c r="B287" s="212"/>
      <c r="C287" s="212"/>
      <c r="D287" s="212" t="str">
        <f>D202</f>
        <v>INDSDTFDSLN1</v>
      </c>
      <c r="E287" s="212" t="str">
        <f t="shared" si="269"/>
        <v>Industry Iron &amp; Steel TF Tractors, Trucks, Fishing boats - New 1</v>
      </c>
      <c r="F287" s="262" t="s">
        <v>450</v>
      </c>
      <c r="G287" s="262" t="s">
        <v>2078</v>
      </c>
      <c r="H287" s="261"/>
      <c r="I287" s="261"/>
      <c r="J287" s="264" t="s">
        <v>469</v>
      </c>
    </row>
    <row r="288" spans="2:10">
      <c r="B288" s="212"/>
      <c r="C288" s="212"/>
      <c r="D288" s="212" t="str">
        <f>D206</f>
        <v>INDSDTFH2GN2</v>
      </c>
      <c r="E288" s="212" t="str">
        <f t="shared" si="269"/>
        <v>Industry Iron &amp; Steel TF Tractors, Trucks, Fishing boats - New 2</v>
      </c>
      <c r="F288" s="262" t="s">
        <v>450</v>
      </c>
      <c r="G288" s="262" t="s">
        <v>2078</v>
      </c>
      <c r="H288" s="261"/>
      <c r="I288" s="261"/>
      <c r="J288" s="264" t="s">
        <v>469</v>
      </c>
    </row>
    <row r="289" spans="2:10">
      <c r="B289" s="212"/>
      <c r="C289" s="212"/>
      <c r="D289" s="212" t="str">
        <f>D210</f>
        <v>INDSDTFELCN3</v>
      </c>
      <c r="E289" s="212" t="str">
        <f t="shared" si="269"/>
        <v>Industry Iron &amp; Steel TF Tractors, Trucks, Fishing boats - New 3</v>
      </c>
      <c r="F289" s="262" t="s">
        <v>450</v>
      </c>
      <c r="G289" s="262" t="s">
        <v>2078</v>
      </c>
      <c r="H289" s="261"/>
      <c r="I289" s="261"/>
      <c r="J289" s="264" t="s">
        <v>469</v>
      </c>
    </row>
    <row r="290" spans="2:10">
      <c r="B290" s="212"/>
      <c r="C290" s="212"/>
      <c r="D290" s="212" t="str">
        <f>D214</f>
        <v>INDSDFLELCN1</v>
      </c>
      <c r="E290" s="212" t="str">
        <f t="shared" si="269"/>
        <v>Industry Iron &amp; Steel TF Forklifts - New 1</v>
      </c>
      <c r="F290" s="262" t="s">
        <v>450</v>
      </c>
      <c r="G290" s="262" t="s">
        <v>449</v>
      </c>
      <c r="H290" s="261"/>
      <c r="I290" s="261"/>
      <c r="J290" s="264" t="s">
        <v>469</v>
      </c>
    </row>
    <row r="291" spans="2:10">
      <c r="B291" s="212"/>
      <c r="C291" s="212"/>
      <c r="D291" s="212" t="str">
        <f>D218</f>
        <v>INDSDCOELCN1</v>
      </c>
      <c r="E291" s="212" t="str">
        <f>E218</f>
        <v>Industry Iron &amp; Steel CO Cooling - New 1</v>
      </c>
      <c r="F291" s="262" t="s">
        <v>450</v>
      </c>
      <c r="G291" s="262" t="s">
        <v>449</v>
      </c>
      <c r="H291" s="261" t="s">
        <v>620</v>
      </c>
      <c r="I291" s="261"/>
      <c r="J291" s="264"/>
    </row>
    <row r="292" spans="2:10">
      <c r="D292" s="212"/>
      <c r="E292" s="212"/>
    </row>
    <row r="293" spans="2:10">
      <c r="B293" s="213" t="s">
        <v>448</v>
      </c>
      <c r="C293" s="213"/>
      <c r="D293" s="214"/>
      <c r="E293" s="214"/>
      <c r="F293" s="214"/>
      <c r="G293" s="214"/>
      <c r="H293" s="214"/>
      <c r="I293" s="214"/>
      <c r="J293" s="214"/>
    </row>
    <row r="294" spans="2:10">
      <c r="B294" s="209" t="s">
        <v>447</v>
      </c>
      <c r="C294" s="209" t="s">
        <v>446</v>
      </c>
      <c r="D294" s="209" t="s">
        <v>445</v>
      </c>
      <c r="E294" s="209" t="s">
        <v>444</v>
      </c>
      <c r="F294" s="209" t="s">
        <v>435</v>
      </c>
      <c r="G294" s="209" t="s">
        <v>443</v>
      </c>
      <c r="H294" s="209" t="s">
        <v>442</v>
      </c>
      <c r="I294" s="209" t="s">
        <v>441</v>
      </c>
      <c r="J294" s="209" t="s">
        <v>440</v>
      </c>
    </row>
    <row r="295" spans="2:10" ht="25" thickBot="1">
      <c r="B295" s="215" t="s">
        <v>439</v>
      </c>
      <c r="C295" s="216" t="s">
        <v>438</v>
      </c>
      <c r="D295" s="216" t="s">
        <v>437</v>
      </c>
      <c r="E295" s="216" t="s">
        <v>436</v>
      </c>
      <c r="F295" s="216" t="s">
        <v>435</v>
      </c>
      <c r="G295" s="216" t="s">
        <v>434</v>
      </c>
      <c r="H295" s="216" t="s">
        <v>433</v>
      </c>
      <c r="I295" s="216" t="s">
        <v>432</v>
      </c>
      <c r="J295" s="216" t="s">
        <v>431</v>
      </c>
    </row>
    <row r="296" spans="2:10">
      <c r="B296" s="217" t="s">
        <v>430</v>
      </c>
      <c r="C296" s="218"/>
      <c r="D296" s="260" t="str">
        <f>"I"&amp;LEFT($AJ$12,1)&amp;"DSOx"</f>
        <v>IIDSOx</v>
      </c>
      <c r="E296" s="270" t="str">
        <f>"Industrial heating  heating technology "&amp;$AJ$12&amp;" - SOx emission"</f>
        <v>Industrial heating  heating technology Iron &amp; Steel - SOx emission</v>
      </c>
      <c r="F296" s="219" t="s">
        <v>352</v>
      </c>
      <c r="G296" s="211"/>
      <c r="H296" s="211"/>
      <c r="I296" s="211"/>
      <c r="J296" s="211"/>
    </row>
    <row r="297" spans="2:10">
      <c r="B297" s="214"/>
      <c r="C297" s="214"/>
      <c r="D297" s="260" t="str">
        <f>"I"&amp;LEFT($AJ$12,1)&amp;"DNOx"</f>
        <v>IIDNOx</v>
      </c>
      <c r="E297" s="270" t="str">
        <f>"Industrial heating  heating technology "&amp;$AJ$12&amp;" - NOx emission"</f>
        <v>Industrial heating  heating technology Iron &amp; Steel - NOx emission</v>
      </c>
      <c r="F297" s="219" t="s">
        <v>352</v>
      </c>
      <c r="G297" s="211"/>
      <c r="H297" s="214"/>
      <c r="I297" s="214"/>
      <c r="J297" s="214"/>
    </row>
    <row r="298" spans="2:10">
      <c r="B298" s="214"/>
      <c r="C298" s="214"/>
      <c r="D298" s="260" t="str">
        <f>"I"&amp;LEFT($AJ$12,1)&amp;"DCH4"</f>
        <v>IIDCH4</v>
      </c>
      <c r="E298" s="270" t="str">
        <f>"Industrial heating  heating technology "&amp;$AJ$12&amp;" - CH4 emission"</f>
        <v>Industrial heating  heating technology Iron &amp; Steel - CH4 emission</v>
      </c>
      <c r="F298" s="219" t="s">
        <v>352</v>
      </c>
      <c r="G298" s="211"/>
      <c r="H298" s="214"/>
      <c r="I298" s="214"/>
      <c r="J298" s="214"/>
    </row>
    <row r="299" spans="2:10">
      <c r="B299" s="214"/>
      <c r="C299" s="214"/>
      <c r="D299" s="260" t="str">
        <f>"I"&amp;LEFT($AJ$12,1)&amp;"DNO2"</f>
        <v>IIDNO2</v>
      </c>
      <c r="E299" s="270" t="str">
        <f>"Industrial heating  heating technology "&amp;$AJ$12&amp;" - NO2 emission"</f>
        <v>Industrial heating  heating technology Iron &amp; Steel - NO2 emission</v>
      </c>
      <c r="F299" s="219" t="s">
        <v>352</v>
      </c>
      <c r="G299" s="211"/>
      <c r="H299" s="214"/>
      <c r="I299" s="214"/>
      <c r="J299" s="214"/>
    </row>
    <row r="300" spans="2:10">
      <c r="B300" s="214"/>
      <c r="C300" s="214"/>
      <c r="D300" s="260" t="str">
        <f>"I"&amp;LEFT($AJ$12,1)&amp;"DPM"</f>
        <v>IIDPM</v>
      </c>
      <c r="E300" s="270" t="str">
        <f>"Industrial heating  heating technology "&amp;$AJ$12&amp;" - Particle emission"</f>
        <v>Industrial heating  heating technology Iron &amp; Steel - Particle emission</v>
      </c>
      <c r="F300" s="219" t="s">
        <v>352</v>
      </c>
      <c r="G300" s="211"/>
      <c r="H300" s="214"/>
      <c r="I300" s="214"/>
      <c r="J300" s="214"/>
    </row>
    <row r="301" spans="2:10">
      <c r="B301" s="224" t="s">
        <v>1057</v>
      </c>
      <c r="D301" s="224" t="str">
        <f>AI20</f>
        <v>INDSWH</v>
      </c>
      <c r="E301" s="270" t="str">
        <f>"Industrial heating technology "&amp;$AJ$12&amp;" - Waste heat"</f>
        <v>Industrial heating technology Iron &amp; Steel - Waste heat</v>
      </c>
      <c r="F301" s="263" t="s">
        <v>450</v>
      </c>
    </row>
  </sheetData>
  <pageMargins left="0.7" right="0.7" top="0.75" bottom="0.75" header="0.3" footer="0.3"/>
  <pageSetup paperSize="9" orientation="portrait"/>
  <legacyDrawing r:id="rId1"/>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19DED474-AF48-46DE-A1FD-C4243301A633}">
          <x14:formula1>
            <xm:f>'Oil-fired boiler_NEW'!$T$4:$X$4</xm:f>
          </x14:formula1>
          <xm:sqref>E1</xm:sqref>
        </x14:dataValidation>
      </x14:dataValidation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C6F27B-FF11-492F-89CD-16B6B0FA1056}">
  <sheetPr>
    <tabColor rgb="FF00B050"/>
  </sheetPr>
  <dimension ref="A1:AP301"/>
  <sheetViews>
    <sheetView tabSelected="1" topLeftCell="A185" zoomScale="70" zoomScaleNormal="70" workbookViewId="0">
      <selection activeCell="G215" sqref="G215"/>
    </sheetView>
  </sheetViews>
  <sheetFormatPr baseColWidth="10" defaultColWidth="9.1640625" defaultRowHeight="15"/>
  <cols>
    <col min="1" max="1" width="9.1640625" style="224"/>
    <col min="2" max="2" width="31.5" style="224" customWidth="1"/>
    <col min="3" max="3" width="11.5" style="224" bestFit="1" customWidth="1"/>
    <col min="4" max="4" width="19.83203125" style="224" customWidth="1"/>
    <col min="5" max="5" width="98.5" style="224" bestFit="1" customWidth="1"/>
    <col min="6" max="6" width="10.5" style="224" bestFit="1" customWidth="1"/>
    <col min="7" max="7" width="55.83203125" style="224" bestFit="1" customWidth="1"/>
    <col min="8" max="8" width="27.83203125" style="224" bestFit="1" customWidth="1"/>
    <col min="9" max="9" width="27.83203125" style="224" customWidth="1"/>
    <col min="10" max="10" width="10.1640625" style="224" bestFit="1" customWidth="1"/>
    <col min="11" max="11" width="8.5" style="224" bestFit="1" customWidth="1"/>
    <col min="12" max="12" width="6.5" style="224" bestFit="1" customWidth="1"/>
    <col min="13" max="13" width="6.5" style="224" customWidth="1"/>
    <col min="14" max="15" width="12.83203125" style="224" bestFit="1" customWidth="1"/>
    <col min="16" max="16" width="12.5" style="224" bestFit="1" customWidth="1"/>
    <col min="17" max="17" width="6.1640625" style="224" customWidth="1"/>
    <col min="18" max="18" width="8.1640625" style="224" bestFit="1" customWidth="1"/>
    <col min="19" max="19" width="11.83203125" style="224" bestFit="1" customWidth="1"/>
    <col min="20" max="20" width="11.5" style="224" bestFit="1" customWidth="1"/>
    <col min="21" max="21" width="18.1640625" style="224" bestFit="1" customWidth="1"/>
    <col min="22" max="22" width="11.83203125" style="224" customWidth="1"/>
    <col min="23" max="23" width="7.83203125" style="224" bestFit="1" customWidth="1"/>
    <col min="24" max="24" width="8.5" style="224" bestFit="1" customWidth="1"/>
    <col min="25" max="25" width="6.5" style="224" bestFit="1" customWidth="1"/>
    <col min="26" max="26" width="6.5" style="224" customWidth="1"/>
    <col min="27" max="27" width="8" style="224" customWidth="1"/>
    <col min="28" max="38" width="9.1640625" style="224"/>
    <col min="39" max="39" width="64.1640625" style="224" bestFit="1" customWidth="1"/>
    <col min="40" max="16384" width="9.1640625" style="224"/>
  </cols>
  <sheetData>
    <row r="1" spans="2:42" ht="14.5" customHeight="1">
      <c r="D1" s="728" t="s">
        <v>1016</v>
      </c>
      <c r="E1" s="729" t="s">
        <v>719</v>
      </c>
      <c r="N1" s="64"/>
      <c r="O1" s="64"/>
      <c r="P1" s="64"/>
      <c r="S1" s="727" t="s">
        <v>1004</v>
      </c>
      <c r="T1" s="776" t="s">
        <v>1003</v>
      </c>
      <c r="U1" s="775" t="s">
        <v>1053</v>
      </c>
      <c r="V1" s="776" t="s">
        <v>1054</v>
      </c>
      <c r="W1" s="780">
        <v>0.3</v>
      </c>
    </row>
    <row r="2" spans="2:42" ht="16" thickBot="1">
      <c r="E2" s="730" t="s">
        <v>690</v>
      </c>
      <c r="N2" s="731"/>
      <c r="O2" s="731"/>
      <c r="P2" s="731"/>
      <c r="S2" s="726">
        <f>MATCH($E$1,$AJ$22:$AJ$35)</f>
        <v>13</v>
      </c>
      <c r="T2" s="778">
        <f>MATCH($E$1,$AJ$22:$AJ$35)+1</f>
        <v>14</v>
      </c>
      <c r="U2" s="779"/>
      <c r="V2" s="768" t="s">
        <v>1055</v>
      </c>
      <c r="W2" s="781">
        <v>0.2</v>
      </c>
    </row>
    <row r="3" spans="2:42" ht="16" thickBot="1">
      <c r="E3" s="224" t="s">
        <v>2124</v>
      </c>
      <c r="N3" s="731"/>
      <c r="O3" s="731"/>
      <c r="P3" s="731"/>
      <c r="S3" s="768"/>
      <c r="T3" s="768"/>
      <c r="U3" s="777"/>
      <c r="V3" s="778" t="s">
        <v>1056</v>
      </c>
      <c r="W3" s="782">
        <v>0</v>
      </c>
    </row>
    <row r="4" spans="2:42">
      <c r="N4" s="731"/>
      <c r="O4" s="731"/>
      <c r="P4" s="731"/>
      <c r="S4" s="768"/>
      <c r="T4" s="768"/>
      <c r="U4" s="768"/>
      <c r="V4" s="768"/>
    </row>
    <row r="5" spans="2:42">
      <c r="J5" s="172" t="s">
        <v>468</v>
      </c>
      <c r="N5" s="731"/>
      <c r="O5" s="731"/>
      <c r="P5" s="731"/>
      <c r="S5" s="768"/>
      <c r="T5" s="768"/>
      <c r="U5" s="768"/>
      <c r="V5" s="768"/>
    </row>
    <row r="6" spans="2:42" ht="26.25" customHeight="1">
      <c r="B6" s="166" t="s">
        <v>1015</v>
      </c>
      <c r="C6" s="46"/>
      <c r="D6" s="46" t="s">
        <v>425</v>
      </c>
      <c r="E6" s="46" t="s">
        <v>426</v>
      </c>
      <c r="F6" s="46" t="s">
        <v>689</v>
      </c>
      <c r="G6" s="46" t="s">
        <v>427</v>
      </c>
      <c r="H6" s="46" t="s">
        <v>428</v>
      </c>
      <c r="I6" s="771" t="s">
        <v>1049</v>
      </c>
      <c r="J6" s="46" t="s">
        <v>335</v>
      </c>
      <c r="K6" s="46" t="s">
        <v>336</v>
      </c>
      <c r="L6" s="47" t="s">
        <v>337</v>
      </c>
      <c r="M6" s="47" t="s">
        <v>1052</v>
      </c>
      <c r="N6" s="47" t="s">
        <v>339</v>
      </c>
      <c r="O6" s="48" t="s">
        <v>340</v>
      </c>
      <c r="P6" s="47" t="s">
        <v>341</v>
      </c>
      <c r="Q6" s="49" t="s">
        <v>342</v>
      </c>
      <c r="R6" s="49" t="s">
        <v>343</v>
      </c>
      <c r="S6" s="769" t="s">
        <v>344</v>
      </c>
      <c r="T6" s="770" t="s">
        <v>997</v>
      </c>
      <c r="U6" s="769" t="s">
        <v>1050</v>
      </c>
      <c r="V6" s="783" t="s">
        <v>1051</v>
      </c>
      <c r="W6" s="284"/>
      <c r="X6" s="280" t="str">
        <f>"FEMIS~"&amp;D296</f>
        <v>FEMIS~IADSOx</v>
      </c>
      <c r="Y6" s="280" t="str">
        <f>"FEMIS~"&amp;D297</f>
        <v>FEMIS~IADNOx</v>
      </c>
      <c r="Z6" s="280" t="str">
        <f>"FEMIS~"&amp;D298</f>
        <v>FEMIS~IADCH4</v>
      </c>
      <c r="AA6" s="280" t="str">
        <f>"FEMIS~"&amp;D299</f>
        <v>FEMIS~IADNO2</v>
      </c>
      <c r="AB6" s="280" t="str">
        <f>"FEMIS~"&amp;D300</f>
        <v>FEMIS~IADPM</v>
      </c>
      <c r="AC6" s="224" t="s">
        <v>424</v>
      </c>
      <c r="AD6" s="224" t="s">
        <v>2001</v>
      </c>
      <c r="AE6" s="47" t="s">
        <v>338</v>
      </c>
      <c r="AF6" s="221" t="s">
        <v>473</v>
      </c>
    </row>
    <row r="7" spans="2:42" ht="16" thickBot="1">
      <c r="B7" s="715"/>
      <c r="C7" s="167"/>
      <c r="D7" s="167" t="s">
        <v>429</v>
      </c>
      <c r="E7" s="50"/>
      <c r="F7" s="50"/>
      <c r="G7" s="50"/>
      <c r="H7" s="50"/>
      <c r="I7" s="168"/>
      <c r="J7" s="50"/>
      <c r="K7" s="50"/>
      <c r="L7" s="51"/>
      <c r="M7" s="51"/>
      <c r="N7" s="51"/>
      <c r="O7" s="52"/>
      <c r="P7" s="50"/>
      <c r="Q7" s="50"/>
      <c r="R7" s="50"/>
      <c r="S7" s="50"/>
      <c r="T7" s="50"/>
      <c r="U7" s="50"/>
      <c r="V7" s="168"/>
      <c r="W7" s="285"/>
      <c r="X7" s="50"/>
      <c r="Y7" s="50"/>
      <c r="Z7" s="50"/>
      <c r="AA7" s="50"/>
      <c r="AB7" s="50"/>
      <c r="AE7" s="51"/>
      <c r="AF7" s="222"/>
    </row>
    <row r="8" spans="2:42">
      <c r="B8" s="357"/>
      <c r="D8" s="224" t="s">
        <v>451</v>
      </c>
      <c r="I8" s="357"/>
      <c r="J8" s="57"/>
      <c r="K8" s="57"/>
      <c r="L8" s="57"/>
      <c r="M8" s="57"/>
      <c r="N8" s="57"/>
      <c r="O8" s="57" t="s">
        <v>470</v>
      </c>
      <c r="P8" s="57" t="s">
        <v>471</v>
      </c>
      <c r="Q8" s="57" t="s">
        <v>472</v>
      </c>
      <c r="R8" s="57" t="s">
        <v>351</v>
      </c>
      <c r="S8" s="57" t="s">
        <v>351</v>
      </c>
      <c r="T8" s="57"/>
      <c r="U8" s="57"/>
      <c r="V8" s="784"/>
      <c r="W8" s="286"/>
      <c r="X8" s="57" t="s">
        <v>352</v>
      </c>
      <c r="Y8" s="57" t="s">
        <v>352</v>
      </c>
      <c r="Z8" s="57" t="s">
        <v>352</v>
      </c>
      <c r="AA8" s="57" t="s">
        <v>352</v>
      </c>
      <c r="AB8" s="57" t="s">
        <v>352</v>
      </c>
      <c r="AE8" s="57"/>
      <c r="AF8" s="220"/>
    </row>
    <row r="9" spans="2:42">
      <c r="B9" s="357" t="s">
        <v>998</v>
      </c>
      <c r="D9" s="212" t="str">
        <f>"IND"&amp;RIGHT(H9,4)&amp;RIGHT(G9,3)&amp;"N"&amp;RIGHT(E9,1)</f>
        <v>INDADPHELCN1</v>
      </c>
      <c r="E9" s="261" t="str">
        <f>"Industrial heating technology "&amp;$AJ$12&amp;" "&amp;RIGHT(H9,2)&amp;" - Heat pump utilizing waste heat - new 1"</f>
        <v>Industrial heating technology Aluminium PH - Heat pump utilizing waste heat - new 1</v>
      </c>
      <c r="F9" s="224" t="s">
        <v>1149</v>
      </c>
      <c r="G9" s="173" t="s">
        <v>499</v>
      </c>
      <c r="H9" s="174" t="str">
        <f>$AI$14</f>
        <v>IADPH</v>
      </c>
      <c r="I9" s="173"/>
      <c r="J9" s="224">
        <f>AD9</f>
        <v>2020</v>
      </c>
      <c r="K9" s="81">
        <v>2020</v>
      </c>
      <c r="L9" s="333">
        <v>1</v>
      </c>
      <c r="M9" s="199">
        <f ca="1">VLOOKUP($AD9,INDIRECT("'"&amp;$B9&amp;"'!"&amp;"$P$39:$AD$42"),3,FALSE)</f>
        <v>4.4754761904761899</v>
      </c>
      <c r="N9" s="81">
        <f ca="1">VLOOKUP($AD9,INDIRECT("'"&amp;$B9&amp;"'!"&amp;"$P$39:$AD$42"),5,FALSE)</f>
        <v>20</v>
      </c>
      <c r="O9" s="723">
        <f ca="1">VLOOKUP($AD9,INDIRECT("'"&amp;$B9&amp;"'!"&amp;"$P$39:$AD$42"),6,FALSE)/1000</f>
        <v>5.4385000000000003</v>
      </c>
      <c r="P9" s="723">
        <f ca="1">VLOOKUP($AD9,INDIRECT("'"&amp;$B9&amp;"'!"&amp;"$P$39:$AD$42"),7,FALSE)/1000</f>
        <v>1.49E-2</v>
      </c>
      <c r="Q9" s="81">
        <f ca="1">VLOOKUP($AD9,INDIRECT("'"&amp;$B9&amp;"'!"&amp;"$P$39:$AD$42"),8,FALSE)</f>
        <v>6.7463888888888883</v>
      </c>
      <c r="R9" s="81">
        <v>3.1536000000000002E-2</v>
      </c>
      <c r="S9" s="199">
        <v>0.5</v>
      </c>
      <c r="T9" s="199">
        <f ca="1">HLOOKUP($T$2,INDIRECT("'"&amp;$B9&amp;"'!"&amp;"$P$6:$AC$19"),IF(H9=$AI$13,6,IF(H9=$AI$14,9,14)),FALSE)</f>
        <v>0</v>
      </c>
      <c r="U9" s="199">
        <f ca="1">1/M9</f>
        <v>0.22343991062403579</v>
      </c>
      <c r="V9" s="199"/>
      <c r="W9" s="298"/>
      <c r="X9" s="698">
        <f ca="1">IF(VLOOKUP($AD9,INDIRECT("'"&amp;$B9&amp;"'!"&amp;"$P$39:$AD$42"),11,FALSE)="Cf. the utilized electricity",0,VLOOKUP($AD9,INDIRECT("'"&amp;$B9&amp;"'!"&amp;"$P$39:$AD$42"),11,FALSE))</f>
        <v>0</v>
      </c>
      <c r="Y9" s="81">
        <f ca="1">VLOOKUP($AD9,INDIRECT("'"&amp;$B9&amp;"'!"&amp;"$P$39:$AD$42"),12,FALSE)</f>
        <v>0</v>
      </c>
      <c r="Z9" s="81">
        <f ca="1">VLOOKUP($AD9,INDIRECT("'"&amp;$B9&amp;"'!"&amp;"$P$39:$AD$42"),13,FALSE)</f>
        <v>0</v>
      </c>
      <c r="AA9" s="81">
        <f ca="1">VLOOKUP($AD9,INDIRECT("'"&amp;$B9&amp;"'!"&amp;"$P$39:$AD$42"),14,FALSE)</f>
        <v>0</v>
      </c>
      <c r="AB9" s="81">
        <f ca="1">VLOOKUP($AD9,INDIRECT("'"&amp;$B9&amp;"'!"&amp;"$P$39:$AD$42"),15,FALSE)</f>
        <v>0</v>
      </c>
      <c r="AC9" s="226"/>
      <c r="AD9" s="81">
        <v>2020</v>
      </c>
      <c r="AE9" s="81"/>
      <c r="AF9" s="220"/>
    </row>
    <row r="10" spans="2:42">
      <c r="B10" s="357" t="s">
        <v>998</v>
      </c>
      <c r="D10" s="212"/>
      <c r="E10" s="261"/>
      <c r="F10" s="224" t="s">
        <v>1149</v>
      </c>
      <c r="G10" s="173" t="str">
        <f>$AI$20</f>
        <v>INDAWH</v>
      </c>
      <c r="H10" s="174"/>
      <c r="I10" s="174"/>
      <c r="K10" s="81"/>
      <c r="L10" s="333"/>
      <c r="M10" s="199"/>
      <c r="N10" s="81"/>
      <c r="O10" s="723"/>
      <c r="P10" s="723"/>
      <c r="Q10" s="81"/>
      <c r="R10" s="200"/>
      <c r="S10" s="772"/>
      <c r="T10" s="772"/>
      <c r="U10" s="199">
        <f ca="1">1-U9</f>
        <v>0.77656008937596421</v>
      </c>
      <c r="V10" s="772"/>
      <c r="W10" s="298"/>
      <c r="X10" s="698"/>
      <c r="Y10" s="81"/>
      <c r="Z10" s="81"/>
      <c r="AA10" s="81"/>
      <c r="AB10" s="81"/>
      <c r="AC10" s="226"/>
      <c r="AD10" s="81"/>
      <c r="AE10" s="81"/>
      <c r="AF10" s="220"/>
    </row>
    <row r="11" spans="2:42">
      <c r="B11" s="357" t="s">
        <v>998</v>
      </c>
      <c r="D11" s="212"/>
      <c r="E11" s="212"/>
      <c r="F11" s="224" t="s">
        <v>1149</v>
      </c>
      <c r="G11" s="173" t="s">
        <v>499</v>
      </c>
      <c r="H11" s="174" t="str">
        <f>$AI$14</f>
        <v>IADPH</v>
      </c>
      <c r="I11" s="173"/>
      <c r="J11" s="224">
        <f>AD11</f>
        <v>2030</v>
      </c>
      <c r="K11" s="81"/>
      <c r="L11" s="333">
        <v>1</v>
      </c>
      <c r="M11" s="199">
        <f ca="1">VLOOKUP($AD11,INDIRECT("'"&amp;$B11&amp;"'!"&amp;"$P$39:$AD$42"),3,FALSE)</f>
        <v>4.5792982142857133</v>
      </c>
      <c r="N11" s="81"/>
      <c r="O11" s="723">
        <f ca="1">VLOOKUP($AD11,INDIRECT("'"&amp;$B11&amp;"'!"&amp;"$P$39:$AD$42"),6,FALSE)/1000</f>
        <v>4.8425000000000002</v>
      </c>
      <c r="P11" s="723">
        <f ca="1">VLOOKUP($AD11,INDIRECT("'"&amp;$B11&amp;"'!"&amp;"$P$39:$AD$42"),7,FALSE)/1000</f>
        <v>1.49E-2</v>
      </c>
      <c r="Q11" s="81">
        <f ca="1">VLOOKUP($AD11,INDIRECT("'"&amp;$B11&amp;"'!"&amp;"$P$39:$AD$42"),8,FALSE)</f>
        <v>6.6222222222222227</v>
      </c>
      <c r="R11" s="300"/>
      <c r="S11" s="300"/>
      <c r="T11" s="300"/>
      <c r="U11" s="199">
        <f ca="1">1/M11</f>
        <v>0.21837407244637849</v>
      </c>
      <c r="V11" s="199"/>
      <c r="W11" s="298"/>
      <c r="X11" s="698">
        <f ca="1">IF(VLOOKUP($AD11,INDIRECT("'"&amp;$B11&amp;"'!"&amp;"$P$39:$AD$42"),11,FALSE)="Cf. the utilized electricity",0,VLOOKUP($AD11,INDIRECT("'"&amp;$B11&amp;"'!"&amp;"$P$39:$AD$42"),11,FALSE))</f>
        <v>0</v>
      </c>
      <c r="Y11" s="81">
        <f ca="1">VLOOKUP($AD11,INDIRECT("'"&amp;$B11&amp;"'!"&amp;"$P$39:$AD$42"),12,FALSE)</f>
        <v>0</v>
      </c>
      <c r="Z11" s="81">
        <f ca="1">VLOOKUP($AD11,INDIRECT("'"&amp;$B11&amp;"'!"&amp;"$P$39:$AD$42"),13,FALSE)</f>
        <v>0</v>
      </c>
      <c r="AA11" s="81">
        <f ca="1">VLOOKUP($AD11,INDIRECT("'"&amp;$B11&amp;"'!"&amp;"$P$39:$AD$42"),14,FALSE)</f>
        <v>0</v>
      </c>
      <c r="AB11" s="81">
        <f ca="1">VLOOKUP($AD11,INDIRECT("'"&amp;$B11&amp;"'!"&amp;"$P$39:$AD$42"),15,FALSE)</f>
        <v>0</v>
      </c>
      <c r="AC11" s="226"/>
      <c r="AD11" s="81">
        <v>2030</v>
      </c>
      <c r="AE11" s="81"/>
      <c r="AF11" s="220"/>
      <c r="AJ11" s="36" t="s">
        <v>690</v>
      </c>
    </row>
    <row r="12" spans="2:42">
      <c r="B12" s="357" t="s">
        <v>998</v>
      </c>
      <c r="D12" s="212"/>
      <c r="E12" s="212"/>
      <c r="F12" s="224" t="s">
        <v>1149</v>
      </c>
      <c r="G12" s="173" t="str">
        <f>$AI$20</f>
        <v>INDAWH</v>
      </c>
      <c r="H12" s="174"/>
      <c r="I12" s="174"/>
      <c r="K12" s="81"/>
      <c r="L12" s="333"/>
      <c r="M12" s="199"/>
      <c r="N12" s="81"/>
      <c r="O12" s="723"/>
      <c r="P12" s="723"/>
      <c r="Q12" s="81"/>
      <c r="R12" s="300"/>
      <c r="S12" s="300"/>
      <c r="T12" s="300"/>
      <c r="U12" s="199">
        <f ca="1">1-U11</f>
        <v>0.78162592755362148</v>
      </c>
      <c r="V12" s="300"/>
      <c r="W12" s="298"/>
      <c r="X12" s="698"/>
      <c r="Y12" s="81"/>
      <c r="Z12" s="81"/>
      <c r="AA12" s="81"/>
      <c r="AB12" s="81"/>
      <c r="AC12" s="226"/>
      <c r="AD12" s="81"/>
      <c r="AE12" s="81"/>
      <c r="AF12" s="220"/>
      <c r="AI12" s="224" t="s">
        <v>518</v>
      </c>
      <c r="AJ12" s="224" t="str">
        <f>E2</f>
        <v>Aluminium</v>
      </c>
    </row>
    <row r="13" spans="2:42">
      <c r="B13" s="357" t="s">
        <v>998</v>
      </c>
      <c r="D13" s="212"/>
      <c r="E13" s="212"/>
      <c r="F13" s="224" t="s">
        <v>1149</v>
      </c>
      <c r="G13" s="173" t="s">
        <v>499</v>
      </c>
      <c r="H13" s="174" t="str">
        <f>$AI$14</f>
        <v>IADPH</v>
      </c>
      <c r="I13" s="173"/>
      <c r="J13" s="224">
        <f>AD13</f>
        <v>2050</v>
      </c>
      <c r="K13" s="81"/>
      <c r="L13" s="333">
        <v>1</v>
      </c>
      <c r="M13" s="199">
        <f ca="1">VLOOKUP($AD13,INDIRECT("'"&amp;$B13&amp;"'!"&amp;"$P$39:$AD$42"),3,FALSE)</f>
        <v>4.7191030203571422</v>
      </c>
      <c r="N13" s="81"/>
      <c r="O13" s="723">
        <f ca="1">VLOOKUP($AD13,INDIRECT("'"&amp;$B13&amp;"'!"&amp;"$P$39:$AD$42"),6,FALSE)/1000</f>
        <v>4.3209999999999997</v>
      </c>
      <c r="P13" s="723">
        <f ca="1">VLOOKUP($AD13,INDIRECT("'"&amp;$B13&amp;"'!"&amp;"$P$39:$AD$42"),7,FALSE)/1000</f>
        <v>1.49E-2</v>
      </c>
      <c r="Q13" s="81">
        <f ca="1">VLOOKUP($AD13,INDIRECT("'"&amp;$B13&amp;"'!"&amp;"$P$39:$AD$42"),8,FALSE)</f>
        <v>6.4566666666666661</v>
      </c>
      <c r="R13" s="300"/>
      <c r="S13" s="300"/>
      <c r="T13" s="300"/>
      <c r="U13" s="199">
        <f ca="1">1/M13</f>
        <v>0.21190467673331698</v>
      </c>
      <c r="V13" s="199"/>
      <c r="W13" s="298"/>
      <c r="X13" s="698">
        <f ca="1">IF(VLOOKUP($AD13,INDIRECT("'"&amp;$B13&amp;"'!"&amp;"$P$39:$AD$42"),11,FALSE)="Cf. the utilized electricity",0,VLOOKUP($AD13,INDIRECT("'"&amp;$B13&amp;"'!"&amp;"$P$39:$AD$42"),11,FALSE))</f>
        <v>0</v>
      </c>
      <c r="Y13" s="81">
        <f ca="1">VLOOKUP($AD13,INDIRECT("'"&amp;$B13&amp;"'!"&amp;"$P$39:$AD$42"),12,FALSE)</f>
        <v>0</v>
      </c>
      <c r="Z13" s="81">
        <f ca="1">VLOOKUP($AD13,INDIRECT("'"&amp;$B13&amp;"'!"&amp;"$P$39:$AD$42"),13,FALSE)</f>
        <v>0</v>
      </c>
      <c r="AA13" s="81">
        <f ca="1">VLOOKUP($AD13,INDIRECT("'"&amp;$B13&amp;"'!"&amp;"$P$39:$AD$42"),14,FALSE)</f>
        <v>0</v>
      </c>
      <c r="AB13" s="81">
        <f ca="1">VLOOKUP($AD13,INDIRECT("'"&amp;$B13&amp;"'!"&amp;"$P$39:$AD$42"),15,FALSE)</f>
        <v>0</v>
      </c>
      <c r="AC13" s="226"/>
      <c r="AD13" s="81">
        <v>2050</v>
      </c>
      <c r="AE13" s="81"/>
      <c r="AF13" s="220"/>
      <c r="AI13" s="224" t="str">
        <f>AO14</f>
        <v>IADPH</v>
      </c>
      <c r="AJ13" s="224" t="str">
        <f>AP14</f>
        <v>Aluminium industry Demand Heat High Temp. over 150C</v>
      </c>
      <c r="AO13" s="224" t="s">
        <v>2101</v>
      </c>
      <c r="AP13" s="224" t="s">
        <v>1194</v>
      </c>
    </row>
    <row r="14" spans="2:42">
      <c r="B14" s="357" t="s">
        <v>998</v>
      </c>
      <c r="D14" s="212"/>
      <c r="E14" s="212"/>
      <c r="F14" s="224" t="s">
        <v>1149</v>
      </c>
      <c r="G14" s="173" t="str">
        <f>$AI$20</f>
        <v>INDAWH</v>
      </c>
      <c r="H14" s="174"/>
      <c r="I14" s="174"/>
      <c r="K14" s="81"/>
      <c r="L14" s="333"/>
      <c r="M14" s="199"/>
      <c r="N14" s="81"/>
      <c r="O14" s="723"/>
      <c r="P14" s="723"/>
      <c r="Q14" s="81"/>
      <c r="R14" s="300"/>
      <c r="S14" s="300"/>
      <c r="T14" s="300"/>
      <c r="U14" s="199">
        <f ca="1">1-U13</f>
        <v>0.78809532326668297</v>
      </c>
      <c r="V14" s="300"/>
      <c r="W14" s="298"/>
      <c r="X14" s="698"/>
      <c r="Y14" s="81"/>
      <c r="Z14" s="81"/>
      <c r="AA14" s="81"/>
      <c r="AB14" s="81"/>
      <c r="AC14" s="226"/>
      <c r="AD14" s="81"/>
      <c r="AE14" s="81"/>
      <c r="AF14" s="220"/>
      <c r="AI14" s="224" t="str">
        <f>AO13</f>
        <v>IADPH</v>
      </c>
      <c r="AJ14" s="224" t="str">
        <f>AP13</f>
        <v>Aluminium industry Demand Heat Medium Temp. up to 150C</v>
      </c>
      <c r="AO14" s="224" t="s">
        <v>2101</v>
      </c>
      <c r="AP14" s="224" t="s">
        <v>1195</v>
      </c>
    </row>
    <row r="15" spans="2:42">
      <c r="B15" s="357" t="s">
        <v>998</v>
      </c>
      <c r="D15" s="212" t="str">
        <f>"IND"&amp;RIGHT(H15,4)&amp;RIGHT(G15,3)&amp;"N"&amp;RIGHT(E15,1)</f>
        <v>INDADSHELCN1</v>
      </c>
      <c r="E15" s="261" t="str">
        <f>"Industrial heating technology "&amp;$AJ$12&amp;" "&amp;RIGHT(H15,2)&amp;" - Heat pump utilizing waste heat - new 1"</f>
        <v>Industrial heating technology Aluminium SH - Heat pump utilizing waste heat - new 1</v>
      </c>
      <c r="F15" s="224" t="s">
        <v>1149</v>
      </c>
      <c r="G15" s="173" t="s">
        <v>499</v>
      </c>
      <c r="H15" s="174" t="str">
        <f>$AI$15</f>
        <v>IADSH</v>
      </c>
      <c r="I15" s="174"/>
      <c r="J15" s="224">
        <f>AD15</f>
        <v>2020</v>
      </c>
      <c r="K15" s="81">
        <v>2020</v>
      </c>
      <c r="L15" s="333">
        <v>1</v>
      </c>
      <c r="M15" s="199">
        <f ca="1">VLOOKUP($AD15,INDIRECT("'"&amp;$B15&amp;"'!"&amp;"$P$39:$AD$42"),3,FALSE)</f>
        <v>4.4754761904761899</v>
      </c>
      <c r="N15" s="81">
        <f ca="1">VLOOKUP($AD15,INDIRECT("'"&amp;$B15&amp;"'!"&amp;"$P$39:$AD$42"),5,FALSE)</f>
        <v>20</v>
      </c>
      <c r="O15" s="723">
        <f ca="1">VLOOKUP($AD15,INDIRECT("'"&amp;$B15&amp;"'!"&amp;"$P$39:$AD$42"),6,FALSE)/1000</f>
        <v>5.4385000000000003</v>
      </c>
      <c r="P15" s="723">
        <f ca="1">VLOOKUP($AD15,INDIRECT("'"&amp;$B15&amp;"'!"&amp;"$P$39:$AD$42"),7,FALSE)/1000</f>
        <v>1.49E-2</v>
      </c>
      <c r="Q15" s="81">
        <f ca="1">VLOOKUP($AD15,INDIRECT("'"&amp;$B15&amp;"'!"&amp;"$P$39:$AD$42"),8,FALSE)</f>
        <v>6.7463888888888883</v>
      </c>
      <c r="R15" s="81">
        <v>3.1536000000000002E-2</v>
      </c>
      <c r="S15" s="199">
        <v>0.5</v>
      </c>
      <c r="T15" s="199">
        <f ca="1">HLOOKUP($T$2,INDIRECT("'"&amp;$B15&amp;"'!"&amp;"$P$6:$AC$19"),IF(H15=$AI$13,6,IF(H15=$AI$14,9,14)),FALSE)</f>
        <v>1</v>
      </c>
      <c r="U15" s="199">
        <f ca="1">1/M15</f>
        <v>0.22343991062403579</v>
      </c>
      <c r="V15" s="199"/>
      <c r="W15" s="298"/>
      <c r="X15" s="698">
        <f ca="1">IF(VLOOKUP($AD15,INDIRECT("'"&amp;$B15&amp;"'!"&amp;"$P$39:$AD$42"),11,FALSE)="Cf. the utilized electricity",0,VLOOKUP($AD15,INDIRECT("'"&amp;$B15&amp;"'!"&amp;"$P$39:$AD$42"),11,FALSE))</f>
        <v>0</v>
      </c>
      <c r="Y15" s="81">
        <f ca="1">VLOOKUP($AD15,INDIRECT("'"&amp;$B15&amp;"'!"&amp;"$P$39:$AD$42"),12,FALSE)</f>
        <v>0</v>
      </c>
      <c r="Z15" s="81">
        <f ca="1">VLOOKUP($AD15,INDIRECT("'"&amp;$B15&amp;"'!"&amp;"$P$39:$AD$42"),13,FALSE)</f>
        <v>0</v>
      </c>
      <c r="AA15" s="81">
        <f ca="1">VLOOKUP($AD15,INDIRECT("'"&amp;$B15&amp;"'!"&amp;"$P$39:$AD$42"),14,FALSE)</f>
        <v>0</v>
      </c>
      <c r="AB15" s="81">
        <f ca="1">VLOOKUP($AD15,INDIRECT("'"&amp;$B15&amp;"'!"&amp;"$P$39:$AD$42"),15,FALSE)</f>
        <v>0</v>
      </c>
      <c r="AC15" s="226"/>
      <c r="AD15" s="81">
        <v>2020</v>
      </c>
      <c r="AE15" s="81"/>
      <c r="AF15" s="220"/>
      <c r="AI15" s="224" t="str">
        <f>AO15</f>
        <v>IADSH</v>
      </c>
      <c r="AJ15" s="224" t="str">
        <f>AP15</f>
        <v>Aluminium industry Demand Heat Room Heat</v>
      </c>
      <c r="AO15" s="224" t="s">
        <v>2102</v>
      </c>
      <c r="AP15" s="224" t="s">
        <v>1196</v>
      </c>
    </row>
    <row r="16" spans="2:42">
      <c r="B16" s="357" t="s">
        <v>998</v>
      </c>
      <c r="D16" s="212"/>
      <c r="E16" s="261"/>
      <c r="F16" s="224" t="s">
        <v>1149</v>
      </c>
      <c r="G16" s="173" t="str">
        <f>$AI$20</f>
        <v>INDAWH</v>
      </c>
      <c r="H16" s="174"/>
      <c r="I16" s="174"/>
      <c r="K16" s="81"/>
      <c r="L16" s="333"/>
      <c r="M16" s="199"/>
      <c r="N16" s="81"/>
      <c r="O16" s="723"/>
      <c r="P16" s="723"/>
      <c r="Q16" s="81"/>
      <c r="R16" s="200"/>
      <c r="S16" s="772"/>
      <c r="T16" s="772"/>
      <c r="U16" s="199">
        <f ca="1">1-U15</f>
        <v>0.77656008937596421</v>
      </c>
      <c r="V16" s="772"/>
      <c r="W16" s="298"/>
      <c r="X16" s="698"/>
      <c r="Y16" s="81"/>
      <c r="Z16" s="81"/>
      <c r="AA16" s="81"/>
      <c r="AB16" s="81"/>
      <c r="AC16" s="226"/>
      <c r="AD16" s="81"/>
      <c r="AE16" s="81"/>
      <c r="AF16" s="220"/>
      <c r="AI16" s="224" t="str">
        <f t="shared" ref="AI16:AJ19" si="0">AO16</f>
        <v>IADLA</v>
      </c>
      <c r="AJ16" s="224" t="str">
        <f t="shared" si="0"/>
        <v>Aluminium industry Demand Light</v>
      </c>
      <c r="AO16" s="224" t="s">
        <v>2103</v>
      </c>
      <c r="AP16" s="224" t="s">
        <v>1197</v>
      </c>
    </row>
    <row r="17" spans="2:42">
      <c r="B17" s="357" t="s">
        <v>998</v>
      </c>
      <c r="D17" s="212"/>
      <c r="E17" s="212"/>
      <c r="F17" s="224" t="s">
        <v>1149</v>
      </c>
      <c r="G17" s="173" t="s">
        <v>499</v>
      </c>
      <c r="H17" s="174" t="str">
        <f>$AI$15</f>
        <v>IADSH</v>
      </c>
      <c r="I17" s="174"/>
      <c r="J17" s="224">
        <f>AD17</f>
        <v>2030</v>
      </c>
      <c r="K17" s="81"/>
      <c r="L17" s="333">
        <v>1</v>
      </c>
      <c r="M17" s="199">
        <f ca="1">VLOOKUP($AD17,INDIRECT("'"&amp;$B17&amp;"'!"&amp;"$P$39:$AD$42"),3,FALSE)</f>
        <v>4.5792982142857133</v>
      </c>
      <c r="N17" s="81"/>
      <c r="O17" s="723">
        <f ca="1">VLOOKUP($AD17,INDIRECT("'"&amp;$B17&amp;"'!"&amp;"$P$39:$AD$42"),6,FALSE)/1000</f>
        <v>4.8425000000000002</v>
      </c>
      <c r="P17" s="723">
        <f ca="1">VLOOKUP($AD17,INDIRECT("'"&amp;$B17&amp;"'!"&amp;"$P$39:$AD$42"),7,FALSE)/1000</f>
        <v>1.49E-2</v>
      </c>
      <c r="Q17" s="81">
        <f ca="1">VLOOKUP($AD17,INDIRECT("'"&amp;$B17&amp;"'!"&amp;"$P$39:$AD$42"),8,FALSE)</f>
        <v>6.6222222222222227</v>
      </c>
      <c r="R17" s="300"/>
      <c r="S17" s="300"/>
      <c r="T17" s="300"/>
      <c r="U17" s="199">
        <f ca="1">1/M17</f>
        <v>0.21837407244637849</v>
      </c>
      <c r="V17" s="199"/>
      <c r="W17" s="298"/>
      <c r="X17" s="698">
        <f ca="1">IF(VLOOKUP($AD17,INDIRECT("'"&amp;$B17&amp;"'!"&amp;"$P$39:$AD$42"),11,FALSE)="Cf. the utilized electricity",0,VLOOKUP($AD17,INDIRECT("'"&amp;$B17&amp;"'!"&amp;"$P$39:$AD$42"),11,FALSE))</f>
        <v>0</v>
      </c>
      <c r="Y17" s="81">
        <f ca="1">VLOOKUP($AD17,INDIRECT("'"&amp;$B17&amp;"'!"&amp;"$P$39:$AD$42"),12,FALSE)</f>
        <v>0</v>
      </c>
      <c r="Z17" s="81">
        <f ca="1">VLOOKUP($AD17,INDIRECT("'"&amp;$B17&amp;"'!"&amp;"$P$39:$AD$42"),13,FALSE)</f>
        <v>0</v>
      </c>
      <c r="AA17" s="81">
        <f ca="1">VLOOKUP($AD17,INDIRECT("'"&amp;$B17&amp;"'!"&amp;"$P$39:$AD$42"),14,FALSE)</f>
        <v>0</v>
      </c>
      <c r="AB17" s="81">
        <f ca="1">VLOOKUP($AD17,INDIRECT("'"&amp;$B17&amp;"'!"&amp;"$P$39:$AD$42"),15,FALSE)</f>
        <v>0</v>
      </c>
      <c r="AC17" s="226"/>
      <c r="AD17" s="81">
        <v>2030</v>
      </c>
      <c r="AE17" s="81"/>
      <c r="AF17" s="220"/>
      <c r="AI17" s="224" t="str">
        <f t="shared" si="0"/>
        <v>IADEM</v>
      </c>
      <c r="AJ17" s="224" t="str">
        <f t="shared" si="0"/>
        <v>Aluminium industry Demand Electric Motors</v>
      </c>
      <c r="AO17" s="224" t="s">
        <v>2104</v>
      </c>
      <c r="AP17" s="224" t="s">
        <v>1198</v>
      </c>
    </row>
    <row r="18" spans="2:42">
      <c r="B18" s="357" t="s">
        <v>998</v>
      </c>
      <c r="D18" s="212"/>
      <c r="E18" s="212"/>
      <c r="F18" s="224" t="s">
        <v>1149</v>
      </c>
      <c r="G18" s="173" t="str">
        <f>$AI$20</f>
        <v>INDAWH</v>
      </c>
      <c r="H18" s="174"/>
      <c r="I18" s="174"/>
      <c r="K18" s="81"/>
      <c r="L18" s="333"/>
      <c r="M18" s="199"/>
      <c r="N18" s="81"/>
      <c r="O18" s="723"/>
      <c r="P18" s="723"/>
      <c r="Q18" s="81"/>
      <c r="R18" s="300"/>
      <c r="S18" s="300"/>
      <c r="T18" s="300"/>
      <c r="U18" s="199">
        <f ca="1">1-U17</f>
        <v>0.78162592755362148</v>
      </c>
      <c r="V18" s="300"/>
      <c r="W18" s="298"/>
      <c r="X18" s="698"/>
      <c r="Y18" s="81"/>
      <c r="Z18" s="81"/>
      <c r="AA18" s="81"/>
      <c r="AB18" s="81"/>
      <c r="AC18" s="226"/>
      <c r="AD18" s="81"/>
      <c r="AE18" s="81"/>
      <c r="AF18" s="220"/>
      <c r="AI18" s="224" t="str">
        <f t="shared" si="0"/>
        <v>IADTF</v>
      </c>
      <c r="AJ18" s="224" t="str">
        <f t="shared" si="0"/>
        <v>Aluminium industry Demand Haulage Tractors, Trucks, Fishing boats, Forest machines</v>
      </c>
      <c r="AO18" s="224" t="s">
        <v>2105</v>
      </c>
      <c r="AP18" s="224" t="s">
        <v>1199</v>
      </c>
    </row>
    <row r="19" spans="2:42">
      <c r="B19" s="357" t="s">
        <v>998</v>
      </c>
      <c r="D19" s="212"/>
      <c r="E19" s="212"/>
      <c r="F19" s="224" t="s">
        <v>1149</v>
      </c>
      <c r="G19" s="173" t="s">
        <v>499</v>
      </c>
      <c r="H19" s="174" t="str">
        <f>$AI$15</f>
        <v>IADSH</v>
      </c>
      <c r="I19" s="174"/>
      <c r="J19" s="224">
        <f>AD19</f>
        <v>2050</v>
      </c>
      <c r="K19" s="81"/>
      <c r="L19" s="333">
        <v>1</v>
      </c>
      <c r="M19" s="199">
        <f ca="1">VLOOKUP($AD19,INDIRECT("'"&amp;$B19&amp;"'!"&amp;"$P$39:$AD$42"),3,FALSE)</f>
        <v>4.7191030203571422</v>
      </c>
      <c r="N19" s="81"/>
      <c r="O19" s="723">
        <f ca="1">VLOOKUP($AD19,INDIRECT("'"&amp;$B19&amp;"'!"&amp;"$P$39:$AD$42"),6,FALSE)/1000</f>
        <v>4.3209999999999997</v>
      </c>
      <c r="P19" s="723">
        <f ca="1">VLOOKUP($AD19,INDIRECT("'"&amp;$B19&amp;"'!"&amp;"$P$39:$AD$42"),7,FALSE)/1000</f>
        <v>1.49E-2</v>
      </c>
      <c r="Q19" s="81">
        <f ca="1">VLOOKUP($AD19,INDIRECT("'"&amp;$B19&amp;"'!"&amp;"$P$39:$AD$42"),8,FALSE)</f>
        <v>6.4566666666666661</v>
      </c>
      <c r="R19" s="300"/>
      <c r="S19" s="300"/>
      <c r="T19" s="300"/>
      <c r="U19" s="199">
        <f ca="1">1/M19</f>
        <v>0.21190467673331698</v>
      </c>
      <c r="V19" s="199"/>
      <c r="W19" s="298"/>
      <c r="X19" s="698">
        <f ca="1">IF(VLOOKUP($AD19,INDIRECT("'"&amp;$B19&amp;"'!"&amp;"$P$39:$AD$42"),11,FALSE)="Cf. the utilized electricity",0,VLOOKUP($AD19,INDIRECT("'"&amp;$B19&amp;"'!"&amp;"$P$39:$AD$42"),11,FALSE))</f>
        <v>0</v>
      </c>
      <c r="Y19" s="81">
        <f ca="1">VLOOKUP($AD19,INDIRECT("'"&amp;$B19&amp;"'!"&amp;"$P$39:$AD$42"),12,FALSE)</f>
        <v>0</v>
      </c>
      <c r="Z19" s="81">
        <f ca="1">VLOOKUP($AD19,INDIRECT("'"&amp;$B19&amp;"'!"&amp;"$P$39:$AD$42"),13,FALSE)</f>
        <v>0</v>
      </c>
      <c r="AA19" s="81">
        <f ca="1">VLOOKUP($AD19,INDIRECT("'"&amp;$B19&amp;"'!"&amp;"$P$39:$AD$42"),14,FALSE)</f>
        <v>0</v>
      </c>
      <c r="AB19" s="81">
        <f ca="1">VLOOKUP($AD19,INDIRECT("'"&amp;$B19&amp;"'!"&amp;"$P$39:$AD$42"),15,FALSE)</f>
        <v>0</v>
      </c>
      <c r="AC19" s="226"/>
      <c r="AD19" s="81">
        <v>2050</v>
      </c>
      <c r="AE19" s="81"/>
      <c r="AF19" s="220"/>
      <c r="AI19" s="224" t="str">
        <f t="shared" si="0"/>
        <v>IADFL</v>
      </c>
      <c r="AJ19" s="224" t="str">
        <f t="shared" si="0"/>
        <v>Aluminium industry Demand Haulage Forklifts</v>
      </c>
      <c r="AO19" s="224" t="s">
        <v>2106</v>
      </c>
      <c r="AP19" s="224" t="s">
        <v>1200</v>
      </c>
    </row>
    <row r="20" spans="2:42">
      <c r="B20" s="357" t="s">
        <v>998</v>
      </c>
      <c r="D20" s="212"/>
      <c r="E20" s="212"/>
      <c r="F20" s="224" t="s">
        <v>1149</v>
      </c>
      <c r="G20" s="173" t="str">
        <f>$AI$20</f>
        <v>INDAWH</v>
      </c>
      <c r="H20" s="174"/>
      <c r="I20" s="174"/>
      <c r="K20" s="81"/>
      <c r="L20" s="333"/>
      <c r="M20" s="199"/>
      <c r="N20" s="81"/>
      <c r="O20" s="723"/>
      <c r="P20" s="723"/>
      <c r="Q20" s="81"/>
      <c r="R20" s="300"/>
      <c r="S20" s="300"/>
      <c r="T20" s="300"/>
      <c r="U20" s="199">
        <f ca="1">1-U19</f>
        <v>0.78809532326668297</v>
      </c>
      <c r="V20" s="300"/>
      <c r="W20" s="298"/>
      <c r="X20" s="698"/>
      <c r="Y20" s="81"/>
      <c r="Z20" s="81"/>
      <c r="AA20" s="81"/>
      <c r="AB20" s="81"/>
      <c r="AC20" s="226"/>
      <c r="AD20" s="81"/>
      <c r="AE20" s="81"/>
      <c r="AF20" s="220"/>
      <c r="AI20" s="36" t="str">
        <f>"IND"&amp;MID(AI19,2,1)&amp;"WH"</f>
        <v>INDAWH</v>
      </c>
      <c r="AJ20" s="224" t="str">
        <f>$AJ$12&amp;" Industrial Waste Heat"</f>
        <v>Aluminium Industrial Waste Heat</v>
      </c>
    </row>
    <row r="21" spans="2:42">
      <c r="B21" s="357" t="s">
        <v>999</v>
      </c>
      <c r="D21" s="212" t="str">
        <f>"IND"&amp;RIGHT(H21,4)&amp;RIGHT(G21,3)&amp;"N"&amp;RIGHT(E21,1)</f>
        <v>INDADPHELCN2</v>
      </c>
      <c r="E21" s="261" t="str">
        <f>"Industrial heating technology "&amp;$AJ$12&amp;" "&amp;RIGHT(H21,2)&amp;" - Heat driven heat pump utilizing waste heat - new 2"</f>
        <v>Industrial heating technology Aluminium PH - Heat driven heat pump utilizing waste heat - new 2</v>
      </c>
      <c r="F21" s="224" t="s">
        <v>1149</v>
      </c>
      <c r="G21" s="173" t="s">
        <v>499</v>
      </c>
      <c r="H21" s="174" t="str">
        <f>$AI$14</f>
        <v>IADPH</v>
      </c>
      <c r="I21" s="174"/>
      <c r="J21" s="224">
        <f t="shared" ref="J21" si="1">AD21</f>
        <v>2020</v>
      </c>
      <c r="K21" s="81">
        <v>2020</v>
      </c>
      <c r="L21" s="333">
        <v>1</v>
      </c>
      <c r="M21" s="199">
        <f ca="1">VLOOKUP($AD21,INDIRECT("'"&amp;$B21&amp;"'!"&amp;"$P$39:$AD$42"),3,FALSE)</f>
        <v>1.68</v>
      </c>
      <c r="N21" s="81">
        <f ca="1">VLOOKUP($AD21,INDIRECT("'"&amp;$B21&amp;"'!"&amp;"$P$39:$AD$42"),5,FALSE)</f>
        <v>20</v>
      </c>
      <c r="O21" s="723">
        <f ca="1">VLOOKUP($AD21,INDIRECT("'"&amp;$B21&amp;"'!"&amp;"$P$39:$AD$42"),6,FALSE)/1000</f>
        <v>4.1720000000000006</v>
      </c>
      <c r="P21" s="723">
        <f ca="1">VLOOKUP($AD21,INDIRECT("'"&amp;$B21&amp;"'!"&amp;"$P$39:$AD$42"),7,FALSE)/1000</f>
        <v>1.49E-2</v>
      </c>
      <c r="Q21" s="81">
        <f ca="1">VLOOKUP($AD21,INDIRECT("'"&amp;$B21&amp;"'!"&amp;"$P$39:$AD$42"),8,FALSE)</f>
        <v>2.0901388888888892</v>
      </c>
      <c r="R21" s="81">
        <v>3.1536000000000002E-2</v>
      </c>
      <c r="S21" s="199">
        <v>0.5</v>
      </c>
      <c r="T21" s="199">
        <f ca="1">HLOOKUP($T$2,INDIRECT("'"&amp;$B21&amp;"'!"&amp;"$P$6:$AC$19"),IF(H21=$AI$13,6,IF(H21=$AI$14,9,14)),FALSE)</f>
        <v>0</v>
      </c>
      <c r="U21" s="199">
        <f ca="1">1/M21</f>
        <v>0.59523809523809523</v>
      </c>
      <c r="V21" s="199"/>
      <c r="W21" s="298"/>
      <c r="X21" s="698">
        <f ca="1">IF(VLOOKUP($AD21,INDIRECT("'"&amp;$B21&amp;"'!"&amp;"$P$39:$AD$42"),11,FALSE)="Cf. the utilized electricity",0,VLOOKUP($AD21,INDIRECT("'"&amp;$B21&amp;"'!"&amp;"$P$39:$AD$42"),11,FALSE))</f>
        <v>0</v>
      </c>
      <c r="Y21" s="81">
        <f ca="1">VLOOKUP($AD21,INDIRECT("'"&amp;$B21&amp;"'!"&amp;"$P$39:$AD$42"),12,FALSE)</f>
        <v>0</v>
      </c>
      <c r="Z21" s="81">
        <f ca="1">VLOOKUP($AD21,INDIRECT("'"&amp;$B21&amp;"'!"&amp;"$P$39:$AD$42"),13,FALSE)</f>
        <v>0</v>
      </c>
      <c r="AA21" s="81">
        <f ca="1">VLOOKUP($AD21,INDIRECT("'"&amp;$B21&amp;"'!"&amp;"$P$39:$AD$42"),14,FALSE)</f>
        <v>0</v>
      </c>
      <c r="AB21" s="81">
        <f ca="1">VLOOKUP($AD21,INDIRECT("'"&amp;$B21&amp;"'!"&amp;"$P$39:$AD$42"),15,FALSE)</f>
        <v>0</v>
      </c>
      <c r="AC21" s="226"/>
      <c r="AD21" s="81">
        <v>2020</v>
      </c>
      <c r="AE21" s="81"/>
      <c r="AF21" s="220"/>
      <c r="AI21" s="224" t="str">
        <f>"I"&amp;LEFT($AJ$12,1)&amp;"DCO"</f>
        <v>IADCO</v>
      </c>
      <c r="AJ21" s="224" t="s">
        <v>2116</v>
      </c>
    </row>
    <row r="22" spans="2:42">
      <c r="B22" s="357" t="s">
        <v>999</v>
      </c>
      <c r="D22" s="212"/>
      <c r="E22" s="261"/>
      <c r="F22" s="224" t="s">
        <v>1149</v>
      </c>
      <c r="G22" s="173" t="str">
        <f>$AI$20</f>
        <v>INDAWH</v>
      </c>
      <c r="H22" s="174"/>
      <c r="I22" s="174"/>
      <c r="K22" s="81"/>
      <c r="L22" s="333"/>
      <c r="M22" s="199"/>
      <c r="N22" s="81"/>
      <c r="O22" s="723"/>
      <c r="P22" s="723"/>
      <c r="Q22" s="81"/>
      <c r="R22" s="200"/>
      <c r="S22" s="772"/>
      <c r="T22" s="772"/>
      <c r="U22" s="199">
        <f ca="1">1-U21</f>
        <v>0.40476190476190477</v>
      </c>
      <c r="V22" s="772"/>
      <c r="W22" s="298"/>
      <c r="X22" s="698"/>
      <c r="Y22" s="81"/>
      <c r="Z22" s="81"/>
      <c r="AA22" s="81"/>
      <c r="AB22" s="81"/>
      <c r="AC22" s="226"/>
      <c r="AD22" s="81"/>
      <c r="AE22" s="81"/>
      <c r="AF22" s="220"/>
      <c r="AI22" s="224">
        <v>1</v>
      </c>
    </row>
    <row r="23" spans="2:42">
      <c r="B23" s="357" t="s">
        <v>999</v>
      </c>
      <c r="D23" s="212"/>
      <c r="E23" s="212"/>
      <c r="F23" s="224" t="s">
        <v>1149</v>
      </c>
      <c r="G23" s="173" t="s">
        <v>499</v>
      </c>
      <c r="H23" s="174" t="str">
        <f>$AI$14</f>
        <v>IADPH</v>
      </c>
      <c r="I23" s="174"/>
      <c r="J23" s="224">
        <f t="shared" ref="J23" si="2">AD23</f>
        <v>2030</v>
      </c>
      <c r="K23" s="81"/>
      <c r="L23" s="333">
        <v>1</v>
      </c>
      <c r="M23" s="199">
        <f ca="1">VLOOKUP($AD23,INDIRECT("'"&amp;$B23&amp;"'!"&amp;"$P$39:$AD$42"),3,FALSE)</f>
        <v>1.69</v>
      </c>
      <c r="N23" s="81"/>
      <c r="O23" s="723">
        <f ca="1">VLOOKUP($AD23,INDIRECT("'"&amp;$B23&amp;"'!"&amp;"$P$39:$AD$42"),6,FALSE)/1000</f>
        <v>3.7995000000000001</v>
      </c>
      <c r="P23" s="723">
        <f ca="1">VLOOKUP($AD23,INDIRECT("'"&amp;$B23&amp;"'!"&amp;"$P$39:$AD$42"),7,FALSE)/1000</f>
        <v>1.49E-2</v>
      </c>
      <c r="Q23" s="81">
        <f ca="1">VLOOKUP($AD23,INDIRECT("'"&amp;$B23&amp;"'!"&amp;"$P$39:$AD$42"),8,FALSE)</f>
        <v>2.0694444444444446</v>
      </c>
      <c r="R23" s="300"/>
      <c r="S23" s="300"/>
      <c r="T23" s="300"/>
      <c r="U23" s="199">
        <f ca="1">1/M23</f>
        <v>0.59171597633136097</v>
      </c>
      <c r="V23" s="199"/>
      <c r="W23" s="298"/>
      <c r="X23" s="698">
        <f ca="1">IF(VLOOKUP($AD23,INDIRECT("'"&amp;$B23&amp;"'!"&amp;"$P$39:$AD$42"),11,FALSE)="Cf. the utilized electricity",0,VLOOKUP($AD23,INDIRECT("'"&amp;$B23&amp;"'!"&amp;"$P$39:$AD$42"),11,FALSE))</f>
        <v>0</v>
      </c>
      <c r="Y23" s="81">
        <f ca="1">VLOOKUP($AD23,INDIRECT("'"&amp;$B23&amp;"'!"&amp;"$P$39:$AD$42"),12,FALSE)</f>
        <v>0</v>
      </c>
      <c r="Z23" s="81">
        <f ca="1">VLOOKUP($AD23,INDIRECT("'"&amp;$B23&amp;"'!"&amp;"$P$39:$AD$42"),13,FALSE)</f>
        <v>0</v>
      </c>
      <c r="AA23" s="81">
        <f ca="1">VLOOKUP($AD23,INDIRECT("'"&amp;$B23&amp;"'!"&amp;"$P$39:$AD$42"),14,FALSE)</f>
        <v>0</v>
      </c>
      <c r="AB23" s="81">
        <f ca="1">VLOOKUP($AD23,INDIRECT("'"&amp;$B23&amp;"'!"&amp;"$P$39:$AD$42"),15,FALSE)</f>
        <v>0</v>
      </c>
      <c r="AC23" s="226"/>
      <c r="AD23" s="81">
        <v>2030</v>
      </c>
      <c r="AE23" s="81"/>
      <c r="AF23" s="220"/>
      <c r="AI23" s="224">
        <v>2</v>
      </c>
    </row>
    <row r="24" spans="2:42" ht="14.5" customHeight="1">
      <c r="B24" s="357" t="s">
        <v>999</v>
      </c>
      <c r="D24" s="212"/>
      <c r="E24" s="212"/>
      <c r="F24" s="224" t="s">
        <v>1149</v>
      </c>
      <c r="G24" s="173" t="str">
        <f>$AI$20</f>
        <v>INDAWH</v>
      </c>
      <c r="H24" s="174"/>
      <c r="I24" s="174"/>
      <c r="K24" s="81"/>
      <c r="L24" s="333"/>
      <c r="M24" s="199"/>
      <c r="N24" s="81"/>
      <c r="O24" s="723"/>
      <c r="P24" s="723"/>
      <c r="Q24" s="81"/>
      <c r="R24" s="300"/>
      <c r="S24" s="300"/>
      <c r="T24" s="300"/>
      <c r="U24" s="199">
        <f ca="1">1-U23</f>
        <v>0.40828402366863903</v>
      </c>
      <c r="V24" s="300"/>
      <c r="W24" s="298"/>
      <c r="X24" s="698"/>
      <c r="Y24" s="81"/>
      <c r="Z24" s="81"/>
      <c r="AA24" s="81"/>
      <c r="AB24" s="81"/>
      <c r="AC24" s="226"/>
      <c r="AD24" s="81"/>
      <c r="AE24" s="81"/>
      <c r="AF24" s="220"/>
      <c r="AI24" s="224">
        <v>3</v>
      </c>
    </row>
    <row r="25" spans="2:42" ht="14.5" customHeight="1">
      <c r="B25" s="357" t="s">
        <v>999</v>
      </c>
      <c r="D25" s="212"/>
      <c r="E25" s="212"/>
      <c r="F25" s="224" t="s">
        <v>1149</v>
      </c>
      <c r="G25" s="173" t="s">
        <v>499</v>
      </c>
      <c r="H25" s="174" t="str">
        <f>$AI$14</f>
        <v>IADPH</v>
      </c>
      <c r="I25" s="174"/>
      <c r="J25" s="224">
        <f t="shared" ref="J25" si="3">AD25</f>
        <v>2050</v>
      </c>
      <c r="K25" s="81"/>
      <c r="L25" s="333">
        <v>1</v>
      </c>
      <c r="M25" s="199">
        <f ca="1">VLOOKUP($AD25,INDIRECT("'"&amp;$B25&amp;"'!"&amp;"$P$39:$AD$42"),3,FALSE)</f>
        <v>1.71</v>
      </c>
      <c r="N25" s="81"/>
      <c r="O25" s="723">
        <f ca="1">VLOOKUP($AD25,INDIRECT("'"&amp;$B25&amp;"'!"&amp;"$P$39:$AD$42"),6,FALSE)/1000</f>
        <v>3.427</v>
      </c>
      <c r="P25" s="723">
        <f ca="1">VLOOKUP($AD25,INDIRECT("'"&amp;$B25&amp;"'!"&amp;"$P$39:$AD$42"),7,FALSE)/1000</f>
        <v>1.49E-2</v>
      </c>
      <c r="Q25" s="81">
        <f ca="1">VLOOKUP($AD25,INDIRECT("'"&amp;$B25&amp;"'!"&amp;"$P$39:$AD$42"),8,FALSE)</f>
        <v>2.0487500000000001</v>
      </c>
      <c r="R25" s="300"/>
      <c r="S25" s="300"/>
      <c r="T25" s="300"/>
      <c r="U25" s="199">
        <f ca="1">1/M25</f>
        <v>0.58479532163742687</v>
      </c>
      <c r="V25" s="199"/>
      <c r="W25" s="298"/>
      <c r="X25" s="698">
        <f ca="1">IF(VLOOKUP($AD25,INDIRECT("'"&amp;$B25&amp;"'!"&amp;"$P$39:$AD$42"),11,FALSE)="Cf. the utilized electricity",0,VLOOKUP($AD25,INDIRECT("'"&amp;$B25&amp;"'!"&amp;"$P$39:$AD$42"),11,FALSE))</f>
        <v>0</v>
      </c>
      <c r="Y25" s="81">
        <f ca="1">VLOOKUP($AD25,INDIRECT("'"&amp;$B25&amp;"'!"&amp;"$P$39:$AD$42"),12,FALSE)</f>
        <v>0</v>
      </c>
      <c r="Z25" s="81">
        <f ca="1">VLOOKUP($AD25,INDIRECT("'"&amp;$B25&amp;"'!"&amp;"$P$39:$AD$42"),13,FALSE)</f>
        <v>0</v>
      </c>
      <c r="AA25" s="81">
        <f ca="1">VLOOKUP($AD25,INDIRECT("'"&amp;$B25&amp;"'!"&amp;"$P$39:$AD$42"),14,FALSE)</f>
        <v>0</v>
      </c>
      <c r="AB25" s="81">
        <f ca="1">VLOOKUP($AD25,INDIRECT("'"&amp;$B25&amp;"'!"&amp;"$P$39:$AD$42"),15,FALSE)</f>
        <v>0</v>
      </c>
      <c r="AC25" s="226"/>
      <c r="AD25" s="81">
        <v>2050</v>
      </c>
      <c r="AE25" s="81"/>
      <c r="AF25" s="220"/>
      <c r="AI25" s="224">
        <v>4</v>
      </c>
    </row>
    <row r="26" spans="2:42" ht="15" customHeight="1">
      <c r="B26" s="357" t="s">
        <v>999</v>
      </c>
      <c r="D26" s="212"/>
      <c r="E26" s="212"/>
      <c r="F26" s="224" t="s">
        <v>1149</v>
      </c>
      <c r="G26" s="173" t="str">
        <f>$AI$20</f>
        <v>INDAWH</v>
      </c>
      <c r="H26" s="174"/>
      <c r="I26" s="174"/>
      <c r="K26" s="81"/>
      <c r="L26" s="333"/>
      <c r="M26" s="199"/>
      <c r="N26" s="81"/>
      <c r="O26" s="723"/>
      <c r="P26" s="723"/>
      <c r="Q26" s="81"/>
      <c r="R26" s="300"/>
      <c r="S26" s="300"/>
      <c r="T26" s="300"/>
      <c r="U26" s="199">
        <f ca="1">1-U25</f>
        <v>0.41520467836257313</v>
      </c>
      <c r="V26" s="300"/>
      <c r="W26" s="298"/>
      <c r="X26" s="698"/>
      <c r="Y26" s="81"/>
      <c r="Z26" s="81"/>
      <c r="AA26" s="81"/>
      <c r="AB26" s="81"/>
      <c r="AC26" s="226"/>
      <c r="AD26" s="81"/>
      <c r="AE26" s="81"/>
      <c r="AF26" s="220"/>
      <c r="AI26" s="224">
        <v>5</v>
      </c>
      <c r="AJ26" s="224" t="s">
        <v>715</v>
      </c>
    </row>
    <row r="27" spans="2:42">
      <c r="B27" s="357" t="s">
        <v>999</v>
      </c>
      <c r="D27" s="212" t="str">
        <f>"IND"&amp;RIGHT(H27,4)&amp;RIGHT(G27,3)&amp;"N"&amp;RIGHT(E27,1)</f>
        <v>INDADSHELCN2</v>
      </c>
      <c r="E27" s="261" t="str">
        <f>"Industrial heating technology "&amp;$AJ$12&amp;" "&amp;RIGHT(H27,2)&amp;" - Heat driven heat pump utilizing waste heat - new 2"</f>
        <v>Industrial heating technology Aluminium SH - Heat driven heat pump utilizing waste heat - new 2</v>
      </c>
      <c r="F27" s="224" t="s">
        <v>1149</v>
      </c>
      <c r="G27" s="173" t="s">
        <v>499</v>
      </c>
      <c r="H27" s="174" t="str">
        <f>$AI$15</f>
        <v>IADSH</v>
      </c>
      <c r="I27" s="174"/>
      <c r="J27" s="224">
        <f t="shared" ref="J27" si="4">AD27</f>
        <v>2020</v>
      </c>
      <c r="K27" s="81">
        <v>2020</v>
      </c>
      <c r="L27" s="333">
        <v>1</v>
      </c>
      <c r="M27" s="199">
        <f ca="1">VLOOKUP($AD27,INDIRECT("'"&amp;$B27&amp;"'!"&amp;"$P$39:$AD$42"),3,FALSE)</f>
        <v>1.68</v>
      </c>
      <c r="N27" s="81">
        <f ca="1">VLOOKUP($AD27,INDIRECT("'"&amp;$B27&amp;"'!"&amp;"$P$39:$AD$42"),5,FALSE)</f>
        <v>20</v>
      </c>
      <c r="O27" s="723">
        <f ca="1">VLOOKUP($AD27,INDIRECT("'"&amp;$B27&amp;"'!"&amp;"$P$39:$AD$42"),6,FALSE)/1000</f>
        <v>4.1720000000000006</v>
      </c>
      <c r="P27" s="723">
        <f ca="1">VLOOKUP($AD27,INDIRECT("'"&amp;$B27&amp;"'!"&amp;"$P$39:$AD$42"),7,FALSE)/1000</f>
        <v>1.49E-2</v>
      </c>
      <c r="Q27" s="81">
        <f ca="1">VLOOKUP($AD27,INDIRECT("'"&amp;$B27&amp;"'!"&amp;"$P$39:$AD$42"),8,FALSE)</f>
        <v>2.0901388888888892</v>
      </c>
      <c r="R27" s="81">
        <v>3.1536000000000002E-2</v>
      </c>
      <c r="S27" s="199">
        <v>0.5</v>
      </c>
      <c r="T27" s="199">
        <f ca="1">HLOOKUP($T$2,INDIRECT("'"&amp;$B27&amp;"'!"&amp;"$P$6:$AC$19"),IF(H27=$AI$13,6,IF(H27=$AI$14,9,14)),FALSE)</f>
        <v>1</v>
      </c>
      <c r="U27" s="199">
        <f ca="1">1/M27</f>
        <v>0.59523809523809523</v>
      </c>
      <c r="V27" s="199"/>
      <c r="W27" s="298"/>
      <c r="X27" s="698">
        <f ca="1">IF(VLOOKUP($AD27,INDIRECT("'"&amp;$B27&amp;"'!"&amp;"$P$39:$AD$42"),11,FALSE)="Cf. the utilized electricity",0,VLOOKUP($AD27,INDIRECT("'"&amp;$B27&amp;"'!"&amp;"$P$39:$AD$42"),11,FALSE))</f>
        <v>0</v>
      </c>
      <c r="Y27" s="81">
        <f ca="1">VLOOKUP($AD27,INDIRECT("'"&amp;$B27&amp;"'!"&amp;"$P$39:$AD$42"),12,FALSE)</f>
        <v>0</v>
      </c>
      <c r="Z27" s="81">
        <f ca="1">VLOOKUP($AD27,INDIRECT("'"&amp;$B27&amp;"'!"&amp;"$P$39:$AD$42"),13,FALSE)</f>
        <v>0</v>
      </c>
      <c r="AA27" s="81">
        <f ca="1">VLOOKUP($AD27,INDIRECT("'"&amp;$B27&amp;"'!"&amp;"$P$39:$AD$42"),14,FALSE)</f>
        <v>0</v>
      </c>
      <c r="AB27" s="81">
        <f ca="1">VLOOKUP($AD27,INDIRECT("'"&amp;$B27&amp;"'!"&amp;"$P$39:$AD$42"),15,FALSE)</f>
        <v>0</v>
      </c>
      <c r="AD27" s="81">
        <v>2020</v>
      </c>
      <c r="AE27" s="81"/>
      <c r="AF27" s="220"/>
      <c r="AI27" s="224">
        <v>6</v>
      </c>
    </row>
    <row r="28" spans="2:42" ht="15" customHeight="1">
      <c r="B28" s="357" t="s">
        <v>999</v>
      </c>
      <c r="D28" s="212"/>
      <c r="E28" s="261"/>
      <c r="F28" s="224" t="s">
        <v>1149</v>
      </c>
      <c r="G28" s="173" t="str">
        <f>$AI$20</f>
        <v>INDAWH</v>
      </c>
      <c r="H28" s="174"/>
      <c r="I28" s="174"/>
      <c r="K28" s="81"/>
      <c r="L28" s="333"/>
      <c r="M28" s="199"/>
      <c r="N28" s="81"/>
      <c r="O28" s="723"/>
      <c r="P28" s="723"/>
      <c r="Q28" s="81"/>
      <c r="R28" s="200"/>
      <c r="S28" s="772"/>
      <c r="T28" s="772"/>
      <c r="U28" s="199">
        <f ca="1">1-U27</f>
        <v>0.40476190476190477</v>
      </c>
      <c r="V28" s="772"/>
      <c r="W28" s="298"/>
      <c r="X28" s="698"/>
      <c r="Y28" s="81"/>
      <c r="Z28" s="81"/>
      <c r="AA28" s="81"/>
      <c r="AB28" s="81"/>
      <c r="AD28" s="81"/>
      <c r="AE28" s="81"/>
      <c r="AF28" s="220"/>
      <c r="AI28" s="224">
        <v>7</v>
      </c>
      <c r="AJ28" s="224" t="s">
        <v>716</v>
      </c>
    </row>
    <row r="29" spans="2:42">
      <c r="B29" s="357" t="s">
        <v>999</v>
      </c>
      <c r="D29" s="212"/>
      <c r="E29" s="212"/>
      <c r="F29" s="224" t="s">
        <v>1149</v>
      </c>
      <c r="G29" s="173" t="s">
        <v>499</v>
      </c>
      <c r="H29" s="174" t="str">
        <f>$AI$15</f>
        <v>IADSH</v>
      </c>
      <c r="I29" s="174"/>
      <c r="J29" s="224">
        <f t="shared" ref="J29" si="5">AD29</f>
        <v>2030</v>
      </c>
      <c r="K29" s="81"/>
      <c r="L29" s="333">
        <v>1</v>
      </c>
      <c r="M29" s="199">
        <f ca="1">VLOOKUP($AD29,INDIRECT("'"&amp;$B29&amp;"'!"&amp;"$P$39:$AD$42"),3,FALSE)</f>
        <v>1.69</v>
      </c>
      <c r="N29" s="81"/>
      <c r="O29" s="723">
        <f ca="1">VLOOKUP($AD29,INDIRECT("'"&amp;$B29&amp;"'!"&amp;"$P$39:$AD$42"),6,FALSE)/1000</f>
        <v>3.7995000000000001</v>
      </c>
      <c r="P29" s="723">
        <f ca="1">VLOOKUP($AD29,INDIRECT("'"&amp;$B29&amp;"'!"&amp;"$P$39:$AD$42"),7,FALSE)/1000</f>
        <v>1.49E-2</v>
      </c>
      <c r="Q29" s="81">
        <f ca="1">VLOOKUP($AD29,INDIRECT("'"&amp;$B29&amp;"'!"&amp;"$P$39:$AD$42"),8,FALSE)</f>
        <v>2.0694444444444446</v>
      </c>
      <c r="R29" s="300"/>
      <c r="S29" s="300"/>
      <c r="T29" s="300"/>
      <c r="U29" s="199">
        <f ca="1">1/M29</f>
        <v>0.59171597633136097</v>
      </c>
      <c r="V29" s="199"/>
      <c r="W29" s="298"/>
      <c r="X29" s="698">
        <f ca="1">IF(VLOOKUP($AD29,INDIRECT("'"&amp;$B29&amp;"'!"&amp;"$P$39:$AD$42"),11,FALSE)="Cf. the utilized electricity",0,VLOOKUP($AD29,INDIRECT("'"&amp;$B29&amp;"'!"&amp;"$P$39:$AD$42"),11,FALSE))</f>
        <v>0</v>
      </c>
      <c r="Y29" s="81">
        <f ca="1">VLOOKUP($AD29,INDIRECT("'"&amp;$B29&amp;"'!"&amp;"$P$39:$AD$42"),12,FALSE)</f>
        <v>0</v>
      </c>
      <c r="Z29" s="81">
        <f ca="1">VLOOKUP($AD29,INDIRECT("'"&amp;$B29&amp;"'!"&amp;"$P$39:$AD$42"),13,FALSE)</f>
        <v>0</v>
      </c>
      <c r="AA29" s="81">
        <f ca="1">VLOOKUP($AD29,INDIRECT("'"&amp;$B29&amp;"'!"&amp;"$P$39:$AD$42"),14,FALSE)</f>
        <v>0</v>
      </c>
      <c r="AB29" s="81">
        <f ca="1">VLOOKUP($AD29,INDIRECT("'"&amp;$B29&amp;"'!"&amp;"$P$39:$AD$42"),15,FALSE)</f>
        <v>0</v>
      </c>
      <c r="AD29" s="81">
        <v>2030</v>
      </c>
      <c r="AE29" s="81"/>
      <c r="AF29" s="220"/>
      <c r="AI29" s="224">
        <v>8</v>
      </c>
    </row>
    <row r="30" spans="2:42" ht="15" customHeight="1">
      <c r="B30" s="357" t="s">
        <v>999</v>
      </c>
      <c r="D30" s="212"/>
      <c r="E30" s="212"/>
      <c r="F30" s="224" t="s">
        <v>1149</v>
      </c>
      <c r="G30" s="173" t="str">
        <f>$AI$20</f>
        <v>INDAWH</v>
      </c>
      <c r="H30" s="174"/>
      <c r="I30" s="174"/>
      <c r="K30" s="81"/>
      <c r="L30" s="333"/>
      <c r="M30" s="199"/>
      <c r="N30" s="81"/>
      <c r="O30" s="723"/>
      <c r="P30" s="723"/>
      <c r="Q30" s="81"/>
      <c r="R30" s="300"/>
      <c r="S30" s="300"/>
      <c r="T30" s="300"/>
      <c r="U30" s="199">
        <f ca="1">1-U29</f>
        <v>0.40828402366863903</v>
      </c>
      <c r="V30" s="300"/>
      <c r="W30" s="298"/>
      <c r="X30" s="698"/>
      <c r="Y30" s="81"/>
      <c r="Z30" s="81"/>
      <c r="AA30" s="81"/>
      <c r="AB30" s="81"/>
      <c r="AD30" s="81"/>
      <c r="AE30" s="81"/>
      <c r="AF30" s="220"/>
      <c r="AI30" s="224">
        <v>9</v>
      </c>
      <c r="AJ30" s="224" t="s">
        <v>717</v>
      </c>
    </row>
    <row r="31" spans="2:42">
      <c r="B31" s="357" t="s">
        <v>999</v>
      </c>
      <c r="D31" s="212"/>
      <c r="E31" s="212"/>
      <c r="F31" s="224" t="s">
        <v>1149</v>
      </c>
      <c r="G31" s="173" t="s">
        <v>499</v>
      </c>
      <c r="H31" s="174" t="str">
        <f>$AI$15</f>
        <v>IADSH</v>
      </c>
      <c r="I31" s="174"/>
      <c r="J31" s="224">
        <f t="shared" ref="J31" si="6">AD31</f>
        <v>2050</v>
      </c>
      <c r="K31" s="81"/>
      <c r="L31" s="333">
        <v>1</v>
      </c>
      <c r="M31" s="199">
        <f ca="1">VLOOKUP($AD31,INDIRECT("'"&amp;$B31&amp;"'!"&amp;"$P$39:$AD$42"),3,FALSE)</f>
        <v>1.71</v>
      </c>
      <c r="N31" s="81"/>
      <c r="O31" s="723">
        <f ca="1">VLOOKUP($AD31,INDIRECT("'"&amp;$B31&amp;"'!"&amp;"$P$39:$AD$42"),6,FALSE)/1000</f>
        <v>3.427</v>
      </c>
      <c r="P31" s="723">
        <f ca="1">VLOOKUP($AD31,INDIRECT("'"&amp;$B31&amp;"'!"&amp;"$P$39:$AD$42"),7,FALSE)/1000</f>
        <v>1.49E-2</v>
      </c>
      <c r="Q31" s="81">
        <f ca="1">VLOOKUP($AD31,INDIRECT("'"&amp;$B31&amp;"'!"&amp;"$P$39:$AD$42"),8,FALSE)</f>
        <v>2.0487500000000001</v>
      </c>
      <c r="R31" s="300"/>
      <c r="S31" s="300"/>
      <c r="T31" s="300"/>
      <c r="U31" s="199">
        <f ca="1">1/M31</f>
        <v>0.58479532163742687</v>
      </c>
      <c r="V31" s="199"/>
      <c r="W31" s="298"/>
      <c r="X31" s="698">
        <f ca="1">IF(VLOOKUP($AD31,INDIRECT("'"&amp;$B31&amp;"'!"&amp;"$P$39:$AD$42"),11,FALSE)="Cf. the utilized electricity",0,VLOOKUP($AD31,INDIRECT("'"&amp;$B31&amp;"'!"&amp;"$P$39:$AD$42"),11,FALSE))</f>
        <v>0</v>
      </c>
      <c r="Y31" s="81">
        <f ca="1">VLOOKUP($AD31,INDIRECT("'"&amp;$B31&amp;"'!"&amp;"$P$39:$AD$42"),12,FALSE)</f>
        <v>0</v>
      </c>
      <c r="Z31" s="81">
        <f ca="1">VLOOKUP($AD31,INDIRECT("'"&amp;$B31&amp;"'!"&amp;"$P$39:$AD$42"),13,FALSE)</f>
        <v>0</v>
      </c>
      <c r="AA31" s="81">
        <f ca="1">VLOOKUP($AD31,INDIRECT("'"&amp;$B31&amp;"'!"&amp;"$P$39:$AD$42"),14,FALSE)</f>
        <v>0</v>
      </c>
      <c r="AB31" s="81">
        <f ca="1">VLOOKUP($AD31,INDIRECT("'"&amp;$B31&amp;"'!"&amp;"$P$39:$AD$42"),15,FALSE)</f>
        <v>0</v>
      </c>
      <c r="AD31" s="81">
        <v>2050</v>
      </c>
      <c r="AE31" s="81"/>
      <c r="AF31" s="220"/>
      <c r="AI31" s="224">
        <v>10</v>
      </c>
    </row>
    <row r="32" spans="2:42">
      <c r="B32" s="357" t="s">
        <v>999</v>
      </c>
      <c r="D32" s="212"/>
      <c r="E32" s="212"/>
      <c r="F32" s="224" t="s">
        <v>1149</v>
      </c>
      <c r="G32" s="173" t="str">
        <f>$AI$20</f>
        <v>INDAWH</v>
      </c>
      <c r="H32" s="174"/>
      <c r="I32" s="174"/>
      <c r="K32" s="81"/>
      <c r="L32" s="333"/>
      <c r="M32" s="199"/>
      <c r="N32" s="81"/>
      <c r="O32" s="723"/>
      <c r="P32" s="723"/>
      <c r="Q32" s="81"/>
      <c r="R32" s="300"/>
      <c r="S32" s="300"/>
      <c r="T32" s="300"/>
      <c r="U32" s="199">
        <f ca="1">1-U31</f>
        <v>0.41520467836257313</v>
      </c>
      <c r="V32" s="300"/>
      <c r="W32" s="298"/>
      <c r="X32" s="698"/>
      <c r="Y32" s="81"/>
      <c r="Z32" s="81"/>
      <c r="AA32" s="81"/>
      <c r="AB32" s="81"/>
      <c r="AD32" s="81"/>
      <c r="AE32" s="81"/>
      <c r="AF32" s="220"/>
      <c r="AI32" s="224">
        <v>11</v>
      </c>
      <c r="AJ32" s="224" t="s">
        <v>718</v>
      </c>
    </row>
    <row r="33" spans="2:36">
      <c r="B33" s="357" t="s">
        <v>1000</v>
      </c>
      <c r="D33" s="212" t="str">
        <f>"IND"&amp;RIGHT(H33,4)&amp;RIGHT(G33,3)&amp;"N"&amp;RIGHT(E33,1)</f>
        <v>INDADPHELCN3</v>
      </c>
      <c r="E33" s="261" t="str">
        <f>"Industrial heating technology "&amp;$AJ$12&amp;" "&amp;RIGHT(H33,2)&amp;" - High Temp abs. Heat pump utilizing waste heat - new 3"</f>
        <v>Industrial heating technology Aluminium PH - High Temp abs. Heat pump utilizing waste heat - new 3</v>
      </c>
      <c r="F33" s="224" t="s">
        <v>1149</v>
      </c>
      <c r="G33" s="173" t="s">
        <v>499</v>
      </c>
      <c r="H33" s="174" t="str">
        <f>$AI$14</f>
        <v>IADPH</v>
      </c>
      <c r="I33" s="174"/>
      <c r="J33" s="224">
        <f t="shared" ref="J33" si="7">AD33</f>
        <v>2020</v>
      </c>
      <c r="K33" s="81">
        <v>2020</v>
      </c>
      <c r="L33" s="333">
        <v>1</v>
      </c>
      <c r="M33" s="199">
        <f ca="1">VLOOKUP($AD33,INDIRECT("'"&amp;$B33&amp;"'!"&amp;"$P$39:$AD$42"),3,FALSE)</f>
        <v>2.75</v>
      </c>
      <c r="N33" s="81">
        <f ca="1">VLOOKUP($AD33,INDIRECT("'"&amp;$B33&amp;"'!"&amp;"$P$39:$AD$42"),5,FALSE)</f>
        <v>20</v>
      </c>
      <c r="O33" s="723">
        <f ca="1">VLOOKUP($AD33,INDIRECT("'"&amp;$B33&amp;"'!"&amp;"$P$39:$AD$42"),6,FALSE)/1000</f>
        <v>7.1394840000000004</v>
      </c>
      <c r="P33" s="723">
        <f ca="1">VLOOKUP($AD33,INDIRECT("'"&amp;$B33&amp;"'!"&amp;"$P$39:$AD$42"),7,FALSE)/1000</f>
        <v>7.2264999999999994E-3</v>
      </c>
      <c r="Q33" s="81">
        <f ca="1">VLOOKUP($AD33,INDIRECT("'"&amp;$B33&amp;"'!"&amp;"$P$39:$AD$42"),8,FALSE)</f>
        <v>6.7463888888888883</v>
      </c>
      <c r="R33" s="81">
        <v>3.1536000000000002E-2</v>
      </c>
      <c r="S33" s="199">
        <v>0.5</v>
      </c>
      <c r="T33" s="199">
        <f ca="1">HLOOKUP($T$2,INDIRECT("'"&amp;$B33&amp;"'!"&amp;"$P$6:$AC$19"),IF(H33=$AI$13,6,IF(H33=$AI$14,9,14)),FALSE)-T9</f>
        <v>0</v>
      </c>
      <c r="U33" s="199">
        <f ca="1">1/M33</f>
        <v>0.36363636363636365</v>
      </c>
      <c r="V33" s="199"/>
      <c r="W33" s="298"/>
      <c r="X33" s="698">
        <f ca="1">IF(VLOOKUP($AD33,INDIRECT("'"&amp;$B33&amp;"'!"&amp;"$P$39:$AD$42"),11,FALSE)="Cf. the utilized electricity",0,VLOOKUP($AD33,INDIRECT("'"&amp;$B33&amp;"'!"&amp;"$P$39:$AD$42"),11,FALSE))</f>
        <v>0</v>
      </c>
      <c r="Y33" s="81">
        <f ca="1">VLOOKUP($AD33,INDIRECT("'"&amp;$B33&amp;"'!"&amp;"$P$39:$AD$42"),12,FALSE)</f>
        <v>0</v>
      </c>
      <c r="Z33" s="81">
        <f ca="1">VLOOKUP($AD33,INDIRECT("'"&amp;$B33&amp;"'!"&amp;"$P$39:$AD$42"),13,FALSE)</f>
        <v>0</v>
      </c>
      <c r="AA33" s="81">
        <f ca="1">VLOOKUP($AD33,INDIRECT("'"&amp;$B33&amp;"'!"&amp;"$P$39:$AD$42"),14,FALSE)</f>
        <v>0</v>
      </c>
      <c r="AB33" s="81">
        <f ca="1">VLOOKUP($AD33,INDIRECT("'"&amp;$B33&amp;"'!"&amp;"$P$39:$AD$42"),15,FALSE)</f>
        <v>0</v>
      </c>
      <c r="AD33" s="81">
        <v>2020</v>
      </c>
      <c r="AE33" s="81"/>
      <c r="AF33" s="220"/>
      <c r="AI33" s="224">
        <v>12</v>
      </c>
    </row>
    <row r="34" spans="2:36">
      <c r="B34" s="357" t="s">
        <v>1000</v>
      </c>
      <c r="D34" s="212"/>
      <c r="E34" s="261"/>
      <c r="F34" s="224" t="s">
        <v>1149</v>
      </c>
      <c r="G34" s="173" t="str">
        <f>$AI$20</f>
        <v>INDAWH</v>
      </c>
      <c r="H34" s="174"/>
      <c r="I34" s="174"/>
      <c r="K34" s="81"/>
      <c r="L34" s="333"/>
      <c r="M34" s="199"/>
      <c r="N34" s="81"/>
      <c r="O34" s="723"/>
      <c r="P34" s="723"/>
      <c r="Q34" s="81"/>
      <c r="R34" s="200"/>
      <c r="S34" s="772"/>
      <c r="T34" s="772"/>
      <c r="U34" s="199">
        <f ca="1">1-U33</f>
        <v>0.63636363636363635</v>
      </c>
      <c r="V34" s="772"/>
      <c r="W34" s="298"/>
      <c r="X34" s="698"/>
      <c r="Y34" s="81"/>
      <c r="Z34" s="81"/>
      <c r="AA34" s="81"/>
      <c r="AB34" s="81"/>
      <c r="AD34" s="81"/>
      <c r="AE34" s="81"/>
      <c r="AF34" s="220"/>
      <c r="AI34" s="224">
        <v>13</v>
      </c>
      <c r="AJ34" s="224" t="s">
        <v>719</v>
      </c>
    </row>
    <row r="35" spans="2:36">
      <c r="B35" s="357" t="s">
        <v>1000</v>
      </c>
      <c r="D35" s="212"/>
      <c r="E35" s="212"/>
      <c r="F35" s="224" t="s">
        <v>1149</v>
      </c>
      <c r="G35" s="173" t="s">
        <v>499</v>
      </c>
      <c r="H35" s="174" t="str">
        <f>$AI$14</f>
        <v>IADPH</v>
      </c>
      <c r="I35" s="174"/>
      <c r="J35" s="224">
        <f t="shared" ref="J35" si="8">AD35</f>
        <v>2030</v>
      </c>
      <c r="K35" s="81"/>
      <c r="L35" s="333">
        <v>1</v>
      </c>
      <c r="M35" s="199">
        <f ca="1">VLOOKUP($AD35,INDIRECT("'"&amp;$B35&amp;"'!"&amp;"$P$39:$AD$42"),3,FALSE)</f>
        <v>2.875</v>
      </c>
      <c r="N35" s="81"/>
      <c r="O35" s="723">
        <f ca="1">VLOOKUP($AD35,INDIRECT("'"&amp;$B35&amp;"'!"&amp;"$P$39:$AD$42"),6,FALSE)/1000</f>
        <v>6.3822660000000013</v>
      </c>
      <c r="P35" s="723">
        <f ca="1">VLOOKUP($AD35,INDIRECT("'"&amp;$B35&amp;"'!"&amp;"$P$39:$AD$42"),7,FALSE)/1000</f>
        <v>6.4814999999999994E-3</v>
      </c>
      <c r="Q35" s="81">
        <f ca="1">VLOOKUP($AD35,INDIRECT("'"&amp;$B35&amp;"'!"&amp;"$P$39:$AD$42"),8,FALSE)</f>
        <v>6.6222222222222227</v>
      </c>
      <c r="R35" s="300"/>
      <c r="S35" s="300"/>
      <c r="T35" s="300"/>
      <c r="U35" s="199">
        <f ca="1">1/M35</f>
        <v>0.34782608695652173</v>
      </c>
      <c r="V35" s="199"/>
      <c r="W35" s="298"/>
      <c r="X35" s="698">
        <f ca="1">IF(VLOOKUP($AD35,INDIRECT("'"&amp;$B35&amp;"'!"&amp;"$P$39:$AD$42"),11,FALSE)="Cf. the utilized electricity",0,VLOOKUP($AD35,INDIRECT("'"&amp;$B35&amp;"'!"&amp;"$P$39:$AD$42"),11,FALSE))</f>
        <v>0</v>
      </c>
      <c r="Y35" s="81">
        <f ca="1">VLOOKUP($AD35,INDIRECT("'"&amp;$B35&amp;"'!"&amp;"$P$39:$AD$42"),12,FALSE)</f>
        <v>0</v>
      </c>
      <c r="Z35" s="81">
        <f ca="1">VLOOKUP($AD35,INDIRECT("'"&amp;$B35&amp;"'!"&amp;"$P$39:$AD$42"),13,FALSE)</f>
        <v>0</v>
      </c>
      <c r="AA35" s="81">
        <f ca="1">VLOOKUP($AD35,INDIRECT("'"&amp;$B35&amp;"'!"&amp;"$P$39:$AD$42"),14,FALSE)</f>
        <v>0</v>
      </c>
      <c r="AB35" s="81">
        <f ca="1">VLOOKUP($AD35,INDIRECT("'"&amp;$B35&amp;"'!"&amp;"$P$39:$AD$42"),15,FALSE)</f>
        <v>0</v>
      </c>
      <c r="AD35" s="81">
        <v>2030</v>
      </c>
      <c r="AE35" s="81"/>
      <c r="AF35" s="220"/>
      <c r="AI35" s="224">
        <v>14</v>
      </c>
    </row>
    <row r="36" spans="2:36">
      <c r="B36" s="357" t="s">
        <v>1000</v>
      </c>
      <c r="D36" s="212"/>
      <c r="E36" s="212"/>
      <c r="F36" s="224" t="s">
        <v>1149</v>
      </c>
      <c r="G36" s="173" t="str">
        <f>$AI$20</f>
        <v>INDAWH</v>
      </c>
      <c r="H36" s="174"/>
      <c r="I36" s="174"/>
      <c r="K36" s="81"/>
      <c r="L36" s="333"/>
      <c r="M36" s="199"/>
      <c r="N36" s="81"/>
      <c r="O36" s="723"/>
      <c r="P36" s="723"/>
      <c r="Q36" s="81"/>
      <c r="R36" s="300"/>
      <c r="S36" s="300"/>
      <c r="T36" s="300"/>
      <c r="U36" s="199">
        <f ca="1">1-U35</f>
        <v>0.65217391304347827</v>
      </c>
      <c r="V36" s="300"/>
      <c r="W36" s="298"/>
      <c r="X36" s="698"/>
      <c r="Y36" s="81"/>
      <c r="Z36" s="81"/>
      <c r="AA36" s="81"/>
      <c r="AB36" s="81"/>
      <c r="AD36" s="81"/>
      <c r="AE36" s="81"/>
      <c r="AF36" s="220"/>
    </row>
    <row r="37" spans="2:36">
      <c r="B37" s="357" t="s">
        <v>1000</v>
      </c>
      <c r="D37" s="212"/>
      <c r="E37" s="212"/>
      <c r="F37" s="224" t="s">
        <v>1149</v>
      </c>
      <c r="G37" s="173" t="s">
        <v>499</v>
      </c>
      <c r="H37" s="174" t="str">
        <f>$AI$14</f>
        <v>IADPH</v>
      </c>
      <c r="I37" s="174"/>
      <c r="J37" s="224">
        <f t="shared" ref="J37" si="9">AD37</f>
        <v>2050</v>
      </c>
      <c r="K37" s="81"/>
      <c r="L37" s="333">
        <v>1</v>
      </c>
      <c r="M37" s="199">
        <f ca="1">VLOOKUP($AD37,INDIRECT("'"&amp;$B37&amp;"'!"&amp;"$P$39:$AD$42"),3,FALSE)</f>
        <v>3.0249999999999999</v>
      </c>
      <c r="N37" s="81"/>
      <c r="O37" s="723">
        <f ca="1">VLOOKUP($AD37,INDIRECT("'"&amp;$B37&amp;"'!"&amp;"$P$39:$AD$42"),6,FALSE)/1000</f>
        <v>5.7365000000000004</v>
      </c>
      <c r="P37" s="723">
        <f ca="1">VLOOKUP($AD37,INDIRECT("'"&amp;$B37&amp;"'!"&amp;"$P$39:$AD$42"),7,FALSE)/1000</f>
        <v>5.3639999999999998E-3</v>
      </c>
      <c r="Q37" s="81">
        <f ca="1">VLOOKUP($AD37,INDIRECT("'"&amp;$B37&amp;"'!"&amp;"$P$39:$AD$42"),8,FALSE)</f>
        <v>6.4566666666666661</v>
      </c>
      <c r="R37" s="300"/>
      <c r="S37" s="300"/>
      <c r="T37" s="300"/>
      <c r="U37" s="199">
        <f ca="1">1/M37</f>
        <v>0.33057851239669422</v>
      </c>
      <c r="V37" s="199"/>
      <c r="W37" s="298"/>
      <c r="X37" s="698">
        <f ca="1">IF(VLOOKUP($AD37,INDIRECT("'"&amp;$B37&amp;"'!"&amp;"$P$39:$AD$42"),11,FALSE)="Cf. the utilized electricity",0,VLOOKUP($AD37,INDIRECT("'"&amp;$B37&amp;"'!"&amp;"$P$39:$AD$42"),11,FALSE))</f>
        <v>0</v>
      </c>
      <c r="Y37" s="81">
        <f ca="1">VLOOKUP($AD37,INDIRECT("'"&amp;$B37&amp;"'!"&amp;"$P$39:$AD$42"),12,FALSE)</f>
        <v>0</v>
      </c>
      <c r="Z37" s="81">
        <f ca="1">VLOOKUP($AD37,INDIRECT("'"&amp;$B37&amp;"'!"&amp;"$P$39:$AD$42"),13,FALSE)</f>
        <v>0</v>
      </c>
      <c r="AA37" s="81">
        <f ca="1">VLOOKUP($AD37,INDIRECT("'"&amp;$B37&amp;"'!"&amp;"$P$39:$AD$42"),14,FALSE)</f>
        <v>0</v>
      </c>
      <c r="AB37" s="81">
        <f ca="1">VLOOKUP($AD37,INDIRECT("'"&amp;$B37&amp;"'!"&amp;"$P$39:$AD$42"),15,FALSE)</f>
        <v>0</v>
      </c>
      <c r="AD37" s="81">
        <v>2050</v>
      </c>
      <c r="AE37" s="81"/>
      <c r="AF37" s="220"/>
    </row>
    <row r="38" spans="2:36">
      <c r="B38" s="357" t="s">
        <v>1000</v>
      </c>
      <c r="D38" s="212"/>
      <c r="E38" s="212"/>
      <c r="F38" s="224" t="s">
        <v>1149</v>
      </c>
      <c r="G38" s="173" t="str">
        <f>$AI$20</f>
        <v>INDAWH</v>
      </c>
      <c r="H38" s="174"/>
      <c r="I38" s="174"/>
      <c r="K38" s="81"/>
      <c r="L38" s="333"/>
      <c r="M38" s="199"/>
      <c r="N38" s="81"/>
      <c r="O38" s="723"/>
      <c r="P38" s="723"/>
      <c r="Q38" s="81"/>
      <c r="R38" s="300"/>
      <c r="S38" s="300"/>
      <c r="T38" s="300"/>
      <c r="U38" s="199">
        <f ca="1">1-U37</f>
        <v>0.66942148760330578</v>
      </c>
      <c r="V38" s="300"/>
      <c r="W38" s="298"/>
      <c r="X38" s="698"/>
      <c r="Y38" s="81"/>
      <c r="Z38" s="81"/>
      <c r="AA38" s="81"/>
      <c r="AB38" s="81"/>
      <c r="AD38" s="81"/>
      <c r="AE38" s="81"/>
      <c r="AF38" s="220"/>
    </row>
    <row r="39" spans="2:36">
      <c r="B39" s="357" t="s">
        <v>1000</v>
      </c>
      <c r="D39" s="212" t="str">
        <f>"IND"&amp;RIGHT(H39,4)&amp;RIGHT(G39,3)&amp;"N"&amp;RIGHT(E39,1)</f>
        <v>INDADSHELCN3</v>
      </c>
      <c r="E39" s="261" t="str">
        <f>"Industrial heating technology "&amp;$AJ$12&amp;" "&amp;RIGHT(H39,2)&amp;" - High Temp abs. Heat pump utilizing waste heat - new 3"</f>
        <v>Industrial heating technology Aluminium SH - High Temp abs. Heat pump utilizing waste heat - new 3</v>
      </c>
      <c r="F39" s="224" t="s">
        <v>1149</v>
      </c>
      <c r="G39" s="173" t="s">
        <v>499</v>
      </c>
      <c r="H39" s="174" t="str">
        <f>$AI$15</f>
        <v>IADSH</v>
      </c>
      <c r="I39" s="174"/>
      <c r="J39" s="224">
        <f t="shared" ref="J39" si="10">AD39</f>
        <v>2020</v>
      </c>
      <c r="K39" s="81">
        <v>2020</v>
      </c>
      <c r="L39" s="333">
        <v>1</v>
      </c>
      <c r="M39" s="199">
        <f ca="1">VLOOKUP($AD39,INDIRECT("'"&amp;$B39&amp;"'!"&amp;"$P$39:$AD$42"),3,FALSE)</f>
        <v>2.75</v>
      </c>
      <c r="N39" s="81">
        <f ca="1">VLOOKUP($AD39,INDIRECT("'"&amp;$B39&amp;"'!"&amp;"$P$39:$AD$42"),5,FALSE)</f>
        <v>20</v>
      </c>
      <c r="O39" s="723">
        <f ca="1">VLOOKUP($AD39,INDIRECT("'"&amp;$B39&amp;"'!"&amp;"$P$39:$AD$42"),6,FALSE)/1000</f>
        <v>7.1394840000000004</v>
      </c>
      <c r="P39" s="723">
        <f ca="1">VLOOKUP($AD39,INDIRECT("'"&amp;$B39&amp;"'!"&amp;"$P$39:$AD$42"),7,FALSE)/1000</f>
        <v>7.2264999999999994E-3</v>
      </c>
      <c r="Q39" s="81">
        <f ca="1">VLOOKUP($AD39,INDIRECT("'"&amp;$B39&amp;"'!"&amp;"$P$39:$AD$42"),8,FALSE)</f>
        <v>6.7463888888888883</v>
      </c>
      <c r="R39" s="81">
        <v>3.1536000000000002E-2</v>
      </c>
      <c r="S39" s="199">
        <v>0.5</v>
      </c>
      <c r="T39" s="199">
        <f ca="1">HLOOKUP($T$2,INDIRECT("'"&amp;$B39&amp;"'!"&amp;"$P$6:$AC$19"),IF(H39=$AI$13,6,IF(H39=$AI$14,9,14)),FALSE)</f>
        <v>1</v>
      </c>
      <c r="U39" s="199">
        <f ca="1">1/M39</f>
        <v>0.36363636363636365</v>
      </c>
      <c r="V39" s="199"/>
      <c r="W39" s="298"/>
      <c r="X39" s="698">
        <f ca="1">IF(VLOOKUP($AD39,INDIRECT("'"&amp;$B39&amp;"'!"&amp;"$P$39:$AD$42"),11,FALSE)="Cf. the utilized electricity",0,VLOOKUP($AD39,INDIRECT("'"&amp;$B39&amp;"'!"&amp;"$P$39:$AD$42"),11,FALSE))</f>
        <v>0</v>
      </c>
      <c r="Y39" s="81">
        <f ca="1">VLOOKUP($AD39,INDIRECT("'"&amp;$B39&amp;"'!"&amp;"$P$39:$AD$42"),12,FALSE)</f>
        <v>0</v>
      </c>
      <c r="Z39" s="81">
        <f ca="1">VLOOKUP($AD39,INDIRECT("'"&amp;$B39&amp;"'!"&amp;"$P$39:$AD$42"),13,FALSE)</f>
        <v>0</v>
      </c>
      <c r="AA39" s="81">
        <f ca="1">VLOOKUP($AD39,INDIRECT("'"&amp;$B39&amp;"'!"&amp;"$P$39:$AD$42"),14,FALSE)</f>
        <v>0</v>
      </c>
      <c r="AB39" s="81">
        <f ca="1">VLOOKUP($AD39,INDIRECT("'"&amp;$B39&amp;"'!"&amp;"$P$39:$AD$42"),15,FALSE)</f>
        <v>0</v>
      </c>
      <c r="AD39" s="81">
        <v>2020</v>
      </c>
      <c r="AE39" s="81"/>
      <c r="AF39" s="220"/>
    </row>
    <row r="40" spans="2:36">
      <c r="B40" s="357" t="s">
        <v>1000</v>
      </c>
      <c r="D40" s="212"/>
      <c r="E40" s="261"/>
      <c r="F40" s="224" t="s">
        <v>1149</v>
      </c>
      <c r="G40" s="173" t="str">
        <f>$AI$20</f>
        <v>INDAWH</v>
      </c>
      <c r="H40" s="174"/>
      <c r="I40" s="174"/>
      <c r="K40" s="81"/>
      <c r="L40" s="333"/>
      <c r="M40" s="199"/>
      <c r="N40" s="81"/>
      <c r="O40" s="723"/>
      <c r="P40" s="723"/>
      <c r="Q40" s="81"/>
      <c r="R40" s="200"/>
      <c r="S40" s="772"/>
      <c r="T40" s="772"/>
      <c r="U40" s="199">
        <f ca="1">1-U39</f>
        <v>0.63636363636363635</v>
      </c>
      <c r="V40" s="772"/>
      <c r="W40" s="298"/>
      <c r="X40" s="698"/>
      <c r="Y40" s="81"/>
      <c r="Z40" s="81"/>
      <c r="AA40" s="81"/>
      <c r="AB40" s="81"/>
      <c r="AD40" s="81"/>
      <c r="AE40" s="81"/>
      <c r="AF40" s="220"/>
    </row>
    <row r="41" spans="2:36">
      <c r="B41" s="357" t="s">
        <v>1000</v>
      </c>
      <c r="D41" s="212"/>
      <c r="E41" s="212"/>
      <c r="F41" s="224" t="s">
        <v>1149</v>
      </c>
      <c r="G41" s="173" t="s">
        <v>499</v>
      </c>
      <c r="H41" s="174" t="str">
        <f>$AI$15</f>
        <v>IADSH</v>
      </c>
      <c r="I41" s="174"/>
      <c r="J41" s="224">
        <f t="shared" ref="J41" si="11">AD41</f>
        <v>2030</v>
      </c>
      <c r="K41" s="81"/>
      <c r="L41" s="333">
        <v>1</v>
      </c>
      <c r="M41" s="199">
        <f ca="1">VLOOKUP($AD41,INDIRECT("'"&amp;$B41&amp;"'!"&amp;"$P$39:$AD$42"),3,FALSE)</f>
        <v>2.875</v>
      </c>
      <c r="N41" s="81"/>
      <c r="O41" s="723">
        <f ca="1">VLOOKUP($AD41,INDIRECT("'"&amp;$B41&amp;"'!"&amp;"$P$39:$AD$42"),6,FALSE)/1000</f>
        <v>6.3822660000000013</v>
      </c>
      <c r="P41" s="723">
        <f ca="1">VLOOKUP($AD41,INDIRECT("'"&amp;$B41&amp;"'!"&amp;"$P$39:$AD$42"),7,FALSE)/1000</f>
        <v>6.4814999999999994E-3</v>
      </c>
      <c r="Q41" s="81">
        <f ca="1">VLOOKUP($AD41,INDIRECT("'"&amp;$B41&amp;"'!"&amp;"$P$39:$AD$42"),8,FALSE)</f>
        <v>6.6222222222222227</v>
      </c>
      <c r="R41" s="300"/>
      <c r="S41" s="300"/>
      <c r="T41" s="300"/>
      <c r="U41" s="199">
        <f ca="1">1/M41</f>
        <v>0.34782608695652173</v>
      </c>
      <c r="V41" s="199"/>
      <c r="W41" s="298"/>
      <c r="X41" s="698">
        <f ca="1">IF(VLOOKUP($AD41,INDIRECT("'"&amp;$B41&amp;"'!"&amp;"$P$39:$AD$42"),11,FALSE)="Cf. the utilized electricity",0,VLOOKUP($AD41,INDIRECT("'"&amp;$B41&amp;"'!"&amp;"$P$39:$AD$42"),11,FALSE))</f>
        <v>0</v>
      </c>
      <c r="Y41" s="81">
        <f ca="1">VLOOKUP($AD41,INDIRECT("'"&amp;$B41&amp;"'!"&amp;"$P$39:$AD$42"),12,FALSE)</f>
        <v>0</v>
      </c>
      <c r="Z41" s="81">
        <f ca="1">VLOOKUP($AD41,INDIRECT("'"&amp;$B41&amp;"'!"&amp;"$P$39:$AD$42"),13,FALSE)</f>
        <v>0</v>
      </c>
      <c r="AA41" s="81">
        <f ca="1">VLOOKUP($AD41,INDIRECT("'"&amp;$B41&amp;"'!"&amp;"$P$39:$AD$42"),14,FALSE)</f>
        <v>0</v>
      </c>
      <c r="AB41" s="81">
        <f ca="1">VLOOKUP($AD41,INDIRECT("'"&amp;$B41&amp;"'!"&amp;"$P$39:$AD$42"),15,FALSE)</f>
        <v>0</v>
      </c>
      <c r="AD41" s="81">
        <v>2030</v>
      </c>
      <c r="AE41" s="81"/>
      <c r="AF41" s="220"/>
    </row>
    <row r="42" spans="2:36">
      <c r="B42" s="357" t="s">
        <v>1000</v>
      </c>
      <c r="D42" s="212"/>
      <c r="E42" s="212"/>
      <c r="F42" s="224" t="s">
        <v>1149</v>
      </c>
      <c r="G42" s="173" t="str">
        <f>$AI$20</f>
        <v>INDAWH</v>
      </c>
      <c r="H42" s="174"/>
      <c r="I42" s="174"/>
      <c r="K42" s="81"/>
      <c r="L42" s="333"/>
      <c r="M42" s="199"/>
      <c r="N42" s="81"/>
      <c r="O42" s="723"/>
      <c r="P42" s="723"/>
      <c r="Q42" s="81"/>
      <c r="R42" s="300"/>
      <c r="S42" s="300"/>
      <c r="T42" s="300"/>
      <c r="U42" s="199">
        <f ca="1">1-U41</f>
        <v>0.65217391304347827</v>
      </c>
      <c r="V42" s="300"/>
      <c r="W42" s="298"/>
      <c r="X42" s="698"/>
      <c r="Y42" s="81"/>
      <c r="Z42" s="81"/>
      <c r="AA42" s="81"/>
      <c r="AB42" s="81"/>
      <c r="AD42" s="81"/>
      <c r="AE42" s="81"/>
      <c r="AF42" s="220"/>
    </row>
    <row r="43" spans="2:36">
      <c r="B43" s="357" t="s">
        <v>1000</v>
      </c>
      <c r="D43" s="212"/>
      <c r="E43" s="212"/>
      <c r="F43" s="224" t="s">
        <v>1149</v>
      </c>
      <c r="G43" s="173" t="s">
        <v>499</v>
      </c>
      <c r="H43" s="174" t="str">
        <f>$AI$15</f>
        <v>IADSH</v>
      </c>
      <c r="I43" s="174"/>
      <c r="J43" s="224">
        <f t="shared" ref="J43" si="12">AD43</f>
        <v>2050</v>
      </c>
      <c r="K43" s="81"/>
      <c r="L43" s="333">
        <v>1</v>
      </c>
      <c r="M43" s="199">
        <f ca="1">VLOOKUP($AD43,INDIRECT("'"&amp;$B43&amp;"'!"&amp;"$P$39:$AD$42"),3,FALSE)</f>
        <v>3.0249999999999999</v>
      </c>
      <c r="N43" s="81"/>
      <c r="O43" s="723">
        <f ca="1">VLOOKUP($AD43,INDIRECT("'"&amp;$B43&amp;"'!"&amp;"$P$39:$AD$42"),6,FALSE)/1000</f>
        <v>5.7365000000000004</v>
      </c>
      <c r="P43" s="723">
        <f ca="1">VLOOKUP($AD43,INDIRECT("'"&amp;$B43&amp;"'!"&amp;"$P$39:$AD$42"),7,FALSE)/1000</f>
        <v>5.3639999999999998E-3</v>
      </c>
      <c r="Q43" s="81">
        <f ca="1">VLOOKUP($AD43,INDIRECT("'"&amp;$B43&amp;"'!"&amp;"$P$39:$AD$42"),8,FALSE)</f>
        <v>6.4566666666666661</v>
      </c>
      <c r="R43" s="300"/>
      <c r="S43" s="300"/>
      <c r="T43" s="300"/>
      <c r="U43" s="199">
        <f ca="1">1/M43</f>
        <v>0.33057851239669422</v>
      </c>
      <c r="V43" s="199"/>
      <c r="W43" s="298"/>
      <c r="X43" s="698">
        <f ca="1">IF(VLOOKUP($AD43,INDIRECT("'"&amp;$B43&amp;"'!"&amp;"$P$39:$AD$42"),11,FALSE)="Cf. the utilized electricity",0,VLOOKUP($AD43,INDIRECT("'"&amp;$B43&amp;"'!"&amp;"$P$39:$AD$42"),11,FALSE))</f>
        <v>0</v>
      </c>
      <c r="Y43" s="81">
        <f ca="1">VLOOKUP($AD43,INDIRECT("'"&amp;$B43&amp;"'!"&amp;"$P$39:$AD$42"),12,FALSE)</f>
        <v>0</v>
      </c>
      <c r="Z43" s="81">
        <f ca="1">VLOOKUP($AD43,INDIRECT("'"&amp;$B43&amp;"'!"&amp;"$P$39:$AD$42"),13,FALSE)</f>
        <v>0</v>
      </c>
      <c r="AA43" s="81">
        <f ca="1">VLOOKUP($AD43,INDIRECT("'"&amp;$B43&amp;"'!"&amp;"$P$39:$AD$42"),14,FALSE)</f>
        <v>0</v>
      </c>
      <c r="AB43" s="81">
        <f ca="1">VLOOKUP($AD43,INDIRECT("'"&amp;$B43&amp;"'!"&amp;"$P$39:$AD$42"),15,FALSE)</f>
        <v>0</v>
      </c>
      <c r="AD43" s="81">
        <v>2050</v>
      </c>
      <c r="AE43" s="81"/>
      <c r="AF43" s="220"/>
    </row>
    <row r="44" spans="2:36">
      <c r="B44" s="357" t="s">
        <v>1000</v>
      </c>
      <c r="D44" s="212"/>
      <c r="E44" s="212"/>
      <c r="F44" s="224" t="s">
        <v>1149</v>
      </c>
      <c r="G44" s="173" t="str">
        <f>$AI$20</f>
        <v>INDAWH</v>
      </c>
      <c r="H44" s="174"/>
      <c r="I44" s="174"/>
      <c r="K44" s="81"/>
      <c r="L44" s="333"/>
      <c r="M44" s="199"/>
      <c r="N44" s="81"/>
      <c r="O44" s="723"/>
      <c r="P44" s="723"/>
      <c r="Q44" s="81"/>
      <c r="R44" s="300"/>
      <c r="S44" s="300"/>
      <c r="T44" s="300"/>
      <c r="U44" s="199">
        <f ca="1">1-U43</f>
        <v>0.66942148760330578</v>
      </c>
      <c r="V44" s="300"/>
      <c r="W44" s="298"/>
      <c r="X44" s="698"/>
      <c r="Y44" s="81"/>
      <c r="Z44" s="81"/>
      <c r="AA44" s="81"/>
      <c r="AB44" s="81"/>
      <c r="AD44" s="81"/>
      <c r="AE44" s="81"/>
      <c r="AF44" s="220"/>
    </row>
    <row r="45" spans="2:36">
      <c r="B45" s="357" t="s">
        <v>1001</v>
      </c>
      <c r="D45" s="212" t="str">
        <f>"IND"&amp;RIGHT(H45,4)&amp;RIGHT(G45,3)&amp;"N"&amp;RIGHT(E45,1)</f>
        <v>INDADPHELCN4</v>
      </c>
      <c r="E45" s="261" t="str">
        <f>"Industrial heating technology "&amp;$AJ$12&amp;" "&amp;RIGHT(H45,2)&amp;" - Booster Heat pump utilizing waste heat - new 4"</f>
        <v>Industrial heating technology Aluminium PH - Booster Heat pump utilizing waste heat - new 4</v>
      </c>
      <c r="F45" s="224" t="s">
        <v>1149</v>
      </c>
      <c r="G45" s="173" t="s">
        <v>499</v>
      </c>
      <c r="H45" s="174" t="str">
        <f>$AI$14</f>
        <v>IADPH</v>
      </c>
      <c r="I45" s="174"/>
      <c r="J45" s="224">
        <f t="shared" ref="J45" si="13">AD45</f>
        <v>2020</v>
      </c>
      <c r="K45" s="81">
        <v>2020</v>
      </c>
      <c r="L45" s="333">
        <v>1</v>
      </c>
      <c r="M45" s="199">
        <f ca="1">VLOOKUP($AD45,INDIRECT("'"&amp;$B45&amp;"'!"&amp;"$P$39:$AD$42"),3,FALSE)</f>
        <v>1.93</v>
      </c>
      <c r="N45" s="81">
        <f ca="1">VLOOKUP($AD45,INDIRECT("'"&amp;$B45&amp;"'!"&amp;"$P$39:$AD$42"),5,FALSE)</f>
        <v>20</v>
      </c>
      <c r="O45" s="723">
        <f ca="1">VLOOKUP($AD45,INDIRECT("'"&amp;$B45&amp;"'!"&amp;"$P$39:$AD$42"),6,FALSE)/1000</f>
        <v>12.158890687341184</v>
      </c>
      <c r="P45" s="723">
        <f ca="1">VLOOKUP($AD45,INDIRECT("'"&amp;$B45&amp;"'!"&amp;"$P$39:$AD$42"),7,FALSE)/1000</f>
        <v>1.49E-2</v>
      </c>
      <c r="Q45" s="81">
        <f ca="1">VLOOKUP($AD45,INDIRECT("'"&amp;$B45&amp;"'!"&amp;"$P$39:$AD$42"),8,FALSE)</f>
        <v>7.1188888888888897</v>
      </c>
      <c r="R45" s="81">
        <v>3.1536000000000002E-2</v>
      </c>
      <c r="S45" s="199">
        <v>0.5</v>
      </c>
      <c r="T45" s="199">
        <f ca="1">HLOOKUP($T$2,INDIRECT("'"&amp;$B45&amp;"'!"&amp;"$P$6:$AC$19"),IF(H45=$AI$13,6,IF(H45=$AI$14,9,14)),FALSE)-T9</f>
        <v>0</v>
      </c>
      <c r="U45" s="199">
        <f ca="1">1/M45</f>
        <v>0.5181347150259068</v>
      </c>
      <c r="V45" s="199"/>
      <c r="W45" s="298"/>
      <c r="X45" s="698">
        <f ca="1">IF(VLOOKUP($AD45,INDIRECT("'"&amp;$B45&amp;"'!"&amp;"$P$39:$AD$42"),11,FALSE)="Cf. the utilized electricity",0,VLOOKUP($AD45,INDIRECT("'"&amp;$B45&amp;"'!"&amp;"$P$39:$AD$42"),11,FALSE))</f>
        <v>0</v>
      </c>
      <c r="Y45" s="81">
        <f ca="1">VLOOKUP($AD45,INDIRECT("'"&amp;$B45&amp;"'!"&amp;"$P$39:$AD$42"),12,FALSE)</f>
        <v>0</v>
      </c>
      <c r="Z45" s="81">
        <f ca="1">VLOOKUP($AD45,INDIRECT("'"&amp;$B45&amp;"'!"&amp;"$P$39:$AD$42"),13,FALSE)</f>
        <v>0</v>
      </c>
      <c r="AA45" s="81">
        <f ca="1">VLOOKUP($AD45,INDIRECT("'"&amp;$B45&amp;"'!"&amp;"$P$39:$AD$42"),14,FALSE)</f>
        <v>0</v>
      </c>
      <c r="AB45" s="81">
        <f ca="1">VLOOKUP($AD45,INDIRECT("'"&amp;$B45&amp;"'!"&amp;"$P$39:$AD$42"),15,FALSE)</f>
        <v>0</v>
      </c>
      <c r="AD45" s="81">
        <v>2020</v>
      </c>
      <c r="AE45" s="81"/>
      <c r="AF45" s="220"/>
    </row>
    <row r="46" spans="2:36">
      <c r="B46" s="357" t="s">
        <v>1001</v>
      </c>
      <c r="D46" s="212"/>
      <c r="E46" s="261"/>
      <c r="F46" s="224" t="s">
        <v>1149</v>
      </c>
      <c r="G46" s="173" t="str">
        <f>$AI$20</f>
        <v>INDAWH</v>
      </c>
      <c r="H46" s="174"/>
      <c r="I46" s="174"/>
      <c r="K46" s="81"/>
      <c r="L46" s="333"/>
      <c r="M46" s="199"/>
      <c r="N46" s="81"/>
      <c r="O46" s="723"/>
      <c r="P46" s="723"/>
      <c r="Q46" s="81"/>
      <c r="R46" s="200"/>
      <c r="S46" s="772"/>
      <c r="T46" s="772"/>
      <c r="U46" s="199">
        <f ca="1">1-U45</f>
        <v>0.4818652849740932</v>
      </c>
      <c r="V46" s="772"/>
      <c r="W46" s="298"/>
      <c r="X46" s="698"/>
      <c r="Y46" s="81"/>
      <c r="Z46" s="81"/>
      <c r="AA46" s="81"/>
      <c r="AB46" s="81"/>
      <c r="AD46" s="81"/>
      <c r="AE46" s="81"/>
      <c r="AF46" s="220"/>
    </row>
    <row r="47" spans="2:36">
      <c r="B47" s="357" t="s">
        <v>1001</v>
      </c>
      <c r="D47" s="212"/>
      <c r="E47" s="212"/>
      <c r="F47" s="224" t="s">
        <v>1149</v>
      </c>
      <c r="G47" s="173" t="s">
        <v>499</v>
      </c>
      <c r="H47" s="174" t="str">
        <f>$AI$14</f>
        <v>IADPH</v>
      </c>
      <c r="I47" s="174"/>
      <c r="J47" s="224">
        <f t="shared" ref="J47" si="14">AD47</f>
        <v>2030</v>
      </c>
      <c r="K47" s="81"/>
      <c r="L47" s="333">
        <v>1</v>
      </c>
      <c r="M47" s="199">
        <f ca="1">VLOOKUP($AD47,INDIRECT("'"&amp;$B47&amp;"'!"&amp;"$P$39:$AD$42"),3,FALSE)</f>
        <v>1.9894000000000001</v>
      </c>
      <c r="N47" s="81"/>
      <c r="O47" s="723">
        <f ca="1">VLOOKUP($AD47,INDIRECT("'"&amp;$B47&amp;"'!"&amp;"$P$39:$AD$42"),6,FALSE)/1000</f>
        <v>9.8570539139933757</v>
      </c>
      <c r="P47" s="723">
        <f ca="1">VLOOKUP($AD47,INDIRECT("'"&amp;$B47&amp;"'!"&amp;"$P$39:$AD$42"),7,FALSE)/1000</f>
        <v>1.49E-2</v>
      </c>
      <c r="Q47" s="81">
        <f ca="1">VLOOKUP($AD47,INDIRECT("'"&amp;$B47&amp;"'!"&amp;"$P$39:$AD$42"),8,FALSE)</f>
        <v>6.9740277777777777</v>
      </c>
      <c r="R47" s="300"/>
      <c r="S47" s="300"/>
      <c r="T47" s="300"/>
      <c r="U47" s="199">
        <f ca="1">1/M47</f>
        <v>0.50266411983512616</v>
      </c>
      <c r="V47" s="199"/>
      <c r="W47" s="298"/>
      <c r="X47" s="698">
        <f ca="1">IF(VLOOKUP($AD47,INDIRECT("'"&amp;$B47&amp;"'!"&amp;"$P$39:$AD$42"),11,FALSE)="Cf. the utilized electricity",0,VLOOKUP($AD47,INDIRECT("'"&amp;$B47&amp;"'!"&amp;"$P$39:$AD$42"),11,FALSE))</f>
        <v>0</v>
      </c>
      <c r="Y47" s="81">
        <f ca="1">VLOOKUP($AD47,INDIRECT("'"&amp;$B47&amp;"'!"&amp;"$P$39:$AD$42"),12,FALSE)</f>
        <v>0</v>
      </c>
      <c r="Z47" s="81">
        <f ca="1">VLOOKUP($AD47,INDIRECT("'"&amp;$B47&amp;"'!"&amp;"$P$39:$AD$42"),13,FALSE)</f>
        <v>0</v>
      </c>
      <c r="AA47" s="81">
        <f ca="1">VLOOKUP($AD47,INDIRECT("'"&amp;$B47&amp;"'!"&amp;"$P$39:$AD$42"),14,FALSE)</f>
        <v>0</v>
      </c>
      <c r="AB47" s="81">
        <f ca="1">VLOOKUP($AD47,INDIRECT("'"&amp;$B47&amp;"'!"&amp;"$P$39:$AD$42"),15,FALSE)</f>
        <v>0</v>
      </c>
      <c r="AD47" s="81">
        <v>2030</v>
      </c>
      <c r="AE47" s="81"/>
      <c r="AF47" s="220"/>
    </row>
    <row r="48" spans="2:36">
      <c r="B48" s="357" t="s">
        <v>1001</v>
      </c>
      <c r="D48" s="212"/>
      <c r="E48" s="212"/>
      <c r="F48" s="224" t="s">
        <v>1149</v>
      </c>
      <c r="G48" s="173" t="str">
        <f>$AI$20</f>
        <v>INDAWH</v>
      </c>
      <c r="H48" s="174"/>
      <c r="I48" s="174"/>
      <c r="K48" s="81"/>
      <c r="L48" s="333"/>
      <c r="M48" s="199"/>
      <c r="N48" s="81"/>
      <c r="O48" s="723"/>
      <c r="P48" s="723"/>
      <c r="Q48" s="81"/>
      <c r="R48" s="300"/>
      <c r="S48" s="300"/>
      <c r="T48" s="300"/>
      <c r="U48" s="199">
        <f ca="1">1-U47</f>
        <v>0.49733588016487384</v>
      </c>
      <c r="V48" s="300"/>
      <c r="W48" s="298"/>
      <c r="X48" s="698"/>
      <c r="Y48" s="81"/>
      <c r="Z48" s="81"/>
      <c r="AA48" s="81"/>
      <c r="AB48" s="81"/>
      <c r="AD48" s="81"/>
      <c r="AE48" s="81"/>
      <c r="AF48" s="220"/>
    </row>
    <row r="49" spans="2:32">
      <c r="B49" s="357" t="s">
        <v>1001</v>
      </c>
      <c r="D49" s="212"/>
      <c r="E49" s="212"/>
      <c r="F49" s="224" t="s">
        <v>1149</v>
      </c>
      <c r="G49" s="173" t="s">
        <v>499</v>
      </c>
      <c r="H49" s="174" t="str">
        <f>$AI$14</f>
        <v>IADPH</v>
      </c>
      <c r="I49" s="174"/>
      <c r="J49" s="224">
        <f t="shared" ref="J49" si="15">AD49</f>
        <v>2050</v>
      </c>
      <c r="K49" s="81"/>
      <c r="L49" s="333">
        <v>1</v>
      </c>
      <c r="M49" s="199">
        <f ca="1">VLOOKUP($AD49,INDIRECT("'"&amp;$B49&amp;"'!"&amp;"$P$39:$AD$42"),3,FALSE)</f>
        <v>2.0509898799999999</v>
      </c>
      <c r="N49" s="81"/>
      <c r="O49" s="723">
        <f ca="1">VLOOKUP($AD49,INDIRECT("'"&amp;$B49&amp;"'!"&amp;"$P$39:$AD$42"),6,FALSE)/1000</f>
        <v>6.955935359434223</v>
      </c>
      <c r="P49" s="723">
        <f ca="1">VLOOKUP($AD49,INDIRECT("'"&amp;$B49&amp;"'!"&amp;"$P$39:$AD$42"),7,FALSE)/1000</f>
        <v>1.49E-2</v>
      </c>
      <c r="Q49" s="81">
        <f ca="1">VLOOKUP($AD49,INDIRECT("'"&amp;$B49&amp;"'!"&amp;"$P$39:$AD$42"),8,FALSE)</f>
        <v>6.7877777777777784</v>
      </c>
      <c r="R49" s="300"/>
      <c r="S49" s="300"/>
      <c r="T49" s="300"/>
      <c r="U49" s="199">
        <f ca="1">1/M49</f>
        <v>0.48756944622271858</v>
      </c>
      <c r="V49" s="199"/>
      <c r="W49" s="298"/>
      <c r="X49" s="698">
        <f ca="1">IF(VLOOKUP($AD49,INDIRECT("'"&amp;$B49&amp;"'!"&amp;"$P$39:$AD$42"),11,FALSE)="Cf. the utilized electricity",0,VLOOKUP($AD49,INDIRECT("'"&amp;$B49&amp;"'!"&amp;"$P$39:$AD$42"),11,FALSE))</f>
        <v>0</v>
      </c>
      <c r="Y49" s="81">
        <f ca="1">VLOOKUP($AD49,INDIRECT("'"&amp;$B49&amp;"'!"&amp;"$P$39:$AD$42"),12,FALSE)</f>
        <v>0</v>
      </c>
      <c r="Z49" s="81">
        <f ca="1">VLOOKUP($AD49,INDIRECT("'"&amp;$B49&amp;"'!"&amp;"$P$39:$AD$42"),13,FALSE)</f>
        <v>0</v>
      </c>
      <c r="AA49" s="81">
        <f ca="1">VLOOKUP($AD49,INDIRECT("'"&amp;$B49&amp;"'!"&amp;"$P$39:$AD$42"),14,FALSE)</f>
        <v>0</v>
      </c>
      <c r="AB49" s="81">
        <f ca="1">VLOOKUP($AD49,INDIRECT("'"&amp;$B49&amp;"'!"&amp;"$P$39:$AD$42"),15,FALSE)</f>
        <v>0</v>
      </c>
      <c r="AD49" s="81">
        <v>2050</v>
      </c>
      <c r="AE49" s="81"/>
      <c r="AF49" s="220"/>
    </row>
    <row r="50" spans="2:32">
      <c r="B50" s="357" t="s">
        <v>1001</v>
      </c>
      <c r="D50" s="212"/>
      <c r="E50" s="212"/>
      <c r="F50" s="224" t="s">
        <v>1149</v>
      </c>
      <c r="G50" s="173" t="str">
        <f>$AI$20</f>
        <v>INDAWH</v>
      </c>
      <c r="H50" s="174"/>
      <c r="I50" s="174"/>
      <c r="K50" s="81"/>
      <c r="L50" s="333"/>
      <c r="M50" s="199"/>
      <c r="N50" s="81"/>
      <c r="O50" s="723"/>
      <c r="P50" s="723"/>
      <c r="Q50" s="81"/>
      <c r="R50" s="300"/>
      <c r="S50" s="300"/>
      <c r="T50" s="300"/>
      <c r="U50" s="199">
        <f ca="1">1-U49</f>
        <v>0.51243055377728142</v>
      </c>
      <c r="V50" s="300"/>
      <c r="W50" s="298"/>
      <c r="X50" s="698"/>
      <c r="Y50" s="81"/>
      <c r="Z50" s="81"/>
      <c r="AA50" s="81"/>
      <c r="AB50" s="81"/>
      <c r="AD50" s="81"/>
      <c r="AE50" s="81"/>
      <c r="AF50" s="220"/>
    </row>
    <row r="51" spans="2:32">
      <c r="B51" s="357" t="s">
        <v>1001</v>
      </c>
      <c r="D51" s="212" t="str">
        <f>"IND"&amp;RIGHT(H51,4)&amp;RIGHT(G51,3)&amp;"N"&amp;RIGHT(E51,1)</f>
        <v>INDADSHELCN4</v>
      </c>
      <c r="E51" s="261" t="str">
        <f>"Industrial heating technology "&amp;$AJ$12&amp;" "&amp;RIGHT(H51,2)&amp;" - Booster Heat pump utilizing waste heat - new 4"</f>
        <v>Industrial heating technology Aluminium SH - Booster Heat pump utilizing waste heat - new 4</v>
      </c>
      <c r="F51" s="224" t="s">
        <v>1149</v>
      </c>
      <c r="G51" s="173" t="s">
        <v>499</v>
      </c>
      <c r="H51" s="174" t="str">
        <f>$AI$15</f>
        <v>IADSH</v>
      </c>
      <c r="I51" s="174"/>
      <c r="J51" s="224">
        <f t="shared" ref="J51" si="16">AD51</f>
        <v>2020</v>
      </c>
      <c r="K51" s="81">
        <v>2020</v>
      </c>
      <c r="L51" s="333">
        <v>1</v>
      </c>
      <c r="M51" s="199">
        <f ca="1">VLOOKUP($AD51,INDIRECT("'"&amp;$B51&amp;"'!"&amp;"$P$39:$AD$42"),3,FALSE)</f>
        <v>1.93</v>
      </c>
      <c r="N51" s="81">
        <f ca="1">VLOOKUP($AD51,INDIRECT("'"&amp;$B51&amp;"'!"&amp;"$P$39:$AD$42"),5,FALSE)</f>
        <v>20</v>
      </c>
      <c r="O51" s="723">
        <f ca="1">VLOOKUP($AD51,INDIRECT("'"&amp;$B51&amp;"'!"&amp;"$P$39:$AD$42"),6,FALSE)/1000</f>
        <v>12.158890687341184</v>
      </c>
      <c r="P51" s="723">
        <f ca="1">VLOOKUP($AD51,INDIRECT("'"&amp;$B51&amp;"'!"&amp;"$P$39:$AD$42"),7,FALSE)/1000</f>
        <v>1.49E-2</v>
      </c>
      <c r="Q51" s="81">
        <f ca="1">VLOOKUP($AD51,INDIRECT("'"&amp;$B51&amp;"'!"&amp;"$P$39:$AD$42"),8,FALSE)</f>
        <v>7.1188888888888897</v>
      </c>
      <c r="R51" s="81">
        <v>3.1536000000000002E-2</v>
      </c>
      <c r="S51" s="199">
        <v>0.5</v>
      </c>
      <c r="T51" s="199">
        <f ca="1">HLOOKUP($T$2,INDIRECT("'"&amp;$B51&amp;"'!"&amp;"$P$6:$AC$19"),IF(H51=$AI$13,6,IF(H51=$AI$14,9,14)),FALSE)</f>
        <v>1</v>
      </c>
      <c r="U51" s="199">
        <f ca="1">1/M51</f>
        <v>0.5181347150259068</v>
      </c>
      <c r="V51" s="199"/>
      <c r="W51" s="298"/>
      <c r="X51" s="698">
        <f ca="1">IF(VLOOKUP($AD51,INDIRECT("'"&amp;$B51&amp;"'!"&amp;"$P$39:$AD$42"),11,FALSE)="Cf. the utilized electricity",0,VLOOKUP($AD51,INDIRECT("'"&amp;$B51&amp;"'!"&amp;"$P$39:$AD$42"),11,FALSE))</f>
        <v>0</v>
      </c>
      <c r="Y51" s="81">
        <f ca="1">VLOOKUP($AD51,INDIRECT("'"&amp;$B51&amp;"'!"&amp;"$P$39:$AD$42"),12,FALSE)</f>
        <v>0</v>
      </c>
      <c r="Z51" s="81">
        <f ca="1">VLOOKUP($AD51,INDIRECT("'"&amp;$B51&amp;"'!"&amp;"$P$39:$AD$42"),13,FALSE)</f>
        <v>0</v>
      </c>
      <c r="AA51" s="81">
        <f ca="1">VLOOKUP($AD51,INDIRECT("'"&amp;$B51&amp;"'!"&amp;"$P$39:$AD$42"),14,FALSE)</f>
        <v>0</v>
      </c>
      <c r="AB51" s="81">
        <f ca="1">VLOOKUP($AD51,INDIRECT("'"&amp;$B51&amp;"'!"&amp;"$P$39:$AD$42"),15,FALSE)</f>
        <v>0</v>
      </c>
      <c r="AD51" s="81">
        <v>2020</v>
      </c>
      <c r="AE51" s="81"/>
      <c r="AF51" s="220"/>
    </row>
    <row r="52" spans="2:32">
      <c r="B52" s="357" t="s">
        <v>1001</v>
      </c>
      <c r="D52" s="212"/>
      <c r="E52" s="261"/>
      <c r="F52" s="224" t="s">
        <v>1149</v>
      </c>
      <c r="G52" s="173" t="str">
        <f>$AI$20</f>
        <v>INDAWH</v>
      </c>
      <c r="H52" s="174"/>
      <c r="I52" s="174"/>
      <c r="K52" s="81"/>
      <c r="L52" s="333"/>
      <c r="M52" s="199"/>
      <c r="N52" s="81"/>
      <c r="O52" s="723"/>
      <c r="P52" s="723"/>
      <c r="Q52" s="81"/>
      <c r="R52" s="200"/>
      <c r="S52" s="772"/>
      <c r="T52" s="772"/>
      <c r="U52" s="199">
        <f ca="1">1-U51</f>
        <v>0.4818652849740932</v>
      </c>
      <c r="V52" s="772"/>
      <c r="W52" s="298"/>
      <c r="X52" s="698"/>
      <c r="Y52" s="81"/>
      <c r="Z52" s="81"/>
      <c r="AA52" s="81"/>
      <c r="AB52" s="81"/>
      <c r="AD52" s="81"/>
      <c r="AE52" s="81"/>
      <c r="AF52" s="220"/>
    </row>
    <row r="53" spans="2:32">
      <c r="B53" s="357" t="s">
        <v>1001</v>
      </c>
      <c r="D53" s="212"/>
      <c r="E53" s="212"/>
      <c r="F53" s="224" t="s">
        <v>1149</v>
      </c>
      <c r="G53" s="173" t="s">
        <v>499</v>
      </c>
      <c r="H53" s="174" t="str">
        <f>$AI$15</f>
        <v>IADSH</v>
      </c>
      <c r="I53" s="174"/>
      <c r="J53" s="224">
        <f t="shared" ref="J53" si="17">AD53</f>
        <v>2030</v>
      </c>
      <c r="K53" s="81"/>
      <c r="L53" s="333">
        <v>1</v>
      </c>
      <c r="M53" s="199">
        <f ca="1">VLOOKUP($AD53,INDIRECT("'"&amp;$B53&amp;"'!"&amp;"$P$39:$AD$42"),3,FALSE)</f>
        <v>1.9894000000000001</v>
      </c>
      <c r="N53" s="81"/>
      <c r="O53" s="723">
        <f ca="1">VLOOKUP($AD53,INDIRECT("'"&amp;$B53&amp;"'!"&amp;"$P$39:$AD$42"),6,FALSE)/1000</f>
        <v>9.8570539139933757</v>
      </c>
      <c r="P53" s="723">
        <f ca="1">VLOOKUP($AD53,INDIRECT("'"&amp;$B53&amp;"'!"&amp;"$P$39:$AD$42"),7,FALSE)/1000</f>
        <v>1.49E-2</v>
      </c>
      <c r="Q53" s="81">
        <f ca="1">VLOOKUP($AD53,INDIRECT("'"&amp;$B53&amp;"'!"&amp;"$P$39:$AD$42"),8,FALSE)</f>
        <v>6.9740277777777777</v>
      </c>
      <c r="R53" s="300"/>
      <c r="S53" s="300"/>
      <c r="T53" s="300"/>
      <c r="U53" s="199">
        <f ca="1">1/M53</f>
        <v>0.50266411983512616</v>
      </c>
      <c r="V53" s="199"/>
      <c r="W53" s="298"/>
      <c r="X53" s="698">
        <f ca="1">IF(VLOOKUP($AD53,INDIRECT("'"&amp;$B53&amp;"'!"&amp;"$P$39:$AD$42"),11,FALSE)="Cf. the utilized electricity",0,VLOOKUP($AD53,INDIRECT("'"&amp;$B53&amp;"'!"&amp;"$P$39:$AD$42"),11,FALSE))</f>
        <v>0</v>
      </c>
      <c r="Y53" s="81">
        <f ca="1">VLOOKUP($AD53,INDIRECT("'"&amp;$B53&amp;"'!"&amp;"$P$39:$AD$42"),12,FALSE)</f>
        <v>0</v>
      </c>
      <c r="Z53" s="81">
        <f ca="1">VLOOKUP($AD53,INDIRECT("'"&amp;$B53&amp;"'!"&amp;"$P$39:$AD$42"),13,FALSE)</f>
        <v>0</v>
      </c>
      <c r="AA53" s="81">
        <f ca="1">VLOOKUP($AD53,INDIRECT("'"&amp;$B53&amp;"'!"&amp;"$P$39:$AD$42"),14,FALSE)</f>
        <v>0</v>
      </c>
      <c r="AB53" s="81">
        <f ca="1">VLOOKUP($AD53,INDIRECT("'"&amp;$B53&amp;"'!"&amp;"$P$39:$AD$42"),15,FALSE)</f>
        <v>0</v>
      </c>
      <c r="AD53" s="81">
        <v>2030</v>
      </c>
      <c r="AE53" s="81"/>
      <c r="AF53" s="220"/>
    </row>
    <row r="54" spans="2:32">
      <c r="B54" s="357" t="s">
        <v>1001</v>
      </c>
      <c r="D54" s="212"/>
      <c r="E54" s="212"/>
      <c r="F54" s="224" t="s">
        <v>1149</v>
      </c>
      <c r="G54" s="173" t="str">
        <f>$AI$20</f>
        <v>INDAWH</v>
      </c>
      <c r="H54" s="174"/>
      <c r="I54" s="174"/>
      <c r="K54" s="81"/>
      <c r="L54" s="333"/>
      <c r="M54" s="199"/>
      <c r="N54" s="81"/>
      <c r="O54" s="723"/>
      <c r="P54" s="723"/>
      <c r="Q54" s="81"/>
      <c r="R54" s="300"/>
      <c r="S54" s="300"/>
      <c r="T54" s="300"/>
      <c r="U54" s="199">
        <f ca="1">1-U53</f>
        <v>0.49733588016487384</v>
      </c>
      <c r="V54" s="300"/>
      <c r="W54" s="298"/>
      <c r="X54" s="698"/>
      <c r="Y54" s="81"/>
      <c r="Z54" s="81"/>
      <c r="AA54" s="81"/>
      <c r="AB54" s="81"/>
      <c r="AD54" s="81"/>
      <c r="AE54" s="81"/>
      <c r="AF54" s="220"/>
    </row>
    <row r="55" spans="2:32">
      <c r="B55" s="357" t="s">
        <v>1001</v>
      </c>
      <c r="D55" s="212"/>
      <c r="E55" s="212"/>
      <c r="F55" s="224" t="s">
        <v>1149</v>
      </c>
      <c r="G55" s="173" t="s">
        <v>499</v>
      </c>
      <c r="H55" s="174" t="str">
        <f>$AI$15</f>
        <v>IADSH</v>
      </c>
      <c r="I55" s="174"/>
      <c r="J55" s="224">
        <f t="shared" ref="J55" si="18">AD55</f>
        <v>2050</v>
      </c>
      <c r="K55" s="81"/>
      <c r="L55" s="333">
        <v>1</v>
      </c>
      <c r="M55" s="199">
        <f ca="1">VLOOKUP($AD55,INDIRECT("'"&amp;$B55&amp;"'!"&amp;"$P$39:$AD$42"),3,FALSE)</f>
        <v>2.0509898799999999</v>
      </c>
      <c r="N55" s="81"/>
      <c r="O55" s="723">
        <f ca="1">VLOOKUP($AD55,INDIRECT("'"&amp;$B55&amp;"'!"&amp;"$P$39:$AD$42"),6,FALSE)/1000</f>
        <v>6.955935359434223</v>
      </c>
      <c r="P55" s="723">
        <f ca="1">VLOOKUP($AD55,INDIRECT("'"&amp;$B55&amp;"'!"&amp;"$P$39:$AD$42"),7,FALSE)/1000</f>
        <v>1.49E-2</v>
      </c>
      <c r="Q55" s="81">
        <f ca="1">VLOOKUP($AD55,INDIRECT("'"&amp;$B55&amp;"'!"&amp;"$P$39:$AD$42"),8,FALSE)</f>
        <v>6.7877777777777784</v>
      </c>
      <c r="R55" s="300"/>
      <c r="S55" s="300"/>
      <c r="T55" s="300"/>
      <c r="U55" s="199">
        <f ca="1">1/M55</f>
        <v>0.48756944622271858</v>
      </c>
      <c r="V55" s="199"/>
      <c r="W55" s="298"/>
      <c r="X55" s="698">
        <f ca="1">IF(VLOOKUP($AD55,INDIRECT("'"&amp;$B55&amp;"'!"&amp;"$P$39:$AD$42"),11,FALSE)="Cf. the utilized electricity",0,VLOOKUP($AD55,INDIRECT("'"&amp;$B55&amp;"'!"&amp;"$P$39:$AD$42"),11,FALSE))</f>
        <v>0</v>
      </c>
      <c r="Y55" s="81">
        <f ca="1">VLOOKUP($AD55,INDIRECT("'"&amp;$B55&amp;"'!"&amp;"$P$39:$AD$42"),12,FALSE)</f>
        <v>0</v>
      </c>
      <c r="Z55" s="81">
        <f ca="1">VLOOKUP($AD55,INDIRECT("'"&amp;$B55&amp;"'!"&amp;"$P$39:$AD$42"),13,FALSE)</f>
        <v>0</v>
      </c>
      <c r="AA55" s="81">
        <f ca="1">VLOOKUP($AD55,INDIRECT("'"&amp;$B55&amp;"'!"&amp;"$P$39:$AD$42"),14,FALSE)</f>
        <v>0</v>
      </c>
      <c r="AB55" s="81">
        <f ca="1">VLOOKUP($AD55,INDIRECT("'"&amp;$B55&amp;"'!"&amp;"$P$39:$AD$42"),15,FALSE)</f>
        <v>0</v>
      </c>
      <c r="AD55" s="81">
        <v>2050</v>
      </c>
      <c r="AE55" s="81"/>
      <c r="AF55" s="220"/>
    </row>
    <row r="56" spans="2:32">
      <c r="B56" s="357" t="s">
        <v>1001</v>
      </c>
      <c r="D56" s="212"/>
      <c r="E56" s="212"/>
      <c r="F56" s="224" t="s">
        <v>1149</v>
      </c>
      <c r="G56" s="173" t="str">
        <f>$AI$20</f>
        <v>INDAWH</v>
      </c>
      <c r="H56" s="174"/>
      <c r="I56" s="174"/>
      <c r="K56" s="81"/>
      <c r="L56" s="333"/>
      <c r="M56" s="199"/>
      <c r="N56" s="81"/>
      <c r="O56" s="723"/>
      <c r="P56" s="723"/>
      <c r="Q56" s="81"/>
      <c r="R56" s="300"/>
      <c r="S56" s="300"/>
      <c r="T56" s="300"/>
      <c r="U56" s="199">
        <f ca="1">1-U55</f>
        <v>0.51243055377728142</v>
      </c>
      <c r="V56" s="300"/>
      <c r="W56" s="298"/>
      <c r="X56" s="698"/>
      <c r="Y56" s="81"/>
      <c r="Z56" s="81"/>
      <c r="AA56" s="81"/>
      <c r="AB56" s="81"/>
      <c r="AD56" s="81"/>
      <c r="AE56" s="81"/>
      <c r="AF56" s="220"/>
    </row>
    <row r="57" spans="2:32">
      <c r="B57" s="357" t="s">
        <v>1002</v>
      </c>
      <c r="D57" s="212" t="str">
        <f>"IND"&amp;RIGHT(H57,4)&amp;RIGHT(G57,3)&amp;"N"&amp;RIGHT(E57,1)</f>
        <v>INDADPHELCN5</v>
      </c>
      <c r="E57" s="261" t="str">
        <f>"Industrial heating technology "&amp;$AJ$12&amp;" "&amp;RIGHT(H57,2)&amp;" - MVR utilizing waste heat - new 5"</f>
        <v>Industrial heating technology Aluminium PH - MVR utilizing waste heat - new 5</v>
      </c>
      <c r="F57" s="224" t="s">
        <v>1149</v>
      </c>
      <c r="G57" s="173" t="s">
        <v>499</v>
      </c>
      <c r="H57" s="174" t="str">
        <f>$AI$14</f>
        <v>IADPH</v>
      </c>
      <c r="I57" s="174"/>
      <c r="J57" s="224">
        <f t="shared" ref="J57" si="19">AD57</f>
        <v>2020</v>
      </c>
      <c r="K57" s="81">
        <v>2020</v>
      </c>
      <c r="L57" s="333">
        <v>1</v>
      </c>
      <c r="M57" s="199">
        <f ca="1">VLOOKUP($AD57,INDIRECT("'"&amp;$B57&amp;"'!"&amp;"$P$39:$AD$42"),3,FALSE)</f>
        <v>12.1</v>
      </c>
      <c r="N57" s="81">
        <f ca="1">VLOOKUP($AD57,INDIRECT("'"&amp;$B57&amp;"'!"&amp;"$P$39:$AD$42"),5,FALSE)</f>
        <v>25</v>
      </c>
      <c r="O57" s="723">
        <f ca="1">VLOOKUP($AD57,INDIRECT("'"&amp;$B57&amp;"'!"&amp;"$P$39:$AD$42"),6,FALSE)/1000</f>
        <v>2.6074999999999999</v>
      </c>
      <c r="P57" s="723">
        <f ca="1">VLOOKUP($AD57,INDIRECT("'"&amp;$B57&amp;"'!"&amp;"$P$39:$AD$42"),7,FALSE)/1000</f>
        <v>1.49E-2</v>
      </c>
      <c r="Q57" s="81">
        <f ca="1">VLOOKUP($AD57,INDIRECT("'"&amp;$B57&amp;"'!"&amp;"$P$39:$AD$42"),8,FALSE)</f>
        <v>5.2356944444444444</v>
      </c>
      <c r="R57" s="81">
        <v>3.1536000000000002E-2</v>
      </c>
      <c r="S57" s="199">
        <v>0.5</v>
      </c>
      <c r="T57" s="199">
        <f ca="1">HLOOKUP($T$2,INDIRECT("'"&amp;$B57&amp;"'!"&amp;"$P$6:$AC$19"),IF(H57=$AI$13,6,IF(H57=$AI$14,9,14)),FALSE)</f>
        <v>0</v>
      </c>
      <c r="U57" s="199">
        <f ca="1">1/M57</f>
        <v>8.2644628099173556E-2</v>
      </c>
      <c r="V57" s="199"/>
      <c r="W57" s="298"/>
      <c r="X57" s="698">
        <f ca="1">IF(VLOOKUP($AD57,INDIRECT("'"&amp;$B57&amp;"'!"&amp;"$P$39:$AD$42"),11,FALSE)="Cf. the utilized electricity",0,VLOOKUP($AD57,INDIRECT("'"&amp;$B57&amp;"'!"&amp;"$P$39:$AD$42"),11,FALSE))</f>
        <v>0</v>
      </c>
      <c r="Y57" s="81">
        <f ca="1">VLOOKUP($AD57,INDIRECT("'"&amp;$B57&amp;"'!"&amp;"$P$39:$AD$42"),12,FALSE)</f>
        <v>0</v>
      </c>
      <c r="Z57" s="81">
        <f ca="1">VLOOKUP($AD57,INDIRECT("'"&amp;$B57&amp;"'!"&amp;"$P$39:$AD$42"),13,FALSE)</f>
        <v>0</v>
      </c>
      <c r="AA57" s="81">
        <f ca="1">VLOOKUP($AD57,INDIRECT("'"&amp;$B57&amp;"'!"&amp;"$P$39:$AD$42"),14,FALSE)</f>
        <v>0</v>
      </c>
      <c r="AB57" s="81">
        <f ca="1">VLOOKUP($AD57,INDIRECT("'"&amp;$B57&amp;"'!"&amp;"$P$39:$AD$42"),15,FALSE)</f>
        <v>0</v>
      </c>
      <c r="AD57" s="81">
        <v>2020</v>
      </c>
      <c r="AE57" s="81"/>
      <c r="AF57" s="220"/>
    </row>
    <row r="58" spans="2:32">
      <c r="B58" s="357" t="s">
        <v>1002</v>
      </c>
      <c r="D58" s="212"/>
      <c r="E58" s="261"/>
      <c r="F58" s="224" t="s">
        <v>1149</v>
      </c>
      <c r="G58" s="173" t="str">
        <f>$AI$20</f>
        <v>INDAWH</v>
      </c>
      <c r="H58" s="174"/>
      <c r="I58" s="174"/>
      <c r="K58" s="81"/>
      <c r="L58" s="199"/>
      <c r="M58" s="199"/>
      <c r="N58" s="81"/>
      <c r="O58" s="723"/>
      <c r="P58" s="723"/>
      <c r="Q58" s="81"/>
      <c r="R58" s="200"/>
      <c r="S58" s="772"/>
      <c r="T58" s="772"/>
      <c r="U58" s="199">
        <f ca="1">1-U57</f>
        <v>0.9173553719008265</v>
      </c>
      <c r="V58" s="772"/>
      <c r="W58" s="298"/>
      <c r="X58" s="698"/>
      <c r="Y58" s="81"/>
      <c r="Z58" s="81"/>
      <c r="AA58" s="81"/>
      <c r="AB58" s="81"/>
      <c r="AD58" s="81"/>
      <c r="AE58" s="81"/>
      <c r="AF58" s="220"/>
    </row>
    <row r="59" spans="2:32">
      <c r="B59" s="357" t="s">
        <v>1002</v>
      </c>
      <c r="D59" s="212"/>
      <c r="E59" s="212"/>
      <c r="F59" s="224" t="s">
        <v>1149</v>
      </c>
      <c r="G59" s="173" t="s">
        <v>499</v>
      </c>
      <c r="H59" s="174" t="str">
        <f>$AI$14</f>
        <v>IADPH</v>
      </c>
      <c r="I59" s="174"/>
      <c r="J59" s="224">
        <f t="shared" ref="J59" si="20">AD59</f>
        <v>2030</v>
      </c>
      <c r="K59" s="81"/>
      <c r="L59" s="333">
        <v>1</v>
      </c>
      <c r="M59" s="199">
        <f ca="1">VLOOKUP($AD59,INDIRECT("'"&amp;$B59&amp;"'!"&amp;"$P$39:$AD$42"),3,FALSE)</f>
        <v>12.7</v>
      </c>
      <c r="N59" s="81"/>
      <c r="O59" s="723">
        <f ca="1">VLOOKUP($AD59,INDIRECT("'"&amp;$B59&amp;"'!"&amp;"$P$39:$AD$42"),6,FALSE)/1000</f>
        <v>2.4585000000000004</v>
      </c>
      <c r="P59" s="723">
        <f ca="1">VLOOKUP($AD59,INDIRECT("'"&amp;$B59&amp;"'!"&amp;"$P$39:$AD$42"),7,FALSE)/1000</f>
        <v>1.49E-2</v>
      </c>
      <c r="Q59" s="81">
        <f ca="1">VLOOKUP($AD59,INDIRECT("'"&amp;$B59&amp;"'!"&amp;"$P$39:$AD$42"),8,FALSE)</f>
        <v>5.0701388888888888</v>
      </c>
      <c r="R59" s="300"/>
      <c r="S59" s="300"/>
      <c r="T59" s="300"/>
      <c r="U59" s="199">
        <f ca="1">1/M59</f>
        <v>7.874015748031496E-2</v>
      </c>
      <c r="V59" s="199"/>
      <c r="W59" s="298"/>
      <c r="X59" s="698">
        <f ca="1">IF(VLOOKUP($AD59,INDIRECT("'"&amp;$B59&amp;"'!"&amp;"$P$39:$AD$42"),11,FALSE)="Cf. the utilized electricity",0,VLOOKUP($AD59,INDIRECT("'"&amp;$B59&amp;"'!"&amp;"$P$39:$AD$42"),11,FALSE))</f>
        <v>0</v>
      </c>
      <c r="Y59" s="81">
        <f ca="1">VLOOKUP($AD59,INDIRECT("'"&amp;$B59&amp;"'!"&amp;"$P$39:$AD$42"),12,FALSE)</f>
        <v>0</v>
      </c>
      <c r="Z59" s="81">
        <f ca="1">VLOOKUP($AD59,INDIRECT("'"&amp;$B59&amp;"'!"&amp;"$P$39:$AD$42"),13,FALSE)</f>
        <v>0</v>
      </c>
      <c r="AA59" s="81">
        <f ca="1">VLOOKUP($AD59,INDIRECT("'"&amp;$B59&amp;"'!"&amp;"$P$39:$AD$42"),14,FALSE)</f>
        <v>0</v>
      </c>
      <c r="AB59" s="81">
        <f ca="1">VLOOKUP($AD59,INDIRECT("'"&amp;$B59&amp;"'!"&amp;"$P$39:$AD$42"),15,FALSE)</f>
        <v>0</v>
      </c>
      <c r="AD59" s="81">
        <v>2030</v>
      </c>
      <c r="AE59" s="81"/>
      <c r="AF59" s="220"/>
    </row>
    <row r="60" spans="2:32">
      <c r="B60" s="357" t="s">
        <v>1002</v>
      </c>
      <c r="D60" s="212"/>
      <c r="E60" s="212"/>
      <c r="F60" s="224" t="s">
        <v>1149</v>
      </c>
      <c r="G60" s="173" t="str">
        <f>$AI$20</f>
        <v>INDAWH</v>
      </c>
      <c r="H60" s="174"/>
      <c r="I60" s="174"/>
      <c r="K60" s="81"/>
      <c r="L60" s="199"/>
      <c r="M60" s="199"/>
      <c r="N60" s="81"/>
      <c r="O60" s="723"/>
      <c r="P60" s="723"/>
      <c r="Q60" s="81"/>
      <c r="R60" s="300"/>
      <c r="S60" s="300"/>
      <c r="T60" s="300"/>
      <c r="U60" s="199">
        <f ca="1">1-U59</f>
        <v>0.92125984251968507</v>
      </c>
      <c r="V60" s="300"/>
      <c r="W60" s="298"/>
      <c r="X60" s="698"/>
      <c r="Y60" s="81"/>
      <c r="Z60" s="81"/>
      <c r="AA60" s="81"/>
      <c r="AB60" s="81"/>
      <c r="AD60" s="81"/>
      <c r="AE60" s="81"/>
      <c r="AF60" s="220"/>
    </row>
    <row r="61" spans="2:32">
      <c r="B61" s="357" t="s">
        <v>1002</v>
      </c>
      <c r="D61" s="212"/>
      <c r="E61" s="212"/>
      <c r="F61" s="224" t="s">
        <v>1149</v>
      </c>
      <c r="G61" s="173" t="s">
        <v>499</v>
      </c>
      <c r="H61" s="174" t="str">
        <f>$AI$14</f>
        <v>IADPH</v>
      </c>
      <c r="I61" s="174"/>
      <c r="J61" s="224">
        <f t="shared" ref="J61" si="21">AD61</f>
        <v>2050</v>
      </c>
      <c r="K61" s="81"/>
      <c r="L61" s="333">
        <v>1</v>
      </c>
      <c r="M61" s="199">
        <f ca="1">VLOOKUP($AD61,INDIRECT("'"&amp;$B61&amp;"'!"&amp;"$P$39:$AD$42"),3,FALSE)</f>
        <v>13.8</v>
      </c>
      <c r="N61" s="81"/>
      <c r="O61" s="723">
        <f ca="1">VLOOKUP($AD61,INDIRECT("'"&amp;$B61&amp;"'!"&amp;"$P$39:$AD$42"),6,FALSE)/1000</f>
        <v>2.3094999999999999</v>
      </c>
      <c r="P61" s="723">
        <f ca="1">VLOOKUP($AD61,INDIRECT("'"&amp;$B61&amp;"'!"&amp;"$P$39:$AD$42"),7,FALSE)/1000</f>
        <v>1.49E-2</v>
      </c>
      <c r="Q61" s="81">
        <f ca="1">VLOOKUP($AD61,INDIRECT("'"&amp;$B61&amp;"'!"&amp;"$P$39:$AD$42"),8,FALSE)</f>
        <v>4.8838888888888903</v>
      </c>
      <c r="R61" s="300"/>
      <c r="S61" s="300"/>
      <c r="T61" s="300"/>
      <c r="U61" s="199">
        <f ca="1">1/M61</f>
        <v>7.2463768115942032E-2</v>
      </c>
      <c r="V61" s="199"/>
      <c r="W61" s="298"/>
      <c r="X61" s="698">
        <f ca="1">IF(VLOOKUP($AD61,INDIRECT("'"&amp;$B61&amp;"'!"&amp;"$P$39:$AD$42"),11,FALSE)="Cf. the utilized electricity",0,VLOOKUP($AD61,INDIRECT("'"&amp;$B61&amp;"'!"&amp;"$P$39:$AD$42"),11,FALSE))</f>
        <v>0</v>
      </c>
      <c r="Y61" s="81">
        <f ca="1">VLOOKUP($AD61,INDIRECT("'"&amp;$B61&amp;"'!"&amp;"$P$39:$AD$42"),12,FALSE)</f>
        <v>0</v>
      </c>
      <c r="Z61" s="81">
        <f ca="1">VLOOKUP($AD61,INDIRECT("'"&amp;$B61&amp;"'!"&amp;"$P$39:$AD$42"),13,FALSE)</f>
        <v>0</v>
      </c>
      <c r="AA61" s="81">
        <f ca="1">VLOOKUP($AD61,INDIRECT("'"&amp;$B61&amp;"'!"&amp;"$P$39:$AD$42"),14,FALSE)</f>
        <v>0</v>
      </c>
      <c r="AB61" s="81">
        <f ca="1">VLOOKUP($AD61,INDIRECT("'"&amp;$B61&amp;"'!"&amp;"$P$39:$AD$42"),15,FALSE)</f>
        <v>0</v>
      </c>
      <c r="AD61" s="81">
        <v>2050</v>
      </c>
      <c r="AE61" s="81"/>
      <c r="AF61" s="220"/>
    </row>
    <row r="62" spans="2:32" ht="16" thickBot="1">
      <c r="B62" s="786" t="s">
        <v>1002</v>
      </c>
      <c r="C62" s="787"/>
      <c r="D62" s="732"/>
      <c r="E62" s="732"/>
      <c r="F62" s="224" t="s">
        <v>1149</v>
      </c>
      <c r="G62" s="788" t="str">
        <f>$AI$20</f>
        <v>INDAWH</v>
      </c>
      <c r="H62" s="788"/>
      <c r="I62" s="788"/>
      <c r="K62" s="789"/>
      <c r="L62" s="790"/>
      <c r="M62" s="790"/>
      <c r="N62" s="789"/>
      <c r="O62" s="791"/>
      <c r="P62" s="791"/>
      <c r="Q62" s="789"/>
      <c r="R62" s="792"/>
      <c r="S62" s="792"/>
      <c r="T62" s="792"/>
      <c r="U62" s="790">
        <f ca="1">1-U61</f>
        <v>0.92753623188405798</v>
      </c>
      <c r="V62" s="796"/>
      <c r="W62" s="793"/>
      <c r="X62" s="794"/>
      <c r="Y62" s="789"/>
      <c r="Z62" s="789"/>
      <c r="AA62" s="789"/>
      <c r="AB62" s="789"/>
      <c r="AC62" s="787"/>
      <c r="AD62" s="789"/>
      <c r="AE62" s="789"/>
      <c r="AF62" s="795"/>
    </row>
    <row r="63" spans="2:32">
      <c r="B63" s="357" t="s">
        <v>920</v>
      </c>
      <c r="D63" s="212" t="str">
        <f>"IND"&amp;RIGHT(H63,4)&amp;RIGHT(G63,3)&amp;"N"&amp;RIGHT(E63,1)</f>
        <v>INDADPHWSTN1</v>
      </c>
      <c r="E63" s="261" t="str">
        <f>"Industrial heating technology "&amp;$AJ$12&amp;" "&amp;RIGHT(H63,2)&amp;" - Hotdisc - new 1"</f>
        <v>Industrial heating technology Aluminium PH - Hotdisc - new 1</v>
      </c>
      <c r="F63" s="224" t="s">
        <v>1149</v>
      </c>
      <c r="G63" s="832" t="s">
        <v>1005</v>
      </c>
      <c r="H63" s="174" t="str">
        <f>$AI$13</f>
        <v>IADPH</v>
      </c>
      <c r="I63" s="173" t="str">
        <f t="shared" ref="I63:I126" si="22">$AI$20</f>
        <v>INDAWH</v>
      </c>
      <c r="J63" s="224">
        <f>IF(AD63=2020,2011,AD63)</f>
        <v>2011</v>
      </c>
      <c r="K63" s="299">
        <v>2025</v>
      </c>
      <c r="L63" s="699">
        <f t="shared" ref="L63:L80" ca="1" si="23">VLOOKUP($AD63,INDIRECT("'"&amp;$B63&amp;"'!"&amp;"$P$39:$AD$42"),3,FALSE)</f>
        <v>0.9</v>
      </c>
      <c r="M63" s="699"/>
      <c r="N63" s="299">
        <f ca="1">VLOOKUP($AD63,INDIRECT("'"&amp;$B63&amp;"'!"&amp;"$P$39:$AD$42"),5,FALSE)</f>
        <v>20</v>
      </c>
      <c r="O63" s="725">
        <f t="shared" ref="O63:O80" ca="1" si="24">VLOOKUP($AD63,INDIRECT("'"&amp;$B63&amp;"'!"&amp;"$P$39:$AD$42"),6,FALSE)/1000</f>
        <v>3.7250000000000001</v>
      </c>
      <c r="P63" s="725">
        <f t="shared" ref="P63:P80" ca="1" si="25">VLOOKUP($AD63,INDIRECT("'"&amp;$B63&amp;"'!"&amp;"$P$39:$AD$42"),7,FALSE)/1000</f>
        <v>2.98E-3</v>
      </c>
      <c r="Q63" s="299">
        <f t="shared" ref="Q63:Q80" ca="1" si="26">VLOOKUP($AD63,INDIRECT("'"&amp;$B63&amp;"'!"&amp;"$P$39:$AD$42"),8,FALSE)</f>
        <v>2.4315972222222224</v>
      </c>
      <c r="R63" s="299">
        <v>3.1536000000000002E-2</v>
      </c>
      <c r="S63" s="699">
        <v>0.5</v>
      </c>
      <c r="T63" s="699">
        <f ca="1">HLOOKUP($S$2,INDIRECT("'"&amp;$B63&amp;"'!"&amp;"$P$6:$AC$19"),IF(H63=$AI$13,6,IF(H63=$AI$14,9,14)),FALSE)</f>
        <v>0</v>
      </c>
      <c r="U63" s="772"/>
      <c r="V63" s="199">
        <f ca="1">IF(IF(RIGHT(H63,2)="PH",(1-L63)+$W$2,IF(RIGHT(H63,2)="HT",(1-L63)+$W$1,IF(RIGHT(H63,2)="SH",(1-L63)+$W$3,"")))&gt;0,IF(RIGHT(H63,2)="PH",(1-L63)+$W$2,IF(RIGHT(H63,2)="HT",(1-L63)+$W$1,IF(RIGHT(H63,2)="SH",(1-L63)+$W$3,""))),0)</f>
        <v>0.3</v>
      </c>
      <c r="W63" s="298"/>
      <c r="X63" s="785">
        <f t="shared" ref="X63:X94" ca="1" si="27">IF(VLOOKUP($AD63,INDIRECT("'"&amp;$B63&amp;"'!"&amp;"$P$39:$AD$42"),11,FALSE)="Cf. the utilized electricity",0,VLOOKUP($AD63,INDIRECT("'"&amp;$B63&amp;"'!"&amp;"$P$39:$AD$42"),11,FALSE))</f>
        <v>8.3000000000000007</v>
      </c>
      <c r="Y63" s="299">
        <f t="shared" ref="Y63:Y80" ca="1" si="28">VLOOKUP($AD63,INDIRECT("'"&amp;$B63&amp;"'!"&amp;"$P$39:$AD$42"),12,FALSE)</f>
        <v>56</v>
      </c>
      <c r="Z63" s="299">
        <f t="shared" ref="Z63:Z80" ca="1" si="29">VLOOKUP($AD63,INDIRECT("'"&amp;$B63&amp;"'!"&amp;"$P$39:$AD$42"),13,FALSE)</f>
        <v>0.1</v>
      </c>
      <c r="AA63" s="299">
        <f t="shared" ref="AA63:AA80" ca="1" si="30">VLOOKUP($AD63,INDIRECT("'"&amp;$B63&amp;"'!"&amp;"$P$39:$AD$42"),14,FALSE)</f>
        <v>1</v>
      </c>
      <c r="AB63" s="299">
        <f t="shared" ref="AB63:AB80" ca="1" si="31">VLOOKUP($AD63,INDIRECT("'"&amp;$B63&amp;"'!"&amp;"$P$39:$AD$42"),15,FALSE)</f>
        <v>0.28999999999999998</v>
      </c>
      <c r="AD63" s="299">
        <v>2020</v>
      </c>
      <c r="AE63" s="299"/>
      <c r="AF63" s="220"/>
    </row>
    <row r="64" spans="2:32">
      <c r="B64" s="357" t="s">
        <v>920</v>
      </c>
      <c r="D64" s="212"/>
      <c r="E64" s="212"/>
      <c r="F64" s="224" t="s">
        <v>1149</v>
      </c>
      <c r="H64" s="174"/>
      <c r="I64" s="173" t="str">
        <f t="shared" si="22"/>
        <v>INDAWH</v>
      </c>
      <c r="J64" s="224">
        <f t="shared" ref="J64:J127" si="32">IF(AD64=2020,2011,AD64)</f>
        <v>2030</v>
      </c>
      <c r="K64" s="81"/>
      <c r="L64" s="199">
        <f t="shared" ca="1" si="23"/>
        <v>0.91</v>
      </c>
      <c r="M64" s="199"/>
      <c r="N64" s="81"/>
      <c r="O64" s="723">
        <f t="shared" ca="1" si="24"/>
        <v>3.4642500000000003</v>
      </c>
      <c r="P64" s="723">
        <f t="shared" ca="1" si="25"/>
        <v>2.98E-3</v>
      </c>
      <c r="Q64" s="81">
        <f t="shared" ca="1" si="26"/>
        <v>2.4729861111111116</v>
      </c>
      <c r="R64" s="300"/>
      <c r="S64" s="300"/>
      <c r="T64" s="300"/>
      <c r="U64" s="300"/>
      <c r="V64" s="199">
        <f ca="1">IF(IF(RIGHT(H63,2)="PH",(1-L64)+$W$2,IF(RIGHT(H63,2)="HT",(1-L64)+$W$1,IF(RIGHT(H63,2)="SH",(1-L64)+$W$3,"")))&gt;0,IF(RIGHT(H63,2)="PH",(1-L64)+$W$2,IF(RIGHT(H63,2)="HT",(1-L64)+$W$1,IF(RIGHT(H63,2)="SH",(1-L64)+$W$3,""))),0)</f>
        <v>0.28999999999999998</v>
      </c>
      <c r="W64" s="298"/>
      <c r="X64" s="698">
        <f t="shared" ca="1" si="27"/>
        <v>8.3000000000000007</v>
      </c>
      <c r="Y64" s="81">
        <f t="shared" ca="1" si="28"/>
        <v>45</v>
      </c>
      <c r="Z64" s="81">
        <f t="shared" ca="1" si="29"/>
        <v>0.1</v>
      </c>
      <c r="AA64" s="81">
        <f t="shared" ca="1" si="30"/>
        <v>1</v>
      </c>
      <c r="AB64" s="81">
        <f t="shared" ca="1" si="31"/>
        <v>0.28999999999999998</v>
      </c>
      <c r="AD64" s="81">
        <v>2030</v>
      </c>
      <c r="AE64" s="81"/>
      <c r="AF64" s="220"/>
    </row>
    <row r="65" spans="2:32">
      <c r="B65" s="357" t="s">
        <v>920</v>
      </c>
      <c r="D65" s="212"/>
      <c r="E65" s="212"/>
      <c r="F65" s="224" t="s">
        <v>1149</v>
      </c>
      <c r="H65" s="174"/>
      <c r="I65" s="173" t="str">
        <f t="shared" si="22"/>
        <v>INDAWH</v>
      </c>
      <c r="J65" s="224">
        <f t="shared" si="32"/>
        <v>2050</v>
      </c>
      <c r="K65" s="81"/>
      <c r="L65" s="199">
        <f t="shared" ca="1" si="23"/>
        <v>0.93</v>
      </c>
      <c r="M65" s="199"/>
      <c r="N65" s="81"/>
      <c r="O65" s="723">
        <f t="shared" ca="1" si="24"/>
        <v>3.3525</v>
      </c>
      <c r="P65" s="723">
        <f t="shared" ca="1" si="25"/>
        <v>2.98E-3</v>
      </c>
      <c r="Q65" s="81">
        <f t="shared" ca="1" si="26"/>
        <v>2.4936805555555561</v>
      </c>
      <c r="R65" s="300"/>
      <c r="S65" s="300"/>
      <c r="T65" s="300"/>
      <c r="U65" s="300"/>
      <c r="V65" s="199">
        <f ca="1">IF(IF(RIGHT(H63,2)="PH",(1-L65)+$W$2,IF(RIGHT(H63,2)="HT",(1-L65)+$W$1,IF(RIGHT(H63,2)="SH",(1-L65)+$W$3,"")))&gt;0,IF(RIGHT(H63,2)="PH",(1-L65)+$W$2,IF(RIGHT(H63,2)="HT",(1-L65)+$W$1,IF(RIGHT(H63,2)="SH",(1-L65)+$W$3,""))),0)</f>
        <v>0.26999999999999996</v>
      </c>
      <c r="W65" s="298"/>
      <c r="X65" s="698">
        <f t="shared" ca="1" si="27"/>
        <v>8.3000000000000007</v>
      </c>
      <c r="Y65" s="81">
        <f t="shared" ca="1" si="28"/>
        <v>11</v>
      </c>
      <c r="Z65" s="81">
        <f t="shared" ca="1" si="29"/>
        <v>0.1</v>
      </c>
      <c r="AA65" s="81">
        <f t="shared" ca="1" si="30"/>
        <v>1</v>
      </c>
      <c r="AB65" s="81">
        <f t="shared" ca="1" si="31"/>
        <v>0.28999999999999998</v>
      </c>
      <c r="AD65" s="81">
        <v>2050</v>
      </c>
      <c r="AE65" s="81"/>
      <c r="AF65" s="220"/>
    </row>
    <row r="66" spans="2:32">
      <c r="B66" s="357" t="s">
        <v>922</v>
      </c>
      <c r="D66" s="212" t="str">
        <f>"IND"&amp;RIGHT(H66,4)&amp;RIGHT(G66,3)&amp;"N"&amp;RIGHT(E66,1)</f>
        <v>INDADPHELCN6</v>
      </c>
      <c r="E66" s="261" t="str">
        <f>"Industrial heating technology "&amp;$AJ$12&amp;" "&amp;RIGHT(H66,2)&amp;" - Dielectric heating - new 6"</f>
        <v>Industrial heating technology Aluminium PH - Dielectric heating - new 6</v>
      </c>
      <c r="F66" s="224" t="s">
        <v>1149</v>
      </c>
      <c r="G66" s="173" t="s">
        <v>499</v>
      </c>
      <c r="H66" s="174" t="str">
        <f>$AI$14</f>
        <v>IADPH</v>
      </c>
      <c r="I66" s="173" t="str">
        <f t="shared" si="22"/>
        <v>INDAWH</v>
      </c>
      <c r="J66" s="224">
        <f t="shared" si="32"/>
        <v>2011</v>
      </c>
      <c r="K66" s="299">
        <v>2020</v>
      </c>
      <c r="L66" s="199">
        <f t="shared" ca="1" si="23"/>
        <v>0.95</v>
      </c>
      <c r="M66" s="199"/>
      <c r="N66" s="81">
        <f ca="1">VLOOKUP($AD66,INDIRECT("'"&amp;$B66&amp;"'!"&amp;"$P$39:$AD$42"),5,FALSE)</f>
        <v>30</v>
      </c>
      <c r="O66" s="723">
        <f t="shared" ca="1" si="24"/>
        <v>20.115000000000002</v>
      </c>
      <c r="P66" s="723">
        <f t="shared" ca="1" si="25"/>
        <v>0</v>
      </c>
      <c r="Q66" s="81">
        <f t="shared" ca="1" si="26"/>
        <v>94.828152777777774</v>
      </c>
      <c r="R66" s="81">
        <v>3.1536000000000002E-2</v>
      </c>
      <c r="S66" s="199">
        <v>0.5</v>
      </c>
      <c r="T66" s="199">
        <f ca="1">HLOOKUP($S$2,INDIRECT("'"&amp;$B66&amp;"'!"&amp;"$P$6:$AC$19"),IF(H66=$AI$13,6,IF(H66=$AI$14,9,14)),FALSE)</f>
        <v>0</v>
      </c>
      <c r="U66" s="772"/>
      <c r="V66" s="199">
        <f t="shared" ref="V66" ca="1" si="33">IF(IF(RIGHT(H66,2)="PH",(1-L66)+$W$2,IF(RIGHT(H66,2)="HT",(1-L66)+$W$1,IF(RIGHT(H66,2)="SH",(1-L66)+$W$3,"")))&gt;0,IF(RIGHT(H66,2)="PH",(1-L66)+$W$2,IF(RIGHT(H66,2)="HT",(1-L66)+$W$1,IF(RIGHT(H66,2)="SH",(1-L66)+$W$3,""))),0)</f>
        <v>0.25000000000000006</v>
      </c>
      <c r="W66" s="298"/>
      <c r="X66" s="698">
        <f t="shared" ca="1" si="27"/>
        <v>0</v>
      </c>
      <c r="Y66" s="81">
        <f t="shared" ca="1" si="28"/>
        <v>0</v>
      </c>
      <c r="Z66" s="81">
        <f t="shared" ca="1" si="29"/>
        <v>0</v>
      </c>
      <c r="AA66" s="81">
        <f t="shared" ca="1" si="30"/>
        <v>0</v>
      </c>
      <c r="AB66" s="81">
        <f t="shared" ca="1" si="31"/>
        <v>0</v>
      </c>
      <c r="AD66" s="81">
        <v>2020</v>
      </c>
      <c r="AE66" s="81"/>
      <c r="AF66" s="220"/>
    </row>
    <row r="67" spans="2:32">
      <c r="B67" s="357" t="s">
        <v>922</v>
      </c>
      <c r="D67" s="212"/>
      <c r="E67" s="212"/>
      <c r="F67" s="224" t="s">
        <v>1149</v>
      </c>
      <c r="H67" s="174"/>
      <c r="I67" s="173" t="str">
        <f t="shared" si="22"/>
        <v>INDAWH</v>
      </c>
      <c r="J67" s="224">
        <f t="shared" si="32"/>
        <v>2030</v>
      </c>
      <c r="K67" s="81"/>
      <c r="L67" s="199">
        <f t="shared" ca="1" si="23"/>
        <v>0.95</v>
      </c>
      <c r="M67" s="199"/>
      <c r="N67" s="81"/>
      <c r="O67" s="723">
        <f t="shared" ca="1" si="24"/>
        <v>19.511550000000003</v>
      </c>
      <c r="P67" s="723">
        <f t="shared" ca="1" si="25"/>
        <v>0</v>
      </c>
      <c r="Q67" s="81">
        <f t="shared" ca="1" si="26"/>
        <v>94.832291666666663</v>
      </c>
      <c r="R67" s="300"/>
      <c r="S67" s="300"/>
      <c r="T67" s="300"/>
      <c r="U67" s="300"/>
      <c r="V67" s="199">
        <f t="shared" ref="V67" ca="1" si="34">IF(IF(RIGHT(H66,2)="PH",(1-L67)+$W$2,IF(RIGHT(H66,2)="HT",(1-L67)+$W$1,IF(RIGHT(H66,2)="SH",(1-L67)+$W$3,"")))&gt;0,IF(RIGHT(H66,2)="PH",(1-L67)+$W$2,IF(RIGHT(H66,2)="HT",(1-L67)+$W$1,IF(RIGHT(H66,2)="SH",(1-L67)+$W$3,""))),0)</f>
        <v>0.25000000000000006</v>
      </c>
      <c r="W67" s="298"/>
      <c r="X67" s="698">
        <f t="shared" ca="1" si="27"/>
        <v>0</v>
      </c>
      <c r="Y67" s="81">
        <f t="shared" ca="1" si="28"/>
        <v>0</v>
      </c>
      <c r="Z67" s="81">
        <f t="shared" ca="1" si="29"/>
        <v>0</v>
      </c>
      <c r="AA67" s="81">
        <f t="shared" ca="1" si="30"/>
        <v>0</v>
      </c>
      <c r="AB67" s="81">
        <f t="shared" ca="1" si="31"/>
        <v>0</v>
      </c>
      <c r="AD67" s="81">
        <v>2030</v>
      </c>
      <c r="AE67" s="81"/>
      <c r="AF67" s="220"/>
    </row>
    <row r="68" spans="2:32">
      <c r="B68" s="357" t="s">
        <v>922</v>
      </c>
      <c r="D68" s="212"/>
      <c r="E68" s="212"/>
      <c r="F68" s="224" t="s">
        <v>1149</v>
      </c>
      <c r="H68" s="174"/>
      <c r="I68" s="173" t="str">
        <f t="shared" si="22"/>
        <v>INDAWH</v>
      </c>
      <c r="J68" s="224">
        <f t="shared" si="32"/>
        <v>2050</v>
      </c>
      <c r="K68" s="81"/>
      <c r="L68" s="199">
        <f t="shared" ca="1" si="23"/>
        <v>0.95</v>
      </c>
      <c r="M68" s="199"/>
      <c r="N68" s="81"/>
      <c r="O68" s="723">
        <f t="shared" ca="1" si="24"/>
        <v>18.1035</v>
      </c>
      <c r="P68" s="723">
        <f t="shared" ca="1" si="25"/>
        <v>0</v>
      </c>
      <c r="Q68" s="81">
        <f t="shared" ca="1" si="26"/>
        <v>94.834361111111107</v>
      </c>
      <c r="R68" s="300"/>
      <c r="S68" s="300"/>
      <c r="T68" s="300"/>
      <c r="U68" s="300"/>
      <c r="V68" s="199">
        <f t="shared" ref="V68" ca="1" si="35">IF(IF(RIGHT(H66,2)="PH",(1-L68)+$W$2,IF(RIGHT(H66,2)="HT",(1-L68)+$W$1,IF(RIGHT(H66,2)="SH",(1-L68)+$W$3,"")))&gt;0,IF(RIGHT(H66,2)="PH",(1-L68)+$W$2,IF(RIGHT(H66,2)="HT",(1-L68)+$W$1,IF(RIGHT(H66,2)="SH",(1-L68)+$W$3,""))),0)</f>
        <v>0.25000000000000006</v>
      </c>
      <c r="W68" s="298"/>
      <c r="X68" s="698">
        <f t="shared" ca="1" si="27"/>
        <v>0</v>
      </c>
      <c r="Y68" s="81">
        <f t="shared" ca="1" si="28"/>
        <v>0</v>
      </c>
      <c r="Z68" s="81">
        <f t="shared" ca="1" si="29"/>
        <v>0</v>
      </c>
      <c r="AA68" s="81">
        <f t="shared" ca="1" si="30"/>
        <v>0</v>
      </c>
      <c r="AB68" s="81">
        <f t="shared" ca="1" si="31"/>
        <v>0</v>
      </c>
      <c r="AD68" s="81">
        <v>2050</v>
      </c>
      <c r="AE68" s="81"/>
      <c r="AF68" s="220"/>
    </row>
    <row r="69" spans="2:32">
      <c r="B69" s="357" t="s">
        <v>1006</v>
      </c>
      <c r="D69" s="212" t="str">
        <f>"IND"&amp;RIGHT(H69,4)&amp;RIGHT(G69,3)&amp;"N"&amp;RIGHT(E69,1)</f>
        <v>INDADPHELCN7</v>
      </c>
      <c r="E69" s="261" t="str">
        <f>"Industrial heating technology "&amp;$AJ$12&amp;" "&amp;RIGHT(H69,2)&amp;" - Infrared heating - new 7"</f>
        <v>Industrial heating technology Aluminium PH - Infrared heating - new 7</v>
      </c>
      <c r="F69" s="224" t="s">
        <v>1149</v>
      </c>
      <c r="G69" s="173" t="s">
        <v>499</v>
      </c>
      <c r="H69" s="174" t="str">
        <f>$AI$14</f>
        <v>IADPH</v>
      </c>
      <c r="I69" s="173" t="str">
        <f t="shared" si="22"/>
        <v>INDAWH</v>
      </c>
      <c r="J69" s="224">
        <f t="shared" si="32"/>
        <v>2011</v>
      </c>
      <c r="K69" s="299">
        <v>2020</v>
      </c>
      <c r="L69" s="199">
        <f t="shared" ca="1" si="23"/>
        <v>0.96</v>
      </c>
      <c r="M69" s="199"/>
      <c r="N69" s="81">
        <f ca="1">VLOOKUP($AD69,INDIRECT("'"&amp;$B69&amp;"'!"&amp;"$P$39:$AD$42"),5,FALSE)</f>
        <v>30</v>
      </c>
      <c r="O69" s="723">
        <f t="shared" ca="1" si="24"/>
        <v>2.6074999999999999</v>
      </c>
      <c r="P69" s="723">
        <f t="shared" ca="1" si="25"/>
        <v>0</v>
      </c>
      <c r="Q69" s="81">
        <f t="shared" ca="1" si="26"/>
        <v>242.27606944444443</v>
      </c>
      <c r="R69" s="81">
        <v>3.1536000000000002E-2</v>
      </c>
      <c r="S69" s="199">
        <v>0.5</v>
      </c>
      <c r="T69" s="199">
        <f ca="1">HLOOKUP($S$2,INDIRECT("'"&amp;$B69&amp;"'!"&amp;"$P$6:$AC$19"),IF(H69=$AI$13,6,IF(H69=$AI$14,9,14)),FALSE)</f>
        <v>0</v>
      </c>
      <c r="U69" s="772"/>
      <c r="V69" s="199">
        <f t="shared" ref="V69" ca="1" si="36">IF(IF(RIGHT(H69,2)="PH",(1-L69)+$W$2,IF(RIGHT(H69,2)="HT",(1-L69)+$W$1,IF(RIGHT(H69,2)="SH",(1-L69)+$W$3,"")))&gt;0,IF(RIGHT(H69,2)="PH",(1-L69)+$W$2,IF(RIGHT(H69,2)="HT",(1-L69)+$W$1,IF(RIGHT(H69,2)="SH",(1-L69)+$W$3,""))),0)</f>
        <v>0.24000000000000005</v>
      </c>
      <c r="W69" s="298"/>
      <c r="X69" s="698">
        <f t="shared" ca="1" si="27"/>
        <v>0</v>
      </c>
      <c r="Y69" s="81">
        <f t="shared" ca="1" si="28"/>
        <v>0</v>
      </c>
      <c r="Z69" s="81">
        <f t="shared" ca="1" si="29"/>
        <v>0</v>
      </c>
      <c r="AA69" s="81">
        <f t="shared" ca="1" si="30"/>
        <v>0</v>
      </c>
      <c r="AB69" s="81">
        <f t="shared" ca="1" si="31"/>
        <v>0</v>
      </c>
      <c r="AD69" s="81">
        <v>2020</v>
      </c>
      <c r="AE69" s="81"/>
      <c r="AF69" s="220"/>
    </row>
    <row r="70" spans="2:32">
      <c r="B70" s="357" t="s">
        <v>1006</v>
      </c>
      <c r="D70" s="212"/>
      <c r="E70" s="212"/>
      <c r="F70" s="224" t="s">
        <v>1149</v>
      </c>
      <c r="H70" s="174"/>
      <c r="I70" s="173" t="str">
        <f t="shared" si="22"/>
        <v>INDAWH</v>
      </c>
      <c r="J70" s="224">
        <f t="shared" si="32"/>
        <v>2030</v>
      </c>
      <c r="K70" s="81"/>
      <c r="L70" s="199">
        <f t="shared" ca="1" si="23"/>
        <v>0.96</v>
      </c>
      <c r="M70" s="199"/>
      <c r="N70" s="81"/>
      <c r="O70" s="723">
        <f t="shared" ca="1" si="24"/>
        <v>2.5330000000000004</v>
      </c>
      <c r="P70" s="723">
        <f t="shared" ca="1" si="25"/>
        <v>0</v>
      </c>
      <c r="Q70" s="81">
        <f t="shared" ca="1" si="26"/>
        <v>242.28020833333332</v>
      </c>
      <c r="R70" s="300"/>
      <c r="S70" s="300"/>
      <c r="T70" s="300"/>
      <c r="U70" s="300"/>
      <c r="V70" s="199">
        <f t="shared" ref="V70" ca="1" si="37">IF(IF(RIGHT(H69,2)="PH",(1-L70)+$W$2,IF(RIGHT(H69,2)="HT",(1-L70)+$W$1,IF(RIGHT(H69,2)="SH",(1-L70)+$W$3,"")))&gt;0,IF(RIGHT(H69,2)="PH",(1-L70)+$W$2,IF(RIGHT(H69,2)="HT",(1-L70)+$W$1,IF(RIGHT(H69,2)="SH",(1-L70)+$W$3,""))),0)</f>
        <v>0.24000000000000005</v>
      </c>
      <c r="W70" s="298"/>
      <c r="X70" s="698">
        <f t="shared" ca="1" si="27"/>
        <v>0</v>
      </c>
      <c r="Y70" s="81">
        <f t="shared" ca="1" si="28"/>
        <v>0</v>
      </c>
      <c r="Z70" s="81">
        <f t="shared" ca="1" si="29"/>
        <v>0</v>
      </c>
      <c r="AA70" s="81">
        <f t="shared" ca="1" si="30"/>
        <v>0</v>
      </c>
      <c r="AB70" s="81">
        <f t="shared" ca="1" si="31"/>
        <v>0</v>
      </c>
      <c r="AD70" s="81">
        <v>2030</v>
      </c>
      <c r="AE70" s="81"/>
      <c r="AF70" s="220"/>
    </row>
    <row r="71" spans="2:32">
      <c r="B71" s="357" t="s">
        <v>1006</v>
      </c>
      <c r="D71" s="212"/>
      <c r="E71" s="212"/>
      <c r="F71" s="224" t="s">
        <v>1149</v>
      </c>
      <c r="H71" s="174"/>
      <c r="I71" s="174" t="str">
        <f t="shared" si="22"/>
        <v>INDAWH</v>
      </c>
      <c r="J71" s="224">
        <f t="shared" si="32"/>
        <v>2050</v>
      </c>
      <c r="K71" s="81"/>
      <c r="L71" s="199">
        <f t="shared" ca="1" si="23"/>
        <v>0.96</v>
      </c>
      <c r="M71" s="199"/>
      <c r="N71" s="81"/>
      <c r="O71" s="723">
        <f t="shared" ca="1" si="24"/>
        <v>2.3467500000000001</v>
      </c>
      <c r="P71" s="723">
        <f t="shared" ca="1" si="25"/>
        <v>0</v>
      </c>
      <c r="Q71" s="81">
        <f t="shared" ca="1" si="26"/>
        <v>242.28227777777775</v>
      </c>
      <c r="R71" s="300"/>
      <c r="S71" s="300"/>
      <c r="T71" s="300"/>
      <c r="U71" s="300"/>
      <c r="V71" s="199">
        <f t="shared" ref="V71" ca="1" si="38">IF(IF(RIGHT(H69,2)="PH",(1-L71)+$W$2,IF(RIGHT(H69,2)="HT",(1-L71)+$W$1,IF(RIGHT(H69,2)="SH",(1-L71)+$W$3,"")))&gt;0,IF(RIGHT(H69,2)="PH",(1-L71)+$W$2,IF(RIGHT(H69,2)="HT",(1-L71)+$W$1,IF(RIGHT(H69,2)="SH",(1-L71)+$W$3,""))),0)</f>
        <v>0.24000000000000005</v>
      </c>
      <c r="W71" s="298"/>
      <c r="X71" s="698">
        <f t="shared" ca="1" si="27"/>
        <v>0</v>
      </c>
      <c r="Y71" s="81">
        <f t="shared" ca="1" si="28"/>
        <v>0</v>
      </c>
      <c r="Z71" s="81">
        <f t="shared" ca="1" si="29"/>
        <v>0</v>
      </c>
      <c r="AA71" s="81">
        <f t="shared" ca="1" si="30"/>
        <v>0</v>
      </c>
      <c r="AB71" s="81">
        <f t="shared" ca="1" si="31"/>
        <v>0</v>
      </c>
      <c r="AD71" s="81">
        <v>2050</v>
      </c>
      <c r="AE71" s="81"/>
      <c r="AF71" s="220"/>
    </row>
    <row r="72" spans="2:32">
      <c r="B72" s="357" t="s">
        <v>1007</v>
      </c>
      <c r="D72" s="212" t="str">
        <f>"IND"&amp;RIGHT(H72,4)&amp;RIGHT(G72,3)&amp;"N"&amp;RIGHT(E72,1)</f>
        <v>INDADPHELCN8</v>
      </c>
      <c r="E72" s="261" t="str">
        <f>"Industrial heating technology "&amp;$AJ$12&amp;" "&amp;RIGHT(H72,2)&amp;" - Electric boiler (Steam) - new 8"</f>
        <v>Industrial heating technology Aluminium PH - Electric boiler (Steam) - new 8</v>
      </c>
      <c r="F72" s="224" t="s">
        <v>1149</v>
      </c>
      <c r="G72" s="173" t="s">
        <v>499</v>
      </c>
      <c r="H72" s="174" t="str">
        <f>$AI$13</f>
        <v>IADPH</v>
      </c>
      <c r="I72" s="174" t="str">
        <f t="shared" si="22"/>
        <v>INDAWH</v>
      </c>
      <c r="J72" s="224">
        <f t="shared" si="32"/>
        <v>2011</v>
      </c>
      <c r="K72" s="299">
        <v>2020</v>
      </c>
      <c r="L72" s="199">
        <f t="shared" ca="1" si="23"/>
        <v>0.99</v>
      </c>
      <c r="M72" s="199"/>
      <c r="N72" s="81">
        <f ca="1">VLOOKUP($AD72,INDIRECT("'"&amp;$B72&amp;"'!"&amp;"$P$39:$AD$42"),5,FALSE)</f>
        <v>25</v>
      </c>
      <c r="O72" s="723">
        <f t="shared" ca="1" si="24"/>
        <v>0.59599999999999997</v>
      </c>
      <c r="P72" s="723">
        <f t="shared" ca="1" si="25"/>
        <v>7.9714999999999994E-3</v>
      </c>
      <c r="Q72" s="81">
        <f t="shared" ca="1" si="26"/>
        <v>1.7900694444444445</v>
      </c>
      <c r="R72" s="81">
        <v>3.1536000000000002E-2</v>
      </c>
      <c r="S72" s="199">
        <v>0.5</v>
      </c>
      <c r="T72" s="199">
        <f ca="1">HLOOKUP($T$2,INDIRECT("'"&amp;$B72&amp;"'!"&amp;"$P$6:$AC$19"),IF(H72=$AI$13,6,IF(H72=$AI$14,9,14)),FALSE)</f>
        <v>1</v>
      </c>
      <c r="U72" s="772"/>
      <c r="V72" s="199">
        <f t="shared" ref="V72" ca="1" si="39">IF(IF(RIGHT(H72,2)="PH",(1-L72)+$W$2,IF(RIGHT(H72,2)="HT",(1-L72)+$W$1,IF(RIGHT(H72,2)="SH",(1-L72)+$W$3,"")))&gt;0,IF(RIGHT(H72,2)="PH",(1-L72)+$W$2,IF(RIGHT(H72,2)="HT",(1-L72)+$W$1,IF(RIGHT(H72,2)="SH",(1-L72)+$W$3,""))),0)</f>
        <v>0.21000000000000002</v>
      </c>
      <c r="W72" s="298"/>
      <c r="X72" s="698">
        <f t="shared" ca="1" si="27"/>
        <v>0</v>
      </c>
      <c r="Y72" s="81">
        <f t="shared" ca="1" si="28"/>
        <v>0</v>
      </c>
      <c r="Z72" s="81">
        <f t="shared" ca="1" si="29"/>
        <v>0</v>
      </c>
      <c r="AA72" s="81">
        <f t="shared" ca="1" si="30"/>
        <v>0</v>
      </c>
      <c r="AB72" s="81">
        <f t="shared" ca="1" si="31"/>
        <v>0</v>
      </c>
      <c r="AD72" s="81">
        <v>2020</v>
      </c>
      <c r="AE72" s="81"/>
      <c r="AF72" s="220"/>
    </row>
    <row r="73" spans="2:32">
      <c r="B73" s="357" t="s">
        <v>1007</v>
      </c>
      <c r="D73" s="212"/>
      <c r="E73" s="212"/>
      <c r="F73" s="224" t="s">
        <v>1149</v>
      </c>
      <c r="H73" s="174"/>
      <c r="I73" s="174" t="str">
        <f t="shared" si="22"/>
        <v>INDAWH</v>
      </c>
      <c r="J73" s="224">
        <f t="shared" si="32"/>
        <v>2030</v>
      </c>
      <c r="K73" s="81"/>
      <c r="L73" s="199">
        <f t="shared" ca="1" si="23"/>
        <v>0.99</v>
      </c>
      <c r="M73" s="199"/>
      <c r="N73" s="81"/>
      <c r="O73" s="723">
        <f t="shared" ca="1" si="24"/>
        <v>0.52150000000000007</v>
      </c>
      <c r="P73" s="723">
        <f t="shared" ca="1" si="25"/>
        <v>7.5989999999999999E-3</v>
      </c>
      <c r="Q73" s="81">
        <f t="shared" ca="1" si="26"/>
        <v>1.8107638888888888</v>
      </c>
      <c r="R73" s="300"/>
      <c r="S73" s="300"/>
      <c r="T73" s="300"/>
      <c r="U73" s="300"/>
      <c r="V73" s="199">
        <f t="shared" ref="V73" ca="1" si="40">IF(IF(RIGHT(H72,2)="PH",(1-L73)+$W$2,IF(RIGHT(H72,2)="HT",(1-L73)+$W$1,IF(RIGHT(H72,2)="SH",(1-L73)+$W$3,"")))&gt;0,IF(RIGHT(H72,2)="PH",(1-L73)+$W$2,IF(RIGHT(H72,2)="HT",(1-L73)+$W$1,IF(RIGHT(H72,2)="SH",(1-L73)+$W$3,""))),0)</f>
        <v>0.21000000000000002</v>
      </c>
      <c r="W73" s="298"/>
      <c r="X73" s="698">
        <f t="shared" ca="1" si="27"/>
        <v>0</v>
      </c>
      <c r="Y73" s="81">
        <f t="shared" ca="1" si="28"/>
        <v>0</v>
      </c>
      <c r="Z73" s="81">
        <f t="shared" ca="1" si="29"/>
        <v>0</v>
      </c>
      <c r="AA73" s="81">
        <f t="shared" ca="1" si="30"/>
        <v>0</v>
      </c>
      <c r="AB73" s="81">
        <f t="shared" ca="1" si="31"/>
        <v>0</v>
      </c>
      <c r="AD73" s="81">
        <v>2030</v>
      </c>
      <c r="AE73" s="81"/>
      <c r="AF73" s="220"/>
    </row>
    <row r="74" spans="2:32">
      <c r="B74" s="357" t="s">
        <v>1007</v>
      </c>
      <c r="D74" s="212"/>
      <c r="E74" s="212"/>
      <c r="F74" s="224" t="s">
        <v>1149</v>
      </c>
      <c r="H74" s="174"/>
      <c r="I74" s="174" t="str">
        <f t="shared" si="22"/>
        <v>INDAWH</v>
      </c>
      <c r="J74" s="224">
        <f t="shared" si="32"/>
        <v>2050</v>
      </c>
      <c r="K74" s="81"/>
      <c r="L74" s="199">
        <f t="shared" ca="1" si="23"/>
        <v>0.99</v>
      </c>
      <c r="M74" s="199"/>
      <c r="N74" s="81"/>
      <c r="O74" s="723">
        <f t="shared" ca="1" si="24"/>
        <v>0.52150000000000007</v>
      </c>
      <c r="P74" s="723">
        <f t="shared" ca="1" si="25"/>
        <v>6.8539999999999998E-3</v>
      </c>
      <c r="Q74" s="81">
        <f t="shared" ca="1" si="26"/>
        <v>1.6141666666666665</v>
      </c>
      <c r="R74" s="300"/>
      <c r="S74" s="300"/>
      <c r="T74" s="300"/>
      <c r="U74" s="300"/>
      <c r="V74" s="199">
        <f t="shared" ref="V74" ca="1" si="41">IF(IF(RIGHT(H72,2)="PH",(1-L74)+$W$2,IF(RIGHT(H72,2)="HT",(1-L74)+$W$1,IF(RIGHT(H72,2)="SH",(1-L74)+$W$3,"")))&gt;0,IF(RIGHT(H72,2)="PH",(1-L74)+$W$2,IF(RIGHT(H72,2)="HT",(1-L74)+$W$1,IF(RIGHT(H72,2)="SH",(1-L74)+$W$3,""))),0)</f>
        <v>0.21000000000000002</v>
      </c>
      <c r="W74" s="298"/>
      <c r="X74" s="698">
        <f t="shared" ca="1" si="27"/>
        <v>0</v>
      </c>
      <c r="Y74" s="81">
        <f t="shared" ca="1" si="28"/>
        <v>0</v>
      </c>
      <c r="Z74" s="81">
        <f t="shared" ca="1" si="29"/>
        <v>0</v>
      </c>
      <c r="AA74" s="81">
        <f t="shared" ca="1" si="30"/>
        <v>0</v>
      </c>
      <c r="AB74" s="81">
        <f t="shared" ca="1" si="31"/>
        <v>0</v>
      </c>
      <c r="AD74" s="81">
        <v>2050</v>
      </c>
      <c r="AE74" s="81"/>
      <c r="AF74" s="220"/>
    </row>
    <row r="75" spans="2:32">
      <c r="B75" s="357" t="s">
        <v>1007</v>
      </c>
      <c r="D75" s="212" t="str">
        <f>"IND"&amp;RIGHT(H75,4)&amp;RIGHT(G75,3)&amp;"N"&amp;RIGHT(E75,1)</f>
        <v>INDADPHELCN8</v>
      </c>
      <c r="E75" s="261" t="str">
        <f>"Industrial heating technology "&amp;$AJ$12&amp;" "&amp;RIGHT(H75,2)&amp;" - Electric boiler (Steam) - new 8"</f>
        <v>Industrial heating technology Aluminium PH - Electric boiler (Steam) - new 8</v>
      </c>
      <c r="F75" s="224" t="s">
        <v>1149</v>
      </c>
      <c r="G75" s="173" t="s">
        <v>499</v>
      </c>
      <c r="H75" s="174" t="str">
        <f>$AI$14</f>
        <v>IADPH</v>
      </c>
      <c r="I75" s="174" t="str">
        <f t="shared" si="22"/>
        <v>INDAWH</v>
      </c>
      <c r="J75" s="224">
        <f t="shared" si="32"/>
        <v>2011</v>
      </c>
      <c r="K75" s="299">
        <v>2020</v>
      </c>
      <c r="L75" s="199">
        <f t="shared" ca="1" si="23"/>
        <v>0.99</v>
      </c>
      <c r="M75" s="199"/>
      <c r="N75" s="81">
        <f ca="1">VLOOKUP($AD75,INDIRECT("'"&amp;$B75&amp;"'!"&amp;"$P$39:$AD$42"),5,FALSE)</f>
        <v>25</v>
      </c>
      <c r="O75" s="723">
        <f t="shared" ca="1" si="24"/>
        <v>0.59599999999999997</v>
      </c>
      <c r="P75" s="723">
        <f t="shared" ca="1" si="25"/>
        <v>7.9714999999999994E-3</v>
      </c>
      <c r="Q75" s="81">
        <f t="shared" ca="1" si="26"/>
        <v>1.7900694444444445</v>
      </c>
      <c r="R75" s="81">
        <v>3.1536000000000002E-2</v>
      </c>
      <c r="S75" s="199">
        <v>0.5</v>
      </c>
      <c r="T75" s="199">
        <f ca="1">HLOOKUP($T$2,INDIRECT("'"&amp;$B75&amp;"'!"&amp;"$P$6:$AC$19"),IF(H75=$AI$13,6,IF(H75=$AI$14,9,14)),FALSE)</f>
        <v>1</v>
      </c>
      <c r="U75" s="772"/>
      <c r="V75" s="199">
        <f t="shared" ref="V75" ca="1" si="42">IF(IF(RIGHT(H75,2)="PH",(1-L75)+$W$2,IF(RIGHT(H75,2)="HT",(1-L75)+$W$1,IF(RIGHT(H75,2)="SH",(1-L75)+$W$3,"")))&gt;0,IF(RIGHT(H75,2)="PH",(1-L75)+$W$2,IF(RIGHT(H75,2)="HT",(1-L75)+$W$1,IF(RIGHT(H75,2)="SH",(1-L75)+$W$3,""))),0)</f>
        <v>0.21000000000000002</v>
      </c>
      <c r="W75" s="298"/>
      <c r="X75" s="698">
        <f t="shared" ca="1" si="27"/>
        <v>0</v>
      </c>
      <c r="Y75" s="81">
        <f t="shared" ca="1" si="28"/>
        <v>0</v>
      </c>
      <c r="Z75" s="81">
        <f t="shared" ca="1" si="29"/>
        <v>0</v>
      </c>
      <c r="AA75" s="81">
        <f t="shared" ca="1" si="30"/>
        <v>0</v>
      </c>
      <c r="AB75" s="81">
        <f t="shared" ca="1" si="31"/>
        <v>0</v>
      </c>
      <c r="AD75" s="81">
        <v>2020</v>
      </c>
      <c r="AE75" s="81"/>
      <c r="AF75" s="220"/>
    </row>
    <row r="76" spans="2:32">
      <c r="B76" s="357" t="s">
        <v>1007</v>
      </c>
      <c r="D76" s="212"/>
      <c r="E76" s="212"/>
      <c r="F76" s="224" t="s">
        <v>1149</v>
      </c>
      <c r="H76" s="174"/>
      <c r="I76" s="174" t="str">
        <f t="shared" si="22"/>
        <v>INDAWH</v>
      </c>
      <c r="J76" s="224">
        <f t="shared" si="32"/>
        <v>2030</v>
      </c>
      <c r="K76" s="81"/>
      <c r="L76" s="199">
        <f t="shared" ca="1" si="23"/>
        <v>0.99</v>
      </c>
      <c r="M76" s="199"/>
      <c r="N76" s="81"/>
      <c r="O76" s="723">
        <f t="shared" ca="1" si="24"/>
        <v>0.52150000000000007</v>
      </c>
      <c r="P76" s="723">
        <f t="shared" ca="1" si="25"/>
        <v>7.5989999999999999E-3</v>
      </c>
      <c r="Q76" s="81">
        <f t="shared" ca="1" si="26"/>
        <v>1.8107638888888888</v>
      </c>
      <c r="R76" s="300"/>
      <c r="S76" s="300"/>
      <c r="T76" s="300"/>
      <c r="U76" s="300"/>
      <c r="V76" s="199">
        <f t="shared" ref="V76" ca="1" si="43">IF(IF(RIGHT(H75,2)="PH",(1-L76)+$W$2,IF(RIGHT(H75,2)="HT",(1-L76)+$W$1,IF(RIGHT(H75,2)="SH",(1-L76)+$W$3,"")))&gt;0,IF(RIGHT(H75,2)="PH",(1-L76)+$W$2,IF(RIGHT(H75,2)="HT",(1-L76)+$W$1,IF(RIGHT(H75,2)="SH",(1-L76)+$W$3,""))),0)</f>
        <v>0.21000000000000002</v>
      </c>
      <c r="W76" s="298"/>
      <c r="X76" s="698">
        <f t="shared" ca="1" si="27"/>
        <v>0</v>
      </c>
      <c r="Y76" s="81">
        <f t="shared" ca="1" si="28"/>
        <v>0</v>
      </c>
      <c r="Z76" s="81">
        <f t="shared" ca="1" si="29"/>
        <v>0</v>
      </c>
      <c r="AA76" s="81">
        <f t="shared" ca="1" si="30"/>
        <v>0</v>
      </c>
      <c r="AB76" s="81">
        <f t="shared" ca="1" si="31"/>
        <v>0</v>
      </c>
      <c r="AD76" s="81">
        <v>2030</v>
      </c>
      <c r="AE76" s="81"/>
      <c r="AF76" s="220"/>
    </row>
    <row r="77" spans="2:32">
      <c r="B77" s="357" t="s">
        <v>1007</v>
      </c>
      <c r="D77" s="212"/>
      <c r="E77" s="212"/>
      <c r="F77" s="224" t="s">
        <v>1149</v>
      </c>
      <c r="H77" s="174"/>
      <c r="I77" s="174" t="str">
        <f t="shared" si="22"/>
        <v>INDAWH</v>
      </c>
      <c r="J77" s="224">
        <f t="shared" si="32"/>
        <v>2050</v>
      </c>
      <c r="K77" s="81"/>
      <c r="L77" s="199">
        <f t="shared" ca="1" si="23"/>
        <v>0.99</v>
      </c>
      <c r="M77" s="199"/>
      <c r="N77" s="81"/>
      <c r="O77" s="723">
        <f t="shared" ca="1" si="24"/>
        <v>0.52150000000000007</v>
      </c>
      <c r="P77" s="723">
        <f t="shared" ca="1" si="25"/>
        <v>6.8539999999999998E-3</v>
      </c>
      <c r="Q77" s="81">
        <f t="shared" ca="1" si="26"/>
        <v>1.6141666666666665</v>
      </c>
      <c r="R77" s="300"/>
      <c r="S77" s="300"/>
      <c r="T77" s="300"/>
      <c r="U77" s="300"/>
      <c r="V77" s="199">
        <f t="shared" ref="V77" ca="1" si="44">IF(IF(RIGHT(H75,2)="PH",(1-L77)+$W$2,IF(RIGHT(H75,2)="HT",(1-L77)+$W$1,IF(RIGHT(H75,2)="SH",(1-L77)+$W$3,"")))&gt;0,IF(RIGHT(H75,2)="PH",(1-L77)+$W$2,IF(RIGHT(H75,2)="HT",(1-L77)+$W$1,IF(RIGHT(H75,2)="SH",(1-L77)+$W$3,""))),0)</f>
        <v>0.21000000000000002</v>
      </c>
      <c r="W77" s="298"/>
      <c r="X77" s="698">
        <f t="shared" ca="1" si="27"/>
        <v>0</v>
      </c>
      <c r="Y77" s="81">
        <f t="shared" ca="1" si="28"/>
        <v>0</v>
      </c>
      <c r="Z77" s="81">
        <f t="shared" ca="1" si="29"/>
        <v>0</v>
      </c>
      <c r="AA77" s="81">
        <f t="shared" ca="1" si="30"/>
        <v>0</v>
      </c>
      <c r="AB77" s="81">
        <f t="shared" ca="1" si="31"/>
        <v>0</v>
      </c>
      <c r="AD77" s="81">
        <v>2050</v>
      </c>
      <c r="AE77" s="706"/>
      <c r="AF77" s="220"/>
    </row>
    <row r="78" spans="2:32">
      <c r="B78" s="357" t="s">
        <v>1007</v>
      </c>
      <c r="D78" s="212" t="str">
        <f>"IND"&amp;RIGHT(H78,4)&amp;RIGHT(G78,3)&amp;"N"&amp;RIGHT(E78,1)</f>
        <v>INDADSHELCN8</v>
      </c>
      <c r="E78" s="261" t="str">
        <f>"Industrial heating technology "&amp;$AJ$12&amp;" "&amp;RIGHT(H78,2)&amp;" - Electric boiler (Steam) - new 8"</f>
        <v>Industrial heating technology Aluminium SH - Electric boiler (Steam) - new 8</v>
      </c>
      <c r="F78" s="224" t="s">
        <v>1149</v>
      </c>
      <c r="G78" s="173" t="s">
        <v>499</v>
      </c>
      <c r="H78" s="174" t="str">
        <f>$AI$15</f>
        <v>IADSH</v>
      </c>
      <c r="I78" s="174" t="str">
        <f t="shared" si="22"/>
        <v>INDAWH</v>
      </c>
      <c r="J78" s="224">
        <f t="shared" si="32"/>
        <v>2011</v>
      </c>
      <c r="K78" s="299">
        <v>2020</v>
      </c>
      <c r="L78" s="199">
        <f t="shared" ca="1" si="23"/>
        <v>0.99</v>
      </c>
      <c r="M78" s="199"/>
      <c r="N78" s="81">
        <f ca="1">VLOOKUP($AD78,INDIRECT("'"&amp;$B78&amp;"'!"&amp;"$P$39:$AD$42"),5,FALSE)</f>
        <v>25</v>
      </c>
      <c r="O78" s="723">
        <f t="shared" ca="1" si="24"/>
        <v>0.59599999999999997</v>
      </c>
      <c r="P78" s="723">
        <f t="shared" ca="1" si="25"/>
        <v>7.9714999999999994E-3</v>
      </c>
      <c r="Q78" s="81">
        <f t="shared" ca="1" si="26"/>
        <v>1.7900694444444445</v>
      </c>
      <c r="R78" s="81">
        <v>3.1536000000000002E-2</v>
      </c>
      <c r="S78" s="199">
        <v>0.5</v>
      </c>
      <c r="T78" s="199">
        <f ca="1">HLOOKUP($T$2,INDIRECT("'"&amp;$B78&amp;"'!"&amp;"$P$6:$AC$19"),IF(H78=$AI$13,6,IF(H78=$AI$14,9,14)),FALSE)</f>
        <v>1</v>
      </c>
      <c r="U78" s="772"/>
      <c r="V78" s="199">
        <f t="shared" ref="V78" ca="1" si="45">IF(IF(RIGHT(H78,2)="PH",(1-L78)+$W$2,IF(RIGHT(H78,2)="HT",(1-L78)+$W$1,IF(RIGHT(H78,2)="SH",(1-L78)+$W$3,"")))&gt;0,IF(RIGHT(H78,2)="PH",(1-L78)+$W$2,IF(RIGHT(H78,2)="HT",(1-L78)+$W$1,IF(RIGHT(H78,2)="SH",(1-L78)+$W$3,""))),0)</f>
        <v>1.0000000000000009E-2</v>
      </c>
      <c r="W78" s="298"/>
      <c r="X78" s="698">
        <f t="shared" ca="1" si="27"/>
        <v>0</v>
      </c>
      <c r="Y78" s="81">
        <f t="shared" ca="1" si="28"/>
        <v>0</v>
      </c>
      <c r="Z78" s="81">
        <f t="shared" ca="1" si="29"/>
        <v>0</v>
      </c>
      <c r="AA78" s="81">
        <f t="shared" ca="1" si="30"/>
        <v>0</v>
      </c>
      <c r="AB78" s="81">
        <f t="shared" ca="1" si="31"/>
        <v>0</v>
      </c>
      <c r="AC78" s="296"/>
      <c r="AD78" s="81">
        <v>2020</v>
      </c>
      <c r="AE78" s="81"/>
      <c r="AF78" s="710"/>
    </row>
    <row r="79" spans="2:32">
      <c r="B79" s="357" t="s">
        <v>1007</v>
      </c>
      <c r="D79" s="212"/>
      <c r="E79" s="212"/>
      <c r="F79" s="224" t="s">
        <v>1149</v>
      </c>
      <c r="H79" s="174"/>
      <c r="I79" s="174" t="str">
        <f t="shared" si="22"/>
        <v>INDAWH</v>
      </c>
      <c r="J79" s="224">
        <f t="shared" si="32"/>
        <v>2030</v>
      </c>
      <c r="K79" s="81"/>
      <c r="L79" s="199">
        <f t="shared" ca="1" si="23"/>
        <v>0.99</v>
      </c>
      <c r="M79" s="199"/>
      <c r="N79" s="81"/>
      <c r="O79" s="723">
        <f t="shared" ca="1" si="24"/>
        <v>0.52150000000000007</v>
      </c>
      <c r="P79" s="723">
        <f t="shared" ca="1" si="25"/>
        <v>7.5989999999999999E-3</v>
      </c>
      <c r="Q79" s="81">
        <f t="shared" ca="1" si="26"/>
        <v>1.8107638888888888</v>
      </c>
      <c r="R79" s="300"/>
      <c r="S79" s="300"/>
      <c r="T79" s="300"/>
      <c r="U79" s="300"/>
      <c r="V79" s="199">
        <f t="shared" ref="V79" ca="1" si="46">IF(IF(RIGHT(H78,2)="PH",(1-L79)+$W$2,IF(RIGHT(H78,2)="HT",(1-L79)+$W$1,IF(RIGHT(H78,2)="SH",(1-L79)+$W$3,"")))&gt;0,IF(RIGHT(H78,2)="PH",(1-L79)+$W$2,IF(RIGHT(H78,2)="HT",(1-L79)+$W$1,IF(RIGHT(H78,2)="SH",(1-L79)+$W$3,""))),0)</f>
        <v>1.0000000000000009E-2</v>
      </c>
      <c r="W79" s="298"/>
      <c r="X79" s="698">
        <f t="shared" ca="1" si="27"/>
        <v>0</v>
      </c>
      <c r="Y79" s="81">
        <f t="shared" ca="1" si="28"/>
        <v>0</v>
      </c>
      <c r="Z79" s="81">
        <f t="shared" ca="1" si="29"/>
        <v>0</v>
      </c>
      <c r="AA79" s="81">
        <f t="shared" ca="1" si="30"/>
        <v>0</v>
      </c>
      <c r="AB79" s="81">
        <f t="shared" ca="1" si="31"/>
        <v>0</v>
      </c>
      <c r="AC79" s="55"/>
      <c r="AD79" s="81">
        <v>2030</v>
      </c>
      <c r="AE79" s="81"/>
      <c r="AF79" s="700"/>
    </row>
    <row r="80" spans="2:32">
      <c r="B80" s="357" t="s">
        <v>1007</v>
      </c>
      <c r="D80" s="212"/>
      <c r="E80" s="212"/>
      <c r="F80" s="224" t="s">
        <v>1149</v>
      </c>
      <c r="H80" s="174"/>
      <c r="I80" s="174" t="str">
        <f t="shared" si="22"/>
        <v>INDAWH</v>
      </c>
      <c r="J80" s="224">
        <f t="shared" si="32"/>
        <v>2050</v>
      </c>
      <c r="K80" s="706"/>
      <c r="L80" s="199">
        <f t="shared" ca="1" si="23"/>
        <v>0.99</v>
      </c>
      <c r="M80" s="774"/>
      <c r="N80" s="706"/>
      <c r="O80" s="724">
        <f t="shared" ca="1" si="24"/>
        <v>0.52150000000000007</v>
      </c>
      <c r="P80" s="724">
        <f t="shared" ca="1" si="25"/>
        <v>6.8539999999999998E-3</v>
      </c>
      <c r="Q80" s="706">
        <f t="shared" ca="1" si="26"/>
        <v>1.6141666666666665</v>
      </c>
      <c r="R80" s="300"/>
      <c r="S80" s="300"/>
      <c r="T80" s="300"/>
      <c r="U80" s="300"/>
      <c r="V80" s="199">
        <f t="shared" ref="V80" ca="1" si="47">IF(IF(RIGHT(H78,2)="PH",(1-L80)+$W$2,IF(RIGHT(H78,2)="HT",(1-L80)+$W$1,IF(RIGHT(H78,2)="SH",(1-L80)+$W$3,"")))&gt;0,IF(RIGHT(H78,2)="PH",(1-L80)+$W$2,IF(RIGHT(H78,2)="HT",(1-L80)+$W$1,IF(RIGHT(H78,2)="SH",(1-L80)+$W$3,""))),0)</f>
        <v>1.0000000000000009E-2</v>
      </c>
      <c r="W80" s="298"/>
      <c r="X80" s="698">
        <f t="shared" ca="1" si="27"/>
        <v>0</v>
      </c>
      <c r="Y80" s="706">
        <f t="shared" ca="1" si="28"/>
        <v>0</v>
      </c>
      <c r="Z80" s="706">
        <f t="shared" ca="1" si="29"/>
        <v>0</v>
      </c>
      <c r="AA80" s="706">
        <f t="shared" ca="1" si="30"/>
        <v>0</v>
      </c>
      <c r="AB80" s="706">
        <f t="shared" ca="1" si="31"/>
        <v>0</v>
      </c>
      <c r="AC80" s="55"/>
      <c r="AD80" s="706">
        <v>2050</v>
      </c>
      <c r="AE80" s="81"/>
      <c r="AF80" s="700"/>
    </row>
    <row r="81" spans="1:33">
      <c r="B81" s="716" t="s">
        <v>1007</v>
      </c>
      <c r="C81" s="296"/>
      <c r="D81" s="707" t="str">
        <f>"IND"&amp;RIGHT(H81,4)&amp;RIGHT(G81,3)&amp;"N"&amp;RIGHT(E81,1)</f>
        <v>INDADPHELCN9</v>
      </c>
      <c r="E81" s="707" t="str">
        <f>"Industrial heating technology "&amp;$AJ$12&amp;" "&amp;RIGHT(H81,2)&amp;" - Electric boiler (Hot Water) - new 9"</f>
        <v>Industrial heating technology Aluminium PH - Electric boiler (Hot Water) - new 9</v>
      </c>
      <c r="F81" s="224" t="s">
        <v>1149</v>
      </c>
      <c r="G81" s="708" t="s">
        <v>499</v>
      </c>
      <c r="H81" s="708" t="str">
        <f>$AI$14</f>
        <v>IADPH</v>
      </c>
      <c r="I81" s="708" t="str">
        <f t="shared" si="22"/>
        <v>INDAWH</v>
      </c>
      <c r="J81" s="224">
        <f t="shared" si="32"/>
        <v>2011</v>
      </c>
      <c r="K81" s="299">
        <v>2020</v>
      </c>
      <c r="L81" s="199">
        <f t="shared" ref="L81:L86" ca="1" si="48">VLOOKUP($AD81,INDIRECT("'"&amp;$B81&amp;"'!"&amp;"$P$118:$AD$121"),3,FALSE)</f>
        <v>0.99</v>
      </c>
      <c r="M81" s="199"/>
      <c r="N81" s="81">
        <f ca="1">VLOOKUP($AD81,INDIRECT("'"&amp;$B81&amp;"'!"&amp;"$P$118:$AD$121"),5,FALSE)</f>
        <v>25</v>
      </c>
      <c r="O81" s="723">
        <f t="shared" ref="O81:O86" ca="1" si="49">VLOOKUP($AD81,INDIRECT("'"&amp;$B81&amp;"'!"&amp;"$P$118:$AD$121"),6,FALSE)/1000</f>
        <v>0.52150000000000007</v>
      </c>
      <c r="P81" s="723">
        <f t="shared" ref="P81:P86" ca="1" si="50">VLOOKUP($AD81,INDIRECT("'"&amp;$B81&amp;"'!"&amp;"$P$118:$AD$121"),7,FALSE)/1000</f>
        <v>7.9714999999999994E-3</v>
      </c>
      <c r="Q81" s="81">
        <f t="shared" ref="Q81:Q86" ca="1" si="51">VLOOKUP($AD81,INDIRECT("'"&amp;$B81&amp;"'!"&amp;"$P$118:$AD$121"),8,FALSE)</f>
        <v>1.7900694444444445</v>
      </c>
      <c r="R81" s="81">
        <v>3.1536000000000002E-2</v>
      </c>
      <c r="S81" s="199">
        <v>0.5</v>
      </c>
      <c r="T81" s="199">
        <f ca="1">HLOOKUP($T$2,INDIRECT("'"&amp;$B81&amp;"'!"&amp;"$P$85:$AC$98"),IF(H81=$AI$13,6,IF(H81=$AI$14,9,14)),FALSE)</f>
        <v>0</v>
      </c>
      <c r="U81" s="773"/>
      <c r="V81" s="199">
        <f t="shared" ref="V81" ca="1" si="52">IF(IF(RIGHT(H81,2)="PH",(1-L81)+$W$2,IF(RIGHT(H81,2)="HT",(1-L81)+$W$1,IF(RIGHT(H81,2)="SH",(1-L81)+$W$3,"")))&gt;0,IF(RIGHT(H81,2)="PH",(1-L81)+$W$2,IF(RIGHT(H81,2)="HT",(1-L81)+$W$1,IF(RIGHT(H81,2)="SH",(1-L81)+$W$3,""))),0)</f>
        <v>0.21000000000000002</v>
      </c>
      <c r="W81" s="709"/>
      <c r="X81" s="698">
        <f t="shared" ca="1" si="27"/>
        <v>0</v>
      </c>
      <c r="Y81" s="698">
        <f t="shared" ref="Y81:Y86" ca="1" si="53">VLOOKUP($AD81,INDIRECT("'"&amp;$B81&amp;"'!"&amp;"$P$118:$AD$121"),12,FALSE)</f>
        <v>0</v>
      </c>
      <c r="Z81" s="698">
        <f t="shared" ref="Z81:Z86" ca="1" si="54">VLOOKUP($AD81,INDIRECT("'"&amp;$B81&amp;"'!"&amp;"$P$118:$AD$121"),13,FALSE)</f>
        <v>0</v>
      </c>
      <c r="AA81" s="698">
        <f t="shared" ref="AA81:AA86" ca="1" si="55">VLOOKUP($AD81,INDIRECT("'"&amp;$B81&amp;"'!"&amp;"$P$118:$AD$121"),14,FALSE)</f>
        <v>0</v>
      </c>
      <c r="AB81" s="698">
        <f t="shared" ref="AB81:AB86" ca="1" si="56">VLOOKUP($AD81,INDIRECT("'"&amp;$B81&amp;"'!"&amp;"$P$118:$AD$121"),15,FALSE)</f>
        <v>0</v>
      </c>
      <c r="AC81" s="55"/>
      <c r="AD81" s="81">
        <v>2020</v>
      </c>
      <c r="AE81" s="81"/>
      <c r="AF81" s="700"/>
    </row>
    <row r="82" spans="1:33">
      <c r="B82" s="357" t="s">
        <v>1007</v>
      </c>
      <c r="C82" s="55"/>
      <c r="D82" s="261"/>
      <c r="E82" s="261"/>
      <c r="F82" s="224" t="s">
        <v>1149</v>
      </c>
      <c r="G82" s="55"/>
      <c r="H82" s="174"/>
      <c r="I82" s="174" t="str">
        <f t="shared" si="22"/>
        <v>INDAWH</v>
      </c>
      <c r="J82" s="224">
        <f t="shared" si="32"/>
        <v>2030</v>
      </c>
      <c r="K82" s="81"/>
      <c r="L82" s="199">
        <f t="shared" ca="1" si="48"/>
        <v>0.99</v>
      </c>
      <c r="M82" s="199"/>
      <c r="N82" s="81"/>
      <c r="O82" s="723">
        <f t="shared" ca="1" si="49"/>
        <v>0.44700000000000001</v>
      </c>
      <c r="P82" s="723">
        <f t="shared" ca="1" si="50"/>
        <v>7.5989999999999999E-3</v>
      </c>
      <c r="Q82" s="81">
        <f t="shared" ca="1" si="51"/>
        <v>1.8107638888888888</v>
      </c>
      <c r="R82" s="300"/>
      <c r="S82" s="300"/>
      <c r="T82" s="300"/>
      <c r="U82" s="300"/>
      <c r="V82" s="199">
        <f t="shared" ref="V82" ca="1" si="57">IF(IF(RIGHT(H81,2)="PH",(1-L82)+$W$2,IF(RIGHT(H81,2)="HT",(1-L82)+$W$1,IF(RIGHT(H81,2)="SH",(1-L82)+$W$3,"")))&gt;0,IF(RIGHT(H81,2)="PH",(1-L82)+$W$2,IF(RIGHT(H81,2)="HT",(1-L82)+$W$1,IF(RIGHT(H81,2)="SH",(1-L82)+$W$3,""))),0)</f>
        <v>0.21000000000000002</v>
      </c>
      <c r="W82" s="298"/>
      <c r="X82" s="698">
        <f t="shared" ca="1" si="27"/>
        <v>0</v>
      </c>
      <c r="Y82" s="698">
        <f t="shared" ca="1" si="53"/>
        <v>0</v>
      </c>
      <c r="Z82" s="698">
        <f t="shared" ca="1" si="54"/>
        <v>0</v>
      </c>
      <c r="AA82" s="698">
        <f t="shared" ca="1" si="55"/>
        <v>0</v>
      </c>
      <c r="AB82" s="698">
        <f t="shared" ca="1" si="56"/>
        <v>0</v>
      </c>
      <c r="AC82" s="55"/>
      <c r="AD82" s="81">
        <v>2030</v>
      </c>
      <c r="AE82" s="81"/>
      <c r="AF82" s="700"/>
    </row>
    <row r="83" spans="1:33">
      <c r="B83" s="357" t="s">
        <v>1007</v>
      </c>
      <c r="C83" s="55"/>
      <c r="D83" s="261"/>
      <c r="E83" s="261"/>
      <c r="F83" s="224" t="s">
        <v>1149</v>
      </c>
      <c r="G83" s="55"/>
      <c r="H83" s="174"/>
      <c r="I83" s="174" t="str">
        <f t="shared" si="22"/>
        <v>INDAWH</v>
      </c>
      <c r="J83" s="224">
        <f t="shared" si="32"/>
        <v>2050</v>
      </c>
      <c r="K83" s="81"/>
      <c r="L83" s="199">
        <f t="shared" ca="1" si="48"/>
        <v>0.99</v>
      </c>
      <c r="M83" s="199"/>
      <c r="N83" s="81"/>
      <c r="O83" s="723">
        <f t="shared" ca="1" si="49"/>
        <v>0.44700000000000001</v>
      </c>
      <c r="P83" s="723">
        <f t="shared" ca="1" si="50"/>
        <v>6.8539999999999998E-3</v>
      </c>
      <c r="Q83" s="81">
        <f t="shared" ca="1" si="51"/>
        <v>1.6141666666666665</v>
      </c>
      <c r="R83" s="300"/>
      <c r="S83" s="300"/>
      <c r="T83" s="300"/>
      <c r="U83" s="300"/>
      <c r="V83" s="199">
        <f t="shared" ref="V83" ca="1" si="58">IF(IF(RIGHT(H81,2)="PH",(1-L83)+$W$2,IF(RIGHT(H81,2)="HT",(1-L83)+$W$1,IF(RIGHT(H81,2)="SH",(1-L83)+$W$3,"")))&gt;0,IF(RIGHT(H81,2)="PH",(1-L83)+$W$2,IF(RIGHT(H81,2)="HT",(1-L83)+$W$1,IF(RIGHT(H81,2)="SH",(1-L83)+$W$3,""))),0)</f>
        <v>0.21000000000000002</v>
      </c>
      <c r="W83" s="298"/>
      <c r="X83" s="698">
        <f t="shared" ca="1" si="27"/>
        <v>0</v>
      </c>
      <c r="Y83" s="698">
        <f t="shared" ca="1" si="53"/>
        <v>0</v>
      </c>
      <c r="Z83" s="698">
        <f t="shared" ca="1" si="54"/>
        <v>0</v>
      </c>
      <c r="AA83" s="698">
        <f t="shared" ca="1" si="55"/>
        <v>0</v>
      </c>
      <c r="AB83" s="698">
        <f t="shared" ca="1" si="56"/>
        <v>0</v>
      </c>
      <c r="AC83" s="203"/>
      <c r="AD83" s="81">
        <v>2050</v>
      </c>
      <c r="AE83" s="81"/>
      <c r="AF83" s="705"/>
    </row>
    <row r="84" spans="1:33">
      <c r="B84" s="357" t="s">
        <v>1007</v>
      </c>
      <c r="C84" s="55"/>
      <c r="D84" s="261" t="str">
        <f>"IND"&amp;RIGHT(H84,4)&amp;RIGHT(G84,3)&amp;"N"&amp;RIGHT(E84,1)</f>
        <v>INDADSHELCN9</v>
      </c>
      <c r="E84" s="261" t="str">
        <f>"Industrial heating technology "&amp;$AJ$12&amp;" "&amp;RIGHT(H84,2)&amp;" - Electric boiler (Hot Water) - new 9"</f>
        <v>Industrial heating technology Aluminium SH - Electric boiler (Hot Water) - new 9</v>
      </c>
      <c r="F84" s="224" t="s">
        <v>1149</v>
      </c>
      <c r="G84" s="174" t="s">
        <v>499</v>
      </c>
      <c r="H84" s="174" t="str">
        <f>$AI$15</f>
        <v>IADSH</v>
      </c>
      <c r="I84" s="174" t="str">
        <f t="shared" si="22"/>
        <v>INDAWH</v>
      </c>
      <c r="J84" s="224">
        <f t="shared" si="32"/>
        <v>2011</v>
      </c>
      <c r="K84" s="299">
        <v>2020</v>
      </c>
      <c r="L84" s="199">
        <f t="shared" ca="1" si="48"/>
        <v>0.99</v>
      </c>
      <c r="M84" s="199"/>
      <c r="N84" s="81">
        <f ca="1">VLOOKUP($AD84,INDIRECT("'"&amp;$B84&amp;"'!"&amp;"$P$118:$AD$121"),5,FALSE)</f>
        <v>25</v>
      </c>
      <c r="O84" s="723">
        <f t="shared" ca="1" si="49"/>
        <v>0.52150000000000007</v>
      </c>
      <c r="P84" s="723">
        <f t="shared" ca="1" si="50"/>
        <v>7.9714999999999994E-3</v>
      </c>
      <c r="Q84" s="81">
        <f t="shared" ca="1" si="51"/>
        <v>1.7900694444444445</v>
      </c>
      <c r="R84" s="81">
        <v>3.1536000000000002E-2</v>
      </c>
      <c r="S84" s="199">
        <v>0.5</v>
      </c>
      <c r="T84" s="199">
        <f ca="1">HLOOKUP($T$2,INDIRECT("'"&amp;$B84&amp;"'!"&amp;"$P$85:$AC$98"),IF(H84=$AI$13,6,IF(H84=$AI$14,9,14)),FALSE)</f>
        <v>1</v>
      </c>
      <c r="U84" s="772"/>
      <c r="V84" s="199">
        <f t="shared" ref="V84" ca="1" si="59">IF(IF(RIGHT(H84,2)="PH",(1-L84)+$W$2,IF(RIGHT(H84,2)="HT",(1-L84)+$W$1,IF(RIGHT(H84,2)="SH",(1-L84)+$W$3,"")))&gt;0,IF(RIGHT(H84,2)="PH",(1-L84)+$W$2,IF(RIGHT(H84,2)="HT",(1-L84)+$W$1,IF(RIGHT(H84,2)="SH",(1-L84)+$W$3,""))),0)</f>
        <v>1.0000000000000009E-2</v>
      </c>
      <c r="W84" s="298"/>
      <c r="X84" s="698">
        <f t="shared" ca="1" si="27"/>
        <v>0</v>
      </c>
      <c r="Y84" s="698">
        <f t="shared" ca="1" si="53"/>
        <v>0</v>
      </c>
      <c r="Z84" s="698">
        <f t="shared" ca="1" si="54"/>
        <v>0</v>
      </c>
      <c r="AA84" s="698">
        <f t="shared" ca="1" si="55"/>
        <v>0</v>
      </c>
      <c r="AB84" s="698">
        <f t="shared" ca="1" si="56"/>
        <v>0</v>
      </c>
      <c r="AD84" s="81">
        <v>2020</v>
      </c>
      <c r="AE84" s="299"/>
      <c r="AF84" s="220"/>
    </row>
    <row r="85" spans="1:33">
      <c r="B85" s="357" t="s">
        <v>1007</v>
      </c>
      <c r="C85" s="55"/>
      <c r="D85" s="261"/>
      <c r="E85" s="261"/>
      <c r="F85" s="224" t="s">
        <v>1149</v>
      </c>
      <c r="G85" s="55"/>
      <c r="H85" s="174"/>
      <c r="I85" s="174" t="str">
        <f t="shared" si="22"/>
        <v>INDAWH</v>
      </c>
      <c r="J85" s="224">
        <f t="shared" si="32"/>
        <v>2030</v>
      </c>
      <c r="K85" s="81"/>
      <c r="L85" s="199">
        <f t="shared" ca="1" si="48"/>
        <v>0.99</v>
      </c>
      <c r="M85" s="199"/>
      <c r="N85" s="81"/>
      <c r="O85" s="723">
        <f t="shared" ca="1" si="49"/>
        <v>0.44700000000000001</v>
      </c>
      <c r="P85" s="723">
        <f t="shared" ca="1" si="50"/>
        <v>7.5989999999999999E-3</v>
      </c>
      <c r="Q85" s="81">
        <f t="shared" ca="1" si="51"/>
        <v>1.8107638888888888</v>
      </c>
      <c r="R85" s="300"/>
      <c r="S85" s="300"/>
      <c r="T85" s="300"/>
      <c r="U85" s="300"/>
      <c r="V85" s="199">
        <f t="shared" ref="V85" ca="1" si="60">IF(IF(RIGHT(H84,2)="PH",(1-L85)+$W$2,IF(RIGHT(H84,2)="HT",(1-L85)+$W$1,IF(RIGHT(H84,2)="SH",(1-L85)+$W$3,"")))&gt;0,IF(RIGHT(H84,2)="PH",(1-L85)+$W$2,IF(RIGHT(H84,2)="HT",(1-L85)+$W$1,IF(RIGHT(H84,2)="SH",(1-L85)+$W$3,""))),0)</f>
        <v>1.0000000000000009E-2</v>
      </c>
      <c r="W85" s="298"/>
      <c r="X85" s="698">
        <f t="shared" ca="1" si="27"/>
        <v>0</v>
      </c>
      <c r="Y85" s="698">
        <f t="shared" ca="1" si="53"/>
        <v>0</v>
      </c>
      <c r="Z85" s="698">
        <f t="shared" ca="1" si="54"/>
        <v>0</v>
      </c>
      <c r="AA85" s="698">
        <f t="shared" ca="1" si="55"/>
        <v>0</v>
      </c>
      <c r="AB85" s="698">
        <f t="shared" ca="1" si="56"/>
        <v>0</v>
      </c>
      <c r="AD85" s="81">
        <v>2030</v>
      </c>
      <c r="AE85" s="81"/>
      <c r="AF85" s="220"/>
    </row>
    <row r="86" spans="1:33">
      <c r="B86" s="356" t="s">
        <v>1007</v>
      </c>
      <c r="C86" s="203"/>
      <c r="D86" s="701"/>
      <c r="E86" s="701"/>
      <c r="F86" s="224" t="s">
        <v>1149</v>
      </c>
      <c r="G86" s="203"/>
      <c r="H86" s="702"/>
      <c r="I86" s="702" t="str">
        <f t="shared" si="22"/>
        <v>INDAWH</v>
      </c>
      <c r="J86" s="224">
        <f t="shared" si="32"/>
        <v>2050</v>
      </c>
      <c r="K86" s="81"/>
      <c r="L86" s="199">
        <f t="shared" ca="1" si="48"/>
        <v>0.99</v>
      </c>
      <c r="M86" s="199"/>
      <c r="N86" s="81"/>
      <c r="O86" s="723">
        <f t="shared" ca="1" si="49"/>
        <v>0.44700000000000001</v>
      </c>
      <c r="P86" s="723">
        <f t="shared" ca="1" si="50"/>
        <v>6.8539999999999998E-3</v>
      </c>
      <c r="Q86" s="81">
        <f t="shared" ca="1" si="51"/>
        <v>1.6141666666666665</v>
      </c>
      <c r="R86" s="703"/>
      <c r="S86" s="703"/>
      <c r="T86" s="703"/>
      <c r="U86" s="703"/>
      <c r="V86" s="199">
        <f t="shared" ref="V86" ca="1" si="61">IF(IF(RIGHT(H84,2)="PH",(1-L86)+$W$2,IF(RIGHT(H84,2)="HT",(1-L86)+$W$1,IF(RIGHT(H84,2)="SH",(1-L86)+$W$3,"")))&gt;0,IF(RIGHT(H84,2)="PH",(1-L86)+$W$2,IF(RIGHT(H84,2)="HT",(1-L86)+$W$1,IF(RIGHT(H84,2)="SH",(1-L86)+$W$3,""))),0)</f>
        <v>1.0000000000000009E-2</v>
      </c>
      <c r="W86" s="704"/>
      <c r="X86" s="698">
        <f t="shared" ca="1" si="27"/>
        <v>0</v>
      </c>
      <c r="Y86" s="698">
        <f t="shared" ca="1" si="53"/>
        <v>0</v>
      </c>
      <c r="Z86" s="698">
        <f t="shared" ca="1" si="54"/>
        <v>0</v>
      </c>
      <c r="AA86" s="698">
        <f t="shared" ca="1" si="55"/>
        <v>0</v>
      </c>
      <c r="AB86" s="698">
        <f t="shared" ca="1" si="56"/>
        <v>0</v>
      </c>
      <c r="AD86" s="81">
        <v>2050</v>
      </c>
      <c r="AE86" s="81"/>
      <c r="AF86" s="220"/>
    </row>
    <row r="87" spans="1:33">
      <c r="B87" s="357" t="s">
        <v>1008</v>
      </c>
      <c r="D87" s="212" t="str">
        <f>"IND"&amp;RIGHT(H87,4)&amp;RIGHT(G87,3)&amp;"N"&amp;RIGHT(E87,1)</f>
        <v>INDADPHWCHN1</v>
      </c>
      <c r="E87" s="261" t="str">
        <f>"Industrial heating technology "&amp;$AJ$12&amp;" "&amp;RIGHT(H87,2)&amp;" - Wood chip boiler (Steam) - new 1"</f>
        <v>Industrial heating technology Aluminium PH - Wood chip boiler (Steam) - new 1</v>
      </c>
      <c r="F87" s="224" t="s">
        <v>1149</v>
      </c>
      <c r="G87" s="173" t="s">
        <v>498</v>
      </c>
      <c r="H87" s="174" t="str">
        <f>$AI$13</f>
        <v>IADPH</v>
      </c>
      <c r="I87" s="174" t="str">
        <f t="shared" si="22"/>
        <v>INDAWH</v>
      </c>
      <c r="J87" s="224">
        <f t="shared" si="32"/>
        <v>2011</v>
      </c>
      <c r="K87" s="299">
        <v>2025</v>
      </c>
      <c r="L87" s="333">
        <f t="shared" ref="L87:L92" ca="1" si="62">VLOOKUP($AD87,INDIRECT("'"&amp;$B87&amp;"'!"&amp;"$P$39:$AD$42"),3,FALSE)*0.4</f>
        <v>0.35600000000000004</v>
      </c>
      <c r="M87" s="699"/>
      <c r="N87" s="299">
        <f ca="1">VLOOKUP($AD87,INDIRECT("'"&amp;$B87&amp;"'!"&amp;"$P$39:$AD$42"),5,FALSE)</f>
        <v>25</v>
      </c>
      <c r="O87" s="725">
        <f t="shared" ref="O87:O95" ca="1" si="63">VLOOKUP($AD87,INDIRECT("'"&amp;$B87&amp;"'!"&amp;"$P$39:$AD$42"),6,FALSE)/1000</f>
        <v>4.6054545454545455</v>
      </c>
      <c r="P87" s="725">
        <f t="shared" ref="P87:P95" ca="1" si="64">VLOOKUP($AD87,INDIRECT("'"&amp;$B87&amp;"'!"&amp;"$P$39:$AD$42"),7,FALSE)/1000</f>
        <v>0.25106499999999998</v>
      </c>
      <c r="Q87" s="299">
        <f t="shared" ref="Q87:Q95" ca="1" si="65">VLOOKUP($AD87,INDIRECT("'"&amp;$B87&amp;"'!"&amp;"$P$39:$AD$42"),8,FALSE)</f>
        <v>5.7509861111111107</v>
      </c>
      <c r="R87" s="299">
        <v>3.1536000000000002E-2</v>
      </c>
      <c r="S87" s="699">
        <v>0.5</v>
      </c>
      <c r="T87" s="699">
        <f ca="1">HLOOKUP($T$2,INDIRECT("'"&amp;$B87&amp;"'!"&amp;"$P$6:$AC$19"),IF(H87=$AI$13,6,IF(H87=$AI$14,9,14)),FALSE)</f>
        <v>1</v>
      </c>
      <c r="U87" s="772"/>
      <c r="V87" s="199">
        <f t="shared" ref="V87" ca="1" si="66">IF(IF(RIGHT(H87,2)="PH",(1-L87)+$W$2,IF(RIGHT(H87,2)="HT",(1-L87)+$W$1,IF(RIGHT(H87,2)="SH",(1-L87)+$W$3,"")))&gt;0,IF(RIGHT(H87,2)="PH",(1-L87)+$W$2,IF(RIGHT(H87,2)="HT",(1-L87)+$W$1,IF(RIGHT(H87,2)="SH",(1-L87)+$W$3,""))),0)</f>
        <v>0.84399999999999986</v>
      </c>
      <c r="W87" s="298"/>
      <c r="X87" s="698">
        <f t="shared" ca="1" si="27"/>
        <v>11</v>
      </c>
      <c r="Y87" s="299">
        <f t="shared" ref="Y87:Y95" ca="1" si="67">VLOOKUP($AD87,INDIRECT("'"&amp;$B87&amp;"'!"&amp;"$P$39:$AD$42"),12,FALSE)</f>
        <v>63</v>
      </c>
      <c r="Z87" s="299">
        <f t="shared" ref="Z87:Z95" ca="1" si="68">VLOOKUP($AD87,INDIRECT("'"&amp;$B87&amp;"'!"&amp;"$P$39:$AD$42"),13,FALSE)</f>
        <v>11</v>
      </c>
      <c r="AA87" s="299">
        <f t="shared" ref="AA87:AA95" ca="1" si="69">VLOOKUP($AD87,INDIRECT("'"&amp;$B87&amp;"'!"&amp;"$P$39:$AD$42"),14,FALSE)</f>
        <v>3</v>
      </c>
      <c r="AB87" s="299">
        <f t="shared" ref="AB87:AB95" ca="1" si="70">VLOOKUP($AD87,INDIRECT("'"&amp;$B87&amp;"'!"&amp;"$P$39:$AD$42"),15,FALSE)</f>
        <v>10</v>
      </c>
      <c r="AD87" s="299">
        <v>2020</v>
      </c>
      <c r="AE87" s="81"/>
      <c r="AF87" s="220"/>
    </row>
    <row r="88" spans="1:33">
      <c r="B88" s="357" t="s">
        <v>1008</v>
      </c>
      <c r="D88" s="212"/>
      <c r="E88" s="212"/>
      <c r="F88" s="224" t="s">
        <v>1149</v>
      </c>
      <c r="H88" s="174"/>
      <c r="I88" s="174" t="str">
        <f t="shared" si="22"/>
        <v>INDAWH</v>
      </c>
      <c r="J88" s="224">
        <f t="shared" si="32"/>
        <v>2030</v>
      </c>
      <c r="K88" s="81"/>
      <c r="L88" s="333">
        <f t="shared" ca="1" si="62"/>
        <v>0.35600000000000004</v>
      </c>
      <c r="M88" s="199"/>
      <c r="N88" s="81"/>
      <c r="O88" s="723">
        <f t="shared" ca="1" si="63"/>
        <v>4.4022727272727264</v>
      </c>
      <c r="P88" s="723">
        <f t="shared" ca="1" si="64"/>
        <v>0.267455</v>
      </c>
      <c r="Q88" s="81">
        <f t="shared" ca="1" si="65"/>
        <v>5.8461805555555557</v>
      </c>
      <c r="R88" s="300"/>
      <c r="S88" s="300"/>
      <c r="T88" s="300"/>
      <c r="U88" s="300"/>
      <c r="V88" s="199">
        <f t="shared" ref="V88" ca="1" si="71">IF(IF(RIGHT(H87,2)="PH",(1-L88)+$W$2,IF(RIGHT(H87,2)="HT",(1-L88)+$W$1,IF(RIGHT(H87,2)="SH",(1-L88)+$W$3,"")))&gt;0,IF(RIGHT(H87,2)="PH",(1-L88)+$W$2,IF(RIGHT(H87,2)="HT",(1-L88)+$W$1,IF(RIGHT(H87,2)="SH",(1-L88)+$W$3,""))),0)</f>
        <v>0.84399999999999986</v>
      </c>
      <c r="W88" s="298"/>
      <c r="X88" s="698">
        <f t="shared" ca="1" si="27"/>
        <v>11</v>
      </c>
      <c r="Y88" s="81">
        <f t="shared" ca="1" si="67"/>
        <v>49</v>
      </c>
      <c r="Z88" s="81">
        <f t="shared" ca="1" si="68"/>
        <v>8</v>
      </c>
      <c r="AA88" s="81">
        <f t="shared" ca="1" si="69"/>
        <v>3</v>
      </c>
      <c r="AB88" s="81">
        <f t="shared" ca="1" si="70"/>
        <v>10</v>
      </c>
      <c r="AD88" s="81">
        <v>2030</v>
      </c>
      <c r="AE88" s="81"/>
      <c r="AF88" s="220"/>
    </row>
    <row r="89" spans="1:33">
      <c r="B89" s="357" t="s">
        <v>1008</v>
      </c>
      <c r="D89" s="212"/>
      <c r="E89" s="212"/>
      <c r="F89" s="224" t="s">
        <v>1149</v>
      </c>
      <c r="H89" s="174"/>
      <c r="I89" s="174" t="str">
        <f t="shared" si="22"/>
        <v>INDAWH</v>
      </c>
      <c r="J89" s="224">
        <f t="shared" si="32"/>
        <v>2050</v>
      </c>
      <c r="K89" s="81"/>
      <c r="L89" s="333">
        <f t="shared" ca="1" si="62"/>
        <v>0.36000000000000004</v>
      </c>
      <c r="M89" s="199"/>
      <c r="N89" s="81"/>
      <c r="O89" s="723">
        <f t="shared" ca="1" si="63"/>
        <v>3.9959090909090902</v>
      </c>
      <c r="P89" s="723">
        <f t="shared" ca="1" si="64"/>
        <v>0.25106499999999998</v>
      </c>
      <c r="Q89" s="81">
        <f t="shared" ca="1" si="65"/>
        <v>5.8937777777777782</v>
      </c>
      <c r="R89" s="300"/>
      <c r="S89" s="300"/>
      <c r="T89" s="300"/>
      <c r="U89" s="300"/>
      <c r="V89" s="199">
        <f t="shared" ref="V89" ca="1" si="72">IF(IF(RIGHT(H87,2)="PH",(1-L89)+$W$2,IF(RIGHT(H87,2)="HT",(1-L89)+$W$1,IF(RIGHT(H87,2)="SH",(1-L89)+$W$3,"")))&gt;0,IF(RIGHT(H87,2)="PH",(1-L89)+$W$2,IF(RIGHT(H87,2)="HT",(1-L89)+$W$1,IF(RIGHT(H87,2)="SH",(1-L89)+$W$3,""))),0)</f>
        <v>0.83999999999999986</v>
      </c>
      <c r="W89" s="298"/>
      <c r="X89" s="698">
        <f t="shared" ca="1" si="27"/>
        <v>11</v>
      </c>
      <c r="Y89" s="81">
        <f t="shared" ca="1" si="67"/>
        <v>41</v>
      </c>
      <c r="Z89" s="81">
        <f t="shared" ca="1" si="68"/>
        <v>4</v>
      </c>
      <c r="AA89" s="81">
        <f t="shared" ca="1" si="69"/>
        <v>1</v>
      </c>
      <c r="AB89" s="81">
        <f t="shared" ca="1" si="70"/>
        <v>10</v>
      </c>
      <c r="AD89" s="81">
        <v>2050</v>
      </c>
      <c r="AE89" s="81"/>
      <c r="AF89" s="220"/>
    </row>
    <row r="90" spans="1:33" s="226" customFormat="1">
      <c r="A90" s="224"/>
      <c r="B90" s="357" t="s">
        <v>1008</v>
      </c>
      <c r="C90" s="224"/>
      <c r="D90" s="212" t="str">
        <f>"IND"&amp;RIGHT(H90,4)&amp;RIGHT(G90,3)&amp;"N"&amp;RIGHT(E90,1)</f>
        <v>INDADPHWCHN1</v>
      </c>
      <c r="E90" s="261" t="str">
        <f>"Industrial heating technology "&amp;$AJ$12&amp;" "&amp;RIGHT(H90,2)&amp;" - Wood chip boiler (Steam) - new 1"</f>
        <v>Industrial heating technology Aluminium PH - Wood chip boiler (Steam) - new 1</v>
      </c>
      <c r="F90" s="224" t="s">
        <v>1149</v>
      </c>
      <c r="G90" s="173" t="s">
        <v>498</v>
      </c>
      <c r="H90" s="174" t="str">
        <f>$AI$14</f>
        <v>IADPH</v>
      </c>
      <c r="I90" s="174" t="str">
        <f t="shared" si="22"/>
        <v>INDAWH</v>
      </c>
      <c r="J90" s="224">
        <f t="shared" si="32"/>
        <v>2011</v>
      </c>
      <c r="K90" s="299">
        <v>2025</v>
      </c>
      <c r="L90" s="333">
        <f t="shared" ca="1" si="62"/>
        <v>0.35600000000000004</v>
      </c>
      <c r="M90" s="199"/>
      <c r="N90" s="81">
        <f ca="1">VLOOKUP($AD90,INDIRECT("'"&amp;$B90&amp;"'!"&amp;"$P$39:$AD$42"),5,FALSE)</f>
        <v>25</v>
      </c>
      <c r="O90" s="723">
        <f t="shared" ca="1" si="63"/>
        <v>4.6054545454545455</v>
      </c>
      <c r="P90" s="723">
        <f t="shared" ca="1" si="64"/>
        <v>0.25106499999999998</v>
      </c>
      <c r="Q90" s="81">
        <f t="shared" ca="1" si="65"/>
        <v>5.7509861111111107</v>
      </c>
      <c r="R90" s="81">
        <v>3.1536000000000002E-2</v>
      </c>
      <c r="S90" s="199">
        <v>0.5</v>
      </c>
      <c r="T90" s="199">
        <f ca="1">HLOOKUP($T$2,INDIRECT("'"&amp;$B90&amp;"'!"&amp;"$P$6:$AC$19"),IF(H90=$AI$13,6,IF(H90=$AI$14,9,14)),FALSE)</f>
        <v>1</v>
      </c>
      <c r="U90" s="772"/>
      <c r="V90" s="199">
        <f t="shared" ref="V90" ca="1" si="73">IF(IF(RIGHT(H90,2)="PH",(1-L90)+$W$2,IF(RIGHT(H90,2)="HT",(1-L90)+$W$1,IF(RIGHT(H90,2)="SH",(1-L90)+$W$3,"")))&gt;0,IF(RIGHT(H90,2)="PH",(1-L90)+$W$2,IF(RIGHT(H90,2)="HT",(1-L90)+$W$1,IF(RIGHT(H90,2)="SH",(1-L90)+$W$3,""))),0)</f>
        <v>0.84399999999999986</v>
      </c>
      <c r="W90" s="298"/>
      <c r="X90" s="698">
        <f t="shared" ca="1" si="27"/>
        <v>11</v>
      </c>
      <c r="Y90" s="81">
        <f t="shared" ca="1" si="67"/>
        <v>63</v>
      </c>
      <c r="Z90" s="81">
        <f t="shared" ca="1" si="68"/>
        <v>11</v>
      </c>
      <c r="AA90" s="81">
        <f t="shared" ca="1" si="69"/>
        <v>3</v>
      </c>
      <c r="AB90" s="81">
        <f t="shared" ca="1" si="70"/>
        <v>10</v>
      </c>
      <c r="AC90" s="224"/>
      <c r="AD90" s="81">
        <v>2020</v>
      </c>
      <c r="AE90" s="81"/>
      <c r="AF90" s="220"/>
      <c r="AG90" s="224"/>
    </row>
    <row r="91" spans="1:33" s="226" customFormat="1">
      <c r="A91" s="224"/>
      <c r="B91" s="357" t="s">
        <v>1008</v>
      </c>
      <c r="C91" s="224"/>
      <c r="D91" s="212"/>
      <c r="E91" s="212"/>
      <c r="F91" s="224" t="s">
        <v>1149</v>
      </c>
      <c r="G91" s="224"/>
      <c r="H91" s="174"/>
      <c r="I91" s="174" t="str">
        <f t="shared" si="22"/>
        <v>INDAWH</v>
      </c>
      <c r="J91" s="224">
        <f t="shared" si="32"/>
        <v>2030</v>
      </c>
      <c r="K91" s="81"/>
      <c r="L91" s="333">
        <f t="shared" ca="1" si="62"/>
        <v>0.35600000000000004</v>
      </c>
      <c r="M91" s="199"/>
      <c r="N91" s="81"/>
      <c r="O91" s="723">
        <f t="shared" ca="1" si="63"/>
        <v>4.4022727272727264</v>
      </c>
      <c r="P91" s="723">
        <f t="shared" ca="1" si="64"/>
        <v>0.267455</v>
      </c>
      <c r="Q91" s="81">
        <f t="shared" ca="1" si="65"/>
        <v>5.8461805555555557</v>
      </c>
      <c r="R91" s="300"/>
      <c r="S91" s="300"/>
      <c r="T91" s="300"/>
      <c r="U91" s="300"/>
      <c r="V91" s="199">
        <f t="shared" ref="V91" ca="1" si="74">IF(IF(RIGHT(H90,2)="PH",(1-L91)+$W$2,IF(RIGHT(H90,2)="HT",(1-L91)+$W$1,IF(RIGHT(H90,2)="SH",(1-L91)+$W$3,"")))&gt;0,IF(RIGHT(H90,2)="PH",(1-L91)+$W$2,IF(RIGHT(H90,2)="HT",(1-L91)+$W$1,IF(RIGHT(H90,2)="SH",(1-L91)+$W$3,""))),0)</f>
        <v>0.84399999999999986</v>
      </c>
      <c r="W91" s="298"/>
      <c r="X91" s="698">
        <f t="shared" ca="1" si="27"/>
        <v>11</v>
      </c>
      <c r="Y91" s="81">
        <f t="shared" ca="1" si="67"/>
        <v>49</v>
      </c>
      <c r="Z91" s="81">
        <f t="shared" ca="1" si="68"/>
        <v>8</v>
      </c>
      <c r="AA91" s="81">
        <f t="shared" ca="1" si="69"/>
        <v>3</v>
      </c>
      <c r="AB91" s="81">
        <f t="shared" ca="1" si="70"/>
        <v>10</v>
      </c>
      <c r="AC91" s="224"/>
      <c r="AD91" s="81">
        <v>2030</v>
      </c>
      <c r="AE91" s="81"/>
      <c r="AF91" s="220"/>
    </row>
    <row r="92" spans="1:33" s="226" customFormat="1">
      <c r="A92" s="224"/>
      <c r="B92" s="357" t="s">
        <v>1008</v>
      </c>
      <c r="C92" s="224"/>
      <c r="D92" s="212"/>
      <c r="E92" s="212"/>
      <c r="F92" s="224" t="s">
        <v>1149</v>
      </c>
      <c r="G92" s="224"/>
      <c r="H92" s="174"/>
      <c r="I92" s="174" t="str">
        <f t="shared" si="22"/>
        <v>INDAWH</v>
      </c>
      <c r="J92" s="224">
        <f t="shared" si="32"/>
        <v>2050</v>
      </c>
      <c r="K92" s="81"/>
      <c r="L92" s="333">
        <f t="shared" ca="1" si="62"/>
        <v>0.36000000000000004</v>
      </c>
      <c r="M92" s="199"/>
      <c r="N92" s="81"/>
      <c r="O92" s="723">
        <f t="shared" ca="1" si="63"/>
        <v>3.9959090909090902</v>
      </c>
      <c r="P92" s="723">
        <f t="shared" ca="1" si="64"/>
        <v>0.25106499999999998</v>
      </c>
      <c r="Q92" s="81">
        <f t="shared" ca="1" si="65"/>
        <v>5.8937777777777782</v>
      </c>
      <c r="R92" s="300"/>
      <c r="S92" s="300"/>
      <c r="T92" s="300"/>
      <c r="U92" s="300"/>
      <c r="V92" s="199">
        <f t="shared" ref="V92" ca="1" si="75">IF(IF(RIGHT(H90,2)="PH",(1-L92)+$W$2,IF(RIGHT(H90,2)="HT",(1-L92)+$W$1,IF(RIGHT(H90,2)="SH",(1-L92)+$W$3,"")))&gt;0,IF(RIGHT(H90,2)="PH",(1-L92)+$W$2,IF(RIGHT(H90,2)="HT",(1-L92)+$W$1,IF(RIGHT(H90,2)="SH",(1-L92)+$W$3,""))),0)</f>
        <v>0.83999999999999986</v>
      </c>
      <c r="W92" s="298"/>
      <c r="X92" s="698">
        <f t="shared" ca="1" si="27"/>
        <v>11</v>
      </c>
      <c r="Y92" s="81">
        <f t="shared" ca="1" si="67"/>
        <v>41</v>
      </c>
      <c r="Z92" s="81">
        <f t="shared" ca="1" si="68"/>
        <v>4</v>
      </c>
      <c r="AA92" s="81">
        <f t="shared" ca="1" si="69"/>
        <v>1</v>
      </c>
      <c r="AB92" s="81">
        <f t="shared" ca="1" si="70"/>
        <v>10</v>
      </c>
      <c r="AC92" s="224"/>
      <c r="AD92" s="81">
        <v>2050</v>
      </c>
      <c r="AE92" s="706"/>
      <c r="AF92" s="220"/>
    </row>
    <row r="93" spans="1:33" s="226" customFormat="1">
      <c r="A93" s="224"/>
      <c r="B93" s="357" t="s">
        <v>1008</v>
      </c>
      <c r="C93" s="224"/>
      <c r="D93" s="212" t="str">
        <f>"IND"&amp;RIGHT(H93,4)&amp;RIGHT(G93,3)&amp;"N"&amp;RIGHT(E93,1)</f>
        <v>INDADSHWCHN1</v>
      </c>
      <c r="E93" s="261" t="str">
        <f>"Industrial heating technology "&amp;$AJ$12&amp;" "&amp;RIGHT(H93,2)&amp;" - Wood chip boiler (Steam) - new 1"</f>
        <v>Industrial heating technology Aluminium SH - Wood chip boiler (Steam) - new 1</v>
      </c>
      <c r="F93" s="224" t="s">
        <v>1149</v>
      </c>
      <c r="G93" s="173" t="s">
        <v>498</v>
      </c>
      <c r="H93" s="174" t="str">
        <f>$AI$15</f>
        <v>IADSH</v>
      </c>
      <c r="I93" s="174" t="str">
        <f t="shared" si="22"/>
        <v>INDAWH</v>
      </c>
      <c r="J93" s="224">
        <f t="shared" si="32"/>
        <v>2011</v>
      </c>
      <c r="K93" s="299">
        <v>2025</v>
      </c>
      <c r="L93" s="199">
        <f t="shared" ref="L93:L95" ca="1" si="76">VLOOKUP($AD93,INDIRECT("'"&amp;$B93&amp;"'!"&amp;"$P$39:$AD$42"),3,FALSE)</f>
        <v>0.89</v>
      </c>
      <c r="M93" s="199"/>
      <c r="N93" s="81">
        <f ca="1">VLOOKUP($AD93,INDIRECT("'"&amp;$B93&amp;"'!"&amp;"$P$39:$AD$42"),5,FALSE)</f>
        <v>25</v>
      </c>
      <c r="O93" s="723">
        <f t="shared" ca="1" si="63"/>
        <v>4.6054545454545455</v>
      </c>
      <c r="P93" s="723">
        <f t="shared" ca="1" si="64"/>
        <v>0.25106499999999998</v>
      </c>
      <c r="Q93" s="81">
        <f t="shared" ca="1" si="65"/>
        <v>5.7509861111111107</v>
      </c>
      <c r="R93" s="81">
        <v>3.1536000000000002E-2</v>
      </c>
      <c r="S93" s="199">
        <v>0.5</v>
      </c>
      <c r="T93" s="199">
        <f ca="1">HLOOKUP($T$2,INDIRECT("'"&amp;$B93&amp;"'!"&amp;"$P$6:$AC$19"),IF(H93=$AI$13,6,IF(H93=$AI$14,9,14)),FALSE)</f>
        <v>1</v>
      </c>
      <c r="U93" s="772"/>
      <c r="V93" s="199">
        <f t="shared" ref="V93" ca="1" si="77">IF(IF(RIGHT(H93,2)="PH",(1-L93)+$W$2,IF(RIGHT(H93,2)="HT",(1-L93)+$W$1,IF(RIGHT(H93,2)="SH",(1-L93)+$W$3,"")))&gt;0,IF(RIGHT(H93,2)="PH",(1-L93)+$W$2,IF(RIGHT(H93,2)="HT",(1-L93)+$W$1,IF(RIGHT(H93,2)="SH",(1-L93)+$W$3,""))),0)</f>
        <v>0.10999999999999999</v>
      </c>
      <c r="W93" s="298"/>
      <c r="X93" s="698">
        <f t="shared" ca="1" si="27"/>
        <v>11</v>
      </c>
      <c r="Y93" s="81">
        <f t="shared" ca="1" si="67"/>
        <v>63</v>
      </c>
      <c r="Z93" s="81">
        <f t="shared" ca="1" si="68"/>
        <v>11</v>
      </c>
      <c r="AA93" s="81">
        <f t="shared" ca="1" si="69"/>
        <v>3</v>
      </c>
      <c r="AB93" s="81">
        <f t="shared" ca="1" si="70"/>
        <v>10</v>
      </c>
      <c r="AC93" s="296"/>
      <c r="AD93" s="81">
        <v>2020</v>
      </c>
      <c r="AE93" s="81"/>
      <c r="AF93" s="710"/>
    </row>
    <row r="94" spans="1:33" s="226" customFormat="1">
      <c r="A94" s="224"/>
      <c r="B94" s="357" t="s">
        <v>1008</v>
      </c>
      <c r="C94" s="224"/>
      <c r="D94" s="212"/>
      <c r="E94" s="212"/>
      <c r="F94" s="224" t="s">
        <v>1149</v>
      </c>
      <c r="G94" s="224"/>
      <c r="H94" s="174"/>
      <c r="I94" s="174" t="str">
        <f t="shared" si="22"/>
        <v>INDAWH</v>
      </c>
      <c r="J94" s="224">
        <f t="shared" si="32"/>
        <v>2030</v>
      </c>
      <c r="K94" s="81"/>
      <c r="L94" s="199">
        <f t="shared" ca="1" si="76"/>
        <v>0.89</v>
      </c>
      <c r="M94" s="199"/>
      <c r="N94" s="81"/>
      <c r="O94" s="723">
        <f t="shared" ca="1" si="63"/>
        <v>4.4022727272727264</v>
      </c>
      <c r="P94" s="723">
        <f t="shared" ca="1" si="64"/>
        <v>0.267455</v>
      </c>
      <c r="Q94" s="81">
        <f t="shared" ca="1" si="65"/>
        <v>5.8461805555555557</v>
      </c>
      <c r="R94" s="300"/>
      <c r="S94" s="300"/>
      <c r="T94" s="300"/>
      <c r="U94" s="300"/>
      <c r="V94" s="199">
        <f t="shared" ref="V94" ca="1" si="78">IF(IF(RIGHT(H93,2)="PH",(1-L94)+$W$2,IF(RIGHT(H93,2)="HT",(1-L94)+$W$1,IF(RIGHT(H93,2)="SH",(1-L94)+$W$3,"")))&gt;0,IF(RIGHT(H93,2)="PH",(1-L94)+$W$2,IF(RIGHT(H93,2)="HT",(1-L94)+$W$1,IF(RIGHT(H93,2)="SH",(1-L94)+$W$3,""))),0)</f>
        <v>0.10999999999999999</v>
      </c>
      <c r="W94" s="298"/>
      <c r="X94" s="698">
        <f t="shared" ca="1" si="27"/>
        <v>11</v>
      </c>
      <c r="Y94" s="81">
        <f t="shared" ca="1" si="67"/>
        <v>49</v>
      </c>
      <c r="Z94" s="81">
        <f t="shared" ca="1" si="68"/>
        <v>8</v>
      </c>
      <c r="AA94" s="81">
        <f t="shared" ca="1" si="69"/>
        <v>3</v>
      </c>
      <c r="AB94" s="81">
        <f t="shared" ca="1" si="70"/>
        <v>10</v>
      </c>
      <c r="AC94" s="55"/>
      <c r="AD94" s="81">
        <v>2030</v>
      </c>
      <c r="AE94" s="81"/>
      <c r="AF94" s="700"/>
    </row>
    <row r="95" spans="1:33" s="226" customFormat="1">
      <c r="A95" s="224"/>
      <c r="B95" s="357" t="s">
        <v>1008</v>
      </c>
      <c r="C95" s="224"/>
      <c r="D95" s="212"/>
      <c r="E95" s="212"/>
      <c r="F95" s="224" t="s">
        <v>1149</v>
      </c>
      <c r="G95" s="224"/>
      <c r="H95" s="174"/>
      <c r="I95" s="174" t="str">
        <f t="shared" si="22"/>
        <v>INDAWH</v>
      </c>
      <c r="J95" s="224">
        <f t="shared" si="32"/>
        <v>2050</v>
      </c>
      <c r="K95" s="706"/>
      <c r="L95" s="199">
        <f t="shared" ca="1" si="76"/>
        <v>0.9</v>
      </c>
      <c r="M95" s="774"/>
      <c r="N95" s="706"/>
      <c r="O95" s="724">
        <f t="shared" ca="1" si="63"/>
        <v>3.9959090909090902</v>
      </c>
      <c r="P95" s="724">
        <f t="shared" ca="1" si="64"/>
        <v>0.25106499999999998</v>
      </c>
      <c r="Q95" s="706">
        <f t="shared" ca="1" si="65"/>
        <v>5.8937777777777782</v>
      </c>
      <c r="R95" s="300"/>
      <c r="S95" s="300"/>
      <c r="T95" s="300"/>
      <c r="U95" s="300"/>
      <c r="V95" s="199">
        <f t="shared" ref="V95" ca="1" si="79">IF(IF(RIGHT(H93,2)="PH",(1-L95)+$W$2,IF(RIGHT(H93,2)="HT",(1-L95)+$W$1,IF(RIGHT(H93,2)="SH",(1-L95)+$W$3,"")))&gt;0,IF(RIGHT(H93,2)="PH",(1-L95)+$W$2,IF(RIGHT(H93,2)="HT",(1-L95)+$W$1,IF(RIGHT(H93,2)="SH",(1-L95)+$W$3,""))),0)</f>
        <v>9.9999999999999978E-2</v>
      </c>
      <c r="W95" s="298"/>
      <c r="X95" s="698">
        <f t="shared" ref="X95:X126" ca="1" si="80">IF(VLOOKUP($AD95,INDIRECT("'"&amp;$B95&amp;"'!"&amp;"$P$39:$AD$42"),11,FALSE)="Cf. the utilized electricity",0,VLOOKUP($AD95,INDIRECT("'"&amp;$B95&amp;"'!"&amp;"$P$39:$AD$42"),11,FALSE))</f>
        <v>11</v>
      </c>
      <c r="Y95" s="706">
        <f t="shared" ca="1" si="67"/>
        <v>41</v>
      </c>
      <c r="Z95" s="706">
        <f t="shared" ca="1" si="68"/>
        <v>4</v>
      </c>
      <c r="AA95" s="706">
        <f t="shared" ca="1" si="69"/>
        <v>1</v>
      </c>
      <c r="AB95" s="706">
        <f t="shared" ca="1" si="70"/>
        <v>10</v>
      </c>
      <c r="AC95" s="55"/>
      <c r="AD95" s="706">
        <v>2050</v>
      </c>
      <c r="AE95" s="81"/>
      <c r="AF95" s="700"/>
    </row>
    <row r="96" spans="1:33">
      <c r="B96" s="716" t="s">
        <v>1008</v>
      </c>
      <c r="C96" s="296"/>
      <c r="D96" s="707" t="str">
        <f>"IND"&amp;RIGHT(H96,4)&amp;RIGHT(G96,3)&amp;"N"&amp;RIGHT(E96,1)</f>
        <v>INDADPHWCHN2</v>
      </c>
      <c r="E96" s="707" t="str">
        <f>"Industrial heating technology "&amp;$AJ$12&amp;" "&amp;RIGHT(H96,2)&amp;" - Wood chip boiler (Steam - condensing) - new 2"</f>
        <v>Industrial heating technology Aluminium PH - Wood chip boiler (Steam - condensing) - new 2</v>
      </c>
      <c r="F96" s="224" t="s">
        <v>1149</v>
      </c>
      <c r="G96" s="708" t="s">
        <v>498</v>
      </c>
      <c r="H96" s="708" t="str">
        <f>$AI$14</f>
        <v>IADPH</v>
      </c>
      <c r="I96" s="708" t="str">
        <f t="shared" si="22"/>
        <v>INDAWH</v>
      </c>
      <c r="J96" s="224">
        <f t="shared" si="32"/>
        <v>2011</v>
      </c>
      <c r="K96" s="299">
        <v>2025</v>
      </c>
      <c r="L96" s="333">
        <f ca="1">VLOOKUP($AD96,INDIRECT("'"&amp;$B96&amp;"'!"&amp;"$P$39:$AD$42"),3,FALSE)*0.4</f>
        <v>0.35600000000000004</v>
      </c>
      <c r="M96" s="199"/>
      <c r="N96" s="81">
        <f ca="1">VLOOKUP($AD96,INDIRECT("'"&amp;$B96&amp;"'!"&amp;"$P$118:$AD$121"),5,FALSE)</f>
        <v>25</v>
      </c>
      <c r="O96" s="723">
        <f t="shared" ref="O96:O101" ca="1" si="81">VLOOKUP($AD96,INDIRECT("'"&amp;$B96&amp;"'!"&amp;"$P$118:$AD$121"),6,FALSE)/1000</f>
        <v>5.0660000000000007</v>
      </c>
      <c r="P96" s="723">
        <f t="shared" ref="P96:P101" ca="1" si="82">VLOOKUP($AD96,INDIRECT("'"&amp;$B96&amp;"'!"&amp;"$P$118:$AD$121"),7,FALSE)/1000</f>
        <v>0.27564999999999995</v>
      </c>
      <c r="Q96" s="81">
        <f t="shared" ref="Q96:Q101" ca="1" si="83">VLOOKUP($AD96,INDIRECT("'"&amp;$B96&amp;"'!"&amp;"$P$118:$AD$121"),8,FALSE)</f>
        <v>5.7509861111111107</v>
      </c>
      <c r="R96" s="81">
        <v>3.1536000000000002E-2</v>
      </c>
      <c r="S96" s="199">
        <v>0.5</v>
      </c>
      <c r="T96" s="199">
        <f ca="1">HLOOKUP($T$2,INDIRECT("'"&amp;$B96&amp;"'!"&amp;"$P$85:$AC$98"),IF(H96=$AI$13,6,IF(H96=$AI$14,9,14)),FALSE)</f>
        <v>0</v>
      </c>
      <c r="U96" s="773"/>
      <c r="V96" s="199">
        <f t="shared" ref="V96" ca="1" si="84">IF(IF(RIGHT(H96,2)="PH",(1-L96)+$W$2,IF(RIGHT(H96,2)="HT",(1-L96)+$W$1,IF(RIGHT(H96,2)="SH",(1-L96)+$W$3,"")))&gt;0,IF(RIGHT(H96,2)="PH",(1-L96)+$W$2,IF(RIGHT(H96,2)="HT",(1-L96)+$W$1,IF(RIGHT(H96,2)="SH",(1-L96)+$W$3,""))),0)</f>
        <v>0.84399999999999986</v>
      </c>
      <c r="W96" s="709"/>
      <c r="X96" s="698">
        <f t="shared" ca="1" si="80"/>
        <v>11</v>
      </c>
      <c r="Y96" s="698">
        <f t="shared" ref="Y96:Y101" ca="1" si="85">VLOOKUP($AD96,INDIRECT("'"&amp;$B96&amp;"'!"&amp;"$P$118:$AD$121"),12,FALSE)</f>
        <v>63</v>
      </c>
      <c r="Z96" s="698">
        <f t="shared" ref="Z96:Z101" ca="1" si="86">VLOOKUP($AD96,INDIRECT("'"&amp;$B96&amp;"'!"&amp;"$P$118:$AD$121"),13,FALSE)</f>
        <v>11</v>
      </c>
      <c r="AA96" s="698">
        <f t="shared" ref="AA96:AA101" ca="1" si="87">VLOOKUP($AD96,INDIRECT("'"&amp;$B96&amp;"'!"&amp;"$P$118:$AD$121"),14,FALSE)</f>
        <v>3</v>
      </c>
      <c r="AB96" s="698">
        <f t="shared" ref="AB96:AB101" ca="1" si="88">VLOOKUP($AD96,INDIRECT("'"&amp;$B96&amp;"'!"&amp;"$P$118:$AD$121"),15,FALSE)</f>
        <v>10</v>
      </c>
      <c r="AC96" s="55"/>
      <c r="AD96" s="81">
        <v>2020</v>
      </c>
      <c r="AE96" s="81"/>
      <c r="AF96" s="700"/>
      <c r="AG96" s="226"/>
    </row>
    <row r="97" spans="2:32">
      <c r="B97" s="357" t="s">
        <v>1008</v>
      </c>
      <c r="C97" s="55"/>
      <c r="D97" s="261"/>
      <c r="E97" s="261"/>
      <c r="F97" s="224" t="s">
        <v>1149</v>
      </c>
      <c r="G97" s="55"/>
      <c r="H97" s="174"/>
      <c r="I97" s="174" t="str">
        <f t="shared" si="22"/>
        <v>INDAWH</v>
      </c>
      <c r="J97" s="224">
        <f t="shared" si="32"/>
        <v>2030</v>
      </c>
      <c r="K97" s="81"/>
      <c r="L97" s="333">
        <f ca="1">VLOOKUP($AD97,INDIRECT("'"&amp;$B97&amp;"'!"&amp;"$P$39:$AD$42"),3,FALSE)*0.4</f>
        <v>0.35600000000000004</v>
      </c>
      <c r="M97" s="199"/>
      <c r="N97" s="81"/>
      <c r="O97" s="723">
        <f t="shared" ca="1" si="81"/>
        <v>4.8425000000000002</v>
      </c>
      <c r="P97" s="723">
        <f t="shared" ca="1" si="82"/>
        <v>0.267455</v>
      </c>
      <c r="Q97" s="81">
        <f t="shared" ca="1" si="83"/>
        <v>5.8461805555555557</v>
      </c>
      <c r="R97" s="300"/>
      <c r="S97" s="300"/>
      <c r="T97" s="300"/>
      <c r="U97" s="300"/>
      <c r="V97" s="199">
        <f t="shared" ref="V97" ca="1" si="89">IF(IF(RIGHT(H96,2)="PH",(1-L97)+$W$2,IF(RIGHT(H96,2)="HT",(1-L97)+$W$1,IF(RIGHT(H96,2)="SH",(1-L97)+$W$3,"")))&gt;0,IF(RIGHT(H96,2)="PH",(1-L97)+$W$2,IF(RIGHT(H96,2)="HT",(1-L97)+$W$1,IF(RIGHT(H96,2)="SH",(1-L97)+$W$3,""))),0)</f>
        <v>0.84399999999999986</v>
      </c>
      <c r="W97" s="298"/>
      <c r="X97" s="698">
        <f t="shared" ca="1" si="80"/>
        <v>11</v>
      </c>
      <c r="Y97" s="698">
        <f t="shared" ca="1" si="85"/>
        <v>49</v>
      </c>
      <c r="Z97" s="698">
        <f t="shared" ca="1" si="86"/>
        <v>8</v>
      </c>
      <c r="AA97" s="698">
        <f t="shared" ca="1" si="87"/>
        <v>3</v>
      </c>
      <c r="AB97" s="698">
        <f t="shared" ca="1" si="88"/>
        <v>10</v>
      </c>
      <c r="AC97" s="55"/>
      <c r="AD97" s="81">
        <v>2030</v>
      </c>
      <c r="AE97" s="81"/>
      <c r="AF97" s="700"/>
    </row>
    <row r="98" spans="2:32">
      <c r="B98" s="357" t="s">
        <v>1008</v>
      </c>
      <c r="C98" s="55"/>
      <c r="D98" s="261"/>
      <c r="E98" s="261"/>
      <c r="F98" s="224" t="s">
        <v>1149</v>
      </c>
      <c r="G98" s="55"/>
      <c r="H98" s="174"/>
      <c r="I98" s="174" t="str">
        <f t="shared" si="22"/>
        <v>INDAWH</v>
      </c>
      <c r="J98" s="224">
        <f t="shared" si="32"/>
        <v>2050</v>
      </c>
      <c r="K98" s="81"/>
      <c r="L98" s="333">
        <f ca="1">VLOOKUP($AD98,INDIRECT("'"&amp;$B98&amp;"'!"&amp;"$P$39:$AD$42"),3,FALSE)*0.4</f>
        <v>0.36000000000000004</v>
      </c>
      <c r="M98" s="199"/>
      <c r="N98" s="81"/>
      <c r="O98" s="723">
        <f t="shared" ca="1" si="81"/>
        <v>4.3955000000000002</v>
      </c>
      <c r="P98" s="723">
        <f t="shared" ca="1" si="82"/>
        <v>0.25106499999999998</v>
      </c>
      <c r="Q98" s="81">
        <f t="shared" ca="1" si="83"/>
        <v>5.8937777777777782</v>
      </c>
      <c r="R98" s="300"/>
      <c r="S98" s="300"/>
      <c r="T98" s="300"/>
      <c r="U98" s="300"/>
      <c r="V98" s="199">
        <f t="shared" ref="V98" ca="1" si="90">IF(IF(RIGHT(H96,2)="PH",(1-L98)+$W$2,IF(RIGHT(H96,2)="HT",(1-L98)+$W$1,IF(RIGHT(H96,2)="SH",(1-L98)+$W$3,"")))&gt;0,IF(RIGHT(H96,2)="PH",(1-L98)+$W$2,IF(RIGHT(H96,2)="HT",(1-L98)+$W$1,IF(RIGHT(H96,2)="SH",(1-L98)+$W$3,""))),0)</f>
        <v>0.83999999999999986</v>
      </c>
      <c r="W98" s="298"/>
      <c r="X98" s="698">
        <f t="shared" ca="1" si="80"/>
        <v>11</v>
      </c>
      <c r="Y98" s="698">
        <f t="shared" ca="1" si="85"/>
        <v>41</v>
      </c>
      <c r="Z98" s="698">
        <f t="shared" ca="1" si="86"/>
        <v>4</v>
      </c>
      <c r="AA98" s="698">
        <f t="shared" ca="1" si="87"/>
        <v>1</v>
      </c>
      <c r="AB98" s="698">
        <f t="shared" ca="1" si="88"/>
        <v>10</v>
      </c>
      <c r="AC98" s="203"/>
      <c r="AD98" s="81">
        <v>2050</v>
      </c>
      <c r="AE98" s="81"/>
      <c r="AF98" s="705"/>
    </row>
    <row r="99" spans="2:32">
      <c r="B99" s="357" t="s">
        <v>1008</v>
      </c>
      <c r="C99" s="55"/>
      <c r="D99" s="261" t="str">
        <f>"IND"&amp;RIGHT(H99,4)&amp;RIGHT(G99,3)&amp;"N"&amp;RIGHT(E99,1)</f>
        <v>INDADSHWCHN2</v>
      </c>
      <c r="E99" s="261" t="str">
        <f>"Industrial heating technology "&amp;$AJ$12&amp;" "&amp;RIGHT(H99,2)&amp;" - Wood chip boiler (Steam - condensing) - new 2"</f>
        <v>Industrial heating technology Aluminium SH - Wood chip boiler (Steam - condensing) - new 2</v>
      </c>
      <c r="F99" s="224" t="s">
        <v>1149</v>
      </c>
      <c r="G99" s="174" t="s">
        <v>498</v>
      </c>
      <c r="H99" s="174" t="str">
        <f>$AI$15</f>
        <v>IADSH</v>
      </c>
      <c r="I99" s="174" t="str">
        <f t="shared" si="22"/>
        <v>INDAWH</v>
      </c>
      <c r="J99" s="224">
        <f t="shared" si="32"/>
        <v>2011</v>
      </c>
      <c r="K99" s="299">
        <v>2025</v>
      </c>
      <c r="L99" s="199">
        <f t="shared" ref="L99:L101" ca="1" si="91">VLOOKUP($AD99,INDIRECT("'"&amp;$B99&amp;"'!"&amp;"$P$118:$AD$121"),3,FALSE)</f>
        <v>1.1618960947726835</v>
      </c>
      <c r="M99" s="199"/>
      <c r="N99" s="81">
        <f ca="1">VLOOKUP($AD99,INDIRECT("'"&amp;$B99&amp;"'!"&amp;"$P$118:$AD$121"),5,FALSE)</f>
        <v>25</v>
      </c>
      <c r="O99" s="723">
        <f t="shared" ca="1" si="81"/>
        <v>5.0660000000000007</v>
      </c>
      <c r="P99" s="723">
        <f t="shared" ca="1" si="82"/>
        <v>0.27564999999999995</v>
      </c>
      <c r="Q99" s="81">
        <f t="shared" ca="1" si="83"/>
        <v>5.7509861111111107</v>
      </c>
      <c r="R99" s="81">
        <v>3.1536000000000002E-2</v>
      </c>
      <c r="S99" s="199">
        <v>0.5</v>
      </c>
      <c r="T99" s="199">
        <f ca="1">HLOOKUP($T$2,INDIRECT("'"&amp;$B99&amp;"'!"&amp;"$P$85:$AC$98"),IF(H99=$AI$13,6,IF(H99=$AI$14,9,14)),FALSE)</f>
        <v>0</v>
      </c>
      <c r="U99" s="772"/>
      <c r="V99" s="199">
        <f t="shared" ref="V99" ca="1" si="92">IF(IF(RIGHT(H99,2)="PH",(1-L99)+$W$2,IF(RIGHT(H99,2)="HT",(1-L99)+$W$1,IF(RIGHT(H99,2)="SH",(1-L99)+$W$3,"")))&gt;0,IF(RIGHT(H99,2)="PH",(1-L99)+$W$2,IF(RIGHT(H99,2)="HT",(1-L99)+$W$1,IF(RIGHT(H99,2)="SH",(1-L99)+$W$3,""))),0)</f>
        <v>0</v>
      </c>
      <c r="W99" s="298"/>
      <c r="X99" s="698">
        <f t="shared" ca="1" si="80"/>
        <v>11</v>
      </c>
      <c r="Y99" s="698">
        <f t="shared" ca="1" si="85"/>
        <v>63</v>
      </c>
      <c r="Z99" s="698">
        <f t="shared" ca="1" si="86"/>
        <v>11</v>
      </c>
      <c r="AA99" s="698">
        <f t="shared" ca="1" si="87"/>
        <v>3</v>
      </c>
      <c r="AB99" s="698">
        <f t="shared" ca="1" si="88"/>
        <v>10</v>
      </c>
      <c r="AC99" s="296"/>
      <c r="AD99" s="81">
        <v>2020</v>
      </c>
      <c r="AE99" s="81"/>
      <c r="AF99" s="710"/>
    </row>
    <row r="100" spans="2:32">
      <c r="B100" s="357" t="s">
        <v>1008</v>
      </c>
      <c r="C100" s="55"/>
      <c r="D100" s="261"/>
      <c r="E100" s="261"/>
      <c r="F100" s="224" t="s">
        <v>1149</v>
      </c>
      <c r="G100" s="55"/>
      <c r="H100" s="174"/>
      <c r="I100" s="174" t="str">
        <f t="shared" si="22"/>
        <v>INDAWH</v>
      </c>
      <c r="J100" s="224">
        <f t="shared" si="32"/>
        <v>2030</v>
      </c>
      <c r="K100" s="81"/>
      <c r="L100" s="199">
        <f t="shared" ca="1" si="91"/>
        <v>1.1618960947726835</v>
      </c>
      <c r="M100" s="199"/>
      <c r="N100" s="81"/>
      <c r="O100" s="723">
        <f t="shared" ca="1" si="81"/>
        <v>4.8425000000000002</v>
      </c>
      <c r="P100" s="723">
        <f t="shared" ca="1" si="82"/>
        <v>0.267455</v>
      </c>
      <c r="Q100" s="81">
        <f t="shared" ca="1" si="83"/>
        <v>5.8461805555555557</v>
      </c>
      <c r="R100" s="300"/>
      <c r="S100" s="300"/>
      <c r="T100" s="300"/>
      <c r="U100" s="300"/>
      <c r="V100" s="199">
        <f t="shared" ref="V100" ca="1" si="93">IF(IF(RIGHT(H99,2)="PH",(1-L100)+$W$2,IF(RIGHT(H99,2)="HT",(1-L100)+$W$1,IF(RIGHT(H99,2)="SH",(1-L100)+$W$3,"")))&gt;0,IF(RIGHT(H99,2)="PH",(1-L100)+$W$2,IF(RIGHT(H99,2)="HT",(1-L100)+$W$1,IF(RIGHT(H99,2)="SH",(1-L100)+$W$3,""))),0)</f>
        <v>0</v>
      </c>
      <c r="W100" s="298"/>
      <c r="X100" s="698">
        <f t="shared" ca="1" si="80"/>
        <v>11</v>
      </c>
      <c r="Y100" s="698">
        <f t="shared" ca="1" si="85"/>
        <v>49</v>
      </c>
      <c r="Z100" s="698">
        <f t="shared" ca="1" si="86"/>
        <v>8</v>
      </c>
      <c r="AA100" s="698">
        <f t="shared" ca="1" si="87"/>
        <v>3</v>
      </c>
      <c r="AB100" s="698">
        <f t="shared" ca="1" si="88"/>
        <v>10</v>
      </c>
      <c r="AC100" s="55"/>
      <c r="AD100" s="81">
        <v>2030</v>
      </c>
      <c r="AE100" s="81"/>
      <c r="AF100" s="700"/>
    </row>
    <row r="101" spans="2:32">
      <c r="B101" s="356" t="s">
        <v>1008</v>
      </c>
      <c r="C101" s="203"/>
      <c r="D101" s="701"/>
      <c r="E101" s="701"/>
      <c r="F101" s="224" t="s">
        <v>1149</v>
      </c>
      <c r="G101" s="203"/>
      <c r="H101" s="702"/>
      <c r="I101" s="702" t="str">
        <f t="shared" si="22"/>
        <v>INDAWH</v>
      </c>
      <c r="J101" s="224">
        <f t="shared" si="32"/>
        <v>2050</v>
      </c>
      <c r="K101" s="81"/>
      <c r="L101" s="199">
        <f t="shared" ca="1" si="91"/>
        <v>1.1618960947726835</v>
      </c>
      <c r="M101" s="199"/>
      <c r="N101" s="81"/>
      <c r="O101" s="723">
        <f t="shared" ca="1" si="81"/>
        <v>4.3955000000000002</v>
      </c>
      <c r="P101" s="723">
        <f t="shared" ca="1" si="82"/>
        <v>0.25106499999999998</v>
      </c>
      <c r="Q101" s="81">
        <f t="shared" ca="1" si="83"/>
        <v>5.8937777777777782</v>
      </c>
      <c r="R101" s="703"/>
      <c r="S101" s="703"/>
      <c r="T101" s="703"/>
      <c r="U101" s="703"/>
      <c r="V101" s="199">
        <f t="shared" ref="V101" ca="1" si="94">IF(IF(RIGHT(H99,2)="PH",(1-L101)+$W$2,IF(RIGHT(H99,2)="HT",(1-L101)+$W$1,IF(RIGHT(H99,2)="SH",(1-L101)+$W$3,"")))&gt;0,IF(RIGHT(H99,2)="PH",(1-L101)+$W$2,IF(RIGHT(H99,2)="HT",(1-L101)+$W$1,IF(RIGHT(H99,2)="SH",(1-L101)+$W$3,""))),0)</f>
        <v>0</v>
      </c>
      <c r="W101" s="704"/>
      <c r="X101" s="698">
        <f t="shared" ca="1" si="80"/>
        <v>11</v>
      </c>
      <c r="Y101" s="698">
        <f t="shared" ca="1" si="85"/>
        <v>41</v>
      </c>
      <c r="Z101" s="698">
        <f t="shared" ca="1" si="86"/>
        <v>4</v>
      </c>
      <c r="AA101" s="698">
        <f t="shared" ca="1" si="87"/>
        <v>1</v>
      </c>
      <c r="AB101" s="698">
        <f t="shared" ca="1" si="88"/>
        <v>10</v>
      </c>
      <c r="AC101" s="55"/>
      <c r="AD101" s="81">
        <v>2050</v>
      </c>
      <c r="AE101" s="81"/>
      <c r="AF101" s="700"/>
    </row>
    <row r="102" spans="2:32">
      <c r="B102" s="717" t="s">
        <v>1008</v>
      </c>
      <c r="C102" s="712"/>
      <c r="D102" s="707" t="str">
        <f>"IND"&amp;RIGHT(H102,4)&amp;RIGHT(G102,3)&amp;"N"&amp;RIGHT(E102,1)</f>
        <v>INDADPHWCHN3</v>
      </c>
      <c r="E102" s="707" t="str">
        <f>"Industrial heating technology "&amp;$AJ$12&amp;" "&amp;RIGHT(H102,2)&amp;" - Wood chip boiler (Hot Water) - new 3"</f>
        <v>Industrial heating technology Aluminium PH - Wood chip boiler (Hot Water) - new 3</v>
      </c>
      <c r="F102" s="224" t="s">
        <v>1149</v>
      </c>
      <c r="G102" s="708" t="s">
        <v>498</v>
      </c>
      <c r="H102" s="708" t="str">
        <f>$AI$14</f>
        <v>IADPH</v>
      </c>
      <c r="I102" s="708" t="str">
        <f t="shared" si="22"/>
        <v>INDAWH</v>
      </c>
      <c r="J102" s="224">
        <f t="shared" si="32"/>
        <v>2011</v>
      </c>
      <c r="K102" s="299">
        <v>2025</v>
      </c>
      <c r="L102" s="333">
        <f ca="1">VLOOKUP($AD102,INDIRECT("'"&amp;$B102&amp;"'!"&amp;"$P$39:$AD$42"),3,FALSE)*0.4</f>
        <v>0.35600000000000004</v>
      </c>
      <c r="M102" s="199"/>
      <c r="N102" s="81">
        <f ca="1">VLOOKUP($AD102,INDIRECT("'"&amp;$B102&amp;"'!"&amp;"$P$200:$AD$203"),5,FALSE)</f>
        <v>25</v>
      </c>
      <c r="O102" s="723">
        <f t="shared" ref="O102:O107" ca="1" si="95">VLOOKUP($AD102,INDIRECT("'"&amp;$B102&amp;"'!"&amp;"$P$200:$AD$203"),6,FALSE)/1000</f>
        <v>4.6054545454545437</v>
      </c>
      <c r="P102" s="723">
        <f t="shared" ref="P102:P107" ca="1" si="96">VLOOKUP($AD102,INDIRECT("'"&amp;$B102&amp;"'!"&amp;"$P$200:$AD$203"),7,FALSE)/1000</f>
        <v>0.25106499999999998</v>
      </c>
      <c r="Q102" s="81">
        <f t="shared" ref="Q102:Q107" ca="1" si="97">VLOOKUP($AD102,INDIRECT("'"&amp;$B102&amp;"'!"&amp;"$P$200:$AD$203"),8,FALSE)</f>
        <v>5.7509861111111107</v>
      </c>
      <c r="R102" s="81">
        <v>3.1536000000000002E-2</v>
      </c>
      <c r="S102" s="199">
        <v>0.5</v>
      </c>
      <c r="T102" s="199">
        <f ca="1">HLOOKUP($T$2,INDIRECT("'"&amp;$B102&amp;"'!"&amp;"$P$167:$AC$180"),IF(H102=$AI$13,6,IF(H102=$AI$14,9,14)),FALSE)</f>
        <v>0</v>
      </c>
      <c r="U102" s="773"/>
      <c r="V102" s="199">
        <f t="shared" ref="V102" ca="1" si="98">IF(IF(RIGHT(H102,2)="PH",(1-L102)+$W$2,IF(RIGHT(H102,2)="HT",(1-L102)+$W$1,IF(RIGHT(H102,2)="SH",(1-L102)+$W$3,"")))&gt;0,IF(RIGHT(H102,2)="PH",(1-L102)+$W$2,IF(RIGHT(H102,2)="HT",(1-L102)+$W$1,IF(RIGHT(H102,2)="SH",(1-L102)+$W$3,""))),0)</f>
        <v>0.84399999999999986</v>
      </c>
      <c r="W102" s="709"/>
      <c r="X102" s="698">
        <f t="shared" ca="1" si="80"/>
        <v>11</v>
      </c>
      <c r="Y102" s="698">
        <f t="shared" ref="Y102:Y107" ca="1" si="99">VLOOKUP($AD102,INDIRECT("'"&amp;$B102&amp;"'!"&amp;"$P$200:$AD$203"),12,FALSE)</f>
        <v>63</v>
      </c>
      <c r="Z102" s="698">
        <f t="shared" ref="Z102:Z107" ca="1" si="100">VLOOKUP($AD102,INDIRECT("'"&amp;$B102&amp;"'!"&amp;"$P$200:$AD$203"),13,FALSE)</f>
        <v>11</v>
      </c>
      <c r="AA102" s="698">
        <f t="shared" ref="AA102:AA107" ca="1" si="101">VLOOKUP($AD102,INDIRECT("'"&amp;$B102&amp;"'!"&amp;"$P$200:$AD$203"),14,FALSE)</f>
        <v>3</v>
      </c>
      <c r="AB102" s="698">
        <f t="shared" ref="AB102:AB107" ca="1" si="102">VLOOKUP($AD102,INDIRECT("'"&amp;$B102&amp;"'!"&amp;"$P$200:$AD$203"),15,FALSE)</f>
        <v>10</v>
      </c>
      <c r="AC102" s="55"/>
      <c r="AD102" s="81">
        <v>2020</v>
      </c>
      <c r="AE102" s="81"/>
      <c r="AF102" s="700"/>
    </row>
    <row r="103" spans="2:32">
      <c r="B103" s="718" t="s">
        <v>1008</v>
      </c>
      <c r="C103" s="226"/>
      <c r="D103" s="261"/>
      <c r="E103" s="261"/>
      <c r="F103" s="224" t="s">
        <v>1149</v>
      </c>
      <c r="G103" s="55"/>
      <c r="H103" s="174"/>
      <c r="I103" s="174" t="str">
        <f t="shared" si="22"/>
        <v>INDAWH</v>
      </c>
      <c r="J103" s="224">
        <f t="shared" si="32"/>
        <v>2030</v>
      </c>
      <c r="K103" s="81"/>
      <c r="L103" s="333">
        <f ca="1">VLOOKUP($AD103,INDIRECT("'"&amp;$B103&amp;"'!"&amp;"$P$39:$AD$42"),3,FALSE)*0.4</f>
        <v>0.35600000000000004</v>
      </c>
      <c r="M103" s="199"/>
      <c r="N103" s="81"/>
      <c r="O103" s="723">
        <f t="shared" ca="1" si="95"/>
        <v>4.4022727272727282</v>
      </c>
      <c r="P103" s="723">
        <f t="shared" ca="1" si="96"/>
        <v>0.267455</v>
      </c>
      <c r="Q103" s="81">
        <f t="shared" ca="1" si="97"/>
        <v>5.8461805555555557</v>
      </c>
      <c r="R103" s="300"/>
      <c r="S103" s="300"/>
      <c r="T103" s="300"/>
      <c r="U103" s="300"/>
      <c r="V103" s="199">
        <f t="shared" ref="V103" ca="1" si="103">IF(IF(RIGHT(H102,2)="PH",(1-L103)+$W$2,IF(RIGHT(H102,2)="HT",(1-L103)+$W$1,IF(RIGHT(H102,2)="SH",(1-L103)+$W$3,"")))&gt;0,IF(RIGHT(H102,2)="PH",(1-L103)+$W$2,IF(RIGHT(H102,2)="HT",(1-L103)+$W$1,IF(RIGHT(H102,2)="SH",(1-L103)+$W$3,""))),0)</f>
        <v>0.84399999999999986</v>
      </c>
      <c r="W103" s="298"/>
      <c r="X103" s="698">
        <f t="shared" ca="1" si="80"/>
        <v>11</v>
      </c>
      <c r="Y103" s="698">
        <f t="shared" ca="1" si="99"/>
        <v>49</v>
      </c>
      <c r="Z103" s="698">
        <f t="shared" ca="1" si="100"/>
        <v>8</v>
      </c>
      <c r="AA103" s="698">
        <f t="shared" ca="1" si="101"/>
        <v>3</v>
      </c>
      <c r="AB103" s="698">
        <f t="shared" ca="1" si="102"/>
        <v>10</v>
      </c>
      <c r="AC103" s="55"/>
      <c r="AD103" s="81">
        <v>2030</v>
      </c>
      <c r="AE103" s="81"/>
      <c r="AF103" s="700"/>
    </row>
    <row r="104" spans="2:32">
      <c r="B104" s="718" t="s">
        <v>1008</v>
      </c>
      <c r="C104" s="226"/>
      <c r="D104" s="261"/>
      <c r="E104" s="261"/>
      <c r="F104" s="224" t="s">
        <v>1149</v>
      </c>
      <c r="G104" s="55"/>
      <c r="H104" s="174"/>
      <c r="I104" s="174" t="str">
        <f t="shared" si="22"/>
        <v>INDAWH</v>
      </c>
      <c r="J104" s="224">
        <f t="shared" si="32"/>
        <v>2050</v>
      </c>
      <c r="K104" s="81"/>
      <c r="L104" s="333">
        <f ca="1">VLOOKUP($AD104,INDIRECT("'"&amp;$B104&amp;"'!"&amp;"$P$39:$AD$42"),3,FALSE)*0.4</f>
        <v>0.36000000000000004</v>
      </c>
      <c r="M104" s="199"/>
      <c r="N104" s="81"/>
      <c r="O104" s="723">
        <f t="shared" ca="1" si="95"/>
        <v>3.9959090909090884</v>
      </c>
      <c r="P104" s="723">
        <f t="shared" ca="1" si="96"/>
        <v>0.25106499999999998</v>
      </c>
      <c r="Q104" s="81">
        <f t="shared" ca="1" si="97"/>
        <v>5.8937777777777782</v>
      </c>
      <c r="R104" s="300"/>
      <c r="S104" s="300"/>
      <c r="T104" s="300"/>
      <c r="U104" s="300"/>
      <c r="V104" s="199">
        <f t="shared" ref="V104" ca="1" si="104">IF(IF(RIGHT(H102,2)="PH",(1-L104)+$W$2,IF(RIGHT(H102,2)="HT",(1-L104)+$W$1,IF(RIGHT(H102,2)="SH",(1-L104)+$W$3,"")))&gt;0,IF(RIGHT(H102,2)="PH",(1-L104)+$W$2,IF(RIGHT(H102,2)="HT",(1-L104)+$W$1,IF(RIGHT(H102,2)="SH",(1-L104)+$W$3,""))),0)</f>
        <v>0.83999999999999986</v>
      </c>
      <c r="W104" s="298"/>
      <c r="X104" s="698">
        <f t="shared" ca="1" si="80"/>
        <v>11</v>
      </c>
      <c r="Y104" s="698">
        <f t="shared" ca="1" si="99"/>
        <v>41</v>
      </c>
      <c r="Z104" s="698">
        <f t="shared" ca="1" si="100"/>
        <v>4</v>
      </c>
      <c r="AA104" s="698">
        <f t="shared" ca="1" si="101"/>
        <v>1</v>
      </c>
      <c r="AB104" s="698">
        <f t="shared" ca="1" si="102"/>
        <v>10</v>
      </c>
      <c r="AC104" s="203"/>
      <c r="AD104" s="81">
        <v>2050</v>
      </c>
      <c r="AE104" s="81"/>
      <c r="AF104" s="705"/>
    </row>
    <row r="105" spans="2:32">
      <c r="B105" s="718" t="s">
        <v>1008</v>
      </c>
      <c r="C105" s="226"/>
      <c r="D105" s="261" t="str">
        <f>"IND"&amp;RIGHT(H105,4)&amp;RIGHT(G105,3)&amp;"N"&amp;RIGHT(E105,1)</f>
        <v>INDADSHWCHN3</v>
      </c>
      <c r="E105" s="261" t="str">
        <f>"Industrial heating technology "&amp;$AJ$12&amp;" "&amp;RIGHT(H105,2)&amp;" - Wood chip boiler (Hot Water) - new 3"</f>
        <v>Industrial heating technology Aluminium SH - Wood chip boiler (Hot Water) - new 3</v>
      </c>
      <c r="F105" s="224" t="s">
        <v>1149</v>
      </c>
      <c r="G105" s="174" t="s">
        <v>498</v>
      </c>
      <c r="H105" s="174" t="str">
        <f>$AI$15</f>
        <v>IADSH</v>
      </c>
      <c r="I105" s="174" t="str">
        <f t="shared" si="22"/>
        <v>INDAWH</v>
      </c>
      <c r="J105" s="224">
        <f t="shared" si="32"/>
        <v>2011</v>
      </c>
      <c r="K105" s="299">
        <v>2025</v>
      </c>
      <c r="L105" s="199">
        <f t="shared" ref="L105:L107" ca="1" si="105">VLOOKUP($AD105,INDIRECT("'"&amp;$B105&amp;"'!"&amp;"$P$200:$AD$203"),3,FALSE)</f>
        <v>0.9</v>
      </c>
      <c r="M105" s="199"/>
      <c r="N105" s="81">
        <f ca="1">VLOOKUP($AD105,INDIRECT("'"&amp;$B105&amp;"'!"&amp;"$P$200:$AD$203"),5,FALSE)</f>
        <v>25</v>
      </c>
      <c r="O105" s="723">
        <f t="shared" ca="1" si="95"/>
        <v>4.6054545454545437</v>
      </c>
      <c r="P105" s="723">
        <f t="shared" ca="1" si="96"/>
        <v>0.25106499999999998</v>
      </c>
      <c r="Q105" s="81">
        <f t="shared" ca="1" si="97"/>
        <v>5.7509861111111107</v>
      </c>
      <c r="R105" s="81">
        <v>3.1536000000000002E-2</v>
      </c>
      <c r="S105" s="199">
        <v>0.5</v>
      </c>
      <c r="T105" s="199">
        <f ca="1">HLOOKUP($T$2,INDIRECT("'"&amp;$B105&amp;"'!"&amp;"$P$167:$AC$180"),IF(H105=$AI$13,6,IF(H105=$AI$14,9,14)),FALSE)</f>
        <v>1</v>
      </c>
      <c r="U105" s="773"/>
      <c r="V105" s="199">
        <f t="shared" ref="V105" ca="1" si="106">IF(IF(RIGHT(H105,2)="PH",(1-L105)+$W$2,IF(RIGHT(H105,2)="HT",(1-L105)+$W$1,IF(RIGHT(H105,2)="SH",(1-L105)+$W$3,"")))&gt;0,IF(RIGHT(H105,2)="PH",(1-L105)+$W$2,IF(RIGHT(H105,2)="HT",(1-L105)+$W$1,IF(RIGHT(H105,2)="SH",(1-L105)+$W$3,""))),0)</f>
        <v>9.9999999999999978E-2</v>
      </c>
      <c r="W105" s="709"/>
      <c r="X105" s="698">
        <f t="shared" ca="1" si="80"/>
        <v>11</v>
      </c>
      <c r="Y105" s="698">
        <f t="shared" ca="1" si="99"/>
        <v>63</v>
      </c>
      <c r="Z105" s="698">
        <f t="shared" ca="1" si="100"/>
        <v>11</v>
      </c>
      <c r="AA105" s="698">
        <f t="shared" ca="1" si="101"/>
        <v>3</v>
      </c>
      <c r="AB105" s="698">
        <f t="shared" ca="1" si="102"/>
        <v>10</v>
      </c>
      <c r="AC105" s="296"/>
      <c r="AD105" s="81">
        <v>2020</v>
      </c>
      <c r="AE105" s="81"/>
      <c r="AF105" s="710"/>
    </row>
    <row r="106" spans="2:32">
      <c r="B106" s="718" t="s">
        <v>1008</v>
      </c>
      <c r="C106" s="226"/>
      <c r="D106" s="261"/>
      <c r="E106" s="261"/>
      <c r="F106" s="224" t="s">
        <v>1149</v>
      </c>
      <c r="G106" s="55"/>
      <c r="H106" s="174"/>
      <c r="I106" s="174" t="str">
        <f t="shared" si="22"/>
        <v>INDAWH</v>
      </c>
      <c r="J106" s="224">
        <f t="shared" si="32"/>
        <v>2030</v>
      </c>
      <c r="K106" s="81"/>
      <c r="L106" s="199">
        <f t="shared" ca="1" si="105"/>
        <v>0.9</v>
      </c>
      <c r="M106" s="199"/>
      <c r="N106" s="81"/>
      <c r="O106" s="723">
        <f t="shared" ca="1" si="95"/>
        <v>4.4022727272727282</v>
      </c>
      <c r="P106" s="723">
        <f t="shared" ca="1" si="96"/>
        <v>0.267455</v>
      </c>
      <c r="Q106" s="81">
        <f t="shared" ca="1" si="97"/>
        <v>5.8461805555555557</v>
      </c>
      <c r="R106" s="300"/>
      <c r="S106" s="300"/>
      <c r="T106" s="300"/>
      <c r="U106" s="300"/>
      <c r="V106" s="199">
        <f t="shared" ref="V106" ca="1" si="107">IF(IF(RIGHT(H105,2)="PH",(1-L106)+$W$2,IF(RIGHT(H105,2)="HT",(1-L106)+$W$1,IF(RIGHT(H105,2)="SH",(1-L106)+$W$3,"")))&gt;0,IF(RIGHT(H105,2)="PH",(1-L106)+$W$2,IF(RIGHT(H105,2)="HT",(1-L106)+$W$1,IF(RIGHT(H105,2)="SH",(1-L106)+$W$3,""))),0)</f>
        <v>9.9999999999999978E-2</v>
      </c>
      <c r="W106" s="298"/>
      <c r="X106" s="698">
        <f t="shared" ca="1" si="80"/>
        <v>11</v>
      </c>
      <c r="Y106" s="698">
        <f t="shared" ca="1" si="99"/>
        <v>49</v>
      </c>
      <c r="Z106" s="698">
        <f t="shared" ca="1" si="100"/>
        <v>8</v>
      </c>
      <c r="AA106" s="698">
        <f t="shared" ca="1" si="101"/>
        <v>3</v>
      </c>
      <c r="AB106" s="698">
        <f t="shared" ca="1" si="102"/>
        <v>10</v>
      </c>
      <c r="AC106" s="55"/>
      <c r="AD106" s="81">
        <v>2030</v>
      </c>
      <c r="AE106" s="81"/>
      <c r="AF106" s="700"/>
    </row>
    <row r="107" spans="2:32">
      <c r="B107" s="719" t="s">
        <v>1008</v>
      </c>
      <c r="C107" s="713"/>
      <c r="D107" s="701"/>
      <c r="E107" s="701"/>
      <c r="F107" s="224" t="s">
        <v>1149</v>
      </c>
      <c r="G107" s="203"/>
      <c r="H107" s="702"/>
      <c r="I107" s="702" t="str">
        <f t="shared" si="22"/>
        <v>INDAWH</v>
      </c>
      <c r="J107" s="224">
        <f t="shared" si="32"/>
        <v>2050</v>
      </c>
      <c r="K107" s="81"/>
      <c r="L107" s="199">
        <f t="shared" ca="1" si="105"/>
        <v>0.91</v>
      </c>
      <c r="M107" s="199"/>
      <c r="N107" s="81"/>
      <c r="O107" s="723">
        <f t="shared" ca="1" si="95"/>
        <v>3.9959090909090884</v>
      </c>
      <c r="P107" s="723">
        <f t="shared" ca="1" si="96"/>
        <v>0.25106499999999998</v>
      </c>
      <c r="Q107" s="81">
        <f t="shared" ca="1" si="97"/>
        <v>5.8937777777777782</v>
      </c>
      <c r="R107" s="300"/>
      <c r="S107" s="300"/>
      <c r="T107" s="300"/>
      <c r="U107" s="300"/>
      <c r="V107" s="199">
        <f t="shared" ref="V107" ca="1" si="108">IF(IF(RIGHT(H105,2)="PH",(1-L107)+$W$2,IF(RIGHT(H105,2)="HT",(1-L107)+$W$1,IF(RIGHT(H105,2)="SH",(1-L107)+$W$3,"")))&gt;0,IF(RIGHT(H105,2)="PH",(1-L107)+$W$2,IF(RIGHT(H105,2)="HT",(1-L107)+$W$1,IF(RIGHT(H105,2)="SH",(1-L107)+$W$3,""))),0)</f>
        <v>8.9999999999999969E-2</v>
      </c>
      <c r="W107" s="298"/>
      <c r="X107" s="698">
        <f t="shared" ca="1" si="80"/>
        <v>11</v>
      </c>
      <c r="Y107" s="698">
        <f t="shared" ca="1" si="99"/>
        <v>41</v>
      </c>
      <c r="Z107" s="698">
        <f t="shared" ca="1" si="100"/>
        <v>4</v>
      </c>
      <c r="AA107" s="698">
        <f t="shared" ca="1" si="101"/>
        <v>1</v>
      </c>
      <c r="AB107" s="698">
        <f t="shared" ca="1" si="102"/>
        <v>10</v>
      </c>
      <c r="AC107" s="55"/>
      <c r="AD107" s="81">
        <v>2050</v>
      </c>
      <c r="AE107" s="81"/>
      <c r="AF107" s="700"/>
    </row>
    <row r="108" spans="2:32">
      <c r="B108" s="717" t="s">
        <v>1008</v>
      </c>
      <c r="C108" s="712"/>
      <c r="D108" s="707" t="str">
        <f>"IND"&amp;RIGHT(H108,4)&amp;RIGHT(G108,3)&amp;"N"&amp;RIGHT(E108,1)</f>
        <v>INDADPHWCHN4</v>
      </c>
      <c r="E108" s="707" t="str">
        <f>"Industrial heating technology "&amp;$AJ$12&amp;" "&amp;RIGHT(H108,2)&amp;" - Wood chip boiler (Hot Water - condensing) - new 4"</f>
        <v>Industrial heating technology Aluminium PH - Wood chip boiler (Hot Water - condensing) - new 4</v>
      </c>
      <c r="F108" s="224" t="s">
        <v>1149</v>
      </c>
      <c r="G108" s="708" t="s">
        <v>498</v>
      </c>
      <c r="H108" s="708" t="str">
        <f>$AI$14</f>
        <v>IADPH</v>
      </c>
      <c r="I108" s="708" t="str">
        <f t="shared" si="22"/>
        <v>INDAWH</v>
      </c>
      <c r="J108" s="224">
        <f t="shared" si="32"/>
        <v>2011</v>
      </c>
      <c r="K108" s="299">
        <v>2025</v>
      </c>
      <c r="L108" s="333">
        <f ca="1">VLOOKUP($AD108,INDIRECT("'"&amp;$B108&amp;"'!"&amp;"$P$279:$AD$282"),3,FALSE)*0.4</f>
        <v>0.46475843790907345</v>
      </c>
      <c r="M108" s="199"/>
      <c r="N108" s="81">
        <f ca="1">VLOOKUP($AD108,INDIRECT("'"&amp;$B108&amp;"'!"&amp;"$P$279:$AD$282"),5,FALSE)</f>
        <v>25</v>
      </c>
      <c r="O108" s="723">
        <f t="shared" ref="O108:O113" ca="1" si="109">VLOOKUP($AD108,INDIRECT("'"&amp;$B108&amp;"'!"&amp;"$P$279:$AD$282"),6,FALSE)/1000</f>
        <v>5.0660000000000007</v>
      </c>
      <c r="P108" s="723">
        <f t="shared" ref="P108:P113" ca="1" si="110">VLOOKUP($AD108,INDIRECT("'"&amp;$B108&amp;"'!"&amp;"$P$279:$AD$282"),7,FALSE)/1000</f>
        <v>0.27564999999999995</v>
      </c>
      <c r="Q108" s="81">
        <f t="shared" ref="Q108:Q113" ca="1" si="111">VLOOKUP($AD108,INDIRECT("'"&amp;$B108&amp;"'!"&amp;"$P$279:$AD$282"),8,FALSE)</f>
        <v>5.7509861111111107</v>
      </c>
      <c r="R108" s="81">
        <v>3.1536000000000002E-2</v>
      </c>
      <c r="S108" s="199">
        <v>0.5</v>
      </c>
      <c r="T108" s="199">
        <f ca="1">HLOOKUP($T$2,INDIRECT("'"&amp;$B108&amp;"'!"&amp;"$P$246:$AC$259"),IF(H108=$AI$13,6,IF(H108=$AI$14,9,14)),FALSE)</f>
        <v>0</v>
      </c>
      <c r="U108" s="773"/>
      <c r="V108" s="199">
        <f t="shared" ref="V108" ca="1" si="112">IF(IF(RIGHT(H108,2)="PH",(1-L108)+$W$2,IF(RIGHT(H108,2)="HT",(1-L108)+$W$1,IF(RIGHT(H108,2)="SH",(1-L108)+$W$3,"")))&gt;0,IF(RIGHT(H108,2)="PH",(1-L108)+$W$2,IF(RIGHT(H108,2)="HT",(1-L108)+$W$1,IF(RIGHT(H108,2)="SH",(1-L108)+$W$3,""))),0)</f>
        <v>0.7352415620909265</v>
      </c>
      <c r="W108" s="709"/>
      <c r="X108" s="698">
        <f t="shared" ca="1" si="80"/>
        <v>11</v>
      </c>
      <c r="Y108" s="698">
        <f t="shared" ref="Y108:Y113" ca="1" si="113">VLOOKUP($AD108,INDIRECT("'"&amp;$B108&amp;"'!"&amp;"$P$279:$AD$282"),12,FALSE)</f>
        <v>63</v>
      </c>
      <c r="Z108" s="698">
        <f t="shared" ref="Z108:Z113" ca="1" si="114">VLOOKUP($AD108,INDIRECT("'"&amp;$B108&amp;"'!"&amp;"$P$279:$AD$282"),13,FALSE)</f>
        <v>11</v>
      </c>
      <c r="AA108" s="698">
        <f t="shared" ref="AA108:AA113" ca="1" si="115">VLOOKUP($AD108,INDIRECT("'"&amp;$B108&amp;"'!"&amp;"$P$279:$AD$282"),14,FALSE)</f>
        <v>3</v>
      </c>
      <c r="AB108" s="698">
        <f t="shared" ref="AB108:AB113" ca="1" si="116">VLOOKUP($AD108,INDIRECT("'"&amp;$B108&amp;"'!"&amp;"$P$279:$AD$282"),15,FALSE)</f>
        <v>10</v>
      </c>
      <c r="AC108" s="55"/>
      <c r="AD108" s="81">
        <v>2020</v>
      </c>
      <c r="AE108" s="81"/>
      <c r="AF108" s="700"/>
    </row>
    <row r="109" spans="2:32">
      <c r="B109" s="718" t="s">
        <v>1008</v>
      </c>
      <c r="C109" s="226"/>
      <c r="D109" s="261"/>
      <c r="E109" s="261"/>
      <c r="F109" s="224" t="s">
        <v>1149</v>
      </c>
      <c r="G109" s="55"/>
      <c r="H109" s="174"/>
      <c r="I109" s="174" t="str">
        <f t="shared" si="22"/>
        <v>INDAWH</v>
      </c>
      <c r="J109" s="224">
        <f t="shared" si="32"/>
        <v>2030</v>
      </c>
      <c r="K109" s="81"/>
      <c r="L109" s="333">
        <f ca="1">VLOOKUP($AD109,INDIRECT("'"&amp;$B109&amp;"'!"&amp;"$P$279:$AD$282"),3,FALSE)*0.4</f>
        <v>0.46475843790907345</v>
      </c>
      <c r="M109" s="199"/>
      <c r="N109" s="81"/>
      <c r="O109" s="723">
        <f t="shared" ca="1" si="109"/>
        <v>4.8425000000000002</v>
      </c>
      <c r="P109" s="723">
        <f t="shared" ca="1" si="110"/>
        <v>0.267455</v>
      </c>
      <c r="Q109" s="81">
        <f t="shared" ca="1" si="111"/>
        <v>5.8461805555555557</v>
      </c>
      <c r="R109" s="300"/>
      <c r="S109" s="300"/>
      <c r="T109" s="300"/>
      <c r="U109" s="300"/>
      <c r="V109" s="199">
        <f t="shared" ref="V109" ca="1" si="117">IF(IF(RIGHT(H108,2)="PH",(1-L109)+$W$2,IF(RIGHT(H108,2)="HT",(1-L109)+$W$1,IF(RIGHT(H108,2)="SH",(1-L109)+$W$3,"")))&gt;0,IF(RIGHT(H108,2)="PH",(1-L109)+$W$2,IF(RIGHT(H108,2)="HT",(1-L109)+$W$1,IF(RIGHT(H108,2)="SH",(1-L109)+$W$3,""))),0)</f>
        <v>0.7352415620909265</v>
      </c>
      <c r="W109" s="298"/>
      <c r="X109" s="698">
        <f t="shared" ca="1" si="80"/>
        <v>11</v>
      </c>
      <c r="Y109" s="698">
        <f t="shared" ca="1" si="113"/>
        <v>49</v>
      </c>
      <c r="Z109" s="698">
        <f t="shared" ca="1" si="114"/>
        <v>8</v>
      </c>
      <c r="AA109" s="698">
        <f t="shared" ca="1" si="115"/>
        <v>3</v>
      </c>
      <c r="AB109" s="698">
        <f t="shared" ca="1" si="116"/>
        <v>10</v>
      </c>
      <c r="AC109" s="55"/>
      <c r="AD109" s="81">
        <v>2030</v>
      </c>
      <c r="AE109" s="81"/>
      <c r="AF109" s="700"/>
    </row>
    <row r="110" spans="2:32">
      <c r="B110" s="718" t="s">
        <v>1008</v>
      </c>
      <c r="C110" s="226"/>
      <c r="D110" s="261"/>
      <c r="E110" s="261"/>
      <c r="F110" s="224" t="s">
        <v>1149</v>
      </c>
      <c r="G110" s="55"/>
      <c r="H110" s="174"/>
      <c r="I110" s="174" t="str">
        <f t="shared" si="22"/>
        <v>INDAWH</v>
      </c>
      <c r="J110" s="224">
        <f t="shared" si="32"/>
        <v>2050</v>
      </c>
      <c r="K110" s="81"/>
      <c r="L110" s="333">
        <f ca="1">VLOOKUP($AD110,INDIRECT("'"&amp;$B110&amp;"'!"&amp;"$P$279:$AD$282"),3,FALSE)*0.4</f>
        <v>0.46475843790907345</v>
      </c>
      <c r="M110" s="199"/>
      <c r="N110" s="81"/>
      <c r="O110" s="723">
        <f t="shared" ca="1" si="109"/>
        <v>4.3955000000000002</v>
      </c>
      <c r="P110" s="723">
        <f t="shared" ca="1" si="110"/>
        <v>0.25106499999999998</v>
      </c>
      <c r="Q110" s="81">
        <f t="shared" ca="1" si="111"/>
        <v>5.8937777777777782</v>
      </c>
      <c r="R110" s="300"/>
      <c r="S110" s="300"/>
      <c r="T110" s="300"/>
      <c r="U110" s="300"/>
      <c r="V110" s="199">
        <f t="shared" ref="V110" ca="1" si="118">IF(IF(RIGHT(H108,2)="PH",(1-L110)+$W$2,IF(RIGHT(H108,2)="HT",(1-L110)+$W$1,IF(RIGHT(H108,2)="SH",(1-L110)+$W$3,"")))&gt;0,IF(RIGHT(H108,2)="PH",(1-L110)+$W$2,IF(RIGHT(H108,2)="HT",(1-L110)+$W$1,IF(RIGHT(H108,2)="SH",(1-L110)+$W$3,""))),0)</f>
        <v>0.7352415620909265</v>
      </c>
      <c r="W110" s="298"/>
      <c r="X110" s="698">
        <f t="shared" ca="1" si="80"/>
        <v>11</v>
      </c>
      <c r="Y110" s="698">
        <f t="shared" ca="1" si="113"/>
        <v>41</v>
      </c>
      <c r="Z110" s="698">
        <f t="shared" ca="1" si="114"/>
        <v>4</v>
      </c>
      <c r="AA110" s="698">
        <f t="shared" ca="1" si="115"/>
        <v>1</v>
      </c>
      <c r="AB110" s="698">
        <f t="shared" ca="1" si="116"/>
        <v>10</v>
      </c>
      <c r="AC110" s="203"/>
      <c r="AD110" s="81">
        <v>2050</v>
      </c>
      <c r="AE110" s="81"/>
      <c r="AF110" s="705"/>
    </row>
    <row r="111" spans="2:32">
      <c r="B111" s="718" t="s">
        <v>1008</v>
      </c>
      <c r="C111" s="226"/>
      <c r="D111" s="261" t="str">
        <f>"IND"&amp;RIGHT(H111,4)&amp;RIGHT(G111,3)&amp;"N"&amp;RIGHT(E111,1)</f>
        <v>INDADSHWCHN4</v>
      </c>
      <c r="E111" s="261" t="str">
        <f>"Industrial heating technology "&amp;$AJ$12&amp;" "&amp;RIGHT(H111,2)&amp;" - Wood chip boiler (Hot Water- condensing) - new 4"</f>
        <v>Industrial heating technology Aluminium SH - Wood chip boiler (Hot Water- condensing) - new 4</v>
      </c>
      <c r="F111" s="224" t="s">
        <v>1149</v>
      </c>
      <c r="G111" s="174" t="s">
        <v>498</v>
      </c>
      <c r="H111" s="174" t="str">
        <f>$AI$15</f>
        <v>IADSH</v>
      </c>
      <c r="I111" s="174" t="str">
        <f t="shared" si="22"/>
        <v>INDAWH</v>
      </c>
      <c r="J111" s="224">
        <f t="shared" si="32"/>
        <v>2011</v>
      </c>
      <c r="K111" s="299">
        <v>2025</v>
      </c>
      <c r="L111" s="199">
        <f t="shared" ref="L111:L113" ca="1" si="119">VLOOKUP($AD111,INDIRECT("'"&amp;$B111&amp;"'!"&amp;"$P$279:$AD$282"),3,FALSE)</f>
        <v>1.1618960947726835</v>
      </c>
      <c r="M111" s="199"/>
      <c r="N111" s="81">
        <f ca="1">VLOOKUP($AD111,INDIRECT("'"&amp;$B111&amp;"'!"&amp;"$P$279:$AD$282"),5,FALSE)</f>
        <v>25</v>
      </c>
      <c r="O111" s="723">
        <f t="shared" ca="1" si="109"/>
        <v>5.0660000000000007</v>
      </c>
      <c r="P111" s="723">
        <f t="shared" ca="1" si="110"/>
        <v>0.27564999999999995</v>
      </c>
      <c r="Q111" s="81">
        <f t="shared" ca="1" si="111"/>
        <v>5.7509861111111107</v>
      </c>
      <c r="R111" s="81">
        <v>3.1536000000000002E-2</v>
      </c>
      <c r="S111" s="199">
        <v>0.5</v>
      </c>
      <c r="T111" s="199">
        <f ca="1">HLOOKUP($T$2,INDIRECT("'"&amp;$B111&amp;"'!"&amp;"$P$246:$AC$259"),IF(H111=$AI$13,6,IF(H111=$AI$14,9,14)),FALSE)</f>
        <v>0</v>
      </c>
      <c r="U111" s="773"/>
      <c r="V111" s="199">
        <f t="shared" ref="V111" ca="1" si="120">IF(IF(RIGHT(H111,2)="PH",(1-L111)+$W$2,IF(RIGHT(H111,2)="HT",(1-L111)+$W$1,IF(RIGHT(H111,2)="SH",(1-L111)+$W$3,"")))&gt;0,IF(RIGHT(H111,2)="PH",(1-L111)+$W$2,IF(RIGHT(H111,2)="HT",(1-L111)+$W$1,IF(RIGHT(H111,2)="SH",(1-L111)+$W$3,""))),0)</f>
        <v>0</v>
      </c>
      <c r="W111" s="709"/>
      <c r="X111" s="698">
        <f t="shared" ca="1" si="80"/>
        <v>11</v>
      </c>
      <c r="Y111" s="698">
        <f t="shared" ca="1" si="113"/>
        <v>63</v>
      </c>
      <c r="Z111" s="698">
        <f t="shared" ca="1" si="114"/>
        <v>11</v>
      </c>
      <c r="AA111" s="698">
        <f t="shared" ca="1" si="115"/>
        <v>3</v>
      </c>
      <c r="AB111" s="698">
        <f t="shared" ca="1" si="116"/>
        <v>10</v>
      </c>
      <c r="AD111" s="81">
        <v>2020</v>
      </c>
      <c r="AE111" s="81"/>
      <c r="AF111" s="220"/>
    </row>
    <row r="112" spans="2:32">
      <c r="B112" s="718" t="s">
        <v>1008</v>
      </c>
      <c r="C112" s="226"/>
      <c r="D112" s="261"/>
      <c r="E112" s="261"/>
      <c r="F112" s="224" t="s">
        <v>1149</v>
      </c>
      <c r="G112" s="55"/>
      <c r="H112" s="174"/>
      <c r="I112" s="174" t="str">
        <f t="shared" si="22"/>
        <v>INDAWH</v>
      </c>
      <c r="J112" s="224">
        <f t="shared" si="32"/>
        <v>2030</v>
      </c>
      <c r="K112" s="81"/>
      <c r="L112" s="199">
        <f t="shared" ca="1" si="119"/>
        <v>1.1618960947726835</v>
      </c>
      <c r="M112" s="199"/>
      <c r="N112" s="81"/>
      <c r="O112" s="723">
        <f t="shared" ca="1" si="109"/>
        <v>4.8425000000000002</v>
      </c>
      <c r="P112" s="723">
        <f t="shared" ca="1" si="110"/>
        <v>0.267455</v>
      </c>
      <c r="Q112" s="81">
        <f t="shared" ca="1" si="111"/>
        <v>5.8461805555555557</v>
      </c>
      <c r="R112" s="300"/>
      <c r="S112" s="300"/>
      <c r="T112" s="300"/>
      <c r="U112" s="300"/>
      <c r="V112" s="199">
        <f t="shared" ref="V112" ca="1" si="121">IF(IF(RIGHT(H111,2)="PH",(1-L112)+$W$2,IF(RIGHT(H111,2)="HT",(1-L112)+$W$1,IF(RIGHT(H111,2)="SH",(1-L112)+$W$3,"")))&gt;0,IF(RIGHT(H111,2)="PH",(1-L112)+$W$2,IF(RIGHT(H111,2)="HT",(1-L112)+$W$1,IF(RIGHT(H111,2)="SH",(1-L112)+$W$3,""))),0)</f>
        <v>0</v>
      </c>
      <c r="W112" s="298"/>
      <c r="X112" s="698">
        <f t="shared" ca="1" si="80"/>
        <v>11</v>
      </c>
      <c r="Y112" s="698">
        <f t="shared" ca="1" si="113"/>
        <v>49</v>
      </c>
      <c r="Z112" s="698">
        <f t="shared" ca="1" si="114"/>
        <v>8</v>
      </c>
      <c r="AA112" s="698">
        <f t="shared" ca="1" si="115"/>
        <v>3</v>
      </c>
      <c r="AB112" s="698">
        <f t="shared" ca="1" si="116"/>
        <v>10</v>
      </c>
      <c r="AD112" s="81">
        <v>2030</v>
      </c>
      <c r="AE112" s="81"/>
      <c r="AF112" s="220"/>
    </row>
    <row r="113" spans="2:32">
      <c r="B113" s="719" t="s">
        <v>1008</v>
      </c>
      <c r="C113" s="713"/>
      <c r="D113" s="701"/>
      <c r="E113" s="701"/>
      <c r="F113" s="224" t="s">
        <v>1149</v>
      </c>
      <c r="G113" s="203"/>
      <c r="H113" s="702"/>
      <c r="I113" s="702" t="str">
        <f t="shared" si="22"/>
        <v>INDAWH</v>
      </c>
      <c r="J113" s="224">
        <f t="shared" si="32"/>
        <v>2050</v>
      </c>
      <c r="K113" s="81"/>
      <c r="L113" s="199">
        <f t="shared" ca="1" si="119"/>
        <v>1.1618960947726835</v>
      </c>
      <c r="M113" s="199"/>
      <c r="N113" s="81"/>
      <c r="O113" s="723">
        <f t="shared" ca="1" si="109"/>
        <v>4.3955000000000002</v>
      </c>
      <c r="P113" s="723">
        <f t="shared" ca="1" si="110"/>
        <v>0.25106499999999998</v>
      </c>
      <c r="Q113" s="81">
        <f t="shared" ca="1" si="111"/>
        <v>5.8937777777777782</v>
      </c>
      <c r="R113" s="300"/>
      <c r="S113" s="300"/>
      <c r="T113" s="300"/>
      <c r="U113" s="300"/>
      <c r="V113" s="199">
        <f t="shared" ref="V113" ca="1" si="122">IF(IF(RIGHT(H111,2)="PH",(1-L113)+$W$2,IF(RIGHT(H111,2)="HT",(1-L113)+$W$1,IF(RIGHT(H111,2)="SH",(1-L113)+$W$3,"")))&gt;0,IF(RIGHT(H111,2)="PH",(1-L113)+$W$2,IF(RIGHT(H111,2)="HT",(1-L113)+$W$1,IF(RIGHT(H111,2)="SH",(1-L113)+$W$3,""))),0)</f>
        <v>0</v>
      </c>
      <c r="W113" s="714"/>
      <c r="X113" s="698">
        <f t="shared" ca="1" si="80"/>
        <v>11</v>
      </c>
      <c r="Y113" s="698">
        <f t="shared" ca="1" si="113"/>
        <v>41</v>
      </c>
      <c r="Z113" s="698">
        <f t="shared" ca="1" si="114"/>
        <v>4</v>
      </c>
      <c r="AA113" s="698">
        <f t="shared" ca="1" si="115"/>
        <v>1</v>
      </c>
      <c r="AB113" s="698">
        <f t="shared" ca="1" si="116"/>
        <v>10</v>
      </c>
      <c r="AD113" s="81">
        <v>2050</v>
      </c>
      <c r="AE113" s="81"/>
      <c r="AF113" s="220"/>
    </row>
    <row r="114" spans="2:32">
      <c r="B114" s="718" t="s">
        <v>1014</v>
      </c>
      <c r="C114" s="226"/>
      <c r="D114" s="212" t="str">
        <f>"IND"&amp;RIGHT(H114,4)&amp;RIGHT(G114,3)&amp;"N"&amp;RIGHT(E114,2)</f>
        <v>INDADPHELCN10</v>
      </c>
      <c r="E114" s="261" t="str">
        <f>"Industrial heating technology "&amp;$AJ$12&amp;" "&amp;RIGHT(H114,2)&amp;" - Direct electric heating - new 10"</f>
        <v>Industrial heating technology Aluminium PH - Direct electric heating - new 10</v>
      </c>
      <c r="F114" s="224" t="s">
        <v>1149</v>
      </c>
      <c r="G114" s="173" t="s">
        <v>499</v>
      </c>
      <c r="H114" s="174" t="str">
        <f>$AI$13</f>
        <v>IADPH</v>
      </c>
      <c r="I114" s="174" t="str">
        <f t="shared" si="22"/>
        <v>INDAWH</v>
      </c>
      <c r="J114" s="224">
        <f t="shared" si="32"/>
        <v>2011</v>
      </c>
      <c r="K114" s="299">
        <v>2020</v>
      </c>
      <c r="L114" s="333">
        <f ca="1">VLOOKUP($AD114,INDIRECT("'"&amp;$B114&amp;"'!"&amp;"$P$39:$AD$42"),3,FALSE)*0.4</f>
        <v>0.4</v>
      </c>
      <c r="M114" s="199"/>
      <c r="N114" s="81">
        <f ca="1">VLOOKUP($AD114,INDIRECT("'"&amp;$B114&amp;"'!"&amp;"$P$39:$AD$42"),5,FALSE)</f>
        <v>12.5</v>
      </c>
      <c r="O114" s="723">
        <f t="shared" ref="O114:O128" ca="1" si="123">VLOOKUP($AD114,INDIRECT("'"&amp;$B114&amp;"'!"&amp;"$P$39:$AD$42"),6,FALSE)/1000</f>
        <v>0.44700000000000001</v>
      </c>
      <c r="P114" s="723">
        <f t="shared" ref="P114:P128" ca="1" si="124">VLOOKUP($AD114,INDIRECT("'"&amp;$B114&amp;"'!"&amp;"$P$39:$AD$42"),7,FALSE)/1000</f>
        <v>0</v>
      </c>
      <c r="Q114" s="81">
        <f t="shared" ref="Q114:Q128" ca="1" si="125">VLOOKUP($AD114,INDIRECT("'"&amp;$B114&amp;"'!"&amp;"$P$39:$AD$42"),8,FALSE)</f>
        <v>0.37767361111111114</v>
      </c>
      <c r="R114" s="81">
        <v>3.1536000000000002E-2</v>
      </c>
      <c r="S114" s="199">
        <v>0.5</v>
      </c>
      <c r="T114" s="199">
        <f ca="1">HLOOKUP($S$2,INDIRECT("'"&amp;$B114&amp;"'!"&amp;"$P$6:$AC$19"),IF(H114=$AI$13,6,IF(H114=$AI$14,9,14)),FALSE)</f>
        <v>0.05</v>
      </c>
      <c r="U114" s="772"/>
      <c r="V114" s="199">
        <f t="shared" ref="V114" ca="1" si="126">IF(IF(RIGHT(H114,2)="PH",(1-L114)+$W$2,IF(RIGHT(H114,2)="HT",(1-L114)+$W$1,IF(RIGHT(H114,2)="SH",(1-L114)+$W$3,"")))&gt;0,IF(RIGHT(H114,2)="PH",(1-L114)+$W$2,IF(RIGHT(H114,2)="HT",(1-L114)+$W$1,IF(RIGHT(H114,2)="SH",(1-L114)+$W$3,""))),0)</f>
        <v>0.8</v>
      </c>
      <c r="W114" s="298"/>
      <c r="X114" s="698">
        <f t="shared" ca="1" si="80"/>
        <v>0</v>
      </c>
      <c r="Y114" s="81">
        <f t="shared" ref="Y114:Y128" ca="1" si="127">VLOOKUP($AD114,INDIRECT("'"&amp;$B114&amp;"'!"&amp;"$P$39:$AD$42"),12,FALSE)</f>
        <v>0</v>
      </c>
      <c r="Z114" s="81">
        <f t="shared" ref="Z114:Z128" ca="1" si="128">VLOOKUP($AD114,INDIRECT("'"&amp;$B114&amp;"'!"&amp;"$P$39:$AD$42"),13,FALSE)</f>
        <v>0</v>
      </c>
      <c r="AA114" s="81">
        <f t="shared" ref="AA114:AA128" ca="1" si="129">VLOOKUP($AD114,INDIRECT("'"&amp;$B114&amp;"'!"&amp;"$P$39:$AD$42"),14,FALSE)</f>
        <v>0</v>
      </c>
      <c r="AB114" s="81">
        <f t="shared" ref="AB114:AB128" ca="1" si="130">VLOOKUP($AD114,INDIRECT("'"&amp;$B114&amp;"'!"&amp;"$P$39:$AD$42"),15,FALSE)</f>
        <v>0</v>
      </c>
      <c r="AD114" s="81">
        <v>2020</v>
      </c>
      <c r="AE114" s="81"/>
      <c r="AF114" s="220"/>
    </row>
    <row r="115" spans="2:32">
      <c r="B115" s="718" t="s">
        <v>1014</v>
      </c>
      <c r="C115" s="226"/>
      <c r="D115" s="212"/>
      <c r="E115" s="212"/>
      <c r="F115" s="224" t="s">
        <v>1149</v>
      </c>
      <c r="H115" s="174"/>
      <c r="I115" s="174" t="str">
        <f t="shared" si="22"/>
        <v>INDAWH</v>
      </c>
      <c r="J115" s="224">
        <f t="shared" si="32"/>
        <v>2030</v>
      </c>
      <c r="K115" s="81"/>
      <c r="L115" s="333">
        <f ca="1">VLOOKUP($AD115,INDIRECT("'"&amp;$B115&amp;"'!"&amp;"$P$39:$AD$42"),3,FALSE)*0.4</f>
        <v>0.4</v>
      </c>
      <c r="M115" s="199"/>
      <c r="N115" s="81"/>
      <c r="O115" s="723">
        <f t="shared" ca="1" si="123"/>
        <v>0.44700000000000001</v>
      </c>
      <c r="P115" s="723">
        <f t="shared" ca="1" si="124"/>
        <v>0</v>
      </c>
      <c r="Q115" s="81">
        <f t="shared" ca="1" si="125"/>
        <v>0.38802083333333331</v>
      </c>
      <c r="R115" s="300"/>
      <c r="S115" s="300"/>
      <c r="T115" s="300"/>
      <c r="U115" s="300"/>
      <c r="V115" s="199">
        <f t="shared" ref="V115" ca="1" si="131">IF(IF(RIGHT(H114,2)="PH",(1-L115)+$W$2,IF(RIGHT(H114,2)="HT",(1-L115)+$W$1,IF(RIGHT(H114,2)="SH",(1-L115)+$W$3,"")))&gt;0,IF(RIGHT(H114,2)="PH",(1-L115)+$W$2,IF(RIGHT(H114,2)="HT",(1-L115)+$W$1,IF(RIGHT(H114,2)="SH",(1-L115)+$W$3,""))),0)</f>
        <v>0.8</v>
      </c>
      <c r="W115" s="298"/>
      <c r="X115" s="698">
        <f t="shared" ca="1" si="80"/>
        <v>0</v>
      </c>
      <c r="Y115" s="81">
        <f t="shared" ca="1" si="127"/>
        <v>0</v>
      </c>
      <c r="Z115" s="81">
        <f t="shared" ca="1" si="128"/>
        <v>0</v>
      </c>
      <c r="AA115" s="81">
        <f t="shared" ca="1" si="129"/>
        <v>0</v>
      </c>
      <c r="AB115" s="81">
        <f t="shared" ca="1" si="130"/>
        <v>0</v>
      </c>
      <c r="AD115" s="81">
        <v>2030</v>
      </c>
      <c r="AE115" s="81"/>
      <c r="AF115" s="220"/>
    </row>
    <row r="116" spans="2:32">
      <c r="B116" s="718" t="s">
        <v>1014</v>
      </c>
      <c r="C116" s="226"/>
      <c r="D116" s="212"/>
      <c r="E116" s="212"/>
      <c r="F116" s="224" t="s">
        <v>1149</v>
      </c>
      <c r="H116" s="174"/>
      <c r="I116" s="174" t="str">
        <f t="shared" si="22"/>
        <v>INDAWH</v>
      </c>
      <c r="J116" s="224">
        <f t="shared" si="32"/>
        <v>2050</v>
      </c>
      <c r="K116" s="81"/>
      <c r="L116" s="333">
        <f ca="1">VLOOKUP($AD116,INDIRECT("'"&amp;$B116&amp;"'!"&amp;"$P$39:$AD$42"),3,FALSE)*0.4</f>
        <v>0.4</v>
      </c>
      <c r="M116" s="199"/>
      <c r="N116" s="81"/>
      <c r="O116" s="723">
        <f t="shared" ca="1" si="123"/>
        <v>0.44700000000000001</v>
      </c>
      <c r="P116" s="723">
        <f t="shared" ca="1" si="124"/>
        <v>0</v>
      </c>
      <c r="Q116" s="81">
        <f t="shared" ca="1" si="125"/>
        <v>0.39319444444444446</v>
      </c>
      <c r="R116" s="300"/>
      <c r="S116" s="300"/>
      <c r="T116" s="300"/>
      <c r="U116" s="300"/>
      <c r="V116" s="199">
        <f t="shared" ref="V116" ca="1" si="132">IF(IF(RIGHT(H114,2)="PH",(1-L116)+$W$2,IF(RIGHT(H114,2)="HT",(1-L116)+$W$1,IF(RIGHT(H114,2)="SH",(1-L116)+$W$3,"")))&gt;0,IF(RIGHT(H114,2)="PH",(1-L116)+$W$2,IF(RIGHT(H114,2)="HT",(1-L116)+$W$1,IF(RIGHT(H114,2)="SH",(1-L116)+$W$3,""))),0)</f>
        <v>0.8</v>
      </c>
      <c r="W116" s="298"/>
      <c r="X116" s="698">
        <f t="shared" ca="1" si="80"/>
        <v>0</v>
      </c>
      <c r="Y116" s="81">
        <f t="shared" ca="1" si="127"/>
        <v>0</v>
      </c>
      <c r="Z116" s="81">
        <f t="shared" ca="1" si="128"/>
        <v>0</v>
      </c>
      <c r="AA116" s="81">
        <f t="shared" ca="1" si="129"/>
        <v>0</v>
      </c>
      <c r="AB116" s="81">
        <f t="shared" ca="1" si="130"/>
        <v>0</v>
      </c>
      <c r="AC116" s="203"/>
      <c r="AD116" s="81">
        <v>2050</v>
      </c>
      <c r="AE116" s="81"/>
      <c r="AF116" s="705"/>
    </row>
    <row r="117" spans="2:32">
      <c r="B117" s="718" t="s">
        <v>1014</v>
      </c>
      <c r="C117" s="226"/>
      <c r="D117" s="212" t="str">
        <f>"IND"&amp;RIGHT(H117,4)&amp;RIGHT(G117,3)&amp;"N"&amp;RIGHT(E117,2)</f>
        <v>INDADPHELCN10</v>
      </c>
      <c r="E117" s="261" t="str">
        <f>"Industrial heating technology "&amp;$AJ$12&amp;" "&amp;RIGHT(H117,2)&amp;" - Direct electric heating - new 10"</f>
        <v>Industrial heating technology Aluminium PH - Direct electric heating - new 10</v>
      </c>
      <c r="F117" s="224" t="s">
        <v>1149</v>
      </c>
      <c r="G117" s="173" t="s">
        <v>499</v>
      </c>
      <c r="H117" s="174" t="str">
        <f>$AI$14</f>
        <v>IADPH</v>
      </c>
      <c r="I117" s="174" t="str">
        <f t="shared" si="22"/>
        <v>INDAWH</v>
      </c>
      <c r="J117" s="224">
        <f t="shared" si="32"/>
        <v>2011</v>
      </c>
      <c r="K117" s="299">
        <v>2020</v>
      </c>
      <c r="L117" s="199">
        <f t="shared" ref="L117:L128" ca="1" si="133">VLOOKUP($AD117,INDIRECT("'"&amp;$B117&amp;"'!"&amp;"$P$39:$AD$42"),3,FALSE)</f>
        <v>1</v>
      </c>
      <c r="M117" s="199"/>
      <c r="N117" s="81">
        <f ca="1">VLOOKUP($AD117,INDIRECT("'"&amp;$B117&amp;"'!"&amp;"$P$39:$AD$42"),5,FALSE)</f>
        <v>12.5</v>
      </c>
      <c r="O117" s="723">
        <f t="shared" ca="1" si="123"/>
        <v>0.44700000000000001</v>
      </c>
      <c r="P117" s="723">
        <f t="shared" ca="1" si="124"/>
        <v>0</v>
      </c>
      <c r="Q117" s="81">
        <f t="shared" ca="1" si="125"/>
        <v>0.37767361111111114</v>
      </c>
      <c r="R117" s="81">
        <v>3.1536000000000002E-2</v>
      </c>
      <c r="S117" s="199">
        <v>0.5</v>
      </c>
      <c r="T117" s="199">
        <f ca="1">HLOOKUP($S$2,INDIRECT("'"&amp;$B117&amp;"'!"&amp;"$P$6:$AC$19"),IF(H117=$AI$13,6,IF(H117=$AI$14,9,14)),FALSE)</f>
        <v>0.05</v>
      </c>
      <c r="U117" s="772"/>
      <c r="V117" s="199">
        <f t="shared" ref="V117" ca="1" si="134">IF(IF(RIGHT(H117,2)="PH",(1-L117)+$W$2,IF(RIGHT(H117,2)="HT",(1-L117)+$W$1,IF(RIGHT(H117,2)="SH",(1-L117)+$W$3,"")))&gt;0,IF(RIGHT(H117,2)="PH",(1-L117)+$W$2,IF(RIGHT(H117,2)="HT",(1-L117)+$W$1,IF(RIGHT(H117,2)="SH",(1-L117)+$W$3,""))),0)</f>
        <v>0.2</v>
      </c>
      <c r="W117" s="298"/>
      <c r="X117" s="698">
        <f t="shared" ca="1" si="80"/>
        <v>0</v>
      </c>
      <c r="Y117" s="81">
        <f t="shared" ca="1" si="127"/>
        <v>0</v>
      </c>
      <c r="Z117" s="81">
        <f t="shared" ca="1" si="128"/>
        <v>0</v>
      </c>
      <c r="AA117" s="81">
        <f t="shared" ca="1" si="129"/>
        <v>0</v>
      </c>
      <c r="AB117" s="81">
        <f t="shared" ca="1" si="130"/>
        <v>0</v>
      </c>
      <c r="AD117" s="81">
        <v>2020</v>
      </c>
      <c r="AE117" s="299"/>
      <c r="AF117" s="220"/>
    </row>
    <row r="118" spans="2:32">
      <c r="B118" s="718" t="s">
        <v>1014</v>
      </c>
      <c r="C118" s="226"/>
      <c r="D118" s="212"/>
      <c r="E118" s="212"/>
      <c r="F118" s="224" t="s">
        <v>1149</v>
      </c>
      <c r="H118" s="174"/>
      <c r="I118" s="174" t="str">
        <f t="shared" si="22"/>
        <v>INDAWH</v>
      </c>
      <c r="J118" s="224">
        <f t="shared" si="32"/>
        <v>2030</v>
      </c>
      <c r="K118" s="81"/>
      <c r="L118" s="199">
        <f t="shared" ca="1" si="133"/>
        <v>1</v>
      </c>
      <c r="M118" s="199"/>
      <c r="N118" s="81"/>
      <c r="O118" s="723">
        <f t="shared" ca="1" si="123"/>
        <v>0.44700000000000001</v>
      </c>
      <c r="P118" s="723">
        <f t="shared" ca="1" si="124"/>
        <v>0</v>
      </c>
      <c r="Q118" s="81">
        <f t="shared" ca="1" si="125"/>
        <v>0.38802083333333331</v>
      </c>
      <c r="R118" s="300"/>
      <c r="S118" s="300"/>
      <c r="T118" s="300"/>
      <c r="U118" s="300"/>
      <c r="V118" s="199">
        <f t="shared" ref="V118" ca="1" si="135">IF(IF(RIGHT(H117,2)="PH",(1-L118)+$W$2,IF(RIGHT(H117,2)="HT",(1-L118)+$W$1,IF(RIGHT(H117,2)="SH",(1-L118)+$W$3,"")))&gt;0,IF(RIGHT(H117,2)="PH",(1-L118)+$W$2,IF(RIGHT(H117,2)="HT",(1-L118)+$W$1,IF(RIGHT(H117,2)="SH",(1-L118)+$W$3,""))),0)</f>
        <v>0.2</v>
      </c>
      <c r="W118" s="298"/>
      <c r="X118" s="698">
        <f t="shared" ca="1" si="80"/>
        <v>0</v>
      </c>
      <c r="Y118" s="81">
        <f t="shared" ca="1" si="127"/>
        <v>0</v>
      </c>
      <c r="Z118" s="81">
        <f t="shared" ca="1" si="128"/>
        <v>0</v>
      </c>
      <c r="AA118" s="81">
        <f t="shared" ca="1" si="129"/>
        <v>0</v>
      </c>
      <c r="AB118" s="81">
        <f t="shared" ca="1" si="130"/>
        <v>0</v>
      </c>
      <c r="AD118" s="81">
        <v>2030</v>
      </c>
      <c r="AE118" s="81"/>
      <c r="AF118" s="220"/>
    </row>
    <row r="119" spans="2:32">
      <c r="B119" s="719" t="s">
        <v>1014</v>
      </c>
      <c r="C119" s="713"/>
      <c r="D119" s="701"/>
      <c r="E119" s="701"/>
      <c r="F119" s="224" t="s">
        <v>1149</v>
      </c>
      <c r="G119" s="203"/>
      <c r="H119" s="702"/>
      <c r="I119" s="702" t="str">
        <f t="shared" si="22"/>
        <v>INDAWH</v>
      </c>
      <c r="J119" s="224">
        <f t="shared" si="32"/>
        <v>2050</v>
      </c>
      <c r="K119" s="81"/>
      <c r="L119" s="199">
        <f t="shared" ca="1" si="133"/>
        <v>1</v>
      </c>
      <c r="M119" s="199"/>
      <c r="N119" s="81"/>
      <c r="O119" s="723">
        <f t="shared" ca="1" si="123"/>
        <v>0.44700000000000001</v>
      </c>
      <c r="P119" s="723">
        <f t="shared" ca="1" si="124"/>
        <v>0</v>
      </c>
      <c r="Q119" s="81">
        <f t="shared" ca="1" si="125"/>
        <v>0.39319444444444446</v>
      </c>
      <c r="R119" s="703"/>
      <c r="S119" s="703"/>
      <c r="T119" s="703"/>
      <c r="U119" s="703"/>
      <c r="V119" s="199">
        <f t="shared" ref="V119" ca="1" si="136">IF(IF(RIGHT(H117,2)="PH",(1-L119)+$W$2,IF(RIGHT(H117,2)="HT",(1-L119)+$W$1,IF(RIGHT(H117,2)="SH",(1-L119)+$W$3,"")))&gt;0,IF(RIGHT(H117,2)="PH",(1-L119)+$W$2,IF(RIGHT(H117,2)="HT",(1-L119)+$W$1,IF(RIGHT(H117,2)="SH",(1-L119)+$W$3,""))),0)</f>
        <v>0.2</v>
      </c>
      <c r="W119" s="704"/>
      <c r="X119" s="698">
        <f t="shared" ca="1" si="80"/>
        <v>0</v>
      </c>
      <c r="Y119" s="81">
        <f t="shared" ca="1" si="127"/>
        <v>0</v>
      </c>
      <c r="Z119" s="81">
        <f t="shared" ca="1" si="128"/>
        <v>0</v>
      </c>
      <c r="AA119" s="81">
        <f t="shared" ca="1" si="129"/>
        <v>0</v>
      </c>
      <c r="AB119" s="81">
        <f t="shared" ca="1" si="130"/>
        <v>0</v>
      </c>
      <c r="AD119" s="81">
        <v>2050</v>
      </c>
      <c r="AE119" s="81"/>
      <c r="AF119" s="220"/>
    </row>
    <row r="120" spans="2:32">
      <c r="B120" s="718" t="s">
        <v>1009</v>
      </c>
      <c r="C120" s="226"/>
      <c r="D120" s="212" t="str">
        <f>"IND"&amp;RIGHT(H120,4)&amp;"DSL"&amp;"N"&amp;RIGHT(E120,1)</f>
        <v>INDADPHDSLN1</v>
      </c>
      <c r="E120" s="261" t="str">
        <f>"Industrial heating technology "&amp;$AJ$12&amp;" "&amp;RIGHT(H120,2)&amp;" - Oil boiler (Steam) - new 1"</f>
        <v>Industrial heating technology Aluminium PH - Oil boiler (Steam) - new 1</v>
      </c>
      <c r="F120" s="224" t="s">
        <v>1149</v>
      </c>
      <c r="G120" s="173" t="s">
        <v>2081</v>
      </c>
      <c r="H120" s="174" t="str">
        <f>$AI$13</f>
        <v>IADPH</v>
      </c>
      <c r="I120" s="174" t="str">
        <f t="shared" si="22"/>
        <v>INDAWH</v>
      </c>
      <c r="J120" s="224">
        <f t="shared" si="32"/>
        <v>2011</v>
      </c>
      <c r="K120" s="299">
        <v>2025</v>
      </c>
      <c r="L120" s="333">
        <f t="shared" ref="L120:L125" ca="1" si="137">VLOOKUP($AD120,INDIRECT("'"&amp;$B120&amp;"'!"&amp;"$P$39:$AD$42"),3,FALSE)*0.4</f>
        <v>0.376</v>
      </c>
      <c r="M120" s="699"/>
      <c r="N120" s="299">
        <f ca="1">VLOOKUP($AD120,INDIRECT("'"&amp;$B120&amp;"'!"&amp;"$P$39:$AD$42"),5,FALSE)</f>
        <v>25</v>
      </c>
      <c r="O120" s="725">
        <f t="shared" ca="1" si="123"/>
        <v>0.40975</v>
      </c>
      <c r="P120" s="725">
        <f t="shared" ca="1" si="124"/>
        <v>1.341E-2</v>
      </c>
      <c r="Q120" s="299">
        <f t="shared" ca="1" si="125"/>
        <v>2.0694444444444446</v>
      </c>
      <c r="R120" s="299">
        <v>3.1536000000000002E-2</v>
      </c>
      <c r="S120" s="699">
        <v>0.5</v>
      </c>
      <c r="T120" s="699">
        <f ca="1">HLOOKUP($T$2,INDIRECT("'"&amp;$B120&amp;"'!"&amp;"$P$6:$AC$19"),IF(H120=$AI$13,6,IF(H120=$AI$14,9,14)),FALSE)</f>
        <v>1</v>
      </c>
      <c r="U120" s="772"/>
      <c r="V120" s="199">
        <f t="shared" ref="V120" ca="1" si="138">IF(IF(RIGHT(H120,2)="PH",(1-L120)+$W$2,IF(RIGHT(H120,2)="HT",(1-L120)+$W$1,IF(RIGHT(H120,2)="SH",(1-L120)+$W$3,"")))&gt;0,IF(RIGHT(H120,2)="PH",(1-L120)+$W$2,IF(RIGHT(H120,2)="HT",(1-L120)+$W$1,IF(RIGHT(H120,2)="SH",(1-L120)+$W$3,""))),0)</f>
        <v>0.82400000000000007</v>
      </c>
      <c r="W120" s="298"/>
      <c r="X120" s="698">
        <f t="shared" ca="1" si="80"/>
        <v>0.5</v>
      </c>
      <c r="Y120" s="299">
        <f t="shared" ca="1" si="127"/>
        <v>25</v>
      </c>
      <c r="Z120" s="299">
        <f t="shared" ca="1" si="128"/>
        <v>0</v>
      </c>
      <c r="AA120" s="299">
        <f t="shared" ca="1" si="129"/>
        <v>0</v>
      </c>
      <c r="AB120" s="299">
        <f t="shared" ca="1" si="130"/>
        <v>0.1</v>
      </c>
      <c r="AD120" s="299">
        <v>2020</v>
      </c>
      <c r="AE120" s="81"/>
      <c r="AF120" s="220"/>
    </row>
    <row r="121" spans="2:32">
      <c r="B121" s="718" t="s">
        <v>1009</v>
      </c>
      <c r="C121" s="226"/>
      <c r="D121" s="212"/>
      <c r="E121" s="212"/>
      <c r="F121" s="224" t="s">
        <v>1149</v>
      </c>
      <c r="H121" s="174"/>
      <c r="I121" s="174" t="str">
        <f t="shared" si="22"/>
        <v>INDAWH</v>
      </c>
      <c r="J121" s="224">
        <f t="shared" si="32"/>
        <v>2030</v>
      </c>
      <c r="K121" s="81"/>
      <c r="L121" s="333">
        <f t="shared" ca="1" si="137"/>
        <v>0.38</v>
      </c>
      <c r="M121" s="199"/>
      <c r="N121" s="81"/>
      <c r="O121" s="723">
        <f t="shared" ca="1" si="123"/>
        <v>0.3469940346244772</v>
      </c>
      <c r="P121" s="723">
        <f t="shared" ca="1" si="124"/>
        <v>1.2664999999999999E-2</v>
      </c>
      <c r="Q121" s="81">
        <f t="shared" ca="1" si="125"/>
        <v>1.8625</v>
      </c>
      <c r="R121" s="300"/>
      <c r="S121" s="300"/>
      <c r="T121" s="300"/>
      <c r="U121" s="300"/>
      <c r="V121" s="199">
        <f t="shared" ref="V121" ca="1" si="139">IF(IF(RIGHT(H120,2)="PH",(1-L121)+$W$2,IF(RIGHT(H120,2)="HT",(1-L121)+$W$1,IF(RIGHT(H120,2)="SH",(1-L121)+$W$3,"")))&gt;0,IF(RIGHT(H120,2)="PH",(1-L121)+$W$2,IF(RIGHT(H120,2)="HT",(1-L121)+$W$1,IF(RIGHT(H120,2)="SH",(1-L121)+$W$3,""))),0)</f>
        <v>0.82000000000000006</v>
      </c>
      <c r="W121" s="298"/>
      <c r="X121" s="698">
        <f t="shared" ca="1" si="80"/>
        <v>0.5</v>
      </c>
      <c r="Y121" s="81">
        <f t="shared" ca="1" si="127"/>
        <v>20</v>
      </c>
      <c r="Z121" s="81">
        <f t="shared" ca="1" si="128"/>
        <v>0</v>
      </c>
      <c r="AA121" s="81">
        <f t="shared" ca="1" si="129"/>
        <v>0</v>
      </c>
      <c r="AB121" s="81">
        <f t="shared" ca="1" si="130"/>
        <v>0.1</v>
      </c>
      <c r="AD121" s="81">
        <v>2030</v>
      </c>
      <c r="AE121" s="81"/>
      <c r="AF121" s="220"/>
    </row>
    <row r="122" spans="2:32">
      <c r="B122" s="718" t="s">
        <v>1009</v>
      </c>
      <c r="C122" s="226"/>
      <c r="D122" s="212"/>
      <c r="E122" s="212"/>
      <c r="F122" s="224" t="s">
        <v>1149</v>
      </c>
      <c r="H122" s="174"/>
      <c r="I122" s="174" t="str">
        <f t="shared" si="22"/>
        <v>INDAWH</v>
      </c>
      <c r="J122" s="224">
        <f t="shared" si="32"/>
        <v>2050</v>
      </c>
      <c r="K122" s="81"/>
      <c r="L122" s="333">
        <f t="shared" ca="1" si="137"/>
        <v>0.38400000000000001</v>
      </c>
      <c r="M122" s="199"/>
      <c r="N122" s="81"/>
      <c r="O122" s="723">
        <f t="shared" ca="1" si="123"/>
        <v>0.32813985758696651</v>
      </c>
      <c r="P122" s="723">
        <f t="shared" ca="1" si="124"/>
        <v>1.1175000000000001E-2</v>
      </c>
      <c r="Q122" s="81">
        <f t="shared" ca="1" si="125"/>
        <v>1.8625</v>
      </c>
      <c r="R122" s="300"/>
      <c r="S122" s="300"/>
      <c r="T122" s="300"/>
      <c r="U122" s="300"/>
      <c r="V122" s="199">
        <f t="shared" ref="V122" ca="1" si="140">IF(IF(RIGHT(H120,2)="PH",(1-L122)+$W$2,IF(RIGHT(H120,2)="HT",(1-L122)+$W$1,IF(RIGHT(H120,2)="SH",(1-L122)+$W$3,"")))&gt;0,IF(RIGHT(H120,2)="PH",(1-L122)+$W$2,IF(RIGHT(H120,2)="HT",(1-L122)+$W$1,IF(RIGHT(H120,2)="SH",(1-L122)+$W$3,""))),0)</f>
        <v>0.81600000000000006</v>
      </c>
      <c r="W122" s="298"/>
      <c r="X122" s="698">
        <f t="shared" ca="1" si="80"/>
        <v>0.5</v>
      </c>
      <c r="Y122" s="81">
        <f t="shared" ca="1" si="127"/>
        <v>15</v>
      </c>
      <c r="Z122" s="81">
        <f t="shared" ca="1" si="128"/>
        <v>0</v>
      </c>
      <c r="AA122" s="81">
        <f t="shared" ca="1" si="129"/>
        <v>0</v>
      </c>
      <c r="AB122" s="81">
        <f t="shared" ca="1" si="130"/>
        <v>0.1</v>
      </c>
      <c r="AD122" s="81">
        <v>2050</v>
      </c>
      <c r="AE122" s="81"/>
      <c r="AF122" s="220"/>
    </row>
    <row r="123" spans="2:32">
      <c r="B123" s="718" t="s">
        <v>1009</v>
      </c>
      <c r="C123" s="226"/>
      <c r="D123" s="212" t="str">
        <f>"IND"&amp;RIGHT(H123,4)&amp;"DSL"&amp;"N"&amp;RIGHT(E123,1)</f>
        <v>INDADPHDSLN1</v>
      </c>
      <c r="E123" s="261" t="str">
        <f>"Industrial heating technology "&amp;$AJ$12&amp;" "&amp;RIGHT(H123,2)&amp;" - Oil boiler (Steam) - new 1"</f>
        <v>Industrial heating technology Aluminium PH - Oil boiler (Steam) - new 1</v>
      </c>
      <c r="F123" s="224" t="s">
        <v>1149</v>
      </c>
      <c r="G123" s="173" t="s">
        <v>2081</v>
      </c>
      <c r="H123" s="174" t="str">
        <f>$AI$14</f>
        <v>IADPH</v>
      </c>
      <c r="I123" s="174" t="str">
        <f t="shared" si="22"/>
        <v>INDAWH</v>
      </c>
      <c r="J123" s="224">
        <f t="shared" si="32"/>
        <v>2011</v>
      </c>
      <c r="K123" s="299">
        <v>2025</v>
      </c>
      <c r="L123" s="333">
        <f t="shared" ca="1" si="137"/>
        <v>0.376</v>
      </c>
      <c r="M123" s="199"/>
      <c r="N123" s="81">
        <f ca="1">VLOOKUP($AD123,INDIRECT("'"&amp;$B123&amp;"'!"&amp;"$P$39:$AD$42"),5,FALSE)</f>
        <v>25</v>
      </c>
      <c r="O123" s="723">
        <f t="shared" ca="1" si="123"/>
        <v>0.40975</v>
      </c>
      <c r="P123" s="723">
        <f t="shared" ca="1" si="124"/>
        <v>1.341E-2</v>
      </c>
      <c r="Q123" s="81">
        <f t="shared" ca="1" si="125"/>
        <v>2.0694444444444446</v>
      </c>
      <c r="R123" s="81">
        <v>3.1536000000000002E-2</v>
      </c>
      <c r="S123" s="199">
        <v>0.5</v>
      </c>
      <c r="T123" s="199">
        <f ca="1">HLOOKUP($T$2,INDIRECT("'"&amp;$B123&amp;"'!"&amp;"$P$6:$AC$19"),IF(H123=$AI$13,6,IF(H123=$AI$14,9,14)),FALSE)</f>
        <v>1</v>
      </c>
      <c r="U123" s="772"/>
      <c r="V123" s="199">
        <f t="shared" ref="V123" ca="1" si="141">IF(IF(RIGHT(H123,2)="PH",(1-L123)+$W$2,IF(RIGHT(H123,2)="HT",(1-L123)+$W$1,IF(RIGHT(H123,2)="SH",(1-L123)+$W$3,"")))&gt;0,IF(RIGHT(H123,2)="PH",(1-L123)+$W$2,IF(RIGHT(H123,2)="HT",(1-L123)+$W$1,IF(RIGHT(H123,2)="SH",(1-L123)+$W$3,""))),0)</f>
        <v>0.82400000000000007</v>
      </c>
      <c r="W123" s="298"/>
      <c r="X123" s="698">
        <f t="shared" ca="1" si="80"/>
        <v>0.5</v>
      </c>
      <c r="Y123" s="81">
        <f t="shared" ca="1" si="127"/>
        <v>25</v>
      </c>
      <c r="Z123" s="81">
        <f t="shared" ca="1" si="128"/>
        <v>0</v>
      </c>
      <c r="AA123" s="81">
        <f t="shared" ca="1" si="129"/>
        <v>0</v>
      </c>
      <c r="AB123" s="81">
        <f t="shared" ca="1" si="130"/>
        <v>0.1</v>
      </c>
      <c r="AD123" s="81">
        <v>2020</v>
      </c>
      <c r="AE123" s="81"/>
      <c r="AF123" s="220"/>
    </row>
    <row r="124" spans="2:32">
      <c r="B124" s="718" t="s">
        <v>1009</v>
      </c>
      <c r="C124" s="226"/>
      <c r="D124" s="212"/>
      <c r="E124" s="212"/>
      <c r="F124" s="224" t="s">
        <v>1149</v>
      </c>
      <c r="H124" s="174"/>
      <c r="I124" s="174" t="str">
        <f t="shared" si="22"/>
        <v>INDAWH</v>
      </c>
      <c r="J124" s="224">
        <f t="shared" si="32"/>
        <v>2030</v>
      </c>
      <c r="K124" s="81"/>
      <c r="L124" s="333">
        <f t="shared" ca="1" si="137"/>
        <v>0.38</v>
      </c>
      <c r="M124" s="199"/>
      <c r="N124" s="81"/>
      <c r="O124" s="723">
        <f t="shared" ca="1" si="123"/>
        <v>0.3469940346244772</v>
      </c>
      <c r="P124" s="723">
        <f t="shared" ca="1" si="124"/>
        <v>1.2664999999999999E-2</v>
      </c>
      <c r="Q124" s="81">
        <f t="shared" ca="1" si="125"/>
        <v>1.8625</v>
      </c>
      <c r="R124" s="300"/>
      <c r="S124" s="300"/>
      <c r="T124" s="300"/>
      <c r="U124" s="300"/>
      <c r="V124" s="199">
        <f t="shared" ref="V124" ca="1" si="142">IF(IF(RIGHT(H123,2)="PH",(1-L124)+$W$2,IF(RIGHT(H123,2)="HT",(1-L124)+$W$1,IF(RIGHT(H123,2)="SH",(1-L124)+$W$3,"")))&gt;0,IF(RIGHT(H123,2)="PH",(1-L124)+$W$2,IF(RIGHT(H123,2)="HT",(1-L124)+$W$1,IF(RIGHT(H123,2)="SH",(1-L124)+$W$3,""))),0)</f>
        <v>0.82000000000000006</v>
      </c>
      <c r="W124" s="298"/>
      <c r="X124" s="698">
        <f t="shared" ca="1" si="80"/>
        <v>0.5</v>
      </c>
      <c r="Y124" s="81">
        <f t="shared" ca="1" si="127"/>
        <v>20</v>
      </c>
      <c r="Z124" s="81">
        <f t="shared" ca="1" si="128"/>
        <v>0</v>
      </c>
      <c r="AA124" s="81">
        <f t="shared" ca="1" si="129"/>
        <v>0</v>
      </c>
      <c r="AB124" s="81">
        <f t="shared" ca="1" si="130"/>
        <v>0.1</v>
      </c>
      <c r="AD124" s="81">
        <v>2030</v>
      </c>
      <c r="AE124" s="81"/>
      <c r="AF124" s="220"/>
    </row>
    <row r="125" spans="2:32">
      <c r="B125" s="718" t="s">
        <v>1009</v>
      </c>
      <c r="C125" s="226"/>
      <c r="D125" s="212"/>
      <c r="E125" s="212"/>
      <c r="F125" s="224" t="s">
        <v>1149</v>
      </c>
      <c r="H125" s="174"/>
      <c r="I125" s="174" t="str">
        <f t="shared" si="22"/>
        <v>INDAWH</v>
      </c>
      <c r="J125" s="224">
        <f t="shared" si="32"/>
        <v>2050</v>
      </c>
      <c r="K125" s="81"/>
      <c r="L125" s="333">
        <f t="shared" ca="1" si="137"/>
        <v>0.38400000000000001</v>
      </c>
      <c r="M125" s="199"/>
      <c r="N125" s="81"/>
      <c r="O125" s="723">
        <f t="shared" ca="1" si="123"/>
        <v>0.32813985758696651</v>
      </c>
      <c r="P125" s="723">
        <f t="shared" ca="1" si="124"/>
        <v>1.1175000000000001E-2</v>
      </c>
      <c r="Q125" s="81">
        <f t="shared" ca="1" si="125"/>
        <v>1.8625</v>
      </c>
      <c r="R125" s="300"/>
      <c r="S125" s="300"/>
      <c r="T125" s="300"/>
      <c r="U125" s="300"/>
      <c r="V125" s="199">
        <f t="shared" ref="V125" ca="1" si="143">IF(IF(RIGHT(H123,2)="PH",(1-L125)+$W$2,IF(RIGHT(H123,2)="HT",(1-L125)+$W$1,IF(RIGHT(H123,2)="SH",(1-L125)+$W$3,"")))&gt;0,IF(RIGHT(H123,2)="PH",(1-L125)+$W$2,IF(RIGHT(H123,2)="HT",(1-L125)+$W$1,IF(RIGHT(H123,2)="SH",(1-L125)+$W$3,""))),0)</f>
        <v>0.81600000000000006</v>
      </c>
      <c r="W125" s="298"/>
      <c r="X125" s="698">
        <f t="shared" ca="1" si="80"/>
        <v>0.5</v>
      </c>
      <c r="Y125" s="81">
        <f t="shared" ca="1" si="127"/>
        <v>15</v>
      </c>
      <c r="Z125" s="81">
        <f t="shared" ca="1" si="128"/>
        <v>0</v>
      </c>
      <c r="AA125" s="81">
        <f t="shared" ca="1" si="129"/>
        <v>0</v>
      </c>
      <c r="AB125" s="81">
        <f t="shared" ca="1" si="130"/>
        <v>0.1</v>
      </c>
      <c r="AC125" s="203"/>
      <c r="AD125" s="81">
        <v>2050</v>
      </c>
      <c r="AE125" s="81"/>
      <c r="AF125" s="705"/>
    </row>
    <row r="126" spans="2:32">
      <c r="B126" s="718" t="s">
        <v>1009</v>
      </c>
      <c r="C126" s="226"/>
      <c r="D126" s="212" t="str">
        <f>"IND"&amp;RIGHT(H126,4)&amp;"DSL"&amp;"N"&amp;RIGHT(E126,1)</f>
        <v>INDADSHDSLN1</v>
      </c>
      <c r="E126" s="261" t="str">
        <f>"Industrial heating technology "&amp;$AJ$12&amp;" "&amp;RIGHT(H126,2)&amp;" - Oil boiler (Steam) - new 1"</f>
        <v>Industrial heating technology Aluminium SH - Oil boiler (Steam) - new 1</v>
      </c>
      <c r="F126" s="224" t="s">
        <v>1149</v>
      </c>
      <c r="G126" s="173" t="s">
        <v>2081</v>
      </c>
      <c r="H126" s="174" t="str">
        <f>$AI$15</f>
        <v>IADSH</v>
      </c>
      <c r="I126" s="174" t="str">
        <f t="shared" si="22"/>
        <v>INDAWH</v>
      </c>
      <c r="J126" s="224">
        <f t="shared" si="32"/>
        <v>2011</v>
      </c>
      <c r="K126" s="299">
        <v>2025</v>
      </c>
      <c r="L126" s="199">
        <f t="shared" ca="1" si="133"/>
        <v>0.94</v>
      </c>
      <c r="M126" s="199"/>
      <c r="N126" s="81">
        <f ca="1">VLOOKUP($AD126,INDIRECT("'"&amp;$B126&amp;"'!"&amp;"$P$39:$AD$42"),5,FALSE)</f>
        <v>25</v>
      </c>
      <c r="O126" s="723">
        <f t="shared" ca="1" si="123"/>
        <v>0.40975</v>
      </c>
      <c r="P126" s="723">
        <f t="shared" ca="1" si="124"/>
        <v>1.341E-2</v>
      </c>
      <c r="Q126" s="81">
        <f t="shared" ca="1" si="125"/>
        <v>2.0694444444444446</v>
      </c>
      <c r="R126" s="81">
        <v>3.1536000000000002E-2</v>
      </c>
      <c r="S126" s="199">
        <v>0.5</v>
      </c>
      <c r="T126" s="199">
        <f ca="1">HLOOKUP($T$2,INDIRECT("'"&amp;$B126&amp;"'!"&amp;"$P$6:$AC$19"),IF(H126=$AI$13,6,IF(H126=$AI$14,9,14)),FALSE)</f>
        <v>1</v>
      </c>
      <c r="U126" s="772"/>
      <c r="V126" s="199">
        <f t="shared" ref="V126" ca="1" si="144">IF(IF(RIGHT(H126,2)="PH",(1-L126)+$W$2,IF(RIGHT(H126,2)="HT",(1-L126)+$W$1,IF(RIGHT(H126,2)="SH",(1-L126)+$W$3,"")))&gt;0,IF(RIGHT(H126,2)="PH",(1-L126)+$W$2,IF(RIGHT(H126,2)="HT",(1-L126)+$W$1,IF(RIGHT(H126,2)="SH",(1-L126)+$W$3,""))),0)</f>
        <v>6.0000000000000053E-2</v>
      </c>
      <c r="W126" s="298"/>
      <c r="X126" s="698">
        <f t="shared" ca="1" si="80"/>
        <v>0.5</v>
      </c>
      <c r="Y126" s="81">
        <f t="shared" ca="1" si="127"/>
        <v>25</v>
      </c>
      <c r="Z126" s="81">
        <f t="shared" ca="1" si="128"/>
        <v>0</v>
      </c>
      <c r="AA126" s="81">
        <f t="shared" ca="1" si="129"/>
        <v>0</v>
      </c>
      <c r="AB126" s="81">
        <f t="shared" ca="1" si="130"/>
        <v>0.1</v>
      </c>
      <c r="AC126" s="296"/>
      <c r="AD126" s="81">
        <v>2020</v>
      </c>
      <c r="AE126" s="81"/>
      <c r="AF126" s="710"/>
    </row>
    <row r="127" spans="2:32">
      <c r="B127" s="718" t="s">
        <v>1009</v>
      </c>
      <c r="C127" s="226"/>
      <c r="D127" s="212"/>
      <c r="E127" s="212"/>
      <c r="F127" s="224" t="s">
        <v>1149</v>
      </c>
      <c r="H127" s="174"/>
      <c r="I127" s="174" t="str">
        <f t="shared" ref="I127:I182" si="145">$AI$20</f>
        <v>INDAWH</v>
      </c>
      <c r="J127" s="224">
        <f t="shared" si="32"/>
        <v>2030</v>
      </c>
      <c r="K127" s="81"/>
      <c r="L127" s="199">
        <f t="shared" ca="1" si="133"/>
        <v>0.95</v>
      </c>
      <c r="M127" s="199"/>
      <c r="N127" s="81"/>
      <c r="O127" s="723">
        <f t="shared" ca="1" si="123"/>
        <v>0.3469940346244772</v>
      </c>
      <c r="P127" s="723">
        <f t="shared" ca="1" si="124"/>
        <v>1.2664999999999999E-2</v>
      </c>
      <c r="Q127" s="81">
        <f t="shared" ca="1" si="125"/>
        <v>1.8625</v>
      </c>
      <c r="R127" s="300"/>
      <c r="S127" s="300"/>
      <c r="T127" s="300"/>
      <c r="U127" s="300"/>
      <c r="V127" s="199">
        <f t="shared" ref="V127" ca="1" si="146">IF(IF(RIGHT(H126,2)="PH",(1-L127)+$W$2,IF(RIGHT(H126,2)="HT",(1-L127)+$W$1,IF(RIGHT(H126,2)="SH",(1-L127)+$W$3,"")))&gt;0,IF(RIGHT(H126,2)="PH",(1-L127)+$W$2,IF(RIGHT(H126,2)="HT",(1-L127)+$W$1,IF(RIGHT(H126,2)="SH",(1-L127)+$W$3,""))),0)</f>
        <v>5.0000000000000044E-2</v>
      </c>
      <c r="W127" s="298"/>
      <c r="X127" s="698">
        <f t="shared" ref="X127:X158" ca="1" si="147">IF(VLOOKUP($AD127,INDIRECT("'"&amp;$B127&amp;"'!"&amp;"$P$39:$AD$42"),11,FALSE)="Cf. the utilized electricity",0,VLOOKUP($AD127,INDIRECT("'"&amp;$B127&amp;"'!"&amp;"$P$39:$AD$42"),11,FALSE))</f>
        <v>0.5</v>
      </c>
      <c r="Y127" s="81">
        <f t="shared" ca="1" si="127"/>
        <v>20</v>
      </c>
      <c r="Z127" s="81">
        <f t="shared" ca="1" si="128"/>
        <v>0</v>
      </c>
      <c r="AA127" s="81">
        <f t="shared" ca="1" si="129"/>
        <v>0</v>
      </c>
      <c r="AB127" s="81">
        <f t="shared" ca="1" si="130"/>
        <v>0.1</v>
      </c>
      <c r="AC127" s="55"/>
      <c r="AD127" s="81">
        <v>2030</v>
      </c>
      <c r="AE127" s="81"/>
      <c r="AF127" s="700"/>
    </row>
    <row r="128" spans="2:32">
      <c r="B128" s="719" t="s">
        <v>1009</v>
      </c>
      <c r="C128" s="713"/>
      <c r="D128" s="701"/>
      <c r="E128" s="701"/>
      <c r="F128" s="224" t="s">
        <v>1149</v>
      </c>
      <c r="G128" s="203"/>
      <c r="H128" s="702"/>
      <c r="I128" s="702" t="str">
        <f t="shared" si="145"/>
        <v>INDAWH</v>
      </c>
      <c r="J128" s="224">
        <f t="shared" ref="J128:J186" si="148">IF(AD128=2020,2011,AD128)</f>
        <v>2050</v>
      </c>
      <c r="K128" s="81"/>
      <c r="L128" s="199">
        <f t="shared" ca="1" si="133"/>
        <v>0.96</v>
      </c>
      <c r="M128" s="199"/>
      <c r="N128" s="81"/>
      <c r="O128" s="723">
        <f t="shared" ca="1" si="123"/>
        <v>0.32813985758696651</v>
      </c>
      <c r="P128" s="723">
        <f t="shared" ca="1" si="124"/>
        <v>1.1175000000000001E-2</v>
      </c>
      <c r="Q128" s="81">
        <f t="shared" ca="1" si="125"/>
        <v>1.8625</v>
      </c>
      <c r="R128" s="703"/>
      <c r="S128" s="703"/>
      <c r="T128" s="703"/>
      <c r="U128" s="703"/>
      <c r="V128" s="199">
        <f t="shared" ref="V128" ca="1" si="149">IF(IF(RIGHT(H126,2)="PH",(1-L128)+$W$2,IF(RIGHT(H126,2)="HT",(1-L128)+$W$1,IF(RIGHT(H126,2)="SH",(1-L128)+$W$3,"")))&gt;0,IF(RIGHT(H126,2)="PH",(1-L128)+$W$2,IF(RIGHT(H126,2)="HT",(1-L128)+$W$1,IF(RIGHT(H126,2)="SH",(1-L128)+$W$3,""))),0)</f>
        <v>4.0000000000000036E-2</v>
      </c>
      <c r="W128" s="704"/>
      <c r="X128" s="698">
        <f t="shared" ca="1" si="147"/>
        <v>0.5</v>
      </c>
      <c r="Y128" s="81">
        <f t="shared" ca="1" si="127"/>
        <v>15</v>
      </c>
      <c r="Z128" s="81">
        <f t="shared" ca="1" si="128"/>
        <v>0</v>
      </c>
      <c r="AA128" s="81">
        <f t="shared" ca="1" si="129"/>
        <v>0</v>
      </c>
      <c r="AB128" s="81">
        <f t="shared" ca="1" si="130"/>
        <v>0.1</v>
      </c>
      <c r="AC128" s="55"/>
      <c r="AD128" s="81">
        <v>2050</v>
      </c>
      <c r="AE128" s="81"/>
      <c r="AF128" s="700"/>
    </row>
    <row r="129" spans="2:32">
      <c r="B129" s="718" t="s">
        <v>1009</v>
      </c>
      <c r="C129" s="226"/>
      <c r="D129" s="212" t="str">
        <f>"IND"&amp;RIGHT(H129,4)&amp;"DSL"&amp;"N"&amp;RIGHT(E129,1)</f>
        <v>INDADPHDSLN2</v>
      </c>
      <c r="E129" s="707" t="str">
        <f>"Industrial heating technology "&amp;$AJ$12&amp;" "&amp;RIGHT(H129,2)&amp;" - Oil boiler (Steam - condensing) - new 2"</f>
        <v>Industrial heating technology Aluminium PH - Oil boiler (Steam - condensing) - new 2</v>
      </c>
      <c r="F129" s="224" t="s">
        <v>1149</v>
      </c>
      <c r="G129" s="173" t="s">
        <v>2081</v>
      </c>
      <c r="H129" s="708" t="str">
        <f>$AI$14</f>
        <v>IADPH</v>
      </c>
      <c r="I129" s="708" t="str">
        <f t="shared" si="145"/>
        <v>INDAWH</v>
      </c>
      <c r="J129" s="224">
        <f t="shared" si="148"/>
        <v>2011</v>
      </c>
      <c r="K129" s="299">
        <v>2025</v>
      </c>
      <c r="L129" s="333">
        <f ca="1">VLOOKUP($AD129,INDIRECT("'"&amp;$B129&amp;"'!"&amp;"$P$118:$AD$121"),3,FALSE)*0.4</f>
        <v>0.38</v>
      </c>
      <c r="M129" s="199"/>
      <c r="N129" s="81">
        <f ca="1">VLOOKUP($AD129,INDIRECT("'"&amp;$B129&amp;"'!"&amp;"$P$118:$AD$121"),5,FALSE)</f>
        <v>25</v>
      </c>
      <c r="O129" s="723">
        <f t="shared" ref="O129:O134" ca="1" si="150">VLOOKUP($AD129,INDIRECT("'"&amp;$B129&amp;"'!"&amp;"$P$118:$AD$121"),6,FALSE)/1000</f>
        <v>0.32780000000000004</v>
      </c>
      <c r="P129" s="723">
        <f t="shared" ref="P129:P134" ca="1" si="151">VLOOKUP($AD129,INDIRECT("'"&amp;$B129&amp;"'!"&amp;"$P$118:$AD$121"),7,FALSE)/1000</f>
        <v>1.341E-2</v>
      </c>
      <c r="Q129" s="81">
        <f t="shared" ref="Q129:Q134" ca="1" si="152">VLOOKUP($AD129,INDIRECT("'"&amp;$B129&amp;"'!"&amp;"$P$118:$AD$121"),8,FALSE)</f>
        <v>2.0694444444444446</v>
      </c>
      <c r="R129" s="81">
        <v>3.1536000000000002E-2</v>
      </c>
      <c r="S129" s="199">
        <v>0.5</v>
      </c>
      <c r="T129" s="199">
        <f ca="1">HLOOKUP($T$2,INDIRECT("'"&amp;$B129&amp;"'!"&amp;"$P$85:$AC$98"),IF(H129=$AI$13,6,IF(H129=$AI$14,9,14)),FALSE)</f>
        <v>0</v>
      </c>
      <c r="U129" s="773"/>
      <c r="V129" s="199">
        <f t="shared" ref="V129" ca="1" si="153">IF(IF(RIGHT(H129,2)="PH",(1-L129)+$W$2,IF(RIGHT(H129,2)="HT",(1-L129)+$W$1,IF(RIGHT(H129,2)="SH",(1-L129)+$W$3,"")))&gt;0,IF(RIGHT(H129,2)="PH",(1-L129)+$W$2,IF(RIGHT(H129,2)="HT",(1-L129)+$W$1,IF(RIGHT(H129,2)="SH",(1-L129)+$W$3,""))),0)</f>
        <v>0.82000000000000006</v>
      </c>
      <c r="W129" s="709"/>
      <c r="X129" s="698">
        <f t="shared" ca="1" si="147"/>
        <v>0.5</v>
      </c>
      <c r="Y129" s="698">
        <f t="shared" ref="Y129:Y134" ca="1" si="154">VLOOKUP($AD129,INDIRECT("'"&amp;$B129&amp;"'!"&amp;"$P$118:$AD$121"),12,FALSE)</f>
        <v>25</v>
      </c>
      <c r="Z129" s="698">
        <f t="shared" ref="Z129:Z134" ca="1" si="155">VLOOKUP($AD129,INDIRECT("'"&amp;$B129&amp;"'!"&amp;"$P$118:$AD$121"),13,FALSE)</f>
        <v>0</v>
      </c>
      <c r="AA129" s="698">
        <f t="shared" ref="AA129:AA134" ca="1" si="156">VLOOKUP($AD129,INDIRECT("'"&amp;$B129&amp;"'!"&amp;"$P$118:$AD$121"),14,FALSE)</f>
        <v>0</v>
      </c>
      <c r="AB129" s="698">
        <f t="shared" ref="AB129:AB134" ca="1" si="157">VLOOKUP($AD129,INDIRECT("'"&amp;$B129&amp;"'!"&amp;"$P$118:$AD$121"),15,FALSE)</f>
        <v>0.1</v>
      </c>
      <c r="AC129" s="55"/>
      <c r="AD129" s="81">
        <v>2020</v>
      </c>
      <c r="AE129" s="81"/>
      <c r="AF129" s="700"/>
    </row>
    <row r="130" spans="2:32">
      <c r="B130" s="718" t="s">
        <v>1009</v>
      </c>
      <c r="C130" s="226"/>
      <c r="D130" s="212"/>
      <c r="E130" s="261"/>
      <c r="F130" s="224" t="s">
        <v>1149</v>
      </c>
      <c r="G130" s="55"/>
      <c r="H130" s="174"/>
      <c r="I130" s="174" t="str">
        <f t="shared" si="145"/>
        <v>INDAWH</v>
      </c>
      <c r="J130" s="224">
        <f t="shared" si="148"/>
        <v>2030</v>
      </c>
      <c r="K130" s="81"/>
      <c r="L130" s="333">
        <f ca="1">VLOOKUP($AD130,INDIRECT("'"&amp;$B130&amp;"'!"&amp;"$P$118:$AD$121"),3,FALSE)*0.4</f>
        <v>0.38400000000000001</v>
      </c>
      <c r="M130" s="199"/>
      <c r="N130" s="81"/>
      <c r="O130" s="723">
        <f t="shared" ca="1" si="150"/>
        <v>0.27759522769958173</v>
      </c>
      <c r="P130" s="723">
        <f t="shared" ca="1" si="151"/>
        <v>1.2664999999999999E-2</v>
      </c>
      <c r="Q130" s="81">
        <f t="shared" ca="1" si="152"/>
        <v>1.8625</v>
      </c>
      <c r="R130" s="300"/>
      <c r="S130" s="300"/>
      <c r="T130" s="300"/>
      <c r="U130" s="300"/>
      <c r="V130" s="199">
        <f t="shared" ref="V130" ca="1" si="158">IF(IF(RIGHT(H129,2)="PH",(1-L130)+$W$2,IF(RIGHT(H129,2)="HT",(1-L130)+$W$1,IF(RIGHT(H129,2)="SH",(1-L130)+$W$3,"")))&gt;0,IF(RIGHT(H129,2)="PH",(1-L130)+$W$2,IF(RIGHT(H129,2)="HT",(1-L130)+$W$1,IF(RIGHT(H129,2)="SH",(1-L130)+$W$3,""))),0)</f>
        <v>0.81600000000000006</v>
      </c>
      <c r="W130" s="298"/>
      <c r="X130" s="698">
        <f t="shared" ca="1" si="147"/>
        <v>0.5</v>
      </c>
      <c r="Y130" s="698">
        <f t="shared" ca="1" si="154"/>
        <v>20</v>
      </c>
      <c r="Z130" s="698">
        <f t="shared" ca="1" si="155"/>
        <v>0</v>
      </c>
      <c r="AA130" s="698">
        <f t="shared" ca="1" si="156"/>
        <v>0</v>
      </c>
      <c r="AB130" s="698">
        <f t="shared" ca="1" si="157"/>
        <v>0.1</v>
      </c>
      <c r="AC130" s="55"/>
      <c r="AD130" s="81">
        <v>2030</v>
      </c>
      <c r="AE130" s="81"/>
      <c r="AF130" s="700"/>
    </row>
    <row r="131" spans="2:32">
      <c r="B131" s="718" t="s">
        <v>1009</v>
      </c>
      <c r="C131" s="226"/>
      <c r="E131" s="261"/>
      <c r="F131" s="224" t="s">
        <v>1149</v>
      </c>
      <c r="G131" s="55"/>
      <c r="H131" s="174"/>
      <c r="I131" s="174" t="str">
        <f t="shared" si="145"/>
        <v>INDAWH</v>
      </c>
      <c r="J131" s="224">
        <f t="shared" si="148"/>
        <v>2050</v>
      </c>
      <c r="K131" s="81"/>
      <c r="L131" s="333">
        <f ca="1">VLOOKUP($AD131,INDIRECT("'"&amp;$B131&amp;"'!"&amp;"$P$118:$AD$121"),3,FALSE)*0.4</f>
        <v>0.38800000000000001</v>
      </c>
      <c r="M131" s="199"/>
      <c r="N131" s="81"/>
      <c r="O131" s="723">
        <f t="shared" ca="1" si="150"/>
        <v>0.26251188606957326</v>
      </c>
      <c r="P131" s="723">
        <f t="shared" ca="1" si="151"/>
        <v>1.1175000000000001E-2</v>
      </c>
      <c r="Q131" s="81">
        <f t="shared" ca="1" si="152"/>
        <v>1.8625</v>
      </c>
      <c r="R131" s="300"/>
      <c r="S131" s="300"/>
      <c r="T131" s="300"/>
      <c r="U131" s="300"/>
      <c r="V131" s="199">
        <f t="shared" ref="V131" ca="1" si="159">IF(IF(RIGHT(H129,2)="PH",(1-L131)+$W$2,IF(RIGHT(H129,2)="HT",(1-L131)+$W$1,IF(RIGHT(H129,2)="SH",(1-L131)+$W$3,"")))&gt;0,IF(RIGHT(H129,2)="PH",(1-L131)+$W$2,IF(RIGHT(H129,2)="HT",(1-L131)+$W$1,IF(RIGHT(H129,2)="SH",(1-L131)+$W$3,""))),0)</f>
        <v>0.81200000000000006</v>
      </c>
      <c r="W131" s="298"/>
      <c r="X131" s="698">
        <f t="shared" ca="1" si="147"/>
        <v>0.5</v>
      </c>
      <c r="Y131" s="698">
        <f t="shared" ca="1" si="154"/>
        <v>15</v>
      </c>
      <c r="Z131" s="698">
        <f t="shared" ca="1" si="155"/>
        <v>0</v>
      </c>
      <c r="AA131" s="698">
        <f t="shared" ca="1" si="156"/>
        <v>0</v>
      </c>
      <c r="AB131" s="698">
        <f t="shared" ca="1" si="157"/>
        <v>0.1</v>
      </c>
      <c r="AC131" s="203"/>
      <c r="AD131" s="81">
        <v>2050</v>
      </c>
      <c r="AE131" s="81"/>
      <c r="AF131" s="705"/>
    </row>
    <row r="132" spans="2:32">
      <c r="B132" s="718" t="s">
        <v>1009</v>
      </c>
      <c r="C132" s="226"/>
      <c r="D132" s="212" t="str">
        <f>"IND"&amp;RIGHT(H132,4)&amp;"DSL"&amp;"N"&amp;RIGHT(E132,1)</f>
        <v>INDADSHDSLN2</v>
      </c>
      <c r="E132" s="261" t="str">
        <f>"Industrial heating technology "&amp;$AJ$12&amp;" "&amp;RIGHT(H132,2)&amp;" - Oil boiler (Steam - condensing) - new 2"</f>
        <v>Industrial heating technology Aluminium SH - Oil boiler (Steam - condensing) - new 2</v>
      </c>
      <c r="F132" s="224" t="s">
        <v>1149</v>
      </c>
      <c r="G132" s="173" t="s">
        <v>2081</v>
      </c>
      <c r="H132" s="174" t="str">
        <f>$AI$15</f>
        <v>IADSH</v>
      </c>
      <c r="I132" s="174" t="str">
        <f t="shared" si="145"/>
        <v>INDAWH</v>
      </c>
      <c r="J132" s="224">
        <f t="shared" si="148"/>
        <v>2011</v>
      </c>
      <c r="K132" s="299">
        <v>2025</v>
      </c>
      <c r="L132" s="199">
        <f t="shared" ref="L132:L134" ca="1" si="160">VLOOKUP($AD132,INDIRECT("'"&amp;$B132&amp;"'!"&amp;"$P$118:$AD$121"),3,FALSE)</f>
        <v>0.95</v>
      </c>
      <c r="M132" s="199"/>
      <c r="N132" s="81">
        <f ca="1">VLOOKUP($AD132,INDIRECT("'"&amp;$B132&amp;"'!"&amp;"$P$118:$AD$121"),5,FALSE)</f>
        <v>25</v>
      </c>
      <c r="O132" s="723">
        <f t="shared" ca="1" si="150"/>
        <v>0.32780000000000004</v>
      </c>
      <c r="P132" s="723">
        <f t="shared" ca="1" si="151"/>
        <v>1.341E-2</v>
      </c>
      <c r="Q132" s="81">
        <f t="shared" ca="1" si="152"/>
        <v>2.0694444444444446</v>
      </c>
      <c r="R132" s="81">
        <v>3.1536000000000002E-2</v>
      </c>
      <c r="S132" s="199">
        <v>0.5</v>
      </c>
      <c r="T132" s="199">
        <f ca="1">HLOOKUP($T$2,INDIRECT("'"&amp;$B132&amp;"'!"&amp;"$P$85:$AC$98"),IF(H132=$AI$13,6,IF(H132=$AI$14,9,14)),FALSE)</f>
        <v>1</v>
      </c>
      <c r="U132" s="772"/>
      <c r="V132" s="199">
        <f t="shared" ref="V132" ca="1" si="161">IF(IF(RIGHT(H132,2)="PH",(1-L132)+$W$2,IF(RIGHT(H132,2)="HT",(1-L132)+$W$1,IF(RIGHT(H132,2)="SH",(1-L132)+$W$3,"")))&gt;0,IF(RIGHT(H132,2)="PH",(1-L132)+$W$2,IF(RIGHT(H132,2)="HT",(1-L132)+$W$1,IF(RIGHT(H132,2)="SH",(1-L132)+$W$3,""))),0)</f>
        <v>5.0000000000000044E-2</v>
      </c>
      <c r="W132" s="298"/>
      <c r="X132" s="698">
        <f t="shared" ca="1" si="147"/>
        <v>0.5</v>
      </c>
      <c r="Y132" s="698">
        <f t="shared" ca="1" si="154"/>
        <v>25</v>
      </c>
      <c r="Z132" s="698">
        <f t="shared" ca="1" si="155"/>
        <v>0</v>
      </c>
      <c r="AA132" s="698">
        <f t="shared" ca="1" si="156"/>
        <v>0</v>
      </c>
      <c r="AB132" s="698">
        <f t="shared" ca="1" si="157"/>
        <v>0.1</v>
      </c>
      <c r="AD132" s="81">
        <v>2020</v>
      </c>
      <c r="AE132" s="299"/>
      <c r="AF132" s="220"/>
    </row>
    <row r="133" spans="2:32">
      <c r="B133" s="718" t="s">
        <v>1009</v>
      </c>
      <c r="C133" s="226"/>
      <c r="E133" s="261"/>
      <c r="F133" s="224" t="s">
        <v>1149</v>
      </c>
      <c r="G133" s="55"/>
      <c r="H133" s="174"/>
      <c r="I133" s="174" t="str">
        <f t="shared" si="145"/>
        <v>INDAWH</v>
      </c>
      <c r="J133" s="224">
        <f t="shared" si="148"/>
        <v>2030</v>
      </c>
      <c r="K133" s="81"/>
      <c r="L133" s="199">
        <f t="shared" ca="1" si="160"/>
        <v>0.96</v>
      </c>
      <c r="M133" s="199"/>
      <c r="N133" s="81"/>
      <c r="O133" s="723">
        <f t="shared" ca="1" si="150"/>
        <v>0.27759522769958173</v>
      </c>
      <c r="P133" s="723">
        <f t="shared" ca="1" si="151"/>
        <v>1.2664999999999999E-2</v>
      </c>
      <c r="Q133" s="81">
        <f t="shared" ca="1" si="152"/>
        <v>1.8625</v>
      </c>
      <c r="R133" s="300"/>
      <c r="S133" s="300"/>
      <c r="T133" s="300"/>
      <c r="U133" s="300"/>
      <c r="V133" s="199">
        <f t="shared" ref="V133" ca="1" si="162">IF(IF(RIGHT(H132,2)="PH",(1-L133)+$W$2,IF(RIGHT(H132,2)="HT",(1-L133)+$W$1,IF(RIGHT(H132,2)="SH",(1-L133)+$W$3,"")))&gt;0,IF(RIGHT(H132,2)="PH",(1-L133)+$W$2,IF(RIGHT(H132,2)="HT",(1-L133)+$W$1,IF(RIGHT(H132,2)="SH",(1-L133)+$W$3,""))),0)</f>
        <v>4.0000000000000036E-2</v>
      </c>
      <c r="W133" s="298"/>
      <c r="X133" s="698">
        <f t="shared" ca="1" si="147"/>
        <v>0.5</v>
      </c>
      <c r="Y133" s="698">
        <f t="shared" ca="1" si="154"/>
        <v>20</v>
      </c>
      <c r="Z133" s="698">
        <f t="shared" ca="1" si="155"/>
        <v>0</v>
      </c>
      <c r="AA133" s="698">
        <f t="shared" ca="1" si="156"/>
        <v>0</v>
      </c>
      <c r="AB133" s="698">
        <f t="shared" ca="1" si="157"/>
        <v>0.1</v>
      </c>
      <c r="AD133" s="81">
        <v>2030</v>
      </c>
      <c r="AE133" s="81"/>
      <c r="AF133" s="220"/>
    </row>
    <row r="134" spans="2:32">
      <c r="B134" s="719" t="s">
        <v>1009</v>
      </c>
      <c r="C134" s="713"/>
      <c r="D134" s="701"/>
      <c r="E134" s="701"/>
      <c r="F134" s="224" t="s">
        <v>1149</v>
      </c>
      <c r="G134" s="203"/>
      <c r="H134" s="702"/>
      <c r="I134" s="702" t="str">
        <f t="shared" si="145"/>
        <v>INDAWH</v>
      </c>
      <c r="J134" s="224">
        <f t="shared" si="148"/>
        <v>2050</v>
      </c>
      <c r="K134" s="81"/>
      <c r="L134" s="199">
        <f t="shared" ca="1" si="160"/>
        <v>0.97</v>
      </c>
      <c r="M134" s="199"/>
      <c r="N134" s="81"/>
      <c r="O134" s="723">
        <f t="shared" ca="1" si="150"/>
        <v>0.26251188606957326</v>
      </c>
      <c r="P134" s="723">
        <f t="shared" ca="1" si="151"/>
        <v>1.1175000000000001E-2</v>
      </c>
      <c r="Q134" s="81">
        <f t="shared" ca="1" si="152"/>
        <v>1.8625</v>
      </c>
      <c r="R134" s="703"/>
      <c r="S134" s="703"/>
      <c r="T134" s="703"/>
      <c r="U134" s="703"/>
      <c r="V134" s="199">
        <f t="shared" ref="V134" ca="1" si="163">IF(IF(RIGHT(H132,2)="PH",(1-L134)+$W$2,IF(RIGHT(H132,2)="HT",(1-L134)+$W$1,IF(RIGHT(H132,2)="SH",(1-L134)+$W$3,"")))&gt;0,IF(RIGHT(H132,2)="PH",(1-L134)+$W$2,IF(RIGHT(H132,2)="HT",(1-L134)+$W$1,IF(RIGHT(H132,2)="SH",(1-L134)+$W$3,""))),0)</f>
        <v>3.0000000000000027E-2</v>
      </c>
      <c r="W134" s="704"/>
      <c r="X134" s="698">
        <f t="shared" ca="1" si="147"/>
        <v>0.5</v>
      </c>
      <c r="Y134" s="698">
        <f t="shared" ca="1" si="154"/>
        <v>15</v>
      </c>
      <c r="Z134" s="698">
        <f t="shared" ca="1" si="155"/>
        <v>0</v>
      </c>
      <c r="AA134" s="698">
        <f t="shared" ca="1" si="156"/>
        <v>0</v>
      </c>
      <c r="AB134" s="698">
        <f t="shared" ca="1" si="157"/>
        <v>0.1</v>
      </c>
      <c r="AD134" s="81">
        <v>2050</v>
      </c>
      <c r="AE134" s="81"/>
      <c r="AF134" s="220"/>
    </row>
    <row r="135" spans="2:32">
      <c r="B135" s="718" t="s">
        <v>1010</v>
      </c>
      <c r="C135" s="226"/>
      <c r="D135" s="212" t="str">
        <f>"IND"&amp;RIGHT(H135,4)&amp;"GAS"&amp;"N"&amp;RIGHT(E135,1)</f>
        <v>INDADPHGASN1</v>
      </c>
      <c r="E135" s="261" t="str">
        <f>"Industrial heating technology "&amp;$AJ$12&amp;" "&amp;RIGHT(H135,2)&amp;" - Gas boiler (Steam) - new 1"</f>
        <v>Industrial heating technology Aluminium PH - Gas boiler (Steam) - new 1</v>
      </c>
      <c r="F135" s="224" t="s">
        <v>1149</v>
      </c>
      <c r="G135" s="173" t="s">
        <v>2080</v>
      </c>
      <c r="H135" s="174" t="str">
        <f>$AI$13</f>
        <v>IADPH</v>
      </c>
      <c r="I135" s="174" t="str">
        <f t="shared" si="145"/>
        <v>INDAWH</v>
      </c>
      <c r="J135" s="224">
        <f t="shared" si="148"/>
        <v>2011</v>
      </c>
      <c r="K135" s="299">
        <v>2011</v>
      </c>
      <c r="L135" s="333">
        <f t="shared" ref="L135:L140" ca="1" si="164">VLOOKUP($AD135,INDIRECT("'"&amp;$B135&amp;"'!"&amp;"$P$39:$AD$42"),3,FALSE)*0.4</f>
        <v>0.36800000000000005</v>
      </c>
      <c r="M135" s="699"/>
      <c r="N135" s="299">
        <f ca="1">VLOOKUP($AD135,INDIRECT("'"&amp;$B135&amp;"'!"&amp;"$P$39:$AD$42"),5,FALSE)</f>
        <v>25</v>
      </c>
      <c r="O135" s="725">
        <f t="shared" ref="O135:O143" ca="1" si="165">VLOOKUP($AD135,INDIRECT("'"&amp;$B135&amp;"'!"&amp;"$P$39:$AD$42"),6,FALSE)/1000</f>
        <v>0.40636363636363632</v>
      </c>
      <c r="P135" s="725">
        <f t="shared" ref="P135:P143" ca="1" si="166">VLOOKUP($AD135,INDIRECT("'"&amp;$B135&amp;"'!"&amp;"$P$39:$AD$42"),7,FALSE)/1000</f>
        <v>1.49E-2</v>
      </c>
      <c r="Q135" s="299">
        <f t="shared" ref="Q135:Q143" ca="1" si="167">VLOOKUP($AD135,INDIRECT("'"&amp;$B135&amp;"'!"&amp;"$P$39:$AD$42"),8,FALSE)</f>
        <v>2.276388888888889</v>
      </c>
      <c r="R135" s="299">
        <v>3.1536000000000002E-2</v>
      </c>
      <c r="S135" s="699">
        <v>0.5</v>
      </c>
      <c r="T135" s="699">
        <f ca="1">HLOOKUP($T$2,INDIRECT("'"&amp;$B135&amp;"'!"&amp;"$P$6:$AC$19"),IF(H135=$AI$13,6,IF(H135=$AI$14,9,14)),FALSE)</f>
        <v>1</v>
      </c>
      <c r="U135" s="772"/>
      <c r="V135" s="199">
        <f t="shared" ref="V135" ca="1" si="168">IF(IF(RIGHT(H135,2)="PH",(1-L135)+$W$2,IF(RIGHT(H135,2)="HT",(1-L135)+$W$1,IF(RIGHT(H135,2)="SH",(1-L135)+$W$3,"")))&gt;0,IF(RIGHT(H135,2)="PH",(1-L135)+$W$2,IF(RIGHT(H135,2)="HT",(1-L135)+$W$1,IF(RIGHT(H135,2)="SH",(1-L135)+$W$3,""))),0)</f>
        <v>0.83199999999999985</v>
      </c>
      <c r="W135" s="298"/>
      <c r="X135" s="698">
        <f t="shared" ca="1" si="147"/>
        <v>0.3</v>
      </c>
      <c r="Y135" s="299">
        <f t="shared" ref="Y135:Y143" ca="1" si="169">VLOOKUP($AD135,INDIRECT("'"&amp;$B135&amp;"'!"&amp;"$P$39:$AD$42"),12,FALSE)</f>
        <v>9</v>
      </c>
      <c r="Z135" s="299">
        <f t="shared" ref="Z135:Z143" ca="1" si="170">VLOOKUP($AD135,INDIRECT("'"&amp;$B135&amp;"'!"&amp;"$P$39:$AD$42"),13,FALSE)</f>
        <v>3</v>
      </c>
      <c r="AA135" s="299">
        <f t="shared" ref="AA135:AA143" ca="1" si="171">VLOOKUP($AD135,INDIRECT("'"&amp;$B135&amp;"'!"&amp;"$P$39:$AD$42"),14,FALSE)</f>
        <v>1</v>
      </c>
      <c r="AB135" s="299">
        <f t="shared" ref="AB135:AB143" ca="1" si="172">VLOOKUP($AD135,INDIRECT("'"&amp;$B135&amp;"'!"&amp;"$P$39:$AD$42"),15,FALSE)</f>
        <v>0.1</v>
      </c>
      <c r="AD135" s="299">
        <v>2020</v>
      </c>
      <c r="AE135" s="81"/>
      <c r="AF135" s="220"/>
    </row>
    <row r="136" spans="2:32">
      <c r="B136" s="718" t="s">
        <v>1010</v>
      </c>
      <c r="C136" s="226"/>
      <c r="E136" s="212"/>
      <c r="F136" s="224" t="s">
        <v>1149</v>
      </c>
      <c r="H136" s="174"/>
      <c r="I136" s="174" t="str">
        <f t="shared" si="145"/>
        <v>INDAWH</v>
      </c>
      <c r="J136" s="224">
        <f t="shared" si="148"/>
        <v>2030</v>
      </c>
      <c r="K136" s="81"/>
      <c r="L136" s="333">
        <f t="shared" ca="1" si="164"/>
        <v>0.37200000000000005</v>
      </c>
      <c r="M136" s="199"/>
      <c r="N136" s="81"/>
      <c r="O136" s="723">
        <f t="shared" ca="1" si="165"/>
        <v>0.33863636363636368</v>
      </c>
      <c r="P136" s="723">
        <f t="shared" ca="1" si="166"/>
        <v>1.4154999999999999E-2</v>
      </c>
      <c r="Q136" s="81">
        <f t="shared" ca="1" si="167"/>
        <v>2.0694444444444446</v>
      </c>
      <c r="R136" s="300"/>
      <c r="S136" s="300"/>
      <c r="T136" s="300"/>
      <c r="U136" s="300"/>
      <c r="V136" s="199">
        <f t="shared" ref="V136" ca="1" si="173">IF(IF(RIGHT(H135,2)="PH",(1-L136)+$W$2,IF(RIGHT(H135,2)="HT",(1-L136)+$W$1,IF(RIGHT(H135,2)="SH",(1-L136)+$W$3,"")))&gt;0,IF(RIGHT(H135,2)="PH",(1-L136)+$W$2,IF(RIGHT(H135,2)="HT",(1-L136)+$W$1,IF(RIGHT(H135,2)="SH",(1-L136)+$W$3,""))),0)</f>
        <v>0.82799999999999985</v>
      </c>
      <c r="W136" s="298"/>
      <c r="X136" s="698">
        <f t="shared" ca="1" si="147"/>
        <v>0.3</v>
      </c>
      <c r="Y136" s="81">
        <f t="shared" ca="1" si="169"/>
        <v>7</v>
      </c>
      <c r="Z136" s="81">
        <f t="shared" ca="1" si="170"/>
        <v>2</v>
      </c>
      <c r="AA136" s="81">
        <f t="shared" ca="1" si="171"/>
        <v>1</v>
      </c>
      <c r="AB136" s="81">
        <f t="shared" ca="1" si="172"/>
        <v>0.1</v>
      </c>
      <c r="AD136" s="81">
        <v>2030</v>
      </c>
      <c r="AE136" s="81"/>
      <c r="AF136" s="220"/>
    </row>
    <row r="137" spans="2:32">
      <c r="B137" s="718" t="s">
        <v>1010</v>
      </c>
      <c r="C137" s="226"/>
      <c r="E137" s="212"/>
      <c r="F137" s="224" t="s">
        <v>1149</v>
      </c>
      <c r="H137" s="174"/>
      <c r="I137" s="174" t="str">
        <f t="shared" si="145"/>
        <v>INDAWH</v>
      </c>
      <c r="J137" s="224">
        <f t="shared" si="148"/>
        <v>2050</v>
      </c>
      <c r="K137" s="81"/>
      <c r="L137" s="333">
        <f t="shared" ca="1" si="164"/>
        <v>0.376</v>
      </c>
      <c r="M137" s="199"/>
      <c r="N137" s="81"/>
      <c r="O137" s="723">
        <f t="shared" ca="1" si="165"/>
        <v>0.33863636363636368</v>
      </c>
      <c r="P137" s="723">
        <f t="shared" ca="1" si="166"/>
        <v>1.2664999999999999E-2</v>
      </c>
      <c r="Q137" s="81">
        <f t="shared" ca="1" si="167"/>
        <v>2.0694444444444446</v>
      </c>
      <c r="R137" s="300"/>
      <c r="S137" s="300"/>
      <c r="T137" s="300"/>
      <c r="U137" s="300"/>
      <c r="V137" s="199">
        <f t="shared" ref="V137" ca="1" si="174">IF(IF(RIGHT(H135,2)="PH",(1-L137)+$W$2,IF(RIGHT(H135,2)="HT",(1-L137)+$W$1,IF(RIGHT(H135,2)="SH",(1-L137)+$W$3,"")))&gt;0,IF(RIGHT(H135,2)="PH",(1-L137)+$W$2,IF(RIGHT(H135,2)="HT",(1-L137)+$W$1,IF(RIGHT(H135,2)="SH",(1-L137)+$W$3,""))),0)</f>
        <v>0.82400000000000007</v>
      </c>
      <c r="W137" s="298"/>
      <c r="X137" s="698">
        <f t="shared" ca="1" si="147"/>
        <v>0.3</v>
      </c>
      <c r="Y137" s="81">
        <f t="shared" ca="1" si="169"/>
        <v>6</v>
      </c>
      <c r="Z137" s="81">
        <f t="shared" ca="1" si="170"/>
        <v>2</v>
      </c>
      <c r="AA137" s="81">
        <f t="shared" ca="1" si="171"/>
        <v>1</v>
      </c>
      <c r="AB137" s="81">
        <f t="shared" ca="1" si="172"/>
        <v>0.1</v>
      </c>
      <c r="AD137" s="81">
        <v>2050</v>
      </c>
      <c r="AE137" s="81"/>
      <c r="AF137" s="220"/>
    </row>
    <row r="138" spans="2:32">
      <c r="B138" s="718" t="s">
        <v>1010</v>
      </c>
      <c r="C138" s="226"/>
      <c r="D138" s="212" t="str">
        <f>"IND"&amp;RIGHT(H138,4)&amp;"GAS"&amp;"N"&amp;RIGHT(E138,1)</f>
        <v>INDADPHGASN1</v>
      </c>
      <c r="E138" s="261" t="str">
        <f>"Industrial heating technology "&amp;$AJ$12&amp;" "&amp;RIGHT(H138,2)&amp;" - Gas boiler (Steam) - new 1"</f>
        <v>Industrial heating technology Aluminium PH - Gas boiler (Steam) - new 1</v>
      </c>
      <c r="F138" s="224" t="s">
        <v>1149</v>
      </c>
      <c r="G138" s="173" t="s">
        <v>2080</v>
      </c>
      <c r="H138" s="174" t="str">
        <f>$AI$14</f>
        <v>IADPH</v>
      </c>
      <c r="I138" s="174" t="str">
        <f t="shared" si="145"/>
        <v>INDAWH</v>
      </c>
      <c r="J138" s="224">
        <f t="shared" si="148"/>
        <v>2011</v>
      </c>
      <c r="K138" s="299">
        <v>2020</v>
      </c>
      <c r="L138" s="333">
        <f t="shared" ca="1" si="164"/>
        <v>0.36800000000000005</v>
      </c>
      <c r="M138" s="199"/>
      <c r="N138" s="81">
        <f ca="1">VLOOKUP($AD138,INDIRECT("'"&amp;$B138&amp;"'!"&amp;"$P$39:$AD$42"),5,FALSE)</f>
        <v>25</v>
      </c>
      <c r="O138" s="723">
        <f t="shared" ca="1" si="165"/>
        <v>0.40636363636363632</v>
      </c>
      <c r="P138" s="723">
        <f t="shared" ca="1" si="166"/>
        <v>1.49E-2</v>
      </c>
      <c r="Q138" s="81">
        <f t="shared" ca="1" si="167"/>
        <v>2.276388888888889</v>
      </c>
      <c r="R138" s="81">
        <v>3.1536000000000002E-2</v>
      </c>
      <c r="S138" s="199">
        <v>0.5</v>
      </c>
      <c r="T138" s="199">
        <f ca="1">HLOOKUP($T$2,INDIRECT("'"&amp;$B138&amp;"'!"&amp;"$P$6:$AC$19"),IF(H138=$AI$13,6,IF(H138=$AI$14,9,14)),FALSE)</f>
        <v>1</v>
      </c>
      <c r="U138" s="772"/>
      <c r="V138" s="199">
        <f t="shared" ref="V138" ca="1" si="175">IF(IF(RIGHT(H138,2)="PH",(1-L138)+$W$2,IF(RIGHT(H138,2)="HT",(1-L138)+$W$1,IF(RIGHT(H138,2)="SH",(1-L138)+$W$3,"")))&gt;0,IF(RIGHT(H138,2)="PH",(1-L138)+$W$2,IF(RIGHT(H138,2)="HT",(1-L138)+$W$1,IF(RIGHT(H138,2)="SH",(1-L138)+$W$3,""))),0)</f>
        <v>0.83199999999999985</v>
      </c>
      <c r="W138" s="298"/>
      <c r="X138" s="698">
        <f t="shared" ca="1" si="147"/>
        <v>0.3</v>
      </c>
      <c r="Y138" s="81">
        <f t="shared" ca="1" si="169"/>
        <v>9</v>
      </c>
      <c r="Z138" s="81">
        <f t="shared" ca="1" si="170"/>
        <v>3</v>
      </c>
      <c r="AA138" s="81">
        <f t="shared" ca="1" si="171"/>
        <v>1</v>
      </c>
      <c r="AB138" s="81">
        <f t="shared" ca="1" si="172"/>
        <v>0.1</v>
      </c>
      <c r="AD138" s="81">
        <v>2020</v>
      </c>
      <c r="AE138" s="81"/>
      <c r="AF138" s="220"/>
    </row>
    <row r="139" spans="2:32">
      <c r="B139" s="718" t="s">
        <v>1010</v>
      </c>
      <c r="C139" s="226"/>
      <c r="E139" s="212"/>
      <c r="F139" s="224" t="s">
        <v>1149</v>
      </c>
      <c r="H139" s="174"/>
      <c r="I139" s="174" t="str">
        <f t="shared" si="145"/>
        <v>INDAWH</v>
      </c>
      <c r="J139" s="224">
        <f t="shared" si="148"/>
        <v>2030</v>
      </c>
      <c r="K139" s="81"/>
      <c r="L139" s="333">
        <f t="shared" ca="1" si="164"/>
        <v>0.37200000000000005</v>
      </c>
      <c r="M139" s="199"/>
      <c r="N139" s="81"/>
      <c r="O139" s="723">
        <f t="shared" ca="1" si="165"/>
        <v>0.33863636363636368</v>
      </c>
      <c r="P139" s="723">
        <f t="shared" ca="1" si="166"/>
        <v>1.4154999999999999E-2</v>
      </c>
      <c r="Q139" s="81">
        <f t="shared" ca="1" si="167"/>
        <v>2.0694444444444446</v>
      </c>
      <c r="R139" s="300"/>
      <c r="S139" s="300"/>
      <c r="T139" s="300"/>
      <c r="U139" s="300"/>
      <c r="V139" s="199">
        <f t="shared" ref="V139" ca="1" si="176">IF(IF(RIGHT(H138,2)="PH",(1-L139)+$W$2,IF(RIGHT(H138,2)="HT",(1-L139)+$W$1,IF(RIGHT(H138,2)="SH",(1-L139)+$W$3,"")))&gt;0,IF(RIGHT(H138,2)="PH",(1-L139)+$W$2,IF(RIGHT(H138,2)="HT",(1-L139)+$W$1,IF(RIGHT(H138,2)="SH",(1-L139)+$W$3,""))),0)</f>
        <v>0.82799999999999985</v>
      </c>
      <c r="W139" s="298"/>
      <c r="X139" s="698">
        <f t="shared" ca="1" si="147"/>
        <v>0.3</v>
      </c>
      <c r="Y139" s="81">
        <f t="shared" ca="1" si="169"/>
        <v>7</v>
      </c>
      <c r="Z139" s="81">
        <f t="shared" ca="1" si="170"/>
        <v>2</v>
      </c>
      <c r="AA139" s="81">
        <f t="shared" ca="1" si="171"/>
        <v>1</v>
      </c>
      <c r="AB139" s="81">
        <f t="shared" ca="1" si="172"/>
        <v>0.1</v>
      </c>
      <c r="AD139" s="81">
        <v>2030</v>
      </c>
      <c r="AE139" s="81"/>
      <c r="AF139" s="220"/>
    </row>
    <row r="140" spans="2:32">
      <c r="B140" s="718" t="s">
        <v>1010</v>
      </c>
      <c r="C140" s="226"/>
      <c r="E140" s="212"/>
      <c r="F140" s="224" t="s">
        <v>1149</v>
      </c>
      <c r="H140" s="174"/>
      <c r="I140" s="174" t="str">
        <f t="shared" si="145"/>
        <v>INDAWH</v>
      </c>
      <c r="J140" s="224">
        <f t="shared" si="148"/>
        <v>2050</v>
      </c>
      <c r="K140" s="81"/>
      <c r="L140" s="333">
        <f t="shared" ca="1" si="164"/>
        <v>0.376</v>
      </c>
      <c r="M140" s="199"/>
      <c r="N140" s="81"/>
      <c r="O140" s="723">
        <f t="shared" ca="1" si="165"/>
        <v>0.33863636363636368</v>
      </c>
      <c r="P140" s="723">
        <f t="shared" ca="1" si="166"/>
        <v>1.2664999999999999E-2</v>
      </c>
      <c r="Q140" s="81">
        <f t="shared" ca="1" si="167"/>
        <v>2.0694444444444446</v>
      </c>
      <c r="R140" s="300"/>
      <c r="S140" s="300"/>
      <c r="T140" s="300"/>
      <c r="U140" s="300"/>
      <c r="V140" s="199">
        <f t="shared" ref="V140" ca="1" si="177">IF(IF(RIGHT(H138,2)="PH",(1-L140)+$W$2,IF(RIGHT(H138,2)="HT",(1-L140)+$W$1,IF(RIGHT(H138,2)="SH",(1-L140)+$W$3,"")))&gt;0,IF(RIGHT(H138,2)="PH",(1-L140)+$W$2,IF(RIGHT(H138,2)="HT",(1-L140)+$W$1,IF(RIGHT(H138,2)="SH",(1-L140)+$W$3,""))),0)</f>
        <v>0.82400000000000007</v>
      </c>
      <c r="W140" s="298"/>
      <c r="X140" s="698">
        <f t="shared" ca="1" si="147"/>
        <v>0.3</v>
      </c>
      <c r="Y140" s="81">
        <f t="shared" ca="1" si="169"/>
        <v>6</v>
      </c>
      <c r="Z140" s="81">
        <f t="shared" ca="1" si="170"/>
        <v>2</v>
      </c>
      <c r="AA140" s="81">
        <f t="shared" ca="1" si="171"/>
        <v>1</v>
      </c>
      <c r="AB140" s="81">
        <f t="shared" ca="1" si="172"/>
        <v>0.1</v>
      </c>
      <c r="AC140" s="203"/>
      <c r="AD140" s="81">
        <v>2050</v>
      </c>
      <c r="AE140" s="81"/>
      <c r="AF140" s="705"/>
    </row>
    <row r="141" spans="2:32">
      <c r="B141" s="718" t="s">
        <v>1010</v>
      </c>
      <c r="C141" s="226"/>
      <c r="D141" s="212" t="str">
        <f>"IND"&amp;RIGHT(H141,4)&amp;"GAS"&amp;"N"&amp;RIGHT(E141,1)</f>
        <v>INDADSHGASN1</v>
      </c>
      <c r="E141" s="261" t="str">
        <f>"Industrial heating technology "&amp;$AJ$12&amp;" "&amp;RIGHT(H141,2)&amp;" - Gas boiler (Steam) - new 1"</f>
        <v>Industrial heating technology Aluminium SH - Gas boiler (Steam) - new 1</v>
      </c>
      <c r="F141" s="224" t="s">
        <v>1149</v>
      </c>
      <c r="G141" s="173" t="s">
        <v>2080</v>
      </c>
      <c r="H141" s="174" t="str">
        <f>$AI$15</f>
        <v>IADSH</v>
      </c>
      <c r="I141" s="174" t="str">
        <f t="shared" si="145"/>
        <v>INDAWH</v>
      </c>
      <c r="J141" s="224">
        <f t="shared" si="148"/>
        <v>2011</v>
      </c>
      <c r="K141" s="299">
        <v>2020</v>
      </c>
      <c r="L141" s="199">
        <f t="shared" ref="L141:L143" ca="1" si="178">VLOOKUP($AD141,INDIRECT("'"&amp;$B141&amp;"'!"&amp;"$P$39:$AD$42"),3,FALSE)</f>
        <v>0.92</v>
      </c>
      <c r="M141" s="199"/>
      <c r="N141" s="81">
        <f ca="1">VLOOKUP($AD141,INDIRECT("'"&amp;$B141&amp;"'!"&amp;"$P$39:$AD$42"),5,FALSE)</f>
        <v>25</v>
      </c>
      <c r="O141" s="723">
        <f t="shared" ca="1" si="165"/>
        <v>0.40636363636363632</v>
      </c>
      <c r="P141" s="723">
        <f t="shared" ca="1" si="166"/>
        <v>1.49E-2</v>
      </c>
      <c r="Q141" s="81">
        <f t="shared" ca="1" si="167"/>
        <v>2.276388888888889</v>
      </c>
      <c r="R141" s="81">
        <v>3.1536000000000002E-2</v>
      </c>
      <c r="S141" s="199">
        <v>0.5</v>
      </c>
      <c r="T141" s="199">
        <f ca="1">HLOOKUP($T$2,INDIRECT("'"&amp;$B141&amp;"'!"&amp;"$P$6:$AC$19"),IF(H141=$AI$13,6,IF(H141=$AI$14,9,14)),FALSE)</f>
        <v>1</v>
      </c>
      <c r="U141" s="772"/>
      <c r="V141" s="199">
        <f t="shared" ref="V141" ca="1" si="179">IF(IF(RIGHT(H141,2)="PH",(1-L141)+$W$2,IF(RIGHT(H141,2)="HT",(1-L141)+$W$1,IF(RIGHT(H141,2)="SH",(1-L141)+$W$3,"")))&gt;0,IF(RIGHT(H141,2)="PH",(1-L141)+$W$2,IF(RIGHT(H141,2)="HT",(1-L141)+$W$1,IF(RIGHT(H141,2)="SH",(1-L141)+$W$3,""))),0)</f>
        <v>7.999999999999996E-2</v>
      </c>
      <c r="W141" s="298"/>
      <c r="X141" s="698">
        <f t="shared" ca="1" si="147"/>
        <v>0.3</v>
      </c>
      <c r="Y141" s="81">
        <f t="shared" ca="1" si="169"/>
        <v>9</v>
      </c>
      <c r="Z141" s="81">
        <f t="shared" ca="1" si="170"/>
        <v>3</v>
      </c>
      <c r="AA141" s="81">
        <f t="shared" ca="1" si="171"/>
        <v>1</v>
      </c>
      <c r="AB141" s="81">
        <f t="shared" ca="1" si="172"/>
        <v>0.1</v>
      </c>
      <c r="AC141" s="296"/>
      <c r="AD141" s="81">
        <v>2020</v>
      </c>
      <c r="AE141" s="81"/>
      <c r="AF141" s="710"/>
    </row>
    <row r="142" spans="2:32">
      <c r="B142" s="718" t="s">
        <v>1010</v>
      </c>
      <c r="C142" s="226"/>
      <c r="E142" s="212"/>
      <c r="F142" s="224" t="s">
        <v>1149</v>
      </c>
      <c r="H142" s="174"/>
      <c r="I142" s="174" t="str">
        <f t="shared" si="145"/>
        <v>INDAWH</v>
      </c>
      <c r="J142" s="224">
        <f t="shared" si="148"/>
        <v>2030</v>
      </c>
      <c r="K142" s="81"/>
      <c r="L142" s="199">
        <f t="shared" ca="1" si="178"/>
        <v>0.93</v>
      </c>
      <c r="M142" s="199"/>
      <c r="N142" s="81"/>
      <c r="O142" s="723">
        <f t="shared" ca="1" si="165"/>
        <v>0.33863636363636368</v>
      </c>
      <c r="P142" s="723">
        <f t="shared" ca="1" si="166"/>
        <v>1.4154999999999999E-2</v>
      </c>
      <c r="Q142" s="81">
        <f t="shared" ca="1" si="167"/>
        <v>2.0694444444444446</v>
      </c>
      <c r="R142" s="300"/>
      <c r="S142" s="300"/>
      <c r="T142" s="300"/>
      <c r="U142" s="300"/>
      <c r="V142" s="199">
        <f t="shared" ref="V142" ca="1" si="180">IF(IF(RIGHT(H141,2)="PH",(1-L142)+$W$2,IF(RIGHT(H141,2)="HT",(1-L142)+$W$1,IF(RIGHT(H141,2)="SH",(1-L142)+$W$3,"")))&gt;0,IF(RIGHT(H141,2)="PH",(1-L142)+$W$2,IF(RIGHT(H141,2)="HT",(1-L142)+$W$1,IF(RIGHT(H141,2)="SH",(1-L142)+$W$3,""))),0)</f>
        <v>6.9999999999999951E-2</v>
      </c>
      <c r="W142" s="298"/>
      <c r="X142" s="698">
        <f t="shared" ca="1" si="147"/>
        <v>0.3</v>
      </c>
      <c r="Y142" s="81">
        <f t="shared" ca="1" si="169"/>
        <v>7</v>
      </c>
      <c r="Z142" s="81">
        <f t="shared" ca="1" si="170"/>
        <v>2</v>
      </c>
      <c r="AA142" s="81">
        <f t="shared" ca="1" si="171"/>
        <v>1</v>
      </c>
      <c r="AB142" s="81">
        <f t="shared" ca="1" si="172"/>
        <v>0.1</v>
      </c>
      <c r="AC142" s="55"/>
      <c r="AD142" s="81">
        <v>2030</v>
      </c>
      <c r="AE142" s="81"/>
      <c r="AF142" s="700"/>
    </row>
    <row r="143" spans="2:32">
      <c r="B143" s="719" t="s">
        <v>1010</v>
      </c>
      <c r="C143" s="713"/>
      <c r="D143" s="203"/>
      <c r="E143" s="701"/>
      <c r="F143" s="224" t="s">
        <v>1149</v>
      </c>
      <c r="G143" s="203"/>
      <c r="H143" s="702"/>
      <c r="I143" s="702" t="str">
        <f t="shared" si="145"/>
        <v>INDAWH</v>
      </c>
      <c r="J143" s="224">
        <f t="shared" si="148"/>
        <v>2050</v>
      </c>
      <c r="K143" s="81"/>
      <c r="L143" s="199">
        <f t="shared" ca="1" si="178"/>
        <v>0.94</v>
      </c>
      <c r="M143" s="199"/>
      <c r="N143" s="81"/>
      <c r="O143" s="723">
        <f t="shared" ca="1" si="165"/>
        <v>0.33863636363636368</v>
      </c>
      <c r="P143" s="723">
        <f t="shared" ca="1" si="166"/>
        <v>1.2664999999999999E-2</v>
      </c>
      <c r="Q143" s="81">
        <f t="shared" ca="1" si="167"/>
        <v>2.0694444444444446</v>
      </c>
      <c r="R143" s="703"/>
      <c r="S143" s="703"/>
      <c r="T143" s="703"/>
      <c r="U143" s="703"/>
      <c r="V143" s="199">
        <f t="shared" ref="V143" ca="1" si="181">IF(IF(RIGHT(H141,2)="PH",(1-L143)+$W$2,IF(RIGHT(H141,2)="HT",(1-L143)+$W$1,IF(RIGHT(H141,2)="SH",(1-L143)+$W$3,"")))&gt;0,IF(RIGHT(H141,2)="PH",(1-L143)+$W$2,IF(RIGHT(H141,2)="HT",(1-L143)+$W$1,IF(RIGHT(H141,2)="SH",(1-L143)+$W$3,""))),0)</f>
        <v>6.0000000000000053E-2</v>
      </c>
      <c r="W143" s="704"/>
      <c r="X143" s="698">
        <f t="shared" ca="1" si="147"/>
        <v>0.3</v>
      </c>
      <c r="Y143" s="81">
        <f t="shared" ca="1" si="169"/>
        <v>6</v>
      </c>
      <c r="Z143" s="81">
        <f t="shared" ca="1" si="170"/>
        <v>2</v>
      </c>
      <c r="AA143" s="81">
        <f t="shared" ca="1" si="171"/>
        <v>1</v>
      </c>
      <c r="AB143" s="81">
        <f t="shared" ca="1" si="172"/>
        <v>0.1</v>
      </c>
      <c r="AC143" s="55"/>
      <c r="AD143" s="81">
        <v>2050</v>
      </c>
      <c r="AE143" s="81"/>
      <c r="AF143" s="700"/>
    </row>
    <row r="144" spans="2:32">
      <c r="B144" s="718" t="s">
        <v>1010</v>
      </c>
      <c r="C144" s="226"/>
      <c r="D144" s="212" t="str">
        <f>"IND"&amp;RIGHT(H144,4)&amp;"GAS"&amp;"N"&amp;RIGHT(E144,1)</f>
        <v>INDADPHGASN2</v>
      </c>
      <c r="E144" s="707" t="str">
        <f>"Industrial heating technology "&amp;$AJ$12&amp;" "&amp;RIGHT(H144,2)&amp;" - Gas boiler (Steam - condensing) - new 2"</f>
        <v>Industrial heating technology Aluminium PH - Gas boiler (Steam - condensing) - new 2</v>
      </c>
      <c r="F144" s="224" t="s">
        <v>1149</v>
      </c>
      <c r="G144" s="173" t="s">
        <v>2080</v>
      </c>
      <c r="H144" s="708" t="str">
        <f>$AI$14</f>
        <v>IADPH</v>
      </c>
      <c r="I144" s="708" t="str">
        <f t="shared" si="145"/>
        <v>INDAWH</v>
      </c>
      <c r="J144" s="224">
        <f t="shared" si="148"/>
        <v>2011</v>
      </c>
      <c r="K144" s="299">
        <v>2020</v>
      </c>
      <c r="L144" s="333">
        <f ca="1">VLOOKUP($AD144,INDIRECT("'"&amp;$B144&amp;"'!"&amp;"$P$118:$AD$121"),3,FALSE)*0.4</f>
        <v>0.40400000000000003</v>
      </c>
      <c r="M144" s="199"/>
      <c r="N144" s="81">
        <f ca="1">VLOOKUP($AD144,INDIRECT("'"&amp;$B144&amp;"'!"&amp;"$P$118:$AD$121"),5,FALSE)</f>
        <v>25</v>
      </c>
      <c r="O144" s="723">
        <f t="shared" ref="O144:O149" ca="1" si="182">VLOOKUP($AD144,INDIRECT("'"&amp;$B144&amp;"'!"&amp;"$P$118:$AD$121"),6,FALSE)/1000</f>
        <v>0.44700000000000001</v>
      </c>
      <c r="P144" s="723">
        <f t="shared" ref="P144:P149" ca="1" si="183">VLOOKUP($AD144,INDIRECT("'"&amp;$B144&amp;"'!"&amp;"$P$118:$AD$121"),7,FALSE)/1000</f>
        <v>1.49E-2</v>
      </c>
      <c r="Q144" s="81">
        <f t="shared" ref="Q144:Q149" ca="1" si="184">VLOOKUP($AD144,INDIRECT("'"&amp;$B144&amp;"'!"&amp;"$P$118:$AD$121"),8,FALSE)</f>
        <v>2.276388888888889</v>
      </c>
      <c r="R144" s="81">
        <v>3.1536000000000002E-2</v>
      </c>
      <c r="S144" s="199">
        <v>0.5</v>
      </c>
      <c r="T144" s="199">
        <f ca="1">HLOOKUP($T$2,INDIRECT("'"&amp;$B144&amp;"'!"&amp;"$P$85:$AC$98"),IF(H144=$AI$13,6,IF(H144=$AI$14,9,14)),FALSE)</f>
        <v>0</v>
      </c>
      <c r="U144" s="773"/>
      <c r="V144" s="199">
        <f t="shared" ref="V144" ca="1" si="185">IF(IF(RIGHT(H144,2)="PH",(1-L144)+$W$2,IF(RIGHT(H144,2)="HT",(1-L144)+$W$1,IF(RIGHT(H144,2)="SH",(1-L144)+$W$3,"")))&gt;0,IF(RIGHT(H144,2)="PH",(1-L144)+$W$2,IF(RIGHT(H144,2)="HT",(1-L144)+$W$1,IF(RIGHT(H144,2)="SH",(1-L144)+$W$3,""))),0)</f>
        <v>0.79600000000000004</v>
      </c>
      <c r="W144" s="709"/>
      <c r="X144" s="698">
        <f t="shared" ca="1" si="147"/>
        <v>0.3</v>
      </c>
      <c r="Y144" s="698">
        <f t="shared" ref="Y144:Y149" ca="1" si="186">VLOOKUP($AD144,INDIRECT("'"&amp;$B144&amp;"'!"&amp;"$P$118:$AD$121"),12,FALSE)</f>
        <v>9</v>
      </c>
      <c r="Z144" s="698">
        <f t="shared" ref="Z144:Z149" ca="1" si="187">VLOOKUP($AD144,INDIRECT("'"&amp;$B144&amp;"'!"&amp;"$P$118:$AD$121"),13,FALSE)</f>
        <v>3</v>
      </c>
      <c r="AA144" s="698">
        <f t="shared" ref="AA144:AA149" ca="1" si="188">VLOOKUP($AD144,INDIRECT("'"&amp;$B144&amp;"'!"&amp;"$P$118:$AD$121"),14,FALSE)</f>
        <v>1</v>
      </c>
      <c r="AB144" s="698">
        <f t="shared" ref="AB144:AB149" ca="1" si="189">VLOOKUP($AD144,INDIRECT("'"&amp;$B144&amp;"'!"&amp;"$P$118:$AD$121"),15,FALSE)</f>
        <v>0.1</v>
      </c>
      <c r="AC144" s="55"/>
      <c r="AD144" s="81">
        <v>2020</v>
      </c>
      <c r="AE144" s="81"/>
      <c r="AF144" s="700"/>
    </row>
    <row r="145" spans="1:32">
      <c r="B145" s="718" t="s">
        <v>1010</v>
      </c>
      <c r="C145" s="226"/>
      <c r="E145" s="261"/>
      <c r="F145" s="224" t="s">
        <v>1149</v>
      </c>
      <c r="G145" s="55"/>
      <c r="H145" s="174"/>
      <c r="I145" s="174" t="str">
        <f t="shared" si="145"/>
        <v>INDAWH</v>
      </c>
      <c r="J145" s="224">
        <f t="shared" si="148"/>
        <v>2030</v>
      </c>
      <c r="K145" s="81"/>
      <c r="L145" s="333">
        <f ca="1">VLOOKUP($AD145,INDIRECT("'"&amp;$B145&amp;"'!"&amp;"$P$118:$AD$121"),3,FALSE)*0.4</f>
        <v>0.41200000000000003</v>
      </c>
      <c r="M145" s="199"/>
      <c r="N145" s="81"/>
      <c r="O145" s="723">
        <f t="shared" ca="1" si="182"/>
        <v>0.37250000000000005</v>
      </c>
      <c r="P145" s="723">
        <f t="shared" ca="1" si="183"/>
        <v>1.4154999999999999E-2</v>
      </c>
      <c r="Q145" s="81">
        <f t="shared" ca="1" si="184"/>
        <v>2.0694444444444446</v>
      </c>
      <c r="R145" s="300"/>
      <c r="S145" s="300"/>
      <c r="T145" s="300"/>
      <c r="U145" s="300"/>
      <c r="V145" s="199">
        <f t="shared" ref="V145" ca="1" si="190">IF(IF(RIGHT(H144,2)="PH",(1-L145)+$W$2,IF(RIGHT(H144,2)="HT",(1-L145)+$W$1,IF(RIGHT(H144,2)="SH",(1-L145)+$W$3,"")))&gt;0,IF(RIGHT(H144,2)="PH",(1-L145)+$W$2,IF(RIGHT(H144,2)="HT",(1-L145)+$W$1,IF(RIGHT(H144,2)="SH",(1-L145)+$W$3,""))),0)</f>
        <v>0.78800000000000003</v>
      </c>
      <c r="W145" s="298"/>
      <c r="X145" s="698">
        <f t="shared" ca="1" si="147"/>
        <v>0.3</v>
      </c>
      <c r="Y145" s="698">
        <f t="shared" ca="1" si="186"/>
        <v>7</v>
      </c>
      <c r="Z145" s="698">
        <f t="shared" ca="1" si="187"/>
        <v>2</v>
      </c>
      <c r="AA145" s="698">
        <f t="shared" ca="1" si="188"/>
        <v>1</v>
      </c>
      <c r="AB145" s="698">
        <f t="shared" ca="1" si="189"/>
        <v>0.1</v>
      </c>
      <c r="AC145" s="55"/>
      <c r="AD145" s="81">
        <v>2030</v>
      </c>
      <c r="AE145" s="81"/>
      <c r="AF145" s="700"/>
    </row>
    <row r="146" spans="1:32">
      <c r="A146" s="226"/>
      <c r="B146" s="718" t="s">
        <v>1010</v>
      </c>
      <c r="C146" s="226"/>
      <c r="E146" s="261"/>
      <c r="F146" s="224" t="s">
        <v>1149</v>
      </c>
      <c r="G146" s="55"/>
      <c r="H146" s="174"/>
      <c r="I146" s="174" t="str">
        <f t="shared" si="145"/>
        <v>INDAWH</v>
      </c>
      <c r="J146" s="224">
        <f t="shared" si="148"/>
        <v>2050</v>
      </c>
      <c r="K146" s="81"/>
      <c r="L146" s="333">
        <f ca="1">VLOOKUP($AD146,INDIRECT("'"&amp;$B146&amp;"'!"&amp;"$P$118:$AD$121"),3,FALSE)*0.4</f>
        <v>0.41200000000000003</v>
      </c>
      <c r="M146" s="199"/>
      <c r="N146" s="81"/>
      <c r="O146" s="723">
        <f t="shared" ca="1" si="182"/>
        <v>0.37250000000000005</v>
      </c>
      <c r="P146" s="723">
        <f t="shared" ca="1" si="183"/>
        <v>1.2664999999999999E-2</v>
      </c>
      <c r="Q146" s="81">
        <f t="shared" ca="1" si="184"/>
        <v>2.0694444444444446</v>
      </c>
      <c r="R146" s="300"/>
      <c r="S146" s="300"/>
      <c r="T146" s="300"/>
      <c r="U146" s="300"/>
      <c r="V146" s="199">
        <f t="shared" ref="V146" ca="1" si="191">IF(IF(RIGHT(H144,2)="PH",(1-L146)+$W$2,IF(RIGHT(H144,2)="HT",(1-L146)+$W$1,IF(RIGHT(H144,2)="SH",(1-L146)+$W$3,"")))&gt;0,IF(RIGHT(H144,2)="PH",(1-L146)+$W$2,IF(RIGHT(H144,2)="HT",(1-L146)+$W$1,IF(RIGHT(H144,2)="SH",(1-L146)+$W$3,""))),0)</f>
        <v>0.78800000000000003</v>
      </c>
      <c r="W146" s="298"/>
      <c r="X146" s="698">
        <f t="shared" ca="1" si="147"/>
        <v>0.3</v>
      </c>
      <c r="Y146" s="698">
        <f t="shared" ca="1" si="186"/>
        <v>6</v>
      </c>
      <c r="Z146" s="698">
        <f t="shared" ca="1" si="187"/>
        <v>2</v>
      </c>
      <c r="AA146" s="698">
        <f t="shared" ca="1" si="188"/>
        <v>1</v>
      </c>
      <c r="AB146" s="698">
        <f t="shared" ca="1" si="189"/>
        <v>0.1</v>
      </c>
      <c r="AC146" s="203"/>
      <c r="AD146" s="81">
        <v>2050</v>
      </c>
      <c r="AE146" s="81"/>
      <c r="AF146" s="705"/>
    </row>
    <row r="147" spans="1:32">
      <c r="A147" s="226"/>
      <c r="B147" s="718" t="s">
        <v>1010</v>
      </c>
      <c r="C147" s="226"/>
      <c r="D147" s="212" t="str">
        <f>"IND"&amp;RIGHT(H147,4)&amp;"GAS"&amp;"N"&amp;RIGHT(E147,1)</f>
        <v>INDADSHGASN2</v>
      </c>
      <c r="E147" s="261" t="str">
        <f>"Industrial heating technology "&amp;$AJ$12&amp;" "&amp;RIGHT(H147,2)&amp;" - Gas boiler (Steam - condensing) - new 2"</f>
        <v>Industrial heating technology Aluminium SH - Gas boiler (Steam - condensing) - new 2</v>
      </c>
      <c r="F147" s="224" t="s">
        <v>1149</v>
      </c>
      <c r="G147" s="173" t="s">
        <v>2080</v>
      </c>
      <c r="H147" s="174" t="str">
        <f>$AI$15</f>
        <v>IADSH</v>
      </c>
      <c r="I147" s="174" t="str">
        <f t="shared" si="145"/>
        <v>INDAWH</v>
      </c>
      <c r="J147" s="224">
        <f t="shared" si="148"/>
        <v>2011</v>
      </c>
      <c r="K147" s="299">
        <v>2020</v>
      </c>
      <c r="L147" s="199">
        <f t="shared" ref="L147:L149" ca="1" si="192">VLOOKUP($AD147,INDIRECT("'"&amp;$B147&amp;"'!"&amp;"$P$118:$AD$121"),3,FALSE)</f>
        <v>1.01</v>
      </c>
      <c r="M147" s="199"/>
      <c r="N147" s="81">
        <f ca="1">VLOOKUP($AD147,INDIRECT("'"&amp;$B147&amp;"'!"&amp;"$P$118:$AD$121"),5,FALSE)</f>
        <v>25</v>
      </c>
      <c r="O147" s="723">
        <f t="shared" ca="1" si="182"/>
        <v>0.44700000000000001</v>
      </c>
      <c r="P147" s="723">
        <f t="shared" ca="1" si="183"/>
        <v>1.49E-2</v>
      </c>
      <c r="Q147" s="81">
        <f t="shared" ca="1" si="184"/>
        <v>2.276388888888889</v>
      </c>
      <c r="R147" s="81">
        <v>3.1536000000000002E-2</v>
      </c>
      <c r="S147" s="199">
        <v>0.5</v>
      </c>
      <c r="T147" s="199">
        <f ca="1">HLOOKUP($T$2,INDIRECT("'"&amp;$B147&amp;"'!"&amp;"$P$85:$AC$98"),IF(H147=$AI$13,6,IF(H147=$AI$14,9,14)),FALSE)</f>
        <v>0</v>
      </c>
      <c r="U147" s="772"/>
      <c r="V147" s="199">
        <f t="shared" ref="V147" ca="1" si="193">IF(IF(RIGHT(H147,2)="PH",(1-L147)+$W$2,IF(RIGHT(H147,2)="HT",(1-L147)+$W$1,IF(RIGHT(H147,2)="SH",(1-L147)+$W$3,"")))&gt;0,IF(RIGHT(H147,2)="PH",(1-L147)+$W$2,IF(RIGHT(H147,2)="HT",(1-L147)+$W$1,IF(RIGHT(H147,2)="SH",(1-L147)+$W$3,""))),0)</f>
        <v>0</v>
      </c>
      <c r="W147" s="298"/>
      <c r="X147" s="698">
        <f t="shared" ca="1" si="147"/>
        <v>0.3</v>
      </c>
      <c r="Y147" s="698">
        <f t="shared" ca="1" si="186"/>
        <v>9</v>
      </c>
      <c r="Z147" s="698">
        <f t="shared" ca="1" si="187"/>
        <v>3</v>
      </c>
      <c r="AA147" s="698">
        <f t="shared" ca="1" si="188"/>
        <v>1</v>
      </c>
      <c r="AB147" s="698">
        <f t="shared" ca="1" si="189"/>
        <v>0.1</v>
      </c>
      <c r="AC147" s="296"/>
      <c r="AD147" s="81">
        <v>2020</v>
      </c>
      <c r="AE147" s="81"/>
      <c r="AF147" s="710"/>
    </row>
    <row r="148" spans="1:32">
      <c r="A148" s="226"/>
      <c r="B148" s="718" t="s">
        <v>1010</v>
      </c>
      <c r="C148" s="226"/>
      <c r="E148" s="261"/>
      <c r="F148" s="224" t="s">
        <v>1149</v>
      </c>
      <c r="G148" s="55"/>
      <c r="H148" s="174"/>
      <c r="I148" s="174" t="str">
        <f t="shared" si="145"/>
        <v>INDAWH</v>
      </c>
      <c r="J148" s="224">
        <f t="shared" si="148"/>
        <v>2030</v>
      </c>
      <c r="K148" s="81"/>
      <c r="L148" s="199">
        <f t="shared" ca="1" si="192"/>
        <v>1.03</v>
      </c>
      <c r="M148" s="199"/>
      <c r="N148" s="81"/>
      <c r="O148" s="723">
        <f t="shared" ca="1" si="182"/>
        <v>0.37250000000000005</v>
      </c>
      <c r="P148" s="723">
        <f t="shared" ca="1" si="183"/>
        <v>1.4154999999999999E-2</v>
      </c>
      <c r="Q148" s="81">
        <f t="shared" ca="1" si="184"/>
        <v>2.0694444444444446</v>
      </c>
      <c r="R148" s="300"/>
      <c r="S148" s="300"/>
      <c r="T148" s="300"/>
      <c r="U148" s="300"/>
      <c r="V148" s="199">
        <f t="shared" ref="V148" ca="1" si="194">IF(IF(RIGHT(H147,2)="PH",(1-L148)+$W$2,IF(RIGHT(H147,2)="HT",(1-L148)+$W$1,IF(RIGHT(H147,2)="SH",(1-L148)+$W$3,"")))&gt;0,IF(RIGHT(H147,2)="PH",(1-L148)+$W$2,IF(RIGHT(H147,2)="HT",(1-L148)+$W$1,IF(RIGHT(H147,2)="SH",(1-L148)+$W$3,""))),0)</f>
        <v>0</v>
      </c>
      <c r="W148" s="298"/>
      <c r="X148" s="698">
        <f t="shared" ca="1" si="147"/>
        <v>0.3</v>
      </c>
      <c r="Y148" s="698">
        <f t="shared" ca="1" si="186"/>
        <v>7</v>
      </c>
      <c r="Z148" s="698">
        <f t="shared" ca="1" si="187"/>
        <v>2</v>
      </c>
      <c r="AA148" s="698">
        <f t="shared" ca="1" si="188"/>
        <v>1</v>
      </c>
      <c r="AB148" s="698">
        <f t="shared" ca="1" si="189"/>
        <v>0.1</v>
      </c>
      <c r="AC148" s="55"/>
      <c r="AD148" s="81">
        <v>2030</v>
      </c>
      <c r="AE148" s="81"/>
      <c r="AF148" s="700"/>
    </row>
    <row r="149" spans="1:32">
      <c r="A149" s="226"/>
      <c r="B149" s="719" t="s">
        <v>1010</v>
      </c>
      <c r="C149" s="713"/>
      <c r="D149" s="203"/>
      <c r="E149" s="701"/>
      <c r="F149" s="224" t="s">
        <v>1149</v>
      </c>
      <c r="G149" s="203"/>
      <c r="H149" s="702"/>
      <c r="I149" s="702" t="str">
        <f t="shared" si="145"/>
        <v>INDAWH</v>
      </c>
      <c r="J149" s="224">
        <f t="shared" si="148"/>
        <v>2050</v>
      </c>
      <c r="K149" s="81"/>
      <c r="L149" s="199">
        <f t="shared" ca="1" si="192"/>
        <v>1.03</v>
      </c>
      <c r="M149" s="199"/>
      <c r="N149" s="81"/>
      <c r="O149" s="723">
        <f t="shared" ca="1" si="182"/>
        <v>0.37250000000000005</v>
      </c>
      <c r="P149" s="723">
        <f t="shared" ca="1" si="183"/>
        <v>1.2664999999999999E-2</v>
      </c>
      <c r="Q149" s="81">
        <f t="shared" ca="1" si="184"/>
        <v>2.0694444444444446</v>
      </c>
      <c r="R149" s="703"/>
      <c r="S149" s="703"/>
      <c r="T149" s="703"/>
      <c r="U149" s="703"/>
      <c r="V149" s="199">
        <f t="shared" ref="V149" ca="1" si="195">IF(IF(RIGHT(H147,2)="PH",(1-L149)+$W$2,IF(RIGHT(H147,2)="HT",(1-L149)+$W$1,IF(RIGHT(H147,2)="SH",(1-L149)+$W$3,"")))&gt;0,IF(RIGHT(H147,2)="PH",(1-L149)+$W$2,IF(RIGHT(H147,2)="HT",(1-L149)+$W$1,IF(RIGHT(H147,2)="SH",(1-L149)+$W$3,""))),0)</f>
        <v>0</v>
      </c>
      <c r="W149" s="704"/>
      <c r="X149" s="698">
        <f t="shared" ca="1" si="147"/>
        <v>0.3</v>
      </c>
      <c r="Y149" s="698">
        <f t="shared" ca="1" si="186"/>
        <v>6</v>
      </c>
      <c r="Z149" s="698">
        <f t="shared" ca="1" si="187"/>
        <v>2</v>
      </c>
      <c r="AA149" s="698">
        <f t="shared" ca="1" si="188"/>
        <v>1</v>
      </c>
      <c r="AB149" s="698">
        <f t="shared" ca="1" si="189"/>
        <v>0.1</v>
      </c>
      <c r="AC149" s="55"/>
      <c r="AD149" s="81">
        <v>2050</v>
      </c>
      <c r="AE149" s="81"/>
      <c r="AF149" s="700"/>
    </row>
    <row r="150" spans="1:32">
      <c r="A150" s="226"/>
      <c r="B150" s="718" t="s">
        <v>1010</v>
      </c>
      <c r="C150" s="226"/>
      <c r="D150" s="212" t="str">
        <f>"IND"&amp;RIGHT(H150,4)&amp;"GAS"&amp;"N"&amp;RIGHT(E150,1)</f>
        <v>INDADPHGASN3</v>
      </c>
      <c r="E150" s="707" t="str">
        <f>"Industrial heating technology "&amp;$AJ$12&amp;" "&amp;RIGHT(H150,2)&amp;" - Gas boiler (Hot Water) - new 3"</f>
        <v>Industrial heating technology Aluminium PH - Gas boiler (Hot Water) - new 3</v>
      </c>
      <c r="F150" s="224" t="s">
        <v>1149</v>
      </c>
      <c r="G150" s="173" t="s">
        <v>2080</v>
      </c>
      <c r="H150" s="708" t="str">
        <f>$AI$14</f>
        <v>IADPH</v>
      </c>
      <c r="I150" s="708" t="str">
        <f t="shared" si="145"/>
        <v>INDAWH</v>
      </c>
      <c r="J150" s="224">
        <f t="shared" si="148"/>
        <v>2011</v>
      </c>
      <c r="K150" s="299">
        <v>2020</v>
      </c>
      <c r="L150" s="333">
        <f ca="1">VLOOKUP($AD150,INDIRECT("'"&amp;$B150&amp;"'!"&amp;"$P$200:$AD$203"),3,FALSE)*0.4</f>
        <v>0.37200000000000005</v>
      </c>
      <c r="M150" s="199"/>
      <c r="N150" s="81">
        <f ca="1">VLOOKUP($AD150,INDIRECT("'"&amp;$B150&amp;"'!"&amp;"$P$200:$AD$203"),5,FALSE)</f>
        <v>25</v>
      </c>
      <c r="O150" s="723">
        <f t="shared" ref="O150:O155" ca="1" si="196">VLOOKUP($AD150,INDIRECT("'"&amp;$B150&amp;"'!"&amp;"$P$200:$AD$203"),6,FALSE)/1000</f>
        <v>0.3250909090909091</v>
      </c>
      <c r="P150" s="723">
        <f t="shared" ref="P150:P155" ca="1" si="197">VLOOKUP($AD150,INDIRECT("'"&amp;$B150&amp;"'!"&amp;"$P$200:$AD$203"),7,FALSE)/1000</f>
        <v>1.49E-2</v>
      </c>
      <c r="Q150" s="81">
        <f t="shared" ref="Q150:Q155" ca="1" si="198">VLOOKUP($AD150,INDIRECT("'"&amp;$B150&amp;"'!"&amp;"$P$200:$AD$203"),8,FALSE)</f>
        <v>2.276388888888889</v>
      </c>
      <c r="R150" s="81">
        <v>3.1536000000000002E-2</v>
      </c>
      <c r="S150" s="199">
        <v>0.5</v>
      </c>
      <c r="T150" s="199">
        <f ca="1">HLOOKUP($T$2,INDIRECT("'"&amp;$B150&amp;"'!"&amp;"$P$167:$AC$180"),IF(H150=$AI$13,6,IF(H150=$AI$14,9,14)),FALSE)</f>
        <v>0</v>
      </c>
      <c r="U150" s="773"/>
      <c r="V150" s="199">
        <f t="shared" ref="V150" ca="1" si="199">IF(IF(RIGHT(H150,2)="PH",(1-L150)+$W$2,IF(RIGHT(H150,2)="HT",(1-L150)+$W$1,IF(RIGHT(H150,2)="SH",(1-L150)+$W$3,"")))&gt;0,IF(RIGHT(H150,2)="PH",(1-L150)+$W$2,IF(RIGHT(H150,2)="HT",(1-L150)+$W$1,IF(RIGHT(H150,2)="SH",(1-L150)+$W$3,""))),0)</f>
        <v>0.82799999999999985</v>
      </c>
      <c r="W150" s="709"/>
      <c r="X150" s="698">
        <f t="shared" ca="1" si="147"/>
        <v>0.3</v>
      </c>
      <c r="Y150" s="698">
        <f t="shared" ref="Y150:Y155" ca="1" si="200">VLOOKUP($AD150,INDIRECT("'"&amp;$B150&amp;"'!"&amp;"$P$200:$AD$203"),12,FALSE)</f>
        <v>9</v>
      </c>
      <c r="Z150" s="698">
        <f t="shared" ref="Z150:Z155" ca="1" si="201">VLOOKUP($AD150,INDIRECT("'"&amp;$B150&amp;"'!"&amp;"$P$200:$AD$203"),13,FALSE)</f>
        <v>3</v>
      </c>
      <c r="AA150" s="698">
        <f t="shared" ref="AA150:AA155" ca="1" si="202">VLOOKUP($AD150,INDIRECT("'"&amp;$B150&amp;"'!"&amp;"$P$200:$AD$203"),14,FALSE)</f>
        <v>1</v>
      </c>
      <c r="AB150" s="698">
        <f t="shared" ref="AB150:AB155" ca="1" si="203">VLOOKUP($AD150,INDIRECT("'"&amp;$B150&amp;"'!"&amp;"$P$200:$AD$203"),15,FALSE)</f>
        <v>0.1</v>
      </c>
      <c r="AC150" s="55"/>
      <c r="AD150" s="81">
        <v>2020</v>
      </c>
      <c r="AE150" s="81"/>
      <c r="AF150" s="700"/>
    </row>
    <row r="151" spans="1:32">
      <c r="A151" s="226"/>
      <c r="B151" s="718" t="s">
        <v>1010</v>
      </c>
      <c r="C151" s="226"/>
      <c r="E151" s="261"/>
      <c r="F151" s="224" t="s">
        <v>1149</v>
      </c>
      <c r="G151" s="55"/>
      <c r="H151" s="174"/>
      <c r="I151" s="174" t="str">
        <f t="shared" si="145"/>
        <v>INDAWH</v>
      </c>
      <c r="J151" s="224">
        <f t="shared" si="148"/>
        <v>2030</v>
      </c>
      <c r="K151" s="81"/>
      <c r="L151" s="333">
        <f ca="1">VLOOKUP($AD151,INDIRECT("'"&amp;$B151&amp;"'!"&amp;"$P$200:$AD$203"),3,FALSE)*0.4</f>
        <v>0.376</v>
      </c>
      <c r="M151" s="199"/>
      <c r="N151" s="81"/>
      <c r="O151" s="723">
        <f t="shared" ca="1" si="196"/>
        <v>0.27090909090909093</v>
      </c>
      <c r="P151" s="723">
        <f t="shared" ca="1" si="197"/>
        <v>1.4154999999999999E-2</v>
      </c>
      <c r="Q151" s="81">
        <f t="shared" ca="1" si="198"/>
        <v>2.0694444444444446</v>
      </c>
      <c r="R151" s="300"/>
      <c r="S151" s="300"/>
      <c r="T151" s="300"/>
      <c r="U151" s="300"/>
      <c r="V151" s="199">
        <f t="shared" ref="V151" ca="1" si="204">IF(IF(RIGHT(H150,2)="PH",(1-L151)+$W$2,IF(RIGHT(H150,2)="HT",(1-L151)+$W$1,IF(RIGHT(H150,2)="SH",(1-L151)+$W$3,"")))&gt;0,IF(RIGHT(H150,2)="PH",(1-L151)+$W$2,IF(RIGHT(H150,2)="HT",(1-L151)+$W$1,IF(RIGHT(H150,2)="SH",(1-L151)+$W$3,""))),0)</f>
        <v>0.82400000000000007</v>
      </c>
      <c r="W151" s="298"/>
      <c r="X151" s="698">
        <f t="shared" ca="1" si="147"/>
        <v>0.3</v>
      </c>
      <c r="Y151" s="698">
        <f t="shared" ca="1" si="200"/>
        <v>7</v>
      </c>
      <c r="Z151" s="698">
        <f t="shared" ca="1" si="201"/>
        <v>2</v>
      </c>
      <c r="AA151" s="698">
        <f t="shared" ca="1" si="202"/>
        <v>1</v>
      </c>
      <c r="AB151" s="698">
        <f t="shared" ca="1" si="203"/>
        <v>0.1</v>
      </c>
      <c r="AC151" s="55"/>
      <c r="AD151" s="81">
        <v>2030</v>
      </c>
      <c r="AE151" s="81"/>
      <c r="AF151" s="700"/>
    </row>
    <row r="152" spans="1:32">
      <c r="B152" s="718" t="s">
        <v>1010</v>
      </c>
      <c r="C152" s="226"/>
      <c r="E152" s="261"/>
      <c r="F152" s="224" t="s">
        <v>1149</v>
      </c>
      <c r="G152" s="55"/>
      <c r="H152" s="174"/>
      <c r="I152" s="174" t="str">
        <f t="shared" si="145"/>
        <v>INDAWH</v>
      </c>
      <c r="J152" s="224">
        <f t="shared" si="148"/>
        <v>2050</v>
      </c>
      <c r="K152" s="81"/>
      <c r="L152" s="333">
        <f ca="1">VLOOKUP($AD152,INDIRECT("'"&amp;$B152&amp;"'!"&amp;"$P$200:$AD$203"),3,FALSE)*0.4</f>
        <v>0.38</v>
      </c>
      <c r="M152" s="199"/>
      <c r="N152" s="81"/>
      <c r="O152" s="723">
        <f t="shared" ca="1" si="196"/>
        <v>0.27090909090909093</v>
      </c>
      <c r="P152" s="723">
        <f t="shared" ca="1" si="197"/>
        <v>1.2664999999999999E-2</v>
      </c>
      <c r="Q152" s="81">
        <f t="shared" ca="1" si="198"/>
        <v>2.0694444444444446</v>
      </c>
      <c r="R152" s="300"/>
      <c r="S152" s="300"/>
      <c r="T152" s="300"/>
      <c r="U152" s="300"/>
      <c r="V152" s="199">
        <f t="shared" ref="V152" ca="1" si="205">IF(IF(RIGHT(H150,2)="PH",(1-L152)+$W$2,IF(RIGHT(H150,2)="HT",(1-L152)+$W$1,IF(RIGHT(H150,2)="SH",(1-L152)+$W$3,"")))&gt;0,IF(RIGHT(H150,2)="PH",(1-L152)+$W$2,IF(RIGHT(H150,2)="HT",(1-L152)+$W$1,IF(RIGHT(H150,2)="SH",(1-L152)+$W$3,""))),0)</f>
        <v>0.82000000000000006</v>
      </c>
      <c r="W152" s="720"/>
      <c r="X152" s="698">
        <f t="shared" ca="1" si="147"/>
        <v>0.3</v>
      </c>
      <c r="Y152" s="698">
        <f t="shared" ca="1" si="200"/>
        <v>6</v>
      </c>
      <c r="Z152" s="698">
        <f t="shared" ca="1" si="201"/>
        <v>2</v>
      </c>
      <c r="AA152" s="698">
        <f t="shared" ca="1" si="202"/>
        <v>1</v>
      </c>
      <c r="AB152" s="698">
        <f t="shared" ca="1" si="203"/>
        <v>0.1</v>
      </c>
      <c r="AC152" s="203"/>
      <c r="AD152" s="81">
        <v>2050</v>
      </c>
      <c r="AE152" s="81"/>
      <c r="AF152" s="705"/>
    </row>
    <row r="153" spans="1:32">
      <c r="B153" s="718" t="s">
        <v>1010</v>
      </c>
      <c r="C153" s="64"/>
      <c r="D153" s="212" t="str">
        <f>"IND"&amp;RIGHT(H153,4)&amp;"GAS"&amp;"N"&amp;RIGHT(E153,1)</f>
        <v>INDADSHGASN3</v>
      </c>
      <c r="E153" s="261" t="str">
        <f>"Industrial heating technology "&amp;$AJ$12&amp;" "&amp;RIGHT(H153,2)&amp;" - Gas boiler (Hot Water) - new 3"</f>
        <v>Industrial heating technology Aluminium SH - Gas boiler (Hot Water) - new 3</v>
      </c>
      <c r="F153" s="224" t="s">
        <v>1149</v>
      </c>
      <c r="G153" s="173" t="s">
        <v>2080</v>
      </c>
      <c r="H153" s="174" t="str">
        <f>$AI$15</f>
        <v>IADSH</v>
      </c>
      <c r="I153" s="174" t="str">
        <f t="shared" si="145"/>
        <v>INDAWH</v>
      </c>
      <c r="J153" s="224">
        <f t="shared" si="148"/>
        <v>2011</v>
      </c>
      <c r="K153" s="299">
        <v>2020</v>
      </c>
      <c r="L153" s="199">
        <f t="shared" ref="L153:L155" ca="1" si="206">VLOOKUP($AD153,INDIRECT("'"&amp;$B153&amp;"'!"&amp;"$P$200:$AD$203"),3,FALSE)</f>
        <v>0.93</v>
      </c>
      <c r="M153" s="199"/>
      <c r="N153" s="81">
        <f ca="1">VLOOKUP($AD153,INDIRECT("'"&amp;$B153&amp;"'!"&amp;"$P$200:$AD$203"),5,FALSE)</f>
        <v>25</v>
      </c>
      <c r="O153" s="723">
        <f t="shared" ca="1" si="196"/>
        <v>0.3250909090909091</v>
      </c>
      <c r="P153" s="723">
        <f t="shared" ca="1" si="197"/>
        <v>1.49E-2</v>
      </c>
      <c r="Q153" s="81">
        <f t="shared" ca="1" si="198"/>
        <v>2.276388888888889</v>
      </c>
      <c r="R153" s="81">
        <v>3.1536000000000002E-2</v>
      </c>
      <c r="S153" s="199">
        <v>0.5</v>
      </c>
      <c r="T153" s="199">
        <f ca="1">HLOOKUP($T$2,INDIRECT("'"&amp;$B153&amp;"'!"&amp;"$P$167:$AC$180"),IF(H153=$AI$13,6,IF(H153=$AI$14,9,14)),FALSE)</f>
        <v>1</v>
      </c>
      <c r="U153" s="772"/>
      <c r="V153" s="199">
        <f t="shared" ref="V153" ca="1" si="207">IF(IF(RIGHT(H153,2)="PH",(1-L153)+$W$2,IF(RIGHT(H153,2)="HT",(1-L153)+$W$1,IF(RIGHT(H153,2)="SH",(1-L153)+$W$3,"")))&gt;0,IF(RIGHT(H153,2)="PH",(1-L153)+$W$2,IF(RIGHT(H153,2)="HT",(1-L153)+$W$1,IF(RIGHT(H153,2)="SH",(1-L153)+$W$3,""))),0)</f>
        <v>6.9999999999999951E-2</v>
      </c>
      <c r="W153" s="298"/>
      <c r="X153" s="698">
        <f t="shared" ca="1" si="147"/>
        <v>0.3</v>
      </c>
      <c r="Y153" s="698">
        <f t="shared" ca="1" si="200"/>
        <v>9</v>
      </c>
      <c r="Z153" s="698">
        <f t="shared" ca="1" si="201"/>
        <v>3</v>
      </c>
      <c r="AA153" s="698">
        <f t="shared" ca="1" si="202"/>
        <v>1</v>
      </c>
      <c r="AB153" s="698">
        <f t="shared" ca="1" si="203"/>
        <v>0.1</v>
      </c>
      <c r="AC153" s="296"/>
      <c r="AD153" s="81">
        <v>2020</v>
      </c>
      <c r="AE153" s="81"/>
      <c r="AF153" s="710"/>
    </row>
    <row r="154" spans="1:32">
      <c r="B154" s="718" t="s">
        <v>1010</v>
      </c>
      <c r="C154" s="64"/>
      <c r="E154" s="261"/>
      <c r="F154" s="224" t="s">
        <v>1149</v>
      </c>
      <c r="G154" s="55"/>
      <c r="H154" s="174"/>
      <c r="I154" s="174" t="str">
        <f t="shared" si="145"/>
        <v>INDAWH</v>
      </c>
      <c r="J154" s="224">
        <f t="shared" si="148"/>
        <v>2030</v>
      </c>
      <c r="K154" s="81"/>
      <c r="L154" s="199">
        <f t="shared" ca="1" si="206"/>
        <v>0.94</v>
      </c>
      <c r="M154" s="199"/>
      <c r="N154" s="81"/>
      <c r="O154" s="723">
        <f t="shared" ca="1" si="196"/>
        <v>0.27090909090909093</v>
      </c>
      <c r="P154" s="723">
        <f t="shared" ca="1" si="197"/>
        <v>1.4154999999999999E-2</v>
      </c>
      <c r="Q154" s="81">
        <f t="shared" ca="1" si="198"/>
        <v>2.0694444444444446</v>
      </c>
      <c r="R154" s="300"/>
      <c r="S154" s="300"/>
      <c r="T154" s="300"/>
      <c r="U154" s="300"/>
      <c r="V154" s="199">
        <f t="shared" ref="V154" ca="1" si="208">IF(IF(RIGHT(H153,2)="PH",(1-L154)+$W$2,IF(RIGHT(H153,2)="HT",(1-L154)+$W$1,IF(RIGHT(H153,2)="SH",(1-L154)+$W$3,"")))&gt;0,IF(RIGHT(H153,2)="PH",(1-L154)+$W$2,IF(RIGHT(H153,2)="HT",(1-L154)+$W$1,IF(RIGHT(H153,2)="SH",(1-L154)+$W$3,""))),0)</f>
        <v>6.0000000000000053E-2</v>
      </c>
      <c r="W154" s="298"/>
      <c r="X154" s="698">
        <f t="shared" ca="1" si="147"/>
        <v>0.3</v>
      </c>
      <c r="Y154" s="698">
        <f t="shared" ca="1" si="200"/>
        <v>7</v>
      </c>
      <c r="Z154" s="698">
        <f t="shared" ca="1" si="201"/>
        <v>2</v>
      </c>
      <c r="AA154" s="698">
        <f t="shared" ca="1" si="202"/>
        <v>1</v>
      </c>
      <c r="AB154" s="698">
        <f t="shared" ca="1" si="203"/>
        <v>0.1</v>
      </c>
      <c r="AC154" s="55"/>
      <c r="AD154" s="81">
        <v>2030</v>
      </c>
      <c r="AE154" s="81"/>
      <c r="AF154" s="700"/>
    </row>
    <row r="155" spans="1:32">
      <c r="A155" s="226"/>
      <c r="B155" s="719" t="s">
        <v>1010</v>
      </c>
      <c r="C155" s="713"/>
      <c r="D155" s="203"/>
      <c r="E155" s="701"/>
      <c r="F155" s="224" t="s">
        <v>1149</v>
      </c>
      <c r="G155" s="203"/>
      <c r="H155" s="702"/>
      <c r="I155" s="702" t="str">
        <f t="shared" si="145"/>
        <v>INDAWH</v>
      </c>
      <c r="J155" s="224">
        <f t="shared" si="148"/>
        <v>2050</v>
      </c>
      <c r="K155" s="81"/>
      <c r="L155" s="199">
        <f t="shared" ca="1" si="206"/>
        <v>0.95</v>
      </c>
      <c r="M155" s="199"/>
      <c r="N155" s="81"/>
      <c r="O155" s="723">
        <f t="shared" ca="1" si="196"/>
        <v>0.27090909090909093</v>
      </c>
      <c r="P155" s="723">
        <f t="shared" ca="1" si="197"/>
        <v>1.2664999999999999E-2</v>
      </c>
      <c r="Q155" s="81">
        <f t="shared" ca="1" si="198"/>
        <v>2.0694444444444446</v>
      </c>
      <c r="R155" s="300"/>
      <c r="S155" s="300"/>
      <c r="T155" s="300"/>
      <c r="U155" s="300"/>
      <c r="V155" s="199">
        <f t="shared" ref="V155" ca="1" si="209">IF(IF(RIGHT(H153,2)="PH",(1-L155)+$W$2,IF(RIGHT(H153,2)="HT",(1-L155)+$W$1,IF(RIGHT(H153,2)="SH",(1-L155)+$W$3,"")))&gt;0,IF(RIGHT(H153,2)="PH",(1-L155)+$W$2,IF(RIGHT(H153,2)="HT",(1-L155)+$W$1,IF(RIGHT(H153,2)="SH",(1-L155)+$W$3,""))),0)</f>
        <v>5.0000000000000044E-2</v>
      </c>
      <c r="W155" s="298"/>
      <c r="X155" s="698">
        <f t="shared" ca="1" si="147"/>
        <v>0.3</v>
      </c>
      <c r="Y155" s="698">
        <f t="shared" ca="1" si="200"/>
        <v>6</v>
      </c>
      <c r="Z155" s="698">
        <f t="shared" ca="1" si="201"/>
        <v>2</v>
      </c>
      <c r="AA155" s="698">
        <f t="shared" ca="1" si="202"/>
        <v>1</v>
      </c>
      <c r="AB155" s="698">
        <f t="shared" ca="1" si="203"/>
        <v>0.1</v>
      </c>
      <c r="AC155" s="55"/>
      <c r="AD155" s="81">
        <v>2050</v>
      </c>
      <c r="AE155" s="81"/>
      <c r="AF155" s="700"/>
    </row>
    <row r="156" spans="1:32">
      <c r="B156" s="718" t="s">
        <v>1010</v>
      </c>
      <c r="C156" s="64"/>
      <c r="D156" s="212" t="str">
        <f>"IND"&amp;RIGHT(H156,4)&amp;"GAS"&amp;"N"&amp;RIGHT(E156,1)</f>
        <v>INDADPHGASN4</v>
      </c>
      <c r="E156" s="707" t="str">
        <f>"Industrial heating technology "&amp;$AJ$12&amp;" "&amp;RIGHT(H156,2)&amp;" - Gas boiler (Hot Water - condensing) - new 4"</f>
        <v>Industrial heating technology Aluminium PH - Gas boiler (Hot Water - condensing) - new 4</v>
      </c>
      <c r="F156" s="224" t="s">
        <v>1149</v>
      </c>
      <c r="G156" s="173" t="s">
        <v>2080</v>
      </c>
      <c r="H156" s="708" t="str">
        <f>$AI$14</f>
        <v>IADPH</v>
      </c>
      <c r="I156" s="708" t="str">
        <f t="shared" si="145"/>
        <v>INDAWH</v>
      </c>
      <c r="J156" s="224">
        <f t="shared" si="148"/>
        <v>2011</v>
      </c>
      <c r="K156" s="299">
        <v>2020</v>
      </c>
      <c r="L156" s="333">
        <f ca="1">VLOOKUP($AD156,INDIRECT("'"&amp;$B156&amp;"'!"&amp;"$P$279:$AD$282"),3,FALSE)*0.4</f>
        <v>0.40400000000000003</v>
      </c>
      <c r="M156" s="199"/>
      <c r="N156" s="81">
        <f ca="1">VLOOKUP($AD156,INDIRECT("'"&amp;$B156&amp;"'!"&amp;"$P$279:$AD$282"),5,FALSE)</f>
        <v>25</v>
      </c>
      <c r="O156" s="723">
        <f t="shared" ref="O156:O161" ca="1" si="210">VLOOKUP($AD156,INDIRECT("'"&amp;$B156&amp;"'!"&amp;"$P$279:$AD$282"),6,FALSE)/1000</f>
        <v>0.35760000000000003</v>
      </c>
      <c r="P156" s="723">
        <f t="shared" ref="P156:P161" ca="1" si="211">VLOOKUP($AD156,INDIRECT("'"&amp;$B156&amp;"'!"&amp;"$P$279:$AD$282"),7,FALSE)/1000</f>
        <v>1.49E-2</v>
      </c>
      <c r="Q156" s="81">
        <f t="shared" ref="Q156:Q161" ca="1" si="212">VLOOKUP($AD156,INDIRECT("'"&amp;$B156&amp;"'!"&amp;"$P$279:$AD$282"),8,FALSE)</f>
        <v>2.276388888888889</v>
      </c>
      <c r="R156" s="81">
        <v>3.1536000000000002E-2</v>
      </c>
      <c r="S156" s="199">
        <v>0.5</v>
      </c>
      <c r="T156" s="199">
        <f ca="1">HLOOKUP($T$2,INDIRECT("'"&amp;$B156&amp;"'!"&amp;"$P$246:$AC$259"),IF(H156=$AI$13,6,IF(H156=$AI$14,9,14)),FALSE)</f>
        <v>0</v>
      </c>
      <c r="U156" s="773"/>
      <c r="V156" s="199">
        <f t="shared" ref="V156" ca="1" si="213">IF(IF(RIGHT(H156,2)="PH",(1-L156)+$W$2,IF(RIGHT(H156,2)="HT",(1-L156)+$W$1,IF(RIGHT(H156,2)="SH",(1-L156)+$W$3,"")))&gt;0,IF(RIGHT(H156,2)="PH",(1-L156)+$W$2,IF(RIGHT(H156,2)="HT",(1-L156)+$W$1,IF(RIGHT(H156,2)="SH",(1-L156)+$W$3,""))),0)</f>
        <v>0.79600000000000004</v>
      </c>
      <c r="W156" s="709"/>
      <c r="X156" s="698">
        <f t="shared" ca="1" si="147"/>
        <v>0.3</v>
      </c>
      <c r="Y156" s="698">
        <f t="shared" ref="Y156:Y161" ca="1" si="214">VLOOKUP($AD156,INDIRECT("'"&amp;$B156&amp;"'!"&amp;"$P$279:$AD$282"),12,FALSE)</f>
        <v>9</v>
      </c>
      <c r="Z156" s="698">
        <f t="shared" ref="Z156:Z161" ca="1" si="215">VLOOKUP($AD156,INDIRECT("'"&amp;$B156&amp;"'!"&amp;"$P$279:$AD$282"),13,FALSE)</f>
        <v>3</v>
      </c>
      <c r="AA156" s="698">
        <f t="shared" ref="AA156:AA161" ca="1" si="216">VLOOKUP($AD156,INDIRECT("'"&amp;$B156&amp;"'!"&amp;"$P$279:$AD$282"),14,FALSE)</f>
        <v>1</v>
      </c>
      <c r="AB156" s="698">
        <f t="shared" ref="AB156:AB161" ca="1" si="217">VLOOKUP($AD156,INDIRECT("'"&amp;$B156&amp;"'!"&amp;"$P$279:$AD$282"),15,FALSE)</f>
        <v>0.1</v>
      </c>
      <c r="AC156" s="55"/>
      <c r="AD156" s="81">
        <v>2020</v>
      </c>
      <c r="AE156" s="81"/>
      <c r="AF156" s="700"/>
    </row>
    <row r="157" spans="1:32">
      <c r="B157" s="718" t="s">
        <v>1010</v>
      </c>
      <c r="C157" s="64"/>
      <c r="E157" s="261"/>
      <c r="F157" s="224" t="s">
        <v>1149</v>
      </c>
      <c r="G157" s="55"/>
      <c r="H157" s="174"/>
      <c r="I157" s="174" t="str">
        <f t="shared" si="145"/>
        <v>INDAWH</v>
      </c>
      <c r="J157" s="224">
        <f t="shared" si="148"/>
        <v>2030</v>
      </c>
      <c r="K157" s="81"/>
      <c r="L157" s="333">
        <f ca="1">VLOOKUP($AD157,INDIRECT("'"&amp;$B157&amp;"'!"&amp;"$P$279:$AD$282"),3,FALSE)*0.4</f>
        <v>0.41200000000000003</v>
      </c>
      <c r="M157" s="199"/>
      <c r="N157" s="81"/>
      <c r="O157" s="723">
        <f t="shared" ca="1" si="210"/>
        <v>0.29800000000000004</v>
      </c>
      <c r="P157" s="723">
        <f t="shared" ca="1" si="211"/>
        <v>1.4154999999999999E-2</v>
      </c>
      <c r="Q157" s="81">
        <f t="shared" ca="1" si="212"/>
        <v>2.0694444444444446</v>
      </c>
      <c r="R157" s="300"/>
      <c r="S157" s="300"/>
      <c r="T157" s="300"/>
      <c r="U157" s="300"/>
      <c r="V157" s="199">
        <f t="shared" ref="V157" ca="1" si="218">IF(IF(RIGHT(H156,2)="PH",(1-L157)+$W$2,IF(RIGHT(H156,2)="HT",(1-L157)+$W$1,IF(RIGHT(H156,2)="SH",(1-L157)+$W$3,"")))&gt;0,IF(RIGHT(H156,2)="PH",(1-L157)+$W$2,IF(RIGHT(H156,2)="HT",(1-L157)+$W$1,IF(RIGHT(H156,2)="SH",(1-L157)+$W$3,""))),0)</f>
        <v>0.78800000000000003</v>
      </c>
      <c r="W157" s="298"/>
      <c r="X157" s="698">
        <f t="shared" ca="1" si="147"/>
        <v>0.3</v>
      </c>
      <c r="Y157" s="698">
        <f t="shared" ca="1" si="214"/>
        <v>7</v>
      </c>
      <c r="Z157" s="698">
        <f t="shared" ca="1" si="215"/>
        <v>2</v>
      </c>
      <c r="AA157" s="698">
        <f t="shared" ca="1" si="216"/>
        <v>1</v>
      </c>
      <c r="AB157" s="698">
        <f t="shared" ca="1" si="217"/>
        <v>0.1</v>
      </c>
      <c r="AC157" s="55"/>
      <c r="AD157" s="81">
        <v>2030</v>
      </c>
      <c r="AE157" s="81"/>
      <c r="AF157" s="700"/>
    </row>
    <row r="158" spans="1:32">
      <c r="B158" s="718" t="s">
        <v>1010</v>
      </c>
      <c r="C158" s="64"/>
      <c r="E158" s="261"/>
      <c r="F158" s="224" t="s">
        <v>1149</v>
      </c>
      <c r="G158" s="55"/>
      <c r="H158" s="174"/>
      <c r="I158" s="174" t="str">
        <f t="shared" si="145"/>
        <v>INDAWH</v>
      </c>
      <c r="J158" s="224">
        <f t="shared" si="148"/>
        <v>2050</v>
      </c>
      <c r="K158" s="81"/>
      <c r="L158" s="333">
        <f ca="1">VLOOKUP($AD158,INDIRECT("'"&amp;$B158&amp;"'!"&amp;"$P$279:$AD$282"),3,FALSE)*0.4</f>
        <v>0.41200000000000003</v>
      </c>
      <c r="M158" s="199"/>
      <c r="N158" s="81"/>
      <c r="O158" s="723">
        <f t="shared" ca="1" si="210"/>
        <v>0.29800000000000004</v>
      </c>
      <c r="P158" s="723">
        <f t="shared" ca="1" si="211"/>
        <v>1.2664999999999999E-2</v>
      </c>
      <c r="Q158" s="81">
        <f t="shared" ca="1" si="212"/>
        <v>2.0694444444444446</v>
      </c>
      <c r="R158" s="300"/>
      <c r="S158" s="300"/>
      <c r="T158" s="300"/>
      <c r="U158" s="300"/>
      <c r="V158" s="199">
        <f t="shared" ref="V158" ca="1" si="219">IF(IF(RIGHT(H156,2)="PH",(1-L158)+$W$2,IF(RIGHT(H156,2)="HT",(1-L158)+$W$1,IF(RIGHT(H156,2)="SH",(1-L158)+$W$3,"")))&gt;0,IF(RIGHT(H156,2)="PH",(1-L158)+$W$2,IF(RIGHT(H156,2)="HT",(1-L158)+$W$1,IF(RIGHT(H156,2)="SH",(1-L158)+$W$3,""))),0)</f>
        <v>0.78800000000000003</v>
      </c>
      <c r="W158" s="298"/>
      <c r="X158" s="698">
        <f t="shared" ca="1" si="147"/>
        <v>0.3</v>
      </c>
      <c r="Y158" s="698">
        <f t="shared" ca="1" si="214"/>
        <v>6</v>
      </c>
      <c r="Z158" s="698">
        <f t="shared" ca="1" si="215"/>
        <v>2</v>
      </c>
      <c r="AA158" s="698">
        <f t="shared" ca="1" si="216"/>
        <v>1</v>
      </c>
      <c r="AB158" s="698">
        <f t="shared" ca="1" si="217"/>
        <v>0.1</v>
      </c>
      <c r="AC158" s="203"/>
      <c r="AD158" s="81">
        <v>2050</v>
      </c>
      <c r="AE158" s="81"/>
      <c r="AF158" s="705"/>
    </row>
    <row r="159" spans="1:32">
      <c r="A159" s="226"/>
      <c r="B159" s="718" t="s">
        <v>1010</v>
      </c>
      <c r="C159" s="64"/>
      <c r="D159" s="212" t="str">
        <f>"IND"&amp;RIGHT(H159,4)&amp;"GAS"&amp;"N"&amp;RIGHT(E159,1)</f>
        <v>INDADSHGASN4</v>
      </c>
      <c r="E159" s="261" t="str">
        <f>"Industrial heating technology "&amp;$AJ$12&amp;" "&amp;RIGHT(H159,2)&amp;" - Gas boiler (Hot Water- condensing) - new 4"</f>
        <v>Industrial heating technology Aluminium SH - Gas boiler (Hot Water- condensing) - new 4</v>
      </c>
      <c r="F159" s="224" t="s">
        <v>1149</v>
      </c>
      <c r="G159" s="173" t="s">
        <v>2080</v>
      </c>
      <c r="H159" s="174" t="str">
        <f>$AI$15</f>
        <v>IADSH</v>
      </c>
      <c r="I159" s="174" t="str">
        <f t="shared" si="145"/>
        <v>INDAWH</v>
      </c>
      <c r="J159" s="224">
        <f t="shared" si="148"/>
        <v>2011</v>
      </c>
      <c r="K159" s="299">
        <v>2020</v>
      </c>
      <c r="L159" s="199">
        <f t="shared" ref="L159:L161" ca="1" si="220">VLOOKUP($AD159,INDIRECT("'"&amp;$B159&amp;"'!"&amp;"$P$279:$AD$282"),3,FALSE)</f>
        <v>1.01</v>
      </c>
      <c r="M159" s="199"/>
      <c r="N159" s="81">
        <f ca="1">VLOOKUP($AD159,INDIRECT("'"&amp;$B159&amp;"'!"&amp;"$P$279:$AD$282"),5,FALSE)</f>
        <v>25</v>
      </c>
      <c r="O159" s="723">
        <f t="shared" ca="1" si="210"/>
        <v>0.35760000000000003</v>
      </c>
      <c r="P159" s="723">
        <f t="shared" ca="1" si="211"/>
        <v>1.49E-2</v>
      </c>
      <c r="Q159" s="81">
        <f t="shared" ca="1" si="212"/>
        <v>2.276388888888889</v>
      </c>
      <c r="R159" s="81">
        <v>3.1536000000000002E-2</v>
      </c>
      <c r="S159" s="199">
        <v>0.5</v>
      </c>
      <c r="T159" s="199">
        <f ca="1">HLOOKUP($T$2,INDIRECT("'"&amp;$B159&amp;"'!"&amp;"$P$246:$AC$259"),IF(H159=$AI$13,6,IF(H159=$AI$14,9,14)),FALSE)</f>
        <v>0</v>
      </c>
      <c r="U159" s="773"/>
      <c r="V159" s="199">
        <f t="shared" ref="V159" ca="1" si="221">IF(IF(RIGHT(H159,2)="PH",(1-L159)+$W$2,IF(RIGHT(H159,2)="HT",(1-L159)+$W$1,IF(RIGHT(H159,2)="SH",(1-L159)+$W$3,"")))&gt;0,IF(RIGHT(H159,2)="PH",(1-L159)+$W$2,IF(RIGHT(H159,2)="HT",(1-L159)+$W$1,IF(RIGHT(H159,2)="SH",(1-L159)+$W$3,""))),0)</f>
        <v>0</v>
      </c>
      <c r="W159" s="709"/>
      <c r="X159" s="698">
        <f t="shared" ref="X159:X177" ca="1" si="222">IF(VLOOKUP($AD159,INDIRECT("'"&amp;$B159&amp;"'!"&amp;"$P$39:$AD$42"),11,FALSE)="Cf. the utilized electricity",0,VLOOKUP($AD159,INDIRECT("'"&amp;$B159&amp;"'!"&amp;"$P$39:$AD$42"),11,FALSE))</f>
        <v>0.3</v>
      </c>
      <c r="Y159" s="698">
        <f t="shared" ca="1" si="214"/>
        <v>9</v>
      </c>
      <c r="Z159" s="698">
        <f t="shared" ca="1" si="215"/>
        <v>3</v>
      </c>
      <c r="AA159" s="698">
        <f t="shared" ca="1" si="216"/>
        <v>1</v>
      </c>
      <c r="AB159" s="698">
        <f t="shared" ca="1" si="217"/>
        <v>0.1</v>
      </c>
      <c r="AC159" s="296"/>
      <c r="AD159" s="81">
        <v>2020</v>
      </c>
      <c r="AE159" s="81"/>
      <c r="AF159" s="710"/>
    </row>
    <row r="160" spans="1:32">
      <c r="B160" s="718" t="s">
        <v>1010</v>
      </c>
      <c r="C160" s="64"/>
      <c r="E160" s="261"/>
      <c r="F160" s="224" t="s">
        <v>1149</v>
      </c>
      <c r="G160" s="55"/>
      <c r="H160" s="174"/>
      <c r="I160" s="174" t="str">
        <f t="shared" si="145"/>
        <v>INDAWH</v>
      </c>
      <c r="J160" s="224">
        <f t="shared" si="148"/>
        <v>2030</v>
      </c>
      <c r="K160" s="81"/>
      <c r="L160" s="199">
        <f t="shared" ca="1" si="220"/>
        <v>1.03</v>
      </c>
      <c r="M160" s="199"/>
      <c r="N160" s="81"/>
      <c r="O160" s="723">
        <f t="shared" ca="1" si="210"/>
        <v>0.29800000000000004</v>
      </c>
      <c r="P160" s="723">
        <f t="shared" ca="1" si="211"/>
        <v>1.4154999999999999E-2</v>
      </c>
      <c r="Q160" s="81">
        <f t="shared" ca="1" si="212"/>
        <v>2.0694444444444446</v>
      </c>
      <c r="R160" s="300"/>
      <c r="S160" s="300"/>
      <c r="T160" s="300"/>
      <c r="U160" s="300"/>
      <c r="V160" s="199">
        <f t="shared" ref="V160" ca="1" si="223">IF(IF(RIGHT(H159,2)="PH",(1-L160)+$W$2,IF(RIGHT(H159,2)="HT",(1-L160)+$W$1,IF(RIGHT(H159,2)="SH",(1-L160)+$W$3,"")))&gt;0,IF(RIGHT(H159,2)="PH",(1-L160)+$W$2,IF(RIGHT(H159,2)="HT",(1-L160)+$W$1,IF(RIGHT(H159,2)="SH",(1-L160)+$W$3,""))),0)</f>
        <v>0</v>
      </c>
      <c r="W160" s="298"/>
      <c r="X160" s="698">
        <f t="shared" ca="1" si="222"/>
        <v>0.3</v>
      </c>
      <c r="Y160" s="698">
        <f t="shared" ca="1" si="214"/>
        <v>7</v>
      </c>
      <c r="Z160" s="698">
        <f t="shared" ca="1" si="215"/>
        <v>2</v>
      </c>
      <c r="AA160" s="698">
        <f t="shared" ca="1" si="216"/>
        <v>1</v>
      </c>
      <c r="AB160" s="698">
        <f t="shared" ca="1" si="217"/>
        <v>0.1</v>
      </c>
      <c r="AC160" s="55"/>
      <c r="AD160" s="81">
        <v>2030</v>
      </c>
      <c r="AE160" s="81"/>
      <c r="AF160" s="700"/>
    </row>
    <row r="161" spans="1:32">
      <c r="B161" s="719" t="s">
        <v>1010</v>
      </c>
      <c r="C161" s="713"/>
      <c r="D161" s="701"/>
      <c r="E161" s="701"/>
      <c r="F161" s="224" t="s">
        <v>1149</v>
      </c>
      <c r="G161" s="203"/>
      <c r="H161" s="702"/>
      <c r="I161" s="702" t="str">
        <f t="shared" si="145"/>
        <v>INDAWH</v>
      </c>
      <c r="J161" s="224">
        <f t="shared" si="148"/>
        <v>2050</v>
      </c>
      <c r="K161" s="81"/>
      <c r="L161" s="199">
        <f t="shared" ca="1" si="220"/>
        <v>1.03</v>
      </c>
      <c r="M161" s="199"/>
      <c r="N161" s="81"/>
      <c r="O161" s="723">
        <f t="shared" ca="1" si="210"/>
        <v>0.29800000000000004</v>
      </c>
      <c r="P161" s="723">
        <f t="shared" ca="1" si="211"/>
        <v>1.2664999999999999E-2</v>
      </c>
      <c r="Q161" s="81">
        <f t="shared" ca="1" si="212"/>
        <v>2.0694444444444446</v>
      </c>
      <c r="R161" s="300"/>
      <c r="S161" s="300"/>
      <c r="T161" s="300"/>
      <c r="U161" s="300"/>
      <c r="V161" s="199">
        <f t="shared" ref="V161" ca="1" si="224">IF(IF(RIGHT(H159,2)="PH",(1-L161)+$W$2,IF(RIGHT(H159,2)="HT",(1-L161)+$W$1,IF(RIGHT(H159,2)="SH",(1-L161)+$W$3,"")))&gt;0,IF(RIGHT(H159,2)="PH",(1-L161)+$W$2,IF(RIGHT(H159,2)="HT",(1-L161)+$W$1,IF(RIGHT(H159,2)="SH",(1-L161)+$W$3,""))),0)</f>
        <v>0</v>
      </c>
      <c r="W161" s="714"/>
      <c r="X161" s="698">
        <f t="shared" ca="1" si="222"/>
        <v>0.3</v>
      </c>
      <c r="Y161" s="698">
        <f t="shared" ca="1" si="214"/>
        <v>6</v>
      </c>
      <c r="Z161" s="698">
        <f t="shared" ca="1" si="215"/>
        <v>2</v>
      </c>
      <c r="AA161" s="698">
        <f t="shared" ca="1" si="216"/>
        <v>1</v>
      </c>
      <c r="AB161" s="698">
        <f t="shared" ca="1" si="217"/>
        <v>0.1</v>
      </c>
      <c r="AC161" s="55"/>
      <c r="AD161" s="81">
        <v>2050</v>
      </c>
      <c r="AE161" s="81"/>
      <c r="AF161" s="700"/>
    </row>
    <row r="162" spans="1:32">
      <c r="B162" s="718" t="s">
        <v>1010</v>
      </c>
      <c r="C162" s="64"/>
      <c r="D162" s="212" t="s">
        <v>2125</v>
      </c>
      <c r="E162" s="707" t="str">
        <f>"Industrial heating technology "&amp;$AJ$12&amp;" "&amp;RIGHT(H162,2)&amp;" - Gas boiler (Direct firing) - new 5"</f>
        <v>Industrial heating technology Aluminium PH - Gas boiler (Direct firing) - new 5</v>
      </c>
      <c r="F162" s="224" t="s">
        <v>1149</v>
      </c>
      <c r="G162" s="173" t="s">
        <v>2080</v>
      </c>
      <c r="H162" s="174" t="str">
        <f>$AI$13</f>
        <v>IADPH</v>
      </c>
      <c r="I162" s="174" t="str">
        <f t="shared" si="145"/>
        <v>INDAWH</v>
      </c>
      <c r="J162" s="224">
        <f t="shared" si="148"/>
        <v>2011</v>
      </c>
      <c r="K162" s="299">
        <v>2020</v>
      </c>
      <c r="L162" s="333">
        <f ca="1">VLOOKUP($AD162,INDIRECT("'"&amp;$B162&amp;"'!"&amp;"$P$345:$AD$348"),3,FALSE)*0.4</f>
        <v>0.4</v>
      </c>
      <c r="M162" s="199"/>
      <c r="N162" s="81">
        <f ca="1">VLOOKUP($AD162,INDIRECT("'"&amp;$B162&amp;"'!"&amp;"$P$345:$AD$348"),5,FALSE)</f>
        <v>15</v>
      </c>
      <c r="O162" s="723">
        <f t="shared" ref="O162:O167" ca="1" si="225">VLOOKUP($AD162,INDIRECT("'"&amp;$B162&amp;"'!"&amp;"$P$345:$AD$348"),6,FALSE)/1000</f>
        <v>0.11175</v>
      </c>
      <c r="P162" s="723">
        <f t="shared" ref="P162:P167" ca="1" si="226">VLOOKUP($AD162,INDIRECT("'"&amp;$B162&amp;"'!"&amp;"$P$345:$AD$348"),7,FALSE)/1000</f>
        <v>1.3545454545454561E-3</v>
      </c>
      <c r="Q162" s="81">
        <f t="shared" ref="Q162:Q167" ca="1" si="227">VLOOKUP($AD162,INDIRECT("'"&amp;$B162&amp;"'!"&amp;"$P$345:$AD$348"),8,FALSE)</f>
        <v>0.58461805555555546</v>
      </c>
      <c r="R162" s="81">
        <v>3.1536000000000002E-2</v>
      </c>
      <c r="S162" s="199">
        <v>0.5</v>
      </c>
      <c r="T162" s="199">
        <f ca="1">HLOOKUP($S$2,INDIRECT("'"&amp;$B162&amp;"'!"&amp;"$P$312:$AC$325"),IF(H162=$AI$13,6,IF(H162=$AI$14,9,14)),FALSE)</f>
        <v>1</v>
      </c>
      <c r="U162" s="773"/>
      <c r="V162" s="199">
        <f t="shared" ref="V162" ca="1" si="228">IF(IF(RIGHT(H162,2)="PH",(1-L162)+$W$2,IF(RIGHT(H162,2)="HT",(1-L162)+$W$1,IF(RIGHT(H162,2)="SH",(1-L162)+$W$3,"")))&gt;0,IF(RIGHT(H162,2)="PH",(1-L162)+$W$2,IF(RIGHT(H162,2)="HT",(1-L162)+$W$1,IF(RIGHT(H162,2)="SH",(1-L162)+$W$3,""))),0)</f>
        <v>0.8</v>
      </c>
      <c r="W162" s="709"/>
      <c r="X162" s="698">
        <f t="shared" ca="1" si="222"/>
        <v>0.3</v>
      </c>
      <c r="Y162" s="698">
        <f t="shared" ref="Y162:Y167" ca="1" si="229">VLOOKUP($AD162,INDIRECT("'"&amp;$B162&amp;"'!"&amp;"$P$345:$AD$348"),12,FALSE)</f>
        <v>9</v>
      </c>
      <c r="Z162" s="698">
        <f t="shared" ref="Z162:Z167" ca="1" si="230">VLOOKUP($AD162,INDIRECT("'"&amp;$B162&amp;"'!"&amp;"$P$345:$AD$348"),13,FALSE)</f>
        <v>3</v>
      </c>
      <c r="AA162" s="698">
        <f t="shared" ref="AA162:AA167" ca="1" si="231">VLOOKUP($AD162,INDIRECT("'"&amp;$B162&amp;"'!"&amp;"$P$345:$AD$348"),14,FALSE)</f>
        <v>1</v>
      </c>
      <c r="AB162" s="698">
        <f t="shared" ref="AB162:AB167" ca="1" si="232">VLOOKUP($AD162,INDIRECT("'"&amp;$B162&amp;"'!"&amp;"$P$345:$AD$348"),15,FALSE)</f>
        <v>0.1</v>
      </c>
      <c r="AC162" s="55"/>
      <c r="AD162" s="81">
        <v>2020</v>
      </c>
      <c r="AE162" s="81"/>
      <c r="AF162" s="700"/>
    </row>
    <row r="163" spans="1:32">
      <c r="B163" s="718" t="s">
        <v>1010</v>
      </c>
      <c r="C163" s="64"/>
      <c r="D163" s="224" t="s">
        <v>451</v>
      </c>
      <c r="E163" s="261"/>
      <c r="F163" s="224" t="s">
        <v>1149</v>
      </c>
      <c r="G163" s="55"/>
      <c r="H163" s="174"/>
      <c r="I163" s="174" t="str">
        <f t="shared" si="145"/>
        <v>INDAWH</v>
      </c>
      <c r="J163" s="224">
        <f t="shared" si="148"/>
        <v>2030</v>
      </c>
      <c r="K163" s="81"/>
      <c r="L163" s="333">
        <f ca="1">VLOOKUP($AD163,INDIRECT("'"&amp;$B163&amp;"'!"&amp;"$P$345:$AD$348"),3,FALSE)*0.4</f>
        <v>0.4</v>
      </c>
      <c r="M163" s="199"/>
      <c r="N163" s="81"/>
      <c r="O163" s="723">
        <f t="shared" ca="1" si="225"/>
        <v>0.11175</v>
      </c>
      <c r="P163" s="723">
        <f t="shared" ca="1" si="226"/>
        <v>1.3206818181818161E-3</v>
      </c>
      <c r="Q163" s="81">
        <f t="shared" ca="1" si="227"/>
        <v>0.5742708333333334</v>
      </c>
      <c r="R163" s="300"/>
      <c r="S163" s="300"/>
      <c r="T163" s="300"/>
      <c r="U163" s="300"/>
      <c r="V163" s="199">
        <f t="shared" ref="V163" ca="1" si="233">IF(IF(RIGHT(H162,2)="PH",(1-L163)+$W$2,IF(RIGHT(H162,2)="HT",(1-L163)+$W$1,IF(RIGHT(H162,2)="SH",(1-L163)+$W$3,"")))&gt;0,IF(RIGHT(H162,2)="PH",(1-L163)+$W$2,IF(RIGHT(H162,2)="HT",(1-L163)+$W$1,IF(RIGHT(H162,2)="SH",(1-L163)+$W$3,""))),0)</f>
        <v>0.8</v>
      </c>
      <c r="W163" s="298"/>
      <c r="X163" s="698">
        <f t="shared" ca="1" si="222"/>
        <v>0.3</v>
      </c>
      <c r="Y163" s="698">
        <f t="shared" ca="1" si="229"/>
        <v>7</v>
      </c>
      <c r="Z163" s="698">
        <f t="shared" ca="1" si="230"/>
        <v>2</v>
      </c>
      <c r="AA163" s="698">
        <f t="shared" ca="1" si="231"/>
        <v>1</v>
      </c>
      <c r="AB163" s="698">
        <f t="shared" ca="1" si="232"/>
        <v>0.1</v>
      </c>
      <c r="AC163" s="55"/>
      <c r="AD163" s="81">
        <v>2030</v>
      </c>
      <c r="AE163" s="81"/>
      <c r="AF163" s="700"/>
    </row>
    <row r="164" spans="1:32">
      <c r="B164" s="718" t="s">
        <v>1010</v>
      </c>
      <c r="C164" s="64"/>
      <c r="D164" s="224" t="s">
        <v>451</v>
      </c>
      <c r="E164" s="261"/>
      <c r="F164" s="224" t="s">
        <v>1149</v>
      </c>
      <c r="G164" s="55"/>
      <c r="H164" s="174"/>
      <c r="I164" s="174" t="str">
        <f t="shared" si="145"/>
        <v>INDAWH</v>
      </c>
      <c r="J164" s="224">
        <f t="shared" si="148"/>
        <v>2050</v>
      </c>
      <c r="K164" s="81"/>
      <c r="L164" s="333">
        <f ca="1">VLOOKUP($AD164,INDIRECT("'"&amp;$B164&amp;"'!"&amp;"$P$345:$AD$348"),3,FALSE)*0.4</f>
        <v>0.4</v>
      </c>
      <c r="M164" s="199"/>
      <c r="N164" s="81"/>
      <c r="O164" s="723">
        <f t="shared" ca="1" si="225"/>
        <v>0.11175</v>
      </c>
      <c r="P164" s="723">
        <f t="shared" ca="1" si="226"/>
        <v>1.1513636363636396E-3</v>
      </c>
      <c r="Q164" s="81">
        <f t="shared" ca="1" si="227"/>
        <v>0.57944444444444443</v>
      </c>
      <c r="R164" s="300"/>
      <c r="S164" s="300"/>
      <c r="T164" s="300"/>
      <c r="U164" s="300"/>
      <c r="V164" s="199">
        <f t="shared" ref="V164" ca="1" si="234">IF(IF(RIGHT(H162,2)="PH",(1-L164)+$W$2,IF(RIGHT(H162,2)="HT",(1-L164)+$W$1,IF(RIGHT(H162,2)="SH",(1-L164)+$W$3,"")))&gt;0,IF(RIGHT(H162,2)="PH",(1-L164)+$W$2,IF(RIGHT(H162,2)="HT",(1-L164)+$W$1,IF(RIGHT(H162,2)="SH",(1-L164)+$W$3,""))),0)</f>
        <v>0.8</v>
      </c>
      <c r="W164" s="298"/>
      <c r="X164" s="698">
        <f t="shared" ca="1" si="222"/>
        <v>0.3</v>
      </c>
      <c r="Y164" s="698">
        <f t="shared" ca="1" si="229"/>
        <v>6</v>
      </c>
      <c r="Z164" s="698">
        <f t="shared" ca="1" si="230"/>
        <v>2</v>
      </c>
      <c r="AA164" s="698">
        <f t="shared" ca="1" si="231"/>
        <v>1</v>
      </c>
      <c r="AB164" s="698">
        <f t="shared" ca="1" si="232"/>
        <v>0.1</v>
      </c>
      <c r="AC164" s="203"/>
      <c r="AD164" s="81">
        <v>2050</v>
      </c>
      <c r="AE164" s="81"/>
      <c r="AF164" s="700"/>
    </row>
    <row r="165" spans="1:32">
      <c r="B165" s="718" t="s">
        <v>1010</v>
      </c>
      <c r="C165" s="64"/>
      <c r="D165" s="212" t="s">
        <v>2126</v>
      </c>
      <c r="E165" s="261" t="str">
        <f>"Industrial heating technology "&amp;$AJ$12&amp;" "&amp;RIGHT(H165,2)&amp;" - Gas boiler (Direct firing) - new 5"</f>
        <v>Industrial heating technology Aluminium SH - Gas boiler (Direct firing) - new 5</v>
      </c>
      <c r="F165" s="224" t="s">
        <v>1149</v>
      </c>
      <c r="G165" s="173" t="s">
        <v>2080</v>
      </c>
      <c r="H165" s="174" t="str">
        <f>$AI$15</f>
        <v>IADSH</v>
      </c>
      <c r="I165" s="721" t="str">
        <f t="shared" si="145"/>
        <v>INDAWH</v>
      </c>
      <c r="J165" s="224">
        <f t="shared" si="148"/>
        <v>2011</v>
      </c>
      <c r="K165" s="299">
        <v>2020</v>
      </c>
      <c r="L165" s="199">
        <f t="shared" ref="L165:L167" ca="1" si="235">VLOOKUP($AD165,INDIRECT("'"&amp;$B165&amp;"'!"&amp;"$P$345:$AD$348"),3,FALSE)</f>
        <v>1</v>
      </c>
      <c r="M165" s="199"/>
      <c r="N165" s="81">
        <f ca="1">VLOOKUP($AD165,INDIRECT("'"&amp;$B165&amp;"'!"&amp;"$P$279:$AD$282"),5,FALSE)</f>
        <v>25</v>
      </c>
      <c r="O165" s="723">
        <f t="shared" ca="1" si="225"/>
        <v>0.11175</v>
      </c>
      <c r="P165" s="723">
        <f t="shared" ca="1" si="226"/>
        <v>1.3545454545454561E-3</v>
      </c>
      <c r="Q165" s="81">
        <f t="shared" ca="1" si="227"/>
        <v>0.58461805555555546</v>
      </c>
      <c r="R165" s="81">
        <v>3.1536000000000002E-2</v>
      </c>
      <c r="S165" s="199">
        <v>0.5</v>
      </c>
      <c r="T165" s="199">
        <f ca="1">HLOOKUP($S$2,INDIRECT("'"&amp;$B165&amp;"'!"&amp;"$P$312:$AC$325"),IF(H165=$AI$13,6,IF(H165=$AI$14,9,14)),FALSE)</f>
        <v>0</v>
      </c>
      <c r="U165" s="773"/>
      <c r="V165" s="199">
        <f t="shared" ref="V165" ca="1" si="236">IF(IF(RIGHT(H165,2)="PH",(1-L165)+$W$2,IF(RIGHT(H165,2)="HT",(1-L165)+$W$1,IF(RIGHT(H165,2)="SH",(1-L165)+$W$3,"")))&gt;0,IF(RIGHT(H165,2)="PH",(1-L165)+$W$2,IF(RIGHT(H165,2)="HT",(1-L165)+$W$1,IF(RIGHT(H165,2)="SH",(1-L165)+$W$3,""))),0)</f>
        <v>0</v>
      </c>
      <c r="W165" s="709"/>
      <c r="X165" s="698">
        <f t="shared" ca="1" si="222"/>
        <v>0.3</v>
      </c>
      <c r="Y165" s="698">
        <f t="shared" ca="1" si="229"/>
        <v>9</v>
      </c>
      <c r="Z165" s="698">
        <f t="shared" ca="1" si="230"/>
        <v>3</v>
      </c>
      <c r="AA165" s="698">
        <f t="shared" ca="1" si="231"/>
        <v>1</v>
      </c>
      <c r="AB165" s="698">
        <f t="shared" ca="1" si="232"/>
        <v>0.1</v>
      </c>
      <c r="AD165" s="277">
        <v>2020</v>
      </c>
      <c r="AE165" s="273"/>
      <c r="AF165" s="830"/>
    </row>
    <row r="166" spans="1:32">
      <c r="B166" s="718" t="s">
        <v>1010</v>
      </c>
      <c r="C166" s="64"/>
      <c r="D166" s="212" t="s">
        <v>451</v>
      </c>
      <c r="E166" s="261"/>
      <c r="F166" s="224" t="s">
        <v>1149</v>
      </c>
      <c r="G166" s="55"/>
      <c r="H166" s="174"/>
      <c r="I166" s="174" t="str">
        <f t="shared" si="145"/>
        <v>INDAWH</v>
      </c>
      <c r="J166" s="224">
        <f t="shared" si="148"/>
        <v>2030</v>
      </c>
      <c r="K166" s="81"/>
      <c r="L166" s="199">
        <f t="shared" ca="1" si="235"/>
        <v>1</v>
      </c>
      <c r="M166" s="199"/>
      <c r="N166" s="81"/>
      <c r="O166" s="723">
        <f t="shared" ca="1" si="225"/>
        <v>0.11175</v>
      </c>
      <c r="P166" s="723">
        <f t="shared" ca="1" si="226"/>
        <v>1.3206818181818161E-3</v>
      </c>
      <c r="Q166" s="81">
        <f t="shared" ca="1" si="227"/>
        <v>0.5742708333333334</v>
      </c>
      <c r="R166" s="300"/>
      <c r="S166" s="300"/>
      <c r="T166" s="300"/>
      <c r="U166" s="300"/>
      <c r="V166" s="199">
        <f t="shared" ref="V166" ca="1" si="237">IF(IF(RIGHT(H165,2)="PH",(1-L166)+$W$2,IF(RIGHT(H165,2)="HT",(1-L166)+$W$1,IF(RIGHT(H165,2)="SH",(1-L166)+$W$3,"")))&gt;0,IF(RIGHT(H165,2)="PH",(1-L166)+$W$2,IF(RIGHT(H165,2)="HT",(1-L166)+$W$1,IF(RIGHT(H165,2)="SH",(1-L166)+$W$3,""))),0)</f>
        <v>0</v>
      </c>
      <c r="W166" s="298"/>
      <c r="X166" s="698">
        <f t="shared" ca="1" si="222"/>
        <v>0.3</v>
      </c>
      <c r="Y166" s="698">
        <f t="shared" ca="1" si="229"/>
        <v>7</v>
      </c>
      <c r="Z166" s="698">
        <f t="shared" ca="1" si="230"/>
        <v>2</v>
      </c>
      <c r="AA166" s="698">
        <f t="shared" ca="1" si="231"/>
        <v>1</v>
      </c>
      <c r="AB166" s="698">
        <f t="shared" ca="1" si="232"/>
        <v>0.1</v>
      </c>
      <c r="AD166" s="81">
        <v>2030</v>
      </c>
      <c r="AE166" s="273"/>
      <c r="AF166" s="828"/>
    </row>
    <row r="167" spans="1:32">
      <c r="A167" s="169"/>
      <c r="B167" s="719" t="s">
        <v>1010</v>
      </c>
      <c r="C167" s="713"/>
      <c r="D167" s="701" t="s">
        <v>451</v>
      </c>
      <c r="E167" s="701"/>
      <c r="F167" s="224" t="s">
        <v>1149</v>
      </c>
      <c r="G167" s="203"/>
      <c r="H167" s="702"/>
      <c r="I167" s="702" t="str">
        <f t="shared" si="145"/>
        <v>INDAWH</v>
      </c>
      <c r="J167" s="224">
        <f t="shared" si="148"/>
        <v>2050</v>
      </c>
      <c r="K167" s="81"/>
      <c r="L167" s="199">
        <f t="shared" ca="1" si="235"/>
        <v>1</v>
      </c>
      <c r="M167" s="199"/>
      <c r="N167" s="81"/>
      <c r="O167" s="723">
        <f t="shared" ca="1" si="225"/>
        <v>0.11175</v>
      </c>
      <c r="P167" s="723">
        <f t="shared" ca="1" si="226"/>
        <v>1.1513636363636396E-3</v>
      </c>
      <c r="Q167" s="81">
        <f t="shared" ca="1" si="227"/>
        <v>0.57944444444444443</v>
      </c>
      <c r="R167" s="722"/>
      <c r="S167" s="703"/>
      <c r="T167" s="703"/>
      <c r="U167" s="703"/>
      <c r="V167" s="199">
        <f t="shared" ref="V167" ca="1" si="238">IF(IF(RIGHT(H165,2)="PH",(1-L167)+$W$2,IF(RIGHT(H165,2)="HT",(1-L167)+$W$1,IF(RIGHT(H165,2)="SH",(1-L167)+$W$3,"")))&gt;0,IF(RIGHT(H165,2)="PH",(1-L167)+$W$2,IF(RIGHT(H165,2)="HT",(1-L167)+$W$1,IF(RIGHT(H165,2)="SH",(1-L167)+$W$3,""))),0)</f>
        <v>0</v>
      </c>
      <c r="W167" s="714"/>
      <c r="X167" s="698">
        <f t="shared" ca="1" si="222"/>
        <v>0.3</v>
      </c>
      <c r="Y167" s="698">
        <f t="shared" ca="1" si="229"/>
        <v>6</v>
      </c>
      <c r="Z167" s="698">
        <f t="shared" ca="1" si="230"/>
        <v>2</v>
      </c>
      <c r="AA167" s="698">
        <f t="shared" ca="1" si="231"/>
        <v>1</v>
      </c>
      <c r="AB167" s="698">
        <f t="shared" ca="1" si="232"/>
        <v>0.1</v>
      </c>
      <c r="AD167" s="81">
        <v>2050</v>
      </c>
      <c r="AE167" s="273"/>
      <c r="AF167" s="828"/>
    </row>
    <row r="168" spans="1:32">
      <c r="A168" s="169"/>
      <c r="B168" s="718" t="s">
        <v>1099</v>
      </c>
      <c r="C168" s="226"/>
      <c r="D168" s="707" t="str">
        <f>"IND"&amp;RIGHT(H168,4)&amp;RIGHT(G168,3)&amp;"N"&amp;RIGHT(E168,1)</f>
        <v>INDADPHCOAN1</v>
      </c>
      <c r="E168" s="261" t="str">
        <f>"Industrial heating technology "&amp;$AJ$12&amp;" "&amp;RIGHT(H168,2)&amp;" - Coal boiler (Steam) - new 1"</f>
        <v>Industrial heating technology Aluminium PH - Coal boiler (Steam) - new 1</v>
      </c>
      <c r="F168" s="224" t="s">
        <v>1149</v>
      </c>
      <c r="G168" s="55" t="s">
        <v>617</v>
      </c>
      <c r="H168" s="174" t="str">
        <f>$AI$13</f>
        <v>IADPH</v>
      </c>
      <c r="I168" s="174" t="str">
        <f t="shared" si="145"/>
        <v>INDAWH</v>
      </c>
      <c r="J168" s="224">
        <f t="shared" si="148"/>
        <v>2011</v>
      </c>
      <c r="K168" s="299">
        <v>2025</v>
      </c>
      <c r="L168" s="333">
        <f t="shared" ref="L168:L173" ca="1" si="239">VLOOKUP($AD168,INDIRECT("'"&amp;$B168&amp;"'!"&amp;"$P$39:$AD$42"),3,FALSE)*0.4</f>
        <v>0.35600000000000004</v>
      </c>
      <c r="M168" s="699"/>
      <c r="N168" s="299">
        <f ca="1">VLOOKUP($AD168,INDIRECT("'"&amp;$B168&amp;"'!"&amp;"$P$39:$AD$42"),5,FALSE)</f>
        <v>25</v>
      </c>
      <c r="O168" s="725">
        <f t="shared" ref="O168:O176" ca="1" si="240">VLOOKUP($AD168,INDIRECT("'"&amp;$B168&amp;"'!"&amp;"$P$39:$AD$42"),6,FALSE)/1000</f>
        <v>3.7250000000000001</v>
      </c>
      <c r="P168" s="725">
        <f t="shared" ref="P168:P176" ca="1" si="241">VLOOKUP($AD168,INDIRECT("'"&amp;$B168&amp;"'!"&amp;"$P$39:$AD$42"),7,FALSE)/1000</f>
        <v>0.25106499999999998</v>
      </c>
      <c r="Q168" s="299">
        <f t="shared" ref="Q168:Q176" ca="1" si="242">VLOOKUP($AD168,INDIRECT("'"&amp;$B168&amp;"'!"&amp;"$P$39:$AD$42"),8,FALSE)</f>
        <v>3.9381527777777778</v>
      </c>
      <c r="R168" s="299">
        <v>3.1536000000000002E-2</v>
      </c>
      <c r="S168" s="699">
        <v>0.5</v>
      </c>
      <c r="T168" s="699">
        <f ca="1">HLOOKUP($T$2,INDIRECT("'"&amp;$B168&amp;"'!"&amp;"$P$6:$AC$19"),IF(H168=$AI$13,6,IF(H168=$AI$14,9,14)),FALSE)</f>
        <v>1</v>
      </c>
      <c r="U168" s="772"/>
      <c r="V168" s="199">
        <f t="shared" ref="V168" ca="1" si="243">IF(IF(RIGHT(H168,2)="PH",(1-L168)+$W$2,IF(RIGHT(H168,2)="HT",(1-L168)+$W$1,IF(RIGHT(H168,2)="SH",(1-L168)+$W$3,"")))&gt;0,IF(RIGHT(H168,2)="PH",(1-L168)+$W$2,IF(RIGHT(H168,2)="HT",(1-L168)+$W$1,IF(RIGHT(H168,2)="SH",(1-L168)+$W$3,""))),0)</f>
        <v>0.84399999999999986</v>
      </c>
      <c r="W168" s="298"/>
      <c r="X168" s="698">
        <f t="shared" ca="1" si="222"/>
        <v>8</v>
      </c>
      <c r="Y168" s="299">
        <f t="shared" ref="Y168:Y176" ca="1" si="244">VLOOKUP($AD168,INDIRECT("'"&amp;$B168&amp;"'!"&amp;"$P$39:$AD$42"),12,FALSE)</f>
        <v>35</v>
      </c>
      <c r="Z168" s="299">
        <f t="shared" ref="Z168:Z176" ca="1" si="245">VLOOKUP($AD168,INDIRECT("'"&amp;$B168&amp;"'!"&amp;"$P$39:$AD$42"),13,FALSE)</f>
        <v>1.5</v>
      </c>
      <c r="AA168" s="299">
        <f t="shared" ref="AA168:AA176" ca="1" si="246">VLOOKUP($AD168,INDIRECT("'"&amp;$B168&amp;"'!"&amp;"$P$39:$AD$42"),14,FALSE)</f>
        <v>0.8</v>
      </c>
      <c r="AB168" s="299">
        <f t="shared" ref="AB168:AB176" ca="1" si="247">VLOOKUP($AD168,INDIRECT("'"&amp;$B168&amp;"'!"&amp;"$P$39:$AD$42"),15,FALSE)</f>
        <v>2.1</v>
      </c>
      <c r="AD168" s="81">
        <v>2020</v>
      </c>
      <c r="AE168" s="273"/>
      <c r="AF168" s="828"/>
    </row>
    <row r="169" spans="1:32">
      <c r="A169" s="169"/>
      <c r="B169" s="718" t="s">
        <v>1099</v>
      </c>
      <c r="C169" s="226"/>
      <c r="D169" s="261"/>
      <c r="E169" s="261"/>
      <c r="F169" s="224" t="s">
        <v>1149</v>
      </c>
      <c r="G169" s="55"/>
      <c r="H169" s="174"/>
      <c r="I169" s="174" t="str">
        <f t="shared" si="145"/>
        <v>INDAWH</v>
      </c>
      <c r="J169" s="224">
        <f t="shared" si="148"/>
        <v>2030</v>
      </c>
      <c r="K169" s="81"/>
      <c r="L169" s="333">
        <f t="shared" ca="1" si="239"/>
        <v>0.35600000000000004</v>
      </c>
      <c r="M169" s="772"/>
      <c r="N169" s="200"/>
      <c r="O169" s="725">
        <f t="shared" ca="1" si="240"/>
        <v>3.4699403462447704</v>
      </c>
      <c r="P169" s="725">
        <f t="shared" ca="1" si="241"/>
        <v>0.24287</v>
      </c>
      <c r="Q169" s="299">
        <f t="shared" ca="1" si="242"/>
        <v>3.9836805555555559</v>
      </c>
      <c r="R169" s="823"/>
      <c r="S169" s="300"/>
      <c r="T169" s="300"/>
      <c r="U169" s="300"/>
      <c r="V169" s="199">
        <f t="shared" ref="V169" ca="1" si="248">IF(IF(RIGHT(H168,2)="PH",(1-L169)+$W$2,IF(RIGHT(H168,2)="HT",(1-L169)+$W$1,IF(RIGHT(H168,2)="SH",(1-L169)+$W$3,"")))&gt;0,IF(RIGHT(H168,2)="PH",(1-L169)+$W$2,IF(RIGHT(H168,2)="HT",(1-L169)+$W$1,IF(RIGHT(H168,2)="SH",(1-L169)+$W$3,""))),0)</f>
        <v>0.84399999999999986</v>
      </c>
      <c r="W169" s="298"/>
      <c r="X169" s="698">
        <f t="shared" ca="1" si="222"/>
        <v>8</v>
      </c>
      <c r="Y169" s="299">
        <f t="shared" ca="1" si="244"/>
        <v>35</v>
      </c>
      <c r="Z169" s="299">
        <f t="shared" ca="1" si="245"/>
        <v>1.5</v>
      </c>
      <c r="AA169" s="299">
        <f t="shared" ca="1" si="246"/>
        <v>0.8</v>
      </c>
      <c r="AB169" s="299">
        <f t="shared" ca="1" si="247"/>
        <v>2.1</v>
      </c>
      <c r="AD169" s="81">
        <v>2030</v>
      </c>
      <c r="AE169" s="273"/>
      <c r="AF169" s="828"/>
    </row>
    <row r="170" spans="1:32">
      <c r="A170" s="169"/>
      <c r="B170" s="718" t="s">
        <v>1099</v>
      </c>
      <c r="C170" s="226"/>
      <c r="D170" s="261"/>
      <c r="E170" s="261"/>
      <c r="F170" s="224" t="s">
        <v>1149</v>
      </c>
      <c r="G170" s="55"/>
      <c r="H170" s="174"/>
      <c r="I170" s="174" t="str">
        <f t="shared" si="145"/>
        <v>INDAWH</v>
      </c>
      <c r="J170" s="224">
        <f t="shared" si="148"/>
        <v>2050</v>
      </c>
      <c r="K170" s="81"/>
      <c r="L170" s="333">
        <f t="shared" ca="1" si="239"/>
        <v>0.36400000000000005</v>
      </c>
      <c r="M170" s="772"/>
      <c r="N170" s="200"/>
      <c r="O170" s="725">
        <f t="shared" ca="1" si="240"/>
        <v>3.2813985758696647</v>
      </c>
      <c r="P170" s="725">
        <f t="shared" ca="1" si="241"/>
        <v>0.22797000000000001</v>
      </c>
      <c r="Q170" s="299">
        <f t="shared" ca="1" si="242"/>
        <v>4.0064444444444449</v>
      </c>
      <c r="R170" s="823"/>
      <c r="S170" s="300"/>
      <c r="T170" s="300"/>
      <c r="U170" s="300"/>
      <c r="V170" s="199">
        <f t="shared" ref="V170" ca="1" si="249">IF(IF(RIGHT(H168,2)="PH",(1-L170)+$W$2,IF(RIGHT(H168,2)="HT",(1-L170)+$W$1,IF(RIGHT(H168,2)="SH",(1-L170)+$W$3,"")))&gt;0,IF(RIGHT(H168,2)="PH",(1-L170)+$W$2,IF(RIGHT(H168,2)="HT",(1-L170)+$W$1,IF(RIGHT(H168,2)="SH",(1-L170)+$W$3,""))),0)</f>
        <v>0.83599999999999985</v>
      </c>
      <c r="W170" s="298"/>
      <c r="X170" s="698">
        <f t="shared" ca="1" si="222"/>
        <v>8</v>
      </c>
      <c r="Y170" s="299">
        <f t="shared" ca="1" si="244"/>
        <v>35</v>
      </c>
      <c r="Z170" s="299">
        <f t="shared" ca="1" si="245"/>
        <v>1.5</v>
      </c>
      <c r="AA170" s="299">
        <f t="shared" ca="1" si="246"/>
        <v>0.8</v>
      </c>
      <c r="AB170" s="299">
        <f t="shared" ca="1" si="247"/>
        <v>2.1</v>
      </c>
      <c r="AD170" s="81">
        <v>2050</v>
      </c>
      <c r="AE170" s="273"/>
      <c r="AF170" s="828"/>
    </row>
    <row r="171" spans="1:32">
      <c r="A171" s="169"/>
      <c r="B171" s="718" t="s">
        <v>1099</v>
      </c>
      <c r="C171" s="226"/>
      <c r="D171" s="261" t="str">
        <f>"IND"&amp;RIGHT(H171,4)&amp;RIGHT(G171,3)&amp;"N"&amp;RIGHT(E171,1)</f>
        <v>INDADPHCOAN1</v>
      </c>
      <c r="E171" s="261" t="str">
        <f>"Industrial heating technology "&amp;$AJ$12&amp;" "&amp;RIGHT(H171,2)&amp;" - Coal boiler (Steam) - new 1"</f>
        <v>Industrial heating technology Aluminium PH - Coal boiler (Steam) - new 1</v>
      </c>
      <c r="F171" s="224" t="s">
        <v>1149</v>
      </c>
      <c r="G171" s="55" t="s">
        <v>617</v>
      </c>
      <c r="H171" s="174" t="str">
        <f>$AI$14</f>
        <v>IADPH</v>
      </c>
      <c r="I171" s="174" t="str">
        <f t="shared" si="145"/>
        <v>INDAWH</v>
      </c>
      <c r="J171" s="224">
        <f t="shared" si="148"/>
        <v>2011</v>
      </c>
      <c r="K171" s="299">
        <v>2025</v>
      </c>
      <c r="L171" s="333">
        <f t="shared" ca="1" si="239"/>
        <v>0.35600000000000004</v>
      </c>
      <c r="M171" s="199"/>
      <c r="N171" s="81">
        <f ca="1">VLOOKUP($AD171,INDIRECT("'"&amp;$B171&amp;"'!"&amp;"$P$39:$AD$42"),5,FALSE)</f>
        <v>25</v>
      </c>
      <c r="O171" s="725">
        <f t="shared" ca="1" si="240"/>
        <v>3.7250000000000001</v>
      </c>
      <c r="P171" s="725">
        <f t="shared" ca="1" si="241"/>
        <v>0.25106499999999998</v>
      </c>
      <c r="Q171" s="299">
        <f t="shared" ca="1" si="242"/>
        <v>3.9381527777777778</v>
      </c>
      <c r="R171" s="81">
        <v>3.1536000000000002E-2</v>
      </c>
      <c r="S171" s="199">
        <v>0.5</v>
      </c>
      <c r="T171" s="199">
        <f ca="1">HLOOKUP($T$2,INDIRECT("'"&amp;$B171&amp;"'!"&amp;"$P$6:$AC$19"),IF(H171=$AI$13,6,IF(H171=$AI$14,9,14)),FALSE)</f>
        <v>1</v>
      </c>
      <c r="U171" s="772"/>
      <c r="V171" s="199">
        <f t="shared" ref="V171" ca="1" si="250">IF(IF(RIGHT(H171,2)="PH",(1-L171)+$W$2,IF(RIGHT(H171,2)="HT",(1-L171)+$W$1,IF(RIGHT(H171,2)="SH",(1-L171)+$W$3,"")))&gt;0,IF(RIGHT(H171,2)="PH",(1-L171)+$W$2,IF(RIGHT(H171,2)="HT",(1-L171)+$W$1,IF(RIGHT(H171,2)="SH",(1-L171)+$W$3,""))),0)</f>
        <v>0.84399999999999986</v>
      </c>
      <c r="W171" s="298"/>
      <c r="X171" s="698">
        <f t="shared" ca="1" si="222"/>
        <v>8</v>
      </c>
      <c r="Y171" s="299">
        <f t="shared" ca="1" si="244"/>
        <v>35</v>
      </c>
      <c r="Z171" s="299">
        <f t="shared" ca="1" si="245"/>
        <v>1.5</v>
      </c>
      <c r="AA171" s="299">
        <f t="shared" ca="1" si="246"/>
        <v>0.8</v>
      </c>
      <c r="AB171" s="299">
        <f t="shared" ca="1" si="247"/>
        <v>2.1</v>
      </c>
      <c r="AD171" s="81">
        <v>2020</v>
      </c>
      <c r="AE171" s="273"/>
      <c r="AF171" s="828"/>
    </row>
    <row r="172" spans="1:32">
      <c r="A172" s="169"/>
      <c r="B172" s="718" t="s">
        <v>1099</v>
      </c>
      <c r="C172" s="226"/>
      <c r="D172" s="261"/>
      <c r="E172" s="261"/>
      <c r="F172" s="224" t="s">
        <v>1149</v>
      </c>
      <c r="G172" s="55"/>
      <c r="H172" s="174"/>
      <c r="I172" s="174" t="str">
        <f t="shared" si="145"/>
        <v>INDAWH</v>
      </c>
      <c r="J172" s="224">
        <f t="shared" si="148"/>
        <v>2030</v>
      </c>
      <c r="K172" s="81"/>
      <c r="L172" s="333">
        <f t="shared" ca="1" si="239"/>
        <v>0.35600000000000004</v>
      </c>
      <c r="M172" s="772"/>
      <c r="N172" s="200"/>
      <c r="O172" s="725">
        <f t="shared" ca="1" si="240"/>
        <v>3.4699403462447704</v>
      </c>
      <c r="P172" s="725">
        <f t="shared" ca="1" si="241"/>
        <v>0.24287</v>
      </c>
      <c r="Q172" s="299">
        <f t="shared" ca="1" si="242"/>
        <v>3.9836805555555559</v>
      </c>
      <c r="R172" s="823"/>
      <c r="S172" s="300"/>
      <c r="T172" s="300"/>
      <c r="U172" s="300"/>
      <c r="V172" s="199">
        <f t="shared" ref="V172" ca="1" si="251">IF(IF(RIGHT(H171,2)="PH",(1-L172)+$W$2,IF(RIGHT(H171,2)="HT",(1-L172)+$W$1,IF(RIGHT(H171,2)="SH",(1-L172)+$W$3,"")))&gt;0,IF(RIGHT(H171,2)="PH",(1-L172)+$W$2,IF(RIGHT(H171,2)="HT",(1-L172)+$W$1,IF(RIGHT(H171,2)="SH",(1-L172)+$W$3,""))),0)</f>
        <v>0.84399999999999986</v>
      </c>
      <c r="W172" s="298"/>
      <c r="X172" s="698">
        <f t="shared" ca="1" si="222"/>
        <v>8</v>
      </c>
      <c r="Y172" s="299">
        <f t="shared" ca="1" si="244"/>
        <v>35</v>
      </c>
      <c r="Z172" s="299">
        <f t="shared" ca="1" si="245"/>
        <v>1.5</v>
      </c>
      <c r="AA172" s="299">
        <f t="shared" ca="1" si="246"/>
        <v>0.8</v>
      </c>
      <c r="AB172" s="299">
        <f t="shared" ca="1" si="247"/>
        <v>2.1</v>
      </c>
      <c r="AD172" s="81">
        <v>2030</v>
      </c>
      <c r="AE172" s="273"/>
      <c r="AF172" s="828"/>
    </row>
    <row r="173" spans="1:32">
      <c r="A173" s="169"/>
      <c r="B173" s="718" t="s">
        <v>1099</v>
      </c>
      <c r="C173" s="226"/>
      <c r="D173" s="261"/>
      <c r="E173" s="261"/>
      <c r="F173" s="224" t="s">
        <v>1149</v>
      </c>
      <c r="G173" s="55"/>
      <c r="H173" s="174"/>
      <c r="I173" s="174" t="str">
        <f t="shared" si="145"/>
        <v>INDAWH</v>
      </c>
      <c r="J173" s="224">
        <f t="shared" si="148"/>
        <v>2050</v>
      </c>
      <c r="K173" s="81"/>
      <c r="L173" s="333">
        <f t="shared" ca="1" si="239"/>
        <v>0.36400000000000005</v>
      </c>
      <c r="M173" s="772"/>
      <c r="N173" s="200"/>
      <c r="O173" s="725">
        <f t="shared" ca="1" si="240"/>
        <v>3.2813985758696647</v>
      </c>
      <c r="P173" s="725">
        <f t="shared" ca="1" si="241"/>
        <v>0.22797000000000001</v>
      </c>
      <c r="Q173" s="299">
        <f t="shared" ca="1" si="242"/>
        <v>4.0064444444444449</v>
      </c>
      <c r="R173" s="823"/>
      <c r="S173" s="300"/>
      <c r="T173" s="300"/>
      <c r="U173" s="300"/>
      <c r="V173" s="199">
        <f t="shared" ref="V173" ca="1" si="252">IF(IF(RIGHT(H171,2)="PH",(1-L173)+$W$2,IF(RIGHT(H171,2)="HT",(1-L173)+$W$1,IF(RIGHT(H171,2)="SH",(1-L173)+$W$3,"")))&gt;0,IF(RIGHT(H171,2)="PH",(1-L173)+$W$2,IF(RIGHT(H171,2)="HT",(1-L173)+$W$1,IF(RIGHT(H171,2)="SH",(1-L173)+$W$3,""))),0)</f>
        <v>0.83599999999999985</v>
      </c>
      <c r="W173" s="298"/>
      <c r="X173" s="698">
        <f t="shared" ca="1" si="222"/>
        <v>8</v>
      </c>
      <c r="Y173" s="299">
        <f t="shared" ca="1" si="244"/>
        <v>35</v>
      </c>
      <c r="Z173" s="299">
        <f t="shared" ca="1" si="245"/>
        <v>1.5</v>
      </c>
      <c r="AA173" s="299">
        <f t="shared" ca="1" si="246"/>
        <v>0.8</v>
      </c>
      <c r="AB173" s="299">
        <f t="shared" ca="1" si="247"/>
        <v>2.1</v>
      </c>
      <c r="AD173" s="81">
        <v>2050</v>
      </c>
      <c r="AE173" s="273"/>
      <c r="AF173" s="828"/>
    </row>
    <row r="174" spans="1:32">
      <c r="A174" s="169"/>
      <c r="B174" s="718" t="s">
        <v>1099</v>
      </c>
      <c r="C174" s="226"/>
      <c r="D174" s="261" t="str">
        <f>"IND"&amp;RIGHT(H174,4)&amp;RIGHT(G174,3)&amp;"N"&amp;RIGHT(E174,1)</f>
        <v>INDADSHCOAN1</v>
      </c>
      <c r="E174" s="261" t="str">
        <f>"Industrial heating technology "&amp;$AJ$12&amp;" "&amp;RIGHT(H174,2)&amp;" - Coal boiler (Steam) - new 1"</f>
        <v>Industrial heating technology Aluminium SH - Coal boiler (Steam) - new 1</v>
      </c>
      <c r="F174" s="224" t="s">
        <v>1149</v>
      </c>
      <c r="G174" s="55" t="s">
        <v>617</v>
      </c>
      <c r="H174" s="174" t="str">
        <f>$AI$15</f>
        <v>IADSH</v>
      </c>
      <c r="I174" s="174" t="str">
        <f t="shared" si="145"/>
        <v>INDAWH</v>
      </c>
      <c r="J174" s="224">
        <f t="shared" si="148"/>
        <v>2011</v>
      </c>
      <c r="K174" s="299">
        <v>2025</v>
      </c>
      <c r="L174" s="199">
        <f t="shared" ref="L174:L176" ca="1" si="253">VLOOKUP($AD174,INDIRECT("'"&amp;$B174&amp;"'!"&amp;"$P$39:$AD$42"),3,FALSE)</f>
        <v>0.89</v>
      </c>
      <c r="M174" s="199"/>
      <c r="N174" s="81">
        <f ca="1">VLOOKUP($AD174,INDIRECT("'"&amp;$B174&amp;"'!"&amp;"$P$39:$AD$42"),5,FALSE)</f>
        <v>25</v>
      </c>
      <c r="O174" s="725">
        <f t="shared" ca="1" si="240"/>
        <v>3.7250000000000001</v>
      </c>
      <c r="P174" s="725">
        <f t="shared" ca="1" si="241"/>
        <v>0.25106499999999998</v>
      </c>
      <c r="Q174" s="299">
        <f t="shared" ca="1" si="242"/>
        <v>3.9381527777777778</v>
      </c>
      <c r="R174" s="81">
        <v>3.1536000000000002E-2</v>
      </c>
      <c r="S174" s="199">
        <v>0.5</v>
      </c>
      <c r="T174" s="199">
        <f ca="1">HLOOKUP($T$2,INDIRECT("'"&amp;$B174&amp;"'!"&amp;"$P$6:$AC$19"),IF(H174=$AI$13,6,IF(H174=$AI$14,9,14)),FALSE)</f>
        <v>1</v>
      </c>
      <c r="U174" s="772"/>
      <c r="V174" s="199">
        <f t="shared" ref="V174" ca="1" si="254">IF(IF(RIGHT(H174,2)="PH",(1-L174)+$W$2,IF(RIGHT(H174,2)="HT",(1-L174)+$W$1,IF(RIGHT(H174,2)="SH",(1-L174)+$W$3,"")))&gt;0,IF(RIGHT(H174,2)="PH",(1-L174)+$W$2,IF(RIGHT(H174,2)="HT",(1-L174)+$W$1,IF(RIGHT(H174,2)="SH",(1-L174)+$W$3,""))),0)</f>
        <v>0.10999999999999999</v>
      </c>
      <c r="W174" s="298"/>
      <c r="X174" s="698">
        <f t="shared" ca="1" si="222"/>
        <v>8</v>
      </c>
      <c r="Y174" s="299">
        <f t="shared" ca="1" si="244"/>
        <v>35</v>
      </c>
      <c r="Z174" s="299">
        <f t="shared" ca="1" si="245"/>
        <v>1.5</v>
      </c>
      <c r="AA174" s="299">
        <f t="shared" ca="1" si="246"/>
        <v>0.8</v>
      </c>
      <c r="AB174" s="299">
        <f t="shared" ca="1" si="247"/>
        <v>2.1</v>
      </c>
      <c r="AD174" s="81">
        <v>2020</v>
      </c>
      <c r="AE174" s="273"/>
      <c r="AF174" s="828"/>
    </row>
    <row r="175" spans="1:32">
      <c r="A175" s="169"/>
      <c r="B175" s="718" t="s">
        <v>1099</v>
      </c>
      <c r="C175" s="226"/>
      <c r="D175" s="261"/>
      <c r="E175" s="261"/>
      <c r="F175" s="224" t="s">
        <v>1149</v>
      </c>
      <c r="G175" s="55"/>
      <c r="H175" s="174"/>
      <c r="I175" s="174" t="str">
        <f t="shared" si="145"/>
        <v>INDAWH</v>
      </c>
      <c r="J175" s="224">
        <f t="shared" si="148"/>
        <v>2030</v>
      </c>
      <c r="K175" s="81"/>
      <c r="L175" s="199">
        <f t="shared" ca="1" si="253"/>
        <v>0.89</v>
      </c>
      <c r="M175" s="772"/>
      <c r="N175" s="200"/>
      <c r="O175" s="725">
        <f t="shared" ca="1" si="240"/>
        <v>3.4699403462447704</v>
      </c>
      <c r="P175" s="725">
        <f t="shared" ca="1" si="241"/>
        <v>0.24287</v>
      </c>
      <c r="Q175" s="299">
        <f t="shared" ca="1" si="242"/>
        <v>3.9836805555555559</v>
      </c>
      <c r="R175" s="823"/>
      <c r="S175" s="300"/>
      <c r="T175" s="300"/>
      <c r="U175" s="300"/>
      <c r="V175" s="199">
        <f t="shared" ref="V175" ca="1" si="255">IF(IF(RIGHT(H174,2)="PH",(1-L175)+$W$2,IF(RIGHT(H174,2)="HT",(1-L175)+$W$1,IF(RIGHT(H174,2)="SH",(1-L175)+$W$3,"")))&gt;0,IF(RIGHT(H174,2)="PH",(1-L175)+$W$2,IF(RIGHT(H174,2)="HT",(1-L175)+$W$1,IF(RIGHT(H174,2)="SH",(1-L175)+$W$3,""))),0)</f>
        <v>0.10999999999999999</v>
      </c>
      <c r="W175" s="298"/>
      <c r="X175" s="698">
        <f t="shared" ca="1" si="222"/>
        <v>8</v>
      </c>
      <c r="Y175" s="299">
        <f t="shared" ca="1" si="244"/>
        <v>35</v>
      </c>
      <c r="Z175" s="299">
        <f t="shared" ca="1" si="245"/>
        <v>1.5</v>
      </c>
      <c r="AA175" s="299">
        <f t="shared" ca="1" si="246"/>
        <v>0.8</v>
      </c>
      <c r="AB175" s="299">
        <f t="shared" ca="1" si="247"/>
        <v>2.1</v>
      </c>
      <c r="AD175" s="81">
        <v>2030</v>
      </c>
      <c r="AE175" s="273"/>
      <c r="AF175" s="828"/>
    </row>
    <row r="176" spans="1:32">
      <c r="A176" s="169"/>
      <c r="B176" s="719" t="s">
        <v>1099</v>
      </c>
      <c r="C176" s="713"/>
      <c r="D176" s="701"/>
      <c r="E176" s="701"/>
      <c r="F176" s="224" t="s">
        <v>1149</v>
      </c>
      <c r="G176" s="203"/>
      <c r="H176" s="702"/>
      <c r="I176" s="702" t="str">
        <f t="shared" si="145"/>
        <v>INDAWH</v>
      </c>
      <c r="J176" s="224">
        <f t="shared" si="148"/>
        <v>2050</v>
      </c>
      <c r="K176" s="81"/>
      <c r="L176" s="199">
        <f t="shared" ca="1" si="253"/>
        <v>0.91</v>
      </c>
      <c r="M176" s="826"/>
      <c r="N176" s="825"/>
      <c r="O176" s="725">
        <f t="shared" ca="1" si="240"/>
        <v>3.2813985758696647</v>
      </c>
      <c r="P176" s="725">
        <f t="shared" ca="1" si="241"/>
        <v>0.22797000000000001</v>
      </c>
      <c r="Q176" s="299">
        <f t="shared" ca="1" si="242"/>
        <v>4.0064444444444449</v>
      </c>
      <c r="R176" s="722"/>
      <c r="S176" s="703"/>
      <c r="T176" s="703"/>
      <c r="U176" s="703"/>
      <c r="V176" s="199">
        <f t="shared" ref="V176" ca="1" si="256">IF(IF(RIGHT(H174,2)="PH",(1-L176)+$W$2,IF(RIGHT(H174,2)="HT",(1-L176)+$W$1,IF(RIGHT(H174,2)="SH",(1-L176)+$W$3,"")))&gt;0,IF(RIGHT(H174,2)="PH",(1-L176)+$W$2,IF(RIGHT(H174,2)="HT",(1-L176)+$W$1,IF(RIGHT(H174,2)="SH",(1-L176)+$W$3,""))),0)</f>
        <v>8.9999999999999969E-2</v>
      </c>
      <c r="W176" s="704"/>
      <c r="X176" s="698">
        <f t="shared" ca="1" si="222"/>
        <v>8</v>
      </c>
      <c r="Y176" s="299">
        <f t="shared" ca="1" si="244"/>
        <v>35</v>
      </c>
      <c r="Z176" s="299">
        <f t="shared" ca="1" si="245"/>
        <v>1.5</v>
      </c>
      <c r="AA176" s="299">
        <f t="shared" ca="1" si="246"/>
        <v>0.8</v>
      </c>
      <c r="AB176" s="299">
        <f t="shared" ca="1" si="247"/>
        <v>2.1</v>
      </c>
      <c r="AC176" s="203"/>
      <c r="AD176" s="81">
        <v>2050</v>
      </c>
      <c r="AE176" s="273"/>
      <c r="AF176" s="829"/>
    </row>
    <row r="177" spans="1:32">
      <c r="A177" s="169"/>
      <c r="B177" s="718" t="s">
        <v>1099</v>
      </c>
      <c r="C177" s="226"/>
      <c r="D177" s="707" t="str">
        <f>"IND"&amp;RIGHT(H177,4)&amp;RIGHT(G177,3)&amp;"N"&amp;RIGHT(E177,1)</f>
        <v>INDADPHCOAN2</v>
      </c>
      <c r="E177" s="261" t="str">
        <f>"Industrial heating technology "&amp;$AJ$12&amp;" "&amp;RIGHT(H177,2)&amp;" - Coal boiler (Hot Water) - new 2"</f>
        <v>Industrial heating technology Aluminium PH - Coal boiler (Hot Water) - new 2</v>
      </c>
      <c r="F177" s="224" t="s">
        <v>1149</v>
      </c>
      <c r="G177" s="55" t="s">
        <v>617</v>
      </c>
      <c r="H177" s="174" t="str">
        <f>$AI$14</f>
        <v>IADPH</v>
      </c>
      <c r="I177" s="174" t="str">
        <f t="shared" si="145"/>
        <v>INDAWH</v>
      </c>
      <c r="J177" s="224">
        <f t="shared" si="148"/>
        <v>2011</v>
      </c>
      <c r="K177" s="299">
        <v>2025</v>
      </c>
      <c r="L177" s="333">
        <f ca="1">VLOOKUP($AD177,INDIRECT("'"&amp;$B177&amp;"'!"&amp;"$P$118:$AD$121"),3,FALSE)*0.4</f>
        <v>0.35600000000000004</v>
      </c>
      <c r="M177" s="199"/>
      <c r="N177" s="81">
        <f ca="1">VLOOKUP($AD177,INDIRECT("'"&amp;$B177&amp;"'!"&amp;"$P$118:$AD$121"),5,FALSE)</f>
        <v>25</v>
      </c>
      <c r="O177" s="723">
        <f t="shared" ref="O177:O182" ca="1" si="257">VLOOKUP($AD177,INDIRECT("'"&amp;$B177&amp;"'!"&amp;"$P$118:$AD$121"),6,FALSE)/1000</f>
        <v>3.7250000000000001</v>
      </c>
      <c r="P177" s="723">
        <f t="shared" ref="P177:P182" ca="1" si="258">VLOOKUP($AD177,INDIRECT("'"&amp;$B177&amp;"'!"&amp;"$P$118:$AD$121"),7,FALSE)/1000</f>
        <v>0.25106499999999998</v>
      </c>
      <c r="Q177" s="81">
        <f t="shared" ref="Q177:Q182" ca="1" si="259">VLOOKUP($AD177,INDIRECT("'"&amp;$B177&amp;"'!"&amp;"$P$118:$AD$121"),8,FALSE)</f>
        <v>3.9381527777777778</v>
      </c>
      <c r="R177" s="81">
        <v>3.1536000000000002E-2</v>
      </c>
      <c r="S177" s="199">
        <v>0.5</v>
      </c>
      <c r="T177" s="199">
        <f ca="1">HLOOKUP($T$2,INDIRECT("'"&amp;$B177&amp;"'!"&amp;"$P$85:$AC$98"),IF(H177=$AI$13,6,IF(H177=$AI$14,9,14)),FALSE)</f>
        <v>0</v>
      </c>
      <c r="U177" s="773"/>
      <c r="V177" s="199">
        <f t="shared" ref="V177" ca="1" si="260">IF(IF(RIGHT(H177,2)="PH",(1-L177)+$W$2,IF(RIGHT(H177,2)="HT",(1-L177)+$W$1,IF(RIGHT(H177,2)="SH",(1-L177)+$W$3,"")))&gt;0,IF(RIGHT(H177,2)="PH",(1-L177)+$W$2,IF(RIGHT(H177,2)="HT",(1-L177)+$W$1,IF(RIGHT(H177,2)="SH",(1-L177)+$W$3,""))),0)</f>
        <v>0.84399999999999986</v>
      </c>
      <c r="W177" s="709"/>
      <c r="X177" s="698">
        <f t="shared" ca="1" si="222"/>
        <v>8</v>
      </c>
      <c r="Y177" s="698">
        <f ca="1">VLOOKUP($AD177,INDIRECT("'"&amp;$B177&amp;"'!"&amp;"$P$118:$AD$121"),12,FALSE)</f>
        <v>35</v>
      </c>
      <c r="Z177" s="698">
        <f ca="1">VLOOKUP($AD177,INDIRECT("'"&amp;$B177&amp;"'!"&amp;"$P$118:$AD$121"),13,FALSE)</f>
        <v>1.5</v>
      </c>
      <c r="AA177" s="698">
        <f ca="1">VLOOKUP($AD177,INDIRECT("'"&amp;$B177&amp;"'!"&amp;"$P$118:$AD$121"),14,FALSE)</f>
        <v>0.8</v>
      </c>
      <c r="AB177" s="698">
        <f ca="1">VLOOKUP($AD177,INDIRECT("'"&amp;$B177&amp;"'!"&amp;"$P$118:$AD$121"),15,FALSE)</f>
        <v>2.1</v>
      </c>
      <c r="AC177" s="55"/>
      <c r="AD177" s="81">
        <v>2020</v>
      </c>
      <c r="AE177" s="273"/>
      <c r="AF177" s="828"/>
    </row>
    <row r="178" spans="1:32">
      <c r="A178" s="169"/>
      <c r="B178" s="718" t="s">
        <v>1099</v>
      </c>
      <c r="C178" s="226"/>
      <c r="D178" s="261"/>
      <c r="E178" s="261"/>
      <c r="F178" s="224" t="s">
        <v>1149</v>
      </c>
      <c r="G178" s="55"/>
      <c r="H178" s="174"/>
      <c r="I178" s="174" t="str">
        <f t="shared" si="145"/>
        <v>INDAWH</v>
      </c>
      <c r="J178" s="224">
        <f t="shared" si="148"/>
        <v>2030</v>
      </c>
      <c r="K178" s="81"/>
      <c r="L178" s="333">
        <f ca="1">VLOOKUP($AD178,INDIRECT("'"&amp;$B178&amp;"'!"&amp;"$P$118:$AD$121"),3,FALSE)*0.4</f>
        <v>0.35600000000000004</v>
      </c>
      <c r="M178" s="772"/>
      <c r="N178" s="200"/>
      <c r="O178" s="723">
        <f t="shared" ca="1" si="257"/>
        <v>3.7250000000000001</v>
      </c>
      <c r="P178" s="723">
        <f t="shared" ca="1" si="258"/>
        <v>0.24287</v>
      </c>
      <c r="Q178" s="81">
        <f t="shared" ca="1" si="259"/>
        <v>3.9836805555555559</v>
      </c>
      <c r="R178" s="823"/>
      <c r="S178" s="300"/>
      <c r="T178" s="300"/>
      <c r="U178" s="300"/>
      <c r="V178" s="199">
        <f t="shared" ref="V178" ca="1" si="261">IF(IF(RIGHT(H177,2)="PH",(1-L178)+$W$2,IF(RIGHT(H177,2)="HT",(1-L178)+$W$1,IF(RIGHT(H177,2)="SH",(1-L178)+$W$3,"")))&gt;0,IF(RIGHT(H177,2)="PH",(1-L178)+$W$2,IF(RIGHT(H177,2)="HT",(1-L178)+$W$1,IF(RIGHT(H177,2)="SH",(1-L178)+$W$3,""))),0)</f>
        <v>0.84399999999999986</v>
      </c>
      <c r="W178" s="298"/>
      <c r="X178" s="824"/>
      <c r="Y178" s="824"/>
      <c r="Z178" s="824"/>
      <c r="AA178" s="824"/>
      <c r="AB178" s="824"/>
      <c r="AD178" s="81">
        <v>2030</v>
      </c>
      <c r="AE178" s="273"/>
      <c r="AF178" s="828"/>
    </row>
    <row r="179" spans="1:32">
      <c r="A179" s="169"/>
      <c r="B179" s="718" t="s">
        <v>1099</v>
      </c>
      <c r="C179" s="226"/>
      <c r="D179" s="261"/>
      <c r="E179" s="261"/>
      <c r="F179" s="224" t="s">
        <v>1149</v>
      </c>
      <c r="G179" s="55"/>
      <c r="H179" s="174"/>
      <c r="I179" s="174" t="str">
        <f t="shared" si="145"/>
        <v>INDAWH</v>
      </c>
      <c r="J179" s="224">
        <f t="shared" si="148"/>
        <v>2050</v>
      </c>
      <c r="K179" s="81"/>
      <c r="L179" s="333">
        <f ca="1">VLOOKUP($AD179,INDIRECT("'"&amp;$B179&amp;"'!"&amp;"$P$118:$AD$121"),3,FALSE)*0.4</f>
        <v>0.36400000000000005</v>
      </c>
      <c r="M179" s="772"/>
      <c r="N179" s="200"/>
      <c r="O179" s="723">
        <f t="shared" ca="1" si="257"/>
        <v>3.7250000000000001</v>
      </c>
      <c r="P179" s="723">
        <f t="shared" ca="1" si="258"/>
        <v>0.22797000000000001</v>
      </c>
      <c r="Q179" s="81">
        <f t="shared" ca="1" si="259"/>
        <v>4.0064444444444449</v>
      </c>
      <c r="R179" s="823"/>
      <c r="S179" s="300"/>
      <c r="T179" s="300"/>
      <c r="U179" s="300"/>
      <c r="V179" s="199">
        <f t="shared" ref="V179" ca="1" si="262">IF(IF(RIGHT(H177,2)="PH",(1-L179)+$W$2,IF(RIGHT(H177,2)="HT",(1-L179)+$W$1,IF(RIGHT(H177,2)="SH",(1-L179)+$W$3,"")))&gt;0,IF(RIGHT(H177,2)="PH",(1-L179)+$W$2,IF(RIGHT(H177,2)="HT",(1-L179)+$W$1,IF(RIGHT(H177,2)="SH",(1-L179)+$W$3,""))),0)</f>
        <v>0.83599999999999985</v>
      </c>
      <c r="W179" s="298"/>
      <c r="X179" s="824"/>
      <c r="Y179" s="824"/>
      <c r="Z179" s="824"/>
      <c r="AA179" s="824"/>
      <c r="AB179" s="824"/>
      <c r="AD179" s="81">
        <v>2050</v>
      </c>
      <c r="AE179" s="273"/>
      <c r="AF179" s="828"/>
    </row>
    <row r="180" spans="1:32">
      <c r="A180" s="169"/>
      <c r="B180" s="718" t="s">
        <v>1099</v>
      </c>
      <c r="C180" s="226"/>
      <c r="D180" s="261" t="str">
        <f>"IND"&amp;RIGHT(H180,4)&amp;RIGHT(G180,3)&amp;"N"&amp;RIGHT(E180,1)</f>
        <v>INDADSHCOAN2</v>
      </c>
      <c r="E180" s="261" t="str">
        <f>"Industrial heating technology "&amp;$AJ$12&amp;" "&amp;RIGHT(H180,2)&amp;" - Coal boiler (Hot Water) - new 2"</f>
        <v>Industrial heating technology Aluminium SH - Coal boiler (Hot Water) - new 2</v>
      </c>
      <c r="F180" s="224" t="s">
        <v>1149</v>
      </c>
      <c r="G180" s="55" t="s">
        <v>617</v>
      </c>
      <c r="H180" s="174" t="str">
        <f>$AI$15</f>
        <v>IADSH</v>
      </c>
      <c r="I180" s="174" t="str">
        <f t="shared" si="145"/>
        <v>INDAWH</v>
      </c>
      <c r="J180" s="224">
        <f t="shared" si="148"/>
        <v>2011</v>
      </c>
      <c r="K180" s="299">
        <v>2025</v>
      </c>
      <c r="L180" s="199">
        <f t="shared" ref="L180:L182" ca="1" si="263">VLOOKUP($AD180,INDIRECT("'"&amp;$B180&amp;"'!"&amp;"$P$118:$AD$121"),3,FALSE)</f>
        <v>0.89</v>
      </c>
      <c r="M180" s="199"/>
      <c r="N180" s="81">
        <f ca="1">VLOOKUP($AD180,INDIRECT("'"&amp;$B180&amp;"'!"&amp;"$P$118:$AD$121"),5,FALSE)</f>
        <v>25</v>
      </c>
      <c r="O180" s="723">
        <f t="shared" ca="1" si="257"/>
        <v>3.7250000000000001</v>
      </c>
      <c r="P180" s="723">
        <f t="shared" ca="1" si="258"/>
        <v>0.25106499999999998</v>
      </c>
      <c r="Q180" s="81">
        <f t="shared" ca="1" si="259"/>
        <v>3.9381527777777778</v>
      </c>
      <c r="R180" s="81">
        <v>3.1536000000000002E-2</v>
      </c>
      <c r="S180" s="199">
        <v>0.5</v>
      </c>
      <c r="T180" s="199">
        <f ca="1">HLOOKUP($T$2,INDIRECT("'"&amp;$B180&amp;"'!"&amp;"$P$85:$AC$98"),IF(H180=$AI$13,6,IF(H180=$AI$14,9,14)),FALSE)</f>
        <v>1</v>
      </c>
      <c r="U180" s="773"/>
      <c r="V180" s="199">
        <f t="shared" ref="V180" ca="1" si="264">IF(IF(RIGHT(H180,2)="PH",(1-L180)+$W$2,IF(RIGHT(H180,2)="HT",(1-L180)+$W$1,IF(RIGHT(H180,2)="SH",(1-L180)+$W$3,"")))&gt;0,IF(RIGHT(H180,2)="PH",(1-L180)+$W$2,IF(RIGHT(H180,2)="HT",(1-L180)+$W$1,IF(RIGHT(H180,2)="SH",(1-L180)+$W$3,""))),0)</f>
        <v>0.10999999999999999</v>
      </c>
      <c r="W180" s="709"/>
      <c r="X180" s="698">
        <f ca="1">IF(VLOOKUP($AD180,INDIRECT("'"&amp;$B180&amp;"'!"&amp;"$P$39:$AD$42"),11,FALSE)="Cf. the utilized electricity",0,VLOOKUP($AD180,INDIRECT("'"&amp;$B180&amp;"'!"&amp;"$P$39:$AD$42"),11,FALSE))</f>
        <v>8</v>
      </c>
      <c r="Y180" s="698">
        <f ca="1">VLOOKUP($AD180,INDIRECT("'"&amp;$B180&amp;"'!"&amp;"$P$118:$AD$121"),12,FALSE)</f>
        <v>35</v>
      </c>
      <c r="Z180" s="698">
        <f ca="1">VLOOKUP($AD180,INDIRECT("'"&amp;$B180&amp;"'!"&amp;"$P$118:$AD$121"),13,FALSE)</f>
        <v>1.5</v>
      </c>
      <c r="AA180" s="698">
        <f ca="1">VLOOKUP($AD180,INDIRECT("'"&amp;$B180&amp;"'!"&amp;"$P$118:$AD$121"),14,FALSE)</f>
        <v>0.8</v>
      </c>
      <c r="AB180" s="698">
        <f ca="1">VLOOKUP($AD180,INDIRECT("'"&amp;$B180&amp;"'!"&amp;"$P$118:$AD$121"),15,FALSE)</f>
        <v>2.1</v>
      </c>
      <c r="AC180" s="55"/>
      <c r="AD180" s="81">
        <v>2020</v>
      </c>
      <c r="AE180" s="273"/>
      <c r="AF180" s="828"/>
    </row>
    <row r="181" spans="1:32">
      <c r="A181" s="169"/>
      <c r="B181" s="718" t="s">
        <v>1099</v>
      </c>
      <c r="C181" s="226"/>
      <c r="D181" s="261"/>
      <c r="E181" s="261"/>
      <c r="F181" s="224" t="s">
        <v>1149</v>
      </c>
      <c r="G181" s="55"/>
      <c r="H181" s="174"/>
      <c r="I181" s="174" t="str">
        <f t="shared" si="145"/>
        <v>INDAWH</v>
      </c>
      <c r="J181" s="224">
        <f t="shared" si="148"/>
        <v>2030</v>
      </c>
      <c r="K181" s="200"/>
      <c r="L181" s="199">
        <f t="shared" ca="1" si="263"/>
        <v>0.89</v>
      </c>
      <c r="M181" s="772"/>
      <c r="N181" s="200"/>
      <c r="O181" s="723">
        <f t="shared" ca="1" si="257"/>
        <v>3.7250000000000001</v>
      </c>
      <c r="P181" s="723">
        <f t="shared" ca="1" si="258"/>
        <v>0.24287</v>
      </c>
      <c r="Q181" s="81">
        <f t="shared" ca="1" si="259"/>
        <v>3.9836805555555559</v>
      </c>
      <c r="R181" s="823"/>
      <c r="S181" s="300"/>
      <c r="T181" s="300"/>
      <c r="U181" s="300"/>
      <c r="V181" s="199">
        <f t="shared" ref="V181" ca="1" si="265">IF(IF(RIGHT(H180,2)="PH",(1-L181)+$W$2,IF(RIGHT(H180,2)="HT",(1-L181)+$W$1,IF(RIGHT(H180,2)="SH",(1-L181)+$W$3,"")))&gt;0,IF(RIGHT(H180,2)="PH",(1-L181)+$W$2,IF(RIGHT(H180,2)="HT",(1-L181)+$W$1,IF(RIGHT(H180,2)="SH",(1-L181)+$W$3,""))),0)</f>
        <v>0.10999999999999999</v>
      </c>
      <c r="W181" s="298"/>
      <c r="X181" s="824"/>
      <c r="Y181" s="824"/>
      <c r="Z181" s="824"/>
      <c r="AA181" s="824"/>
      <c r="AB181" s="824"/>
      <c r="AD181" s="81">
        <v>2030</v>
      </c>
      <c r="AE181" s="273"/>
      <c r="AF181" s="828"/>
    </row>
    <row r="182" spans="1:32">
      <c r="A182" s="831"/>
      <c r="B182" s="719" t="s">
        <v>1099</v>
      </c>
      <c r="C182" s="713"/>
      <c r="D182" s="701"/>
      <c r="E182" s="701"/>
      <c r="F182" s="224" t="s">
        <v>1149</v>
      </c>
      <c r="G182" s="203"/>
      <c r="H182" s="702"/>
      <c r="I182" s="266" t="str">
        <f t="shared" si="145"/>
        <v>INDAWH</v>
      </c>
      <c r="J182" s="224">
        <f t="shared" si="148"/>
        <v>2050</v>
      </c>
      <c r="K182" s="825"/>
      <c r="L182" s="199">
        <f t="shared" ca="1" si="263"/>
        <v>0.91</v>
      </c>
      <c r="M182" s="826"/>
      <c r="N182" s="825"/>
      <c r="O182" s="723">
        <f t="shared" ca="1" si="257"/>
        <v>3.7250000000000001</v>
      </c>
      <c r="P182" s="723">
        <f t="shared" ca="1" si="258"/>
        <v>0.22797000000000001</v>
      </c>
      <c r="Q182" s="81">
        <f t="shared" ca="1" si="259"/>
        <v>4.0064444444444449</v>
      </c>
      <c r="R182" s="722"/>
      <c r="S182" s="703"/>
      <c r="T182" s="703"/>
      <c r="U182" s="703"/>
      <c r="V182" s="199">
        <f t="shared" ref="V182" ca="1" si="266">IF(IF(RIGHT(H180,2)="PH",(1-L182)+$W$2,IF(RIGHT(H180,2)="HT",(1-L182)+$W$1,IF(RIGHT(H180,2)="SH",(1-L182)+$W$3,"")))&gt;0,IF(RIGHT(H180,2)="PH",(1-L182)+$W$2,IF(RIGHT(H180,2)="HT",(1-L182)+$W$1,IF(RIGHT(H180,2)="SH",(1-L182)+$W$3,""))),0)</f>
        <v>8.9999999999999969E-2</v>
      </c>
      <c r="W182" s="704"/>
      <c r="X182" s="827"/>
      <c r="Y182" s="827"/>
      <c r="Z182" s="827"/>
      <c r="AA182" s="827"/>
      <c r="AB182" s="827"/>
      <c r="AC182" s="203"/>
      <c r="AD182" s="81">
        <v>2050</v>
      </c>
      <c r="AE182" s="273"/>
      <c r="AF182" s="829"/>
    </row>
    <row r="183" spans="1:32">
      <c r="A183" s="831"/>
      <c r="B183" s="226" t="s">
        <v>576</v>
      </c>
      <c r="C183" s="901"/>
      <c r="D183" s="261" t="str">
        <f>"IND"&amp;RIGHT(H183,4)&amp;RIGHT(G183,3)&amp;"N"&amp;RIGHT(E183,1)</f>
        <v>INDADSHSOLN1</v>
      </c>
      <c r="E183" s="261" t="str">
        <f>"Industrial heating technology "&amp;$AJ$12&amp;" "&amp;RIGHT(H183,2)&amp;" - Solar - new 1"</f>
        <v>Industrial heating technology Aluminium SH - Solar - new 1</v>
      </c>
      <c r="F183" s="224" t="s">
        <v>1149</v>
      </c>
      <c r="G183" s="55" t="s">
        <v>500</v>
      </c>
      <c r="H183" s="174" t="str">
        <f>$AI$15</f>
        <v>IADSH</v>
      </c>
      <c r="I183" s="174"/>
      <c r="J183" s="224">
        <f t="shared" si="148"/>
        <v>2011</v>
      </c>
      <c r="K183" s="299">
        <v>2025</v>
      </c>
      <c r="L183" s="199">
        <f ca="1">VLOOKUP($AD183,INDIRECT("'"&amp;$B183&amp;"'!"&amp;"$J$40:$X$43"),3,FALSE)</f>
        <v>1</v>
      </c>
      <c r="M183" s="772"/>
      <c r="N183" s="199">
        <f ca="1">VLOOKUP($AD183,INDIRECT("'"&amp;$B183&amp;"'!"&amp;"$J$40:$X$43"),5,FALSE)</f>
        <v>25</v>
      </c>
      <c r="O183" s="199">
        <f ca="1">VLOOKUP($AD183,INDIRECT("'"&amp;$B183&amp;"'!"&amp;"$J$40:$X$43"),6,FALSE)/1000</f>
        <v>4.2857142857142865</v>
      </c>
      <c r="P183" s="199">
        <f ca="1">VLOOKUP($AD183,INDIRECT("'"&amp;$B183&amp;"'!"&amp;"$J$40:$X$43"),7,FALSE)/1000</f>
        <v>2.0660433158225668E-2</v>
      </c>
      <c r="Q183" s="199">
        <f ca="1">VLOOKUP($AD183,INDIRECT("'"&amp;$B183&amp;"'!"&amp;"$J$40:$X$43"),8,FALSE)</f>
        <v>0</v>
      </c>
      <c r="R183" s="81">
        <v>3.1536000000000002E-2</v>
      </c>
      <c r="S183" s="199">
        <v>8.5500000000000007E-2</v>
      </c>
      <c r="T183" s="199">
        <v>1</v>
      </c>
      <c r="U183" s="300"/>
      <c r="V183" s="199"/>
      <c r="W183" s="298"/>
      <c r="X183" s="698">
        <v>0</v>
      </c>
      <c r="Y183" s="81">
        <v>0</v>
      </c>
      <c r="Z183" s="81">
        <v>0</v>
      </c>
      <c r="AA183" s="81">
        <v>0</v>
      </c>
      <c r="AB183" s="81">
        <v>0</v>
      </c>
      <c r="AC183" s="55"/>
      <c r="AD183" s="81">
        <v>2020</v>
      </c>
      <c r="AE183" s="200"/>
      <c r="AF183" s="700"/>
    </row>
    <row r="184" spans="1:32">
      <c r="A184" s="831"/>
      <c r="B184" s="226" t="s">
        <v>576</v>
      </c>
      <c r="C184" s="902"/>
      <c r="D184" s="261"/>
      <c r="E184" s="261"/>
      <c r="F184" s="224" t="s">
        <v>1149</v>
      </c>
      <c r="G184" s="55"/>
      <c r="H184" s="174"/>
      <c r="I184" s="174"/>
      <c r="J184" s="224">
        <f t="shared" si="148"/>
        <v>2030</v>
      </c>
      <c r="K184" s="200"/>
      <c r="L184" s="199">
        <f ca="1">VLOOKUP($AD184,INDIRECT("'"&amp;$B184&amp;"'!"&amp;"$J$40:$X$43"),3,FALSE)</f>
        <v>1</v>
      </c>
      <c r="M184" s="772"/>
      <c r="N184" s="199">
        <f ca="1">VLOOKUP($AD184,INDIRECT("'"&amp;$B184&amp;"'!"&amp;"$J$40:$X$43"),5,FALSE)</f>
        <v>30</v>
      </c>
      <c r="O184" s="199">
        <f ca="1">VLOOKUP($AD184,INDIRECT("'"&amp;$B184&amp;"'!"&amp;"$J$40:$X$43"),6,FALSE)/1000</f>
        <v>3.9285714285714284</v>
      </c>
      <c r="P184" s="199">
        <f ca="1">VLOOKUP($AD184,INDIRECT("'"&amp;$B184&amp;"'!"&amp;"$J$40:$X$43"),7,FALSE)/1000</f>
        <v>2.328125E-2</v>
      </c>
      <c r="Q184" s="199">
        <f ca="1">VLOOKUP($AD184,INDIRECT("'"&amp;$B184&amp;"'!"&amp;"$J$40:$X$43"),8,FALSE)</f>
        <v>0</v>
      </c>
      <c r="R184" s="823"/>
      <c r="S184" s="300"/>
      <c r="T184" s="300"/>
      <c r="U184" s="300"/>
      <c r="V184" s="772"/>
      <c r="W184" s="298"/>
      <c r="X184" s="824"/>
      <c r="Y184" s="824"/>
      <c r="Z184" s="824"/>
      <c r="AA184" s="824"/>
      <c r="AB184" s="824"/>
      <c r="AC184" s="55"/>
      <c r="AD184" s="81">
        <v>2030</v>
      </c>
      <c r="AE184" s="200"/>
      <c r="AF184" s="700"/>
    </row>
    <row r="185" spans="1:32" s="203" customFormat="1">
      <c r="A185" s="900"/>
      <c r="B185" s="713" t="s">
        <v>576</v>
      </c>
      <c r="C185" s="903"/>
      <c r="D185" s="701"/>
      <c r="E185" s="701"/>
      <c r="F185" s="224" t="s">
        <v>1149</v>
      </c>
      <c r="H185" s="702"/>
      <c r="I185" s="702"/>
      <c r="J185" s="224">
        <f t="shared" si="148"/>
        <v>2050</v>
      </c>
      <c r="K185" s="825"/>
      <c r="L185" s="199">
        <f ca="1">VLOOKUP($AD185,INDIRECT("'"&amp;$B185&amp;"'!"&amp;"$J$40:$X$43"),3,FALSE)</f>
        <v>1</v>
      </c>
      <c r="M185" s="826"/>
      <c r="N185" s="199">
        <f ca="1">VLOOKUP($AD185,INDIRECT("'"&amp;$B185&amp;"'!"&amp;"$J$40:$X$43"),5,FALSE)</f>
        <v>30</v>
      </c>
      <c r="O185" s="199">
        <f ca="1">VLOOKUP($AD185,INDIRECT("'"&amp;$B185&amp;"'!"&amp;"$J$40:$X$43"),6,FALSE)/1000</f>
        <v>3.5714285714285721</v>
      </c>
      <c r="P185" s="199">
        <f ca="1">VLOOKUP($AD185,INDIRECT("'"&amp;$B185&amp;"'!"&amp;"$J$40:$X$43"),7,FALSE)/1000</f>
        <v>2.1498571428571429E-2</v>
      </c>
      <c r="Q185" s="199">
        <f ca="1">VLOOKUP($AD185,INDIRECT("'"&amp;$B185&amp;"'!"&amp;"$J$40:$X$43"),8,FALSE)</f>
        <v>0</v>
      </c>
      <c r="R185" s="722"/>
      <c r="S185" s="703"/>
      <c r="T185" s="703"/>
      <c r="U185" s="703"/>
      <c r="V185" s="826"/>
      <c r="W185" s="704"/>
      <c r="X185" s="827"/>
      <c r="Y185" s="827"/>
      <c r="Z185" s="827"/>
      <c r="AA185" s="827"/>
      <c r="AB185" s="827"/>
      <c r="AD185" s="81">
        <v>2050</v>
      </c>
      <c r="AE185" s="825"/>
      <c r="AF185" s="705"/>
    </row>
    <row r="186" spans="1:32">
      <c r="A186" s="169"/>
      <c r="D186" s="36" t="s">
        <v>503</v>
      </c>
      <c r="E186" s="36"/>
      <c r="F186" s="224" t="s">
        <v>1149</v>
      </c>
      <c r="H186" s="173"/>
      <c r="I186" s="173"/>
      <c r="J186" s="224">
        <f t="shared" si="148"/>
        <v>0</v>
      </c>
      <c r="K186" s="198"/>
      <c r="L186" s="204"/>
      <c r="M186" s="204"/>
      <c r="N186" s="204"/>
      <c r="O186" s="37"/>
      <c r="P186" s="37"/>
      <c r="Q186" s="205"/>
      <c r="R186" s="252"/>
      <c r="S186" s="274"/>
      <c r="T186" s="204"/>
      <c r="U186" s="204"/>
      <c r="V186" s="204"/>
      <c r="W186" s="204"/>
      <c r="X186" s="204"/>
      <c r="Y186" s="204"/>
      <c r="Z186" s="204"/>
      <c r="AA186" s="204"/>
      <c r="AB186" s="204"/>
    </row>
    <row r="187" spans="1:32">
      <c r="A187" s="169"/>
      <c r="D187" s="212" t="str">
        <f t="shared" ref="D187:D192" si="267">"IND"&amp;RIGHT(H187,4)&amp;RIGHT(G187,3)&amp;"N"&amp;RIGHT(E187,1)</f>
        <v>INDADSHHCEN1</v>
      </c>
      <c r="E187" s="224" t="str">
        <f>"Industrial heating technology "&amp;$AJ$12&amp;" "&amp;RIGHT(H187,2)&amp;" - central district heating - within DH area - new 1"</f>
        <v>Industrial heating technology Aluminium SH - central district heating - within DH area - new 1</v>
      </c>
      <c r="F187" s="224" t="s">
        <v>1149</v>
      </c>
      <c r="G187" s="225" t="s">
        <v>501</v>
      </c>
      <c r="H187" s="225" t="str">
        <f>AI15</f>
        <v>IADSH</v>
      </c>
      <c r="I187" s="225"/>
      <c r="J187" s="81">
        <v>2011</v>
      </c>
      <c r="K187" s="299">
        <v>2025</v>
      </c>
      <c r="L187" s="81">
        <v>0.96</v>
      </c>
      <c r="M187" s="81"/>
      <c r="N187" s="81">
        <v>30</v>
      </c>
      <c r="O187" s="253">
        <v>1.17</v>
      </c>
      <c r="P187" s="254">
        <f>'DH network'!$M$9</f>
        <v>5.8735799999999998E-2</v>
      </c>
      <c r="Q187" s="254">
        <f ca="1">Q31*0.95</f>
        <v>1.9463124999999999</v>
      </c>
      <c r="R187" s="201">
        <v>3.1536000000000002E-2</v>
      </c>
      <c r="S187" s="275">
        <v>0.5</v>
      </c>
      <c r="T187" s="228"/>
      <c r="U187" s="228"/>
      <c r="V187" s="228"/>
      <c r="W187" s="287"/>
      <c r="X187" s="278"/>
      <c r="Y187" s="61"/>
      <c r="Z187" s="61"/>
      <c r="AA187" s="61"/>
      <c r="AB187" s="61"/>
    </row>
    <row r="188" spans="1:32">
      <c r="A188" s="169"/>
      <c r="D188" s="212" t="str">
        <f t="shared" si="267"/>
        <v>INDADPHHCEN1</v>
      </c>
      <c r="E188" s="224" t="str">
        <f>"Industrial heating technology "&amp;$AJ$12&amp;" "&amp;RIGHT(H188,2)&amp;" - central district heating - within DH area - new 1"</f>
        <v>Industrial heating technology Aluminium PH - central district heating - within DH area - new 1</v>
      </c>
      <c r="F188" s="224" t="s">
        <v>1149</v>
      </c>
      <c r="G188" s="225" t="s">
        <v>501</v>
      </c>
      <c r="H188" s="281" t="str">
        <f>AI14</f>
        <v>IADPH</v>
      </c>
      <c r="I188" s="281"/>
      <c r="J188" s="81">
        <v>2011</v>
      </c>
      <c r="K188" s="299">
        <v>2025</v>
      </c>
      <c r="L188" s="81">
        <v>0.96</v>
      </c>
      <c r="M188" s="81"/>
      <c r="N188" s="81">
        <v>30</v>
      </c>
      <c r="O188" s="253">
        <v>1.17</v>
      </c>
      <c r="P188" s="254">
        <f>'DH network'!$M$9</f>
        <v>5.8735799999999998E-2</v>
      </c>
      <c r="Q188" s="254">
        <f ca="1">Q33*0.95</f>
        <v>6.4090694444444436</v>
      </c>
      <c r="R188" s="201">
        <v>3.1536000000000002E-2</v>
      </c>
      <c r="S188" s="275">
        <v>0.5</v>
      </c>
      <c r="T188" s="228">
        <v>0</v>
      </c>
      <c r="U188" s="228"/>
      <c r="V188" s="228"/>
      <c r="W188" s="287"/>
      <c r="X188" s="278"/>
      <c r="Y188" s="61"/>
      <c r="Z188" s="61"/>
      <c r="AA188" s="61"/>
      <c r="AB188" s="61"/>
      <c r="AC188" s="226"/>
      <c r="AD188" s="226"/>
      <c r="AE188" s="226"/>
      <c r="AF188" s="226"/>
    </row>
    <row r="189" spans="1:32">
      <c r="A189" s="169"/>
      <c r="D189" s="212" t="str">
        <f t="shared" si="267"/>
        <v>INDADSHHSEN1</v>
      </c>
      <c r="E189" s="224" t="str">
        <f>"Industrial heating technology "&amp;$AJ$12&amp;" "&amp;RIGHT(H189,2)&amp;" - central district heating - within DH area - new 1"</f>
        <v>Industrial heating technology Aluminium SH - central district heating - within DH area - new 1</v>
      </c>
      <c r="F189" s="224" t="s">
        <v>1149</v>
      </c>
      <c r="G189" s="225" t="s">
        <v>2123</v>
      </c>
      <c r="H189" s="225" t="str">
        <f>H187</f>
        <v>IADSH</v>
      </c>
      <c r="I189" s="225"/>
      <c r="J189" s="81">
        <f t="shared" ref="J189:L190" si="268">J187</f>
        <v>2011</v>
      </c>
      <c r="K189" s="81">
        <f t="shared" si="268"/>
        <v>2025</v>
      </c>
      <c r="L189" s="81">
        <f t="shared" si="268"/>
        <v>0.96</v>
      </c>
      <c r="M189" s="81"/>
      <c r="N189" s="81">
        <f t="shared" ref="N189:S190" si="269">N187</f>
        <v>30</v>
      </c>
      <c r="O189" s="81">
        <f t="shared" si="269"/>
        <v>1.17</v>
      </c>
      <c r="P189" s="81">
        <f t="shared" si="269"/>
        <v>5.8735799999999998E-2</v>
      </c>
      <c r="Q189" s="81">
        <f t="shared" ca="1" si="269"/>
        <v>1.9463124999999999</v>
      </c>
      <c r="R189" s="81">
        <f t="shared" si="269"/>
        <v>3.1536000000000002E-2</v>
      </c>
      <c r="S189" s="81">
        <f t="shared" si="269"/>
        <v>0.5</v>
      </c>
      <c r="T189" s="228"/>
      <c r="U189" s="228"/>
      <c r="V189" s="228"/>
      <c r="W189" s="287"/>
      <c r="X189" s="278"/>
      <c r="Y189" s="61"/>
      <c r="Z189" s="61"/>
      <c r="AA189" s="61"/>
      <c r="AB189" s="61"/>
    </row>
    <row r="190" spans="1:32">
      <c r="A190" s="169"/>
      <c r="D190" s="212" t="str">
        <f t="shared" si="267"/>
        <v>INDADPHHSEN1</v>
      </c>
      <c r="E190" s="224" t="str">
        <f>"Industrial heating technology "&amp;$AJ$12&amp;" "&amp;RIGHT(H190,2)&amp;" - central district heating - within DH area - new 1"</f>
        <v>Industrial heating technology Aluminium PH - central district heating - within DH area - new 1</v>
      </c>
      <c r="F190" s="224" t="s">
        <v>1149</v>
      </c>
      <c r="G190" s="225" t="s">
        <v>2123</v>
      </c>
      <c r="H190" s="225" t="str">
        <f>H188</f>
        <v>IADPH</v>
      </c>
      <c r="I190" s="281"/>
      <c r="J190" s="81">
        <f t="shared" si="268"/>
        <v>2011</v>
      </c>
      <c r="K190" s="81">
        <f t="shared" si="268"/>
        <v>2025</v>
      </c>
      <c r="L190" s="81">
        <f t="shared" si="268"/>
        <v>0.96</v>
      </c>
      <c r="M190" s="81"/>
      <c r="N190" s="81">
        <f t="shared" si="269"/>
        <v>30</v>
      </c>
      <c r="O190" s="81">
        <f t="shared" si="269"/>
        <v>1.17</v>
      </c>
      <c r="P190" s="81">
        <f t="shared" si="269"/>
        <v>5.8735799999999998E-2</v>
      </c>
      <c r="Q190" s="81">
        <f t="shared" ca="1" si="269"/>
        <v>6.4090694444444436</v>
      </c>
      <c r="R190" s="81">
        <f t="shared" si="269"/>
        <v>3.1536000000000002E-2</v>
      </c>
      <c r="S190" s="81">
        <f t="shared" si="269"/>
        <v>0.5</v>
      </c>
      <c r="T190" s="81">
        <v>0</v>
      </c>
      <c r="U190" s="228"/>
      <c r="V190" s="228"/>
      <c r="W190" s="287"/>
      <c r="X190" s="278"/>
      <c r="Y190" s="61"/>
      <c r="Z190" s="61"/>
      <c r="AA190" s="61"/>
      <c r="AB190" s="61"/>
      <c r="AC190" s="226"/>
      <c r="AD190" s="226"/>
      <c r="AE190" s="226"/>
      <c r="AF190" s="226"/>
    </row>
    <row r="191" spans="1:32">
      <c r="A191" s="169"/>
      <c r="D191" s="212" t="str">
        <f t="shared" si="267"/>
        <v>INDADSHHDEN1</v>
      </c>
      <c r="E191" s="224" t="str">
        <f>"Industrial heating technology "&amp;$AJ$12&amp;" "&amp;RIGHT(H191,2)&amp;" - decentral district heating - within DH area - new 1"</f>
        <v>Industrial heating technology Aluminium SH - decentral district heating - within DH area - new 1</v>
      </c>
      <c r="F191" s="224" t="s">
        <v>1149</v>
      </c>
      <c r="G191" s="259" t="s">
        <v>502</v>
      </c>
      <c r="H191" s="265" t="str">
        <f>AI15</f>
        <v>IADSH</v>
      </c>
      <c r="I191" s="265"/>
      <c r="J191" s="81">
        <v>2011</v>
      </c>
      <c r="K191" s="299">
        <v>2025</v>
      </c>
      <c r="L191" s="81">
        <f>L187</f>
        <v>0.96</v>
      </c>
      <c r="M191" s="81"/>
      <c r="N191" s="81">
        <v>30</v>
      </c>
      <c r="O191" s="253">
        <v>1.25</v>
      </c>
      <c r="P191" s="254">
        <f>'DH network'!$M$9</f>
        <v>5.8735799999999998E-2</v>
      </c>
      <c r="Q191" s="254">
        <f ca="1">Q187</f>
        <v>1.9463124999999999</v>
      </c>
      <c r="R191" s="201">
        <v>3.1536000000000002E-2</v>
      </c>
      <c r="S191" s="275">
        <v>0.5</v>
      </c>
      <c r="T191" s="228"/>
      <c r="U191" s="228"/>
      <c r="V191" s="228"/>
      <c r="W191" s="287"/>
      <c r="X191" s="278"/>
      <c r="Y191" s="61"/>
      <c r="Z191" s="61"/>
      <c r="AA191" s="61"/>
      <c r="AB191" s="61"/>
      <c r="AC191" s="226"/>
      <c r="AD191" s="226"/>
      <c r="AE191" s="226"/>
      <c r="AF191" s="226"/>
    </row>
    <row r="192" spans="1:32">
      <c r="A192" s="169"/>
      <c r="D192" s="212" t="str">
        <f t="shared" si="267"/>
        <v>INDADPHHDEN1</v>
      </c>
      <c r="E192" s="224" t="str">
        <f>"Industrial heating technology "&amp;$AJ$12&amp;" "&amp;RIGHT(H192,2)&amp;" - decentral district heating - within DH area - new 1"</f>
        <v>Industrial heating technology Aluminium PH - decentral district heating - within DH area - new 1</v>
      </c>
      <c r="F192" s="224" t="s">
        <v>1149</v>
      </c>
      <c r="G192" s="259" t="s">
        <v>502</v>
      </c>
      <c r="H192" s="225" t="str">
        <f>AI14</f>
        <v>IADPH</v>
      </c>
      <c r="I192" s="225"/>
      <c r="J192" s="81">
        <v>2011</v>
      </c>
      <c r="K192" s="299">
        <v>2025</v>
      </c>
      <c r="L192" s="81">
        <f>L188</f>
        <v>0.96</v>
      </c>
      <c r="M192" s="81"/>
      <c r="N192" s="81">
        <v>30</v>
      </c>
      <c r="O192" s="253">
        <v>1.25</v>
      </c>
      <c r="P192" s="254">
        <f>'DH network'!$M$9</f>
        <v>5.8735799999999998E-2</v>
      </c>
      <c r="Q192" s="254">
        <f ca="1">Q188</f>
        <v>6.4090694444444436</v>
      </c>
      <c r="R192" s="201">
        <v>3.1536000000000002E-2</v>
      </c>
      <c r="S192" s="275">
        <v>0.5</v>
      </c>
      <c r="T192" s="228">
        <v>0</v>
      </c>
      <c r="U192" s="228"/>
      <c r="V192" s="228"/>
      <c r="W192" s="287"/>
      <c r="X192" s="278"/>
      <c r="Y192" s="61"/>
      <c r="Z192" s="61"/>
      <c r="AA192" s="61"/>
      <c r="AB192" s="61"/>
      <c r="AC192" s="226"/>
      <c r="AD192" s="226"/>
      <c r="AE192" s="226"/>
      <c r="AF192" s="226"/>
    </row>
    <row r="193" spans="1:32">
      <c r="A193" s="169"/>
      <c r="B193" s="226"/>
      <c r="C193" s="226"/>
      <c r="D193" s="258" t="s">
        <v>497</v>
      </c>
      <c r="E193" s="258"/>
      <c r="F193" s="224" t="s">
        <v>1149</v>
      </c>
      <c r="G193" s="206"/>
      <c r="H193" s="225"/>
      <c r="I193" s="225"/>
      <c r="J193" s="200"/>
      <c r="K193" s="200"/>
      <c r="L193" s="200"/>
      <c r="M193" s="200"/>
      <c r="N193" s="200"/>
      <c r="O193" s="227"/>
      <c r="P193" s="227"/>
      <c r="Q193" s="227"/>
      <c r="R193" s="202"/>
      <c r="S193" s="228"/>
      <c r="T193" s="228"/>
      <c r="U193" s="228"/>
      <c r="V193" s="228"/>
      <c r="W193" s="287"/>
      <c r="X193" s="226"/>
      <c r="Y193" s="226"/>
      <c r="Z193" s="226"/>
      <c r="AA193" s="226"/>
      <c r="AB193" s="226"/>
      <c r="AC193" s="226"/>
      <c r="AD193" s="226"/>
      <c r="AE193" s="226"/>
      <c r="AF193" s="226"/>
    </row>
    <row r="194" spans="1:32">
      <c r="A194" s="169"/>
      <c r="B194" s="226"/>
      <c r="C194" s="226"/>
      <c r="D194" s="212" t="str">
        <f>"IND"&amp;RIGHT(H194,4)&amp;RIGHT(G194,3)&amp;"N"&amp;RIGHT(E194,1)</f>
        <v>INDADLAELCN1</v>
      </c>
      <c r="E194" s="224" t="str">
        <f>"Industry "&amp;$AJ$12&amp;" "&amp;RIGHT(H194,2)&amp;" Electricity Light Appliance - New 1"</f>
        <v>Industry Aluminium LA Electricity Light Appliance - New 1</v>
      </c>
      <c r="F194" s="224" t="s">
        <v>1149</v>
      </c>
      <c r="G194" s="225" t="s">
        <v>499</v>
      </c>
      <c r="H194" s="225" t="str">
        <f>AI16</f>
        <v>IADLA</v>
      </c>
      <c r="I194" s="225"/>
      <c r="J194" s="81">
        <v>2011</v>
      </c>
      <c r="K194" s="81">
        <v>2011</v>
      </c>
      <c r="L194" s="256">
        <v>1</v>
      </c>
      <c r="M194" s="256"/>
      <c r="N194" s="256">
        <v>10</v>
      </c>
      <c r="O194" s="254"/>
      <c r="P194" s="254"/>
      <c r="Q194" s="254"/>
      <c r="R194" s="201"/>
      <c r="S194" s="275">
        <v>0.9</v>
      </c>
      <c r="T194" s="228"/>
      <c r="U194" s="228"/>
      <c r="V194" s="228"/>
      <c r="W194" s="287"/>
      <c r="X194" s="279"/>
      <c r="Y194" s="255"/>
      <c r="Z194" s="255"/>
      <c r="AA194" s="255"/>
      <c r="AB194" s="255"/>
      <c r="AC194" s="226"/>
      <c r="AD194" s="226"/>
      <c r="AE194" s="226"/>
      <c r="AF194" s="226"/>
    </row>
    <row r="195" spans="1:32">
      <c r="A195" s="169"/>
      <c r="B195" s="226"/>
      <c r="C195" s="226"/>
      <c r="F195" s="224" t="s">
        <v>1149</v>
      </c>
      <c r="G195" s="225"/>
      <c r="H195" s="226"/>
      <c r="I195" s="226"/>
      <c r="J195" s="256">
        <v>2020</v>
      </c>
      <c r="K195" s="256"/>
      <c r="L195" s="256"/>
      <c r="M195" s="256"/>
      <c r="N195" s="256"/>
      <c r="O195" s="254"/>
      <c r="P195" s="254"/>
      <c r="Q195" s="254"/>
      <c r="R195" s="201"/>
      <c r="S195" s="275"/>
      <c r="T195" s="228"/>
      <c r="U195" s="228"/>
      <c r="V195" s="228"/>
      <c r="W195" s="287"/>
      <c r="X195" s="279"/>
      <c r="Y195" s="255"/>
      <c r="Z195" s="255"/>
      <c r="AA195" s="255"/>
      <c r="AB195" s="255"/>
      <c r="AC195" s="226"/>
      <c r="AD195" s="226"/>
      <c r="AE195" s="226"/>
      <c r="AF195" s="226"/>
    </row>
    <row r="196" spans="1:32">
      <c r="A196" s="169"/>
      <c r="B196" s="226"/>
      <c r="C196" s="226"/>
      <c r="F196" s="224" t="s">
        <v>1149</v>
      </c>
      <c r="G196" s="225"/>
      <c r="H196" s="225"/>
      <c r="I196" s="225"/>
      <c r="J196" s="256">
        <v>2030</v>
      </c>
      <c r="K196" s="256"/>
      <c r="L196" s="256"/>
      <c r="M196" s="256"/>
      <c r="N196" s="256"/>
      <c r="O196" s="254"/>
      <c r="P196" s="254"/>
      <c r="Q196" s="254"/>
      <c r="R196" s="201"/>
      <c r="S196" s="275"/>
      <c r="T196" s="228"/>
      <c r="U196" s="228"/>
      <c r="V196" s="228"/>
      <c r="W196" s="287"/>
      <c r="X196" s="279"/>
      <c r="Y196" s="255"/>
      <c r="Z196" s="255"/>
      <c r="AA196" s="255"/>
      <c r="AB196" s="255"/>
    </row>
    <row r="197" spans="1:32">
      <c r="A197" s="169"/>
      <c r="B197" s="226"/>
      <c r="C197" s="226"/>
      <c r="F197" s="224" t="s">
        <v>1149</v>
      </c>
      <c r="G197" s="225"/>
      <c r="H197" s="225"/>
      <c r="I197" s="225"/>
      <c r="J197" s="256">
        <v>2050</v>
      </c>
      <c r="K197" s="256"/>
      <c r="L197" s="256"/>
      <c r="M197" s="256"/>
      <c r="N197" s="256"/>
      <c r="O197" s="254"/>
      <c r="P197" s="254"/>
      <c r="Q197" s="254"/>
      <c r="R197" s="201"/>
      <c r="S197" s="275"/>
      <c r="T197" s="228"/>
      <c r="U197" s="228"/>
      <c r="V197" s="228"/>
      <c r="W197" s="287"/>
      <c r="X197" s="279"/>
      <c r="Y197" s="255"/>
      <c r="Z197" s="255"/>
      <c r="AA197" s="255"/>
      <c r="AB197" s="255"/>
    </row>
    <row r="198" spans="1:32">
      <c r="A198" s="169"/>
      <c r="B198" s="226"/>
      <c r="C198" s="226"/>
      <c r="D198" s="212" t="str">
        <f>"IND"&amp;RIGHT(H198,4)&amp;RIGHT(G198,3)&amp;"N"&amp;RIGHT(E198,1)</f>
        <v>INDADEMELCN1</v>
      </c>
      <c r="E198" s="224" t="str">
        <f>"Industry "&amp;$AJ$12&amp;" "&amp;RIGHT(H198,2)&amp;" Electricity Motors - New 1"</f>
        <v>Industry Aluminium EM Electricity Motors - New 1</v>
      </c>
      <c r="F198" s="224" t="s">
        <v>1149</v>
      </c>
      <c r="G198" s="225" t="s">
        <v>499</v>
      </c>
      <c r="H198" s="225" t="str">
        <f>AI17</f>
        <v>IADEM</v>
      </c>
      <c r="I198" s="225"/>
      <c r="J198" s="81">
        <v>2011</v>
      </c>
      <c r="K198" s="81">
        <v>2011</v>
      </c>
      <c r="L198" s="256">
        <v>1</v>
      </c>
      <c r="M198" s="256"/>
      <c r="N198" s="256">
        <v>10</v>
      </c>
      <c r="O198" s="254"/>
      <c r="P198" s="254"/>
      <c r="Q198" s="254"/>
      <c r="R198" s="201"/>
      <c r="S198" s="275">
        <v>0.9</v>
      </c>
      <c r="T198" s="228"/>
      <c r="U198" s="228"/>
      <c r="V198" s="228"/>
      <c r="W198" s="287"/>
      <c r="X198" s="279"/>
      <c r="Y198" s="255"/>
      <c r="Z198" s="255"/>
      <c r="AA198" s="255"/>
      <c r="AB198" s="255"/>
    </row>
    <row r="199" spans="1:32">
      <c r="A199" s="169"/>
      <c r="D199" s="170"/>
      <c r="E199" s="64"/>
      <c r="F199" s="224" t="s">
        <v>1149</v>
      </c>
      <c r="H199" s="173"/>
      <c r="I199" s="173"/>
      <c r="J199" s="256">
        <v>2020</v>
      </c>
      <c r="K199" s="257"/>
      <c r="L199" s="257"/>
      <c r="M199" s="257"/>
      <c r="N199" s="257"/>
      <c r="O199" s="61"/>
      <c r="P199" s="61"/>
      <c r="Q199" s="61"/>
      <c r="R199" s="61"/>
      <c r="S199" s="276"/>
      <c r="T199" s="55"/>
      <c r="U199" s="55"/>
      <c r="V199" s="55"/>
      <c r="W199" s="283"/>
      <c r="X199" s="278"/>
      <c r="Y199" s="61"/>
      <c r="Z199" s="61"/>
      <c r="AA199" s="61"/>
      <c r="AB199" s="61"/>
    </row>
    <row r="200" spans="1:32">
      <c r="A200" s="169"/>
      <c r="F200" s="224" t="s">
        <v>1149</v>
      </c>
      <c r="H200" s="173"/>
      <c r="I200" s="173"/>
      <c r="J200" s="256">
        <v>2030</v>
      </c>
      <c r="K200" s="257"/>
      <c r="L200" s="257"/>
      <c r="M200" s="257"/>
      <c r="N200" s="257"/>
      <c r="O200" s="61"/>
      <c r="P200" s="61"/>
      <c r="Q200" s="61"/>
      <c r="R200" s="61"/>
      <c r="S200" s="276"/>
      <c r="T200" s="55"/>
      <c r="U200" s="55"/>
      <c r="V200" s="55"/>
      <c r="W200" s="283"/>
      <c r="X200" s="278"/>
      <c r="Y200" s="61"/>
      <c r="Z200" s="61"/>
      <c r="AA200" s="61"/>
      <c r="AB200" s="61"/>
    </row>
    <row r="201" spans="1:32">
      <c r="A201" s="169"/>
      <c r="D201" s="203"/>
      <c r="E201" s="203"/>
      <c r="F201" s="224" t="s">
        <v>1149</v>
      </c>
      <c r="G201" s="203"/>
      <c r="H201" s="266"/>
      <c r="I201" s="266"/>
      <c r="J201" s="256">
        <v>2050</v>
      </c>
      <c r="K201" s="257"/>
      <c r="L201" s="257"/>
      <c r="M201" s="257"/>
      <c r="N201" s="257"/>
      <c r="O201" s="61"/>
      <c r="P201" s="61"/>
      <c r="Q201" s="61"/>
      <c r="R201" s="61"/>
      <c r="S201" s="276"/>
      <c r="T201" s="55"/>
      <c r="U201" s="55"/>
      <c r="V201" s="55"/>
      <c r="W201" s="283"/>
      <c r="X201" s="278"/>
      <c r="Y201" s="61"/>
      <c r="Z201" s="61"/>
      <c r="AA201" s="61"/>
      <c r="AB201" s="61"/>
    </row>
    <row r="202" spans="1:32">
      <c r="A202" s="169" t="s">
        <v>2057</v>
      </c>
      <c r="B202" s="224" t="s">
        <v>2064</v>
      </c>
      <c r="D202" s="212" t="str">
        <f>"IND"&amp;RIGHT(H202,4)&amp;"DSL"&amp;"N"&amp;RIGHT(E202,1)</f>
        <v>INDADTFDSLN1</v>
      </c>
      <c r="E202" s="224" t="str">
        <f>"Industry "&amp;$AJ$12&amp;" "&amp;RIGHT(H202,2)&amp;" Tractors, Trucks, Fishing boats - New 1"</f>
        <v>Industry Aluminium TF Tractors, Trucks, Fishing boats - New 1</v>
      </c>
      <c r="F202" s="224" t="s">
        <v>1149</v>
      </c>
      <c r="G202" s="173" t="s">
        <v>2081</v>
      </c>
      <c r="H202" s="174" t="str">
        <f>$AI$18</f>
        <v>IADTF</v>
      </c>
      <c r="I202" s="174"/>
      <c r="J202" s="81">
        <v>2011</v>
      </c>
      <c r="K202" s="81">
        <v>2011</v>
      </c>
      <c r="L202" s="1127">
        <f>L203</f>
        <v>1</v>
      </c>
      <c r="M202" s="256"/>
      <c r="N202" s="256">
        <v>20</v>
      </c>
      <c r="O202" s="1127">
        <f>O203</f>
        <v>30.836264040545181</v>
      </c>
      <c r="P202" s="254"/>
      <c r="Q202" s="254"/>
      <c r="R202" s="1126">
        <v>1</v>
      </c>
      <c r="S202" s="1127">
        <v>1</v>
      </c>
      <c r="T202" s="228"/>
      <c r="U202" s="228"/>
      <c r="V202" s="228"/>
      <c r="W202" s="287"/>
      <c r="X202" s="55"/>
      <c r="Y202" s="55"/>
      <c r="Z202" s="55"/>
      <c r="AA202" s="55"/>
      <c r="AB202" s="55"/>
    </row>
    <row r="203" spans="1:32">
      <c r="A203" s="169" t="s">
        <v>2057</v>
      </c>
      <c r="B203" s="224" t="s">
        <v>2064</v>
      </c>
      <c r="D203" s="55"/>
      <c r="E203" s="55"/>
      <c r="F203" s="224" t="s">
        <v>1149</v>
      </c>
      <c r="G203" s="55"/>
      <c r="H203" s="174"/>
      <c r="I203" s="174"/>
      <c r="J203" s="256">
        <v>2017</v>
      </c>
      <c r="K203" s="256"/>
      <c r="L203" s="1127">
        <f>1/SUMIFS(Transport!$AS$13:$AS$264,Transport!$D$13:$D$264,$B203,Transport!$E$13:$E$264,$A203,Transport!$A$13:$A$264,$J203)</f>
        <v>1</v>
      </c>
      <c r="M203" s="256"/>
      <c r="N203" s="256"/>
      <c r="O203" s="1127">
        <f>SUMIFS(Transport!$AT$13:$AT$264,Transport!$D$13:$D$264,$B203,Transport!$E$13:$E$264,$A203,Transport!$A$13:$A$264,$J203)/1000*6.5</f>
        <v>30.836264040545181</v>
      </c>
      <c r="P203" s="254"/>
      <c r="Q203" s="254"/>
      <c r="R203" s="1126"/>
      <c r="S203" s="275"/>
      <c r="T203" s="228"/>
      <c r="U203" s="228"/>
      <c r="V203" s="228"/>
      <c r="W203" s="228"/>
      <c r="X203" s="55"/>
      <c r="Y203" s="55"/>
      <c r="Z203" s="55"/>
      <c r="AA203" s="55"/>
      <c r="AB203" s="55"/>
    </row>
    <row r="204" spans="1:32">
      <c r="A204" s="169" t="s">
        <v>2057</v>
      </c>
      <c r="B204" s="224" t="s">
        <v>2064</v>
      </c>
      <c r="D204" s="55"/>
      <c r="E204" s="55"/>
      <c r="F204" s="224" t="s">
        <v>1149</v>
      </c>
      <c r="G204" s="55"/>
      <c r="J204" s="256">
        <v>2030</v>
      </c>
      <c r="K204" s="256"/>
      <c r="L204" s="1127">
        <f>1/SUMIFS(Transport!$AS$13:$AS$264,Transport!$D$13:$D$264,$B204,Transport!$E$13:$E$264,$A204,Transport!$A$13:$A$264,$J204)</f>
        <v>1.4579105312754643</v>
      </c>
      <c r="M204" s="256"/>
      <c r="N204" s="256"/>
      <c r="O204" s="1127">
        <f>SUMIFS(Transport!$AT$13:$AT$264,Transport!$D$13:$D$264,$B204,Transport!$E$13:$E$264,$A204,Transport!$A$13:$A$264,$J204)/1000*6.5</f>
        <v>31.806294618979205</v>
      </c>
      <c r="P204" s="254"/>
      <c r="Q204" s="254"/>
      <c r="R204" s="1126"/>
      <c r="S204" s="275"/>
      <c r="T204" s="228"/>
      <c r="U204" s="228"/>
      <c r="V204" s="228"/>
      <c r="W204" s="228"/>
      <c r="X204" s="55"/>
      <c r="Y204" s="55"/>
      <c r="Z204" s="55"/>
      <c r="AA204" s="55"/>
      <c r="AB204" s="55"/>
    </row>
    <row r="205" spans="1:32">
      <c r="A205" s="169" t="s">
        <v>2057</v>
      </c>
      <c r="B205" s="224" t="s">
        <v>2064</v>
      </c>
      <c r="D205" s="55"/>
      <c r="E205" s="55"/>
      <c r="F205" s="224" t="s">
        <v>1149</v>
      </c>
      <c r="G205" s="55"/>
      <c r="J205" s="256">
        <v>2050</v>
      </c>
      <c r="K205" s="256"/>
      <c r="L205" s="1127">
        <f>1/SUMIFS(Transport!$AS$13:$AS$264,Transport!$D$13:$D$264,$B205,Transport!$E$13:$E$264,$A205,Transport!$A$13:$A$264,$J205)</f>
        <v>1.612189818950156</v>
      </c>
      <c r="M205" s="256"/>
      <c r="N205" s="256"/>
      <c r="O205" s="1127">
        <f>SUMIFS(Transport!$AT$13:$AT$264,Transport!$D$13:$D$264,$B205,Transport!$E$13:$E$264,$A205,Transport!$A$13:$A$264,$J205)/1000*6.5</f>
        <v>32.165108628526795</v>
      </c>
      <c r="P205" s="254"/>
      <c r="Q205" s="254"/>
      <c r="R205" s="1126"/>
      <c r="S205" s="275"/>
      <c r="T205" s="228"/>
      <c r="U205" s="228"/>
      <c r="V205" s="228"/>
      <c r="W205" s="228"/>
      <c r="X205" s="55"/>
      <c r="Y205" s="55"/>
      <c r="Z205" s="55"/>
      <c r="AA205" s="55"/>
      <c r="AB205" s="55"/>
    </row>
    <row r="206" spans="1:32">
      <c r="A206" s="169" t="s">
        <v>2062</v>
      </c>
      <c r="B206" s="224" t="s">
        <v>2064</v>
      </c>
      <c r="D206" s="212" t="str">
        <f>"IND"&amp;RIGHT(H206,4)&amp;"H2G"&amp;"N"&amp;RIGHT(E206,1)</f>
        <v>INDADTFH2GN2</v>
      </c>
      <c r="E206" s="224" t="str">
        <f>"Industry "&amp;$AJ$12&amp;" "&amp;RIGHT(H206,2)&amp;" Tractors, Trucks, Fishing boats - New 2"</f>
        <v>Industry Aluminium TF Tractors, Trucks, Fishing boats - New 2</v>
      </c>
      <c r="F206" s="224" t="s">
        <v>1149</v>
      </c>
      <c r="G206" s="55" t="s">
        <v>2077</v>
      </c>
      <c r="H206" s="174" t="str">
        <f>$AI$18</f>
        <v>IADTF</v>
      </c>
      <c r="I206" s="174"/>
      <c r="J206" s="81">
        <v>2017</v>
      </c>
      <c r="K206" s="81">
        <v>2030</v>
      </c>
      <c r="L206" s="1127">
        <f>1/SUMIFS(Transport!$AS$13:$AS$264,Transport!$D$13:$D$264,$B206,Transport!$E$13:$E$264,$A206,Transport!$A$13:$A$264,$J206)</f>
        <v>1.6201914448931107</v>
      </c>
      <c r="M206" s="256"/>
      <c r="N206" s="256">
        <v>20</v>
      </c>
      <c r="O206" s="1127">
        <f>SUMIFS(Transport!$AT$13:$AT$264,Transport!$D$13:$D$264,$B206,Transport!$E$13:$E$264,$A206,Transport!$A$13:$A$264,$J206)/1000*6.5</f>
        <v>81.840656028484005</v>
      </c>
      <c r="P206" s="254"/>
      <c r="Q206" s="254"/>
      <c r="R206" s="1126">
        <v>1</v>
      </c>
      <c r="S206" s="1127">
        <v>1</v>
      </c>
      <c r="T206" s="228"/>
      <c r="U206" s="228"/>
      <c r="V206" s="228"/>
      <c r="W206" s="287"/>
      <c r="X206" s="55"/>
      <c r="Y206" s="55"/>
      <c r="Z206" s="55"/>
      <c r="AA206" s="55"/>
      <c r="AB206" s="55"/>
    </row>
    <row r="207" spans="1:32">
      <c r="A207" s="169" t="s">
        <v>2062</v>
      </c>
      <c r="B207" s="224" t="s">
        <v>2064</v>
      </c>
      <c r="D207" s="55"/>
      <c r="E207" s="55"/>
      <c r="F207" s="224" t="s">
        <v>1149</v>
      </c>
      <c r="G207" s="55"/>
      <c r="H207" s="174"/>
      <c r="I207" s="174"/>
      <c r="J207" s="256">
        <v>2017</v>
      </c>
      <c r="K207" s="256"/>
      <c r="L207" s="1127">
        <f>1/SUMIFS(Transport!$AS$13:$AS$264,Transport!$D$13:$D$264,$B207,Transport!$E$13:$E$264,$A207,Transport!$A$13:$A$264,$J207)</f>
        <v>1.6201914448931107</v>
      </c>
      <c r="M207" s="256"/>
      <c r="N207" s="256"/>
      <c r="O207" s="1127">
        <f>SUMIFS(Transport!$AT$13:$AT$264,Transport!$D$13:$D$264,$B207,Transport!$E$13:$E$264,$A207,Transport!$A$13:$A$264,$J207)/1000*6.5</f>
        <v>81.840656028484005</v>
      </c>
      <c r="P207" s="254"/>
      <c r="Q207" s="254"/>
      <c r="R207" s="1126"/>
      <c r="S207" s="275"/>
      <c r="T207" s="228"/>
      <c r="U207" s="228"/>
      <c r="V207" s="228"/>
      <c r="W207" s="228"/>
      <c r="X207" s="55"/>
      <c r="Y207" s="55"/>
      <c r="Z207" s="55"/>
      <c r="AA207" s="55"/>
      <c r="AB207" s="55"/>
    </row>
    <row r="208" spans="1:32">
      <c r="A208" s="169" t="s">
        <v>2062</v>
      </c>
      <c r="B208" s="224" t="s">
        <v>2064</v>
      </c>
      <c r="D208" s="55"/>
      <c r="E208" s="55"/>
      <c r="F208" s="224" t="s">
        <v>1149</v>
      </c>
      <c r="G208" s="55"/>
      <c r="J208" s="256">
        <v>2030</v>
      </c>
      <c r="K208" s="256"/>
      <c r="L208" s="1127">
        <f>1/SUMIFS(Transport!$AS$13:$AS$264,Transport!$D$13:$D$264,$B208,Transport!$E$13:$E$264,$A208,Transport!$A$13:$A$264,$J208)</f>
        <v>2.4143776559781225</v>
      </c>
      <c r="M208" s="256"/>
      <c r="N208" s="256"/>
      <c r="O208" s="1127">
        <f>SUMIFS(Transport!$AT$13:$AT$264,Transport!$D$13:$D$264,$B208,Transport!$E$13:$E$264,$A208,Transport!$A$13:$A$264,$J208)/1000*6.5</f>
        <v>34.253254247071318</v>
      </c>
      <c r="P208" s="254"/>
      <c r="Q208" s="254"/>
      <c r="R208" s="1126"/>
      <c r="S208" s="275"/>
      <c r="T208" s="228"/>
      <c r="U208" s="228"/>
      <c r="V208" s="228"/>
      <c r="W208" s="228"/>
      <c r="X208" s="55"/>
      <c r="Y208" s="55"/>
      <c r="Z208" s="55"/>
      <c r="AA208" s="55"/>
      <c r="AB208" s="55"/>
    </row>
    <row r="209" spans="1:28">
      <c r="A209" s="169" t="s">
        <v>2062</v>
      </c>
      <c r="B209" s="224" t="s">
        <v>2064</v>
      </c>
      <c r="D209" s="55"/>
      <c r="E209" s="55"/>
      <c r="F209" s="224" t="s">
        <v>1149</v>
      </c>
      <c r="G209" s="55"/>
      <c r="J209" s="256">
        <v>2050</v>
      </c>
      <c r="K209" s="256"/>
      <c r="L209" s="1127">
        <f>1/SUMIFS(Transport!$AS$13:$AS$264,Transport!$D$13:$D$264,$B209,Transport!$E$13:$E$264,$A209,Transport!$A$13:$A$264,$J209)</f>
        <v>2.9956358502626648</v>
      </c>
      <c r="M209" s="256"/>
      <c r="N209" s="256"/>
      <c r="O209" s="1127">
        <f>SUMIFS(Transport!$AT$13:$AT$264,Transport!$D$13:$D$264,$B209,Transport!$E$13:$E$264,$A209,Transport!$A$13:$A$264,$J209)/1000*6.5</f>
        <v>28.800352543800432</v>
      </c>
      <c r="P209" s="254"/>
      <c r="Q209" s="254"/>
      <c r="R209" s="1126"/>
      <c r="S209" s="275"/>
      <c r="T209" s="228"/>
      <c r="U209" s="228"/>
      <c r="V209" s="228"/>
      <c r="W209" s="228"/>
      <c r="X209" s="55"/>
      <c r="Y209" s="55"/>
      <c r="Z209" s="55"/>
      <c r="AA209" s="55"/>
      <c r="AB209" s="55"/>
    </row>
    <row r="210" spans="1:28">
      <c r="A210" s="169" t="s">
        <v>2061</v>
      </c>
      <c r="B210" s="224" t="s">
        <v>2064</v>
      </c>
      <c r="D210" s="212" t="str">
        <f>"IND"&amp;RIGHT(H210,4)&amp;"ELC"&amp;"N"&amp;RIGHT(E210,1)</f>
        <v>INDADTFELCN3</v>
      </c>
      <c r="E210" s="224" t="str">
        <f>"Industry "&amp;$AJ$12&amp;" "&amp;RIGHT(H210,2)&amp;" Tractors, Trucks, Fishing boats - New 3"</f>
        <v>Industry Aluminium TF Tractors, Trucks, Fishing boats - New 3</v>
      </c>
      <c r="F210" s="224" t="s">
        <v>1149</v>
      </c>
      <c r="G210" s="55" t="s">
        <v>499</v>
      </c>
      <c r="H210" s="174" t="str">
        <f>$AI$18</f>
        <v>IADTF</v>
      </c>
      <c r="I210" s="174"/>
      <c r="J210" s="81">
        <v>2017</v>
      </c>
      <c r="K210" s="81">
        <v>2025</v>
      </c>
      <c r="L210" s="1127">
        <f>1/SUMIFS(Transport!$AS$13:$AS$264,Transport!$D$13:$D$264,$B210,Transport!$E$13:$E$264,$A210,Transport!$A$13:$A$264,$J210)</f>
        <v>3.2991956437648962</v>
      </c>
      <c r="M210" s="256"/>
      <c r="N210" s="256">
        <v>20</v>
      </c>
      <c r="O210" s="1127">
        <f>SUMIFS(Transport!$AT$13:$AT$264,Transport!$D$13:$D$264,$B210,Transport!$E$13:$E$264,$A210,Transport!$A$13:$A$264,$J210)/1000*6.5</f>
        <v>72.592990417868862</v>
      </c>
      <c r="P210" s="254"/>
      <c r="Q210" s="254"/>
      <c r="R210" s="1126">
        <v>1</v>
      </c>
      <c r="S210" s="1127">
        <v>1</v>
      </c>
      <c r="T210" s="228"/>
      <c r="U210" s="228"/>
      <c r="V210" s="228"/>
      <c r="W210" s="287"/>
      <c r="X210" s="55"/>
      <c r="Y210" s="55"/>
      <c r="Z210" s="55"/>
      <c r="AA210" s="55"/>
      <c r="AB210" s="55"/>
    </row>
    <row r="211" spans="1:28">
      <c r="A211" s="169" t="s">
        <v>2061</v>
      </c>
      <c r="B211" s="224" t="s">
        <v>2064</v>
      </c>
      <c r="D211" s="55"/>
      <c r="E211" s="55"/>
      <c r="F211" s="224" t="s">
        <v>1149</v>
      </c>
      <c r="G211" s="55"/>
      <c r="H211" s="174"/>
      <c r="I211" s="174"/>
      <c r="J211" s="256">
        <v>2017</v>
      </c>
      <c r="K211" s="256"/>
      <c r="L211" s="1127">
        <f>1/SUMIFS(Transport!$AS$13:$AS$264,Transport!$D$13:$D$264,$B211,Transport!$E$13:$E$264,$A211,Transport!$A$13:$A$264,$J211)</f>
        <v>3.2991956437648962</v>
      </c>
      <c r="M211" s="256"/>
      <c r="N211" s="256"/>
      <c r="O211" s="1127">
        <f>SUMIFS(Transport!$AT$13:$AT$264,Transport!$D$13:$D$264,$B211,Transport!$E$13:$E$264,$A211,Transport!$A$13:$A$264,$J211)/1000*6.5</f>
        <v>72.592990417868862</v>
      </c>
      <c r="P211" s="254"/>
      <c r="Q211" s="254"/>
      <c r="R211" s="201"/>
      <c r="S211" s="275"/>
      <c r="T211" s="228"/>
      <c r="U211" s="228"/>
      <c r="V211" s="228"/>
      <c r="W211" s="228"/>
      <c r="X211" s="55"/>
      <c r="Y211" s="55"/>
      <c r="Z211" s="55"/>
      <c r="AA211" s="55"/>
      <c r="AB211" s="55"/>
    </row>
    <row r="212" spans="1:28">
      <c r="A212" s="169" t="s">
        <v>2061</v>
      </c>
      <c r="B212" s="224" t="s">
        <v>2064</v>
      </c>
      <c r="D212" s="55"/>
      <c r="E212" s="55"/>
      <c r="F212" s="224" t="s">
        <v>1149</v>
      </c>
      <c r="G212" s="55"/>
      <c r="J212" s="256">
        <v>2030</v>
      </c>
      <c r="K212" s="256"/>
      <c r="L212" s="1127">
        <f>1/SUMIFS(Transport!$AS$13:$AS$264,Transport!$D$13:$D$264,$B212,Transport!$E$13:$E$264,$A212,Transport!$A$13:$A$264,$J212)</f>
        <v>3.2991956437648962</v>
      </c>
      <c r="M212" s="256"/>
      <c r="N212" s="256"/>
      <c r="O212" s="1127">
        <f>SUMIFS(Transport!$AT$13:$AT$264,Transport!$D$13:$D$264,$B212,Transport!$E$13:$E$264,$A212,Transport!$A$13:$A$264,$J212)/1000*6.5</f>
        <v>35.973025982850046</v>
      </c>
      <c r="P212" s="254"/>
      <c r="Q212" s="254"/>
      <c r="R212" s="201"/>
      <c r="S212" s="275"/>
      <c r="T212" s="228"/>
      <c r="U212" s="228"/>
      <c r="V212" s="228"/>
      <c r="W212" s="228"/>
      <c r="X212" s="55"/>
      <c r="Y212" s="55"/>
      <c r="Z212" s="55"/>
      <c r="AA212" s="55"/>
      <c r="AB212" s="55"/>
    </row>
    <row r="213" spans="1:28">
      <c r="A213" s="169" t="s">
        <v>2061</v>
      </c>
      <c r="B213" s="224" t="s">
        <v>2064</v>
      </c>
      <c r="D213" s="55"/>
      <c r="E213" s="55"/>
      <c r="F213" s="224" t="s">
        <v>1149</v>
      </c>
      <c r="G213" s="55"/>
      <c r="J213" s="256">
        <v>2050</v>
      </c>
      <c r="K213" s="256"/>
      <c r="L213" s="1127">
        <f>1/SUMIFS(Transport!$AS$13:$AS$264,Transport!$D$13:$D$264,$B213,Transport!$E$13:$E$264,$A213,Transport!$A$13:$A$264,$J213)</f>
        <v>3.2991956437648962</v>
      </c>
      <c r="M213" s="256"/>
      <c r="N213" s="256"/>
      <c r="O213" s="1127">
        <f>SUMIFS(Transport!$AT$13:$AT$264,Transport!$D$13:$D$264,$B213,Transport!$E$13:$E$264,$A213,Transport!$A$13:$A$264,$J213)/1000*6.5</f>
        <v>28.759134300809922</v>
      </c>
      <c r="P213" s="254"/>
      <c r="Q213" s="254"/>
      <c r="R213" s="201"/>
      <c r="S213" s="275"/>
      <c r="T213" s="228"/>
      <c r="U213" s="228"/>
      <c r="V213" s="228"/>
      <c r="W213" s="228"/>
      <c r="X213" s="55"/>
      <c r="Y213" s="55"/>
      <c r="Z213" s="55"/>
      <c r="AA213" s="55"/>
      <c r="AB213" s="55"/>
    </row>
    <row r="214" spans="1:28">
      <c r="A214" s="169"/>
      <c r="D214" s="212" t="str">
        <f>"IND"&amp;RIGHT(H214,4)&amp;RIGHT(G214,3)&amp;"N"&amp;RIGHT(E214,1)</f>
        <v>INDADFLELCN1</v>
      </c>
      <c r="E214" s="224" t="str">
        <f>"Industry "&amp;$AJ$12&amp;" "&amp;RIGHT(H202,2)&amp;" Forklifts - New 1"</f>
        <v>Industry Aluminium TF Forklifts - New 1</v>
      </c>
      <c r="F214" s="224" t="s">
        <v>1149</v>
      </c>
      <c r="G214" s="173" t="s">
        <v>2128</v>
      </c>
      <c r="H214" s="224" t="str">
        <f>AI19</f>
        <v>IADFL</v>
      </c>
      <c r="J214" s="81">
        <v>2011</v>
      </c>
      <c r="K214" s="81">
        <v>2011</v>
      </c>
      <c r="L214" s="256">
        <v>1</v>
      </c>
      <c r="M214" s="256"/>
      <c r="N214" s="256">
        <v>10</v>
      </c>
      <c r="O214" s="254"/>
      <c r="P214" s="254"/>
      <c r="Q214" s="254"/>
      <c r="R214" s="201"/>
      <c r="S214" s="275">
        <v>0.9</v>
      </c>
      <c r="T214" s="228"/>
      <c r="U214" s="228"/>
      <c r="V214" s="228"/>
      <c r="W214" s="228"/>
      <c r="X214" s="55"/>
      <c r="Y214" s="55"/>
      <c r="Z214" s="55"/>
      <c r="AA214" s="55"/>
      <c r="AB214" s="55"/>
    </row>
    <row r="215" spans="1:28">
      <c r="A215" s="169"/>
      <c r="D215" s="55"/>
      <c r="E215" s="55"/>
      <c r="F215" s="224" t="s">
        <v>1149</v>
      </c>
      <c r="G215" s="55"/>
      <c r="H215" s="174"/>
      <c r="I215" s="174"/>
      <c r="J215" s="256">
        <v>2020</v>
      </c>
      <c r="K215" s="256"/>
      <c r="L215" s="256"/>
      <c r="M215" s="256"/>
      <c r="N215" s="257"/>
      <c r="O215" s="61"/>
      <c r="P215" s="61"/>
      <c r="Q215" s="61"/>
      <c r="R215" s="61"/>
      <c r="S215" s="276"/>
      <c r="T215" s="55"/>
      <c r="U215" s="55"/>
      <c r="V215" s="55"/>
      <c r="W215" s="55"/>
      <c r="X215" s="55"/>
      <c r="Y215" s="55"/>
      <c r="Z215" s="55"/>
      <c r="AA215" s="55"/>
      <c r="AB215" s="55"/>
    </row>
    <row r="216" spans="1:28">
      <c r="A216" s="169"/>
      <c r="D216" s="55"/>
      <c r="E216" s="55"/>
      <c r="F216" s="224" t="s">
        <v>1149</v>
      </c>
      <c r="G216" s="55"/>
      <c r="J216" s="256">
        <v>2030</v>
      </c>
      <c r="K216" s="256"/>
      <c r="L216" s="256"/>
      <c r="M216" s="256"/>
      <c r="N216" s="257"/>
      <c r="O216" s="61"/>
      <c r="P216" s="61"/>
      <c r="Q216" s="61"/>
      <c r="R216" s="61"/>
      <c r="S216" s="276"/>
      <c r="T216" s="55"/>
      <c r="U216" s="55"/>
      <c r="V216" s="55"/>
      <c r="W216" s="55"/>
      <c r="X216" s="55"/>
      <c r="Y216" s="55"/>
      <c r="Z216" s="55"/>
      <c r="AA216" s="55"/>
      <c r="AB216" s="55"/>
    </row>
    <row r="217" spans="1:28">
      <c r="A217" s="169"/>
      <c r="D217" s="55"/>
      <c r="E217" s="55"/>
      <c r="F217" s="224" t="s">
        <v>1149</v>
      </c>
      <c r="G217" s="55"/>
      <c r="H217" s="174"/>
      <c r="I217" s="174"/>
      <c r="J217" s="256">
        <v>2050</v>
      </c>
      <c r="K217" s="256"/>
      <c r="L217" s="256"/>
      <c r="M217" s="256"/>
      <c r="N217" s="257"/>
      <c r="O217" s="61"/>
      <c r="P217" s="61"/>
      <c r="Q217" s="61"/>
      <c r="R217" s="61"/>
      <c r="S217" s="276"/>
      <c r="T217" s="55"/>
      <c r="U217" s="55"/>
      <c r="V217" s="55"/>
      <c r="W217" s="55"/>
      <c r="X217" s="55"/>
      <c r="Y217" s="55"/>
      <c r="Z217" s="55"/>
      <c r="AA217" s="55"/>
      <c r="AB217" s="55"/>
    </row>
    <row r="218" spans="1:28">
      <c r="A218" s="169" t="s">
        <v>2107</v>
      </c>
      <c r="D218" s="212" t="str">
        <f>"IND"&amp;RIGHT(H218,4)&amp;RIGHT(G218,3)&amp;"N"&amp;RIGHT(E218,1)</f>
        <v>INDADCOELCN1</v>
      </c>
      <c r="E218" s="224" t="str">
        <f>"Industry "&amp;$AJ$12&amp;" "&amp;RIGHT(H218,2)&amp;" Cooling - New 1"</f>
        <v>Industry Aluminium CO Cooling - New 1</v>
      </c>
      <c r="F218" s="224" t="s">
        <v>1149</v>
      </c>
      <c r="G218" s="173" t="s">
        <v>499</v>
      </c>
      <c r="H218" s="224" t="str">
        <f>AI21</f>
        <v>IADCO</v>
      </c>
      <c r="J218" s="82">
        <v>2015</v>
      </c>
      <c r="K218" s="82">
        <v>2015</v>
      </c>
      <c r="L218" s="1128">
        <v>1</v>
      </c>
      <c r="M218" s="1129"/>
      <c r="N218" s="1129">
        <v>12</v>
      </c>
      <c r="O218" s="1130">
        <v>3.3525</v>
      </c>
      <c r="P218" s="1131">
        <v>0.31662500000000005</v>
      </c>
      <c r="Q218" s="1131"/>
      <c r="R218" s="1132">
        <v>3.1536000000000002E-2</v>
      </c>
      <c r="S218" s="1133">
        <v>8.3999999999999991E-2</v>
      </c>
    </row>
    <row r="219" spans="1:28">
      <c r="A219" s="169"/>
      <c r="F219" s="224" t="s">
        <v>1149</v>
      </c>
      <c r="H219" s="173"/>
      <c r="I219" s="173"/>
      <c r="J219" s="1129">
        <v>2020</v>
      </c>
      <c r="K219" s="1129"/>
      <c r="L219" s="1128">
        <v>1</v>
      </c>
      <c r="M219" s="1129"/>
      <c r="N219" s="257">
        <v>12</v>
      </c>
      <c r="O219" s="61">
        <v>3.1662499999999998</v>
      </c>
      <c r="P219" s="61">
        <v>0.30110722454958749</v>
      </c>
      <c r="Q219" s="61"/>
      <c r="R219" s="61">
        <v>3.1536000000000002E-2</v>
      </c>
      <c r="S219" s="276">
        <v>8.3999999999999991E-2</v>
      </c>
    </row>
    <row r="220" spans="1:28">
      <c r="A220" s="169"/>
      <c r="F220" s="224" t="s">
        <v>1149</v>
      </c>
      <c r="J220" s="1129">
        <v>2030</v>
      </c>
      <c r="K220" s="1129"/>
      <c r="L220" s="1128">
        <v>1</v>
      </c>
      <c r="M220" s="1129"/>
      <c r="N220" s="257">
        <v>12</v>
      </c>
      <c r="O220" s="61">
        <v>3.1662499999999998</v>
      </c>
      <c r="P220" s="61">
        <v>0.30110722454958749</v>
      </c>
      <c r="Q220" s="61"/>
      <c r="R220" s="61">
        <v>3.1536000000000002E-2</v>
      </c>
      <c r="S220" s="276">
        <v>8.3999999999999991E-2</v>
      </c>
    </row>
    <row r="221" spans="1:28">
      <c r="A221" s="169"/>
      <c r="F221" s="224" t="s">
        <v>1149</v>
      </c>
      <c r="H221" s="173"/>
      <c r="I221" s="173"/>
      <c r="J221" s="1129">
        <v>2050</v>
      </c>
      <c r="K221" s="1129"/>
      <c r="L221" s="1128">
        <v>1</v>
      </c>
      <c r="M221" s="1129"/>
      <c r="N221" s="257">
        <v>12</v>
      </c>
      <c r="O221" s="61">
        <v>3.1662499999999998</v>
      </c>
      <c r="P221" s="61">
        <v>0.30110722454958749</v>
      </c>
      <c r="Q221" s="61"/>
      <c r="R221" s="61">
        <v>3.1536000000000002E-2</v>
      </c>
      <c r="S221" s="276">
        <v>8.3999999999999991E-2</v>
      </c>
    </row>
    <row r="222" spans="1:28">
      <c r="A222" s="169"/>
    </row>
    <row r="223" spans="1:28">
      <c r="A223" s="169"/>
    </row>
    <row r="224" spans="1:28">
      <c r="A224" s="169"/>
    </row>
    <row r="225" spans="1:10">
      <c r="A225" s="169"/>
    </row>
    <row r="226" spans="1:10">
      <c r="A226" s="169"/>
      <c r="C226" s="207" t="s">
        <v>467</v>
      </c>
      <c r="D226" s="208"/>
      <c r="E226" s="208"/>
      <c r="F226" s="208"/>
      <c r="G226" s="208"/>
      <c r="H226" s="208"/>
      <c r="I226" s="208"/>
      <c r="J226" s="208"/>
    </row>
    <row r="227" spans="1:10">
      <c r="A227" s="169"/>
      <c r="C227" s="209" t="s">
        <v>466</v>
      </c>
      <c r="D227" s="209" t="s">
        <v>425</v>
      </c>
      <c r="E227" s="209" t="s">
        <v>465</v>
      </c>
      <c r="F227" s="209" t="s">
        <v>464</v>
      </c>
      <c r="G227" s="209" t="s">
        <v>463</v>
      </c>
      <c r="H227" s="209" t="s">
        <v>462</v>
      </c>
      <c r="I227" s="209" t="s">
        <v>461</v>
      </c>
      <c r="J227" s="209" t="s">
        <v>460</v>
      </c>
    </row>
    <row r="228" spans="1:10" ht="25" thickBot="1">
      <c r="A228" s="169"/>
      <c r="C228" s="210" t="s">
        <v>459</v>
      </c>
      <c r="D228" s="210" t="s">
        <v>458</v>
      </c>
      <c r="E228" s="210" t="s">
        <v>457</v>
      </c>
      <c r="F228" s="210" t="s">
        <v>456</v>
      </c>
      <c r="G228" s="210" t="s">
        <v>455</v>
      </c>
      <c r="H228" s="210" t="s">
        <v>454</v>
      </c>
      <c r="I228" s="210" t="s">
        <v>453</v>
      </c>
      <c r="J228" s="210" t="s">
        <v>452</v>
      </c>
    </row>
    <row r="229" spans="1:10">
      <c r="A229" s="169"/>
      <c r="C229" s="211" t="s">
        <v>504</v>
      </c>
      <c r="D229" s="212" t="str">
        <f>D9</f>
        <v>INDADPHELCN1</v>
      </c>
      <c r="E229" s="212" t="str">
        <f t="shared" ref="E229:E260" si="270">VLOOKUP(D229,$D$9:$E$222,2,FALSE)</f>
        <v>Industrial heating technology Aluminium PH - Heat pump utilizing waste heat - new 1</v>
      </c>
      <c r="F229" s="211" t="s">
        <v>450</v>
      </c>
      <c r="G229" s="211" t="s">
        <v>449</v>
      </c>
      <c r="H229" s="263" t="s">
        <v>620</v>
      </c>
      <c r="I229" s="301"/>
      <c r="J229" s="208" t="s">
        <v>469</v>
      </c>
    </row>
    <row r="230" spans="1:10">
      <c r="A230" s="169"/>
      <c r="B230" s="301"/>
      <c r="C230" s="301"/>
      <c r="D230" s="212" t="str">
        <f t="shared" ref="D230:D238" ca="1" si="271">OFFSET($D$9,(ROW(D1)*6),0)</f>
        <v>INDADSHELCN1</v>
      </c>
      <c r="E230" s="212" t="str">
        <f t="shared" ca="1" si="270"/>
        <v>Industrial heating technology Aluminium SH - Heat pump utilizing waste heat - new 1</v>
      </c>
      <c r="F230" s="262" t="s">
        <v>450</v>
      </c>
      <c r="G230" s="262" t="s">
        <v>449</v>
      </c>
      <c r="H230" s="263" t="s">
        <v>620</v>
      </c>
      <c r="I230" s="301"/>
      <c r="J230" s="264" t="s">
        <v>469</v>
      </c>
    </row>
    <row r="231" spans="1:10">
      <c r="A231" s="169"/>
      <c r="D231" s="212" t="str">
        <f t="shared" ca="1" si="271"/>
        <v>INDADPHELCN2</v>
      </c>
      <c r="E231" s="212" t="str">
        <f t="shared" ca="1" si="270"/>
        <v>Industrial heating technology Aluminium PH - Heat driven heat pump utilizing waste heat - new 2</v>
      </c>
      <c r="F231" s="211" t="s">
        <v>450</v>
      </c>
      <c r="G231" s="211" t="s">
        <v>449</v>
      </c>
      <c r="H231" s="263" t="s">
        <v>620</v>
      </c>
      <c r="I231" s="208"/>
      <c r="J231" s="264" t="s">
        <v>469</v>
      </c>
    </row>
    <row r="232" spans="1:10">
      <c r="A232" s="169"/>
      <c r="B232" s="211"/>
      <c r="C232" s="211"/>
      <c r="D232" s="212" t="str">
        <f t="shared" ca="1" si="271"/>
        <v>INDADSHELCN2</v>
      </c>
      <c r="E232" s="212" t="str">
        <f t="shared" ca="1" si="270"/>
        <v>Industrial heating technology Aluminium SH - Heat driven heat pump utilizing waste heat - new 2</v>
      </c>
      <c r="F232" s="262" t="s">
        <v>450</v>
      </c>
      <c r="G232" s="262" t="s">
        <v>449</v>
      </c>
      <c r="H232" s="263" t="s">
        <v>620</v>
      </c>
      <c r="I232" s="264"/>
      <c r="J232" s="264" t="s">
        <v>469</v>
      </c>
    </row>
    <row r="233" spans="1:10">
      <c r="A233" s="169"/>
      <c r="B233" s="211"/>
      <c r="C233" s="211"/>
      <c r="D233" s="212" t="str">
        <f t="shared" ca="1" si="271"/>
        <v>INDADPHELCN3</v>
      </c>
      <c r="E233" s="212" t="str">
        <f t="shared" ca="1" si="270"/>
        <v>Industrial heating technology Aluminium PH - High Temp abs. Heat pump utilizing waste heat - new 3</v>
      </c>
      <c r="F233" s="262" t="s">
        <v>450</v>
      </c>
      <c r="G233" s="262" t="s">
        <v>449</v>
      </c>
      <c r="H233" s="263" t="s">
        <v>620</v>
      </c>
      <c r="I233" s="264"/>
      <c r="J233" s="264" t="s">
        <v>469</v>
      </c>
    </row>
    <row r="234" spans="1:10">
      <c r="A234" s="169"/>
      <c r="B234" s="211"/>
      <c r="C234" s="211"/>
      <c r="D234" s="212" t="str">
        <f t="shared" ca="1" si="271"/>
        <v>INDADSHELCN3</v>
      </c>
      <c r="E234" s="212" t="str">
        <f t="shared" ca="1" si="270"/>
        <v>Industrial heating technology Aluminium SH - High Temp abs. Heat pump utilizing waste heat - new 3</v>
      </c>
      <c r="F234" s="262" t="s">
        <v>450</v>
      </c>
      <c r="G234" s="262" t="s">
        <v>449</v>
      </c>
      <c r="H234" s="263" t="s">
        <v>620</v>
      </c>
      <c r="I234" s="264"/>
      <c r="J234" s="264" t="s">
        <v>469</v>
      </c>
    </row>
    <row r="235" spans="1:10">
      <c r="A235" s="169"/>
      <c r="B235" s="211"/>
      <c r="C235" s="211"/>
      <c r="D235" s="212" t="str">
        <f t="shared" ca="1" si="271"/>
        <v>INDADPHELCN4</v>
      </c>
      <c r="E235" s="212" t="str">
        <f t="shared" ca="1" si="270"/>
        <v>Industrial heating technology Aluminium PH - Booster Heat pump utilizing waste heat - new 4</v>
      </c>
      <c r="F235" s="262" t="s">
        <v>450</v>
      </c>
      <c r="G235" s="262" t="s">
        <v>449</v>
      </c>
      <c r="H235" s="263" t="s">
        <v>620</v>
      </c>
      <c r="I235" s="264"/>
      <c r="J235" s="264" t="s">
        <v>469</v>
      </c>
    </row>
    <row r="236" spans="1:10">
      <c r="A236" s="169"/>
      <c r="B236" s="211"/>
      <c r="C236" s="211"/>
      <c r="D236" s="212" t="str">
        <f t="shared" ca="1" si="271"/>
        <v>INDADSHELCN4</v>
      </c>
      <c r="E236" s="212" t="str">
        <f t="shared" ca="1" si="270"/>
        <v>Industrial heating technology Aluminium SH - Booster Heat pump utilizing waste heat - new 4</v>
      </c>
      <c r="F236" s="262" t="s">
        <v>450</v>
      </c>
      <c r="G236" s="262" t="s">
        <v>449</v>
      </c>
      <c r="H236" s="263" t="s">
        <v>620</v>
      </c>
      <c r="I236" s="264"/>
      <c r="J236" s="264" t="s">
        <v>469</v>
      </c>
    </row>
    <row r="237" spans="1:10">
      <c r="A237" s="169"/>
      <c r="B237" s="211"/>
      <c r="C237" s="211"/>
      <c r="D237" s="212" t="str">
        <f t="shared" ca="1" si="271"/>
        <v>INDADPHELCN5</v>
      </c>
      <c r="E237" s="212" t="str">
        <f t="shared" ca="1" si="270"/>
        <v>Industrial heating technology Aluminium PH - MVR utilizing waste heat - new 5</v>
      </c>
      <c r="F237" s="262" t="s">
        <v>450</v>
      </c>
      <c r="G237" s="262" t="s">
        <v>449</v>
      </c>
      <c r="H237" s="263"/>
      <c r="I237" s="264"/>
      <c r="J237" s="264" t="s">
        <v>469</v>
      </c>
    </row>
    <row r="238" spans="1:10">
      <c r="A238" s="169"/>
      <c r="B238" s="211"/>
      <c r="C238" s="211"/>
      <c r="D238" s="212" t="str">
        <f t="shared" ca="1" si="271"/>
        <v>INDADPHWSTN1</v>
      </c>
      <c r="E238" s="212" t="str">
        <f t="shared" ca="1" si="270"/>
        <v>Industrial heating technology Aluminium PH - Hotdisc - new 1</v>
      </c>
      <c r="F238" s="262" t="s">
        <v>450</v>
      </c>
      <c r="G238" s="262" t="s">
        <v>449</v>
      </c>
      <c r="H238" s="263" t="s">
        <v>620</v>
      </c>
      <c r="I238" s="264"/>
      <c r="J238" s="264" t="s">
        <v>469</v>
      </c>
    </row>
    <row r="239" spans="1:10">
      <c r="A239" s="169"/>
      <c r="B239" s="211"/>
      <c r="C239" s="211"/>
      <c r="D239" s="212" t="str">
        <f t="shared" ref="D239:D278" ca="1" si="272">OFFSET($D$9,(ROW(D19)*3),0)</f>
        <v>INDADPHELCN6</v>
      </c>
      <c r="E239" s="212" t="str">
        <f t="shared" ca="1" si="270"/>
        <v>Industrial heating technology Aluminium PH - Dielectric heating - new 6</v>
      </c>
      <c r="F239" s="262" t="s">
        <v>450</v>
      </c>
      <c r="G239" s="262" t="s">
        <v>449</v>
      </c>
      <c r="H239" s="263" t="s">
        <v>620</v>
      </c>
      <c r="I239" s="264"/>
      <c r="J239" s="264" t="s">
        <v>469</v>
      </c>
    </row>
    <row r="240" spans="1:10">
      <c r="A240" s="169"/>
      <c r="B240" s="211"/>
      <c r="C240" s="211"/>
      <c r="D240" s="212" t="str">
        <f t="shared" ca="1" si="272"/>
        <v>INDADPHELCN7</v>
      </c>
      <c r="E240" s="212" t="str">
        <f t="shared" ca="1" si="270"/>
        <v>Industrial heating technology Aluminium PH - Infrared heating - new 7</v>
      </c>
      <c r="F240" s="262" t="s">
        <v>450</v>
      </c>
      <c r="G240" s="262" t="s">
        <v>449</v>
      </c>
      <c r="H240" s="263" t="s">
        <v>620</v>
      </c>
      <c r="I240" s="264"/>
      <c r="J240" s="264" t="s">
        <v>469</v>
      </c>
    </row>
    <row r="241" spans="1:16">
      <c r="A241" s="169"/>
      <c r="B241" s="211"/>
      <c r="C241" s="211"/>
      <c r="D241" s="212" t="str">
        <f t="shared" ca="1" si="272"/>
        <v>INDADPHELCN8</v>
      </c>
      <c r="E241" s="212" t="str">
        <f t="shared" ca="1" si="270"/>
        <v>Industrial heating technology Aluminium PH - Electric boiler (Steam) - new 8</v>
      </c>
      <c r="F241" s="262" t="s">
        <v>450</v>
      </c>
      <c r="G241" s="262" t="s">
        <v>449</v>
      </c>
      <c r="H241" s="263" t="s">
        <v>620</v>
      </c>
      <c r="I241" s="264"/>
      <c r="J241" s="264" t="s">
        <v>469</v>
      </c>
    </row>
    <row r="242" spans="1:16">
      <c r="A242" s="169"/>
      <c r="B242" s="211"/>
      <c r="C242" s="211"/>
      <c r="D242" s="212" t="str">
        <f t="shared" ca="1" si="272"/>
        <v>INDADPHELCN8</v>
      </c>
      <c r="E242" s="212" t="str">
        <f t="shared" ca="1" si="270"/>
        <v>Industrial heating technology Aluminium PH - Electric boiler (Steam) - new 8</v>
      </c>
      <c r="F242" s="262" t="s">
        <v>450</v>
      </c>
      <c r="G242" s="262" t="s">
        <v>449</v>
      </c>
      <c r="H242" s="263" t="s">
        <v>620</v>
      </c>
      <c r="I242" s="264"/>
      <c r="J242" s="264" t="s">
        <v>469</v>
      </c>
    </row>
    <row r="243" spans="1:16">
      <c r="A243" s="169"/>
      <c r="B243" s="211"/>
      <c r="C243" s="211"/>
      <c r="D243" s="212" t="str">
        <f t="shared" ca="1" si="272"/>
        <v>INDADSHELCN8</v>
      </c>
      <c r="E243" s="212" t="str">
        <f t="shared" ca="1" si="270"/>
        <v>Industrial heating technology Aluminium SH - Electric boiler (Steam) - new 8</v>
      </c>
      <c r="F243" s="262" t="s">
        <v>450</v>
      </c>
      <c r="G243" s="262" t="s">
        <v>449</v>
      </c>
      <c r="H243" s="263" t="s">
        <v>620</v>
      </c>
      <c r="I243" s="264"/>
      <c r="J243" s="264" t="s">
        <v>469</v>
      </c>
      <c r="P243" s="173"/>
    </row>
    <row r="244" spans="1:16">
      <c r="A244" s="169"/>
      <c r="B244" s="211"/>
      <c r="C244" s="211"/>
      <c r="D244" s="212" t="str">
        <f t="shared" ca="1" si="272"/>
        <v>INDADPHELCN9</v>
      </c>
      <c r="E244" s="212" t="str">
        <f t="shared" ca="1" si="270"/>
        <v>Industrial heating technology Aluminium PH - Electric boiler (Hot Water) - new 9</v>
      </c>
      <c r="F244" s="262" t="s">
        <v>450</v>
      </c>
      <c r="G244" s="262" t="s">
        <v>449</v>
      </c>
      <c r="H244" s="263" t="s">
        <v>620</v>
      </c>
      <c r="I244" s="264"/>
      <c r="J244" s="264" t="s">
        <v>469</v>
      </c>
      <c r="P244" s="173"/>
    </row>
    <row r="245" spans="1:16">
      <c r="A245" s="169"/>
      <c r="B245" s="211"/>
      <c r="C245" s="211"/>
      <c r="D245" s="212" t="str">
        <f t="shared" ca="1" si="272"/>
        <v>INDADSHELCN9</v>
      </c>
      <c r="E245" s="212" t="str">
        <f t="shared" ca="1" si="270"/>
        <v>Industrial heating technology Aluminium SH - Electric boiler (Hot Water) - new 9</v>
      </c>
      <c r="F245" s="262" t="s">
        <v>450</v>
      </c>
      <c r="G245" s="262" t="s">
        <v>449</v>
      </c>
      <c r="H245" s="263" t="s">
        <v>620</v>
      </c>
      <c r="I245" s="264"/>
      <c r="J245" s="264" t="s">
        <v>469</v>
      </c>
      <c r="P245" s="173"/>
    </row>
    <row r="246" spans="1:16">
      <c r="A246" s="169"/>
      <c r="B246" s="211"/>
      <c r="C246" s="211"/>
      <c r="D246" s="212" t="str">
        <f t="shared" ca="1" si="272"/>
        <v>INDADPHWCHN1</v>
      </c>
      <c r="E246" s="212" t="str">
        <f t="shared" ca="1" si="270"/>
        <v>Industrial heating technology Aluminium PH - Wood chip boiler (Steam) - new 1</v>
      </c>
      <c r="F246" s="262" t="s">
        <v>450</v>
      </c>
      <c r="G246" s="262" t="s">
        <v>449</v>
      </c>
      <c r="H246" s="263"/>
      <c r="I246" s="264"/>
      <c r="J246" s="264" t="s">
        <v>469</v>
      </c>
      <c r="P246" s="173"/>
    </row>
    <row r="247" spans="1:16">
      <c r="A247" s="169"/>
      <c r="B247" s="211"/>
      <c r="C247" s="211"/>
      <c r="D247" s="212" t="str">
        <f t="shared" ca="1" si="272"/>
        <v>INDADPHWCHN1</v>
      </c>
      <c r="E247" s="212" t="str">
        <f t="shared" ca="1" si="270"/>
        <v>Industrial heating technology Aluminium PH - Wood chip boiler (Steam) - new 1</v>
      </c>
      <c r="F247" s="262" t="s">
        <v>450</v>
      </c>
      <c r="G247" s="262" t="s">
        <v>449</v>
      </c>
      <c r="H247" s="263"/>
      <c r="I247" s="264"/>
      <c r="J247" s="264" t="s">
        <v>469</v>
      </c>
      <c r="M247" s="171"/>
      <c r="N247" s="171"/>
      <c r="P247" s="173"/>
    </row>
    <row r="248" spans="1:16">
      <c r="A248" s="169"/>
      <c r="B248" s="211"/>
      <c r="C248" s="211"/>
      <c r="D248" s="212" t="str">
        <f t="shared" ca="1" si="272"/>
        <v>INDADSHWCHN1</v>
      </c>
      <c r="E248" s="212" t="str">
        <f t="shared" ca="1" si="270"/>
        <v>Industrial heating technology Aluminium SH - Wood chip boiler (Steam) - new 1</v>
      </c>
      <c r="F248" s="262" t="s">
        <v>450</v>
      </c>
      <c r="G248" s="262" t="s">
        <v>449</v>
      </c>
      <c r="H248" s="263"/>
      <c r="I248" s="264"/>
      <c r="J248" s="264" t="s">
        <v>469</v>
      </c>
      <c r="M248" s="171"/>
      <c r="N248" s="171"/>
      <c r="P248" s="173"/>
    </row>
    <row r="249" spans="1:16">
      <c r="A249" s="169"/>
      <c r="B249" s="211"/>
      <c r="C249" s="211"/>
      <c r="D249" s="212" t="str">
        <f t="shared" ca="1" si="272"/>
        <v>INDADPHWCHN2</v>
      </c>
      <c r="E249" s="212" t="str">
        <f t="shared" ca="1" si="270"/>
        <v>Industrial heating technology Aluminium PH - Wood chip boiler (Steam - condensing) - new 2</v>
      </c>
      <c r="F249" s="262" t="s">
        <v>450</v>
      </c>
      <c r="G249" s="262" t="s">
        <v>449</v>
      </c>
      <c r="H249" s="263"/>
      <c r="I249" s="264"/>
      <c r="J249" s="264" t="s">
        <v>469</v>
      </c>
      <c r="M249" s="171"/>
      <c r="N249" s="171"/>
      <c r="P249" s="173"/>
    </row>
    <row r="250" spans="1:16">
      <c r="A250" s="169"/>
      <c r="B250" s="212"/>
      <c r="C250" s="212"/>
      <c r="D250" s="212" t="str">
        <f t="shared" ca="1" si="272"/>
        <v>INDADSHWCHN2</v>
      </c>
      <c r="E250" s="212" t="str">
        <f t="shared" ca="1" si="270"/>
        <v>Industrial heating technology Aluminium SH - Wood chip boiler (Steam - condensing) - new 2</v>
      </c>
      <c r="F250" s="262" t="s">
        <v>450</v>
      </c>
      <c r="G250" s="262" t="s">
        <v>449</v>
      </c>
      <c r="H250" s="263"/>
      <c r="I250" s="264"/>
      <c r="J250" s="264" t="s">
        <v>469</v>
      </c>
    </row>
    <row r="251" spans="1:16">
      <c r="A251" s="169"/>
      <c r="B251" s="212"/>
      <c r="C251" s="212"/>
      <c r="D251" s="212" t="str">
        <f t="shared" ca="1" si="272"/>
        <v>INDADPHWCHN3</v>
      </c>
      <c r="E251" s="212" t="str">
        <f t="shared" ca="1" si="270"/>
        <v>Industrial heating technology Aluminium PH - Wood chip boiler (Hot Water) - new 3</v>
      </c>
      <c r="F251" s="262" t="s">
        <v>450</v>
      </c>
      <c r="G251" s="262" t="s">
        <v>449</v>
      </c>
      <c r="H251" s="261"/>
      <c r="I251" s="261"/>
      <c r="J251" s="264" t="s">
        <v>469</v>
      </c>
    </row>
    <row r="252" spans="1:16">
      <c r="A252" s="169"/>
      <c r="B252" s="212"/>
      <c r="C252" s="212"/>
      <c r="D252" s="212" t="str">
        <f t="shared" ca="1" si="272"/>
        <v>INDADSHWCHN3</v>
      </c>
      <c r="E252" s="212" t="str">
        <f t="shared" ca="1" si="270"/>
        <v>Industrial heating technology Aluminium SH - Wood chip boiler (Hot Water) - new 3</v>
      </c>
      <c r="F252" s="262" t="s">
        <v>450</v>
      </c>
      <c r="G252" s="262" t="s">
        <v>449</v>
      </c>
      <c r="H252" s="261"/>
      <c r="I252" s="261"/>
      <c r="J252" s="264" t="s">
        <v>469</v>
      </c>
    </row>
    <row r="253" spans="1:16">
      <c r="A253" s="169"/>
      <c r="B253" s="212"/>
      <c r="C253" s="212"/>
      <c r="D253" s="212" t="str">
        <f t="shared" ca="1" si="272"/>
        <v>INDADPHWCHN4</v>
      </c>
      <c r="E253" s="212" t="str">
        <f t="shared" ca="1" si="270"/>
        <v>Industrial heating technology Aluminium PH - Wood chip boiler (Hot Water - condensing) - new 4</v>
      </c>
      <c r="F253" s="262" t="s">
        <v>450</v>
      </c>
      <c r="G253" s="262" t="s">
        <v>449</v>
      </c>
      <c r="H253" s="261"/>
      <c r="I253" s="261"/>
      <c r="J253" s="264" t="s">
        <v>469</v>
      </c>
    </row>
    <row r="254" spans="1:16">
      <c r="A254" s="169"/>
      <c r="B254" s="212"/>
      <c r="C254" s="212"/>
      <c r="D254" s="212" t="str">
        <f t="shared" ca="1" si="272"/>
        <v>INDADSHWCHN4</v>
      </c>
      <c r="E254" s="212" t="str">
        <f t="shared" ca="1" si="270"/>
        <v>Industrial heating technology Aluminium SH - Wood chip boiler (Hot Water- condensing) - new 4</v>
      </c>
      <c r="F254" s="262" t="s">
        <v>450</v>
      </c>
      <c r="G254" s="262" t="s">
        <v>449</v>
      </c>
      <c r="H254" s="261"/>
      <c r="I254" s="261"/>
      <c r="J254" s="264" t="s">
        <v>469</v>
      </c>
    </row>
    <row r="255" spans="1:16">
      <c r="B255" s="212"/>
      <c r="C255" s="212"/>
      <c r="D255" s="212" t="str">
        <f t="shared" ca="1" si="272"/>
        <v>INDADPHELCN10</v>
      </c>
      <c r="E255" s="212" t="str">
        <f t="shared" ca="1" si="270"/>
        <v>Industrial heating technology Aluminium PH - Direct electric heating - new 10</v>
      </c>
      <c r="F255" s="262" t="s">
        <v>450</v>
      </c>
      <c r="G255" s="262" t="s">
        <v>449</v>
      </c>
      <c r="H255" s="261"/>
      <c r="I255" s="261"/>
      <c r="J255" s="264" t="s">
        <v>469</v>
      </c>
    </row>
    <row r="256" spans="1:16">
      <c r="B256" s="212"/>
      <c r="C256" s="212"/>
      <c r="D256" s="212" t="str">
        <f t="shared" ca="1" si="272"/>
        <v>INDADPHELCN10</v>
      </c>
      <c r="E256" s="212" t="str">
        <f t="shared" ca="1" si="270"/>
        <v>Industrial heating technology Aluminium PH - Direct electric heating - new 10</v>
      </c>
      <c r="F256" s="262" t="s">
        <v>450</v>
      </c>
      <c r="G256" s="262" t="s">
        <v>449</v>
      </c>
      <c r="H256" s="261"/>
      <c r="I256" s="261"/>
      <c r="J256" s="264" t="s">
        <v>469</v>
      </c>
    </row>
    <row r="257" spans="1:10">
      <c r="B257" s="212"/>
      <c r="C257" s="212"/>
      <c r="D257" s="212" t="str">
        <f t="shared" ca="1" si="272"/>
        <v>INDADPHDSLN1</v>
      </c>
      <c r="E257" s="212" t="str">
        <f t="shared" ca="1" si="270"/>
        <v>Industrial heating technology Aluminium PH - Oil boiler (Steam) - new 1</v>
      </c>
      <c r="F257" s="262" t="s">
        <v>450</v>
      </c>
      <c r="G257" s="262" t="s">
        <v>449</v>
      </c>
      <c r="H257" s="261"/>
      <c r="I257" s="261"/>
      <c r="J257" s="264" t="s">
        <v>469</v>
      </c>
    </row>
    <row r="258" spans="1:10">
      <c r="B258" s="212"/>
      <c r="C258" s="212"/>
      <c r="D258" s="212" t="str">
        <f t="shared" ca="1" si="272"/>
        <v>INDADPHDSLN1</v>
      </c>
      <c r="E258" s="212" t="str">
        <f t="shared" ca="1" si="270"/>
        <v>Industrial heating technology Aluminium PH - Oil boiler (Steam) - new 1</v>
      </c>
      <c r="F258" s="262" t="s">
        <v>450</v>
      </c>
      <c r="G258" s="262" t="s">
        <v>449</v>
      </c>
      <c r="H258" s="261"/>
      <c r="I258" s="261"/>
      <c r="J258" s="264" t="s">
        <v>469</v>
      </c>
    </row>
    <row r="259" spans="1:10">
      <c r="B259" s="212"/>
      <c r="C259" s="212"/>
      <c r="D259" s="212" t="str">
        <f t="shared" ca="1" si="272"/>
        <v>INDADSHDSLN1</v>
      </c>
      <c r="E259" s="212" t="str">
        <f t="shared" ca="1" si="270"/>
        <v>Industrial heating technology Aluminium SH - Oil boiler (Steam) - new 1</v>
      </c>
      <c r="F259" s="262" t="s">
        <v>450</v>
      </c>
      <c r="G259" s="262" t="s">
        <v>449</v>
      </c>
      <c r="H259" s="261"/>
      <c r="I259" s="261"/>
      <c r="J259" s="264" t="s">
        <v>469</v>
      </c>
    </row>
    <row r="260" spans="1:10">
      <c r="A260" s="214"/>
      <c r="B260" s="212"/>
      <c r="C260" s="212"/>
      <c r="D260" s="212" t="str">
        <f t="shared" ca="1" si="272"/>
        <v>INDADPHDSLN2</v>
      </c>
      <c r="E260" s="212" t="str">
        <f t="shared" ca="1" si="270"/>
        <v>Industrial heating technology Aluminium PH - Oil boiler (Steam - condensing) - new 2</v>
      </c>
      <c r="F260" s="262" t="s">
        <v>450</v>
      </c>
      <c r="G260" s="262" t="s">
        <v>449</v>
      </c>
      <c r="H260" s="261"/>
      <c r="I260" s="261"/>
      <c r="J260" s="264" t="s">
        <v>469</v>
      </c>
    </row>
    <row r="261" spans="1:10">
      <c r="A261" s="214"/>
      <c r="B261" s="212"/>
      <c r="C261" s="212"/>
      <c r="D261" s="212" t="str">
        <f t="shared" ca="1" si="272"/>
        <v>INDADSHDSLN2</v>
      </c>
      <c r="E261" s="212" t="str">
        <f t="shared" ref="E261:E290" ca="1" si="273">VLOOKUP(D261,$D$9:$E$222,2,FALSE)</f>
        <v>Industrial heating technology Aluminium SH - Oil boiler (Steam - condensing) - new 2</v>
      </c>
      <c r="F261" s="262" t="s">
        <v>450</v>
      </c>
      <c r="G261" s="262" t="s">
        <v>449</v>
      </c>
      <c r="H261" s="261"/>
      <c r="I261" s="261"/>
      <c r="J261" s="264" t="s">
        <v>469</v>
      </c>
    </row>
    <row r="262" spans="1:10">
      <c r="A262" s="214"/>
      <c r="B262" s="212"/>
      <c r="C262" s="212"/>
      <c r="D262" s="212" t="str">
        <f t="shared" ca="1" si="272"/>
        <v>INDADPHGASN1</v>
      </c>
      <c r="E262" s="212" t="str">
        <f t="shared" ca="1" si="273"/>
        <v>Industrial heating technology Aluminium PH - Gas boiler (Steam) - new 1</v>
      </c>
      <c r="F262" s="262" t="s">
        <v>450</v>
      </c>
      <c r="G262" s="262" t="s">
        <v>449</v>
      </c>
      <c r="H262" s="261"/>
      <c r="I262" s="261"/>
      <c r="J262" s="264" t="s">
        <v>469</v>
      </c>
    </row>
    <row r="263" spans="1:10">
      <c r="A263" s="214"/>
      <c r="B263" s="212"/>
      <c r="C263" s="212"/>
      <c r="D263" s="212" t="str">
        <f t="shared" ca="1" si="272"/>
        <v>INDADPHGASN1</v>
      </c>
      <c r="E263" s="212" t="str">
        <f t="shared" ca="1" si="273"/>
        <v>Industrial heating technology Aluminium PH - Gas boiler (Steam) - new 1</v>
      </c>
      <c r="F263" s="262" t="s">
        <v>450</v>
      </c>
      <c r="G263" s="262" t="s">
        <v>449</v>
      </c>
      <c r="H263" s="261"/>
      <c r="I263" s="261"/>
      <c r="J263" s="264" t="s">
        <v>469</v>
      </c>
    </row>
    <row r="264" spans="1:10">
      <c r="B264" s="212"/>
      <c r="C264" s="212"/>
      <c r="D264" s="212" t="str">
        <f t="shared" ca="1" si="272"/>
        <v>INDADSHGASN1</v>
      </c>
      <c r="E264" s="212" t="str">
        <f t="shared" ca="1" si="273"/>
        <v>Industrial heating technology Aluminium SH - Gas boiler (Steam) - new 1</v>
      </c>
      <c r="F264" s="262" t="s">
        <v>450</v>
      </c>
      <c r="G264" s="262" t="s">
        <v>449</v>
      </c>
      <c r="H264" s="261"/>
      <c r="I264" s="261"/>
      <c r="J264" s="264" t="s">
        <v>469</v>
      </c>
    </row>
    <row r="265" spans="1:10">
      <c r="B265" s="212"/>
      <c r="C265" s="212"/>
      <c r="D265" s="212" t="str">
        <f t="shared" ca="1" si="272"/>
        <v>INDADPHGASN2</v>
      </c>
      <c r="E265" s="212" t="str">
        <f t="shared" ca="1" si="273"/>
        <v>Industrial heating technology Aluminium PH - Gas boiler (Steam - condensing) - new 2</v>
      </c>
      <c r="F265" s="262" t="s">
        <v>450</v>
      </c>
      <c r="G265" s="262" t="s">
        <v>449</v>
      </c>
      <c r="H265" s="261"/>
      <c r="I265" s="261"/>
      <c r="J265" s="264" t="s">
        <v>469</v>
      </c>
    </row>
    <row r="266" spans="1:10">
      <c r="B266" s="212"/>
      <c r="C266" s="212"/>
      <c r="D266" s="212" t="str">
        <f t="shared" ca="1" si="272"/>
        <v>INDADSHGASN2</v>
      </c>
      <c r="E266" s="212" t="str">
        <f t="shared" ca="1" si="273"/>
        <v>Industrial heating technology Aluminium SH - Gas boiler (Steam - condensing) - new 2</v>
      </c>
      <c r="F266" s="262" t="s">
        <v>450</v>
      </c>
      <c r="G266" s="262" t="s">
        <v>449</v>
      </c>
      <c r="H266" s="261"/>
      <c r="I266" s="261"/>
      <c r="J266" s="264" t="s">
        <v>469</v>
      </c>
    </row>
    <row r="267" spans="1:10">
      <c r="B267" s="212"/>
      <c r="C267" s="212"/>
      <c r="D267" s="212" t="str">
        <f t="shared" ca="1" si="272"/>
        <v>INDADPHGASN3</v>
      </c>
      <c r="E267" s="212" t="str">
        <f t="shared" ca="1" si="273"/>
        <v>Industrial heating technology Aluminium PH - Gas boiler (Hot Water) - new 3</v>
      </c>
      <c r="F267" s="262" t="s">
        <v>450</v>
      </c>
      <c r="G267" s="262" t="s">
        <v>449</v>
      </c>
      <c r="H267" s="261"/>
      <c r="I267" s="261"/>
      <c r="J267" s="264" t="s">
        <v>469</v>
      </c>
    </row>
    <row r="268" spans="1:10">
      <c r="B268" s="212"/>
      <c r="C268" s="212"/>
      <c r="D268" s="212" t="str">
        <f t="shared" ca="1" si="272"/>
        <v>INDADSHGASN3</v>
      </c>
      <c r="E268" s="212" t="str">
        <f t="shared" ca="1" si="273"/>
        <v>Industrial heating technology Aluminium SH - Gas boiler (Hot Water) - new 3</v>
      </c>
      <c r="F268" s="262" t="s">
        <v>450</v>
      </c>
      <c r="G268" s="262" t="s">
        <v>449</v>
      </c>
      <c r="H268" s="261"/>
      <c r="I268" s="261"/>
      <c r="J268" s="264" t="s">
        <v>469</v>
      </c>
    </row>
    <row r="269" spans="1:10">
      <c r="B269" s="212"/>
      <c r="C269" s="212"/>
      <c r="D269" s="212" t="str">
        <f t="shared" ca="1" si="272"/>
        <v>INDADPHGASN4</v>
      </c>
      <c r="E269" s="212" t="str">
        <f t="shared" ca="1" si="273"/>
        <v>Industrial heating technology Aluminium PH - Gas boiler (Hot Water - condensing) - new 4</v>
      </c>
      <c r="F269" s="262" t="s">
        <v>450</v>
      </c>
      <c r="G269" s="262" t="s">
        <v>449</v>
      </c>
      <c r="H269" s="261"/>
      <c r="I269" s="261"/>
      <c r="J269" s="264" t="s">
        <v>469</v>
      </c>
    </row>
    <row r="270" spans="1:10">
      <c r="B270" s="212"/>
      <c r="C270" s="212"/>
      <c r="D270" s="212" t="str">
        <f t="shared" ca="1" si="272"/>
        <v>INDADSHGASN4</v>
      </c>
      <c r="E270" s="212" t="str">
        <f t="shared" ca="1" si="273"/>
        <v>Industrial heating technology Aluminium SH - Gas boiler (Hot Water- condensing) - new 4</v>
      </c>
      <c r="F270" s="262" t="s">
        <v>450</v>
      </c>
      <c r="G270" s="262" t="s">
        <v>449</v>
      </c>
      <c r="H270" s="261"/>
      <c r="I270" s="261"/>
      <c r="J270" s="264" t="s">
        <v>469</v>
      </c>
    </row>
    <row r="271" spans="1:10">
      <c r="B271" s="212"/>
      <c r="C271" s="212"/>
      <c r="D271" s="212" t="str">
        <f t="shared" ca="1" si="272"/>
        <v>*="IND"&amp;RIGHT(H162,4)&amp;"GAS"&amp;"N"&amp;RIGHT(E162,1)</v>
      </c>
      <c r="E271" s="212" t="str">
        <f t="shared" ca="1" si="273"/>
        <v>Industrial heating technology Aluminium PH - Gas boiler (Direct firing) - new 5</v>
      </c>
      <c r="F271" s="262" t="s">
        <v>450</v>
      </c>
      <c r="G271" s="262" t="s">
        <v>449</v>
      </c>
      <c r="H271" s="261"/>
      <c r="I271" s="261"/>
      <c r="J271" s="264" t="s">
        <v>469</v>
      </c>
    </row>
    <row r="272" spans="1:10">
      <c r="B272" s="212"/>
      <c r="C272" s="212"/>
      <c r="D272" s="212" t="str">
        <f t="shared" ca="1" si="272"/>
        <v>*="IND"&amp;RIGHT(H165,4)&amp;"GAS"&amp;"N"&amp;RIGHT(E165,1)</v>
      </c>
      <c r="E272" s="212" t="str">
        <f t="shared" ca="1" si="273"/>
        <v>Industrial heating technology Aluminium SH - Gas boiler (Direct firing) - new 5</v>
      </c>
      <c r="F272" s="262" t="s">
        <v>450</v>
      </c>
      <c r="G272" s="262" t="s">
        <v>449</v>
      </c>
      <c r="H272" s="261"/>
      <c r="I272" s="261"/>
      <c r="J272" s="264" t="s">
        <v>469</v>
      </c>
    </row>
    <row r="273" spans="2:10">
      <c r="B273" s="212"/>
      <c r="C273" s="212"/>
      <c r="D273" s="212" t="str">
        <f t="shared" ca="1" si="272"/>
        <v>INDADPHCOAN1</v>
      </c>
      <c r="E273" s="212" t="str">
        <f t="shared" ca="1" si="273"/>
        <v>Industrial heating technology Aluminium PH - Coal boiler (Steam) - new 1</v>
      </c>
      <c r="F273" s="262" t="s">
        <v>450</v>
      </c>
      <c r="G273" s="262" t="s">
        <v>449</v>
      </c>
      <c r="H273" s="261"/>
      <c r="I273" s="261"/>
      <c r="J273" s="264" t="s">
        <v>469</v>
      </c>
    </row>
    <row r="274" spans="2:10">
      <c r="B274" s="212"/>
      <c r="C274" s="212"/>
      <c r="D274" s="212" t="str">
        <f t="shared" ca="1" si="272"/>
        <v>INDADPHCOAN1</v>
      </c>
      <c r="E274" s="212" t="str">
        <f t="shared" ca="1" si="273"/>
        <v>Industrial heating technology Aluminium PH - Coal boiler (Steam) - new 1</v>
      </c>
      <c r="F274" s="262" t="s">
        <v>450</v>
      </c>
      <c r="G274" s="262" t="s">
        <v>449</v>
      </c>
      <c r="H274" s="261"/>
      <c r="I274" s="261"/>
      <c r="J274" s="264" t="s">
        <v>469</v>
      </c>
    </row>
    <row r="275" spans="2:10">
      <c r="B275" s="212"/>
      <c r="C275" s="212"/>
      <c r="D275" s="212" t="str">
        <f t="shared" ca="1" si="272"/>
        <v>INDADSHCOAN1</v>
      </c>
      <c r="E275" s="212" t="str">
        <f t="shared" ca="1" si="273"/>
        <v>Industrial heating technology Aluminium SH - Coal boiler (Steam) - new 1</v>
      </c>
      <c r="F275" s="262" t="s">
        <v>450</v>
      </c>
      <c r="G275" s="262" t="s">
        <v>449</v>
      </c>
      <c r="H275" s="261"/>
      <c r="I275" s="261"/>
      <c r="J275" s="264" t="s">
        <v>469</v>
      </c>
    </row>
    <row r="276" spans="2:10">
      <c r="B276" s="212"/>
      <c r="C276" s="212"/>
      <c r="D276" s="212" t="str">
        <f t="shared" ca="1" si="272"/>
        <v>INDADPHCOAN2</v>
      </c>
      <c r="E276" s="212" t="str">
        <f t="shared" ca="1" si="273"/>
        <v>Industrial heating technology Aluminium PH - Coal boiler (Hot Water) - new 2</v>
      </c>
      <c r="F276" s="262" t="s">
        <v>450</v>
      </c>
      <c r="G276" s="262" t="s">
        <v>449</v>
      </c>
      <c r="H276" s="261"/>
      <c r="I276" s="261"/>
      <c r="J276" s="264" t="s">
        <v>469</v>
      </c>
    </row>
    <row r="277" spans="2:10">
      <c r="B277" s="212"/>
      <c r="C277" s="212"/>
      <c r="D277" s="212" t="str">
        <f t="shared" ca="1" si="272"/>
        <v>INDADSHCOAN2</v>
      </c>
      <c r="E277" s="212" t="str">
        <f t="shared" ca="1" si="273"/>
        <v>Industrial heating technology Aluminium SH - Coal boiler (Hot Water) - new 2</v>
      </c>
      <c r="F277" s="262" t="s">
        <v>450</v>
      </c>
      <c r="G277" s="262" t="s">
        <v>449</v>
      </c>
      <c r="H277" s="261"/>
      <c r="I277" s="261"/>
      <c r="J277" s="264" t="s">
        <v>469</v>
      </c>
    </row>
    <row r="278" spans="2:10">
      <c r="B278" s="212"/>
      <c r="C278" s="212"/>
      <c r="D278" s="212" t="str">
        <f t="shared" ca="1" si="272"/>
        <v>INDADSHSOLN1</v>
      </c>
      <c r="E278" s="212" t="str">
        <f t="shared" ca="1" si="273"/>
        <v>Industrial heating technology Aluminium SH - Solar - new 1</v>
      </c>
      <c r="F278" s="262" t="s">
        <v>450</v>
      </c>
      <c r="G278" s="262" t="s">
        <v>449</v>
      </c>
      <c r="H278" s="263" t="s">
        <v>620</v>
      </c>
      <c r="I278" s="261"/>
      <c r="J278" s="264" t="s">
        <v>469</v>
      </c>
    </row>
    <row r="279" spans="2:10">
      <c r="B279" s="212"/>
      <c r="C279" s="212"/>
      <c r="D279" s="889" t="str">
        <f>D187</f>
        <v>INDADSHHCEN1</v>
      </c>
      <c r="E279" s="889" t="str">
        <f t="shared" si="273"/>
        <v>Industrial heating technology Aluminium SH - central district heating - within DH area - new 1</v>
      </c>
      <c r="F279" s="262" t="s">
        <v>450</v>
      </c>
      <c r="G279" s="262" t="s">
        <v>449</v>
      </c>
      <c r="H279" s="890"/>
      <c r="I279" s="890"/>
      <c r="J279" s="263" t="s">
        <v>469</v>
      </c>
    </row>
    <row r="280" spans="2:10">
      <c r="B280" s="212"/>
      <c r="C280" s="212"/>
      <c r="D280" s="889" t="str">
        <f>D188</f>
        <v>INDADPHHCEN1</v>
      </c>
      <c r="E280" s="889" t="str">
        <f t="shared" si="273"/>
        <v>Industrial heating technology Aluminium PH - central district heating - within DH area - new 1</v>
      </c>
      <c r="F280" s="262" t="s">
        <v>450</v>
      </c>
      <c r="G280" s="262" t="s">
        <v>449</v>
      </c>
      <c r="H280" s="890"/>
      <c r="I280" s="890"/>
      <c r="J280" s="263" t="s">
        <v>469</v>
      </c>
    </row>
    <row r="281" spans="2:10">
      <c r="B281" s="212"/>
      <c r="C281" s="212"/>
      <c r="D281" s="889" t="str">
        <f>D189</f>
        <v>INDADSHHSEN1</v>
      </c>
      <c r="E281" s="889" t="str">
        <f t="shared" si="273"/>
        <v>Industrial heating technology Aluminium SH - central district heating - within DH area - new 1</v>
      </c>
      <c r="F281" s="262" t="s">
        <v>450</v>
      </c>
      <c r="G281" s="262" t="s">
        <v>449</v>
      </c>
      <c r="H281" s="890"/>
      <c r="I281" s="890"/>
      <c r="J281" s="263" t="s">
        <v>469</v>
      </c>
    </row>
    <row r="282" spans="2:10">
      <c r="B282" s="212"/>
      <c r="C282" s="212"/>
      <c r="D282" s="889" t="str">
        <f>D190</f>
        <v>INDADPHHSEN1</v>
      </c>
      <c r="E282" s="889" t="str">
        <f t="shared" si="273"/>
        <v>Industrial heating technology Aluminium PH - central district heating - within DH area - new 1</v>
      </c>
      <c r="F282" s="262" t="s">
        <v>450</v>
      </c>
      <c r="G282" s="262" t="s">
        <v>449</v>
      </c>
      <c r="H282" s="890"/>
      <c r="I282" s="890"/>
      <c r="J282" s="263" t="s">
        <v>469</v>
      </c>
    </row>
    <row r="283" spans="2:10">
      <c r="B283" s="212"/>
      <c r="C283" s="212"/>
      <c r="D283" s="212" t="str">
        <f t="shared" ref="D283" si="274">D191</f>
        <v>INDADSHHDEN1</v>
      </c>
      <c r="E283" s="212" t="str">
        <f t="shared" si="273"/>
        <v>Industrial heating technology Aluminium SH - decentral district heating - within DH area - new 1</v>
      </c>
      <c r="F283" s="262" t="s">
        <v>450</v>
      </c>
      <c r="G283" s="262" t="s">
        <v>449</v>
      </c>
      <c r="H283" s="261"/>
      <c r="I283" s="261"/>
      <c r="J283" s="264" t="s">
        <v>469</v>
      </c>
    </row>
    <row r="284" spans="2:10">
      <c r="B284" s="212"/>
      <c r="C284" s="212"/>
      <c r="D284" s="212" t="str">
        <f>D192</f>
        <v>INDADPHHDEN1</v>
      </c>
      <c r="E284" s="212" t="str">
        <f t="shared" si="273"/>
        <v>Industrial heating technology Aluminium PH - decentral district heating - within DH area - new 1</v>
      </c>
      <c r="F284" s="262" t="s">
        <v>450</v>
      </c>
      <c r="G284" s="262" t="s">
        <v>449</v>
      </c>
      <c r="H284" s="261"/>
      <c r="I284" s="261"/>
      <c r="J284" s="264" t="s">
        <v>469</v>
      </c>
    </row>
    <row r="285" spans="2:10">
      <c r="B285" s="212"/>
      <c r="C285" s="212"/>
      <c r="D285" s="212" t="str">
        <f>D194</f>
        <v>INDADLAELCN1</v>
      </c>
      <c r="E285" s="212" t="str">
        <f t="shared" si="273"/>
        <v>Industry Aluminium LA Electricity Light Appliance - New 1</v>
      </c>
      <c r="F285" s="262" t="s">
        <v>450</v>
      </c>
      <c r="G285" s="262" t="s">
        <v>449</v>
      </c>
      <c r="H285" s="261"/>
      <c r="I285" s="261"/>
      <c r="J285" s="264" t="s">
        <v>469</v>
      </c>
    </row>
    <row r="286" spans="2:10">
      <c r="B286" s="212"/>
      <c r="C286" s="212"/>
      <c r="D286" s="212" t="str">
        <f>D198</f>
        <v>INDADEMELCN1</v>
      </c>
      <c r="E286" s="212" t="str">
        <f t="shared" si="273"/>
        <v>Industry Aluminium EM Electricity Motors - New 1</v>
      </c>
      <c r="F286" s="262" t="s">
        <v>450</v>
      </c>
      <c r="G286" s="262" t="s">
        <v>449</v>
      </c>
      <c r="H286" s="261"/>
      <c r="I286" s="261"/>
      <c r="J286" s="264" t="s">
        <v>469</v>
      </c>
    </row>
    <row r="287" spans="2:10">
      <c r="B287" s="212"/>
      <c r="C287" s="212"/>
      <c r="D287" s="212" t="str">
        <f>D202</f>
        <v>INDADTFDSLN1</v>
      </c>
      <c r="E287" s="212" t="str">
        <f t="shared" si="273"/>
        <v>Industry Aluminium TF Tractors, Trucks, Fishing boats - New 1</v>
      </c>
      <c r="F287" s="262" t="s">
        <v>450</v>
      </c>
      <c r="G287" s="262" t="s">
        <v>2078</v>
      </c>
      <c r="H287" s="261"/>
      <c r="I287" s="261"/>
      <c r="J287" s="264" t="s">
        <v>469</v>
      </c>
    </row>
    <row r="288" spans="2:10">
      <c r="B288" s="212"/>
      <c r="C288" s="212"/>
      <c r="D288" s="212" t="str">
        <f>D206</f>
        <v>INDADTFH2GN2</v>
      </c>
      <c r="E288" s="212" t="str">
        <f t="shared" si="273"/>
        <v>Industry Aluminium TF Tractors, Trucks, Fishing boats - New 2</v>
      </c>
      <c r="F288" s="262" t="s">
        <v>450</v>
      </c>
      <c r="G288" s="262" t="s">
        <v>2078</v>
      </c>
      <c r="H288" s="261"/>
      <c r="I288" s="261"/>
      <c r="J288" s="264" t="s">
        <v>469</v>
      </c>
    </row>
    <row r="289" spans="2:10">
      <c r="B289" s="212"/>
      <c r="C289" s="212"/>
      <c r="D289" s="212" t="str">
        <f>D210</f>
        <v>INDADTFELCN3</v>
      </c>
      <c r="E289" s="212" t="str">
        <f t="shared" si="273"/>
        <v>Industry Aluminium TF Tractors, Trucks, Fishing boats - New 3</v>
      </c>
      <c r="F289" s="262" t="s">
        <v>450</v>
      </c>
      <c r="G289" s="262" t="s">
        <v>2078</v>
      </c>
      <c r="H289" s="261"/>
      <c r="I289" s="261"/>
      <c r="J289" s="264" t="s">
        <v>469</v>
      </c>
    </row>
    <row r="290" spans="2:10">
      <c r="B290" s="212"/>
      <c r="C290" s="212"/>
      <c r="D290" s="212" t="str">
        <f>D214</f>
        <v>INDADFLELCN1</v>
      </c>
      <c r="E290" s="212" t="str">
        <f t="shared" si="273"/>
        <v>Industry Aluminium TF Forklifts - New 1</v>
      </c>
      <c r="F290" s="262" t="s">
        <v>450</v>
      </c>
      <c r="G290" s="262" t="s">
        <v>449</v>
      </c>
      <c r="H290" s="261"/>
      <c r="I290" s="261"/>
      <c r="J290" s="264" t="s">
        <v>469</v>
      </c>
    </row>
    <row r="291" spans="2:10">
      <c r="B291" s="212"/>
      <c r="C291" s="212"/>
      <c r="D291" s="212" t="str">
        <f>D218</f>
        <v>INDADCOELCN1</v>
      </c>
      <c r="E291" s="212" t="str">
        <f>E218</f>
        <v>Industry Aluminium CO Cooling - New 1</v>
      </c>
      <c r="F291" s="262" t="s">
        <v>450</v>
      </c>
      <c r="G291" s="262" t="s">
        <v>449</v>
      </c>
      <c r="H291" s="261" t="s">
        <v>620</v>
      </c>
      <c r="I291" s="261"/>
      <c r="J291" s="264"/>
    </row>
    <row r="292" spans="2:10">
      <c r="D292" s="212"/>
      <c r="E292" s="212"/>
    </row>
    <row r="293" spans="2:10">
      <c r="B293" s="213" t="s">
        <v>448</v>
      </c>
      <c r="C293" s="213"/>
      <c r="D293" s="214"/>
      <c r="E293" s="214"/>
      <c r="F293" s="214"/>
      <c r="G293" s="214"/>
      <c r="H293" s="214"/>
      <c r="I293" s="214"/>
      <c r="J293" s="214"/>
    </row>
    <row r="294" spans="2:10">
      <c r="B294" s="209" t="s">
        <v>447</v>
      </c>
      <c r="C294" s="209" t="s">
        <v>446</v>
      </c>
      <c r="D294" s="209" t="s">
        <v>445</v>
      </c>
      <c r="E294" s="209" t="s">
        <v>444</v>
      </c>
      <c r="F294" s="209" t="s">
        <v>435</v>
      </c>
      <c r="G294" s="209" t="s">
        <v>443</v>
      </c>
      <c r="H294" s="209" t="s">
        <v>442</v>
      </c>
      <c r="I294" s="209" t="s">
        <v>441</v>
      </c>
      <c r="J294" s="209" t="s">
        <v>440</v>
      </c>
    </row>
    <row r="295" spans="2:10" ht="25" thickBot="1">
      <c r="B295" s="215" t="s">
        <v>439</v>
      </c>
      <c r="C295" s="216" t="s">
        <v>438</v>
      </c>
      <c r="D295" s="216" t="s">
        <v>437</v>
      </c>
      <c r="E295" s="216" t="s">
        <v>436</v>
      </c>
      <c r="F295" s="216" t="s">
        <v>435</v>
      </c>
      <c r="G295" s="216" t="s">
        <v>434</v>
      </c>
      <c r="H295" s="216" t="s">
        <v>433</v>
      </c>
      <c r="I295" s="216" t="s">
        <v>432</v>
      </c>
      <c r="J295" s="216" t="s">
        <v>431</v>
      </c>
    </row>
    <row r="296" spans="2:10">
      <c r="B296" s="217" t="s">
        <v>430</v>
      </c>
      <c r="C296" s="218"/>
      <c r="D296" s="260" t="str">
        <f>"I"&amp;LEFT($AJ$12,1)&amp;"DSOx"</f>
        <v>IADSOx</v>
      </c>
      <c r="E296" s="270" t="str">
        <f>"Industrial heating  heating technology "&amp;$AJ$12&amp;" - SOx emission"</f>
        <v>Industrial heating  heating technology Aluminium - SOx emission</v>
      </c>
      <c r="F296" s="219" t="s">
        <v>352</v>
      </c>
      <c r="G296" s="211"/>
      <c r="H296" s="211"/>
      <c r="I296" s="211"/>
      <c r="J296" s="211"/>
    </row>
    <row r="297" spans="2:10">
      <c r="B297" s="214"/>
      <c r="C297" s="214"/>
      <c r="D297" s="260" t="str">
        <f>"I"&amp;LEFT($AJ$12,1)&amp;"DNOx"</f>
        <v>IADNOx</v>
      </c>
      <c r="E297" s="270" t="str">
        <f>"Industrial heating  heating technology "&amp;$AJ$12&amp;" - NOx emission"</f>
        <v>Industrial heating  heating technology Aluminium - NOx emission</v>
      </c>
      <c r="F297" s="219" t="s">
        <v>352</v>
      </c>
      <c r="G297" s="211"/>
      <c r="H297" s="214"/>
      <c r="I297" s="214"/>
      <c r="J297" s="214"/>
    </row>
    <row r="298" spans="2:10">
      <c r="B298" s="214"/>
      <c r="C298" s="214"/>
      <c r="D298" s="260" t="str">
        <f>"I"&amp;LEFT($AJ$12,1)&amp;"DCH4"</f>
        <v>IADCH4</v>
      </c>
      <c r="E298" s="270" t="str">
        <f>"Industrial heating  heating technology "&amp;$AJ$12&amp;" - CH4 emission"</f>
        <v>Industrial heating  heating technology Aluminium - CH4 emission</v>
      </c>
      <c r="F298" s="219" t="s">
        <v>352</v>
      </c>
      <c r="G298" s="211"/>
      <c r="H298" s="214"/>
      <c r="I298" s="214"/>
      <c r="J298" s="214"/>
    </row>
    <row r="299" spans="2:10">
      <c r="B299" s="214"/>
      <c r="C299" s="214"/>
      <c r="D299" s="260" t="str">
        <f>"I"&amp;LEFT($AJ$12,1)&amp;"DNO2"</f>
        <v>IADNO2</v>
      </c>
      <c r="E299" s="270" t="str">
        <f>"Industrial heating  heating technology "&amp;$AJ$12&amp;" - NO2 emission"</f>
        <v>Industrial heating  heating technology Aluminium - NO2 emission</v>
      </c>
      <c r="F299" s="219" t="s">
        <v>352</v>
      </c>
      <c r="G299" s="211"/>
      <c r="H299" s="214"/>
      <c r="I299" s="214"/>
      <c r="J299" s="214"/>
    </row>
    <row r="300" spans="2:10">
      <c r="B300" s="214"/>
      <c r="C300" s="214"/>
      <c r="D300" s="260" t="str">
        <f>"I"&amp;LEFT($AJ$12,1)&amp;"DPM"</f>
        <v>IADPM</v>
      </c>
      <c r="E300" s="270" t="str">
        <f>"Industrial heating  heating technology "&amp;$AJ$12&amp;" - Particle emission"</f>
        <v>Industrial heating  heating technology Aluminium - Particle emission</v>
      </c>
      <c r="F300" s="219" t="s">
        <v>352</v>
      </c>
      <c r="G300" s="211"/>
      <c r="H300" s="214"/>
      <c r="I300" s="214"/>
      <c r="J300" s="214"/>
    </row>
    <row r="301" spans="2:10">
      <c r="B301" s="224" t="s">
        <v>1057</v>
      </c>
      <c r="D301" s="224" t="str">
        <f>AI20</f>
        <v>INDAWH</v>
      </c>
      <c r="E301" s="270" t="str">
        <f>"Industrial heating technology "&amp;$AJ$12&amp;" - Waste heat"</f>
        <v>Industrial heating technology Aluminium - Waste heat</v>
      </c>
      <c r="F301" s="263" t="s">
        <v>450</v>
      </c>
    </row>
  </sheetData>
  <pageMargins left="0.7" right="0.7" top="0.75" bottom="0.75" header="0.3" footer="0.3"/>
  <pageSetup paperSize="9" orientation="portrait" r:id="rId1"/>
  <legacyDrawing r:id="rId2"/>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7A39FE9B-060D-4357-ADDD-141AEC8F55D4}">
          <x14:formula1>
            <xm:f>'Oil-fired boiler_NEW'!$T$4:$X$4</xm:f>
          </x14:formula1>
          <xm:sqref>E1</xm:sqref>
        </x14:dataValidation>
      </x14:dataValidation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79964A-C6A7-452B-99B4-BC45F6511F3E}">
  <sheetPr>
    <tabColor rgb="FF00B050"/>
  </sheetPr>
  <dimension ref="A1:AP301"/>
  <sheetViews>
    <sheetView tabSelected="1" topLeftCell="A200" zoomScale="70" zoomScaleNormal="70" workbookViewId="0">
      <selection activeCell="G215" sqref="G215"/>
    </sheetView>
  </sheetViews>
  <sheetFormatPr baseColWidth="10" defaultColWidth="9.1640625" defaultRowHeight="15"/>
  <cols>
    <col min="1" max="1" width="9.1640625" style="224"/>
    <col min="2" max="2" width="31.5" style="224" customWidth="1"/>
    <col min="3" max="3" width="11.5" style="224" bestFit="1" customWidth="1"/>
    <col min="4" max="4" width="19.83203125" style="224" customWidth="1"/>
    <col min="5" max="5" width="98.5" style="224" bestFit="1" customWidth="1"/>
    <col min="6" max="6" width="10.5" style="224" bestFit="1" customWidth="1"/>
    <col min="7" max="7" width="55.83203125" style="224" bestFit="1" customWidth="1"/>
    <col min="8" max="8" width="27.83203125" style="224" bestFit="1" customWidth="1"/>
    <col min="9" max="9" width="27.83203125" style="224" customWidth="1"/>
    <col min="10" max="10" width="10.1640625" style="224" bestFit="1" customWidth="1"/>
    <col min="11" max="11" width="8.5" style="224" bestFit="1" customWidth="1"/>
    <col min="12" max="12" width="6.5" style="224" bestFit="1" customWidth="1"/>
    <col min="13" max="13" width="6.5" style="224" customWidth="1"/>
    <col min="14" max="15" width="12.83203125" style="224" bestFit="1" customWidth="1"/>
    <col min="16" max="16" width="12.5" style="224" bestFit="1" customWidth="1"/>
    <col min="17" max="17" width="6.1640625" style="224" customWidth="1"/>
    <col min="18" max="18" width="8.1640625" style="224" bestFit="1" customWidth="1"/>
    <col min="19" max="19" width="11.83203125" style="224" bestFit="1" customWidth="1"/>
    <col min="20" max="20" width="11.5" style="224" bestFit="1" customWidth="1"/>
    <col min="21" max="21" width="18.1640625" style="224" bestFit="1" customWidth="1"/>
    <col min="22" max="22" width="11.83203125" style="224" customWidth="1"/>
    <col min="23" max="23" width="7.83203125" style="224" bestFit="1" customWidth="1"/>
    <col min="24" max="24" width="8.5" style="224" bestFit="1" customWidth="1"/>
    <col min="25" max="25" width="6.5" style="224" bestFit="1" customWidth="1"/>
    <col min="26" max="26" width="6.5" style="224" customWidth="1"/>
    <col min="27" max="27" width="8" style="224" customWidth="1"/>
    <col min="28" max="38" width="9.1640625" style="224"/>
    <col min="39" max="39" width="64.1640625" style="224" bestFit="1" customWidth="1"/>
    <col min="40" max="16384" width="9.1640625" style="224"/>
  </cols>
  <sheetData>
    <row r="1" spans="2:42" ht="14.5" customHeight="1">
      <c r="D1" s="728" t="s">
        <v>1016</v>
      </c>
      <c r="E1" s="729" t="s">
        <v>719</v>
      </c>
      <c r="N1" s="64"/>
      <c r="O1" s="64"/>
      <c r="P1" s="64"/>
      <c r="S1" s="727" t="s">
        <v>1004</v>
      </c>
      <c r="T1" s="776" t="s">
        <v>1003</v>
      </c>
      <c r="U1" s="775" t="s">
        <v>1053</v>
      </c>
      <c r="V1" s="776" t="s">
        <v>1054</v>
      </c>
      <c r="W1" s="780">
        <v>0.3</v>
      </c>
    </row>
    <row r="2" spans="2:42" ht="16" thickBot="1">
      <c r="E2" s="730" t="s">
        <v>686</v>
      </c>
      <c r="N2" s="731"/>
      <c r="O2" s="731"/>
      <c r="P2" s="731"/>
      <c r="S2" s="726">
        <f>MATCH($E$1,$AJ$22:$AJ$35)</f>
        <v>13</v>
      </c>
      <c r="T2" s="778">
        <f>MATCH($E$1,$AJ$22:$AJ$35)+1</f>
        <v>14</v>
      </c>
      <c r="U2" s="779"/>
      <c r="V2" s="768" t="s">
        <v>1055</v>
      </c>
      <c r="W2" s="781">
        <v>0.2</v>
      </c>
    </row>
    <row r="3" spans="2:42" ht="16" thickBot="1">
      <c r="N3" s="731"/>
      <c r="O3" s="731"/>
      <c r="P3" s="731"/>
      <c r="S3" s="768"/>
      <c r="T3" s="768"/>
      <c r="U3" s="777"/>
      <c r="V3" s="778" t="s">
        <v>1056</v>
      </c>
      <c r="W3" s="782">
        <v>0</v>
      </c>
    </row>
    <row r="4" spans="2:42">
      <c r="N4" s="731"/>
      <c r="O4" s="731"/>
      <c r="P4" s="731"/>
      <c r="S4" s="768"/>
      <c r="T4" s="768"/>
      <c r="U4" s="768"/>
      <c r="V4" s="768"/>
    </row>
    <row r="5" spans="2:42">
      <c r="J5" s="172" t="s">
        <v>468</v>
      </c>
      <c r="N5" s="731"/>
      <c r="O5" s="731"/>
      <c r="P5" s="731"/>
      <c r="S5" s="768"/>
      <c r="T5" s="768"/>
      <c r="U5" s="768"/>
      <c r="V5" s="768"/>
    </row>
    <row r="6" spans="2:42" ht="26.25" customHeight="1">
      <c r="B6" s="166" t="s">
        <v>1015</v>
      </c>
      <c r="C6" s="46"/>
      <c r="D6" s="46" t="s">
        <v>425</v>
      </c>
      <c r="E6" s="46" t="s">
        <v>426</v>
      </c>
      <c r="F6" s="46" t="s">
        <v>689</v>
      </c>
      <c r="G6" s="46" t="s">
        <v>427</v>
      </c>
      <c r="H6" s="46" t="s">
        <v>428</v>
      </c>
      <c r="I6" s="771" t="s">
        <v>1049</v>
      </c>
      <c r="J6" s="46" t="s">
        <v>335</v>
      </c>
      <c r="K6" s="46" t="s">
        <v>336</v>
      </c>
      <c r="L6" s="47" t="s">
        <v>337</v>
      </c>
      <c r="M6" s="47" t="s">
        <v>1052</v>
      </c>
      <c r="N6" s="47" t="s">
        <v>339</v>
      </c>
      <c r="O6" s="48" t="s">
        <v>340</v>
      </c>
      <c r="P6" s="47" t="s">
        <v>341</v>
      </c>
      <c r="Q6" s="49" t="s">
        <v>342</v>
      </c>
      <c r="R6" s="49" t="s">
        <v>343</v>
      </c>
      <c r="S6" s="769" t="s">
        <v>344</v>
      </c>
      <c r="T6" s="770" t="s">
        <v>997</v>
      </c>
      <c r="U6" s="769" t="s">
        <v>1050</v>
      </c>
      <c r="V6" s="783" t="s">
        <v>1051</v>
      </c>
      <c r="W6" s="284"/>
      <c r="X6" s="280" t="str">
        <f>"FEMIS~"&amp;D296</f>
        <v>FEMIS~IMDSOx</v>
      </c>
      <c r="Y6" s="280" t="str">
        <f>"FEMIS~"&amp;D297</f>
        <v>FEMIS~IMDNOx</v>
      </c>
      <c r="Z6" s="280" t="str">
        <f>"FEMIS~"&amp;D298</f>
        <v>FEMIS~IMDCH4</v>
      </c>
      <c r="AA6" s="280" t="str">
        <f>"FEMIS~"&amp;D299</f>
        <v>FEMIS~IMDNO2</v>
      </c>
      <c r="AB6" s="280" t="str">
        <f>"FEMIS~"&amp;D300</f>
        <v>FEMIS~IMDPM</v>
      </c>
      <c r="AC6" s="224" t="s">
        <v>424</v>
      </c>
      <c r="AD6" s="224" t="s">
        <v>2001</v>
      </c>
      <c r="AE6" s="47" t="s">
        <v>338</v>
      </c>
      <c r="AF6" s="221" t="s">
        <v>473</v>
      </c>
    </row>
    <row r="7" spans="2:42" ht="16" thickBot="1">
      <c r="B7" s="715"/>
      <c r="C7" s="167"/>
      <c r="D7" s="167" t="s">
        <v>429</v>
      </c>
      <c r="E7" s="50"/>
      <c r="F7" s="50"/>
      <c r="G7" s="50"/>
      <c r="H7" s="50"/>
      <c r="I7" s="168"/>
      <c r="J7" s="50"/>
      <c r="K7" s="50"/>
      <c r="L7" s="51"/>
      <c r="M7" s="51"/>
      <c r="N7" s="51"/>
      <c r="O7" s="52"/>
      <c r="P7" s="50"/>
      <c r="Q7" s="50"/>
      <c r="R7" s="50"/>
      <c r="S7" s="50"/>
      <c r="T7" s="50"/>
      <c r="U7" s="50"/>
      <c r="V7" s="168"/>
      <c r="W7" s="285"/>
      <c r="X7" s="50"/>
      <c r="Y7" s="50"/>
      <c r="Z7" s="50"/>
      <c r="AA7" s="50"/>
      <c r="AB7" s="50"/>
      <c r="AE7" s="51"/>
      <c r="AF7" s="222"/>
    </row>
    <row r="8" spans="2:42">
      <c r="B8" s="357"/>
      <c r="D8" s="224" t="s">
        <v>451</v>
      </c>
      <c r="I8" s="357"/>
      <c r="J8" s="57"/>
      <c r="K8" s="57"/>
      <c r="L8" s="57"/>
      <c r="M8" s="57"/>
      <c r="N8" s="57"/>
      <c r="O8" s="57" t="s">
        <v>470</v>
      </c>
      <c r="P8" s="57" t="s">
        <v>471</v>
      </c>
      <c r="Q8" s="57" t="s">
        <v>472</v>
      </c>
      <c r="R8" s="57" t="s">
        <v>351</v>
      </c>
      <c r="S8" s="57" t="s">
        <v>351</v>
      </c>
      <c r="T8" s="57"/>
      <c r="U8" s="57"/>
      <c r="V8" s="784"/>
      <c r="W8" s="286"/>
      <c r="X8" s="57" t="s">
        <v>352</v>
      </c>
      <c r="Y8" s="57" t="s">
        <v>352</v>
      </c>
      <c r="Z8" s="57" t="s">
        <v>352</v>
      </c>
      <c r="AA8" s="57" t="s">
        <v>352</v>
      </c>
      <c r="AB8" s="57" t="s">
        <v>352</v>
      </c>
      <c r="AE8" s="57"/>
      <c r="AF8" s="220"/>
    </row>
    <row r="9" spans="2:42">
      <c r="B9" s="357" t="s">
        <v>998</v>
      </c>
      <c r="D9" s="212" t="str">
        <f>"IND"&amp;RIGHT(H9,4)&amp;RIGHT(G9,3)&amp;"N"&amp;RIGHT(E9,1)</f>
        <v>INDMDPHELCN1</v>
      </c>
      <c r="E9" s="261" t="str">
        <f>"Industrial heating technology "&amp;$AJ$12&amp;" "&amp;RIGHT(H9,2)&amp;" - Heat pump utilizing waste heat - new 1"</f>
        <v>Industrial heating technology Machinery PH - Heat pump utilizing waste heat - new 1</v>
      </c>
      <c r="F9" s="224" t="s">
        <v>1149</v>
      </c>
      <c r="G9" s="173" t="s">
        <v>499</v>
      </c>
      <c r="H9" s="174" t="str">
        <f>$AI$14</f>
        <v>IMDPH</v>
      </c>
      <c r="I9" s="173"/>
      <c r="J9" s="224">
        <f>AD9</f>
        <v>2020</v>
      </c>
      <c r="K9" s="81">
        <v>2020</v>
      </c>
      <c r="L9" s="333">
        <v>1</v>
      </c>
      <c r="M9" s="199">
        <f ca="1">VLOOKUP($AD9,INDIRECT("'"&amp;$B9&amp;"'!"&amp;"$P$39:$AD$42"),3,FALSE)</f>
        <v>4.4754761904761899</v>
      </c>
      <c r="N9" s="81">
        <f ca="1">VLOOKUP($AD9,INDIRECT("'"&amp;$B9&amp;"'!"&amp;"$P$39:$AD$42"),5,FALSE)</f>
        <v>20</v>
      </c>
      <c r="O9" s="723">
        <f ca="1">VLOOKUP($AD9,INDIRECT("'"&amp;$B9&amp;"'!"&amp;"$P$39:$AD$42"),6,FALSE)/1000</f>
        <v>5.4385000000000003</v>
      </c>
      <c r="P9" s="723">
        <f ca="1">VLOOKUP($AD9,INDIRECT("'"&amp;$B9&amp;"'!"&amp;"$P$39:$AD$42"),7,FALSE)/1000</f>
        <v>1.49E-2</v>
      </c>
      <c r="Q9" s="81">
        <f ca="1">VLOOKUP($AD9,INDIRECT("'"&amp;$B9&amp;"'!"&amp;"$P$39:$AD$42"),8,FALSE)</f>
        <v>6.7463888888888883</v>
      </c>
      <c r="R9" s="81">
        <v>3.1536000000000002E-2</v>
      </c>
      <c r="S9" s="199">
        <v>0.5</v>
      </c>
      <c r="T9" s="199">
        <f ca="1">HLOOKUP($T$2,INDIRECT("'"&amp;$B9&amp;"'!"&amp;"$P$6:$AC$19"),IF(H9=$AI$13,6,IF(H9=$AI$14,9,14)),FALSE)</f>
        <v>0</v>
      </c>
      <c r="U9" s="199">
        <f ca="1">1/M9</f>
        <v>0.22343991062403579</v>
      </c>
      <c r="V9" s="199"/>
      <c r="W9" s="298"/>
      <c r="X9" s="698">
        <f ca="1">IF(VLOOKUP($AD9,INDIRECT("'"&amp;$B9&amp;"'!"&amp;"$P$39:$AD$42"),11,FALSE)="Cf. the utilized electricity",0,VLOOKUP($AD9,INDIRECT("'"&amp;$B9&amp;"'!"&amp;"$P$39:$AD$42"),11,FALSE))</f>
        <v>0</v>
      </c>
      <c r="Y9" s="81">
        <f ca="1">VLOOKUP($AD9,INDIRECT("'"&amp;$B9&amp;"'!"&amp;"$P$39:$AD$42"),12,FALSE)</f>
        <v>0</v>
      </c>
      <c r="Z9" s="81">
        <f ca="1">VLOOKUP($AD9,INDIRECT("'"&amp;$B9&amp;"'!"&amp;"$P$39:$AD$42"),13,FALSE)</f>
        <v>0</v>
      </c>
      <c r="AA9" s="81">
        <f ca="1">VLOOKUP($AD9,INDIRECT("'"&amp;$B9&amp;"'!"&amp;"$P$39:$AD$42"),14,FALSE)</f>
        <v>0</v>
      </c>
      <c r="AB9" s="81">
        <f ca="1">VLOOKUP($AD9,INDIRECT("'"&amp;$B9&amp;"'!"&amp;"$P$39:$AD$42"),15,FALSE)</f>
        <v>0</v>
      </c>
      <c r="AC9" s="226"/>
      <c r="AD9" s="81">
        <v>2020</v>
      </c>
      <c r="AE9" s="81"/>
      <c r="AF9" s="220"/>
    </row>
    <row r="10" spans="2:42">
      <c r="B10" s="357" t="s">
        <v>998</v>
      </c>
      <c r="D10" s="212"/>
      <c r="E10" s="261"/>
      <c r="F10" s="224" t="s">
        <v>1149</v>
      </c>
      <c r="G10" s="173" t="str">
        <f>$AI$20</f>
        <v>INDMWH</v>
      </c>
      <c r="H10" s="174"/>
      <c r="I10" s="174"/>
      <c r="K10" s="81"/>
      <c r="L10" s="333"/>
      <c r="M10" s="199"/>
      <c r="N10" s="81"/>
      <c r="O10" s="723"/>
      <c r="P10" s="723"/>
      <c r="Q10" s="81"/>
      <c r="R10" s="200"/>
      <c r="S10" s="772"/>
      <c r="T10" s="772"/>
      <c r="U10" s="199">
        <f ca="1">1-U9</f>
        <v>0.77656008937596421</v>
      </c>
      <c r="V10" s="772"/>
      <c r="W10" s="298"/>
      <c r="X10" s="698"/>
      <c r="Y10" s="81"/>
      <c r="Z10" s="81"/>
      <c r="AA10" s="81"/>
      <c r="AB10" s="81"/>
      <c r="AC10" s="226"/>
      <c r="AD10" s="81"/>
      <c r="AE10" s="81"/>
      <c r="AF10" s="220"/>
    </row>
    <row r="11" spans="2:42">
      <c r="B11" s="357" t="s">
        <v>998</v>
      </c>
      <c r="D11" s="212"/>
      <c r="E11" s="212"/>
      <c r="F11" s="224" t="s">
        <v>1149</v>
      </c>
      <c r="G11" s="173" t="s">
        <v>499</v>
      </c>
      <c r="H11" s="174" t="str">
        <f>$AI$14</f>
        <v>IMDPH</v>
      </c>
      <c r="I11" s="173"/>
      <c r="J11" s="224">
        <f>AD11</f>
        <v>2030</v>
      </c>
      <c r="K11" s="81"/>
      <c r="L11" s="333">
        <v>1</v>
      </c>
      <c r="M11" s="199">
        <f ca="1">VLOOKUP($AD11,INDIRECT("'"&amp;$B11&amp;"'!"&amp;"$P$39:$AD$42"),3,FALSE)</f>
        <v>4.5792982142857133</v>
      </c>
      <c r="N11" s="81"/>
      <c r="O11" s="723">
        <f ca="1">VLOOKUP($AD11,INDIRECT("'"&amp;$B11&amp;"'!"&amp;"$P$39:$AD$42"),6,FALSE)/1000</f>
        <v>4.8425000000000002</v>
      </c>
      <c r="P11" s="723">
        <f ca="1">VLOOKUP($AD11,INDIRECT("'"&amp;$B11&amp;"'!"&amp;"$P$39:$AD$42"),7,FALSE)/1000</f>
        <v>1.49E-2</v>
      </c>
      <c r="Q11" s="81">
        <f ca="1">VLOOKUP($AD11,INDIRECT("'"&amp;$B11&amp;"'!"&amp;"$P$39:$AD$42"),8,FALSE)</f>
        <v>6.6222222222222227</v>
      </c>
      <c r="R11" s="300"/>
      <c r="S11" s="300"/>
      <c r="T11" s="300"/>
      <c r="U11" s="199">
        <f ca="1">1/M11</f>
        <v>0.21837407244637849</v>
      </c>
      <c r="V11" s="199"/>
      <c r="W11" s="298"/>
      <c r="X11" s="698">
        <f ca="1">IF(VLOOKUP($AD11,INDIRECT("'"&amp;$B11&amp;"'!"&amp;"$P$39:$AD$42"),11,FALSE)="Cf. the utilized electricity",0,VLOOKUP($AD11,INDIRECT("'"&amp;$B11&amp;"'!"&amp;"$P$39:$AD$42"),11,FALSE))</f>
        <v>0</v>
      </c>
      <c r="Y11" s="81">
        <f ca="1">VLOOKUP($AD11,INDIRECT("'"&amp;$B11&amp;"'!"&amp;"$P$39:$AD$42"),12,FALSE)</f>
        <v>0</v>
      </c>
      <c r="Z11" s="81">
        <f ca="1">VLOOKUP($AD11,INDIRECT("'"&amp;$B11&amp;"'!"&amp;"$P$39:$AD$42"),13,FALSE)</f>
        <v>0</v>
      </c>
      <c r="AA11" s="81">
        <f ca="1">VLOOKUP($AD11,INDIRECT("'"&amp;$B11&amp;"'!"&amp;"$P$39:$AD$42"),14,FALSE)</f>
        <v>0</v>
      </c>
      <c r="AB11" s="81">
        <f ca="1">VLOOKUP($AD11,INDIRECT("'"&amp;$B11&amp;"'!"&amp;"$P$39:$AD$42"),15,FALSE)</f>
        <v>0</v>
      </c>
      <c r="AC11" s="226"/>
      <c r="AD11" s="81">
        <v>2030</v>
      </c>
      <c r="AE11" s="81"/>
      <c r="AF11" s="220"/>
    </row>
    <row r="12" spans="2:42">
      <c r="B12" s="357" t="s">
        <v>998</v>
      </c>
      <c r="D12" s="212"/>
      <c r="E12" s="212"/>
      <c r="F12" s="224" t="s">
        <v>1149</v>
      </c>
      <c r="G12" s="173" t="str">
        <f>$AI$20</f>
        <v>INDMWH</v>
      </c>
      <c r="H12" s="174"/>
      <c r="I12" s="174"/>
      <c r="K12" s="81"/>
      <c r="L12" s="333"/>
      <c r="M12" s="199"/>
      <c r="N12" s="81"/>
      <c r="O12" s="723"/>
      <c r="P12" s="723"/>
      <c r="Q12" s="81"/>
      <c r="R12" s="300"/>
      <c r="S12" s="300"/>
      <c r="T12" s="300"/>
      <c r="U12" s="199">
        <f ca="1">1-U11</f>
        <v>0.78162592755362148</v>
      </c>
      <c r="V12" s="300"/>
      <c r="W12" s="298"/>
      <c r="X12" s="698"/>
      <c r="Y12" s="81"/>
      <c r="Z12" s="81"/>
      <c r="AA12" s="81"/>
      <c r="AB12" s="81"/>
      <c r="AC12" s="226"/>
      <c r="AD12" s="81"/>
      <c r="AE12" s="81"/>
      <c r="AF12" s="220"/>
      <c r="AI12" s="224" t="s">
        <v>518</v>
      </c>
      <c r="AJ12" s="224" t="str">
        <f>E2</f>
        <v>Machinery</v>
      </c>
    </row>
    <row r="13" spans="2:42">
      <c r="B13" s="357" t="s">
        <v>998</v>
      </c>
      <c r="D13" s="212"/>
      <c r="E13" s="212"/>
      <c r="F13" s="224" t="s">
        <v>1149</v>
      </c>
      <c r="G13" s="173" t="s">
        <v>499</v>
      </c>
      <c r="H13" s="174" t="str">
        <f>$AI$14</f>
        <v>IMDPH</v>
      </c>
      <c r="I13" s="173"/>
      <c r="J13" s="224">
        <f>AD13</f>
        <v>2050</v>
      </c>
      <c r="K13" s="81"/>
      <c r="L13" s="333">
        <v>1</v>
      </c>
      <c r="M13" s="199">
        <f ca="1">VLOOKUP($AD13,INDIRECT("'"&amp;$B13&amp;"'!"&amp;"$P$39:$AD$42"),3,FALSE)</f>
        <v>4.7191030203571422</v>
      </c>
      <c r="N13" s="81"/>
      <c r="O13" s="723">
        <f ca="1">VLOOKUP($AD13,INDIRECT("'"&amp;$B13&amp;"'!"&amp;"$P$39:$AD$42"),6,FALSE)/1000</f>
        <v>4.3209999999999997</v>
      </c>
      <c r="P13" s="723">
        <f ca="1">VLOOKUP($AD13,INDIRECT("'"&amp;$B13&amp;"'!"&amp;"$P$39:$AD$42"),7,FALSE)/1000</f>
        <v>1.49E-2</v>
      </c>
      <c r="Q13" s="81">
        <f ca="1">VLOOKUP($AD13,INDIRECT("'"&amp;$B13&amp;"'!"&amp;"$P$39:$AD$42"),8,FALSE)</f>
        <v>6.4566666666666661</v>
      </c>
      <c r="R13" s="300"/>
      <c r="S13" s="300"/>
      <c r="T13" s="300"/>
      <c r="U13" s="199">
        <f ca="1">1/M13</f>
        <v>0.21190467673331698</v>
      </c>
      <c r="V13" s="199"/>
      <c r="W13" s="298"/>
      <c r="X13" s="698">
        <f ca="1">IF(VLOOKUP($AD13,INDIRECT("'"&amp;$B13&amp;"'!"&amp;"$P$39:$AD$42"),11,FALSE)="Cf. the utilized electricity",0,VLOOKUP($AD13,INDIRECT("'"&amp;$B13&amp;"'!"&amp;"$P$39:$AD$42"),11,FALSE))</f>
        <v>0</v>
      </c>
      <c r="Y13" s="81">
        <f ca="1">VLOOKUP($AD13,INDIRECT("'"&amp;$B13&amp;"'!"&amp;"$P$39:$AD$42"),12,FALSE)</f>
        <v>0</v>
      </c>
      <c r="Z13" s="81">
        <f ca="1">VLOOKUP($AD13,INDIRECT("'"&amp;$B13&amp;"'!"&amp;"$P$39:$AD$42"),13,FALSE)</f>
        <v>0</v>
      </c>
      <c r="AA13" s="81">
        <f ca="1">VLOOKUP($AD13,INDIRECT("'"&amp;$B13&amp;"'!"&amp;"$P$39:$AD$42"),14,FALSE)</f>
        <v>0</v>
      </c>
      <c r="AB13" s="81">
        <f ca="1">VLOOKUP($AD13,INDIRECT("'"&amp;$B13&amp;"'!"&amp;"$P$39:$AD$42"),15,FALSE)</f>
        <v>0</v>
      </c>
      <c r="AC13" s="226"/>
      <c r="AD13" s="81">
        <v>2050</v>
      </c>
      <c r="AE13" s="81"/>
      <c r="AF13" s="220"/>
      <c r="AI13" s="224" t="str">
        <f>AO14</f>
        <v>IMDPH</v>
      </c>
      <c r="AJ13" s="224" t="str">
        <f>AP14</f>
        <v>Machinery industry Demand Heat High Temp. over 150C</v>
      </c>
      <c r="AO13" s="224" t="s">
        <v>2088</v>
      </c>
      <c r="AP13" s="224" t="s">
        <v>1183</v>
      </c>
    </row>
    <row r="14" spans="2:42">
      <c r="B14" s="357" t="s">
        <v>998</v>
      </c>
      <c r="D14" s="212"/>
      <c r="E14" s="212"/>
      <c r="F14" s="224" t="s">
        <v>1149</v>
      </c>
      <c r="G14" s="173" t="str">
        <f>$AI$20</f>
        <v>INDMWH</v>
      </c>
      <c r="H14" s="174"/>
      <c r="I14" s="174"/>
      <c r="K14" s="81"/>
      <c r="L14" s="333"/>
      <c r="M14" s="199"/>
      <c r="N14" s="81"/>
      <c r="O14" s="723"/>
      <c r="P14" s="723"/>
      <c r="Q14" s="81"/>
      <c r="R14" s="300"/>
      <c r="S14" s="300"/>
      <c r="T14" s="300"/>
      <c r="U14" s="199">
        <f ca="1">1-U13</f>
        <v>0.78809532326668297</v>
      </c>
      <c r="V14" s="300"/>
      <c r="W14" s="298"/>
      <c r="X14" s="698"/>
      <c r="Y14" s="81"/>
      <c r="Z14" s="81"/>
      <c r="AA14" s="81"/>
      <c r="AB14" s="81"/>
      <c r="AC14" s="226"/>
      <c r="AD14" s="81"/>
      <c r="AE14" s="81"/>
      <c r="AF14" s="220"/>
      <c r="AI14" s="224" t="str">
        <f>AO13</f>
        <v>IMDPH</v>
      </c>
      <c r="AJ14" s="224" t="str">
        <f>AP13</f>
        <v>Machinery industry Demand Heat Medium Temp. up to 150C</v>
      </c>
      <c r="AO14" s="224" t="s">
        <v>2088</v>
      </c>
      <c r="AP14" s="224" t="s">
        <v>1184</v>
      </c>
    </row>
    <row r="15" spans="2:42">
      <c r="B15" s="357" t="s">
        <v>998</v>
      </c>
      <c r="D15" s="212" t="str">
        <f>"IND"&amp;RIGHT(H15,4)&amp;RIGHT(G15,3)&amp;"N"&amp;RIGHT(E15,1)</f>
        <v>INDMDSHELCN1</v>
      </c>
      <c r="E15" s="261" t="str">
        <f>"Industrial heating technology "&amp;$AJ$12&amp;" "&amp;RIGHT(H15,2)&amp;" - Heat pump utilizing waste heat - new 1"</f>
        <v>Industrial heating technology Machinery SH - Heat pump utilizing waste heat - new 1</v>
      </c>
      <c r="F15" s="224" t="s">
        <v>1149</v>
      </c>
      <c r="G15" s="173" t="s">
        <v>499</v>
      </c>
      <c r="H15" s="174" t="str">
        <f>$AI$15</f>
        <v>IMDSH</v>
      </c>
      <c r="I15" s="174"/>
      <c r="J15" s="224">
        <f>AD15</f>
        <v>2020</v>
      </c>
      <c r="K15" s="81">
        <v>2020</v>
      </c>
      <c r="L15" s="333">
        <v>1</v>
      </c>
      <c r="M15" s="199">
        <f ca="1">VLOOKUP($AD15,INDIRECT("'"&amp;$B15&amp;"'!"&amp;"$P$39:$AD$42"),3,FALSE)</f>
        <v>4.4754761904761899</v>
      </c>
      <c r="N15" s="81">
        <f ca="1">VLOOKUP($AD15,INDIRECT("'"&amp;$B15&amp;"'!"&amp;"$P$39:$AD$42"),5,FALSE)</f>
        <v>20</v>
      </c>
      <c r="O15" s="723">
        <f ca="1">VLOOKUP($AD15,INDIRECT("'"&amp;$B15&amp;"'!"&amp;"$P$39:$AD$42"),6,FALSE)/1000</f>
        <v>5.4385000000000003</v>
      </c>
      <c r="P15" s="723">
        <f ca="1">VLOOKUP($AD15,INDIRECT("'"&amp;$B15&amp;"'!"&amp;"$P$39:$AD$42"),7,FALSE)/1000</f>
        <v>1.49E-2</v>
      </c>
      <c r="Q15" s="81">
        <f ca="1">VLOOKUP($AD15,INDIRECT("'"&amp;$B15&amp;"'!"&amp;"$P$39:$AD$42"),8,FALSE)</f>
        <v>6.7463888888888883</v>
      </c>
      <c r="R15" s="81">
        <v>3.1536000000000002E-2</v>
      </c>
      <c r="S15" s="199">
        <v>0.5</v>
      </c>
      <c r="T15" s="199">
        <f ca="1">HLOOKUP($T$2,INDIRECT("'"&amp;$B15&amp;"'!"&amp;"$P$6:$AC$19"),IF(H15=$AI$13,6,IF(H15=$AI$14,9,14)),FALSE)</f>
        <v>1</v>
      </c>
      <c r="U15" s="199">
        <f ca="1">1/M15</f>
        <v>0.22343991062403579</v>
      </c>
      <c r="V15" s="199"/>
      <c r="W15" s="298"/>
      <c r="X15" s="698">
        <f ca="1">IF(VLOOKUP($AD15,INDIRECT("'"&amp;$B15&amp;"'!"&amp;"$P$39:$AD$42"),11,FALSE)="Cf. the utilized electricity",0,VLOOKUP($AD15,INDIRECT("'"&amp;$B15&amp;"'!"&amp;"$P$39:$AD$42"),11,FALSE))</f>
        <v>0</v>
      </c>
      <c r="Y15" s="81">
        <f ca="1">VLOOKUP($AD15,INDIRECT("'"&amp;$B15&amp;"'!"&amp;"$P$39:$AD$42"),12,FALSE)</f>
        <v>0</v>
      </c>
      <c r="Z15" s="81">
        <f ca="1">VLOOKUP($AD15,INDIRECT("'"&amp;$B15&amp;"'!"&amp;"$P$39:$AD$42"),13,FALSE)</f>
        <v>0</v>
      </c>
      <c r="AA15" s="81">
        <f ca="1">VLOOKUP($AD15,INDIRECT("'"&amp;$B15&amp;"'!"&amp;"$P$39:$AD$42"),14,FALSE)</f>
        <v>0</v>
      </c>
      <c r="AB15" s="81">
        <f ca="1">VLOOKUP($AD15,INDIRECT("'"&amp;$B15&amp;"'!"&amp;"$P$39:$AD$42"),15,FALSE)</f>
        <v>0</v>
      </c>
      <c r="AC15" s="226"/>
      <c r="AD15" s="81">
        <v>2020</v>
      </c>
      <c r="AE15" s="81"/>
      <c r="AF15" s="220"/>
      <c r="AI15" s="224" t="str">
        <f>AO15</f>
        <v>IMDSH</v>
      </c>
      <c r="AJ15" s="224" t="str">
        <f>AP15</f>
        <v>Machinery industry Demand Heat Room Heat</v>
      </c>
      <c r="AO15" s="224" t="s">
        <v>2089</v>
      </c>
      <c r="AP15" s="224" t="s">
        <v>1185</v>
      </c>
    </row>
    <row r="16" spans="2:42">
      <c r="B16" s="357" t="s">
        <v>998</v>
      </c>
      <c r="D16" s="212"/>
      <c r="E16" s="261"/>
      <c r="F16" s="224" t="s">
        <v>1149</v>
      </c>
      <c r="G16" s="173" t="str">
        <f>$AI$20</f>
        <v>INDMWH</v>
      </c>
      <c r="H16" s="174"/>
      <c r="I16" s="174"/>
      <c r="K16" s="81"/>
      <c r="L16" s="333"/>
      <c r="M16" s="199"/>
      <c r="N16" s="81"/>
      <c r="O16" s="723"/>
      <c r="P16" s="723"/>
      <c r="Q16" s="81"/>
      <c r="R16" s="200"/>
      <c r="S16" s="772"/>
      <c r="T16" s="772"/>
      <c r="U16" s="199">
        <f ca="1">1-U15</f>
        <v>0.77656008937596421</v>
      </c>
      <c r="V16" s="772"/>
      <c r="W16" s="298"/>
      <c r="X16" s="698"/>
      <c r="Y16" s="81"/>
      <c r="Z16" s="81"/>
      <c r="AA16" s="81"/>
      <c r="AB16" s="81"/>
      <c r="AC16" s="226"/>
      <c r="AD16" s="81"/>
      <c r="AE16" s="81"/>
      <c r="AF16" s="220"/>
      <c r="AI16" s="224" t="str">
        <f t="shared" ref="AI16:AJ19" si="0">AO16</f>
        <v>IMDLA</v>
      </c>
      <c r="AJ16" s="224" t="str">
        <f t="shared" si="0"/>
        <v>Machinery industry Demand Light</v>
      </c>
      <c r="AO16" s="224" t="s">
        <v>1186</v>
      </c>
      <c r="AP16" s="224" t="s">
        <v>1187</v>
      </c>
    </row>
    <row r="17" spans="2:42">
      <c r="B17" s="357" t="s">
        <v>998</v>
      </c>
      <c r="D17" s="212"/>
      <c r="E17" s="212"/>
      <c r="F17" s="224" t="s">
        <v>1149</v>
      </c>
      <c r="G17" s="173" t="s">
        <v>499</v>
      </c>
      <c r="H17" s="174" t="str">
        <f>$AI$15</f>
        <v>IMDSH</v>
      </c>
      <c r="I17" s="174"/>
      <c r="J17" s="224">
        <f>AD17</f>
        <v>2030</v>
      </c>
      <c r="K17" s="81"/>
      <c r="L17" s="333">
        <v>1</v>
      </c>
      <c r="M17" s="199">
        <f ca="1">VLOOKUP($AD17,INDIRECT("'"&amp;$B17&amp;"'!"&amp;"$P$39:$AD$42"),3,FALSE)</f>
        <v>4.5792982142857133</v>
      </c>
      <c r="N17" s="81"/>
      <c r="O17" s="723">
        <f ca="1">VLOOKUP($AD17,INDIRECT("'"&amp;$B17&amp;"'!"&amp;"$P$39:$AD$42"),6,FALSE)/1000</f>
        <v>4.8425000000000002</v>
      </c>
      <c r="P17" s="723">
        <f ca="1">VLOOKUP($AD17,INDIRECT("'"&amp;$B17&amp;"'!"&amp;"$P$39:$AD$42"),7,FALSE)/1000</f>
        <v>1.49E-2</v>
      </c>
      <c r="Q17" s="81">
        <f ca="1">VLOOKUP($AD17,INDIRECT("'"&amp;$B17&amp;"'!"&amp;"$P$39:$AD$42"),8,FALSE)</f>
        <v>6.6222222222222227</v>
      </c>
      <c r="R17" s="300"/>
      <c r="S17" s="300"/>
      <c r="T17" s="300"/>
      <c r="U17" s="199">
        <f ca="1">1/M17</f>
        <v>0.21837407244637849</v>
      </c>
      <c r="V17" s="199"/>
      <c r="W17" s="298"/>
      <c r="X17" s="698">
        <f ca="1">IF(VLOOKUP($AD17,INDIRECT("'"&amp;$B17&amp;"'!"&amp;"$P$39:$AD$42"),11,FALSE)="Cf. the utilized electricity",0,VLOOKUP($AD17,INDIRECT("'"&amp;$B17&amp;"'!"&amp;"$P$39:$AD$42"),11,FALSE))</f>
        <v>0</v>
      </c>
      <c r="Y17" s="81">
        <f ca="1">VLOOKUP($AD17,INDIRECT("'"&amp;$B17&amp;"'!"&amp;"$P$39:$AD$42"),12,FALSE)</f>
        <v>0</v>
      </c>
      <c r="Z17" s="81">
        <f ca="1">VLOOKUP($AD17,INDIRECT("'"&amp;$B17&amp;"'!"&amp;"$P$39:$AD$42"),13,FALSE)</f>
        <v>0</v>
      </c>
      <c r="AA17" s="81">
        <f ca="1">VLOOKUP($AD17,INDIRECT("'"&amp;$B17&amp;"'!"&amp;"$P$39:$AD$42"),14,FALSE)</f>
        <v>0</v>
      </c>
      <c r="AB17" s="81">
        <f ca="1">VLOOKUP($AD17,INDIRECT("'"&amp;$B17&amp;"'!"&amp;"$P$39:$AD$42"),15,FALSE)</f>
        <v>0</v>
      </c>
      <c r="AC17" s="226"/>
      <c r="AD17" s="81">
        <v>2030</v>
      </c>
      <c r="AE17" s="81"/>
      <c r="AF17" s="220"/>
      <c r="AI17" s="224" t="str">
        <f t="shared" si="0"/>
        <v>IMDEM</v>
      </c>
      <c r="AJ17" s="224" t="str">
        <f t="shared" si="0"/>
        <v>Machinery industry Demand Electric Motors</v>
      </c>
      <c r="AO17" s="224" t="s">
        <v>1188</v>
      </c>
      <c r="AP17" s="224" t="s">
        <v>1189</v>
      </c>
    </row>
    <row r="18" spans="2:42">
      <c r="B18" s="357" t="s">
        <v>998</v>
      </c>
      <c r="D18" s="212"/>
      <c r="E18" s="212"/>
      <c r="F18" s="224" t="s">
        <v>1149</v>
      </c>
      <c r="G18" s="173" t="str">
        <f>$AI$20</f>
        <v>INDMWH</v>
      </c>
      <c r="H18" s="174"/>
      <c r="I18" s="174"/>
      <c r="K18" s="81"/>
      <c r="L18" s="333"/>
      <c r="M18" s="199"/>
      <c r="N18" s="81"/>
      <c r="O18" s="723"/>
      <c r="P18" s="723"/>
      <c r="Q18" s="81"/>
      <c r="R18" s="300"/>
      <c r="S18" s="300"/>
      <c r="T18" s="300"/>
      <c r="U18" s="199">
        <f ca="1">1-U17</f>
        <v>0.78162592755362148</v>
      </c>
      <c r="V18" s="300"/>
      <c r="W18" s="298"/>
      <c r="X18" s="698"/>
      <c r="Y18" s="81"/>
      <c r="Z18" s="81"/>
      <c r="AA18" s="81"/>
      <c r="AB18" s="81"/>
      <c r="AC18" s="226"/>
      <c r="AD18" s="81"/>
      <c r="AE18" s="81"/>
      <c r="AF18" s="220"/>
      <c r="AI18" s="224" t="str">
        <f t="shared" si="0"/>
        <v>IMDTF</v>
      </c>
      <c r="AJ18" s="224" t="str">
        <f t="shared" si="0"/>
        <v>Machinery industry Demand Haulage Tractors, Trucks, Fishing boats, Forest machines</v>
      </c>
      <c r="AO18" s="224" t="s">
        <v>1190</v>
      </c>
      <c r="AP18" s="224" t="s">
        <v>1191</v>
      </c>
    </row>
    <row r="19" spans="2:42">
      <c r="B19" s="357" t="s">
        <v>998</v>
      </c>
      <c r="D19" s="212"/>
      <c r="E19" s="212"/>
      <c r="F19" s="224" t="s">
        <v>1149</v>
      </c>
      <c r="G19" s="173" t="s">
        <v>499</v>
      </c>
      <c r="H19" s="174" t="str">
        <f>$AI$15</f>
        <v>IMDSH</v>
      </c>
      <c r="I19" s="174"/>
      <c r="J19" s="224">
        <f>AD19</f>
        <v>2050</v>
      </c>
      <c r="K19" s="81"/>
      <c r="L19" s="333">
        <v>1</v>
      </c>
      <c r="M19" s="199">
        <f ca="1">VLOOKUP($AD19,INDIRECT("'"&amp;$B19&amp;"'!"&amp;"$P$39:$AD$42"),3,FALSE)</f>
        <v>4.7191030203571422</v>
      </c>
      <c r="N19" s="81"/>
      <c r="O19" s="723">
        <f ca="1">VLOOKUP($AD19,INDIRECT("'"&amp;$B19&amp;"'!"&amp;"$P$39:$AD$42"),6,FALSE)/1000</f>
        <v>4.3209999999999997</v>
      </c>
      <c r="P19" s="723">
        <f ca="1">VLOOKUP($AD19,INDIRECT("'"&amp;$B19&amp;"'!"&amp;"$P$39:$AD$42"),7,FALSE)/1000</f>
        <v>1.49E-2</v>
      </c>
      <c r="Q19" s="81">
        <f ca="1">VLOOKUP($AD19,INDIRECT("'"&amp;$B19&amp;"'!"&amp;"$P$39:$AD$42"),8,FALSE)</f>
        <v>6.4566666666666661</v>
      </c>
      <c r="R19" s="300"/>
      <c r="S19" s="300"/>
      <c r="T19" s="300"/>
      <c r="U19" s="199">
        <f ca="1">1/M19</f>
        <v>0.21190467673331698</v>
      </c>
      <c r="V19" s="199"/>
      <c r="W19" s="298"/>
      <c r="X19" s="698">
        <f ca="1">IF(VLOOKUP($AD19,INDIRECT("'"&amp;$B19&amp;"'!"&amp;"$P$39:$AD$42"),11,FALSE)="Cf. the utilized electricity",0,VLOOKUP($AD19,INDIRECT("'"&amp;$B19&amp;"'!"&amp;"$P$39:$AD$42"),11,FALSE))</f>
        <v>0</v>
      </c>
      <c r="Y19" s="81">
        <f ca="1">VLOOKUP($AD19,INDIRECT("'"&amp;$B19&amp;"'!"&amp;"$P$39:$AD$42"),12,FALSE)</f>
        <v>0</v>
      </c>
      <c r="Z19" s="81">
        <f ca="1">VLOOKUP($AD19,INDIRECT("'"&amp;$B19&amp;"'!"&amp;"$P$39:$AD$42"),13,FALSE)</f>
        <v>0</v>
      </c>
      <c r="AA19" s="81">
        <f ca="1">VLOOKUP($AD19,INDIRECT("'"&amp;$B19&amp;"'!"&amp;"$P$39:$AD$42"),14,FALSE)</f>
        <v>0</v>
      </c>
      <c r="AB19" s="81">
        <f ca="1">VLOOKUP($AD19,INDIRECT("'"&amp;$B19&amp;"'!"&amp;"$P$39:$AD$42"),15,FALSE)</f>
        <v>0</v>
      </c>
      <c r="AC19" s="226"/>
      <c r="AD19" s="81">
        <v>2050</v>
      </c>
      <c r="AE19" s="81"/>
      <c r="AF19" s="220"/>
      <c r="AI19" s="224" t="str">
        <f t="shared" si="0"/>
        <v>IMDFL</v>
      </c>
      <c r="AJ19" s="224" t="str">
        <f t="shared" si="0"/>
        <v>Machinery industry Demand Haulage Forklifts</v>
      </c>
      <c r="AO19" s="224" t="s">
        <v>1192</v>
      </c>
      <c r="AP19" s="224" t="s">
        <v>1193</v>
      </c>
    </row>
    <row r="20" spans="2:42">
      <c r="B20" s="357" t="s">
        <v>998</v>
      </c>
      <c r="D20" s="212"/>
      <c r="E20" s="212"/>
      <c r="F20" s="224" t="s">
        <v>1149</v>
      </c>
      <c r="G20" s="173" t="str">
        <f>$AI$20</f>
        <v>INDMWH</v>
      </c>
      <c r="H20" s="174"/>
      <c r="I20" s="174"/>
      <c r="K20" s="81"/>
      <c r="L20" s="333"/>
      <c r="M20" s="199"/>
      <c r="N20" s="81"/>
      <c r="O20" s="723"/>
      <c r="P20" s="723"/>
      <c r="Q20" s="81"/>
      <c r="R20" s="300"/>
      <c r="S20" s="300"/>
      <c r="T20" s="300"/>
      <c r="U20" s="199">
        <f ca="1">1-U19</f>
        <v>0.78809532326668297</v>
      </c>
      <c r="V20" s="300"/>
      <c r="W20" s="298"/>
      <c r="X20" s="698"/>
      <c r="Y20" s="81"/>
      <c r="Z20" s="81"/>
      <c r="AA20" s="81"/>
      <c r="AB20" s="81"/>
      <c r="AC20" s="226"/>
      <c r="AD20" s="81"/>
      <c r="AE20" s="81"/>
      <c r="AF20" s="220"/>
      <c r="AI20" s="36" t="str">
        <f>"IND"&amp;MID(AI19,2,1)&amp;"WH"</f>
        <v>INDMWH</v>
      </c>
      <c r="AJ20" s="224" t="str">
        <f>$AJ$12&amp;" Industrial Waste Heat"</f>
        <v>Machinery Industrial Waste Heat</v>
      </c>
    </row>
    <row r="21" spans="2:42">
      <c r="B21" s="357" t="s">
        <v>999</v>
      </c>
      <c r="D21" s="212" t="str">
        <f>"IND"&amp;RIGHT(H21,4)&amp;RIGHT(G21,3)&amp;"N"&amp;RIGHT(E21,1)</f>
        <v>INDMDPHELCN2</v>
      </c>
      <c r="E21" s="261" t="str">
        <f>"Industrial heating technology "&amp;$AJ$12&amp;" "&amp;RIGHT(H21,2)&amp;" - Heat driven heat pump utilizing waste heat - new 2"</f>
        <v>Industrial heating technology Machinery PH - Heat driven heat pump utilizing waste heat - new 2</v>
      </c>
      <c r="F21" s="224" t="s">
        <v>1149</v>
      </c>
      <c r="G21" s="173" t="s">
        <v>499</v>
      </c>
      <c r="H21" s="174" t="str">
        <f>$AI$14</f>
        <v>IMDPH</v>
      </c>
      <c r="I21" s="174"/>
      <c r="J21" s="224">
        <f t="shared" ref="J21" si="1">AD21</f>
        <v>2020</v>
      </c>
      <c r="K21" s="81">
        <v>2020</v>
      </c>
      <c r="L21" s="333">
        <v>1</v>
      </c>
      <c r="M21" s="199">
        <f ca="1">VLOOKUP($AD21,INDIRECT("'"&amp;$B21&amp;"'!"&amp;"$P$39:$AD$42"),3,FALSE)</f>
        <v>1.68</v>
      </c>
      <c r="N21" s="81">
        <f ca="1">VLOOKUP($AD21,INDIRECT("'"&amp;$B21&amp;"'!"&amp;"$P$39:$AD$42"),5,FALSE)</f>
        <v>20</v>
      </c>
      <c r="O21" s="723">
        <f ca="1">VLOOKUP($AD21,INDIRECT("'"&amp;$B21&amp;"'!"&amp;"$P$39:$AD$42"),6,FALSE)/1000</f>
        <v>4.1720000000000006</v>
      </c>
      <c r="P21" s="723">
        <f ca="1">VLOOKUP($AD21,INDIRECT("'"&amp;$B21&amp;"'!"&amp;"$P$39:$AD$42"),7,FALSE)/1000</f>
        <v>1.49E-2</v>
      </c>
      <c r="Q21" s="81">
        <f ca="1">VLOOKUP($AD21,INDIRECT("'"&amp;$B21&amp;"'!"&amp;"$P$39:$AD$42"),8,FALSE)</f>
        <v>2.0901388888888892</v>
      </c>
      <c r="R21" s="81">
        <v>3.1536000000000002E-2</v>
      </c>
      <c r="S21" s="199">
        <v>0.5</v>
      </c>
      <c r="T21" s="199">
        <f ca="1">HLOOKUP($T$2,INDIRECT("'"&amp;$B21&amp;"'!"&amp;"$P$6:$AC$19"),IF(H21=$AI$13,6,IF(H21=$AI$14,9,14)),FALSE)</f>
        <v>0</v>
      </c>
      <c r="U21" s="199">
        <f ca="1">1/M21</f>
        <v>0.59523809523809523</v>
      </c>
      <c r="V21" s="199"/>
      <c r="W21" s="298"/>
      <c r="X21" s="698">
        <f ca="1">IF(VLOOKUP($AD21,INDIRECT("'"&amp;$B21&amp;"'!"&amp;"$P$39:$AD$42"),11,FALSE)="Cf. the utilized electricity",0,VLOOKUP($AD21,INDIRECT("'"&amp;$B21&amp;"'!"&amp;"$P$39:$AD$42"),11,FALSE))</f>
        <v>0</v>
      </c>
      <c r="Y21" s="81">
        <f ca="1">VLOOKUP($AD21,INDIRECT("'"&amp;$B21&amp;"'!"&amp;"$P$39:$AD$42"),12,FALSE)</f>
        <v>0</v>
      </c>
      <c r="Z21" s="81">
        <f ca="1">VLOOKUP($AD21,INDIRECT("'"&amp;$B21&amp;"'!"&amp;"$P$39:$AD$42"),13,FALSE)</f>
        <v>0</v>
      </c>
      <c r="AA21" s="81">
        <f ca="1">VLOOKUP($AD21,INDIRECT("'"&amp;$B21&amp;"'!"&amp;"$P$39:$AD$42"),14,FALSE)</f>
        <v>0</v>
      </c>
      <c r="AB21" s="81">
        <f ca="1">VLOOKUP($AD21,INDIRECT("'"&amp;$B21&amp;"'!"&amp;"$P$39:$AD$42"),15,FALSE)</f>
        <v>0</v>
      </c>
      <c r="AC21" s="226"/>
      <c r="AD21" s="81">
        <v>2020</v>
      </c>
      <c r="AE21" s="81"/>
      <c r="AF21" s="220"/>
      <c r="AI21" s="224" t="str">
        <f>"I"&amp;LEFT($AJ$12,1)&amp;"DCO"</f>
        <v>IMDCO</v>
      </c>
      <c r="AJ21" s="224" t="s">
        <v>2117</v>
      </c>
    </row>
    <row r="22" spans="2:42">
      <c r="B22" s="357" t="s">
        <v>999</v>
      </c>
      <c r="D22" s="212"/>
      <c r="E22" s="261"/>
      <c r="F22" s="224" t="s">
        <v>1149</v>
      </c>
      <c r="G22" s="173" t="str">
        <f>$AI$20</f>
        <v>INDMWH</v>
      </c>
      <c r="H22" s="174"/>
      <c r="I22" s="174"/>
      <c r="K22" s="81"/>
      <c r="L22" s="333"/>
      <c r="M22" s="199"/>
      <c r="N22" s="81"/>
      <c r="O22" s="723"/>
      <c r="P22" s="723"/>
      <c r="Q22" s="81"/>
      <c r="R22" s="200"/>
      <c r="S22" s="772"/>
      <c r="T22" s="772"/>
      <c r="U22" s="199">
        <f ca="1">1-U21</f>
        <v>0.40476190476190477</v>
      </c>
      <c r="V22" s="772"/>
      <c r="W22" s="298"/>
      <c r="X22" s="698"/>
      <c r="Y22" s="81"/>
      <c r="Z22" s="81"/>
      <c r="AA22" s="81"/>
      <c r="AB22" s="81"/>
      <c r="AC22" s="226"/>
      <c r="AD22" s="81"/>
      <c r="AE22" s="81"/>
      <c r="AF22" s="220"/>
      <c r="AI22" s="224">
        <v>1</v>
      </c>
    </row>
    <row r="23" spans="2:42">
      <c r="B23" s="357" t="s">
        <v>999</v>
      </c>
      <c r="D23" s="212"/>
      <c r="E23" s="212"/>
      <c r="F23" s="224" t="s">
        <v>1149</v>
      </c>
      <c r="G23" s="173" t="s">
        <v>499</v>
      </c>
      <c r="H23" s="174" t="str">
        <f>$AI$14</f>
        <v>IMDPH</v>
      </c>
      <c r="I23" s="174"/>
      <c r="J23" s="224">
        <f t="shared" ref="J23" si="2">AD23</f>
        <v>2030</v>
      </c>
      <c r="K23" s="81"/>
      <c r="L23" s="333">
        <v>1</v>
      </c>
      <c r="M23" s="199">
        <f ca="1">VLOOKUP($AD23,INDIRECT("'"&amp;$B23&amp;"'!"&amp;"$P$39:$AD$42"),3,FALSE)</f>
        <v>1.69</v>
      </c>
      <c r="N23" s="81"/>
      <c r="O23" s="723">
        <f ca="1">VLOOKUP($AD23,INDIRECT("'"&amp;$B23&amp;"'!"&amp;"$P$39:$AD$42"),6,FALSE)/1000</f>
        <v>3.7995000000000001</v>
      </c>
      <c r="P23" s="723">
        <f ca="1">VLOOKUP($AD23,INDIRECT("'"&amp;$B23&amp;"'!"&amp;"$P$39:$AD$42"),7,FALSE)/1000</f>
        <v>1.49E-2</v>
      </c>
      <c r="Q23" s="81">
        <f ca="1">VLOOKUP($AD23,INDIRECT("'"&amp;$B23&amp;"'!"&amp;"$P$39:$AD$42"),8,FALSE)</f>
        <v>2.0694444444444446</v>
      </c>
      <c r="R23" s="300"/>
      <c r="S23" s="300"/>
      <c r="T23" s="300"/>
      <c r="U23" s="199">
        <f ca="1">1/M23</f>
        <v>0.59171597633136097</v>
      </c>
      <c r="V23" s="199"/>
      <c r="W23" s="298"/>
      <c r="X23" s="698">
        <f ca="1">IF(VLOOKUP($AD23,INDIRECT("'"&amp;$B23&amp;"'!"&amp;"$P$39:$AD$42"),11,FALSE)="Cf. the utilized electricity",0,VLOOKUP($AD23,INDIRECT("'"&amp;$B23&amp;"'!"&amp;"$P$39:$AD$42"),11,FALSE))</f>
        <v>0</v>
      </c>
      <c r="Y23" s="81">
        <f ca="1">VLOOKUP($AD23,INDIRECT("'"&amp;$B23&amp;"'!"&amp;"$P$39:$AD$42"),12,FALSE)</f>
        <v>0</v>
      </c>
      <c r="Z23" s="81">
        <f ca="1">VLOOKUP($AD23,INDIRECT("'"&amp;$B23&amp;"'!"&amp;"$P$39:$AD$42"),13,FALSE)</f>
        <v>0</v>
      </c>
      <c r="AA23" s="81">
        <f ca="1">VLOOKUP($AD23,INDIRECT("'"&amp;$B23&amp;"'!"&amp;"$P$39:$AD$42"),14,FALSE)</f>
        <v>0</v>
      </c>
      <c r="AB23" s="81">
        <f ca="1">VLOOKUP($AD23,INDIRECT("'"&amp;$B23&amp;"'!"&amp;"$P$39:$AD$42"),15,FALSE)</f>
        <v>0</v>
      </c>
      <c r="AC23" s="226"/>
      <c r="AD23" s="81">
        <v>2030</v>
      </c>
      <c r="AE23" s="81"/>
      <c r="AF23" s="220"/>
      <c r="AI23" s="224">
        <v>2</v>
      </c>
    </row>
    <row r="24" spans="2:42" ht="14.5" customHeight="1">
      <c r="B24" s="357" t="s">
        <v>999</v>
      </c>
      <c r="D24" s="212"/>
      <c r="E24" s="212"/>
      <c r="F24" s="224" t="s">
        <v>1149</v>
      </c>
      <c r="G24" s="173" t="str">
        <f>$AI$20</f>
        <v>INDMWH</v>
      </c>
      <c r="H24" s="174"/>
      <c r="I24" s="174"/>
      <c r="K24" s="81"/>
      <c r="L24" s="333"/>
      <c r="M24" s="199"/>
      <c r="N24" s="81"/>
      <c r="O24" s="723"/>
      <c r="P24" s="723"/>
      <c r="Q24" s="81"/>
      <c r="R24" s="300"/>
      <c r="S24" s="300"/>
      <c r="T24" s="300"/>
      <c r="U24" s="199">
        <f ca="1">1-U23</f>
        <v>0.40828402366863903</v>
      </c>
      <c r="V24" s="300"/>
      <c r="W24" s="298"/>
      <c r="X24" s="698"/>
      <c r="Y24" s="81"/>
      <c r="Z24" s="81"/>
      <c r="AA24" s="81"/>
      <c r="AB24" s="81"/>
      <c r="AC24" s="226"/>
      <c r="AD24" s="81"/>
      <c r="AE24" s="81"/>
      <c r="AF24" s="220"/>
      <c r="AI24" s="224">
        <v>3</v>
      </c>
    </row>
    <row r="25" spans="2:42" ht="14.5" customHeight="1">
      <c r="B25" s="357" t="s">
        <v>999</v>
      </c>
      <c r="D25" s="212"/>
      <c r="E25" s="212"/>
      <c r="F25" s="224" t="s">
        <v>1149</v>
      </c>
      <c r="G25" s="173" t="s">
        <v>499</v>
      </c>
      <c r="H25" s="174" t="str">
        <f>$AI$14</f>
        <v>IMDPH</v>
      </c>
      <c r="I25" s="174"/>
      <c r="J25" s="224">
        <f t="shared" ref="J25" si="3">AD25</f>
        <v>2050</v>
      </c>
      <c r="K25" s="81"/>
      <c r="L25" s="333">
        <v>1</v>
      </c>
      <c r="M25" s="199">
        <f ca="1">VLOOKUP($AD25,INDIRECT("'"&amp;$B25&amp;"'!"&amp;"$P$39:$AD$42"),3,FALSE)</f>
        <v>1.71</v>
      </c>
      <c r="N25" s="81"/>
      <c r="O25" s="723">
        <f ca="1">VLOOKUP($AD25,INDIRECT("'"&amp;$B25&amp;"'!"&amp;"$P$39:$AD$42"),6,FALSE)/1000</f>
        <v>3.427</v>
      </c>
      <c r="P25" s="723">
        <f ca="1">VLOOKUP($AD25,INDIRECT("'"&amp;$B25&amp;"'!"&amp;"$P$39:$AD$42"),7,FALSE)/1000</f>
        <v>1.49E-2</v>
      </c>
      <c r="Q25" s="81">
        <f ca="1">VLOOKUP($AD25,INDIRECT("'"&amp;$B25&amp;"'!"&amp;"$P$39:$AD$42"),8,FALSE)</f>
        <v>2.0487500000000001</v>
      </c>
      <c r="R25" s="300"/>
      <c r="S25" s="300"/>
      <c r="T25" s="300"/>
      <c r="U25" s="199">
        <f ca="1">1/M25</f>
        <v>0.58479532163742687</v>
      </c>
      <c r="V25" s="199"/>
      <c r="W25" s="298"/>
      <c r="X25" s="698">
        <f ca="1">IF(VLOOKUP($AD25,INDIRECT("'"&amp;$B25&amp;"'!"&amp;"$P$39:$AD$42"),11,FALSE)="Cf. the utilized electricity",0,VLOOKUP($AD25,INDIRECT("'"&amp;$B25&amp;"'!"&amp;"$P$39:$AD$42"),11,FALSE))</f>
        <v>0</v>
      </c>
      <c r="Y25" s="81">
        <f ca="1">VLOOKUP($AD25,INDIRECT("'"&amp;$B25&amp;"'!"&amp;"$P$39:$AD$42"),12,FALSE)</f>
        <v>0</v>
      </c>
      <c r="Z25" s="81">
        <f ca="1">VLOOKUP($AD25,INDIRECT("'"&amp;$B25&amp;"'!"&amp;"$P$39:$AD$42"),13,FALSE)</f>
        <v>0</v>
      </c>
      <c r="AA25" s="81">
        <f ca="1">VLOOKUP($AD25,INDIRECT("'"&amp;$B25&amp;"'!"&amp;"$P$39:$AD$42"),14,FALSE)</f>
        <v>0</v>
      </c>
      <c r="AB25" s="81">
        <f ca="1">VLOOKUP($AD25,INDIRECT("'"&amp;$B25&amp;"'!"&amp;"$P$39:$AD$42"),15,FALSE)</f>
        <v>0</v>
      </c>
      <c r="AC25" s="226"/>
      <c r="AD25" s="81">
        <v>2050</v>
      </c>
      <c r="AE25" s="81"/>
      <c r="AF25" s="220"/>
      <c r="AI25" s="224">
        <v>4</v>
      </c>
    </row>
    <row r="26" spans="2:42" ht="15" customHeight="1">
      <c r="B26" s="357" t="s">
        <v>999</v>
      </c>
      <c r="D26" s="212"/>
      <c r="E26" s="212"/>
      <c r="F26" s="224" t="s">
        <v>1149</v>
      </c>
      <c r="G26" s="173" t="str">
        <f>$AI$20</f>
        <v>INDMWH</v>
      </c>
      <c r="H26" s="174"/>
      <c r="I26" s="174"/>
      <c r="K26" s="81"/>
      <c r="L26" s="333"/>
      <c r="M26" s="199"/>
      <c r="N26" s="81"/>
      <c r="O26" s="723"/>
      <c r="P26" s="723"/>
      <c r="Q26" s="81"/>
      <c r="R26" s="300"/>
      <c r="S26" s="300"/>
      <c r="T26" s="300"/>
      <c r="U26" s="199">
        <f ca="1">1-U25</f>
        <v>0.41520467836257313</v>
      </c>
      <c r="V26" s="300"/>
      <c r="W26" s="298"/>
      <c r="X26" s="698"/>
      <c r="Y26" s="81"/>
      <c r="Z26" s="81"/>
      <c r="AA26" s="81"/>
      <c r="AB26" s="81"/>
      <c r="AC26" s="226"/>
      <c r="AD26" s="81"/>
      <c r="AE26" s="81"/>
      <c r="AF26" s="220"/>
      <c r="AI26" s="224">
        <v>5</v>
      </c>
      <c r="AJ26" s="224" t="s">
        <v>715</v>
      </c>
    </row>
    <row r="27" spans="2:42">
      <c r="B27" s="357" t="s">
        <v>999</v>
      </c>
      <c r="D27" s="212" t="str">
        <f>"IND"&amp;RIGHT(H27,4)&amp;RIGHT(G27,3)&amp;"N"&amp;RIGHT(E27,1)</f>
        <v>INDMDSHELCN2</v>
      </c>
      <c r="E27" s="261" t="str">
        <f>"Industrial heating technology "&amp;$AJ$12&amp;" "&amp;RIGHT(H27,2)&amp;" - Heat driven heat pump utilizing waste heat - new 2"</f>
        <v>Industrial heating technology Machinery SH - Heat driven heat pump utilizing waste heat - new 2</v>
      </c>
      <c r="F27" s="224" t="s">
        <v>1149</v>
      </c>
      <c r="G27" s="173" t="s">
        <v>499</v>
      </c>
      <c r="H27" s="174" t="str">
        <f>$AI$15</f>
        <v>IMDSH</v>
      </c>
      <c r="I27" s="174"/>
      <c r="J27" s="224">
        <f t="shared" ref="J27" si="4">AD27</f>
        <v>2020</v>
      </c>
      <c r="K27" s="81">
        <v>2020</v>
      </c>
      <c r="L27" s="333">
        <v>1</v>
      </c>
      <c r="M27" s="199">
        <f ca="1">VLOOKUP($AD27,INDIRECT("'"&amp;$B27&amp;"'!"&amp;"$P$39:$AD$42"),3,FALSE)</f>
        <v>1.68</v>
      </c>
      <c r="N27" s="81">
        <f ca="1">VLOOKUP($AD27,INDIRECT("'"&amp;$B27&amp;"'!"&amp;"$P$39:$AD$42"),5,FALSE)</f>
        <v>20</v>
      </c>
      <c r="O27" s="723">
        <f ca="1">VLOOKUP($AD27,INDIRECT("'"&amp;$B27&amp;"'!"&amp;"$P$39:$AD$42"),6,FALSE)/1000</f>
        <v>4.1720000000000006</v>
      </c>
      <c r="P27" s="723">
        <f ca="1">VLOOKUP($AD27,INDIRECT("'"&amp;$B27&amp;"'!"&amp;"$P$39:$AD$42"),7,FALSE)/1000</f>
        <v>1.49E-2</v>
      </c>
      <c r="Q27" s="81">
        <f ca="1">VLOOKUP($AD27,INDIRECT("'"&amp;$B27&amp;"'!"&amp;"$P$39:$AD$42"),8,FALSE)</f>
        <v>2.0901388888888892</v>
      </c>
      <c r="R27" s="81">
        <v>3.1536000000000002E-2</v>
      </c>
      <c r="S27" s="199">
        <v>0.5</v>
      </c>
      <c r="T27" s="199">
        <f ca="1">HLOOKUP($T$2,INDIRECT("'"&amp;$B27&amp;"'!"&amp;"$P$6:$AC$19"),IF(H27=$AI$13,6,IF(H27=$AI$14,9,14)),FALSE)</f>
        <v>1</v>
      </c>
      <c r="U27" s="199">
        <f ca="1">1/M27</f>
        <v>0.59523809523809523</v>
      </c>
      <c r="V27" s="199"/>
      <c r="W27" s="298"/>
      <c r="X27" s="698">
        <f ca="1">IF(VLOOKUP($AD27,INDIRECT("'"&amp;$B27&amp;"'!"&amp;"$P$39:$AD$42"),11,FALSE)="Cf. the utilized electricity",0,VLOOKUP($AD27,INDIRECT("'"&amp;$B27&amp;"'!"&amp;"$P$39:$AD$42"),11,FALSE))</f>
        <v>0</v>
      </c>
      <c r="Y27" s="81">
        <f ca="1">VLOOKUP($AD27,INDIRECT("'"&amp;$B27&amp;"'!"&amp;"$P$39:$AD$42"),12,FALSE)</f>
        <v>0</v>
      </c>
      <c r="Z27" s="81">
        <f ca="1">VLOOKUP($AD27,INDIRECT("'"&amp;$B27&amp;"'!"&amp;"$P$39:$AD$42"),13,FALSE)</f>
        <v>0</v>
      </c>
      <c r="AA27" s="81">
        <f ca="1">VLOOKUP($AD27,INDIRECT("'"&amp;$B27&amp;"'!"&amp;"$P$39:$AD$42"),14,FALSE)</f>
        <v>0</v>
      </c>
      <c r="AB27" s="81">
        <f ca="1">VLOOKUP($AD27,INDIRECT("'"&amp;$B27&amp;"'!"&amp;"$P$39:$AD$42"),15,FALSE)</f>
        <v>0</v>
      </c>
      <c r="AD27" s="81">
        <v>2020</v>
      </c>
      <c r="AE27" s="81"/>
      <c r="AF27" s="220"/>
      <c r="AI27" s="224">
        <v>6</v>
      </c>
    </row>
    <row r="28" spans="2:42" ht="15" customHeight="1">
      <c r="B28" s="357" t="s">
        <v>999</v>
      </c>
      <c r="D28" s="212"/>
      <c r="E28" s="261"/>
      <c r="F28" s="224" t="s">
        <v>1149</v>
      </c>
      <c r="G28" s="173" t="str">
        <f>$AI$20</f>
        <v>INDMWH</v>
      </c>
      <c r="H28" s="174"/>
      <c r="I28" s="174"/>
      <c r="K28" s="81"/>
      <c r="L28" s="333"/>
      <c r="M28" s="199"/>
      <c r="N28" s="81"/>
      <c r="O28" s="723"/>
      <c r="P28" s="723"/>
      <c r="Q28" s="81"/>
      <c r="R28" s="200"/>
      <c r="S28" s="772"/>
      <c r="T28" s="772"/>
      <c r="U28" s="199">
        <f ca="1">1-U27</f>
        <v>0.40476190476190477</v>
      </c>
      <c r="V28" s="772"/>
      <c r="W28" s="298"/>
      <c r="X28" s="698"/>
      <c r="Y28" s="81"/>
      <c r="Z28" s="81"/>
      <c r="AA28" s="81"/>
      <c r="AB28" s="81"/>
      <c r="AD28" s="81"/>
      <c r="AE28" s="81"/>
      <c r="AF28" s="220"/>
      <c r="AI28" s="224">
        <v>7</v>
      </c>
      <c r="AJ28" s="224" t="s">
        <v>716</v>
      </c>
    </row>
    <row r="29" spans="2:42">
      <c r="B29" s="357" t="s">
        <v>999</v>
      </c>
      <c r="D29" s="212"/>
      <c r="E29" s="212"/>
      <c r="F29" s="224" t="s">
        <v>1149</v>
      </c>
      <c r="G29" s="173" t="s">
        <v>499</v>
      </c>
      <c r="H29" s="174" t="str">
        <f>$AI$15</f>
        <v>IMDSH</v>
      </c>
      <c r="I29" s="174"/>
      <c r="J29" s="224">
        <f t="shared" ref="J29" si="5">AD29</f>
        <v>2030</v>
      </c>
      <c r="K29" s="81"/>
      <c r="L29" s="333">
        <v>1</v>
      </c>
      <c r="M29" s="199">
        <f ca="1">VLOOKUP($AD29,INDIRECT("'"&amp;$B29&amp;"'!"&amp;"$P$39:$AD$42"),3,FALSE)</f>
        <v>1.69</v>
      </c>
      <c r="N29" s="81"/>
      <c r="O29" s="723">
        <f ca="1">VLOOKUP($AD29,INDIRECT("'"&amp;$B29&amp;"'!"&amp;"$P$39:$AD$42"),6,FALSE)/1000</f>
        <v>3.7995000000000001</v>
      </c>
      <c r="P29" s="723">
        <f ca="1">VLOOKUP($AD29,INDIRECT("'"&amp;$B29&amp;"'!"&amp;"$P$39:$AD$42"),7,FALSE)/1000</f>
        <v>1.49E-2</v>
      </c>
      <c r="Q29" s="81">
        <f ca="1">VLOOKUP($AD29,INDIRECT("'"&amp;$B29&amp;"'!"&amp;"$P$39:$AD$42"),8,FALSE)</f>
        <v>2.0694444444444446</v>
      </c>
      <c r="R29" s="300"/>
      <c r="S29" s="300"/>
      <c r="T29" s="300"/>
      <c r="U29" s="199">
        <f ca="1">1/M29</f>
        <v>0.59171597633136097</v>
      </c>
      <c r="V29" s="199"/>
      <c r="W29" s="298"/>
      <c r="X29" s="698">
        <f ca="1">IF(VLOOKUP($AD29,INDIRECT("'"&amp;$B29&amp;"'!"&amp;"$P$39:$AD$42"),11,FALSE)="Cf. the utilized electricity",0,VLOOKUP($AD29,INDIRECT("'"&amp;$B29&amp;"'!"&amp;"$P$39:$AD$42"),11,FALSE))</f>
        <v>0</v>
      </c>
      <c r="Y29" s="81">
        <f ca="1">VLOOKUP($AD29,INDIRECT("'"&amp;$B29&amp;"'!"&amp;"$P$39:$AD$42"),12,FALSE)</f>
        <v>0</v>
      </c>
      <c r="Z29" s="81">
        <f ca="1">VLOOKUP($AD29,INDIRECT("'"&amp;$B29&amp;"'!"&amp;"$P$39:$AD$42"),13,FALSE)</f>
        <v>0</v>
      </c>
      <c r="AA29" s="81">
        <f ca="1">VLOOKUP($AD29,INDIRECT("'"&amp;$B29&amp;"'!"&amp;"$P$39:$AD$42"),14,FALSE)</f>
        <v>0</v>
      </c>
      <c r="AB29" s="81">
        <f ca="1">VLOOKUP($AD29,INDIRECT("'"&amp;$B29&amp;"'!"&amp;"$P$39:$AD$42"),15,FALSE)</f>
        <v>0</v>
      </c>
      <c r="AD29" s="81">
        <v>2030</v>
      </c>
      <c r="AE29" s="81"/>
      <c r="AF29" s="220"/>
      <c r="AI29" s="224">
        <v>8</v>
      </c>
    </row>
    <row r="30" spans="2:42" ht="15" customHeight="1">
      <c r="B30" s="357" t="s">
        <v>999</v>
      </c>
      <c r="D30" s="212"/>
      <c r="E30" s="212"/>
      <c r="F30" s="224" t="s">
        <v>1149</v>
      </c>
      <c r="G30" s="173" t="str">
        <f>$AI$20</f>
        <v>INDMWH</v>
      </c>
      <c r="H30" s="174"/>
      <c r="I30" s="174"/>
      <c r="K30" s="81"/>
      <c r="L30" s="333"/>
      <c r="M30" s="199"/>
      <c r="N30" s="81"/>
      <c r="O30" s="723"/>
      <c r="P30" s="723"/>
      <c r="Q30" s="81"/>
      <c r="R30" s="300"/>
      <c r="S30" s="300"/>
      <c r="T30" s="300"/>
      <c r="U30" s="199">
        <f ca="1">1-U29</f>
        <v>0.40828402366863903</v>
      </c>
      <c r="V30" s="300"/>
      <c r="W30" s="298"/>
      <c r="X30" s="698"/>
      <c r="Y30" s="81"/>
      <c r="Z30" s="81"/>
      <c r="AA30" s="81"/>
      <c r="AB30" s="81"/>
      <c r="AD30" s="81"/>
      <c r="AE30" s="81"/>
      <c r="AF30" s="220"/>
      <c r="AI30" s="224">
        <v>9</v>
      </c>
      <c r="AJ30" s="224" t="s">
        <v>717</v>
      </c>
    </row>
    <row r="31" spans="2:42">
      <c r="B31" s="357" t="s">
        <v>999</v>
      </c>
      <c r="D31" s="212"/>
      <c r="E31" s="212"/>
      <c r="F31" s="224" t="s">
        <v>1149</v>
      </c>
      <c r="G31" s="173" t="s">
        <v>499</v>
      </c>
      <c r="H31" s="174" t="str">
        <f>$AI$15</f>
        <v>IMDSH</v>
      </c>
      <c r="I31" s="174"/>
      <c r="J31" s="224">
        <f t="shared" ref="J31" si="6">AD31</f>
        <v>2050</v>
      </c>
      <c r="K31" s="81"/>
      <c r="L31" s="333">
        <v>1</v>
      </c>
      <c r="M31" s="199">
        <f ca="1">VLOOKUP($AD31,INDIRECT("'"&amp;$B31&amp;"'!"&amp;"$P$39:$AD$42"),3,FALSE)</f>
        <v>1.71</v>
      </c>
      <c r="N31" s="81"/>
      <c r="O31" s="723">
        <f ca="1">VLOOKUP($AD31,INDIRECT("'"&amp;$B31&amp;"'!"&amp;"$P$39:$AD$42"),6,FALSE)/1000</f>
        <v>3.427</v>
      </c>
      <c r="P31" s="723">
        <f ca="1">VLOOKUP($AD31,INDIRECT("'"&amp;$B31&amp;"'!"&amp;"$P$39:$AD$42"),7,FALSE)/1000</f>
        <v>1.49E-2</v>
      </c>
      <c r="Q31" s="81">
        <f ca="1">VLOOKUP($AD31,INDIRECT("'"&amp;$B31&amp;"'!"&amp;"$P$39:$AD$42"),8,FALSE)</f>
        <v>2.0487500000000001</v>
      </c>
      <c r="R31" s="300"/>
      <c r="S31" s="300"/>
      <c r="T31" s="300"/>
      <c r="U31" s="199">
        <f ca="1">1/M31</f>
        <v>0.58479532163742687</v>
      </c>
      <c r="V31" s="199"/>
      <c r="W31" s="298"/>
      <c r="X31" s="698">
        <f ca="1">IF(VLOOKUP($AD31,INDIRECT("'"&amp;$B31&amp;"'!"&amp;"$P$39:$AD$42"),11,FALSE)="Cf. the utilized electricity",0,VLOOKUP($AD31,INDIRECT("'"&amp;$B31&amp;"'!"&amp;"$P$39:$AD$42"),11,FALSE))</f>
        <v>0</v>
      </c>
      <c r="Y31" s="81">
        <f ca="1">VLOOKUP($AD31,INDIRECT("'"&amp;$B31&amp;"'!"&amp;"$P$39:$AD$42"),12,FALSE)</f>
        <v>0</v>
      </c>
      <c r="Z31" s="81">
        <f ca="1">VLOOKUP($AD31,INDIRECT("'"&amp;$B31&amp;"'!"&amp;"$P$39:$AD$42"),13,FALSE)</f>
        <v>0</v>
      </c>
      <c r="AA31" s="81">
        <f ca="1">VLOOKUP($AD31,INDIRECT("'"&amp;$B31&amp;"'!"&amp;"$P$39:$AD$42"),14,FALSE)</f>
        <v>0</v>
      </c>
      <c r="AB31" s="81">
        <f ca="1">VLOOKUP($AD31,INDIRECT("'"&amp;$B31&amp;"'!"&amp;"$P$39:$AD$42"),15,FALSE)</f>
        <v>0</v>
      </c>
      <c r="AD31" s="81">
        <v>2050</v>
      </c>
      <c r="AE31" s="81"/>
      <c r="AF31" s="220"/>
      <c r="AI31" s="224">
        <v>10</v>
      </c>
    </row>
    <row r="32" spans="2:42">
      <c r="B32" s="357" t="s">
        <v>999</v>
      </c>
      <c r="D32" s="212"/>
      <c r="E32" s="212"/>
      <c r="F32" s="224" t="s">
        <v>1149</v>
      </c>
      <c r="G32" s="173" t="str">
        <f>$AI$20</f>
        <v>INDMWH</v>
      </c>
      <c r="H32" s="174"/>
      <c r="I32" s="174"/>
      <c r="K32" s="81"/>
      <c r="L32" s="333"/>
      <c r="M32" s="199"/>
      <c r="N32" s="81"/>
      <c r="O32" s="723"/>
      <c r="P32" s="723"/>
      <c r="Q32" s="81"/>
      <c r="R32" s="300"/>
      <c r="S32" s="300"/>
      <c r="T32" s="300"/>
      <c r="U32" s="199">
        <f ca="1">1-U31</f>
        <v>0.41520467836257313</v>
      </c>
      <c r="V32" s="300"/>
      <c r="W32" s="298"/>
      <c r="X32" s="698"/>
      <c r="Y32" s="81"/>
      <c r="Z32" s="81"/>
      <c r="AA32" s="81"/>
      <c r="AB32" s="81"/>
      <c r="AD32" s="81"/>
      <c r="AE32" s="81"/>
      <c r="AF32" s="220"/>
      <c r="AI32" s="224">
        <v>11</v>
      </c>
      <c r="AJ32" s="224" t="s">
        <v>718</v>
      </c>
    </row>
    <row r="33" spans="2:36">
      <c r="B33" s="357" t="s">
        <v>1000</v>
      </c>
      <c r="D33" s="212" t="str">
        <f>"IND"&amp;RIGHT(H33,4)&amp;RIGHT(G33,3)&amp;"N"&amp;RIGHT(E33,1)</f>
        <v>INDMDPHELCN3</v>
      </c>
      <c r="E33" s="261" t="str">
        <f>"Industrial heating technology "&amp;$AJ$12&amp;" "&amp;RIGHT(H33,2)&amp;" - High Temp abs. Heat pump utilizing waste heat - new 3"</f>
        <v>Industrial heating technology Machinery PH - High Temp abs. Heat pump utilizing waste heat - new 3</v>
      </c>
      <c r="F33" s="224" t="s">
        <v>1149</v>
      </c>
      <c r="G33" s="173" t="s">
        <v>499</v>
      </c>
      <c r="H33" s="174" t="str">
        <f>$AI$14</f>
        <v>IMDPH</v>
      </c>
      <c r="I33" s="174"/>
      <c r="J33" s="224">
        <f t="shared" ref="J33" si="7">AD33</f>
        <v>2020</v>
      </c>
      <c r="K33" s="81">
        <v>2020</v>
      </c>
      <c r="L33" s="333">
        <v>1</v>
      </c>
      <c r="M33" s="199">
        <f ca="1">VLOOKUP($AD33,INDIRECT("'"&amp;$B33&amp;"'!"&amp;"$P$39:$AD$42"),3,FALSE)</f>
        <v>2.75</v>
      </c>
      <c r="N33" s="81">
        <f ca="1">VLOOKUP($AD33,INDIRECT("'"&amp;$B33&amp;"'!"&amp;"$P$39:$AD$42"),5,FALSE)</f>
        <v>20</v>
      </c>
      <c r="O33" s="723">
        <f ca="1">VLOOKUP($AD33,INDIRECT("'"&amp;$B33&amp;"'!"&amp;"$P$39:$AD$42"),6,FALSE)/1000</f>
        <v>7.1394840000000004</v>
      </c>
      <c r="P33" s="723">
        <f ca="1">VLOOKUP($AD33,INDIRECT("'"&amp;$B33&amp;"'!"&amp;"$P$39:$AD$42"),7,FALSE)/1000</f>
        <v>7.2264999999999994E-3</v>
      </c>
      <c r="Q33" s="81">
        <f ca="1">VLOOKUP($AD33,INDIRECT("'"&amp;$B33&amp;"'!"&amp;"$P$39:$AD$42"),8,FALSE)</f>
        <v>6.7463888888888883</v>
      </c>
      <c r="R33" s="81">
        <v>3.1536000000000002E-2</v>
      </c>
      <c r="S33" s="199">
        <v>0.5</v>
      </c>
      <c r="T33" s="199">
        <f ca="1">HLOOKUP($T$2,INDIRECT("'"&amp;$B33&amp;"'!"&amp;"$P$6:$AC$19"),IF(H33=$AI$13,6,IF(H33=$AI$14,9,14)),FALSE)-T9</f>
        <v>0</v>
      </c>
      <c r="U33" s="199">
        <f ca="1">1/M33</f>
        <v>0.36363636363636365</v>
      </c>
      <c r="V33" s="199"/>
      <c r="W33" s="298"/>
      <c r="X33" s="698">
        <f ca="1">IF(VLOOKUP($AD33,INDIRECT("'"&amp;$B33&amp;"'!"&amp;"$P$39:$AD$42"),11,FALSE)="Cf. the utilized electricity",0,VLOOKUP($AD33,INDIRECT("'"&amp;$B33&amp;"'!"&amp;"$P$39:$AD$42"),11,FALSE))</f>
        <v>0</v>
      </c>
      <c r="Y33" s="81">
        <f ca="1">VLOOKUP($AD33,INDIRECT("'"&amp;$B33&amp;"'!"&amp;"$P$39:$AD$42"),12,FALSE)</f>
        <v>0</v>
      </c>
      <c r="Z33" s="81">
        <f ca="1">VLOOKUP($AD33,INDIRECT("'"&amp;$B33&amp;"'!"&amp;"$P$39:$AD$42"),13,FALSE)</f>
        <v>0</v>
      </c>
      <c r="AA33" s="81">
        <f ca="1">VLOOKUP($AD33,INDIRECT("'"&amp;$B33&amp;"'!"&amp;"$P$39:$AD$42"),14,FALSE)</f>
        <v>0</v>
      </c>
      <c r="AB33" s="81">
        <f ca="1">VLOOKUP($AD33,INDIRECT("'"&amp;$B33&amp;"'!"&amp;"$P$39:$AD$42"),15,FALSE)</f>
        <v>0</v>
      </c>
      <c r="AD33" s="81">
        <v>2020</v>
      </c>
      <c r="AE33" s="81"/>
      <c r="AF33" s="220"/>
      <c r="AI33" s="224">
        <v>12</v>
      </c>
    </row>
    <row r="34" spans="2:36">
      <c r="B34" s="357" t="s">
        <v>1000</v>
      </c>
      <c r="D34" s="212"/>
      <c r="E34" s="261"/>
      <c r="F34" s="224" t="s">
        <v>1149</v>
      </c>
      <c r="G34" s="173" t="str">
        <f>$AI$20</f>
        <v>INDMWH</v>
      </c>
      <c r="H34" s="174"/>
      <c r="I34" s="174"/>
      <c r="K34" s="81"/>
      <c r="L34" s="333"/>
      <c r="M34" s="199"/>
      <c r="N34" s="81"/>
      <c r="O34" s="723"/>
      <c r="P34" s="723"/>
      <c r="Q34" s="81"/>
      <c r="R34" s="200"/>
      <c r="S34" s="772"/>
      <c r="T34" s="772"/>
      <c r="U34" s="199">
        <f ca="1">1-U33</f>
        <v>0.63636363636363635</v>
      </c>
      <c r="V34" s="772"/>
      <c r="W34" s="298"/>
      <c r="X34" s="698"/>
      <c r="Y34" s="81"/>
      <c r="Z34" s="81"/>
      <c r="AA34" s="81"/>
      <c r="AB34" s="81"/>
      <c r="AD34" s="81"/>
      <c r="AE34" s="81"/>
      <c r="AF34" s="220"/>
      <c r="AI34" s="224">
        <v>13</v>
      </c>
      <c r="AJ34" s="224" t="s">
        <v>719</v>
      </c>
    </row>
    <row r="35" spans="2:36">
      <c r="B35" s="357" t="s">
        <v>1000</v>
      </c>
      <c r="D35" s="212"/>
      <c r="E35" s="212"/>
      <c r="F35" s="224" t="s">
        <v>1149</v>
      </c>
      <c r="G35" s="173" t="s">
        <v>499</v>
      </c>
      <c r="H35" s="174" t="str">
        <f>$AI$14</f>
        <v>IMDPH</v>
      </c>
      <c r="I35" s="174"/>
      <c r="J35" s="224">
        <f t="shared" ref="J35" si="8">AD35</f>
        <v>2030</v>
      </c>
      <c r="K35" s="81"/>
      <c r="L35" s="333">
        <v>1</v>
      </c>
      <c r="M35" s="199">
        <f ca="1">VLOOKUP($AD35,INDIRECT("'"&amp;$B35&amp;"'!"&amp;"$P$39:$AD$42"),3,FALSE)</f>
        <v>2.875</v>
      </c>
      <c r="N35" s="81"/>
      <c r="O35" s="723">
        <f ca="1">VLOOKUP($AD35,INDIRECT("'"&amp;$B35&amp;"'!"&amp;"$P$39:$AD$42"),6,FALSE)/1000</f>
        <v>6.3822660000000013</v>
      </c>
      <c r="P35" s="723">
        <f ca="1">VLOOKUP($AD35,INDIRECT("'"&amp;$B35&amp;"'!"&amp;"$P$39:$AD$42"),7,FALSE)/1000</f>
        <v>6.4814999999999994E-3</v>
      </c>
      <c r="Q35" s="81">
        <f ca="1">VLOOKUP($AD35,INDIRECT("'"&amp;$B35&amp;"'!"&amp;"$P$39:$AD$42"),8,FALSE)</f>
        <v>6.6222222222222227</v>
      </c>
      <c r="R35" s="300"/>
      <c r="S35" s="300"/>
      <c r="T35" s="300"/>
      <c r="U35" s="199">
        <f ca="1">1/M35</f>
        <v>0.34782608695652173</v>
      </c>
      <c r="V35" s="199"/>
      <c r="W35" s="298"/>
      <c r="X35" s="698">
        <f ca="1">IF(VLOOKUP($AD35,INDIRECT("'"&amp;$B35&amp;"'!"&amp;"$P$39:$AD$42"),11,FALSE)="Cf. the utilized electricity",0,VLOOKUP($AD35,INDIRECT("'"&amp;$B35&amp;"'!"&amp;"$P$39:$AD$42"),11,FALSE))</f>
        <v>0</v>
      </c>
      <c r="Y35" s="81">
        <f ca="1">VLOOKUP($AD35,INDIRECT("'"&amp;$B35&amp;"'!"&amp;"$P$39:$AD$42"),12,FALSE)</f>
        <v>0</v>
      </c>
      <c r="Z35" s="81">
        <f ca="1">VLOOKUP($AD35,INDIRECT("'"&amp;$B35&amp;"'!"&amp;"$P$39:$AD$42"),13,FALSE)</f>
        <v>0</v>
      </c>
      <c r="AA35" s="81">
        <f ca="1">VLOOKUP($AD35,INDIRECT("'"&amp;$B35&amp;"'!"&amp;"$P$39:$AD$42"),14,FALSE)</f>
        <v>0</v>
      </c>
      <c r="AB35" s="81">
        <f ca="1">VLOOKUP($AD35,INDIRECT("'"&amp;$B35&amp;"'!"&amp;"$P$39:$AD$42"),15,FALSE)</f>
        <v>0</v>
      </c>
      <c r="AD35" s="81">
        <v>2030</v>
      </c>
      <c r="AE35" s="81"/>
      <c r="AF35" s="220"/>
      <c r="AI35" s="224">
        <v>14</v>
      </c>
    </row>
    <row r="36" spans="2:36">
      <c r="B36" s="357" t="s">
        <v>1000</v>
      </c>
      <c r="D36" s="212"/>
      <c r="E36" s="212"/>
      <c r="F36" s="224" t="s">
        <v>1149</v>
      </c>
      <c r="G36" s="173" t="str">
        <f>$AI$20</f>
        <v>INDMWH</v>
      </c>
      <c r="H36" s="174"/>
      <c r="I36" s="174"/>
      <c r="K36" s="81"/>
      <c r="L36" s="333"/>
      <c r="M36" s="199"/>
      <c r="N36" s="81"/>
      <c r="O36" s="723"/>
      <c r="P36" s="723"/>
      <c r="Q36" s="81"/>
      <c r="R36" s="300"/>
      <c r="S36" s="300"/>
      <c r="T36" s="300"/>
      <c r="U36" s="199">
        <f ca="1">1-U35</f>
        <v>0.65217391304347827</v>
      </c>
      <c r="V36" s="300"/>
      <c r="W36" s="298"/>
      <c r="X36" s="698"/>
      <c r="Y36" s="81"/>
      <c r="Z36" s="81"/>
      <c r="AA36" s="81"/>
      <c r="AB36" s="81"/>
      <c r="AD36" s="81"/>
      <c r="AE36" s="81"/>
      <c r="AF36" s="220"/>
    </row>
    <row r="37" spans="2:36">
      <c r="B37" s="357" t="s">
        <v>1000</v>
      </c>
      <c r="D37" s="212"/>
      <c r="E37" s="212"/>
      <c r="F37" s="224" t="s">
        <v>1149</v>
      </c>
      <c r="G37" s="173" t="s">
        <v>499</v>
      </c>
      <c r="H37" s="174" t="str">
        <f>$AI$14</f>
        <v>IMDPH</v>
      </c>
      <c r="I37" s="174"/>
      <c r="J37" s="224">
        <f t="shared" ref="J37" si="9">AD37</f>
        <v>2050</v>
      </c>
      <c r="K37" s="81"/>
      <c r="L37" s="333">
        <v>1</v>
      </c>
      <c r="M37" s="199">
        <f ca="1">VLOOKUP($AD37,INDIRECT("'"&amp;$B37&amp;"'!"&amp;"$P$39:$AD$42"),3,FALSE)</f>
        <v>3.0249999999999999</v>
      </c>
      <c r="N37" s="81"/>
      <c r="O37" s="723">
        <f ca="1">VLOOKUP($AD37,INDIRECT("'"&amp;$B37&amp;"'!"&amp;"$P$39:$AD$42"),6,FALSE)/1000</f>
        <v>5.7365000000000004</v>
      </c>
      <c r="P37" s="723">
        <f ca="1">VLOOKUP($AD37,INDIRECT("'"&amp;$B37&amp;"'!"&amp;"$P$39:$AD$42"),7,FALSE)/1000</f>
        <v>5.3639999999999998E-3</v>
      </c>
      <c r="Q37" s="81">
        <f ca="1">VLOOKUP($AD37,INDIRECT("'"&amp;$B37&amp;"'!"&amp;"$P$39:$AD$42"),8,FALSE)</f>
        <v>6.4566666666666661</v>
      </c>
      <c r="R37" s="300"/>
      <c r="S37" s="300"/>
      <c r="T37" s="300"/>
      <c r="U37" s="199">
        <f ca="1">1/M37</f>
        <v>0.33057851239669422</v>
      </c>
      <c r="V37" s="199"/>
      <c r="W37" s="298"/>
      <c r="X37" s="698">
        <f ca="1">IF(VLOOKUP($AD37,INDIRECT("'"&amp;$B37&amp;"'!"&amp;"$P$39:$AD$42"),11,FALSE)="Cf. the utilized electricity",0,VLOOKUP($AD37,INDIRECT("'"&amp;$B37&amp;"'!"&amp;"$P$39:$AD$42"),11,FALSE))</f>
        <v>0</v>
      </c>
      <c r="Y37" s="81">
        <f ca="1">VLOOKUP($AD37,INDIRECT("'"&amp;$B37&amp;"'!"&amp;"$P$39:$AD$42"),12,FALSE)</f>
        <v>0</v>
      </c>
      <c r="Z37" s="81">
        <f ca="1">VLOOKUP($AD37,INDIRECT("'"&amp;$B37&amp;"'!"&amp;"$P$39:$AD$42"),13,FALSE)</f>
        <v>0</v>
      </c>
      <c r="AA37" s="81">
        <f ca="1">VLOOKUP($AD37,INDIRECT("'"&amp;$B37&amp;"'!"&amp;"$P$39:$AD$42"),14,FALSE)</f>
        <v>0</v>
      </c>
      <c r="AB37" s="81">
        <f ca="1">VLOOKUP($AD37,INDIRECT("'"&amp;$B37&amp;"'!"&amp;"$P$39:$AD$42"),15,FALSE)</f>
        <v>0</v>
      </c>
      <c r="AD37" s="81">
        <v>2050</v>
      </c>
      <c r="AE37" s="81"/>
      <c r="AF37" s="220"/>
    </row>
    <row r="38" spans="2:36">
      <c r="B38" s="357" t="s">
        <v>1000</v>
      </c>
      <c r="D38" s="212"/>
      <c r="E38" s="212"/>
      <c r="F38" s="224" t="s">
        <v>1149</v>
      </c>
      <c r="G38" s="173" t="str">
        <f>$AI$20</f>
        <v>INDMWH</v>
      </c>
      <c r="H38" s="174"/>
      <c r="I38" s="174"/>
      <c r="K38" s="81"/>
      <c r="L38" s="333"/>
      <c r="M38" s="199"/>
      <c r="N38" s="81"/>
      <c r="O38" s="723"/>
      <c r="P38" s="723"/>
      <c r="Q38" s="81"/>
      <c r="R38" s="300"/>
      <c r="S38" s="300"/>
      <c r="T38" s="300"/>
      <c r="U38" s="199">
        <f ca="1">1-U37</f>
        <v>0.66942148760330578</v>
      </c>
      <c r="V38" s="300"/>
      <c r="W38" s="298"/>
      <c r="X38" s="698"/>
      <c r="Y38" s="81"/>
      <c r="Z38" s="81"/>
      <c r="AA38" s="81"/>
      <c r="AB38" s="81"/>
      <c r="AD38" s="81"/>
      <c r="AE38" s="81"/>
      <c r="AF38" s="220"/>
    </row>
    <row r="39" spans="2:36">
      <c r="B39" s="357" t="s">
        <v>1000</v>
      </c>
      <c r="D39" s="212" t="str">
        <f>"IND"&amp;RIGHT(H39,4)&amp;RIGHT(G39,3)&amp;"N"&amp;RIGHT(E39,1)</f>
        <v>INDMDSHELCN3</v>
      </c>
      <c r="E39" s="261" t="str">
        <f>"Industrial heating technology "&amp;$AJ$12&amp;" "&amp;RIGHT(H39,2)&amp;" - High Temp abs. Heat pump utilizing waste heat - new 3"</f>
        <v>Industrial heating technology Machinery SH - High Temp abs. Heat pump utilizing waste heat - new 3</v>
      </c>
      <c r="F39" s="224" t="s">
        <v>1149</v>
      </c>
      <c r="G39" s="173" t="s">
        <v>499</v>
      </c>
      <c r="H39" s="174" t="str">
        <f>$AI$15</f>
        <v>IMDSH</v>
      </c>
      <c r="I39" s="174"/>
      <c r="J39" s="224">
        <f t="shared" ref="J39" si="10">AD39</f>
        <v>2020</v>
      </c>
      <c r="K39" s="81">
        <v>2020</v>
      </c>
      <c r="L39" s="333">
        <v>1</v>
      </c>
      <c r="M39" s="199">
        <f ca="1">VLOOKUP($AD39,INDIRECT("'"&amp;$B39&amp;"'!"&amp;"$P$39:$AD$42"),3,FALSE)</f>
        <v>2.75</v>
      </c>
      <c r="N39" s="81">
        <f ca="1">VLOOKUP($AD39,INDIRECT("'"&amp;$B39&amp;"'!"&amp;"$P$39:$AD$42"),5,FALSE)</f>
        <v>20</v>
      </c>
      <c r="O39" s="723">
        <f ca="1">VLOOKUP($AD39,INDIRECT("'"&amp;$B39&amp;"'!"&amp;"$P$39:$AD$42"),6,FALSE)/1000</f>
        <v>7.1394840000000004</v>
      </c>
      <c r="P39" s="723">
        <f ca="1">VLOOKUP($AD39,INDIRECT("'"&amp;$B39&amp;"'!"&amp;"$P$39:$AD$42"),7,FALSE)/1000</f>
        <v>7.2264999999999994E-3</v>
      </c>
      <c r="Q39" s="81">
        <f ca="1">VLOOKUP($AD39,INDIRECT("'"&amp;$B39&amp;"'!"&amp;"$P$39:$AD$42"),8,FALSE)</f>
        <v>6.7463888888888883</v>
      </c>
      <c r="R39" s="81">
        <v>3.1536000000000002E-2</v>
      </c>
      <c r="S39" s="199">
        <v>0.5</v>
      </c>
      <c r="T39" s="199">
        <f ca="1">HLOOKUP($T$2,INDIRECT("'"&amp;$B39&amp;"'!"&amp;"$P$6:$AC$19"),IF(H39=$AI$13,6,IF(H39=$AI$14,9,14)),FALSE)</f>
        <v>1</v>
      </c>
      <c r="U39" s="199">
        <f ca="1">1/M39</f>
        <v>0.36363636363636365</v>
      </c>
      <c r="V39" s="199"/>
      <c r="W39" s="298"/>
      <c r="X39" s="698">
        <f ca="1">IF(VLOOKUP($AD39,INDIRECT("'"&amp;$B39&amp;"'!"&amp;"$P$39:$AD$42"),11,FALSE)="Cf. the utilized electricity",0,VLOOKUP($AD39,INDIRECT("'"&amp;$B39&amp;"'!"&amp;"$P$39:$AD$42"),11,FALSE))</f>
        <v>0</v>
      </c>
      <c r="Y39" s="81">
        <f ca="1">VLOOKUP($AD39,INDIRECT("'"&amp;$B39&amp;"'!"&amp;"$P$39:$AD$42"),12,FALSE)</f>
        <v>0</v>
      </c>
      <c r="Z39" s="81">
        <f ca="1">VLOOKUP($AD39,INDIRECT("'"&amp;$B39&amp;"'!"&amp;"$P$39:$AD$42"),13,FALSE)</f>
        <v>0</v>
      </c>
      <c r="AA39" s="81">
        <f ca="1">VLOOKUP($AD39,INDIRECT("'"&amp;$B39&amp;"'!"&amp;"$P$39:$AD$42"),14,FALSE)</f>
        <v>0</v>
      </c>
      <c r="AB39" s="81">
        <f ca="1">VLOOKUP($AD39,INDIRECT("'"&amp;$B39&amp;"'!"&amp;"$P$39:$AD$42"),15,FALSE)</f>
        <v>0</v>
      </c>
      <c r="AD39" s="81">
        <v>2020</v>
      </c>
      <c r="AE39" s="81"/>
      <c r="AF39" s="220"/>
    </row>
    <row r="40" spans="2:36">
      <c r="B40" s="357" t="s">
        <v>1000</v>
      </c>
      <c r="D40" s="212"/>
      <c r="E40" s="261"/>
      <c r="F40" s="224" t="s">
        <v>1149</v>
      </c>
      <c r="G40" s="173" t="str">
        <f>$AI$20</f>
        <v>INDMWH</v>
      </c>
      <c r="H40" s="174"/>
      <c r="I40" s="174"/>
      <c r="K40" s="81"/>
      <c r="L40" s="333"/>
      <c r="M40" s="199"/>
      <c r="N40" s="81"/>
      <c r="O40" s="723"/>
      <c r="P40" s="723"/>
      <c r="Q40" s="81"/>
      <c r="R40" s="200"/>
      <c r="S40" s="772"/>
      <c r="T40" s="772"/>
      <c r="U40" s="199">
        <f ca="1">1-U39</f>
        <v>0.63636363636363635</v>
      </c>
      <c r="V40" s="772"/>
      <c r="W40" s="298"/>
      <c r="X40" s="698"/>
      <c r="Y40" s="81"/>
      <c r="Z40" s="81"/>
      <c r="AA40" s="81"/>
      <c r="AB40" s="81"/>
      <c r="AD40" s="81"/>
      <c r="AE40" s="81"/>
      <c r="AF40" s="220"/>
    </row>
    <row r="41" spans="2:36">
      <c r="B41" s="357" t="s">
        <v>1000</v>
      </c>
      <c r="D41" s="212"/>
      <c r="E41" s="212"/>
      <c r="F41" s="224" t="s">
        <v>1149</v>
      </c>
      <c r="G41" s="173" t="s">
        <v>499</v>
      </c>
      <c r="H41" s="174" t="str">
        <f>$AI$15</f>
        <v>IMDSH</v>
      </c>
      <c r="I41" s="174"/>
      <c r="J41" s="224">
        <f t="shared" ref="J41" si="11">AD41</f>
        <v>2030</v>
      </c>
      <c r="K41" s="81"/>
      <c r="L41" s="333">
        <v>1</v>
      </c>
      <c r="M41" s="199">
        <f ca="1">VLOOKUP($AD41,INDIRECT("'"&amp;$B41&amp;"'!"&amp;"$P$39:$AD$42"),3,FALSE)</f>
        <v>2.875</v>
      </c>
      <c r="N41" s="81"/>
      <c r="O41" s="723">
        <f ca="1">VLOOKUP($AD41,INDIRECT("'"&amp;$B41&amp;"'!"&amp;"$P$39:$AD$42"),6,FALSE)/1000</f>
        <v>6.3822660000000013</v>
      </c>
      <c r="P41" s="723">
        <f ca="1">VLOOKUP($AD41,INDIRECT("'"&amp;$B41&amp;"'!"&amp;"$P$39:$AD$42"),7,FALSE)/1000</f>
        <v>6.4814999999999994E-3</v>
      </c>
      <c r="Q41" s="81">
        <f ca="1">VLOOKUP($AD41,INDIRECT("'"&amp;$B41&amp;"'!"&amp;"$P$39:$AD$42"),8,FALSE)</f>
        <v>6.6222222222222227</v>
      </c>
      <c r="R41" s="300"/>
      <c r="S41" s="300"/>
      <c r="T41" s="300"/>
      <c r="U41" s="199">
        <f ca="1">1/M41</f>
        <v>0.34782608695652173</v>
      </c>
      <c r="V41" s="199"/>
      <c r="W41" s="298"/>
      <c r="X41" s="698">
        <f ca="1">IF(VLOOKUP($AD41,INDIRECT("'"&amp;$B41&amp;"'!"&amp;"$P$39:$AD$42"),11,FALSE)="Cf. the utilized electricity",0,VLOOKUP($AD41,INDIRECT("'"&amp;$B41&amp;"'!"&amp;"$P$39:$AD$42"),11,FALSE))</f>
        <v>0</v>
      </c>
      <c r="Y41" s="81">
        <f ca="1">VLOOKUP($AD41,INDIRECT("'"&amp;$B41&amp;"'!"&amp;"$P$39:$AD$42"),12,FALSE)</f>
        <v>0</v>
      </c>
      <c r="Z41" s="81">
        <f ca="1">VLOOKUP($AD41,INDIRECT("'"&amp;$B41&amp;"'!"&amp;"$P$39:$AD$42"),13,FALSE)</f>
        <v>0</v>
      </c>
      <c r="AA41" s="81">
        <f ca="1">VLOOKUP($AD41,INDIRECT("'"&amp;$B41&amp;"'!"&amp;"$P$39:$AD$42"),14,FALSE)</f>
        <v>0</v>
      </c>
      <c r="AB41" s="81">
        <f ca="1">VLOOKUP($AD41,INDIRECT("'"&amp;$B41&amp;"'!"&amp;"$P$39:$AD$42"),15,FALSE)</f>
        <v>0</v>
      </c>
      <c r="AD41" s="81">
        <v>2030</v>
      </c>
      <c r="AE41" s="81"/>
      <c r="AF41" s="220"/>
    </row>
    <row r="42" spans="2:36">
      <c r="B42" s="357" t="s">
        <v>1000</v>
      </c>
      <c r="D42" s="212"/>
      <c r="E42" s="212"/>
      <c r="F42" s="224" t="s">
        <v>1149</v>
      </c>
      <c r="G42" s="173" t="str">
        <f>$AI$20</f>
        <v>INDMWH</v>
      </c>
      <c r="H42" s="174"/>
      <c r="I42" s="174"/>
      <c r="K42" s="81"/>
      <c r="L42" s="333"/>
      <c r="M42" s="199"/>
      <c r="N42" s="81"/>
      <c r="O42" s="723"/>
      <c r="P42" s="723"/>
      <c r="Q42" s="81"/>
      <c r="R42" s="300"/>
      <c r="S42" s="300"/>
      <c r="T42" s="300"/>
      <c r="U42" s="199">
        <f ca="1">1-U41</f>
        <v>0.65217391304347827</v>
      </c>
      <c r="V42" s="300"/>
      <c r="W42" s="298"/>
      <c r="X42" s="698"/>
      <c r="Y42" s="81"/>
      <c r="Z42" s="81"/>
      <c r="AA42" s="81"/>
      <c r="AB42" s="81"/>
      <c r="AD42" s="81"/>
      <c r="AE42" s="81"/>
      <c r="AF42" s="220"/>
    </row>
    <row r="43" spans="2:36">
      <c r="B43" s="357" t="s">
        <v>1000</v>
      </c>
      <c r="D43" s="212"/>
      <c r="E43" s="212"/>
      <c r="F43" s="224" t="s">
        <v>1149</v>
      </c>
      <c r="G43" s="173" t="s">
        <v>499</v>
      </c>
      <c r="H43" s="174" t="str">
        <f>$AI$15</f>
        <v>IMDSH</v>
      </c>
      <c r="I43" s="174"/>
      <c r="J43" s="224">
        <f t="shared" ref="J43" si="12">AD43</f>
        <v>2050</v>
      </c>
      <c r="K43" s="81"/>
      <c r="L43" s="333">
        <v>1</v>
      </c>
      <c r="M43" s="199">
        <f ca="1">VLOOKUP($AD43,INDIRECT("'"&amp;$B43&amp;"'!"&amp;"$P$39:$AD$42"),3,FALSE)</f>
        <v>3.0249999999999999</v>
      </c>
      <c r="N43" s="81"/>
      <c r="O43" s="723">
        <f ca="1">VLOOKUP($AD43,INDIRECT("'"&amp;$B43&amp;"'!"&amp;"$P$39:$AD$42"),6,FALSE)/1000</f>
        <v>5.7365000000000004</v>
      </c>
      <c r="P43" s="723">
        <f ca="1">VLOOKUP($AD43,INDIRECT("'"&amp;$B43&amp;"'!"&amp;"$P$39:$AD$42"),7,FALSE)/1000</f>
        <v>5.3639999999999998E-3</v>
      </c>
      <c r="Q43" s="81">
        <f ca="1">VLOOKUP($AD43,INDIRECT("'"&amp;$B43&amp;"'!"&amp;"$P$39:$AD$42"),8,FALSE)</f>
        <v>6.4566666666666661</v>
      </c>
      <c r="R43" s="300"/>
      <c r="S43" s="300"/>
      <c r="T43" s="300"/>
      <c r="U43" s="199">
        <f ca="1">1/M43</f>
        <v>0.33057851239669422</v>
      </c>
      <c r="V43" s="199"/>
      <c r="W43" s="298"/>
      <c r="X43" s="698">
        <f ca="1">IF(VLOOKUP($AD43,INDIRECT("'"&amp;$B43&amp;"'!"&amp;"$P$39:$AD$42"),11,FALSE)="Cf. the utilized electricity",0,VLOOKUP($AD43,INDIRECT("'"&amp;$B43&amp;"'!"&amp;"$P$39:$AD$42"),11,FALSE))</f>
        <v>0</v>
      </c>
      <c r="Y43" s="81">
        <f ca="1">VLOOKUP($AD43,INDIRECT("'"&amp;$B43&amp;"'!"&amp;"$P$39:$AD$42"),12,FALSE)</f>
        <v>0</v>
      </c>
      <c r="Z43" s="81">
        <f ca="1">VLOOKUP($AD43,INDIRECT("'"&amp;$B43&amp;"'!"&amp;"$P$39:$AD$42"),13,FALSE)</f>
        <v>0</v>
      </c>
      <c r="AA43" s="81">
        <f ca="1">VLOOKUP($AD43,INDIRECT("'"&amp;$B43&amp;"'!"&amp;"$P$39:$AD$42"),14,FALSE)</f>
        <v>0</v>
      </c>
      <c r="AB43" s="81">
        <f ca="1">VLOOKUP($AD43,INDIRECT("'"&amp;$B43&amp;"'!"&amp;"$P$39:$AD$42"),15,FALSE)</f>
        <v>0</v>
      </c>
      <c r="AD43" s="81">
        <v>2050</v>
      </c>
      <c r="AE43" s="81"/>
      <c r="AF43" s="220"/>
    </row>
    <row r="44" spans="2:36">
      <c r="B44" s="357" t="s">
        <v>1000</v>
      </c>
      <c r="D44" s="212"/>
      <c r="E44" s="212"/>
      <c r="F44" s="224" t="s">
        <v>1149</v>
      </c>
      <c r="G44" s="173" t="str">
        <f>$AI$20</f>
        <v>INDMWH</v>
      </c>
      <c r="H44" s="174"/>
      <c r="I44" s="174"/>
      <c r="K44" s="81"/>
      <c r="L44" s="333"/>
      <c r="M44" s="199"/>
      <c r="N44" s="81"/>
      <c r="O44" s="723"/>
      <c r="P44" s="723"/>
      <c r="Q44" s="81"/>
      <c r="R44" s="300"/>
      <c r="S44" s="300"/>
      <c r="T44" s="300"/>
      <c r="U44" s="199">
        <f ca="1">1-U43</f>
        <v>0.66942148760330578</v>
      </c>
      <c r="V44" s="300"/>
      <c r="W44" s="298"/>
      <c r="X44" s="698"/>
      <c r="Y44" s="81"/>
      <c r="Z44" s="81"/>
      <c r="AA44" s="81"/>
      <c r="AB44" s="81"/>
      <c r="AD44" s="81"/>
      <c r="AE44" s="81"/>
      <c r="AF44" s="220"/>
    </row>
    <row r="45" spans="2:36">
      <c r="B45" s="357" t="s">
        <v>1001</v>
      </c>
      <c r="D45" s="212" t="str">
        <f>"IND"&amp;RIGHT(H45,4)&amp;RIGHT(G45,3)&amp;"N"&amp;RIGHT(E45,1)</f>
        <v>INDMDPHELCN4</v>
      </c>
      <c r="E45" s="261" t="str">
        <f>"Industrial heating technology "&amp;$AJ$12&amp;" "&amp;RIGHT(H45,2)&amp;" - Booster Heat pump utilizing waste heat - new 4"</f>
        <v>Industrial heating technology Machinery PH - Booster Heat pump utilizing waste heat - new 4</v>
      </c>
      <c r="F45" s="224" t="s">
        <v>1149</v>
      </c>
      <c r="G45" s="173" t="s">
        <v>499</v>
      </c>
      <c r="H45" s="174" t="str">
        <f>$AI$14</f>
        <v>IMDPH</v>
      </c>
      <c r="I45" s="174"/>
      <c r="J45" s="224">
        <f t="shared" ref="J45" si="13">AD45</f>
        <v>2020</v>
      </c>
      <c r="K45" s="81">
        <v>2020</v>
      </c>
      <c r="L45" s="333">
        <v>1</v>
      </c>
      <c r="M45" s="199">
        <f ca="1">VLOOKUP($AD45,INDIRECT("'"&amp;$B45&amp;"'!"&amp;"$P$39:$AD$42"),3,FALSE)</f>
        <v>1.93</v>
      </c>
      <c r="N45" s="81">
        <f ca="1">VLOOKUP($AD45,INDIRECT("'"&amp;$B45&amp;"'!"&amp;"$P$39:$AD$42"),5,FALSE)</f>
        <v>20</v>
      </c>
      <c r="O45" s="723">
        <f ca="1">VLOOKUP($AD45,INDIRECT("'"&amp;$B45&amp;"'!"&amp;"$P$39:$AD$42"),6,FALSE)/1000</f>
        <v>12.158890687341184</v>
      </c>
      <c r="P45" s="723">
        <f ca="1">VLOOKUP($AD45,INDIRECT("'"&amp;$B45&amp;"'!"&amp;"$P$39:$AD$42"),7,FALSE)/1000</f>
        <v>1.49E-2</v>
      </c>
      <c r="Q45" s="81">
        <f ca="1">VLOOKUP($AD45,INDIRECT("'"&amp;$B45&amp;"'!"&amp;"$P$39:$AD$42"),8,FALSE)</f>
        <v>7.1188888888888897</v>
      </c>
      <c r="R45" s="81">
        <v>3.1536000000000002E-2</v>
      </c>
      <c r="S45" s="199">
        <v>0.5</v>
      </c>
      <c r="T45" s="199">
        <f ca="1">HLOOKUP($T$2,INDIRECT("'"&amp;$B45&amp;"'!"&amp;"$P$6:$AC$19"),IF(H45=$AI$13,6,IF(H45=$AI$14,9,14)),FALSE)-T9</f>
        <v>0</v>
      </c>
      <c r="U45" s="199">
        <f ca="1">1/M45</f>
        <v>0.5181347150259068</v>
      </c>
      <c r="V45" s="199"/>
      <c r="W45" s="298"/>
      <c r="X45" s="698">
        <f ca="1">IF(VLOOKUP($AD45,INDIRECT("'"&amp;$B45&amp;"'!"&amp;"$P$39:$AD$42"),11,FALSE)="Cf. the utilized electricity",0,VLOOKUP($AD45,INDIRECT("'"&amp;$B45&amp;"'!"&amp;"$P$39:$AD$42"),11,FALSE))</f>
        <v>0</v>
      </c>
      <c r="Y45" s="81">
        <f ca="1">VLOOKUP($AD45,INDIRECT("'"&amp;$B45&amp;"'!"&amp;"$P$39:$AD$42"),12,FALSE)</f>
        <v>0</v>
      </c>
      <c r="Z45" s="81">
        <f ca="1">VLOOKUP($AD45,INDIRECT("'"&amp;$B45&amp;"'!"&amp;"$P$39:$AD$42"),13,FALSE)</f>
        <v>0</v>
      </c>
      <c r="AA45" s="81">
        <f ca="1">VLOOKUP($AD45,INDIRECT("'"&amp;$B45&amp;"'!"&amp;"$P$39:$AD$42"),14,FALSE)</f>
        <v>0</v>
      </c>
      <c r="AB45" s="81">
        <f ca="1">VLOOKUP($AD45,INDIRECT("'"&amp;$B45&amp;"'!"&amp;"$P$39:$AD$42"),15,FALSE)</f>
        <v>0</v>
      </c>
      <c r="AD45" s="81">
        <v>2020</v>
      </c>
      <c r="AE45" s="81"/>
      <c r="AF45" s="220"/>
    </row>
    <row r="46" spans="2:36">
      <c r="B46" s="357" t="s">
        <v>1001</v>
      </c>
      <c r="D46" s="212"/>
      <c r="E46" s="261"/>
      <c r="F46" s="224" t="s">
        <v>1149</v>
      </c>
      <c r="G46" s="173" t="str">
        <f>$AI$20</f>
        <v>INDMWH</v>
      </c>
      <c r="H46" s="174"/>
      <c r="I46" s="174"/>
      <c r="K46" s="81"/>
      <c r="L46" s="333"/>
      <c r="M46" s="199"/>
      <c r="N46" s="81"/>
      <c r="O46" s="723"/>
      <c r="P46" s="723"/>
      <c r="Q46" s="81"/>
      <c r="R46" s="200"/>
      <c r="S46" s="772"/>
      <c r="T46" s="772"/>
      <c r="U46" s="199">
        <f ca="1">1-U45</f>
        <v>0.4818652849740932</v>
      </c>
      <c r="V46" s="772"/>
      <c r="W46" s="298"/>
      <c r="X46" s="698"/>
      <c r="Y46" s="81"/>
      <c r="Z46" s="81"/>
      <c r="AA46" s="81"/>
      <c r="AB46" s="81"/>
      <c r="AD46" s="81"/>
      <c r="AE46" s="81"/>
      <c r="AF46" s="220"/>
    </row>
    <row r="47" spans="2:36">
      <c r="B47" s="357" t="s">
        <v>1001</v>
      </c>
      <c r="D47" s="212"/>
      <c r="E47" s="212"/>
      <c r="F47" s="224" t="s">
        <v>1149</v>
      </c>
      <c r="G47" s="173" t="s">
        <v>499</v>
      </c>
      <c r="H47" s="174" t="str">
        <f>$AI$14</f>
        <v>IMDPH</v>
      </c>
      <c r="I47" s="174"/>
      <c r="J47" s="224">
        <f t="shared" ref="J47" si="14">AD47</f>
        <v>2030</v>
      </c>
      <c r="K47" s="81"/>
      <c r="L47" s="333">
        <v>1</v>
      </c>
      <c r="M47" s="199">
        <f ca="1">VLOOKUP($AD47,INDIRECT("'"&amp;$B47&amp;"'!"&amp;"$P$39:$AD$42"),3,FALSE)</f>
        <v>1.9894000000000001</v>
      </c>
      <c r="N47" s="81"/>
      <c r="O47" s="723">
        <f ca="1">VLOOKUP($AD47,INDIRECT("'"&amp;$B47&amp;"'!"&amp;"$P$39:$AD$42"),6,FALSE)/1000</f>
        <v>9.8570539139933757</v>
      </c>
      <c r="P47" s="723">
        <f ca="1">VLOOKUP($AD47,INDIRECT("'"&amp;$B47&amp;"'!"&amp;"$P$39:$AD$42"),7,FALSE)/1000</f>
        <v>1.49E-2</v>
      </c>
      <c r="Q47" s="81">
        <f ca="1">VLOOKUP($AD47,INDIRECT("'"&amp;$B47&amp;"'!"&amp;"$P$39:$AD$42"),8,FALSE)</f>
        <v>6.9740277777777777</v>
      </c>
      <c r="R47" s="300"/>
      <c r="S47" s="300"/>
      <c r="T47" s="300"/>
      <c r="U47" s="199">
        <f ca="1">1/M47</f>
        <v>0.50266411983512616</v>
      </c>
      <c r="V47" s="199"/>
      <c r="W47" s="298"/>
      <c r="X47" s="698">
        <f ca="1">IF(VLOOKUP($AD47,INDIRECT("'"&amp;$B47&amp;"'!"&amp;"$P$39:$AD$42"),11,FALSE)="Cf. the utilized electricity",0,VLOOKUP($AD47,INDIRECT("'"&amp;$B47&amp;"'!"&amp;"$P$39:$AD$42"),11,FALSE))</f>
        <v>0</v>
      </c>
      <c r="Y47" s="81">
        <f ca="1">VLOOKUP($AD47,INDIRECT("'"&amp;$B47&amp;"'!"&amp;"$P$39:$AD$42"),12,FALSE)</f>
        <v>0</v>
      </c>
      <c r="Z47" s="81">
        <f ca="1">VLOOKUP($AD47,INDIRECT("'"&amp;$B47&amp;"'!"&amp;"$P$39:$AD$42"),13,FALSE)</f>
        <v>0</v>
      </c>
      <c r="AA47" s="81">
        <f ca="1">VLOOKUP($AD47,INDIRECT("'"&amp;$B47&amp;"'!"&amp;"$P$39:$AD$42"),14,FALSE)</f>
        <v>0</v>
      </c>
      <c r="AB47" s="81">
        <f ca="1">VLOOKUP($AD47,INDIRECT("'"&amp;$B47&amp;"'!"&amp;"$P$39:$AD$42"),15,FALSE)</f>
        <v>0</v>
      </c>
      <c r="AD47" s="81">
        <v>2030</v>
      </c>
      <c r="AE47" s="81"/>
      <c r="AF47" s="220"/>
    </row>
    <row r="48" spans="2:36">
      <c r="B48" s="357" t="s">
        <v>1001</v>
      </c>
      <c r="D48" s="212"/>
      <c r="E48" s="212"/>
      <c r="F48" s="224" t="s">
        <v>1149</v>
      </c>
      <c r="G48" s="173" t="str">
        <f>$AI$20</f>
        <v>INDMWH</v>
      </c>
      <c r="H48" s="174"/>
      <c r="I48" s="174"/>
      <c r="K48" s="81"/>
      <c r="L48" s="333"/>
      <c r="M48" s="199"/>
      <c r="N48" s="81"/>
      <c r="O48" s="723"/>
      <c r="P48" s="723"/>
      <c r="Q48" s="81"/>
      <c r="R48" s="300"/>
      <c r="S48" s="300"/>
      <c r="T48" s="300"/>
      <c r="U48" s="199">
        <f ca="1">1-U47</f>
        <v>0.49733588016487384</v>
      </c>
      <c r="V48" s="300"/>
      <c r="W48" s="298"/>
      <c r="X48" s="698"/>
      <c r="Y48" s="81"/>
      <c r="Z48" s="81"/>
      <c r="AA48" s="81"/>
      <c r="AB48" s="81"/>
      <c r="AD48" s="81"/>
      <c r="AE48" s="81"/>
      <c r="AF48" s="220"/>
    </row>
    <row r="49" spans="2:32">
      <c r="B49" s="357" t="s">
        <v>1001</v>
      </c>
      <c r="D49" s="212"/>
      <c r="E49" s="212"/>
      <c r="F49" s="224" t="s">
        <v>1149</v>
      </c>
      <c r="G49" s="173" t="s">
        <v>499</v>
      </c>
      <c r="H49" s="174" t="str">
        <f>$AI$14</f>
        <v>IMDPH</v>
      </c>
      <c r="I49" s="174"/>
      <c r="J49" s="224">
        <f t="shared" ref="J49" si="15">AD49</f>
        <v>2050</v>
      </c>
      <c r="K49" s="81"/>
      <c r="L49" s="333">
        <v>1</v>
      </c>
      <c r="M49" s="199">
        <f ca="1">VLOOKUP($AD49,INDIRECT("'"&amp;$B49&amp;"'!"&amp;"$P$39:$AD$42"),3,FALSE)</f>
        <v>2.0509898799999999</v>
      </c>
      <c r="N49" s="81"/>
      <c r="O49" s="723">
        <f ca="1">VLOOKUP($AD49,INDIRECT("'"&amp;$B49&amp;"'!"&amp;"$P$39:$AD$42"),6,FALSE)/1000</f>
        <v>6.955935359434223</v>
      </c>
      <c r="P49" s="723">
        <f ca="1">VLOOKUP($AD49,INDIRECT("'"&amp;$B49&amp;"'!"&amp;"$P$39:$AD$42"),7,FALSE)/1000</f>
        <v>1.49E-2</v>
      </c>
      <c r="Q49" s="81">
        <f ca="1">VLOOKUP($AD49,INDIRECT("'"&amp;$B49&amp;"'!"&amp;"$P$39:$AD$42"),8,FALSE)</f>
        <v>6.7877777777777784</v>
      </c>
      <c r="R49" s="300"/>
      <c r="S49" s="300"/>
      <c r="T49" s="300"/>
      <c r="U49" s="199">
        <f ca="1">1/M49</f>
        <v>0.48756944622271858</v>
      </c>
      <c r="V49" s="199"/>
      <c r="W49" s="298"/>
      <c r="X49" s="698">
        <f ca="1">IF(VLOOKUP($AD49,INDIRECT("'"&amp;$B49&amp;"'!"&amp;"$P$39:$AD$42"),11,FALSE)="Cf. the utilized electricity",0,VLOOKUP($AD49,INDIRECT("'"&amp;$B49&amp;"'!"&amp;"$P$39:$AD$42"),11,FALSE))</f>
        <v>0</v>
      </c>
      <c r="Y49" s="81">
        <f ca="1">VLOOKUP($AD49,INDIRECT("'"&amp;$B49&amp;"'!"&amp;"$P$39:$AD$42"),12,FALSE)</f>
        <v>0</v>
      </c>
      <c r="Z49" s="81">
        <f ca="1">VLOOKUP($AD49,INDIRECT("'"&amp;$B49&amp;"'!"&amp;"$P$39:$AD$42"),13,FALSE)</f>
        <v>0</v>
      </c>
      <c r="AA49" s="81">
        <f ca="1">VLOOKUP($AD49,INDIRECT("'"&amp;$B49&amp;"'!"&amp;"$P$39:$AD$42"),14,FALSE)</f>
        <v>0</v>
      </c>
      <c r="AB49" s="81">
        <f ca="1">VLOOKUP($AD49,INDIRECT("'"&amp;$B49&amp;"'!"&amp;"$P$39:$AD$42"),15,FALSE)</f>
        <v>0</v>
      </c>
      <c r="AD49" s="81">
        <v>2050</v>
      </c>
      <c r="AE49" s="81"/>
      <c r="AF49" s="220"/>
    </row>
    <row r="50" spans="2:32">
      <c r="B50" s="357" t="s">
        <v>1001</v>
      </c>
      <c r="D50" s="212"/>
      <c r="E50" s="212"/>
      <c r="F50" s="224" t="s">
        <v>1149</v>
      </c>
      <c r="G50" s="173" t="str">
        <f>$AI$20</f>
        <v>INDMWH</v>
      </c>
      <c r="H50" s="174"/>
      <c r="I50" s="174"/>
      <c r="K50" s="81"/>
      <c r="L50" s="333"/>
      <c r="M50" s="199"/>
      <c r="N50" s="81"/>
      <c r="O50" s="723"/>
      <c r="P50" s="723"/>
      <c r="Q50" s="81"/>
      <c r="R50" s="300"/>
      <c r="S50" s="300"/>
      <c r="T50" s="300"/>
      <c r="U50" s="199">
        <f ca="1">1-U49</f>
        <v>0.51243055377728142</v>
      </c>
      <c r="V50" s="300"/>
      <c r="W50" s="298"/>
      <c r="X50" s="698"/>
      <c r="Y50" s="81"/>
      <c r="Z50" s="81"/>
      <c r="AA50" s="81"/>
      <c r="AB50" s="81"/>
      <c r="AD50" s="81"/>
      <c r="AE50" s="81"/>
      <c r="AF50" s="220"/>
    </row>
    <row r="51" spans="2:32">
      <c r="B51" s="357" t="s">
        <v>1001</v>
      </c>
      <c r="D51" s="212" t="str">
        <f>"IND"&amp;RIGHT(H51,4)&amp;RIGHT(G51,3)&amp;"N"&amp;RIGHT(E51,1)</f>
        <v>INDMDSHELCN4</v>
      </c>
      <c r="E51" s="261" t="str">
        <f>"Industrial heating technology "&amp;$AJ$12&amp;" "&amp;RIGHT(H51,2)&amp;" - Booster Heat pump utilizing waste heat - new 4"</f>
        <v>Industrial heating technology Machinery SH - Booster Heat pump utilizing waste heat - new 4</v>
      </c>
      <c r="F51" s="224" t="s">
        <v>1149</v>
      </c>
      <c r="G51" s="173" t="s">
        <v>499</v>
      </c>
      <c r="H51" s="174" t="str">
        <f>$AI$15</f>
        <v>IMDSH</v>
      </c>
      <c r="I51" s="174"/>
      <c r="J51" s="224">
        <f t="shared" ref="J51" si="16">AD51</f>
        <v>2020</v>
      </c>
      <c r="K51" s="81">
        <v>2020</v>
      </c>
      <c r="L51" s="333">
        <v>1</v>
      </c>
      <c r="M51" s="199">
        <f ca="1">VLOOKUP($AD51,INDIRECT("'"&amp;$B51&amp;"'!"&amp;"$P$39:$AD$42"),3,FALSE)</f>
        <v>1.93</v>
      </c>
      <c r="N51" s="81">
        <f ca="1">VLOOKUP($AD51,INDIRECT("'"&amp;$B51&amp;"'!"&amp;"$P$39:$AD$42"),5,FALSE)</f>
        <v>20</v>
      </c>
      <c r="O51" s="723">
        <f ca="1">VLOOKUP($AD51,INDIRECT("'"&amp;$B51&amp;"'!"&amp;"$P$39:$AD$42"),6,FALSE)/1000</f>
        <v>12.158890687341184</v>
      </c>
      <c r="P51" s="723">
        <f ca="1">VLOOKUP($AD51,INDIRECT("'"&amp;$B51&amp;"'!"&amp;"$P$39:$AD$42"),7,FALSE)/1000</f>
        <v>1.49E-2</v>
      </c>
      <c r="Q51" s="81">
        <f ca="1">VLOOKUP($AD51,INDIRECT("'"&amp;$B51&amp;"'!"&amp;"$P$39:$AD$42"),8,FALSE)</f>
        <v>7.1188888888888897</v>
      </c>
      <c r="R51" s="81">
        <v>3.1536000000000002E-2</v>
      </c>
      <c r="S51" s="199">
        <v>0.5</v>
      </c>
      <c r="T51" s="199">
        <f ca="1">HLOOKUP($T$2,INDIRECT("'"&amp;$B51&amp;"'!"&amp;"$P$6:$AC$19"),IF(H51=$AI$13,6,IF(H51=$AI$14,9,14)),FALSE)</f>
        <v>1</v>
      </c>
      <c r="U51" s="199">
        <f ca="1">1/M51</f>
        <v>0.5181347150259068</v>
      </c>
      <c r="V51" s="199"/>
      <c r="W51" s="298"/>
      <c r="X51" s="698">
        <f ca="1">IF(VLOOKUP($AD51,INDIRECT("'"&amp;$B51&amp;"'!"&amp;"$P$39:$AD$42"),11,FALSE)="Cf. the utilized electricity",0,VLOOKUP($AD51,INDIRECT("'"&amp;$B51&amp;"'!"&amp;"$P$39:$AD$42"),11,FALSE))</f>
        <v>0</v>
      </c>
      <c r="Y51" s="81">
        <f ca="1">VLOOKUP($AD51,INDIRECT("'"&amp;$B51&amp;"'!"&amp;"$P$39:$AD$42"),12,FALSE)</f>
        <v>0</v>
      </c>
      <c r="Z51" s="81">
        <f ca="1">VLOOKUP($AD51,INDIRECT("'"&amp;$B51&amp;"'!"&amp;"$P$39:$AD$42"),13,FALSE)</f>
        <v>0</v>
      </c>
      <c r="AA51" s="81">
        <f ca="1">VLOOKUP($AD51,INDIRECT("'"&amp;$B51&amp;"'!"&amp;"$P$39:$AD$42"),14,FALSE)</f>
        <v>0</v>
      </c>
      <c r="AB51" s="81">
        <f ca="1">VLOOKUP($AD51,INDIRECT("'"&amp;$B51&amp;"'!"&amp;"$P$39:$AD$42"),15,FALSE)</f>
        <v>0</v>
      </c>
      <c r="AD51" s="81">
        <v>2020</v>
      </c>
      <c r="AE51" s="81"/>
      <c r="AF51" s="220"/>
    </row>
    <row r="52" spans="2:32">
      <c r="B52" s="357" t="s">
        <v>1001</v>
      </c>
      <c r="D52" s="212"/>
      <c r="E52" s="261"/>
      <c r="F52" s="224" t="s">
        <v>1149</v>
      </c>
      <c r="G52" s="173" t="str">
        <f>$AI$20</f>
        <v>INDMWH</v>
      </c>
      <c r="H52" s="174"/>
      <c r="I52" s="174"/>
      <c r="K52" s="81"/>
      <c r="L52" s="333"/>
      <c r="M52" s="199"/>
      <c r="N52" s="81"/>
      <c r="O52" s="723"/>
      <c r="P52" s="723"/>
      <c r="Q52" s="81"/>
      <c r="R52" s="200"/>
      <c r="S52" s="772"/>
      <c r="T52" s="772"/>
      <c r="U52" s="199">
        <f ca="1">1-U51</f>
        <v>0.4818652849740932</v>
      </c>
      <c r="V52" s="772"/>
      <c r="W52" s="298"/>
      <c r="X52" s="698"/>
      <c r="Y52" s="81"/>
      <c r="Z52" s="81"/>
      <c r="AA52" s="81"/>
      <c r="AB52" s="81"/>
      <c r="AD52" s="81"/>
      <c r="AE52" s="81"/>
      <c r="AF52" s="220"/>
    </row>
    <row r="53" spans="2:32">
      <c r="B53" s="357" t="s">
        <v>1001</v>
      </c>
      <c r="D53" s="212"/>
      <c r="E53" s="212"/>
      <c r="F53" s="224" t="s">
        <v>1149</v>
      </c>
      <c r="G53" s="173" t="s">
        <v>499</v>
      </c>
      <c r="H53" s="174" t="str">
        <f>$AI$15</f>
        <v>IMDSH</v>
      </c>
      <c r="I53" s="174"/>
      <c r="J53" s="224">
        <f t="shared" ref="J53" si="17">AD53</f>
        <v>2030</v>
      </c>
      <c r="K53" s="81"/>
      <c r="L53" s="333">
        <v>1</v>
      </c>
      <c r="M53" s="199">
        <f ca="1">VLOOKUP($AD53,INDIRECT("'"&amp;$B53&amp;"'!"&amp;"$P$39:$AD$42"),3,FALSE)</f>
        <v>1.9894000000000001</v>
      </c>
      <c r="N53" s="81"/>
      <c r="O53" s="723">
        <f ca="1">VLOOKUP($AD53,INDIRECT("'"&amp;$B53&amp;"'!"&amp;"$P$39:$AD$42"),6,FALSE)/1000</f>
        <v>9.8570539139933757</v>
      </c>
      <c r="P53" s="723">
        <f ca="1">VLOOKUP($AD53,INDIRECT("'"&amp;$B53&amp;"'!"&amp;"$P$39:$AD$42"),7,FALSE)/1000</f>
        <v>1.49E-2</v>
      </c>
      <c r="Q53" s="81">
        <f ca="1">VLOOKUP($AD53,INDIRECT("'"&amp;$B53&amp;"'!"&amp;"$P$39:$AD$42"),8,FALSE)</f>
        <v>6.9740277777777777</v>
      </c>
      <c r="R53" s="300"/>
      <c r="S53" s="300"/>
      <c r="T53" s="300"/>
      <c r="U53" s="199">
        <f ca="1">1/M53</f>
        <v>0.50266411983512616</v>
      </c>
      <c r="V53" s="199"/>
      <c r="W53" s="298"/>
      <c r="X53" s="698">
        <f ca="1">IF(VLOOKUP($AD53,INDIRECT("'"&amp;$B53&amp;"'!"&amp;"$P$39:$AD$42"),11,FALSE)="Cf. the utilized electricity",0,VLOOKUP($AD53,INDIRECT("'"&amp;$B53&amp;"'!"&amp;"$P$39:$AD$42"),11,FALSE))</f>
        <v>0</v>
      </c>
      <c r="Y53" s="81">
        <f ca="1">VLOOKUP($AD53,INDIRECT("'"&amp;$B53&amp;"'!"&amp;"$P$39:$AD$42"),12,FALSE)</f>
        <v>0</v>
      </c>
      <c r="Z53" s="81">
        <f ca="1">VLOOKUP($AD53,INDIRECT("'"&amp;$B53&amp;"'!"&amp;"$P$39:$AD$42"),13,FALSE)</f>
        <v>0</v>
      </c>
      <c r="AA53" s="81">
        <f ca="1">VLOOKUP($AD53,INDIRECT("'"&amp;$B53&amp;"'!"&amp;"$P$39:$AD$42"),14,FALSE)</f>
        <v>0</v>
      </c>
      <c r="AB53" s="81">
        <f ca="1">VLOOKUP($AD53,INDIRECT("'"&amp;$B53&amp;"'!"&amp;"$P$39:$AD$42"),15,FALSE)</f>
        <v>0</v>
      </c>
      <c r="AD53" s="81">
        <v>2030</v>
      </c>
      <c r="AE53" s="81"/>
      <c r="AF53" s="220"/>
    </row>
    <row r="54" spans="2:32">
      <c r="B54" s="357" t="s">
        <v>1001</v>
      </c>
      <c r="D54" s="212"/>
      <c r="E54" s="212"/>
      <c r="F54" s="224" t="s">
        <v>1149</v>
      </c>
      <c r="G54" s="173" t="str">
        <f>$AI$20</f>
        <v>INDMWH</v>
      </c>
      <c r="H54" s="174"/>
      <c r="I54" s="174"/>
      <c r="K54" s="81"/>
      <c r="L54" s="333"/>
      <c r="M54" s="199"/>
      <c r="N54" s="81"/>
      <c r="O54" s="723"/>
      <c r="P54" s="723"/>
      <c r="Q54" s="81"/>
      <c r="R54" s="300"/>
      <c r="S54" s="300"/>
      <c r="T54" s="300"/>
      <c r="U54" s="199">
        <f ca="1">1-U53</f>
        <v>0.49733588016487384</v>
      </c>
      <c r="V54" s="300"/>
      <c r="W54" s="298"/>
      <c r="X54" s="698"/>
      <c r="Y54" s="81"/>
      <c r="Z54" s="81"/>
      <c r="AA54" s="81"/>
      <c r="AB54" s="81"/>
      <c r="AD54" s="81"/>
      <c r="AE54" s="81"/>
      <c r="AF54" s="220"/>
    </row>
    <row r="55" spans="2:32">
      <c r="B55" s="357" t="s">
        <v>1001</v>
      </c>
      <c r="D55" s="212"/>
      <c r="E55" s="212"/>
      <c r="F55" s="224" t="s">
        <v>1149</v>
      </c>
      <c r="G55" s="173" t="s">
        <v>499</v>
      </c>
      <c r="H55" s="174" t="str">
        <f>$AI$15</f>
        <v>IMDSH</v>
      </c>
      <c r="I55" s="174"/>
      <c r="J55" s="224">
        <f t="shared" ref="J55" si="18">AD55</f>
        <v>2050</v>
      </c>
      <c r="K55" s="81"/>
      <c r="L55" s="333">
        <v>1</v>
      </c>
      <c r="M55" s="199">
        <f ca="1">VLOOKUP($AD55,INDIRECT("'"&amp;$B55&amp;"'!"&amp;"$P$39:$AD$42"),3,FALSE)</f>
        <v>2.0509898799999999</v>
      </c>
      <c r="N55" s="81"/>
      <c r="O55" s="723">
        <f ca="1">VLOOKUP($AD55,INDIRECT("'"&amp;$B55&amp;"'!"&amp;"$P$39:$AD$42"),6,FALSE)/1000</f>
        <v>6.955935359434223</v>
      </c>
      <c r="P55" s="723">
        <f ca="1">VLOOKUP($AD55,INDIRECT("'"&amp;$B55&amp;"'!"&amp;"$P$39:$AD$42"),7,FALSE)/1000</f>
        <v>1.49E-2</v>
      </c>
      <c r="Q55" s="81">
        <f ca="1">VLOOKUP($AD55,INDIRECT("'"&amp;$B55&amp;"'!"&amp;"$P$39:$AD$42"),8,FALSE)</f>
        <v>6.7877777777777784</v>
      </c>
      <c r="R55" s="300"/>
      <c r="S55" s="300"/>
      <c r="T55" s="300"/>
      <c r="U55" s="199">
        <f ca="1">1/M55</f>
        <v>0.48756944622271858</v>
      </c>
      <c r="V55" s="199"/>
      <c r="W55" s="298"/>
      <c r="X55" s="698">
        <f ca="1">IF(VLOOKUP($AD55,INDIRECT("'"&amp;$B55&amp;"'!"&amp;"$P$39:$AD$42"),11,FALSE)="Cf. the utilized electricity",0,VLOOKUP($AD55,INDIRECT("'"&amp;$B55&amp;"'!"&amp;"$P$39:$AD$42"),11,FALSE))</f>
        <v>0</v>
      </c>
      <c r="Y55" s="81">
        <f ca="1">VLOOKUP($AD55,INDIRECT("'"&amp;$B55&amp;"'!"&amp;"$P$39:$AD$42"),12,FALSE)</f>
        <v>0</v>
      </c>
      <c r="Z55" s="81">
        <f ca="1">VLOOKUP($AD55,INDIRECT("'"&amp;$B55&amp;"'!"&amp;"$P$39:$AD$42"),13,FALSE)</f>
        <v>0</v>
      </c>
      <c r="AA55" s="81">
        <f ca="1">VLOOKUP($AD55,INDIRECT("'"&amp;$B55&amp;"'!"&amp;"$P$39:$AD$42"),14,FALSE)</f>
        <v>0</v>
      </c>
      <c r="AB55" s="81">
        <f ca="1">VLOOKUP($AD55,INDIRECT("'"&amp;$B55&amp;"'!"&amp;"$P$39:$AD$42"),15,FALSE)</f>
        <v>0</v>
      </c>
      <c r="AD55" s="81">
        <v>2050</v>
      </c>
      <c r="AE55" s="81"/>
      <c r="AF55" s="220"/>
    </row>
    <row r="56" spans="2:32">
      <c r="B56" s="357" t="s">
        <v>1001</v>
      </c>
      <c r="D56" s="212"/>
      <c r="E56" s="212"/>
      <c r="F56" s="224" t="s">
        <v>1149</v>
      </c>
      <c r="G56" s="173" t="str">
        <f>$AI$20</f>
        <v>INDMWH</v>
      </c>
      <c r="H56" s="174"/>
      <c r="I56" s="174"/>
      <c r="K56" s="81"/>
      <c r="L56" s="333"/>
      <c r="M56" s="199"/>
      <c r="N56" s="81"/>
      <c r="O56" s="723"/>
      <c r="P56" s="723"/>
      <c r="Q56" s="81"/>
      <c r="R56" s="300"/>
      <c r="S56" s="300"/>
      <c r="T56" s="300"/>
      <c r="U56" s="199">
        <f ca="1">1-U55</f>
        <v>0.51243055377728142</v>
      </c>
      <c r="V56" s="300"/>
      <c r="W56" s="298"/>
      <c r="X56" s="698"/>
      <c r="Y56" s="81"/>
      <c r="Z56" s="81"/>
      <c r="AA56" s="81"/>
      <c r="AB56" s="81"/>
      <c r="AD56" s="81"/>
      <c r="AE56" s="81"/>
      <c r="AF56" s="220"/>
    </row>
    <row r="57" spans="2:32">
      <c r="B57" s="357" t="s">
        <v>1002</v>
      </c>
      <c r="D57" s="212" t="str">
        <f>"IND"&amp;RIGHT(H57,4)&amp;RIGHT(G57,3)&amp;"N"&amp;RIGHT(E57,1)</f>
        <v>INDMDPHELCN5</v>
      </c>
      <c r="E57" s="261" t="str">
        <f>"Industrial heating technology "&amp;$AJ$12&amp;" "&amp;RIGHT(H57,2)&amp;" - MVR utilizing waste heat - new 5"</f>
        <v>Industrial heating technology Machinery PH - MVR utilizing waste heat - new 5</v>
      </c>
      <c r="F57" s="224" t="s">
        <v>1149</v>
      </c>
      <c r="G57" s="173" t="s">
        <v>499</v>
      </c>
      <c r="H57" s="174" t="str">
        <f>$AI$14</f>
        <v>IMDPH</v>
      </c>
      <c r="I57" s="174"/>
      <c r="J57" s="224">
        <f t="shared" ref="J57" si="19">AD57</f>
        <v>2020</v>
      </c>
      <c r="K57" s="81">
        <v>2020</v>
      </c>
      <c r="L57" s="333">
        <v>1</v>
      </c>
      <c r="M57" s="199">
        <f ca="1">VLOOKUP($AD57,INDIRECT("'"&amp;$B57&amp;"'!"&amp;"$P$39:$AD$42"),3,FALSE)</f>
        <v>12.1</v>
      </c>
      <c r="N57" s="81">
        <f ca="1">VLOOKUP($AD57,INDIRECT("'"&amp;$B57&amp;"'!"&amp;"$P$39:$AD$42"),5,FALSE)</f>
        <v>25</v>
      </c>
      <c r="O57" s="723">
        <f ca="1">VLOOKUP($AD57,INDIRECT("'"&amp;$B57&amp;"'!"&amp;"$P$39:$AD$42"),6,FALSE)/1000</f>
        <v>2.6074999999999999</v>
      </c>
      <c r="P57" s="723">
        <f ca="1">VLOOKUP($AD57,INDIRECT("'"&amp;$B57&amp;"'!"&amp;"$P$39:$AD$42"),7,FALSE)/1000</f>
        <v>1.49E-2</v>
      </c>
      <c r="Q57" s="81">
        <f ca="1">VLOOKUP($AD57,INDIRECT("'"&amp;$B57&amp;"'!"&amp;"$P$39:$AD$42"),8,FALSE)</f>
        <v>5.2356944444444444</v>
      </c>
      <c r="R57" s="81">
        <v>3.1536000000000002E-2</v>
      </c>
      <c r="S57" s="199">
        <v>0.5</v>
      </c>
      <c r="T57" s="199">
        <f ca="1">HLOOKUP($T$2,INDIRECT("'"&amp;$B57&amp;"'!"&amp;"$P$6:$AC$19"),IF(H57=$AI$13,6,IF(H57=$AI$14,9,14)),FALSE)</f>
        <v>0</v>
      </c>
      <c r="U57" s="199">
        <f ca="1">1/M57</f>
        <v>8.2644628099173556E-2</v>
      </c>
      <c r="V57" s="199"/>
      <c r="W57" s="298"/>
      <c r="X57" s="698">
        <f ca="1">IF(VLOOKUP($AD57,INDIRECT("'"&amp;$B57&amp;"'!"&amp;"$P$39:$AD$42"),11,FALSE)="Cf. the utilized electricity",0,VLOOKUP($AD57,INDIRECT("'"&amp;$B57&amp;"'!"&amp;"$P$39:$AD$42"),11,FALSE))</f>
        <v>0</v>
      </c>
      <c r="Y57" s="81">
        <f ca="1">VLOOKUP($AD57,INDIRECT("'"&amp;$B57&amp;"'!"&amp;"$P$39:$AD$42"),12,FALSE)</f>
        <v>0</v>
      </c>
      <c r="Z57" s="81">
        <f ca="1">VLOOKUP($AD57,INDIRECT("'"&amp;$B57&amp;"'!"&amp;"$P$39:$AD$42"),13,FALSE)</f>
        <v>0</v>
      </c>
      <c r="AA57" s="81">
        <f ca="1">VLOOKUP($AD57,INDIRECT("'"&amp;$B57&amp;"'!"&amp;"$P$39:$AD$42"),14,FALSE)</f>
        <v>0</v>
      </c>
      <c r="AB57" s="81">
        <f ca="1">VLOOKUP($AD57,INDIRECT("'"&amp;$B57&amp;"'!"&amp;"$P$39:$AD$42"),15,FALSE)</f>
        <v>0</v>
      </c>
      <c r="AD57" s="81">
        <v>2020</v>
      </c>
      <c r="AE57" s="81"/>
      <c r="AF57" s="220"/>
    </row>
    <row r="58" spans="2:32">
      <c r="B58" s="357" t="s">
        <v>1002</v>
      </c>
      <c r="D58" s="212"/>
      <c r="E58" s="261"/>
      <c r="F58" s="224" t="s">
        <v>1149</v>
      </c>
      <c r="G58" s="173" t="str">
        <f>$AI$20</f>
        <v>INDMWH</v>
      </c>
      <c r="H58" s="174"/>
      <c r="I58" s="174"/>
      <c r="K58" s="81"/>
      <c r="L58" s="199"/>
      <c r="M58" s="199"/>
      <c r="N58" s="81"/>
      <c r="O58" s="723"/>
      <c r="P58" s="723"/>
      <c r="Q58" s="81"/>
      <c r="R58" s="200"/>
      <c r="S58" s="772"/>
      <c r="T58" s="772"/>
      <c r="U58" s="199">
        <f ca="1">1-U57</f>
        <v>0.9173553719008265</v>
      </c>
      <c r="V58" s="772"/>
      <c r="W58" s="298"/>
      <c r="X58" s="698"/>
      <c r="Y58" s="81"/>
      <c r="Z58" s="81"/>
      <c r="AA58" s="81"/>
      <c r="AB58" s="81"/>
      <c r="AD58" s="81"/>
      <c r="AE58" s="81"/>
      <c r="AF58" s="220"/>
    </row>
    <row r="59" spans="2:32">
      <c r="B59" s="357" t="s">
        <v>1002</v>
      </c>
      <c r="D59" s="212"/>
      <c r="E59" s="212"/>
      <c r="F59" s="224" t="s">
        <v>1149</v>
      </c>
      <c r="G59" s="173" t="s">
        <v>499</v>
      </c>
      <c r="H59" s="174" t="str">
        <f>$AI$14</f>
        <v>IMDPH</v>
      </c>
      <c r="I59" s="174"/>
      <c r="J59" s="224">
        <f t="shared" ref="J59" si="20">AD59</f>
        <v>2030</v>
      </c>
      <c r="K59" s="81"/>
      <c r="L59" s="333">
        <v>1</v>
      </c>
      <c r="M59" s="199">
        <f ca="1">VLOOKUP($AD59,INDIRECT("'"&amp;$B59&amp;"'!"&amp;"$P$39:$AD$42"),3,FALSE)</f>
        <v>12.7</v>
      </c>
      <c r="N59" s="81"/>
      <c r="O59" s="723">
        <f ca="1">VLOOKUP($AD59,INDIRECT("'"&amp;$B59&amp;"'!"&amp;"$P$39:$AD$42"),6,FALSE)/1000</f>
        <v>2.4585000000000004</v>
      </c>
      <c r="P59" s="723">
        <f ca="1">VLOOKUP($AD59,INDIRECT("'"&amp;$B59&amp;"'!"&amp;"$P$39:$AD$42"),7,FALSE)/1000</f>
        <v>1.49E-2</v>
      </c>
      <c r="Q59" s="81">
        <f ca="1">VLOOKUP($AD59,INDIRECT("'"&amp;$B59&amp;"'!"&amp;"$P$39:$AD$42"),8,FALSE)</f>
        <v>5.0701388888888888</v>
      </c>
      <c r="R59" s="300"/>
      <c r="S59" s="300"/>
      <c r="T59" s="300"/>
      <c r="U59" s="199">
        <f ca="1">1/M59</f>
        <v>7.874015748031496E-2</v>
      </c>
      <c r="V59" s="199"/>
      <c r="W59" s="298"/>
      <c r="X59" s="698">
        <f ca="1">IF(VLOOKUP($AD59,INDIRECT("'"&amp;$B59&amp;"'!"&amp;"$P$39:$AD$42"),11,FALSE)="Cf. the utilized electricity",0,VLOOKUP($AD59,INDIRECT("'"&amp;$B59&amp;"'!"&amp;"$P$39:$AD$42"),11,FALSE))</f>
        <v>0</v>
      </c>
      <c r="Y59" s="81">
        <f ca="1">VLOOKUP($AD59,INDIRECT("'"&amp;$B59&amp;"'!"&amp;"$P$39:$AD$42"),12,FALSE)</f>
        <v>0</v>
      </c>
      <c r="Z59" s="81">
        <f ca="1">VLOOKUP($AD59,INDIRECT("'"&amp;$B59&amp;"'!"&amp;"$P$39:$AD$42"),13,FALSE)</f>
        <v>0</v>
      </c>
      <c r="AA59" s="81">
        <f ca="1">VLOOKUP($AD59,INDIRECT("'"&amp;$B59&amp;"'!"&amp;"$P$39:$AD$42"),14,FALSE)</f>
        <v>0</v>
      </c>
      <c r="AB59" s="81">
        <f ca="1">VLOOKUP($AD59,INDIRECT("'"&amp;$B59&amp;"'!"&amp;"$P$39:$AD$42"),15,FALSE)</f>
        <v>0</v>
      </c>
      <c r="AD59" s="81">
        <v>2030</v>
      </c>
      <c r="AE59" s="81"/>
      <c r="AF59" s="220"/>
    </row>
    <row r="60" spans="2:32">
      <c r="B60" s="357" t="s">
        <v>1002</v>
      </c>
      <c r="D60" s="212"/>
      <c r="E60" s="212"/>
      <c r="F60" s="224" t="s">
        <v>1149</v>
      </c>
      <c r="G60" s="173" t="str">
        <f>$AI$20</f>
        <v>INDMWH</v>
      </c>
      <c r="H60" s="174"/>
      <c r="I60" s="174"/>
      <c r="K60" s="81"/>
      <c r="L60" s="199"/>
      <c r="M60" s="199"/>
      <c r="N60" s="81"/>
      <c r="O60" s="723"/>
      <c r="P60" s="723"/>
      <c r="Q60" s="81"/>
      <c r="R60" s="300"/>
      <c r="S60" s="300"/>
      <c r="T60" s="300"/>
      <c r="U60" s="199">
        <f ca="1">1-U59</f>
        <v>0.92125984251968507</v>
      </c>
      <c r="V60" s="300"/>
      <c r="W60" s="298"/>
      <c r="X60" s="698"/>
      <c r="Y60" s="81"/>
      <c r="Z60" s="81"/>
      <c r="AA60" s="81"/>
      <c r="AB60" s="81"/>
      <c r="AD60" s="81"/>
      <c r="AE60" s="81"/>
      <c r="AF60" s="220"/>
    </row>
    <row r="61" spans="2:32">
      <c r="B61" s="357" t="s">
        <v>1002</v>
      </c>
      <c r="D61" s="212"/>
      <c r="E61" s="212"/>
      <c r="F61" s="224" t="s">
        <v>1149</v>
      </c>
      <c r="G61" s="173" t="s">
        <v>499</v>
      </c>
      <c r="H61" s="174" t="str">
        <f>$AI$14</f>
        <v>IMDPH</v>
      </c>
      <c r="I61" s="174"/>
      <c r="J61" s="224">
        <f t="shared" ref="J61" si="21">AD61</f>
        <v>2050</v>
      </c>
      <c r="K61" s="81"/>
      <c r="L61" s="333">
        <v>1</v>
      </c>
      <c r="M61" s="199">
        <f ca="1">VLOOKUP($AD61,INDIRECT("'"&amp;$B61&amp;"'!"&amp;"$P$39:$AD$42"),3,FALSE)</f>
        <v>13.8</v>
      </c>
      <c r="N61" s="81"/>
      <c r="O61" s="723">
        <f ca="1">VLOOKUP($AD61,INDIRECT("'"&amp;$B61&amp;"'!"&amp;"$P$39:$AD$42"),6,FALSE)/1000</f>
        <v>2.3094999999999999</v>
      </c>
      <c r="P61" s="723">
        <f ca="1">VLOOKUP($AD61,INDIRECT("'"&amp;$B61&amp;"'!"&amp;"$P$39:$AD$42"),7,FALSE)/1000</f>
        <v>1.49E-2</v>
      </c>
      <c r="Q61" s="81">
        <f ca="1">VLOOKUP($AD61,INDIRECT("'"&amp;$B61&amp;"'!"&amp;"$P$39:$AD$42"),8,FALSE)</f>
        <v>4.8838888888888903</v>
      </c>
      <c r="R61" s="300"/>
      <c r="S61" s="300"/>
      <c r="T61" s="300"/>
      <c r="U61" s="199">
        <f ca="1">1/M61</f>
        <v>7.2463768115942032E-2</v>
      </c>
      <c r="V61" s="199"/>
      <c r="W61" s="298"/>
      <c r="X61" s="698">
        <f ca="1">IF(VLOOKUP($AD61,INDIRECT("'"&amp;$B61&amp;"'!"&amp;"$P$39:$AD$42"),11,FALSE)="Cf. the utilized electricity",0,VLOOKUP($AD61,INDIRECT("'"&amp;$B61&amp;"'!"&amp;"$P$39:$AD$42"),11,FALSE))</f>
        <v>0</v>
      </c>
      <c r="Y61" s="81">
        <f ca="1">VLOOKUP($AD61,INDIRECT("'"&amp;$B61&amp;"'!"&amp;"$P$39:$AD$42"),12,FALSE)</f>
        <v>0</v>
      </c>
      <c r="Z61" s="81">
        <f ca="1">VLOOKUP($AD61,INDIRECT("'"&amp;$B61&amp;"'!"&amp;"$P$39:$AD$42"),13,FALSE)</f>
        <v>0</v>
      </c>
      <c r="AA61" s="81">
        <f ca="1">VLOOKUP($AD61,INDIRECT("'"&amp;$B61&amp;"'!"&amp;"$P$39:$AD$42"),14,FALSE)</f>
        <v>0</v>
      </c>
      <c r="AB61" s="81">
        <f ca="1">VLOOKUP($AD61,INDIRECT("'"&amp;$B61&amp;"'!"&amp;"$P$39:$AD$42"),15,FALSE)</f>
        <v>0</v>
      </c>
      <c r="AD61" s="81">
        <v>2050</v>
      </c>
      <c r="AE61" s="81"/>
      <c r="AF61" s="220"/>
    </row>
    <row r="62" spans="2:32" ht="16" thickBot="1">
      <c r="B62" s="786" t="s">
        <v>1002</v>
      </c>
      <c r="C62" s="787"/>
      <c r="D62" s="732"/>
      <c r="E62" s="732"/>
      <c r="F62" s="224" t="s">
        <v>1149</v>
      </c>
      <c r="G62" s="788" t="str">
        <f>$AI$20</f>
        <v>INDMWH</v>
      </c>
      <c r="H62" s="788"/>
      <c r="I62" s="788"/>
      <c r="K62" s="789"/>
      <c r="L62" s="790"/>
      <c r="M62" s="790"/>
      <c r="N62" s="789"/>
      <c r="O62" s="791"/>
      <c r="P62" s="791"/>
      <c r="Q62" s="789"/>
      <c r="R62" s="792"/>
      <c r="S62" s="792"/>
      <c r="T62" s="792"/>
      <c r="U62" s="790">
        <f ca="1">1-U61</f>
        <v>0.92753623188405798</v>
      </c>
      <c r="V62" s="796"/>
      <c r="W62" s="793"/>
      <c r="X62" s="794"/>
      <c r="Y62" s="789"/>
      <c r="Z62" s="789"/>
      <c r="AA62" s="789"/>
      <c r="AB62" s="789"/>
      <c r="AC62" s="787"/>
      <c r="AD62" s="789"/>
      <c r="AE62" s="789"/>
      <c r="AF62" s="795"/>
    </row>
    <row r="63" spans="2:32">
      <c r="B63" s="357" t="s">
        <v>920</v>
      </c>
      <c r="D63" s="212" t="str">
        <f>"IND"&amp;RIGHT(H63,4)&amp;RIGHT(G63,3)&amp;"N"&amp;RIGHT(E63,1)</f>
        <v>INDMDPHWSTN1</v>
      </c>
      <c r="E63" s="261" t="str">
        <f>"Industrial heating technology "&amp;$AJ$12&amp;" "&amp;RIGHT(H63,2)&amp;" - Hotdisc - new 1"</f>
        <v>Industrial heating technology Machinery PH - Hotdisc - new 1</v>
      </c>
      <c r="F63" s="224" t="s">
        <v>1149</v>
      </c>
      <c r="G63" s="832" t="s">
        <v>1005</v>
      </c>
      <c r="H63" s="174" t="str">
        <f>$AI$13</f>
        <v>IMDPH</v>
      </c>
      <c r="I63" s="173" t="str">
        <f t="shared" ref="I63:I126" si="22">$AI$20</f>
        <v>INDMWH</v>
      </c>
      <c r="J63" s="224">
        <f>IF(AD63=2020,2011,AD63)</f>
        <v>2011</v>
      </c>
      <c r="K63" s="299">
        <v>2025</v>
      </c>
      <c r="L63" s="699">
        <f t="shared" ref="L63:L80" ca="1" si="23">VLOOKUP($AD63,INDIRECT("'"&amp;$B63&amp;"'!"&amp;"$P$39:$AD$42"),3,FALSE)</f>
        <v>0.9</v>
      </c>
      <c r="M63" s="699"/>
      <c r="N63" s="299">
        <f ca="1">VLOOKUP($AD63,INDIRECT("'"&amp;$B63&amp;"'!"&amp;"$P$39:$AD$42"),5,FALSE)</f>
        <v>20</v>
      </c>
      <c r="O63" s="725">
        <f t="shared" ref="O63:O80" ca="1" si="24">VLOOKUP($AD63,INDIRECT("'"&amp;$B63&amp;"'!"&amp;"$P$39:$AD$42"),6,FALSE)/1000</f>
        <v>3.7250000000000001</v>
      </c>
      <c r="P63" s="725">
        <f t="shared" ref="P63:P80" ca="1" si="25">VLOOKUP($AD63,INDIRECT("'"&amp;$B63&amp;"'!"&amp;"$P$39:$AD$42"),7,FALSE)/1000</f>
        <v>2.98E-3</v>
      </c>
      <c r="Q63" s="299">
        <f t="shared" ref="Q63:Q80" ca="1" si="26">VLOOKUP($AD63,INDIRECT("'"&amp;$B63&amp;"'!"&amp;"$P$39:$AD$42"),8,FALSE)</f>
        <v>2.4315972222222224</v>
      </c>
      <c r="R63" s="299">
        <v>3.1536000000000002E-2</v>
      </c>
      <c r="S63" s="699">
        <v>0.5</v>
      </c>
      <c r="T63" s="699">
        <f ca="1">HLOOKUP($S$2,INDIRECT("'"&amp;$B63&amp;"'!"&amp;"$P$6:$AC$19"),IF(H63=$AI$13,6,IF(H63=$AI$14,9,14)),FALSE)</f>
        <v>0</v>
      </c>
      <c r="U63" s="772"/>
      <c r="V63" s="199">
        <f ca="1">IF(IF(RIGHT(H63,2)="PH",(1-L63)+$W$2,IF(RIGHT(H63,2)="HT",(1-L63)+$W$1,IF(RIGHT(H63,2)="SH",(1-L63)+$W$3,"")))&gt;0,IF(RIGHT(H63,2)="PH",(1-L63)+$W$2,IF(RIGHT(H63,2)="HT",(1-L63)+$W$1,IF(RIGHT(H63,2)="SH",(1-L63)+$W$3,""))),0)</f>
        <v>0.3</v>
      </c>
      <c r="W63" s="298"/>
      <c r="X63" s="785">
        <f t="shared" ref="X63:X94" ca="1" si="27">IF(VLOOKUP($AD63,INDIRECT("'"&amp;$B63&amp;"'!"&amp;"$P$39:$AD$42"),11,FALSE)="Cf. the utilized electricity",0,VLOOKUP($AD63,INDIRECT("'"&amp;$B63&amp;"'!"&amp;"$P$39:$AD$42"),11,FALSE))</f>
        <v>8.3000000000000007</v>
      </c>
      <c r="Y63" s="299">
        <f t="shared" ref="Y63:Y80" ca="1" si="28">VLOOKUP($AD63,INDIRECT("'"&amp;$B63&amp;"'!"&amp;"$P$39:$AD$42"),12,FALSE)</f>
        <v>56</v>
      </c>
      <c r="Z63" s="299">
        <f t="shared" ref="Z63:Z80" ca="1" si="29">VLOOKUP($AD63,INDIRECT("'"&amp;$B63&amp;"'!"&amp;"$P$39:$AD$42"),13,FALSE)</f>
        <v>0.1</v>
      </c>
      <c r="AA63" s="299">
        <f t="shared" ref="AA63:AA80" ca="1" si="30">VLOOKUP($AD63,INDIRECT("'"&amp;$B63&amp;"'!"&amp;"$P$39:$AD$42"),14,FALSE)</f>
        <v>1</v>
      </c>
      <c r="AB63" s="299">
        <f t="shared" ref="AB63:AB80" ca="1" si="31">VLOOKUP($AD63,INDIRECT("'"&amp;$B63&amp;"'!"&amp;"$P$39:$AD$42"),15,FALSE)</f>
        <v>0.28999999999999998</v>
      </c>
      <c r="AD63" s="299">
        <v>2020</v>
      </c>
      <c r="AE63" s="299"/>
      <c r="AF63" s="220"/>
    </row>
    <row r="64" spans="2:32">
      <c r="B64" s="357" t="s">
        <v>920</v>
      </c>
      <c r="D64" s="212"/>
      <c r="E64" s="212"/>
      <c r="F64" s="224" t="s">
        <v>1149</v>
      </c>
      <c r="H64" s="174"/>
      <c r="I64" s="173" t="str">
        <f t="shared" si="22"/>
        <v>INDMWH</v>
      </c>
      <c r="J64" s="224">
        <f t="shared" ref="J64:J127" si="32">IF(AD64=2020,2011,AD64)</f>
        <v>2030</v>
      </c>
      <c r="K64" s="81"/>
      <c r="L64" s="199">
        <f t="shared" ca="1" si="23"/>
        <v>0.91</v>
      </c>
      <c r="M64" s="199"/>
      <c r="N64" s="81"/>
      <c r="O64" s="723">
        <f t="shared" ca="1" si="24"/>
        <v>3.4642500000000003</v>
      </c>
      <c r="P64" s="723">
        <f t="shared" ca="1" si="25"/>
        <v>2.98E-3</v>
      </c>
      <c r="Q64" s="81">
        <f t="shared" ca="1" si="26"/>
        <v>2.4729861111111116</v>
      </c>
      <c r="R64" s="300"/>
      <c r="S64" s="300"/>
      <c r="T64" s="300"/>
      <c r="U64" s="300"/>
      <c r="V64" s="199">
        <f ca="1">IF(IF(RIGHT(H63,2)="PH",(1-L64)+$W$2,IF(RIGHT(H63,2)="HT",(1-L64)+$W$1,IF(RIGHT(H63,2)="SH",(1-L64)+$W$3,"")))&gt;0,IF(RIGHT(H63,2)="PH",(1-L64)+$W$2,IF(RIGHT(H63,2)="HT",(1-L64)+$W$1,IF(RIGHT(H63,2)="SH",(1-L64)+$W$3,""))),0)</f>
        <v>0.28999999999999998</v>
      </c>
      <c r="W64" s="298"/>
      <c r="X64" s="698">
        <f t="shared" ca="1" si="27"/>
        <v>8.3000000000000007</v>
      </c>
      <c r="Y64" s="81">
        <f t="shared" ca="1" si="28"/>
        <v>45</v>
      </c>
      <c r="Z64" s="81">
        <f t="shared" ca="1" si="29"/>
        <v>0.1</v>
      </c>
      <c r="AA64" s="81">
        <f t="shared" ca="1" si="30"/>
        <v>1</v>
      </c>
      <c r="AB64" s="81">
        <f t="shared" ca="1" si="31"/>
        <v>0.28999999999999998</v>
      </c>
      <c r="AD64" s="81">
        <v>2030</v>
      </c>
      <c r="AE64" s="81"/>
      <c r="AF64" s="220"/>
    </row>
    <row r="65" spans="2:32">
      <c r="B65" s="357" t="s">
        <v>920</v>
      </c>
      <c r="D65" s="212"/>
      <c r="E65" s="212"/>
      <c r="F65" s="224" t="s">
        <v>1149</v>
      </c>
      <c r="H65" s="174"/>
      <c r="I65" s="173" t="str">
        <f t="shared" si="22"/>
        <v>INDMWH</v>
      </c>
      <c r="J65" s="224">
        <f t="shared" si="32"/>
        <v>2050</v>
      </c>
      <c r="K65" s="81"/>
      <c r="L65" s="199">
        <f t="shared" ca="1" si="23"/>
        <v>0.93</v>
      </c>
      <c r="M65" s="199"/>
      <c r="N65" s="81"/>
      <c r="O65" s="723">
        <f t="shared" ca="1" si="24"/>
        <v>3.3525</v>
      </c>
      <c r="P65" s="723">
        <f t="shared" ca="1" si="25"/>
        <v>2.98E-3</v>
      </c>
      <c r="Q65" s="81">
        <f t="shared" ca="1" si="26"/>
        <v>2.4936805555555561</v>
      </c>
      <c r="R65" s="300"/>
      <c r="S65" s="300"/>
      <c r="T65" s="300"/>
      <c r="U65" s="300"/>
      <c r="V65" s="199">
        <f ca="1">IF(IF(RIGHT(H63,2)="PH",(1-L65)+$W$2,IF(RIGHT(H63,2)="HT",(1-L65)+$W$1,IF(RIGHT(H63,2)="SH",(1-L65)+$W$3,"")))&gt;0,IF(RIGHT(H63,2)="PH",(1-L65)+$W$2,IF(RIGHT(H63,2)="HT",(1-L65)+$W$1,IF(RIGHT(H63,2)="SH",(1-L65)+$W$3,""))),0)</f>
        <v>0.26999999999999996</v>
      </c>
      <c r="W65" s="298"/>
      <c r="X65" s="698">
        <f t="shared" ca="1" si="27"/>
        <v>8.3000000000000007</v>
      </c>
      <c r="Y65" s="81">
        <f t="shared" ca="1" si="28"/>
        <v>11</v>
      </c>
      <c r="Z65" s="81">
        <f t="shared" ca="1" si="29"/>
        <v>0.1</v>
      </c>
      <c r="AA65" s="81">
        <f t="shared" ca="1" si="30"/>
        <v>1</v>
      </c>
      <c r="AB65" s="81">
        <f t="shared" ca="1" si="31"/>
        <v>0.28999999999999998</v>
      </c>
      <c r="AD65" s="81">
        <v>2050</v>
      </c>
      <c r="AE65" s="81"/>
      <c r="AF65" s="220"/>
    </row>
    <row r="66" spans="2:32">
      <c r="B66" s="357" t="s">
        <v>922</v>
      </c>
      <c r="D66" s="212" t="str">
        <f>"IND"&amp;RIGHT(H66,4)&amp;RIGHT(G66,3)&amp;"N"&amp;RIGHT(E66,1)</f>
        <v>INDMDPHELCN6</v>
      </c>
      <c r="E66" s="261" t="str">
        <f>"Industrial heating technology "&amp;$AJ$12&amp;" "&amp;RIGHT(H66,2)&amp;" - Dielectric heating - new 6"</f>
        <v>Industrial heating technology Machinery PH - Dielectric heating - new 6</v>
      </c>
      <c r="F66" s="224" t="s">
        <v>1149</v>
      </c>
      <c r="G66" s="173" t="s">
        <v>499</v>
      </c>
      <c r="H66" s="174" t="str">
        <f>$AI$14</f>
        <v>IMDPH</v>
      </c>
      <c r="I66" s="173" t="str">
        <f t="shared" si="22"/>
        <v>INDMWH</v>
      </c>
      <c r="J66" s="224">
        <f t="shared" si="32"/>
        <v>2011</v>
      </c>
      <c r="K66" s="299">
        <v>2020</v>
      </c>
      <c r="L66" s="199">
        <f t="shared" ca="1" si="23"/>
        <v>0.95</v>
      </c>
      <c r="M66" s="199"/>
      <c r="N66" s="81">
        <f ca="1">VLOOKUP($AD66,INDIRECT("'"&amp;$B66&amp;"'!"&amp;"$P$39:$AD$42"),5,FALSE)</f>
        <v>30</v>
      </c>
      <c r="O66" s="723">
        <f t="shared" ca="1" si="24"/>
        <v>20.115000000000002</v>
      </c>
      <c r="P66" s="723">
        <f t="shared" ca="1" si="25"/>
        <v>0</v>
      </c>
      <c r="Q66" s="81">
        <f t="shared" ca="1" si="26"/>
        <v>94.828152777777774</v>
      </c>
      <c r="R66" s="81">
        <v>3.1536000000000002E-2</v>
      </c>
      <c r="S66" s="199">
        <v>0.5</v>
      </c>
      <c r="T66" s="199">
        <f ca="1">HLOOKUP($S$2,INDIRECT("'"&amp;$B66&amp;"'!"&amp;"$P$6:$AC$19"),IF(H66=$AI$13,6,IF(H66=$AI$14,9,14)),FALSE)</f>
        <v>0</v>
      </c>
      <c r="U66" s="772"/>
      <c r="V66" s="199">
        <f t="shared" ref="V66" ca="1" si="33">IF(IF(RIGHT(H66,2)="PH",(1-L66)+$W$2,IF(RIGHT(H66,2)="HT",(1-L66)+$W$1,IF(RIGHT(H66,2)="SH",(1-L66)+$W$3,"")))&gt;0,IF(RIGHT(H66,2)="PH",(1-L66)+$W$2,IF(RIGHT(H66,2)="HT",(1-L66)+$W$1,IF(RIGHT(H66,2)="SH",(1-L66)+$W$3,""))),0)</f>
        <v>0.25000000000000006</v>
      </c>
      <c r="W66" s="298"/>
      <c r="X66" s="698">
        <f t="shared" ca="1" si="27"/>
        <v>0</v>
      </c>
      <c r="Y66" s="81">
        <f t="shared" ca="1" si="28"/>
        <v>0</v>
      </c>
      <c r="Z66" s="81">
        <f t="shared" ca="1" si="29"/>
        <v>0</v>
      </c>
      <c r="AA66" s="81">
        <f t="shared" ca="1" si="30"/>
        <v>0</v>
      </c>
      <c r="AB66" s="81">
        <f t="shared" ca="1" si="31"/>
        <v>0</v>
      </c>
      <c r="AD66" s="81">
        <v>2020</v>
      </c>
      <c r="AE66" s="81"/>
      <c r="AF66" s="220"/>
    </row>
    <row r="67" spans="2:32">
      <c r="B67" s="357" t="s">
        <v>922</v>
      </c>
      <c r="D67" s="212"/>
      <c r="E67" s="212"/>
      <c r="F67" s="224" t="s">
        <v>1149</v>
      </c>
      <c r="H67" s="174"/>
      <c r="I67" s="173" t="str">
        <f t="shared" si="22"/>
        <v>INDMWH</v>
      </c>
      <c r="J67" s="224">
        <f t="shared" si="32"/>
        <v>2030</v>
      </c>
      <c r="K67" s="81"/>
      <c r="L67" s="199">
        <f t="shared" ca="1" si="23"/>
        <v>0.95</v>
      </c>
      <c r="M67" s="199"/>
      <c r="N67" s="81"/>
      <c r="O67" s="723">
        <f t="shared" ca="1" si="24"/>
        <v>19.511550000000003</v>
      </c>
      <c r="P67" s="723">
        <f t="shared" ca="1" si="25"/>
        <v>0</v>
      </c>
      <c r="Q67" s="81">
        <f t="shared" ca="1" si="26"/>
        <v>94.832291666666663</v>
      </c>
      <c r="R67" s="300"/>
      <c r="S67" s="300"/>
      <c r="T67" s="300"/>
      <c r="U67" s="300"/>
      <c r="V67" s="199">
        <f t="shared" ref="V67" ca="1" si="34">IF(IF(RIGHT(H66,2)="PH",(1-L67)+$W$2,IF(RIGHT(H66,2)="HT",(1-L67)+$W$1,IF(RIGHT(H66,2)="SH",(1-L67)+$W$3,"")))&gt;0,IF(RIGHT(H66,2)="PH",(1-L67)+$W$2,IF(RIGHT(H66,2)="HT",(1-L67)+$W$1,IF(RIGHT(H66,2)="SH",(1-L67)+$W$3,""))),0)</f>
        <v>0.25000000000000006</v>
      </c>
      <c r="W67" s="298"/>
      <c r="X67" s="698">
        <f t="shared" ca="1" si="27"/>
        <v>0</v>
      </c>
      <c r="Y67" s="81">
        <f t="shared" ca="1" si="28"/>
        <v>0</v>
      </c>
      <c r="Z67" s="81">
        <f t="shared" ca="1" si="29"/>
        <v>0</v>
      </c>
      <c r="AA67" s="81">
        <f t="shared" ca="1" si="30"/>
        <v>0</v>
      </c>
      <c r="AB67" s="81">
        <f t="shared" ca="1" si="31"/>
        <v>0</v>
      </c>
      <c r="AD67" s="81">
        <v>2030</v>
      </c>
      <c r="AE67" s="81"/>
      <c r="AF67" s="220"/>
    </row>
    <row r="68" spans="2:32">
      <c r="B68" s="357" t="s">
        <v>922</v>
      </c>
      <c r="D68" s="212"/>
      <c r="E68" s="212"/>
      <c r="F68" s="224" t="s">
        <v>1149</v>
      </c>
      <c r="H68" s="174"/>
      <c r="I68" s="173" t="str">
        <f t="shared" si="22"/>
        <v>INDMWH</v>
      </c>
      <c r="J68" s="224">
        <f t="shared" si="32"/>
        <v>2050</v>
      </c>
      <c r="K68" s="81"/>
      <c r="L68" s="199">
        <f t="shared" ca="1" si="23"/>
        <v>0.95</v>
      </c>
      <c r="M68" s="199"/>
      <c r="N68" s="81"/>
      <c r="O68" s="723">
        <f t="shared" ca="1" si="24"/>
        <v>18.1035</v>
      </c>
      <c r="P68" s="723">
        <f t="shared" ca="1" si="25"/>
        <v>0</v>
      </c>
      <c r="Q68" s="81">
        <f t="shared" ca="1" si="26"/>
        <v>94.834361111111107</v>
      </c>
      <c r="R68" s="300"/>
      <c r="S68" s="300"/>
      <c r="T68" s="300"/>
      <c r="U68" s="300"/>
      <c r="V68" s="199">
        <f t="shared" ref="V68" ca="1" si="35">IF(IF(RIGHT(H66,2)="PH",(1-L68)+$W$2,IF(RIGHT(H66,2)="HT",(1-L68)+$W$1,IF(RIGHT(H66,2)="SH",(1-L68)+$W$3,"")))&gt;0,IF(RIGHT(H66,2)="PH",(1-L68)+$W$2,IF(RIGHT(H66,2)="HT",(1-L68)+$W$1,IF(RIGHT(H66,2)="SH",(1-L68)+$W$3,""))),0)</f>
        <v>0.25000000000000006</v>
      </c>
      <c r="W68" s="298"/>
      <c r="X68" s="698">
        <f t="shared" ca="1" si="27"/>
        <v>0</v>
      </c>
      <c r="Y68" s="81">
        <f t="shared" ca="1" si="28"/>
        <v>0</v>
      </c>
      <c r="Z68" s="81">
        <f t="shared" ca="1" si="29"/>
        <v>0</v>
      </c>
      <c r="AA68" s="81">
        <f t="shared" ca="1" si="30"/>
        <v>0</v>
      </c>
      <c r="AB68" s="81">
        <f t="shared" ca="1" si="31"/>
        <v>0</v>
      </c>
      <c r="AD68" s="81">
        <v>2050</v>
      </c>
      <c r="AE68" s="81"/>
      <c r="AF68" s="220"/>
    </row>
    <row r="69" spans="2:32">
      <c r="B69" s="357" t="s">
        <v>1006</v>
      </c>
      <c r="D69" s="212" t="str">
        <f>"IND"&amp;RIGHT(H69,4)&amp;RIGHT(G69,3)&amp;"N"&amp;RIGHT(E69,1)</f>
        <v>INDMDPHELCN7</v>
      </c>
      <c r="E69" s="261" t="str">
        <f>"Industrial heating technology "&amp;$AJ$12&amp;" "&amp;RIGHT(H69,2)&amp;" - Infrared heating - new 7"</f>
        <v>Industrial heating technology Machinery PH - Infrared heating - new 7</v>
      </c>
      <c r="F69" s="224" t="s">
        <v>1149</v>
      </c>
      <c r="G69" s="173" t="s">
        <v>499</v>
      </c>
      <c r="H69" s="174" t="str">
        <f>$AI$14</f>
        <v>IMDPH</v>
      </c>
      <c r="I69" s="173" t="str">
        <f t="shared" si="22"/>
        <v>INDMWH</v>
      </c>
      <c r="J69" s="224">
        <f t="shared" si="32"/>
        <v>2011</v>
      </c>
      <c r="K69" s="299">
        <v>2020</v>
      </c>
      <c r="L69" s="199">
        <f t="shared" ca="1" si="23"/>
        <v>0.96</v>
      </c>
      <c r="M69" s="199"/>
      <c r="N69" s="81">
        <f ca="1">VLOOKUP($AD69,INDIRECT("'"&amp;$B69&amp;"'!"&amp;"$P$39:$AD$42"),5,FALSE)</f>
        <v>30</v>
      </c>
      <c r="O69" s="723">
        <f t="shared" ca="1" si="24"/>
        <v>2.6074999999999999</v>
      </c>
      <c r="P69" s="723">
        <f t="shared" ca="1" si="25"/>
        <v>0</v>
      </c>
      <c r="Q69" s="81">
        <f t="shared" ca="1" si="26"/>
        <v>242.27606944444443</v>
      </c>
      <c r="R69" s="81">
        <v>3.1536000000000002E-2</v>
      </c>
      <c r="S69" s="199">
        <v>0.5</v>
      </c>
      <c r="T69" s="199">
        <f ca="1">HLOOKUP($S$2,INDIRECT("'"&amp;$B69&amp;"'!"&amp;"$P$6:$AC$19"),IF(H69=$AI$13,6,IF(H69=$AI$14,9,14)),FALSE)</f>
        <v>0</v>
      </c>
      <c r="U69" s="772"/>
      <c r="V69" s="199">
        <f t="shared" ref="V69" ca="1" si="36">IF(IF(RIGHT(H69,2)="PH",(1-L69)+$W$2,IF(RIGHT(H69,2)="HT",(1-L69)+$W$1,IF(RIGHT(H69,2)="SH",(1-L69)+$W$3,"")))&gt;0,IF(RIGHT(H69,2)="PH",(1-L69)+$W$2,IF(RIGHT(H69,2)="HT",(1-L69)+$W$1,IF(RIGHT(H69,2)="SH",(1-L69)+$W$3,""))),0)</f>
        <v>0.24000000000000005</v>
      </c>
      <c r="W69" s="298"/>
      <c r="X69" s="698">
        <f t="shared" ca="1" si="27"/>
        <v>0</v>
      </c>
      <c r="Y69" s="81">
        <f t="shared" ca="1" si="28"/>
        <v>0</v>
      </c>
      <c r="Z69" s="81">
        <f t="shared" ca="1" si="29"/>
        <v>0</v>
      </c>
      <c r="AA69" s="81">
        <f t="shared" ca="1" si="30"/>
        <v>0</v>
      </c>
      <c r="AB69" s="81">
        <f t="shared" ca="1" si="31"/>
        <v>0</v>
      </c>
      <c r="AD69" s="81">
        <v>2020</v>
      </c>
      <c r="AE69" s="81"/>
      <c r="AF69" s="220"/>
    </row>
    <row r="70" spans="2:32">
      <c r="B70" s="357" t="s">
        <v>1006</v>
      </c>
      <c r="D70" s="212"/>
      <c r="E70" s="212"/>
      <c r="F70" s="224" t="s">
        <v>1149</v>
      </c>
      <c r="H70" s="174"/>
      <c r="I70" s="173" t="str">
        <f t="shared" si="22"/>
        <v>INDMWH</v>
      </c>
      <c r="J70" s="224">
        <f t="shared" si="32"/>
        <v>2030</v>
      </c>
      <c r="K70" s="81"/>
      <c r="L70" s="199">
        <f t="shared" ca="1" si="23"/>
        <v>0.96</v>
      </c>
      <c r="M70" s="199"/>
      <c r="N70" s="81"/>
      <c r="O70" s="723">
        <f t="shared" ca="1" si="24"/>
        <v>2.5330000000000004</v>
      </c>
      <c r="P70" s="723">
        <f t="shared" ca="1" si="25"/>
        <v>0</v>
      </c>
      <c r="Q70" s="81">
        <f t="shared" ca="1" si="26"/>
        <v>242.28020833333332</v>
      </c>
      <c r="R70" s="300"/>
      <c r="S70" s="300"/>
      <c r="T70" s="300"/>
      <c r="U70" s="300"/>
      <c r="V70" s="199">
        <f t="shared" ref="V70" ca="1" si="37">IF(IF(RIGHT(H69,2)="PH",(1-L70)+$W$2,IF(RIGHT(H69,2)="HT",(1-L70)+$W$1,IF(RIGHT(H69,2)="SH",(1-L70)+$W$3,"")))&gt;0,IF(RIGHT(H69,2)="PH",(1-L70)+$W$2,IF(RIGHT(H69,2)="HT",(1-L70)+$W$1,IF(RIGHT(H69,2)="SH",(1-L70)+$W$3,""))),0)</f>
        <v>0.24000000000000005</v>
      </c>
      <c r="W70" s="298"/>
      <c r="X70" s="698">
        <f t="shared" ca="1" si="27"/>
        <v>0</v>
      </c>
      <c r="Y70" s="81">
        <f t="shared" ca="1" si="28"/>
        <v>0</v>
      </c>
      <c r="Z70" s="81">
        <f t="shared" ca="1" si="29"/>
        <v>0</v>
      </c>
      <c r="AA70" s="81">
        <f t="shared" ca="1" si="30"/>
        <v>0</v>
      </c>
      <c r="AB70" s="81">
        <f t="shared" ca="1" si="31"/>
        <v>0</v>
      </c>
      <c r="AD70" s="81">
        <v>2030</v>
      </c>
      <c r="AE70" s="81"/>
      <c r="AF70" s="220"/>
    </row>
    <row r="71" spans="2:32">
      <c r="B71" s="357" t="s">
        <v>1006</v>
      </c>
      <c r="D71" s="212"/>
      <c r="E71" s="212"/>
      <c r="F71" s="224" t="s">
        <v>1149</v>
      </c>
      <c r="H71" s="174"/>
      <c r="I71" s="174" t="str">
        <f t="shared" si="22"/>
        <v>INDMWH</v>
      </c>
      <c r="J71" s="224">
        <f t="shared" si="32"/>
        <v>2050</v>
      </c>
      <c r="K71" s="81"/>
      <c r="L71" s="199">
        <f t="shared" ca="1" si="23"/>
        <v>0.96</v>
      </c>
      <c r="M71" s="199"/>
      <c r="N71" s="81"/>
      <c r="O71" s="723">
        <f t="shared" ca="1" si="24"/>
        <v>2.3467500000000001</v>
      </c>
      <c r="P71" s="723">
        <f t="shared" ca="1" si="25"/>
        <v>0</v>
      </c>
      <c r="Q71" s="81">
        <f t="shared" ca="1" si="26"/>
        <v>242.28227777777775</v>
      </c>
      <c r="R71" s="300"/>
      <c r="S71" s="300"/>
      <c r="T71" s="300"/>
      <c r="U71" s="300"/>
      <c r="V71" s="199">
        <f t="shared" ref="V71" ca="1" si="38">IF(IF(RIGHT(H69,2)="PH",(1-L71)+$W$2,IF(RIGHT(H69,2)="HT",(1-L71)+$W$1,IF(RIGHT(H69,2)="SH",(1-L71)+$W$3,"")))&gt;0,IF(RIGHT(H69,2)="PH",(1-L71)+$W$2,IF(RIGHT(H69,2)="HT",(1-L71)+$W$1,IF(RIGHT(H69,2)="SH",(1-L71)+$W$3,""))),0)</f>
        <v>0.24000000000000005</v>
      </c>
      <c r="W71" s="298"/>
      <c r="X71" s="698">
        <f t="shared" ca="1" si="27"/>
        <v>0</v>
      </c>
      <c r="Y71" s="81">
        <f t="shared" ca="1" si="28"/>
        <v>0</v>
      </c>
      <c r="Z71" s="81">
        <f t="shared" ca="1" si="29"/>
        <v>0</v>
      </c>
      <c r="AA71" s="81">
        <f t="shared" ca="1" si="30"/>
        <v>0</v>
      </c>
      <c r="AB71" s="81">
        <f t="shared" ca="1" si="31"/>
        <v>0</v>
      </c>
      <c r="AD71" s="81">
        <v>2050</v>
      </c>
      <c r="AE71" s="81"/>
      <c r="AF71" s="220"/>
    </row>
    <row r="72" spans="2:32">
      <c r="B72" s="357" t="s">
        <v>1007</v>
      </c>
      <c r="D72" s="212" t="str">
        <f>"IND"&amp;RIGHT(H72,4)&amp;RIGHT(G72,3)&amp;"N"&amp;RIGHT(E72,1)</f>
        <v>INDMDPHELCN8</v>
      </c>
      <c r="E72" s="261" t="str">
        <f>"Industrial heating technology "&amp;$AJ$12&amp;" "&amp;RIGHT(H72,2)&amp;" - Electric boiler (Steam) - new 8"</f>
        <v>Industrial heating technology Machinery PH - Electric boiler (Steam) - new 8</v>
      </c>
      <c r="F72" s="224" t="s">
        <v>1149</v>
      </c>
      <c r="G72" s="173" t="s">
        <v>499</v>
      </c>
      <c r="H72" s="174" t="str">
        <f>$AI$13</f>
        <v>IMDPH</v>
      </c>
      <c r="I72" s="174" t="str">
        <f t="shared" si="22"/>
        <v>INDMWH</v>
      </c>
      <c r="J72" s="224">
        <f t="shared" si="32"/>
        <v>2011</v>
      </c>
      <c r="K72" s="299">
        <v>2020</v>
      </c>
      <c r="L72" s="199">
        <f t="shared" ca="1" si="23"/>
        <v>0.99</v>
      </c>
      <c r="M72" s="199"/>
      <c r="N72" s="81">
        <f ca="1">VLOOKUP($AD72,INDIRECT("'"&amp;$B72&amp;"'!"&amp;"$P$39:$AD$42"),5,FALSE)</f>
        <v>25</v>
      </c>
      <c r="O72" s="723">
        <f t="shared" ca="1" si="24"/>
        <v>0.59599999999999997</v>
      </c>
      <c r="P72" s="723">
        <f t="shared" ca="1" si="25"/>
        <v>7.9714999999999994E-3</v>
      </c>
      <c r="Q72" s="81">
        <f t="shared" ca="1" si="26"/>
        <v>1.7900694444444445</v>
      </c>
      <c r="R72" s="81">
        <v>3.1536000000000002E-2</v>
      </c>
      <c r="S72" s="199">
        <v>0.5</v>
      </c>
      <c r="T72" s="199">
        <f ca="1">HLOOKUP($T$2,INDIRECT("'"&amp;$B72&amp;"'!"&amp;"$P$6:$AC$19"),IF(H72=$AI$13,6,IF(H72=$AI$14,9,14)),FALSE)</f>
        <v>1</v>
      </c>
      <c r="U72" s="772"/>
      <c r="V72" s="199">
        <f t="shared" ref="V72" ca="1" si="39">IF(IF(RIGHT(H72,2)="PH",(1-L72)+$W$2,IF(RIGHT(H72,2)="HT",(1-L72)+$W$1,IF(RIGHT(H72,2)="SH",(1-L72)+$W$3,"")))&gt;0,IF(RIGHT(H72,2)="PH",(1-L72)+$W$2,IF(RIGHT(H72,2)="HT",(1-L72)+$W$1,IF(RIGHT(H72,2)="SH",(1-L72)+$W$3,""))),0)</f>
        <v>0.21000000000000002</v>
      </c>
      <c r="W72" s="298"/>
      <c r="X72" s="698">
        <f t="shared" ca="1" si="27"/>
        <v>0</v>
      </c>
      <c r="Y72" s="81">
        <f t="shared" ca="1" si="28"/>
        <v>0</v>
      </c>
      <c r="Z72" s="81">
        <f t="shared" ca="1" si="29"/>
        <v>0</v>
      </c>
      <c r="AA72" s="81">
        <f t="shared" ca="1" si="30"/>
        <v>0</v>
      </c>
      <c r="AB72" s="81">
        <f t="shared" ca="1" si="31"/>
        <v>0</v>
      </c>
      <c r="AD72" s="81">
        <v>2020</v>
      </c>
      <c r="AE72" s="81"/>
      <c r="AF72" s="220"/>
    </row>
    <row r="73" spans="2:32">
      <c r="B73" s="357" t="s">
        <v>1007</v>
      </c>
      <c r="D73" s="212"/>
      <c r="E73" s="212"/>
      <c r="F73" s="224" t="s">
        <v>1149</v>
      </c>
      <c r="H73" s="174"/>
      <c r="I73" s="174" t="str">
        <f t="shared" si="22"/>
        <v>INDMWH</v>
      </c>
      <c r="J73" s="224">
        <f t="shared" si="32"/>
        <v>2030</v>
      </c>
      <c r="K73" s="81"/>
      <c r="L73" s="199">
        <f t="shared" ca="1" si="23"/>
        <v>0.99</v>
      </c>
      <c r="M73" s="199"/>
      <c r="N73" s="81"/>
      <c r="O73" s="723">
        <f t="shared" ca="1" si="24"/>
        <v>0.52150000000000007</v>
      </c>
      <c r="P73" s="723">
        <f t="shared" ca="1" si="25"/>
        <v>7.5989999999999999E-3</v>
      </c>
      <c r="Q73" s="81">
        <f t="shared" ca="1" si="26"/>
        <v>1.8107638888888888</v>
      </c>
      <c r="R73" s="300"/>
      <c r="S73" s="300"/>
      <c r="T73" s="300"/>
      <c r="U73" s="300"/>
      <c r="V73" s="199">
        <f t="shared" ref="V73" ca="1" si="40">IF(IF(RIGHT(H72,2)="PH",(1-L73)+$W$2,IF(RIGHT(H72,2)="HT",(1-L73)+$W$1,IF(RIGHT(H72,2)="SH",(1-L73)+$W$3,"")))&gt;0,IF(RIGHT(H72,2)="PH",(1-L73)+$W$2,IF(RIGHT(H72,2)="HT",(1-L73)+$W$1,IF(RIGHT(H72,2)="SH",(1-L73)+$W$3,""))),0)</f>
        <v>0.21000000000000002</v>
      </c>
      <c r="W73" s="298"/>
      <c r="X73" s="698">
        <f t="shared" ca="1" si="27"/>
        <v>0</v>
      </c>
      <c r="Y73" s="81">
        <f t="shared" ca="1" si="28"/>
        <v>0</v>
      </c>
      <c r="Z73" s="81">
        <f t="shared" ca="1" si="29"/>
        <v>0</v>
      </c>
      <c r="AA73" s="81">
        <f t="shared" ca="1" si="30"/>
        <v>0</v>
      </c>
      <c r="AB73" s="81">
        <f t="shared" ca="1" si="31"/>
        <v>0</v>
      </c>
      <c r="AD73" s="81">
        <v>2030</v>
      </c>
      <c r="AE73" s="81"/>
      <c r="AF73" s="220"/>
    </row>
    <row r="74" spans="2:32">
      <c r="B74" s="357" t="s">
        <v>1007</v>
      </c>
      <c r="D74" s="212"/>
      <c r="E74" s="212"/>
      <c r="F74" s="224" t="s">
        <v>1149</v>
      </c>
      <c r="H74" s="174"/>
      <c r="I74" s="174" t="str">
        <f t="shared" si="22"/>
        <v>INDMWH</v>
      </c>
      <c r="J74" s="224">
        <f t="shared" si="32"/>
        <v>2050</v>
      </c>
      <c r="K74" s="81"/>
      <c r="L74" s="199">
        <f t="shared" ca="1" si="23"/>
        <v>0.99</v>
      </c>
      <c r="M74" s="199"/>
      <c r="N74" s="81"/>
      <c r="O74" s="723">
        <f t="shared" ca="1" si="24"/>
        <v>0.52150000000000007</v>
      </c>
      <c r="P74" s="723">
        <f t="shared" ca="1" si="25"/>
        <v>6.8539999999999998E-3</v>
      </c>
      <c r="Q74" s="81">
        <f t="shared" ca="1" si="26"/>
        <v>1.6141666666666665</v>
      </c>
      <c r="R74" s="300"/>
      <c r="S74" s="300"/>
      <c r="T74" s="300"/>
      <c r="U74" s="300"/>
      <c r="V74" s="199">
        <f t="shared" ref="V74" ca="1" si="41">IF(IF(RIGHT(H72,2)="PH",(1-L74)+$W$2,IF(RIGHT(H72,2)="HT",(1-L74)+$W$1,IF(RIGHT(H72,2)="SH",(1-L74)+$W$3,"")))&gt;0,IF(RIGHT(H72,2)="PH",(1-L74)+$W$2,IF(RIGHT(H72,2)="HT",(1-L74)+$W$1,IF(RIGHT(H72,2)="SH",(1-L74)+$W$3,""))),0)</f>
        <v>0.21000000000000002</v>
      </c>
      <c r="W74" s="298"/>
      <c r="X74" s="698">
        <f t="shared" ca="1" si="27"/>
        <v>0</v>
      </c>
      <c r="Y74" s="81">
        <f t="shared" ca="1" si="28"/>
        <v>0</v>
      </c>
      <c r="Z74" s="81">
        <f t="shared" ca="1" si="29"/>
        <v>0</v>
      </c>
      <c r="AA74" s="81">
        <f t="shared" ca="1" si="30"/>
        <v>0</v>
      </c>
      <c r="AB74" s="81">
        <f t="shared" ca="1" si="31"/>
        <v>0</v>
      </c>
      <c r="AD74" s="81">
        <v>2050</v>
      </c>
      <c r="AE74" s="81"/>
      <c r="AF74" s="220"/>
    </row>
    <row r="75" spans="2:32">
      <c r="B75" s="357" t="s">
        <v>1007</v>
      </c>
      <c r="D75" s="212" t="str">
        <f>"IND"&amp;RIGHT(H75,4)&amp;RIGHT(G75,3)&amp;"N"&amp;RIGHT(E75,1)</f>
        <v>INDMDPHELCN8</v>
      </c>
      <c r="E75" s="261" t="str">
        <f>"Industrial heating technology "&amp;$AJ$12&amp;" "&amp;RIGHT(H75,2)&amp;" - Electric boiler (Steam) - new 8"</f>
        <v>Industrial heating technology Machinery PH - Electric boiler (Steam) - new 8</v>
      </c>
      <c r="F75" s="224" t="s">
        <v>1149</v>
      </c>
      <c r="G75" s="173" t="s">
        <v>499</v>
      </c>
      <c r="H75" s="174" t="str">
        <f>$AI$14</f>
        <v>IMDPH</v>
      </c>
      <c r="I75" s="174" t="str">
        <f t="shared" si="22"/>
        <v>INDMWH</v>
      </c>
      <c r="J75" s="224">
        <f t="shared" si="32"/>
        <v>2011</v>
      </c>
      <c r="K75" s="299">
        <v>2020</v>
      </c>
      <c r="L75" s="199">
        <f t="shared" ca="1" si="23"/>
        <v>0.99</v>
      </c>
      <c r="M75" s="199"/>
      <c r="N75" s="81">
        <f ca="1">VLOOKUP($AD75,INDIRECT("'"&amp;$B75&amp;"'!"&amp;"$P$39:$AD$42"),5,FALSE)</f>
        <v>25</v>
      </c>
      <c r="O75" s="723">
        <f t="shared" ca="1" si="24"/>
        <v>0.59599999999999997</v>
      </c>
      <c r="P75" s="723">
        <f t="shared" ca="1" si="25"/>
        <v>7.9714999999999994E-3</v>
      </c>
      <c r="Q75" s="81">
        <f t="shared" ca="1" si="26"/>
        <v>1.7900694444444445</v>
      </c>
      <c r="R75" s="81">
        <v>3.1536000000000002E-2</v>
      </c>
      <c r="S75" s="199">
        <v>0.5</v>
      </c>
      <c r="T75" s="199">
        <f ca="1">HLOOKUP($T$2,INDIRECT("'"&amp;$B75&amp;"'!"&amp;"$P$6:$AC$19"),IF(H75=$AI$13,6,IF(H75=$AI$14,9,14)),FALSE)</f>
        <v>1</v>
      </c>
      <c r="U75" s="772"/>
      <c r="V75" s="199">
        <f t="shared" ref="V75" ca="1" si="42">IF(IF(RIGHT(H75,2)="PH",(1-L75)+$W$2,IF(RIGHT(H75,2)="HT",(1-L75)+$W$1,IF(RIGHT(H75,2)="SH",(1-L75)+$W$3,"")))&gt;0,IF(RIGHT(H75,2)="PH",(1-L75)+$W$2,IF(RIGHT(H75,2)="HT",(1-L75)+$W$1,IF(RIGHT(H75,2)="SH",(1-L75)+$W$3,""))),0)</f>
        <v>0.21000000000000002</v>
      </c>
      <c r="W75" s="298"/>
      <c r="X75" s="698">
        <f t="shared" ca="1" si="27"/>
        <v>0</v>
      </c>
      <c r="Y75" s="81">
        <f t="shared" ca="1" si="28"/>
        <v>0</v>
      </c>
      <c r="Z75" s="81">
        <f t="shared" ca="1" si="29"/>
        <v>0</v>
      </c>
      <c r="AA75" s="81">
        <f t="shared" ca="1" si="30"/>
        <v>0</v>
      </c>
      <c r="AB75" s="81">
        <f t="shared" ca="1" si="31"/>
        <v>0</v>
      </c>
      <c r="AD75" s="81">
        <v>2020</v>
      </c>
      <c r="AE75" s="81"/>
      <c r="AF75" s="220"/>
    </row>
    <row r="76" spans="2:32">
      <c r="B76" s="357" t="s">
        <v>1007</v>
      </c>
      <c r="D76" s="212"/>
      <c r="E76" s="212"/>
      <c r="F76" s="224" t="s">
        <v>1149</v>
      </c>
      <c r="H76" s="174"/>
      <c r="I76" s="174" t="str">
        <f t="shared" si="22"/>
        <v>INDMWH</v>
      </c>
      <c r="J76" s="224">
        <f t="shared" si="32"/>
        <v>2030</v>
      </c>
      <c r="K76" s="81"/>
      <c r="L76" s="199">
        <f t="shared" ca="1" si="23"/>
        <v>0.99</v>
      </c>
      <c r="M76" s="199"/>
      <c r="N76" s="81"/>
      <c r="O76" s="723">
        <f t="shared" ca="1" si="24"/>
        <v>0.52150000000000007</v>
      </c>
      <c r="P76" s="723">
        <f t="shared" ca="1" si="25"/>
        <v>7.5989999999999999E-3</v>
      </c>
      <c r="Q76" s="81">
        <f t="shared" ca="1" si="26"/>
        <v>1.8107638888888888</v>
      </c>
      <c r="R76" s="300"/>
      <c r="S76" s="300"/>
      <c r="T76" s="300"/>
      <c r="U76" s="300"/>
      <c r="V76" s="199">
        <f t="shared" ref="V76" ca="1" si="43">IF(IF(RIGHT(H75,2)="PH",(1-L76)+$W$2,IF(RIGHT(H75,2)="HT",(1-L76)+$W$1,IF(RIGHT(H75,2)="SH",(1-L76)+$W$3,"")))&gt;0,IF(RIGHT(H75,2)="PH",(1-L76)+$W$2,IF(RIGHT(H75,2)="HT",(1-L76)+$W$1,IF(RIGHT(H75,2)="SH",(1-L76)+$W$3,""))),0)</f>
        <v>0.21000000000000002</v>
      </c>
      <c r="W76" s="298"/>
      <c r="X76" s="698">
        <f t="shared" ca="1" si="27"/>
        <v>0</v>
      </c>
      <c r="Y76" s="81">
        <f t="shared" ca="1" si="28"/>
        <v>0</v>
      </c>
      <c r="Z76" s="81">
        <f t="shared" ca="1" si="29"/>
        <v>0</v>
      </c>
      <c r="AA76" s="81">
        <f t="shared" ca="1" si="30"/>
        <v>0</v>
      </c>
      <c r="AB76" s="81">
        <f t="shared" ca="1" si="31"/>
        <v>0</v>
      </c>
      <c r="AD76" s="81">
        <v>2030</v>
      </c>
      <c r="AE76" s="81"/>
      <c r="AF76" s="220"/>
    </row>
    <row r="77" spans="2:32">
      <c r="B77" s="357" t="s">
        <v>1007</v>
      </c>
      <c r="D77" s="212"/>
      <c r="E77" s="212"/>
      <c r="F77" s="224" t="s">
        <v>1149</v>
      </c>
      <c r="H77" s="174"/>
      <c r="I77" s="174" t="str">
        <f t="shared" si="22"/>
        <v>INDMWH</v>
      </c>
      <c r="J77" s="224">
        <f t="shared" si="32"/>
        <v>2050</v>
      </c>
      <c r="K77" s="81"/>
      <c r="L77" s="199">
        <f t="shared" ca="1" si="23"/>
        <v>0.99</v>
      </c>
      <c r="M77" s="199"/>
      <c r="N77" s="81"/>
      <c r="O77" s="723">
        <f t="shared" ca="1" si="24"/>
        <v>0.52150000000000007</v>
      </c>
      <c r="P77" s="723">
        <f t="shared" ca="1" si="25"/>
        <v>6.8539999999999998E-3</v>
      </c>
      <c r="Q77" s="81">
        <f t="shared" ca="1" si="26"/>
        <v>1.6141666666666665</v>
      </c>
      <c r="R77" s="300"/>
      <c r="S77" s="300"/>
      <c r="T77" s="300"/>
      <c r="U77" s="300"/>
      <c r="V77" s="199">
        <f t="shared" ref="V77" ca="1" si="44">IF(IF(RIGHT(H75,2)="PH",(1-L77)+$W$2,IF(RIGHT(H75,2)="HT",(1-L77)+$W$1,IF(RIGHT(H75,2)="SH",(1-L77)+$W$3,"")))&gt;0,IF(RIGHT(H75,2)="PH",(1-L77)+$W$2,IF(RIGHT(H75,2)="HT",(1-L77)+$W$1,IF(RIGHT(H75,2)="SH",(1-L77)+$W$3,""))),0)</f>
        <v>0.21000000000000002</v>
      </c>
      <c r="W77" s="298"/>
      <c r="X77" s="698">
        <f t="shared" ca="1" si="27"/>
        <v>0</v>
      </c>
      <c r="Y77" s="81">
        <f t="shared" ca="1" si="28"/>
        <v>0</v>
      </c>
      <c r="Z77" s="81">
        <f t="shared" ca="1" si="29"/>
        <v>0</v>
      </c>
      <c r="AA77" s="81">
        <f t="shared" ca="1" si="30"/>
        <v>0</v>
      </c>
      <c r="AB77" s="81">
        <f t="shared" ca="1" si="31"/>
        <v>0</v>
      </c>
      <c r="AD77" s="81">
        <v>2050</v>
      </c>
      <c r="AE77" s="706"/>
      <c r="AF77" s="220"/>
    </row>
    <row r="78" spans="2:32">
      <c r="B78" s="357" t="s">
        <v>1007</v>
      </c>
      <c r="D78" s="212" t="str">
        <f>"IND"&amp;RIGHT(H78,4)&amp;RIGHT(G78,3)&amp;"N"&amp;RIGHT(E78,1)</f>
        <v>INDMDSHELCN8</v>
      </c>
      <c r="E78" s="261" t="str">
        <f>"Industrial heating technology "&amp;$AJ$12&amp;" "&amp;RIGHT(H78,2)&amp;" - Electric boiler (Steam) - new 8"</f>
        <v>Industrial heating technology Machinery SH - Electric boiler (Steam) - new 8</v>
      </c>
      <c r="F78" s="224" t="s">
        <v>1149</v>
      </c>
      <c r="G78" s="173" t="s">
        <v>499</v>
      </c>
      <c r="H78" s="174" t="str">
        <f>$AI$15</f>
        <v>IMDSH</v>
      </c>
      <c r="I78" s="174" t="str">
        <f t="shared" si="22"/>
        <v>INDMWH</v>
      </c>
      <c r="J78" s="224">
        <f t="shared" si="32"/>
        <v>2011</v>
      </c>
      <c r="K78" s="299">
        <v>2020</v>
      </c>
      <c r="L78" s="199">
        <f t="shared" ca="1" si="23"/>
        <v>0.99</v>
      </c>
      <c r="M78" s="199"/>
      <c r="N78" s="81">
        <f ca="1">VLOOKUP($AD78,INDIRECT("'"&amp;$B78&amp;"'!"&amp;"$P$39:$AD$42"),5,FALSE)</f>
        <v>25</v>
      </c>
      <c r="O78" s="723">
        <f t="shared" ca="1" si="24"/>
        <v>0.59599999999999997</v>
      </c>
      <c r="P78" s="723">
        <f t="shared" ca="1" si="25"/>
        <v>7.9714999999999994E-3</v>
      </c>
      <c r="Q78" s="81">
        <f t="shared" ca="1" si="26"/>
        <v>1.7900694444444445</v>
      </c>
      <c r="R78" s="81">
        <v>3.1536000000000002E-2</v>
      </c>
      <c r="S78" s="199">
        <v>0.5</v>
      </c>
      <c r="T78" s="199">
        <f ca="1">HLOOKUP($T$2,INDIRECT("'"&amp;$B78&amp;"'!"&amp;"$P$6:$AC$19"),IF(H78=$AI$13,6,IF(H78=$AI$14,9,14)),FALSE)</f>
        <v>1</v>
      </c>
      <c r="U78" s="772"/>
      <c r="V78" s="199">
        <f t="shared" ref="V78" ca="1" si="45">IF(IF(RIGHT(H78,2)="PH",(1-L78)+$W$2,IF(RIGHT(H78,2)="HT",(1-L78)+$W$1,IF(RIGHT(H78,2)="SH",(1-L78)+$W$3,"")))&gt;0,IF(RIGHT(H78,2)="PH",(1-L78)+$W$2,IF(RIGHT(H78,2)="HT",(1-L78)+$W$1,IF(RIGHT(H78,2)="SH",(1-L78)+$W$3,""))),0)</f>
        <v>1.0000000000000009E-2</v>
      </c>
      <c r="W78" s="298"/>
      <c r="X78" s="698">
        <f t="shared" ca="1" si="27"/>
        <v>0</v>
      </c>
      <c r="Y78" s="81">
        <f t="shared" ca="1" si="28"/>
        <v>0</v>
      </c>
      <c r="Z78" s="81">
        <f t="shared" ca="1" si="29"/>
        <v>0</v>
      </c>
      <c r="AA78" s="81">
        <f t="shared" ca="1" si="30"/>
        <v>0</v>
      </c>
      <c r="AB78" s="81">
        <f t="shared" ca="1" si="31"/>
        <v>0</v>
      </c>
      <c r="AC78" s="296"/>
      <c r="AD78" s="81">
        <v>2020</v>
      </c>
      <c r="AE78" s="81"/>
      <c r="AF78" s="710"/>
    </row>
    <row r="79" spans="2:32">
      <c r="B79" s="357" t="s">
        <v>1007</v>
      </c>
      <c r="D79" s="212"/>
      <c r="E79" s="212"/>
      <c r="F79" s="224" t="s">
        <v>1149</v>
      </c>
      <c r="H79" s="174"/>
      <c r="I79" s="174" t="str">
        <f t="shared" si="22"/>
        <v>INDMWH</v>
      </c>
      <c r="J79" s="224">
        <f t="shared" si="32"/>
        <v>2030</v>
      </c>
      <c r="K79" s="81"/>
      <c r="L79" s="199">
        <f t="shared" ca="1" si="23"/>
        <v>0.99</v>
      </c>
      <c r="M79" s="199"/>
      <c r="N79" s="81"/>
      <c r="O79" s="723">
        <f t="shared" ca="1" si="24"/>
        <v>0.52150000000000007</v>
      </c>
      <c r="P79" s="723">
        <f t="shared" ca="1" si="25"/>
        <v>7.5989999999999999E-3</v>
      </c>
      <c r="Q79" s="81">
        <f t="shared" ca="1" si="26"/>
        <v>1.8107638888888888</v>
      </c>
      <c r="R79" s="300"/>
      <c r="S79" s="300"/>
      <c r="T79" s="300"/>
      <c r="U79" s="300"/>
      <c r="V79" s="199">
        <f t="shared" ref="V79" ca="1" si="46">IF(IF(RIGHT(H78,2)="PH",(1-L79)+$W$2,IF(RIGHT(H78,2)="HT",(1-L79)+$W$1,IF(RIGHT(H78,2)="SH",(1-L79)+$W$3,"")))&gt;0,IF(RIGHT(H78,2)="PH",(1-L79)+$W$2,IF(RIGHT(H78,2)="HT",(1-L79)+$W$1,IF(RIGHT(H78,2)="SH",(1-L79)+$W$3,""))),0)</f>
        <v>1.0000000000000009E-2</v>
      </c>
      <c r="W79" s="298"/>
      <c r="X79" s="698">
        <f t="shared" ca="1" si="27"/>
        <v>0</v>
      </c>
      <c r="Y79" s="81">
        <f t="shared" ca="1" si="28"/>
        <v>0</v>
      </c>
      <c r="Z79" s="81">
        <f t="shared" ca="1" si="29"/>
        <v>0</v>
      </c>
      <c r="AA79" s="81">
        <f t="shared" ca="1" si="30"/>
        <v>0</v>
      </c>
      <c r="AB79" s="81">
        <f t="shared" ca="1" si="31"/>
        <v>0</v>
      </c>
      <c r="AC79" s="55"/>
      <c r="AD79" s="81">
        <v>2030</v>
      </c>
      <c r="AE79" s="81"/>
      <c r="AF79" s="700"/>
    </row>
    <row r="80" spans="2:32">
      <c r="B80" s="357" t="s">
        <v>1007</v>
      </c>
      <c r="D80" s="212"/>
      <c r="E80" s="212"/>
      <c r="F80" s="224" t="s">
        <v>1149</v>
      </c>
      <c r="H80" s="174"/>
      <c r="I80" s="174" t="str">
        <f t="shared" si="22"/>
        <v>INDMWH</v>
      </c>
      <c r="J80" s="224">
        <f t="shared" si="32"/>
        <v>2050</v>
      </c>
      <c r="K80" s="706"/>
      <c r="L80" s="199">
        <f t="shared" ca="1" si="23"/>
        <v>0.99</v>
      </c>
      <c r="M80" s="774"/>
      <c r="N80" s="706"/>
      <c r="O80" s="724">
        <f t="shared" ca="1" si="24"/>
        <v>0.52150000000000007</v>
      </c>
      <c r="P80" s="724">
        <f t="shared" ca="1" si="25"/>
        <v>6.8539999999999998E-3</v>
      </c>
      <c r="Q80" s="706">
        <f t="shared" ca="1" si="26"/>
        <v>1.6141666666666665</v>
      </c>
      <c r="R80" s="300"/>
      <c r="S80" s="300"/>
      <c r="T80" s="300"/>
      <c r="U80" s="300"/>
      <c r="V80" s="199">
        <f t="shared" ref="V80" ca="1" si="47">IF(IF(RIGHT(H78,2)="PH",(1-L80)+$W$2,IF(RIGHT(H78,2)="HT",(1-L80)+$W$1,IF(RIGHT(H78,2)="SH",(1-L80)+$W$3,"")))&gt;0,IF(RIGHT(H78,2)="PH",(1-L80)+$W$2,IF(RIGHT(H78,2)="HT",(1-L80)+$W$1,IF(RIGHT(H78,2)="SH",(1-L80)+$W$3,""))),0)</f>
        <v>1.0000000000000009E-2</v>
      </c>
      <c r="W80" s="298"/>
      <c r="X80" s="698">
        <f t="shared" ca="1" si="27"/>
        <v>0</v>
      </c>
      <c r="Y80" s="706">
        <f t="shared" ca="1" si="28"/>
        <v>0</v>
      </c>
      <c r="Z80" s="706">
        <f t="shared" ca="1" si="29"/>
        <v>0</v>
      </c>
      <c r="AA80" s="706">
        <f t="shared" ca="1" si="30"/>
        <v>0</v>
      </c>
      <c r="AB80" s="706">
        <f t="shared" ca="1" si="31"/>
        <v>0</v>
      </c>
      <c r="AC80" s="55"/>
      <c r="AD80" s="706">
        <v>2050</v>
      </c>
      <c r="AE80" s="81"/>
      <c r="AF80" s="700"/>
    </row>
    <row r="81" spans="1:33">
      <c r="B81" s="716" t="s">
        <v>1007</v>
      </c>
      <c r="C81" s="296"/>
      <c r="D81" s="707" t="str">
        <f>"IND"&amp;RIGHT(H81,4)&amp;RIGHT(G81,3)&amp;"N"&amp;RIGHT(E81,1)</f>
        <v>INDMDPHELCN9</v>
      </c>
      <c r="E81" s="707" t="str">
        <f>"Industrial heating technology "&amp;$AJ$12&amp;" "&amp;RIGHT(H81,2)&amp;" - Electric boiler (Hot Water) - new 9"</f>
        <v>Industrial heating technology Machinery PH - Electric boiler (Hot Water) - new 9</v>
      </c>
      <c r="F81" s="224" t="s">
        <v>1149</v>
      </c>
      <c r="G81" s="708" t="s">
        <v>499</v>
      </c>
      <c r="H81" s="708" t="str">
        <f>$AI$14</f>
        <v>IMDPH</v>
      </c>
      <c r="I81" s="708" t="str">
        <f t="shared" si="22"/>
        <v>INDMWH</v>
      </c>
      <c r="J81" s="224">
        <f t="shared" si="32"/>
        <v>2011</v>
      </c>
      <c r="K81" s="299">
        <v>2020</v>
      </c>
      <c r="L81" s="199">
        <f ca="1">VLOOKUP($AD81,INDIRECT("'"&amp;$B81&amp;"'!"&amp;"$P$118:$AD$121"),3,FALSE)</f>
        <v>0.99</v>
      </c>
      <c r="M81" s="199"/>
      <c r="N81" s="81">
        <f ca="1">VLOOKUP($AD81,INDIRECT("'"&amp;$B81&amp;"'!"&amp;"$P$118:$AD$121"),5,FALSE)</f>
        <v>25</v>
      </c>
      <c r="O81" s="723">
        <f t="shared" ref="O81:O86" ca="1" si="48">VLOOKUP($AD81,INDIRECT("'"&amp;$B81&amp;"'!"&amp;"$P$118:$AD$121"),6,FALSE)/1000</f>
        <v>0.52150000000000007</v>
      </c>
      <c r="P81" s="723">
        <f t="shared" ref="P81:P86" ca="1" si="49">VLOOKUP($AD81,INDIRECT("'"&amp;$B81&amp;"'!"&amp;"$P$118:$AD$121"),7,FALSE)/1000</f>
        <v>7.9714999999999994E-3</v>
      </c>
      <c r="Q81" s="81">
        <f t="shared" ref="Q81:Q86" ca="1" si="50">VLOOKUP($AD81,INDIRECT("'"&amp;$B81&amp;"'!"&amp;"$P$118:$AD$121"),8,FALSE)</f>
        <v>1.7900694444444445</v>
      </c>
      <c r="R81" s="81">
        <v>3.1536000000000002E-2</v>
      </c>
      <c r="S81" s="199">
        <v>0.5</v>
      </c>
      <c r="T81" s="199">
        <f ca="1">HLOOKUP($T$2,INDIRECT("'"&amp;$B81&amp;"'!"&amp;"$P$85:$AC$98"),IF(H81=$AI$13,6,IF(H81=$AI$14,9,14)),FALSE)</f>
        <v>0</v>
      </c>
      <c r="U81" s="773"/>
      <c r="V81" s="199">
        <f t="shared" ref="V81" ca="1" si="51">IF(IF(RIGHT(H81,2)="PH",(1-L81)+$W$2,IF(RIGHT(H81,2)="HT",(1-L81)+$W$1,IF(RIGHT(H81,2)="SH",(1-L81)+$W$3,"")))&gt;0,IF(RIGHT(H81,2)="PH",(1-L81)+$W$2,IF(RIGHT(H81,2)="HT",(1-L81)+$W$1,IF(RIGHT(H81,2)="SH",(1-L81)+$W$3,""))),0)</f>
        <v>0.21000000000000002</v>
      </c>
      <c r="W81" s="709"/>
      <c r="X81" s="698">
        <f t="shared" ca="1" si="27"/>
        <v>0</v>
      </c>
      <c r="Y81" s="698">
        <f t="shared" ref="Y81:Y86" ca="1" si="52">VLOOKUP($AD81,INDIRECT("'"&amp;$B81&amp;"'!"&amp;"$P$118:$AD$121"),12,FALSE)</f>
        <v>0</v>
      </c>
      <c r="Z81" s="698">
        <f t="shared" ref="Z81:Z86" ca="1" si="53">VLOOKUP($AD81,INDIRECT("'"&amp;$B81&amp;"'!"&amp;"$P$118:$AD$121"),13,FALSE)</f>
        <v>0</v>
      </c>
      <c r="AA81" s="698">
        <f t="shared" ref="AA81:AA86" ca="1" si="54">VLOOKUP($AD81,INDIRECT("'"&amp;$B81&amp;"'!"&amp;"$P$118:$AD$121"),14,FALSE)</f>
        <v>0</v>
      </c>
      <c r="AB81" s="698">
        <f t="shared" ref="AB81:AB86" ca="1" si="55">VLOOKUP($AD81,INDIRECT("'"&amp;$B81&amp;"'!"&amp;"$P$118:$AD$121"),15,FALSE)</f>
        <v>0</v>
      </c>
      <c r="AC81" s="55"/>
      <c r="AD81" s="81">
        <v>2020</v>
      </c>
      <c r="AE81" s="81"/>
      <c r="AF81" s="700"/>
    </row>
    <row r="82" spans="1:33">
      <c r="B82" s="357" t="s">
        <v>1007</v>
      </c>
      <c r="C82" s="55"/>
      <c r="D82" s="261"/>
      <c r="E82" s="261"/>
      <c r="F82" s="224" t="s">
        <v>1149</v>
      </c>
      <c r="G82" s="55"/>
      <c r="H82" s="174"/>
      <c r="I82" s="174" t="str">
        <f t="shared" si="22"/>
        <v>INDMWH</v>
      </c>
      <c r="J82" s="224">
        <f t="shared" si="32"/>
        <v>2030</v>
      </c>
      <c r="K82" s="81"/>
      <c r="L82" s="199">
        <f ca="1">VLOOKUP($AD82,INDIRECT("'"&amp;$B82&amp;"'!"&amp;"$P$118:$AD$121"),3,FALSE)</f>
        <v>0.99</v>
      </c>
      <c r="M82" s="199"/>
      <c r="N82" s="81"/>
      <c r="O82" s="723">
        <f t="shared" ca="1" si="48"/>
        <v>0.44700000000000001</v>
      </c>
      <c r="P82" s="723">
        <f t="shared" ca="1" si="49"/>
        <v>7.5989999999999999E-3</v>
      </c>
      <c r="Q82" s="81">
        <f t="shared" ca="1" si="50"/>
        <v>1.8107638888888888</v>
      </c>
      <c r="R82" s="300"/>
      <c r="S82" s="300"/>
      <c r="T82" s="300"/>
      <c r="U82" s="300"/>
      <c r="V82" s="199">
        <f t="shared" ref="V82" ca="1" si="56">IF(IF(RIGHT(H81,2)="PH",(1-L82)+$W$2,IF(RIGHT(H81,2)="HT",(1-L82)+$W$1,IF(RIGHT(H81,2)="SH",(1-L82)+$W$3,"")))&gt;0,IF(RIGHT(H81,2)="PH",(1-L82)+$W$2,IF(RIGHT(H81,2)="HT",(1-L82)+$W$1,IF(RIGHT(H81,2)="SH",(1-L82)+$W$3,""))),0)</f>
        <v>0.21000000000000002</v>
      </c>
      <c r="W82" s="298"/>
      <c r="X82" s="698">
        <f t="shared" ca="1" si="27"/>
        <v>0</v>
      </c>
      <c r="Y82" s="698">
        <f t="shared" ca="1" si="52"/>
        <v>0</v>
      </c>
      <c r="Z82" s="698">
        <f t="shared" ca="1" si="53"/>
        <v>0</v>
      </c>
      <c r="AA82" s="698">
        <f t="shared" ca="1" si="54"/>
        <v>0</v>
      </c>
      <c r="AB82" s="698">
        <f t="shared" ca="1" si="55"/>
        <v>0</v>
      </c>
      <c r="AC82" s="55"/>
      <c r="AD82" s="81">
        <v>2030</v>
      </c>
      <c r="AE82" s="81"/>
      <c r="AF82" s="700"/>
    </row>
    <row r="83" spans="1:33">
      <c r="B83" s="357" t="s">
        <v>1007</v>
      </c>
      <c r="C83" s="55"/>
      <c r="D83" s="261"/>
      <c r="E83" s="261"/>
      <c r="F83" s="224" t="s">
        <v>1149</v>
      </c>
      <c r="G83" s="55"/>
      <c r="H83" s="174"/>
      <c r="I83" s="174" t="str">
        <f t="shared" si="22"/>
        <v>INDMWH</v>
      </c>
      <c r="J83" s="224">
        <f t="shared" si="32"/>
        <v>2050</v>
      </c>
      <c r="K83" s="81"/>
      <c r="L83" s="199">
        <f ca="1">VLOOKUP($AD83,INDIRECT("'"&amp;$B83&amp;"'!"&amp;"$P$118:$AD$121"),3,FALSE)</f>
        <v>0.99</v>
      </c>
      <c r="M83" s="199"/>
      <c r="N83" s="81"/>
      <c r="O83" s="723">
        <f t="shared" ca="1" si="48"/>
        <v>0.44700000000000001</v>
      </c>
      <c r="P83" s="723">
        <f t="shared" ca="1" si="49"/>
        <v>6.8539999999999998E-3</v>
      </c>
      <c r="Q83" s="81">
        <f t="shared" ca="1" si="50"/>
        <v>1.6141666666666665</v>
      </c>
      <c r="R83" s="300"/>
      <c r="S83" s="300"/>
      <c r="T83" s="300"/>
      <c r="U83" s="300"/>
      <c r="V83" s="199">
        <f t="shared" ref="V83" ca="1" si="57">IF(IF(RIGHT(H81,2)="PH",(1-L83)+$W$2,IF(RIGHT(H81,2)="HT",(1-L83)+$W$1,IF(RIGHT(H81,2)="SH",(1-L83)+$W$3,"")))&gt;0,IF(RIGHT(H81,2)="PH",(1-L83)+$W$2,IF(RIGHT(H81,2)="HT",(1-L83)+$W$1,IF(RIGHT(H81,2)="SH",(1-L83)+$W$3,""))),0)</f>
        <v>0.21000000000000002</v>
      </c>
      <c r="W83" s="298"/>
      <c r="X83" s="698">
        <f t="shared" ca="1" si="27"/>
        <v>0</v>
      </c>
      <c r="Y83" s="698">
        <f t="shared" ca="1" si="52"/>
        <v>0</v>
      </c>
      <c r="Z83" s="698">
        <f t="shared" ca="1" si="53"/>
        <v>0</v>
      </c>
      <c r="AA83" s="698">
        <f t="shared" ca="1" si="54"/>
        <v>0</v>
      </c>
      <c r="AB83" s="698">
        <f t="shared" ca="1" si="55"/>
        <v>0</v>
      </c>
      <c r="AC83" s="203"/>
      <c r="AD83" s="81">
        <v>2050</v>
      </c>
      <c r="AE83" s="81"/>
      <c r="AF83" s="705"/>
    </row>
    <row r="84" spans="1:33">
      <c r="B84" s="357" t="s">
        <v>1007</v>
      </c>
      <c r="C84" s="55"/>
      <c r="D84" s="261" t="str">
        <f>"IND"&amp;RIGHT(H84,4)&amp;RIGHT(G84,3)&amp;"N"&amp;RIGHT(E84,1)</f>
        <v>INDMDSHELCN9</v>
      </c>
      <c r="E84" s="261" t="str">
        <f>"Industrial heating technology "&amp;$AJ$12&amp;" "&amp;RIGHT(H84,2)&amp;" - Electric boiler (Hot Water) - new 9"</f>
        <v>Industrial heating technology Machinery SH - Electric boiler (Hot Water) - new 9</v>
      </c>
      <c r="F84" s="224" t="s">
        <v>1149</v>
      </c>
      <c r="G84" s="174" t="s">
        <v>499</v>
      </c>
      <c r="H84" s="174" t="str">
        <f>$AI$15</f>
        <v>IMDSH</v>
      </c>
      <c r="I84" s="174" t="str">
        <f t="shared" si="22"/>
        <v>INDMWH</v>
      </c>
      <c r="J84" s="224">
        <f t="shared" si="32"/>
        <v>2011</v>
      </c>
      <c r="K84" s="299">
        <v>2020</v>
      </c>
      <c r="L84" s="199">
        <f ca="1">VLOOKUP($AD84,INDIRECT("'"&amp;$B84&amp;"'!"&amp;"$P$118:$AD$121"),3,FALSE)</f>
        <v>0.99</v>
      </c>
      <c r="M84" s="199"/>
      <c r="N84" s="81">
        <f ca="1">VLOOKUP($AD84,INDIRECT("'"&amp;$B84&amp;"'!"&amp;"$P$118:$AD$121"),5,FALSE)</f>
        <v>25</v>
      </c>
      <c r="O84" s="723">
        <f t="shared" ca="1" si="48"/>
        <v>0.52150000000000007</v>
      </c>
      <c r="P84" s="723">
        <f t="shared" ca="1" si="49"/>
        <v>7.9714999999999994E-3</v>
      </c>
      <c r="Q84" s="81">
        <f t="shared" ca="1" si="50"/>
        <v>1.7900694444444445</v>
      </c>
      <c r="R84" s="81">
        <v>3.1536000000000002E-2</v>
      </c>
      <c r="S84" s="199">
        <v>0.5</v>
      </c>
      <c r="T84" s="199">
        <f ca="1">HLOOKUP($T$2,INDIRECT("'"&amp;$B84&amp;"'!"&amp;"$P$85:$AC$98"),IF(H84=$AI$13,6,IF(H84=$AI$14,9,14)),FALSE)</f>
        <v>1</v>
      </c>
      <c r="U84" s="772"/>
      <c r="V84" s="199">
        <f t="shared" ref="V84" ca="1" si="58">IF(IF(RIGHT(H84,2)="PH",(1-L84)+$W$2,IF(RIGHT(H84,2)="HT",(1-L84)+$W$1,IF(RIGHT(H84,2)="SH",(1-L84)+$W$3,"")))&gt;0,IF(RIGHT(H84,2)="PH",(1-L84)+$W$2,IF(RIGHT(H84,2)="HT",(1-L84)+$W$1,IF(RIGHT(H84,2)="SH",(1-L84)+$W$3,""))),0)</f>
        <v>1.0000000000000009E-2</v>
      </c>
      <c r="W84" s="298"/>
      <c r="X84" s="698">
        <f t="shared" ca="1" si="27"/>
        <v>0</v>
      </c>
      <c r="Y84" s="698">
        <f t="shared" ca="1" si="52"/>
        <v>0</v>
      </c>
      <c r="Z84" s="698">
        <f t="shared" ca="1" si="53"/>
        <v>0</v>
      </c>
      <c r="AA84" s="698">
        <f t="shared" ca="1" si="54"/>
        <v>0</v>
      </c>
      <c r="AB84" s="698">
        <f t="shared" ca="1" si="55"/>
        <v>0</v>
      </c>
      <c r="AD84" s="81">
        <v>2020</v>
      </c>
      <c r="AE84" s="299"/>
      <c r="AF84" s="220"/>
    </row>
    <row r="85" spans="1:33">
      <c r="B85" s="357" t="s">
        <v>1007</v>
      </c>
      <c r="C85" s="55"/>
      <c r="D85" s="261"/>
      <c r="E85" s="261"/>
      <c r="F85" s="224" t="s">
        <v>1149</v>
      </c>
      <c r="G85" s="55"/>
      <c r="H85" s="174"/>
      <c r="I85" s="174" t="str">
        <f t="shared" si="22"/>
        <v>INDMWH</v>
      </c>
      <c r="J85" s="224">
        <f t="shared" si="32"/>
        <v>2030</v>
      </c>
      <c r="K85" s="81"/>
      <c r="L85" s="199">
        <f ca="1">VLOOKUP($AD85,INDIRECT("'"&amp;$B85&amp;"'!"&amp;"$P$118:$AD$121"),3,FALSE)</f>
        <v>0.99</v>
      </c>
      <c r="M85" s="199"/>
      <c r="N85" s="81"/>
      <c r="O85" s="723">
        <f t="shared" ca="1" si="48"/>
        <v>0.44700000000000001</v>
      </c>
      <c r="P85" s="723">
        <f t="shared" ca="1" si="49"/>
        <v>7.5989999999999999E-3</v>
      </c>
      <c r="Q85" s="81">
        <f t="shared" ca="1" si="50"/>
        <v>1.8107638888888888</v>
      </c>
      <c r="R85" s="300"/>
      <c r="S85" s="300"/>
      <c r="T85" s="300"/>
      <c r="U85" s="300"/>
      <c r="V85" s="199">
        <f t="shared" ref="V85" ca="1" si="59">IF(IF(RIGHT(H84,2)="PH",(1-L85)+$W$2,IF(RIGHT(H84,2)="HT",(1-L85)+$W$1,IF(RIGHT(H84,2)="SH",(1-L85)+$W$3,"")))&gt;0,IF(RIGHT(H84,2)="PH",(1-L85)+$W$2,IF(RIGHT(H84,2)="HT",(1-L85)+$W$1,IF(RIGHT(H84,2)="SH",(1-L85)+$W$3,""))),0)</f>
        <v>1.0000000000000009E-2</v>
      </c>
      <c r="W85" s="298"/>
      <c r="X85" s="698">
        <f t="shared" ca="1" si="27"/>
        <v>0</v>
      </c>
      <c r="Y85" s="698">
        <f t="shared" ca="1" si="52"/>
        <v>0</v>
      </c>
      <c r="Z85" s="698">
        <f t="shared" ca="1" si="53"/>
        <v>0</v>
      </c>
      <c r="AA85" s="698">
        <f t="shared" ca="1" si="54"/>
        <v>0</v>
      </c>
      <c r="AB85" s="698">
        <f t="shared" ca="1" si="55"/>
        <v>0</v>
      </c>
      <c r="AD85" s="81">
        <v>2030</v>
      </c>
      <c r="AE85" s="81"/>
      <c r="AF85" s="220"/>
    </row>
    <row r="86" spans="1:33">
      <c r="B86" s="356" t="s">
        <v>1007</v>
      </c>
      <c r="C86" s="203"/>
      <c r="D86" s="701"/>
      <c r="E86" s="701"/>
      <c r="F86" s="224" t="s">
        <v>1149</v>
      </c>
      <c r="G86" s="203"/>
      <c r="H86" s="702"/>
      <c r="I86" s="702" t="str">
        <f t="shared" si="22"/>
        <v>INDMWH</v>
      </c>
      <c r="J86" s="224">
        <f t="shared" si="32"/>
        <v>2050</v>
      </c>
      <c r="K86" s="81"/>
      <c r="L86" s="199">
        <f t="shared" ref="L86" ca="1" si="60">VLOOKUP($AD86,INDIRECT("'"&amp;$B86&amp;"'!"&amp;"$P$118:$AD$121"),3,FALSE)</f>
        <v>0.99</v>
      </c>
      <c r="M86" s="199"/>
      <c r="N86" s="81"/>
      <c r="O86" s="723">
        <f t="shared" ca="1" si="48"/>
        <v>0.44700000000000001</v>
      </c>
      <c r="P86" s="723">
        <f t="shared" ca="1" si="49"/>
        <v>6.8539999999999998E-3</v>
      </c>
      <c r="Q86" s="81">
        <f t="shared" ca="1" si="50"/>
        <v>1.6141666666666665</v>
      </c>
      <c r="R86" s="703"/>
      <c r="S86" s="703"/>
      <c r="T86" s="703"/>
      <c r="U86" s="703"/>
      <c r="V86" s="199">
        <f t="shared" ref="V86" ca="1" si="61">IF(IF(RIGHT(H84,2)="PH",(1-L86)+$W$2,IF(RIGHT(H84,2)="HT",(1-L86)+$W$1,IF(RIGHT(H84,2)="SH",(1-L86)+$W$3,"")))&gt;0,IF(RIGHT(H84,2)="PH",(1-L86)+$W$2,IF(RIGHT(H84,2)="HT",(1-L86)+$W$1,IF(RIGHT(H84,2)="SH",(1-L86)+$W$3,""))),0)</f>
        <v>1.0000000000000009E-2</v>
      </c>
      <c r="W86" s="704"/>
      <c r="X86" s="698">
        <f t="shared" ca="1" si="27"/>
        <v>0</v>
      </c>
      <c r="Y86" s="698">
        <f t="shared" ca="1" si="52"/>
        <v>0</v>
      </c>
      <c r="Z86" s="698">
        <f t="shared" ca="1" si="53"/>
        <v>0</v>
      </c>
      <c r="AA86" s="698">
        <f t="shared" ca="1" si="54"/>
        <v>0</v>
      </c>
      <c r="AB86" s="698">
        <f t="shared" ca="1" si="55"/>
        <v>0</v>
      </c>
      <c r="AD86" s="81">
        <v>2050</v>
      </c>
      <c r="AE86" s="81"/>
      <c r="AF86" s="220"/>
    </row>
    <row r="87" spans="1:33">
      <c r="B87" s="357" t="s">
        <v>1008</v>
      </c>
      <c r="D87" s="212" t="str">
        <f>"IND"&amp;RIGHT(H87,4)&amp;RIGHT(G87,3)&amp;"N"&amp;RIGHT(E87,1)</f>
        <v>INDMDPHWCHN1</v>
      </c>
      <c r="E87" s="261" t="str">
        <f>"Industrial heating technology "&amp;$AJ$12&amp;" "&amp;RIGHT(H87,2)&amp;" - Wood chip boiler (Steam) - new 1"</f>
        <v>Industrial heating technology Machinery PH - Wood chip boiler (Steam) - new 1</v>
      </c>
      <c r="F87" s="224" t="s">
        <v>1149</v>
      </c>
      <c r="G87" s="173" t="s">
        <v>498</v>
      </c>
      <c r="H87" s="174" t="str">
        <f>$AI$13</f>
        <v>IMDPH</v>
      </c>
      <c r="I87" s="174" t="str">
        <f t="shared" si="22"/>
        <v>INDMWH</v>
      </c>
      <c r="J87" s="224">
        <f t="shared" si="32"/>
        <v>2011</v>
      </c>
      <c r="K87" s="299">
        <v>2025</v>
      </c>
      <c r="L87" s="199">
        <f t="shared" ref="L87:L95" ca="1" si="62">VLOOKUP($AD87,INDIRECT("'"&amp;$B87&amp;"'!"&amp;"$P$39:$AD$42"),3,FALSE)</f>
        <v>0.89</v>
      </c>
      <c r="M87" s="699"/>
      <c r="N87" s="299">
        <f ca="1">VLOOKUP($AD87,INDIRECT("'"&amp;$B87&amp;"'!"&amp;"$P$39:$AD$42"),5,FALSE)</f>
        <v>25</v>
      </c>
      <c r="O87" s="725">
        <f t="shared" ref="O87:O95" ca="1" si="63">VLOOKUP($AD87,INDIRECT("'"&amp;$B87&amp;"'!"&amp;"$P$39:$AD$42"),6,FALSE)/1000</f>
        <v>4.6054545454545455</v>
      </c>
      <c r="P87" s="725">
        <f t="shared" ref="P87:P95" ca="1" si="64">VLOOKUP($AD87,INDIRECT("'"&amp;$B87&amp;"'!"&amp;"$P$39:$AD$42"),7,FALSE)/1000</f>
        <v>0.25106499999999998</v>
      </c>
      <c r="Q87" s="299">
        <f t="shared" ref="Q87:Q95" ca="1" si="65">VLOOKUP($AD87,INDIRECT("'"&amp;$B87&amp;"'!"&amp;"$P$39:$AD$42"),8,FALSE)</f>
        <v>5.7509861111111107</v>
      </c>
      <c r="R87" s="299">
        <v>3.1536000000000002E-2</v>
      </c>
      <c r="S87" s="699">
        <v>0.5</v>
      </c>
      <c r="T87" s="699">
        <f ca="1">HLOOKUP($T$2,INDIRECT("'"&amp;$B87&amp;"'!"&amp;"$P$6:$AC$19"),IF(H87=$AI$13,6,IF(H87=$AI$14,9,14)),FALSE)</f>
        <v>1</v>
      </c>
      <c r="U87" s="772"/>
      <c r="V87" s="199">
        <f t="shared" ref="V87" ca="1" si="66">IF(IF(RIGHT(H87,2)="PH",(1-L87)+$W$2,IF(RIGHT(H87,2)="HT",(1-L87)+$W$1,IF(RIGHT(H87,2)="SH",(1-L87)+$W$3,"")))&gt;0,IF(RIGHT(H87,2)="PH",(1-L87)+$W$2,IF(RIGHT(H87,2)="HT",(1-L87)+$W$1,IF(RIGHT(H87,2)="SH",(1-L87)+$W$3,""))),0)</f>
        <v>0.31</v>
      </c>
      <c r="W87" s="298"/>
      <c r="X87" s="698">
        <f t="shared" ca="1" si="27"/>
        <v>11</v>
      </c>
      <c r="Y87" s="299">
        <f t="shared" ref="Y87:Y95" ca="1" si="67">VLOOKUP($AD87,INDIRECT("'"&amp;$B87&amp;"'!"&amp;"$P$39:$AD$42"),12,FALSE)</f>
        <v>63</v>
      </c>
      <c r="Z87" s="299">
        <f t="shared" ref="Z87:Z95" ca="1" si="68">VLOOKUP($AD87,INDIRECT("'"&amp;$B87&amp;"'!"&amp;"$P$39:$AD$42"),13,FALSE)</f>
        <v>11</v>
      </c>
      <c r="AA87" s="299">
        <f t="shared" ref="AA87:AA95" ca="1" si="69">VLOOKUP($AD87,INDIRECT("'"&amp;$B87&amp;"'!"&amp;"$P$39:$AD$42"),14,FALSE)</f>
        <v>3</v>
      </c>
      <c r="AB87" s="299">
        <f t="shared" ref="AB87:AB95" ca="1" si="70">VLOOKUP($AD87,INDIRECT("'"&amp;$B87&amp;"'!"&amp;"$P$39:$AD$42"),15,FALSE)</f>
        <v>10</v>
      </c>
      <c r="AD87" s="299">
        <v>2020</v>
      </c>
      <c r="AE87" s="81"/>
      <c r="AF87" s="220"/>
    </row>
    <row r="88" spans="1:33">
      <c r="B88" s="357" t="s">
        <v>1008</v>
      </c>
      <c r="D88" s="212"/>
      <c r="E88" s="212"/>
      <c r="F88" s="224" t="s">
        <v>1149</v>
      </c>
      <c r="H88" s="174"/>
      <c r="I88" s="174" t="str">
        <f t="shared" si="22"/>
        <v>INDMWH</v>
      </c>
      <c r="J88" s="224">
        <f t="shared" si="32"/>
        <v>2030</v>
      </c>
      <c r="K88" s="81"/>
      <c r="L88" s="199">
        <f t="shared" ca="1" si="62"/>
        <v>0.89</v>
      </c>
      <c r="M88" s="199"/>
      <c r="N88" s="81"/>
      <c r="O88" s="723">
        <f t="shared" ca="1" si="63"/>
        <v>4.4022727272727264</v>
      </c>
      <c r="P88" s="723">
        <f t="shared" ca="1" si="64"/>
        <v>0.267455</v>
      </c>
      <c r="Q88" s="81">
        <f t="shared" ca="1" si="65"/>
        <v>5.8461805555555557</v>
      </c>
      <c r="R88" s="300"/>
      <c r="S88" s="300"/>
      <c r="T88" s="300"/>
      <c r="U88" s="300"/>
      <c r="V88" s="199">
        <f t="shared" ref="V88" ca="1" si="71">IF(IF(RIGHT(H87,2)="PH",(1-L88)+$W$2,IF(RIGHT(H87,2)="HT",(1-L88)+$W$1,IF(RIGHT(H87,2)="SH",(1-L88)+$W$3,"")))&gt;0,IF(RIGHT(H87,2)="PH",(1-L88)+$W$2,IF(RIGHT(H87,2)="HT",(1-L88)+$W$1,IF(RIGHT(H87,2)="SH",(1-L88)+$W$3,""))),0)</f>
        <v>0.31</v>
      </c>
      <c r="W88" s="298"/>
      <c r="X88" s="698">
        <f t="shared" ca="1" si="27"/>
        <v>11</v>
      </c>
      <c r="Y88" s="81">
        <f t="shared" ca="1" si="67"/>
        <v>49</v>
      </c>
      <c r="Z88" s="81">
        <f t="shared" ca="1" si="68"/>
        <v>8</v>
      </c>
      <c r="AA88" s="81">
        <f t="shared" ca="1" si="69"/>
        <v>3</v>
      </c>
      <c r="AB88" s="81">
        <f t="shared" ca="1" si="70"/>
        <v>10</v>
      </c>
      <c r="AD88" s="81">
        <v>2030</v>
      </c>
      <c r="AE88" s="81"/>
      <c r="AF88" s="220"/>
    </row>
    <row r="89" spans="1:33">
      <c r="B89" s="357" t="s">
        <v>1008</v>
      </c>
      <c r="D89" s="212"/>
      <c r="E89" s="212"/>
      <c r="F89" s="224" t="s">
        <v>1149</v>
      </c>
      <c r="H89" s="174"/>
      <c r="I89" s="174" t="str">
        <f t="shared" si="22"/>
        <v>INDMWH</v>
      </c>
      <c r="J89" s="224">
        <f t="shared" si="32"/>
        <v>2050</v>
      </c>
      <c r="K89" s="81"/>
      <c r="L89" s="199">
        <f t="shared" ca="1" si="62"/>
        <v>0.9</v>
      </c>
      <c r="M89" s="199"/>
      <c r="N89" s="81"/>
      <c r="O89" s="723">
        <f t="shared" ca="1" si="63"/>
        <v>3.9959090909090902</v>
      </c>
      <c r="P89" s="723">
        <f t="shared" ca="1" si="64"/>
        <v>0.25106499999999998</v>
      </c>
      <c r="Q89" s="81">
        <f t="shared" ca="1" si="65"/>
        <v>5.8937777777777782</v>
      </c>
      <c r="R89" s="300"/>
      <c r="S89" s="300"/>
      <c r="T89" s="300"/>
      <c r="U89" s="300"/>
      <c r="V89" s="199">
        <f t="shared" ref="V89" ca="1" si="72">IF(IF(RIGHT(H87,2)="PH",(1-L89)+$W$2,IF(RIGHT(H87,2)="HT",(1-L89)+$W$1,IF(RIGHT(H87,2)="SH",(1-L89)+$W$3,"")))&gt;0,IF(RIGHT(H87,2)="PH",(1-L89)+$W$2,IF(RIGHT(H87,2)="HT",(1-L89)+$W$1,IF(RIGHT(H87,2)="SH",(1-L89)+$W$3,""))),0)</f>
        <v>0.3</v>
      </c>
      <c r="W89" s="298"/>
      <c r="X89" s="698">
        <f t="shared" ca="1" si="27"/>
        <v>11</v>
      </c>
      <c r="Y89" s="81">
        <f t="shared" ca="1" si="67"/>
        <v>41</v>
      </c>
      <c r="Z89" s="81">
        <f t="shared" ca="1" si="68"/>
        <v>4</v>
      </c>
      <c r="AA89" s="81">
        <f t="shared" ca="1" si="69"/>
        <v>1</v>
      </c>
      <c r="AB89" s="81">
        <f t="shared" ca="1" si="70"/>
        <v>10</v>
      </c>
      <c r="AD89" s="81">
        <v>2050</v>
      </c>
      <c r="AE89" s="81"/>
      <c r="AF89" s="220"/>
    </row>
    <row r="90" spans="1:33" s="226" customFormat="1">
      <c r="A90" s="224"/>
      <c r="B90" s="357" t="s">
        <v>1008</v>
      </c>
      <c r="C90" s="224"/>
      <c r="D90" s="212" t="str">
        <f>"IND"&amp;RIGHT(H90,4)&amp;RIGHT(G90,3)&amp;"N"&amp;RIGHT(E90,1)</f>
        <v>INDMDPHWCHN1</v>
      </c>
      <c r="E90" s="261" t="str">
        <f>"Industrial heating technology "&amp;$AJ$12&amp;" "&amp;RIGHT(H90,2)&amp;" - Wood chip boiler (Steam) - new 1"</f>
        <v>Industrial heating technology Machinery PH - Wood chip boiler (Steam) - new 1</v>
      </c>
      <c r="F90" s="224" t="s">
        <v>1149</v>
      </c>
      <c r="G90" s="173" t="s">
        <v>498</v>
      </c>
      <c r="H90" s="174" t="str">
        <f>$AI$14</f>
        <v>IMDPH</v>
      </c>
      <c r="I90" s="174" t="str">
        <f t="shared" si="22"/>
        <v>INDMWH</v>
      </c>
      <c r="J90" s="224">
        <f t="shared" si="32"/>
        <v>2011</v>
      </c>
      <c r="K90" s="299">
        <v>2025</v>
      </c>
      <c r="L90" s="199">
        <f t="shared" ca="1" si="62"/>
        <v>0.89</v>
      </c>
      <c r="M90" s="199"/>
      <c r="N90" s="81">
        <f ca="1">VLOOKUP($AD90,INDIRECT("'"&amp;$B90&amp;"'!"&amp;"$P$39:$AD$42"),5,FALSE)</f>
        <v>25</v>
      </c>
      <c r="O90" s="723">
        <f t="shared" ca="1" si="63"/>
        <v>4.6054545454545455</v>
      </c>
      <c r="P90" s="723">
        <f t="shared" ca="1" si="64"/>
        <v>0.25106499999999998</v>
      </c>
      <c r="Q90" s="81">
        <f t="shared" ca="1" si="65"/>
        <v>5.7509861111111107</v>
      </c>
      <c r="R90" s="81">
        <v>3.1536000000000002E-2</v>
      </c>
      <c r="S90" s="199">
        <v>0.5</v>
      </c>
      <c r="T90" s="199">
        <f ca="1">HLOOKUP($T$2,INDIRECT("'"&amp;$B90&amp;"'!"&amp;"$P$6:$AC$19"),IF(H90=$AI$13,6,IF(H90=$AI$14,9,14)),FALSE)</f>
        <v>1</v>
      </c>
      <c r="U90" s="772"/>
      <c r="V90" s="199">
        <f t="shared" ref="V90" ca="1" si="73">IF(IF(RIGHT(H90,2)="PH",(1-L90)+$W$2,IF(RIGHT(H90,2)="HT",(1-L90)+$W$1,IF(RIGHT(H90,2)="SH",(1-L90)+$W$3,"")))&gt;0,IF(RIGHT(H90,2)="PH",(1-L90)+$W$2,IF(RIGHT(H90,2)="HT",(1-L90)+$W$1,IF(RIGHT(H90,2)="SH",(1-L90)+$W$3,""))),0)</f>
        <v>0.31</v>
      </c>
      <c r="W90" s="298"/>
      <c r="X90" s="698">
        <f t="shared" ca="1" si="27"/>
        <v>11</v>
      </c>
      <c r="Y90" s="81">
        <f t="shared" ca="1" si="67"/>
        <v>63</v>
      </c>
      <c r="Z90" s="81">
        <f t="shared" ca="1" si="68"/>
        <v>11</v>
      </c>
      <c r="AA90" s="81">
        <f t="shared" ca="1" si="69"/>
        <v>3</v>
      </c>
      <c r="AB90" s="81">
        <f t="shared" ca="1" si="70"/>
        <v>10</v>
      </c>
      <c r="AC90" s="224"/>
      <c r="AD90" s="81">
        <v>2020</v>
      </c>
      <c r="AE90" s="81"/>
      <c r="AF90" s="220"/>
      <c r="AG90" s="224"/>
    </row>
    <row r="91" spans="1:33" s="226" customFormat="1">
      <c r="A91" s="224"/>
      <c r="B91" s="357" t="s">
        <v>1008</v>
      </c>
      <c r="C91" s="224"/>
      <c r="D91" s="212"/>
      <c r="E91" s="212"/>
      <c r="F91" s="224" t="s">
        <v>1149</v>
      </c>
      <c r="G91" s="224"/>
      <c r="H91" s="174"/>
      <c r="I91" s="174" t="str">
        <f t="shared" si="22"/>
        <v>INDMWH</v>
      </c>
      <c r="J91" s="224">
        <f t="shared" si="32"/>
        <v>2030</v>
      </c>
      <c r="K91" s="81"/>
      <c r="L91" s="199">
        <f t="shared" ca="1" si="62"/>
        <v>0.89</v>
      </c>
      <c r="M91" s="199"/>
      <c r="N91" s="81"/>
      <c r="O91" s="723">
        <f t="shared" ca="1" si="63"/>
        <v>4.4022727272727264</v>
      </c>
      <c r="P91" s="723">
        <f t="shared" ca="1" si="64"/>
        <v>0.267455</v>
      </c>
      <c r="Q91" s="81">
        <f t="shared" ca="1" si="65"/>
        <v>5.8461805555555557</v>
      </c>
      <c r="R91" s="300"/>
      <c r="S91" s="300"/>
      <c r="T91" s="300"/>
      <c r="U91" s="300"/>
      <c r="V91" s="199">
        <f t="shared" ref="V91" ca="1" si="74">IF(IF(RIGHT(H90,2)="PH",(1-L91)+$W$2,IF(RIGHT(H90,2)="HT",(1-L91)+$W$1,IF(RIGHT(H90,2)="SH",(1-L91)+$W$3,"")))&gt;0,IF(RIGHT(H90,2)="PH",(1-L91)+$W$2,IF(RIGHT(H90,2)="HT",(1-L91)+$W$1,IF(RIGHT(H90,2)="SH",(1-L91)+$W$3,""))),0)</f>
        <v>0.31</v>
      </c>
      <c r="W91" s="298"/>
      <c r="X91" s="698">
        <f t="shared" ca="1" si="27"/>
        <v>11</v>
      </c>
      <c r="Y91" s="81">
        <f t="shared" ca="1" si="67"/>
        <v>49</v>
      </c>
      <c r="Z91" s="81">
        <f t="shared" ca="1" si="68"/>
        <v>8</v>
      </c>
      <c r="AA91" s="81">
        <f t="shared" ca="1" si="69"/>
        <v>3</v>
      </c>
      <c r="AB91" s="81">
        <f t="shared" ca="1" si="70"/>
        <v>10</v>
      </c>
      <c r="AC91" s="224"/>
      <c r="AD91" s="81">
        <v>2030</v>
      </c>
      <c r="AE91" s="81"/>
      <c r="AF91" s="220"/>
    </row>
    <row r="92" spans="1:33" s="226" customFormat="1">
      <c r="A92" s="224"/>
      <c r="B92" s="357" t="s">
        <v>1008</v>
      </c>
      <c r="C92" s="224"/>
      <c r="D92" s="212"/>
      <c r="E92" s="212"/>
      <c r="F92" s="224" t="s">
        <v>1149</v>
      </c>
      <c r="G92" s="224"/>
      <c r="H92" s="174"/>
      <c r="I92" s="174" t="str">
        <f t="shared" si="22"/>
        <v>INDMWH</v>
      </c>
      <c r="J92" s="224">
        <f t="shared" si="32"/>
        <v>2050</v>
      </c>
      <c r="K92" s="81"/>
      <c r="L92" s="199">
        <f t="shared" ca="1" si="62"/>
        <v>0.9</v>
      </c>
      <c r="M92" s="199"/>
      <c r="N92" s="81"/>
      <c r="O92" s="723">
        <f t="shared" ca="1" si="63"/>
        <v>3.9959090909090902</v>
      </c>
      <c r="P92" s="723">
        <f t="shared" ca="1" si="64"/>
        <v>0.25106499999999998</v>
      </c>
      <c r="Q92" s="81">
        <f t="shared" ca="1" si="65"/>
        <v>5.8937777777777782</v>
      </c>
      <c r="R92" s="300"/>
      <c r="S92" s="300"/>
      <c r="T92" s="300"/>
      <c r="U92" s="300"/>
      <c r="V92" s="199">
        <f t="shared" ref="V92" ca="1" si="75">IF(IF(RIGHT(H90,2)="PH",(1-L92)+$W$2,IF(RIGHT(H90,2)="HT",(1-L92)+$W$1,IF(RIGHT(H90,2)="SH",(1-L92)+$W$3,"")))&gt;0,IF(RIGHT(H90,2)="PH",(1-L92)+$W$2,IF(RIGHT(H90,2)="HT",(1-L92)+$W$1,IF(RIGHT(H90,2)="SH",(1-L92)+$W$3,""))),0)</f>
        <v>0.3</v>
      </c>
      <c r="W92" s="298"/>
      <c r="X92" s="698">
        <f t="shared" ca="1" si="27"/>
        <v>11</v>
      </c>
      <c r="Y92" s="81">
        <f t="shared" ca="1" si="67"/>
        <v>41</v>
      </c>
      <c r="Z92" s="81">
        <f t="shared" ca="1" si="68"/>
        <v>4</v>
      </c>
      <c r="AA92" s="81">
        <f t="shared" ca="1" si="69"/>
        <v>1</v>
      </c>
      <c r="AB92" s="81">
        <f t="shared" ca="1" si="70"/>
        <v>10</v>
      </c>
      <c r="AC92" s="224"/>
      <c r="AD92" s="81">
        <v>2050</v>
      </c>
      <c r="AE92" s="706"/>
      <c r="AF92" s="220"/>
    </row>
    <row r="93" spans="1:33" s="226" customFormat="1">
      <c r="A93" s="224"/>
      <c r="B93" s="357" t="s">
        <v>1008</v>
      </c>
      <c r="C93" s="224"/>
      <c r="D93" s="212" t="str">
        <f>"IND"&amp;RIGHT(H93,4)&amp;RIGHT(G93,3)&amp;"N"&amp;RIGHT(E93,1)</f>
        <v>INDMDSHWCHN1</v>
      </c>
      <c r="E93" s="261" t="str">
        <f>"Industrial heating technology "&amp;$AJ$12&amp;" "&amp;RIGHT(H93,2)&amp;" - Wood chip boiler (Steam) - new 1"</f>
        <v>Industrial heating technology Machinery SH - Wood chip boiler (Steam) - new 1</v>
      </c>
      <c r="F93" s="224" t="s">
        <v>1149</v>
      </c>
      <c r="G93" s="173" t="s">
        <v>498</v>
      </c>
      <c r="H93" s="174" t="str">
        <f>$AI$15</f>
        <v>IMDSH</v>
      </c>
      <c r="I93" s="174" t="str">
        <f t="shared" si="22"/>
        <v>INDMWH</v>
      </c>
      <c r="J93" s="224">
        <f t="shared" si="32"/>
        <v>2011</v>
      </c>
      <c r="K93" s="299">
        <v>2025</v>
      </c>
      <c r="L93" s="199">
        <f t="shared" ca="1" si="62"/>
        <v>0.89</v>
      </c>
      <c r="M93" s="199"/>
      <c r="N93" s="81">
        <f ca="1">VLOOKUP($AD93,INDIRECT("'"&amp;$B93&amp;"'!"&amp;"$P$39:$AD$42"),5,FALSE)</f>
        <v>25</v>
      </c>
      <c r="O93" s="723">
        <f t="shared" ca="1" si="63"/>
        <v>4.6054545454545455</v>
      </c>
      <c r="P93" s="723">
        <f t="shared" ca="1" si="64"/>
        <v>0.25106499999999998</v>
      </c>
      <c r="Q93" s="81">
        <f t="shared" ca="1" si="65"/>
        <v>5.7509861111111107</v>
      </c>
      <c r="R93" s="81">
        <v>3.1536000000000002E-2</v>
      </c>
      <c r="S93" s="199">
        <v>0.5</v>
      </c>
      <c r="T93" s="199">
        <f ca="1">HLOOKUP($T$2,INDIRECT("'"&amp;$B93&amp;"'!"&amp;"$P$6:$AC$19"),IF(H93=$AI$13,6,IF(H93=$AI$14,9,14)),FALSE)</f>
        <v>1</v>
      </c>
      <c r="U93" s="772"/>
      <c r="V93" s="199">
        <f t="shared" ref="V93" ca="1" si="76">IF(IF(RIGHT(H93,2)="PH",(1-L93)+$W$2,IF(RIGHT(H93,2)="HT",(1-L93)+$W$1,IF(RIGHT(H93,2)="SH",(1-L93)+$W$3,"")))&gt;0,IF(RIGHT(H93,2)="PH",(1-L93)+$W$2,IF(RIGHT(H93,2)="HT",(1-L93)+$W$1,IF(RIGHT(H93,2)="SH",(1-L93)+$W$3,""))),0)</f>
        <v>0.10999999999999999</v>
      </c>
      <c r="W93" s="298"/>
      <c r="X93" s="698">
        <f t="shared" ca="1" si="27"/>
        <v>11</v>
      </c>
      <c r="Y93" s="81">
        <f t="shared" ca="1" si="67"/>
        <v>63</v>
      </c>
      <c r="Z93" s="81">
        <f t="shared" ca="1" si="68"/>
        <v>11</v>
      </c>
      <c r="AA93" s="81">
        <f t="shared" ca="1" si="69"/>
        <v>3</v>
      </c>
      <c r="AB93" s="81">
        <f t="shared" ca="1" si="70"/>
        <v>10</v>
      </c>
      <c r="AC93" s="296"/>
      <c r="AD93" s="81">
        <v>2020</v>
      </c>
      <c r="AE93" s="81"/>
      <c r="AF93" s="710"/>
    </row>
    <row r="94" spans="1:33" s="226" customFormat="1">
      <c r="A94" s="224"/>
      <c r="B94" s="357" t="s">
        <v>1008</v>
      </c>
      <c r="C94" s="224"/>
      <c r="D94" s="212"/>
      <c r="E94" s="212"/>
      <c r="F94" s="224" t="s">
        <v>1149</v>
      </c>
      <c r="G94" s="224"/>
      <c r="H94" s="174"/>
      <c r="I94" s="174" t="str">
        <f t="shared" si="22"/>
        <v>INDMWH</v>
      </c>
      <c r="J94" s="224">
        <f t="shared" si="32"/>
        <v>2030</v>
      </c>
      <c r="K94" s="81"/>
      <c r="L94" s="199">
        <f t="shared" ca="1" si="62"/>
        <v>0.89</v>
      </c>
      <c r="M94" s="199"/>
      <c r="N94" s="81"/>
      <c r="O94" s="723">
        <f t="shared" ca="1" si="63"/>
        <v>4.4022727272727264</v>
      </c>
      <c r="P94" s="723">
        <f t="shared" ca="1" si="64"/>
        <v>0.267455</v>
      </c>
      <c r="Q94" s="81">
        <f t="shared" ca="1" si="65"/>
        <v>5.8461805555555557</v>
      </c>
      <c r="R94" s="300"/>
      <c r="S94" s="300"/>
      <c r="T94" s="300"/>
      <c r="U94" s="300"/>
      <c r="V94" s="199">
        <f t="shared" ref="V94" ca="1" si="77">IF(IF(RIGHT(H93,2)="PH",(1-L94)+$W$2,IF(RIGHT(H93,2)="HT",(1-L94)+$W$1,IF(RIGHT(H93,2)="SH",(1-L94)+$W$3,"")))&gt;0,IF(RIGHT(H93,2)="PH",(1-L94)+$W$2,IF(RIGHT(H93,2)="HT",(1-L94)+$W$1,IF(RIGHT(H93,2)="SH",(1-L94)+$W$3,""))),0)</f>
        <v>0.10999999999999999</v>
      </c>
      <c r="W94" s="298"/>
      <c r="X94" s="698">
        <f t="shared" ca="1" si="27"/>
        <v>11</v>
      </c>
      <c r="Y94" s="81">
        <f t="shared" ca="1" si="67"/>
        <v>49</v>
      </c>
      <c r="Z94" s="81">
        <f t="shared" ca="1" si="68"/>
        <v>8</v>
      </c>
      <c r="AA94" s="81">
        <f t="shared" ca="1" si="69"/>
        <v>3</v>
      </c>
      <c r="AB94" s="81">
        <f t="shared" ca="1" si="70"/>
        <v>10</v>
      </c>
      <c r="AC94" s="55"/>
      <c r="AD94" s="81">
        <v>2030</v>
      </c>
      <c r="AE94" s="81"/>
      <c r="AF94" s="700"/>
    </row>
    <row r="95" spans="1:33" s="226" customFormat="1">
      <c r="A95" s="224"/>
      <c r="B95" s="357" t="s">
        <v>1008</v>
      </c>
      <c r="C95" s="224"/>
      <c r="D95" s="212"/>
      <c r="E95" s="212"/>
      <c r="F95" s="224" t="s">
        <v>1149</v>
      </c>
      <c r="G95" s="224"/>
      <c r="H95" s="174"/>
      <c r="I95" s="174" t="str">
        <f t="shared" si="22"/>
        <v>INDMWH</v>
      </c>
      <c r="J95" s="224">
        <f t="shared" si="32"/>
        <v>2050</v>
      </c>
      <c r="K95" s="706"/>
      <c r="L95" s="199">
        <f t="shared" ca="1" si="62"/>
        <v>0.9</v>
      </c>
      <c r="M95" s="774"/>
      <c r="N95" s="706"/>
      <c r="O95" s="724">
        <f t="shared" ca="1" si="63"/>
        <v>3.9959090909090902</v>
      </c>
      <c r="P95" s="724">
        <f t="shared" ca="1" si="64"/>
        <v>0.25106499999999998</v>
      </c>
      <c r="Q95" s="706">
        <f t="shared" ca="1" si="65"/>
        <v>5.8937777777777782</v>
      </c>
      <c r="R95" s="300"/>
      <c r="S95" s="300"/>
      <c r="T95" s="300"/>
      <c r="U95" s="300"/>
      <c r="V95" s="199">
        <f t="shared" ref="V95" ca="1" si="78">IF(IF(RIGHT(H93,2)="PH",(1-L95)+$W$2,IF(RIGHT(H93,2)="HT",(1-L95)+$W$1,IF(RIGHT(H93,2)="SH",(1-L95)+$W$3,"")))&gt;0,IF(RIGHT(H93,2)="PH",(1-L95)+$W$2,IF(RIGHT(H93,2)="HT",(1-L95)+$W$1,IF(RIGHT(H93,2)="SH",(1-L95)+$W$3,""))),0)</f>
        <v>9.9999999999999978E-2</v>
      </c>
      <c r="W95" s="298"/>
      <c r="X95" s="698">
        <f t="shared" ref="X95:X126" ca="1" si="79">IF(VLOOKUP($AD95,INDIRECT("'"&amp;$B95&amp;"'!"&amp;"$P$39:$AD$42"),11,FALSE)="Cf. the utilized electricity",0,VLOOKUP($AD95,INDIRECT("'"&amp;$B95&amp;"'!"&amp;"$P$39:$AD$42"),11,FALSE))</f>
        <v>11</v>
      </c>
      <c r="Y95" s="706">
        <f t="shared" ca="1" si="67"/>
        <v>41</v>
      </c>
      <c r="Z95" s="706">
        <f t="shared" ca="1" si="68"/>
        <v>4</v>
      </c>
      <c r="AA95" s="706">
        <f t="shared" ca="1" si="69"/>
        <v>1</v>
      </c>
      <c r="AB95" s="706">
        <f t="shared" ca="1" si="70"/>
        <v>10</v>
      </c>
      <c r="AC95" s="55"/>
      <c r="AD95" s="706">
        <v>2050</v>
      </c>
      <c r="AE95" s="81"/>
      <c r="AF95" s="700"/>
    </row>
    <row r="96" spans="1:33">
      <c r="B96" s="716" t="s">
        <v>1008</v>
      </c>
      <c r="C96" s="296"/>
      <c r="D96" s="707" t="str">
        <f>"IND"&amp;RIGHT(H96,4)&amp;RIGHT(G96,3)&amp;"N"&amp;RIGHT(E96,1)</f>
        <v>INDMDPHWCHN2</v>
      </c>
      <c r="E96" s="707" t="str">
        <f>"Industrial heating technology "&amp;$AJ$12&amp;" "&amp;RIGHT(H96,2)&amp;" - Wood chip boiler (Steam - condensing) - new 2"</f>
        <v>Industrial heating technology Machinery PH - Wood chip boiler (Steam - condensing) - new 2</v>
      </c>
      <c r="F96" s="224" t="s">
        <v>1149</v>
      </c>
      <c r="G96" s="708" t="s">
        <v>498</v>
      </c>
      <c r="H96" s="708" t="str">
        <f>$AI$14</f>
        <v>IMDPH</v>
      </c>
      <c r="I96" s="708" t="str">
        <f t="shared" si="22"/>
        <v>INDMWH</v>
      </c>
      <c r="J96" s="224">
        <f t="shared" si="32"/>
        <v>2011</v>
      </c>
      <c r="K96" s="299">
        <v>2025</v>
      </c>
      <c r="L96" s="199">
        <f t="shared" ref="L96:L101" ca="1" si="80">VLOOKUP($AD96,INDIRECT("'"&amp;$B96&amp;"'!"&amp;"$P$118:$AD$121"),3,FALSE)</f>
        <v>1.1618960947726835</v>
      </c>
      <c r="M96" s="199"/>
      <c r="N96" s="81">
        <f ca="1">VLOOKUP($AD96,INDIRECT("'"&amp;$B96&amp;"'!"&amp;"$P$118:$AD$121"),5,FALSE)</f>
        <v>25</v>
      </c>
      <c r="O96" s="723">
        <f t="shared" ref="O96:O101" ca="1" si="81">VLOOKUP($AD96,INDIRECT("'"&amp;$B96&amp;"'!"&amp;"$P$118:$AD$121"),6,FALSE)/1000</f>
        <v>5.0660000000000007</v>
      </c>
      <c r="P96" s="723">
        <f t="shared" ref="P96:P101" ca="1" si="82">VLOOKUP($AD96,INDIRECT("'"&amp;$B96&amp;"'!"&amp;"$P$118:$AD$121"),7,FALSE)/1000</f>
        <v>0.27564999999999995</v>
      </c>
      <c r="Q96" s="81">
        <f t="shared" ref="Q96:Q101" ca="1" si="83">VLOOKUP($AD96,INDIRECT("'"&amp;$B96&amp;"'!"&amp;"$P$118:$AD$121"),8,FALSE)</f>
        <v>5.7509861111111107</v>
      </c>
      <c r="R96" s="81">
        <v>3.1536000000000002E-2</v>
      </c>
      <c r="S96" s="199">
        <v>0.5</v>
      </c>
      <c r="T96" s="199">
        <f ca="1">HLOOKUP($T$2,INDIRECT("'"&amp;$B96&amp;"'!"&amp;"$P$85:$AC$98"),IF(H96=$AI$13,6,IF(H96=$AI$14,9,14)),FALSE)</f>
        <v>0</v>
      </c>
      <c r="U96" s="773"/>
      <c r="V96" s="199">
        <f t="shared" ref="V96" ca="1" si="84">IF(IF(RIGHT(H96,2)="PH",(1-L96)+$W$2,IF(RIGHT(H96,2)="HT",(1-L96)+$W$1,IF(RIGHT(H96,2)="SH",(1-L96)+$W$3,"")))&gt;0,IF(RIGHT(H96,2)="PH",(1-L96)+$W$2,IF(RIGHT(H96,2)="HT",(1-L96)+$W$1,IF(RIGHT(H96,2)="SH",(1-L96)+$W$3,""))),0)</f>
        <v>3.8103905227316492E-2</v>
      </c>
      <c r="W96" s="709"/>
      <c r="X96" s="698">
        <f t="shared" ca="1" si="79"/>
        <v>11</v>
      </c>
      <c r="Y96" s="698">
        <f t="shared" ref="Y96:Y101" ca="1" si="85">VLOOKUP($AD96,INDIRECT("'"&amp;$B96&amp;"'!"&amp;"$P$118:$AD$121"),12,FALSE)</f>
        <v>63</v>
      </c>
      <c r="Z96" s="698">
        <f t="shared" ref="Z96:Z101" ca="1" si="86">VLOOKUP($AD96,INDIRECT("'"&amp;$B96&amp;"'!"&amp;"$P$118:$AD$121"),13,FALSE)</f>
        <v>11</v>
      </c>
      <c r="AA96" s="698">
        <f t="shared" ref="AA96:AA101" ca="1" si="87">VLOOKUP($AD96,INDIRECT("'"&amp;$B96&amp;"'!"&amp;"$P$118:$AD$121"),14,FALSE)</f>
        <v>3</v>
      </c>
      <c r="AB96" s="698">
        <f t="shared" ref="AB96:AB101" ca="1" si="88">VLOOKUP($AD96,INDIRECT("'"&amp;$B96&amp;"'!"&amp;"$P$118:$AD$121"),15,FALSE)</f>
        <v>10</v>
      </c>
      <c r="AC96" s="55"/>
      <c r="AD96" s="81">
        <v>2020</v>
      </c>
      <c r="AE96" s="81"/>
      <c r="AF96" s="700"/>
      <c r="AG96" s="226"/>
    </row>
    <row r="97" spans="2:32">
      <c r="B97" s="357" t="s">
        <v>1008</v>
      </c>
      <c r="C97" s="55"/>
      <c r="D97" s="261"/>
      <c r="E97" s="261"/>
      <c r="F97" s="224" t="s">
        <v>1149</v>
      </c>
      <c r="G97" s="55"/>
      <c r="H97" s="174"/>
      <c r="I97" s="174" t="str">
        <f t="shared" si="22"/>
        <v>INDMWH</v>
      </c>
      <c r="J97" s="224">
        <f t="shared" si="32"/>
        <v>2030</v>
      </c>
      <c r="K97" s="81"/>
      <c r="L97" s="199">
        <f t="shared" ca="1" si="80"/>
        <v>1.1618960947726835</v>
      </c>
      <c r="M97" s="199"/>
      <c r="N97" s="81"/>
      <c r="O97" s="723">
        <f t="shared" ca="1" si="81"/>
        <v>4.8425000000000002</v>
      </c>
      <c r="P97" s="723">
        <f t="shared" ca="1" si="82"/>
        <v>0.267455</v>
      </c>
      <c r="Q97" s="81">
        <f t="shared" ca="1" si="83"/>
        <v>5.8461805555555557</v>
      </c>
      <c r="R97" s="300"/>
      <c r="S97" s="300"/>
      <c r="T97" s="300"/>
      <c r="U97" s="300"/>
      <c r="V97" s="199">
        <f t="shared" ref="V97" ca="1" si="89">IF(IF(RIGHT(H96,2)="PH",(1-L97)+$W$2,IF(RIGHT(H96,2)="HT",(1-L97)+$W$1,IF(RIGHT(H96,2)="SH",(1-L97)+$W$3,"")))&gt;0,IF(RIGHT(H96,2)="PH",(1-L97)+$W$2,IF(RIGHT(H96,2)="HT",(1-L97)+$W$1,IF(RIGHT(H96,2)="SH",(1-L97)+$W$3,""))),0)</f>
        <v>3.8103905227316492E-2</v>
      </c>
      <c r="W97" s="298"/>
      <c r="X97" s="698">
        <f t="shared" ca="1" si="79"/>
        <v>11</v>
      </c>
      <c r="Y97" s="698">
        <f t="shared" ca="1" si="85"/>
        <v>49</v>
      </c>
      <c r="Z97" s="698">
        <f t="shared" ca="1" si="86"/>
        <v>8</v>
      </c>
      <c r="AA97" s="698">
        <f t="shared" ca="1" si="87"/>
        <v>3</v>
      </c>
      <c r="AB97" s="698">
        <f t="shared" ca="1" si="88"/>
        <v>10</v>
      </c>
      <c r="AC97" s="55"/>
      <c r="AD97" s="81">
        <v>2030</v>
      </c>
      <c r="AE97" s="81"/>
      <c r="AF97" s="700"/>
    </row>
    <row r="98" spans="2:32">
      <c r="B98" s="357" t="s">
        <v>1008</v>
      </c>
      <c r="C98" s="55"/>
      <c r="D98" s="261"/>
      <c r="E98" s="261"/>
      <c r="F98" s="224" t="s">
        <v>1149</v>
      </c>
      <c r="G98" s="55"/>
      <c r="H98" s="174"/>
      <c r="I98" s="174" t="str">
        <f t="shared" si="22"/>
        <v>INDMWH</v>
      </c>
      <c r="J98" s="224">
        <f t="shared" si="32"/>
        <v>2050</v>
      </c>
      <c r="K98" s="81"/>
      <c r="L98" s="199">
        <f t="shared" ca="1" si="80"/>
        <v>1.1618960947726835</v>
      </c>
      <c r="M98" s="199"/>
      <c r="N98" s="81"/>
      <c r="O98" s="723">
        <f t="shared" ca="1" si="81"/>
        <v>4.3955000000000002</v>
      </c>
      <c r="P98" s="723">
        <f t="shared" ca="1" si="82"/>
        <v>0.25106499999999998</v>
      </c>
      <c r="Q98" s="81">
        <f t="shared" ca="1" si="83"/>
        <v>5.8937777777777782</v>
      </c>
      <c r="R98" s="300"/>
      <c r="S98" s="300"/>
      <c r="T98" s="300"/>
      <c r="U98" s="300"/>
      <c r="V98" s="199">
        <f t="shared" ref="V98" ca="1" si="90">IF(IF(RIGHT(H96,2)="PH",(1-L98)+$W$2,IF(RIGHT(H96,2)="HT",(1-L98)+$W$1,IF(RIGHT(H96,2)="SH",(1-L98)+$W$3,"")))&gt;0,IF(RIGHT(H96,2)="PH",(1-L98)+$W$2,IF(RIGHT(H96,2)="HT",(1-L98)+$W$1,IF(RIGHT(H96,2)="SH",(1-L98)+$W$3,""))),0)</f>
        <v>3.8103905227316492E-2</v>
      </c>
      <c r="W98" s="298"/>
      <c r="X98" s="698">
        <f t="shared" ca="1" si="79"/>
        <v>11</v>
      </c>
      <c r="Y98" s="698">
        <f t="shared" ca="1" si="85"/>
        <v>41</v>
      </c>
      <c r="Z98" s="698">
        <f t="shared" ca="1" si="86"/>
        <v>4</v>
      </c>
      <c r="AA98" s="698">
        <f t="shared" ca="1" si="87"/>
        <v>1</v>
      </c>
      <c r="AB98" s="698">
        <f t="shared" ca="1" si="88"/>
        <v>10</v>
      </c>
      <c r="AC98" s="203"/>
      <c r="AD98" s="81">
        <v>2050</v>
      </c>
      <c r="AE98" s="81"/>
      <c r="AF98" s="705"/>
    </row>
    <row r="99" spans="2:32">
      <c r="B99" s="357" t="s">
        <v>1008</v>
      </c>
      <c r="C99" s="55"/>
      <c r="D99" s="261" t="str">
        <f>"IND"&amp;RIGHT(H99,4)&amp;RIGHT(G99,3)&amp;"N"&amp;RIGHT(E99,1)</f>
        <v>INDMDSHWCHN2</v>
      </c>
      <c r="E99" s="261" t="str">
        <f>"Industrial heating technology "&amp;$AJ$12&amp;" "&amp;RIGHT(H99,2)&amp;" - Wood chip boiler (Steam - condensing) - new 2"</f>
        <v>Industrial heating technology Machinery SH - Wood chip boiler (Steam - condensing) - new 2</v>
      </c>
      <c r="F99" s="224" t="s">
        <v>1149</v>
      </c>
      <c r="G99" s="174" t="s">
        <v>498</v>
      </c>
      <c r="H99" s="174" t="str">
        <f>$AI$15</f>
        <v>IMDSH</v>
      </c>
      <c r="I99" s="174" t="str">
        <f t="shared" si="22"/>
        <v>INDMWH</v>
      </c>
      <c r="J99" s="224">
        <f t="shared" si="32"/>
        <v>2011</v>
      </c>
      <c r="K99" s="299">
        <v>2025</v>
      </c>
      <c r="L99" s="199">
        <f t="shared" ca="1" si="80"/>
        <v>1.1618960947726835</v>
      </c>
      <c r="M99" s="199"/>
      <c r="N99" s="81">
        <f ca="1">VLOOKUP($AD99,INDIRECT("'"&amp;$B99&amp;"'!"&amp;"$P$118:$AD$121"),5,FALSE)</f>
        <v>25</v>
      </c>
      <c r="O99" s="723">
        <f t="shared" ca="1" si="81"/>
        <v>5.0660000000000007</v>
      </c>
      <c r="P99" s="723">
        <f t="shared" ca="1" si="82"/>
        <v>0.27564999999999995</v>
      </c>
      <c r="Q99" s="81">
        <f t="shared" ca="1" si="83"/>
        <v>5.7509861111111107</v>
      </c>
      <c r="R99" s="81">
        <v>3.1536000000000002E-2</v>
      </c>
      <c r="S99" s="199">
        <v>0.5</v>
      </c>
      <c r="T99" s="199">
        <f ca="1">HLOOKUP($T$2,INDIRECT("'"&amp;$B99&amp;"'!"&amp;"$P$85:$AC$98"),IF(H99=$AI$13,6,IF(H99=$AI$14,9,14)),FALSE)</f>
        <v>0</v>
      </c>
      <c r="U99" s="772"/>
      <c r="V99" s="199">
        <f t="shared" ref="V99" ca="1" si="91">IF(IF(RIGHT(H99,2)="PH",(1-L99)+$W$2,IF(RIGHT(H99,2)="HT",(1-L99)+$W$1,IF(RIGHT(H99,2)="SH",(1-L99)+$W$3,"")))&gt;0,IF(RIGHT(H99,2)="PH",(1-L99)+$W$2,IF(RIGHT(H99,2)="HT",(1-L99)+$W$1,IF(RIGHT(H99,2)="SH",(1-L99)+$W$3,""))),0)</f>
        <v>0</v>
      </c>
      <c r="W99" s="298"/>
      <c r="X99" s="698">
        <f t="shared" ca="1" si="79"/>
        <v>11</v>
      </c>
      <c r="Y99" s="698">
        <f t="shared" ca="1" si="85"/>
        <v>63</v>
      </c>
      <c r="Z99" s="698">
        <f t="shared" ca="1" si="86"/>
        <v>11</v>
      </c>
      <c r="AA99" s="698">
        <f t="shared" ca="1" si="87"/>
        <v>3</v>
      </c>
      <c r="AB99" s="698">
        <f t="shared" ca="1" si="88"/>
        <v>10</v>
      </c>
      <c r="AC99" s="296"/>
      <c r="AD99" s="81">
        <v>2020</v>
      </c>
      <c r="AE99" s="81"/>
      <c r="AF99" s="710"/>
    </row>
    <row r="100" spans="2:32">
      <c r="B100" s="357" t="s">
        <v>1008</v>
      </c>
      <c r="C100" s="55"/>
      <c r="D100" s="261"/>
      <c r="E100" s="261"/>
      <c r="F100" s="224" t="s">
        <v>1149</v>
      </c>
      <c r="G100" s="55"/>
      <c r="H100" s="174"/>
      <c r="I100" s="174" t="str">
        <f t="shared" si="22"/>
        <v>INDMWH</v>
      </c>
      <c r="J100" s="224">
        <f t="shared" si="32"/>
        <v>2030</v>
      </c>
      <c r="K100" s="81"/>
      <c r="L100" s="199">
        <f t="shared" ca="1" si="80"/>
        <v>1.1618960947726835</v>
      </c>
      <c r="M100" s="199"/>
      <c r="N100" s="81"/>
      <c r="O100" s="723">
        <f t="shared" ca="1" si="81"/>
        <v>4.8425000000000002</v>
      </c>
      <c r="P100" s="723">
        <f t="shared" ca="1" si="82"/>
        <v>0.267455</v>
      </c>
      <c r="Q100" s="81">
        <f t="shared" ca="1" si="83"/>
        <v>5.8461805555555557</v>
      </c>
      <c r="R100" s="300"/>
      <c r="S100" s="300"/>
      <c r="T100" s="300"/>
      <c r="U100" s="300"/>
      <c r="V100" s="199">
        <f t="shared" ref="V100" ca="1" si="92">IF(IF(RIGHT(H99,2)="PH",(1-L100)+$W$2,IF(RIGHT(H99,2)="HT",(1-L100)+$W$1,IF(RIGHT(H99,2)="SH",(1-L100)+$W$3,"")))&gt;0,IF(RIGHT(H99,2)="PH",(1-L100)+$W$2,IF(RIGHT(H99,2)="HT",(1-L100)+$W$1,IF(RIGHT(H99,2)="SH",(1-L100)+$W$3,""))),0)</f>
        <v>0</v>
      </c>
      <c r="W100" s="298"/>
      <c r="X100" s="698">
        <f t="shared" ca="1" si="79"/>
        <v>11</v>
      </c>
      <c r="Y100" s="698">
        <f t="shared" ca="1" si="85"/>
        <v>49</v>
      </c>
      <c r="Z100" s="698">
        <f t="shared" ca="1" si="86"/>
        <v>8</v>
      </c>
      <c r="AA100" s="698">
        <f t="shared" ca="1" si="87"/>
        <v>3</v>
      </c>
      <c r="AB100" s="698">
        <f t="shared" ca="1" si="88"/>
        <v>10</v>
      </c>
      <c r="AC100" s="55"/>
      <c r="AD100" s="81">
        <v>2030</v>
      </c>
      <c r="AE100" s="81"/>
      <c r="AF100" s="700"/>
    </row>
    <row r="101" spans="2:32">
      <c r="B101" s="356" t="s">
        <v>1008</v>
      </c>
      <c r="C101" s="203"/>
      <c r="D101" s="701"/>
      <c r="E101" s="701"/>
      <c r="F101" s="224" t="s">
        <v>1149</v>
      </c>
      <c r="G101" s="203"/>
      <c r="H101" s="702"/>
      <c r="I101" s="702" t="str">
        <f t="shared" si="22"/>
        <v>INDMWH</v>
      </c>
      <c r="J101" s="224">
        <f t="shared" si="32"/>
        <v>2050</v>
      </c>
      <c r="K101" s="81"/>
      <c r="L101" s="199">
        <f t="shared" ca="1" si="80"/>
        <v>1.1618960947726835</v>
      </c>
      <c r="M101" s="199"/>
      <c r="N101" s="81"/>
      <c r="O101" s="723">
        <f t="shared" ca="1" si="81"/>
        <v>4.3955000000000002</v>
      </c>
      <c r="P101" s="723">
        <f t="shared" ca="1" si="82"/>
        <v>0.25106499999999998</v>
      </c>
      <c r="Q101" s="81">
        <f t="shared" ca="1" si="83"/>
        <v>5.8937777777777782</v>
      </c>
      <c r="R101" s="703"/>
      <c r="S101" s="703"/>
      <c r="T101" s="703"/>
      <c r="U101" s="703"/>
      <c r="V101" s="199">
        <f t="shared" ref="V101" ca="1" si="93">IF(IF(RIGHT(H99,2)="PH",(1-L101)+$W$2,IF(RIGHT(H99,2)="HT",(1-L101)+$W$1,IF(RIGHT(H99,2)="SH",(1-L101)+$W$3,"")))&gt;0,IF(RIGHT(H99,2)="PH",(1-L101)+$W$2,IF(RIGHT(H99,2)="HT",(1-L101)+$W$1,IF(RIGHT(H99,2)="SH",(1-L101)+$W$3,""))),0)</f>
        <v>0</v>
      </c>
      <c r="W101" s="704"/>
      <c r="X101" s="698">
        <f t="shared" ca="1" si="79"/>
        <v>11</v>
      </c>
      <c r="Y101" s="698">
        <f t="shared" ca="1" si="85"/>
        <v>41</v>
      </c>
      <c r="Z101" s="698">
        <f t="shared" ca="1" si="86"/>
        <v>4</v>
      </c>
      <c r="AA101" s="698">
        <f t="shared" ca="1" si="87"/>
        <v>1</v>
      </c>
      <c r="AB101" s="698">
        <f t="shared" ca="1" si="88"/>
        <v>10</v>
      </c>
      <c r="AC101" s="55"/>
      <c r="AD101" s="81">
        <v>2050</v>
      </c>
      <c r="AE101" s="81"/>
      <c r="AF101" s="700"/>
    </row>
    <row r="102" spans="2:32">
      <c r="B102" s="717" t="s">
        <v>1008</v>
      </c>
      <c r="C102" s="712"/>
      <c r="D102" s="707" t="str">
        <f>"IND"&amp;RIGHT(H102,4)&amp;RIGHT(G102,3)&amp;"N"&amp;RIGHT(E102,1)</f>
        <v>INDMDPHWCHN3</v>
      </c>
      <c r="E102" s="707" t="str">
        <f>"Industrial heating technology "&amp;$AJ$12&amp;" "&amp;RIGHT(H102,2)&amp;" - Wood chip boiler (Hot Water) - new 3"</f>
        <v>Industrial heating technology Machinery PH - Wood chip boiler (Hot Water) - new 3</v>
      </c>
      <c r="F102" s="224" t="s">
        <v>1149</v>
      </c>
      <c r="G102" s="708" t="s">
        <v>498</v>
      </c>
      <c r="H102" s="708" t="str">
        <f>$AI$14</f>
        <v>IMDPH</v>
      </c>
      <c r="I102" s="708" t="str">
        <f t="shared" si="22"/>
        <v>INDMWH</v>
      </c>
      <c r="J102" s="224">
        <f t="shared" si="32"/>
        <v>2011</v>
      </c>
      <c r="K102" s="299">
        <v>2025</v>
      </c>
      <c r="L102" s="199">
        <f t="shared" ref="L102:L107" ca="1" si="94">VLOOKUP($AD102,INDIRECT("'"&amp;$B102&amp;"'!"&amp;"$P$200:$AD$203"),3,FALSE)</f>
        <v>0.9</v>
      </c>
      <c r="M102" s="199"/>
      <c r="N102" s="81">
        <f ca="1">VLOOKUP($AD102,INDIRECT("'"&amp;$B102&amp;"'!"&amp;"$P$200:$AD$203"),5,FALSE)</f>
        <v>25</v>
      </c>
      <c r="O102" s="723">
        <f t="shared" ref="O102:O107" ca="1" si="95">VLOOKUP($AD102,INDIRECT("'"&amp;$B102&amp;"'!"&amp;"$P$200:$AD$203"),6,FALSE)/1000</f>
        <v>4.6054545454545437</v>
      </c>
      <c r="P102" s="723">
        <f t="shared" ref="P102:P107" ca="1" si="96">VLOOKUP($AD102,INDIRECT("'"&amp;$B102&amp;"'!"&amp;"$P$200:$AD$203"),7,FALSE)/1000</f>
        <v>0.25106499999999998</v>
      </c>
      <c r="Q102" s="81">
        <f t="shared" ref="Q102:Q107" ca="1" si="97">VLOOKUP($AD102,INDIRECT("'"&amp;$B102&amp;"'!"&amp;"$P$200:$AD$203"),8,FALSE)</f>
        <v>5.7509861111111107</v>
      </c>
      <c r="R102" s="81">
        <v>3.1536000000000002E-2</v>
      </c>
      <c r="S102" s="199">
        <v>0.5</v>
      </c>
      <c r="T102" s="199">
        <f ca="1">HLOOKUP($T$2,INDIRECT("'"&amp;$B102&amp;"'!"&amp;"$P$167:$AC$180"),IF(H102=$AI$13,6,IF(H102=$AI$14,9,14)),FALSE)</f>
        <v>0</v>
      </c>
      <c r="U102" s="773"/>
      <c r="V102" s="199">
        <f t="shared" ref="V102" ca="1" si="98">IF(IF(RIGHT(H102,2)="PH",(1-L102)+$W$2,IF(RIGHT(H102,2)="HT",(1-L102)+$W$1,IF(RIGHT(H102,2)="SH",(1-L102)+$W$3,"")))&gt;0,IF(RIGHT(H102,2)="PH",(1-L102)+$W$2,IF(RIGHT(H102,2)="HT",(1-L102)+$W$1,IF(RIGHT(H102,2)="SH",(1-L102)+$W$3,""))),0)</f>
        <v>0.3</v>
      </c>
      <c r="W102" s="709"/>
      <c r="X102" s="698">
        <f t="shared" ca="1" si="79"/>
        <v>11</v>
      </c>
      <c r="Y102" s="698">
        <f t="shared" ref="Y102:Y107" ca="1" si="99">VLOOKUP($AD102,INDIRECT("'"&amp;$B102&amp;"'!"&amp;"$P$200:$AD$203"),12,FALSE)</f>
        <v>63</v>
      </c>
      <c r="Z102" s="698">
        <f t="shared" ref="Z102:Z107" ca="1" si="100">VLOOKUP($AD102,INDIRECT("'"&amp;$B102&amp;"'!"&amp;"$P$200:$AD$203"),13,FALSE)</f>
        <v>11</v>
      </c>
      <c r="AA102" s="698">
        <f t="shared" ref="AA102:AA107" ca="1" si="101">VLOOKUP($AD102,INDIRECT("'"&amp;$B102&amp;"'!"&amp;"$P$200:$AD$203"),14,FALSE)</f>
        <v>3</v>
      </c>
      <c r="AB102" s="698">
        <f t="shared" ref="AB102:AB107" ca="1" si="102">VLOOKUP($AD102,INDIRECT("'"&amp;$B102&amp;"'!"&amp;"$P$200:$AD$203"),15,FALSE)</f>
        <v>10</v>
      </c>
      <c r="AC102" s="55"/>
      <c r="AD102" s="81">
        <v>2020</v>
      </c>
      <c r="AE102" s="81"/>
      <c r="AF102" s="700"/>
    </row>
    <row r="103" spans="2:32">
      <c r="B103" s="718" t="s">
        <v>1008</v>
      </c>
      <c r="C103" s="226"/>
      <c r="D103" s="261"/>
      <c r="E103" s="261"/>
      <c r="F103" s="224" t="s">
        <v>1149</v>
      </c>
      <c r="G103" s="55"/>
      <c r="H103" s="174"/>
      <c r="I103" s="174" t="str">
        <f t="shared" si="22"/>
        <v>INDMWH</v>
      </c>
      <c r="J103" s="224">
        <f t="shared" si="32"/>
        <v>2030</v>
      </c>
      <c r="K103" s="81"/>
      <c r="L103" s="199">
        <f t="shared" ca="1" si="94"/>
        <v>0.9</v>
      </c>
      <c r="M103" s="199"/>
      <c r="N103" s="81"/>
      <c r="O103" s="723">
        <f t="shared" ca="1" si="95"/>
        <v>4.4022727272727282</v>
      </c>
      <c r="P103" s="723">
        <f t="shared" ca="1" si="96"/>
        <v>0.267455</v>
      </c>
      <c r="Q103" s="81">
        <f t="shared" ca="1" si="97"/>
        <v>5.8461805555555557</v>
      </c>
      <c r="R103" s="300"/>
      <c r="S103" s="300"/>
      <c r="T103" s="300"/>
      <c r="U103" s="300"/>
      <c r="V103" s="199">
        <f t="shared" ref="V103" ca="1" si="103">IF(IF(RIGHT(H102,2)="PH",(1-L103)+$W$2,IF(RIGHT(H102,2)="HT",(1-L103)+$W$1,IF(RIGHT(H102,2)="SH",(1-L103)+$W$3,"")))&gt;0,IF(RIGHT(H102,2)="PH",(1-L103)+$W$2,IF(RIGHT(H102,2)="HT",(1-L103)+$W$1,IF(RIGHT(H102,2)="SH",(1-L103)+$W$3,""))),0)</f>
        <v>0.3</v>
      </c>
      <c r="W103" s="298"/>
      <c r="X103" s="698">
        <f t="shared" ca="1" si="79"/>
        <v>11</v>
      </c>
      <c r="Y103" s="698">
        <f t="shared" ca="1" si="99"/>
        <v>49</v>
      </c>
      <c r="Z103" s="698">
        <f t="shared" ca="1" si="100"/>
        <v>8</v>
      </c>
      <c r="AA103" s="698">
        <f t="shared" ca="1" si="101"/>
        <v>3</v>
      </c>
      <c r="AB103" s="698">
        <f t="shared" ca="1" si="102"/>
        <v>10</v>
      </c>
      <c r="AC103" s="55"/>
      <c r="AD103" s="81">
        <v>2030</v>
      </c>
      <c r="AE103" s="81"/>
      <c r="AF103" s="700"/>
    </row>
    <row r="104" spans="2:32">
      <c r="B104" s="718" t="s">
        <v>1008</v>
      </c>
      <c r="C104" s="226"/>
      <c r="D104" s="261"/>
      <c r="E104" s="261"/>
      <c r="F104" s="224" t="s">
        <v>1149</v>
      </c>
      <c r="G104" s="55"/>
      <c r="H104" s="174"/>
      <c r="I104" s="174" t="str">
        <f t="shared" si="22"/>
        <v>INDMWH</v>
      </c>
      <c r="J104" s="224">
        <f t="shared" si="32"/>
        <v>2050</v>
      </c>
      <c r="K104" s="81"/>
      <c r="L104" s="199">
        <f t="shared" ca="1" si="94"/>
        <v>0.91</v>
      </c>
      <c r="M104" s="199"/>
      <c r="N104" s="81"/>
      <c r="O104" s="723">
        <f t="shared" ca="1" si="95"/>
        <v>3.9959090909090884</v>
      </c>
      <c r="P104" s="723">
        <f t="shared" ca="1" si="96"/>
        <v>0.25106499999999998</v>
      </c>
      <c r="Q104" s="81">
        <f t="shared" ca="1" si="97"/>
        <v>5.8937777777777782</v>
      </c>
      <c r="R104" s="300"/>
      <c r="S104" s="300"/>
      <c r="T104" s="300"/>
      <c r="U104" s="300"/>
      <c r="V104" s="199">
        <f t="shared" ref="V104" ca="1" si="104">IF(IF(RIGHT(H102,2)="PH",(1-L104)+$W$2,IF(RIGHT(H102,2)="HT",(1-L104)+$W$1,IF(RIGHT(H102,2)="SH",(1-L104)+$W$3,"")))&gt;0,IF(RIGHT(H102,2)="PH",(1-L104)+$W$2,IF(RIGHT(H102,2)="HT",(1-L104)+$W$1,IF(RIGHT(H102,2)="SH",(1-L104)+$W$3,""))),0)</f>
        <v>0.28999999999999998</v>
      </c>
      <c r="W104" s="298"/>
      <c r="X104" s="698">
        <f t="shared" ca="1" si="79"/>
        <v>11</v>
      </c>
      <c r="Y104" s="698">
        <f t="shared" ca="1" si="99"/>
        <v>41</v>
      </c>
      <c r="Z104" s="698">
        <f t="shared" ca="1" si="100"/>
        <v>4</v>
      </c>
      <c r="AA104" s="698">
        <f t="shared" ca="1" si="101"/>
        <v>1</v>
      </c>
      <c r="AB104" s="698">
        <f t="shared" ca="1" si="102"/>
        <v>10</v>
      </c>
      <c r="AC104" s="203"/>
      <c r="AD104" s="81">
        <v>2050</v>
      </c>
      <c r="AE104" s="81"/>
      <c r="AF104" s="705"/>
    </row>
    <row r="105" spans="2:32">
      <c r="B105" s="718" t="s">
        <v>1008</v>
      </c>
      <c r="C105" s="226"/>
      <c r="D105" s="261" t="str">
        <f>"IND"&amp;RIGHT(H105,4)&amp;RIGHT(G105,3)&amp;"N"&amp;RIGHT(E105,1)</f>
        <v>INDMDSHWCHN3</v>
      </c>
      <c r="E105" s="261" t="str">
        <f>"Industrial heating technology "&amp;$AJ$12&amp;" "&amp;RIGHT(H105,2)&amp;" - Wood chip boiler (Hot Water) - new 3"</f>
        <v>Industrial heating technology Machinery SH - Wood chip boiler (Hot Water) - new 3</v>
      </c>
      <c r="F105" s="224" t="s">
        <v>1149</v>
      </c>
      <c r="G105" s="174" t="s">
        <v>498</v>
      </c>
      <c r="H105" s="174" t="str">
        <f>$AI$15</f>
        <v>IMDSH</v>
      </c>
      <c r="I105" s="174" t="str">
        <f t="shared" si="22"/>
        <v>INDMWH</v>
      </c>
      <c r="J105" s="224">
        <f t="shared" si="32"/>
        <v>2011</v>
      </c>
      <c r="K105" s="299">
        <v>2025</v>
      </c>
      <c r="L105" s="199">
        <f t="shared" ca="1" si="94"/>
        <v>0.9</v>
      </c>
      <c r="M105" s="199"/>
      <c r="N105" s="81">
        <f ca="1">VLOOKUP($AD105,INDIRECT("'"&amp;$B105&amp;"'!"&amp;"$P$200:$AD$203"),5,FALSE)</f>
        <v>25</v>
      </c>
      <c r="O105" s="723">
        <f t="shared" ca="1" si="95"/>
        <v>4.6054545454545437</v>
      </c>
      <c r="P105" s="723">
        <f t="shared" ca="1" si="96"/>
        <v>0.25106499999999998</v>
      </c>
      <c r="Q105" s="81">
        <f t="shared" ca="1" si="97"/>
        <v>5.7509861111111107</v>
      </c>
      <c r="R105" s="81">
        <v>3.1536000000000002E-2</v>
      </c>
      <c r="S105" s="199">
        <v>0.5</v>
      </c>
      <c r="T105" s="199">
        <f ca="1">HLOOKUP($T$2,INDIRECT("'"&amp;$B105&amp;"'!"&amp;"$P$167:$AC$180"),IF(H105=$AI$13,6,IF(H105=$AI$14,9,14)),FALSE)</f>
        <v>1</v>
      </c>
      <c r="U105" s="773"/>
      <c r="V105" s="199">
        <f t="shared" ref="V105" ca="1" si="105">IF(IF(RIGHT(H105,2)="PH",(1-L105)+$W$2,IF(RIGHT(H105,2)="HT",(1-L105)+$W$1,IF(RIGHT(H105,2)="SH",(1-L105)+$W$3,"")))&gt;0,IF(RIGHT(H105,2)="PH",(1-L105)+$W$2,IF(RIGHT(H105,2)="HT",(1-L105)+$W$1,IF(RIGHT(H105,2)="SH",(1-L105)+$W$3,""))),0)</f>
        <v>9.9999999999999978E-2</v>
      </c>
      <c r="W105" s="709"/>
      <c r="X105" s="698">
        <f t="shared" ca="1" si="79"/>
        <v>11</v>
      </c>
      <c r="Y105" s="698">
        <f t="shared" ca="1" si="99"/>
        <v>63</v>
      </c>
      <c r="Z105" s="698">
        <f t="shared" ca="1" si="100"/>
        <v>11</v>
      </c>
      <c r="AA105" s="698">
        <f t="shared" ca="1" si="101"/>
        <v>3</v>
      </c>
      <c r="AB105" s="698">
        <f t="shared" ca="1" si="102"/>
        <v>10</v>
      </c>
      <c r="AC105" s="296"/>
      <c r="AD105" s="81">
        <v>2020</v>
      </c>
      <c r="AE105" s="81"/>
      <c r="AF105" s="710"/>
    </row>
    <row r="106" spans="2:32">
      <c r="B106" s="718" t="s">
        <v>1008</v>
      </c>
      <c r="C106" s="226"/>
      <c r="D106" s="261"/>
      <c r="E106" s="261"/>
      <c r="F106" s="224" t="s">
        <v>1149</v>
      </c>
      <c r="G106" s="55"/>
      <c r="H106" s="174"/>
      <c r="I106" s="174" t="str">
        <f t="shared" si="22"/>
        <v>INDMWH</v>
      </c>
      <c r="J106" s="224">
        <f t="shared" si="32"/>
        <v>2030</v>
      </c>
      <c r="K106" s="81"/>
      <c r="L106" s="199">
        <f t="shared" ca="1" si="94"/>
        <v>0.9</v>
      </c>
      <c r="M106" s="199"/>
      <c r="N106" s="81"/>
      <c r="O106" s="723">
        <f t="shared" ca="1" si="95"/>
        <v>4.4022727272727282</v>
      </c>
      <c r="P106" s="723">
        <f t="shared" ca="1" si="96"/>
        <v>0.267455</v>
      </c>
      <c r="Q106" s="81">
        <f t="shared" ca="1" si="97"/>
        <v>5.8461805555555557</v>
      </c>
      <c r="R106" s="300"/>
      <c r="S106" s="300"/>
      <c r="T106" s="300"/>
      <c r="U106" s="300"/>
      <c r="V106" s="199">
        <f t="shared" ref="V106" ca="1" si="106">IF(IF(RIGHT(H105,2)="PH",(1-L106)+$W$2,IF(RIGHT(H105,2)="HT",(1-L106)+$W$1,IF(RIGHT(H105,2)="SH",(1-L106)+$W$3,"")))&gt;0,IF(RIGHT(H105,2)="PH",(1-L106)+$W$2,IF(RIGHT(H105,2)="HT",(1-L106)+$W$1,IF(RIGHT(H105,2)="SH",(1-L106)+$W$3,""))),0)</f>
        <v>9.9999999999999978E-2</v>
      </c>
      <c r="W106" s="298"/>
      <c r="X106" s="698">
        <f t="shared" ca="1" si="79"/>
        <v>11</v>
      </c>
      <c r="Y106" s="698">
        <f t="shared" ca="1" si="99"/>
        <v>49</v>
      </c>
      <c r="Z106" s="698">
        <f t="shared" ca="1" si="100"/>
        <v>8</v>
      </c>
      <c r="AA106" s="698">
        <f t="shared" ca="1" si="101"/>
        <v>3</v>
      </c>
      <c r="AB106" s="698">
        <f t="shared" ca="1" si="102"/>
        <v>10</v>
      </c>
      <c r="AC106" s="55"/>
      <c r="AD106" s="81">
        <v>2030</v>
      </c>
      <c r="AE106" s="81"/>
      <c r="AF106" s="700"/>
    </row>
    <row r="107" spans="2:32">
      <c r="B107" s="719" t="s">
        <v>1008</v>
      </c>
      <c r="C107" s="713"/>
      <c r="D107" s="701"/>
      <c r="E107" s="701"/>
      <c r="F107" s="224" t="s">
        <v>1149</v>
      </c>
      <c r="G107" s="203"/>
      <c r="H107" s="702"/>
      <c r="I107" s="702" t="str">
        <f t="shared" si="22"/>
        <v>INDMWH</v>
      </c>
      <c r="J107" s="224">
        <f t="shared" si="32"/>
        <v>2050</v>
      </c>
      <c r="K107" s="81"/>
      <c r="L107" s="199">
        <f t="shared" ca="1" si="94"/>
        <v>0.91</v>
      </c>
      <c r="M107" s="199"/>
      <c r="N107" s="81"/>
      <c r="O107" s="723">
        <f t="shared" ca="1" si="95"/>
        <v>3.9959090909090884</v>
      </c>
      <c r="P107" s="723">
        <f t="shared" ca="1" si="96"/>
        <v>0.25106499999999998</v>
      </c>
      <c r="Q107" s="81">
        <f t="shared" ca="1" si="97"/>
        <v>5.8937777777777782</v>
      </c>
      <c r="R107" s="300"/>
      <c r="S107" s="300"/>
      <c r="T107" s="300"/>
      <c r="U107" s="300"/>
      <c r="V107" s="199">
        <f t="shared" ref="V107" ca="1" si="107">IF(IF(RIGHT(H105,2)="PH",(1-L107)+$W$2,IF(RIGHT(H105,2)="HT",(1-L107)+$W$1,IF(RIGHT(H105,2)="SH",(1-L107)+$W$3,"")))&gt;0,IF(RIGHT(H105,2)="PH",(1-L107)+$W$2,IF(RIGHT(H105,2)="HT",(1-L107)+$W$1,IF(RIGHT(H105,2)="SH",(1-L107)+$W$3,""))),0)</f>
        <v>8.9999999999999969E-2</v>
      </c>
      <c r="W107" s="298"/>
      <c r="X107" s="698">
        <f t="shared" ca="1" si="79"/>
        <v>11</v>
      </c>
      <c r="Y107" s="698">
        <f t="shared" ca="1" si="99"/>
        <v>41</v>
      </c>
      <c r="Z107" s="698">
        <f t="shared" ca="1" si="100"/>
        <v>4</v>
      </c>
      <c r="AA107" s="698">
        <f t="shared" ca="1" si="101"/>
        <v>1</v>
      </c>
      <c r="AB107" s="698">
        <f t="shared" ca="1" si="102"/>
        <v>10</v>
      </c>
      <c r="AC107" s="55"/>
      <c r="AD107" s="81">
        <v>2050</v>
      </c>
      <c r="AE107" s="81"/>
      <c r="AF107" s="700"/>
    </row>
    <row r="108" spans="2:32">
      <c r="B108" s="717" t="s">
        <v>1008</v>
      </c>
      <c r="C108" s="712"/>
      <c r="D108" s="707" t="str">
        <f>"IND"&amp;RIGHT(H108,4)&amp;RIGHT(G108,3)&amp;"N"&amp;RIGHT(E108,1)</f>
        <v>INDMDPHWCHN4</v>
      </c>
      <c r="E108" s="707" t="str">
        <f>"Industrial heating technology "&amp;$AJ$12&amp;" "&amp;RIGHT(H108,2)&amp;" - Wood chip boiler (Hot Water - condensing) - new 4"</f>
        <v>Industrial heating technology Machinery PH - Wood chip boiler (Hot Water - condensing) - new 4</v>
      </c>
      <c r="F108" s="224" t="s">
        <v>1149</v>
      </c>
      <c r="G108" s="708" t="s">
        <v>498</v>
      </c>
      <c r="H108" s="708" t="str">
        <f>$AI$14</f>
        <v>IMDPH</v>
      </c>
      <c r="I108" s="708" t="str">
        <f t="shared" si="22"/>
        <v>INDMWH</v>
      </c>
      <c r="J108" s="224">
        <f t="shared" si="32"/>
        <v>2011</v>
      </c>
      <c r="K108" s="299">
        <v>2025</v>
      </c>
      <c r="L108" s="199">
        <f t="shared" ref="L108:L113" ca="1" si="108">VLOOKUP($AD108,INDIRECT("'"&amp;$B108&amp;"'!"&amp;"$P$279:$AD$282"),3,FALSE)</f>
        <v>1.1618960947726835</v>
      </c>
      <c r="M108" s="199"/>
      <c r="N108" s="81">
        <f ca="1">VLOOKUP($AD108,INDIRECT("'"&amp;$B108&amp;"'!"&amp;"$P$279:$AD$282"),5,FALSE)</f>
        <v>25</v>
      </c>
      <c r="O108" s="723">
        <f t="shared" ref="O108:O113" ca="1" si="109">VLOOKUP($AD108,INDIRECT("'"&amp;$B108&amp;"'!"&amp;"$P$279:$AD$282"),6,FALSE)/1000</f>
        <v>5.0660000000000007</v>
      </c>
      <c r="P108" s="723">
        <f t="shared" ref="P108:P113" ca="1" si="110">VLOOKUP($AD108,INDIRECT("'"&amp;$B108&amp;"'!"&amp;"$P$279:$AD$282"),7,FALSE)/1000</f>
        <v>0.27564999999999995</v>
      </c>
      <c r="Q108" s="81">
        <f t="shared" ref="Q108:Q113" ca="1" si="111">VLOOKUP($AD108,INDIRECT("'"&amp;$B108&amp;"'!"&amp;"$P$279:$AD$282"),8,FALSE)</f>
        <v>5.7509861111111107</v>
      </c>
      <c r="R108" s="81">
        <v>3.1536000000000002E-2</v>
      </c>
      <c r="S108" s="199">
        <v>0.5</v>
      </c>
      <c r="T108" s="199">
        <f ca="1">HLOOKUP($T$2,INDIRECT("'"&amp;$B108&amp;"'!"&amp;"$P$246:$AC$259"),IF(H108=$AI$13,6,IF(H108=$AI$14,9,14)),FALSE)</f>
        <v>0</v>
      </c>
      <c r="U108" s="773"/>
      <c r="V108" s="199">
        <f t="shared" ref="V108" ca="1" si="112">IF(IF(RIGHT(H108,2)="PH",(1-L108)+$W$2,IF(RIGHT(H108,2)="HT",(1-L108)+$W$1,IF(RIGHT(H108,2)="SH",(1-L108)+$W$3,"")))&gt;0,IF(RIGHT(H108,2)="PH",(1-L108)+$W$2,IF(RIGHT(H108,2)="HT",(1-L108)+$W$1,IF(RIGHT(H108,2)="SH",(1-L108)+$W$3,""))),0)</f>
        <v>3.8103905227316492E-2</v>
      </c>
      <c r="W108" s="709"/>
      <c r="X108" s="698">
        <f t="shared" ca="1" si="79"/>
        <v>11</v>
      </c>
      <c r="Y108" s="698">
        <f t="shared" ref="Y108:Y113" ca="1" si="113">VLOOKUP($AD108,INDIRECT("'"&amp;$B108&amp;"'!"&amp;"$P$279:$AD$282"),12,FALSE)</f>
        <v>63</v>
      </c>
      <c r="Z108" s="698">
        <f t="shared" ref="Z108:Z113" ca="1" si="114">VLOOKUP($AD108,INDIRECT("'"&amp;$B108&amp;"'!"&amp;"$P$279:$AD$282"),13,FALSE)</f>
        <v>11</v>
      </c>
      <c r="AA108" s="698">
        <f t="shared" ref="AA108:AA113" ca="1" si="115">VLOOKUP($AD108,INDIRECT("'"&amp;$B108&amp;"'!"&amp;"$P$279:$AD$282"),14,FALSE)</f>
        <v>3</v>
      </c>
      <c r="AB108" s="698">
        <f t="shared" ref="AB108:AB113" ca="1" si="116">VLOOKUP($AD108,INDIRECT("'"&amp;$B108&amp;"'!"&amp;"$P$279:$AD$282"),15,FALSE)</f>
        <v>10</v>
      </c>
      <c r="AC108" s="55"/>
      <c r="AD108" s="81">
        <v>2020</v>
      </c>
      <c r="AE108" s="81"/>
      <c r="AF108" s="700"/>
    </row>
    <row r="109" spans="2:32">
      <c r="B109" s="718" t="s">
        <v>1008</v>
      </c>
      <c r="C109" s="226"/>
      <c r="D109" s="261"/>
      <c r="E109" s="261"/>
      <c r="F109" s="224" t="s">
        <v>1149</v>
      </c>
      <c r="G109" s="55"/>
      <c r="H109" s="174"/>
      <c r="I109" s="174" t="str">
        <f t="shared" si="22"/>
        <v>INDMWH</v>
      </c>
      <c r="J109" s="224">
        <f t="shared" si="32"/>
        <v>2030</v>
      </c>
      <c r="K109" s="81"/>
      <c r="L109" s="199">
        <f t="shared" ca="1" si="108"/>
        <v>1.1618960947726835</v>
      </c>
      <c r="M109" s="199"/>
      <c r="N109" s="81"/>
      <c r="O109" s="723">
        <f t="shared" ca="1" si="109"/>
        <v>4.8425000000000002</v>
      </c>
      <c r="P109" s="723">
        <f t="shared" ca="1" si="110"/>
        <v>0.267455</v>
      </c>
      <c r="Q109" s="81">
        <f t="shared" ca="1" si="111"/>
        <v>5.8461805555555557</v>
      </c>
      <c r="R109" s="300"/>
      <c r="S109" s="300"/>
      <c r="T109" s="300"/>
      <c r="U109" s="300"/>
      <c r="V109" s="199">
        <f t="shared" ref="V109" ca="1" si="117">IF(IF(RIGHT(H108,2)="PH",(1-L109)+$W$2,IF(RIGHT(H108,2)="HT",(1-L109)+$W$1,IF(RIGHT(H108,2)="SH",(1-L109)+$W$3,"")))&gt;0,IF(RIGHT(H108,2)="PH",(1-L109)+$W$2,IF(RIGHT(H108,2)="HT",(1-L109)+$W$1,IF(RIGHT(H108,2)="SH",(1-L109)+$W$3,""))),0)</f>
        <v>3.8103905227316492E-2</v>
      </c>
      <c r="W109" s="298"/>
      <c r="X109" s="698">
        <f t="shared" ca="1" si="79"/>
        <v>11</v>
      </c>
      <c r="Y109" s="698">
        <f t="shared" ca="1" si="113"/>
        <v>49</v>
      </c>
      <c r="Z109" s="698">
        <f t="shared" ca="1" si="114"/>
        <v>8</v>
      </c>
      <c r="AA109" s="698">
        <f t="shared" ca="1" si="115"/>
        <v>3</v>
      </c>
      <c r="AB109" s="698">
        <f t="shared" ca="1" si="116"/>
        <v>10</v>
      </c>
      <c r="AC109" s="55"/>
      <c r="AD109" s="81">
        <v>2030</v>
      </c>
      <c r="AE109" s="81"/>
      <c r="AF109" s="700"/>
    </row>
    <row r="110" spans="2:32">
      <c r="B110" s="718" t="s">
        <v>1008</v>
      </c>
      <c r="C110" s="226"/>
      <c r="D110" s="261"/>
      <c r="E110" s="261"/>
      <c r="F110" s="224" t="s">
        <v>1149</v>
      </c>
      <c r="G110" s="55"/>
      <c r="H110" s="174"/>
      <c r="I110" s="174" t="str">
        <f t="shared" si="22"/>
        <v>INDMWH</v>
      </c>
      <c r="J110" s="224">
        <f t="shared" si="32"/>
        <v>2050</v>
      </c>
      <c r="K110" s="81"/>
      <c r="L110" s="199">
        <f t="shared" ca="1" si="108"/>
        <v>1.1618960947726835</v>
      </c>
      <c r="M110" s="199"/>
      <c r="N110" s="81"/>
      <c r="O110" s="723">
        <f t="shared" ca="1" si="109"/>
        <v>4.3955000000000002</v>
      </c>
      <c r="P110" s="723">
        <f t="shared" ca="1" si="110"/>
        <v>0.25106499999999998</v>
      </c>
      <c r="Q110" s="81">
        <f t="shared" ca="1" si="111"/>
        <v>5.8937777777777782</v>
      </c>
      <c r="R110" s="300"/>
      <c r="S110" s="300"/>
      <c r="T110" s="300"/>
      <c r="U110" s="300"/>
      <c r="V110" s="199">
        <f t="shared" ref="V110" ca="1" si="118">IF(IF(RIGHT(H108,2)="PH",(1-L110)+$W$2,IF(RIGHT(H108,2)="HT",(1-L110)+$W$1,IF(RIGHT(H108,2)="SH",(1-L110)+$W$3,"")))&gt;0,IF(RIGHT(H108,2)="PH",(1-L110)+$W$2,IF(RIGHT(H108,2)="HT",(1-L110)+$W$1,IF(RIGHT(H108,2)="SH",(1-L110)+$W$3,""))),0)</f>
        <v>3.8103905227316492E-2</v>
      </c>
      <c r="W110" s="298"/>
      <c r="X110" s="698">
        <f t="shared" ca="1" si="79"/>
        <v>11</v>
      </c>
      <c r="Y110" s="698">
        <f t="shared" ca="1" si="113"/>
        <v>41</v>
      </c>
      <c r="Z110" s="698">
        <f t="shared" ca="1" si="114"/>
        <v>4</v>
      </c>
      <c r="AA110" s="698">
        <f t="shared" ca="1" si="115"/>
        <v>1</v>
      </c>
      <c r="AB110" s="698">
        <f t="shared" ca="1" si="116"/>
        <v>10</v>
      </c>
      <c r="AC110" s="203"/>
      <c r="AD110" s="81">
        <v>2050</v>
      </c>
      <c r="AE110" s="81"/>
      <c r="AF110" s="705"/>
    </row>
    <row r="111" spans="2:32">
      <c r="B111" s="718" t="s">
        <v>1008</v>
      </c>
      <c r="C111" s="226"/>
      <c r="D111" s="261" t="str">
        <f>"IND"&amp;RIGHT(H111,4)&amp;RIGHT(G111,3)&amp;"N"&amp;RIGHT(E111,1)</f>
        <v>INDMDSHWCHN4</v>
      </c>
      <c r="E111" s="261" t="str">
        <f>"Industrial heating technology "&amp;$AJ$12&amp;" "&amp;RIGHT(H111,2)&amp;" - Wood chip boiler (Hot Water- condensing) - new 4"</f>
        <v>Industrial heating technology Machinery SH - Wood chip boiler (Hot Water- condensing) - new 4</v>
      </c>
      <c r="F111" s="224" t="s">
        <v>1149</v>
      </c>
      <c r="G111" s="174" t="s">
        <v>498</v>
      </c>
      <c r="H111" s="174" t="str">
        <f>$AI$15</f>
        <v>IMDSH</v>
      </c>
      <c r="I111" s="174" t="str">
        <f t="shared" si="22"/>
        <v>INDMWH</v>
      </c>
      <c r="J111" s="224">
        <f t="shared" si="32"/>
        <v>2011</v>
      </c>
      <c r="K111" s="299">
        <v>2025</v>
      </c>
      <c r="L111" s="199">
        <f t="shared" ca="1" si="108"/>
        <v>1.1618960947726835</v>
      </c>
      <c r="M111" s="199"/>
      <c r="N111" s="81">
        <f ca="1">VLOOKUP($AD111,INDIRECT("'"&amp;$B111&amp;"'!"&amp;"$P$279:$AD$282"),5,FALSE)</f>
        <v>25</v>
      </c>
      <c r="O111" s="723">
        <f t="shared" ca="1" si="109"/>
        <v>5.0660000000000007</v>
      </c>
      <c r="P111" s="723">
        <f t="shared" ca="1" si="110"/>
        <v>0.27564999999999995</v>
      </c>
      <c r="Q111" s="81">
        <f t="shared" ca="1" si="111"/>
        <v>5.7509861111111107</v>
      </c>
      <c r="R111" s="81">
        <v>3.1536000000000002E-2</v>
      </c>
      <c r="S111" s="199">
        <v>0.5</v>
      </c>
      <c r="T111" s="199">
        <f ca="1">HLOOKUP($T$2,INDIRECT("'"&amp;$B111&amp;"'!"&amp;"$P$246:$AC$259"),IF(H111=$AI$13,6,IF(H111=$AI$14,9,14)),FALSE)</f>
        <v>0</v>
      </c>
      <c r="U111" s="773"/>
      <c r="V111" s="199">
        <f t="shared" ref="V111" ca="1" si="119">IF(IF(RIGHT(H111,2)="PH",(1-L111)+$W$2,IF(RIGHT(H111,2)="HT",(1-L111)+$W$1,IF(RIGHT(H111,2)="SH",(1-L111)+$W$3,"")))&gt;0,IF(RIGHT(H111,2)="PH",(1-L111)+$W$2,IF(RIGHT(H111,2)="HT",(1-L111)+$W$1,IF(RIGHT(H111,2)="SH",(1-L111)+$W$3,""))),0)</f>
        <v>0</v>
      </c>
      <c r="W111" s="709"/>
      <c r="X111" s="698">
        <f t="shared" ca="1" si="79"/>
        <v>11</v>
      </c>
      <c r="Y111" s="698">
        <f t="shared" ca="1" si="113"/>
        <v>63</v>
      </c>
      <c r="Z111" s="698">
        <f t="shared" ca="1" si="114"/>
        <v>11</v>
      </c>
      <c r="AA111" s="698">
        <f t="shared" ca="1" si="115"/>
        <v>3</v>
      </c>
      <c r="AB111" s="698">
        <f t="shared" ca="1" si="116"/>
        <v>10</v>
      </c>
      <c r="AD111" s="81">
        <v>2020</v>
      </c>
      <c r="AE111" s="81"/>
      <c r="AF111" s="220"/>
    </row>
    <row r="112" spans="2:32">
      <c r="B112" s="718" t="s">
        <v>1008</v>
      </c>
      <c r="C112" s="226"/>
      <c r="D112" s="261"/>
      <c r="E112" s="261"/>
      <c r="F112" s="224" t="s">
        <v>1149</v>
      </c>
      <c r="G112" s="55"/>
      <c r="H112" s="174"/>
      <c r="I112" s="174" t="str">
        <f t="shared" si="22"/>
        <v>INDMWH</v>
      </c>
      <c r="J112" s="224">
        <f t="shared" si="32"/>
        <v>2030</v>
      </c>
      <c r="K112" s="81"/>
      <c r="L112" s="199">
        <f t="shared" ca="1" si="108"/>
        <v>1.1618960947726835</v>
      </c>
      <c r="M112" s="199"/>
      <c r="N112" s="81"/>
      <c r="O112" s="723">
        <f t="shared" ca="1" si="109"/>
        <v>4.8425000000000002</v>
      </c>
      <c r="P112" s="723">
        <f t="shared" ca="1" si="110"/>
        <v>0.267455</v>
      </c>
      <c r="Q112" s="81">
        <f t="shared" ca="1" si="111"/>
        <v>5.8461805555555557</v>
      </c>
      <c r="R112" s="300"/>
      <c r="S112" s="300"/>
      <c r="T112" s="300"/>
      <c r="U112" s="300"/>
      <c r="V112" s="199">
        <f t="shared" ref="V112" ca="1" si="120">IF(IF(RIGHT(H111,2)="PH",(1-L112)+$W$2,IF(RIGHT(H111,2)="HT",(1-L112)+$W$1,IF(RIGHT(H111,2)="SH",(1-L112)+$W$3,"")))&gt;0,IF(RIGHT(H111,2)="PH",(1-L112)+$W$2,IF(RIGHT(H111,2)="HT",(1-L112)+$W$1,IF(RIGHT(H111,2)="SH",(1-L112)+$W$3,""))),0)</f>
        <v>0</v>
      </c>
      <c r="W112" s="298"/>
      <c r="X112" s="698">
        <f t="shared" ca="1" si="79"/>
        <v>11</v>
      </c>
      <c r="Y112" s="698">
        <f t="shared" ca="1" si="113"/>
        <v>49</v>
      </c>
      <c r="Z112" s="698">
        <f t="shared" ca="1" si="114"/>
        <v>8</v>
      </c>
      <c r="AA112" s="698">
        <f t="shared" ca="1" si="115"/>
        <v>3</v>
      </c>
      <c r="AB112" s="698">
        <f t="shared" ca="1" si="116"/>
        <v>10</v>
      </c>
      <c r="AD112" s="81">
        <v>2030</v>
      </c>
      <c r="AE112" s="81"/>
      <c r="AF112" s="220"/>
    </row>
    <row r="113" spans="2:32">
      <c r="B113" s="719" t="s">
        <v>1008</v>
      </c>
      <c r="C113" s="713"/>
      <c r="D113" s="701"/>
      <c r="E113" s="701"/>
      <c r="F113" s="224" t="s">
        <v>1149</v>
      </c>
      <c r="G113" s="203"/>
      <c r="H113" s="702"/>
      <c r="I113" s="702" t="str">
        <f t="shared" si="22"/>
        <v>INDMWH</v>
      </c>
      <c r="J113" s="224">
        <f t="shared" si="32"/>
        <v>2050</v>
      </c>
      <c r="K113" s="81"/>
      <c r="L113" s="199">
        <f t="shared" ca="1" si="108"/>
        <v>1.1618960947726835</v>
      </c>
      <c r="M113" s="199"/>
      <c r="N113" s="81"/>
      <c r="O113" s="723">
        <f t="shared" ca="1" si="109"/>
        <v>4.3955000000000002</v>
      </c>
      <c r="P113" s="723">
        <f t="shared" ca="1" si="110"/>
        <v>0.25106499999999998</v>
      </c>
      <c r="Q113" s="81">
        <f t="shared" ca="1" si="111"/>
        <v>5.8937777777777782</v>
      </c>
      <c r="R113" s="300"/>
      <c r="S113" s="300"/>
      <c r="T113" s="300"/>
      <c r="U113" s="300"/>
      <c r="V113" s="199">
        <f t="shared" ref="V113" ca="1" si="121">IF(IF(RIGHT(H111,2)="PH",(1-L113)+$W$2,IF(RIGHT(H111,2)="HT",(1-L113)+$W$1,IF(RIGHT(H111,2)="SH",(1-L113)+$W$3,"")))&gt;0,IF(RIGHT(H111,2)="PH",(1-L113)+$W$2,IF(RIGHT(H111,2)="HT",(1-L113)+$W$1,IF(RIGHT(H111,2)="SH",(1-L113)+$W$3,""))),0)</f>
        <v>0</v>
      </c>
      <c r="W113" s="714"/>
      <c r="X113" s="698">
        <f t="shared" ca="1" si="79"/>
        <v>11</v>
      </c>
      <c r="Y113" s="698">
        <f t="shared" ca="1" si="113"/>
        <v>41</v>
      </c>
      <c r="Z113" s="698">
        <f t="shared" ca="1" si="114"/>
        <v>4</v>
      </c>
      <c r="AA113" s="698">
        <f t="shared" ca="1" si="115"/>
        <v>1</v>
      </c>
      <c r="AB113" s="698">
        <f t="shared" ca="1" si="116"/>
        <v>10</v>
      </c>
      <c r="AD113" s="81">
        <v>2050</v>
      </c>
      <c r="AE113" s="81"/>
      <c r="AF113" s="220"/>
    </row>
    <row r="114" spans="2:32">
      <c r="B114" s="718" t="s">
        <v>1014</v>
      </c>
      <c r="C114" s="226"/>
      <c r="D114" s="212" t="str">
        <f>"IND"&amp;RIGHT(H114,4)&amp;RIGHT(G114,3)&amp;"N"&amp;RIGHT(E114,2)</f>
        <v>INDMDPHELCN10</v>
      </c>
      <c r="E114" s="261" t="str">
        <f>"Industrial heating technology "&amp;$AJ$12&amp;" "&amp;RIGHT(H114,2)&amp;" - Direct electric heating - new 10"</f>
        <v>Industrial heating technology Machinery PH - Direct electric heating - new 10</v>
      </c>
      <c r="F114" s="224" t="s">
        <v>1149</v>
      </c>
      <c r="G114" s="173" t="s">
        <v>499</v>
      </c>
      <c r="H114" s="174" t="str">
        <f>$AI$13</f>
        <v>IMDPH</v>
      </c>
      <c r="I114" s="174" t="str">
        <f t="shared" si="22"/>
        <v>INDMWH</v>
      </c>
      <c r="J114" s="224">
        <f t="shared" si="32"/>
        <v>2011</v>
      </c>
      <c r="K114" s="299">
        <v>2020</v>
      </c>
      <c r="L114" s="199">
        <f t="shared" ref="L114:L128" ca="1" si="122">VLOOKUP($AD114,INDIRECT("'"&amp;$B114&amp;"'!"&amp;"$P$39:$AD$42"),3,FALSE)</f>
        <v>1</v>
      </c>
      <c r="M114" s="199"/>
      <c r="N114" s="81">
        <f ca="1">VLOOKUP($AD114,INDIRECT("'"&amp;$B114&amp;"'!"&amp;"$P$39:$AD$42"),5,FALSE)</f>
        <v>12.5</v>
      </c>
      <c r="O114" s="723">
        <f t="shared" ref="O114:O128" ca="1" si="123">VLOOKUP($AD114,INDIRECT("'"&amp;$B114&amp;"'!"&amp;"$P$39:$AD$42"),6,FALSE)/1000</f>
        <v>0.44700000000000001</v>
      </c>
      <c r="P114" s="723">
        <f t="shared" ref="P114:P128" ca="1" si="124">VLOOKUP($AD114,INDIRECT("'"&amp;$B114&amp;"'!"&amp;"$P$39:$AD$42"),7,FALSE)/1000</f>
        <v>0</v>
      </c>
      <c r="Q114" s="81">
        <f t="shared" ref="Q114:Q128" ca="1" si="125">VLOOKUP($AD114,INDIRECT("'"&amp;$B114&amp;"'!"&amp;"$P$39:$AD$42"),8,FALSE)</f>
        <v>0.37767361111111114</v>
      </c>
      <c r="R114" s="81">
        <v>3.1536000000000002E-2</v>
      </c>
      <c r="S114" s="199">
        <v>0.5</v>
      </c>
      <c r="T114" s="199">
        <f ca="1">HLOOKUP($S$2,INDIRECT("'"&amp;$B114&amp;"'!"&amp;"$P$6:$AC$19"),IF(H114=$AI$13,6,IF(H114=$AI$14,9,14)),FALSE)</f>
        <v>0.05</v>
      </c>
      <c r="U114" s="772"/>
      <c r="V114" s="199">
        <f t="shared" ref="V114" ca="1" si="126">IF(IF(RIGHT(H114,2)="PH",(1-L114)+$W$2,IF(RIGHT(H114,2)="HT",(1-L114)+$W$1,IF(RIGHT(H114,2)="SH",(1-L114)+$W$3,"")))&gt;0,IF(RIGHT(H114,2)="PH",(1-L114)+$W$2,IF(RIGHT(H114,2)="HT",(1-L114)+$W$1,IF(RIGHT(H114,2)="SH",(1-L114)+$W$3,""))),0)</f>
        <v>0.2</v>
      </c>
      <c r="W114" s="298"/>
      <c r="X114" s="698">
        <f t="shared" ca="1" si="79"/>
        <v>0</v>
      </c>
      <c r="Y114" s="81">
        <f t="shared" ref="Y114:Y128" ca="1" si="127">VLOOKUP($AD114,INDIRECT("'"&amp;$B114&amp;"'!"&amp;"$P$39:$AD$42"),12,FALSE)</f>
        <v>0</v>
      </c>
      <c r="Z114" s="81">
        <f t="shared" ref="Z114:Z128" ca="1" si="128">VLOOKUP($AD114,INDIRECT("'"&amp;$B114&amp;"'!"&amp;"$P$39:$AD$42"),13,FALSE)</f>
        <v>0</v>
      </c>
      <c r="AA114" s="81">
        <f t="shared" ref="AA114:AA128" ca="1" si="129">VLOOKUP($AD114,INDIRECT("'"&amp;$B114&amp;"'!"&amp;"$P$39:$AD$42"),14,FALSE)</f>
        <v>0</v>
      </c>
      <c r="AB114" s="81">
        <f t="shared" ref="AB114:AB128" ca="1" si="130">VLOOKUP($AD114,INDIRECT("'"&amp;$B114&amp;"'!"&amp;"$P$39:$AD$42"),15,FALSE)</f>
        <v>0</v>
      </c>
      <c r="AD114" s="81">
        <v>2020</v>
      </c>
      <c r="AE114" s="81"/>
      <c r="AF114" s="220"/>
    </row>
    <row r="115" spans="2:32">
      <c r="B115" s="718" t="s">
        <v>1014</v>
      </c>
      <c r="C115" s="226"/>
      <c r="D115" s="212"/>
      <c r="E115" s="212"/>
      <c r="F115" s="224" t="s">
        <v>1149</v>
      </c>
      <c r="H115" s="174"/>
      <c r="I115" s="174" t="str">
        <f t="shared" si="22"/>
        <v>INDMWH</v>
      </c>
      <c r="J115" s="224">
        <f t="shared" si="32"/>
        <v>2030</v>
      </c>
      <c r="K115" s="81"/>
      <c r="L115" s="199">
        <f t="shared" ca="1" si="122"/>
        <v>1</v>
      </c>
      <c r="M115" s="199"/>
      <c r="N115" s="81"/>
      <c r="O115" s="723">
        <f t="shared" ca="1" si="123"/>
        <v>0.44700000000000001</v>
      </c>
      <c r="P115" s="723">
        <f t="shared" ca="1" si="124"/>
        <v>0</v>
      </c>
      <c r="Q115" s="81">
        <f t="shared" ca="1" si="125"/>
        <v>0.38802083333333331</v>
      </c>
      <c r="R115" s="300"/>
      <c r="S115" s="300"/>
      <c r="T115" s="300"/>
      <c r="U115" s="300"/>
      <c r="V115" s="199">
        <f t="shared" ref="V115" ca="1" si="131">IF(IF(RIGHT(H114,2)="PH",(1-L115)+$W$2,IF(RIGHT(H114,2)="HT",(1-L115)+$W$1,IF(RIGHT(H114,2)="SH",(1-L115)+$W$3,"")))&gt;0,IF(RIGHT(H114,2)="PH",(1-L115)+$W$2,IF(RIGHT(H114,2)="HT",(1-L115)+$W$1,IF(RIGHT(H114,2)="SH",(1-L115)+$W$3,""))),0)</f>
        <v>0.2</v>
      </c>
      <c r="W115" s="298"/>
      <c r="X115" s="698">
        <f t="shared" ca="1" si="79"/>
        <v>0</v>
      </c>
      <c r="Y115" s="81">
        <f t="shared" ca="1" si="127"/>
        <v>0</v>
      </c>
      <c r="Z115" s="81">
        <f t="shared" ca="1" si="128"/>
        <v>0</v>
      </c>
      <c r="AA115" s="81">
        <f t="shared" ca="1" si="129"/>
        <v>0</v>
      </c>
      <c r="AB115" s="81">
        <f t="shared" ca="1" si="130"/>
        <v>0</v>
      </c>
      <c r="AD115" s="81">
        <v>2030</v>
      </c>
      <c r="AE115" s="81"/>
      <c r="AF115" s="220"/>
    </row>
    <row r="116" spans="2:32">
      <c r="B116" s="718" t="s">
        <v>1014</v>
      </c>
      <c r="C116" s="226"/>
      <c r="D116" s="212"/>
      <c r="E116" s="212"/>
      <c r="F116" s="224" t="s">
        <v>1149</v>
      </c>
      <c r="H116" s="174"/>
      <c r="I116" s="174" t="str">
        <f t="shared" si="22"/>
        <v>INDMWH</v>
      </c>
      <c r="J116" s="224">
        <f t="shared" si="32"/>
        <v>2050</v>
      </c>
      <c r="K116" s="81"/>
      <c r="L116" s="199">
        <f t="shared" ca="1" si="122"/>
        <v>1</v>
      </c>
      <c r="M116" s="199"/>
      <c r="N116" s="81"/>
      <c r="O116" s="723">
        <f t="shared" ca="1" si="123"/>
        <v>0.44700000000000001</v>
      </c>
      <c r="P116" s="723">
        <f t="shared" ca="1" si="124"/>
        <v>0</v>
      </c>
      <c r="Q116" s="81">
        <f t="shared" ca="1" si="125"/>
        <v>0.39319444444444446</v>
      </c>
      <c r="R116" s="300"/>
      <c r="S116" s="300"/>
      <c r="T116" s="300"/>
      <c r="U116" s="300"/>
      <c r="V116" s="199">
        <f t="shared" ref="V116" ca="1" si="132">IF(IF(RIGHT(H114,2)="PH",(1-L116)+$W$2,IF(RIGHT(H114,2)="HT",(1-L116)+$W$1,IF(RIGHT(H114,2)="SH",(1-L116)+$W$3,"")))&gt;0,IF(RIGHT(H114,2)="PH",(1-L116)+$W$2,IF(RIGHT(H114,2)="HT",(1-L116)+$W$1,IF(RIGHT(H114,2)="SH",(1-L116)+$W$3,""))),0)</f>
        <v>0.2</v>
      </c>
      <c r="W116" s="298"/>
      <c r="X116" s="698">
        <f t="shared" ca="1" si="79"/>
        <v>0</v>
      </c>
      <c r="Y116" s="81">
        <f t="shared" ca="1" si="127"/>
        <v>0</v>
      </c>
      <c r="Z116" s="81">
        <f t="shared" ca="1" si="128"/>
        <v>0</v>
      </c>
      <c r="AA116" s="81">
        <f t="shared" ca="1" si="129"/>
        <v>0</v>
      </c>
      <c r="AB116" s="81">
        <f t="shared" ca="1" si="130"/>
        <v>0</v>
      </c>
      <c r="AC116" s="203"/>
      <c r="AD116" s="81">
        <v>2050</v>
      </c>
      <c r="AE116" s="81"/>
      <c r="AF116" s="705"/>
    </row>
    <row r="117" spans="2:32">
      <c r="B117" s="718" t="s">
        <v>1014</v>
      </c>
      <c r="C117" s="226"/>
      <c r="D117" s="212" t="str">
        <f>"IND"&amp;RIGHT(H117,4)&amp;RIGHT(G117,3)&amp;"N"&amp;RIGHT(E117,2)</f>
        <v>INDMDPHELCN10</v>
      </c>
      <c r="E117" s="261" t="str">
        <f>"Industrial heating technology "&amp;$AJ$12&amp;" "&amp;RIGHT(H117,2)&amp;" - Direct electric heating - new 10"</f>
        <v>Industrial heating technology Machinery PH - Direct electric heating - new 10</v>
      </c>
      <c r="F117" s="224" t="s">
        <v>1149</v>
      </c>
      <c r="G117" s="173" t="s">
        <v>499</v>
      </c>
      <c r="H117" s="174" t="str">
        <f>$AI$14</f>
        <v>IMDPH</v>
      </c>
      <c r="I117" s="174" t="str">
        <f t="shared" si="22"/>
        <v>INDMWH</v>
      </c>
      <c r="J117" s="224">
        <f t="shared" si="32"/>
        <v>2011</v>
      </c>
      <c r="K117" s="299">
        <v>2020</v>
      </c>
      <c r="L117" s="199">
        <f t="shared" ca="1" si="122"/>
        <v>1</v>
      </c>
      <c r="M117" s="199"/>
      <c r="N117" s="81">
        <f ca="1">VLOOKUP($AD117,INDIRECT("'"&amp;$B117&amp;"'!"&amp;"$P$39:$AD$42"),5,FALSE)</f>
        <v>12.5</v>
      </c>
      <c r="O117" s="723">
        <f t="shared" ca="1" si="123"/>
        <v>0.44700000000000001</v>
      </c>
      <c r="P117" s="723">
        <f t="shared" ca="1" si="124"/>
        <v>0</v>
      </c>
      <c r="Q117" s="81">
        <f t="shared" ca="1" si="125"/>
        <v>0.37767361111111114</v>
      </c>
      <c r="R117" s="81">
        <v>3.1536000000000002E-2</v>
      </c>
      <c r="S117" s="199">
        <v>0.5</v>
      </c>
      <c r="T117" s="199">
        <f ca="1">HLOOKUP($S$2,INDIRECT("'"&amp;$B117&amp;"'!"&amp;"$P$6:$AC$19"),IF(H117=$AI$13,6,IF(H117=$AI$14,9,14)),FALSE)</f>
        <v>0.05</v>
      </c>
      <c r="U117" s="772"/>
      <c r="V117" s="199">
        <f t="shared" ref="V117" ca="1" si="133">IF(IF(RIGHT(H117,2)="PH",(1-L117)+$W$2,IF(RIGHT(H117,2)="HT",(1-L117)+$W$1,IF(RIGHT(H117,2)="SH",(1-L117)+$W$3,"")))&gt;0,IF(RIGHT(H117,2)="PH",(1-L117)+$W$2,IF(RIGHT(H117,2)="HT",(1-L117)+$W$1,IF(RIGHT(H117,2)="SH",(1-L117)+$W$3,""))),0)</f>
        <v>0.2</v>
      </c>
      <c r="W117" s="298"/>
      <c r="X117" s="698">
        <f t="shared" ca="1" si="79"/>
        <v>0</v>
      </c>
      <c r="Y117" s="81">
        <f t="shared" ca="1" si="127"/>
        <v>0</v>
      </c>
      <c r="Z117" s="81">
        <f t="shared" ca="1" si="128"/>
        <v>0</v>
      </c>
      <c r="AA117" s="81">
        <f t="shared" ca="1" si="129"/>
        <v>0</v>
      </c>
      <c r="AB117" s="81">
        <f t="shared" ca="1" si="130"/>
        <v>0</v>
      </c>
      <c r="AD117" s="81">
        <v>2020</v>
      </c>
      <c r="AE117" s="299"/>
      <c r="AF117" s="220"/>
    </row>
    <row r="118" spans="2:32">
      <c r="B118" s="718" t="s">
        <v>1014</v>
      </c>
      <c r="C118" s="226"/>
      <c r="D118" s="212"/>
      <c r="E118" s="212"/>
      <c r="F118" s="224" t="s">
        <v>1149</v>
      </c>
      <c r="H118" s="174"/>
      <c r="I118" s="174" t="str">
        <f t="shared" si="22"/>
        <v>INDMWH</v>
      </c>
      <c r="J118" s="224">
        <f t="shared" si="32"/>
        <v>2030</v>
      </c>
      <c r="K118" s="81"/>
      <c r="L118" s="199">
        <f t="shared" ca="1" si="122"/>
        <v>1</v>
      </c>
      <c r="M118" s="199"/>
      <c r="N118" s="81"/>
      <c r="O118" s="723">
        <f t="shared" ca="1" si="123"/>
        <v>0.44700000000000001</v>
      </c>
      <c r="P118" s="723">
        <f t="shared" ca="1" si="124"/>
        <v>0</v>
      </c>
      <c r="Q118" s="81">
        <f t="shared" ca="1" si="125"/>
        <v>0.38802083333333331</v>
      </c>
      <c r="R118" s="300"/>
      <c r="S118" s="300"/>
      <c r="T118" s="300"/>
      <c r="U118" s="300"/>
      <c r="V118" s="199">
        <f t="shared" ref="V118" ca="1" si="134">IF(IF(RIGHT(H117,2)="PH",(1-L118)+$W$2,IF(RIGHT(H117,2)="HT",(1-L118)+$W$1,IF(RIGHT(H117,2)="SH",(1-L118)+$W$3,"")))&gt;0,IF(RIGHT(H117,2)="PH",(1-L118)+$W$2,IF(RIGHT(H117,2)="HT",(1-L118)+$W$1,IF(RIGHT(H117,2)="SH",(1-L118)+$W$3,""))),0)</f>
        <v>0.2</v>
      </c>
      <c r="W118" s="298"/>
      <c r="X118" s="698">
        <f t="shared" ca="1" si="79"/>
        <v>0</v>
      </c>
      <c r="Y118" s="81">
        <f t="shared" ca="1" si="127"/>
        <v>0</v>
      </c>
      <c r="Z118" s="81">
        <f t="shared" ca="1" si="128"/>
        <v>0</v>
      </c>
      <c r="AA118" s="81">
        <f t="shared" ca="1" si="129"/>
        <v>0</v>
      </c>
      <c r="AB118" s="81">
        <f t="shared" ca="1" si="130"/>
        <v>0</v>
      </c>
      <c r="AD118" s="81">
        <v>2030</v>
      </c>
      <c r="AE118" s="81"/>
      <c r="AF118" s="220"/>
    </row>
    <row r="119" spans="2:32">
      <c r="B119" s="719" t="s">
        <v>1014</v>
      </c>
      <c r="C119" s="713"/>
      <c r="D119" s="701"/>
      <c r="E119" s="701"/>
      <c r="F119" s="224" t="s">
        <v>1149</v>
      </c>
      <c r="G119" s="203"/>
      <c r="H119" s="702"/>
      <c r="I119" s="702" t="str">
        <f t="shared" si="22"/>
        <v>INDMWH</v>
      </c>
      <c r="J119" s="224">
        <f t="shared" si="32"/>
        <v>2050</v>
      </c>
      <c r="K119" s="81"/>
      <c r="L119" s="199">
        <f t="shared" ca="1" si="122"/>
        <v>1</v>
      </c>
      <c r="M119" s="199"/>
      <c r="N119" s="81"/>
      <c r="O119" s="723">
        <f t="shared" ca="1" si="123"/>
        <v>0.44700000000000001</v>
      </c>
      <c r="P119" s="723">
        <f t="shared" ca="1" si="124"/>
        <v>0</v>
      </c>
      <c r="Q119" s="81">
        <f t="shared" ca="1" si="125"/>
        <v>0.39319444444444446</v>
      </c>
      <c r="R119" s="703"/>
      <c r="S119" s="703"/>
      <c r="T119" s="703"/>
      <c r="U119" s="703"/>
      <c r="V119" s="199">
        <f t="shared" ref="V119" ca="1" si="135">IF(IF(RIGHT(H117,2)="PH",(1-L119)+$W$2,IF(RIGHT(H117,2)="HT",(1-L119)+$W$1,IF(RIGHT(H117,2)="SH",(1-L119)+$W$3,"")))&gt;0,IF(RIGHT(H117,2)="PH",(1-L119)+$W$2,IF(RIGHT(H117,2)="HT",(1-L119)+$W$1,IF(RIGHT(H117,2)="SH",(1-L119)+$W$3,""))),0)</f>
        <v>0.2</v>
      </c>
      <c r="W119" s="704"/>
      <c r="X119" s="698">
        <f t="shared" ca="1" si="79"/>
        <v>0</v>
      </c>
      <c r="Y119" s="81">
        <f t="shared" ca="1" si="127"/>
        <v>0</v>
      </c>
      <c r="Z119" s="81">
        <f t="shared" ca="1" si="128"/>
        <v>0</v>
      </c>
      <c r="AA119" s="81">
        <f t="shared" ca="1" si="129"/>
        <v>0</v>
      </c>
      <c r="AB119" s="81">
        <f t="shared" ca="1" si="130"/>
        <v>0</v>
      </c>
      <c r="AD119" s="81">
        <v>2050</v>
      </c>
      <c r="AE119" s="81"/>
      <c r="AF119" s="220"/>
    </row>
    <row r="120" spans="2:32">
      <c r="B120" s="718" t="s">
        <v>1009</v>
      </c>
      <c r="C120" s="226"/>
      <c r="D120" s="212" t="str">
        <f>"IND"&amp;RIGHT(H120,4)&amp;"DSL"&amp;"N"&amp;RIGHT(E120,1)</f>
        <v>INDMDPHDSLN1</v>
      </c>
      <c r="E120" s="261" t="str">
        <f>"Industrial heating technology "&amp;$AJ$12&amp;" "&amp;RIGHT(H120,2)&amp;" - Oil boiler (Steam) - new 1"</f>
        <v>Industrial heating technology Machinery PH - Oil boiler (Steam) - new 1</v>
      </c>
      <c r="F120" s="224" t="s">
        <v>1149</v>
      </c>
      <c r="G120" s="173" t="s">
        <v>2081</v>
      </c>
      <c r="H120" s="174" t="str">
        <f>$AI$13</f>
        <v>IMDPH</v>
      </c>
      <c r="I120" s="174" t="str">
        <f t="shared" si="22"/>
        <v>INDMWH</v>
      </c>
      <c r="J120" s="224">
        <f t="shared" si="32"/>
        <v>2011</v>
      </c>
      <c r="K120" s="299">
        <v>2025</v>
      </c>
      <c r="L120" s="199">
        <f t="shared" ca="1" si="122"/>
        <v>0.94</v>
      </c>
      <c r="M120" s="699"/>
      <c r="N120" s="299">
        <f ca="1">VLOOKUP($AD120,INDIRECT("'"&amp;$B120&amp;"'!"&amp;"$P$39:$AD$42"),5,FALSE)</f>
        <v>25</v>
      </c>
      <c r="O120" s="725">
        <f t="shared" ca="1" si="123"/>
        <v>0.40975</v>
      </c>
      <c r="P120" s="725">
        <f t="shared" ca="1" si="124"/>
        <v>1.341E-2</v>
      </c>
      <c r="Q120" s="299">
        <f t="shared" ca="1" si="125"/>
        <v>2.0694444444444446</v>
      </c>
      <c r="R120" s="299">
        <v>3.1536000000000002E-2</v>
      </c>
      <c r="S120" s="699">
        <v>0.5</v>
      </c>
      <c r="T120" s="699">
        <f ca="1">HLOOKUP($T$2,INDIRECT("'"&amp;$B120&amp;"'!"&amp;"$P$6:$AC$19"),IF(H120=$AI$13,6,IF(H120=$AI$14,9,14)),FALSE)</f>
        <v>1</v>
      </c>
      <c r="U120" s="772"/>
      <c r="V120" s="199">
        <f t="shared" ref="V120" ca="1" si="136">IF(IF(RIGHT(H120,2)="PH",(1-L120)+$W$2,IF(RIGHT(H120,2)="HT",(1-L120)+$W$1,IF(RIGHT(H120,2)="SH",(1-L120)+$W$3,"")))&gt;0,IF(RIGHT(H120,2)="PH",(1-L120)+$W$2,IF(RIGHT(H120,2)="HT",(1-L120)+$W$1,IF(RIGHT(H120,2)="SH",(1-L120)+$W$3,""))),0)</f>
        <v>0.26000000000000006</v>
      </c>
      <c r="W120" s="298"/>
      <c r="X120" s="698">
        <f t="shared" ca="1" si="79"/>
        <v>0.5</v>
      </c>
      <c r="Y120" s="299">
        <f t="shared" ca="1" si="127"/>
        <v>25</v>
      </c>
      <c r="Z120" s="299">
        <f t="shared" ca="1" si="128"/>
        <v>0</v>
      </c>
      <c r="AA120" s="299">
        <f t="shared" ca="1" si="129"/>
        <v>0</v>
      </c>
      <c r="AB120" s="299">
        <f t="shared" ca="1" si="130"/>
        <v>0.1</v>
      </c>
      <c r="AD120" s="299">
        <v>2020</v>
      </c>
      <c r="AE120" s="81"/>
      <c r="AF120" s="220"/>
    </row>
    <row r="121" spans="2:32">
      <c r="B121" s="718" t="s">
        <v>1009</v>
      </c>
      <c r="C121" s="226"/>
      <c r="D121" s="212"/>
      <c r="E121" s="212"/>
      <c r="F121" s="224" t="s">
        <v>1149</v>
      </c>
      <c r="H121" s="174"/>
      <c r="I121" s="174" t="str">
        <f t="shared" si="22"/>
        <v>INDMWH</v>
      </c>
      <c r="J121" s="224">
        <f t="shared" si="32"/>
        <v>2030</v>
      </c>
      <c r="K121" s="81"/>
      <c r="L121" s="199">
        <f t="shared" ca="1" si="122"/>
        <v>0.95</v>
      </c>
      <c r="M121" s="199"/>
      <c r="N121" s="81"/>
      <c r="O121" s="723">
        <f t="shared" ca="1" si="123"/>
        <v>0.3469940346244772</v>
      </c>
      <c r="P121" s="723">
        <f t="shared" ca="1" si="124"/>
        <v>1.2664999999999999E-2</v>
      </c>
      <c r="Q121" s="81">
        <f t="shared" ca="1" si="125"/>
        <v>1.8625</v>
      </c>
      <c r="R121" s="300"/>
      <c r="S121" s="300"/>
      <c r="T121" s="300"/>
      <c r="U121" s="300"/>
      <c r="V121" s="199">
        <f t="shared" ref="V121" ca="1" si="137">IF(IF(RIGHT(H120,2)="PH",(1-L121)+$W$2,IF(RIGHT(H120,2)="HT",(1-L121)+$W$1,IF(RIGHT(H120,2)="SH",(1-L121)+$W$3,"")))&gt;0,IF(RIGHT(H120,2)="PH",(1-L121)+$W$2,IF(RIGHT(H120,2)="HT",(1-L121)+$W$1,IF(RIGHT(H120,2)="SH",(1-L121)+$W$3,""))),0)</f>
        <v>0.25000000000000006</v>
      </c>
      <c r="W121" s="298"/>
      <c r="X121" s="698">
        <f t="shared" ca="1" si="79"/>
        <v>0.5</v>
      </c>
      <c r="Y121" s="81">
        <f t="shared" ca="1" si="127"/>
        <v>20</v>
      </c>
      <c r="Z121" s="81">
        <f t="shared" ca="1" si="128"/>
        <v>0</v>
      </c>
      <c r="AA121" s="81">
        <f t="shared" ca="1" si="129"/>
        <v>0</v>
      </c>
      <c r="AB121" s="81">
        <f t="shared" ca="1" si="130"/>
        <v>0.1</v>
      </c>
      <c r="AD121" s="81">
        <v>2030</v>
      </c>
      <c r="AE121" s="81"/>
      <c r="AF121" s="220"/>
    </row>
    <row r="122" spans="2:32">
      <c r="B122" s="718" t="s">
        <v>1009</v>
      </c>
      <c r="C122" s="226"/>
      <c r="D122" s="212"/>
      <c r="E122" s="212"/>
      <c r="F122" s="224" t="s">
        <v>1149</v>
      </c>
      <c r="H122" s="174"/>
      <c r="I122" s="174" t="str">
        <f t="shared" si="22"/>
        <v>INDMWH</v>
      </c>
      <c r="J122" s="224">
        <f t="shared" si="32"/>
        <v>2050</v>
      </c>
      <c r="K122" s="81"/>
      <c r="L122" s="199">
        <f t="shared" ca="1" si="122"/>
        <v>0.96</v>
      </c>
      <c r="M122" s="199"/>
      <c r="N122" s="81"/>
      <c r="O122" s="723">
        <f t="shared" ca="1" si="123"/>
        <v>0.32813985758696651</v>
      </c>
      <c r="P122" s="723">
        <f t="shared" ca="1" si="124"/>
        <v>1.1175000000000001E-2</v>
      </c>
      <c r="Q122" s="81">
        <f t="shared" ca="1" si="125"/>
        <v>1.8625</v>
      </c>
      <c r="R122" s="300"/>
      <c r="S122" s="300"/>
      <c r="T122" s="300"/>
      <c r="U122" s="300"/>
      <c r="V122" s="199">
        <f t="shared" ref="V122" ca="1" si="138">IF(IF(RIGHT(H120,2)="PH",(1-L122)+$W$2,IF(RIGHT(H120,2)="HT",(1-L122)+$W$1,IF(RIGHT(H120,2)="SH",(1-L122)+$W$3,"")))&gt;0,IF(RIGHT(H120,2)="PH",(1-L122)+$W$2,IF(RIGHT(H120,2)="HT",(1-L122)+$W$1,IF(RIGHT(H120,2)="SH",(1-L122)+$W$3,""))),0)</f>
        <v>0.24000000000000005</v>
      </c>
      <c r="W122" s="298"/>
      <c r="X122" s="698">
        <f t="shared" ca="1" si="79"/>
        <v>0.5</v>
      </c>
      <c r="Y122" s="81">
        <f t="shared" ca="1" si="127"/>
        <v>15</v>
      </c>
      <c r="Z122" s="81">
        <f t="shared" ca="1" si="128"/>
        <v>0</v>
      </c>
      <c r="AA122" s="81">
        <f t="shared" ca="1" si="129"/>
        <v>0</v>
      </c>
      <c r="AB122" s="81">
        <f t="shared" ca="1" si="130"/>
        <v>0.1</v>
      </c>
      <c r="AD122" s="81">
        <v>2050</v>
      </c>
      <c r="AE122" s="81"/>
      <c r="AF122" s="220"/>
    </row>
    <row r="123" spans="2:32">
      <c r="B123" s="718" t="s">
        <v>1009</v>
      </c>
      <c r="C123" s="226"/>
      <c r="D123" s="212" t="str">
        <f>"IND"&amp;RIGHT(H123,4)&amp;"DSL"&amp;"N"&amp;RIGHT(E123,1)</f>
        <v>INDMDPHDSLN1</v>
      </c>
      <c r="E123" s="261" t="str">
        <f>"Industrial heating technology "&amp;$AJ$12&amp;" "&amp;RIGHT(H123,2)&amp;" - Oil boiler (Steam) - new 1"</f>
        <v>Industrial heating technology Machinery PH - Oil boiler (Steam) - new 1</v>
      </c>
      <c r="F123" s="224" t="s">
        <v>1149</v>
      </c>
      <c r="G123" s="173" t="s">
        <v>2081</v>
      </c>
      <c r="H123" s="174" t="str">
        <f>$AI$14</f>
        <v>IMDPH</v>
      </c>
      <c r="I123" s="174" t="str">
        <f t="shared" si="22"/>
        <v>INDMWH</v>
      </c>
      <c r="J123" s="224">
        <f t="shared" si="32"/>
        <v>2011</v>
      </c>
      <c r="K123" s="299">
        <v>2025</v>
      </c>
      <c r="L123" s="199">
        <f t="shared" ca="1" si="122"/>
        <v>0.94</v>
      </c>
      <c r="M123" s="199"/>
      <c r="N123" s="81">
        <f ca="1">VLOOKUP($AD123,INDIRECT("'"&amp;$B123&amp;"'!"&amp;"$P$39:$AD$42"),5,FALSE)</f>
        <v>25</v>
      </c>
      <c r="O123" s="723">
        <f t="shared" ca="1" si="123"/>
        <v>0.40975</v>
      </c>
      <c r="P123" s="723">
        <f t="shared" ca="1" si="124"/>
        <v>1.341E-2</v>
      </c>
      <c r="Q123" s="81">
        <f t="shared" ca="1" si="125"/>
        <v>2.0694444444444446</v>
      </c>
      <c r="R123" s="81">
        <v>3.1536000000000002E-2</v>
      </c>
      <c r="S123" s="199">
        <v>0.5</v>
      </c>
      <c r="T123" s="199">
        <f ca="1">HLOOKUP($T$2,INDIRECT("'"&amp;$B123&amp;"'!"&amp;"$P$6:$AC$19"),IF(H123=$AI$13,6,IF(H123=$AI$14,9,14)),FALSE)</f>
        <v>1</v>
      </c>
      <c r="U123" s="772"/>
      <c r="V123" s="199">
        <f t="shared" ref="V123" ca="1" si="139">IF(IF(RIGHT(H123,2)="PH",(1-L123)+$W$2,IF(RIGHT(H123,2)="HT",(1-L123)+$W$1,IF(RIGHT(H123,2)="SH",(1-L123)+$W$3,"")))&gt;0,IF(RIGHT(H123,2)="PH",(1-L123)+$W$2,IF(RIGHT(H123,2)="HT",(1-L123)+$W$1,IF(RIGHT(H123,2)="SH",(1-L123)+$W$3,""))),0)</f>
        <v>0.26000000000000006</v>
      </c>
      <c r="W123" s="298"/>
      <c r="X123" s="698">
        <f t="shared" ca="1" si="79"/>
        <v>0.5</v>
      </c>
      <c r="Y123" s="81">
        <f t="shared" ca="1" si="127"/>
        <v>25</v>
      </c>
      <c r="Z123" s="81">
        <f t="shared" ca="1" si="128"/>
        <v>0</v>
      </c>
      <c r="AA123" s="81">
        <f t="shared" ca="1" si="129"/>
        <v>0</v>
      </c>
      <c r="AB123" s="81">
        <f t="shared" ca="1" si="130"/>
        <v>0.1</v>
      </c>
      <c r="AD123" s="81">
        <v>2020</v>
      </c>
      <c r="AE123" s="81"/>
      <c r="AF123" s="220"/>
    </row>
    <row r="124" spans="2:32">
      <c r="B124" s="718" t="s">
        <v>1009</v>
      </c>
      <c r="C124" s="226"/>
      <c r="D124" s="212"/>
      <c r="E124" s="212"/>
      <c r="F124" s="224" t="s">
        <v>1149</v>
      </c>
      <c r="H124" s="174"/>
      <c r="I124" s="174" t="str">
        <f t="shared" si="22"/>
        <v>INDMWH</v>
      </c>
      <c r="J124" s="224">
        <f t="shared" si="32"/>
        <v>2030</v>
      </c>
      <c r="K124" s="81"/>
      <c r="L124" s="199">
        <f t="shared" ca="1" si="122"/>
        <v>0.95</v>
      </c>
      <c r="M124" s="199"/>
      <c r="N124" s="81"/>
      <c r="O124" s="723">
        <f t="shared" ca="1" si="123"/>
        <v>0.3469940346244772</v>
      </c>
      <c r="P124" s="723">
        <f t="shared" ca="1" si="124"/>
        <v>1.2664999999999999E-2</v>
      </c>
      <c r="Q124" s="81">
        <f t="shared" ca="1" si="125"/>
        <v>1.8625</v>
      </c>
      <c r="R124" s="300"/>
      <c r="S124" s="300"/>
      <c r="T124" s="300"/>
      <c r="U124" s="300"/>
      <c r="V124" s="199">
        <f t="shared" ref="V124" ca="1" si="140">IF(IF(RIGHT(H123,2)="PH",(1-L124)+$W$2,IF(RIGHT(H123,2)="HT",(1-L124)+$W$1,IF(RIGHT(H123,2)="SH",(1-L124)+$W$3,"")))&gt;0,IF(RIGHT(H123,2)="PH",(1-L124)+$W$2,IF(RIGHT(H123,2)="HT",(1-L124)+$W$1,IF(RIGHT(H123,2)="SH",(1-L124)+$W$3,""))),0)</f>
        <v>0.25000000000000006</v>
      </c>
      <c r="W124" s="298"/>
      <c r="X124" s="698">
        <f t="shared" ca="1" si="79"/>
        <v>0.5</v>
      </c>
      <c r="Y124" s="81">
        <f t="shared" ca="1" si="127"/>
        <v>20</v>
      </c>
      <c r="Z124" s="81">
        <f t="shared" ca="1" si="128"/>
        <v>0</v>
      </c>
      <c r="AA124" s="81">
        <f t="shared" ca="1" si="129"/>
        <v>0</v>
      </c>
      <c r="AB124" s="81">
        <f t="shared" ca="1" si="130"/>
        <v>0.1</v>
      </c>
      <c r="AD124" s="81">
        <v>2030</v>
      </c>
      <c r="AE124" s="81"/>
      <c r="AF124" s="220"/>
    </row>
    <row r="125" spans="2:32">
      <c r="B125" s="718" t="s">
        <v>1009</v>
      </c>
      <c r="C125" s="226"/>
      <c r="D125" s="212"/>
      <c r="E125" s="212"/>
      <c r="F125" s="224" t="s">
        <v>1149</v>
      </c>
      <c r="H125" s="174"/>
      <c r="I125" s="174" t="str">
        <f t="shared" si="22"/>
        <v>INDMWH</v>
      </c>
      <c r="J125" s="224">
        <f t="shared" si="32"/>
        <v>2050</v>
      </c>
      <c r="K125" s="81"/>
      <c r="L125" s="199">
        <f t="shared" ca="1" si="122"/>
        <v>0.96</v>
      </c>
      <c r="M125" s="199"/>
      <c r="N125" s="81"/>
      <c r="O125" s="723">
        <f t="shared" ca="1" si="123"/>
        <v>0.32813985758696651</v>
      </c>
      <c r="P125" s="723">
        <f t="shared" ca="1" si="124"/>
        <v>1.1175000000000001E-2</v>
      </c>
      <c r="Q125" s="81">
        <f t="shared" ca="1" si="125"/>
        <v>1.8625</v>
      </c>
      <c r="R125" s="300"/>
      <c r="S125" s="300"/>
      <c r="T125" s="300"/>
      <c r="U125" s="300"/>
      <c r="V125" s="199">
        <f t="shared" ref="V125" ca="1" si="141">IF(IF(RIGHT(H123,2)="PH",(1-L125)+$W$2,IF(RIGHT(H123,2)="HT",(1-L125)+$W$1,IF(RIGHT(H123,2)="SH",(1-L125)+$W$3,"")))&gt;0,IF(RIGHT(H123,2)="PH",(1-L125)+$W$2,IF(RIGHT(H123,2)="HT",(1-L125)+$W$1,IF(RIGHT(H123,2)="SH",(1-L125)+$W$3,""))),0)</f>
        <v>0.24000000000000005</v>
      </c>
      <c r="W125" s="298"/>
      <c r="X125" s="698">
        <f t="shared" ca="1" si="79"/>
        <v>0.5</v>
      </c>
      <c r="Y125" s="81">
        <f t="shared" ca="1" si="127"/>
        <v>15</v>
      </c>
      <c r="Z125" s="81">
        <f t="shared" ca="1" si="128"/>
        <v>0</v>
      </c>
      <c r="AA125" s="81">
        <f t="shared" ca="1" si="129"/>
        <v>0</v>
      </c>
      <c r="AB125" s="81">
        <f t="shared" ca="1" si="130"/>
        <v>0.1</v>
      </c>
      <c r="AC125" s="203"/>
      <c r="AD125" s="81">
        <v>2050</v>
      </c>
      <c r="AE125" s="81"/>
      <c r="AF125" s="705"/>
    </row>
    <row r="126" spans="2:32">
      <c r="B126" s="718" t="s">
        <v>1009</v>
      </c>
      <c r="C126" s="226"/>
      <c r="D126" s="212" t="str">
        <f>"IND"&amp;RIGHT(H126,4)&amp;"DSL"&amp;"N"&amp;RIGHT(E126,1)</f>
        <v>INDMDSHDSLN1</v>
      </c>
      <c r="E126" s="261" t="str">
        <f>"Industrial heating technology "&amp;$AJ$12&amp;" "&amp;RIGHT(H126,2)&amp;" - Oil boiler (Steam) - new 1"</f>
        <v>Industrial heating technology Machinery SH - Oil boiler (Steam) - new 1</v>
      </c>
      <c r="F126" s="224" t="s">
        <v>1149</v>
      </c>
      <c r="G126" s="173" t="s">
        <v>2081</v>
      </c>
      <c r="H126" s="174" t="str">
        <f>$AI$15</f>
        <v>IMDSH</v>
      </c>
      <c r="I126" s="174" t="str">
        <f t="shared" si="22"/>
        <v>INDMWH</v>
      </c>
      <c r="J126" s="224">
        <f t="shared" si="32"/>
        <v>2011</v>
      </c>
      <c r="K126" s="299">
        <v>2025</v>
      </c>
      <c r="L126" s="199">
        <f t="shared" ca="1" si="122"/>
        <v>0.94</v>
      </c>
      <c r="M126" s="199"/>
      <c r="N126" s="81">
        <f ca="1">VLOOKUP($AD126,INDIRECT("'"&amp;$B126&amp;"'!"&amp;"$P$39:$AD$42"),5,FALSE)</f>
        <v>25</v>
      </c>
      <c r="O126" s="723">
        <f t="shared" ca="1" si="123"/>
        <v>0.40975</v>
      </c>
      <c r="P126" s="723">
        <f t="shared" ca="1" si="124"/>
        <v>1.341E-2</v>
      </c>
      <c r="Q126" s="81">
        <f t="shared" ca="1" si="125"/>
        <v>2.0694444444444446</v>
      </c>
      <c r="R126" s="81">
        <v>3.1536000000000002E-2</v>
      </c>
      <c r="S126" s="199">
        <v>0.5</v>
      </c>
      <c r="T126" s="199">
        <f ca="1">HLOOKUP($T$2,INDIRECT("'"&amp;$B126&amp;"'!"&amp;"$P$6:$AC$19"),IF(H126=$AI$13,6,IF(H126=$AI$14,9,14)),FALSE)</f>
        <v>1</v>
      </c>
      <c r="U126" s="772"/>
      <c r="V126" s="199">
        <f t="shared" ref="V126" ca="1" si="142">IF(IF(RIGHT(H126,2)="PH",(1-L126)+$W$2,IF(RIGHT(H126,2)="HT",(1-L126)+$W$1,IF(RIGHT(H126,2)="SH",(1-L126)+$W$3,"")))&gt;0,IF(RIGHT(H126,2)="PH",(1-L126)+$W$2,IF(RIGHT(H126,2)="HT",(1-L126)+$W$1,IF(RIGHT(H126,2)="SH",(1-L126)+$W$3,""))),0)</f>
        <v>6.0000000000000053E-2</v>
      </c>
      <c r="W126" s="298"/>
      <c r="X126" s="698">
        <f t="shared" ca="1" si="79"/>
        <v>0.5</v>
      </c>
      <c r="Y126" s="81">
        <f t="shared" ca="1" si="127"/>
        <v>25</v>
      </c>
      <c r="Z126" s="81">
        <f t="shared" ca="1" si="128"/>
        <v>0</v>
      </c>
      <c r="AA126" s="81">
        <f t="shared" ca="1" si="129"/>
        <v>0</v>
      </c>
      <c r="AB126" s="81">
        <f t="shared" ca="1" si="130"/>
        <v>0.1</v>
      </c>
      <c r="AC126" s="296"/>
      <c r="AD126" s="81">
        <v>2020</v>
      </c>
      <c r="AE126" s="81"/>
      <c r="AF126" s="710"/>
    </row>
    <row r="127" spans="2:32">
      <c r="B127" s="718" t="s">
        <v>1009</v>
      </c>
      <c r="C127" s="226"/>
      <c r="D127" s="212"/>
      <c r="E127" s="212"/>
      <c r="F127" s="224" t="s">
        <v>1149</v>
      </c>
      <c r="H127" s="174"/>
      <c r="I127" s="174" t="str">
        <f t="shared" ref="I127:I182" si="143">$AI$20</f>
        <v>INDMWH</v>
      </c>
      <c r="J127" s="224">
        <f t="shared" si="32"/>
        <v>2030</v>
      </c>
      <c r="K127" s="81"/>
      <c r="L127" s="199">
        <f t="shared" ca="1" si="122"/>
        <v>0.95</v>
      </c>
      <c r="M127" s="199"/>
      <c r="N127" s="81"/>
      <c r="O127" s="723">
        <f t="shared" ca="1" si="123"/>
        <v>0.3469940346244772</v>
      </c>
      <c r="P127" s="723">
        <f t="shared" ca="1" si="124"/>
        <v>1.2664999999999999E-2</v>
      </c>
      <c r="Q127" s="81">
        <f t="shared" ca="1" si="125"/>
        <v>1.8625</v>
      </c>
      <c r="R127" s="300"/>
      <c r="S127" s="300"/>
      <c r="T127" s="300"/>
      <c r="U127" s="300"/>
      <c r="V127" s="199">
        <f t="shared" ref="V127" ca="1" si="144">IF(IF(RIGHT(H126,2)="PH",(1-L127)+$W$2,IF(RIGHT(H126,2)="HT",(1-L127)+$W$1,IF(RIGHT(H126,2)="SH",(1-L127)+$W$3,"")))&gt;0,IF(RIGHT(H126,2)="PH",(1-L127)+$W$2,IF(RIGHT(H126,2)="HT",(1-L127)+$W$1,IF(RIGHT(H126,2)="SH",(1-L127)+$W$3,""))),0)</f>
        <v>5.0000000000000044E-2</v>
      </c>
      <c r="W127" s="298"/>
      <c r="X127" s="698">
        <f t="shared" ref="X127:X158" ca="1" si="145">IF(VLOOKUP($AD127,INDIRECT("'"&amp;$B127&amp;"'!"&amp;"$P$39:$AD$42"),11,FALSE)="Cf. the utilized electricity",0,VLOOKUP($AD127,INDIRECT("'"&amp;$B127&amp;"'!"&amp;"$P$39:$AD$42"),11,FALSE))</f>
        <v>0.5</v>
      </c>
      <c r="Y127" s="81">
        <f t="shared" ca="1" si="127"/>
        <v>20</v>
      </c>
      <c r="Z127" s="81">
        <f t="shared" ca="1" si="128"/>
        <v>0</v>
      </c>
      <c r="AA127" s="81">
        <f t="shared" ca="1" si="129"/>
        <v>0</v>
      </c>
      <c r="AB127" s="81">
        <f t="shared" ca="1" si="130"/>
        <v>0.1</v>
      </c>
      <c r="AC127" s="55"/>
      <c r="AD127" s="81">
        <v>2030</v>
      </c>
      <c r="AE127" s="81"/>
      <c r="AF127" s="700"/>
    </row>
    <row r="128" spans="2:32">
      <c r="B128" s="719" t="s">
        <v>1009</v>
      </c>
      <c r="C128" s="713"/>
      <c r="D128" s="701"/>
      <c r="E128" s="701"/>
      <c r="F128" s="224" t="s">
        <v>1149</v>
      </c>
      <c r="G128" s="203"/>
      <c r="H128" s="702"/>
      <c r="I128" s="702" t="str">
        <f t="shared" si="143"/>
        <v>INDMWH</v>
      </c>
      <c r="J128" s="224">
        <f t="shared" ref="J128:J186" si="146">IF(AD128=2020,2011,AD128)</f>
        <v>2050</v>
      </c>
      <c r="K128" s="81"/>
      <c r="L128" s="199">
        <f t="shared" ca="1" si="122"/>
        <v>0.96</v>
      </c>
      <c r="M128" s="199"/>
      <c r="N128" s="81"/>
      <c r="O128" s="723">
        <f t="shared" ca="1" si="123"/>
        <v>0.32813985758696651</v>
      </c>
      <c r="P128" s="723">
        <f t="shared" ca="1" si="124"/>
        <v>1.1175000000000001E-2</v>
      </c>
      <c r="Q128" s="81">
        <f t="shared" ca="1" si="125"/>
        <v>1.8625</v>
      </c>
      <c r="R128" s="703"/>
      <c r="S128" s="703"/>
      <c r="T128" s="703"/>
      <c r="U128" s="703"/>
      <c r="V128" s="199">
        <f t="shared" ref="V128" ca="1" si="147">IF(IF(RIGHT(H126,2)="PH",(1-L128)+$W$2,IF(RIGHT(H126,2)="HT",(1-L128)+$W$1,IF(RIGHT(H126,2)="SH",(1-L128)+$W$3,"")))&gt;0,IF(RIGHT(H126,2)="PH",(1-L128)+$W$2,IF(RIGHT(H126,2)="HT",(1-L128)+$W$1,IF(RIGHT(H126,2)="SH",(1-L128)+$W$3,""))),0)</f>
        <v>4.0000000000000036E-2</v>
      </c>
      <c r="W128" s="704"/>
      <c r="X128" s="698">
        <f t="shared" ca="1" si="145"/>
        <v>0.5</v>
      </c>
      <c r="Y128" s="81">
        <f t="shared" ca="1" si="127"/>
        <v>15</v>
      </c>
      <c r="Z128" s="81">
        <f t="shared" ca="1" si="128"/>
        <v>0</v>
      </c>
      <c r="AA128" s="81">
        <f t="shared" ca="1" si="129"/>
        <v>0</v>
      </c>
      <c r="AB128" s="81">
        <f t="shared" ca="1" si="130"/>
        <v>0.1</v>
      </c>
      <c r="AC128" s="55"/>
      <c r="AD128" s="81">
        <v>2050</v>
      </c>
      <c r="AE128" s="81"/>
      <c r="AF128" s="700"/>
    </row>
    <row r="129" spans="2:32">
      <c r="B129" s="718" t="s">
        <v>1009</v>
      </c>
      <c r="C129" s="226"/>
      <c r="D129" s="212" t="str">
        <f>"IND"&amp;RIGHT(H129,4)&amp;"DSL"&amp;"N"&amp;RIGHT(E129,1)</f>
        <v>INDMDPHDSLN2</v>
      </c>
      <c r="E129" s="707" t="str">
        <f>"Industrial heating technology "&amp;$AJ$12&amp;" "&amp;RIGHT(H129,2)&amp;" - Oil boiler (Steam - condensing) - new 2"</f>
        <v>Industrial heating technology Machinery PH - Oil boiler (Steam - condensing) - new 2</v>
      </c>
      <c r="F129" s="224" t="s">
        <v>1149</v>
      </c>
      <c r="G129" s="173" t="s">
        <v>2081</v>
      </c>
      <c r="H129" s="708" t="str">
        <f>$AI$14</f>
        <v>IMDPH</v>
      </c>
      <c r="I129" s="708" t="str">
        <f t="shared" si="143"/>
        <v>INDMWH</v>
      </c>
      <c r="J129" s="224">
        <f t="shared" si="146"/>
        <v>2011</v>
      </c>
      <c r="K129" s="299">
        <v>2025</v>
      </c>
      <c r="L129" s="199">
        <f t="shared" ref="L129:L134" ca="1" si="148">VLOOKUP($AD129,INDIRECT("'"&amp;$B129&amp;"'!"&amp;"$P$118:$AD$121"),3,FALSE)</f>
        <v>0.95</v>
      </c>
      <c r="M129" s="199"/>
      <c r="N129" s="81">
        <f ca="1">VLOOKUP($AD129,INDIRECT("'"&amp;$B129&amp;"'!"&amp;"$P$118:$AD$121"),5,FALSE)</f>
        <v>25</v>
      </c>
      <c r="O129" s="723">
        <f t="shared" ref="O129:O134" ca="1" si="149">VLOOKUP($AD129,INDIRECT("'"&amp;$B129&amp;"'!"&amp;"$P$118:$AD$121"),6,FALSE)/1000</f>
        <v>0.32780000000000004</v>
      </c>
      <c r="P129" s="723">
        <f t="shared" ref="P129:P134" ca="1" si="150">VLOOKUP($AD129,INDIRECT("'"&amp;$B129&amp;"'!"&amp;"$P$118:$AD$121"),7,FALSE)/1000</f>
        <v>1.341E-2</v>
      </c>
      <c r="Q129" s="81">
        <f t="shared" ref="Q129:Q134" ca="1" si="151">VLOOKUP($AD129,INDIRECT("'"&amp;$B129&amp;"'!"&amp;"$P$118:$AD$121"),8,FALSE)</f>
        <v>2.0694444444444446</v>
      </c>
      <c r="R129" s="81">
        <v>3.1536000000000002E-2</v>
      </c>
      <c r="S129" s="199">
        <v>0.5</v>
      </c>
      <c r="T129" s="199">
        <f ca="1">HLOOKUP($T$2,INDIRECT("'"&amp;$B129&amp;"'!"&amp;"$P$85:$AC$98"),IF(H129=$AI$13,6,IF(H129=$AI$14,9,14)),FALSE)</f>
        <v>0</v>
      </c>
      <c r="U129" s="773"/>
      <c r="V129" s="199">
        <f t="shared" ref="V129" ca="1" si="152">IF(IF(RIGHT(H129,2)="PH",(1-L129)+$W$2,IF(RIGHT(H129,2)="HT",(1-L129)+$W$1,IF(RIGHT(H129,2)="SH",(1-L129)+$W$3,"")))&gt;0,IF(RIGHT(H129,2)="PH",(1-L129)+$W$2,IF(RIGHT(H129,2)="HT",(1-L129)+$W$1,IF(RIGHT(H129,2)="SH",(1-L129)+$W$3,""))),0)</f>
        <v>0.25000000000000006</v>
      </c>
      <c r="W129" s="709"/>
      <c r="X129" s="698">
        <f t="shared" ca="1" si="145"/>
        <v>0.5</v>
      </c>
      <c r="Y129" s="698">
        <f t="shared" ref="Y129:Y134" ca="1" si="153">VLOOKUP($AD129,INDIRECT("'"&amp;$B129&amp;"'!"&amp;"$P$118:$AD$121"),12,FALSE)</f>
        <v>25</v>
      </c>
      <c r="Z129" s="698">
        <f t="shared" ref="Z129:Z134" ca="1" si="154">VLOOKUP($AD129,INDIRECT("'"&amp;$B129&amp;"'!"&amp;"$P$118:$AD$121"),13,FALSE)</f>
        <v>0</v>
      </c>
      <c r="AA129" s="698">
        <f t="shared" ref="AA129:AA134" ca="1" si="155">VLOOKUP($AD129,INDIRECT("'"&amp;$B129&amp;"'!"&amp;"$P$118:$AD$121"),14,FALSE)</f>
        <v>0</v>
      </c>
      <c r="AB129" s="698">
        <f t="shared" ref="AB129:AB134" ca="1" si="156">VLOOKUP($AD129,INDIRECT("'"&amp;$B129&amp;"'!"&amp;"$P$118:$AD$121"),15,FALSE)</f>
        <v>0.1</v>
      </c>
      <c r="AC129" s="55"/>
      <c r="AD129" s="81">
        <v>2020</v>
      </c>
      <c r="AE129" s="81"/>
      <c r="AF129" s="700"/>
    </row>
    <row r="130" spans="2:32">
      <c r="B130" s="718" t="s">
        <v>1009</v>
      </c>
      <c r="C130" s="226"/>
      <c r="D130" s="212"/>
      <c r="E130" s="261"/>
      <c r="F130" s="224" t="s">
        <v>1149</v>
      </c>
      <c r="G130" s="55"/>
      <c r="H130" s="174"/>
      <c r="I130" s="174" t="str">
        <f t="shared" si="143"/>
        <v>INDMWH</v>
      </c>
      <c r="J130" s="224">
        <f t="shared" si="146"/>
        <v>2030</v>
      </c>
      <c r="K130" s="81"/>
      <c r="L130" s="199">
        <f t="shared" ca="1" si="148"/>
        <v>0.96</v>
      </c>
      <c r="M130" s="199"/>
      <c r="N130" s="81"/>
      <c r="O130" s="723">
        <f t="shared" ca="1" si="149"/>
        <v>0.27759522769958173</v>
      </c>
      <c r="P130" s="723">
        <f t="shared" ca="1" si="150"/>
        <v>1.2664999999999999E-2</v>
      </c>
      <c r="Q130" s="81">
        <f t="shared" ca="1" si="151"/>
        <v>1.8625</v>
      </c>
      <c r="R130" s="300"/>
      <c r="S130" s="300"/>
      <c r="T130" s="300"/>
      <c r="U130" s="300"/>
      <c r="V130" s="199">
        <f t="shared" ref="V130" ca="1" si="157">IF(IF(RIGHT(H129,2)="PH",(1-L130)+$W$2,IF(RIGHT(H129,2)="HT",(1-L130)+$W$1,IF(RIGHT(H129,2)="SH",(1-L130)+$W$3,"")))&gt;0,IF(RIGHT(H129,2)="PH",(1-L130)+$W$2,IF(RIGHT(H129,2)="HT",(1-L130)+$W$1,IF(RIGHT(H129,2)="SH",(1-L130)+$W$3,""))),0)</f>
        <v>0.24000000000000005</v>
      </c>
      <c r="W130" s="298"/>
      <c r="X130" s="698">
        <f t="shared" ca="1" si="145"/>
        <v>0.5</v>
      </c>
      <c r="Y130" s="698">
        <f t="shared" ca="1" si="153"/>
        <v>20</v>
      </c>
      <c r="Z130" s="698">
        <f t="shared" ca="1" si="154"/>
        <v>0</v>
      </c>
      <c r="AA130" s="698">
        <f t="shared" ca="1" si="155"/>
        <v>0</v>
      </c>
      <c r="AB130" s="698">
        <f t="shared" ca="1" si="156"/>
        <v>0.1</v>
      </c>
      <c r="AC130" s="55"/>
      <c r="AD130" s="81">
        <v>2030</v>
      </c>
      <c r="AE130" s="81"/>
      <c r="AF130" s="700"/>
    </row>
    <row r="131" spans="2:32">
      <c r="B131" s="718" t="s">
        <v>1009</v>
      </c>
      <c r="C131" s="226"/>
      <c r="E131" s="261"/>
      <c r="F131" s="224" t="s">
        <v>1149</v>
      </c>
      <c r="G131" s="55"/>
      <c r="H131" s="174"/>
      <c r="I131" s="174" t="str">
        <f t="shared" si="143"/>
        <v>INDMWH</v>
      </c>
      <c r="J131" s="224">
        <f t="shared" si="146"/>
        <v>2050</v>
      </c>
      <c r="K131" s="81"/>
      <c r="L131" s="199">
        <f t="shared" ca="1" si="148"/>
        <v>0.97</v>
      </c>
      <c r="M131" s="199"/>
      <c r="N131" s="81"/>
      <c r="O131" s="723">
        <f t="shared" ca="1" si="149"/>
        <v>0.26251188606957326</v>
      </c>
      <c r="P131" s="723">
        <f t="shared" ca="1" si="150"/>
        <v>1.1175000000000001E-2</v>
      </c>
      <c r="Q131" s="81">
        <f t="shared" ca="1" si="151"/>
        <v>1.8625</v>
      </c>
      <c r="R131" s="300"/>
      <c r="S131" s="300"/>
      <c r="T131" s="300"/>
      <c r="U131" s="300"/>
      <c r="V131" s="199">
        <f t="shared" ref="V131" ca="1" si="158">IF(IF(RIGHT(H129,2)="PH",(1-L131)+$W$2,IF(RIGHT(H129,2)="HT",(1-L131)+$W$1,IF(RIGHT(H129,2)="SH",(1-L131)+$W$3,"")))&gt;0,IF(RIGHT(H129,2)="PH",(1-L131)+$W$2,IF(RIGHT(H129,2)="HT",(1-L131)+$W$1,IF(RIGHT(H129,2)="SH",(1-L131)+$W$3,""))),0)</f>
        <v>0.23000000000000004</v>
      </c>
      <c r="W131" s="298"/>
      <c r="X131" s="698">
        <f t="shared" ca="1" si="145"/>
        <v>0.5</v>
      </c>
      <c r="Y131" s="698">
        <f t="shared" ca="1" si="153"/>
        <v>15</v>
      </c>
      <c r="Z131" s="698">
        <f t="shared" ca="1" si="154"/>
        <v>0</v>
      </c>
      <c r="AA131" s="698">
        <f t="shared" ca="1" si="155"/>
        <v>0</v>
      </c>
      <c r="AB131" s="698">
        <f t="shared" ca="1" si="156"/>
        <v>0.1</v>
      </c>
      <c r="AC131" s="203"/>
      <c r="AD131" s="81">
        <v>2050</v>
      </c>
      <c r="AE131" s="81"/>
      <c r="AF131" s="705"/>
    </row>
    <row r="132" spans="2:32">
      <c r="B132" s="718" t="s">
        <v>1009</v>
      </c>
      <c r="C132" s="226"/>
      <c r="D132" s="212" t="str">
        <f>"IND"&amp;RIGHT(H132,4)&amp;"DSL"&amp;"N"&amp;RIGHT(E132,1)</f>
        <v>INDMDSHDSLN2</v>
      </c>
      <c r="E132" s="261" t="str">
        <f>"Industrial heating technology "&amp;$AJ$12&amp;" "&amp;RIGHT(H132,2)&amp;" - Oil boiler (Steam - condensing) - new 2"</f>
        <v>Industrial heating technology Machinery SH - Oil boiler (Steam - condensing) - new 2</v>
      </c>
      <c r="F132" s="224" t="s">
        <v>1149</v>
      </c>
      <c r="G132" s="173" t="s">
        <v>2081</v>
      </c>
      <c r="H132" s="174" t="str">
        <f>$AI$15</f>
        <v>IMDSH</v>
      </c>
      <c r="I132" s="174" t="str">
        <f t="shared" si="143"/>
        <v>INDMWH</v>
      </c>
      <c r="J132" s="224">
        <f t="shared" si="146"/>
        <v>2011</v>
      </c>
      <c r="K132" s="299">
        <v>2025</v>
      </c>
      <c r="L132" s="199">
        <f t="shared" ca="1" si="148"/>
        <v>0.95</v>
      </c>
      <c r="M132" s="199"/>
      <c r="N132" s="81">
        <f ca="1">VLOOKUP($AD132,INDIRECT("'"&amp;$B132&amp;"'!"&amp;"$P$118:$AD$121"),5,FALSE)</f>
        <v>25</v>
      </c>
      <c r="O132" s="723">
        <f t="shared" ca="1" si="149"/>
        <v>0.32780000000000004</v>
      </c>
      <c r="P132" s="723">
        <f t="shared" ca="1" si="150"/>
        <v>1.341E-2</v>
      </c>
      <c r="Q132" s="81">
        <f t="shared" ca="1" si="151"/>
        <v>2.0694444444444446</v>
      </c>
      <c r="R132" s="81">
        <v>3.1536000000000002E-2</v>
      </c>
      <c r="S132" s="199">
        <v>0.5</v>
      </c>
      <c r="T132" s="199">
        <f ca="1">HLOOKUP($T$2,INDIRECT("'"&amp;$B132&amp;"'!"&amp;"$P$85:$AC$98"),IF(H132=$AI$13,6,IF(H132=$AI$14,9,14)),FALSE)</f>
        <v>1</v>
      </c>
      <c r="U132" s="772"/>
      <c r="V132" s="199">
        <f t="shared" ref="V132" ca="1" si="159">IF(IF(RIGHT(H132,2)="PH",(1-L132)+$W$2,IF(RIGHT(H132,2)="HT",(1-L132)+$W$1,IF(RIGHT(H132,2)="SH",(1-L132)+$W$3,"")))&gt;0,IF(RIGHT(H132,2)="PH",(1-L132)+$W$2,IF(RIGHT(H132,2)="HT",(1-L132)+$W$1,IF(RIGHT(H132,2)="SH",(1-L132)+$W$3,""))),0)</f>
        <v>5.0000000000000044E-2</v>
      </c>
      <c r="W132" s="298"/>
      <c r="X132" s="698">
        <f t="shared" ca="1" si="145"/>
        <v>0.5</v>
      </c>
      <c r="Y132" s="698">
        <f t="shared" ca="1" si="153"/>
        <v>25</v>
      </c>
      <c r="Z132" s="698">
        <f t="shared" ca="1" si="154"/>
        <v>0</v>
      </c>
      <c r="AA132" s="698">
        <f t="shared" ca="1" si="155"/>
        <v>0</v>
      </c>
      <c r="AB132" s="698">
        <f t="shared" ca="1" si="156"/>
        <v>0.1</v>
      </c>
      <c r="AD132" s="81">
        <v>2020</v>
      </c>
      <c r="AE132" s="299"/>
      <c r="AF132" s="220"/>
    </row>
    <row r="133" spans="2:32">
      <c r="B133" s="718" t="s">
        <v>1009</v>
      </c>
      <c r="C133" s="226"/>
      <c r="E133" s="261"/>
      <c r="F133" s="224" t="s">
        <v>1149</v>
      </c>
      <c r="G133" s="55"/>
      <c r="H133" s="174"/>
      <c r="I133" s="174" t="str">
        <f t="shared" si="143"/>
        <v>INDMWH</v>
      </c>
      <c r="J133" s="224">
        <f t="shared" si="146"/>
        <v>2030</v>
      </c>
      <c r="K133" s="81"/>
      <c r="L133" s="199">
        <f t="shared" ca="1" si="148"/>
        <v>0.96</v>
      </c>
      <c r="M133" s="199"/>
      <c r="N133" s="81"/>
      <c r="O133" s="723">
        <f t="shared" ca="1" si="149"/>
        <v>0.27759522769958173</v>
      </c>
      <c r="P133" s="723">
        <f t="shared" ca="1" si="150"/>
        <v>1.2664999999999999E-2</v>
      </c>
      <c r="Q133" s="81">
        <f t="shared" ca="1" si="151"/>
        <v>1.8625</v>
      </c>
      <c r="R133" s="300"/>
      <c r="S133" s="300"/>
      <c r="T133" s="300"/>
      <c r="U133" s="300"/>
      <c r="V133" s="199">
        <f t="shared" ref="V133" ca="1" si="160">IF(IF(RIGHT(H132,2)="PH",(1-L133)+$W$2,IF(RIGHT(H132,2)="HT",(1-L133)+$W$1,IF(RIGHT(H132,2)="SH",(1-L133)+$W$3,"")))&gt;0,IF(RIGHT(H132,2)="PH",(1-L133)+$W$2,IF(RIGHT(H132,2)="HT",(1-L133)+$W$1,IF(RIGHT(H132,2)="SH",(1-L133)+$W$3,""))),0)</f>
        <v>4.0000000000000036E-2</v>
      </c>
      <c r="W133" s="298"/>
      <c r="X133" s="698">
        <f t="shared" ca="1" si="145"/>
        <v>0.5</v>
      </c>
      <c r="Y133" s="698">
        <f t="shared" ca="1" si="153"/>
        <v>20</v>
      </c>
      <c r="Z133" s="698">
        <f t="shared" ca="1" si="154"/>
        <v>0</v>
      </c>
      <c r="AA133" s="698">
        <f t="shared" ca="1" si="155"/>
        <v>0</v>
      </c>
      <c r="AB133" s="698">
        <f t="shared" ca="1" si="156"/>
        <v>0.1</v>
      </c>
      <c r="AD133" s="81">
        <v>2030</v>
      </c>
      <c r="AE133" s="81"/>
      <c r="AF133" s="220"/>
    </row>
    <row r="134" spans="2:32">
      <c r="B134" s="719" t="s">
        <v>1009</v>
      </c>
      <c r="C134" s="713"/>
      <c r="D134" s="701"/>
      <c r="E134" s="701"/>
      <c r="F134" s="224" t="s">
        <v>1149</v>
      </c>
      <c r="G134" s="203"/>
      <c r="H134" s="702"/>
      <c r="I134" s="702" t="str">
        <f t="shared" si="143"/>
        <v>INDMWH</v>
      </c>
      <c r="J134" s="224">
        <f t="shared" si="146"/>
        <v>2050</v>
      </c>
      <c r="K134" s="81"/>
      <c r="L134" s="199">
        <f t="shared" ca="1" si="148"/>
        <v>0.97</v>
      </c>
      <c r="M134" s="199"/>
      <c r="N134" s="81"/>
      <c r="O134" s="723">
        <f t="shared" ca="1" si="149"/>
        <v>0.26251188606957326</v>
      </c>
      <c r="P134" s="723">
        <f t="shared" ca="1" si="150"/>
        <v>1.1175000000000001E-2</v>
      </c>
      <c r="Q134" s="81">
        <f t="shared" ca="1" si="151"/>
        <v>1.8625</v>
      </c>
      <c r="R134" s="703"/>
      <c r="S134" s="703"/>
      <c r="T134" s="703"/>
      <c r="U134" s="703"/>
      <c r="V134" s="199">
        <f t="shared" ref="V134" ca="1" si="161">IF(IF(RIGHT(H132,2)="PH",(1-L134)+$W$2,IF(RIGHT(H132,2)="HT",(1-L134)+$W$1,IF(RIGHT(H132,2)="SH",(1-L134)+$W$3,"")))&gt;0,IF(RIGHT(H132,2)="PH",(1-L134)+$W$2,IF(RIGHT(H132,2)="HT",(1-L134)+$W$1,IF(RIGHT(H132,2)="SH",(1-L134)+$W$3,""))),0)</f>
        <v>3.0000000000000027E-2</v>
      </c>
      <c r="W134" s="704"/>
      <c r="X134" s="698">
        <f t="shared" ca="1" si="145"/>
        <v>0.5</v>
      </c>
      <c r="Y134" s="698">
        <f t="shared" ca="1" si="153"/>
        <v>15</v>
      </c>
      <c r="Z134" s="698">
        <f t="shared" ca="1" si="154"/>
        <v>0</v>
      </c>
      <c r="AA134" s="698">
        <f t="shared" ca="1" si="155"/>
        <v>0</v>
      </c>
      <c r="AB134" s="698">
        <f t="shared" ca="1" si="156"/>
        <v>0.1</v>
      </c>
      <c r="AD134" s="81">
        <v>2050</v>
      </c>
      <c r="AE134" s="81"/>
      <c r="AF134" s="220"/>
    </row>
    <row r="135" spans="2:32">
      <c r="B135" s="718" t="s">
        <v>1010</v>
      </c>
      <c r="C135" s="226"/>
      <c r="D135" s="212" t="str">
        <f>"IND"&amp;RIGHT(H135,4)&amp;"GAS"&amp;"N"&amp;RIGHT(E135,1)</f>
        <v>INDMDPHGASN1</v>
      </c>
      <c r="E135" s="261" t="str">
        <f>"Industrial heating technology "&amp;$AJ$12&amp;" "&amp;RIGHT(H135,2)&amp;" - Gas boiler (Steam) - new 1"</f>
        <v>Industrial heating technology Machinery PH - Gas boiler (Steam) - new 1</v>
      </c>
      <c r="F135" s="224" t="s">
        <v>1149</v>
      </c>
      <c r="G135" s="173" t="s">
        <v>2080</v>
      </c>
      <c r="H135" s="174" t="str">
        <f>$AI$13</f>
        <v>IMDPH</v>
      </c>
      <c r="I135" s="174" t="str">
        <f t="shared" si="143"/>
        <v>INDMWH</v>
      </c>
      <c r="J135" s="224">
        <f t="shared" si="146"/>
        <v>2011</v>
      </c>
      <c r="K135" s="299">
        <v>2011</v>
      </c>
      <c r="L135" s="199">
        <f t="shared" ref="L135:L143" ca="1" si="162">VLOOKUP($AD135,INDIRECT("'"&amp;$B135&amp;"'!"&amp;"$P$39:$AD$42"),3,FALSE)</f>
        <v>0.92</v>
      </c>
      <c r="M135" s="699"/>
      <c r="N135" s="299">
        <f ca="1">VLOOKUP($AD135,INDIRECT("'"&amp;$B135&amp;"'!"&amp;"$P$39:$AD$42"),5,FALSE)</f>
        <v>25</v>
      </c>
      <c r="O135" s="725">
        <f t="shared" ref="O135:O143" ca="1" si="163">VLOOKUP($AD135,INDIRECT("'"&amp;$B135&amp;"'!"&amp;"$P$39:$AD$42"),6,FALSE)/1000</f>
        <v>0.40636363636363632</v>
      </c>
      <c r="P135" s="725">
        <f t="shared" ref="P135:P143" ca="1" si="164">VLOOKUP($AD135,INDIRECT("'"&amp;$B135&amp;"'!"&amp;"$P$39:$AD$42"),7,FALSE)/1000</f>
        <v>1.49E-2</v>
      </c>
      <c r="Q135" s="299">
        <f t="shared" ref="Q135:Q143" ca="1" si="165">VLOOKUP($AD135,INDIRECT("'"&amp;$B135&amp;"'!"&amp;"$P$39:$AD$42"),8,FALSE)</f>
        <v>2.276388888888889</v>
      </c>
      <c r="R135" s="299">
        <v>3.1536000000000002E-2</v>
      </c>
      <c r="S135" s="699">
        <v>0.5</v>
      </c>
      <c r="T135" s="699">
        <f ca="1">HLOOKUP($T$2,INDIRECT("'"&amp;$B135&amp;"'!"&amp;"$P$6:$AC$19"),IF(H135=$AI$13,6,IF(H135=$AI$14,9,14)),FALSE)</f>
        <v>1</v>
      </c>
      <c r="U135" s="772"/>
      <c r="V135" s="199">
        <f t="shared" ref="V135" ca="1" si="166">IF(IF(RIGHT(H135,2)="PH",(1-L135)+$W$2,IF(RIGHT(H135,2)="HT",(1-L135)+$W$1,IF(RIGHT(H135,2)="SH",(1-L135)+$W$3,"")))&gt;0,IF(RIGHT(H135,2)="PH",(1-L135)+$W$2,IF(RIGHT(H135,2)="HT",(1-L135)+$W$1,IF(RIGHT(H135,2)="SH",(1-L135)+$W$3,""))),0)</f>
        <v>0.27999999999999997</v>
      </c>
      <c r="W135" s="298"/>
      <c r="X135" s="698">
        <f t="shared" ca="1" si="145"/>
        <v>0.3</v>
      </c>
      <c r="Y135" s="299">
        <f t="shared" ref="Y135:Y143" ca="1" si="167">VLOOKUP($AD135,INDIRECT("'"&amp;$B135&amp;"'!"&amp;"$P$39:$AD$42"),12,FALSE)</f>
        <v>9</v>
      </c>
      <c r="Z135" s="299">
        <f t="shared" ref="Z135:Z143" ca="1" si="168">VLOOKUP($AD135,INDIRECT("'"&amp;$B135&amp;"'!"&amp;"$P$39:$AD$42"),13,FALSE)</f>
        <v>3</v>
      </c>
      <c r="AA135" s="299">
        <f t="shared" ref="AA135:AA143" ca="1" si="169">VLOOKUP($AD135,INDIRECT("'"&amp;$B135&amp;"'!"&amp;"$P$39:$AD$42"),14,FALSE)</f>
        <v>1</v>
      </c>
      <c r="AB135" s="299">
        <f t="shared" ref="AB135:AB143" ca="1" si="170">VLOOKUP($AD135,INDIRECT("'"&amp;$B135&amp;"'!"&amp;"$P$39:$AD$42"),15,FALSE)</f>
        <v>0.1</v>
      </c>
      <c r="AD135" s="299">
        <v>2020</v>
      </c>
      <c r="AE135" s="81"/>
      <c r="AF135" s="220"/>
    </row>
    <row r="136" spans="2:32">
      <c r="B136" s="718" t="s">
        <v>1010</v>
      </c>
      <c r="C136" s="226"/>
      <c r="E136" s="212"/>
      <c r="F136" s="224" t="s">
        <v>1149</v>
      </c>
      <c r="H136" s="174"/>
      <c r="I136" s="174" t="str">
        <f t="shared" si="143"/>
        <v>INDMWH</v>
      </c>
      <c r="J136" s="224">
        <f t="shared" si="146"/>
        <v>2030</v>
      </c>
      <c r="K136" s="81"/>
      <c r="L136" s="199">
        <f t="shared" ca="1" si="162"/>
        <v>0.93</v>
      </c>
      <c r="M136" s="199"/>
      <c r="N136" s="81"/>
      <c r="O136" s="723">
        <f t="shared" ca="1" si="163"/>
        <v>0.33863636363636368</v>
      </c>
      <c r="P136" s="723">
        <f t="shared" ca="1" si="164"/>
        <v>1.4154999999999999E-2</v>
      </c>
      <c r="Q136" s="81">
        <f t="shared" ca="1" si="165"/>
        <v>2.0694444444444446</v>
      </c>
      <c r="R136" s="300"/>
      <c r="S136" s="300"/>
      <c r="T136" s="300"/>
      <c r="U136" s="300"/>
      <c r="V136" s="199">
        <f t="shared" ref="V136" ca="1" si="171">IF(IF(RIGHT(H135,2)="PH",(1-L136)+$W$2,IF(RIGHT(H135,2)="HT",(1-L136)+$W$1,IF(RIGHT(H135,2)="SH",(1-L136)+$W$3,"")))&gt;0,IF(RIGHT(H135,2)="PH",(1-L136)+$W$2,IF(RIGHT(H135,2)="HT",(1-L136)+$W$1,IF(RIGHT(H135,2)="SH",(1-L136)+$W$3,""))),0)</f>
        <v>0.26999999999999996</v>
      </c>
      <c r="W136" s="298"/>
      <c r="X136" s="698">
        <f t="shared" ca="1" si="145"/>
        <v>0.3</v>
      </c>
      <c r="Y136" s="81">
        <f t="shared" ca="1" si="167"/>
        <v>7</v>
      </c>
      <c r="Z136" s="81">
        <f t="shared" ca="1" si="168"/>
        <v>2</v>
      </c>
      <c r="AA136" s="81">
        <f t="shared" ca="1" si="169"/>
        <v>1</v>
      </c>
      <c r="AB136" s="81">
        <f t="shared" ca="1" si="170"/>
        <v>0.1</v>
      </c>
      <c r="AD136" s="81">
        <v>2030</v>
      </c>
      <c r="AE136" s="81"/>
      <c r="AF136" s="220"/>
    </row>
    <row r="137" spans="2:32">
      <c r="B137" s="718" t="s">
        <v>1010</v>
      </c>
      <c r="C137" s="226"/>
      <c r="E137" s="212"/>
      <c r="F137" s="224" t="s">
        <v>1149</v>
      </c>
      <c r="H137" s="174"/>
      <c r="I137" s="174" t="str">
        <f t="shared" si="143"/>
        <v>INDMWH</v>
      </c>
      <c r="J137" s="224">
        <f t="shared" si="146"/>
        <v>2050</v>
      </c>
      <c r="K137" s="81"/>
      <c r="L137" s="199">
        <f t="shared" ca="1" si="162"/>
        <v>0.94</v>
      </c>
      <c r="M137" s="199"/>
      <c r="N137" s="81"/>
      <c r="O137" s="723">
        <f t="shared" ca="1" si="163"/>
        <v>0.33863636363636368</v>
      </c>
      <c r="P137" s="723">
        <f t="shared" ca="1" si="164"/>
        <v>1.2664999999999999E-2</v>
      </c>
      <c r="Q137" s="81">
        <f t="shared" ca="1" si="165"/>
        <v>2.0694444444444446</v>
      </c>
      <c r="R137" s="300"/>
      <c r="S137" s="300"/>
      <c r="T137" s="300"/>
      <c r="U137" s="300"/>
      <c r="V137" s="199">
        <f t="shared" ref="V137" ca="1" si="172">IF(IF(RIGHT(H135,2)="PH",(1-L137)+$W$2,IF(RIGHT(H135,2)="HT",(1-L137)+$W$1,IF(RIGHT(H135,2)="SH",(1-L137)+$W$3,"")))&gt;0,IF(RIGHT(H135,2)="PH",(1-L137)+$W$2,IF(RIGHT(H135,2)="HT",(1-L137)+$W$1,IF(RIGHT(H135,2)="SH",(1-L137)+$W$3,""))),0)</f>
        <v>0.26000000000000006</v>
      </c>
      <c r="W137" s="298"/>
      <c r="X137" s="698">
        <f t="shared" ca="1" si="145"/>
        <v>0.3</v>
      </c>
      <c r="Y137" s="81">
        <f t="shared" ca="1" si="167"/>
        <v>6</v>
      </c>
      <c r="Z137" s="81">
        <f t="shared" ca="1" si="168"/>
        <v>2</v>
      </c>
      <c r="AA137" s="81">
        <f t="shared" ca="1" si="169"/>
        <v>1</v>
      </c>
      <c r="AB137" s="81">
        <f t="shared" ca="1" si="170"/>
        <v>0.1</v>
      </c>
      <c r="AD137" s="81">
        <v>2050</v>
      </c>
      <c r="AE137" s="81"/>
      <c r="AF137" s="220"/>
    </row>
    <row r="138" spans="2:32">
      <c r="B138" s="718" t="s">
        <v>1010</v>
      </c>
      <c r="C138" s="226"/>
      <c r="D138" s="212" t="str">
        <f>"IND"&amp;RIGHT(H138,4)&amp;"GAS"&amp;"N"&amp;RIGHT(E138,1)</f>
        <v>INDMDPHGASN1</v>
      </c>
      <c r="E138" s="261" t="str">
        <f>"Industrial heating technology "&amp;$AJ$12&amp;" "&amp;RIGHT(H138,2)&amp;" - Gas boiler (Steam) - new 1"</f>
        <v>Industrial heating technology Machinery PH - Gas boiler (Steam) - new 1</v>
      </c>
      <c r="F138" s="224" t="s">
        <v>1149</v>
      </c>
      <c r="G138" s="173" t="s">
        <v>2080</v>
      </c>
      <c r="H138" s="174" t="str">
        <f>$AI$14</f>
        <v>IMDPH</v>
      </c>
      <c r="I138" s="174" t="str">
        <f t="shared" si="143"/>
        <v>INDMWH</v>
      </c>
      <c r="J138" s="224">
        <f t="shared" si="146"/>
        <v>2011</v>
      </c>
      <c r="K138" s="299">
        <f>J138</f>
        <v>2011</v>
      </c>
      <c r="L138" s="199">
        <f t="shared" ca="1" si="162"/>
        <v>0.92</v>
      </c>
      <c r="M138" s="199"/>
      <c r="N138" s="81">
        <f ca="1">VLOOKUP($AD138,INDIRECT("'"&amp;$B138&amp;"'!"&amp;"$P$39:$AD$42"),5,FALSE)</f>
        <v>25</v>
      </c>
      <c r="O138" s="723">
        <f t="shared" ca="1" si="163"/>
        <v>0.40636363636363632</v>
      </c>
      <c r="P138" s="723">
        <f t="shared" ca="1" si="164"/>
        <v>1.49E-2</v>
      </c>
      <c r="Q138" s="81">
        <f t="shared" ca="1" si="165"/>
        <v>2.276388888888889</v>
      </c>
      <c r="R138" s="81">
        <v>3.1536000000000002E-2</v>
      </c>
      <c r="S138" s="199">
        <v>0.5</v>
      </c>
      <c r="T138" s="199">
        <f ca="1">HLOOKUP($T$2,INDIRECT("'"&amp;$B138&amp;"'!"&amp;"$P$6:$AC$19"),IF(H138=$AI$13,6,IF(H138=$AI$14,9,14)),FALSE)</f>
        <v>1</v>
      </c>
      <c r="U138" s="772"/>
      <c r="V138" s="199">
        <f t="shared" ref="V138" ca="1" si="173">IF(IF(RIGHT(H138,2)="PH",(1-L138)+$W$2,IF(RIGHT(H138,2)="HT",(1-L138)+$W$1,IF(RIGHT(H138,2)="SH",(1-L138)+$W$3,"")))&gt;0,IF(RIGHT(H138,2)="PH",(1-L138)+$W$2,IF(RIGHT(H138,2)="HT",(1-L138)+$W$1,IF(RIGHT(H138,2)="SH",(1-L138)+$W$3,""))),0)</f>
        <v>0.27999999999999997</v>
      </c>
      <c r="W138" s="298"/>
      <c r="X138" s="698">
        <f t="shared" ca="1" si="145"/>
        <v>0.3</v>
      </c>
      <c r="Y138" s="81">
        <f t="shared" ca="1" si="167"/>
        <v>9</v>
      </c>
      <c r="Z138" s="81">
        <f t="shared" ca="1" si="168"/>
        <v>3</v>
      </c>
      <c r="AA138" s="81">
        <f t="shared" ca="1" si="169"/>
        <v>1</v>
      </c>
      <c r="AB138" s="81">
        <f t="shared" ca="1" si="170"/>
        <v>0.1</v>
      </c>
      <c r="AD138" s="81">
        <v>2020</v>
      </c>
      <c r="AE138" s="81"/>
      <c r="AF138" s="220"/>
    </row>
    <row r="139" spans="2:32">
      <c r="B139" s="718" t="s">
        <v>1010</v>
      </c>
      <c r="C139" s="226"/>
      <c r="E139" s="212"/>
      <c r="F139" s="224" t="s">
        <v>1149</v>
      </c>
      <c r="H139" s="174"/>
      <c r="I139" s="174" t="str">
        <f t="shared" si="143"/>
        <v>INDMWH</v>
      </c>
      <c r="J139" s="224">
        <f t="shared" si="146"/>
        <v>2030</v>
      </c>
      <c r="K139" s="81"/>
      <c r="L139" s="199">
        <f t="shared" ca="1" si="162"/>
        <v>0.93</v>
      </c>
      <c r="M139" s="199"/>
      <c r="N139" s="81"/>
      <c r="O139" s="723">
        <f t="shared" ca="1" si="163"/>
        <v>0.33863636363636368</v>
      </c>
      <c r="P139" s="723">
        <f t="shared" ca="1" si="164"/>
        <v>1.4154999999999999E-2</v>
      </c>
      <c r="Q139" s="81">
        <f t="shared" ca="1" si="165"/>
        <v>2.0694444444444446</v>
      </c>
      <c r="R139" s="300"/>
      <c r="S139" s="300"/>
      <c r="T139" s="300"/>
      <c r="U139" s="300"/>
      <c r="V139" s="199">
        <f t="shared" ref="V139" ca="1" si="174">IF(IF(RIGHT(H138,2)="PH",(1-L139)+$W$2,IF(RIGHT(H138,2)="HT",(1-L139)+$W$1,IF(RIGHT(H138,2)="SH",(1-L139)+$W$3,"")))&gt;0,IF(RIGHT(H138,2)="PH",(1-L139)+$W$2,IF(RIGHT(H138,2)="HT",(1-L139)+$W$1,IF(RIGHT(H138,2)="SH",(1-L139)+$W$3,""))),0)</f>
        <v>0.26999999999999996</v>
      </c>
      <c r="W139" s="298"/>
      <c r="X139" s="698">
        <f t="shared" ca="1" si="145"/>
        <v>0.3</v>
      </c>
      <c r="Y139" s="81">
        <f t="shared" ca="1" si="167"/>
        <v>7</v>
      </c>
      <c r="Z139" s="81">
        <f t="shared" ca="1" si="168"/>
        <v>2</v>
      </c>
      <c r="AA139" s="81">
        <f t="shared" ca="1" si="169"/>
        <v>1</v>
      </c>
      <c r="AB139" s="81">
        <f t="shared" ca="1" si="170"/>
        <v>0.1</v>
      </c>
      <c r="AD139" s="81">
        <v>2030</v>
      </c>
      <c r="AE139" s="81"/>
      <c r="AF139" s="220"/>
    </row>
    <row r="140" spans="2:32">
      <c r="B140" s="718" t="s">
        <v>1010</v>
      </c>
      <c r="C140" s="226"/>
      <c r="E140" s="212"/>
      <c r="F140" s="224" t="s">
        <v>1149</v>
      </c>
      <c r="H140" s="174"/>
      <c r="I140" s="174" t="str">
        <f t="shared" si="143"/>
        <v>INDMWH</v>
      </c>
      <c r="J140" s="224">
        <f t="shared" si="146"/>
        <v>2050</v>
      </c>
      <c r="K140" s="81"/>
      <c r="L140" s="199">
        <f t="shared" ca="1" si="162"/>
        <v>0.94</v>
      </c>
      <c r="M140" s="199"/>
      <c r="N140" s="81"/>
      <c r="O140" s="723">
        <f t="shared" ca="1" si="163"/>
        <v>0.33863636363636368</v>
      </c>
      <c r="P140" s="723">
        <f t="shared" ca="1" si="164"/>
        <v>1.2664999999999999E-2</v>
      </c>
      <c r="Q140" s="81">
        <f t="shared" ca="1" si="165"/>
        <v>2.0694444444444446</v>
      </c>
      <c r="R140" s="300"/>
      <c r="S140" s="300"/>
      <c r="T140" s="300"/>
      <c r="U140" s="300"/>
      <c r="V140" s="199">
        <f t="shared" ref="V140" ca="1" si="175">IF(IF(RIGHT(H138,2)="PH",(1-L140)+$W$2,IF(RIGHT(H138,2)="HT",(1-L140)+$W$1,IF(RIGHT(H138,2)="SH",(1-L140)+$W$3,"")))&gt;0,IF(RIGHT(H138,2)="PH",(1-L140)+$W$2,IF(RIGHT(H138,2)="HT",(1-L140)+$W$1,IF(RIGHT(H138,2)="SH",(1-L140)+$W$3,""))),0)</f>
        <v>0.26000000000000006</v>
      </c>
      <c r="W140" s="298"/>
      <c r="X140" s="698">
        <f t="shared" ca="1" si="145"/>
        <v>0.3</v>
      </c>
      <c r="Y140" s="81">
        <f t="shared" ca="1" si="167"/>
        <v>6</v>
      </c>
      <c r="Z140" s="81">
        <f t="shared" ca="1" si="168"/>
        <v>2</v>
      </c>
      <c r="AA140" s="81">
        <f t="shared" ca="1" si="169"/>
        <v>1</v>
      </c>
      <c r="AB140" s="81">
        <f t="shared" ca="1" si="170"/>
        <v>0.1</v>
      </c>
      <c r="AC140" s="203"/>
      <c r="AD140" s="81">
        <v>2050</v>
      </c>
      <c r="AE140" s="81"/>
      <c r="AF140" s="705"/>
    </row>
    <row r="141" spans="2:32">
      <c r="B141" s="718" t="s">
        <v>1010</v>
      </c>
      <c r="C141" s="226"/>
      <c r="D141" s="212" t="str">
        <f>"IND"&amp;RIGHT(H141,4)&amp;"GAS"&amp;"N"&amp;RIGHT(E141,1)</f>
        <v>INDMDSHGASN1</v>
      </c>
      <c r="E141" s="261" t="str">
        <f>"Industrial heating technology "&amp;$AJ$12&amp;" "&amp;RIGHT(H141,2)&amp;" - Gas boiler (Steam) - new 1"</f>
        <v>Industrial heating technology Machinery SH - Gas boiler (Steam) - new 1</v>
      </c>
      <c r="F141" s="224" t="s">
        <v>1149</v>
      </c>
      <c r="G141" s="173" t="s">
        <v>2080</v>
      </c>
      <c r="H141" s="174" t="str">
        <f>$AI$15</f>
        <v>IMDSH</v>
      </c>
      <c r="I141" s="174" t="str">
        <f t="shared" si="143"/>
        <v>INDMWH</v>
      </c>
      <c r="J141" s="224">
        <f t="shared" si="146"/>
        <v>2011</v>
      </c>
      <c r="K141" s="299">
        <f>J141</f>
        <v>2011</v>
      </c>
      <c r="L141" s="199">
        <f t="shared" ca="1" si="162"/>
        <v>0.92</v>
      </c>
      <c r="M141" s="199"/>
      <c r="N141" s="81">
        <f ca="1">VLOOKUP($AD141,INDIRECT("'"&amp;$B141&amp;"'!"&amp;"$P$39:$AD$42"),5,FALSE)</f>
        <v>25</v>
      </c>
      <c r="O141" s="723">
        <f t="shared" ca="1" si="163"/>
        <v>0.40636363636363632</v>
      </c>
      <c r="P141" s="723">
        <f t="shared" ca="1" si="164"/>
        <v>1.49E-2</v>
      </c>
      <c r="Q141" s="81">
        <f t="shared" ca="1" si="165"/>
        <v>2.276388888888889</v>
      </c>
      <c r="R141" s="81">
        <v>3.1536000000000002E-2</v>
      </c>
      <c r="S141" s="199">
        <v>0.5</v>
      </c>
      <c r="T141" s="199">
        <f ca="1">HLOOKUP($T$2,INDIRECT("'"&amp;$B141&amp;"'!"&amp;"$P$6:$AC$19"),IF(H141=$AI$13,6,IF(H141=$AI$14,9,14)),FALSE)</f>
        <v>1</v>
      </c>
      <c r="U141" s="772"/>
      <c r="V141" s="199">
        <f t="shared" ref="V141" ca="1" si="176">IF(IF(RIGHT(H141,2)="PH",(1-L141)+$W$2,IF(RIGHT(H141,2)="HT",(1-L141)+$W$1,IF(RIGHT(H141,2)="SH",(1-L141)+$W$3,"")))&gt;0,IF(RIGHT(H141,2)="PH",(1-L141)+$W$2,IF(RIGHT(H141,2)="HT",(1-L141)+$W$1,IF(RIGHT(H141,2)="SH",(1-L141)+$W$3,""))),0)</f>
        <v>7.999999999999996E-2</v>
      </c>
      <c r="W141" s="298"/>
      <c r="X141" s="698">
        <f t="shared" ca="1" si="145"/>
        <v>0.3</v>
      </c>
      <c r="Y141" s="81">
        <f t="shared" ca="1" si="167"/>
        <v>9</v>
      </c>
      <c r="Z141" s="81">
        <f t="shared" ca="1" si="168"/>
        <v>3</v>
      </c>
      <c r="AA141" s="81">
        <f t="shared" ca="1" si="169"/>
        <v>1</v>
      </c>
      <c r="AB141" s="81">
        <f t="shared" ca="1" si="170"/>
        <v>0.1</v>
      </c>
      <c r="AC141" s="296"/>
      <c r="AD141" s="81">
        <v>2020</v>
      </c>
      <c r="AE141" s="81"/>
      <c r="AF141" s="710"/>
    </row>
    <row r="142" spans="2:32">
      <c r="B142" s="718" t="s">
        <v>1010</v>
      </c>
      <c r="C142" s="226"/>
      <c r="E142" s="212"/>
      <c r="F142" s="224" t="s">
        <v>1149</v>
      </c>
      <c r="H142" s="174"/>
      <c r="I142" s="174" t="str">
        <f t="shared" si="143"/>
        <v>INDMWH</v>
      </c>
      <c r="J142" s="224">
        <f t="shared" si="146"/>
        <v>2030</v>
      </c>
      <c r="K142" s="81"/>
      <c r="L142" s="199">
        <f t="shared" ca="1" si="162"/>
        <v>0.93</v>
      </c>
      <c r="M142" s="199"/>
      <c r="N142" s="81"/>
      <c r="O142" s="723">
        <f t="shared" ca="1" si="163"/>
        <v>0.33863636363636368</v>
      </c>
      <c r="P142" s="723">
        <f t="shared" ca="1" si="164"/>
        <v>1.4154999999999999E-2</v>
      </c>
      <c r="Q142" s="81">
        <f t="shared" ca="1" si="165"/>
        <v>2.0694444444444446</v>
      </c>
      <c r="R142" s="300"/>
      <c r="S142" s="300"/>
      <c r="T142" s="300"/>
      <c r="U142" s="300"/>
      <c r="V142" s="199">
        <f t="shared" ref="V142" ca="1" si="177">IF(IF(RIGHT(H141,2)="PH",(1-L142)+$W$2,IF(RIGHT(H141,2)="HT",(1-L142)+$W$1,IF(RIGHT(H141,2)="SH",(1-L142)+$W$3,"")))&gt;0,IF(RIGHT(H141,2)="PH",(1-L142)+$W$2,IF(RIGHT(H141,2)="HT",(1-L142)+$W$1,IF(RIGHT(H141,2)="SH",(1-L142)+$W$3,""))),0)</f>
        <v>6.9999999999999951E-2</v>
      </c>
      <c r="W142" s="298"/>
      <c r="X142" s="698">
        <f t="shared" ca="1" si="145"/>
        <v>0.3</v>
      </c>
      <c r="Y142" s="81">
        <f t="shared" ca="1" si="167"/>
        <v>7</v>
      </c>
      <c r="Z142" s="81">
        <f t="shared" ca="1" si="168"/>
        <v>2</v>
      </c>
      <c r="AA142" s="81">
        <f t="shared" ca="1" si="169"/>
        <v>1</v>
      </c>
      <c r="AB142" s="81">
        <f t="shared" ca="1" si="170"/>
        <v>0.1</v>
      </c>
      <c r="AC142" s="55"/>
      <c r="AD142" s="81">
        <v>2030</v>
      </c>
      <c r="AE142" s="81"/>
      <c r="AF142" s="700"/>
    </row>
    <row r="143" spans="2:32">
      <c r="B143" s="719" t="s">
        <v>1010</v>
      </c>
      <c r="C143" s="713"/>
      <c r="D143" s="203"/>
      <c r="E143" s="701"/>
      <c r="F143" s="224" t="s">
        <v>1149</v>
      </c>
      <c r="G143" s="203"/>
      <c r="H143" s="702"/>
      <c r="I143" s="702" t="str">
        <f t="shared" si="143"/>
        <v>INDMWH</v>
      </c>
      <c r="J143" s="224">
        <f t="shared" si="146"/>
        <v>2050</v>
      </c>
      <c r="K143" s="81"/>
      <c r="L143" s="199">
        <f t="shared" ca="1" si="162"/>
        <v>0.94</v>
      </c>
      <c r="M143" s="199"/>
      <c r="N143" s="81"/>
      <c r="O143" s="723">
        <f t="shared" ca="1" si="163"/>
        <v>0.33863636363636368</v>
      </c>
      <c r="P143" s="723">
        <f t="shared" ca="1" si="164"/>
        <v>1.2664999999999999E-2</v>
      </c>
      <c r="Q143" s="81">
        <f t="shared" ca="1" si="165"/>
        <v>2.0694444444444446</v>
      </c>
      <c r="R143" s="703"/>
      <c r="S143" s="703"/>
      <c r="T143" s="703"/>
      <c r="U143" s="703"/>
      <c r="V143" s="199">
        <f t="shared" ref="V143" ca="1" si="178">IF(IF(RIGHT(H141,2)="PH",(1-L143)+$W$2,IF(RIGHT(H141,2)="HT",(1-L143)+$W$1,IF(RIGHT(H141,2)="SH",(1-L143)+$W$3,"")))&gt;0,IF(RIGHT(H141,2)="PH",(1-L143)+$W$2,IF(RIGHT(H141,2)="HT",(1-L143)+$W$1,IF(RIGHT(H141,2)="SH",(1-L143)+$W$3,""))),0)</f>
        <v>6.0000000000000053E-2</v>
      </c>
      <c r="W143" s="704"/>
      <c r="X143" s="698">
        <f t="shared" ca="1" si="145"/>
        <v>0.3</v>
      </c>
      <c r="Y143" s="81">
        <f t="shared" ca="1" si="167"/>
        <v>6</v>
      </c>
      <c r="Z143" s="81">
        <f t="shared" ca="1" si="168"/>
        <v>2</v>
      </c>
      <c r="AA143" s="81">
        <f t="shared" ca="1" si="169"/>
        <v>1</v>
      </c>
      <c r="AB143" s="81">
        <f t="shared" ca="1" si="170"/>
        <v>0.1</v>
      </c>
      <c r="AC143" s="55"/>
      <c r="AD143" s="81">
        <v>2050</v>
      </c>
      <c r="AE143" s="81"/>
      <c r="AF143" s="700"/>
    </row>
    <row r="144" spans="2:32">
      <c r="B144" s="718" t="s">
        <v>1010</v>
      </c>
      <c r="C144" s="226"/>
      <c r="D144" s="212" t="str">
        <f>"IND"&amp;RIGHT(H144,4)&amp;"GAS"&amp;"N"&amp;RIGHT(E144,1)</f>
        <v>INDMDPHGASN2</v>
      </c>
      <c r="E144" s="707" t="str">
        <f>"Industrial heating technology "&amp;$AJ$12&amp;" "&amp;RIGHT(H144,2)&amp;" - Gas boiler (Steam - condensing) - new 2"</f>
        <v>Industrial heating technology Machinery PH - Gas boiler (Steam - condensing) - new 2</v>
      </c>
      <c r="F144" s="224" t="s">
        <v>1149</v>
      </c>
      <c r="G144" s="173" t="s">
        <v>2080</v>
      </c>
      <c r="H144" s="708" t="str">
        <f>$AI$14</f>
        <v>IMDPH</v>
      </c>
      <c r="I144" s="708" t="str">
        <f t="shared" si="143"/>
        <v>INDMWH</v>
      </c>
      <c r="J144" s="224">
        <f t="shared" si="146"/>
        <v>2011</v>
      </c>
      <c r="K144" s="299">
        <f>J144</f>
        <v>2011</v>
      </c>
      <c r="L144" s="199">
        <f t="shared" ref="L144:L149" ca="1" si="179">VLOOKUP($AD144,INDIRECT("'"&amp;$B144&amp;"'!"&amp;"$P$118:$AD$121"),3,FALSE)</f>
        <v>1.01</v>
      </c>
      <c r="M144" s="199"/>
      <c r="N144" s="81">
        <f ca="1">VLOOKUP($AD144,INDIRECT("'"&amp;$B144&amp;"'!"&amp;"$P$118:$AD$121"),5,FALSE)</f>
        <v>25</v>
      </c>
      <c r="O144" s="723">
        <f t="shared" ref="O144:O149" ca="1" si="180">VLOOKUP($AD144,INDIRECT("'"&amp;$B144&amp;"'!"&amp;"$P$118:$AD$121"),6,FALSE)/1000</f>
        <v>0.44700000000000001</v>
      </c>
      <c r="P144" s="723">
        <f t="shared" ref="P144:P149" ca="1" si="181">VLOOKUP($AD144,INDIRECT("'"&amp;$B144&amp;"'!"&amp;"$P$118:$AD$121"),7,FALSE)/1000</f>
        <v>1.49E-2</v>
      </c>
      <c r="Q144" s="81">
        <f t="shared" ref="Q144:Q149" ca="1" si="182">VLOOKUP($AD144,INDIRECT("'"&amp;$B144&amp;"'!"&amp;"$P$118:$AD$121"),8,FALSE)</f>
        <v>2.276388888888889</v>
      </c>
      <c r="R144" s="81">
        <v>3.1536000000000002E-2</v>
      </c>
      <c r="S144" s="199">
        <v>0.5</v>
      </c>
      <c r="T144" s="199">
        <f ca="1">HLOOKUP($T$2,INDIRECT("'"&amp;$B144&amp;"'!"&amp;"$P$85:$AC$98"),IF(H144=$AI$13,6,IF(H144=$AI$14,9,14)),FALSE)</f>
        <v>0</v>
      </c>
      <c r="U144" s="773"/>
      <c r="V144" s="199">
        <f t="shared" ref="V144" ca="1" si="183">IF(IF(RIGHT(H144,2)="PH",(1-L144)+$W$2,IF(RIGHT(H144,2)="HT",(1-L144)+$W$1,IF(RIGHT(H144,2)="SH",(1-L144)+$W$3,"")))&gt;0,IF(RIGHT(H144,2)="PH",(1-L144)+$W$2,IF(RIGHT(H144,2)="HT",(1-L144)+$W$1,IF(RIGHT(H144,2)="SH",(1-L144)+$W$3,""))),0)</f>
        <v>0.19</v>
      </c>
      <c r="W144" s="709"/>
      <c r="X144" s="698">
        <f t="shared" ca="1" si="145"/>
        <v>0.3</v>
      </c>
      <c r="Y144" s="698">
        <f t="shared" ref="Y144:Y149" ca="1" si="184">VLOOKUP($AD144,INDIRECT("'"&amp;$B144&amp;"'!"&amp;"$P$118:$AD$121"),12,FALSE)</f>
        <v>9</v>
      </c>
      <c r="Z144" s="698">
        <f t="shared" ref="Z144:Z149" ca="1" si="185">VLOOKUP($AD144,INDIRECT("'"&amp;$B144&amp;"'!"&amp;"$P$118:$AD$121"),13,FALSE)</f>
        <v>3</v>
      </c>
      <c r="AA144" s="698">
        <f t="shared" ref="AA144:AA149" ca="1" si="186">VLOOKUP($AD144,INDIRECT("'"&amp;$B144&amp;"'!"&amp;"$P$118:$AD$121"),14,FALSE)</f>
        <v>1</v>
      </c>
      <c r="AB144" s="698">
        <f t="shared" ref="AB144:AB149" ca="1" si="187">VLOOKUP($AD144,INDIRECT("'"&amp;$B144&amp;"'!"&amp;"$P$118:$AD$121"),15,FALSE)</f>
        <v>0.1</v>
      </c>
      <c r="AC144" s="55"/>
      <c r="AD144" s="81">
        <v>2020</v>
      </c>
      <c r="AE144" s="81"/>
      <c r="AF144" s="700"/>
    </row>
    <row r="145" spans="1:32">
      <c r="B145" s="718" t="s">
        <v>1010</v>
      </c>
      <c r="C145" s="226"/>
      <c r="E145" s="261"/>
      <c r="F145" s="224" t="s">
        <v>1149</v>
      </c>
      <c r="G145" s="55"/>
      <c r="H145" s="174"/>
      <c r="I145" s="174" t="str">
        <f t="shared" si="143"/>
        <v>INDMWH</v>
      </c>
      <c r="J145" s="224">
        <f t="shared" si="146"/>
        <v>2030</v>
      </c>
      <c r="K145" s="81"/>
      <c r="L145" s="199">
        <f t="shared" ca="1" si="179"/>
        <v>1.03</v>
      </c>
      <c r="M145" s="199"/>
      <c r="N145" s="81"/>
      <c r="O145" s="723">
        <f t="shared" ca="1" si="180"/>
        <v>0.37250000000000005</v>
      </c>
      <c r="P145" s="723">
        <f t="shared" ca="1" si="181"/>
        <v>1.4154999999999999E-2</v>
      </c>
      <c r="Q145" s="81">
        <f t="shared" ca="1" si="182"/>
        <v>2.0694444444444446</v>
      </c>
      <c r="R145" s="300"/>
      <c r="S145" s="300"/>
      <c r="T145" s="300"/>
      <c r="U145" s="300"/>
      <c r="V145" s="199">
        <f t="shared" ref="V145" ca="1" si="188">IF(IF(RIGHT(H144,2)="PH",(1-L145)+$W$2,IF(RIGHT(H144,2)="HT",(1-L145)+$W$1,IF(RIGHT(H144,2)="SH",(1-L145)+$W$3,"")))&gt;0,IF(RIGHT(H144,2)="PH",(1-L145)+$W$2,IF(RIGHT(H144,2)="HT",(1-L145)+$W$1,IF(RIGHT(H144,2)="SH",(1-L145)+$W$3,""))),0)</f>
        <v>0.16999999999999998</v>
      </c>
      <c r="W145" s="298"/>
      <c r="X145" s="698">
        <f t="shared" ca="1" si="145"/>
        <v>0.3</v>
      </c>
      <c r="Y145" s="698">
        <f t="shared" ca="1" si="184"/>
        <v>7</v>
      </c>
      <c r="Z145" s="698">
        <f t="shared" ca="1" si="185"/>
        <v>2</v>
      </c>
      <c r="AA145" s="698">
        <f t="shared" ca="1" si="186"/>
        <v>1</v>
      </c>
      <c r="AB145" s="698">
        <f t="shared" ca="1" si="187"/>
        <v>0.1</v>
      </c>
      <c r="AC145" s="55"/>
      <c r="AD145" s="81">
        <v>2030</v>
      </c>
      <c r="AE145" s="81"/>
      <c r="AF145" s="700"/>
    </row>
    <row r="146" spans="1:32">
      <c r="A146" s="226"/>
      <c r="B146" s="718" t="s">
        <v>1010</v>
      </c>
      <c r="C146" s="226"/>
      <c r="E146" s="261"/>
      <c r="F146" s="224" t="s">
        <v>1149</v>
      </c>
      <c r="G146" s="55"/>
      <c r="H146" s="174"/>
      <c r="I146" s="174" t="str">
        <f t="shared" si="143"/>
        <v>INDMWH</v>
      </c>
      <c r="J146" s="224">
        <f t="shared" si="146"/>
        <v>2050</v>
      </c>
      <c r="K146" s="81"/>
      <c r="L146" s="199">
        <f t="shared" ca="1" si="179"/>
        <v>1.03</v>
      </c>
      <c r="M146" s="199"/>
      <c r="N146" s="81"/>
      <c r="O146" s="723">
        <f t="shared" ca="1" si="180"/>
        <v>0.37250000000000005</v>
      </c>
      <c r="P146" s="723">
        <f t="shared" ca="1" si="181"/>
        <v>1.2664999999999999E-2</v>
      </c>
      <c r="Q146" s="81">
        <f t="shared" ca="1" si="182"/>
        <v>2.0694444444444446</v>
      </c>
      <c r="R146" s="300"/>
      <c r="S146" s="300"/>
      <c r="T146" s="300"/>
      <c r="U146" s="300"/>
      <c r="V146" s="199">
        <f t="shared" ref="V146" ca="1" si="189">IF(IF(RIGHT(H144,2)="PH",(1-L146)+$W$2,IF(RIGHT(H144,2)="HT",(1-L146)+$W$1,IF(RIGHT(H144,2)="SH",(1-L146)+$W$3,"")))&gt;0,IF(RIGHT(H144,2)="PH",(1-L146)+$W$2,IF(RIGHT(H144,2)="HT",(1-L146)+$W$1,IF(RIGHT(H144,2)="SH",(1-L146)+$W$3,""))),0)</f>
        <v>0.16999999999999998</v>
      </c>
      <c r="W146" s="298"/>
      <c r="X146" s="698">
        <f t="shared" ca="1" si="145"/>
        <v>0.3</v>
      </c>
      <c r="Y146" s="698">
        <f t="shared" ca="1" si="184"/>
        <v>6</v>
      </c>
      <c r="Z146" s="698">
        <f t="shared" ca="1" si="185"/>
        <v>2</v>
      </c>
      <c r="AA146" s="698">
        <f t="shared" ca="1" si="186"/>
        <v>1</v>
      </c>
      <c r="AB146" s="698">
        <f t="shared" ca="1" si="187"/>
        <v>0.1</v>
      </c>
      <c r="AC146" s="203"/>
      <c r="AD146" s="81">
        <v>2050</v>
      </c>
      <c r="AE146" s="81"/>
      <c r="AF146" s="705"/>
    </row>
    <row r="147" spans="1:32">
      <c r="A147" s="226"/>
      <c r="B147" s="718" t="s">
        <v>1010</v>
      </c>
      <c r="C147" s="226"/>
      <c r="D147" s="212" t="str">
        <f>"IND"&amp;RIGHT(H147,4)&amp;"GAS"&amp;"N"&amp;RIGHT(E147,1)</f>
        <v>INDMDSHGASN2</v>
      </c>
      <c r="E147" s="261" t="str">
        <f>"Industrial heating technology "&amp;$AJ$12&amp;" "&amp;RIGHT(H147,2)&amp;" - Gas boiler (Steam - condensing) - new 2"</f>
        <v>Industrial heating technology Machinery SH - Gas boiler (Steam - condensing) - new 2</v>
      </c>
      <c r="F147" s="224" t="s">
        <v>1149</v>
      </c>
      <c r="G147" s="173" t="s">
        <v>2080</v>
      </c>
      <c r="H147" s="174" t="str">
        <f>$AI$15</f>
        <v>IMDSH</v>
      </c>
      <c r="I147" s="174" t="str">
        <f t="shared" si="143"/>
        <v>INDMWH</v>
      </c>
      <c r="J147" s="224">
        <f t="shared" si="146"/>
        <v>2011</v>
      </c>
      <c r="K147" s="299">
        <f>J147</f>
        <v>2011</v>
      </c>
      <c r="L147" s="199">
        <f t="shared" ca="1" si="179"/>
        <v>1.01</v>
      </c>
      <c r="M147" s="199"/>
      <c r="N147" s="81">
        <f ca="1">VLOOKUP($AD147,INDIRECT("'"&amp;$B147&amp;"'!"&amp;"$P$118:$AD$121"),5,FALSE)</f>
        <v>25</v>
      </c>
      <c r="O147" s="723">
        <f t="shared" ca="1" si="180"/>
        <v>0.44700000000000001</v>
      </c>
      <c r="P147" s="723">
        <f t="shared" ca="1" si="181"/>
        <v>1.49E-2</v>
      </c>
      <c r="Q147" s="81">
        <f t="shared" ca="1" si="182"/>
        <v>2.276388888888889</v>
      </c>
      <c r="R147" s="81">
        <v>3.1536000000000002E-2</v>
      </c>
      <c r="S147" s="199">
        <v>0.5</v>
      </c>
      <c r="T147" s="199">
        <f ca="1">HLOOKUP($T$2,INDIRECT("'"&amp;$B147&amp;"'!"&amp;"$P$85:$AC$98"),IF(H147=$AI$13,6,IF(H147=$AI$14,9,14)),FALSE)</f>
        <v>0</v>
      </c>
      <c r="U147" s="772"/>
      <c r="V147" s="199">
        <f t="shared" ref="V147" ca="1" si="190">IF(IF(RIGHT(H147,2)="PH",(1-L147)+$W$2,IF(RIGHT(H147,2)="HT",(1-L147)+$W$1,IF(RIGHT(H147,2)="SH",(1-L147)+$W$3,"")))&gt;0,IF(RIGHT(H147,2)="PH",(1-L147)+$W$2,IF(RIGHT(H147,2)="HT",(1-L147)+$W$1,IF(RIGHT(H147,2)="SH",(1-L147)+$W$3,""))),0)</f>
        <v>0</v>
      </c>
      <c r="W147" s="298"/>
      <c r="X147" s="698">
        <f t="shared" ca="1" si="145"/>
        <v>0.3</v>
      </c>
      <c r="Y147" s="698">
        <f t="shared" ca="1" si="184"/>
        <v>9</v>
      </c>
      <c r="Z147" s="698">
        <f t="shared" ca="1" si="185"/>
        <v>3</v>
      </c>
      <c r="AA147" s="698">
        <f t="shared" ca="1" si="186"/>
        <v>1</v>
      </c>
      <c r="AB147" s="698">
        <f t="shared" ca="1" si="187"/>
        <v>0.1</v>
      </c>
      <c r="AC147" s="296"/>
      <c r="AD147" s="81">
        <v>2020</v>
      </c>
      <c r="AE147" s="81"/>
      <c r="AF147" s="710"/>
    </row>
    <row r="148" spans="1:32">
      <c r="A148" s="226"/>
      <c r="B148" s="718" t="s">
        <v>1010</v>
      </c>
      <c r="C148" s="226"/>
      <c r="E148" s="261"/>
      <c r="F148" s="224" t="s">
        <v>1149</v>
      </c>
      <c r="G148" s="55"/>
      <c r="H148" s="174"/>
      <c r="I148" s="174" t="str">
        <f t="shared" si="143"/>
        <v>INDMWH</v>
      </c>
      <c r="J148" s="224">
        <f t="shared" si="146"/>
        <v>2030</v>
      </c>
      <c r="K148" s="81"/>
      <c r="L148" s="199">
        <f t="shared" ca="1" si="179"/>
        <v>1.03</v>
      </c>
      <c r="M148" s="199"/>
      <c r="N148" s="81"/>
      <c r="O148" s="723">
        <f t="shared" ca="1" si="180"/>
        <v>0.37250000000000005</v>
      </c>
      <c r="P148" s="723">
        <f t="shared" ca="1" si="181"/>
        <v>1.4154999999999999E-2</v>
      </c>
      <c r="Q148" s="81">
        <f t="shared" ca="1" si="182"/>
        <v>2.0694444444444446</v>
      </c>
      <c r="R148" s="300"/>
      <c r="S148" s="300"/>
      <c r="T148" s="300"/>
      <c r="U148" s="300"/>
      <c r="V148" s="199">
        <f t="shared" ref="V148" ca="1" si="191">IF(IF(RIGHT(H147,2)="PH",(1-L148)+$W$2,IF(RIGHT(H147,2)="HT",(1-L148)+$W$1,IF(RIGHT(H147,2)="SH",(1-L148)+$W$3,"")))&gt;0,IF(RIGHT(H147,2)="PH",(1-L148)+$W$2,IF(RIGHT(H147,2)="HT",(1-L148)+$W$1,IF(RIGHT(H147,2)="SH",(1-L148)+$W$3,""))),0)</f>
        <v>0</v>
      </c>
      <c r="W148" s="298"/>
      <c r="X148" s="698">
        <f t="shared" ca="1" si="145"/>
        <v>0.3</v>
      </c>
      <c r="Y148" s="698">
        <f t="shared" ca="1" si="184"/>
        <v>7</v>
      </c>
      <c r="Z148" s="698">
        <f t="shared" ca="1" si="185"/>
        <v>2</v>
      </c>
      <c r="AA148" s="698">
        <f t="shared" ca="1" si="186"/>
        <v>1</v>
      </c>
      <c r="AB148" s="698">
        <f t="shared" ca="1" si="187"/>
        <v>0.1</v>
      </c>
      <c r="AC148" s="55"/>
      <c r="AD148" s="81">
        <v>2030</v>
      </c>
      <c r="AE148" s="81"/>
      <c r="AF148" s="700"/>
    </row>
    <row r="149" spans="1:32">
      <c r="A149" s="226"/>
      <c r="B149" s="719" t="s">
        <v>1010</v>
      </c>
      <c r="C149" s="713"/>
      <c r="D149" s="203"/>
      <c r="E149" s="701"/>
      <c r="F149" s="224" t="s">
        <v>1149</v>
      </c>
      <c r="G149" s="203"/>
      <c r="H149" s="702"/>
      <c r="I149" s="702" t="str">
        <f t="shared" si="143"/>
        <v>INDMWH</v>
      </c>
      <c r="J149" s="224">
        <f t="shared" si="146"/>
        <v>2050</v>
      </c>
      <c r="K149" s="81"/>
      <c r="L149" s="199">
        <f t="shared" ca="1" si="179"/>
        <v>1.03</v>
      </c>
      <c r="M149" s="199"/>
      <c r="N149" s="81"/>
      <c r="O149" s="723">
        <f t="shared" ca="1" si="180"/>
        <v>0.37250000000000005</v>
      </c>
      <c r="P149" s="723">
        <f t="shared" ca="1" si="181"/>
        <v>1.2664999999999999E-2</v>
      </c>
      <c r="Q149" s="81">
        <f t="shared" ca="1" si="182"/>
        <v>2.0694444444444446</v>
      </c>
      <c r="R149" s="703"/>
      <c r="S149" s="703"/>
      <c r="T149" s="703"/>
      <c r="U149" s="703"/>
      <c r="V149" s="199">
        <f t="shared" ref="V149" ca="1" si="192">IF(IF(RIGHT(H147,2)="PH",(1-L149)+$W$2,IF(RIGHT(H147,2)="HT",(1-L149)+$W$1,IF(RIGHT(H147,2)="SH",(1-L149)+$W$3,"")))&gt;0,IF(RIGHT(H147,2)="PH",(1-L149)+$W$2,IF(RIGHT(H147,2)="HT",(1-L149)+$W$1,IF(RIGHT(H147,2)="SH",(1-L149)+$W$3,""))),0)</f>
        <v>0</v>
      </c>
      <c r="W149" s="704"/>
      <c r="X149" s="698">
        <f t="shared" ca="1" si="145"/>
        <v>0.3</v>
      </c>
      <c r="Y149" s="698">
        <f t="shared" ca="1" si="184"/>
        <v>6</v>
      </c>
      <c r="Z149" s="698">
        <f t="shared" ca="1" si="185"/>
        <v>2</v>
      </c>
      <c r="AA149" s="698">
        <f t="shared" ca="1" si="186"/>
        <v>1</v>
      </c>
      <c r="AB149" s="698">
        <f t="shared" ca="1" si="187"/>
        <v>0.1</v>
      </c>
      <c r="AC149" s="55"/>
      <c r="AD149" s="81">
        <v>2050</v>
      </c>
      <c r="AE149" s="81"/>
      <c r="AF149" s="700"/>
    </row>
    <row r="150" spans="1:32">
      <c r="A150" s="226"/>
      <c r="B150" s="718" t="s">
        <v>1010</v>
      </c>
      <c r="C150" s="226"/>
      <c r="D150" s="212" t="str">
        <f>"IND"&amp;RIGHT(H150,4)&amp;"GAS"&amp;"N"&amp;RIGHT(E150,1)</f>
        <v>INDMDPHGASN3</v>
      </c>
      <c r="E150" s="707" t="str">
        <f>"Industrial heating technology "&amp;$AJ$12&amp;" "&amp;RIGHT(H150,2)&amp;" - Gas boiler (Hot Water) - new 3"</f>
        <v>Industrial heating technology Machinery PH - Gas boiler (Hot Water) - new 3</v>
      </c>
      <c r="F150" s="224" t="s">
        <v>1149</v>
      </c>
      <c r="G150" s="173" t="s">
        <v>2080</v>
      </c>
      <c r="H150" s="708" t="str">
        <f>$AI$14</f>
        <v>IMDPH</v>
      </c>
      <c r="I150" s="708" t="str">
        <f t="shared" si="143"/>
        <v>INDMWH</v>
      </c>
      <c r="J150" s="224">
        <f t="shared" si="146"/>
        <v>2011</v>
      </c>
      <c r="K150" s="299">
        <f>J150</f>
        <v>2011</v>
      </c>
      <c r="L150" s="199">
        <f t="shared" ref="L150:L155" ca="1" si="193">VLOOKUP($AD150,INDIRECT("'"&amp;$B150&amp;"'!"&amp;"$P$200:$AD$203"),3,FALSE)</f>
        <v>0.93</v>
      </c>
      <c r="M150" s="199"/>
      <c r="N150" s="81">
        <f ca="1">VLOOKUP($AD150,INDIRECT("'"&amp;$B150&amp;"'!"&amp;"$P$200:$AD$203"),5,FALSE)</f>
        <v>25</v>
      </c>
      <c r="O150" s="723">
        <f t="shared" ref="O150:O155" ca="1" si="194">VLOOKUP($AD150,INDIRECT("'"&amp;$B150&amp;"'!"&amp;"$P$200:$AD$203"),6,FALSE)/1000</f>
        <v>0.3250909090909091</v>
      </c>
      <c r="P150" s="723">
        <f t="shared" ref="P150:P155" ca="1" si="195">VLOOKUP($AD150,INDIRECT("'"&amp;$B150&amp;"'!"&amp;"$P$200:$AD$203"),7,FALSE)/1000</f>
        <v>1.49E-2</v>
      </c>
      <c r="Q150" s="81">
        <f t="shared" ref="Q150:Q155" ca="1" si="196">VLOOKUP($AD150,INDIRECT("'"&amp;$B150&amp;"'!"&amp;"$P$200:$AD$203"),8,FALSE)</f>
        <v>2.276388888888889</v>
      </c>
      <c r="R150" s="81">
        <v>3.1536000000000002E-2</v>
      </c>
      <c r="S150" s="199">
        <v>0.5</v>
      </c>
      <c r="T150" s="199">
        <f ca="1">HLOOKUP($T$2,INDIRECT("'"&amp;$B150&amp;"'!"&amp;"$P$167:$AC$180"),IF(H150=$AI$13,6,IF(H150=$AI$14,9,14)),FALSE)</f>
        <v>0</v>
      </c>
      <c r="U150" s="773"/>
      <c r="V150" s="199">
        <f t="shared" ref="V150" ca="1" si="197">IF(IF(RIGHT(H150,2)="PH",(1-L150)+$W$2,IF(RIGHT(H150,2)="HT",(1-L150)+$W$1,IF(RIGHT(H150,2)="SH",(1-L150)+$W$3,"")))&gt;0,IF(RIGHT(H150,2)="PH",(1-L150)+$W$2,IF(RIGHT(H150,2)="HT",(1-L150)+$W$1,IF(RIGHT(H150,2)="SH",(1-L150)+$W$3,""))),0)</f>
        <v>0.26999999999999996</v>
      </c>
      <c r="W150" s="709"/>
      <c r="X150" s="698">
        <f t="shared" ca="1" si="145"/>
        <v>0.3</v>
      </c>
      <c r="Y150" s="698">
        <f t="shared" ref="Y150:Y155" ca="1" si="198">VLOOKUP($AD150,INDIRECT("'"&amp;$B150&amp;"'!"&amp;"$P$200:$AD$203"),12,FALSE)</f>
        <v>9</v>
      </c>
      <c r="Z150" s="698">
        <f t="shared" ref="Z150:Z155" ca="1" si="199">VLOOKUP($AD150,INDIRECT("'"&amp;$B150&amp;"'!"&amp;"$P$200:$AD$203"),13,FALSE)</f>
        <v>3</v>
      </c>
      <c r="AA150" s="698">
        <f t="shared" ref="AA150:AA155" ca="1" si="200">VLOOKUP($AD150,INDIRECT("'"&amp;$B150&amp;"'!"&amp;"$P$200:$AD$203"),14,FALSE)</f>
        <v>1</v>
      </c>
      <c r="AB150" s="698">
        <f t="shared" ref="AB150:AB155" ca="1" si="201">VLOOKUP($AD150,INDIRECT("'"&amp;$B150&amp;"'!"&amp;"$P$200:$AD$203"),15,FALSE)</f>
        <v>0.1</v>
      </c>
      <c r="AC150" s="55"/>
      <c r="AD150" s="81">
        <v>2020</v>
      </c>
      <c r="AE150" s="81"/>
      <c r="AF150" s="700"/>
    </row>
    <row r="151" spans="1:32">
      <c r="A151" s="226"/>
      <c r="B151" s="718" t="s">
        <v>1010</v>
      </c>
      <c r="C151" s="226"/>
      <c r="E151" s="261"/>
      <c r="F151" s="224" t="s">
        <v>1149</v>
      </c>
      <c r="G151" s="55"/>
      <c r="H151" s="174"/>
      <c r="I151" s="174" t="str">
        <f t="shared" si="143"/>
        <v>INDMWH</v>
      </c>
      <c r="J151" s="224">
        <f t="shared" si="146"/>
        <v>2030</v>
      </c>
      <c r="K151" s="81"/>
      <c r="L151" s="199">
        <f t="shared" ca="1" si="193"/>
        <v>0.94</v>
      </c>
      <c r="M151" s="199"/>
      <c r="N151" s="81"/>
      <c r="O151" s="723">
        <f t="shared" ca="1" si="194"/>
        <v>0.27090909090909093</v>
      </c>
      <c r="P151" s="723">
        <f t="shared" ca="1" si="195"/>
        <v>1.4154999999999999E-2</v>
      </c>
      <c r="Q151" s="81">
        <f t="shared" ca="1" si="196"/>
        <v>2.0694444444444446</v>
      </c>
      <c r="R151" s="300"/>
      <c r="S151" s="300"/>
      <c r="T151" s="300"/>
      <c r="U151" s="300"/>
      <c r="V151" s="199">
        <f t="shared" ref="V151" ca="1" si="202">IF(IF(RIGHT(H150,2)="PH",(1-L151)+$W$2,IF(RIGHT(H150,2)="HT",(1-L151)+$W$1,IF(RIGHT(H150,2)="SH",(1-L151)+$W$3,"")))&gt;0,IF(RIGHT(H150,2)="PH",(1-L151)+$W$2,IF(RIGHT(H150,2)="HT",(1-L151)+$W$1,IF(RIGHT(H150,2)="SH",(1-L151)+$W$3,""))),0)</f>
        <v>0.26000000000000006</v>
      </c>
      <c r="W151" s="298"/>
      <c r="X151" s="698">
        <f t="shared" ca="1" si="145"/>
        <v>0.3</v>
      </c>
      <c r="Y151" s="698">
        <f t="shared" ca="1" si="198"/>
        <v>7</v>
      </c>
      <c r="Z151" s="698">
        <f t="shared" ca="1" si="199"/>
        <v>2</v>
      </c>
      <c r="AA151" s="698">
        <f t="shared" ca="1" si="200"/>
        <v>1</v>
      </c>
      <c r="AB151" s="698">
        <f t="shared" ca="1" si="201"/>
        <v>0.1</v>
      </c>
      <c r="AC151" s="55"/>
      <c r="AD151" s="81">
        <v>2030</v>
      </c>
      <c r="AE151" s="81"/>
      <c r="AF151" s="700"/>
    </row>
    <row r="152" spans="1:32">
      <c r="B152" s="718" t="s">
        <v>1010</v>
      </c>
      <c r="C152" s="226"/>
      <c r="E152" s="261"/>
      <c r="F152" s="224" t="s">
        <v>1149</v>
      </c>
      <c r="G152" s="55"/>
      <c r="H152" s="174"/>
      <c r="I152" s="174" t="str">
        <f t="shared" si="143"/>
        <v>INDMWH</v>
      </c>
      <c r="J152" s="224">
        <f t="shared" si="146"/>
        <v>2050</v>
      </c>
      <c r="K152" s="81"/>
      <c r="L152" s="199">
        <f t="shared" ca="1" si="193"/>
        <v>0.95</v>
      </c>
      <c r="M152" s="199"/>
      <c r="N152" s="81"/>
      <c r="O152" s="723">
        <f t="shared" ca="1" si="194"/>
        <v>0.27090909090909093</v>
      </c>
      <c r="P152" s="723">
        <f t="shared" ca="1" si="195"/>
        <v>1.2664999999999999E-2</v>
      </c>
      <c r="Q152" s="81">
        <f t="shared" ca="1" si="196"/>
        <v>2.0694444444444446</v>
      </c>
      <c r="R152" s="300"/>
      <c r="S152" s="300"/>
      <c r="T152" s="300"/>
      <c r="U152" s="300"/>
      <c r="V152" s="199">
        <f t="shared" ref="V152" ca="1" si="203">IF(IF(RIGHT(H150,2)="PH",(1-L152)+$W$2,IF(RIGHT(H150,2)="HT",(1-L152)+$W$1,IF(RIGHT(H150,2)="SH",(1-L152)+$W$3,"")))&gt;0,IF(RIGHT(H150,2)="PH",(1-L152)+$W$2,IF(RIGHT(H150,2)="HT",(1-L152)+$W$1,IF(RIGHT(H150,2)="SH",(1-L152)+$W$3,""))),0)</f>
        <v>0.25000000000000006</v>
      </c>
      <c r="W152" s="720"/>
      <c r="X152" s="698">
        <f t="shared" ca="1" si="145"/>
        <v>0.3</v>
      </c>
      <c r="Y152" s="698">
        <f t="shared" ca="1" si="198"/>
        <v>6</v>
      </c>
      <c r="Z152" s="698">
        <f t="shared" ca="1" si="199"/>
        <v>2</v>
      </c>
      <c r="AA152" s="698">
        <f t="shared" ca="1" si="200"/>
        <v>1</v>
      </c>
      <c r="AB152" s="698">
        <f t="shared" ca="1" si="201"/>
        <v>0.1</v>
      </c>
      <c r="AC152" s="203"/>
      <c r="AD152" s="81">
        <v>2050</v>
      </c>
      <c r="AE152" s="81"/>
      <c r="AF152" s="705"/>
    </row>
    <row r="153" spans="1:32">
      <c r="B153" s="718" t="s">
        <v>1010</v>
      </c>
      <c r="C153" s="64"/>
      <c r="D153" s="212" t="str">
        <f>"IND"&amp;RIGHT(H153,4)&amp;"GAS"&amp;"N"&amp;RIGHT(E153,1)</f>
        <v>INDMDSHGASN3</v>
      </c>
      <c r="E153" s="261" t="str">
        <f>"Industrial heating technology "&amp;$AJ$12&amp;" "&amp;RIGHT(H153,2)&amp;" - Gas boiler (Hot Water) - new 3"</f>
        <v>Industrial heating technology Machinery SH - Gas boiler (Hot Water) - new 3</v>
      </c>
      <c r="F153" s="224" t="s">
        <v>1149</v>
      </c>
      <c r="G153" s="173" t="s">
        <v>2080</v>
      </c>
      <c r="H153" s="174" t="str">
        <f>$AI$15</f>
        <v>IMDSH</v>
      </c>
      <c r="I153" s="174" t="str">
        <f t="shared" si="143"/>
        <v>INDMWH</v>
      </c>
      <c r="J153" s="224">
        <f t="shared" si="146"/>
        <v>2011</v>
      </c>
      <c r="K153" s="299">
        <f>J153</f>
        <v>2011</v>
      </c>
      <c r="L153" s="199">
        <f t="shared" ca="1" si="193"/>
        <v>0.93</v>
      </c>
      <c r="M153" s="199"/>
      <c r="N153" s="81">
        <f ca="1">VLOOKUP($AD153,INDIRECT("'"&amp;$B153&amp;"'!"&amp;"$P$200:$AD$203"),5,FALSE)</f>
        <v>25</v>
      </c>
      <c r="O153" s="723">
        <f t="shared" ca="1" si="194"/>
        <v>0.3250909090909091</v>
      </c>
      <c r="P153" s="723">
        <f t="shared" ca="1" si="195"/>
        <v>1.49E-2</v>
      </c>
      <c r="Q153" s="81">
        <f t="shared" ca="1" si="196"/>
        <v>2.276388888888889</v>
      </c>
      <c r="R153" s="81">
        <v>3.1536000000000002E-2</v>
      </c>
      <c r="S153" s="199">
        <v>0.5</v>
      </c>
      <c r="T153" s="199">
        <f ca="1">HLOOKUP($T$2,INDIRECT("'"&amp;$B153&amp;"'!"&amp;"$P$167:$AC$180"),IF(H153=$AI$13,6,IF(H153=$AI$14,9,14)),FALSE)</f>
        <v>1</v>
      </c>
      <c r="U153" s="772"/>
      <c r="V153" s="199">
        <f t="shared" ref="V153" ca="1" si="204">IF(IF(RIGHT(H153,2)="PH",(1-L153)+$W$2,IF(RIGHT(H153,2)="HT",(1-L153)+$W$1,IF(RIGHT(H153,2)="SH",(1-L153)+$W$3,"")))&gt;0,IF(RIGHT(H153,2)="PH",(1-L153)+$W$2,IF(RIGHT(H153,2)="HT",(1-L153)+$W$1,IF(RIGHT(H153,2)="SH",(1-L153)+$W$3,""))),0)</f>
        <v>6.9999999999999951E-2</v>
      </c>
      <c r="W153" s="298"/>
      <c r="X153" s="698">
        <f t="shared" ca="1" si="145"/>
        <v>0.3</v>
      </c>
      <c r="Y153" s="698">
        <f t="shared" ca="1" si="198"/>
        <v>9</v>
      </c>
      <c r="Z153" s="698">
        <f t="shared" ca="1" si="199"/>
        <v>3</v>
      </c>
      <c r="AA153" s="698">
        <f t="shared" ca="1" si="200"/>
        <v>1</v>
      </c>
      <c r="AB153" s="698">
        <f t="shared" ca="1" si="201"/>
        <v>0.1</v>
      </c>
      <c r="AC153" s="296"/>
      <c r="AD153" s="81">
        <v>2020</v>
      </c>
      <c r="AE153" s="81"/>
      <c r="AF153" s="710"/>
    </row>
    <row r="154" spans="1:32">
      <c r="B154" s="718" t="s">
        <v>1010</v>
      </c>
      <c r="C154" s="64"/>
      <c r="E154" s="261"/>
      <c r="F154" s="224" t="s">
        <v>1149</v>
      </c>
      <c r="G154" s="55"/>
      <c r="H154" s="174"/>
      <c r="I154" s="174" t="str">
        <f t="shared" si="143"/>
        <v>INDMWH</v>
      </c>
      <c r="J154" s="224">
        <f t="shared" si="146"/>
        <v>2030</v>
      </c>
      <c r="K154" s="81"/>
      <c r="L154" s="199">
        <f t="shared" ca="1" si="193"/>
        <v>0.94</v>
      </c>
      <c r="M154" s="199"/>
      <c r="N154" s="81"/>
      <c r="O154" s="723">
        <f t="shared" ca="1" si="194"/>
        <v>0.27090909090909093</v>
      </c>
      <c r="P154" s="723">
        <f t="shared" ca="1" si="195"/>
        <v>1.4154999999999999E-2</v>
      </c>
      <c r="Q154" s="81">
        <f t="shared" ca="1" si="196"/>
        <v>2.0694444444444446</v>
      </c>
      <c r="R154" s="300"/>
      <c r="S154" s="300"/>
      <c r="T154" s="300"/>
      <c r="U154" s="300"/>
      <c r="V154" s="199">
        <f t="shared" ref="V154" ca="1" si="205">IF(IF(RIGHT(H153,2)="PH",(1-L154)+$W$2,IF(RIGHT(H153,2)="HT",(1-L154)+$W$1,IF(RIGHT(H153,2)="SH",(1-L154)+$W$3,"")))&gt;0,IF(RIGHT(H153,2)="PH",(1-L154)+$W$2,IF(RIGHT(H153,2)="HT",(1-L154)+$W$1,IF(RIGHT(H153,2)="SH",(1-L154)+$W$3,""))),0)</f>
        <v>6.0000000000000053E-2</v>
      </c>
      <c r="W154" s="298"/>
      <c r="X154" s="698">
        <f t="shared" ca="1" si="145"/>
        <v>0.3</v>
      </c>
      <c r="Y154" s="698">
        <f t="shared" ca="1" si="198"/>
        <v>7</v>
      </c>
      <c r="Z154" s="698">
        <f t="shared" ca="1" si="199"/>
        <v>2</v>
      </c>
      <c r="AA154" s="698">
        <f t="shared" ca="1" si="200"/>
        <v>1</v>
      </c>
      <c r="AB154" s="698">
        <f t="shared" ca="1" si="201"/>
        <v>0.1</v>
      </c>
      <c r="AC154" s="55"/>
      <c r="AD154" s="81">
        <v>2030</v>
      </c>
      <c r="AE154" s="81"/>
      <c r="AF154" s="700"/>
    </row>
    <row r="155" spans="1:32">
      <c r="A155" s="226"/>
      <c r="B155" s="719" t="s">
        <v>1010</v>
      </c>
      <c r="C155" s="713"/>
      <c r="D155" s="203"/>
      <c r="E155" s="701"/>
      <c r="F155" s="224" t="s">
        <v>1149</v>
      </c>
      <c r="G155" s="203"/>
      <c r="H155" s="702"/>
      <c r="I155" s="702" t="str">
        <f t="shared" si="143"/>
        <v>INDMWH</v>
      </c>
      <c r="J155" s="224">
        <f t="shared" si="146"/>
        <v>2050</v>
      </c>
      <c r="K155" s="81"/>
      <c r="L155" s="199">
        <f t="shared" ca="1" si="193"/>
        <v>0.95</v>
      </c>
      <c r="M155" s="199"/>
      <c r="N155" s="81"/>
      <c r="O155" s="723">
        <f t="shared" ca="1" si="194"/>
        <v>0.27090909090909093</v>
      </c>
      <c r="P155" s="723">
        <f t="shared" ca="1" si="195"/>
        <v>1.2664999999999999E-2</v>
      </c>
      <c r="Q155" s="81">
        <f t="shared" ca="1" si="196"/>
        <v>2.0694444444444446</v>
      </c>
      <c r="R155" s="300"/>
      <c r="S155" s="300"/>
      <c r="T155" s="300"/>
      <c r="U155" s="300"/>
      <c r="V155" s="199">
        <f t="shared" ref="V155" ca="1" si="206">IF(IF(RIGHT(H153,2)="PH",(1-L155)+$W$2,IF(RIGHT(H153,2)="HT",(1-L155)+$W$1,IF(RIGHT(H153,2)="SH",(1-L155)+$W$3,"")))&gt;0,IF(RIGHT(H153,2)="PH",(1-L155)+$W$2,IF(RIGHT(H153,2)="HT",(1-L155)+$W$1,IF(RIGHT(H153,2)="SH",(1-L155)+$W$3,""))),0)</f>
        <v>5.0000000000000044E-2</v>
      </c>
      <c r="W155" s="298"/>
      <c r="X155" s="698">
        <f t="shared" ca="1" si="145"/>
        <v>0.3</v>
      </c>
      <c r="Y155" s="698">
        <f t="shared" ca="1" si="198"/>
        <v>6</v>
      </c>
      <c r="Z155" s="698">
        <f t="shared" ca="1" si="199"/>
        <v>2</v>
      </c>
      <c r="AA155" s="698">
        <f t="shared" ca="1" si="200"/>
        <v>1</v>
      </c>
      <c r="AB155" s="698">
        <f t="shared" ca="1" si="201"/>
        <v>0.1</v>
      </c>
      <c r="AC155" s="55"/>
      <c r="AD155" s="81">
        <v>2050</v>
      </c>
      <c r="AE155" s="81"/>
      <c r="AF155" s="700"/>
    </row>
    <row r="156" spans="1:32">
      <c r="B156" s="718" t="s">
        <v>1010</v>
      </c>
      <c r="C156" s="64"/>
      <c r="D156" s="212" t="str">
        <f>"IND"&amp;RIGHT(H156,4)&amp;"GAS"&amp;"N"&amp;RIGHT(E156,1)</f>
        <v>INDMDPHGASN4</v>
      </c>
      <c r="E156" s="707" t="str">
        <f>"Industrial heating technology "&amp;$AJ$12&amp;" "&amp;RIGHT(H156,2)&amp;" - Gas boiler (Hot Water - condensing) - new 4"</f>
        <v>Industrial heating technology Machinery PH - Gas boiler (Hot Water - condensing) - new 4</v>
      </c>
      <c r="F156" s="224" t="s">
        <v>1149</v>
      </c>
      <c r="G156" s="173" t="s">
        <v>2080</v>
      </c>
      <c r="H156" s="708" t="str">
        <f>$AI$14</f>
        <v>IMDPH</v>
      </c>
      <c r="I156" s="708" t="str">
        <f t="shared" si="143"/>
        <v>INDMWH</v>
      </c>
      <c r="J156" s="224">
        <f t="shared" si="146"/>
        <v>2011</v>
      </c>
      <c r="K156" s="299">
        <f>J156</f>
        <v>2011</v>
      </c>
      <c r="L156" s="199">
        <f t="shared" ref="L156:L161" ca="1" si="207">VLOOKUP($AD156,INDIRECT("'"&amp;$B156&amp;"'!"&amp;"$P$279:$AD$282"),3,FALSE)</f>
        <v>1.01</v>
      </c>
      <c r="M156" s="199"/>
      <c r="N156" s="81">
        <f ca="1">VLOOKUP($AD156,INDIRECT("'"&amp;$B156&amp;"'!"&amp;"$P$279:$AD$282"),5,FALSE)</f>
        <v>25</v>
      </c>
      <c r="O156" s="723">
        <f t="shared" ref="O156:O161" ca="1" si="208">VLOOKUP($AD156,INDIRECT("'"&amp;$B156&amp;"'!"&amp;"$P$279:$AD$282"),6,FALSE)/1000</f>
        <v>0.35760000000000003</v>
      </c>
      <c r="P156" s="723">
        <f t="shared" ref="P156:P161" ca="1" si="209">VLOOKUP($AD156,INDIRECT("'"&amp;$B156&amp;"'!"&amp;"$P$279:$AD$282"),7,FALSE)/1000</f>
        <v>1.49E-2</v>
      </c>
      <c r="Q156" s="81">
        <f t="shared" ref="Q156:Q161" ca="1" si="210">VLOOKUP($AD156,INDIRECT("'"&amp;$B156&amp;"'!"&amp;"$P$279:$AD$282"),8,FALSE)</f>
        <v>2.276388888888889</v>
      </c>
      <c r="R156" s="81">
        <v>3.1536000000000002E-2</v>
      </c>
      <c r="S156" s="199">
        <v>0.5</v>
      </c>
      <c r="T156" s="199">
        <f ca="1">HLOOKUP($T$2,INDIRECT("'"&amp;$B156&amp;"'!"&amp;"$P$246:$AC$259"),IF(H156=$AI$13,6,IF(H156=$AI$14,9,14)),FALSE)</f>
        <v>0</v>
      </c>
      <c r="U156" s="773"/>
      <c r="V156" s="199">
        <f t="shared" ref="V156" ca="1" si="211">IF(IF(RIGHT(H156,2)="PH",(1-L156)+$W$2,IF(RIGHT(H156,2)="HT",(1-L156)+$W$1,IF(RIGHT(H156,2)="SH",(1-L156)+$W$3,"")))&gt;0,IF(RIGHT(H156,2)="PH",(1-L156)+$W$2,IF(RIGHT(H156,2)="HT",(1-L156)+$W$1,IF(RIGHT(H156,2)="SH",(1-L156)+$W$3,""))),0)</f>
        <v>0.19</v>
      </c>
      <c r="W156" s="709"/>
      <c r="X156" s="698">
        <f t="shared" ca="1" si="145"/>
        <v>0.3</v>
      </c>
      <c r="Y156" s="698">
        <f t="shared" ref="Y156:Y161" ca="1" si="212">VLOOKUP($AD156,INDIRECT("'"&amp;$B156&amp;"'!"&amp;"$P$279:$AD$282"),12,FALSE)</f>
        <v>9</v>
      </c>
      <c r="Z156" s="698">
        <f t="shared" ref="Z156:Z161" ca="1" si="213">VLOOKUP($AD156,INDIRECT("'"&amp;$B156&amp;"'!"&amp;"$P$279:$AD$282"),13,FALSE)</f>
        <v>3</v>
      </c>
      <c r="AA156" s="698">
        <f t="shared" ref="AA156:AA161" ca="1" si="214">VLOOKUP($AD156,INDIRECT("'"&amp;$B156&amp;"'!"&amp;"$P$279:$AD$282"),14,FALSE)</f>
        <v>1</v>
      </c>
      <c r="AB156" s="698">
        <f t="shared" ref="AB156:AB161" ca="1" si="215">VLOOKUP($AD156,INDIRECT("'"&amp;$B156&amp;"'!"&amp;"$P$279:$AD$282"),15,FALSE)</f>
        <v>0.1</v>
      </c>
      <c r="AC156" s="55"/>
      <c r="AD156" s="81">
        <v>2020</v>
      </c>
      <c r="AE156" s="81"/>
      <c r="AF156" s="700"/>
    </row>
    <row r="157" spans="1:32">
      <c r="B157" s="718" t="s">
        <v>1010</v>
      </c>
      <c r="C157" s="64"/>
      <c r="E157" s="261"/>
      <c r="F157" s="224" t="s">
        <v>1149</v>
      </c>
      <c r="G157" s="55"/>
      <c r="H157" s="174"/>
      <c r="I157" s="174" t="str">
        <f t="shared" si="143"/>
        <v>INDMWH</v>
      </c>
      <c r="J157" s="224">
        <f t="shared" si="146"/>
        <v>2030</v>
      </c>
      <c r="K157" s="81"/>
      <c r="L157" s="199">
        <f t="shared" ca="1" si="207"/>
        <v>1.03</v>
      </c>
      <c r="M157" s="199"/>
      <c r="N157" s="81"/>
      <c r="O157" s="723">
        <f t="shared" ca="1" si="208"/>
        <v>0.29800000000000004</v>
      </c>
      <c r="P157" s="723">
        <f t="shared" ca="1" si="209"/>
        <v>1.4154999999999999E-2</v>
      </c>
      <c r="Q157" s="81">
        <f t="shared" ca="1" si="210"/>
        <v>2.0694444444444446</v>
      </c>
      <c r="R157" s="300"/>
      <c r="S157" s="300"/>
      <c r="T157" s="300"/>
      <c r="U157" s="300"/>
      <c r="V157" s="199">
        <f t="shared" ref="V157" ca="1" si="216">IF(IF(RIGHT(H156,2)="PH",(1-L157)+$W$2,IF(RIGHT(H156,2)="HT",(1-L157)+$W$1,IF(RIGHT(H156,2)="SH",(1-L157)+$W$3,"")))&gt;0,IF(RIGHT(H156,2)="PH",(1-L157)+$W$2,IF(RIGHT(H156,2)="HT",(1-L157)+$W$1,IF(RIGHT(H156,2)="SH",(1-L157)+$W$3,""))),0)</f>
        <v>0.16999999999999998</v>
      </c>
      <c r="W157" s="298"/>
      <c r="X157" s="698">
        <f t="shared" ca="1" si="145"/>
        <v>0.3</v>
      </c>
      <c r="Y157" s="698">
        <f t="shared" ca="1" si="212"/>
        <v>7</v>
      </c>
      <c r="Z157" s="698">
        <f t="shared" ca="1" si="213"/>
        <v>2</v>
      </c>
      <c r="AA157" s="698">
        <f t="shared" ca="1" si="214"/>
        <v>1</v>
      </c>
      <c r="AB157" s="698">
        <f t="shared" ca="1" si="215"/>
        <v>0.1</v>
      </c>
      <c r="AC157" s="55"/>
      <c r="AD157" s="81">
        <v>2030</v>
      </c>
      <c r="AE157" s="81"/>
      <c r="AF157" s="700"/>
    </row>
    <row r="158" spans="1:32">
      <c r="B158" s="718" t="s">
        <v>1010</v>
      </c>
      <c r="C158" s="64"/>
      <c r="E158" s="261"/>
      <c r="F158" s="224" t="s">
        <v>1149</v>
      </c>
      <c r="G158" s="55"/>
      <c r="H158" s="174"/>
      <c r="I158" s="174" t="str">
        <f t="shared" si="143"/>
        <v>INDMWH</v>
      </c>
      <c r="J158" s="224">
        <f t="shared" si="146"/>
        <v>2050</v>
      </c>
      <c r="K158" s="81"/>
      <c r="L158" s="199">
        <f t="shared" ca="1" si="207"/>
        <v>1.03</v>
      </c>
      <c r="M158" s="199"/>
      <c r="N158" s="81"/>
      <c r="O158" s="723">
        <f t="shared" ca="1" si="208"/>
        <v>0.29800000000000004</v>
      </c>
      <c r="P158" s="723">
        <f t="shared" ca="1" si="209"/>
        <v>1.2664999999999999E-2</v>
      </c>
      <c r="Q158" s="81">
        <f t="shared" ca="1" si="210"/>
        <v>2.0694444444444446</v>
      </c>
      <c r="R158" s="300"/>
      <c r="S158" s="300"/>
      <c r="T158" s="300"/>
      <c r="U158" s="300"/>
      <c r="V158" s="199">
        <f t="shared" ref="V158" ca="1" si="217">IF(IF(RIGHT(H156,2)="PH",(1-L158)+$W$2,IF(RIGHT(H156,2)="HT",(1-L158)+$W$1,IF(RIGHT(H156,2)="SH",(1-L158)+$W$3,"")))&gt;0,IF(RIGHT(H156,2)="PH",(1-L158)+$W$2,IF(RIGHT(H156,2)="HT",(1-L158)+$W$1,IF(RIGHT(H156,2)="SH",(1-L158)+$W$3,""))),0)</f>
        <v>0.16999999999999998</v>
      </c>
      <c r="W158" s="298"/>
      <c r="X158" s="698">
        <f t="shared" ca="1" si="145"/>
        <v>0.3</v>
      </c>
      <c r="Y158" s="698">
        <f t="shared" ca="1" si="212"/>
        <v>6</v>
      </c>
      <c r="Z158" s="698">
        <f t="shared" ca="1" si="213"/>
        <v>2</v>
      </c>
      <c r="AA158" s="698">
        <f t="shared" ca="1" si="214"/>
        <v>1</v>
      </c>
      <c r="AB158" s="698">
        <f t="shared" ca="1" si="215"/>
        <v>0.1</v>
      </c>
      <c r="AC158" s="203"/>
      <c r="AD158" s="81">
        <v>2050</v>
      </c>
      <c r="AE158" s="81"/>
      <c r="AF158" s="705"/>
    </row>
    <row r="159" spans="1:32">
      <c r="A159" s="226"/>
      <c r="B159" s="718" t="s">
        <v>1010</v>
      </c>
      <c r="C159" s="64"/>
      <c r="D159" s="212" t="str">
        <f>"IND"&amp;RIGHT(H159,4)&amp;"GAS"&amp;"N"&amp;RIGHT(E159,1)</f>
        <v>INDMDSHGASN4</v>
      </c>
      <c r="E159" s="261" t="str">
        <f>"Industrial heating technology "&amp;$AJ$12&amp;" "&amp;RIGHT(H159,2)&amp;" - Gas boiler (Hot Water- condensing) - new 4"</f>
        <v>Industrial heating technology Machinery SH - Gas boiler (Hot Water- condensing) - new 4</v>
      </c>
      <c r="F159" s="224" t="s">
        <v>1149</v>
      </c>
      <c r="G159" s="173" t="s">
        <v>2080</v>
      </c>
      <c r="H159" s="174" t="str">
        <f>$AI$15</f>
        <v>IMDSH</v>
      </c>
      <c r="I159" s="174" t="str">
        <f t="shared" si="143"/>
        <v>INDMWH</v>
      </c>
      <c r="J159" s="224">
        <f t="shared" si="146"/>
        <v>2011</v>
      </c>
      <c r="K159" s="299">
        <f>J159</f>
        <v>2011</v>
      </c>
      <c r="L159" s="199">
        <f t="shared" ca="1" si="207"/>
        <v>1.01</v>
      </c>
      <c r="M159" s="199"/>
      <c r="N159" s="81">
        <f ca="1">VLOOKUP($AD159,INDIRECT("'"&amp;$B159&amp;"'!"&amp;"$P$279:$AD$282"),5,FALSE)</f>
        <v>25</v>
      </c>
      <c r="O159" s="723">
        <f t="shared" ca="1" si="208"/>
        <v>0.35760000000000003</v>
      </c>
      <c r="P159" s="723">
        <f t="shared" ca="1" si="209"/>
        <v>1.49E-2</v>
      </c>
      <c r="Q159" s="81">
        <f t="shared" ca="1" si="210"/>
        <v>2.276388888888889</v>
      </c>
      <c r="R159" s="81">
        <v>3.1536000000000002E-2</v>
      </c>
      <c r="S159" s="199">
        <v>0.5</v>
      </c>
      <c r="T159" s="199">
        <f ca="1">HLOOKUP($T$2,INDIRECT("'"&amp;$B159&amp;"'!"&amp;"$P$246:$AC$259"),IF(H159=$AI$13,6,IF(H159=$AI$14,9,14)),FALSE)</f>
        <v>0</v>
      </c>
      <c r="U159" s="773"/>
      <c r="V159" s="199">
        <f t="shared" ref="V159" ca="1" si="218">IF(IF(RIGHT(H159,2)="PH",(1-L159)+$W$2,IF(RIGHT(H159,2)="HT",(1-L159)+$W$1,IF(RIGHT(H159,2)="SH",(1-L159)+$W$3,"")))&gt;0,IF(RIGHT(H159,2)="PH",(1-L159)+$W$2,IF(RIGHT(H159,2)="HT",(1-L159)+$W$1,IF(RIGHT(H159,2)="SH",(1-L159)+$W$3,""))),0)</f>
        <v>0</v>
      </c>
      <c r="W159" s="709"/>
      <c r="X159" s="698">
        <f t="shared" ref="X159:X177" ca="1" si="219">IF(VLOOKUP($AD159,INDIRECT("'"&amp;$B159&amp;"'!"&amp;"$P$39:$AD$42"),11,FALSE)="Cf. the utilized electricity",0,VLOOKUP($AD159,INDIRECT("'"&amp;$B159&amp;"'!"&amp;"$P$39:$AD$42"),11,FALSE))</f>
        <v>0.3</v>
      </c>
      <c r="Y159" s="698">
        <f t="shared" ca="1" si="212"/>
        <v>9</v>
      </c>
      <c r="Z159" s="698">
        <f t="shared" ca="1" si="213"/>
        <v>3</v>
      </c>
      <c r="AA159" s="698">
        <f t="shared" ca="1" si="214"/>
        <v>1</v>
      </c>
      <c r="AB159" s="698">
        <f t="shared" ca="1" si="215"/>
        <v>0.1</v>
      </c>
      <c r="AC159" s="296"/>
      <c r="AD159" s="81">
        <v>2020</v>
      </c>
      <c r="AE159" s="81"/>
      <c r="AF159" s="710"/>
    </row>
    <row r="160" spans="1:32">
      <c r="B160" s="718" t="s">
        <v>1010</v>
      </c>
      <c r="C160" s="64"/>
      <c r="E160" s="261"/>
      <c r="F160" s="224" t="s">
        <v>1149</v>
      </c>
      <c r="G160" s="55"/>
      <c r="H160" s="174"/>
      <c r="I160" s="174" t="str">
        <f t="shared" si="143"/>
        <v>INDMWH</v>
      </c>
      <c r="J160" s="224">
        <f t="shared" si="146"/>
        <v>2030</v>
      </c>
      <c r="K160" s="81"/>
      <c r="L160" s="199">
        <f t="shared" ca="1" si="207"/>
        <v>1.03</v>
      </c>
      <c r="M160" s="199"/>
      <c r="N160" s="81"/>
      <c r="O160" s="723">
        <f t="shared" ca="1" si="208"/>
        <v>0.29800000000000004</v>
      </c>
      <c r="P160" s="723">
        <f t="shared" ca="1" si="209"/>
        <v>1.4154999999999999E-2</v>
      </c>
      <c r="Q160" s="81">
        <f t="shared" ca="1" si="210"/>
        <v>2.0694444444444446</v>
      </c>
      <c r="R160" s="300"/>
      <c r="S160" s="300"/>
      <c r="T160" s="300"/>
      <c r="U160" s="300"/>
      <c r="V160" s="199">
        <f t="shared" ref="V160" ca="1" si="220">IF(IF(RIGHT(H159,2)="PH",(1-L160)+$W$2,IF(RIGHT(H159,2)="HT",(1-L160)+$W$1,IF(RIGHT(H159,2)="SH",(1-L160)+$W$3,"")))&gt;0,IF(RIGHT(H159,2)="PH",(1-L160)+$W$2,IF(RIGHT(H159,2)="HT",(1-L160)+$W$1,IF(RIGHT(H159,2)="SH",(1-L160)+$W$3,""))),0)</f>
        <v>0</v>
      </c>
      <c r="W160" s="298"/>
      <c r="X160" s="698">
        <f t="shared" ca="1" si="219"/>
        <v>0.3</v>
      </c>
      <c r="Y160" s="698">
        <f t="shared" ca="1" si="212"/>
        <v>7</v>
      </c>
      <c r="Z160" s="698">
        <f t="shared" ca="1" si="213"/>
        <v>2</v>
      </c>
      <c r="AA160" s="698">
        <f t="shared" ca="1" si="214"/>
        <v>1</v>
      </c>
      <c r="AB160" s="698">
        <f t="shared" ca="1" si="215"/>
        <v>0.1</v>
      </c>
      <c r="AC160" s="55"/>
      <c r="AD160" s="81">
        <v>2030</v>
      </c>
      <c r="AE160" s="81"/>
      <c r="AF160" s="700"/>
    </row>
    <row r="161" spans="1:32">
      <c r="B161" s="719" t="s">
        <v>1010</v>
      </c>
      <c r="C161" s="713"/>
      <c r="D161" s="701"/>
      <c r="E161" s="701"/>
      <c r="F161" s="224" t="s">
        <v>1149</v>
      </c>
      <c r="G161" s="203"/>
      <c r="H161" s="702"/>
      <c r="I161" s="702" t="str">
        <f t="shared" si="143"/>
        <v>INDMWH</v>
      </c>
      <c r="J161" s="224">
        <f t="shared" si="146"/>
        <v>2050</v>
      </c>
      <c r="K161" s="81"/>
      <c r="L161" s="199">
        <f t="shared" ca="1" si="207"/>
        <v>1.03</v>
      </c>
      <c r="M161" s="199"/>
      <c r="N161" s="81"/>
      <c r="O161" s="723">
        <f t="shared" ca="1" si="208"/>
        <v>0.29800000000000004</v>
      </c>
      <c r="P161" s="723">
        <f t="shared" ca="1" si="209"/>
        <v>1.2664999999999999E-2</v>
      </c>
      <c r="Q161" s="81">
        <f t="shared" ca="1" si="210"/>
        <v>2.0694444444444446</v>
      </c>
      <c r="R161" s="300"/>
      <c r="S161" s="300"/>
      <c r="T161" s="300"/>
      <c r="U161" s="300"/>
      <c r="V161" s="199">
        <f t="shared" ref="V161" ca="1" si="221">IF(IF(RIGHT(H159,2)="PH",(1-L161)+$W$2,IF(RIGHT(H159,2)="HT",(1-L161)+$W$1,IF(RIGHT(H159,2)="SH",(1-L161)+$W$3,"")))&gt;0,IF(RIGHT(H159,2)="PH",(1-L161)+$W$2,IF(RIGHT(H159,2)="HT",(1-L161)+$W$1,IF(RIGHT(H159,2)="SH",(1-L161)+$W$3,""))),0)</f>
        <v>0</v>
      </c>
      <c r="W161" s="714"/>
      <c r="X161" s="698">
        <f t="shared" ca="1" si="219"/>
        <v>0.3</v>
      </c>
      <c r="Y161" s="698">
        <f t="shared" ca="1" si="212"/>
        <v>6</v>
      </c>
      <c r="Z161" s="698">
        <f t="shared" ca="1" si="213"/>
        <v>2</v>
      </c>
      <c r="AA161" s="698">
        <f t="shared" ca="1" si="214"/>
        <v>1</v>
      </c>
      <c r="AB161" s="698">
        <f t="shared" ca="1" si="215"/>
        <v>0.1</v>
      </c>
      <c r="AC161" s="55"/>
      <c r="AD161" s="81">
        <v>2050</v>
      </c>
      <c r="AE161" s="81"/>
      <c r="AF161" s="700"/>
    </row>
    <row r="162" spans="1:32">
      <c r="B162" s="718" t="s">
        <v>1010</v>
      </c>
      <c r="C162" s="64"/>
      <c r="D162" s="212" t="str">
        <f>"IND"&amp;RIGHT(H162,4)&amp;"GAS"&amp;"N"&amp;RIGHT(E162,1)</f>
        <v>INDMDPHGASN5</v>
      </c>
      <c r="E162" s="707" t="str">
        <f>"Industrial heating technology "&amp;$AJ$12&amp;" "&amp;RIGHT(H162,2)&amp;" - Gas boiler (Direct firing) - new 5"</f>
        <v>Industrial heating technology Machinery PH - Gas boiler (Direct firing) - new 5</v>
      </c>
      <c r="F162" s="224" t="s">
        <v>1149</v>
      </c>
      <c r="G162" s="173" t="s">
        <v>2080</v>
      </c>
      <c r="H162" s="174" t="str">
        <f>$AI$13</f>
        <v>IMDPH</v>
      </c>
      <c r="I162" s="174" t="str">
        <f t="shared" si="143"/>
        <v>INDMWH</v>
      </c>
      <c r="J162" s="224">
        <f t="shared" si="146"/>
        <v>2011</v>
      </c>
      <c r="K162" s="299">
        <f>J162</f>
        <v>2011</v>
      </c>
      <c r="L162" s="199">
        <f t="shared" ref="L162:L167" ca="1" si="222">VLOOKUP($AD162,INDIRECT("'"&amp;$B162&amp;"'!"&amp;"$P$345:$AD$348"),3,FALSE)</f>
        <v>1</v>
      </c>
      <c r="M162" s="199"/>
      <c r="N162" s="81">
        <f ca="1">VLOOKUP($AD162,INDIRECT("'"&amp;$B162&amp;"'!"&amp;"$P$345:$AD$348"),5,FALSE)</f>
        <v>15</v>
      </c>
      <c r="O162" s="723">
        <f t="shared" ref="O162:O167" ca="1" si="223">VLOOKUP($AD162,INDIRECT("'"&amp;$B162&amp;"'!"&amp;"$P$345:$AD$348"),6,FALSE)/1000</f>
        <v>0.11175</v>
      </c>
      <c r="P162" s="723">
        <f t="shared" ref="P162:P167" ca="1" si="224">VLOOKUP($AD162,INDIRECT("'"&amp;$B162&amp;"'!"&amp;"$P$345:$AD$348"),7,FALSE)/1000</f>
        <v>1.3545454545454561E-3</v>
      </c>
      <c r="Q162" s="81">
        <f t="shared" ref="Q162:Q167" ca="1" si="225">VLOOKUP($AD162,INDIRECT("'"&amp;$B162&amp;"'!"&amp;"$P$345:$AD$348"),8,FALSE)</f>
        <v>0.58461805555555546</v>
      </c>
      <c r="R162" s="81">
        <v>3.1536000000000002E-2</v>
      </c>
      <c r="S162" s="199">
        <v>0.5</v>
      </c>
      <c r="T162" s="199">
        <f ca="1">HLOOKUP($S$2,INDIRECT("'"&amp;$B162&amp;"'!"&amp;"$P$312:$AC$325"),IF(H162=$AI$13,6,IF(H162=$AI$14,9,14)),FALSE)</f>
        <v>1</v>
      </c>
      <c r="U162" s="773"/>
      <c r="V162" s="199">
        <f t="shared" ref="V162" ca="1" si="226">IF(IF(RIGHT(H162,2)="PH",(1-L162)+$W$2,IF(RIGHT(H162,2)="HT",(1-L162)+$W$1,IF(RIGHT(H162,2)="SH",(1-L162)+$W$3,"")))&gt;0,IF(RIGHT(H162,2)="PH",(1-L162)+$W$2,IF(RIGHT(H162,2)="HT",(1-L162)+$W$1,IF(RIGHT(H162,2)="SH",(1-L162)+$W$3,""))),0)</f>
        <v>0.2</v>
      </c>
      <c r="W162" s="709"/>
      <c r="X162" s="698">
        <f t="shared" ca="1" si="219"/>
        <v>0.3</v>
      </c>
      <c r="Y162" s="698">
        <f t="shared" ref="Y162:Y167" ca="1" si="227">VLOOKUP($AD162,INDIRECT("'"&amp;$B162&amp;"'!"&amp;"$P$345:$AD$348"),12,FALSE)</f>
        <v>9</v>
      </c>
      <c r="Z162" s="698">
        <f t="shared" ref="Z162:Z167" ca="1" si="228">VLOOKUP($AD162,INDIRECT("'"&amp;$B162&amp;"'!"&amp;"$P$345:$AD$348"),13,FALSE)</f>
        <v>3</v>
      </c>
      <c r="AA162" s="698">
        <f t="shared" ref="AA162:AA167" ca="1" si="229">VLOOKUP($AD162,INDIRECT("'"&amp;$B162&amp;"'!"&amp;"$P$345:$AD$348"),14,FALSE)</f>
        <v>1</v>
      </c>
      <c r="AB162" s="698">
        <f t="shared" ref="AB162:AB167" ca="1" si="230">VLOOKUP($AD162,INDIRECT("'"&amp;$B162&amp;"'!"&amp;"$P$345:$AD$348"),15,FALSE)</f>
        <v>0.1</v>
      </c>
      <c r="AC162" s="55"/>
      <c r="AD162" s="81">
        <v>2020</v>
      </c>
      <c r="AE162" s="81"/>
      <c r="AF162" s="700"/>
    </row>
    <row r="163" spans="1:32">
      <c r="B163" s="718" t="s">
        <v>1010</v>
      </c>
      <c r="C163" s="64"/>
      <c r="E163" s="261"/>
      <c r="F163" s="224" t="s">
        <v>1149</v>
      </c>
      <c r="G163" s="55"/>
      <c r="H163" s="174"/>
      <c r="I163" s="174" t="str">
        <f t="shared" si="143"/>
        <v>INDMWH</v>
      </c>
      <c r="J163" s="224">
        <f t="shared" si="146"/>
        <v>2030</v>
      </c>
      <c r="K163" s="81"/>
      <c r="L163" s="199">
        <f t="shared" ca="1" si="222"/>
        <v>1</v>
      </c>
      <c r="M163" s="199"/>
      <c r="N163" s="81"/>
      <c r="O163" s="723">
        <f t="shared" ca="1" si="223"/>
        <v>0.11175</v>
      </c>
      <c r="P163" s="723">
        <f t="shared" ca="1" si="224"/>
        <v>1.3206818181818161E-3</v>
      </c>
      <c r="Q163" s="81">
        <f t="shared" ca="1" si="225"/>
        <v>0.5742708333333334</v>
      </c>
      <c r="R163" s="300"/>
      <c r="S163" s="300"/>
      <c r="T163" s="300"/>
      <c r="U163" s="300"/>
      <c r="V163" s="199">
        <f t="shared" ref="V163" ca="1" si="231">IF(IF(RIGHT(H162,2)="PH",(1-L163)+$W$2,IF(RIGHT(H162,2)="HT",(1-L163)+$W$1,IF(RIGHT(H162,2)="SH",(1-L163)+$W$3,"")))&gt;0,IF(RIGHT(H162,2)="PH",(1-L163)+$W$2,IF(RIGHT(H162,2)="HT",(1-L163)+$W$1,IF(RIGHT(H162,2)="SH",(1-L163)+$W$3,""))),0)</f>
        <v>0.2</v>
      </c>
      <c r="W163" s="298"/>
      <c r="X163" s="698">
        <f t="shared" ca="1" si="219"/>
        <v>0.3</v>
      </c>
      <c r="Y163" s="698">
        <f t="shared" ca="1" si="227"/>
        <v>7</v>
      </c>
      <c r="Z163" s="698">
        <f t="shared" ca="1" si="228"/>
        <v>2</v>
      </c>
      <c r="AA163" s="698">
        <f t="shared" ca="1" si="229"/>
        <v>1</v>
      </c>
      <c r="AB163" s="698">
        <f t="shared" ca="1" si="230"/>
        <v>0.1</v>
      </c>
      <c r="AC163" s="55"/>
      <c r="AD163" s="81">
        <v>2030</v>
      </c>
      <c r="AE163" s="81"/>
      <c r="AF163" s="700"/>
    </row>
    <row r="164" spans="1:32">
      <c r="B164" s="718" t="s">
        <v>1010</v>
      </c>
      <c r="C164" s="64"/>
      <c r="E164" s="261"/>
      <c r="F164" s="224" t="s">
        <v>1149</v>
      </c>
      <c r="G164" s="55"/>
      <c r="H164" s="174"/>
      <c r="I164" s="174" t="str">
        <f t="shared" si="143"/>
        <v>INDMWH</v>
      </c>
      <c r="J164" s="224">
        <f t="shared" si="146"/>
        <v>2050</v>
      </c>
      <c r="K164" s="81"/>
      <c r="L164" s="199">
        <f t="shared" ca="1" si="222"/>
        <v>1</v>
      </c>
      <c r="M164" s="199"/>
      <c r="N164" s="81"/>
      <c r="O164" s="723">
        <f t="shared" ca="1" si="223"/>
        <v>0.11175</v>
      </c>
      <c r="P164" s="723">
        <f t="shared" ca="1" si="224"/>
        <v>1.1513636363636396E-3</v>
      </c>
      <c r="Q164" s="81">
        <f t="shared" ca="1" si="225"/>
        <v>0.57944444444444443</v>
      </c>
      <c r="R164" s="300"/>
      <c r="S164" s="300"/>
      <c r="T164" s="300"/>
      <c r="U164" s="300"/>
      <c r="V164" s="199">
        <f t="shared" ref="V164" ca="1" si="232">IF(IF(RIGHT(H162,2)="PH",(1-L164)+$W$2,IF(RIGHT(H162,2)="HT",(1-L164)+$W$1,IF(RIGHT(H162,2)="SH",(1-L164)+$W$3,"")))&gt;0,IF(RIGHT(H162,2)="PH",(1-L164)+$W$2,IF(RIGHT(H162,2)="HT",(1-L164)+$W$1,IF(RIGHT(H162,2)="SH",(1-L164)+$W$3,""))),0)</f>
        <v>0.2</v>
      </c>
      <c r="W164" s="298"/>
      <c r="X164" s="698">
        <f t="shared" ca="1" si="219"/>
        <v>0.3</v>
      </c>
      <c r="Y164" s="698">
        <f t="shared" ca="1" si="227"/>
        <v>6</v>
      </c>
      <c r="Z164" s="698">
        <f t="shared" ca="1" si="228"/>
        <v>2</v>
      </c>
      <c r="AA164" s="698">
        <f t="shared" ca="1" si="229"/>
        <v>1</v>
      </c>
      <c r="AB164" s="698">
        <f t="shared" ca="1" si="230"/>
        <v>0.1</v>
      </c>
      <c r="AC164" s="203"/>
      <c r="AD164" s="81">
        <v>2050</v>
      </c>
      <c r="AE164" s="81"/>
      <c r="AF164" s="700"/>
    </row>
    <row r="165" spans="1:32">
      <c r="B165" s="718" t="s">
        <v>1010</v>
      </c>
      <c r="C165" s="64"/>
      <c r="D165" s="212" t="str">
        <f>"IND"&amp;RIGHT(H165,4)&amp;"GAS"&amp;"N"&amp;RIGHT(E165,1)</f>
        <v>INDMDPHGASN5</v>
      </c>
      <c r="E165" s="261" t="str">
        <f>"Industrial heating technology "&amp;$AJ$12&amp;" "&amp;RIGHT(H165,2)&amp;" - Gas boiler (Direct firing) - new 5"</f>
        <v>Industrial heating technology Machinery PH - Gas boiler (Direct firing) - new 5</v>
      </c>
      <c r="F165" s="224" t="s">
        <v>1149</v>
      </c>
      <c r="G165" s="173" t="s">
        <v>2080</v>
      </c>
      <c r="H165" s="174" t="str">
        <f>$AI$14</f>
        <v>IMDPH</v>
      </c>
      <c r="I165" s="721" t="str">
        <f t="shared" si="143"/>
        <v>INDMWH</v>
      </c>
      <c r="J165" s="224">
        <f t="shared" si="146"/>
        <v>2011</v>
      </c>
      <c r="K165" s="299">
        <f>J165</f>
        <v>2011</v>
      </c>
      <c r="L165" s="199">
        <f t="shared" ca="1" si="222"/>
        <v>1</v>
      </c>
      <c r="M165" s="199"/>
      <c r="N165" s="81">
        <f ca="1">VLOOKUP($AD165,INDIRECT("'"&amp;$B165&amp;"'!"&amp;"$P$279:$AD$282"),5,FALSE)</f>
        <v>25</v>
      </c>
      <c r="O165" s="723">
        <f t="shared" ca="1" si="223"/>
        <v>0.11175</v>
      </c>
      <c r="P165" s="723">
        <f t="shared" ca="1" si="224"/>
        <v>1.3545454545454561E-3</v>
      </c>
      <c r="Q165" s="81">
        <f t="shared" ca="1" si="225"/>
        <v>0.58461805555555546</v>
      </c>
      <c r="R165" s="81">
        <v>3.1536000000000002E-2</v>
      </c>
      <c r="S165" s="199">
        <v>0.5</v>
      </c>
      <c r="T165" s="199">
        <f ca="1">HLOOKUP($S$2,INDIRECT("'"&amp;$B165&amp;"'!"&amp;"$P$312:$AC$325"),IF(H165=$AI$13,6,IF(H165=$AI$14,9,14)),FALSE)</f>
        <v>1</v>
      </c>
      <c r="U165" s="773"/>
      <c r="V165" s="199">
        <f t="shared" ref="V165" ca="1" si="233">IF(IF(RIGHT(H165,2)="PH",(1-L165)+$W$2,IF(RIGHT(H165,2)="HT",(1-L165)+$W$1,IF(RIGHT(H165,2)="SH",(1-L165)+$W$3,"")))&gt;0,IF(RIGHT(H165,2)="PH",(1-L165)+$W$2,IF(RIGHT(H165,2)="HT",(1-L165)+$W$1,IF(RIGHT(H165,2)="SH",(1-L165)+$W$3,""))),0)</f>
        <v>0.2</v>
      </c>
      <c r="W165" s="709"/>
      <c r="X165" s="698">
        <f t="shared" ca="1" si="219"/>
        <v>0.3</v>
      </c>
      <c r="Y165" s="698">
        <f t="shared" ca="1" si="227"/>
        <v>9</v>
      </c>
      <c r="Z165" s="698">
        <f t="shared" ca="1" si="228"/>
        <v>3</v>
      </c>
      <c r="AA165" s="698">
        <f t="shared" ca="1" si="229"/>
        <v>1</v>
      </c>
      <c r="AB165" s="698">
        <f t="shared" ca="1" si="230"/>
        <v>0.1</v>
      </c>
      <c r="AD165" s="277">
        <v>2020</v>
      </c>
      <c r="AE165" s="273"/>
      <c r="AF165" s="830"/>
    </row>
    <row r="166" spans="1:32">
      <c r="B166" s="718" t="s">
        <v>1010</v>
      </c>
      <c r="C166" s="64"/>
      <c r="E166" s="261"/>
      <c r="F166" s="224" t="s">
        <v>1149</v>
      </c>
      <c r="G166" s="55"/>
      <c r="H166" s="174"/>
      <c r="I166" s="174" t="str">
        <f t="shared" si="143"/>
        <v>INDMWH</v>
      </c>
      <c r="J166" s="224">
        <f t="shared" si="146"/>
        <v>2030</v>
      </c>
      <c r="K166" s="81"/>
      <c r="L166" s="199">
        <f t="shared" ca="1" si="222"/>
        <v>1</v>
      </c>
      <c r="M166" s="199"/>
      <c r="N166" s="81"/>
      <c r="O166" s="723">
        <f t="shared" ca="1" si="223"/>
        <v>0.11175</v>
      </c>
      <c r="P166" s="723">
        <f t="shared" ca="1" si="224"/>
        <v>1.3206818181818161E-3</v>
      </c>
      <c r="Q166" s="81">
        <f t="shared" ca="1" si="225"/>
        <v>0.5742708333333334</v>
      </c>
      <c r="R166" s="300"/>
      <c r="S166" s="300"/>
      <c r="T166" s="300"/>
      <c r="U166" s="300"/>
      <c r="V166" s="199">
        <f t="shared" ref="V166" ca="1" si="234">IF(IF(RIGHT(H165,2)="PH",(1-L166)+$W$2,IF(RIGHT(H165,2)="HT",(1-L166)+$W$1,IF(RIGHT(H165,2)="SH",(1-L166)+$W$3,"")))&gt;0,IF(RIGHT(H165,2)="PH",(1-L166)+$W$2,IF(RIGHT(H165,2)="HT",(1-L166)+$W$1,IF(RIGHT(H165,2)="SH",(1-L166)+$W$3,""))),0)</f>
        <v>0.2</v>
      </c>
      <c r="W166" s="298"/>
      <c r="X166" s="698">
        <f t="shared" ca="1" si="219"/>
        <v>0.3</v>
      </c>
      <c r="Y166" s="698">
        <f t="shared" ca="1" si="227"/>
        <v>7</v>
      </c>
      <c r="Z166" s="698">
        <f t="shared" ca="1" si="228"/>
        <v>2</v>
      </c>
      <c r="AA166" s="698">
        <f t="shared" ca="1" si="229"/>
        <v>1</v>
      </c>
      <c r="AB166" s="698">
        <f t="shared" ca="1" si="230"/>
        <v>0.1</v>
      </c>
      <c r="AD166" s="81">
        <v>2030</v>
      </c>
      <c r="AE166" s="273"/>
      <c r="AF166" s="828"/>
    </row>
    <row r="167" spans="1:32">
      <c r="A167" s="169"/>
      <c r="B167" s="719" t="s">
        <v>1010</v>
      </c>
      <c r="C167" s="713"/>
      <c r="D167" s="701"/>
      <c r="E167" s="701"/>
      <c r="F167" s="224" t="s">
        <v>1149</v>
      </c>
      <c r="G167" s="203"/>
      <c r="H167" s="702"/>
      <c r="I167" s="702" t="str">
        <f t="shared" si="143"/>
        <v>INDMWH</v>
      </c>
      <c r="J167" s="224">
        <f t="shared" si="146"/>
        <v>2050</v>
      </c>
      <c r="K167" s="81"/>
      <c r="L167" s="199">
        <f t="shared" ca="1" si="222"/>
        <v>1</v>
      </c>
      <c r="M167" s="199"/>
      <c r="N167" s="81"/>
      <c r="O167" s="723">
        <f t="shared" ca="1" si="223"/>
        <v>0.11175</v>
      </c>
      <c r="P167" s="723">
        <f t="shared" ca="1" si="224"/>
        <v>1.1513636363636396E-3</v>
      </c>
      <c r="Q167" s="81">
        <f t="shared" ca="1" si="225"/>
        <v>0.57944444444444443</v>
      </c>
      <c r="R167" s="722"/>
      <c r="S167" s="703"/>
      <c r="T167" s="703"/>
      <c r="U167" s="703"/>
      <c r="V167" s="199">
        <f t="shared" ref="V167" ca="1" si="235">IF(IF(RIGHT(H165,2)="PH",(1-L167)+$W$2,IF(RIGHT(H165,2)="HT",(1-L167)+$W$1,IF(RIGHT(H165,2)="SH",(1-L167)+$W$3,"")))&gt;0,IF(RIGHT(H165,2)="PH",(1-L167)+$W$2,IF(RIGHT(H165,2)="HT",(1-L167)+$W$1,IF(RIGHT(H165,2)="SH",(1-L167)+$W$3,""))),0)</f>
        <v>0.2</v>
      </c>
      <c r="W167" s="714"/>
      <c r="X167" s="698">
        <f t="shared" ca="1" si="219"/>
        <v>0.3</v>
      </c>
      <c r="Y167" s="698">
        <f t="shared" ca="1" si="227"/>
        <v>6</v>
      </c>
      <c r="Z167" s="698">
        <f t="shared" ca="1" si="228"/>
        <v>2</v>
      </c>
      <c r="AA167" s="698">
        <f t="shared" ca="1" si="229"/>
        <v>1</v>
      </c>
      <c r="AB167" s="698">
        <f t="shared" ca="1" si="230"/>
        <v>0.1</v>
      </c>
      <c r="AD167" s="81">
        <v>2050</v>
      </c>
      <c r="AE167" s="273"/>
      <c r="AF167" s="828"/>
    </row>
    <row r="168" spans="1:32">
      <c r="A168" s="169"/>
      <c r="B168" s="718" t="s">
        <v>1099</v>
      </c>
      <c r="C168" s="226"/>
      <c r="D168" s="707" t="str">
        <f>"IND"&amp;RIGHT(H168,4)&amp;RIGHT(G168,3)&amp;"N"&amp;RIGHT(E168,1)</f>
        <v>INDMDPHCOAN1</v>
      </c>
      <c r="E168" s="261" t="str">
        <f>"Industrial heating technology "&amp;$AJ$12&amp;" "&amp;RIGHT(H168,2)&amp;" - Coal boiler (Steam) - new 1"</f>
        <v>Industrial heating technology Machinery PH - Coal boiler (Steam) - new 1</v>
      </c>
      <c r="F168" s="224" t="s">
        <v>1149</v>
      </c>
      <c r="G168" s="55" t="s">
        <v>617</v>
      </c>
      <c r="H168" s="174" t="str">
        <f>$AI$13</f>
        <v>IMDPH</v>
      </c>
      <c r="I168" s="174" t="str">
        <f t="shared" si="143"/>
        <v>INDMWH</v>
      </c>
      <c r="J168" s="224">
        <f t="shared" si="146"/>
        <v>2011</v>
      </c>
      <c r="K168" s="299">
        <v>2025</v>
      </c>
      <c r="L168" s="199">
        <f t="shared" ref="L168:L176" ca="1" si="236">VLOOKUP($AD168,INDIRECT("'"&amp;$B168&amp;"'!"&amp;"$P$39:$AD$42"),3,FALSE)</f>
        <v>0.89</v>
      </c>
      <c r="M168" s="699"/>
      <c r="N168" s="299">
        <f ca="1">VLOOKUP($AD168,INDIRECT("'"&amp;$B168&amp;"'!"&amp;"$P$39:$AD$42"),5,FALSE)</f>
        <v>25</v>
      </c>
      <c r="O168" s="725">
        <f t="shared" ref="O168:O176" ca="1" si="237">VLOOKUP($AD168,INDIRECT("'"&amp;$B168&amp;"'!"&amp;"$P$39:$AD$42"),6,FALSE)/1000</f>
        <v>3.7250000000000001</v>
      </c>
      <c r="P168" s="725">
        <f t="shared" ref="P168:P176" ca="1" si="238">VLOOKUP($AD168,INDIRECT("'"&amp;$B168&amp;"'!"&amp;"$P$39:$AD$42"),7,FALSE)/1000</f>
        <v>0.25106499999999998</v>
      </c>
      <c r="Q168" s="299">
        <f t="shared" ref="Q168:Q176" ca="1" si="239">VLOOKUP($AD168,INDIRECT("'"&amp;$B168&amp;"'!"&amp;"$P$39:$AD$42"),8,FALSE)</f>
        <v>3.9381527777777778</v>
      </c>
      <c r="R168" s="299">
        <v>3.1536000000000002E-2</v>
      </c>
      <c r="S168" s="699">
        <v>0.5</v>
      </c>
      <c r="T168" s="699">
        <f ca="1">HLOOKUP($T$2,INDIRECT("'"&amp;$B168&amp;"'!"&amp;"$P$6:$AC$19"),IF(H168=$AI$13,6,IF(H168=$AI$14,9,14)),FALSE)</f>
        <v>1</v>
      </c>
      <c r="U168" s="772"/>
      <c r="V168" s="199">
        <f t="shared" ref="V168" ca="1" si="240">IF(IF(RIGHT(H168,2)="PH",(1-L168)+$W$2,IF(RIGHT(H168,2)="HT",(1-L168)+$W$1,IF(RIGHT(H168,2)="SH",(1-L168)+$W$3,"")))&gt;0,IF(RIGHT(H168,2)="PH",(1-L168)+$W$2,IF(RIGHT(H168,2)="HT",(1-L168)+$W$1,IF(RIGHT(H168,2)="SH",(1-L168)+$W$3,""))),0)</f>
        <v>0.31</v>
      </c>
      <c r="W168" s="298"/>
      <c r="X168" s="698">
        <f t="shared" ca="1" si="219"/>
        <v>8</v>
      </c>
      <c r="Y168" s="299">
        <f t="shared" ref="Y168:Y176" ca="1" si="241">VLOOKUP($AD168,INDIRECT("'"&amp;$B168&amp;"'!"&amp;"$P$39:$AD$42"),12,FALSE)</f>
        <v>35</v>
      </c>
      <c r="Z168" s="299">
        <f t="shared" ref="Z168:Z176" ca="1" si="242">VLOOKUP($AD168,INDIRECT("'"&amp;$B168&amp;"'!"&amp;"$P$39:$AD$42"),13,FALSE)</f>
        <v>1.5</v>
      </c>
      <c r="AA168" s="299">
        <f t="shared" ref="AA168:AA176" ca="1" si="243">VLOOKUP($AD168,INDIRECT("'"&amp;$B168&amp;"'!"&amp;"$P$39:$AD$42"),14,FALSE)</f>
        <v>0.8</v>
      </c>
      <c r="AB168" s="299">
        <f t="shared" ref="AB168:AB176" ca="1" si="244">VLOOKUP($AD168,INDIRECT("'"&amp;$B168&amp;"'!"&amp;"$P$39:$AD$42"),15,FALSE)</f>
        <v>2.1</v>
      </c>
      <c r="AD168" s="81">
        <v>2020</v>
      </c>
      <c r="AE168" s="273"/>
      <c r="AF168" s="828"/>
    </row>
    <row r="169" spans="1:32">
      <c r="A169" s="169"/>
      <c r="B169" s="718" t="s">
        <v>1099</v>
      </c>
      <c r="C169" s="226"/>
      <c r="D169" s="261"/>
      <c r="E169" s="261"/>
      <c r="F169" s="224" t="s">
        <v>1149</v>
      </c>
      <c r="G169" s="55"/>
      <c r="H169" s="174"/>
      <c r="I169" s="174" t="str">
        <f t="shared" si="143"/>
        <v>INDMWH</v>
      </c>
      <c r="J169" s="224">
        <f t="shared" si="146"/>
        <v>2030</v>
      </c>
      <c r="K169" s="81"/>
      <c r="L169" s="199">
        <f t="shared" ca="1" si="236"/>
        <v>0.89</v>
      </c>
      <c r="M169" s="772"/>
      <c r="N169" s="200"/>
      <c r="O169" s="725">
        <f t="shared" ca="1" si="237"/>
        <v>3.4699403462447704</v>
      </c>
      <c r="P169" s="725">
        <f t="shared" ca="1" si="238"/>
        <v>0.24287</v>
      </c>
      <c r="Q169" s="299">
        <f t="shared" ca="1" si="239"/>
        <v>3.9836805555555559</v>
      </c>
      <c r="R169" s="823"/>
      <c r="S169" s="300"/>
      <c r="T169" s="300"/>
      <c r="U169" s="300"/>
      <c r="V169" s="199">
        <f t="shared" ref="V169" ca="1" si="245">IF(IF(RIGHT(H168,2)="PH",(1-L169)+$W$2,IF(RIGHT(H168,2)="HT",(1-L169)+$W$1,IF(RIGHT(H168,2)="SH",(1-L169)+$W$3,"")))&gt;0,IF(RIGHT(H168,2)="PH",(1-L169)+$W$2,IF(RIGHT(H168,2)="HT",(1-L169)+$W$1,IF(RIGHT(H168,2)="SH",(1-L169)+$W$3,""))),0)</f>
        <v>0.31</v>
      </c>
      <c r="W169" s="298"/>
      <c r="X169" s="698">
        <f t="shared" ca="1" si="219"/>
        <v>8</v>
      </c>
      <c r="Y169" s="299">
        <f t="shared" ca="1" si="241"/>
        <v>35</v>
      </c>
      <c r="Z169" s="299">
        <f t="shared" ca="1" si="242"/>
        <v>1.5</v>
      </c>
      <c r="AA169" s="299">
        <f t="shared" ca="1" si="243"/>
        <v>0.8</v>
      </c>
      <c r="AB169" s="299">
        <f t="shared" ca="1" si="244"/>
        <v>2.1</v>
      </c>
      <c r="AD169" s="81">
        <v>2030</v>
      </c>
      <c r="AE169" s="273"/>
      <c r="AF169" s="828"/>
    </row>
    <row r="170" spans="1:32">
      <c r="A170" s="169"/>
      <c r="B170" s="718" t="s">
        <v>1099</v>
      </c>
      <c r="C170" s="226"/>
      <c r="D170" s="261"/>
      <c r="E170" s="261"/>
      <c r="F170" s="224" t="s">
        <v>1149</v>
      </c>
      <c r="G170" s="55"/>
      <c r="H170" s="174"/>
      <c r="I170" s="174" t="str">
        <f t="shared" si="143"/>
        <v>INDMWH</v>
      </c>
      <c r="J170" s="224">
        <f t="shared" si="146"/>
        <v>2050</v>
      </c>
      <c r="K170" s="81"/>
      <c r="L170" s="199">
        <f t="shared" ca="1" si="236"/>
        <v>0.91</v>
      </c>
      <c r="M170" s="772"/>
      <c r="N170" s="200"/>
      <c r="O170" s="725">
        <f t="shared" ca="1" si="237"/>
        <v>3.2813985758696647</v>
      </c>
      <c r="P170" s="725">
        <f t="shared" ca="1" si="238"/>
        <v>0.22797000000000001</v>
      </c>
      <c r="Q170" s="299">
        <f t="shared" ca="1" si="239"/>
        <v>4.0064444444444449</v>
      </c>
      <c r="R170" s="823"/>
      <c r="S170" s="300"/>
      <c r="T170" s="300"/>
      <c r="U170" s="300"/>
      <c r="V170" s="199">
        <f t="shared" ref="V170" ca="1" si="246">IF(IF(RIGHT(H168,2)="PH",(1-L170)+$W$2,IF(RIGHT(H168,2)="HT",(1-L170)+$W$1,IF(RIGHT(H168,2)="SH",(1-L170)+$W$3,"")))&gt;0,IF(RIGHT(H168,2)="PH",(1-L170)+$W$2,IF(RIGHT(H168,2)="HT",(1-L170)+$W$1,IF(RIGHT(H168,2)="SH",(1-L170)+$W$3,""))),0)</f>
        <v>0.28999999999999998</v>
      </c>
      <c r="W170" s="298"/>
      <c r="X170" s="698">
        <f t="shared" ca="1" si="219"/>
        <v>8</v>
      </c>
      <c r="Y170" s="299">
        <f t="shared" ca="1" si="241"/>
        <v>35</v>
      </c>
      <c r="Z170" s="299">
        <f t="shared" ca="1" si="242"/>
        <v>1.5</v>
      </c>
      <c r="AA170" s="299">
        <f t="shared" ca="1" si="243"/>
        <v>0.8</v>
      </c>
      <c r="AB170" s="299">
        <f t="shared" ca="1" si="244"/>
        <v>2.1</v>
      </c>
      <c r="AD170" s="81">
        <v>2050</v>
      </c>
      <c r="AE170" s="273"/>
      <c r="AF170" s="828"/>
    </row>
    <row r="171" spans="1:32">
      <c r="A171" s="169"/>
      <c r="B171" s="718" t="s">
        <v>1099</v>
      </c>
      <c r="C171" s="226"/>
      <c r="D171" s="261" t="str">
        <f>"IND"&amp;RIGHT(H171,4)&amp;RIGHT(G171,3)&amp;"N"&amp;RIGHT(E171,1)</f>
        <v>INDMDPHCOAN1</v>
      </c>
      <c r="E171" s="261" t="str">
        <f>"Industrial heating technology "&amp;$AJ$12&amp;" "&amp;RIGHT(H171,2)&amp;" - Coal boiler (Steam) - new 1"</f>
        <v>Industrial heating technology Machinery PH - Coal boiler (Steam) - new 1</v>
      </c>
      <c r="F171" s="224" t="s">
        <v>1149</v>
      </c>
      <c r="G171" s="55" t="s">
        <v>617</v>
      </c>
      <c r="H171" s="174" t="str">
        <f>$AI$14</f>
        <v>IMDPH</v>
      </c>
      <c r="I171" s="174" t="str">
        <f t="shared" si="143"/>
        <v>INDMWH</v>
      </c>
      <c r="J171" s="224">
        <f t="shared" si="146"/>
        <v>2011</v>
      </c>
      <c r="K171" s="299">
        <v>2025</v>
      </c>
      <c r="L171" s="199">
        <f t="shared" ca="1" si="236"/>
        <v>0.89</v>
      </c>
      <c r="M171" s="199"/>
      <c r="N171" s="81">
        <f ca="1">VLOOKUP($AD171,INDIRECT("'"&amp;$B171&amp;"'!"&amp;"$P$39:$AD$42"),5,FALSE)</f>
        <v>25</v>
      </c>
      <c r="O171" s="725">
        <f t="shared" ca="1" si="237"/>
        <v>3.7250000000000001</v>
      </c>
      <c r="P171" s="725">
        <f t="shared" ca="1" si="238"/>
        <v>0.25106499999999998</v>
      </c>
      <c r="Q171" s="299">
        <f t="shared" ca="1" si="239"/>
        <v>3.9381527777777778</v>
      </c>
      <c r="R171" s="81">
        <v>3.1536000000000002E-2</v>
      </c>
      <c r="S171" s="199">
        <v>0.5</v>
      </c>
      <c r="T171" s="199">
        <f ca="1">HLOOKUP($T$2,INDIRECT("'"&amp;$B171&amp;"'!"&amp;"$P$6:$AC$19"),IF(H171=$AI$13,6,IF(H171=$AI$14,9,14)),FALSE)</f>
        <v>1</v>
      </c>
      <c r="U171" s="772"/>
      <c r="V171" s="199">
        <f t="shared" ref="V171" ca="1" si="247">IF(IF(RIGHT(H171,2)="PH",(1-L171)+$W$2,IF(RIGHT(H171,2)="HT",(1-L171)+$W$1,IF(RIGHT(H171,2)="SH",(1-L171)+$W$3,"")))&gt;0,IF(RIGHT(H171,2)="PH",(1-L171)+$W$2,IF(RIGHT(H171,2)="HT",(1-L171)+$W$1,IF(RIGHT(H171,2)="SH",(1-L171)+$W$3,""))),0)</f>
        <v>0.31</v>
      </c>
      <c r="W171" s="298"/>
      <c r="X171" s="698">
        <f t="shared" ca="1" si="219"/>
        <v>8</v>
      </c>
      <c r="Y171" s="299">
        <f t="shared" ca="1" si="241"/>
        <v>35</v>
      </c>
      <c r="Z171" s="299">
        <f t="shared" ca="1" si="242"/>
        <v>1.5</v>
      </c>
      <c r="AA171" s="299">
        <f t="shared" ca="1" si="243"/>
        <v>0.8</v>
      </c>
      <c r="AB171" s="299">
        <f t="shared" ca="1" si="244"/>
        <v>2.1</v>
      </c>
      <c r="AD171" s="81">
        <v>2020</v>
      </c>
      <c r="AE171" s="273"/>
      <c r="AF171" s="828"/>
    </row>
    <row r="172" spans="1:32">
      <c r="A172" s="169"/>
      <c r="B172" s="718" t="s">
        <v>1099</v>
      </c>
      <c r="C172" s="226"/>
      <c r="D172" s="261"/>
      <c r="E172" s="261"/>
      <c r="F172" s="224" t="s">
        <v>1149</v>
      </c>
      <c r="G172" s="55"/>
      <c r="H172" s="174"/>
      <c r="I172" s="174" t="str">
        <f t="shared" si="143"/>
        <v>INDMWH</v>
      </c>
      <c r="J172" s="224">
        <f t="shared" si="146"/>
        <v>2030</v>
      </c>
      <c r="K172" s="81"/>
      <c r="L172" s="199">
        <f t="shared" ca="1" si="236"/>
        <v>0.89</v>
      </c>
      <c r="M172" s="772"/>
      <c r="N172" s="200"/>
      <c r="O172" s="725">
        <f t="shared" ca="1" si="237"/>
        <v>3.4699403462447704</v>
      </c>
      <c r="P172" s="725">
        <f t="shared" ca="1" si="238"/>
        <v>0.24287</v>
      </c>
      <c r="Q172" s="299">
        <f t="shared" ca="1" si="239"/>
        <v>3.9836805555555559</v>
      </c>
      <c r="R172" s="823"/>
      <c r="S172" s="300"/>
      <c r="T172" s="300"/>
      <c r="U172" s="300"/>
      <c r="V172" s="199">
        <f t="shared" ref="V172" ca="1" si="248">IF(IF(RIGHT(H171,2)="PH",(1-L172)+$W$2,IF(RIGHT(H171,2)="HT",(1-L172)+$W$1,IF(RIGHT(H171,2)="SH",(1-L172)+$W$3,"")))&gt;0,IF(RIGHT(H171,2)="PH",(1-L172)+$W$2,IF(RIGHT(H171,2)="HT",(1-L172)+$W$1,IF(RIGHT(H171,2)="SH",(1-L172)+$W$3,""))),0)</f>
        <v>0.31</v>
      </c>
      <c r="W172" s="298"/>
      <c r="X172" s="698">
        <f t="shared" ca="1" si="219"/>
        <v>8</v>
      </c>
      <c r="Y172" s="299">
        <f t="shared" ca="1" si="241"/>
        <v>35</v>
      </c>
      <c r="Z172" s="299">
        <f t="shared" ca="1" si="242"/>
        <v>1.5</v>
      </c>
      <c r="AA172" s="299">
        <f t="shared" ca="1" si="243"/>
        <v>0.8</v>
      </c>
      <c r="AB172" s="299">
        <f t="shared" ca="1" si="244"/>
        <v>2.1</v>
      </c>
      <c r="AD172" s="81">
        <v>2030</v>
      </c>
      <c r="AE172" s="273"/>
      <c r="AF172" s="828"/>
    </row>
    <row r="173" spans="1:32">
      <c r="A173" s="169"/>
      <c r="B173" s="718" t="s">
        <v>1099</v>
      </c>
      <c r="C173" s="226"/>
      <c r="D173" s="261"/>
      <c r="E173" s="261"/>
      <c r="F173" s="224" t="s">
        <v>1149</v>
      </c>
      <c r="G173" s="55"/>
      <c r="H173" s="174"/>
      <c r="I173" s="174" t="str">
        <f t="shared" si="143"/>
        <v>INDMWH</v>
      </c>
      <c r="J173" s="224">
        <f t="shared" si="146"/>
        <v>2050</v>
      </c>
      <c r="K173" s="81"/>
      <c r="L173" s="199">
        <f t="shared" ca="1" si="236"/>
        <v>0.91</v>
      </c>
      <c r="M173" s="772"/>
      <c r="N173" s="200"/>
      <c r="O173" s="725">
        <f t="shared" ca="1" si="237"/>
        <v>3.2813985758696647</v>
      </c>
      <c r="P173" s="725">
        <f t="shared" ca="1" si="238"/>
        <v>0.22797000000000001</v>
      </c>
      <c r="Q173" s="299">
        <f t="shared" ca="1" si="239"/>
        <v>4.0064444444444449</v>
      </c>
      <c r="R173" s="823"/>
      <c r="S173" s="300"/>
      <c r="T173" s="300"/>
      <c r="U173" s="300"/>
      <c r="V173" s="199">
        <f t="shared" ref="V173" ca="1" si="249">IF(IF(RIGHT(H171,2)="PH",(1-L173)+$W$2,IF(RIGHT(H171,2)="HT",(1-L173)+$W$1,IF(RIGHT(H171,2)="SH",(1-L173)+$W$3,"")))&gt;0,IF(RIGHT(H171,2)="PH",(1-L173)+$W$2,IF(RIGHT(H171,2)="HT",(1-L173)+$W$1,IF(RIGHT(H171,2)="SH",(1-L173)+$W$3,""))),0)</f>
        <v>0.28999999999999998</v>
      </c>
      <c r="W173" s="298"/>
      <c r="X173" s="698">
        <f t="shared" ca="1" si="219"/>
        <v>8</v>
      </c>
      <c r="Y173" s="299">
        <f t="shared" ca="1" si="241"/>
        <v>35</v>
      </c>
      <c r="Z173" s="299">
        <f t="shared" ca="1" si="242"/>
        <v>1.5</v>
      </c>
      <c r="AA173" s="299">
        <f t="shared" ca="1" si="243"/>
        <v>0.8</v>
      </c>
      <c r="AB173" s="299">
        <f t="shared" ca="1" si="244"/>
        <v>2.1</v>
      </c>
      <c r="AD173" s="81">
        <v>2050</v>
      </c>
      <c r="AE173" s="273"/>
      <c r="AF173" s="828"/>
    </row>
    <row r="174" spans="1:32">
      <c r="A174" s="169"/>
      <c r="B174" s="718" t="s">
        <v>1099</v>
      </c>
      <c r="C174" s="226"/>
      <c r="D174" s="261" t="str">
        <f>"IND"&amp;RIGHT(H174,4)&amp;RIGHT(G174,3)&amp;"N"&amp;RIGHT(E174,1)</f>
        <v>INDMDSHCOAN1</v>
      </c>
      <c r="E174" s="261" t="str">
        <f>"Industrial heating technology "&amp;$AJ$12&amp;" "&amp;RIGHT(H174,2)&amp;" - Coal boiler (Steam) - new 1"</f>
        <v>Industrial heating technology Machinery SH - Coal boiler (Steam) - new 1</v>
      </c>
      <c r="F174" s="224" t="s">
        <v>1149</v>
      </c>
      <c r="G174" s="55" t="s">
        <v>617</v>
      </c>
      <c r="H174" s="174" t="str">
        <f>$AI$15</f>
        <v>IMDSH</v>
      </c>
      <c r="I174" s="174" t="str">
        <f t="shared" si="143"/>
        <v>INDMWH</v>
      </c>
      <c r="J174" s="224">
        <f t="shared" si="146"/>
        <v>2011</v>
      </c>
      <c r="K174" s="299">
        <v>2025</v>
      </c>
      <c r="L174" s="199">
        <f t="shared" ca="1" si="236"/>
        <v>0.89</v>
      </c>
      <c r="M174" s="199"/>
      <c r="N174" s="81">
        <f ca="1">VLOOKUP($AD174,INDIRECT("'"&amp;$B174&amp;"'!"&amp;"$P$39:$AD$42"),5,FALSE)</f>
        <v>25</v>
      </c>
      <c r="O174" s="725">
        <f t="shared" ca="1" si="237"/>
        <v>3.7250000000000001</v>
      </c>
      <c r="P174" s="725">
        <f t="shared" ca="1" si="238"/>
        <v>0.25106499999999998</v>
      </c>
      <c r="Q174" s="299">
        <f t="shared" ca="1" si="239"/>
        <v>3.9381527777777778</v>
      </c>
      <c r="R174" s="81">
        <v>3.1536000000000002E-2</v>
      </c>
      <c r="S174" s="199">
        <v>0.5</v>
      </c>
      <c r="T174" s="199">
        <f ca="1">HLOOKUP($T$2,INDIRECT("'"&amp;$B174&amp;"'!"&amp;"$P$6:$AC$19"),IF(H174=$AI$13,6,IF(H174=$AI$14,9,14)),FALSE)</f>
        <v>1</v>
      </c>
      <c r="U174" s="772"/>
      <c r="V174" s="199">
        <f t="shared" ref="V174" ca="1" si="250">IF(IF(RIGHT(H174,2)="PH",(1-L174)+$W$2,IF(RIGHT(H174,2)="HT",(1-L174)+$W$1,IF(RIGHT(H174,2)="SH",(1-L174)+$W$3,"")))&gt;0,IF(RIGHT(H174,2)="PH",(1-L174)+$W$2,IF(RIGHT(H174,2)="HT",(1-L174)+$W$1,IF(RIGHT(H174,2)="SH",(1-L174)+$W$3,""))),0)</f>
        <v>0.10999999999999999</v>
      </c>
      <c r="W174" s="298"/>
      <c r="X174" s="698">
        <f t="shared" ca="1" si="219"/>
        <v>8</v>
      </c>
      <c r="Y174" s="299">
        <f t="shared" ca="1" si="241"/>
        <v>35</v>
      </c>
      <c r="Z174" s="299">
        <f t="shared" ca="1" si="242"/>
        <v>1.5</v>
      </c>
      <c r="AA174" s="299">
        <f t="shared" ca="1" si="243"/>
        <v>0.8</v>
      </c>
      <c r="AB174" s="299">
        <f t="shared" ca="1" si="244"/>
        <v>2.1</v>
      </c>
      <c r="AD174" s="81">
        <v>2020</v>
      </c>
      <c r="AE174" s="273"/>
      <c r="AF174" s="828"/>
    </row>
    <row r="175" spans="1:32">
      <c r="A175" s="169"/>
      <c r="B175" s="718" t="s">
        <v>1099</v>
      </c>
      <c r="C175" s="226"/>
      <c r="D175" s="261"/>
      <c r="E175" s="261"/>
      <c r="F175" s="224" t="s">
        <v>1149</v>
      </c>
      <c r="G175" s="55"/>
      <c r="H175" s="174"/>
      <c r="I175" s="174" t="str">
        <f t="shared" si="143"/>
        <v>INDMWH</v>
      </c>
      <c r="J175" s="224">
        <f t="shared" si="146"/>
        <v>2030</v>
      </c>
      <c r="K175" s="81"/>
      <c r="L175" s="199">
        <f t="shared" ca="1" si="236"/>
        <v>0.89</v>
      </c>
      <c r="M175" s="772"/>
      <c r="N175" s="200"/>
      <c r="O175" s="725">
        <f t="shared" ca="1" si="237"/>
        <v>3.4699403462447704</v>
      </c>
      <c r="P175" s="725">
        <f t="shared" ca="1" si="238"/>
        <v>0.24287</v>
      </c>
      <c r="Q175" s="299">
        <f t="shared" ca="1" si="239"/>
        <v>3.9836805555555559</v>
      </c>
      <c r="R175" s="823"/>
      <c r="S175" s="300"/>
      <c r="T175" s="300"/>
      <c r="U175" s="300"/>
      <c r="V175" s="199">
        <f t="shared" ref="V175" ca="1" si="251">IF(IF(RIGHT(H174,2)="PH",(1-L175)+$W$2,IF(RIGHT(H174,2)="HT",(1-L175)+$W$1,IF(RIGHT(H174,2)="SH",(1-L175)+$W$3,"")))&gt;0,IF(RIGHT(H174,2)="PH",(1-L175)+$W$2,IF(RIGHT(H174,2)="HT",(1-L175)+$W$1,IF(RIGHT(H174,2)="SH",(1-L175)+$W$3,""))),0)</f>
        <v>0.10999999999999999</v>
      </c>
      <c r="W175" s="298"/>
      <c r="X175" s="698">
        <f t="shared" ca="1" si="219"/>
        <v>8</v>
      </c>
      <c r="Y175" s="299">
        <f t="shared" ca="1" si="241"/>
        <v>35</v>
      </c>
      <c r="Z175" s="299">
        <f t="shared" ca="1" si="242"/>
        <v>1.5</v>
      </c>
      <c r="AA175" s="299">
        <f t="shared" ca="1" si="243"/>
        <v>0.8</v>
      </c>
      <c r="AB175" s="299">
        <f t="shared" ca="1" si="244"/>
        <v>2.1</v>
      </c>
      <c r="AD175" s="81">
        <v>2030</v>
      </c>
      <c r="AE175" s="273"/>
      <c r="AF175" s="828"/>
    </row>
    <row r="176" spans="1:32">
      <c r="A176" s="169"/>
      <c r="B176" s="719" t="s">
        <v>1099</v>
      </c>
      <c r="C176" s="713"/>
      <c r="D176" s="701"/>
      <c r="E176" s="701"/>
      <c r="F176" s="224" t="s">
        <v>1149</v>
      </c>
      <c r="G176" s="203"/>
      <c r="H176" s="702"/>
      <c r="I176" s="702" t="str">
        <f t="shared" si="143"/>
        <v>INDMWH</v>
      </c>
      <c r="J176" s="224">
        <f t="shared" si="146"/>
        <v>2050</v>
      </c>
      <c r="K176" s="81"/>
      <c r="L176" s="199">
        <f t="shared" ca="1" si="236"/>
        <v>0.91</v>
      </c>
      <c r="M176" s="826"/>
      <c r="N176" s="825"/>
      <c r="O176" s="725">
        <f t="shared" ca="1" si="237"/>
        <v>3.2813985758696647</v>
      </c>
      <c r="P176" s="725">
        <f t="shared" ca="1" si="238"/>
        <v>0.22797000000000001</v>
      </c>
      <c r="Q176" s="299">
        <f t="shared" ca="1" si="239"/>
        <v>4.0064444444444449</v>
      </c>
      <c r="R176" s="722"/>
      <c r="S176" s="703"/>
      <c r="T176" s="703"/>
      <c r="U176" s="703"/>
      <c r="V176" s="199">
        <f t="shared" ref="V176" ca="1" si="252">IF(IF(RIGHT(H174,2)="PH",(1-L176)+$W$2,IF(RIGHT(H174,2)="HT",(1-L176)+$W$1,IF(RIGHT(H174,2)="SH",(1-L176)+$W$3,"")))&gt;0,IF(RIGHT(H174,2)="PH",(1-L176)+$W$2,IF(RIGHT(H174,2)="HT",(1-L176)+$W$1,IF(RIGHT(H174,2)="SH",(1-L176)+$W$3,""))),0)</f>
        <v>8.9999999999999969E-2</v>
      </c>
      <c r="W176" s="704"/>
      <c r="X176" s="698">
        <f t="shared" ca="1" si="219"/>
        <v>8</v>
      </c>
      <c r="Y176" s="299">
        <f t="shared" ca="1" si="241"/>
        <v>35</v>
      </c>
      <c r="Z176" s="299">
        <f t="shared" ca="1" si="242"/>
        <v>1.5</v>
      </c>
      <c r="AA176" s="299">
        <f t="shared" ca="1" si="243"/>
        <v>0.8</v>
      </c>
      <c r="AB176" s="299">
        <f t="shared" ca="1" si="244"/>
        <v>2.1</v>
      </c>
      <c r="AC176" s="203"/>
      <c r="AD176" s="81">
        <v>2050</v>
      </c>
      <c r="AE176" s="273"/>
      <c r="AF176" s="829"/>
    </row>
    <row r="177" spans="1:32">
      <c r="A177" s="169"/>
      <c r="B177" s="718" t="s">
        <v>1099</v>
      </c>
      <c r="C177" s="226"/>
      <c r="D177" s="707" t="str">
        <f>"IND"&amp;RIGHT(H177,4)&amp;RIGHT(G177,3)&amp;"N"&amp;RIGHT(E177,1)</f>
        <v>INDMDPHCOAN2</v>
      </c>
      <c r="E177" s="261" t="str">
        <f>"Industrial heating technology "&amp;$AJ$12&amp;" "&amp;RIGHT(H177,2)&amp;" - Coal boiler (Hot Water) - new 2"</f>
        <v>Industrial heating technology Machinery PH - Coal boiler (Hot Water) - new 2</v>
      </c>
      <c r="F177" s="224" t="s">
        <v>1149</v>
      </c>
      <c r="G177" s="55" t="s">
        <v>617</v>
      </c>
      <c r="H177" s="174" t="str">
        <f>$AI$14</f>
        <v>IMDPH</v>
      </c>
      <c r="I177" s="174" t="str">
        <f t="shared" si="143"/>
        <v>INDMWH</v>
      </c>
      <c r="J177" s="224">
        <f t="shared" si="146"/>
        <v>2011</v>
      </c>
      <c r="K177" s="299">
        <v>2025</v>
      </c>
      <c r="L177" s="199">
        <f t="shared" ref="L177:L182" ca="1" si="253">VLOOKUP($AD177,INDIRECT("'"&amp;$B177&amp;"'!"&amp;"$P$118:$AD$121"),3,FALSE)</f>
        <v>0.89</v>
      </c>
      <c r="M177" s="199"/>
      <c r="N177" s="81">
        <f ca="1">VLOOKUP($AD177,INDIRECT("'"&amp;$B177&amp;"'!"&amp;"$P$118:$AD$121"),5,FALSE)</f>
        <v>25</v>
      </c>
      <c r="O177" s="723">
        <f t="shared" ref="O177:O182" ca="1" si="254">VLOOKUP($AD177,INDIRECT("'"&amp;$B177&amp;"'!"&amp;"$P$118:$AD$121"),6,FALSE)/1000</f>
        <v>3.7250000000000001</v>
      </c>
      <c r="P177" s="723">
        <f t="shared" ref="P177:P182" ca="1" si="255">VLOOKUP($AD177,INDIRECT("'"&amp;$B177&amp;"'!"&amp;"$P$118:$AD$121"),7,FALSE)/1000</f>
        <v>0.25106499999999998</v>
      </c>
      <c r="Q177" s="81">
        <f t="shared" ref="Q177:Q182" ca="1" si="256">VLOOKUP($AD177,INDIRECT("'"&amp;$B177&amp;"'!"&amp;"$P$118:$AD$121"),8,FALSE)</f>
        <v>3.9381527777777778</v>
      </c>
      <c r="R177" s="81">
        <v>3.1536000000000002E-2</v>
      </c>
      <c r="S177" s="199">
        <v>0.5</v>
      </c>
      <c r="T177" s="199">
        <f ca="1">HLOOKUP($T$2,INDIRECT("'"&amp;$B177&amp;"'!"&amp;"$P$85:$AC$98"),IF(H177=$AI$13,6,IF(H177=$AI$14,9,14)),FALSE)</f>
        <v>0</v>
      </c>
      <c r="U177" s="773"/>
      <c r="V177" s="199">
        <f t="shared" ref="V177" ca="1" si="257">IF(IF(RIGHT(H177,2)="PH",(1-L177)+$W$2,IF(RIGHT(H177,2)="HT",(1-L177)+$W$1,IF(RIGHT(H177,2)="SH",(1-L177)+$W$3,"")))&gt;0,IF(RIGHT(H177,2)="PH",(1-L177)+$W$2,IF(RIGHT(H177,2)="HT",(1-L177)+$W$1,IF(RIGHT(H177,2)="SH",(1-L177)+$W$3,""))),0)</f>
        <v>0.31</v>
      </c>
      <c r="W177" s="709"/>
      <c r="X177" s="698">
        <f t="shared" ca="1" si="219"/>
        <v>8</v>
      </c>
      <c r="Y177" s="698">
        <f ca="1">VLOOKUP($AD177,INDIRECT("'"&amp;$B177&amp;"'!"&amp;"$P$118:$AD$121"),12,FALSE)</f>
        <v>35</v>
      </c>
      <c r="Z177" s="698">
        <f ca="1">VLOOKUP($AD177,INDIRECT("'"&amp;$B177&amp;"'!"&amp;"$P$118:$AD$121"),13,FALSE)</f>
        <v>1.5</v>
      </c>
      <c r="AA177" s="698">
        <f ca="1">VLOOKUP($AD177,INDIRECT("'"&amp;$B177&amp;"'!"&amp;"$P$118:$AD$121"),14,FALSE)</f>
        <v>0.8</v>
      </c>
      <c r="AB177" s="698">
        <f ca="1">VLOOKUP($AD177,INDIRECT("'"&amp;$B177&amp;"'!"&amp;"$P$118:$AD$121"),15,FALSE)</f>
        <v>2.1</v>
      </c>
      <c r="AC177" s="55"/>
      <c r="AD177" s="81">
        <v>2020</v>
      </c>
      <c r="AE177" s="273"/>
      <c r="AF177" s="828"/>
    </row>
    <row r="178" spans="1:32">
      <c r="A178" s="169"/>
      <c r="B178" s="718" t="s">
        <v>1099</v>
      </c>
      <c r="C178" s="226"/>
      <c r="D178" s="261"/>
      <c r="E178" s="261"/>
      <c r="F178" s="224" t="s">
        <v>1149</v>
      </c>
      <c r="G178" s="55"/>
      <c r="H178" s="174"/>
      <c r="I178" s="174" t="str">
        <f t="shared" si="143"/>
        <v>INDMWH</v>
      </c>
      <c r="J178" s="224">
        <f t="shared" si="146"/>
        <v>2030</v>
      </c>
      <c r="K178" s="81"/>
      <c r="L178" s="199">
        <f t="shared" ca="1" si="253"/>
        <v>0.89</v>
      </c>
      <c r="M178" s="772"/>
      <c r="N178" s="200"/>
      <c r="O178" s="723">
        <f t="shared" ca="1" si="254"/>
        <v>3.7250000000000001</v>
      </c>
      <c r="P178" s="723">
        <f t="shared" ca="1" si="255"/>
        <v>0.24287</v>
      </c>
      <c r="Q178" s="81">
        <f t="shared" ca="1" si="256"/>
        <v>3.9836805555555559</v>
      </c>
      <c r="R178" s="823"/>
      <c r="S178" s="300"/>
      <c r="T178" s="300"/>
      <c r="U178" s="300"/>
      <c r="V178" s="199">
        <f t="shared" ref="V178" ca="1" si="258">IF(IF(RIGHT(H177,2)="PH",(1-L178)+$W$2,IF(RIGHT(H177,2)="HT",(1-L178)+$W$1,IF(RIGHT(H177,2)="SH",(1-L178)+$W$3,"")))&gt;0,IF(RIGHT(H177,2)="PH",(1-L178)+$W$2,IF(RIGHT(H177,2)="HT",(1-L178)+$W$1,IF(RIGHT(H177,2)="SH",(1-L178)+$W$3,""))),0)</f>
        <v>0.31</v>
      </c>
      <c r="W178" s="298"/>
      <c r="X178" s="824"/>
      <c r="Y178" s="824"/>
      <c r="Z178" s="824"/>
      <c r="AA178" s="824"/>
      <c r="AB178" s="824"/>
      <c r="AD178" s="81">
        <v>2030</v>
      </c>
      <c r="AE178" s="273"/>
      <c r="AF178" s="828"/>
    </row>
    <row r="179" spans="1:32">
      <c r="A179" s="169"/>
      <c r="B179" s="718" t="s">
        <v>1099</v>
      </c>
      <c r="C179" s="226"/>
      <c r="D179" s="261"/>
      <c r="E179" s="261"/>
      <c r="F179" s="224" t="s">
        <v>1149</v>
      </c>
      <c r="G179" s="55"/>
      <c r="H179" s="174"/>
      <c r="I179" s="174" t="str">
        <f t="shared" si="143"/>
        <v>INDMWH</v>
      </c>
      <c r="J179" s="224">
        <f t="shared" si="146"/>
        <v>2050</v>
      </c>
      <c r="K179" s="81"/>
      <c r="L179" s="199">
        <f t="shared" ca="1" si="253"/>
        <v>0.91</v>
      </c>
      <c r="M179" s="772"/>
      <c r="N179" s="200"/>
      <c r="O179" s="723">
        <f t="shared" ca="1" si="254"/>
        <v>3.7250000000000001</v>
      </c>
      <c r="P179" s="723">
        <f t="shared" ca="1" si="255"/>
        <v>0.22797000000000001</v>
      </c>
      <c r="Q179" s="81">
        <f t="shared" ca="1" si="256"/>
        <v>4.0064444444444449</v>
      </c>
      <c r="R179" s="823"/>
      <c r="S179" s="300"/>
      <c r="T179" s="300"/>
      <c r="U179" s="300"/>
      <c r="V179" s="199">
        <f t="shared" ref="V179" ca="1" si="259">IF(IF(RIGHT(H177,2)="PH",(1-L179)+$W$2,IF(RIGHT(H177,2)="HT",(1-L179)+$W$1,IF(RIGHT(H177,2)="SH",(1-L179)+$W$3,"")))&gt;0,IF(RIGHT(H177,2)="PH",(1-L179)+$W$2,IF(RIGHT(H177,2)="HT",(1-L179)+$W$1,IF(RIGHT(H177,2)="SH",(1-L179)+$W$3,""))),0)</f>
        <v>0.28999999999999998</v>
      </c>
      <c r="W179" s="298"/>
      <c r="X179" s="824"/>
      <c r="Y179" s="824"/>
      <c r="Z179" s="824"/>
      <c r="AA179" s="824"/>
      <c r="AB179" s="824"/>
      <c r="AD179" s="81">
        <v>2050</v>
      </c>
      <c r="AE179" s="273"/>
      <c r="AF179" s="828"/>
    </row>
    <row r="180" spans="1:32">
      <c r="A180" s="169"/>
      <c r="B180" s="718" t="s">
        <v>1099</v>
      </c>
      <c r="C180" s="226"/>
      <c r="D180" s="261" t="str">
        <f>"IND"&amp;RIGHT(H180,4)&amp;RIGHT(G180,3)&amp;"N"&amp;RIGHT(E180,1)</f>
        <v>INDMDSHCOAN2</v>
      </c>
      <c r="E180" s="261" t="str">
        <f>"Industrial heating technology "&amp;$AJ$12&amp;" "&amp;RIGHT(H180,2)&amp;" - Coal boiler (Hot Water) - new 2"</f>
        <v>Industrial heating technology Machinery SH - Coal boiler (Hot Water) - new 2</v>
      </c>
      <c r="F180" s="224" t="s">
        <v>1149</v>
      </c>
      <c r="G180" s="55" t="s">
        <v>617</v>
      </c>
      <c r="H180" s="174" t="str">
        <f>$AI$15</f>
        <v>IMDSH</v>
      </c>
      <c r="I180" s="174" t="str">
        <f t="shared" si="143"/>
        <v>INDMWH</v>
      </c>
      <c r="J180" s="224">
        <f t="shared" si="146"/>
        <v>2011</v>
      </c>
      <c r="K180" s="299">
        <v>2025</v>
      </c>
      <c r="L180" s="199">
        <f t="shared" ca="1" si="253"/>
        <v>0.89</v>
      </c>
      <c r="M180" s="199"/>
      <c r="N180" s="81">
        <f ca="1">VLOOKUP($AD180,INDIRECT("'"&amp;$B180&amp;"'!"&amp;"$P$118:$AD$121"),5,FALSE)</f>
        <v>25</v>
      </c>
      <c r="O180" s="723">
        <f t="shared" ca="1" si="254"/>
        <v>3.7250000000000001</v>
      </c>
      <c r="P180" s="723">
        <f t="shared" ca="1" si="255"/>
        <v>0.25106499999999998</v>
      </c>
      <c r="Q180" s="81">
        <f t="shared" ca="1" si="256"/>
        <v>3.9381527777777778</v>
      </c>
      <c r="R180" s="81">
        <v>3.1536000000000002E-2</v>
      </c>
      <c r="S180" s="199">
        <v>0.5</v>
      </c>
      <c r="T180" s="199">
        <f ca="1">HLOOKUP($T$2,INDIRECT("'"&amp;$B180&amp;"'!"&amp;"$P$85:$AC$98"),IF(H180=$AI$13,6,IF(H180=$AI$14,9,14)),FALSE)</f>
        <v>1</v>
      </c>
      <c r="U180" s="773"/>
      <c r="V180" s="199">
        <f t="shared" ref="V180" ca="1" si="260">IF(IF(RIGHT(H180,2)="PH",(1-L180)+$W$2,IF(RIGHT(H180,2)="HT",(1-L180)+$W$1,IF(RIGHT(H180,2)="SH",(1-L180)+$W$3,"")))&gt;0,IF(RIGHT(H180,2)="PH",(1-L180)+$W$2,IF(RIGHT(H180,2)="HT",(1-L180)+$W$1,IF(RIGHT(H180,2)="SH",(1-L180)+$W$3,""))),0)</f>
        <v>0.10999999999999999</v>
      </c>
      <c r="W180" s="709"/>
      <c r="X180" s="698">
        <f ca="1">IF(VLOOKUP($AD180,INDIRECT("'"&amp;$B180&amp;"'!"&amp;"$P$39:$AD$42"),11,FALSE)="Cf. the utilized electricity",0,VLOOKUP($AD180,INDIRECT("'"&amp;$B180&amp;"'!"&amp;"$P$39:$AD$42"),11,FALSE))</f>
        <v>8</v>
      </c>
      <c r="Y180" s="698">
        <f ca="1">VLOOKUP($AD180,INDIRECT("'"&amp;$B180&amp;"'!"&amp;"$P$118:$AD$121"),12,FALSE)</f>
        <v>35</v>
      </c>
      <c r="Z180" s="698">
        <f ca="1">VLOOKUP($AD180,INDIRECT("'"&amp;$B180&amp;"'!"&amp;"$P$118:$AD$121"),13,FALSE)</f>
        <v>1.5</v>
      </c>
      <c r="AA180" s="698">
        <f ca="1">VLOOKUP($AD180,INDIRECT("'"&amp;$B180&amp;"'!"&amp;"$P$118:$AD$121"),14,FALSE)</f>
        <v>0.8</v>
      </c>
      <c r="AB180" s="698">
        <f ca="1">VLOOKUP($AD180,INDIRECT("'"&amp;$B180&amp;"'!"&amp;"$P$118:$AD$121"),15,FALSE)</f>
        <v>2.1</v>
      </c>
      <c r="AC180" s="55"/>
      <c r="AD180" s="81">
        <v>2020</v>
      </c>
      <c r="AE180" s="273"/>
      <c r="AF180" s="828"/>
    </row>
    <row r="181" spans="1:32">
      <c r="A181" s="169"/>
      <c r="B181" s="718" t="s">
        <v>1099</v>
      </c>
      <c r="C181" s="226"/>
      <c r="D181" s="261"/>
      <c r="E181" s="261"/>
      <c r="F181" s="224" t="s">
        <v>1149</v>
      </c>
      <c r="G181" s="55"/>
      <c r="H181" s="174"/>
      <c r="I181" s="174" t="str">
        <f t="shared" si="143"/>
        <v>INDMWH</v>
      </c>
      <c r="J181" s="224">
        <f t="shared" si="146"/>
        <v>2030</v>
      </c>
      <c r="K181" s="200"/>
      <c r="L181" s="199">
        <f t="shared" ca="1" si="253"/>
        <v>0.89</v>
      </c>
      <c r="M181" s="772"/>
      <c r="N181" s="200"/>
      <c r="O181" s="723">
        <f t="shared" ca="1" si="254"/>
        <v>3.7250000000000001</v>
      </c>
      <c r="P181" s="723">
        <f t="shared" ca="1" si="255"/>
        <v>0.24287</v>
      </c>
      <c r="Q181" s="81">
        <f t="shared" ca="1" si="256"/>
        <v>3.9836805555555559</v>
      </c>
      <c r="R181" s="823"/>
      <c r="S181" s="300"/>
      <c r="T181" s="300"/>
      <c r="U181" s="300"/>
      <c r="V181" s="199">
        <f t="shared" ref="V181" ca="1" si="261">IF(IF(RIGHT(H180,2)="PH",(1-L181)+$W$2,IF(RIGHT(H180,2)="HT",(1-L181)+$W$1,IF(RIGHT(H180,2)="SH",(1-L181)+$W$3,"")))&gt;0,IF(RIGHT(H180,2)="PH",(1-L181)+$W$2,IF(RIGHT(H180,2)="HT",(1-L181)+$W$1,IF(RIGHT(H180,2)="SH",(1-L181)+$W$3,""))),0)</f>
        <v>0.10999999999999999</v>
      </c>
      <c r="W181" s="298"/>
      <c r="X181" s="824"/>
      <c r="Y181" s="824"/>
      <c r="Z181" s="824"/>
      <c r="AA181" s="824"/>
      <c r="AB181" s="824"/>
      <c r="AD181" s="81">
        <v>2030</v>
      </c>
      <c r="AE181" s="273"/>
      <c r="AF181" s="828"/>
    </row>
    <row r="182" spans="1:32">
      <c r="A182" s="831"/>
      <c r="B182" s="719" t="s">
        <v>1099</v>
      </c>
      <c r="C182" s="713"/>
      <c r="D182" s="701"/>
      <c r="E182" s="701"/>
      <c r="F182" s="224" t="s">
        <v>1149</v>
      </c>
      <c r="G182" s="203"/>
      <c r="H182" s="702"/>
      <c r="I182" s="266" t="str">
        <f t="shared" si="143"/>
        <v>INDMWH</v>
      </c>
      <c r="J182" s="224">
        <f t="shared" si="146"/>
        <v>2050</v>
      </c>
      <c r="K182" s="825"/>
      <c r="L182" s="199">
        <f t="shared" ca="1" si="253"/>
        <v>0.91</v>
      </c>
      <c r="M182" s="826"/>
      <c r="N182" s="825"/>
      <c r="O182" s="723">
        <f t="shared" ca="1" si="254"/>
        <v>3.7250000000000001</v>
      </c>
      <c r="P182" s="723">
        <f t="shared" ca="1" si="255"/>
        <v>0.22797000000000001</v>
      </c>
      <c r="Q182" s="81">
        <f t="shared" ca="1" si="256"/>
        <v>4.0064444444444449</v>
      </c>
      <c r="R182" s="722"/>
      <c r="S182" s="703"/>
      <c r="T182" s="703"/>
      <c r="U182" s="703"/>
      <c r="V182" s="199">
        <f t="shared" ref="V182" ca="1" si="262">IF(IF(RIGHT(H180,2)="PH",(1-L182)+$W$2,IF(RIGHT(H180,2)="HT",(1-L182)+$W$1,IF(RIGHT(H180,2)="SH",(1-L182)+$W$3,"")))&gt;0,IF(RIGHT(H180,2)="PH",(1-L182)+$W$2,IF(RIGHT(H180,2)="HT",(1-L182)+$W$1,IF(RIGHT(H180,2)="SH",(1-L182)+$W$3,""))),0)</f>
        <v>8.9999999999999969E-2</v>
      </c>
      <c r="W182" s="704"/>
      <c r="X182" s="827"/>
      <c r="Y182" s="827"/>
      <c r="Z182" s="827"/>
      <c r="AA182" s="827"/>
      <c r="AB182" s="827"/>
      <c r="AC182" s="203"/>
      <c r="AD182" s="81">
        <v>2050</v>
      </c>
      <c r="AE182" s="273"/>
      <c r="AF182" s="829"/>
    </row>
    <row r="183" spans="1:32">
      <c r="A183" s="831"/>
      <c r="B183" s="226" t="s">
        <v>576</v>
      </c>
      <c r="C183" s="901"/>
      <c r="D183" s="261" t="str">
        <f>"IND"&amp;RIGHT(H183,4)&amp;RIGHT(G183,3)&amp;"N"&amp;RIGHT(E183,1)</f>
        <v>INDMDSHSOLN1</v>
      </c>
      <c r="E183" s="261" t="str">
        <f>"Industrial heating technology "&amp;$AJ$12&amp;" "&amp;RIGHT(H183,2)&amp;" - Solar - new 1"</f>
        <v>Industrial heating technology Machinery SH - Solar - new 1</v>
      </c>
      <c r="F183" s="224" t="s">
        <v>1149</v>
      </c>
      <c r="G183" s="55" t="s">
        <v>500</v>
      </c>
      <c r="H183" s="174" t="str">
        <f>$AI$15</f>
        <v>IMDSH</v>
      </c>
      <c r="I183" s="174"/>
      <c r="J183" s="224">
        <f t="shared" si="146"/>
        <v>2011</v>
      </c>
      <c r="K183" s="299">
        <v>2025</v>
      </c>
      <c r="L183" s="199">
        <f ca="1">VLOOKUP($AD183,INDIRECT("'"&amp;$B183&amp;"'!"&amp;"$J$40:$X$43"),3,FALSE)</f>
        <v>1</v>
      </c>
      <c r="M183" s="772"/>
      <c r="N183" s="199">
        <f ca="1">VLOOKUP($AD183,INDIRECT("'"&amp;$B183&amp;"'!"&amp;"$J$40:$X$43"),5,FALSE)</f>
        <v>25</v>
      </c>
      <c r="O183" s="199">
        <f ca="1">VLOOKUP($AD183,INDIRECT("'"&amp;$B183&amp;"'!"&amp;"$J$40:$X$43"),6,FALSE)/1000</f>
        <v>4.2857142857142865</v>
      </c>
      <c r="P183" s="199">
        <f ca="1">VLOOKUP($AD183,INDIRECT("'"&amp;$B183&amp;"'!"&amp;"$J$40:$X$43"),7,FALSE)/1000</f>
        <v>2.0660433158225668E-2</v>
      </c>
      <c r="Q183" s="199">
        <f ca="1">VLOOKUP($AD183,INDIRECT("'"&amp;$B183&amp;"'!"&amp;"$J$40:$X$43"),8,FALSE)</f>
        <v>0</v>
      </c>
      <c r="R183" s="81">
        <v>3.1536000000000002E-2</v>
      </c>
      <c r="S183" s="199">
        <v>8.5500000000000007E-2</v>
      </c>
      <c r="T183" s="199">
        <v>1</v>
      </c>
      <c r="U183" s="300"/>
      <c r="V183" s="199"/>
      <c r="W183" s="298"/>
      <c r="X183" s="698">
        <v>0</v>
      </c>
      <c r="Y183" s="81">
        <v>0</v>
      </c>
      <c r="Z183" s="81">
        <v>0</v>
      </c>
      <c r="AA183" s="81">
        <v>0</v>
      </c>
      <c r="AB183" s="81">
        <v>0</v>
      </c>
      <c r="AC183" s="55"/>
      <c r="AD183" s="81">
        <v>2020</v>
      </c>
      <c r="AE183" s="200"/>
      <c r="AF183" s="700"/>
    </row>
    <row r="184" spans="1:32">
      <c r="A184" s="831"/>
      <c r="B184" s="226" t="s">
        <v>576</v>
      </c>
      <c r="C184" s="902"/>
      <c r="D184" s="261"/>
      <c r="E184" s="261"/>
      <c r="F184" s="224" t="s">
        <v>1149</v>
      </c>
      <c r="G184" s="55"/>
      <c r="H184" s="174"/>
      <c r="I184" s="174"/>
      <c r="J184" s="224">
        <f t="shared" si="146"/>
        <v>2030</v>
      </c>
      <c r="K184" s="200"/>
      <c r="L184" s="199">
        <f ca="1">VLOOKUP($AD184,INDIRECT("'"&amp;$B184&amp;"'!"&amp;"$J$40:$X$43"),3,FALSE)</f>
        <v>1</v>
      </c>
      <c r="M184" s="772"/>
      <c r="N184" s="199">
        <f ca="1">VLOOKUP($AD184,INDIRECT("'"&amp;$B184&amp;"'!"&amp;"$J$40:$X$43"),5,FALSE)</f>
        <v>30</v>
      </c>
      <c r="O184" s="199">
        <f ca="1">VLOOKUP($AD184,INDIRECT("'"&amp;$B184&amp;"'!"&amp;"$J$40:$X$43"),6,FALSE)/1000</f>
        <v>3.9285714285714284</v>
      </c>
      <c r="P184" s="199">
        <f ca="1">VLOOKUP($AD184,INDIRECT("'"&amp;$B184&amp;"'!"&amp;"$J$40:$X$43"),7,FALSE)/1000</f>
        <v>2.328125E-2</v>
      </c>
      <c r="Q184" s="199">
        <f ca="1">VLOOKUP($AD184,INDIRECT("'"&amp;$B184&amp;"'!"&amp;"$J$40:$X$43"),8,FALSE)</f>
        <v>0</v>
      </c>
      <c r="R184" s="823"/>
      <c r="S184" s="300"/>
      <c r="T184" s="300"/>
      <c r="U184" s="300"/>
      <c r="V184" s="772"/>
      <c r="W184" s="298"/>
      <c r="X184" s="824"/>
      <c r="Y184" s="824"/>
      <c r="Z184" s="824"/>
      <c r="AA184" s="824"/>
      <c r="AB184" s="824"/>
      <c r="AC184" s="55"/>
      <c r="AD184" s="81">
        <v>2030</v>
      </c>
      <c r="AE184" s="200"/>
      <c r="AF184" s="700"/>
    </row>
    <row r="185" spans="1:32" s="203" customFormat="1">
      <c r="A185" s="900"/>
      <c r="B185" s="713" t="s">
        <v>576</v>
      </c>
      <c r="C185" s="903"/>
      <c r="D185" s="701"/>
      <c r="E185" s="701"/>
      <c r="F185" s="224" t="s">
        <v>1149</v>
      </c>
      <c r="H185" s="702"/>
      <c r="I185" s="702"/>
      <c r="J185" s="224">
        <f t="shared" si="146"/>
        <v>2050</v>
      </c>
      <c r="K185" s="825"/>
      <c r="L185" s="199">
        <f ca="1">VLOOKUP($AD185,INDIRECT("'"&amp;$B185&amp;"'!"&amp;"$J$40:$X$43"),3,FALSE)</f>
        <v>1</v>
      </c>
      <c r="M185" s="826"/>
      <c r="N185" s="199">
        <f ca="1">VLOOKUP($AD185,INDIRECT("'"&amp;$B185&amp;"'!"&amp;"$J$40:$X$43"),5,FALSE)</f>
        <v>30</v>
      </c>
      <c r="O185" s="199">
        <f ca="1">VLOOKUP($AD185,INDIRECT("'"&amp;$B185&amp;"'!"&amp;"$J$40:$X$43"),6,FALSE)/1000</f>
        <v>3.5714285714285721</v>
      </c>
      <c r="P185" s="199">
        <f ca="1">VLOOKUP($AD185,INDIRECT("'"&amp;$B185&amp;"'!"&amp;"$J$40:$X$43"),7,FALSE)/1000</f>
        <v>2.1498571428571429E-2</v>
      </c>
      <c r="Q185" s="199">
        <f ca="1">VLOOKUP($AD185,INDIRECT("'"&amp;$B185&amp;"'!"&amp;"$J$40:$X$43"),8,FALSE)</f>
        <v>0</v>
      </c>
      <c r="R185" s="722"/>
      <c r="S185" s="703"/>
      <c r="T185" s="703"/>
      <c r="U185" s="703"/>
      <c r="V185" s="826"/>
      <c r="W185" s="704"/>
      <c r="X185" s="827"/>
      <c r="Y185" s="827"/>
      <c r="Z185" s="827"/>
      <c r="AA185" s="827"/>
      <c r="AB185" s="827"/>
      <c r="AD185" s="81">
        <v>2050</v>
      </c>
      <c r="AE185" s="825"/>
      <c r="AF185" s="705"/>
    </row>
    <row r="186" spans="1:32">
      <c r="A186" s="169"/>
      <c r="D186" s="36" t="s">
        <v>503</v>
      </c>
      <c r="E186" s="36"/>
      <c r="F186" s="224" t="s">
        <v>1149</v>
      </c>
      <c r="H186" s="173"/>
      <c r="I186" s="173"/>
      <c r="J186" s="224">
        <f t="shared" si="146"/>
        <v>0</v>
      </c>
      <c r="K186" s="198"/>
      <c r="L186" s="204"/>
      <c r="M186" s="204"/>
      <c r="N186" s="204"/>
      <c r="O186" s="37"/>
      <c r="P186" s="37"/>
      <c r="Q186" s="205"/>
      <c r="R186" s="252"/>
      <c r="S186" s="274"/>
      <c r="T186" s="204"/>
      <c r="U186" s="204"/>
      <c r="V186" s="204"/>
      <c r="W186" s="204"/>
      <c r="X186" s="204"/>
      <c r="Y186" s="204"/>
      <c r="Z186" s="204"/>
      <c r="AA186" s="204"/>
      <c r="AB186" s="204"/>
    </row>
    <row r="187" spans="1:32">
      <c r="A187" s="169"/>
      <c r="D187" s="212" t="str">
        <f t="shared" ref="D187:D192" si="263">"IND"&amp;RIGHT(H187,4)&amp;RIGHT(G187,3)&amp;"N"&amp;RIGHT(E187,1)</f>
        <v>INDMDSHHCEN1</v>
      </c>
      <c r="E187" s="224" t="str">
        <f>"Industrial heating technology "&amp;$AJ$12&amp;" "&amp;RIGHT(H187,2)&amp;" - central district heating - within DH area - new 1"</f>
        <v>Industrial heating technology Machinery SH - central district heating - within DH area - new 1</v>
      </c>
      <c r="F187" s="224" t="s">
        <v>1149</v>
      </c>
      <c r="G187" s="225" t="s">
        <v>501</v>
      </c>
      <c r="H187" s="225" t="str">
        <f>AI15</f>
        <v>IMDSH</v>
      </c>
      <c r="I187" s="225"/>
      <c r="J187" s="81">
        <v>2011</v>
      </c>
      <c r="K187" s="299">
        <v>2025</v>
      </c>
      <c r="L187" s="81">
        <v>0.96</v>
      </c>
      <c r="M187" s="81"/>
      <c r="N187" s="81">
        <v>30</v>
      </c>
      <c r="O187" s="253">
        <v>1.17</v>
      </c>
      <c r="P187" s="254">
        <f>'DH network'!$M$9</f>
        <v>5.8735799999999998E-2</v>
      </c>
      <c r="Q187" s="254">
        <f ca="1">Q31*0.95</f>
        <v>1.9463124999999999</v>
      </c>
      <c r="R187" s="201">
        <v>3.1536000000000002E-2</v>
      </c>
      <c r="S187" s="275">
        <v>0.5</v>
      </c>
      <c r="T187" s="228"/>
      <c r="U187" s="228"/>
      <c r="V187" s="228"/>
      <c r="W187" s="287"/>
      <c r="X187" s="278"/>
      <c r="Y187" s="61"/>
      <c r="Z187" s="61"/>
      <c r="AA187" s="61"/>
      <c r="AB187" s="61"/>
    </row>
    <row r="188" spans="1:32">
      <c r="A188" s="169"/>
      <c r="D188" s="212" t="str">
        <f t="shared" si="263"/>
        <v>INDMDPHHCEN1</v>
      </c>
      <c r="E188" s="224" t="str">
        <f>"Industrial heating technology "&amp;$AJ$12&amp;" "&amp;RIGHT(H188,2)&amp;" - central district heating - within DH area - new 1"</f>
        <v>Industrial heating technology Machinery PH - central district heating - within DH area - new 1</v>
      </c>
      <c r="F188" s="224" t="s">
        <v>1149</v>
      </c>
      <c r="G188" s="225" t="s">
        <v>501</v>
      </c>
      <c r="H188" s="281" t="str">
        <f>AI14</f>
        <v>IMDPH</v>
      </c>
      <c r="I188" s="281"/>
      <c r="J188" s="81">
        <v>2011</v>
      </c>
      <c r="K188" s="299">
        <v>2025</v>
      </c>
      <c r="L188" s="81">
        <v>0.96</v>
      </c>
      <c r="M188" s="81"/>
      <c r="N188" s="81">
        <v>30</v>
      </c>
      <c r="O188" s="253">
        <v>1.17</v>
      </c>
      <c r="P188" s="254">
        <f>'DH network'!$M$9</f>
        <v>5.8735799999999998E-2</v>
      </c>
      <c r="Q188" s="254">
        <f ca="1">Q33*0.95</f>
        <v>6.4090694444444436</v>
      </c>
      <c r="R188" s="201">
        <v>3.1536000000000002E-2</v>
      </c>
      <c r="S188" s="275">
        <v>0.5</v>
      </c>
      <c r="T188" s="228">
        <v>0.05</v>
      </c>
      <c r="U188" s="228"/>
      <c r="V188" s="228"/>
      <c r="W188" s="287"/>
      <c r="X188" s="278"/>
      <c r="Y188" s="61"/>
      <c r="Z188" s="61"/>
      <c r="AA188" s="61"/>
      <c r="AB188" s="61"/>
      <c r="AC188" s="226"/>
      <c r="AD188" s="226"/>
      <c r="AE188" s="226"/>
      <c r="AF188" s="226"/>
    </row>
    <row r="189" spans="1:32">
      <c r="A189" s="169"/>
      <c r="D189" s="212" t="str">
        <f t="shared" si="263"/>
        <v>INDMDSHHSEN1</v>
      </c>
      <c r="E189" s="224" t="str">
        <f>"Industrial heating technology "&amp;$AJ$12&amp;" "&amp;RIGHT(H189,2)&amp;" - central district heating - within DH area - new 1"</f>
        <v>Industrial heating technology Machinery SH - central district heating - within DH area - new 1</v>
      </c>
      <c r="F189" s="224" t="s">
        <v>1149</v>
      </c>
      <c r="G189" s="225" t="s">
        <v>2123</v>
      </c>
      <c r="H189" s="225" t="str">
        <f>H187</f>
        <v>IMDSH</v>
      </c>
      <c r="I189" s="225"/>
      <c r="J189" s="81">
        <f t="shared" ref="J189:L190" si="264">J187</f>
        <v>2011</v>
      </c>
      <c r="K189" s="81">
        <f t="shared" si="264"/>
        <v>2025</v>
      </c>
      <c r="L189" s="81">
        <f t="shared" si="264"/>
        <v>0.96</v>
      </c>
      <c r="M189" s="81"/>
      <c r="N189" s="81">
        <f t="shared" ref="N189:S190" si="265">N187</f>
        <v>30</v>
      </c>
      <c r="O189" s="81">
        <f t="shared" si="265"/>
        <v>1.17</v>
      </c>
      <c r="P189" s="81">
        <f t="shared" si="265"/>
        <v>5.8735799999999998E-2</v>
      </c>
      <c r="Q189" s="81">
        <f t="shared" ca="1" si="265"/>
        <v>1.9463124999999999</v>
      </c>
      <c r="R189" s="81">
        <f t="shared" si="265"/>
        <v>3.1536000000000002E-2</v>
      </c>
      <c r="S189" s="81">
        <f t="shared" si="265"/>
        <v>0.5</v>
      </c>
      <c r="T189" s="228"/>
      <c r="U189" s="228"/>
      <c r="V189" s="228"/>
      <c r="W189" s="287"/>
      <c r="X189" s="278"/>
      <c r="Y189" s="61"/>
      <c r="Z189" s="61"/>
      <c r="AA189" s="61"/>
      <c r="AB189" s="61"/>
    </row>
    <row r="190" spans="1:32">
      <c r="A190" s="169"/>
      <c r="D190" s="212" t="str">
        <f t="shared" si="263"/>
        <v>INDMDPHHSEN1</v>
      </c>
      <c r="E190" s="224" t="str">
        <f>"Industrial heating technology "&amp;$AJ$12&amp;" "&amp;RIGHT(H190,2)&amp;" - central district heating - within DH area - new 1"</f>
        <v>Industrial heating technology Machinery PH - central district heating - within DH area - new 1</v>
      </c>
      <c r="F190" s="224" t="s">
        <v>1149</v>
      </c>
      <c r="G190" s="225" t="s">
        <v>2123</v>
      </c>
      <c r="H190" s="225" t="str">
        <f>H188</f>
        <v>IMDPH</v>
      </c>
      <c r="I190" s="281"/>
      <c r="J190" s="81">
        <f t="shared" si="264"/>
        <v>2011</v>
      </c>
      <c r="K190" s="81">
        <f t="shared" si="264"/>
        <v>2025</v>
      </c>
      <c r="L190" s="81">
        <f t="shared" si="264"/>
        <v>0.96</v>
      </c>
      <c r="M190" s="81"/>
      <c r="N190" s="81">
        <f t="shared" si="265"/>
        <v>30</v>
      </c>
      <c r="O190" s="81">
        <f t="shared" si="265"/>
        <v>1.17</v>
      </c>
      <c r="P190" s="81">
        <f t="shared" si="265"/>
        <v>5.8735799999999998E-2</v>
      </c>
      <c r="Q190" s="81">
        <f t="shared" ca="1" si="265"/>
        <v>6.4090694444444436</v>
      </c>
      <c r="R190" s="81">
        <f t="shared" si="265"/>
        <v>3.1536000000000002E-2</v>
      </c>
      <c r="S190" s="81">
        <f t="shared" si="265"/>
        <v>0.5</v>
      </c>
      <c r="T190" s="81">
        <f>T188</f>
        <v>0.05</v>
      </c>
      <c r="U190" s="228"/>
      <c r="V190" s="228"/>
      <c r="W190" s="287"/>
      <c r="X190" s="278"/>
      <c r="Y190" s="61"/>
      <c r="Z190" s="61"/>
      <c r="AA190" s="61"/>
      <c r="AB190" s="61"/>
      <c r="AC190" s="226"/>
      <c r="AD190" s="226"/>
      <c r="AE190" s="226"/>
      <c r="AF190" s="226"/>
    </row>
    <row r="191" spans="1:32">
      <c r="A191" s="169"/>
      <c r="D191" s="212" t="str">
        <f t="shared" si="263"/>
        <v>INDMDSHHDEN1</v>
      </c>
      <c r="E191" s="224" t="str">
        <f>"Industrial heating technology "&amp;$AJ$12&amp;" "&amp;RIGHT(H191,2)&amp;" - decentral district heating - within DH area - new 1"</f>
        <v>Industrial heating technology Machinery SH - decentral district heating - within DH area - new 1</v>
      </c>
      <c r="F191" s="224" t="s">
        <v>1149</v>
      </c>
      <c r="G191" s="259" t="s">
        <v>502</v>
      </c>
      <c r="H191" s="265" t="str">
        <f>AI15</f>
        <v>IMDSH</v>
      </c>
      <c r="I191" s="265"/>
      <c r="J191" s="81">
        <v>2011</v>
      </c>
      <c r="K191" s="299">
        <v>2025</v>
      </c>
      <c r="L191" s="81">
        <f>L187</f>
        <v>0.96</v>
      </c>
      <c r="M191" s="81"/>
      <c r="N191" s="81">
        <v>30</v>
      </c>
      <c r="O191" s="253">
        <v>1.25</v>
      </c>
      <c r="P191" s="254">
        <f>'DH network'!$M$9</f>
        <v>5.8735799999999998E-2</v>
      </c>
      <c r="Q191" s="254">
        <f ca="1">Q187</f>
        <v>1.9463124999999999</v>
      </c>
      <c r="R191" s="201">
        <v>3.1536000000000002E-2</v>
      </c>
      <c r="S191" s="275">
        <v>0.5</v>
      </c>
      <c r="T191" s="228"/>
      <c r="U191" s="228"/>
      <c r="V191" s="228"/>
      <c r="W191" s="287"/>
      <c r="X191" s="278"/>
      <c r="Y191" s="61"/>
      <c r="Z191" s="61"/>
      <c r="AA191" s="61"/>
      <c r="AB191" s="61"/>
      <c r="AC191" s="226"/>
      <c r="AD191" s="226"/>
      <c r="AE191" s="226"/>
      <c r="AF191" s="226"/>
    </row>
    <row r="192" spans="1:32">
      <c r="A192" s="169"/>
      <c r="D192" s="212" t="str">
        <f t="shared" si="263"/>
        <v>INDMDPHHDEN1</v>
      </c>
      <c r="E192" s="224" t="str">
        <f>"Industrial heating technology "&amp;$AJ$12&amp;" "&amp;RIGHT(H192,2)&amp;" - decentral district heating - within DH area - new 1"</f>
        <v>Industrial heating technology Machinery PH - decentral district heating - within DH area - new 1</v>
      </c>
      <c r="F192" s="224" t="s">
        <v>1149</v>
      </c>
      <c r="G192" s="259" t="s">
        <v>502</v>
      </c>
      <c r="H192" s="225" t="str">
        <f>AI14</f>
        <v>IMDPH</v>
      </c>
      <c r="I192" s="225"/>
      <c r="J192" s="81">
        <v>2011</v>
      </c>
      <c r="K192" s="299">
        <v>2025</v>
      </c>
      <c r="L192" s="81">
        <f>L188</f>
        <v>0.96</v>
      </c>
      <c r="M192" s="81"/>
      <c r="N192" s="81">
        <v>30</v>
      </c>
      <c r="O192" s="253">
        <v>1.25</v>
      </c>
      <c r="P192" s="254">
        <f>'DH network'!$M$9</f>
        <v>5.8735799999999998E-2</v>
      </c>
      <c r="Q192" s="254">
        <f ca="1">Q188</f>
        <v>6.4090694444444436</v>
      </c>
      <c r="R192" s="201">
        <v>3.1536000000000002E-2</v>
      </c>
      <c r="S192" s="275">
        <v>0.5</v>
      </c>
      <c r="T192" s="228">
        <v>0.05</v>
      </c>
      <c r="U192" s="228"/>
      <c r="V192" s="228"/>
      <c r="W192" s="287"/>
      <c r="X192" s="278"/>
      <c r="Y192" s="61"/>
      <c r="Z192" s="61"/>
      <c r="AA192" s="61"/>
      <c r="AB192" s="61"/>
      <c r="AC192" s="226"/>
      <c r="AD192" s="226"/>
      <c r="AE192" s="226"/>
      <c r="AF192" s="226"/>
    </row>
    <row r="193" spans="1:32">
      <c r="A193" s="169"/>
      <c r="B193" s="226"/>
      <c r="C193" s="226"/>
      <c r="D193" s="258" t="s">
        <v>497</v>
      </c>
      <c r="E193" s="258"/>
      <c r="F193" s="224" t="s">
        <v>1149</v>
      </c>
      <c r="G193" s="206"/>
      <c r="H193" s="225"/>
      <c r="I193" s="225"/>
      <c r="J193" s="200"/>
      <c r="K193" s="200"/>
      <c r="L193" s="200"/>
      <c r="M193" s="200"/>
      <c r="N193" s="200"/>
      <c r="O193" s="227"/>
      <c r="P193" s="227"/>
      <c r="Q193" s="227"/>
      <c r="R193" s="202"/>
      <c r="S193" s="228"/>
      <c r="T193" s="228"/>
      <c r="U193" s="228"/>
      <c r="V193" s="228"/>
      <c r="W193" s="287"/>
      <c r="X193" s="226"/>
      <c r="Y193" s="226"/>
      <c r="Z193" s="226"/>
      <c r="AA193" s="226"/>
      <c r="AB193" s="226"/>
      <c r="AC193" s="226"/>
      <c r="AD193" s="226"/>
      <c r="AE193" s="226"/>
      <c r="AF193" s="226"/>
    </row>
    <row r="194" spans="1:32">
      <c r="A194" s="169"/>
      <c r="B194" s="226"/>
      <c r="C194" s="226"/>
      <c r="D194" s="212" t="str">
        <f>"IND"&amp;RIGHT(H194,4)&amp;RIGHT(G194,3)&amp;"N"&amp;RIGHT(E194,1)</f>
        <v>INDMDLAELCN1</v>
      </c>
      <c r="E194" s="224" t="str">
        <f>"Industry "&amp;$AJ$12&amp;" "&amp;RIGHT(H194,2)&amp;" Electricity Light Appliance - New 1"</f>
        <v>Industry Machinery LA Electricity Light Appliance - New 1</v>
      </c>
      <c r="F194" s="224" t="s">
        <v>1149</v>
      </c>
      <c r="G194" s="225" t="s">
        <v>499</v>
      </c>
      <c r="H194" s="225" t="str">
        <f>AI16</f>
        <v>IMDLA</v>
      </c>
      <c r="I194" s="225"/>
      <c r="J194" s="81">
        <v>2011</v>
      </c>
      <c r="K194" s="81">
        <v>2011</v>
      </c>
      <c r="L194" s="256">
        <v>1</v>
      </c>
      <c r="M194" s="256"/>
      <c r="N194" s="256">
        <v>10</v>
      </c>
      <c r="O194" s="254"/>
      <c r="P194" s="254"/>
      <c r="Q194" s="254"/>
      <c r="R194" s="201"/>
      <c r="S194" s="275">
        <v>0.9</v>
      </c>
      <c r="T194" s="228"/>
      <c r="U194" s="228"/>
      <c r="V194" s="228"/>
      <c r="W194" s="287"/>
      <c r="X194" s="279"/>
      <c r="Y194" s="255"/>
      <c r="Z194" s="255"/>
      <c r="AA194" s="255"/>
      <c r="AB194" s="255"/>
      <c r="AC194" s="226"/>
      <c r="AD194" s="226"/>
      <c r="AE194" s="226"/>
      <c r="AF194" s="226"/>
    </row>
    <row r="195" spans="1:32">
      <c r="A195" s="169"/>
      <c r="B195" s="226"/>
      <c r="C195" s="226"/>
      <c r="F195" s="224" t="s">
        <v>1149</v>
      </c>
      <c r="G195" s="225"/>
      <c r="H195" s="226"/>
      <c r="I195" s="226"/>
      <c r="J195" s="256">
        <v>2020</v>
      </c>
      <c r="K195" s="256"/>
      <c r="L195" s="256"/>
      <c r="M195" s="256"/>
      <c r="N195" s="256"/>
      <c r="O195" s="254"/>
      <c r="P195" s="254"/>
      <c r="Q195" s="254"/>
      <c r="R195" s="201"/>
      <c r="S195" s="275"/>
      <c r="T195" s="228"/>
      <c r="U195" s="228"/>
      <c r="V195" s="228"/>
      <c r="W195" s="287"/>
      <c r="X195" s="279"/>
      <c r="Y195" s="255"/>
      <c r="Z195" s="255"/>
      <c r="AA195" s="255"/>
      <c r="AB195" s="255"/>
      <c r="AC195" s="226"/>
      <c r="AD195" s="226"/>
      <c r="AE195" s="226"/>
      <c r="AF195" s="226"/>
    </row>
    <row r="196" spans="1:32">
      <c r="A196" s="169"/>
      <c r="B196" s="226"/>
      <c r="C196" s="226"/>
      <c r="F196" s="224" t="s">
        <v>1149</v>
      </c>
      <c r="G196" s="225"/>
      <c r="H196" s="225"/>
      <c r="I196" s="225"/>
      <c r="J196" s="256">
        <v>2030</v>
      </c>
      <c r="K196" s="256"/>
      <c r="L196" s="256"/>
      <c r="M196" s="256"/>
      <c r="N196" s="256"/>
      <c r="O196" s="254"/>
      <c r="P196" s="254"/>
      <c r="Q196" s="254"/>
      <c r="R196" s="201"/>
      <c r="S196" s="275"/>
      <c r="T196" s="228"/>
      <c r="U196" s="228"/>
      <c r="V196" s="228"/>
      <c r="W196" s="287"/>
      <c r="X196" s="279"/>
      <c r="Y196" s="255"/>
      <c r="Z196" s="255"/>
      <c r="AA196" s="255"/>
      <c r="AB196" s="255"/>
    </row>
    <row r="197" spans="1:32">
      <c r="A197" s="169"/>
      <c r="B197" s="226"/>
      <c r="C197" s="226"/>
      <c r="F197" s="224" t="s">
        <v>1149</v>
      </c>
      <c r="G197" s="225"/>
      <c r="H197" s="225"/>
      <c r="I197" s="225"/>
      <c r="J197" s="256">
        <v>2050</v>
      </c>
      <c r="K197" s="256"/>
      <c r="L197" s="256"/>
      <c r="M197" s="256"/>
      <c r="N197" s="256"/>
      <c r="O197" s="254"/>
      <c r="P197" s="254"/>
      <c r="Q197" s="254"/>
      <c r="R197" s="201"/>
      <c r="S197" s="275"/>
      <c r="T197" s="228"/>
      <c r="U197" s="228"/>
      <c r="V197" s="228"/>
      <c r="W197" s="287"/>
      <c r="X197" s="279"/>
      <c r="Y197" s="255"/>
      <c r="Z197" s="255"/>
      <c r="AA197" s="255"/>
      <c r="AB197" s="255"/>
    </row>
    <row r="198" spans="1:32">
      <c r="A198" s="169"/>
      <c r="B198" s="226"/>
      <c r="C198" s="226"/>
      <c r="D198" s="212" t="str">
        <f>"IND"&amp;RIGHT(H198,4)&amp;RIGHT(G198,3)&amp;"N"&amp;RIGHT(E198,1)</f>
        <v>INDMDEMELCN1</v>
      </c>
      <c r="E198" s="224" t="str">
        <f>"Industry "&amp;$AJ$12&amp;" "&amp;RIGHT(H198,2)&amp;" Electricity Motors - New 1"</f>
        <v>Industry Machinery EM Electricity Motors - New 1</v>
      </c>
      <c r="F198" s="224" t="s">
        <v>1149</v>
      </c>
      <c r="G198" s="225" t="s">
        <v>499</v>
      </c>
      <c r="H198" s="225" t="str">
        <f>AI17</f>
        <v>IMDEM</v>
      </c>
      <c r="I198" s="225"/>
      <c r="J198" s="81">
        <v>2011</v>
      </c>
      <c r="K198" s="81">
        <v>2011</v>
      </c>
      <c r="L198" s="256">
        <v>1</v>
      </c>
      <c r="M198" s="256"/>
      <c r="N198" s="256">
        <v>10</v>
      </c>
      <c r="O198" s="254"/>
      <c r="P198" s="254"/>
      <c r="Q198" s="254"/>
      <c r="R198" s="201"/>
      <c r="S198" s="275">
        <v>0.9</v>
      </c>
      <c r="T198" s="228"/>
      <c r="U198" s="228"/>
      <c r="V198" s="228"/>
      <c r="W198" s="287"/>
      <c r="X198" s="279"/>
      <c r="Y198" s="255"/>
      <c r="Z198" s="255"/>
      <c r="AA198" s="255"/>
      <c r="AB198" s="255"/>
    </row>
    <row r="199" spans="1:32">
      <c r="A199" s="169"/>
      <c r="D199" s="170"/>
      <c r="E199" s="64"/>
      <c r="F199" s="224" t="s">
        <v>1149</v>
      </c>
      <c r="H199" s="173"/>
      <c r="I199" s="173"/>
      <c r="J199" s="256">
        <v>2020</v>
      </c>
      <c r="K199" s="257"/>
      <c r="L199" s="257"/>
      <c r="M199" s="257"/>
      <c r="N199" s="257"/>
      <c r="O199" s="61"/>
      <c r="P199" s="61"/>
      <c r="Q199" s="61"/>
      <c r="R199" s="61"/>
      <c r="S199" s="276"/>
      <c r="T199" s="55"/>
      <c r="U199" s="55"/>
      <c r="V199" s="55"/>
      <c r="W199" s="283"/>
      <c r="X199" s="278"/>
      <c r="Y199" s="61"/>
      <c r="Z199" s="61"/>
      <c r="AA199" s="61"/>
      <c r="AB199" s="61"/>
    </row>
    <row r="200" spans="1:32">
      <c r="A200" s="169"/>
      <c r="F200" s="224" t="s">
        <v>1149</v>
      </c>
      <c r="H200" s="173"/>
      <c r="I200" s="173"/>
      <c r="J200" s="256">
        <v>2030</v>
      </c>
      <c r="K200" s="257"/>
      <c r="L200" s="257"/>
      <c r="M200" s="257"/>
      <c r="N200" s="257"/>
      <c r="O200" s="61"/>
      <c r="P200" s="61"/>
      <c r="Q200" s="61"/>
      <c r="R200" s="61"/>
      <c r="S200" s="276"/>
      <c r="T200" s="55"/>
      <c r="U200" s="55"/>
      <c r="V200" s="55"/>
      <c r="W200" s="283"/>
      <c r="X200" s="278"/>
      <c r="Y200" s="61"/>
      <c r="Z200" s="61"/>
      <c r="AA200" s="61"/>
      <c r="AB200" s="61"/>
    </row>
    <row r="201" spans="1:32">
      <c r="A201" s="169"/>
      <c r="D201" s="203"/>
      <c r="E201" s="203"/>
      <c r="F201" s="224" t="s">
        <v>1149</v>
      </c>
      <c r="G201" s="203"/>
      <c r="H201" s="266"/>
      <c r="I201" s="266"/>
      <c r="J201" s="256">
        <v>2050</v>
      </c>
      <c r="K201" s="257"/>
      <c r="L201" s="257"/>
      <c r="M201" s="257"/>
      <c r="N201" s="257"/>
      <c r="O201" s="61"/>
      <c r="P201" s="61"/>
      <c r="Q201" s="61"/>
      <c r="R201" s="61"/>
      <c r="S201" s="276"/>
      <c r="T201" s="55"/>
      <c r="U201" s="55"/>
      <c r="V201" s="55"/>
      <c r="W201" s="283"/>
      <c r="X201" s="278"/>
      <c r="Y201" s="61"/>
      <c r="Z201" s="61"/>
      <c r="AA201" s="61"/>
      <c r="AB201" s="61"/>
    </row>
    <row r="202" spans="1:32">
      <c r="A202" s="169" t="s">
        <v>2057</v>
      </c>
      <c r="B202" s="224" t="s">
        <v>2064</v>
      </c>
      <c r="D202" s="212" t="str">
        <f>"IND"&amp;RIGHT(H202,4)&amp;"DSL"&amp;"N"&amp;RIGHT(E202,1)</f>
        <v>INDMDTFDSLN1</v>
      </c>
      <c r="E202" s="224" t="str">
        <f>"Industry "&amp;$AJ$12&amp;" "&amp;RIGHT(H202,2)&amp;" Tractors, Trucks, Fishing boats - New 1"</f>
        <v>Industry Machinery TF Tractors, Trucks, Fishing boats - New 1</v>
      </c>
      <c r="F202" s="224" t="s">
        <v>1149</v>
      </c>
      <c r="G202" s="173" t="s">
        <v>2081</v>
      </c>
      <c r="H202" s="174" t="str">
        <f>$AI$18</f>
        <v>IMDTF</v>
      </c>
      <c r="I202" s="174"/>
      <c r="J202" s="81">
        <v>2011</v>
      </c>
      <c r="K202" s="81">
        <v>2011</v>
      </c>
      <c r="L202" s="1127">
        <f>L203</f>
        <v>1</v>
      </c>
      <c r="M202" s="256"/>
      <c r="N202" s="256">
        <v>20</v>
      </c>
      <c r="O202" s="1127">
        <f>O203</f>
        <v>30.836264040545181</v>
      </c>
      <c r="P202" s="254"/>
      <c r="Q202" s="254"/>
      <c r="R202" s="1126">
        <v>1</v>
      </c>
      <c r="S202" s="1127">
        <v>1</v>
      </c>
      <c r="T202" s="228"/>
      <c r="U202" s="228"/>
      <c r="V202" s="228"/>
      <c r="W202" s="287"/>
      <c r="X202" s="55"/>
      <c r="Y202" s="55"/>
      <c r="Z202" s="55"/>
      <c r="AA202" s="55"/>
      <c r="AB202" s="55"/>
    </row>
    <row r="203" spans="1:32">
      <c r="A203" s="169" t="s">
        <v>2057</v>
      </c>
      <c r="B203" s="224" t="s">
        <v>2064</v>
      </c>
      <c r="D203" s="55"/>
      <c r="E203" s="55"/>
      <c r="F203" s="224" t="s">
        <v>1149</v>
      </c>
      <c r="G203" s="55"/>
      <c r="H203" s="174"/>
      <c r="I203" s="174"/>
      <c r="J203" s="256">
        <v>2017</v>
      </c>
      <c r="K203" s="256"/>
      <c r="L203" s="1127">
        <f>1/SUMIFS(Transport!$AS$13:$AS$264,Transport!$D$13:$D$264,$B203,Transport!$E$13:$E$264,$A203,Transport!$A$13:$A$264,$J203)</f>
        <v>1</v>
      </c>
      <c r="M203" s="256"/>
      <c r="N203" s="256"/>
      <c r="O203" s="1127">
        <f>SUMIFS(Transport!$AT$13:$AT$264,Transport!$D$13:$D$264,$B203,Transport!$E$13:$E$264,$A203,Transport!$A$13:$A$264,$J203)/1000*6.5</f>
        <v>30.836264040545181</v>
      </c>
      <c r="P203" s="254"/>
      <c r="Q203" s="254"/>
      <c r="R203" s="1126"/>
      <c r="S203" s="275"/>
      <c r="T203" s="228"/>
      <c r="U203" s="228"/>
      <c r="V203" s="228"/>
      <c r="W203" s="228"/>
      <c r="X203" s="55"/>
      <c r="Y203" s="55"/>
      <c r="Z203" s="55"/>
      <c r="AA203" s="55"/>
      <c r="AB203" s="55"/>
    </row>
    <row r="204" spans="1:32">
      <c r="A204" s="169" t="s">
        <v>2057</v>
      </c>
      <c r="B204" s="224" t="s">
        <v>2064</v>
      </c>
      <c r="D204" s="55"/>
      <c r="E204" s="55"/>
      <c r="F204" s="224" t="s">
        <v>1149</v>
      </c>
      <c r="G204" s="55"/>
      <c r="J204" s="256">
        <v>2030</v>
      </c>
      <c r="K204" s="256"/>
      <c r="L204" s="1127">
        <f>1/SUMIFS(Transport!$AS$13:$AS$264,Transport!$D$13:$D$264,$B204,Transport!$E$13:$E$264,$A204,Transport!$A$13:$A$264,$J204)</f>
        <v>1.4579105312754643</v>
      </c>
      <c r="M204" s="256"/>
      <c r="N204" s="256"/>
      <c r="O204" s="1127">
        <f>SUMIFS(Transport!$AT$13:$AT$264,Transport!$D$13:$D$264,$B204,Transport!$E$13:$E$264,$A204,Transport!$A$13:$A$264,$J204)/1000*6.5</f>
        <v>31.806294618979205</v>
      </c>
      <c r="P204" s="254"/>
      <c r="Q204" s="254"/>
      <c r="R204" s="1126"/>
      <c r="S204" s="275"/>
      <c r="T204" s="228"/>
      <c r="U204" s="228"/>
      <c r="V204" s="228"/>
      <c r="W204" s="228"/>
      <c r="X204" s="55"/>
      <c r="Y204" s="55"/>
      <c r="Z204" s="55"/>
      <c r="AA204" s="55"/>
      <c r="AB204" s="55"/>
    </row>
    <row r="205" spans="1:32">
      <c r="A205" s="169" t="s">
        <v>2057</v>
      </c>
      <c r="B205" s="224" t="s">
        <v>2064</v>
      </c>
      <c r="D205" s="55"/>
      <c r="E205" s="55"/>
      <c r="F205" s="224" t="s">
        <v>1149</v>
      </c>
      <c r="G205" s="55"/>
      <c r="J205" s="256">
        <v>2050</v>
      </c>
      <c r="K205" s="256"/>
      <c r="L205" s="1127">
        <f>1/SUMIFS(Transport!$AS$13:$AS$264,Transport!$D$13:$D$264,$B205,Transport!$E$13:$E$264,$A205,Transport!$A$13:$A$264,$J205)</f>
        <v>1.612189818950156</v>
      </c>
      <c r="M205" s="256"/>
      <c r="N205" s="256"/>
      <c r="O205" s="1127">
        <f>SUMIFS(Transport!$AT$13:$AT$264,Transport!$D$13:$D$264,$B205,Transport!$E$13:$E$264,$A205,Transport!$A$13:$A$264,$J205)/1000*6.5</f>
        <v>32.165108628526795</v>
      </c>
      <c r="P205" s="254"/>
      <c r="Q205" s="254"/>
      <c r="R205" s="1126"/>
      <c r="S205" s="275"/>
      <c r="T205" s="228"/>
      <c r="U205" s="228"/>
      <c r="V205" s="228"/>
      <c r="W205" s="228"/>
      <c r="X205" s="55"/>
      <c r="Y205" s="55"/>
      <c r="Z205" s="55"/>
      <c r="AA205" s="55"/>
      <c r="AB205" s="55"/>
    </row>
    <row r="206" spans="1:32">
      <c r="A206" s="169" t="s">
        <v>2062</v>
      </c>
      <c r="B206" s="224" t="s">
        <v>2064</v>
      </c>
      <c r="D206" s="212" t="str">
        <f>"IND"&amp;RIGHT(H206,4)&amp;"H2G"&amp;"N"&amp;RIGHT(E206,1)</f>
        <v>INDMDTFH2GN2</v>
      </c>
      <c r="E206" s="224" t="str">
        <f>"Industry "&amp;$AJ$12&amp;" "&amp;RIGHT(H206,2)&amp;" Tractors, Trucks, Fishing boats - New 2"</f>
        <v>Industry Machinery TF Tractors, Trucks, Fishing boats - New 2</v>
      </c>
      <c r="F206" s="224" t="s">
        <v>1149</v>
      </c>
      <c r="G206" s="55" t="s">
        <v>2077</v>
      </c>
      <c r="H206" s="174" t="str">
        <f>$AI$18</f>
        <v>IMDTF</v>
      </c>
      <c r="I206" s="174"/>
      <c r="J206" s="81">
        <v>2017</v>
      </c>
      <c r="K206" s="81">
        <v>2030</v>
      </c>
      <c r="L206" s="1127">
        <f>1/SUMIFS(Transport!$AS$13:$AS$264,Transport!$D$13:$D$264,$B206,Transport!$E$13:$E$264,$A206,Transport!$A$13:$A$264,$J206)</f>
        <v>1.6201914448931107</v>
      </c>
      <c r="M206" s="256"/>
      <c r="N206" s="256">
        <v>20</v>
      </c>
      <c r="O206" s="1127">
        <f>SUMIFS(Transport!$AT$13:$AT$264,Transport!$D$13:$D$264,$B206,Transport!$E$13:$E$264,$A206,Transport!$A$13:$A$264,$J206)/1000*6.5</f>
        <v>81.840656028484005</v>
      </c>
      <c r="P206" s="254"/>
      <c r="Q206" s="254"/>
      <c r="R206" s="1126">
        <v>1</v>
      </c>
      <c r="S206" s="1127">
        <v>1</v>
      </c>
      <c r="T206" s="228"/>
      <c r="U206" s="228"/>
      <c r="V206" s="228"/>
      <c r="W206" s="287"/>
      <c r="X206" s="55"/>
      <c r="Y206" s="55"/>
      <c r="Z206" s="55"/>
      <c r="AA206" s="55"/>
      <c r="AB206" s="55"/>
    </row>
    <row r="207" spans="1:32">
      <c r="A207" s="169" t="s">
        <v>2062</v>
      </c>
      <c r="B207" s="224" t="s">
        <v>2064</v>
      </c>
      <c r="D207" s="55"/>
      <c r="E207" s="55"/>
      <c r="F207" s="224" t="s">
        <v>1149</v>
      </c>
      <c r="G207" s="55"/>
      <c r="H207" s="174"/>
      <c r="I207" s="174"/>
      <c r="J207" s="256">
        <v>2017</v>
      </c>
      <c r="K207" s="256"/>
      <c r="L207" s="1127">
        <f>1/SUMIFS(Transport!$AS$13:$AS$264,Transport!$D$13:$D$264,$B207,Transport!$E$13:$E$264,$A207,Transport!$A$13:$A$264,$J207)</f>
        <v>1.6201914448931107</v>
      </c>
      <c r="M207" s="256"/>
      <c r="N207" s="256"/>
      <c r="O207" s="1127">
        <f>SUMIFS(Transport!$AT$13:$AT$264,Transport!$D$13:$D$264,$B207,Transport!$E$13:$E$264,$A207,Transport!$A$13:$A$264,$J207)/1000*6.5</f>
        <v>81.840656028484005</v>
      </c>
      <c r="P207" s="254"/>
      <c r="Q207" s="254"/>
      <c r="R207" s="1126"/>
      <c r="S207" s="275"/>
      <c r="T207" s="228"/>
      <c r="U207" s="228"/>
      <c r="V207" s="228"/>
      <c r="W207" s="228"/>
      <c r="X207" s="55"/>
      <c r="Y207" s="55"/>
      <c r="Z207" s="55"/>
      <c r="AA207" s="55"/>
      <c r="AB207" s="55"/>
    </row>
    <row r="208" spans="1:32">
      <c r="A208" s="169" t="s">
        <v>2062</v>
      </c>
      <c r="B208" s="224" t="s">
        <v>2064</v>
      </c>
      <c r="D208" s="55"/>
      <c r="E208" s="55"/>
      <c r="F208" s="224" t="s">
        <v>1149</v>
      </c>
      <c r="G208" s="55"/>
      <c r="J208" s="256">
        <v>2030</v>
      </c>
      <c r="K208" s="256"/>
      <c r="L208" s="1127">
        <f>1/SUMIFS(Transport!$AS$13:$AS$264,Transport!$D$13:$D$264,$B208,Transport!$E$13:$E$264,$A208,Transport!$A$13:$A$264,$J208)</f>
        <v>2.4143776559781225</v>
      </c>
      <c r="M208" s="256"/>
      <c r="N208" s="256"/>
      <c r="O208" s="1127">
        <f>SUMIFS(Transport!$AT$13:$AT$264,Transport!$D$13:$D$264,$B208,Transport!$E$13:$E$264,$A208,Transport!$A$13:$A$264,$J208)/1000*6.5</f>
        <v>34.253254247071318</v>
      </c>
      <c r="P208" s="254"/>
      <c r="Q208" s="254"/>
      <c r="R208" s="1126"/>
      <c r="S208" s="275"/>
      <c r="T208" s="228"/>
      <c r="U208" s="228"/>
      <c r="V208" s="228"/>
      <c r="W208" s="228"/>
      <c r="X208" s="55"/>
      <c r="Y208" s="55"/>
      <c r="Z208" s="55"/>
      <c r="AA208" s="55"/>
      <c r="AB208" s="55"/>
    </row>
    <row r="209" spans="1:28">
      <c r="A209" s="169" t="s">
        <v>2062</v>
      </c>
      <c r="B209" s="224" t="s">
        <v>2064</v>
      </c>
      <c r="D209" s="55"/>
      <c r="E209" s="55"/>
      <c r="F209" s="224" t="s">
        <v>1149</v>
      </c>
      <c r="G209" s="55"/>
      <c r="J209" s="256">
        <v>2050</v>
      </c>
      <c r="K209" s="256"/>
      <c r="L209" s="1127">
        <f>1/SUMIFS(Transport!$AS$13:$AS$264,Transport!$D$13:$D$264,$B209,Transport!$E$13:$E$264,$A209,Transport!$A$13:$A$264,$J209)</f>
        <v>2.9956358502626648</v>
      </c>
      <c r="M209" s="256"/>
      <c r="N209" s="256"/>
      <c r="O209" s="1127">
        <f>SUMIFS(Transport!$AT$13:$AT$264,Transport!$D$13:$D$264,$B209,Transport!$E$13:$E$264,$A209,Transport!$A$13:$A$264,$J209)/1000*6.5</f>
        <v>28.800352543800432</v>
      </c>
      <c r="P209" s="254"/>
      <c r="Q209" s="254"/>
      <c r="R209" s="1126"/>
      <c r="S209" s="275"/>
      <c r="T209" s="228"/>
      <c r="U209" s="228"/>
      <c r="V209" s="228"/>
      <c r="W209" s="228"/>
      <c r="X209" s="55"/>
      <c r="Y209" s="55"/>
      <c r="Z209" s="55"/>
      <c r="AA209" s="55"/>
      <c r="AB209" s="55"/>
    </row>
    <row r="210" spans="1:28">
      <c r="A210" s="169" t="s">
        <v>2061</v>
      </c>
      <c r="B210" s="224" t="s">
        <v>2064</v>
      </c>
      <c r="D210" s="212" t="str">
        <f>"IND"&amp;RIGHT(H210,4)&amp;"ELC"&amp;"N"&amp;RIGHT(E210,1)</f>
        <v>INDMDTFELCN3</v>
      </c>
      <c r="E210" s="224" t="str">
        <f>"Industry "&amp;$AJ$12&amp;" "&amp;RIGHT(H210,2)&amp;" Tractors, Trucks, Fishing boats - New 3"</f>
        <v>Industry Machinery TF Tractors, Trucks, Fishing boats - New 3</v>
      </c>
      <c r="F210" s="224" t="s">
        <v>1149</v>
      </c>
      <c r="G210" s="55" t="s">
        <v>499</v>
      </c>
      <c r="H210" s="174" t="str">
        <f>$AI$18</f>
        <v>IMDTF</v>
      </c>
      <c r="I210" s="174"/>
      <c r="J210" s="81">
        <v>2017</v>
      </c>
      <c r="K210" s="81">
        <v>2025</v>
      </c>
      <c r="L210" s="1127">
        <f>1/SUMIFS(Transport!$AS$13:$AS$264,Transport!$D$13:$D$264,$B210,Transport!$E$13:$E$264,$A210,Transport!$A$13:$A$264,$J210)</f>
        <v>3.2991956437648962</v>
      </c>
      <c r="M210" s="256"/>
      <c r="N210" s="256">
        <v>20</v>
      </c>
      <c r="O210" s="1127">
        <f>SUMIFS(Transport!$AT$13:$AT$264,Transport!$D$13:$D$264,$B210,Transport!$E$13:$E$264,$A210,Transport!$A$13:$A$264,$J210)/1000*6.5</f>
        <v>72.592990417868862</v>
      </c>
      <c r="P210" s="254"/>
      <c r="Q210" s="254"/>
      <c r="R210" s="1126">
        <v>1</v>
      </c>
      <c r="S210" s="1127">
        <v>1</v>
      </c>
      <c r="T210" s="228"/>
      <c r="U210" s="228"/>
      <c r="V210" s="228"/>
      <c r="W210" s="287"/>
      <c r="X210" s="55"/>
      <c r="Y210" s="55"/>
      <c r="Z210" s="55"/>
      <c r="AA210" s="55"/>
      <c r="AB210" s="55"/>
    </row>
    <row r="211" spans="1:28">
      <c r="A211" s="169" t="s">
        <v>2061</v>
      </c>
      <c r="B211" s="224" t="s">
        <v>2064</v>
      </c>
      <c r="D211" s="55"/>
      <c r="E211" s="55"/>
      <c r="F211" s="224" t="s">
        <v>1149</v>
      </c>
      <c r="G211" s="55"/>
      <c r="H211" s="174"/>
      <c r="I211" s="174"/>
      <c r="J211" s="256">
        <v>2017</v>
      </c>
      <c r="K211" s="256"/>
      <c r="L211" s="1127">
        <f>1/SUMIFS(Transport!$AS$13:$AS$264,Transport!$D$13:$D$264,$B211,Transport!$E$13:$E$264,$A211,Transport!$A$13:$A$264,$J211)</f>
        <v>3.2991956437648962</v>
      </c>
      <c r="M211" s="256"/>
      <c r="N211" s="256"/>
      <c r="O211" s="1127">
        <f>SUMIFS(Transport!$AT$13:$AT$264,Transport!$D$13:$D$264,$B211,Transport!$E$13:$E$264,$A211,Transport!$A$13:$A$264,$J211)/1000*6.5</f>
        <v>72.592990417868862</v>
      </c>
      <c r="P211" s="254"/>
      <c r="Q211" s="254"/>
      <c r="R211" s="201"/>
      <c r="S211" s="275"/>
      <c r="T211" s="228"/>
      <c r="U211" s="228"/>
      <c r="V211" s="228"/>
      <c r="W211" s="228"/>
      <c r="X211" s="55"/>
      <c r="Y211" s="55"/>
      <c r="Z211" s="55"/>
      <c r="AA211" s="55"/>
      <c r="AB211" s="55"/>
    </row>
    <row r="212" spans="1:28">
      <c r="A212" s="169" t="s">
        <v>2061</v>
      </c>
      <c r="B212" s="224" t="s">
        <v>2064</v>
      </c>
      <c r="D212" s="55"/>
      <c r="E212" s="55"/>
      <c r="F212" s="224" t="s">
        <v>1149</v>
      </c>
      <c r="G212" s="55"/>
      <c r="J212" s="256">
        <v>2030</v>
      </c>
      <c r="K212" s="256"/>
      <c r="L212" s="1127">
        <f>1/SUMIFS(Transport!$AS$13:$AS$264,Transport!$D$13:$D$264,$B212,Transport!$E$13:$E$264,$A212,Transport!$A$13:$A$264,$J212)</f>
        <v>3.2991956437648962</v>
      </c>
      <c r="M212" s="256"/>
      <c r="N212" s="256"/>
      <c r="O212" s="1127">
        <f>SUMIFS(Transport!$AT$13:$AT$264,Transport!$D$13:$D$264,$B212,Transport!$E$13:$E$264,$A212,Transport!$A$13:$A$264,$J212)/1000*6.5</f>
        <v>35.973025982850046</v>
      </c>
      <c r="P212" s="254"/>
      <c r="Q212" s="254"/>
      <c r="R212" s="201"/>
      <c r="S212" s="275"/>
      <c r="T212" s="228"/>
      <c r="U212" s="228"/>
      <c r="V212" s="228"/>
      <c r="W212" s="228"/>
      <c r="X212" s="55"/>
      <c r="Y212" s="55"/>
      <c r="Z212" s="55"/>
      <c r="AA212" s="55"/>
      <c r="AB212" s="55"/>
    </row>
    <row r="213" spans="1:28">
      <c r="A213" s="169" t="s">
        <v>2061</v>
      </c>
      <c r="B213" s="224" t="s">
        <v>2064</v>
      </c>
      <c r="D213" s="55"/>
      <c r="E213" s="55"/>
      <c r="F213" s="224" t="s">
        <v>1149</v>
      </c>
      <c r="G213" s="55"/>
      <c r="J213" s="256">
        <v>2050</v>
      </c>
      <c r="K213" s="256"/>
      <c r="L213" s="1127">
        <f>1/SUMIFS(Transport!$AS$13:$AS$264,Transport!$D$13:$D$264,$B213,Transport!$E$13:$E$264,$A213,Transport!$A$13:$A$264,$J213)</f>
        <v>3.2991956437648962</v>
      </c>
      <c r="M213" s="256"/>
      <c r="N213" s="256"/>
      <c r="O213" s="1127">
        <f>SUMIFS(Transport!$AT$13:$AT$264,Transport!$D$13:$D$264,$B213,Transport!$E$13:$E$264,$A213,Transport!$A$13:$A$264,$J213)/1000*6.5</f>
        <v>28.759134300809922</v>
      </c>
      <c r="P213" s="254"/>
      <c r="Q213" s="254"/>
      <c r="R213" s="201"/>
      <c r="S213" s="275"/>
      <c r="T213" s="228"/>
      <c r="U213" s="228"/>
      <c r="V213" s="228"/>
      <c r="W213" s="228"/>
      <c r="X213" s="55"/>
      <c r="Y213" s="55"/>
      <c r="Z213" s="55"/>
      <c r="AA213" s="55"/>
      <c r="AB213" s="55"/>
    </row>
    <row r="214" spans="1:28">
      <c r="A214" s="169"/>
      <c r="D214" s="212" t="str">
        <f>"IND"&amp;RIGHT(H214,4)&amp;RIGHT(G214,3)&amp;"N"&amp;RIGHT(E214,1)</f>
        <v>INDMDFLELCN1</v>
      </c>
      <c r="E214" s="224" t="str">
        <f>"Industry "&amp;$AJ$12&amp;" "&amp;RIGHT(H202,2)&amp;" Forklifts - New 1"</f>
        <v>Industry Machinery TF Forklifts - New 1</v>
      </c>
      <c r="F214" s="224" t="s">
        <v>1149</v>
      </c>
      <c r="G214" s="173" t="s">
        <v>2128</v>
      </c>
      <c r="H214" s="224" t="str">
        <f>AI19</f>
        <v>IMDFL</v>
      </c>
      <c r="J214" s="81">
        <v>2011</v>
      </c>
      <c r="K214" s="81">
        <v>2011</v>
      </c>
      <c r="L214" s="256">
        <v>1</v>
      </c>
      <c r="M214" s="256"/>
      <c r="N214" s="256">
        <v>10</v>
      </c>
      <c r="O214" s="254"/>
      <c r="P214" s="254"/>
      <c r="Q214" s="254"/>
      <c r="R214" s="201"/>
      <c r="S214" s="275">
        <v>0.9</v>
      </c>
      <c r="T214" s="228"/>
      <c r="U214" s="228"/>
      <c r="V214" s="228"/>
      <c r="W214" s="228"/>
      <c r="X214" s="55"/>
      <c r="Y214" s="55"/>
      <c r="Z214" s="55"/>
      <c r="AA214" s="55"/>
      <c r="AB214" s="55"/>
    </row>
    <row r="215" spans="1:28">
      <c r="A215" s="169"/>
      <c r="D215" s="55"/>
      <c r="E215" s="55"/>
      <c r="F215" s="224" t="s">
        <v>1149</v>
      </c>
      <c r="G215" s="55"/>
      <c r="H215" s="174"/>
      <c r="I215" s="174"/>
      <c r="J215" s="256">
        <v>2020</v>
      </c>
      <c r="K215" s="256"/>
      <c r="L215" s="256"/>
      <c r="M215" s="256"/>
      <c r="N215" s="257"/>
      <c r="O215" s="61"/>
      <c r="P215" s="61"/>
      <c r="Q215" s="61"/>
      <c r="R215" s="61"/>
      <c r="S215" s="276"/>
      <c r="T215" s="55"/>
      <c r="U215" s="55"/>
      <c r="V215" s="55"/>
      <c r="W215" s="55"/>
      <c r="X215" s="55"/>
      <c r="Y215" s="55"/>
      <c r="Z215" s="55"/>
      <c r="AA215" s="55"/>
      <c r="AB215" s="55"/>
    </row>
    <row r="216" spans="1:28">
      <c r="A216" s="169"/>
      <c r="D216" s="55"/>
      <c r="E216" s="55"/>
      <c r="F216" s="224" t="s">
        <v>1149</v>
      </c>
      <c r="G216" s="55"/>
      <c r="J216" s="256">
        <v>2030</v>
      </c>
      <c r="K216" s="256"/>
      <c r="L216" s="256"/>
      <c r="M216" s="256"/>
      <c r="N216" s="257"/>
      <c r="O216" s="61"/>
      <c r="P216" s="61"/>
      <c r="Q216" s="61"/>
      <c r="R216" s="61"/>
      <c r="S216" s="276"/>
      <c r="T216" s="55"/>
      <c r="U216" s="55"/>
      <c r="V216" s="55"/>
      <c r="W216" s="55"/>
      <c r="X216" s="55"/>
      <c r="Y216" s="55"/>
      <c r="Z216" s="55"/>
      <c r="AA216" s="55"/>
      <c r="AB216" s="55"/>
    </row>
    <row r="217" spans="1:28">
      <c r="A217" s="169"/>
      <c r="D217" s="55"/>
      <c r="E217" s="55"/>
      <c r="F217" s="224" t="s">
        <v>1149</v>
      </c>
      <c r="G217" s="55"/>
      <c r="H217" s="174"/>
      <c r="I217" s="174"/>
      <c r="J217" s="256">
        <v>2050</v>
      </c>
      <c r="K217" s="256"/>
      <c r="L217" s="256"/>
      <c r="M217" s="256"/>
      <c r="N217" s="257"/>
      <c r="O217" s="61"/>
      <c r="P217" s="61"/>
      <c r="Q217" s="61"/>
      <c r="R217" s="61"/>
      <c r="S217" s="276"/>
      <c r="T217" s="55"/>
      <c r="U217" s="55"/>
      <c r="V217" s="55"/>
      <c r="W217" s="55"/>
      <c r="X217" s="55"/>
      <c r="Y217" s="55"/>
      <c r="Z217" s="55"/>
      <c r="AA217" s="55"/>
      <c r="AB217" s="55"/>
    </row>
    <row r="218" spans="1:28">
      <c r="A218" s="169" t="s">
        <v>2107</v>
      </c>
      <c r="D218" s="212" t="str">
        <f>"IND"&amp;RIGHT(H218,4)&amp;RIGHT(G218,3)&amp;"N"&amp;RIGHT(E218,1)</f>
        <v>INDMDCOELCN1</v>
      </c>
      <c r="E218" s="224" t="str">
        <f>"Industry "&amp;$AJ$12&amp;" "&amp;RIGHT(H218,2)&amp;" Cooling - New 1"</f>
        <v>Industry Machinery CO Cooling - New 1</v>
      </c>
      <c r="F218" s="224" t="s">
        <v>1149</v>
      </c>
      <c r="G218" s="173" t="s">
        <v>499</v>
      </c>
      <c r="H218" s="224" t="str">
        <f>AI21</f>
        <v>IMDCO</v>
      </c>
      <c r="J218" s="82">
        <v>2015</v>
      </c>
      <c r="K218" s="82">
        <v>2015</v>
      </c>
      <c r="L218" s="1128">
        <v>1</v>
      </c>
      <c r="M218" s="1129"/>
      <c r="N218" s="1129">
        <v>12</v>
      </c>
      <c r="O218" s="1130">
        <v>3.3525</v>
      </c>
      <c r="P218" s="1131">
        <v>0.31662500000000005</v>
      </c>
      <c r="Q218" s="1131"/>
      <c r="R218" s="1132">
        <v>3.1536000000000002E-2</v>
      </c>
      <c r="S218" s="1133">
        <v>8.3999999999999991E-2</v>
      </c>
    </row>
    <row r="219" spans="1:28">
      <c r="A219" s="169"/>
      <c r="F219" s="224" t="s">
        <v>1149</v>
      </c>
      <c r="H219" s="173"/>
      <c r="I219" s="173"/>
      <c r="J219" s="1129">
        <v>2020</v>
      </c>
      <c r="K219" s="1129"/>
      <c r="L219" s="1128">
        <v>1</v>
      </c>
      <c r="M219" s="1129"/>
      <c r="N219" s="257">
        <v>12</v>
      </c>
      <c r="O219" s="61">
        <v>3.1662499999999998</v>
      </c>
      <c r="P219" s="61">
        <v>0.30110722454958749</v>
      </c>
      <c r="Q219" s="61"/>
      <c r="R219" s="61">
        <v>3.1536000000000002E-2</v>
      </c>
      <c r="S219" s="276">
        <v>8.3999999999999991E-2</v>
      </c>
    </row>
    <row r="220" spans="1:28">
      <c r="A220" s="169"/>
      <c r="F220" s="224" t="s">
        <v>1149</v>
      </c>
      <c r="J220" s="1129">
        <v>2030</v>
      </c>
      <c r="K220" s="1129"/>
      <c r="L220" s="1128">
        <v>1</v>
      </c>
      <c r="M220" s="1129"/>
      <c r="N220" s="257">
        <v>12</v>
      </c>
      <c r="O220" s="61">
        <v>3.1662499999999998</v>
      </c>
      <c r="P220" s="61">
        <v>0.30110722454958749</v>
      </c>
      <c r="Q220" s="61"/>
      <c r="R220" s="61">
        <v>3.1536000000000002E-2</v>
      </c>
      <c r="S220" s="276">
        <v>8.3999999999999991E-2</v>
      </c>
    </row>
    <row r="221" spans="1:28">
      <c r="A221" s="169"/>
      <c r="F221" s="224" t="s">
        <v>1149</v>
      </c>
      <c r="H221" s="173"/>
      <c r="I221" s="173"/>
      <c r="J221" s="1129">
        <v>2050</v>
      </c>
      <c r="K221" s="1129"/>
      <c r="L221" s="1128">
        <v>1</v>
      </c>
      <c r="M221" s="1129"/>
      <c r="N221" s="257">
        <v>12</v>
      </c>
      <c r="O221" s="61">
        <v>3.1662499999999998</v>
      </c>
      <c r="P221" s="61">
        <v>0.30110722454958749</v>
      </c>
      <c r="Q221" s="61"/>
      <c r="R221" s="61">
        <v>3.1536000000000002E-2</v>
      </c>
      <c r="S221" s="276">
        <v>8.3999999999999991E-2</v>
      </c>
    </row>
    <row r="222" spans="1:28">
      <c r="A222" s="169"/>
    </row>
    <row r="223" spans="1:28">
      <c r="A223" s="169"/>
    </row>
    <row r="224" spans="1:28">
      <c r="A224" s="169"/>
    </row>
    <row r="225" spans="1:10">
      <c r="A225" s="169"/>
    </row>
    <row r="226" spans="1:10">
      <c r="A226" s="169"/>
      <c r="C226" s="207" t="s">
        <v>467</v>
      </c>
      <c r="D226" s="208"/>
      <c r="E226" s="208"/>
      <c r="F226" s="208"/>
      <c r="G226" s="208"/>
      <c r="H226" s="208"/>
      <c r="I226" s="208"/>
      <c r="J226" s="208"/>
    </row>
    <row r="227" spans="1:10">
      <c r="A227" s="169"/>
      <c r="C227" s="209" t="s">
        <v>466</v>
      </c>
      <c r="D227" s="209" t="s">
        <v>425</v>
      </c>
      <c r="E227" s="209" t="s">
        <v>465</v>
      </c>
      <c r="F227" s="209" t="s">
        <v>464</v>
      </c>
      <c r="G227" s="209" t="s">
        <v>463</v>
      </c>
      <c r="H227" s="209" t="s">
        <v>462</v>
      </c>
      <c r="I227" s="209" t="s">
        <v>461</v>
      </c>
      <c r="J227" s="209" t="s">
        <v>460</v>
      </c>
    </row>
    <row r="228" spans="1:10" ht="25" thickBot="1">
      <c r="A228" s="169"/>
      <c r="C228" s="210" t="s">
        <v>459</v>
      </c>
      <c r="D228" s="210" t="s">
        <v>458</v>
      </c>
      <c r="E228" s="210" t="s">
        <v>457</v>
      </c>
      <c r="F228" s="210" t="s">
        <v>456</v>
      </c>
      <c r="G228" s="210" t="s">
        <v>455</v>
      </c>
      <c r="H228" s="210" t="s">
        <v>454</v>
      </c>
      <c r="I228" s="210" t="s">
        <v>453</v>
      </c>
      <c r="J228" s="210" t="s">
        <v>452</v>
      </c>
    </row>
    <row r="229" spans="1:10">
      <c r="A229" s="169"/>
      <c r="C229" s="211" t="s">
        <v>504</v>
      </c>
      <c r="D229" s="212" t="str">
        <f>D9</f>
        <v>INDMDPHELCN1</v>
      </c>
      <c r="E229" s="212" t="str">
        <f t="shared" ref="E229:E260" si="266">VLOOKUP(D229,$D$9:$E$222,2,FALSE)</f>
        <v>Industrial heating technology Machinery PH - Heat pump utilizing waste heat - new 1</v>
      </c>
      <c r="F229" s="211" t="s">
        <v>450</v>
      </c>
      <c r="G229" s="211" t="s">
        <v>449</v>
      </c>
      <c r="H229" s="263" t="s">
        <v>620</v>
      </c>
      <c r="I229" s="301"/>
      <c r="J229" s="208" t="s">
        <v>469</v>
      </c>
    </row>
    <row r="230" spans="1:10">
      <c r="A230" s="169"/>
      <c r="B230" s="301"/>
      <c r="C230" s="301"/>
      <c r="D230" s="212" t="str">
        <f t="shared" ref="D230:D238" ca="1" si="267">OFFSET($D$9,(ROW(D1)*6),0)</f>
        <v>INDMDSHELCN1</v>
      </c>
      <c r="E230" s="212" t="str">
        <f t="shared" ca="1" si="266"/>
        <v>Industrial heating technology Machinery SH - Heat pump utilizing waste heat - new 1</v>
      </c>
      <c r="F230" s="262" t="s">
        <v>450</v>
      </c>
      <c r="G230" s="262" t="s">
        <v>449</v>
      </c>
      <c r="H230" s="263" t="s">
        <v>620</v>
      </c>
      <c r="I230" s="301"/>
      <c r="J230" s="264" t="s">
        <v>469</v>
      </c>
    </row>
    <row r="231" spans="1:10">
      <c r="A231" s="169"/>
      <c r="D231" s="212" t="str">
        <f t="shared" ca="1" si="267"/>
        <v>INDMDPHELCN2</v>
      </c>
      <c r="E231" s="212" t="str">
        <f t="shared" ca="1" si="266"/>
        <v>Industrial heating technology Machinery PH - Heat driven heat pump utilizing waste heat - new 2</v>
      </c>
      <c r="F231" s="211" t="s">
        <v>450</v>
      </c>
      <c r="G231" s="211" t="s">
        <v>449</v>
      </c>
      <c r="H231" s="263" t="s">
        <v>620</v>
      </c>
      <c r="I231" s="208"/>
      <c r="J231" s="264" t="s">
        <v>469</v>
      </c>
    </row>
    <row r="232" spans="1:10">
      <c r="A232" s="169"/>
      <c r="B232" s="211"/>
      <c r="C232" s="211"/>
      <c r="D232" s="212" t="str">
        <f t="shared" ca="1" si="267"/>
        <v>INDMDSHELCN2</v>
      </c>
      <c r="E232" s="212" t="str">
        <f t="shared" ca="1" si="266"/>
        <v>Industrial heating technology Machinery SH - Heat driven heat pump utilizing waste heat - new 2</v>
      </c>
      <c r="F232" s="262" t="s">
        <v>450</v>
      </c>
      <c r="G232" s="262" t="s">
        <v>449</v>
      </c>
      <c r="H232" s="263" t="s">
        <v>620</v>
      </c>
      <c r="I232" s="264"/>
      <c r="J232" s="264" t="s">
        <v>469</v>
      </c>
    </row>
    <row r="233" spans="1:10">
      <c r="A233" s="169"/>
      <c r="B233" s="211"/>
      <c r="C233" s="211"/>
      <c r="D233" s="212" t="str">
        <f t="shared" ca="1" si="267"/>
        <v>INDMDPHELCN3</v>
      </c>
      <c r="E233" s="212" t="str">
        <f t="shared" ca="1" si="266"/>
        <v>Industrial heating technology Machinery PH - High Temp abs. Heat pump utilizing waste heat - new 3</v>
      </c>
      <c r="F233" s="262" t="s">
        <v>450</v>
      </c>
      <c r="G233" s="262" t="s">
        <v>449</v>
      </c>
      <c r="H233" s="263" t="s">
        <v>620</v>
      </c>
      <c r="I233" s="264"/>
      <c r="J233" s="264" t="s">
        <v>469</v>
      </c>
    </row>
    <row r="234" spans="1:10">
      <c r="A234" s="169"/>
      <c r="B234" s="211"/>
      <c r="C234" s="211"/>
      <c r="D234" s="212" t="str">
        <f t="shared" ca="1" si="267"/>
        <v>INDMDSHELCN3</v>
      </c>
      <c r="E234" s="212" t="str">
        <f t="shared" ca="1" si="266"/>
        <v>Industrial heating technology Machinery SH - High Temp abs. Heat pump utilizing waste heat - new 3</v>
      </c>
      <c r="F234" s="262" t="s">
        <v>450</v>
      </c>
      <c r="G234" s="262" t="s">
        <v>449</v>
      </c>
      <c r="H234" s="263" t="s">
        <v>620</v>
      </c>
      <c r="I234" s="264"/>
      <c r="J234" s="264" t="s">
        <v>469</v>
      </c>
    </row>
    <row r="235" spans="1:10">
      <c r="A235" s="169"/>
      <c r="B235" s="211"/>
      <c r="C235" s="211"/>
      <c r="D235" s="212" t="str">
        <f t="shared" ca="1" si="267"/>
        <v>INDMDPHELCN4</v>
      </c>
      <c r="E235" s="212" t="str">
        <f t="shared" ca="1" si="266"/>
        <v>Industrial heating technology Machinery PH - Booster Heat pump utilizing waste heat - new 4</v>
      </c>
      <c r="F235" s="262" t="s">
        <v>450</v>
      </c>
      <c r="G235" s="262" t="s">
        <v>449</v>
      </c>
      <c r="H235" s="263" t="s">
        <v>620</v>
      </c>
      <c r="I235" s="264"/>
      <c r="J235" s="264" t="s">
        <v>469</v>
      </c>
    </row>
    <row r="236" spans="1:10">
      <c r="A236" s="169"/>
      <c r="B236" s="211"/>
      <c r="C236" s="211"/>
      <c r="D236" s="212" t="str">
        <f t="shared" ca="1" si="267"/>
        <v>INDMDSHELCN4</v>
      </c>
      <c r="E236" s="212" t="str">
        <f t="shared" ca="1" si="266"/>
        <v>Industrial heating technology Machinery SH - Booster Heat pump utilizing waste heat - new 4</v>
      </c>
      <c r="F236" s="262" t="s">
        <v>450</v>
      </c>
      <c r="G236" s="262" t="s">
        <v>449</v>
      </c>
      <c r="H236" s="263" t="s">
        <v>620</v>
      </c>
      <c r="I236" s="264"/>
      <c r="J236" s="264" t="s">
        <v>469</v>
      </c>
    </row>
    <row r="237" spans="1:10">
      <c r="A237" s="169"/>
      <c r="B237" s="211"/>
      <c r="C237" s="211"/>
      <c r="D237" s="212" t="str">
        <f t="shared" ca="1" si="267"/>
        <v>INDMDPHELCN5</v>
      </c>
      <c r="E237" s="212" t="str">
        <f t="shared" ca="1" si="266"/>
        <v>Industrial heating technology Machinery PH - MVR utilizing waste heat - new 5</v>
      </c>
      <c r="F237" s="262" t="s">
        <v>450</v>
      </c>
      <c r="G237" s="262" t="s">
        <v>449</v>
      </c>
      <c r="H237" s="263"/>
      <c r="I237" s="264"/>
      <c r="J237" s="264" t="s">
        <v>469</v>
      </c>
    </row>
    <row r="238" spans="1:10">
      <c r="A238" s="169"/>
      <c r="B238" s="211"/>
      <c r="C238" s="211"/>
      <c r="D238" s="212" t="str">
        <f t="shared" ca="1" si="267"/>
        <v>INDMDPHWSTN1</v>
      </c>
      <c r="E238" s="212" t="str">
        <f t="shared" ca="1" si="266"/>
        <v>Industrial heating technology Machinery PH - Hotdisc - new 1</v>
      </c>
      <c r="F238" s="262" t="s">
        <v>450</v>
      </c>
      <c r="G238" s="262" t="s">
        <v>449</v>
      </c>
      <c r="H238" s="263" t="s">
        <v>620</v>
      </c>
      <c r="I238" s="264"/>
      <c r="J238" s="264" t="s">
        <v>469</v>
      </c>
    </row>
    <row r="239" spans="1:10">
      <c r="A239" s="169"/>
      <c r="B239" s="211"/>
      <c r="C239" s="211"/>
      <c r="D239" s="212" t="str">
        <f t="shared" ref="D239:D278" ca="1" si="268">OFFSET($D$9,(ROW(D19)*3),0)</f>
        <v>INDMDPHELCN6</v>
      </c>
      <c r="E239" s="212" t="str">
        <f t="shared" ca="1" si="266"/>
        <v>Industrial heating technology Machinery PH - Dielectric heating - new 6</v>
      </c>
      <c r="F239" s="262" t="s">
        <v>450</v>
      </c>
      <c r="G239" s="262" t="s">
        <v>449</v>
      </c>
      <c r="H239" s="263" t="s">
        <v>620</v>
      </c>
      <c r="I239" s="264"/>
      <c r="J239" s="264" t="s">
        <v>469</v>
      </c>
    </row>
    <row r="240" spans="1:10">
      <c r="A240" s="169"/>
      <c r="B240" s="211"/>
      <c r="C240" s="211"/>
      <c r="D240" s="212" t="str">
        <f t="shared" ca="1" si="268"/>
        <v>INDMDPHELCN7</v>
      </c>
      <c r="E240" s="212" t="str">
        <f t="shared" ca="1" si="266"/>
        <v>Industrial heating technology Machinery PH - Infrared heating - new 7</v>
      </c>
      <c r="F240" s="262" t="s">
        <v>450</v>
      </c>
      <c r="G240" s="262" t="s">
        <v>449</v>
      </c>
      <c r="H240" s="263" t="s">
        <v>620</v>
      </c>
      <c r="I240" s="264"/>
      <c r="J240" s="264" t="s">
        <v>469</v>
      </c>
    </row>
    <row r="241" spans="1:16">
      <c r="A241" s="169"/>
      <c r="B241" s="211"/>
      <c r="C241" s="211"/>
      <c r="D241" s="212" t="str">
        <f t="shared" ca="1" si="268"/>
        <v>INDMDPHELCN8</v>
      </c>
      <c r="E241" s="212" t="str">
        <f t="shared" ca="1" si="266"/>
        <v>Industrial heating technology Machinery PH - Electric boiler (Steam) - new 8</v>
      </c>
      <c r="F241" s="262" t="s">
        <v>450</v>
      </c>
      <c r="G241" s="262" t="s">
        <v>449</v>
      </c>
      <c r="H241" s="263" t="s">
        <v>620</v>
      </c>
      <c r="I241" s="264"/>
      <c r="J241" s="264" t="s">
        <v>469</v>
      </c>
    </row>
    <row r="242" spans="1:16">
      <c r="A242" s="169"/>
      <c r="B242" s="211"/>
      <c r="C242" s="211"/>
      <c r="D242" s="212" t="str">
        <f t="shared" ca="1" si="268"/>
        <v>INDMDPHELCN8</v>
      </c>
      <c r="E242" s="212" t="str">
        <f t="shared" ca="1" si="266"/>
        <v>Industrial heating technology Machinery PH - Electric boiler (Steam) - new 8</v>
      </c>
      <c r="F242" s="262" t="s">
        <v>450</v>
      </c>
      <c r="G242" s="262" t="s">
        <v>449</v>
      </c>
      <c r="H242" s="263" t="s">
        <v>620</v>
      </c>
      <c r="I242" s="264"/>
      <c r="J242" s="264" t="s">
        <v>469</v>
      </c>
    </row>
    <row r="243" spans="1:16">
      <c r="A243" s="169"/>
      <c r="B243" s="211"/>
      <c r="C243" s="211"/>
      <c r="D243" s="212" t="str">
        <f t="shared" ca="1" si="268"/>
        <v>INDMDSHELCN8</v>
      </c>
      <c r="E243" s="212" t="str">
        <f t="shared" ca="1" si="266"/>
        <v>Industrial heating technology Machinery SH - Electric boiler (Steam) - new 8</v>
      </c>
      <c r="F243" s="262" t="s">
        <v>450</v>
      </c>
      <c r="G243" s="262" t="s">
        <v>449</v>
      </c>
      <c r="H243" s="263" t="s">
        <v>620</v>
      </c>
      <c r="I243" s="264"/>
      <c r="J243" s="264" t="s">
        <v>469</v>
      </c>
      <c r="P243" s="173"/>
    </row>
    <row r="244" spans="1:16">
      <c r="A244" s="169"/>
      <c r="B244" s="211"/>
      <c r="C244" s="211"/>
      <c r="D244" s="212" t="str">
        <f t="shared" ca="1" si="268"/>
        <v>INDMDPHELCN9</v>
      </c>
      <c r="E244" s="212" t="str">
        <f t="shared" ca="1" si="266"/>
        <v>Industrial heating technology Machinery PH - Electric boiler (Hot Water) - new 9</v>
      </c>
      <c r="F244" s="262" t="s">
        <v>450</v>
      </c>
      <c r="G244" s="262" t="s">
        <v>449</v>
      </c>
      <c r="H244" s="263" t="s">
        <v>620</v>
      </c>
      <c r="I244" s="264"/>
      <c r="J244" s="264" t="s">
        <v>469</v>
      </c>
      <c r="P244" s="173"/>
    </row>
    <row r="245" spans="1:16">
      <c r="A245" s="169"/>
      <c r="B245" s="211"/>
      <c r="C245" s="211"/>
      <c r="D245" s="212" t="str">
        <f t="shared" ca="1" si="268"/>
        <v>INDMDSHELCN9</v>
      </c>
      <c r="E245" s="212" t="str">
        <f t="shared" ca="1" si="266"/>
        <v>Industrial heating technology Machinery SH - Electric boiler (Hot Water) - new 9</v>
      </c>
      <c r="F245" s="262" t="s">
        <v>450</v>
      </c>
      <c r="G245" s="262" t="s">
        <v>449</v>
      </c>
      <c r="H245" s="263" t="s">
        <v>620</v>
      </c>
      <c r="I245" s="264"/>
      <c r="J245" s="264" t="s">
        <v>469</v>
      </c>
      <c r="P245" s="173"/>
    </row>
    <row r="246" spans="1:16">
      <c r="A246" s="169"/>
      <c r="B246" s="211"/>
      <c r="C246" s="211"/>
      <c r="D246" s="212" t="str">
        <f t="shared" ca="1" si="268"/>
        <v>INDMDPHWCHN1</v>
      </c>
      <c r="E246" s="212" t="str">
        <f t="shared" ca="1" si="266"/>
        <v>Industrial heating technology Machinery PH - Wood chip boiler (Steam) - new 1</v>
      </c>
      <c r="F246" s="262" t="s">
        <v>450</v>
      </c>
      <c r="G246" s="262" t="s">
        <v>449</v>
      </c>
      <c r="H246" s="263"/>
      <c r="I246" s="264"/>
      <c r="J246" s="264" t="s">
        <v>469</v>
      </c>
      <c r="P246" s="173"/>
    </row>
    <row r="247" spans="1:16">
      <c r="A247" s="169"/>
      <c r="B247" s="211"/>
      <c r="C247" s="211"/>
      <c r="D247" s="212" t="str">
        <f t="shared" ca="1" si="268"/>
        <v>INDMDPHWCHN1</v>
      </c>
      <c r="E247" s="212" t="str">
        <f t="shared" ca="1" si="266"/>
        <v>Industrial heating technology Machinery PH - Wood chip boiler (Steam) - new 1</v>
      </c>
      <c r="F247" s="262" t="s">
        <v>450</v>
      </c>
      <c r="G247" s="262" t="s">
        <v>449</v>
      </c>
      <c r="H247" s="263"/>
      <c r="I247" s="264"/>
      <c r="J247" s="264" t="s">
        <v>469</v>
      </c>
      <c r="M247" s="171"/>
      <c r="N247" s="171"/>
      <c r="P247" s="173"/>
    </row>
    <row r="248" spans="1:16">
      <c r="A248" s="169"/>
      <c r="B248" s="211"/>
      <c r="C248" s="211"/>
      <c r="D248" s="212" t="str">
        <f t="shared" ca="1" si="268"/>
        <v>INDMDSHWCHN1</v>
      </c>
      <c r="E248" s="212" t="str">
        <f t="shared" ca="1" si="266"/>
        <v>Industrial heating technology Machinery SH - Wood chip boiler (Steam) - new 1</v>
      </c>
      <c r="F248" s="262" t="s">
        <v>450</v>
      </c>
      <c r="G248" s="262" t="s">
        <v>449</v>
      </c>
      <c r="H248" s="263"/>
      <c r="I248" s="264"/>
      <c r="J248" s="264" t="s">
        <v>469</v>
      </c>
      <c r="M248" s="171"/>
      <c r="N248" s="171"/>
      <c r="P248" s="173"/>
    </row>
    <row r="249" spans="1:16">
      <c r="A249" s="169"/>
      <c r="B249" s="211"/>
      <c r="C249" s="211"/>
      <c r="D249" s="212" t="str">
        <f t="shared" ca="1" si="268"/>
        <v>INDMDPHWCHN2</v>
      </c>
      <c r="E249" s="212" t="str">
        <f t="shared" ca="1" si="266"/>
        <v>Industrial heating technology Machinery PH - Wood chip boiler (Steam - condensing) - new 2</v>
      </c>
      <c r="F249" s="262" t="s">
        <v>450</v>
      </c>
      <c r="G249" s="262" t="s">
        <v>449</v>
      </c>
      <c r="H249" s="263"/>
      <c r="I249" s="264"/>
      <c r="J249" s="264" t="s">
        <v>469</v>
      </c>
      <c r="M249" s="171"/>
      <c r="N249" s="171"/>
      <c r="P249" s="173"/>
    </row>
    <row r="250" spans="1:16">
      <c r="A250" s="169"/>
      <c r="B250" s="212"/>
      <c r="C250" s="212"/>
      <c r="D250" s="212" t="str">
        <f t="shared" ca="1" si="268"/>
        <v>INDMDSHWCHN2</v>
      </c>
      <c r="E250" s="212" t="str">
        <f t="shared" ca="1" si="266"/>
        <v>Industrial heating technology Machinery SH - Wood chip boiler (Steam - condensing) - new 2</v>
      </c>
      <c r="F250" s="262" t="s">
        <v>450</v>
      </c>
      <c r="G250" s="262" t="s">
        <v>449</v>
      </c>
      <c r="H250" s="263"/>
      <c r="I250" s="264"/>
      <c r="J250" s="264" t="s">
        <v>469</v>
      </c>
    </row>
    <row r="251" spans="1:16">
      <c r="A251" s="169"/>
      <c r="B251" s="212"/>
      <c r="C251" s="212"/>
      <c r="D251" s="212" t="str">
        <f t="shared" ca="1" si="268"/>
        <v>INDMDPHWCHN3</v>
      </c>
      <c r="E251" s="212" t="str">
        <f t="shared" ca="1" si="266"/>
        <v>Industrial heating technology Machinery PH - Wood chip boiler (Hot Water) - new 3</v>
      </c>
      <c r="F251" s="262" t="s">
        <v>450</v>
      </c>
      <c r="G251" s="262" t="s">
        <v>449</v>
      </c>
      <c r="H251" s="261"/>
      <c r="I251" s="261"/>
      <c r="J251" s="264" t="s">
        <v>469</v>
      </c>
    </row>
    <row r="252" spans="1:16">
      <c r="A252" s="169"/>
      <c r="B252" s="212"/>
      <c r="C252" s="212"/>
      <c r="D252" s="212" t="str">
        <f t="shared" ca="1" si="268"/>
        <v>INDMDSHWCHN3</v>
      </c>
      <c r="E252" s="212" t="str">
        <f t="shared" ca="1" si="266"/>
        <v>Industrial heating technology Machinery SH - Wood chip boiler (Hot Water) - new 3</v>
      </c>
      <c r="F252" s="262" t="s">
        <v>450</v>
      </c>
      <c r="G252" s="262" t="s">
        <v>449</v>
      </c>
      <c r="H252" s="261"/>
      <c r="I252" s="261"/>
      <c r="J252" s="264" t="s">
        <v>469</v>
      </c>
    </row>
    <row r="253" spans="1:16">
      <c r="A253" s="169"/>
      <c r="B253" s="212"/>
      <c r="C253" s="212"/>
      <c r="D253" s="212" t="str">
        <f t="shared" ca="1" si="268"/>
        <v>INDMDPHWCHN4</v>
      </c>
      <c r="E253" s="212" t="str">
        <f t="shared" ca="1" si="266"/>
        <v>Industrial heating technology Machinery PH - Wood chip boiler (Hot Water - condensing) - new 4</v>
      </c>
      <c r="F253" s="262" t="s">
        <v>450</v>
      </c>
      <c r="G253" s="262" t="s">
        <v>449</v>
      </c>
      <c r="H253" s="261"/>
      <c r="I253" s="261"/>
      <c r="J253" s="264" t="s">
        <v>469</v>
      </c>
    </row>
    <row r="254" spans="1:16">
      <c r="A254" s="169"/>
      <c r="B254" s="212"/>
      <c r="C254" s="212"/>
      <c r="D254" s="212" t="str">
        <f t="shared" ca="1" si="268"/>
        <v>INDMDSHWCHN4</v>
      </c>
      <c r="E254" s="212" t="str">
        <f t="shared" ca="1" si="266"/>
        <v>Industrial heating technology Machinery SH - Wood chip boiler (Hot Water- condensing) - new 4</v>
      </c>
      <c r="F254" s="262" t="s">
        <v>450</v>
      </c>
      <c r="G254" s="262" t="s">
        <v>449</v>
      </c>
      <c r="H254" s="261"/>
      <c r="I254" s="261"/>
      <c r="J254" s="264" t="s">
        <v>469</v>
      </c>
    </row>
    <row r="255" spans="1:16">
      <c r="B255" s="212"/>
      <c r="C255" s="212"/>
      <c r="D255" s="212" t="str">
        <f t="shared" ca="1" si="268"/>
        <v>INDMDPHELCN10</v>
      </c>
      <c r="E255" s="212" t="str">
        <f t="shared" ca="1" si="266"/>
        <v>Industrial heating technology Machinery PH - Direct electric heating - new 10</v>
      </c>
      <c r="F255" s="262" t="s">
        <v>450</v>
      </c>
      <c r="G255" s="262" t="s">
        <v>449</v>
      </c>
      <c r="H255" s="261"/>
      <c r="I255" s="261"/>
      <c r="J255" s="264" t="s">
        <v>469</v>
      </c>
    </row>
    <row r="256" spans="1:16">
      <c r="B256" s="212"/>
      <c r="C256" s="212"/>
      <c r="D256" s="212" t="str">
        <f t="shared" ca="1" si="268"/>
        <v>INDMDPHELCN10</v>
      </c>
      <c r="E256" s="212" t="str">
        <f t="shared" ca="1" si="266"/>
        <v>Industrial heating technology Machinery PH - Direct electric heating - new 10</v>
      </c>
      <c r="F256" s="262" t="s">
        <v>450</v>
      </c>
      <c r="G256" s="262" t="s">
        <v>449</v>
      </c>
      <c r="H256" s="261"/>
      <c r="I256" s="261"/>
      <c r="J256" s="264" t="s">
        <v>469</v>
      </c>
    </row>
    <row r="257" spans="1:10">
      <c r="B257" s="212"/>
      <c r="C257" s="212"/>
      <c r="D257" s="212" t="str">
        <f t="shared" ca="1" si="268"/>
        <v>INDMDPHDSLN1</v>
      </c>
      <c r="E257" s="212" t="str">
        <f t="shared" ca="1" si="266"/>
        <v>Industrial heating technology Machinery PH - Oil boiler (Steam) - new 1</v>
      </c>
      <c r="F257" s="262" t="s">
        <v>450</v>
      </c>
      <c r="G257" s="262" t="s">
        <v>449</v>
      </c>
      <c r="H257" s="261"/>
      <c r="I257" s="261"/>
      <c r="J257" s="264" t="s">
        <v>469</v>
      </c>
    </row>
    <row r="258" spans="1:10">
      <c r="B258" s="212"/>
      <c r="C258" s="212"/>
      <c r="D258" s="212" t="str">
        <f t="shared" ca="1" si="268"/>
        <v>INDMDPHDSLN1</v>
      </c>
      <c r="E258" s="212" t="str">
        <f t="shared" ca="1" si="266"/>
        <v>Industrial heating technology Machinery PH - Oil boiler (Steam) - new 1</v>
      </c>
      <c r="F258" s="262" t="s">
        <v>450</v>
      </c>
      <c r="G258" s="262" t="s">
        <v>449</v>
      </c>
      <c r="H258" s="261"/>
      <c r="I258" s="261"/>
      <c r="J258" s="264" t="s">
        <v>469</v>
      </c>
    </row>
    <row r="259" spans="1:10">
      <c r="B259" s="212"/>
      <c r="C259" s="212"/>
      <c r="D259" s="212" t="str">
        <f t="shared" ca="1" si="268"/>
        <v>INDMDSHDSLN1</v>
      </c>
      <c r="E259" s="212" t="str">
        <f t="shared" ca="1" si="266"/>
        <v>Industrial heating technology Machinery SH - Oil boiler (Steam) - new 1</v>
      </c>
      <c r="F259" s="262" t="s">
        <v>450</v>
      </c>
      <c r="G259" s="262" t="s">
        <v>449</v>
      </c>
      <c r="H259" s="261"/>
      <c r="I259" s="261"/>
      <c r="J259" s="264" t="s">
        <v>469</v>
      </c>
    </row>
    <row r="260" spans="1:10">
      <c r="A260" s="214"/>
      <c r="B260" s="212"/>
      <c r="C260" s="212"/>
      <c r="D260" s="212" t="str">
        <f t="shared" ca="1" si="268"/>
        <v>INDMDPHDSLN2</v>
      </c>
      <c r="E260" s="212" t="str">
        <f t="shared" ca="1" si="266"/>
        <v>Industrial heating technology Machinery PH - Oil boiler (Steam - condensing) - new 2</v>
      </c>
      <c r="F260" s="262" t="s">
        <v>450</v>
      </c>
      <c r="G260" s="262" t="s">
        <v>449</v>
      </c>
      <c r="H260" s="261"/>
      <c r="I260" s="261"/>
      <c r="J260" s="264" t="s">
        <v>469</v>
      </c>
    </row>
    <row r="261" spans="1:10">
      <c r="A261" s="214"/>
      <c r="B261" s="212"/>
      <c r="C261" s="212"/>
      <c r="D261" s="212" t="str">
        <f t="shared" ca="1" si="268"/>
        <v>INDMDSHDSLN2</v>
      </c>
      <c r="E261" s="212" t="str">
        <f t="shared" ref="E261:E290" ca="1" si="269">VLOOKUP(D261,$D$9:$E$222,2,FALSE)</f>
        <v>Industrial heating technology Machinery SH - Oil boiler (Steam - condensing) - new 2</v>
      </c>
      <c r="F261" s="262" t="s">
        <v>450</v>
      </c>
      <c r="G261" s="262" t="s">
        <v>449</v>
      </c>
      <c r="H261" s="261"/>
      <c r="I261" s="261"/>
      <c r="J261" s="264" t="s">
        <v>469</v>
      </c>
    </row>
    <row r="262" spans="1:10">
      <c r="A262" s="214"/>
      <c r="B262" s="212"/>
      <c r="C262" s="212"/>
      <c r="D262" s="212" t="str">
        <f t="shared" ca="1" si="268"/>
        <v>INDMDPHGASN1</v>
      </c>
      <c r="E262" s="212" t="str">
        <f t="shared" ca="1" si="269"/>
        <v>Industrial heating technology Machinery PH - Gas boiler (Steam) - new 1</v>
      </c>
      <c r="F262" s="262" t="s">
        <v>450</v>
      </c>
      <c r="G262" s="262" t="s">
        <v>449</v>
      </c>
      <c r="H262" s="261"/>
      <c r="I262" s="261"/>
      <c r="J262" s="264" t="s">
        <v>469</v>
      </c>
    </row>
    <row r="263" spans="1:10">
      <c r="A263" s="214"/>
      <c r="B263" s="212"/>
      <c r="C263" s="212"/>
      <c r="D263" s="212" t="str">
        <f t="shared" ca="1" si="268"/>
        <v>INDMDPHGASN1</v>
      </c>
      <c r="E263" s="212" t="str">
        <f t="shared" ca="1" si="269"/>
        <v>Industrial heating technology Machinery PH - Gas boiler (Steam) - new 1</v>
      </c>
      <c r="F263" s="262" t="s">
        <v>450</v>
      </c>
      <c r="G263" s="262" t="s">
        <v>449</v>
      </c>
      <c r="H263" s="261"/>
      <c r="I263" s="261"/>
      <c r="J263" s="264" t="s">
        <v>469</v>
      </c>
    </row>
    <row r="264" spans="1:10">
      <c r="B264" s="212"/>
      <c r="C264" s="212"/>
      <c r="D264" s="212" t="str">
        <f t="shared" ca="1" si="268"/>
        <v>INDMDSHGASN1</v>
      </c>
      <c r="E264" s="212" t="str">
        <f t="shared" ca="1" si="269"/>
        <v>Industrial heating technology Machinery SH - Gas boiler (Steam) - new 1</v>
      </c>
      <c r="F264" s="262" t="s">
        <v>450</v>
      </c>
      <c r="G264" s="262" t="s">
        <v>449</v>
      </c>
      <c r="H264" s="261"/>
      <c r="I264" s="261"/>
      <c r="J264" s="264" t="s">
        <v>469</v>
      </c>
    </row>
    <row r="265" spans="1:10">
      <c r="B265" s="212"/>
      <c r="C265" s="212"/>
      <c r="D265" s="212" t="str">
        <f t="shared" ca="1" si="268"/>
        <v>INDMDPHGASN2</v>
      </c>
      <c r="E265" s="212" t="str">
        <f t="shared" ca="1" si="269"/>
        <v>Industrial heating technology Machinery PH - Gas boiler (Steam - condensing) - new 2</v>
      </c>
      <c r="F265" s="262" t="s">
        <v>450</v>
      </c>
      <c r="G265" s="262" t="s">
        <v>449</v>
      </c>
      <c r="H265" s="261"/>
      <c r="I265" s="261"/>
      <c r="J265" s="264" t="s">
        <v>469</v>
      </c>
    </row>
    <row r="266" spans="1:10">
      <c r="B266" s="212"/>
      <c r="C266" s="212"/>
      <c r="D266" s="212" t="str">
        <f t="shared" ca="1" si="268"/>
        <v>INDMDSHGASN2</v>
      </c>
      <c r="E266" s="212" t="str">
        <f t="shared" ca="1" si="269"/>
        <v>Industrial heating technology Machinery SH - Gas boiler (Steam - condensing) - new 2</v>
      </c>
      <c r="F266" s="262" t="s">
        <v>450</v>
      </c>
      <c r="G266" s="262" t="s">
        <v>449</v>
      </c>
      <c r="H266" s="261"/>
      <c r="I266" s="261"/>
      <c r="J266" s="264" t="s">
        <v>469</v>
      </c>
    </row>
    <row r="267" spans="1:10">
      <c r="B267" s="212"/>
      <c r="C267" s="212"/>
      <c r="D267" s="212" t="str">
        <f t="shared" ca="1" si="268"/>
        <v>INDMDPHGASN3</v>
      </c>
      <c r="E267" s="212" t="str">
        <f t="shared" ca="1" si="269"/>
        <v>Industrial heating technology Machinery PH - Gas boiler (Hot Water) - new 3</v>
      </c>
      <c r="F267" s="262" t="s">
        <v>450</v>
      </c>
      <c r="G267" s="262" t="s">
        <v>449</v>
      </c>
      <c r="H267" s="261"/>
      <c r="I267" s="261"/>
      <c r="J267" s="264" t="s">
        <v>469</v>
      </c>
    </row>
    <row r="268" spans="1:10">
      <c r="B268" s="212"/>
      <c r="C268" s="212"/>
      <c r="D268" s="212" t="str">
        <f t="shared" ca="1" si="268"/>
        <v>INDMDSHGASN3</v>
      </c>
      <c r="E268" s="212" t="str">
        <f t="shared" ca="1" si="269"/>
        <v>Industrial heating technology Machinery SH - Gas boiler (Hot Water) - new 3</v>
      </c>
      <c r="F268" s="262" t="s">
        <v>450</v>
      </c>
      <c r="G268" s="262" t="s">
        <v>449</v>
      </c>
      <c r="H268" s="261"/>
      <c r="I268" s="261"/>
      <c r="J268" s="264" t="s">
        <v>469</v>
      </c>
    </row>
    <row r="269" spans="1:10">
      <c r="B269" s="212"/>
      <c r="C269" s="212"/>
      <c r="D269" s="212" t="str">
        <f t="shared" ca="1" si="268"/>
        <v>INDMDPHGASN4</v>
      </c>
      <c r="E269" s="212" t="str">
        <f t="shared" ca="1" si="269"/>
        <v>Industrial heating technology Machinery PH - Gas boiler (Hot Water - condensing) - new 4</v>
      </c>
      <c r="F269" s="262" t="s">
        <v>450</v>
      </c>
      <c r="G269" s="262" t="s">
        <v>449</v>
      </c>
      <c r="H269" s="261"/>
      <c r="I269" s="261"/>
      <c r="J269" s="264" t="s">
        <v>469</v>
      </c>
    </row>
    <row r="270" spans="1:10">
      <c r="B270" s="212"/>
      <c r="C270" s="212"/>
      <c r="D270" s="212" t="str">
        <f t="shared" ca="1" si="268"/>
        <v>INDMDSHGASN4</v>
      </c>
      <c r="E270" s="212" t="str">
        <f t="shared" ca="1" si="269"/>
        <v>Industrial heating technology Machinery SH - Gas boiler (Hot Water- condensing) - new 4</v>
      </c>
      <c r="F270" s="262" t="s">
        <v>450</v>
      </c>
      <c r="G270" s="262" t="s">
        <v>449</v>
      </c>
      <c r="H270" s="261"/>
      <c r="I270" s="261"/>
      <c r="J270" s="264" t="s">
        <v>469</v>
      </c>
    </row>
    <row r="271" spans="1:10">
      <c r="B271" s="212"/>
      <c r="C271" s="212"/>
      <c r="D271" s="212" t="str">
        <f t="shared" ca="1" si="268"/>
        <v>INDMDPHGASN5</v>
      </c>
      <c r="E271" s="212" t="str">
        <f t="shared" ca="1" si="269"/>
        <v>Industrial heating technology Machinery PH - Gas boiler (Direct firing) - new 5</v>
      </c>
      <c r="F271" s="262" t="s">
        <v>450</v>
      </c>
      <c r="G271" s="262" t="s">
        <v>449</v>
      </c>
      <c r="H271" s="261"/>
      <c r="I271" s="261"/>
      <c r="J271" s="264" t="s">
        <v>469</v>
      </c>
    </row>
    <row r="272" spans="1:10">
      <c r="B272" s="212"/>
      <c r="C272" s="212"/>
      <c r="D272" s="212" t="str">
        <f t="shared" ca="1" si="268"/>
        <v>INDMDPHGASN5</v>
      </c>
      <c r="E272" s="212" t="str">
        <f t="shared" ca="1" si="269"/>
        <v>Industrial heating technology Machinery PH - Gas boiler (Direct firing) - new 5</v>
      </c>
      <c r="F272" s="262" t="s">
        <v>450</v>
      </c>
      <c r="G272" s="262" t="s">
        <v>449</v>
      </c>
      <c r="H272" s="261"/>
      <c r="I272" s="261"/>
      <c r="J272" s="264" t="s">
        <v>469</v>
      </c>
    </row>
    <row r="273" spans="2:10">
      <c r="B273" s="212"/>
      <c r="C273" s="212"/>
      <c r="D273" s="212" t="str">
        <f t="shared" ca="1" si="268"/>
        <v>INDMDPHCOAN1</v>
      </c>
      <c r="E273" s="212" t="str">
        <f t="shared" ca="1" si="269"/>
        <v>Industrial heating technology Machinery PH - Coal boiler (Steam) - new 1</v>
      </c>
      <c r="F273" s="262" t="s">
        <v>450</v>
      </c>
      <c r="G273" s="262" t="s">
        <v>449</v>
      </c>
      <c r="H273" s="261"/>
      <c r="I273" s="261"/>
      <c r="J273" s="264" t="s">
        <v>469</v>
      </c>
    </row>
    <row r="274" spans="2:10">
      <c r="B274" s="212"/>
      <c r="C274" s="212"/>
      <c r="D274" s="212" t="str">
        <f t="shared" ca="1" si="268"/>
        <v>INDMDPHCOAN1</v>
      </c>
      <c r="E274" s="212" t="str">
        <f t="shared" ca="1" si="269"/>
        <v>Industrial heating technology Machinery PH - Coal boiler (Steam) - new 1</v>
      </c>
      <c r="F274" s="262" t="s">
        <v>450</v>
      </c>
      <c r="G274" s="262" t="s">
        <v>449</v>
      </c>
      <c r="H274" s="261"/>
      <c r="I274" s="261"/>
      <c r="J274" s="264" t="s">
        <v>469</v>
      </c>
    </row>
    <row r="275" spans="2:10">
      <c r="B275" s="212"/>
      <c r="C275" s="212"/>
      <c r="D275" s="212" t="str">
        <f t="shared" ca="1" si="268"/>
        <v>INDMDSHCOAN1</v>
      </c>
      <c r="E275" s="212" t="str">
        <f t="shared" ca="1" si="269"/>
        <v>Industrial heating technology Machinery SH - Coal boiler (Steam) - new 1</v>
      </c>
      <c r="F275" s="262" t="s">
        <v>450</v>
      </c>
      <c r="G275" s="262" t="s">
        <v>449</v>
      </c>
      <c r="H275" s="261"/>
      <c r="I275" s="261"/>
      <c r="J275" s="264" t="s">
        <v>469</v>
      </c>
    </row>
    <row r="276" spans="2:10">
      <c r="B276" s="212"/>
      <c r="C276" s="212"/>
      <c r="D276" s="212" t="str">
        <f t="shared" ca="1" si="268"/>
        <v>INDMDPHCOAN2</v>
      </c>
      <c r="E276" s="212" t="str">
        <f t="shared" ca="1" si="269"/>
        <v>Industrial heating technology Machinery PH - Coal boiler (Hot Water) - new 2</v>
      </c>
      <c r="F276" s="262" t="s">
        <v>450</v>
      </c>
      <c r="G276" s="262" t="s">
        <v>449</v>
      </c>
      <c r="H276" s="261"/>
      <c r="I276" s="261"/>
      <c r="J276" s="264" t="s">
        <v>469</v>
      </c>
    </row>
    <row r="277" spans="2:10">
      <c r="B277" s="212"/>
      <c r="C277" s="212"/>
      <c r="D277" s="212" t="str">
        <f t="shared" ca="1" si="268"/>
        <v>INDMDSHCOAN2</v>
      </c>
      <c r="E277" s="212" t="str">
        <f t="shared" ca="1" si="269"/>
        <v>Industrial heating technology Machinery SH - Coal boiler (Hot Water) - new 2</v>
      </c>
      <c r="F277" s="262" t="s">
        <v>450</v>
      </c>
      <c r="G277" s="262" t="s">
        <v>449</v>
      </c>
      <c r="H277" s="261"/>
      <c r="I277" s="261"/>
      <c r="J277" s="264" t="s">
        <v>469</v>
      </c>
    </row>
    <row r="278" spans="2:10">
      <c r="B278" s="212"/>
      <c r="C278" s="212"/>
      <c r="D278" s="212" t="str">
        <f t="shared" ca="1" si="268"/>
        <v>INDMDSHSOLN1</v>
      </c>
      <c r="E278" s="212" t="str">
        <f t="shared" ca="1" si="269"/>
        <v>Industrial heating technology Machinery SH - Solar - new 1</v>
      </c>
      <c r="F278" s="262" t="s">
        <v>450</v>
      </c>
      <c r="G278" s="262" t="s">
        <v>449</v>
      </c>
      <c r="H278" s="263" t="s">
        <v>620</v>
      </c>
      <c r="I278" s="261"/>
      <c r="J278" s="264" t="s">
        <v>469</v>
      </c>
    </row>
    <row r="279" spans="2:10">
      <c r="B279" s="212"/>
      <c r="C279" s="212"/>
      <c r="D279" s="889" t="str">
        <f>D187</f>
        <v>INDMDSHHCEN1</v>
      </c>
      <c r="E279" s="889" t="str">
        <f t="shared" si="269"/>
        <v>Industrial heating technology Machinery SH - central district heating - within DH area - new 1</v>
      </c>
      <c r="F279" s="262" t="s">
        <v>450</v>
      </c>
      <c r="G279" s="262" t="s">
        <v>449</v>
      </c>
      <c r="H279" s="890"/>
      <c r="I279" s="890"/>
      <c r="J279" s="263" t="s">
        <v>469</v>
      </c>
    </row>
    <row r="280" spans="2:10">
      <c r="B280" s="212"/>
      <c r="C280" s="212"/>
      <c r="D280" s="889" t="str">
        <f>D188</f>
        <v>INDMDPHHCEN1</v>
      </c>
      <c r="E280" s="889" t="str">
        <f t="shared" si="269"/>
        <v>Industrial heating technology Machinery PH - central district heating - within DH area - new 1</v>
      </c>
      <c r="F280" s="262" t="s">
        <v>450</v>
      </c>
      <c r="G280" s="262" t="s">
        <v>449</v>
      </c>
      <c r="H280" s="890"/>
      <c r="I280" s="890"/>
      <c r="J280" s="263" t="s">
        <v>469</v>
      </c>
    </row>
    <row r="281" spans="2:10">
      <c r="B281" s="212"/>
      <c r="C281" s="212"/>
      <c r="D281" s="889" t="str">
        <f>D189</f>
        <v>INDMDSHHSEN1</v>
      </c>
      <c r="E281" s="889" t="str">
        <f t="shared" si="269"/>
        <v>Industrial heating technology Machinery SH - central district heating - within DH area - new 1</v>
      </c>
      <c r="F281" s="262" t="s">
        <v>450</v>
      </c>
      <c r="G281" s="262" t="s">
        <v>449</v>
      </c>
      <c r="H281" s="890"/>
      <c r="I281" s="890"/>
      <c r="J281" s="263" t="s">
        <v>469</v>
      </c>
    </row>
    <row r="282" spans="2:10">
      <c r="B282" s="212"/>
      <c r="C282" s="212"/>
      <c r="D282" s="889" t="str">
        <f>D190</f>
        <v>INDMDPHHSEN1</v>
      </c>
      <c r="E282" s="889" t="str">
        <f t="shared" si="269"/>
        <v>Industrial heating technology Machinery PH - central district heating - within DH area - new 1</v>
      </c>
      <c r="F282" s="262" t="s">
        <v>450</v>
      </c>
      <c r="G282" s="262" t="s">
        <v>449</v>
      </c>
      <c r="H282" s="890"/>
      <c r="I282" s="890"/>
      <c r="J282" s="263" t="s">
        <v>469</v>
      </c>
    </row>
    <row r="283" spans="2:10">
      <c r="B283" s="212"/>
      <c r="C283" s="212"/>
      <c r="D283" s="212" t="str">
        <f t="shared" ref="D283" si="270">D191</f>
        <v>INDMDSHHDEN1</v>
      </c>
      <c r="E283" s="212" t="str">
        <f t="shared" si="269"/>
        <v>Industrial heating technology Machinery SH - decentral district heating - within DH area - new 1</v>
      </c>
      <c r="F283" s="262" t="s">
        <v>450</v>
      </c>
      <c r="G283" s="262" t="s">
        <v>449</v>
      </c>
      <c r="H283" s="261"/>
      <c r="I283" s="261"/>
      <c r="J283" s="264" t="s">
        <v>469</v>
      </c>
    </row>
    <row r="284" spans="2:10">
      <c r="B284" s="212"/>
      <c r="C284" s="212"/>
      <c r="D284" s="212" t="str">
        <f>D192</f>
        <v>INDMDPHHDEN1</v>
      </c>
      <c r="E284" s="212" t="str">
        <f t="shared" si="269"/>
        <v>Industrial heating technology Machinery PH - decentral district heating - within DH area - new 1</v>
      </c>
      <c r="F284" s="262" t="s">
        <v>450</v>
      </c>
      <c r="G284" s="262" t="s">
        <v>449</v>
      </c>
      <c r="H284" s="261"/>
      <c r="I284" s="261"/>
      <c r="J284" s="264" t="s">
        <v>469</v>
      </c>
    </row>
    <row r="285" spans="2:10">
      <c r="B285" s="212"/>
      <c r="C285" s="212"/>
      <c r="D285" s="212" t="str">
        <f>D194</f>
        <v>INDMDLAELCN1</v>
      </c>
      <c r="E285" s="212" t="str">
        <f t="shared" si="269"/>
        <v>Industry Machinery LA Electricity Light Appliance - New 1</v>
      </c>
      <c r="F285" s="262" t="s">
        <v>450</v>
      </c>
      <c r="G285" s="262" t="s">
        <v>449</v>
      </c>
      <c r="H285" s="261"/>
      <c r="I285" s="261"/>
      <c r="J285" s="264" t="s">
        <v>469</v>
      </c>
    </row>
    <row r="286" spans="2:10">
      <c r="B286" s="212"/>
      <c r="C286" s="212"/>
      <c r="D286" s="212" t="str">
        <f>D198</f>
        <v>INDMDEMELCN1</v>
      </c>
      <c r="E286" s="212" t="str">
        <f t="shared" si="269"/>
        <v>Industry Machinery EM Electricity Motors - New 1</v>
      </c>
      <c r="F286" s="262" t="s">
        <v>450</v>
      </c>
      <c r="G286" s="262" t="s">
        <v>449</v>
      </c>
      <c r="H286" s="261"/>
      <c r="I286" s="261"/>
      <c r="J286" s="264" t="s">
        <v>469</v>
      </c>
    </row>
    <row r="287" spans="2:10">
      <c r="B287" s="212"/>
      <c r="C287" s="212"/>
      <c r="D287" s="212" t="str">
        <f>D202</f>
        <v>INDMDTFDSLN1</v>
      </c>
      <c r="E287" s="212" t="str">
        <f t="shared" si="269"/>
        <v>Industry Machinery TF Tractors, Trucks, Fishing boats - New 1</v>
      </c>
      <c r="F287" s="262" t="s">
        <v>450</v>
      </c>
      <c r="G287" s="262" t="s">
        <v>2078</v>
      </c>
      <c r="H287" s="261"/>
      <c r="I287" s="261"/>
      <c r="J287" s="264" t="s">
        <v>469</v>
      </c>
    </row>
    <row r="288" spans="2:10">
      <c r="B288" s="212"/>
      <c r="C288" s="212"/>
      <c r="D288" s="212" t="str">
        <f>D206</f>
        <v>INDMDTFH2GN2</v>
      </c>
      <c r="E288" s="212" t="str">
        <f t="shared" si="269"/>
        <v>Industry Machinery TF Tractors, Trucks, Fishing boats - New 2</v>
      </c>
      <c r="F288" s="262" t="s">
        <v>450</v>
      </c>
      <c r="G288" s="262" t="s">
        <v>2078</v>
      </c>
      <c r="H288" s="261"/>
      <c r="I288" s="261"/>
      <c r="J288" s="264" t="s">
        <v>469</v>
      </c>
    </row>
    <row r="289" spans="2:10">
      <c r="B289" s="212"/>
      <c r="C289" s="212"/>
      <c r="D289" s="212" t="str">
        <f>D210</f>
        <v>INDMDTFELCN3</v>
      </c>
      <c r="E289" s="212" t="str">
        <f t="shared" si="269"/>
        <v>Industry Machinery TF Tractors, Trucks, Fishing boats - New 3</v>
      </c>
      <c r="F289" s="262" t="s">
        <v>450</v>
      </c>
      <c r="G289" s="262" t="s">
        <v>2078</v>
      </c>
      <c r="H289" s="261"/>
      <c r="I289" s="261"/>
      <c r="J289" s="264" t="s">
        <v>469</v>
      </c>
    </row>
    <row r="290" spans="2:10">
      <c r="B290" s="212"/>
      <c r="C290" s="212"/>
      <c r="D290" s="212" t="str">
        <f>D214</f>
        <v>INDMDFLELCN1</v>
      </c>
      <c r="E290" s="212" t="str">
        <f t="shared" si="269"/>
        <v>Industry Machinery TF Forklifts - New 1</v>
      </c>
      <c r="F290" s="262" t="s">
        <v>450</v>
      </c>
      <c r="G290" s="262" t="s">
        <v>449</v>
      </c>
      <c r="H290" s="261"/>
      <c r="I290" s="261"/>
      <c r="J290" s="264" t="s">
        <v>469</v>
      </c>
    </row>
    <row r="291" spans="2:10">
      <c r="B291" s="212"/>
      <c r="C291" s="212"/>
      <c r="D291" s="212" t="str">
        <f>D218</f>
        <v>INDMDCOELCN1</v>
      </c>
      <c r="E291" s="212" t="str">
        <f>E218</f>
        <v>Industry Machinery CO Cooling - New 1</v>
      </c>
      <c r="F291" s="262" t="s">
        <v>450</v>
      </c>
      <c r="G291" s="262" t="s">
        <v>449</v>
      </c>
      <c r="H291" s="261" t="s">
        <v>620</v>
      </c>
      <c r="I291" s="261"/>
      <c r="J291" s="264"/>
    </row>
    <row r="292" spans="2:10">
      <c r="D292" s="212"/>
      <c r="E292" s="212"/>
    </row>
    <row r="293" spans="2:10">
      <c r="B293" s="213" t="s">
        <v>448</v>
      </c>
      <c r="C293" s="213"/>
      <c r="D293" s="214"/>
      <c r="E293" s="214"/>
      <c r="F293" s="214"/>
      <c r="G293" s="214"/>
      <c r="H293" s="214"/>
      <c r="I293" s="214"/>
      <c r="J293" s="214"/>
    </row>
    <row r="294" spans="2:10">
      <c r="B294" s="209" t="s">
        <v>447</v>
      </c>
      <c r="C294" s="209" t="s">
        <v>446</v>
      </c>
      <c r="D294" s="209" t="s">
        <v>445</v>
      </c>
      <c r="E294" s="209" t="s">
        <v>444</v>
      </c>
      <c r="F294" s="209" t="s">
        <v>435</v>
      </c>
      <c r="G294" s="209" t="s">
        <v>443</v>
      </c>
      <c r="H294" s="209" t="s">
        <v>442</v>
      </c>
      <c r="I294" s="209" t="s">
        <v>441</v>
      </c>
      <c r="J294" s="209" t="s">
        <v>440</v>
      </c>
    </row>
    <row r="295" spans="2:10" ht="25" thickBot="1">
      <c r="B295" s="215" t="s">
        <v>439</v>
      </c>
      <c r="C295" s="216" t="s">
        <v>438</v>
      </c>
      <c r="D295" s="216" t="s">
        <v>437</v>
      </c>
      <c r="E295" s="216" t="s">
        <v>436</v>
      </c>
      <c r="F295" s="216" t="s">
        <v>435</v>
      </c>
      <c r="G295" s="216" t="s">
        <v>434</v>
      </c>
      <c r="H295" s="216" t="s">
        <v>433</v>
      </c>
      <c r="I295" s="216" t="s">
        <v>432</v>
      </c>
      <c r="J295" s="216" t="s">
        <v>431</v>
      </c>
    </row>
    <row r="296" spans="2:10">
      <c r="B296" s="217" t="s">
        <v>430</v>
      </c>
      <c r="C296" s="218"/>
      <c r="D296" s="260" t="str">
        <f>"I"&amp;LEFT($AJ$12,1)&amp;"DSOx"</f>
        <v>IMDSOx</v>
      </c>
      <c r="E296" s="270" t="str">
        <f>"Industrial heating  heating technology "&amp;$AJ$12&amp;" - SOx emission"</f>
        <v>Industrial heating  heating technology Machinery - SOx emission</v>
      </c>
      <c r="F296" s="219" t="s">
        <v>352</v>
      </c>
      <c r="G296" s="211"/>
      <c r="H296" s="211"/>
      <c r="I296" s="211"/>
      <c r="J296" s="211"/>
    </row>
    <row r="297" spans="2:10">
      <c r="B297" s="214"/>
      <c r="C297" s="214"/>
      <c r="D297" s="260" t="str">
        <f>"I"&amp;LEFT($AJ$12,1)&amp;"DNOx"</f>
        <v>IMDNOx</v>
      </c>
      <c r="E297" s="270" t="str">
        <f>"Industrial heating  heating technology "&amp;$AJ$12&amp;" - NOx emission"</f>
        <v>Industrial heating  heating technology Machinery - NOx emission</v>
      </c>
      <c r="F297" s="219" t="s">
        <v>352</v>
      </c>
      <c r="G297" s="211"/>
      <c r="H297" s="214"/>
      <c r="I297" s="214"/>
      <c r="J297" s="214"/>
    </row>
    <row r="298" spans="2:10">
      <c r="B298" s="214"/>
      <c r="C298" s="214"/>
      <c r="D298" s="260" t="str">
        <f>"I"&amp;LEFT($AJ$12,1)&amp;"DCH4"</f>
        <v>IMDCH4</v>
      </c>
      <c r="E298" s="270" t="str">
        <f>"Industrial heating  heating technology "&amp;$AJ$12&amp;" - CH4 emission"</f>
        <v>Industrial heating  heating technology Machinery - CH4 emission</v>
      </c>
      <c r="F298" s="219" t="s">
        <v>352</v>
      </c>
      <c r="G298" s="211"/>
      <c r="H298" s="214"/>
      <c r="I298" s="214"/>
      <c r="J298" s="214"/>
    </row>
    <row r="299" spans="2:10">
      <c r="B299" s="214"/>
      <c r="C299" s="214"/>
      <c r="D299" s="260" t="str">
        <f>"I"&amp;LEFT($AJ$12,1)&amp;"DNO2"</f>
        <v>IMDNO2</v>
      </c>
      <c r="E299" s="270" t="str">
        <f>"Industrial heating  heating technology "&amp;$AJ$12&amp;" - NO2 emission"</f>
        <v>Industrial heating  heating technology Machinery - NO2 emission</v>
      </c>
      <c r="F299" s="219" t="s">
        <v>352</v>
      </c>
      <c r="G299" s="211"/>
      <c r="H299" s="214"/>
      <c r="I299" s="214"/>
      <c r="J299" s="214"/>
    </row>
    <row r="300" spans="2:10">
      <c r="B300" s="214"/>
      <c r="C300" s="214"/>
      <c r="D300" s="260" t="str">
        <f>"I"&amp;LEFT($AJ$12,1)&amp;"DPM"</f>
        <v>IMDPM</v>
      </c>
      <c r="E300" s="270" t="str">
        <f>"Industrial heating  heating technology "&amp;$AJ$12&amp;" - Particle emission"</f>
        <v>Industrial heating  heating technology Machinery - Particle emission</v>
      </c>
      <c r="F300" s="219" t="s">
        <v>352</v>
      </c>
      <c r="G300" s="211"/>
      <c r="H300" s="214"/>
      <c r="I300" s="214"/>
      <c r="J300" s="214"/>
    </row>
    <row r="301" spans="2:10">
      <c r="B301" s="224" t="s">
        <v>1057</v>
      </c>
      <c r="D301" s="224" t="str">
        <f>AI20</f>
        <v>INDMWH</v>
      </c>
      <c r="E301" s="270" t="str">
        <f>"Industrial heating technology "&amp;$AJ$12&amp;" - Waste heat"</f>
        <v>Industrial heating technology Machinery - Waste heat</v>
      </c>
      <c r="F301" s="263" t="s">
        <v>450</v>
      </c>
    </row>
  </sheetData>
  <pageMargins left="0.7" right="0.7" top="0.75" bottom="0.75" header="0.3" footer="0.3"/>
  <pageSetup paperSize="9" orientation="portrait"/>
  <legacyDrawing r:id="rId1"/>
  <extLst>
    <ext xmlns:x14="http://schemas.microsoft.com/office/spreadsheetml/2009/9/main" uri="{CCE6A557-97BC-4b89-ADB6-D9C93CAAB3DF}">
      <x14:dataValidations xmlns:xm="http://schemas.microsoft.com/office/excel/2006/main" count="1">
        <x14:dataValidation type="list" allowBlank="1" showInputMessage="1" showErrorMessage="1" xr:uid="{40859E54-0563-4E37-886A-6319AC65F3B6}">
          <x14:formula1>
            <xm:f>'Oil-fired boiler_NEW'!$T$4:$X$4</xm:f>
          </x14:formula1>
          <xm:sqref>E1</xm:sqref>
        </x14:dataValidation>
      </x14:dataValidation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4DF10D-F584-49C6-9D74-727A80A83398}">
  <sheetPr>
    <tabColor rgb="FF00B050"/>
  </sheetPr>
  <dimension ref="A1:AP301"/>
  <sheetViews>
    <sheetView tabSelected="1" topLeftCell="A199" zoomScale="70" zoomScaleNormal="70" workbookViewId="0">
      <selection activeCell="G215" sqref="G215"/>
    </sheetView>
  </sheetViews>
  <sheetFormatPr baseColWidth="10" defaultColWidth="9.1640625" defaultRowHeight="15"/>
  <cols>
    <col min="1" max="1" width="9.1640625" style="224"/>
    <col min="2" max="2" width="31.5" style="224" customWidth="1"/>
    <col min="3" max="3" width="11.5" style="224" bestFit="1" customWidth="1"/>
    <col min="4" max="4" width="19.83203125" style="224" customWidth="1"/>
    <col min="5" max="5" width="98.5" style="224" bestFit="1" customWidth="1"/>
    <col min="6" max="6" width="10.5" style="224" bestFit="1" customWidth="1"/>
    <col min="7" max="7" width="55.83203125" style="224" bestFit="1" customWidth="1"/>
    <col min="8" max="8" width="27.83203125" style="224" bestFit="1" customWidth="1"/>
    <col min="9" max="9" width="27.83203125" style="224" customWidth="1"/>
    <col min="10" max="10" width="10.1640625" style="224" bestFit="1" customWidth="1"/>
    <col min="11" max="11" width="8.5" style="224" bestFit="1" customWidth="1"/>
    <col min="12" max="12" width="6.5" style="224" bestFit="1" customWidth="1"/>
    <col min="13" max="13" width="6.5" style="224" customWidth="1"/>
    <col min="14" max="15" width="12.83203125" style="224" bestFit="1" customWidth="1"/>
    <col min="16" max="16" width="12.5" style="224" bestFit="1" customWidth="1"/>
    <col min="17" max="17" width="6.1640625" style="224" customWidth="1"/>
    <col min="18" max="18" width="8.1640625" style="224" bestFit="1" customWidth="1"/>
    <col min="19" max="19" width="11.83203125" style="224" bestFit="1" customWidth="1"/>
    <col min="20" max="20" width="11.5" style="224" bestFit="1" customWidth="1"/>
    <col min="21" max="21" width="18.1640625" style="224" bestFit="1" customWidth="1"/>
    <col min="22" max="22" width="11.83203125" style="224" customWidth="1"/>
    <col min="23" max="23" width="7.83203125" style="224" bestFit="1" customWidth="1"/>
    <col min="24" max="24" width="8.5" style="224" bestFit="1" customWidth="1"/>
    <col min="25" max="25" width="6.5" style="224" bestFit="1" customWidth="1"/>
    <col min="26" max="26" width="6.5" style="224" customWidth="1"/>
    <col min="27" max="27" width="8" style="224" customWidth="1"/>
    <col min="28" max="38" width="9.1640625" style="224"/>
    <col min="39" max="39" width="64.1640625" style="224" bestFit="1" customWidth="1"/>
    <col min="40" max="16384" width="9.1640625" style="224"/>
  </cols>
  <sheetData>
    <row r="1" spans="2:42" ht="14.5" customHeight="1">
      <c r="D1" s="728" t="s">
        <v>1016</v>
      </c>
      <c r="E1" s="729" t="s">
        <v>715</v>
      </c>
      <c r="N1" s="64"/>
      <c r="O1" s="64"/>
      <c r="P1" s="64"/>
      <c r="S1" s="727" t="s">
        <v>1004</v>
      </c>
      <c r="T1" s="776" t="s">
        <v>1003</v>
      </c>
      <c r="U1" s="775" t="s">
        <v>1053</v>
      </c>
      <c r="V1" s="776" t="s">
        <v>1054</v>
      </c>
      <c r="W1" s="780">
        <v>0.3</v>
      </c>
    </row>
    <row r="2" spans="2:42" ht="16" thickBot="1">
      <c r="E2" s="730" t="s">
        <v>519</v>
      </c>
      <c r="N2" s="731"/>
      <c r="O2" s="731"/>
      <c r="P2" s="731"/>
      <c r="S2" s="726">
        <f>MATCH($E$1,$AJ$22:$AJ$35)</f>
        <v>5</v>
      </c>
      <c r="T2" s="778">
        <f>MATCH($E$1,$AJ$22:$AJ$35)+1</f>
        <v>6</v>
      </c>
      <c r="U2" s="779"/>
      <c r="V2" s="768" t="s">
        <v>2121</v>
      </c>
      <c r="W2" s="781">
        <v>0.2</v>
      </c>
    </row>
    <row r="3" spans="2:42" ht="16" thickBot="1">
      <c r="N3" s="731"/>
      <c r="O3" s="731"/>
      <c r="P3" s="731"/>
      <c r="S3" s="768"/>
      <c r="T3" s="768"/>
      <c r="U3" s="777"/>
      <c r="V3" s="778" t="s">
        <v>2122</v>
      </c>
      <c r="W3" s="782">
        <v>0</v>
      </c>
    </row>
    <row r="4" spans="2:42">
      <c r="N4" s="731"/>
      <c r="O4" s="731"/>
      <c r="P4" s="731"/>
      <c r="S4" s="768"/>
      <c r="T4" s="768"/>
      <c r="U4" s="768"/>
      <c r="V4" s="768"/>
    </row>
    <row r="5" spans="2:42">
      <c r="J5" s="172" t="s">
        <v>468</v>
      </c>
      <c r="N5" s="731"/>
      <c r="O5" s="731"/>
      <c r="P5" s="731"/>
      <c r="S5" s="768"/>
      <c r="T5" s="768"/>
      <c r="U5" s="768"/>
      <c r="V5" s="768"/>
    </row>
    <row r="6" spans="2:42" ht="26.25" customHeight="1">
      <c r="B6" s="166" t="s">
        <v>1015</v>
      </c>
      <c r="C6" s="46"/>
      <c r="D6" s="46" t="s">
        <v>425</v>
      </c>
      <c r="E6" s="46" t="s">
        <v>426</v>
      </c>
      <c r="F6" s="46" t="s">
        <v>689</v>
      </c>
      <c r="G6" s="46" t="s">
        <v>427</v>
      </c>
      <c r="H6" s="46" t="s">
        <v>428</v>
      </c>
      <c r="I6" s="771" t="s">
        <v>1049</v>
      </c>
      <c r="J6" s="46" t="s">
        <v>335</v>
      </c>
      <c r="K6" s="46" t="s">
        <v>336</v>
      </c>
      <c r="L6" s="47" t="s">
        <v>337</v>
      </c>
      <c r="M6" s="47" t="s">
        <v>1052</v>
      </c>
      <c r="N6" s="47" t="s">
        <v>339</v>
      </c>
      <c r="O6" s="48" t="s">
        <v>340</v>
      </c>
      <c r="P6" s="47" t="s">
        <v>341</v>
      </c>
      <c r="Q6" s="49" t="s">
        <v>342</v>
      </c>
      <c r="R6" s="49" t="s">
        <v>343</v>
      </c>
      <c r="S6" s="769" t="s">
        <v>344</v>
      </c>
      <c r="T6" s="770" t="s">
        <v>997</v>
      </c>
      <c r="U6" s="769" t="s">
        <v>1050</v>
      </c>
      <c r="V6" s="783" t="s">
        <v>1051</v>
      </c>
      <c r="W6" s="284"/>
      <c r="X6" s="280" t="str">
        <f>"FEMIS~"&amp;D296</f>
        <v>FEMIS~IFDSOx</v>
      </c>
      <c r="Y6" s="280" t="str">
        <f>"FEMIS~"&amp;D297</f>
        <v>FEMIS~IFDNOx</v>
      </c>
      <c r="Z6" s="280" t="str">
        <f>"FEMIS~"&amp;D298</f>
        <v>FEMIS~IFDCH4</v>
      </c>
      <c r="AA6" s="280" t="str">
        <f>"FEMIS~"&amp;D299</f>
        <v>FEMIS~IFDNO2</v>
      </c>
      <c r="AB6" s="280" t="str">
        <f>"FEMIS~"&amp;D300</f>
        <v>FEMIS~IFDPM</v>
      </c>
      <c r="AC6" s="224" t="s">
        <v>424</v>
      </c>
      <c r="AD6" s="224" t="s">
        <v>2001</v>
      </c>
      <c r="AE6" s="47" t="s">
        <v>338</v>
      </c>
      <c r="AF6" s="221" t="s">
        <v>473</v>
      </c>
    </row>
    <row r="7" spans="2:42" ht="16" thickBot="1">
      <c r="B7" s="715"/>
      <c r="C7" s="167"/>
      <c r="D7" s="167" t="s">
        <v>429</v>
      </c>
      <c r="E7" s="50"/>
      <c r="F7" s="50"/>
      <c r="G7" s="50"/>
      <c r="H7" s="50"/>
      <c r="I7" s="168"/>
      <c r="J7" s="50"/>
      <c r="K7" s="50"/>
      <c r="L7" s="51"/>
      <c r="M7" s="51"/>
      <c r="N7" s="51"/>
      <c r="O7" s="52"/>
      <c r="P7" s="50"/>
      <c r="Q7" s="50"/>
      <c r="R7" s="50"/>
      <c r="S7" s="50"/>
      <c r="T7" s="50"/>
      <c r="U7" s="50"/>
      <c r="V7" s="168"/>
      <c r="W7" s="285"/>
      <c r="X7" s="50"/>
      <c r="Y7" s="50"/>
      <c r="Z7" s="50"/>
      <c r="AA7" s="50"/>
      <c r="AB7" s="50"/>
      <c r="AE7" s="51"/>
      <c r="AF7" s="222"/>
    </row>
    <row r="8" spans="2:42">
      <c r="B8" s="357"/>
      <c r="D8" s="224" t="s">
        <v>451</v>
      </c>
      <c r="I8" s="357"/>
      <c r="J8" s="57"/>
      <c r="K8" s="57"/>
      <c r="L8" s="57"/>
      <c r="M8" s="57"/>
      <c r="N8" s="57"/>
      <c r="O8" s="57" t="s">
        <v>470</v>
      </c>
      <c r="P8" s="57" t="s">
        <v>471</v>
      </c>
      <c r="Q8" s="57" t="s">
        <v>472</v>
      </c>
      <c r="R8" s="57" t="s">
        <v>351</v>
      </c>
      <c r="S8" s="57" t="s">
        <v>351</v>
      </c>
      <c r="T8" s="57"/>
      <c r="U8" s="57"/>
      <c r="V8" s="784"/>
      <c r="W8" s="286"/>
      <c r="X8" s="57" t="s">
        <v>352</v>
      </c>
      <c r="Y8" s="57" t="s">
        <v>352</v>
      </c>
      <c r="Z8" s="57" t="s">
        <v>352</v>
      </c>
      <c r="AA8" s="57" t="s">
        <v>352</v>
      </c>
      <c r="AB8" s="57" t="s">
        <v>352</v>
      </c>
      <c r="AE8" s="57"/>
      <c r="AF8" s="220"/>
    </row>
    <row r="9" spans="2:42">
      <c r="B9" s="357" t="s">
        <v>998</v>
      </c>
      <c r="D9" s="212" t="str">
        <f>"IND"&amp;RIGHT(H9,4)&amp;RIGHT(G9,3)&amp;"N"&amp;RIGHT(E9,1)</f>
        <v>INDFDPHELCN1</v>
      </c>
      <c r="E9" s="261" t="str">
        <f>"Industrial heating technology "&amp;$AJ$12&amp;" "&amp;RIGHT(H9,2)&amp;" - Heat pump utilizing waste heat - new 1"</f>
        <v>Industrial heating technology Food PH - Heat pump utilizing waste heat - new 1</v>
      </c>
      <c r="F9" s="224" t="s">
        <v>1149</v>
      </c>
      <c r="G9" s="173" t="s">
        <v>499</v>
      </c>
      <c r="H9" s="174" t="str">
        <f>$AI$14</f>
        <v>IFDPH</v>
      </c>
      <c r="I9" s="173"/>
      <c r="J9" s="224">
        <f>AD9</f>
        <v>2020</v>
      </c>
      <c r="K9" s="81">
        <v>2020</v>
      </c>
      <c r="L9" s="333">
        <v>1</v>
      </c>
      <c r="M9" s="199">
        <f ca="1">VLOOKUP($AD9,INDIRECT("'"&amp;$B9&amp;"'!"&amp;"$P$39:$AD$42"),3,FALSE)</f>
        <v>4.4754761904761899</v>
      </c>
      <c r="N9" s="81">
        <f ca="1">VLOOKUP($AD9,INDIRECT("'"&amp;$B9&amp;"'!"&amp;"$P$39:$AD$42"),5,FALSE)</f>
        <v>20</v>
      </c>
      <c r="O9" s="723">
        <f ca="1">VLOOKUP($AD9,INDIRECT("'"&amp;$B9&amp;"'!"&amp;"$P$39:$AD$42"),6,FALSE)/1000</f>
        <v>5.4385000000000003</v>
      </c>
      <c r="P9" s="723">
        <f ca="1">VLOOKUP($AD9,INDIRECT("'"&amp;$B9&amp;"'!"&amp;"$P$39:$AD$42"),7,FALSE)/1000</f>
        <v>1.49E-2</v>
      </c>
      <c r="Q9" s="81">
        <f ca="1">VLOOKUP($AD9,INDIRECT("'"&amp;$B9&amp;"'!"&amp;"$P$39:$AD$42"),8,FALSE)</f>
        <v>6.7463888888888883</v>
      </c>
      <c r="R9" s="81">
        <v>3.1536000000000002E-2</v>
      </c>
      <c r="S9" s="199">
        <v>0.5</v>
      </c>
      <c r="T9" s="199">
        <f ca="1">HLOOKUP($T$2,INDIRECT("'"&amp;$B9&amp;"'!"&amp;"$P$6:$AC$19"),IF(H9=$AI$13,6,IF(H9=$AI$14,9,14)),FALSE)</f>
        <v>0</v>
      </c>
      <c r="U9" s="199">
        <f ca="1">1/M9</f>
        <v>0.22343991062403579</v>
      </c>
      <c r="V9" s="199"/>
      <c r="W9" s="298"/>
      <c r="X9" s="698">
        <f ca="1">IF(VLOOKUP($AD9,INDIRECT("'"&amp;$B9&amp;"'!"&amp;"$P$39:$AD$42"),11,FALSE)="Cf. the utilized electricity",0,VLOOKUP($AD9,INDIRECT("'"&amp;$B9&amp;"'!"&amp;"$P$39:$AD$42"),11,FALSE))</f>
        <v>0</v>
      </c>
      <c r="Y9" s="81">
        <f ca="1">VLOOKUP($AD9,INDIRECT("'"&amp;$B9&amp;"'!"&amp;"$P$39:$AD$42"),12,FALSE)</f>
        <v>0</v>
      </c>
      <c r="Z9" s="81">
        <f ca="1">VLOOKUP($AD9,INDIRECT("'"&amp;$B9&amp;"'!"&amp;"$P$39:$AD$42"),13,FALSE)</f>
        <v>0</v>
      </c>
      <c r="AA9" s="81">
        <f ca="1">VLOOKUP($AD9,INDIRECT("'"&amp;$B9&amp;"'!"&amp;"$P$39:$AD$42"),14,FALSE)</f>
        <v>0</v>
      </c>
      <c r="AB9" s="81">
        <f ca="1">VLOOKUP($AD9,INDIRECT("'"&amp;$B9&amp;"'!"&amp;"$P$39:$AD$42"),15,FALSE)</f>
        <v>0</v>
      </c>
      <c r="AC9" s="226"/>
      <c r="AD9" s="81">
        <v>2020</v>
      </c>
      <c r="AE9" s="81"/>
      <c r="AF9" s="220"/>
    </row>
    <row r="10" spans="2:42">
      <c r="B10" s="357" t="s">
        <v>998</v>
      </c>
      <c r="D10" s="212"/>
      <c r="E10" s="261"/>
      <c r="F10" s="224" t="s">
        <v>1149</v>
      </c>
      <c r="G10" s="173" t="str">
        <f>$AI$20</f>
        <v>INDFWH</v>
      </c>
      <c r="H10" s="174"/>
      <c r="I10" s="174"/>
      <c r="K10" s="81"/>
      <c r="L10" s="333"/>
      <c r="M10" s="199"/>
      <c r="N10" s="81"/>
      <c r="O10" s="723"/>
      <c r="P10" s="723"/>
      <c r="Q10" s="81"/>
      <c r="R10" s="200"/>
      <c r="S10" s="772"/>
      <c r="T10" s="772"/>
      <c r="U10" s="199">
        <f ca="1">1-U9</f>
        <v>0.77656008937596421</v>
      </c>
      <c r="V10" s="772"/>
      <c r="W10" s="298"/>
      <c r="X10" s="698"/>
      <c r="Y10" s="81"/>
      <c r="Z10" s="81"/>
      <c r="AA10" s="81"/>
      <c r="AB10" s="81"/>
      <c r="AC10" s="226"/>
      <c r="AD10" s="81"/>
      <c r="AE10" s="81"/>
      <c r="AF10" s="220"/>
    </row>
    <row r="11" spans="2:42">
      <c r="B11" s="357" t="s">
        <v>998</v>
      </c>
      <c r="D11" s="212"/>
      <c r="E11" s="212"/>
      <c r="F11" s="224" t="s">
        <v>1149</v>
      </c>
      <c r="G11" s="173" t="s">
        <v>499</v>
      </c>
      <c r="H11" s="174" t="str">
        <f>$AI$14</f>
        <v>IFDPH</v>
      </c>
      <c r="I11" s="173"/>
      <c r="J11" s="224">
        <f>AD11</f>
        <v>2030</v>
      </c>
      <c r="K11" s="81"/>
      <c r="L11" s="333">
        <v>1</v>
      </c>
      <c r="M11" s="199">
        <f ca="1">VLOOKUP($AD11,INDIRECT("'"&amp;$B11&amp;"'!"&amp;"$P$39:$AD$42"),3,FALSE)</f>
        <v>4.5792982142857133</v>
      </c>
      <c r="N11" s="81"/>
      <c r="O11" s="723">
        <f ca="1">VLOOKUP($AD11,INDIRECT("'"&amp;$B11&amp;"'!"&amp;"$P$39:$AD$42"),6,FALSE)/1000</f>
        <v>4.8425000000000002</v>
      </c>
      <c r="P11" s="723">
        <f ca="1">VLOOKUP($AD11,INDIRECT("'"&amp;$B11&amp;"'!"&amp;"$P$39:$AD$42"),7,FALSE)/1000</f>
        <v>1.49E-2</v>
      </c>
      <c r="Q11" s="81">
        <f ca="1">VLOOKUP($AD11,INDIRECT("'"&amp;$B11&amp;"'!"&amp;"$P$39:$AD$42"),8,FALSE)</f>
        <v>6.6222222222222227</v>
      </c>
      <c r="R11" s="300"/>
      <c r="S11" s="300"/>
      <c r="T11" s="300"/>
      <c r="U11" s="199">
        <f ca="1">1/M11</f>
        <v>0.21837407244637849</v>
      </c>
      <c r="V11" s="199"/>
      <c r="W11" s="298"/>
      <c r="X11" s="698">
        <f ca="1">IF(VLOOKUP($AD11,INDIRECT("'"&amp;$B11&amp;"'!"&amp;"$P$39:$AD$42"),11,FALSE)="Cf. the utilized electricity",0,VLOOKUP($AD11,INDIRECT("'"&amp;$B11&amp;"'!"&amp;"$P$39:$AD$42"),11,FALSE))</f>
        <v>0</v>
      </c>
      <c r="Y11" s="81">
        <f ca="1">VLOOKUP($AD11,INDIRECT("'"&amp;$B11&amp;"'!"&amp;"$P$39:$AD$42"),12,FALSE)</f>
        <v>0</v>
      </c>
      <c r="Z11" s="81">
        <f ca="1">VLOOKUP($AD11,INDIRECT("'"&amp;$B11&amp;"'!"&amp;"$P$39:$AD$42"),13,FALSE)</f>
        <v>0</v>
      </c>
      <c r="AA11" s="81">
        <f ca="1">VLOOKUP($AD11,INDIRECT("'"&amp;$B11&amp;"'!"&amp;"$P$39:$AD$42"),14,FALSE)</f>
        <v>0</v>
      </c>
      <c r="AB11" s="81">
        <f ca="1">VLOOKUP($AD11,INDIRECT("'"&amp;$B11&amp;"'!"&amp;"$P$39:$AD$42"),15,FALSE)</f>
        <v>0</v>
      </c>
      <c r="AC11" s="226"/>
      <c r="AD11" s="81">
        <v>2030</v>
      </c>
      <c r="AE11" s="81"/>
      <c r="AF11" s="220"/>
    </row>
    <row r="12" spans="2:42">
      <c r="B12" s="357" t="s">
        <v>998</v>
      </c>
      <c r="D12" s="212"/>
      <c r="E12" s="212"/>
      <c r="F12" s="224" t="s">
        <v>1149</v>
      </c>
      <c r="G12" s="173" t="str">
        <f>$AI$20</f>
        <v>INDFWH</v>
      </c>
      <c r="H12" s="174"/>
      <c r="I12" s="174"/>
      <c r="K12" s="81"/>
      <c r="L12" s="333"/>
      <c r="M12" s="199"/>
      <c r="N12" s="81"/>
      <c r="O12" s="723"/>
      <c r="P12" s="723"/>
      <c r="Q12" s="81"/>
      <c r="R12" s="300"/>
      <c r="S12" s="300"/>
      <c r="T12" s="300"/>
      <c r="U12" s="199">
        <f ca="1">1-U11</f>
        <v>0.78162592755362148</v>
      </c>
      <c r="V12" s="300"/>
      <c r="W12" s="298"/>
      <c r="X12" s="698"/>
      <c r="Y12" s="81"/>
      <c r="Z12" s="81"/>
      <c r="AA12" s="81"/>
      <c r="AB12" s="81"/>
      <c r="AC12" s="226"/>
      <c r="AD12" s="81"/>
      <c r="AE12" s="81"/>
      <c r="AF12" s="220"/>
      <c r="AI12" s="224" t="s">
        <v>518</v>
      </c>
      <c r="AJ12" s="224" t="str">
        <f>E2</f>
        <v>Food</v>
      </c>
    </row>
    <row r="13" spans="2:42">
      <c r="B13" s="357" t="s">
        <v>998</v>
      </c>
      <c r="D13" s="212"/>
      <c r="E13" s="212"/>
      <c r="F13" s="224" t="s">
        <v>1149</v>
      </c>
      <c r="G13" s="173" t="s">
        <v>499</v>
      </c>
      <c r="H13" s="174" t="str">
        <f>$AI$14</f>
        <v>IFDPH</v>
      </c>
      <c r="I13" s="173"/>
      <c r="J13" s="224">
        <f>AD13</f>
        <v>2050</v>
      </c>
      <c r="K13" s="81"/>
      <c r="L13" s="333">
        <v>1</v>
      </c>
      <c r="M13" s="199">
        <f ca="1">VLOOKUP($AD13,INDIRECT("'"&amp;$B13&amp;"'!"&amp;"$P$39:$AD$42"),3,FALSE)</f>
        <v>4.7191030203571422</v>
      </c>
      <c r="N13" s="81"/>
      <c r="O13" s="723">
        <f ca="1">VLOOKUP($AD13,INDIRECT("'"&amp;$B13&amp;"'!"&amp;"$P$39:$AD$42"),6,FALSE)/1000</f>
        <v>4.3209999999999997</v>
      </c>
      <c r="P13" s="723">
        <f ca="1">VLOOKUP($AD13,INDIRECT("'"&amp;$B13&amp;"'!"&amp;"$P$39:$AD$42"),7,FALSE)/1000</f>
        <v>1.49E-2</v>
      </c>
      <c r="Q13" s="81">
        <f ca="1">VLOOKUP($AD13,INDIRECT("'"&amp;$B13&amp;"'!"&amp;"$P$39:$AD$42"),8,FALSE)</f>
        <v>6.4566666666666661</v>
      </c>
      <c r="R13" s="300"/>
      <c r="S13" s="300"/>
      <c r="T13" s="300"/>
      <c r="U13" s="199">
        <f ca="1">1/M13</f>
        <v>0.21190467673331698</v>
      </c>
      <c r="V13" s="199"/>
      <c r="W13" s="298"/>
      <c r="X13" s="698">
        <f ca="1">IF(VLOOKUP($AD13,INDIRECT("'"&amp;$B13&amp;"'!"&amp;"$P$39:$AD$42"),11,FALSE)="Cf. the utilized electricity",0,VLOOKUP($AD13,INDIRECT("'"&amp;$B13&amp;"'!"&amp;"$P$39:$AD$42"),11,FALSE))</f>
        <v>0</v>
      </c>
      <c r="Y13" s="81">
        <f ca="1">VLOOKUP($AD13,INDIRECT("'"&amp;$B13&amp;"'!"&amp;"$P$39:$AD$42"),12,FALSE)</f>
        <v>0</v>
      </c>
      <c r="Z13" s="81">
        <f ca="1">VLOOKUP($AD13,INDIRECT("'"&amp;$B13&amp;"'!"&amp;"$P$39:$AD$42"),13,FALSE)</f>
        <v>0</v>
      </c>
      <c r="AA13" s="81">
        <f ca="1">VLOOKUP($AD13,INDIRECT("'"&amp;$B13&amp;"'!"&amp;"$P$39:$AD$42"),14,FALSE)</f>
        <v>0</v>
      </c>
      <c r="AB13" s="81">
        <f ca="1">VLOOKUP($AD13,INDIRECT("'"&amp;$B13&amp;"'!"&amp;"$P$39:$AD$42"),15,FALSE)</f>
        <v>0</v>
      </c>
      <c r="AC13" s="226"/>
      <c r="AD13" s="81">
        <v>2050</v>
      </c>
      <c r="AE13" s="81"/>
      <c r="AF13" s="220"/>
      <c r="AI13" s="224" t="str">
        <f>AO14</f>
        <v>IFDPH</v>
      </c>
      <c r="AJ13" s="224" t="str">
        <f>AP14</f>
        <v>Food industry Demand Heat High Temp. over 150C</v>
      </c>
      <c r="AO13" s="224" t="s">
        <v>2086</v>
      </c>
      <c r="AP13" s="224" t="s">
        <v>1172</v>
      </c>
    </row>
    <row r="14" spans="2:42">
      <c r="B14" s="357" t="s">
        <v>998</v>
      </c>
      <c r="D14" s="212"/>
      <c r="E14" s="212"/>
      <c r="F14" s="224" t="s">
        <v>1149</v>
      </c>
      <c r="G14" s="173" t="str">
        <f>$AI$20</f>
        <v>INDFWH</v>
      </c>
      <c r="H14" s="174"/>
      <c r="I14" s="174"/>
      <c r="K14" s="81"/>
      <c r="L14" s="333"/>
      <c r="M14" s="199"/>
      <c r="N14" s="81"/>
      <c r="O14" s="723"/>
      <c r="P14" s="723"/>
      <c r="Q14" s="81"/>
      <c r="R14" s="300"/>
      <c r="S14" s="300"/>
      <c r="T14" s="300"/>
      <c r="U14" s="199">
        <f ca="1">1-U13</f>
        <v>0.78809532326668297</v>
      </c>
      <c r="V14" s="300"/>
      <c r="W14" s="298"/>
      <c r="X14" s="698"/>
      <c r="Y14" s="81"/>
      <c r="Z14" s="81"/>
      <c r="AA14" s="81"/>
      <c r="AB14" s="81"/>
      <c r="AC14" s="226"/>
      <c r="AD14" s="81"/>
      <c r="AE14" s="81"/>
      <c r="AF14" s="220"/>
      <c r="AI14" s="224" t="str">
        <f>AO13</f>
        <v>IFDPH</v>
      </c>
      <c r="AJ14" s="224" t="str">
        <f>AP13</f>
        <v>Food industry Demand Heat Medium Temp. up to 150C</v>
      </c>
      <c r="AO14" s="224" t="s">
        <v>2086</v>
      </c>
      <c r="AP14" s="224" t="s">
        <v>1173</v>
      </c>
    </row>
    <row r="15" spans="2:42">
      <c r="B15" s="357" t="s">
        <v>998</v>
      </c>
      <c r="D15" s="212" t="str">
        <f>"IND"&amp;RIGHT(H15,4)&amp;RIGHT(G15,3)&amp;"N"&amp;RIGHT(E15,1)</f>
        <v>INDFDSHELCN1</v>
      </c>
      <c r="E15" s="261" t="str">
        <f>"Industrial heating technology "&amp;$AJ$12&amp;" "&amp;RIGHT(H15,2)&amp;" - Heat pump utilizing waste heat - new 1"</f>
        <v>Industrial heating technology Food SH - Heat pump utilizing waste heat - new 1</v>
      </c>
      <c r="F15" s="224" t="s">
        <v>1149</v>
      </c>
      <c r="G15" s="173" t="s">
        <v>499</v>
      </c>
      <c r="H15" s="174" t="str">
        <f>$AI$15</f>
        <v>IFDSH</v>
      </c>
      <c r="I15" s="174"/>
      <c r="J15" s="224">
        <f>AD15</f>
        <v>2020</v>
      </c>
      <c r="K15" s="81">
        <v>2020</v>
      </c>
      <c r="L15" s="333">
        <v>1</v>
      </c>
      <c r="M15" s="199">
        <f ca="1">VLOOKUP($AD15,INDIRECT("'"&amp;$B15&amp;"'!"&amp;"$P$39:$AD$42"),3,FALSE)</f>
        <v>4.4754761904761899</v>
      </c>
      <c r="N15" s="81">
        <f ca="1">VLOOKUP($AD15,INDIRECT("'"&amp;$B15&amp;"'!"&amp;"$P$39:$AD$42"),5,FALSE)</f>
        <v>20</v>
      </c>
      <c r="O15" s="723">
        <f ca="1">VLOOKUP($AD15,INDIRECT("'"&amp;$B15&amp;"'!"&amp;"$P$39:$AD$42"),6,FALSE)/1000</f>
        <v>5.4385000000000003</v>
      </c>
      <c r="P15" s="723">
        <f ca="1">VLOOKUP($AD15,INDIRECT("'"&amp;$B15&amp;"'!"&amp;"$P$39:$AD$42"),7,FALSE)/1000</f>
        <v>1.49E-2</v>
      </c>
      <c r="Q15" s="81">
        <f ca="1">VLOOKUP($AD15,INDIRECT("'"&amp;$B15&amp;"'!"&amp;"$P$39:$AD$42"),8,FALSE)</f>
        <v>6.7463888888888883</v>
      </c>
      <c r="R15" s="81">
        <v>3.1536000000000002E-2</v>
      </c>
      <c r="S15" s="199">
        <v>0.5</v>
      </c>
      <c r="T15" s="199">
        <f ca="1">HLOOKUP($T$2,INDIRECT("'"&amp;$B15&amp;"'!"&amp;"$P$6:$AC$19"),IF(H15=$AI$13,6,IF(H15=$AI$14,9,14)),FALSE)</f>
        <v>1</v>
      </c>
      <c r="U15" s="199">
        <f ca="1">1/M15</f>
        <v>0.22343991062403579</v>
      </c>
      <c r="V15" s="199"/>
      <c r="W15" s="298"/>
      <c r="X15" s="698">
        <f ca="1">IF(VLOOKUP($AD15,INDIRECT("'"&amp;$B15&amp;"'!"&amp;"$P$39:$AD$42"),11,FALSE)="Cf. the utilized electricity",0,VLOOKUP($AD15,INDIRECT("'"&amp;$B15&amp;"'!"&amp;"$P$39:$AD$42"),11,FALSE))</f>
        <v>0</v>
      </c>
      <c r="Y15" s="81">
        <f ca="1">VLOOKUP($AD15,INDIRECT("'"&amp;$B15&amp;"'!"&amp;"$P$39:$AD$42"),12,FALSE)</f>
        <v>0</v>
      </c>
      <c r="Z15" s="81">
        <f ca="1">VLOOKUP($AD15,INDIRECT("'"&amp;$B15&amp;"'!"&amp;"$P$39:$AD$42"),13,FALSE)</f>
        <v>0</v>
      </c>
      <c r="AA15" s="81">
        <f ca="1">VLOOKUP($AD15,INDIRECT("'"&amp;$B15&amp;"'!"&amp;"$P$39:$AD$42"),14,FALSE)</f>
        <v>0</v>
      </c>
      <c r="AB15" s="81">
        <f ca="1">VLOOKUP($AD15,INDIRECT("'"&amp;$B15&amp;"'!"&amp;"$P$39:$AD$42"),15,FALSE)</f>
        <v>0</v>
      </c>
      <c r="AC15" s="226"/>
      <c r="AD15" s="81">
        <v>2020</v>
      </c>
      <c r="AE15" s="81"/>
      <c r="AF15" s="220"/>
      <c r="AI15" s="224" t="str">
        <f>AO15</f>
        <v>IFDSH</v>
      </c>
      <c r="AJ15" s="224" t="str">
        <f>AP15</f>
        <v>Food industry Demand Heat Room Heat</v>
      </c>
      <c r="AO15" s="224" t="s">
        <v>2087</v>
      </c>
      <c r="AP15" s="224" t="s">
        <v>1174</v>
      </c>
    </row>
    <row r="16" spans="2:42">
      <c r="B16" s="357" t="s">
        <v>998</v>
      </c>
      <c r="D16" s="212"/>
      <c r="E16" s="261"/>
      <c r="F16" s="224" t="s">
        <v>1149</v>
      </c>
      <c r="G16" s="173" t="str">
        <f>$AI$20</f>
        <v>INDFWH</v>
      </c>
      <c r="H16" s="174"/>
      <c r="I16" s="174"/>
      <c r="K16" s="81"/>
      <c r="L16" s="333"/>
      <c r="M16" s="199"/>
      <c r="N16" s="81"/>
      <c r="O16" s="723"/>
      <c r="P16" s="723"/>
      <c r="Q16" s="81"/>
      <c r="R16" s="200"/>
      <c r="S16" s="772"/>
      <c r="T16" s="772"/>
      <c r="U16" s="199">
        <f ca="1">1-U15</f>
        <v>0.77656008937596421</v>
      </c>
      <c r="V16" s="772"/>
      <c r="W16" s="298"/>
      <c r="X16" s="698"/>
      <c r="Y16" s="81"/>
      <c r="Z16" s="81"/>
      <c r="AA16" s="81"/>
      <c r="AB16" s="81"/>
      <c r="AC16" s="226"/>
      <c r="AD16" s="81"/>
      <c r="AE16" s="81"/>
      <c r="AF16" s="220"/>
      <c r="AI16" s="224" t="str">
        <f t="shared" ref="AI16:AJ19" si="0">AO16</f>
        <v>IFDLA</v>
      </c>
      <c r="AJ16" s="224" t="str">
        <f t="shared" si="0"/>
        <v>Food industry Demand Light</v>
      </c>
      <c r="AO16" s="224" t="s">
        <v>1175</v>
      </c>
      <c r="AP16" s="224" t="s">
        <v>1176</v>
      </c>
    </row>
    <row r="17" spans="2:42">
      <c r="B17" s="357" t="s">
        <v>998</v>
      </c>
      <c r="D17" s="212"/>
      <c r="E17" s="212"/>
      <c r="F17" s="224" t="s">
        <v>1149</v>
      </c>
      <c r="G17" s="173" t="s">
        <v>499</v>
      </c>
      <c r="H17" s="174" t="str">
        <f>$AI$15</f>
        <v>IFDSH</v>
      </c>
      <c r="I17" s="174"/>
      <c r="J17" s="224">
        <f>AD17</f>
        <v>2030</v>
      </c>
      <c r="K17" s="81"/>
      <c r="L17" s="333">
        <v>1</v>
      </c>
      <c r="M17" s="199">
        <f ca="1">VLOOKUP($AD17,INDIRECT("'"&amp;$B17&amp;"'!"&amp;"$P$39:$AD$42"),3,FALSE)</f>
        <v>4.5792982142857133</v>
      </c>
      <c r="N17" s="81"/>
      <c r="O17" s="723">
        <f ca="1">VLOOKUP($AD17,INDIRECT("'"&amp;$B17&amp;"'!"&amp;"$P$39:$AD$42"),6,FALSE)/1000</f>
        <v>4.8425000000000002</v>
      </c>
      <c r="P17" s="723">
        <f ca="1">VLOOKUP($AD17,INDIRECT("'"&amp;$B17&amp;"'!"&amp;"$P$39:$AD$42"),7,FALSE)/1000</f>
        <v>1.49E-2</v>
      </c>
      <c r="Q17" s="81">
        <f ca="1">VLOOKUP($AD17,INDIRECT("'"&amp;$B17&amp;"'!"&amp;"$P$39:$AD$42"),8,FALSE)</f>
        <v>6.6222222222222227</v>
      </c>
      <c r="R17" s="300"/>
      <c r="S17" s="300"/>
      <c r="T17" s="300"/>
      <c r="U17" s="199">
        <f ca="1">1/M17</f>
        <v>0.21837407244637849</v>
      </c>
      <c r="V17" s="199"/>
      <c r="W17" s="298"/>
      <c r="X17" s="698">
        <f ca="1">IF(VLOOKUP($AD17,INDIRECT("'"&amp;$B17&amp;"'!"&amp;"$P$39:$AD$42"),11,FALSE)="Cf. the utilized electricity",0,VLOOKUP($AD17,INDIRECT("'"&amp;$B17&amp;"'!"&amp;"$P$39:$AD$42"),11,FALSE))</f>
        <v>0</v>
      </c>
      <c r="Y17" s="81">
        <f ca="1">VLOOKUP($AD17,INDIRECT("'"&amp;$B17&amp;"'!"&amp;"$P$39:$AD$42"),12,FALSE)</f>
        <v>0</v>
      </c>
      <c r="Z17" s="81">
        <f ca="1">VLOOKUP($AD17,INDIRECT("'"&amp;$B17&amp;"'!"&amp;"$P$39:$AD$42"),13,FALSE)</f>
        <v>0</v>
      </c>
      <c r="AA17" s="81">
        <f ca="1">VLOOKUP($AD17,INDIRECT("'"&amp;$B17&amp;"'!"&amp;"$P$39:$AD$42"),14,FALSE)</f>
        <v>0</v>
      </c>
      <c r="AB17" s="81">
        <f ca="1">VLOOKUP($AD17,INDIRECT("'"&amp;$B17&amp;"'!"&amp;"$P$39:$AD$42"),15,FALSE)</f>
        <v>0</v>
      </c>
      <c r="AC17" s="226"/>
      <c r="AD17" s="81">
        <v>2030</v>
      </c>
      <c r="AE17" s="81"/>
      <c r="AF17" s="220"/>
      <c r="AI17" s="224" t="str">
        <f t="shared" si="0"/>
        <v>IFDEM</v>
      </c>
      <c r="AJ17" s="224" t="str">
        <f t="shared" si="0"/>
        <v>Food industry Demand Electric Motors</v>
      </c>
      <c r="AO17" s="224" t="s">
        <v>1177</v>
      </c>
      <c r="AP17" s="224" t="s">
        <v>1178</v>
      </c>
    </row>
    <row r="18" spans="2:42">
      <c r="B18" s="357" t="s">
        <v>998</v>
      </c>
      <c r="D18" s="212"/>
      <c r="E18" s="212"/>
      <c r="F18" s="224" t="s">
        <v>1149</v>
      </c>
      <c r="G18" s="173" t="str">
        <f>$AI$20</f>
        <v>INDFWH</v>
      </c>
      <c r="H18" s="174"/>
      <c r="I18" s="174"/>
      <c r="K18" s="81"/>
      <c r="L18" s="333"/>
      <c r="M18" s="199"/>
      <c r="N18" s="81"/>
      <c r="O18" s="723"/>
      <c r="P18" s="723"/>
      <c r="Q18" s="81"/>
      <c r="R18" s="300"/>
      <c r="S18" s="300"/>
      <c r="T18" s="300"/>
      <c r="U18" s="199">
        <f ca="1">1-U17</f>
        <v>0.78162592755362148</v>
      </c>
      <c r="V18" s="300"/>
      <c r="W18" s="298"/>
      <c r="X18" s="698"/>
      <c r="Y18" s="81"/>
      <c r="Z18" s="81"/>
      <c r="AA18" s="81"/>
      <c r="AB18" s="81"/>
      <c r="AC18" s="226"/>
      <c r="AD18" s="81"/>
      <c r="AE18" s="81"/>
      <c r="AF18" s="220"/>
      <c r="AI18" s="224" t="str">
        <f t="shared" si="0"/>
        <v>IFDTF</v>
      </c>
      <c r="AJ18" s="224" t="str">
        <f t="shared" si="0"/>
        <v>Food industry Demand Haulage Tractors, Trucks, Fishing boats, Forest machines</v>
      </c>
      <c r="AO18" s="224" t="s">
        <v>1179</v>
      </c>
      <c r="AP18" s="224" t="s">
        <v>1180</v>
      </c>
    </row>
    <row r="19" spans="2:42">
      <c r="B19" s="357" t="s">
        <v>998</v>
      </c>
      <c r="D19" s="212"/>
      <c r="E19" s="212"/>
      <c r="F19" s="224" t="s">
        <v>1149</v>
      </c>
      <c r="G19" s="173" t="s">
        <v>499</v>
      </c>
      <c r="H19" s="174" t="str">
        <f>$AI$15</f>
        <v>IFDSH</v>
      </c>
      <c r="I19" s="174"/>
      <c r="J19" s="224">
        <f>AD19</f>
        <v>2050</v>
      </c>
      <c r="K19" s="81"/>
      <c r="L19" s="333">
        <v>1</v>
      </c>
      <c r="M19" s="199">
        <f ca="1">VLOOKUP($AD19,INDIRECT("'"&amp;$B19&amp;"'!"&amp;"$P$39:$AD$42"),3,FALSE)</f>
        <v>4.7191030203571422</v>
      </c>
      <c r="N19" s="81"/>
      <c r="O19" s="723">
        <f ca="1">VLOOKUP($AD19,INDIRECT("'"&amp;$B19&amp;"'!"&amp;"$P$39:$AD$42"),6,FALSE)/1000</f>
        <v>4.3209999999999997</v>
      </c>
      <c r="P19" s="723">
        <f ca="1">VLOOKUP($AD19,INDIRECT("'"&amp;$B19&amp;"'!"&amp;"$P$39:$AD$42"),7,FALSE)/1000</f>
        <v>1.49E-2</v>
      </c>
      <c r="Q19" s="81">
        <f ca="1">VLOOKUP($AD19,INDIRECT("'"&amp;$B19&amp;"'!"&amp;"$P$39:$AD$42"),8,FALSE)</f>
        <v>6.4566666666666661</v>
      </c>
      <c r="R19" s="300"/>
      <c r="S19" s="300"/>
      <c r="T19" s="300"/>
      <c r="U19" s="199">
        <f ca="1">1/M19</f>
        <v>0.21190467673331698</v>
      </c>
      <c r="V19" s="199"/>
      <c r="W19" s="298"/>
      <c r="X19" s="698">
        <f ca="1">IF(VLOOKUP($AD19,INDIRECT("'"&amp;$B19&amp;"'!"&amp;"$P$39:$AD$42"),11,FALSE)="Cf. the utilized electricity",0,VLOOKUP($AD19,INDIRECT("'"&amp;$B19&amp;"'!"&amp;"$P$39:$AD$42"),11,FALSE))</f>
        <v>0</v>
      </c>
      <c r="Y19" s="81">
        <f ca="1">VLOOKUP($AD19,INDIRECT("'"&amp;$B19&amp;"'!"&amp;"$P$39:$AD$42"),12,FALSE)</f>
        <v>0</v>
      </c>
      <c r="Z19" s="81">
        <f ca="1">VLOOKUP($AD19,INDIRECT("'"&amp;$B19&amp;"'!"&amp;"$P$39:$AD$42"),13,FALSE)</f>
        <v>0</v>
      </c>
      <c r="AA19" s="81">
        <f ca="1">VLOOKUP($AD19,INDIRECT("'"&amp;$B19&amp;"'!"&amp;"$P$39:$AD$42"),14,FALSE)</f>
        <v>0</v>
      </c>
      <c r="AB19" s="81">
        <f ca="1">VLOOKUP($AD19,INDIRECT("'"&amp;$B19&amp;"'!"&amp;"$P$39:$AD$42"),15,FALSE)</f>
        <v>0</v>
      </c>
      <c r="AC19" s="226"/>
      <c r="AD19" s="81">
        <v>2050</v>
      </c>
      <c r="AE19" s="81"/>
      <c r="AF19" s="220"/>
      <c r="AI19" s="224" t="str">
        <f t="shared" si="0"/>
        <v>IFDFL</v>
      </c>
      <c r="AJ19" s="224" t="str">
        <f t="shared" si="0"/>
        <v>Food industry Demand Haulage Forklifts</v>
      </c>
      <c r="AO19" s="224" t="s">
        <v>1181</v>
      </c>
      <c r="AP19" s="224" t="s">
        <v>1182</v>
      </c>
    </row>
    <row r="20" spans="2:42">
      <c r="B20" s="357" t="s">
        <v>998</v>
      </c>
      <c r="D20" s="212"/>
      <c r="E20" s="212"/>
      <c r="F20" s="224" t="s">
        <v>1149</v>
      </c>
      <c r="G20" s="173" t="str">
        <f>$AI$20</f>
        <v>INDFWH</v>
      </c>
      <c r="H20" s="174"/>
      <c r="I20" s="174"/>
      <c r="K20" s="81"/>
      <c r="L20" s="333"/>
      <c r="M20" s="199"/>
      <c r="N20" s="81"/>
      <c r="O20" s="723"/>
      <c r="P20" s="723"/>
      <c r="Q20" s="81"/>
      <c r="R20" s="300"/>
      <c r="S20" s="300"/>
      <c r="T20" s="300"/>
      <c r="U20" s="199">
        <f ca="1">1-U19</f>
        <v>0.78809532326668297</v>
      </c>
      <c r="V20" s="300"/>
      <c r="W20" s="298"/>
      <c r="X20" s="698"/>
      <c r="Y20" s="81"/>
      <c r="Z20" s="81"/>
      <c r="AA20" s="81"/>
      <c r="AB20" s="81"/>
      <c r="AC20" s="226"/>
      <c r="AD20" s="81"/>
      <c r="AE20" s="81"/>
      <c r="AF20" s="220"/>
      <c r="AI20" s="36" t="str">
        <f>"IND"&amp;MID(AI19,2,1)&amp;"WH"</f>
        <v>INDFWH</v>
      </c>
      <c r="AJ20" s="224" t="str">
        <f>$AJ$12&amp;" Industrial Waste Heat"</f>
        <v>Food Industrial Waste Heat</v>
      </c>
    </row>
    <row r="21" spans="2:42">
      <c r="B21" s="357" t="s">
        <v>999</v>
      </c>
      <c r="D21" s="212" t="str">
        <f>"IND"&amp;RIGHT(H21,4)&amp;RIGHT(G21,3)&amp;"N"&amp;RIGHT(E21,1)</f>
        <v>INDFDPHELCN2</v>
      </c>
      <c r="E21" s="261" t="str">
        <f>"Industrial heating technology "&amp;$AJ$12&amp;" "&amp;RIGHT(H21,2)&amp;" - Heat driven heat pump utilizing waste heat - new 2"</f>
        <v>Industrial heating technology Food PH - Heat driven heat pump utilizing waste heat - new 2</v>
      </c>
      <c r="F21" s="224" t="s">
        <v>1149</v>
      </c>
      <c r="G21" s="173" t="s">
        <v>499</v>
      </c>
      <c r="H21" s="174" t="str">
        <f>$AI$14</f>
        <v>IFDPH</v>
      </c>
      <c r="I21" s="174"/>
      <c r="J21" s="224">
        <f t="shared" ref="J21" si="1">AD21</f>
        <v>2020</v>
      </c>
      <c r="K21" s="81">
        <v>2020</v>
      </c>
      <c r="L21" s="333">
        <v>1</v>
      </c>
      <c r="M21" s="199">
        <f ca="1">VLOOKUP($AD21,INDIRECT("'"&amp;$B21&amp;"'!"&amp;"$P$39:$AD$42"),3,FALSE)</f>
        <v>1.68</v>
      </c>
      <c r="N21" s="81">
        <f ca="1">VLOOKUP($AD21,INDIRECT("'"&amp;$B21&amp;"'!"&amp;"$P$39:$AD$42"),5,FALSE)</f>
        <v>20</v>
      </c>
      <c r="O21" s="723">
        <f ca="1">VLOOKUP($AD21,INDIRECT("'"&amp;$B21&amp;"'!"&amp;"$P$39:$AD$42"),6,FALSE)/1000</f>
        <v>4.1720000000000006</v>
      </c>
      <c r="P21" s="723">
        <f ca="1">VLOOKUP($AD21,INDIRECT("'"&amp;$B21&amp;"'!"&amp;"$P$39:$AD$42"),7,FALSE)/1000</f>
        <v>1.49E-2</v>
      </c>
      <c r="Q21" s="81">
        <f ca="1">VLOOKUP($AD21,INDIRECT("'"&amp;$B21&amp;"'!"&amp;"$P$39:$AD$42"),8,FALSE)</f>
        <v>2.0901388888888892</v>
      </c>
      <c r="R21" s="81">
        <v>3.1536000000000002E-2</v>
      </c>
      <c r="S21" s="199">
        <v>0.5</v>
      </c>
      <c r="T21" s="199">
        <f ca="1">HLOOKUP($T$2,INDIRECT("'"&amp;$B21&amp;"'!"&amp;"$P$6:$AC$19"),IF(H21=$AI$13,6,IF(H21=$AI$14,9,14)),FALSE)</f>
        <v>0</v>
      </c>
      <c r="U21" s="199">
        <f ca="1">1/M21</f>
        <v>0.59523809523809523</v>
      </c>
      <c r="V21" s="199"/>
      <c r="W21" s="298"/>
      <c r="X21" s="698">
        <f ca="1">IF(VLOOKUP($AD21,INDIRECT("'"&amp;$B21&amp;"'!"&amp;"$P$39:$AD$42"),11,FALSE)="Cf. the utilized electricity",0,VLOOKUP($AD21,INDIRECT("'"&amp;$B21&amp;"'!"&amp;"$P$39:$AD$42"),11,FALSE))</f>
        <v>0</v>
      </c>
      <c r="Y21" s="81">
        <f ca="1">VLOOKUP($AD21,INDIRECT("'"&amp;$B21&amp;"'!"&amp;"$P$39:$AD$42"),12,FALSE)</f>
        <v>0</v>
      </c>
      <c r="Z21" s="81">
        <f ca="1">VLOOKUP($AD21,INDIRECT("'"&amp;$B21&amp;"'!"&amp;"$P$39:$AD$42"),13,FALSE)</f>
        <v>0</v>
      </c>
      <c r="AA21" s="81">
        <f ca="1">VLOOKUP($AD21,INDIRECT("'"&amp;$B21&amp;"'!"&amp;"$P$39:$AD$42"),14,FALSE)</f>
        <v>0</v>
      </c>
      <c r="AB21" s="81">
        <f ca="1">VLOOKUP($AD21,INDIRECT("'"&amp;$B21&amp;"'!"&amp;"$P$39:$AD$42"),15,FALSE)</f>
        <v>0</v>
      </c>
      <c r="AC21" s="226"/>
      <c r="AD21" s="81">
        <v>2020</v>
      </c>
      <c r="AE21" s="81"/>
      <c r="AF21" s="220"/>
      <c r="AI21" s="224" t="str">
        <f>"I"&amp;LEFT($AJ$12,1)&amp;"DCO"</f>
        <v>IFDCO</v>
      </c>
      <c r="AJ21" s="224" t="s">
        <v>2118</v>
      </c>
    </row>
    <row r="22" spans="2:42">
      <c r="B22" s="357" t="s">
        <v>999</v>
      </c>
      <c r="D22" s="212"/>
      <c r="E22" s="261"/>
      <c r="F22" s="224" t="s">
        <v>1149</v>
      </c>
      <c r="G22" s="173" t="str">
        <f>$AI$20</f>
        <v>INDFWH</v>
      </c>
      <c r="H22" s="174"/>
      <c r="I22" s="174"/>
      <c r="K22" s="81"/>
      <c r="L22" s="333"/>
      <c r="M22" s="199"/>
      <c r="N22" s="81"/>
      <c r="O22" s="723"/>
      <c r="P22" s="723"/>
      <c r="Q22" s="81"/>
      <c r="R22" s="200"/>
      <c r="S22" s="772"/>
      <c r="T22" s="772"/>
      <c r="U22" s="199">
        <f ca="1">1-U21</f>
        <v>0.40476190476190477</v>
      </c>
      <c r="V22" s="772"/>
      <c r="W22" s="298"/>
      <c r="X22" s="698"/>
      <c r="Y22" s="81"/>
      <c r="Z22" s="81"/>
      <c r="AA22" s="81"/>
      <c r="AB22" s="81"/>
      <c r="AC22" s="226"/>
      <c r="AD22" s="81"/>
      <c r="AE22" s="81"/>
      <c r="AF22" s="220"/>
      <c r="AI22" s="224">
        <v>1</v>
      </c>
    </row>
    <row r="23" spans="2:42">
      <c r="B23" s="357" t="s">
        <v>999</v>
      </c>
      <c r="D23" s="212"/>
      <c r="E23" s="212"/>
      <c r="F23" s="224" t="s">
        <v>1149</v>
      </c>
      <c r="G23" s="173" t="s">
        <v>499</v>
      </c>
      <c r="H23" s="174" t="str">
        <f>$AI$14</f>
        <v>IFDPH</v>
      </c>
      <c r="I23" s="174"/>
      <c r="J23" s="224">
        <f t="shared" ref="J23" si="2">AD23</f>
        <v>2030</v>
      </c>
      <c r="K23" s="81"/>
      <c r="L23" s="333">
        <v>1</v>
      </c>
      <c r="M23" s="199">
        <f ca="1">VLOOKUP($AD23,INDIRECT("'"&amp;$B23&amp;"'!"&amp;"$P$39:$AD$42"),3,FALSE)</f>
        <v>1.69</v>
      </c>
      <c r="N23" s="81"/>
      <c r="O23" s="723">
        <f ca="1">VLOOKUP($AD23,INDIRECT("'"&amp;$B23&amp;"'!"&amp;"$P$39:$AD$42"),6,FALSE)/1000</f>
        <v>3.7995000000000001</v>
      </c>
      <c r="P23" s="723">
        <f ca="1">VLOOKUP($AD23,INDIRECT("'"&amp;$B23&amp;"'!"&amp;"$P$39:$AD$42"),7,FALSE)/1000</f>
        <v>1.49E-2</v>
      </c>
      <c r="Q23" s="81">
        <f ca="1">VLOOKUP($AD23,INDIRECT("'"&amp;$B23&amp;"'!"&amp;"$P$39:$AD$42"),8,FALSE)</f>
        <v>2.0694444444444446</v>
      </c>
      <c r="R23" s="300"/>
      <c r="S23" s="300"/>
      <c r="T23" s="300"/>
      <c r="U23" s="199">
        <f ca="1">1/M23</f>
        <v>0.59171597633136097</v>
      </c>
      <c r="V23" s="199"/>
      <c r="W23" s="298"/>
      <c r="X23" s="698">
        <f ca="1">IF(VLOOKUP($AD23,INDIRECT("'"&amp;$B23&amp;"'!"&amp;"$P$39:$AD$42"),11,FALSE)="Cf. the utilized electricity",0,VLOOKUP($AD23,INDIRECT("'"&amp;$B23&amp;"'!"&amp;"$P$39:$AD$42"),11,FALSE))</f>
        <v>0</v>
      </c>
      <c r="Y23" s="81">
        <f ca="1">VLOOKUP($AD23,INDIRECT("'"&amp;$B23&amp;"'!"&amp;"$P$39:$AD$42"),12,FALSE)</f>
        <v>0</v>
      </c>
      <c r="Z23" s="81">
        <f ca="1">VLOOKUP($AD23,INDIRECT("'"&amp;$B23&amp;"'!"&amp;"$P$39:$AD$42"),13,FALSE)</f>
        <v>0</v>
      </c>
      <c r="AA23" s="81">
        <f ca="1">VLOOKUP($AD23,INDIRECT("'"&amp;$B23&amp;"'!"&amp;"$P$39:$AD$42"),14,FALSE)</f>
        <v>0</v>
      </c>
      <c r="AB23" s="81">
        <f ca="1">VLOOKUP($AD23,INDIRECT("'"&amp;$B23&amp;"'!"&amp;"$P$39:$AD$42"),15,FALSE)</f>
        <v>0</v>
      </c>
      <c r="AC23" s="226"/>
      <c r="AD23" s="81">
        <v>2030</v>
      </c>
      <c r="AE23" s="81"/>
      <c r="AF23" s="220"/>
      <c r="AI23" s="224">
        <v>2</v>
      </c>
    </row>
    <row r="24" spans="2:42" ht="14.5" customHeight="1">
      <c r="B24" s="357" t="s">
        <v>999</v>
      </c>
      <c r="D24" s="212"/>
      <c r="E24" s="212"/>
      <c r="F24" s="224" t="s">
        <v>1149</v>
      </c>
      <c r="G24" s="173" t="str">
        <f>$AI$20</f>
        <v>INDFWH</v>
      </c>
      <c r="H24" s="174"/>
      <c r="I24" s="174"/>
      <c r="K24" s="81"/>
      <c r="L24" s="333"/>
      <c r="M24" s="199"/>
      <c r="N24" s="81"/>
      <c r="O24" s="723"/>
      <c r="P24" s="723"/>
      <c r="Q24" s="81"/>
      <c r="R24" s="300"/>
      <c r="S24" s="300"/>
      <c r="T24" s="300"/>
      <c r="U24" s="199">
        <f ca="1">1-U23</f>
        <v>0.40828402366863903</v>
      </c>
      <c r="V24" s="300"/>
      <c r="W24" s="298"/>
      <c r="X24" s="698"/>
      <c r="Y24" s="81"/>
      <c r="Z24" s="81"/>
      <c r="AA24" s="81"/>
      <c r="AB24" s="81"/>
      <c r="AC24" s="226"/>
      <c r="AD24" s="81"/>
      <c r="AE24" s="81"/>
      <c r="AF24" s="220"/>
      <c r="AI24" s="224">
        <v>3</v>
      </c>
    </row>
    <row r="25" spans="2:42" ht="14.5" customHeight="1">
      <c r="B25" s="357" t="s">
        <v>999</v>
      </c>
      <c r="D25" s="212"/>
      <c r="E25" s="212"/>
      <c r="F25" s="224" t="s">
        <v>1149</v>
      </c>
      <c r="G25" s="173" t="s">
        <v>499</v>
      </c>
      <c r="H25" s="174" t="str">
        <f>$AI$14</f>
        <v>IFDPH</v>
      </c>
      <c r="I25" s="174"/>
      <c r="J25" s="224">
        <f t="shared" ref="J25" si="3">AD25</f>
        <v>2050</v>
      </c>
      <c r="K25" s="81"/>
      <c r="L25" s="333">
        <v>1</v>
      </c>
      <c r="M25" s="199">
        <f ca="1">VLOOKUP($AD25,INDIRECT("'"&amp;$B25&amp;"'!"&amp;"$P$39:$AD$42"),3,FALSE)</f>
        <v>1.71</v>
      </c>
      <c r="N25" s="81"/>
      <c r="O25" s="723">
        <f ca="1">VLOOKUP($AD25,INDIRECT("'"&amp;$B25&amp;"'!"&amp;"$P$39:$AD$42"),6,FALSE)/1000</f>
        <v>3.427</v>
      </c>
      <c r="P25" s="723">
        <f ca="1">VLOOKUP($AD25,INDIRECT("'"&amp;$B25&amp;"'!"&amp;"$P$39:$AD$42"),7,FALSE)/1000</f>
        <v>1.49E-2</v>
      </c>
      <c r="Q25" s="81">
        <f ca="1">VLOOKUP($AD25,INDIRECT("'"&amp;$B25&amp;"'!"&amp;"$P$39:$AD$42"),8,FALSE)</f>
        <v>2.0487500000000001</v>
      </c>
      <c r="R25" s="300"/>
      <c r="S25" s="300"/>
      <c r="T25" s="300"/>
      <c r="U25" s="199">
        <f ca="1">1/M25</f>
        <v>0.58479532163742687</v>
      </c>
      <c r="V25" s="199"/>
      <c r="W25" s="298"/>
      <c r="X25" s="698">
        <f ca="1">IF(VLOOKUP($AD25,INDIRECT("'"&amp;$B25&amp;"'!"&amp;"$P$39:$AD$42"),11,FALSE)="Cf. the utilized electricity",0,VLOOKUP($AD25,INDIRECT("'"&amp;$B25&amp;"'!"&amp;"$P$39:$AD$42"),11,FALSE))</f>
        <v>0</v>
      </c>
      <c r="Y25" s="81">
        <f ca="1">VLOOKUP($AD25,INDIRECT("'"&amp;$B25&amp;"'!"&amp;"$P$39:$AD$42"),12,FALSE)</f>
        <v>0</v>
      </c>
      <c r="Z25" s="81">
        <f ca="1">VLOOKUP($AD25,INDIRECT("'"&amp;$B25&amp;"'!"&amp;"$P$39:$AD$42"),13,FALSE)</f>
        <v>0</v>
      </c>
      <c r="AA25" s="81">
        <f ca="1">VLOOKUP($AD25,INDIRECT("'"&amp;$B25&amp;"'!"&amp;"$P$39:$AD$42"),14,FALSE)</f>
        <v>0</v>
      </c>
      <c r="AB25" s="81">
        <f ca="1">VLOOKUP($AD25,INDIRECT("'"&amp;$B25&amp;"'!"&amp;"$P$39:$AD$42"),15,FALSE)</f>
        <v>0</v>
      </c>
      <c r="AC25" s="226"/>
      <c r="AD25" s="81">
        <v>2050</v>
      </c>
      <c r="AE25" s="81"/>
      <c r="AF25" s="220"/>
      <c r="AI25" s="224">
        <v>4</v>
      </c>
    </row>
    <row r="26" spans="2:42" ht="15" customHeight="1">
      <c r="B26" s="357" t="s">
        <v>999</v>
      </c>
      <c r="D26" s="212"/>
      <c r="E26" s="212"/>
      <c r="F26" s="224" t="s">
        <v>1149</v>
      </c>
      <c r="G26" s="173" t="str">
        <f>$AI$20</f>
        <v>INDFWH</v>
      </c>
      <c r="H26" s="174"/>
      <c r="I26" s="174"/>
      <c r="K26" s="81"/>
      <c r="L26" s="333"/>
      <c r="M26" s="199"/>
      <c r="N26" s="81"/>
      <c r="O26" s="723"/>
      <c r="P26" s="723"/>
      <c r="Q26" s="81"/>
      <c r="R26" s="300"/>
      <c r="S26" s="300"/>
      <c r="T26" s="300"/>
      <c r="U26" s="199">
        <f ca="1">1-U25</f>
        <v>0.41520467836257313</v>
      </c>
      <c r="V26" s="300"/>
      <c r="W26" s="298"/>
      <c r="X26" s="698"/>
      <c r="Y26" s="81"/>
      <c r="Z26" s="81"/>
      <c r="AA26" s="81"/>
      <c r="AB26" s="81"/>
      <c r="AC26" s="226"/>
      <c r="AD26" s="81"/>
      <c r="AE26" s="81"/>
      <c r="AF26" s="220"/>
      <c r="AI26" s="224">
        <v>5</v>
      </c>
      <c r="AJ26" s="224" t="s">
        <v>715</v>
      </c>
    </row>
    <row r="27" spans="2:42">
      <c r="B27" s="357" t="s">
        <v>999</v>
      </c>
      <c r="D27" s="212" t="str">
        <f>"IND"&amp;RIGHT(H27,4)&amp;RIGHT(G27,3)&amp;"N"&amp;RIGHT(E27,1)</f>
        <v>INDFDSHELCN2</v>
      </c>
      <c r="E27" s="261" t="str">
        <f>"Industrial heating technology "&amp;$AJ$12&amp;" "&amp;RIGHT(H27,2)&amp;" - Heat driven heat pump utilizing waste heat - new 2"</f>
        <v>Industrial heating technology Food SH - Heat driven heat pump utilizing waste heat - new 2</v>
      </c>
      <c r="F27" s="224" t="s">
        <v>1149</v>
      </c>
      <c r="G27" s="173" t="s">
        <v>499</v>
      </c>
      <c r="H27" s="174" t="str">
        <f>$AI$15</f>
        <v>IFDSH</v>
      </c>
      <c r="I27" s="174"/>
      <c r="J27" s="224">
        <f t="shared" ref="J27" si="4">AD27</f>
        <v>2020</v>
      </c>
      <c r="K27" s="81">
        <v>2020</v>
      </c>
      <c r="L27" s="333">
        <v>1</v>
      </c>
      <c r="M27" s="199">
        <f ca="1">VLOOKUP($AD27,INDIRECT("'"&amp;$B27&amp;"'!"&amp;"$P$39:$AD$42"),3,FALSE)</f>
        <v>1.68</v>
      </c>
      <c r="N27" s="81">
        <f ca="1">VLOOKUP($AD27,INDIRECT("'"&amp;$B27&amp;"'!"&amp;"$P$39:$AD$42"),5,FALSE)</f>
        <v>20</v>
      </c>
      <c r="O27" s="723">
        <f ca="1">VLOOKUP($AD27,INDIRECT("'"&amp;$B27&amp;"'!"&amp;"$P$39:$AD$42"),6,FALSE)/1000</f>
        <v>4.1720000000000006</v>
      </c>
      <c r="P27" s="723">
        <f ca="1">VLOOKUP($AD27,INDIRECT("'"&amp;$B27&amp;"'!"&amp;"$P$39:$AD$42"),7,FALSE)/1000</f>
        <v>1.49E-2</v>
      </c>
      <c r="Q27" s="81">
        <f ca="1">VLOOKUP($AD27,INDIRECT("'"&amp;$B27&amp;"'!"&amp;"$P$39:$AD$42"),8,FALSE)</f>
        <v>2.0901388888888892</v>
      </c>
      <c r="R27" s="81">
        <v>3.1536000000000002E-2</v>
      </c>
      <c r="S27" s="199">
        <v>0.5</v>
      </c>
      <c r="T27" s="199">
        <f ca="1">HLOOKUP($T$2,INDIRECT("'"&amp;$B27&amp;"'!"&amp;"$P$6:$AC$19"),IF(H27=$AI$13,6,IF(H27=$AI$14,9,14)),FALSE)</f>
        <v>1</v>
      </c>
      <c r="U27" s="199">
        <f ca="1">1/M27</f>
        <v>0.59523809523809523</v>
      </c>
      <c r="V27" s="199"/>
      <c r="W27" s="298"/>
      <c r="X27" s="698">
        <f ca="1">IF(VLOOKUP($AD27,INDIRECT("'"&amp;$B27&amp;"'!"&amp;"$P$39:$AD$42"),11,FALSE)="Cf. the utilized electricity",0,VLOOKUP($AD27,INDIRECT("'"&amp;$B27&amp;"'!"&amp;"$P$39:$AD$42"),11,FALSE))</f>
        <v>0</v>
      </c>
      <c r="Y27" s="81">
        <f ca="1">VLOOKUP($AD27,INDIRECT("'"&amp;$B27&amp;"'!"&amp;"$P$39:$AD$42"),12,FALSE)</f>
        <v>0</v>
      </c>
      <c r="Z27" s="81">
        <f ca="1">VLOOKUP($AD27,INDIRECT("'"&amp;$B27&amp;"'!"&amp;"$P$39:$AD$42"),13,FALSE)</f>
        <v>0</v>
      </c>
      <c r="AA27" s="81">
        <f ca="1">VLOOKUP($AD27,INDIRECT("'"&amp;$B27&amp;"'!"&amp;"$P$39:$AD$42"),14,FALSE)</f>
        <v>0</v>
      </c>
      <c r="AB27" s="81">
        <f ca="1">VLOOKUP($AD27,INDIRECT("'"&amp;$B27&amp;"'!"&amp;"$P$39:$AD$42"),15,FALSE)</f>
        <v>0</v>
      </c>
      <c r="AD27" s="81">
        <v>2020</v>
      </c>
      <c r="AE27" s="81"/>
      <c r="AF27" s="220"/>
      <c r="AI27" s="224">
        <v>6</v>
      </c>
    </row>
    <row r="28" spans="2:42" ht="15" customHeight="1">
      <c r="B28" s="357" t="s">
        <v>999</v>
      </c>
      <c r="D28" s="212"/>
      <c r="E28" s="261"/>
      <c r="F28" s="224" t="s">
        <v>1149</v>
      </c>
      <c r="G28" s="173" t="str">
        <f>$AI$20</f>
        <v>INDFWH</v>
      </c>
      <c r="H28" s="174"/>
      <c r="I28" s="174"/>
      <c r="K28" s="81"/>
      <c r="L28" s="333"/>
      <c r="M28" s="199"/>
      <c r="N28" s="81"/>
      <c r="O28" s="723"/>
      <c r="P28" s="723"/>
      <c r="Q28" s="81"/>
      <c r="R28" s="200"/>
      <c r="S28" s="772"/>
      <c r="T28" s="772"/>
      <c r="U28" s="199">
        <f ca="1">1-U27</f>
        <v>0.40476190476190477</v>
      </c>
      <c r="V28" s="772"/>
      <c r="W28" s="298"/>
      <c r="X28" s="698"/>
      <c r="Y28" s="81"/>
      <c r="Z28" s="81"/>
      <c r="AA28" s="81"/>
      <c r="AB28" s="81"/>
      <c r="AD28" s="81"/>
      <c r="AE28" s="81"/>
      <c r="AF28" s="220"/>
      <c r="AI28" s="224">
        <v>7</v>
      </c>
      <c r="AJ28" s="224" t="s">
        <v>716</v>
      </c>
    </row>
    <row r="29" spans="2:42">
      <c r="B29" s="357" t="s">
        <v>999</v>
      </c>
      <c r="D29" s="212"/>
      <c r="E29" s="212"/>
      <c r="F29" s="224" t="s">
        <v>1149</v>
      </c>
      <c r="G29" s="173" t="s">
        <v>499</v>
      </c>
      <c r="H29" s="174" t="str">
        <f>$AI$15</f>
        <v>IFDSH</v>
      </c>
      <c r="I29" s="174"/>
      <c r="J29" s="224">
        <f t="shared" ref="J29" si="5">AD29</f>
        <v>2030</v>
      </c>
      <c r="K29" s="81"/>
      <c r="L29" s="333">
        <v>1</v>
      </c>
      <c r="M29" s="199">
        <f ca="1">VLOOKUP($AD29,INDIRECT("'"&amp;$B29&amp;"'!"&amp;"$P$39:$AD$42"),3,FALSE)</f>
        <v>1.69</v>
      </c>
      <c r="N29" s="81"/>
      <c r="O29" s="723">
        <f ca="1">VLOOKUP($AD29,INDIRECT("'"&amp;$B29&amp;"'!"&amp;"$P$39:$AD$42"),6,FALSE)/1000</f>
        <v>3.7995000000000001</v>
      </c>
      <c r="P29" s="723">
        <f ca="1">VLOOKUP($AD29,INDIRECT("'"&amp;$B29&amp;"'!"&amp;"$P$39:$AD$42"),7,FALSE)/1000</f>
        <v>1.49E-2</v>
      </c>
      <c r="Q29" s="81">
        <f ca="1">VLOOKUP($AD29,INDIRECT("'"&amp;$B29&amp;"'!"&amp;"$P$39:$AD$42"),8,FALSE)</f>
        <v>2.0694444444444446</v>
      </c>
      <c r="R29" s="300"/>
      <c r="S29" s="300"/>
      <c r="T29" s="300"/>
      <c r="U29" s="199">
        <f ca="1">1/M29</f>
        <v>0.59171597633136097</v>
      </c>
      <c r="V29" s="199"/>
      <c r="W29" s="298"/>
      <c r="X29" s="698">
        <f ca="1">IF(VLOOKUP($AD29,INDIRECT("'"&amp;$B29&amp;"'!"&amp;"$P$39:$AD$42"),11,FALSE)="Cf. the utilized electricity",0,VLOOKUP($AD29,INDIRECT("'"&amp;$B29&amp;"'!"&amp;"$P$39:$AD$42"),11,FALSE))</f>
        <v>0</v>
      </c>
      <c r="Y29" s="81">
        <f ca="1">VLOOKUP($AD29,INDIRECT("'"&amp;$B29&amp;"'!"&amp;"$P$39:$AD$42"),12,FALSE)</f>
        <v>0</v>
      </c>
      <c r="Z29" s="81">
        <f ca="1">VLOOKUP($AD29,INDIRECT("'"&amp;$B29&amp;"'!"&amp;"$P$39:$AD$42"),13,FALSE)</f>
        <v>0</v>
      </c>
      <c r="AA29" s="81">
        <f ca="1">VLOOKUP($AD29,INDIRECT("'"&amp;$B29&amp;"'!"&amp;"$P$39:$AD$42"),14,FALSE)</f>
        <v>0</v>
      </c>
      <c r="AB29" s="81">
        <f ca="1">VLOOKUP($AD29,INDIRECT("'"&amp;$B29&amp;"'!"&amp;"$P$39:$AD$42"),15,FALSE)</f>
        <v>0</v>
      </c>
      <c r="AD29" s="81">
        <v>2030</v>
      </c>
      <c r="AE29" s="81"/>
      <c r="AF29" s="220"/>
      <c r="AI29" s="224">
        <v>8</v>
      </c>
    </row>
    <row r="30" spans="2:42" ht="15" customHeight="1">
      <c r="B30" s="357" t="s">
        <v>999</v>
      </c>
      <c r="D30" s="212"/>
      <c r="E30" s="212"/>
      <c r="F30" s="224" t="s">
        <v>1149</v>
      </c>
      <c r="G30" s="173" t="str">
        <f>$AI$20</f>
        <v>INDFWH</v>
      </c>
      <c r="H30" s="174"/>
      <c r="I30" s="174"/>
      <c r="K30" s="81"/>
      <c r="L30" s="333"/>
      <c r="M30" s="199"/>
      <c r="N30" s="81"/>
      <c r="O30" s="723"/>
      <c r="P30" s="723"/>
      <c r="Q30" s="81"/>
      <c r="R30" s="300"/>
      <c r="S30" s="300"/>
      <c r="T30" s="300"/>
      <c r="U30" s="199">
        <f ca="1">1-U29</f>
        <v>0.40828402366863903</v>
      </c>
      <c r="V30" s="300"/>
      <c r="W30" s="298"/>
      <c r="X30" s="698"/>
      <c r="Y30" s="81"/>
      <c r="Z30" s="81"/>
      <c r="AA30" s="81"/>
      <c r="AB30" s="81"/>
      <c r="AD30" s="81"/>
      <c r="AE30" s="81"/>
      <c r="AF30" s="220"/>
      <c r="AI30" s="224">
        <v>9</v>
      </c>
      <c r="AJ30" s="224" t="s">
        <v>717</v>
      </c>
    </row>
    <row r="31" spans="2:42">
      <c r="B31" s="357" t="s">
        <v>999</v>
      </c>
      <c r="D31" s="212"/>
      <c r="E31" s="212"/>
      <c r="F31" s="224" t="s">
        <v>1149</v>
      </c>
      <c r="G31" s="173" t="s">
        <v>499</v>
      </c>
      <c r="H31" s="174" t="str">
        <f>$AI$15</f>
        <v>IFDSH</v>
      </c>
      <c r="I31" s="174"/>
      <c r="J31" s="224">
        <f t="shared" ref="J31" si="6">AD31</f>
        <v>2050</v>
      </c>
      <c r="K31" s="81"/>
      <c r="L31" s="333">
        <v>1</v>
      </c>
      <c r="M31" s="199">
        <f ca="1">VLOOKUP($AD31,INDIRECT("'"&amp;$B31&amp;"'!"&amp;"$P$39:$AD$42"),3,FALSE)</f>
        <v>1.71</v>
      </c>
      <c r="N31" s="81"/>
      <c r="O31" s="723">
        <f ca="1">VLOOKUP($AD31,INDIRECT("'"&amp;$B31&amp;"'!"&amp;"$P$39:$AD$42"),6,FALSE)/1000</f>
        <v>3.427</v>
      </c>
      <c r="P31" s="723">
        <f ca="1">VLOOKUP($AD31,INDIRECT("'"&amp;$B31&amp;"'!"&amp;"$P$39:$AD$42"),7,FALSE)/1000</f>
        <v>1.49E-2</v>
      </c>
      <c r="Q31" s="81">
        <f ca="1">VLOOKUP($AD31,INDIRECT("'"&amp;$B31&amp;"'!"&amp;"$P$39:$AD$42"),8,FALSE)</f>
        <v>2.0487500000000001</v>
      </c>
      <c r="R31" s="300"/>
      <c r="S31" s="300"/>
      <c r="T31" s="300"/>
      <c r="U31" s="199">
        <f ca="1">1/M31</f>
        <v>0.58479532163742687</v>
      </c>
      <c r="V31" s="199"/>
      <c r="W31" s="298"/>
      <c r="X31" s="698">
        <f ca="1">IF(VLOOKUP($AD31,INDIRECT("'"&amp;$B31&amp;"'!"&amp;"$P$39:$AD$42"),11,FALSE)="Cf. the utilized electricity",0,VLOOKUP($AD31,INDIRECT("'"&amp;$B31&amp;"'!"&amp;"$P$39:$AD$42"),11,FALSE))</f>
        <v>0</v>
      </c>
      <c r="Y31" s="81">
        <f ca="1">VLOOKUP($AD31,INDIRECT("'"&amp;$B31&amp;"'!"&amp;"$P$39:$AD$42"),12,FALSE)</f>
        <v>0</v>
      </c>
      <c r="Z31" s="81">
        <f ca="1">VLOOKUP($AD31,INDIRECT("'"&amp;$B31&amp;"'!"&amp;"$P$39:$AD$42"),13,FALSE)</f>
        <v>0</v>
      </c>
      <c r="AA31" s="81">
        <f ca="1">VLOOKUP($AD31,INDIRECT("'"&amp;$B31&amp;"'!"&amp;"$P$39:$AD$42"),14,FALSE)</f>
        <v>0</v>
      </c>
      <c r="AB31" s="81">
        <f ca="1">VLOOKUP($AD31,INDIRECT("'"&amp;$B31&amp;"'!"&amp;"$P$39:$AD$42"),15,FALSE)</f>
        <v>0</v>
      </c>
      <c r="AD31" s="81">
        <v>2050</v>
      </c>
      <c r="AE31" s="81"/>
      <c r="AF31" s="220"/>
      <c r="AI31" s="224">
        <v>10</v>
      </c>
    </row>
    <row r="32" spans="2:42">
      <c r="B32" s="357" t="s">
        <v>999</v>
      </c>
      <c r="D32" s="212"/>
      <c r="E32" s="212"/>
      <c r="F32" s="224" t="s">
        <v>1149</v>
      </c>
      <c r="G32" s="173" t="str">
        <f>$AI$20</f>
        <v>INDFWH</v>
      </c>
      <c r="H32" s="174"/>
      <c r="I32" s="174"/>
      <c r="K32" s="81"/>
      <c r="L32" s="333"/>
      <c r="M32" s="199"/>
      <c r="N32" s="81"/>
      <c r="O32" s="723"/>
      <c r="P32" s="723"/>
      <c r="Q32" s="81"/>
      <c r="R32" s="300"/>
      <c r="S32" s="300"/>
      <c r="T32" s="300"/>
      <c r="U32" s="199">
        <f ca="1">1-U31</f>
        <v>0.41520467836257313</v>
      </c>
      <c r="V32" s="300"/>
      <c r="W32" s="298"/>
      <c r="X32" s="698"/>
      <c r="Y32" s="81"/>
      <c r="Z32" s="81"/>
      <c r="AA32" s="81"/>
      <c r="AB32" s="81"/>
      <c r="AD32" s="81"/>
      <c r="AE32" s="81"/>
      <c r="AF32" s="220"/>
      <c r="AI32" s="224">
        <v>11</v>
      </c>
      <c r="AJ32" s="224" t="s">
        <v>718</v>
      </c>
    </row>
    <row r="33" spans="2:36">
      <c r="B33" s="357" t="s">
        <v>1000</v>
      </c>
      <c r="D33" s="212" t="str">
        <f>"IND"&amp;RIGHT(H33,4)&amp;RIGHT(G33,3)&amp;"N"&amp;RIGHT(E33,1)</f>
        <v>INDFDPHELCN3</v>
      </c>
      <c r="E33" s="261" t="str">
        <f>"Industrial heating technology "&amp;$AJ$12&amp;" "&amp;RIGHT(H33,2)&amp;" - High Temp abs. Heat pump utilizing waste heat - new 3"</f>
        <v>Industrial heating technology Food PH - High Temp abs. Heat pump utilizing waste heat - new 3</v>
      </c>
      <c r="F33" s="224" t="s">
        <v>1149</v>
      </c>
      <c r="G33" s="173" t="s">
        <v>499</v>
      </c>
      <c r="H33" s="174" t="str">
        <f>$AI$14</f>
        <v>IFDPH</v>
      </c>
      <c r="I33" s="174"/>
      <c r="J33" s="224">
        <f t="shared" ref="J33" si="7">AD33</f>
        <v>2020</v>
      </c>
      <c r="K33" s="81">
        <v>2020</v>
      </c>
      <c r="L33" s="333">
        <v>1</v>
      </c>
      <c r="M33" s="199">
        <f ca="1">VLOOKUP($AD33,INDIRECT("'"&amp;$B33&amp;"'!"&amp;"$P$39:$AD$42"),3,FALSE)</f>
        <v>2.75</v>
      </c>
      <c r="N33" s="81">
        <f ca="1">VLOOKUP($AD33,INDIRECT("'"&amp;$B33&amp;"'!"&amp;"$P$39:$AD$42"),5,FALSE)</f>
        <v>20</v>
      </c>
      <c r="O33" s="723">
        <f ca="1">VLOOKUP($AD33,INDIRECT("'"&amp;$B33&amp;"'!"&amp;"$P$39:$AD$42"),6,FALSE)/1000</f>
        <v>7.1394840000000004</v>
      </c>
      <c r="P33" s="723">
        <f ca="1">VLOOKUP($AD33,INDIRECT("'"&amp;$B33&amp;"'!"&amp;"$P$39:$AD$42"),7,FALSE)/1000</f>
        <v>7.2264999999999994E-3</v>
      </c>
      <c r="Q33" s="81">
        <f ca="1">VLOOKUP($AD33,INDIRECT("'"&amp;$B33&amp;"'!"&amp;"$P$39:$AD$42"),8,FALSE)</f>
        <v>6.7463888888888883</v>
      </c>
      <c r="R33" s="81">
        <v>3.1536000000000002E-2</v>
      </c>
      <c r="S33" s="199">
        <v>0.5</v>
      </c>
      <c r="T33" s="199">
        <f ca="1">HLOOKUP($T$2,INDIRECT("'"&amp;$B33&amp;"'!"&amp;"$P$6:$AC$19"),IF(H33=$AI$13,6,IF(H33=$AI$14,9,14)),FALSE)-T9</f>
        <v>0</v>
      </c>
      <c r="U33" s="199">
        <f ca="1">1/M33</f>
        <v>0.36363636363636365</v>
      </c>
      <c r="V33" s="199"/>
      <c r="W33" s="298"/>
      <c r="X33" s="698">
        <f ca="1">IF(VLOOKUP($AD33,INDIRECT("'"&amp;$B33&amp;"'!"&amp;"$P$39:$AD$42"),11,FALSE)="Cf. the utilized electricity",0,VLOOKUP($AD33,INDIRECT("'"&amp;$B33&amp;"'!"&amp;"$P$39:$AD$42"),11,FALSE))</f>
        <v>0</v>
      </c>
      <c r="Y33" s="81">
        <f ca="1">VLOOKUP($AD33,INDIRECT("'"&amp;$B33&amp;"'!"&amp;"$P$39:$AD$42"),12,FALSE)</f>
        <v>0</v>
      </c>
      <c r="Z33" s="81">
        <f ca="1">VLOOKUP($AD33,INDIRECT("'"&amp;$B33&amp;"'!"&amp;"$P$39:$AD$42"),13,FALSE)</f>
        <v>0</v>
      </c>
      <c r="AA33" s="81">
        <f ca="1">VLOOKUP($AD33,INDIRECT("'"&amp;$B33&amp;"'!"&amp;"$P$39:$AD$42"),14,FALSE)</f>
        <v>0</v>
      </c>
      <c r="AB33" s="81">
        <f ca="1">VLOOKUP($AD33,INDIRECT("'"&amp;$B33&amp;"'!"&amp;"$P$39:$AD$42"),15,FALSE)</f>
        <v>0</v>
      </c>
      <c r="AD33" s="81">
        <v>2020</v>
      </c>
      <c r="AE33" s="81"/>
      <c r="AF33" s="220"/>
      <c r="AI33" s="224">
        <v>12</v>
      </c>
    </row>
    <row r="34" spans="2:36">
      <c r="B34" s="357" t="s">
        <v>1000</v>
      </c>
      <c r="D34" s="212"/>
      <c r="E34" s="261"/>
      <c r="F34" s="224" t="s">
        <v>1149</v>
      </c>
      <c r="G34" s="173" t="str">
        <f>$AI$20</f>
        <v>INDFWH</v>
      </c>
      <c r="H34" s="174"/>
      <c r="I34" s="174"/>
      <c r="K34" s="81"/>
      <c r="L34" s="333"/>
      <c r="M34" s="199"/>
      <c r="N34" s="81"/>
      <c r="O34" s="723"/>
      <c r="P34" s="723"/>
      <c r="Q34" s="81"/>
      <c r="R34" s="200"/>
      <c r="S34" s="772"/>
      <c r="T34" s="772"/>
      <c r="U34" s="199">
        <f ca="1">1-U33</f>
        <v>0.63636363636363635</v>
      </c>
      <c r="V34" s="772"/>
      <c r="W34" s="298"/>
      <c r="X34" s="698"/>
      <c r="Y34" s="81"/>
      <c r="Z34" s="81"/>
      <c r="AA34" s="81"/>
      <c r="AB34" s="81"/>
      <c r="AD34" s="81"/>
      <c r="AE34" s="81"/>
      <c r="AF34" s="220"/>
      <c r="AI34" s="224">
        <v>13</v>
      </c>
      <c r="AJ34" s="224" t="s">
        <v>719</v>
      </c>
    </row>
    <row r="35" spans="2:36">
      <c r="B35" s="357" t="s">
        <v>1000</v>
      </c>
      <c r="D35" s="212"/>
      <c r="E35" s="212"/>
      <c r="F35" s="224" t="s">
        <v>1149</v>
      </c>
      <c r="G35" s="173" t="s">
        <v>499</v>
      </c>
      <c r="H35" s="174" t="str">
        <f>$AI$14</f>
        <v>IFDPH</v>
      </c>
      <c r="I35" s="174"/>
      <c r="J35" s="224">
        <f t="shared" ref="J35" si="8">AD35</f>
        <v>2030</v>
      </c>
      <c r="K35" s="81"/>
      <c r="L35" s="333">
        <v>1</v>
      </c>
      <c r="M35" s="199">
        <f ca="1">VLOOKUP($AD35,INDIRECT("'"&amp;$B35&amp;"'!"&amp;"$P$39:$AD$42"),3,FALSE)</f>
        <v>2.875</v>
      </c>
      <c r="N35" s="81"/>
      <c r="O35" s="723">
        <f ca="1">VLOOKUP($AD35,INDIRECT("'"&amp;$B35&amp;"'!"&amp;"$P$39:$AD$42"),6,FALSE)/1000</f>
        <v>6.3822660000000013</v>
      </c>
      <c r="P35" s="723">
        <f ca="1">VLOOKUP($AD35,INDIRECT("'"&amp;$B35&amp;"'!"&amp;"$P$39:$AD$42"),7,FALSE)/1000</f>
        <v>6.4814999999999994E-3</v>
      </c>
      <c r="Q35" s="81">
        <f ca="1">VLOOKUP($AD35,INDIRECT("'"&amp;$B35&amp;"'!"&amp;"$P$39:$AD$42"),8,FALSE)</f>
        <v>6.6222222222222227</v>
      </c>
      <c r="R35" s="300"/>
      <c r="S35" s="300"/>
      <c r="T35" s="300"/>
      <c r="U35" s="199">
        <f ca="1">1/M35</f>
        <v>0.34782608695652173</v>
      </c>
      <c r="V35" s="199"/>
      <c r="W35" s="298"/>
      <c r="X35" s="698">
        <f ca="1">IF(VLOOKUP($AD35,INDIRECT("'"&amp;$B35&amp;"'!"&amp;"$P$39:$AD$42"),11,FALSE)="Cf. the utilized electricity",0,VLOOKUP($AD35,INDIRECT("'"&amp;$B35&amp;"'!"&amp;"$P$39:$AD$42"),11,FALSE))</f>
        <v>0</v>
      </c>
      <c r="Y35" s="81">
        <f ca="1">VLOOKUP($AD35,INDIRECT("'"&amp;$B35&amp;"'!"&amp;"$P$39:$AD$42"),12,FALSE)</f>
        <v>0</v>
      </c>
      <c r="Z35" s="81">
        <f ca="1">VLOOKUP($AD35,INDIRECT("'"&amp;$B35&amp;"'!"&amp;"$P$39:$AD$42"),13,FALSE)</f>
        <v>0</v>
      </c>
      <c r="AA35" s="81">
        <f ca="1">VLOOKUP($AD35,INDIRECT("'"&amp;$B35&amp;"'!"&amp;"$P$39:$AD$42"),14,FALSE)</f>
        <v>0</v>
      </c>
      <c r="AB35" s="81">
        <f ca="1">VLOOKUP($AD35,INDIRECT("'"&amp;$B35&amp;"'!"&amp;"$P$39:$AD$42"),15,FALSE)</f>
        <v>0</v>
      </c>
      <c r="AD35" s="81">
        <v>2030</v>
      </c>
      <c r="AE35" s="81"/>
      <c r="AF35" s="220"/>
      <c r="AI35" s="224">
        <v>14</v>
      </c>
    </row>
    <row r="36" spans="2:36">
      <c r="B36" s="357" t="s">
        <v>1000</v>
      </c>
      <c r="D36" s="212"/>
      <c r="E36" s="212"/>
      <c r="F36" s="224" t="s">
        <v>1149</v>
      </c>
      <c r="G36" s="173" t="str">
        <f>$AI$20</f>
        <v>INDFWH</v>
      </c>
      <c r="H36" s="174"/>
      <c r="I36" s="174"/>
      <c r="K36" s="81"/>
      <c r="L36" s="333"/>
      <c r="M36" s="199"/>
      <c r="N36" s="81"/>
      <c r="O36" s="723"/>
      <c r="P36" s="723"/>
      <c r="Q36" s="81"/>
      <c r="R36" s="300"/>
      <c r="S36" s="300"/>
      <c r="T36" s="300"/>
      <c r="U36" s="199">
        <f ca="1">1-U35</f>
        <v>0.65217391304347827</v>
      </c>
      <c r="V36" s="300"/>
      <c r="W36" s="298"/>
      <c r="X36" s="698"/>
      <c r="Y36" s="81"/>
      <c r="Z36" s="81"/>
      <c r="AA36" s="81"/>
      <c r="AB36" s="81"/>
      <c r="AD36" s="81"/>
      <c r="AE36" s="81"/>
      <c r="AF36" s="220"/>
    </row>
    <row r="37" spans="2:36">
      <c r="B37" s="357" t="s">
        <v>1000</v>
      </c>
      <c r="D37" s="212"/>
      <c r="E37" s="212"/>
      <c r="F37" s="224" t="s">
        <v>1149</v>
      </c>
      <c r="G37" s="173" t="s">
        <v>499</v>
      </c>
      <c r="H37" s="174" t="str">
        <f>$AI$14</f>
        <v>IFDPH</v>
      </c>
      <c r="I37" s="174"/>
      <c r="J37" s="224">
        <f t="shared" ref="J37" si="9">AD37</f>
        <v>2050</v>
      </c>
      <c r="K37" s="81"/>
      <c r="L37" s="333">
        <v>1</v>
      </c>
      <c r="M37" s="199">
        <f ca="1">VLOOKUP($AD37,INDIRECT("'"&amp;$B37&amp;"'!"&amp;"$P$39:$AD$42"),3,FALSE)</f>
        <v>3.0249999999999999</v>
      </c>
      <c r="N37" s="81"/>
      <c r="O37" s="723">
        <f ca="1">VLOOKUP($AD37,INDIRECT("'"&amp;$B37&amp;"'!"&amp;"$P$39:$AD$42"),6,FALSE)/1000</f>
        <v>5.7365000000000004</v>
      </c>
      <c r="P37" s="723">
        <f ca="1">VLOOKUP($AD37,INDIRECT("'"&amp;$B37&amp;"'!"&amp;"$P$39:$AD$42"),7,FALSE)/1000</f>
        <v>5.3639999999999998E-3</v>
      </c>
      <c r="Q37" s="81">
        <f ca="1">VLOOKUP($AD37,INDIRECT("'"&amp;$B37&amp;"'!"&amp;"$P$39:$AD$42"),8,FALSE)</f>
        <v>6.4566666666666661</v>
      </c>
      <c r="R37" s="300"/>
      <c r="S37" s="300"/>
      <c r="T37" s="300"/>
      <c r="U37" s="199">
        <f ca="1">1/M37</f>
        <v>0.33057851239669422</v>
      </c>
      <c r="V37" s="199"/>
      <c r="W37" s="298"/>
      <c r="X37" s="698">
        <f ca="1">IF(VLOOKUP($AD37,INDIRECT("'"&amp;$B37&amp;"'!"&amp;"$P$39:$AD$42"),11,FALSE)="Cf. the utilized electricity",0,VLOOKUP($AD37,INDIRECT("'"&amp;$B37&amp;"'!"&amp;"$P$39:$AD$42"),11,FALSE))</f>
        <v>0</v>
      </c>
      <c r="Y37" s="81">
        <f ca="1">VLOOKUP($AD37,INDIRECT("'"&amp;$B37&amp;"'!"&amp;"$P$39:$AD$42"),12,FALSE)</f>
        <v>0</v>
      </c>
      <c r="Z37" s="81">
        <f ca="1">VLOOKUP($AD37,INDIRECT("'"&amp;$B37&amp;"'!"&amp;"$P$39:$AD$42"),13,FALSE)</f>
        <v>0</v>
      </c>
      <c r="AA37" s="81">
        <f ca="1">VLOOKUP($AD37,INDIRECT("'"&amp;$B37&amp;"'!"&amp;"$P$39:$AD$42"),14,FALSE)</f>
        <v>0</v>
      </c>
      <c r="AB37" s="81">
        <f ca="1">VLOOKUP($AD37,INDIRECT("'"&amp;$B37&amp;"'!"&amp;"$P$39:$AD$42"),15,FALSE)</f>
        <v>0</v>
      </c>
      <c r="AD37" s="81">
        <v>2050</v>
      </c>
      <c r="AE37" s="81"/>
      <c r="AF37" s="220"/>
    </row>
    <row r="38" spans="2:36">
      <c r="B38" s="357" t="s">
        <v>1000</v>
      </c>
      <c r="D38" s="212"/>
      <c r="E38" s="212"/>
      <c r="F38" s="224" t="s">
        <v>1149</v>
      </c>
      <c r="G38" s="173" t="str">
        <f>$AI$20</f>
        <v>INDFWH</v>
      </c>
      <c r="H38" s="174"/>
      <c r="I38" s="174"/>
      <c r="K38" s="81"/>
      <c r="L38" s="333"/>
      <c r="M38" s="199"/>
      <c r="N38" s="81"/>
      <c r="O38" s="723"/>
      <c r="P38" s="723"/>
      <c r="Q38" s="81"/>
      <c r="R38" s="300"/>
      <c r="S38" s="300"/>
      <c r="T38" s="300"/>
      <c r="U38" s="199">
        <f ca="1">1-U37</f>
        <v>0.66942148760330578</v>
      </c>
      <c r="V38" s="300"/>
      <c r="W38" s="298"/>
      <c r="X38" s="698"/>
      <c r="Y38" s="81"/>
      <c r="Z38" s="81"/>
      <c r="AA38" s="81"/>
      <c r="AB38" s="81"/>
      <c r="AD38" s="81"/>
      <c r="AE38" s="81"/>
      <c r="AF38" s="220"/>
    </row>
    <row r="39" spans="2:36">
      <c r="B39" s="357" t="s">
        <v>1000</v>
      </c>
      <c r="D39" s="212" t="str">
        <f>"IND"&amp;RIGHT(H39,4)&amp;RIGHT(G39,3)&amp;"N"&amp;RIGHT(E39,1)</f>
        <v>INDFDSHELCN3</v>
      </c>
      <c r="E39" s="261" t="str">
        <f>"Industrial heating technology "&amp;$AJ$12&amp;" "&amp;RIGHT(H39,2)&amp;" - High Temp abs. Heat pump utilizing waste heat - new 3"</f>
        <v>Industrial heating technology Food SH - High Temp abs. Heat pump utilizing waste heat - new 3</v>
      </c>
      <c r="F39" s="224" t="s">
        <v>1149</v>
      </c>
      <c r="G39" s="173" t="s">
        <v>499</v>
      </c>
      <c r="H39" s="174" t="str">
        <f>$AI$15</f>
        <v>IFDSH</v>
      </c>
      <c r="I39" s="174"/>
      <c r="J39" s="224">
        <f t="shared" ref="J39" si="10">AD39</f>
        <v>2020</v>
      </c>
      <c r="K39" s="81">
        <v>2020</v>
      </c>
      <c r="L39" s="333">
        <v>1</v>
      </c>
      <c r="M39" s="199">
        <f ca="1">VLOOKUP($AD39,INDIRECT("'"&amp;$B39&amp;"'!"&amp;"$P$39:$AD$42"),3,FALSE)</f>
        <v>2.75</v>
      </c>
      <c r="N39" s="81">
        <f ca="1">VLOOKUP($AD39,INDIRECT("'"&amp;$B39&amp;"'!"&amp;"$P$39:$AD$42"),5,FALSE)</f>
        <v>20</v>
      </c>
      <c r="O39" s="723">
        <f ca="1">VLOOKUP($AD39,INDIRECT("'"&amp;$B39&amp;"'!"&amp;"$P$39:$AD$42"),6,FALSE)/1000</f>
        <v>7.1394840000000004</v>
      </c>
      <c r="P39" s="723">
        <f ca="1">VLOOKUP($AD39,INDIRECT("'"&amp;$B39&amp;"'!"&amp;"$P$39:$AD$42"),7,FALSE)/1000</f>
        <v>7.2264999999999994E-3</v>
      </c>
      <c r="Q39" s="81">
        <f ca="1">VLOOKUP($AD39,INDIRECT("'"&amp;$B39&amp;"'!"&amp;"$P$39:$AD$42"),8,FALSE)</f>
        <v>6.7463888888888883</v>
      </c>
      <c r="R39" s="81">
        <v>3.1536000000000002E-2</v>
      </c>
      <c r="S39" s="199">
        <v>0.5</v>
      </c>
      <c r="T39" s="199">
        <f ca="1">HLOOKUP($T$2,INDIRECT("'"&amp;$B39&amp;"'!"&amp;"$P$6:$AC$19"),IF(H39=$AI$13,6,IF(H39=$AI$14,9,14)),FALSE)</f>
        <v>1</v>
      </c>
      <c r="U39" s="199">
        <f ca="1">1/M39</f>
        <v>0.36363636363636365</v>
      </c>
      <c r="V39" s="199"/>
      <c r="W39" s="298"/>
      <c r="X39" s="698">
        <f ca="1">IF(VLOOKUP($AD39,INDIRECT("'"&amp;$B39&amp;"'!"&amp;"$P$39:$AD$42"),11,FALSE)="Cf. the utilized electricity",0,VLOOKUP($AD39,INDIRECT("'"&amp;$B39&amp;"'!"&amp;"$P$39:$AD$42"),11,FALSE))</f>
        <v>0</v>
      </c>
      <c r="Y39" s="81">
        <f ca="1">VLOOKUP($AD39,INDIRECT("'"&amp;$B39&amp;"'!"&amp;"$P$39:$AD$42"),12,FALSE)</f>
        <v>0</v>
      </c>
      <c r="Z39" s="81">
        <f ca="1">VLOOKUP($AD39,INDIRECT("'"&amp;$B39&amp;"'!"&amp;"$P$39:$AD$42"),13,FALSE)</f>
        <v>0</v>
      </c>
      <c r="AA39" s="81">
        <f ca="1">VLOOKUP($AD39,INDIRECT("'"&amp;$B39&amp;"'!"&amp;"$P$39:$AD$42"),14,FALSE)</f>
        <v>0</v>
      </c>
      <c r="AB39" s="81">
        <f ca="1">VLOOKUP($AD39,INDIRECT("'"&amp;$B39&amp;"'!"&amp;"$P$39:$AD$42"),15,FALSE)</f>
        <v>0</v>
      </c>
      <c r="AD39" s="81">
        <v>2020</v>
      </c>
      <c r="AE39" s="81"/>
      <c r="AF39" s="220"/>
    </row>
    <row r="40" spans="2:36">
      <c r="B40" s="357" t="s">
        <v>1000</v>
      </c>
      <c r="D40" s="212"/>
      <c r="E40" s="261"/>
      <c r="F40" s="224" t="s">
        <v>1149</v>
      </c>
      <c r="G40" s="173" t="str">
        <f>$AI$20</f>
        <v>INDFWH</v>
      </c>
      <c r="H40" s="174"/>
      <c r="I40" s="174"/>
      <c r="K40" s="81"/>
      <c r="L40" s="333"/>
      <c r="M40" s="199"/>
      <c r="N40" s="81"/>
      <c r="O40" s="723"/>
      <c r="P40" s="723"/>
      <c r="Q40" s="81"/>
      <c r="R40" s="200"/>
      <c r="S40" s="772"/>
      <c r="T40" s="772"/>
      <c r="U40" s="199">
        <f ca="1">1-U39</f>
        <v>0.63636363636363635</v>
      </c>
      <c r="V40" s="772"/>
      <c r="W40" s="298"/>
      <c r="X40" s="698"/>
      <c r="Y40" s="81"/>
      <c r="Z40" s="81"/>
      <c r="AA40" s="81"/>
      <c r="AB40" s="81"/>
      <c r="AD40" s="81"/>
      <c r="AE40" s="81"/>
      <c r="AF40" s="220"/>
    </row>
    <row r="41" spans="2:36">
      <c r="B41" s="357" t="s">
        <v>1000</v>
      </c>
      <c r="D41" s="212"/>
      <c r="E41" s="212"/>
      <c r="F41" s="224" t="s">
        <v>1149</v>
      </c>
      <c r="G41" s="173" t="s">
        <v>499</v>
      </c>
      <c r="H41" s="174" t="str">
        <f>$AI$15</f>
        <v>IFDSH</v>
      </c>
      <c r="I41" s="174"/>
      <c r="J41" s="224">
        <f t="shared" ref="J41" si="11">AD41</f>
        <v>2030</v>
      </c>
      <c r="K41" s="81"/>
      <c r="L41" s="333">
        <v>1</v>
      </c>
      <c r="M41" s="199">
        <f ca="1">VLOOKUP($AD41,INDIRECT("'"&amp;$B41&amp;"'!"&amp;"$P$39:$AD$42"),3,FALSE)</f>
        <v>2.875</v>
      </c>
      <c r="N41" s="81"/>
      <c r="O41" s="723">
        <f ca="1">VLOOKUP($AD41,INDIRECT("'"&amp;$B41&amp;"'!"&amp;"$P$39:$AD$42"),6,FALSE)/1000</f>
        <v>6.3822660000000013</v>
      </c>
      <c r="P41" s="723">
        <f ca="1">VLOOKUP($AD41,INDIRECT("'"&amp;$B41&amp;"'!"&amp;"$P$39:$AD$42"),7,FALSE)/1000</f>
        <v>6.4814999999999994E-3</v>
      </c>
      <c r="Q41" s="81">
        <f ca="1">VLOOKUP($AD41,INDIRECT("'"&amp;$B41&amp;"'!"&amp;"$P$39:$AD$42"),8,FALSE)</f>
        <v>6.6222222222222227</v>
      </c>
      <c r="R41" s="300"/>
      <c r="S41" s="300"/>
      <c r="T41" s="300"/>
      <c r="U41" s="199">
        <f ca="1">1/M41</f>
        <v>0.34782608695652173</v>
      </c>
      <c r="V41" s="199"/>
      <c r="W41" s="298"/>
      <c r="X41" s="698">
        <f ca="1">IF(VLOOKUP($AD41,INDIRECT("'"&amp;$B41&amp;"'!"&amp;"$P$39:$AD$42"),11,FALSE)="Cf. the utilized electricity",0,VLOOKUP($AD41,INDIRECT("'"&amp;$B41&amp;"'!"&amp;"$P$39:$AD$42"),11,FALSE))</f>
        <v>0</v>
      </c>
      <c r="Y41" s="81">
        <f ca="1">VLOOKUP($AD41,INDIRECT("'"&amp;$B41&amp;"'!"&amp;"$P$39:$AD$42"),12,FALSE)</f>
        <v>0</v>
      </c>
      <c r="Z41" s="81">
        <f ca="1">VLOOKUP($AD41,INDIRECT("'"&amp;$B41&amp;"'!"&amp;"$P$39:$AD$42"),13,FALSE)</f>
        <v>0</v>
      </c>
      <c r="AA41" s="81">
        <f ca="1">VLOOKUP($AD41,INDIRECT("'"&amp;$B41&amp;"'!"&amp;"$P$39:$AD$42"),14,FALSE)</f>
        <v>0</v>
      </c>
      <c r="AB41" s="81">
        <f ca="1">VLOOKUP($AD41,INDIRECT("'"&amp;$B41&amp;"'!"&amp;"$P$39:$AD$42"),15,FALSE)</f>
        <v>0</v>
      </c>
      <c r="AD41" s="81">
        <v>2030</v>
      </c>
      <c r="AE41" s="81"/>
      <c r="AF41" s="220"/>
    </row>
    <row r="42" spans="2:36">
      <c r="B42" s="357" t="s">
        <v>1000</v>
      </c>
      <c r="D42" s="212"/>
      <c r="E42" s="212"/>
      <c r="F42" s="224" t="s">
        <v>1149</v>
      </c>
      <c r="G42" s="173" t="str">
        <f>$AI$20</f>
        <v>INDFWH</v>
      </c>
      <c r="H42" s="174"/>
      <c r="I42" s="174"/>
      <c r="K42" s="81"/>
      <c r="L42" s="333"/>
      <c r="M42" s="199"/>
      <c r="N42" s="81"/>
      <c r="O42" s="723"/>
      <c r="P42" s="723"/>
      <c r="Q42" s="81"/>
      <c r="R42" s="300"/>
      <c r="S42" s="300"/>
      <c r="T42" s="300"/>
      <c r="U42" s="199">
        <f ca="1">1-U41</f>
        <v>0.65217391304347827</v>
      </c>
      <c r="V42" s="300"/>
      <c r="W42" s="298"/>
      <c r="X42" s="698"/>
      <c r="Y42" s="81"/>
      <c r="Z42" s="81"/>
      <c r="AA42" s="81"/>
      <c r="AB42" s="81"/>
      <c r="AD42" s="81"/>
      <c r="AE42" s="81"/>
      <c r="AF42" s="220"/>
    </row>
    <row r="43" spans="2:36">
      <c r="B43" s="357" t="s">
        <v>1000</v>
      </c>
      <c r="D43" s="212"/>
      <c r="E43" s="212"/>
      <c r="F43" s="224" t="s">
        <v>1149</v>
      </c>
      <c r="G43" s="173" t="s">
        <v>499</v>
      </c>
      <c r="H43" s="174" t="str">
        <f>$AI$15</f>
        <v>IFDSH</v>
      </c>
      <c r="I43" s="174"/>
      <c r="J43" s="224">
        <f t="shared" ref="J43" si="12">AD43</f>
        <v>2050</v>
      </c>
      <c r="K43" s="81"/>
      <c r="L43" s="333">
        <v>1</v>
      </c>
      <c r="M43" s="199">
        <f ca="1">VLOOKUP($AD43,INDIRECT("'"&amp;$B43&amp;"'!"&amp;"$P$39:$AD$42"),3,FALSE)</f>
        <v>3.0249999999999999</v>
      </c>
      <c r="N43" s="81"/>
      <c r="O43" s="723">
        <f ca="1">VLOOKUP($AD43,INDIRECT("'"&amp;$B43&amp;"'!"&amp;"$P$39:$AD$42"),6,FALSE)/1000</f>
        <v>5.7365000000000004</v>
      </c>
      <c r="P43" s="723">
        <f ca="1">VLOOKUP($AD43,INDIRECT("'"&amp;$B43&amp;"'!"&amp;"$P$39:$AD$42"),7,FALSE)/1000</f>
        <v>5.3639999999999998E-3</v>
      </c>
      <c r="Q43" s="81">
        <f ca="1">VLOOKUP($AD43,INDIRECT("'"&amp;$B43&amp;"'!"&amp;"$P$39:$AD$42"),8,FALSE)</f>
        <v>6.4566666666666661</v>
      </c>
      <c r="R43" s="300"/>
      <c r="S43" s="300"/>
      <c r="T43" s="300"/>
      <c r="U43" s="199">
        <f ca="1">1/M43</f>
        <v>0.33057851239669422</v>
      </c>
      <c r="V43" s="199"/>
      <c r="W43" s="298"/>
      <c r="X43" s="698">
        <f ca="1">IF(VLOOKUP($AD43,INDIRECT("'"&amp;$B43&amp;"'!"&amp;"$P$39:$AD$42"),11,FALSE)="Cf. the utilized electricity",0,VLOOKUP($AD43,INDIRECT("'"&amp;$B43&amp;"'!"&amp;"$P$39:$AD$42"),11,FALSE))</f>
        <v>0</v>
      </c>
      <c r="Y43" s="81">
        <f ca="1">VLOOKUP($AD43,INDIRECT("'"&amp;$B43&amp;"'!"&amp;"$P$39:$AD$42"),12,FALSE)</f>
        <v>0</v>
      </c>
      <c r="Z43" s="81">
        <f ca="1">VLOOKUP($AD43,INDIRECT("'"&amp;$B43&amp;"'!"&amp;"$P$39:$AD$42"),13,FALSE)</f>
        <v>0</v>
      </c>
      <c r="AA43" s="81">
        <f ca="1">VLOOKUP($AD43,INDIRECT("'"&amp;$B43&amp;"'!"&amp;"$P$39:$AD$42"),14,FALSE)</f>
        <v>0</v>
      </c>
      <c r="AB43" s="81">
        <f ca="1">VLOOKUP($AD43,INDIRECT("'"&amp;$B43&amp;"'!"&amp;"$P$39:$AD$42"),15,FALSE)</f>
        <v>0</v>
      </c>
      <c r="AD43" s="81">
        <v>2050</v>
      </c>
      <c r="AE43" s="81"/>
      <c r="AF43" s="220"/>
    </row>
    <row r="44" spans="2:36">
      <c r="B44" s="357" t="s">
        <v>1000</v>
      </c>
      <c r="D44" s="212"/>
      <c r="E44" s="212"/>
      <c r="F44" s="224" t="s">
        <v>1149</v>
      </c>
      <c r="G44" s="173" t="str">
        <f>$AI$20</f>
        <v>INDFWH</v>
      </c>
      <c r="H44" s="174"/>
      <c r="I44" s="174"/>
      <c r="K44" s="81"/>
      <c r="L44" s="333"/>
      <c r="M44" s="199"/>
      <c r="N44" s="81"/>
      <c r="O44" s="723"/>
      <c r="P44" s="723"/>
      <c r="Q44" s="81"/>
      <c r="R44" s="300"/>
      <c r="S44" s="300"/>
      <c r="T44" s="300"/>
      <c r="U44" s="199">
        <f ca="1">1-U43</f>
        <v>0.66942148760330578</v>
      </c>
      <c r="V44" s="300"/>
      <c r="W44" s="298"/>
      <c r="X44" s="698"/>
      <c r="Y44" s="81"/>
      <c r="Z44" s="81"/>
      <c r="AA44" s="81"/>
      <c r="AB44" s="81"/>
      <c r="AD44" s="81"/>
      <c r="AE44" s="81"/>
      <c r="AF44" s="220"/>
    </row>
    <row r="45" spans="2:36">
      <c r="B45" s="357" t="s">
        <v>1001</v>
      </c>
      <c r="D45" s="212" t="str">
        <f>"IND"&amp;RIGHT(H45,4)&amp;RIGHT(G45,3)&amp;"N"&amp;RIGHT(E45,1)</f>
        <v>INDFDPHELCN4</v>
      </c>
      <c r="E45" s="261" t="str">
        <f>"Industrial heating technology "&amp;$AJ$12&amp;" "&amp;RIGHT(H45,2)&amp;" - Booster Heat pump utilizing waste heat - new 4"</f>
        <v>Industrial heating technology Food PH - Booster Heat pump utilizing waste heat - new 4</v>
      </c>
      <c r="F45" s="224" t="s">
        <v>1149</v>
      </c>
      <c r="G45" s="173" t="s">
        <v>499</v>
      </c>
      <c r="H45" s="174" t="str">
        <f>$AI$14</f>
        <v>IFDPH</v>
      </c>
      <c r="I45" s="174"/>
      <c r="J45" s="224">
        <f t="shared" ref="J45" si="13">AD45</f>
        <v>2020</v>
      </c>
      <c r="K45" s="81">
        <v>2020</v>
      </c>
      <c r="L45" s="333">
        <v>1</v>
      </c>
      <c r="M45" s="199">
        <f ca="1">VLOOKUP($AD45,INDIRECT("'"&amp;$B45&amp;"'!"&amp;"$P$39:$AD$42"),3,FALSE)</f>
        <v>1.93</v>
      </c>
      <c r="N45" s="81">
        <f ca="1">VLOOKUP($AD45,INDIRECT("'"&amp;$B45&amp;"'!"&amp;"$P$39:$AD$42"),5,FALSE)</f>
        <v>20</v>
      </c>
      <c r="O45" s="723">
        <f ca="1">VLOOKUP($AD45,INDIRECT("'"&amp;$B45&amp;"'!"&amp;"$P$39:$AD$42"),6,FALSE)/1000</f>
        <v>12.158890687341184</v>
      </c>
      <c r="P45" s="723">
        <f ca="1">VLOOKUP($AD45,INDIRECT("'"&amp;$B45&amp;"'!"&amp;"$P$39:$AD$42"),7,FALSE)/1000</f>
        <v>1.49E-2</v>
      </c>
      <c r="Q45" s="81">
        <f ca="1">VLOOKUP($AD45,INDIRECT("'"&amp;$B45&amp;"'!"&amp;"$P$39:$AD$42"),8,FALSE)</f>
        <v>7.1188888888888897</v>
      </c>
      <c r="R45" s="81">
        <v>3.1536000000000002E-2</v>
      </c>
      <c r="S45" s="199">
        <v>0.5</v>
      </c>
      <c r="T45" s="199">
        <f ca="1">HLOOKUP($T$2,INDIRECT("'"&amp;$B45&amp;"'!"&amp;"$P$6:$AC$19"),IF(H45=$AI$13,6,IF(H45=$AI$14,9,14)),FALSE)-T9</f>
        <v>0</v>
      </c>
      <c r="U45" s="199">
        <f ca="1">1/M45</f>
        <v>0.5181347150259068</v>
      </c>
      <c r="V45" s="199"/>
      <c r="W45" s="298"/>
      <c r="X45" s="698">
        <f ca="1">IF(VLOOKUP($AD45,INDIRECT("'"&amp;$B45&amp;"'!"&amp;"$P$39:$AD$42"),11,FALSE)="Cf. the utilized electricity",0,VLOOKUP($AD45,INDIRECT("'"&amp;$B45&amp;"'!"&amp;"$P$39:$AD$42"),11,FALSE))</f>
        <v>0</v>
      </c>
      <c r="Y45" s="81">
        <f ca="1">VLOOKUP($AD45,INDIRECT("'"&amp;$B45&amp;"'!"&amp;"$P$39:$AD$42"),12,FALSE)</f>
        <v>0</v>
      </c>
      <c r="Z45" s="81">
        <f ca="1">VLOOKUP($AD45,INDIRECT("'"&amp;$B45&amp;"'!"&amp;"$P$39:$AD$42"),13,FALSE)</f>
        <v>0</v>
      </c>
      <c r="AA45" s="81">
        <f ca="1">VLOOKUP($AD45,INDIRECT("'"&amp;$B45&amp;"'!"&amp;"$P$39:$AD$42"),14,FALSE)</f>
        <v>0</v>
      </c>
      <c r="AB45" s="81">
        <f ca="1">VLOOKUP($AD45,INDIRECT("'"&amp;$B45&amp;"'!"&amp;"$P$39:$AD$42"),15,FALSE)</f>
        <v>0</v>
      </c>
      <c r="AD45" s="81">
        <v>2020</v>
      </c>
      <c r="AE45" s="81"/>
      <c r="AF45" s="220"/>
    </row>
    <row r="46" spans="2:36">
      <c r="B46" s="357" t="s">
        <v>1001</v>
      </c>
      <c r="D46" s="212"/>
      <c r="E46" s="261"/>
      <c r="F46" s="224" t="s">
        <v>1149</v>
      </c>
      <c r="G46" s="173" t="str">
        <f>$AI$20</f>
        <v>INDFWH</v>
      </c>
      <c r="H46" s="174"/>
      <c r="I46" s="174"/>
      <c r="K46" s="81"/>
      <c r="L46" s="333"/>
      <c r="M46" s="199"/>
      <c r="N46" s="81"/>
      <c r="O46" s="723"/>
      <c r="P46" s="723"/>
      <c r="Q46" s="81"/>
      <c r="R46" s="200"/>
      <c r="S46" s="772"/>
      <c r="T46" s="772"/>
      <c r="U46" s="199">
        <f ca="1">1-U45</f>
        <v>0.4818652849740932</v>
      </c>
      <c r="V46" s="772"/>
      <c r="W46" s="298"/>
      <c r="X46" s="698"/>
      <c r="Y46" s="81"/>
      <c r="Z46" s="81"/>
      <c r="AA46" s="81"/>
      <c r="AB46" s="81"/>
      <c r="AD46" s="81"/>
      <c r="AE46" s="81"/>
      <c r="AF46" s="220"/>
    </row>
    <row r="47" spans="2:36">
      <c r="B47" s="357" t="s">
        <v>1001</v>
      </c>
      <c r="D47" s="212"/>
      <c r="E47" s="212"/>
      <c r="F47" s="224" t="s">
        <v>1149</v>
      </c>
      <c r="G47" s="173" t="s">
        <v>499</v>
      </c>
      <c r="H47" s="174" t="str">
        <f>$AI$14</f>
        <v>IFDPH</v>
      </c>
      <c r="I47" s="174"/>
      <c r="J47" s="224">
        <f t="shared" ref="J47" si="14">AD47</f>
        <v>2030</v>
      </c>
      <c r="K47" s="81"/>
      <c r="L47" s="333">
        <v>1</v>
      </c>
      <c r="M47" s="199">
        <f ca="1">VLOOKUP($AD47,INDIRECT("'"&amp;$B47&amp;"'!"&amp;"$P$39:$AD$42"),3,FALSE)</f>
        <v>1.9894000000000001</v>
      </c>
      <c r="N47" s="81"/>
      <c r="O47" s="723">
        <f ca="1">VLOOKUP($AD47,INDIRECT("'"&amp;$B47&amp;"'!"&amp;"$P$39:$AD$42"),6,FALSE)/1000</f>
        <v>9.8570539139933757</v>
      </c>
      <c r="P47" s="723">
        <f ca="1">VLOOKUP($AD47,INDIRECT("'"&amp;$B47&amp;"'!"&amp;"$P$39:$AD$42"),7,FALSE)/1000</f>
        <v>1.49E-2</v>
      </c>
      <c r="Q47" s="81">
        <f ca="1">VLOOKUP($AD47,INDIRECT("'"&amp;$B47&amp;"'!"&amp;"$P$39:$AD$42"),8,FALSE)</f>
        <v>6.9740277777777777</v>
      </c>
      <c r="R47" s="300"/>
      <c r="S47" s="300"/>
      <c r="T47" s="300"/>
      <c r="U47" s="199">
        <f ca="1">1/M47</f>
        <v>0.50266411983512616</v>
      </c>
      <c r="V47" s="199"/>
      <c r="W47" s="298"/>
      <c r="X47" s="698">
        <f ca="1">IF(VLOOKUP($AD47,INDIRECT("'"&amp;$B47&amp;"'!"&amp;"$P$39:$AD$42"),11,FALSE)="Cf. the utilized electricity",0,VLOOKUP($AD47,INDIRECT("'"&amp;$B47&amp;"'!"&amp;"$P$39:$AD$42"),11,FALSE))</f>
        <v>0</v>
      </c>
      <c r="Y47" s="81">
        <f ca="1">VLOOKUP($AD47,INDIRECT("'"&amp;$B47&amp;"'!"&amp;"$P$39:$AD$42"),12,FALSE)</f>
        <v>0</v>
      </c>
      <c r="Z47" s="81">
        <f ca="1">VLOOKUP($AD47,INDIRECT("'"&amp;$B47&amp;"'!"&amp;"$P$39:$AD$42"),13,FALSE)</f>
        <v>0</v>
      </c>
      <c r="AA47" s="81">
        <f ca="1">VLOOKUP($AD47,INDIRECT("'"&amp;$B47&amp;"'!"&amp;"$P$39:$AD$42"),14,FALSE)</f>
        <v>0</v>
      </c>
      <c r="AB47" s="81">
        <f ca="1">VLOOKUP($AD47,INDIRECT("'"&amp;$B47&amp;"'!"&amp;"$P$39:$AD$42"),15,FALSE)</f>
        <v>0</v>
      </c>
      <c r="AD47" s="81">
        <v>2030</v>
      </c>
      <c r="AE47" s="81"/>
      <c r="AF47" s="220"/>
    </row>
    <row r="48" spans="2:36">
      <c r="B48" s="357" t="s">
        <v>1001</v>
      </c>
      <c r="D48" s="212"/>
      <c r="E48" s="212"/>
      <c r="F48" s="224" t="s">
        <v>1149</v>
      </c>
      <c r="G48" s="173" t="str">
        <f>$AI$20</f>
        <v>INDFWH</v>
      </c>
      <c r="H48" s="174"/>
      <c r="I48" s="174"/>
      <c r="K48" s="81"/>
      <c r="L48" s="333"/>
      <c r="M48" s="199"/>
      <c r="N48" s="81"/>
      <c r="O48" s="723"/>
      <c r="P48" s="723"/>
      <c r="Q48" s="81"/>
      <c r="R48" s="300"/>
      <c r="S48" s="300"/>
      <c r="T48" s="300"/>
      <c r="U48" s="199">
        <f ca="1">1-U47</f>
        <v>0.49733588016487384</v>
      </c>
      <c r="V48" s="300"/>
      <c r="W48" s="298"/>
      <c r="X48" s="698"/>
      <c r="Y48" s="81"/>
      <c r="Z48" s="81"/>
      <c r="AA48" s="81"/>
      <c r="AB48" s="81"/>
      <c r="AD48" s="81"/>
      <c r="AE48" s="81"/>
      <c r="AF48" s="220"/>
    </row>
    <row r="49" spans="2:32">
      <c r="B49" s="357" t="s">
        <v>1001</v>
      </c>
      <c r="D49" s="212"/>
      <c r="E49" s="212"/>
      <c r="F49" s="224" t="s">
        <v>1149</v>
      </c>
      <c r="G49" s="173" t="s">
        <v>499</v>
      </c>
      <c r="H49" s="174" t="str">
        <f>$AI$14</f>
        <v>IFDPH</v>
      </c>
      <c r="I49" s="174"/>
      <c r="J49" s="224">
        <f t="shared" ref="J49" si="15">AD49</f>
        <v>2050</v>
      </c>
      <c r="K49" s="81"/>
      <c r="L49" s="333">
        <v>1</v>
      </c>
      <c r="M49" s="199">
        <f ca="1">VLOOKUP($AD49,INDIRECT("'"&amp;$B49&amp;"'!"&amp;"$P$39:$AD$42"),3,FALSE)</f>
        <v>2.0509898799999999</v>
      </c>
      <c r="N49" s="81"/>
      <c r="O49" s="723">
        <f ca="1">VLOOKUP($AD49,INDIRECT("'"&amp;$B49&amp;"'!"&amp;"$P$39:$AD$42"),6,FALSE)/1000</f>
        <v>6.955935359434223</v>
      </c>
      <c r="P49" s="723">
        <f ca="1">VLOOKUP($AD49,INDIRECT("'"&amp;$B49&amp;"'!"&amp;"$P$39:$AD$42"),7,FALSE)/1000</f>
        <v>1.49E-2</v>
      </c>
      <c r="Q49" s="81">
        <f ca="1">VLOOKUP($AD49,INDIRECT("'"&amp;$B49&amp;"'!"&amp;"$P$39:$AD$42"),8,FALSE)</f>
        <v>6.7877777777777784</v>
      </c>
      <c r="R49" s="300"/>
      <c r="S49" s="300"/>
      <c r="T49" s="300"/>
      <c r="U49" s="199">
        <f ca="1">1/M49</f>
        <v>0.48756944622271858</v>
      </c>
      <c r="V49" s="199"/>
      <c r="W49" s="298"/>
      <c r="X49" s="698">
        <f ca="1">IF(VLOOKUP($AD49,INDIRECT("'"&amp;$B49&amp;"'!"&amp;"$P$39:$AD$42"),11,FALSE)="Cf. the utilized electricity",0,VLOOKUP($AD49,INDIRECT("'"&amp;$B49&amp;"'!"&amp;"$P$39:$AD$42"),11,FALSE))</f>
        <v>0</v>
      </c>
      <c r="Y49" s="81">
        <f ca="1">VLOOKUP($AD49,INDIRECT("'"&amp;$B49&amp;"'!"&amp;"$P$39:$AD$42"),12,FALSE)</f>
        <v>0</v>
      </c>
      <c r="Z49" s="81">
        <f ca="1">VLOOKUP($AD49,INDIRECT("'"&amp;$B49&amp;"'!"&amp;"$P$39:$AD$42"),13,FALSE)</f>
        <v>0</v>
      </c>
      <c r="AA49" s="81">
        <f ca="1">VLOOKUP($AD49,INDIRECT("'"&amp;$B49&amp;"'!"&amp;"$P$39:$AD$42"),14,FALSE)</f>
        <v>0</v>
      </c>
      <c r="AB49" s="81">
        <f ca="1">VLOOKUP($AD49,INDIRECT("'"&amp;$B49&amp;"'!"&amp;"$P$39:$AD$42"),15,FALSE)</f>
        <v>0</v>
      </c>
      <c r="AD49" s="81">
        <v>2050</v>
      </c>
      <c r="AE49" s="81"/>
      <c r="AF49" s="220"/>
    </row>
    <row r="50" spans="2:32">
      <c r="B50" s="357" t="s">
        <v>1001</v>
      </c>
      <c r="D50" s="212"/>
      <c r="E50" s="212"/>
      <c r="F50" s="224" t="s">
        <v>1149</v>
      </c>
      <c r="G50" s="173" t="str">
        <f>$AI$20</f>
        <v>INDFWH</v>
      </c>
      <c r="H50" s="174"/>
      <c r="I50" s="174"/>
      <c r="K50" s="81"/>
      <c r="L50" s="333"/>
      <c r="M50" s="199"/>
      <c r="N50" s="81"/>
      <c r="O50" s="723"/>
      <c r="P50" s="723"/>
      <c r="Q50" s="81"/>
      <c r="R50" s="300"/>
      <c r="S50" s="300"/>
      <c r="T50" s="300"/>
      <c r="U50" s="199">
        <f ca="1">1-U49</f>
        <v>0.51243055377728142</v>
      </c>
      <c r="V50" s="300"/>
      <c r="W50" s="298"/>
      <c r="X50" s="698"/>
      <c r="Y50" s="81"/>
      <c r="Z50" s="81"/>
      <c r="AA50" s="81"/>
      <c r="AB50" s="81"/>
      <c r="AD50" s="81"/>
      <c r="AE50" s="81"/>
      <c r="AF50" s="220"/>
    </row>
    <row r="51" spans="2:32">
      <c r="B51" s="357" t="s">
        <v>1001</v>
      </c>
      <c r="D51" s="212" t="str">
        <f>"IND"&amp;RIGHT(H51,4)&amp;RIGHT(G51,3)&amp;"N"&amp;RIGHT(E51,1)</f>
        <v>INDFDSHELCN4</v>
      </c>
      <c r="E51" s="261" t="str">
        <f>"Industrial heating technology "&amp;$AJ$12&amp;" "&amp;RIGHT(H51,2)&amp;" - Booster Heat pump utilizing waste heat - new 4"</f>
        <v>Industrial heating technology Food SH - Booster Heat pump utilizing waste heat - new 4</v>
      </c>
      <c r="F51" s="224" t="s">
        <v>1149</v>
      </c>
      <c r="G51" s="173" t="s">
        <v>499</v>
      </c>
      <c r="H51" s="174" t="str">
        <f>$AI$15</f>
        <v>IFDSH</v>
      </c>
      <c r="I51" s="174"/>
      <c r="J51" s="224">
        <f t="shared" ref="J51" si="16">AD51</f>
        <v>2020</v>
      </c>
      <c r="K51" s="81">
        <v>2020</v>
      </c>
      <c r="L51" s="333">
        <v>1</v>
      </c>
      <c r="M51" s="199">
        <f ca="1">VLOOKUP($AD51,INDIRECT("'"&amp;$B51&amp;"'!"&amp;"$P$39:$AD$42"),3,FALSE)</f>
        <v>1.93</v>
      </c>
      <c r="N51" s="81">
        <f ca="1">VLOOKUP($AD51,INDIRECT("'"&amp;$B51&amp;"'!"&amp;"$P$39:$AD$42"),5,FALSE)</f>
        <v>20</v>
      </c>
      <c r="O51" s="723">
        <f ca="1">VLOOKUP($AD51,INDIRECT("'"&amp;$B51&amp;"'!"&amp;"$P$39:$AD$42"),6,FALSE)/1000</f>
        <v>12.158890687341184</v>
      </c>
      <c r="P51" s="723">
        <f ca="1">VLOOKUP($AD51,INDIRECT("'"&amp;$B51&amp;"'!"&amp;"$P$39:$AD$42"),7,FALSE)/1000</f>
        <v>1.49E-2</v>
      </c>
      <c r="Q51" s="81">
        <f ca="1">VLOOKUP($AD51,INDIRECT("'"&amp;$B51&amp;"'!"&amp;"$P$39:$AD$42"),8,FALSE)</f>
        <v>7.1188888888888897</v>
      </c>
      <c r="R51" s="81">
        <v>3.1536000000000002E-2</v>
      </c>
      <c r="S51" s="199">
        <v>0.5</v>
      </c>
      <c r="T51" s="199">
        <f ca="1">HLOOKUP($T$2,INDIRECT("'"&amp;$B51&amp;"'!"&amp;"$P$6:$AC$19"),IF(H51=$AI$13,6,IF(H51=$AI$14,9,14)),FALSE)</f>
        <v>1</v>
      </c>
      <c r="U51" s="199">
        <f ca="1">1/M51</f>
        <v>0.5181347150259068</v>
      </c>
      <c r="V51" s="199"/>
      <c r="W51" s="298"/>
      <c r="X51" s="698">
        <f ca="1">IF(VLOOKUP($AD51,INDIRECT("'"&amp;$B51&amp;"'!"&amp;"$P$39:$AD$42"),11,FALSE)="Cf. the utilized electricity",0,VLOOKUP($AD51,INDIRECT("'"&amp;$B51&amp;"'!"&amp;"$P$39:$AD$42"),11,FALSE))</f>
        <v>0</v>
      </c>
      <c r="Y51" s="81">
        <f ca="1">VLOOKUP($AD51,INDIRECT("'"&amp;$B51&amp;"'!"&amp;"$P$39:$AD$42"),12,FALSE)</f>
        <v>0</v>
      </c>
      <c r="Z51" s="81">
        <f ca="1">VLOOKUP($AD51,INDIRECT("'"&amp;$B51&amp;"'!"&amp;"$P$39:$AD$42"),13,FALSE)</f>
        <v>0</v>
      </c>
      <c r="AA51" s="81">
        <f ca="1">VLOOKUP($AD51,INDIRECT("'"&amp;$B51&amp;"'!"&amp;"$P$39:$AD$42"),14,FALSE)</f>
        <v>0</v>
      </c>
      <c r="AB51" s="81">
        <f ca="1">VLOOKUP($AD51,INDIRECT("'"&amp;$B51&amp;"'!"&amp;"$P$39:$AD$42"),15,FALSE)</f>
        <v>0</v>
      </c>
      <c r="AD51" s="81">
        <v>2020</v>
      </c>
      <c r="AE51" s="81"/>
      <c r="AF51" s="220"/>
    </row>
    <row r="52" spans="2:32">
      <c r="B52" s="357" t="s">
        <v>1001</v>
      </c>
      <c r="D52" s="212"/>
      <c r="E52" s="261"/>
      <c r="F52" s="224" t="s">
        <v>1149</v>
      </c>
      <c r="G52" s="173" t="str">
        <f>$AI$20</f>
        <v>INDFWH</v>
      </c>
      <c r="H52" s="174"/>
      <c r="I52" s="174"/>
      <c r="K52" s="81"/>
      <c r="L52" s="333"/>
      <c r="M52" s="199"/>
      <c r="N52" s="81"/>
      <c r="O52" s="723"/>
      <c r="P52" s="723"/>
      <c r="Q52" s="81"/>
      <c r="R52" s="200"/>
      <c r="S52" s="772"/>
      <c r="T52" s="772"/>
      <c r="U52" s="199">
        <f ca="1">1-U51</f>
        <v>0.4818652849740932</v>
      </c>
      <c r="V52" s="772"/>
      <c r="W52" s="298"/>
      <c r="X52" s="698"/>
      <c r="Y52" s="81"/>
      <c r="Z52" s="81"/>
      <c r="AA52" s="81"/>
      <c r="AB52" s="81"/>
      <c r="AD52" s="81"/>
      <c r="AE52" s="81"/>
      <c r="AF52" s="220"/>
    </row>
    <row r="53" spans="2:32">
      <c r="B53" s="357" t="s">
        <v>1001</v>
      </c>
      <c r="D53" s="212"/>
      <c r="E53" s="212"/>
      <c r="F53" s="224" t="s">
        <v>1149</v>
      </c>
      <c r="G53" s="173" t="s">
        <v>499</v>
      </c>
      <c r="H53" s="174" t="str">
        <f>$AI$15</f>
        <v>IFDSH</v>
      </c>
      <c r="I53" s="174"/>
      <c r="J53" s="224">
        <f t="shared" ref="J53" si="17">AD53</f>
        <v>2030</v>
      </c>
      <c r="K53" s="81"/>
      <c r="L53" s="333">
        <v>1</v>
      </c>
      <c r="M53" s="199">
        <f ca="1">VLOOKUP($AD53,INDIRECT("'"&amp;$B53&amp;"'!"&amp;"$P$39:$AD$42"),3,FALSE)</f>
        <v>1.9894000000000001</v>
      </c>
      <c r="N53" s="81"/>
      <c r="O53" s="723">
        <f ca="1">VLOOKUP($AD53,INDIRECT("'"&amp;$B53&amp;"'!"&amp;"$P$39:$AD$42"),6,FALSE)/1000</f>
        <v>9.8570539139933757</v>
      </c>
      <c r="P53" s="723">
        <f ca="1">VLOOKUP($AD53,INDIRECT("'"&amp;$B53&amp;"'!"&amp;"$P$39:$AD$42"),7,FALSE)/1000</f>
        <v>1.49E-2</v>
      </c>
      <c r="Q53" s="81">
        <f ca="1">VLOOKUP($AD53,INDIRECT("'"&amp;$B53&amp;"'!"&amp;"$P$39:$AD$42"),8,FALSE)</f>
        <v>6.9740277777777777</v>
      </c>
      <c r="R53" s="300"/>
      <c r="S53" s="300"/>
      <c r="T53" s="300"/>
      <c r="U53" s="199">
        <f ca="1">1/M53</f>
        <v>0.50266411983512616</v>
      </c>
      <c r="V53" s="199"/>
      <c r="W53" s="298"/>
      <c r="X53" s="698">
        <f ca="1">IF(VLOOKUP($AD53,INDIRECT("'"&amp;$B53&amp;"'!"&amp;"$P$39:$AD$42"),11,FALSE)="Cf. the utilized electricity",0,VLOOKUP($AD53,INDIRECT("'"&amp;$B53&amp;"'!"&amp;"$P$39:$AD$42"),11,FALSE))</f>
        <v>0</v>
      </c>
      <c r="Y53" s="81">
        <f ca="1">VLOOKUP($AD53,INDIRECT("'"&amp;$B53&amp;"'!"&amp;"$P$39:$AD$42"),12,FALSE)</f>
        <v>0</v>
      </c>
      <c r="Z53" s="81">
        <f ca="1">VLOOKUP($AD53,INDIRECT("'"&amp;$B53&amp;"'!"&amp;"$P$39:$AD$42"),13,FALSE)</f>
        <v>0</v>
      </c>
      <c r="AA53" s="81">
        <f ca="1">VLOOKUP($AD53,INDIRECT("'"&amp;$B53&amp;"'!"&amp;"$P$39:$AD$42"),14,FALSE)</f>
        <v>0</v>
      </c>
      <c r="AB53" s="81">
        <f ca="1">VLOOKUP($AD53,INDIRECT("'"&amp;$B53&amp;"'!"&amp;"$P$39:$AD$42"),15,FALSE)</f>
        <v>0</v>
      </c>
      <c r="AD53" s="81">
        <v>2030</v>
      </c>
      <c r="AE53" s="81"/>
      <c r="AF53" s="220"/>
    </row>
    <row r="54" spans="2:32">
      <c r="B54" s="357" t="s">
        <v>1001</v>
      </c>
      <c r="D54" s="212"/>
      <c r="E54" s="212"/>
      <c r="F54" s="224" t="s">
        <v>1149</v>
      </c>
      <c r="G54" s="173" t="str">
        <f>$AI$20</f>
        <v>INDFWH</v>
      </c>
      <c r="H54" s="174"/>
      <c r="I54" s="174"/>
      <c r="K54" s="81"/>
      <c r="L54" s="333"/>
      <c r="M54" s="199"/>
      <c r="N54" s="81"/>
      <c r="O54" s="723"/>
      <c r="P54" s="723"/>
      <c r="Q54" s="81"/>
      <c r="R54" s="300"/>
      <c r="S54" s="300"/>
      <c r="T54" s="300"/>
      <c r="U54" s="199">
        <f ca="1">1-U53</f>
        <v>0.49733588016487384</v>
      </c>
      <c r="V54" s="300"/>
      <c r="W54" s="298"/>
      <c r="X54" s="698"/>
      <c r="Y54" s="81"/>
      <c r="Z54" s="81"/>
      <c r="AA54" s="81"/>
      <c r="AB54" s="81"/>
      <c r="AD54" s="81"/>
      <c r="AE54" s="81"/>
      <c r="AF54" s="220"/>
    </row>
    <row r="55" spans="2:32">
      <c r="B55" s="357" t="s">
        <v>1001</v>
      </c>
      <c r="D55" s="212"/>
      <c r="E55" s="212"/>
      <c r="F55" s="224" t="s">
        <v>1149</v>
      </c>
      <c r="G55" s="173" t="s">
        <v>499</v>
      </c>
      <c r="H55" s="174" t="str">
        <f>$AI$15</f>
        <v>IFDSH</v>
      </c>
      <c r="I55" s="174"/>
      <c r="J55" s="224">
        <f t="shared" ref="J55" si="18">AD55</f>
        <v>2050</v>
      </c>
      <c r="K55" s="81"/>
      <c r="L55" s="333">
        <v>1</v>
      </c>
      <c r="M55" s="199">
        <f ca="1">VLOOKUP($AD55,INDIRECT("'"&amp;$B55&amp;"'!"&amp;"$P$39:$AD$42"),3,FALSE)</f>
        <v>2.0509898799999999</v>
      </c>
      <c r="N55" s="81"/>
      <c r="O55" s="723">
        <f ca="1">VLOOKUP($AD55,INDIRECT("'"&amp;$B55&amp;"'!"&amp;"$P$39:$AD$42"),6,FALSE)/1000</f>
        <v>6.955935359434223</v>
      </c>
      <c r="P55" s="723">
        <f ca="1">VLOOKUP($AD55,INDIRECT("'"&amp;$B55&amp;"'!"&amp;"$P$39:$AD$42"),7,FALSE)/1000</f>
        <v>1.49E-2</v>
      </c>
      <c r="Q55" s="81">
        <f ca="1">VLOOKUP($AD55,INDIRECT("'"&amp;$B55&amp;"'!"&amp;"$P$39:$AD$42"),8,FALSE)</f>
        <v>6.7877777777777784</v>
      </c>
      <c r="R55" s="300"/>
      <c r="S55" s="300"/>
      <c r="T55" s="300"/>
      <c r="U55" s="199">
        <f ca="1">1/M55</f>
        <v>0.48756944622271858</v>
      </c>
      <c r="V55" s="199"/>
      <c r="W55" s="298"/>
      <c r="X55" s="698">
        <f ca="1">IF(VLOOKUP($AD55,INDIRECT("'"&amp;$B55&amp;"'!"&amp;"$P$39:$AD$42"),11,FALSE)="Cf. the utilized electricity",0,VLOOKUP($AD55,INDIRECT("'"&amp;$B55&amp;"'!"&amp;"$P$39:$AD$42"),11,FALSE))</f>
        <v>0</v>
      </c>
      <c r="Y55" s="81">
        <f ca="1">VLOOKUP($AD55,INDIRECT("'"&amp;$B55&amp;"'!"&amp;"$P$39:$AD$42"),12,FALSE)</f>
        <v>0</v>
      </c>
      <c r="Z55" s="81">
        <f ca="1">VLOOKUP($AD55,INDIRECT("'"&amp;$B55&amp;"'!"&amp;"$P$39:$AD$42"),13,FALSE)</f>
        <v>0</v>
      </c>
      <c r="AA55" s="81">
        <f ca="1">VLOOKUP($AD55,INDIRECT("'"&amp;$B55&amp;"'!"&amp;"$P$39:$AD$42"),14,FALSE)</f>
        <v>0</v>
      </c>
      <c r="AB55" s="81">
        <f ca="1">VLOOKUP($AD55,INDIRECT("'"&amp;$B55&amp;"'!"&amp;"$P$39:$AD$42"),15,FALSE)</f>
        <v>0</v>
      </c>
      <c r="AD55" s="81">
        <v>2050</v>
      </c>
      <c r="AE55" s="81"/>
      <c r="AF55" s="220"/>
    </row>
    <row r="56" spans="2:32">
      <c r="B56" s="357" t="s">
        <v>1001</v>
      </c>
      <c r="D56" s="212"/>
      <c r="E56" s="212"/>
      <c r="F56" s="224" t="s">
        <v>1149</v>
      </c>
      <c r="G56" s="173" t="str">
        <f>$AI$20</f>
        <v>INDFWH</v>
      </c>
      <c r="H56" s="174"/>
      <c r="I56" s="174"/>
      <c r="K56" s="81"/>
      <c r="L56" s="333"/>
      <c r="M56" s="199"/>
      <c r="N56" s="81"/>
      <c r="O56" s="723"/>
      <c r="P56" s="723"/>
      <c r="Q56" s="81"/>
      <c r="R56" s="300"/>
      <c r="S56" s="300"/>
      <c r="T56" s="300"/>
      <c r="U56" s="199">
        <f ca="1">1-U55</f>
        <v>0.51243055377728142</v>
      </c>
      <c r="V56" s="300"/>
      <c r="W56" s="298"/>
      <c r="X56" s="698"/>
      <c r="Y56" s="81"/>
      <c r="Z56" s="81"/>
      <c r="AA56" s="81"/>
      <c r="AB56" s="81"/>
      <c r="AD56" s="81"/>
      <c r="AE56" s="81"/>
      <c r="AF56" s="220"/>
    </row>
    <row r="57" spans="2:32">
      <c r="B57" s="357" t="s">
        <v>1002</v>
      </c>
      <c r="D57" s="212" t="str">
        <f>"IND"&amp;RIGHT(H57,4)&amp;RIGHT(G57,3)&amp;"N"&amp;RIGHT(E57,1)</f>
        <v>INDFDPHELCN5</v>
      </c>
      <c r="E57" s="261" t="str">
        <f>"Industrial heating technology "&amp;$AJ$12&amp;" "&amp;RIGHT(H57,2)&amp;" - MVR utilizing waste heat - new 5"</f>
        <v>Industrial heating technology Food PH - MVR utilizing waste heat - new 5</v>
      </c>
      <c r="F57" s="224" t="s">
        <v>1149</v>
      </c>
      <c r="G57" s="173" t="s">
        <v>499</v>
      </c>
      <c r="H57" s="174" t="str">
        <f>$AI$14</f>
        <v>IFDPH</v>
      </c>
      <c r="I57" s="174"/>
      <c r="J57" s="224">
        <f t="shared" ref="J57" si="19">AD57</f>
        <v>2020</v>
      </c>
      <c r="K57" s="81">
        <v>2020</v>
      </c>
      <c r="L57" s="333">
        <v>1</v>
      </c>
      <c r="M57" s="199">
        <f ca="1">VLOOKUP($AD57,INDIRECT("'"&amp;$B57&amp;"'!"&amp;"$P$39:$AD$42"),3,FALSE)</f>
        <v>12.1</v>
      </c>
      <c r="N57" s="81">
        <f ca="1">VLOOKUP($AD57,INDIRECT("'"&amp;$B57&amp;"'!"&amp;"$P$39:$AD$42"),5,FALSE)</f>
        <v>25</v>
      </c>
      <c r="O57" s="723">
        <f ca="1">VLOOKUP($AD57,INDIRECT("'"&amp;$B57&amp;"'!"&amp;"$P$39:$AD$42"),6,FALSE)/1000</f>
        <v>2.6074999999999999</v>
      </c>
      <c r="P57" s="723">
        <f ca="1">VLOOKUP($AD57,INDIRECT("'"&amp;$B57&amp;"'!"&amp;"$P$39:$AD$42"),7,FALSE)/1000</f>
        <v>1.49E-2</v>
      </c>
      <c r="Q57" s="81">
        <f ca="1">VLOOKUP($AD57,INDIRECT("'"&amp;$B57&amp;"'!"&amp;"$P$39:$AD$42"),8,FALSE)</f>
        <v>5.2356944444444444</v>
      </c>
      <c r="R57" s="81">
        <v>3.1536000000000002E-2</v>
      </c>
      <c r="S57" s="199">
        <v>0.5</v>
      </c>
      <c r="T57" s="199">
        <f ca="1">HLOOKUP($T$2,INDIRECT("'"&amp;$B57&amp;"'!"&amp;"$P$6:$AC$19"),IF(H57=$AI$13,6,IF(H57=$AI$14,9,14)),FALSE)</f>
        <v>0</v>
      </c>
      <c r="U57" s="199">
        <f ca="1">1/M57</f>
        <v>8.2644628099173556E-2</v>
      </c>
      <c r="V57" s="199"/>
      <c r="W57" s="298"/>
      <c r="X57" s="698">
        <f ca="1">IF(VLOOKUP($AD57,INDIRECT("'"&amp;$B57&amp;"'!"&amp;"$P$39:$AD$42"),11,FALSE)="Cf. the utilized electricity",0,VLOOKUP($AD57,INDIRECT("'"&amp;$B57&amp;"'!"&amp;"$P$39:$AD$42"),11,FALSE))</f>
        <v>0</v>
      </c>
      <c r="Y57" s="81">
        <f ca="1">VLOOKUP($AD57,INDIRECT("'"&amp;$B57&amp;"'!"&amp;"$P$39:$AD$42"),12,FALSE)</f>
        <v>0</v>
      </c>
      <c r="Z57" s="81">
        <f ca="1">VLOOKUP($AD57,INDIRECT("'"&amp;$B57&amp;"'!"&amp;"$P$39:$AD$42"),13,FALSE)</f>
        <v>0</v>
      </c>
      <c r="AA57" s="81">
        <f ca="1">VLOOKUP($AD57,INDIRECT("'"&amp;$B57&amp;"'!"&amp;"$P$39:$AD$42"),14,FALSE)</f>
        <v>0</v>
      </c>
      <c r="AB57" s="81">
        <f ca="1">VLOOKUP($AD57,INDIRECT("'"&amp;$B57&amp;"'!"&amp;"$P$39:$AD$42"),15,FALSE)</f>
        <v>0</v>
      </c>
      <c r="AD57" s="81">
        <v>2020</v>
      </c>
      <c r="AE57" s="81"/>
      <c r="AF57" s="220"/>
    </row>
    <row r="58" spans="2:32">
      <c r="B58" s="357" t="s">
        <v>1002</v>
      </c>
      <c r="D58" s="212"/>
      <c r="E58" s="261"/>
      <c r="F58" s="224" t="s">
        <v>1149</v>
      </c>
      <c r="G58" s="173" t="str">
        <f>$AI$20</f>
        <v>INDFWH</v>
      </c>
      <c r="H58" s="174"/>
      <c r="I58" s="174"/>
      <c r="K58" s="81"/>
      <c r="L58" s="199"/>
      <c r="M58" s="199"/>
      <c r="N58" s="81"/>
      <c r="O58" s="723"/>
      <c r="P58" s="723"/>
      <c r="Q58" s="81"/>
      <c r="R58" s="200"/>
      <c r="S58" s="772"/>
      <c r="T58" s="772"/>
      <c r="U58" s="199">
        <f ca="1">1-U57</f>
        <v>0.9173553719008265</v>
      </c>
      <c r="V58" s="772"/>
      <c r="W58" s="298"/>
      <c r="X58" s="698"/>
      <c r="Y58" s="81"/>
      <c r="Z58" s="81"/>
      <c r="AA58" s="81"/>
      <c r="AB58" s="81"/>
      <c r="AD58" s="81"/>
      <c r="AE58" s="81"/>
      <c r="AF58" s="220"/>
    </row>
    <row r="59" spans="2:32">
      <c r="B59" s="357" t="s">
        <v>1002</v>
      </c>
      <c r="D59" s="212"/>
      <c r="E59" s="212"/>
      <c r="F59" s="224" t="s">
        <v>1149</v>
      </c>
      <c r="G59" s="173" t="s">
        <v>499</v>
      </c>
      <c r="H59" s="174" t="str">
        <f>$AI$14</f>
        <v>IFDPH</v>
      </c>
      <c r="I59" s="174"/>
      <c r="J59" s="224">
        <f t="shared" ref="J59" si="20">AD59</f>
        <v>2030</v>
      </c>
      <c r="K59" s="81"/>
      <c r="L59" s="333">
        <v>1</v>
      </c>
      <c r="M59" s="199">
        <f ca="1">VLOOKUP($AD59,INDIRECT("'"&amp;$B59&amp;"'!"&amp;"$P$39:$AD$42"),3,FALSE)</f>
        <v>12.7</v>
      </c>
      <c r="N59" s="81"/>
      <c r="O59" s="723">
        <f ca="1">VLOOKUP($AD59,INDIRECT("'"&amp;$B59&amp;"'!"&amp;"$P$39:$AD$42"),6,FALSE)/1000</f>
        <v>2.4585000000000004</v>
      </c>
      <c r="P59" s="723">
        <f ca="1">VLOOKUP($AD59,INDIRECT("'"&amp;$B59&amp;"'!"&amp;"$P$39:$AD$42"),7,FALSE)/1000</f>
        <v>1.49E-2</v>
      </c>
      <c r="Q59" s="81">
        <f ca="1">VLOOKUP($AD59,INDIRECT("'"&amp;$B59&amp;"'!"&amp;"$P$39:$AD$42"),8,FALSE)</f>
        <v>5.0701388888888888</v>
      </c>
      <c r="R59" s="300"/>
      <c r="S59" s="300"/>
      <c r="T59" s="300"/>
      <c r="U59" s="199">
        <f ca="1">1/M59</f>
        <v>7.874015748031496E-2</v>
      </c>
      <c r="V59" s="199"/>
      <c r="W59" s="298"/>
      <c r="X59" s="698">
        <f ca="1">IF(VLOOKUP($AD59,INDIRECT("'"&amp;$B59&amp;"'!"&amp;"$P$39:$AD$42"),11,FALSE)="Cf. the utilized electricity",0,VLOOKUP($AD59,INDIRECT("'"&amp;$B59&amp;"'!"&amp;"$P$39:$AD$42"),11,FALSE))</f>
        <v>0</v>
      </c>
      <c r="Y59" s="81">
        <f ca="1">VLOOKUP($AD59,INDIRECT("'"&amp;$B59&amp;"'!"&amp;"$P$39:$AD$42"),12,FALSE)</f>
        <v>0</v>
      </c>
      <c r="Z59" s="81">
        <f ca="1">VLOOKUP($AD59,INDIRECT("'"&amp;$B59&amp;"'!"&amp;"$P$39:$AD$42"),13,FALSE)</f>
        <v>0</v>
      </c>
      <c r="AA59" s="81">
        <f ca="1">VLOOKUP($AD59,INDIRECT("'"&amp;$B59&amp;"'!"&amp;"$P$39:$AD$42"),14,FALSE)</f>
        <v>0</v>
      </c>
      <c r="AB59" s="81">
        <f ca="1">VLOOKUP($AD59,INDIRECT("'"&amp;$B59&amp;"'!"&amp;"$P$39:$AD$42"),15,FALSE)</f>
        <v>0</v>
      </c>
      <c r="AD59" s="81">
        <v>2030</v>
      </c>
      <c r="AE59" s="81"/>
      <c r="AF59" s="220"/>
    </row>
    <row r="60" spans="2:32">
      <c r="B60" s="357" t="s">
        <v>1002</v>
      </c>
      <c r="D60" s="212"/>
      <c r="E60" s="212"/>
      <c r="F60" s="224" t="s">
        <v>1149</v>
      </c>
      <c r="G60" s="173" t="str">
        <f>$AI$20</f>
        <v>INDFWH</v>
      </c>
      <c r="H60" s="174"/>
      <c r="I60" s="174"/>
      <c r="K60" s="81"/>
      <c r="L60" s="199"/>
      <c r="M60" s="199"/>
      <c r="N60" s="81"/>
      <c r="O60" s="723"/>
      <c r="P60" s="723"/>
      <c r="Q60" s="81"/>
      <c r="R60" s="300"/>
      <c r="S60" s="300"/>
      <c r="T60" s="300"/>
      <c r="U60" s="199">
        <f ca="1">1-U59</f>
        <v>0.92125984251968507</v>
      </c>
      <c r="V60" s="300"/>
      <c r="W60" s="298"/>
      <c r="X60" s="698"/>
      <c r="Y60" s="81"/>
      <c r="Z60" s="81"/>
      <c r="AA60" s="81"/>
      <c r="AB60" s="81"/>
      <c r="AD60" s="81"/>
      <c r="AE60" s="81"/>
      <c r="AF60" s="220"/>
    </row>
    <row r="61" spans="2:32">
      <c r="B61" s="357" t="s">
        <v>1002</v>
      </c>
      <c r="D61" s="212"/>
      <c r="E61" s="212"/>
      <c r="F61" s="224" t="s">
        <v>1149</v>
      </c>
      <c r="G61" s="173" t="s">
        <v>499</v>
      </c>
      <c r="H61" s="174" t="str">
        <f>$AI$14</f>
        <v>IFDPH</v>
      </c>
      <c r="I61" s="174"/>
      <c r="J61" s="224">
        <f t="shared" ref="J61" si="21">AD61</f>
        <v>2050</v>
      </c>
      <c r="K61" s="81"/>
      <c r="L61" s="333">
        <v>1</v>
      </c>
      <c r="M61" s="199">
        <f ca="1">VLOOKUP($AD61,INDIRECT("'"&amp;$B61&amp;"'!"&amp;"$P$39:$AD$42"),3,FALSE)</f>
        <v>13.8</v>
      </c>
      <c r="N61" s="81"/>
      <c r="O61" s="723">
        <f ca="1">VLOOKUP($AD61,INDIRECT("'"&amp;$B61&amp;"'!"&amp;"$P$39:$AD$42"),6,FALSE)/1000</f>
        <v>2.3094999999999999</v>
      </c>
      <c r="P61" s="723">
        <f ca="1">VLOOKUP($AD61,INDIRECT("'"&amp;$B61&amp;"'!"&amp;"$P$39:$AD$42"),7,FALSE)/1000</f>
        <v>1.49E-2</v>
      </c>
      <c r="Q61" s="81">
        <f ca="1">VLOOKUP($AD61,INDIRECT("'"&amp;$B61&amp;"'!"&amp;"$P$39:$AD$42"),8,FALSE)</f>
        <v>4.8838888888888903</v>
      </c>
      <c r="R61" s="300"/>
      <c r="S61" s="300"/>
      <c r="T61" s="300"/>
      <c r="U61" s="199">
        <f ca="1">1/M61</f>
        <v>7.2463768115942032E-2</v>
      </c>
      <c r="V61" s="199"/>
      <c r="W61" s="298"/>
      <c r="X61" s="698">
        <f ca="1">IF(VLOOKUP($AD61,INDIRECT("'"&amp;$B61&amp;"'!"&amp;"$P$39:$AD$42"),11,FALSE)="Cf. the utilized electricity",0,VLOOKUP($AD61,INDIRECT("'"&amp;$B61&amp;"'!"&amp;"$P$39:$AD$42"),11,FALSE))</f>
        <v>0</v>
      </c>
      <c r="Y61" s="81">
        <f ca="1">VLOOKUP($AD61,INDIRECT("'"&amp;$B61&amp;"'!"&amp;"$P$39:$AD$42"),12,FALSE)</f>
        <v>0</v>
      </c>
      <c r="Z61" s="81">
        <f ca="1">VLOOKUP($AD61,INDIRECT("'"&amp;$B61&amp;"'!"&amp;"$P$39:$AD$42"),13,FALSE)</f>
        <v>0</v>
      </c>
      <c r="AA61" s="81">
        <f ca="1">VLOOKUP($AD61,INDIRECT("'"&amp;$B61&amp;"'!"&amp;"$P$39:$AD$42"),14,FALSE)</f>
        <v>0</v>
      </c>
      <c r="AB61" s="81">
        <f ca="1">VLOOKUP($AD61,INDIRECT("'"&amp;$B61&amp;"'!"&amp;"$P$39:$AD$42"),15,FALSE)</f>
        <v>0</v>
      </c>
      <c r="AD61" s="81">
        <v>2050</v>
      </c>
      <c r="AE61" s="81"/>
      <c r="AF61" s="220"/>
    </row>
    <row r="62" spans="2:32" ht="16" thickBot="1">
      <c r="B62" s="786" t="s">
        <v>1002</v>
      </c>
      <c r="C62" s="787"/>
      <c r="D62" s="732"/>
      <c r="E62" s="732"/>
      <c r="F62" s="224" t="s">
        <v>1149</v>
      </c>
      <c r="G62" s="788" t="str">
        <f>$AI$20</f>
        <v>INDFWH</v>
      </c>
      <c r="H62" s="788"/>
      <c r="I62" s="788"/>
      <c r="K62" s="789"/>
      <c r="L62" s="790"/>
      <c r="M62" s="790"/>
      <c r="N62" s="789"/>
      <c r="O62" s="791"/>
      <c r="P62" s="791"/>
      <c r="Q62" s="789"/>
      <c r="R62" s="792"/>
      <c r="S62" s="792"/>
      <c r="T62" s="792"/>
      <c r="U62" s="790">
        <f ca="1">1-U61</f>
        <v>0.92753623188405798</v>
      </c>
      <c r="V62" s="796"/>
      <c r="W62" s="793"/>
      <c r="X62" s="794"/>
      <c r="Y62" s="789"/>
      <c r="Z62" s="789"/>
      <c r="AA62" s="789"/>
      <c r="AB62" s="789"/>
      <c r="AC62" s="787"/>
      <c r="AD62" s="789"/>
      <c r="AE62" s="789"/>
      <c r="AF62" s="795"/>
    </row>
    <row r="63" spans="2:32">
      <c r="B63" s="357" t="s">
        <v>920</v>
      </c>
      <c r="D63" s="212" t="str">
        <f>"IND"&amp;RIGHT(H63,4)&amp;RIGHT(G63,3)&amp;"N"&amp;RIGHT(E63,1)</f>
        <v>INDFDPHWSTN1</v>
      </c>
      <c r="E63" s="261" t="str">
        <f>"Industrial heating technology "&amp;$AJ$12&amp;" "&amp;RIGHT(H63,2)&amp;" - Hotdisc - new 1"</f>
        <v>Industrial heating technology Food PH - Hotdisc - new 1</v>
      </c>
      <c r="F63" s="224" t="s">
        <v>1149</v>
      </c>
      <c r="G63" s="832" t="s">
        <v>1005</v>
      </c>
      <c r="H63" s="174" t="str">
        <f>$AI$13</f>
        <v>IFDPH</v>
      </c>
      <c r="I63" s="173" t="str">
        <f t="shared" ref="I63:I126" si="22">$AI$20</f>
        <v>INDFWH</v>
      </c>
      <c r="J63" s="224">
        <f>IF(AD63=2020,2011,AD63)</f>
        <v>2011</v>
      </c>
      <c r="K63" s="299">
        <v>2025</v>
      </c>
      <c r="L63" s="699">
        <f t="shared" ref="L63:L80" ca="1" si="23">VLOOKUP($AD63,INDIRECT("'"&amp;$B63&amp;"'!"&amp;"$P$39:$AD$42"),3,FALSE)</f>
        <v>0.9</v>
      </c>
      <c r="M63" s="699"/>
      <c r="N63" s="299">
        <f ca="1">VLOOKUP($AD63,INDIRECT("'"&amp;$B63&amp;"'!"&amp;"$P$39:$AD$42"),5,FALSE)</f>
        <v>20</v>
      </c>
      <c r="O63" s="725">
        <f t="shared" ref="O63:O80" ca="1" si="24">VLOOKUP($AD63,INDIRECT("'"&amp;$B63&amp;"'!"&amp;"$P$39:$AD$42"),6,FALSE)/1000</f>
        <v>3.7250000000000001</v>
      </c>
      <c r="P63" s="725">
        <f t="shared" ref="P63:P80" ca="1" si="25">VLOOKUP($AD63,INDIRECT("'"&amp;$B63&amp;"'!"&amp;"$P$39:$AD$42"),7,FALSE)/1000</f>
        <v>2.98E-3</v>
      </c>
      <c r="Q63" s="299">
        <f t="shared" ref="Q63:Q80" ca="1" si="26">VLOOKUP($AD63,INDIRECT("'"&amp;$B63&amp;"'!"&amp;"$P$39:$AD$42"),8,FALSE)</f>
        <v>2.4315972222222224</v>
      </c>
      <c r="R63" s="299">
        <v>3.1536000000000002E-2</v>
      </c>
      <c r="S63" s="699">
        <v>0.5</v>
      </c>
      <c r="T63" s="699">
        <f ca="1">HLOOKUP($S$2,INDIRECT("'"&amp;$B63&amp;"'!"&amp;"$P$6:$AC$19"),IF(H63=$AI$13,6,IF(H63=$AI$14,9,14)),FALSE)</f>
        <v>0</v>
      </c>
      <c r="U63" s="772"/>
      <c r="V63" s="199">
        <f ca="1">IF(IF(RIGHT(H63,2)="PH",(1-L63)+$W$2,IF(RIGHT(H63,2)="HT",(1-L63)+$W$1,IF(RIGHT(H63,2)="SH",(1-L63)+$W$3,"")))&gt;0,IF(RIGHT(H63,2)="PH",(1-L63)+$W$2,IF(RIGHT(H63,2)="HT",(1-L63)+$W$1,IF(RIGHT(H63,2)="SH",(1-L63)+$W$3,""))),0)</f>
        <v>0.3</v>
      </c>
      <c r="W63" s="298"/>
      <c r="X63" s="785">
        <f t="shared" ref="X63:X94" ca="1" si="27">IF(VLOOKUP($AD63,INDIRECT("'"&amp;$B63&amp;"'!"&amp;"$P$39:$AD$42"),11,FALSE)="Cf. the utilized electricity",0,VLOOKUP($AD63,INDIRECT("'"&amp;$B63&amp;"'!"&amp;"$P$39:$AD$42"),11,FALSE))</f>
        <v>8.3000000000000007</v>
      </c>
      <c r="Y63" s="299">
        <f t="shared" ref="Y63:Y80" ca="1" si="28">VLOOKUP($AD63,INDIRECT("'"&amp;$B63&amp;"'!"&amp;"$P$39:$AD$42"),12,FALSE)</f>
        <v>56</v>
      </c>
      <c r="Z63" s="299">
        <f t="shared" ref="Z63:Z80" ca="1" si="29">VLOOKUP($AD63,INDIRECT("'"&amp;$B63&amp;"'!"&amp;"$P$39:$AD$42"),13,FALSE)</f>
        <v>0.1</v>
      </c>
      <c r="AA63" s="299">
        <f t="shared" ref="AA63:AA80" ca="1" si="30">VLOOKUP($AD63,INDIRECT("'"&amp;$B63&amp;"'!"&amp;"$P$39:$AD$42"),14,FALSE)</f>
        <v>1</v>
      </c>
      <c r="AB63" s="299">
        <f t="shared" ref="AB63:AB80" ca="1" si="31">VLOOKUP($AD63,INDIRECT("'"&amp;$B63&amp;"'!"&amp;"$P$39:$AD$42"),15,FALSE)</f>
        <v>0.28999999999999998</v>
      </c>
      <c r="AD63" s="299">
        <v>2020</v>
      </c>
      <c r="AE63" s="299"/>
      <c r="AF63" s="220"/>
    </row>
    <row r="64" spans="2:32">
      <c r="B64" s="357" t="s">
        <v>920</v>
      </c>
      <c r="D64" s="212"/>
      <c r="E64" s="212"/>
      <c r="F64" s="224" t="s">
        <v>1149</v>
      </c>
      <c r="H64" s="174"/>
      <c r="I64" s="173" t="str">
        <f t="shared" si="22"/>
        <v>INDFWH</v>
      </c>
      <c r="J64" s="224">
        <f t="shared" ref="J64:J127" si="32">IF(AD64=2020,2011,AD64)</f>
        <v>2030</v>
      </c>
      <c r="K64" s="81"/>
      <c r="L64" s="199">
        <f t="shared" ca="1" si="23"/>
        <v>0.91</v>
      </c>
      <c r="M64" s="199"/>
      <c r="N64" s="81"/>
      <c r="O64" s="723">
        <f t="shared" ca="1" si="24"/>
        <v>3.4642500000000003</v>
      </c>
      <c r="P64" s="723">
        <f t="shared" ca="1" si="25"/>
        <v>2.98E-3</v>
      </c>
      <c r="Q64" s="81">
        <f t="shared" ca="1" si="26"/>
        <v>2.4729861111111116</v>
      </c>
      <c r="R64" s="300"/>
      <c r="S64" s="300"/>
      <c r="T64" s="300"/>
      <c r="U64" s="300"/>
      <c r="V64" s="199">
        <f ca="1">IF(IF(RIGHT(H63,2)="PH",(1-L64)+$W$2,IF(RIGHT(H63,2)="HT",(1-L64)+$W$1,IF(RIGHT(H63,2)="SH",(1-L64)+$W$3,"")))&gt;0,IF(RIGHT(H63,2)="PH",(1-L64)+$W$2,IF(RIGHT(H63,2)="HT",(1-L64)+$W$1,IF(RIGHT(H63,2)="SH",(1-L64)+$W$3,""))),0)</f>
        <v>0.28999999999999998</v>
      </c>
      <c r="W64" s="298"/>
      <c r="X64" s="698">
        <f t="shared" ca="1" si="27"/>
        <v>8.3000000000000007</v>
      </c>
      <c r="Y64" s="81">
        <f t="shared" ca="1" si="28"/>
        <v>45</v>
      </c>
      <c r="Z64" s="81">
        <f t="shared" ca="1" si="29"/>
        <v>0.1</v>
      </c>
      <c r="AA64" s="81">
        <f t="shared" ca="1" si="30"/>
        <v>1</v>
      </c>
      <c r="AB64" s="81">
        <f t="shared" ca="1" si="31"/>
        <v>0.28999999999999998</v>
      </c>
      <c r="AD64" s="81">
        <v>2030</v>
      </c>
      <c r="AE64" s="81"/>
      <c r="AF64" s="220"/>
    </row>
    <row r="65" spans="2:32">
      <c r="B65" s="357" t="s">
        <v>920</v>
      </c>
      <c r="D65" s="212"/>
      <c r="E65" s="212"/>
      <c r="F65" s="224" t="s">
        <v>1149</v>
      </c>
      <c r="H65" s="174"/>
      <c r="I65" s="173" t="str">
        <f t="shared" si="22"/>
        <v>INDFWH</v>
      </c>
      <c r="J65" s="224">
        <f t="shared" si="32"/>
        <v>2050</v>
      </c>
      <c r="K65" s="81"/>
      <c r="L65" s="199">
        <f t="shared" ca="1" si="23"/>
        <v>0.93</v>
      </c>
      <c r="M65" s="199"/>
      <c r="N65" s="81"/>
      <c r="O65" s="723">
        <f t="shared" ca="1" si="24"/>
        <v>3.3525</v>
      </c>
      <c r="P65" s="723">
        <f t="shared" ca="1" si="25"/>
        <v>2.98E-3</v>
      </c>
      <c r="Q65" s="81">
        <f t="shared" ca="1" si="26"/>
        <v>2.4936805555555561</v>
      </c>
      <c r="R65" s="300"/>
      <c r="S65" s="300"/>
      <c r="T65" s="300"/>
      <c r="U65" s="300"/>
      <c r="V65" s="199">
        <f ca="1">IF(IF(RIGHT(H63,2)="PH",(1-L65)+$W$2,IF(RIGHT(H63,2)="HT",(1-L65)+$W$1,IF(RIGHT(H63,2)="SH",(1-L65)+$W$3,"")))&gt;0,IF(RIGHT(H63,2)="PH",(1-L65)+$W$2,IF(RIGHT(H63,2)="HT",(1-L65)+$W$1,IF(RIGHT(H63,2)="SH",(1-L65)+$W$3,""))),0)</f>
        <v>0.26999999999999996</v>
      </c>
      <c r="W65" s="298"/>
      <c r="X65" s="698">
        <f t="shared" ca="1" si="27"/>
        <v>8.3000000000000007</v>
      </c>
      <c r="Y65" s="81">
        <f t="shared" ca="1" si="28"/>
        <v>11</v>
      </c>
      <c r="Z65" s="81">
        <f t="shared" ca="1" si="29"/>
        <v>0.1</v>
      </c>
      <c r="AA65" s="81">
        <f t="shared" ca="1" si="30"/>
        <v>1</v>
      </c>
      <c r="AB65" s="81">
        <f t="shared" ca="1" si="31"/>
        <v>0.28999999999999998</v>
      </c>
      <c r="AD65" s="81">
        <v>2050</v>
      </c>
      <c r="AE65" s="81"/>
      <c r="AF65" s="220"/>
    </row>
    <row r="66" spans="2:32">
      <c r="B66" s="357" t="s">
        <v>922</v>
      </c>
      <c r="D66" s="212" t="str">
        <f>"IND"&amp;RIGHT(H66,4)&amp;RIGHT(G66,3)&amp;"N"&amp;RIGHT(E66,1)</f>
        <v>INDFDPHELCN6</v>
      </c>
      <c r="E66" s="261" t="str">
        <f>"Industrial heating technology "&amp;$AJ$12&amp;" "&amp;RIGHT(H66,2)&amp;" - Dielectric heating - new 6"</f>
        <v>Industrial heating technology Food PH - Dielectric heating - new 6</v>
      </c>
      <c r="F66" s="224" t="s">
        <v>1149</v>
      </c>
      <c r="G66" s="173" t="s">
        <v>499</v>
      </c>
      <c r="H66" s="174" t="str">
        <f>$AI$14</f>
        <v>IFDPH</v>
      </c>
      <c r="I66" s="173" t="str">
        <f t="shared" si="22"/>
        <v>INDFWH</v>
      </c>
      <c r="J66" s="224">
        <f t="shared" si="32"/>
        <v>2011</v>
      </c>
      <c r="K66" s="299">
        <v>2020</v>
      </c>
      <c r="L66" s="199">
        <f t="shared" ca="1" si="23"/>
        <v>0.95</v>
      </c>
      <c r="M66" s="199"/>
      <c r="N66" s="81">
        <f ca="1">VLOOKUP($AD66,INDIRECT("'"&amp;$B66&amp;"'!"&amp;"$P$39:$AD$42"),5,FALSE)</f>
        <v>30</v>
      </c>
      <c r="O66" s="723">
        <f t="shared" ca="1" si="24"/>
        <v>20.115000000000002</v>
      </c>
      <c r="P66" s="723">
        <f t="shared" ca="1" si="25"/>
        <v>0</v>
      </c>
      <c r="Q66" s="81">
        <f t="shared" ca="1" si="26"/>
        <v>94.828152777777774</v>
      </c>
      <c r="R66" s="81">
        <v>3.1536000000000002E-2</v>
      </c>
      <c r="S66" s="199">
        <v>0.5</v>
      </c>
      <c r="T66" s="199">
        <f ca="1">HLOOKUP($S$2,INDIRECT("'"&amp;$B66&amp;"'!"&amp;"$P$6:$AC$19"),IF(H66=$AI$13,6,IF(H66=$AI$14,9,14)),FALSE)</f>
        <v>0</v>
      </c>
      <c r="U66" s="772"/>
      <c r="V66" s="199">
        <f t="shared" ref="V66" ca="1" si="33">IF(IF(RIGHT(H66,2)="PH",(1-L66)+$W$2,IF(RIGHT(H66,2)="HT",(1-L66)+$W$1,IF(RIGHT(H66,2)="SH",(1-L66)+$W$3,"")))&gt;0,IF(RIGHT(H66,2)="PH",(1-L66)+$W$2,IF(RIGHT(H66,2)="HT",(1-L66)+$W$1,IF(RIGHT(H66,2)="SH",(1-L66)+$W$3,""))),0)</f>
        <v>0.25000000000000006</v>
      </c>
      <c r="W66" s="298"/>
      <c r="X66" s="698">
        <f t="shared" ca="1" si="27"/>
        <v>0</v>
      </c>
      <c r="Y66" s="81">
        <f t="shared" ca="1" si="28"/>
        <v>0</v>
      </c>
      <c r="Z66" s="81">
        <f t="shared" ca="1" si="29"/>
        <v>0</v>
      </c>
      <c r="AA66" s="81">
        <f t="shared" ca="1" si="30"/>
        <v>0</v>
      </c>
      <c r="AB66" s="81">
        <f t="shared" ca="1" si="31"/>
        <v>0</v>
      </c>
      <c r="AD66" s="81">
        <v>2020</v>
      </c>
      <c r="AE66" s="81"/>
      <c r="AF66" s="220"/>
    </row>
    <row r="67" spans="2:32">
      <c r="B67" s="357" t="s">
        <v>922</v>
      </c>
      <c r="D67" s="212"/>
      <c r="E67" s="212"/>
      <c r="F67" s="224" t="s">
        <v>1149</v>
      </c>
      <c r="H67" s="174"/>
      <c r="I67" s="173" t="str">
        <f t="shared" si="22"/>
        <v>INDFWH</v>
      </c>
      <c r="J67" s="224">
        <f t="shared" si="32"/>
        <v>2030</v>
      </c>
      <c r="K67" s="81"/>
      <c r="L67" s="199">
        <f t="shared" ca="1" si="23"/>
        <v>0.95</v>
      </c>
      <c r="M67" s="199"/>
      <c r="N67" s="81"/>
      <c r="O67" s="723">
        <f t="shared" ca="1" si="24"/>
        <v>19.511550000000003</v>
      </c>
      <c r="P67" s="723">
        <f t="shared" ca="1" si="25"/>
        <v>0</v>
      </c>
      <c r="Q67" s="81">
        <f t="shared" ca="1" si="26"/>
        <v>94.832291666666663</v>
      </c>
      <c r="R67" s="300"/>
      <c r="S67" s="300"/>
      <c r="T67" s="300"/>
      <c r="U67" s="300"/>
      <c r="V67" s="199">
        <f t="shared" ref="V67" ca="1" si="34">IF(IF(RIGHT(H66,2)="PH",(1-L67)+$W$2,IF(RIGHT(H66,2)="HT",(1-L67)+$W$1,IF(RIGHT(H66,2)="SH",(1-L67)+$W$3,"")))&gt;0,IF(RIGHT(H66,2)="PH",(1-L67)+$W$2,IF(RIGHT(H66,2)="HT",(1-L67)+$W$1,IF(RIGHT(H66,2)="SH",(1-L67)+$W$3,""))),0)</f>
        <v>0.25000000000000006</v>
      </c>
      <c r="W67" s="298"/>
      <c r="X67" s="698">
        <f t="shared" ca="1" si="27"/>
        <v>0</v>
      </c>
      <c r="Y67" s="81">
        <f t="shared" ca="1" si="28"/>
        <v>0</v>
      </c>
      <c r="Z67" s="81">
        <f t="shared" ca="1" si="29"/>
        <v>0</v>
      </c>
      <c r="AA67" s="81">
        <f t="shared" ca="1" si="30"/>
        <v>0</v>
      </c>
      <c r="AB67" s="81">
        <f t="shared" ca="1" si="31"/>
        <v>0</v>
      </c>
      <c r="AD67" s="81">
        <v>2030</v>
      </c>
      <c r="AE67" s="81"/>
      <c r="AF67" s="220"/>
    </row>
    <row r="68" spans="2:32">
      <c r="B68" s="357" t="s">
        <v>922</v>
      </c>
      <c r="D68" s="212"/>
      <c r="E68" s="212"/>
      <c r="F68" s="224" t="s">
        <v>1149</v>
      </c>
      <c r="H68" s="174"/>
      <c r="I68" s="173" t="str">
        <f t="shared" si="22"/>
        <v>INDFWH</v>
      </c>
      <c r="J68" s="224">
        <f t="shared" si="32"/>
        <v>2050</v>
      </c>
      <c r="K68" s="81"/>
      <c r="L68" s="199">
        <f t="shared" ca="1" si="23"/>
        <v>0.95</v>
      </c>
      <c r="M68" s="199"/>
      <c r="N68" s="81"/>
      <c r="O68" s="723">
        <f t="shared" ca="1" si="24"/>
        <v>18.1035</v>
      </c>
      <c r="P68" s="723">
        <f t="shared" ca="1" si="25"/>
        <v>0</v>
      </c>
      <c r="Q68" s="81">
        <f t="shared" ca="1" si="26"/>
        <v>94.834361111111107</v>
      </c>
      <c r="R68" s="300"/>
      <c r="S68" s="300"/>
      <c r="T68" s="300"/>
      <c r="U68" s="300"/>
      <c r="V68" s="199">
        <f t="shared" ref="V68" ca="1" si="35">IF(IF(RIGHT(H66,2)="PH",(1-L68)+$W$2,IF(RIGHT(H66,2)="HT",(1-L68)+$W$1,IF(RIGHT(H66,2)="SH",(1-L68)+$W$3,"")))&gt;0,IF(RIGHT(H66,2)="PH",(1-L68)+$W$2,IF(RIGHT(H66,2)="HT",(1-L68)+$W$1,IF(RIGHT(H66,2)="SH",(1-L68)+$W$3,""))),0)</f>
        <v>0.25000000000000006</v>
      </c>
      <c r="W68" s="298"/>
      <c r="X68" s="698">
        <f t="shared" ca="1" si="27"/>
        <v>0</v>
      </c>
      <c r="Y68" s="81">
        <f t="shared" ca="1" si="28"/>
        <v>0</v>
      </c>
      <c r="Z68" s="81">
        <f t="shared" ca="1" si="29"/>
        <v>0</v>
      </c>
      <c r="AA68" s="81">
        <f t="shared" ca="1" si="30"/>
        <v>0</v>
      </c>
      <c r="AB68" s="81">
        <f t="shared" ca="1" si="31"/>
        <v>0</v>
      </c>
      <c r="AD68" s="81">
        <v>2050</v>
      </c>
      <c r="AE68" s="81"/>
      <c r="AF68" s="220"/>
    </row>
    <row r="69" spans="2:32">
      <c r="B69" s="357" t="s">
        <v>1006</v>
      </c>
      <c r="D69" s="212" t="str">
        <f>"IND"&amp;RIGHT(H69,4)&amp;RIGHT(G69,3)&amp;"N"&amp;RIGHT(E69,1)</f>
        <v>INDFDPHELCN7</v>
      </c>
      <c r="E69" s="261" t="str">
        <f>"Industrial heating technology "&amp;$AJ$12&amp;" "&amp;RIGHT(H69,2)&amp;" - Infrared heating - new 7"</f>
        <v>Industrial heating technology Food PH - Infrared heating - new 7</v>
      </c>
      <c r="F69" s="224" t="s">
        <v>1149</v>
      </c>
      <c r="G69" s="173" t="s">
        <v>499</v>
      </c>
      <c r="H69" s="174" t="str">
        <f>$AI$14</f>
        <v>IFDPH</v>
      </c>
      <c r="I69" s="173" t="str">
        <f t="shared" si="22"/>
        <v>INDFWH</v>
      </c>
      <c r="J69" s="224">
        <f t="shared" si="32"/>
        <v>2011</v>
      </c>
      <c r="K69" s="299">
        <v>2020</v>
      </c>
      <c r="L69" s="199">
        <f t="shared" ca="1" si="23"/>
        <v>0.96</v>
      </c>
      <c r="M69" s="199"/>
      <c r="N69" s="81">
        <f ca="1">VLOOKUP($AD69,INDIRECT("'"&amp;$B69&amp;"'!"&amp;"$P$39:$AD$42"),5,FALSE)</f>
        <v>30</v>
      </c>
      <c r="O69" s="723">
        <f t="shared" ca="1" si="24"/>
        <v>2.6074999999999999</v>
      </c>
      <c r="P69" s="723">
        <f t="shared" ca="1" si="25"/>
        <v>0</v>
      </c>
      <c r="Q69" s="81">
        <f t="shared" ca="1" si="26"/>
        <v>242.27606944444443</v>
      </c>
      <c r="R69" s="81">
        <v>3.1536000000000002E-2</v>
      </c>
      <c r="S69" s="199">
        <v>0.5</v>
      </c>
      <c r="T69" s="199">
        <f ca="1">HLOOKUP($S$2,INDIRECT("'"&amp;$B69&amp;"'!"&amp;"$P$6:$AC$19"),IF(H69=$AI$13,6,IF(H69=$AI$14,9,14)),FALSE)</f>
        <v>0</v>
      </c>
      <c r="U69" s="772"/>
      <c r="V69" s="199">
        <f t="shared" ref="V69" ca="1" si="36">IF(IF(RIGHT(H69,2)="PH",(1-L69)+$W$2,IF(RIGHT(H69,2)="HT",(1-L69)+$W$1,IF(RIGHT(H69,2)="SH",(1-L69)+$W$3,"")))&gt;0,IF(RIGHT(H69,2)="PH",(1-L69)+$W$2,IF(RIGHT(H69,2)="HT",(1-L69)+$W$1,IF(RIGHT(H69,2)="SH",(1-L69)+$W$3,""))),0)</f>
        <v>0.24000000000000005</v>
      </c>
      <c r="W69" s="298"/>
      <c r="X69" s="698">
        <f t="shared" ca="1" si="27"/>
        <v>0</v>
      </c>
      <c r="Y69" s="81">
        <f t="shared" ca="1" si="28"/>
        <v>0</v>
      </c>
      <c r="Z69" s="81">
        <f t="shared" ca="1" si="29"/>
        <v>0</v>
      </c>
      <c r="AA69" s="81">
        <f t="shared" ca="1" si="30"/>
        <v>0</v>
      </c>
      <c r="AB69" s="81">
        <f t="shared" ca="1" si="31"/>
        <v>0</v>
      </c>
      <c r="AD69" s="81">
        <v>2020</v>
      </c>
      <c r="AE69" s="81"/>
      <c r="AF69" s="220"/>
    </row>
    <row r="70" spans="2:32">
      <c r="B70" s="357" t="s">
        <v>1006</v>
      </c>
      <c r="D70" s="212"/>
      <c r="E70" s="212"/>
      <c r="F70" s="224" t="s">
        <v>1149</v>
      </c>
      <c r="H70" s="174"/>
      <c r="I70" s="173" t="str">
        <f t="shared" si="22"/>
        <v>INDFWH</v>
      </c>
      <c r="J70" s="224">
        <f t="shared" si="32"/>
        <v>2030</v>
      </c>
      <c r="K70" s="81"/>
      <c r="L70" s="199">
        <f t="shared" ca="1" si="23"/>
        <v>0.96</v>
      </c>
      <c r="M70" s="199"/>
      <c r="N70" s="81"/>
      <c r="O70" s="723">
        <f t="shared" ca="1" si="24"/>
        <v>2.5330000000000004</v>
      </c>
      <c r="P70" s="723">
        <f t="shared" ca="1" si="25"/>
        <v>0</v>
      </c>
      <c r="Q70" s="81">
        <f t="shared" ca="1" si="26"/>
        <v>242.28020833333332</v>
      </c>
      <c r="R70" s="300"/>
      <c r="S70" s="300"/>
      <c r="T70" s="300"/>
      <c r="U70" s="300"/>
      <c r="V70" s="199">
        <f t="shared" ref="V70" ca="1" si="37">IF(IF(RIGHT(H69,2)="PH",(1-L70)+$W$2,IF(RIGHT(H69,2)="HT",(1-L70)+$W$1,IF(RIGHT(H69,2)="SH",(1-L70)+$W$3,"")))&gt;0,IF(RIGHT(H69,2)="PH",(1-L70)+$W$2,IF(RIGHT(H69,2)="HT",(1-L70)+$W$1,IF(RIGHT(H69,2)="SH",(1-L70)+$W$3,""))),0)</f>
        <v>0.24000000000000005</v>
      </c>
      <c r="W70" s="298"/>
      <c r="X70" s="698">
        <f t="shared" ca="1" si="27"/>
        <v>0</v>
      </c>
      <c r="Y70" s="81">
        <f t="shared" ca="1" si="28"/>
        <v>0</v>
      </c>
      <c r="Z70" s="81">
        <f t="shared" ca="1" si="29"/>
        <v>0</v>
      </c>
      <c r="AA70" s="81">
        <f t="shared" ca="1" si="30"/>
        <v>0</v>
      </c>
      <c r="AB70" s="81">
        <f t="shared" ca="1" si="31"/>
        <v>0</v>
      </c>
      <c r="AD70" s="81">
        <v>2030</v>
      </c>
      <c r="AE70" s="81"/>
      <c r="AF70" s="220"/>
    </row>
    <row r="71" spans="2:32">
      <c r="B71" s="357" t="s">
        <v>1006</v>
      </c>
      <c r="D71" s="212"/>
      <c r="E71" s="212"/>
      <c r="F71" s="224" t="s">
        <v>1149</v>
      </c>
      <c r="H71" s="174"/>
      <c r="I71" s="174" t="str">
        <f t="shared" si="22"/>
        <v>INDFWH</v>
      </c>
      <c r="J71" s="224">
        <f t="shared" si="32"/>
        <v>2050</v>
      </c>
      <c r="K71" s="81"/>
      <c r="L71" s="199">
        <f t="shared" ca="1" si="23"/>
        <v>0.96</v>
      </c>
      <c r="M71" s="199"/>
      <c r="N71" s="81"/>
      <c r="O71" s="723">
        <f t="shared" ca="1" si="24"/>
        <v>2.3467500000000001</v>
      </c>
      <c r="P71" s="723">
        <f t="shared" ca="1" si="25"/>
        <v>0</v>
      </c>
      <c r="Q71" s="81">
        <f t="shared" ca="1" si="26"/>
        <v>242.28227777777775</v>
      </c>
      <c r="R71" s="300"/>
      <c r="S71" s="300"/>
      <c r="T71" s="300"/>
      <c r="U71" s="300"/>
      <c r="V71" s="199">
        <f t="shared" ref="V71" ca="1" si="38">IF(IF(RIGHT(H69,2)="PH",(1-L71)+$W$2,IF(RIGHT(H69,2)="HT",(1-L71)+$W$1,IF(RIGHT(H69,2)="SH",(1-L71)+$W$3,"")))&gt;0,IF(RIGHT(H69,2)="PH",(1-L71)+$W$2,IF(RIGHT(H69,2)="HT",(1-L71)+$W$1,IF(RIGHT(H69,2)="SH",(1-L71)+$W$3,""))),0)</f>
        <v>0.24000000000000005</v>
      </c>
      <c r="W71" s="298"/>
      <c r="X71" s="698">
        <f t="shared" ca="1" si="27"/>
        <v>0</v>
      </c>
      <c r="Y71" s="81">
        <f t="shared" ca="1" si="28"/>
        <v>0</v>
      </c>
      <c r="Z71" s="81">
        <f t="shared" ca="1" si="29"/>
        <v>0</v>
      </c>
      <c r="AA71" s="81">
        <f t="shared" ca="1" si="30"/>
        <v>0</v>
      </c>
      <c r="AB71" s="81">
        <f t="shared" ca="1" si="31"/>
        <v>0</v>
      </c>
      <c r="AD71" s="81">
        <v>2050</v>
      </c>
      <c r="AE71" s="81"/>
      <c r="AF71" s="220"/>
    </row>
    <row r="72" spans="2:32">
      <c r="B72" s="357" t="s">
        <v>1007</v>
      </c>
      <c r="D72" s="212" t="str">
        <f>"IND"&amp;RIGHT(H72,4)&amp;RIGHT(G72,3)&amp;"N"&amp;RIGHT(E72,1)</f>
        <v>INDFDPHELCN8</v>
      </c>
      <c r="E72" s="261" t="str">
        <f>"Industrial heating technology "&amp;$AJ$12&amp;" "&amp;RIGHT(H72,2)&amp;" - Electric boiler (Steam) - new 8"</f>
        <v>Industrial heating technology Food PH - Electric boiler (Steam) - new 8</v>
      </c>
      <c r="F72" s="224" t="s">
        <v>1149</v>
      </c>
      <c r="G72" s="173" t="s">
        <v>499</v>
      </c>
      <c r="H72" s="174" t="str">
        <f>$AI$13</f>
        <v>IFDPH</v>
      </c>
      <c r="I72" s="174" t="str">
        <f t="shared" si="22"/>
        <v>INDFWH</v>
      </c>
      <c r="J72" s="224">
        <f t="shared" si="32"/>
        <v>2011</v>
      </c>
      <c r="K72" s="299">
        <v>2020</v>
      </c>
      <c r="L72" s="199">
        <f t="shared" ca="1" si="23"/>
        <v>0.99</v>
      </c>
      <c r="M72" s="199"/>
      <c r="N72" s="81">
        <f ca="1">VLOOKUP($AD72,INDIRECT("'"&amp;$B72&amp;"'!"&amp;"$P$39:$AD$42"),5,FALSE)</f>
        <v>25</v>
      </c>
      <c r="O72" s="723">
        <f t="shared" ca="1" si="24"/>
        <v>0.59599999999999997</v>
      </c>
      <c r="P72" s="723">
        <f t="shared" ca="1" si="25"/>
        <v>7.9714999999999994E-3</v>
      </c>
      <c r="Q72" s="81">
        <f t="shared" ca="1" si="26"/>
        <v>1.7900694444444445</v>
      </c>
      <c r="R72" s="81">
        <v>3.1536000000000002E-2</v>
      </c>
      <c r="S72" s="199">
        <v>0.5</v>
      </c>
      <c r="T72" s="199">
        <f ca="1">HLOOKUP($T$2,INDIRECT("'"&amp;$B72&amp;"'!"&amp;"$P$6:$AC$19"),IF(H72=$AI$13,6,IF(H72=$AI$14,9,14)),FALSE)</f>
        <v>1</v>
      </c>
      <c r="U72" s="772"/>
      <c r="V72" s="199">
        <f t="shared" ref="V72" ca="1" si="39">IF(IF(RIGHT(H72,2)="PH",(1-L72)+$W$2,IF(RIGHT(H72,2)="HT",(1-L72)+$W$1,IF(RIGHT(H72,2)="SH",(1-L72)+$W$3,"")))&gt;0,IF(RIGHT(H72,2)="PH",(1-L72)+$W$2,IF(RIGHT(H72,2)="HT",(1-L72)+$W$1,IF(RIGHT(H72,2)="SH",(1-L72)+$W$3,""))),0)</f>
        <v>0.21000000000000002</v>
      </c>
      <c r="W72" s="298"/>
      <c r="X72" s="698">
        <f t="shared" ca="1" si="27"/>
        <v>0</v>
      </c>
      <c r="Y72" s="81">
        <f t="shared" ca="1" si="28"/>
        <v>0</v>
      </c>
      <c r="Z72" s="81">
        <f t="shared" ca="1" si="29"/>
        <v>0</v>
      </c>
      <c r="AA72" s="81">
        <f t="shared" ca="1" si="30"/>
        <v>0</v>
      </c>
      <c r="AB72" s="81">
        <f t="shared" ca="1" si="31"/>
        <v>0</v>
      </c>
      <c r="AD72" s="81">
        <v>2020</v>
      </c>
      <c r="AE72" s="81"/>
      <c r="AF72" s="220"/>
    </row>
    <row r="73" spans="2:32">
      <c r="B73" s="357" t="s">
        <v>1007</v>
      </c>
      <c r="D73" s="212"/>
      <c r="E73" s="212"/>
      <c r="F73" s="224" t="s">
        <v>1149</v>
      </c>
      <c r="H73" s="174"/>
      <c r="I73" s="174" t="str">
        <f t="shared" si="22"/>
        <v>INDFWH</v>
      </c>
      <c r="J73" s="224">
        <f t="shared" si="32"/>
        <v>2030</v>
      </c>
      <c r="K73" s="81"/>
      <c r="L73" s="199">
        <f t="shared" ca="1" si="23"/>
        <v>0.99</v>
      </c>
      <c r="M73" s="199"/>
      <c r="N73" s="81"/>
      <c r="O73" s="723">
        <f t="shared" ca="1" si="24"/>
        <v>0.52150000000000007</v>
      </c>
      <c r="P73" s="723">
        <f t="shared" ca="1" si="25"/>
        <v>7.5989999999999999E-3</v>
      </c>
      <c r="Q73" s="81">
        <f t="shared" ca="1" si="26"/>
        <v>1.8107638888888888</v>
      </c>
      <c r="R73" s="300"/>
      <c r="S73" s="300"/>
      <c r="T73" s="300"/>
      <c r="U73" s="300"/>
      <c r="V73" s="199">
        <f t="shared" ref="V73" ca="1" si="40">IF(IF(RIGHT(H72,2)="PH",(1-L73)+$W$2,IF(RIGHT(H72,2)="HT",(1-L73)+$W$1,IF(RIGHT(H72,2)="SH",(1-L73)+$W$3,"")))&gt;0,IF(RIGHT(H72,2)="PH",(1-L73)+$W$2,IF(RIGHT(H72,2)="HT",(1-L73)+$W$1,IF(RIGHT(H72,2)="SH",(1-L73)+$W$3,""))),0)</f>
        <v>0.21000000000000002</v>
      </c>
      <c r="W73" s="298"/>
      <c r="X73" s="698">
        <f t="shared" ca="1" si="27"/>
        <v>0</v>
      </c>
      <c r="Y73" s="81">
        <f t="shared" ca="1" si="28"/>
        <v>0</v>
      </c>
      <c r="Z73" s="81">
        <f t="shared" ca="1" si="29"/>
        <v>0</v>
      </c>
      <c r="AA73" s="81">
        <f t="shared" ca="1" si="30"/>
        <v>0</v>
      </c>
      <c r="AB73" s="81">
        <f t="shared" ca="1" si="31"/>
        <v>0</v>
      </c>
      <c r="AD73" s="81">
        <v>2030</v>
      </c>
      <c r="AE73" s="81"/>
      <c r="AF73" s="220"/>
    </row>
    <row r="74" spans="2:32">
      <c r="B74" s="357" t="s">
        <v>1007</v>
      </c>
      <c r="D74" s="212"/>
      <c r="E74" s="212"/>
      <c r="F74" s="224" t="s">
        <v>1149</v>
      </c>
      <c r="H74" s="174"/>
      <c r="I74" s="174" t="str">
        <f t="shared" si="22"/>
        <v>INDFWH</v>
      </c>
      <c r="J74" s="224">
        <f t="shared" si="32"/>
        <v>2050</v>
      </c>
      <c r="K74" s="81"/>
      <c r="L74" s="199">
        <f t="shared" ca="1" si="23"/>
        <v>0.99</v>
      </c>
      <c r="M74" s="199"/>
      <c r="N74" s="81"/>
      <c r="O74" s="723">
        <f t="shared" ca="1" si="24"/>
        <v>0.52150000000000007</v>
      </c>
      <c r="P74" s="723">
        <f t="shared" ca="1" si="25"/>
        <v>6.8539999999999998E-3</v>
      </c>
      <c r="Q74" s="81">
        <f t="shared" ca="1" si="26"/>
        <v>1.6141666666666665</v>
      </c>
      <c r="R74" s="300"/>
      <c r="S74" s="300"/>
      <c r="T74" s="300"/>
      <c r="U74" s="300"/>
      <c r="V74" s="199">
        <f t="shared" ref="V74" ca="1" si="41">IF(IF(RIGHT(H72,2)="PH",(1-L74)+$W$2,IF(RIGHT(H72,2)="HT",(1-L74)+$W$1,IF(RIGHT(H72,2)="SH",(1-L74)+$W$3,"")))&gt;0,IF(RIGHT(H72,2)="PH",(1-L74)+$W$2,IF(RIGHT(H72,2)="HT",(1-L74)+$W$1,IF(RIGHT(H72,2)="SH",(1-L74)+$W$3,""))),0)</f>
        <v>0.21000000000000002</v>
      </c>
      <c r="W74" s="298"/>
      <c r="X74" s="698">
        <f t="shared" ca="1" si="27"/>
        <v>0</v>
      </c>
      <c r="Y74" s="81">
        <f t="shared" ca="1" si="28"/>
        <v>0</v>
      </c>
      <c r="Z74" s="81">
        <f t="shared" ca="1" si="29"/>
        <v>0</v>
      </c>
      <c r="AA74" s="81">
        <f t="shared" ca="1" si="30"/>
        <v>0</v>
      </c>
      <c r="AB74" s="81">
        <f t="shared" ca="1" si="31"/>
        <v>0</v>
      </c>
      <c r="AD74" s="81">
        <v>2050</v>
      </c>
      <c r="AE74" s="81"/>
      <c r="AF74" s="220"/>
    </row>
    <row r="75" spans="2:32">
      <c r="B75" s="357" t="s">
        <v>1007</v>
      </c>
      <c r="D75" s="212" t="str">
        <f>"IND"&amp;RIGHT(H75,4)&amp;RIGHT(G75,3)&amp;"N"&amp;RIGHT(E75,1)</f>
        <v>INDFDPHELCN8</v>
      </c>
      <c r="E75" s="261" t="str">
        <f>"Industrial heating technology "&amp;$AJ$12&amp;" "&amp;RIGHT(H75,2)&amp;" - Electric boiler (Steam) - new 8"</f>
        <v>Industrial heating technology Food PH - Electric boiler (Steam) - new 8</v>
      </c>
      <c r="F75" s="224" t="s">
        <v>1149</v>
      </c>
      <c r="G75" s="173" t="s">
        <v>499</v>
      </c>
      <c r="H75" s="174" t="str">
        <f>$AI$14</f>
        <v>IFDPH</v>
      </c>
      <c r="I75" s="174" t="str">
        <f t="shared" si="22"/>
        <v>INDFWH</v>
      </c>
      <c r="J75" s="224">
        <f t="shared" si="32"/>
        <v>2011</v>
      </c>
      <c r="K75" s="299">
        <v>2020</v>
      </c>
      <c r="L75" s="199">
        <f t="shared" ca="1" si="23"/>
        <v>0.99</v>
      </c>
      <c r="M75" s="199"/>
      <c r="N75" s="81">
        <f ca="1">VLOOKUP($AD75,INDIRECT("'"&amp;$B75&amp;"'!"&amp;"$P$39:$AD$42"),5,FALSE)</f>
        <v>25</v>
      </c>
      <c r="O75" s="723">
        <f t="shared" ca="1" si="24"/>
        <v>0.59599999999999997</v>
      </c>
      <c r="P75" s="723">
        <f t="shared" ca="1" si="25"/>
        <v>7.9714999999999994E-3</v>
      </c>
      <c r="Q75" s="81">
        <f t="shared" ca="1" si="26"/>
        <v>1.7900694444444445</v>
      </c>
      <c r="R75" s="81">
        <v>3.1536000000000002E-2</v>
      </c>
      <c r="S75" s="199">
        <v>0.5</v>
      </c>
      <c r="T75" s="199">
        <f ca="1">HLOOKUP($T$2,INDIRECT("'"&amp;$B75&amp;"'!"&amp;"$P$6:$AC$19"),IF(H75=$AI$13,6,IF(H75=$AI$14,9,14)),FALSE)</f>
        <v>1</v>
      </c>
      <c r="U75" s="772"/>
      <c r="V75" s="199">
        <f t="shared" ref="V75" ca="1" si="42">IF(IF(RIGHT(H75,2)="PH",(1-L75)+$W$2,IF(RIGHT(H75,2)="HT",(1-L75)+$W$1,IF(RIGHT(H75,2)="SH",(1-L75)+$W$3,"")))&gt;0,IF(RIGHT(H75,2)="PH",(1-L75)+$W$2,IF(RIGHT(H75,2)="HT",(1-L75)+$W$1,IF(RIGHT(H75,2)="SH",(1-L75)+$W$3,""))),0)</f>
        <v>0.21000000000000002</v>
      </c>
      <c r="W75" s="298"/>
      <c r="X75" s="698">
        <f t="shared" ca="1" si="27"/>
        <v>0</v>
      </c>
      <c r="Y75" s="81">
        <f t="shared" ca="1" si="28"/>
        <v>0</v>
      </c>
      <c r="Z75" s="81">
        <f t="shared" ca="1" si="29"/>
        <v>0</v>
      </c>
      <c r="AA75" s="81">
        <f t="shared" ca="1" si="30"/>
        <v>0</v>
      </c>
      <c r="AB75" s="81">
        <f t="shared" ca="1" si="31"/>
        <v>0</v>
      </c>
      <c r="AD75" s="81">
        <v>2020</v>
      </c>
      <c r="AE75" s="81"/>
      <c r="AF75" s="220"/>
    </row>
    <row r="76" spans="2:32">
      <c r="B76" s="357" t="s">
        <v>1007</v>
      </c>
      <c r="D76" s="212"/>
      <c r="E76" s="212"/>
      <c r="F76" s="224" t="s">
        <v>1149</v>
      </c>
      <c r="H76" s="174"/>
      <c r="I76" s="174" t="str">
        <f t="shared" si="22"/>
        <v>INDFWH</v>
      </c>
      <c r="J76" s="224">
        <f t="shared" si="32"/>
        <v>2030</v>
      </c>
      <c r="K76" s="81"/>
      <c r="L76" s="199">
        <f t="shared" ca="1" si="23"/>
        <v>0.99</v>
      </c>
      <c r="M76" s="199"/>
      <c r="N76" s="81"/>
      <c r="O76" s="723">
        <f t="shared" ca="1" si="24"/>
        <v>0.52150000000000007</v>
      </c>
      <c r="P76" s="723">
        <f t="shared" ca="1" si="25"/>
        <v>7.5989999999999999E-3</v>
      </c>
      <c r="Q76" s="81">
        <f t="shared" ca="1" si="26"/>
        <v>1.8107638888888888</v>
      </c>
      <c r="R76" s="300"/>
      <c r="S76" s="300"/>
      <c r="T76" s="300"/>
      <c r="U76" s="300"/>
      <c r="V76" s="199">
        <f t="shared" ref="V76" ca="1" si="43">IF(IF(RIGHT(H75,2)="PH",(1-L76)+$W$2,IF(RIGHT(H75,2)="HT",(1-L76)+$W$1,IF(RIGHT(H75,2)="SH",(1-L76)+$W$3,"")))&gt;0,IF(RIGHT(H75,2)="PH",(1-L76)+$W$2,IF(RIGHT(H75,2)="HT",(1-L76)+$W$1,IF(RIGHT(H75,2)="SH",(1-L76)+$W$3,""))),0)</f>
        <v>0.21000000000000002</v>
      </c>
      <c r="W76" s="298"/>
      <c r="X76" s="698">
        <f t="shared" ca="1" si="27"/>
        <v>0</v>
      </c>
      <c r="Y76" s="81">
        <f t="shared" ca="1" si="28"/>
        <v>0</v>
      </c>
      <c r="Z76" s="81">
        <f t="shared" ca="1" si="29"/>
        <v>0</v>
      </c>
      <c r="AA76" s="81">
        <f t="shared" ca="1" si="30"/>
        <v>0</v>
      </c>
      <c r="AB76" s="81">
        <f t="shared" ca="1" si="31"/>
        <v>0</v>
      </c>
      <c r="AD76" s="81">
        <v>2030</v>
      </c>
      <c r="AE76" s="81"/>
      <c r="AF76" s="220"/>
    </row>
    <row r="77" spans="2:32">
      <c r="B77" s="357" t="s">
        <v>1007</v>
      </c>
      <c r="D77" s="212"/>
      <c r="E77" s="212"/>
      <c r="F77" s="224" t="s">
        <v>1149</v>
      </c>
      <c r="H77" s="174"/>
      <c r="I77" s="174" t="str">
        <f t="shared" si="22"/>
        <v>INDFWH</v>
      </c>
      <c r="J77" s="224">
        <f t="shared" si="32"/>
        <v>2050</v>
      </c>
      <c r="K77" s="81"/>
      <c r="L77" s="199">
        <f t="shared" ca="1" si="23"/>
        <v>0.99</v>
      </c>
      <c r="M77" s="199"/>
      <c r="N77" s="81"/>
      <c r="O77" s="723">
        <f t="shared" ca="1" si="24"/>
        <v>0.52150000000000007</v>
      </c>
      <c r="P77" s="723">
        <f t="shared" ca="1" si="25"/>
        <v>6.8539999999999998E-3</v>
      </c>
      <c r="Q77" s="81">
        <f t="shared" ca="1" si="26"/>
        <v>1.6141666666666665</v>
      </c>
      <c r="R77" s="300"/>
      <c r="S77" s="300"/>
      <c r="T77" s="300"/>
      <c r="U77" s="300"/>
      <c r="V77" s="199">
        <f t="shared" ref="V77" ca="1" si="44">IF(IF(RIGHT(H75,2)="PH",(1-L77)+$W$2,IF(RIGHT(H75,2)="HT",(1-L77)+$W$1,IF(RIGHT(H75,2)="SH",(1-L77)+$W$3,"")))&gt;0,IF(RIGHT(H75,2)="PH",(1-L77)+$W$2,IF(RIGHT(H75,2)="HT",(1-L77)+$W$1,IF(RIGHT(H75,2)="SH",(1-L77)+$W$3,""))),0)</f>
        <v>0.21000000000000002</v>
      </c>
      <c r="W77" s="298"/>
      <c r="X77" s="698">
        <f t="shared" ca="1" si="27"/>
        <v>0</v>
      </c>
      <c r="Y77" s="81">
        <f t="shared" ca="1" si="28"/>
        <v>0</v>
      </c>
      <c r="Z77" s="81">
        <f t="shared" ca="1" si="29"/>
        <v>0</v>
      </c>
      <c r="AA77" s="81">
        <f t="shared" ca="1" si="30"/>
        <v>0</v>
      </c>
      <c r="AB77" s="81">
        <f t="shared" ca="1" si="31"/>
        <v>0</v>
      </c>
      <c r="AD77" s="81">
        <v>2050</v>
      </c>
      <c r="AE77" s="706"/>
      <c r="AF77" s="220"/>
    </row>
    <row r="78" spans="2:32">
      <c r="B78" s="357" t="s">
        <v>1007</v>
      </c>
      <c r="D78" s="212" t="str">
        <f>"IND"&amp;RIGHT(H78,4)&amp;RIGHT(G78,3)&amp;"N"&amp;RIGHT(E78,1)</f>
        <v>INDFDSHELCN8</v>
      </c>
      <c r="E78" s="261" t="str">
        <f>"Industrial heating technology "&amp;$AJ$12&amp;" "&amp;RIGHT(H78,2)&amp;" - Electric boiler (Steam) - new 8"</f>
        <v>Industrial heating technology Food SH - Electric boiler (Steam) - new 8</v>
      </c>
      <c r="F78" s="224" t="s">
        <v>1149</v>
      </c>
      <c r="G78" s="173" t="s">
        <v>499</v>
      </c>
      <c r="H78" s="174" t="str">
        <f>$AI$15</f>
        <v>IFDSH</v>
      </c>
      <c r="I78" s="174" t="str">
        <f t="shared" si="22"/>
        <v>INDFWH</v>
      </c>
      <c r="J78" s="224">
        <f t="shared" si="32"/>
        <v>2011</v>
      </c>
      <c r="K78" s="299">
        <v>2020</v>
      </c>
      <c r="L78" s="199">
        <f t="shared" ca="1" si="23"/>
        <v>0.99</v>
      </c>
      <c r="M78" s="199"/>
      <c r="N78" s="81">
        <f ca="1">VLOOKUP($AD78,INDIRECT("'"&amp;$B78&amp;"'!"&amp;"$P$39:$AD$42"),5,FALSE)</f>
        <v>25</v>
      </c>
      <c r="O78" s="723">
        <f t="shared" ca="1" si="24"/>
        <v>0.59599999999999997</v>
      </c>
      <c r="P78" s="723">
        <f t="shared" ca="1" si="25"/>
        <v>7.9714999999999994E-3</v>
      </c>
      <c r="Q78" s="81">
        <f t="shared" ca="1" si="26"/>
        <v>1.7900694444444445</v>
      </c>
      <c r="R78" s="81">
        <v>3.1536000000000002E-2</v>
      </c>
      <c r="S78" s="199">
        <v>0.5</v>
      </c>
      <c r="T78" s="199">
        <f ca="1">HLOOKUP($T$2,INDIRECT("'"&amp;$B78&amp;"'!"&amp;"$P$6:$AC$19"),IF(H78=$AI$13,6,IF(H78=$AI$14,9,14)),FALSE)</f>
        <v>1</v>
      </c>
      <c r="U78" s="772"/>
      <c r="V78" s="199">
        <f t="shared" ref="V78" ca="1" si="45">IF(IF(RIGHT(H78,2)="PH",(1-L78)+$W$2,IF(RIGHT(H78,2)="HT",(1-L78)+$W$1,IF(RIGHT(H78,2)="SH",(1-L78)+$W$3,"")))&gt;0,IF(RIGHT(H78,2)="PH",(1-L78)+$W$2,IF(RIGHT(H78,2)="HT",(1-L78)+$W$1,IF(RIGHT(H78,2)="SH",(1-L78)+$W$3,""))),0)</f>
        <v>1.0000000000000009E-2</v>
      </c>
      <c r="W78" s="298"/>
      <c r="X78" s="698">
        <f t="shared" ca="1" si="27"/>
        <v>0</v>
      </c>
      <c r="Y78" s="81">
        <f t="shared" ca="1" si="28"/>
        <v>0</v>
      </c>
      <c r="Z78" s="81">
        <f t="shared" ca="1" si="29"/>
        <v>0</v>
      </c>
      <c r="AA78" s="81">
        <f t="shared" ca="1" si="30"/>
        <v>0</v>
      </c>
      <c r="AB78" s="81">
        <f t="shared" ca="1" si="31"/>
        <v>0</v>
      </c>
      <c r="AC78" s="296"/>
      <c r="AD78" s="81">
        <v>2020</v>
      </c>
      <c r="AE78" s="81"/>
      <c r="AF78" s="710"/>
    </row>
    <row r="79" spans="2:32">
      <c r="B79" s="357" t="s">
        <v>1007</v>
      </c>
      <c r="D79" s="212"/>
      <c r="E79" s="212"/>
      <c r="F79" s="224" t="s">
        <v>1149</v>
      </c>
      <c r="H79" s="174"/>
      <c r="I79" s="174" t="str">
        <f t="shared" si="22"/>
        <v>INDFWH</v>
      </c>
      <c r="J79" s="224">
        <f t="shared" si="32"/>
        <v>2030</v>
      </c>
      <c r="K79" s="81"/>
      <c r="L79" s="199">
        <f t="shared" ca="1" si="23"/>
        <v>0.99</v>
      </c>
      <c r="M79" s="199"/>
      <c r="N79" s="81"/>
      <c r="O79" s="723">
        <f t="shared" ca="1" si="24"/>
        <v>0.52150000000000007</v>
      </c>
      <c r="P79" s="723">
        <f t="shared" ca="1" si="25"/>
        <v>7.5989999999999999E-3</v>
      </c>
      <c r="Q79" s="81">
        <f t="shared" ca="1" si="26"/>
        <v>1.8107638888888888</v>
      </c>
      <c r="R79" s="300"/>
      <c r="S79" s="300"/>
      <c r="T79" s="300"/>
      <c r="U79" s="300"/>
      <c r="V79" s="199">
        <f t="shared" ref="V79" ca="1" si="46">IF(IF(RIGHT(H78,2)="PH",(1-L79)+$W$2,IF(RIGHT(H78,2)="HT",(1-L79)+$W$1,IF(RIGHT(H78,2)="SH",(1-L79)+$W$3,"")))&gt;0,IF(RIGHT(H78,2)="PH",(1-L79)+$W$2,IF(RIGHT(H78,2)="HT",(1-L79)+$W$1,IF(RIGHT(H78,2)="SH",(1-L79)+$W$3,""))),0)</f>
        <v>1.0000000000000009E-2</v>
      </c>
      <c r="W79" s="298"/>
      <c r="X79" s="698">
        <f t="shared" ca="1" si="27"/>
        <v>0</v>
      </c>
      <c r="Y79" s="81">
        <f t="shared" ca="1" si="28"/>
        <v>0</v>
      </c>
      <c r="Z79" s="81">
        <f t="shared" ca="1" si="29"/>
        <v>0</v>
      </c>
      <c r="AA79" s="81">
        <f t="shared" ca="1" si="30"/>
        <v>0</v>
      </c>
      <c r="AB79" s="81">
        <f t="shared" ca="1" si="31"/>
        <v>0</v>
      </c>
      <c r="AC79" s="55"/>
      <c r="AD79" s="81">
        <v>2030</v>
      </c>
      <c r="AE79" s="81"/>
      <c r="AF79" s="700"/>
    </row>
    <row r="80" spans="2:32">
      <c r="B80" s="357" t="s">
        <v>1007</v>
      </c>
      <c r="D80" s="212"/>
      <c r="E80" s="212"/>
      <c r="F80" s="224" t="s">
        <v>1149</v>
      </c>
      <c r="H80" s="174"/>
      <c r="I80" s="174" t="str">
        <f t="shared" si="22"/>
        <v>INDFWH</v>
      </c>
      <c r="J80" s="224">
        <f t="shared" si="32"/>
        <v>2050</v>
      </c>
      <c r="K80" s="706"/>
      <c r="L80" s="199">
        <f t="shared" ca="1" si="23"/>
        <v>0.99</v>
      </c>
      <c r="M80" s="774"/>
      <c r="N80" s="706"/>
      <c r="O80" s="724">
        <f t="shared" ca="1" si="24"/>
        <v>0.52150000000000007</v>
      </c>
      <c r="P80" s="724">
        <f t="shared" ca="1" si="25"/>
        <v>6.8539999999999998E-3</v>
      </c>
      <c r="Q80" s="706">
        <f t="shared" ca="1" si="26"/>
        <v>1.6141666666666665</v>
      </c>
      <c r="R80" s="300"/>
      <c r="S80" s="300"/>
      <c r="T80" s="300"/>
      <c r="U80" s="300"/>
      <c r="V80" s="199">
        <f t="shared" ref="V80" ca="1" si="47">IF(IF(RIGHT(H78,2)="PH",(1-L80)+$W$2,IF(RIGHT(H78,2)="HT",(1-L80)+$W$1,IF(RIGHT(H78,2)="SH",(1-L80)+$W$3,"")))&gt;0,IF(RIGHT(H78,2)="PH",(1-L80)+$W$2,IF(RIGHT(H78,2)="HT",(1-L80)+$W$1,IF(RIGHT(H78,2)="SH",(1-L80)+$W$3,""))),0)</f>
        <v>1.0000000000000009E-2</v>
      </c>
      <c r="W80" s="298"/>
      <c r="X80" s="698">
        <f t="shared" ca="1" si="27"/>
        <v>0</v>
      </c>
      <c r="Y80" s="706">
        <f t="shared" ca="1" si="28"/>
        <v>0</v>
      </c>
      <c r="Z80" s="706">
        <f t="shared" ca="1" si="29"/>
        <v>0</v>
      </c>
      <c r="AA80" s="706">
        <f t="shared" ca="1" si="30"/>
        <v>0</v>
      </c>
      <c r="AB80" s="706">
        <f t="shared" ca="1" si="31"/>
        <v>0</v>
      </c>
      <c r="AC80" s="55"/>
      <c r="AD80" s="706">
        <v>2050</v>
      </c>
      <c r="AE80" s="81"/>
      <c r="AF80" s="700"/>
    </row>
    <row r="81" spans="1:33">
      <c r="B81" s="716" t="s">
        <v>1007</v>
      </c>
      <c r="C81" s="296"/>
      <c r="D81" s="707" t="str">
        <f>"IND"&amp;RIGHT(H81,4)&amp;RIGHT(G81,3)&amp;"N"&amp;RIGHT(E81,1)</f>
        <v>INDFDPHELCN9</v>
      </c>
      <c r="E81" s="707" t="str">
        <f>"Industrial heating technology "&amp;$AJ$12&amp;" "&amp;RIGHT(H81,2)&amp;" - Electric boiler (Hot Water) - new 9"</f>
        <v>Industrial heating technology Food PH - Electric boiler (Hot Water) - new 9</v>
      </c>
      <c r="F81" s="224" t="s">
        <v>1149</v>
      </c>
      <c r="G81" s="708" t="s">
        <v>499</v>
      </c>
      <c r="H81" s="708" t="str">
        <f>$AI$14</f>
        <v>IFDPH</v>
      </c>
      <c r="I81" s="708" t="str">
        <f t="shared" si="22"/>
        <v>INDFWH</v>
      </c>
      <c r="J81" s="224">
        <f t="shared" si="32"/>
        <v>2011</v>
      </c>
      <c r="K81" s="299">
        <v>2020</v>
      </c>
      <c r="L81" s="199">
        <f t="shared" ref="L81:L86" ca="1" si="48">VLOOKUP($AD81,INDIRECT("'"&amp;$B81&amp;"'!"&amp;"$P$118:$AD$121"),3,FALSE)</f>
        <v>0.99</v>
      </c>
      <c r="M81" s="199"/>
      <c r="N81" s="81">
        <f ca="1">VLOOKUP($AD81,INDIRECT("'"&amp;$B81&amp;"'!"&amp;"$P$118:$AD$121"),5,FALSE)</f>
        <v>25</v>
      </c>
      <c r="O81" s="723">
        <f t="shared" ref="O81:O86" ca="1" si="49">VLOOKUP($AD81,INDIRECT("'"&amp;$B81&amp;"'!"&amp;"$P$118:$AD$121"),6,FALSE)/1000</f>
        <v>0.52150000000000007</v>
      </c>
      <c r="P81" s="723">
        <f t="shared" ref="P81:P86" ca="1" si="50">VLOOKUP($AD81,INDIRECT("'"&amp;$B81&amp;"'!"&amp;"$P$118:$AD$121"),7,FALSE)/1000</f>
        <v>7.9714999999999994E-3</v>
      </c>
      <c r="Q81" s="81">
        <f t="shared" ref="Q81:Q86" ca="1" si="51">VLOOKUP($AD81,INDIRECT("'"&amp;$B81&amp;"'!"&amp;"$P$118:$AD$121"),8,FALSE)</f>
        <v>1.7900694444444445</v>
      </c>
      <c r="R81" s="81">
        <v>3.1536000000000002E-2</v>
      </c>
      <c r="S81" s="199">
        <v>0.5</v>
      </c>
      <c r="T81" s="199">
        <f ca="1">HLOOKUP($T$2,INDIRECT("'"&amp;$B81&amp;"'!"&amp;"$P$85:$AC$98"),IF(H81=$AI$13,6,IF(H81=$AI$14,9,14)),FALSE)</f>
        <v>0</v>
      </c>
      <c r="U81" s="773"/>
      <c r="V81" s="199">
        <f t="shared" ref="V81" ca="1" si="52">IF(IF(RIGHT(H81,2)="PH",(1-L81)+$W$2,IF(RIGHT(H81,2)="HT",(1-L81)+$W$1,IF(RIGHT(H81,2)="SH",(1-L81)+$W$3,"")))&gt;0,IF(RIGHT(H81,2)="PH",(1-L81)+$W$2,IF(RIGHT(H81,2)="HT",(1-L81)+$W$1,IF(RIGHT(H81,2)="SH",(1-L81)+$W$3,""))),0)</f>
        <v>0.21000000000000002</v>
      </c>
      <c r="W81" s="709"/>
      <c r="X81" s="698">
        <f t="shared" ca="1" si="27"/>
        <v>0</v>
      </c>
      <c r="Y81" s="698">
        <f t="shared" ref="Y81:Y86" ca="1" si="53">VLOOKUP($AD81,INDIRECT("'"&amp;$B81&amp;"'!"&amp;"$P$118:$AD$121"),12,FALSE)</f>
        <v>0</v>
      </c>
      <c r="Z81" s="698">
        <f t="shared" ref="Z81:Z86" ca="1" si="54">VLOOKUP($AD81,INDIRECT("'"&amp;$B81&amp;"'!"&amp;"$P$118:$AD$121"),13,FALSE)</f>
        <v>0</v>
      </c>
      <c r="AA81" s="698">
        <f t="shared" ref="AA81:AA86" ca="1" si="55">VLOOKUP($AD81,INDIRECT("'"&amp;$B81&amp;"'!"&amp;"$P$118:$AD$121"),14,FALSE)</f>
        <v>0</v>
      </c>
      <c r="AB81" s="698">
        <f t="shared" ref="AB81:AB86" ca="1" si="56">VLOOKUP($AD81,INDIRECT("'"&amp;$B81&amp;"'!"&amp;"$P$118:$AD$121"),15,FALSE)</f>
        <v>0</v>
      </c>
      <c r="AC81" s="55"/>
      <c r="AD81" s="81">
        <v>2020</v>
      </c>
      <c r="AE81" s="81"/>
      <c r="AF81" s="700"/>
    </row>
    <row r="82" spans="1:33">
      <c r="B82" s="357" t="s">
        <v>1007</v>
      </c>
      <c r="C82" s="55"/>
      <c r="D82" s="261"/>
      <c r="E82" s="261"/>
      <c r="F82" s="224" t="s">
        <v>1149</v>
      </c>
      <c r="G82" s="55"/>
      <c r="H82" s="174"/>
      <c r="I82" s="174" t="str">
        <f t="shared" si="22"/>
        <v>INDFWH</v>
      </c>
      <c r="J82" s="224">
        <f t="shared" si="32"/>
        <v>2030</v>
      </c>
      <c r="K82" s="81"/>
      <c r="L82" s="199">
        <f t="shared" ca="1" si="48"/>
        <v>0.99</v>
      </c>
      <c r="M82" s="199"/>
      <c r="N82" s="81"/>
      <c r="O82" s="723">
        <f t="shared" ca="1" si="49"/>
        <v>0.44700000000000001</v>
      </c>
      <c r="P82" s="723">
        <f t="shared" ca="1" si="50"/>
        <v>7.5989999999999999E-3</v>
      </c>
      <c r="Q82" s="81">
        <f t="shared" ca="1" si="51"/>
        <v>1.8107638888888888</v>
      </c>
      <c r="R82" s="300"/>
      <c r="S82" s="300"/>
      <c r="T82" s="300"/>
      <c r="U82" s="300"/>
      <c r="V82" s="199">
        <f t="shared" ref="V82" ca="1" si="57">IF(IF(RIGHT(H81,2)="PH",(1-L82)+$W$2,IF(RIGHT(H81,2)="HT",(1-L82)+$W$1,IF(RIGHT(H81,2)="SH",(1-L82)+$W$3,"")))&gt;0,IF(RIGHT(H81,2)="PH",(1-L82)+$W$2,IF(RIGHT(H81,2)="HT",(1-L82)+$W$1,IF(RIGHT(H81,2)="SH",(1-L82)+$W$3,""))),0)</f>
        <v>0.21000000000000002</v>
      </c>
      <c r="W82" s="298"/>
      <c r="X82" s="698">
        <f t="shared" ca="1" si="27"/>
        <v>0</v>
      </c>
      <c r="Y82" s="698">
        <f t="shared" ca="1" si="53"/>
        <v>0</v>
      </c>
      <c r="Z82" s="698">
        <f t="shared" ca="1" si="54"/>
        <v>0</v>
      </c>
      <c r="AA82" s="698">
        <f t="shared" ca="1" si="55"/>
        <v>0</v>
      </c>
      <c r="AB82" s="698">
        <f t="shared" ca="1" si="56"/>
        <v>0</v>
      </c>
      <c r="AC82" s="55"/>
      <c r="AD82" s="81">
        <v>2030</v>
      </c>
      <c r="AE82" s="81"/>
      <c r="AF82" s="700"/>
    </row>
    <row r="83" spans="1:33">
      <c r="B83" s="357" t="s">
        <v>1007</v>
      </c>
      <c r="C83" s="55"/>
      <c r="D83" s="261"/>
      <c r="E83" s="261"/>
      <c r="F83" s="224" t="s">
        <v>1149</v>
      </c>
      <c r="G83" s="55"/>
      <c r="H83" s="174"/>
      <c r="I83" s="174" t="str">
        <f t="shared" si="22"/>
        <v>INDFWH</v>
      </c>
      <c r="J83" s="224">
        <f t="shared" si="32"/>
        <v>2050</v>
      </c>
      <c r="K83" s="81"/>
      <c r="L83" s="199">
        <f t="shared" ca="1" si="48"/>
        <v>0.99</v>
      </c>
      <c r="M83" s="199"/>
      <c r="N83" s="81"/>
      <c r="O83" s="723">
        <f t="shared" ca="1" si="49"/>
        <v>0.44700000000000001</v>
      </c>
      <c r="P83" s="723">
        <f t="shared" ca="1" si="50"/>
        <v>6.8539999999999998E-3</v>
      </c>
      <c r="Q83" s="81">
        <f t="shared" ca="1" si="51"/>
        <v>1.6141666666666665</v>
      </c>
      <c r="R83" s="300"/>
      <c r="S83" s="300"/>
      <c r="T83" s="300"/>
      <c r="U83" s="300"/>
      <c r="V83" s="199">
        <f t="shared" ref="V83" ca="1" si="58">IF(IF(RIGHT(H81,2)="PH",(1-L83)+$W$2,IF(RIGHT(H81,2)="HT",(1-L83)+$W$1,IF(RIGHT(H81,2)="SH",(1-L83)+$W$3,"")))&gt;0,IF(RIGHT(H81,2)="PH",(1-L83)+$W$2,IF(RIGHT(H81,2)="HT",(1-L83)+$W$1,IF(RIGHT(H81,2)="SH",(1-L83)+$W$3,""))),0)</f>
        <v>0.21000000000000002</v>
      </c>
      <c r="W83" s="298"/>
      <c r="X83" s="698">
        <f t="shared" ca="1" si="27"/>
        <v>0</v>
      </c>
      <c r="Y83" s="698">
        <f t="shared" ca="1" si="53"/>
        <v>0</v>
      </c>
      <c r="Z83" s="698">
        <f t="shared" ca="1" si="54"/>
        <v>0</v>
      </c>
      <c r="AA83" s="698">
        <f t="shared" ca="1" si="55"/>
        <v>0</v>
      </c>
      <c r="AB83" s="698">
        <f t="shared" ca="1" si="56"/>
        <v>0</v>
      </c>
      <c r="AC83" s="203"/>
      <c r="AD83" s="81">
        <v>2050</v>
      </c>
      <c r="AE83" s="81"/>
      <c r="AF83" s="705"/>
    </row>
    <row r="84" spans="1:33">
      <c r="B84" s="357" t="s">
        <v>1007</v>
      </c>
      <c r="C84" s="55"/>
      <c r="D84" s="261" t="str">
        <f>"IND"&amp;RIGHT(H84,4)&amp;RIGHT(G84,3)&amp;"N"&amp;RIGHT(E84,1)</f>
        <v>INDFDSHELCN9</v>
      </c>
      <c r="E84" s="261" t="str">
        <f>"Industrial heating technology "&amp;$AJ$12&amp;" "&amp;RIGHT(H84,2)&amp;" - Electric boiler (Hot Water) - new 9"</f>
        <v>Industrial heating technology Food SH - Electric boiler (Hot Water) - new 9</v>
      </c>
      <c r="F84" s="224" t="s">
        <v>1149</v>
      </c>
      <c r="G84" s="174" t="s">
        <v>499</v>
      </c>
      <c r="H84" s="174" t="str">
        <f>$AI$15</f>
        <v>IFDSH</v>
      </c>
      <c r="I84" s="174" t="str">
        <f t="shared" si="22"/>
        <v>INDFWH</v>
      </c>
      <c r="J84" s="224">
        <f t="shared" si="32"/>
        <v>2011</v>
      </c>
      <c r="K84" s="299">
        <v>2020</v>
      </c>
      <c r="L84" s="199">
        <f t="shared" ca="1" si="48"/>
        <v>0.99</v>
      </c>
      <c r="M84" s="199"/>
      <c r="N84" s="81">
        <f ca="1">VLOOKUP($AD84,INDIRECT("'"&amp;$B84&amp;"'!"&amp;"$P$118:$AD$121"),5,FALSE)</f>
        <v>25</v>
      </c>
      <c r="O84" s="723">
        <f t="shared" ca="1" si="49"/>
        <v>0.52150000000000007</v>
      </c>
      <c r="P84" s="723">
        <f t="shared" ca="1" si="50"/>
        <v>7.9714999999999994E-3</v>
      </c>
      <c r="Q84" s="81">
        <f t="shared" ca="1" si="51"/>
        <v>1.7900694444444445</v>
      </c>
      <c r="R84" s="81">
        <v>3.1536000000000002E-2</v>
      </c>
      <c r="S84" s="199">
        <v>0.5</v>
      </c>
      <c r="T84" s="199">
        <f ca="1">HLOOKUP($T$2,INDIRECT("'"&amp;$B84&amp;"'!"&amp;"$P$85:$AC$98"),IF(H84=$AI$13,6,IF(H84=$AI$14,9,14)),FALSE)</f>
        <v>1</v>
      </c>
      <c r="U84" s="772"/>
      <c r="V84" s="199">
        <f t="shared" ref="V84" ca="1" si="59">IF(IF(RIGHT(H84,2)="PH",(1-L84)+$W$2,IF(RIGHT(H84,2)="HT",(1-L84)+$W$1,IF(RIGHT(H84,2)="SH",(1-L84)+$W$3,"")))&gt;0,IF(RIGHT(H84,2)="PH",(1-L84)+$W$2,IF(RIGHT(H84,2)="HT",(1-L84)+$W$1,IF(RIGHT(H84,2)="SH",(1-L84)+$W$3,""))),0)</f>
        <v>1.0000000000000009E-2</v>
      </c>
      <c r="W84" s="298"/>
      <c r="X84" s="698">
        <f t="shared" ca="1" si="27"/>
        <v>0</v>
      </c>
      <c r="Y84" s="698">
        <f t="shared" ca="1" si="53"/>
        <v>0</v>
      </c>
      <c r="Z84" s="698">
        <f t="shared" ca="1" si="54"/>
        <v>0</v>
      </c>
      <c r="AA84" s="698">
        <f t="shared" ca="1" si="55"/>
        <v>0</v>
      </c>
      <c r="AB84" s="698">
        <f t="shared" ca="1" si="56"/>
        <v>0</v>
      </c>
      <c r="AD84" s="81">
        <v>2020</v>
      </c>
      <c r="AE84" s="299"/>
      <c r="AF84" s="220"/>
    </row>
    <row r="85" spans="1:33">
      <c r="B85" s="357" t="s">
        <v>1007</v>
      </c>
      <c r="C85" s="55"/>
      <c r="D85" s="261"/>
      <c r="E85" s="261"/>
      <c r="F85" s="224" t="s">
        <v>1149</v>
      </c>
      <c r="G85" s="55"/>
      <c r="H85" s="174"/>
      <c r="I85" s="174" t="str">
        <f t="shared" si="22"/>
        <v>INDFWH</v>
      </c>
      <c r="J85" s="224">
        <f t="shared" si="32"/>
        <v>2030</v>
      </c>
      <c r="K85" s="81"/>
      <c r="L85" s="199">
        <f t="shared" ca="1" si="48"/>
        <v>0.99</v>
      </c>
      <c r="M85" s="199"/>
      <c r="N85" s="81"/>
      <c r="O85" s="723">
        <f t="shared" ca="1" si="49"/>
        <v>0.44700000000000001</v>
      </c>
      <c r="P85" s="723">
        <f t="shared" ca="1" si="50"/>
        <v>7.5989999999999999E-3</v>
      </c>
      <c r="Q85" s="81">
        <f t="shared" ca="1" si="51"/>
        <v>1.8107638888888888</v>
      </c>
      <c r="R85" s="300"/>
      <c r="S85" s="300"/>
      <c r="T85" s="300"/>
      <c r="U85" s="300"/>
      <c r="V85" s="199">
        <f t="shared" ref="V85" ca="1" si="60">IF(IF(RIGHT(H84,2)="PH",(1-L85)+$W$2,IF(RIGHT(H84,2)="HT",(1-L85)+$W$1,IF(RIGHT(H84,2)="SH",(1-L85)+$W$3,"")))&gt;0,IF(RIGHT(H84,2)="PH",(1-L85)+$W$2,IF(RIGHT(H84,2)="HT",(1-L85)+$W$1,IF(RIGHT(H84,2)="SH",(1-L85)+$W$3,""))),0)</f>
        <v>1.0000000000000009E-2</v>
      </c>
      <c r="W85" s="298"/>
      <c r="X85" s="698">
        <f t="shared" ca="1" si="27"/>
        <v>0</v>
      </c>
      <c r="Y85" s="698">
        <f t="shared" ca="1" si="53"/>
        <v>0</v>
      </c>
      <c r="Z85" s="698">
        <f t="shared" ca="1" si="54"/>
        <v>0</v>
      </c>
      <c r="AA85" s="698">
        <f t="shared" ca="1" si="55"/>
        <v>0</v>
      </c>
      <c r="AB85" s="698">
        <f t="shared" ca="1" si="56"/>
        <v>0</v>
      </c>
      <c r="AD85" s="81">
        <v>2030</v>
      </c>
      <c r="AE85" s="81"/>
      <c r="AF85" s="220"/>
    </row>
    <row r="86" spans="1:33">
      <c r="B86" s="356" t="s">
        <v>1007</v>
      </c>
      <c r="C86" s="203"/>
      <c r="D86" s="701"/>
      <c r="E86" s="701"/>
      <c r="F86" s="224" t="s">
        <v>1149</v>
      </c>
      <c r="G86" s="203"/>
      <c r="H86" s="702"/>
      <c r="I86" s="702" t="str">
        <f t="shared" si="22"/>
        <v>INDFWH</v>
      </c>
      <c r="J86" s="224">
        <f t="shared" si="32"/>
        <v>2050</v>
      </c>
      <c r="K86" s="81"/>
      <c r="L86" s="199">
        <f t="shared" ca="1" si="48"/>
        <v>0.99</v>
      </c>
      <c r="M86" s="199"/>
      <c r="N86" s="81"/>
      <c r="O86" s="723">
        <f t="shared" ca="1" si="49"/>
        <v>0.44700000000000001</v>
      </c>
      <c r="P86" s="723">
        <f t="shared" ca="1" si="50"/>
        <v>6.8539999999999998E-3</v>
      </c>
      <c r="Q86" s="81">
        <f t="shared" ca="1" si="51"/>
        <v>1.6141666666666665</v>
      </c>
      <c r="R86" s="703"/>
      <c r="S86" s="703"/>
      <c r="T86" s="703"/>
      <c r="U86" s="703"/>
      <c r="V86" s="199">
        <f t="shared" ref="V86" ca="1" si="61">IF(IF(RIGHT(H84,2)="PH",(1-L86)+$W$2,IF(RIGHT(H84,2)="HT",(1-L86)+$W$1,IF(RIGHT(H84,2)="SH",(1-L86)+$W$3,"")))&gt;0,IF(RIGHT(H84,2)="PH",(1-L86)+$W$2,IF(RIGHT(H84,2)="HT",(1-L86)+$W$1,IF(RIGHT(H84,2)="SH",(1-L86)+$W$3,""))),0)</f>
        <v>1.0000000000000009E-2</v>
      </c>
      <c r="W86" s="704"/>
      <c r="X86" s="698">
        <f t="shared" ca="1" si="27"/>
        <v>0</v>
      </c>
      <c r="Y86" s="698">
        <f t="shared" ca="1" si="53"/>
        <v>0</v>
      </c>
      <c r="Z86" s="698">
        <f t="shared" ca="1" si="54"/>
        <v>0</v>
      </c>
      <c r="AA86" s="698">
        <f t="shared" ca="1" si="55"/>
        <v>0</v>
      </c>
      <c r="AB86" s="698">
        <f t="shared" ca="1" si="56"/>
        <v>0</v>
      </c>
      <c r="AD86" s="81">
        <v>2050</v>
      </c>
      <c r="AE86" s="81"/>
      <c r="AF86" s="220"/>
    </row>
    <row r="87" spans="1:33">
      <c r="B87" s="357" t="s">
        <v>1008</v>
      </c>
      <c r="D87" s="212" t="str">
        <f>"IND"&amp;RIGHT(H87,4)&amp;RIGHT(G87,3)&amp;"N"&amp;RIGHT(E87,1)</f>
        <v>INDFDPHWCHN1</v>
      </c>
      <c r="E87" s="261" t="str">
        <f>"Industrial heating technology "&amp;$AJ$12&amp;" "&amp;RIGHT(H87,2)&amp;" - Wood chip boiler (Steam) - new 1"</f>
        <v>Industrial heating technology Food PH - Wood chip boiler (Steam) - new 1</v>
      </c>
      <c r="F87" s="224" t="s">
        <v>1149</v>
      </c>
      <c r="G87" s="173" t="s">
        <v>498</v>
      </c>
      <c r="H87" s="174" t="str">
        <f>$AI$13</f>
        <v>IFDPH</v>
      </c>
      <c r="I87" s="174" t="str">
        <f t="shared" si="22"/>
        <v>INDFWH</v>
      </c>
      <c r="J87" s="224">
        <f t="shared" si="32"/>
        <v>2011</v>
      </c>
      <c r="K87" s="299">
        <v>2025</v>
      </c>
      <c r="L87" s="199">
        <f t="shared" ref="L87:L95" ca="1" si="62">VLOOKUP($AD87,INDIRECT("'"&amp;$B87&amp;"'!"&amp;"$P$39:$AD$42"),3,FALSE)</f>
        <v>0.89</v>
      </c>
      <c r="M87" s="699"/>
      <c r="N87" s="299">
        <f ca="1">VLOOKUP($AD87,INDIRECT("'"&amp;$B87&amp;"'!"&amp;"$P$39:$AD$42"),5,FALSE)</f>
        <v>25</v>
      </c>
      <c r="O87" s="725">
        <f t="shared" ref="O87:O95" ca="1" si="63">VLOOKUP($AD87,INDIRECT("'"&amp;$B87&amp;"'!"&amp;"$P$39:$AD$42"),6,FALSE)/1000</f>
        <v>4.6054545454545455</v>
      </c>
      <c r="P87" s="725">
        <f t="shared" ref="P87:P95" ca="1" si="64">VLOOKUP($AD87,INDIRECT("'"&amp;$B87&amp;"'!"&amp;"$P$39:$AD$42"),7,FALSE)/1000</f>
        <v>0.25106499999999998</v>
      </c>
      <c r="Q87" s="299">
        <f t="shared" ref="Q87:Q95" ca="1" si="65">VLOOKUP($AD87,INDIRECT("'"&amp;$B87&amp;"'!"&amp;"$P$39:$AD$42"),8,FALSE)</f>
        <v>5.7509861111111107</v>
      </c>
      <c r="R87" s="299">
        <v>3.1536000000000002E-2</v>
      </c>
      <c r="S87" s="699">
        <v>0.5</v>
      </c>
      <c r="T87" s="699">
        <f ca="1">HLOOKUP($T$2,INDIRECT("'"&amp;$B87&amp;"'!"&amp;"$P$6:$AC$19"),IF(H87=$AI$13,6,IF(H87=$AI$14,9,14)),FALSE)</f>
        <v>1</v>
      </c>
      <c r="U87" s="772"/>
      <c r="V87" s="199">
        <f t="shared" ref="V87" ca="1" si="66">IF(IF(RIGHT(H87,2)="PH",(1-L87)+$W$2,IF(RIGHT(H87,2)="HT",(1-L87)+$W$1,IF(RIGHT(H87,2)="SH",(1-L87)+$W$3,"")))&gt;0,IF(RIGHT(H87,2)="PH",(1-L87)+$W$2,IF(RIGHT(H87,2)="HT",(1-L87)+$W$1,IF(RIGHT(H87,2)="SH",(1-L87)+$W$3,""))),0)</f>
        <v>0.31</v>
      </c>
      <c r="W87" s="298"/>
      <c r="X87" s="698">
        <f t="shared" ca="1" si="27"/>
        <v>11</v>
      </c>
      <c r="Y87" s="299">
        <f t="shared" ref="Y87:Y95" ca="1" si="67">VLOOKUP($AD87,INDIRECT("'"&amp;$B87&amp;"'!"&amp;"$P$39:$AD$42"),12,FALSE)</f>
        <v>63</v>
      </c>
      <c r="Z87" s="299">
        <f t="shared" ref="Z87:Z95" ca="1" si="68">VLOOKUP($AD87,INDIRECT("'"&amp;$B87&amp;"'!"&amp;"$P$39:$AD$42"),13,FALSE)</f>
        <v>11</v>
      </c>
      <c r="AA87" s="299">
        <f t="shared" ref="AA87:AA95" ca="1" si="69">VLOOKUP($AD87,INDIRECT("'"&amp;$B87&amp;"'!"&amp;"$P$39:$AD$42"),14,FALSE)</f>
        <v>3</v>
      </c>
      <c r="AB87" s="299">
        <f t="shared" ref="AB87:AB95" ca="1" si="70">VLOOKUP($AD87,INDIRECT("'"&amp;$B87&amp;"'!"&amp;"$P$39:$AD$42"),15,FALSE)</f>
        <v>10</v>
      </c>
      <c r="AD87" s="299">
        <v>2020</v>
      </c>
      <c r="AE87" s="81"/>
      <c r="AF87" s="220"/>
    </row>
    <row r="88" spans="1:33">
      <c r="B88" s="357" t="s">
        <v>1008</v>
      </c>
      <c r="D88" s="212"/>
      <c r="E88" s="212"/>
      <c r="F88" s="224" t="s">
        <v>1149</v>
      </c>
      <c r="H88" s="174"/>
      <c r="I88" s="174" t="str">
        <f t="shared" si="22"/>
        <v>INDFWH</v>
      </c>
      <c r="J88" s="224">
        <f t="shared" si="32"/>
        <v>2030</v>
      </c>
      <c r="K88" s="81"/>
      <c r="L88" s="199">
        <f t="shared" ca="1" si="62"/>
        <v>0.89</v>
      </c>
      <c r="M88" s="199"/>
      <c r="N88" s="81"/>
      <c r="O88" s="723">
        <f t="shared" ca="1" si="63"/>
        <v>4.4022727272727264</v>
      </c>
      <c r="P88" s="723">
        <f t="shared" ca="1" si="64"/>
        <v>0.267455</v>
      </c>
      <c r="Q88" s="81">
        <f t="shared" ca="1" si="65"/>
        <v>5.8461805555555557</v>
      </c>
      <c r="R88" s="300"/>
      <c r="S88" s="300"/>
      <c r="T88" s="300"/>
      <c r="U88" s="300"/>
      <c r="V88" s="199">
        <f t="shared" ref="V88" ca="1" si="71">IF(IF(RIGHT(H87,2)="PH",(1-L88)+$W$2,IF(RIGHT(H87,2)="HT",(1-L88)+$W$1,IF(RIGHT(H87,2)="SH",(1-L88)+$W$3,"")))&gt;0,IF(RIGHT(H87,2)="PH",(1-L88)+$W$2,IF(RIGHT(H87,2)="HT",(1-L88)+$W$1,IF(RIGHT(H87,2)="SH",(1-L88)+$W$3,""))),0)</f>
        <v>0.31</v>
      </c>
      <c r="W88" s="298"/>
      <c r="X88" s="698">
        <f t="shared" ca="1" si="27"/>
        <v>11</v>
      </c>
      <c r="Y88" s="81">
        <f t="shared" ca="1" si="67"/>
        <v>49</v>
      </c>
      <c r="Z88" s="81">
        <f t="shared" ca="1" si="68"/>
        <v>8</v>
      </c>
      <c r="AA88" s="81">
        <f t="shared" ca="1" si="69"/>
        <v>3</v>
      </c>
      <c r="AB88" s="81">
        <f t="shared" ca="1" si="70"/>
        <v>10</v>
      </c>
      <c r="AD88" s="81">
        <v>2030</v>
      </c>
      <c r="AE88" s="81"/>
      <c r="AF88" s="220"/>
    </row>
    <row r="89" spans="1:33">
      <c r="B89" s="357" t="s">
        <v>1008</v>
      </c>
      <c r="D89" s="212"/>
      <c r="E89" s="212"/>
      <c r="F89" s="224" t="s">
        <v>1149</v>
      </c>
      <c r="H89" s="174"/>
      <c r="I89" s="174" t="str">
        <f t="shared" si="22"/>
        <v>INDFWH</v>
      </c>
      <c r="J89" s="224">
        <f t="shared" si="32"/>
        <v>2050</v>
      </c>
      <c r="K89" s="81"/>
      <c r="L89" s="199">
        <f t="shared" ca="1" si="62"/>
        <v>0.9</v>
      </c>
      <c r="M89" s="199"/>
      <c r="N89" s="81"/>
      <c r="O89" s="723">
        <f t="shared" ca="1" si="63"/>
        <v>3.9959090909090902</v>
      </c>
      <c r="P89" s="723">
        <f t="shared" ca="1" si="64"/>
        <v>0.25106499999999998</v>
      </c>
      <c r="Q89" s="81">
        <f t="shared" ca="1" si="65"/>
        <v>5.8937777777777782</v>
      </c>
      <c r="R89" s="300"/>
      <c r="S89" s="300"/>
      <c r="T89" s="300"/>
      <c r="U89" s="300"/>
      <c r="V89" s="199">
        <f t="shared" ref="V89" ca="1" si="72">IF(IF(RIGHT(H87,2)="PH",(1-L89)+$W$2,IF(RIGHT(H87,2)="HT",(1-L89)+$W$1,IF(RIGHT(H87,2)="SH",(1-L89)+$W$3,"")))&gt;0,IF(RIGHT(H87,2)="PH",(1-L89)+$W$2,IF(RIGHT(H87,2)="HT",(1-L89)+$W$1,IF(RIGHT(H87,2)="SH",(1-L89)+$W$3,""))),0)</f>
        <v>0.3</v>
      </c>
      <c r="W89" s="298"/>
      <c r="X89" s="698">
        <f t="shared" ca="1" si="27"/>
        <v>11</v>
      </c>
      <c r="Y89" s="81">
        <f t="shared" ca="1" si="67"/>
        <v>41</v>
      </c>
      <c r="Z89" s="81">
        <f t="shared" ca="1" si="68"/>
        <v>4</v>
      </c>
      <c r="AA89" s="81">
        <f t="shared" ca="1" si="69"/>
        <v>1</v>
      </c>
      <c r="AB89" s="81">
        <f t="shared" ca="1" si="70"/>
        <v>10</v>
      </c>
      <c r="AD89" s="81">
        <v>2050</v>
      </c>
      <c r="AE89" s="81"/>
      <c r="AF89" s="220"/>
    </row>
    <row r="90" spans="1:33" s="226" customFormat="1">
      <c r="A90" s="224"/>
      <c r="B90" s="357" t="s">
        <v>1008</v>
      </c>
      <c r="C90" s="224"/>
      <c r="D90" s="212" t="str">
        <f>"IND"&amp;RIGHT(H90,4)&amp;RIGHT(G90,3)&amp;"N"&amp;RIGHT(E90,1)</f>
        <v>INDFDPHWCHN1</v>
      </c>
      <c r="E90" s="261" t="str">
        <f>"Industrial heating technology "&amp;$AJ$12&amp;" "&amp;RIGHT(H90,2)&amp;" - Wood chip boiler (Steam) - new 1"</f>
        <v>Industrial heating technology Food PH - Wood chip boiler (Steam) - new 1</v>
      </c>
      <c r="F90" s="224" t="s">
        <v>1149</v>
      </c>
      <c r="G90" s="173" t="s">
        <v>498</v>
      </c>
      <c r="H90" s="174" t="str">
        <f>$AI$14</f>
        <v>IFDPH</v>
      </c>
      <c r="I90" s="174" t="str">
        <f t="shared" si="22"/>
        <v>INDFWH</v>
      </c>
      <c r="J90" s="224">
        <f t="shared" si="32"/>
        <v>2011</v>
      </c>
      <c r="K90" s="299">
        <v>2025</v>
      </c>
      <c r="L90" s="199">
        <f t="shared" ca="1" si="62"/>
        <v>0.89</v>
      </c>
      <c r="M90" s="199"/>
      <c r="N90" s="81">
        <f ca="1">VLOOKUP($AD90,INDIRECT("'"&amp;$B90&amp;"'!"&amp;"$P$39:$AD$42"),5,FALSE)</f>
        <v>25</v>
      </c>
      <c r="O90" s="723">
        <f t="shared" ca="1" si="63"/>
        <v>4.6054545454545455</v>
      </c>
      <c r="P90" s="723">
        <f t="shared" ca="1" si="64"/>
        <v>0.25106499999999998</v>
      </c>
      <c r="Q90" s="81">
        <f t="shared" ca="1" si="65"/>
        <v>5.7509861111111107</v>
      </c>
      <c r="R90" s="81">
        <v>3.1536000000000002E-2</v>
      </c>
      <c r="S90" s="199">
        <v>0.5</v>
      </c>
      <c r="T90" s="199">
        <f ca="1">HLOOKUP($T$2,INDIRECT("'"&amp;$B90&amp;"'!"&amp;"$P$6:$AC$19"),IF(H90=$AI$13,6,IF(H90=$AI$14,9,14)),FALSE)</f>
        <v>1</v>
      </c>
      <c r="U90" s="772"/>
      <c r="V90" s="199">
        <f t="shared" ref="V90" ca="1" si="73">IF(IF(RIGHT(H90,2)="PH",(1-L90)+$W$2,IF(RIGHT(H90,2)="HT",(1-L90)+$W$1,IF(RIGHT(H90,2)="SH",(1-L90)+$W$3,"")))&gt;0,IF(RIGHT(H90,2)="PH",(1-L90)+$W$2,IF(RIGHT(H90,2)="HT",(1-L90)+$W$1,IF(RIGHT(H90,2)="SH",(1-L90)+$W$3,""))),0)</f>
        <v>0.31</v>
      </c>
      <c r="W90" s="298"/>
      <c r="X90" s="698">
        <f t="shared" ca="1" si="27"/>
        <v>11</v>
      </c>
      <c r="Y90" s="81">
        <f t="shared" ca="1" si="67"/>
        <v>63</v>
      </c>
      <c r="Z90" s="81">
        <f t="shared" ca="1" si="68"/>
        <v>11</v>
      </c>
      <c r="AA90" s="81">
        <f t="shared" ca="1" si="69"/>
        <v>3</v>
      </c>
      <c r="AB90" s="81">
        <f t="shared" ca="1" si="70"/>
        <v>10</v>
      </c>
      <c r="AC90" s="224"/>
      <c r="AD90" s="81">
        <v>2020</v>
      </c>
      <c r="AE90" s="81"/>
      <c r="AF90" s="220"/>
      <c r="AG90" s="224"/>
    </row>
    <row r="91" spans="1:33" s="226" customFormat="1">
      <c r="A91" s="224"/>
      <c r="B91" s="357" t="s">
        <v>1008</v>
      </c>
      <c r="C91" s="224"/>
      <c r="D91" s="212"/>
      <c r="E91" s="212"/>
      <c r="F91" s="224" t="s">
        <v>1149</v>
      </c>
      <c r="G91" s="224"/>
      <c r="H91" s="174"/>
      <c r="I91" s="174" t="str">
        <f t="shared" si="22"/>
        <v>INDFWH</v>
      </c>
      <c r="J91" s="224">
        <f t="shared" si="32"/>
        <v>2030</v>
      </c>
      <c r="K91" s="81"/>
      <c r="L91" s="199">
        <f t="shared" ca="1" si="62"/>
        <v>0.89</v>
      </c>
      <c r="M91" s="199"/>
      <c r="N91" s="81"/>
      <c r="O91" s="723">
        <f t="shared" ca="1" si="63"/>
        <v>4.4022727272727264</v>
      </c>
      <c r="P91" s="723">
        <f t="shared" ca="1" si="64"/>
        <v>0.267455</v>
      </c>
      <c r="Q91" s="81">
        <f t="shared" ca="1" si="65"/>
        <v>5.8461805555555557</v>
      </c>
      <c r="R91" s="300"/>
      <c r="S91" s="300"/>
      <c r="T91" s="300"/>
      <c r="U91" s="300"/>
      <c r="V91" s="199">
        <f t="shared" ref="V91" ca="1" si="74">IF(IF(RIGHT(H90,2)="PH",(1-L91)+$W$2,IF(RIGHT(H90,2)="HT",(1-L91)+$W$1,IF(RIGHT(H90,2)="SH",(1-L91)+$W$3,"")))&gt;0,IF(RIGHT(H90,2)="PH",(1-L91)+$W$2,IF(RIGHT(H90,2)="HT",(1-L91)+$W$1,IF(RIGHT(H90,2)="SH",(1-L91)+$W$3,""))),0)</f>
        <v>0.31</v>
      </c>
      <c r="W91" s="298"/>
      <c r="X91" s="698">
        <f t="shared" ca="1" si="27"/>
        <v>11</v>
      </c>
      <c r="Y91" s="81">
        <f t="shared" ca="1" si="67"/>
        <v>49</v>
      </c>
      <c r="Z91" s="81">
        <f t="shared" ca="1" si="68"/>
        <v>8</v>
      </c>
      <c r="AA91" s="81">
        <f t="shared" ca="1" si="69"/>
        <v>3</v>
      </c>
      <c r="AB91" s="81">
        <f t="shared" ca="1" si="70"/>
        <v>10</v>
      </c>
      <c r="AC91" s="224"/>
      <c r="AD91" s="81">
        <v>2030</v>
      </c>
      <c r="AE91" s="81"/>
      <c r="AF91" s="220"/>
    </row>
    <row r="92" spans="1:33" s="226" customFormat="1">
      <c r="A92" s="224"/>
      <c r="B92" s="357" t="s">
        <v>1008</v>
      </c>
      <c r="C92" s="224"/>
      <c r="D92" s="212"/>
      <c r="E92" s="212"/>
      <c r="F92" s="224" t="s">
        <v>1149</v>
      </c>
      <c r="G92" s="224"/>
      <c r="H92" s="174"/>
      <c r="I92" s="174" t="str">
        <f t="shared" si="22"/>
        <v>INDFWH</v>
      </c>
      <c r="J92" s="224">
        <f t="shared" si="32"/>
        <v>2050</v>
      </c>
      <c r="K92" s="81"/>
      <c r="L92" s="199">
        <f t="shared" ca="1" si="62"/>
        <v>0.9</v>
      </c>
      <c r="M92" s="199"/>
      <c r="N92" s="81"/>
      <c r="O92" s="723">
        <f t="shared" ca="1" si="63"/>
        <v>3.9959090909090902</v>
      </c>
      <c r="P92" s="723">
        <f t="shared" ca="1" si="64"/>
        <v>0.25106499999999998</v>
      </c>
      <c r="Q92" s="81">
        <f t="shared" ca="1" si="65"/>
        <v>5.8937777777777782</v>
      </c>
      <c r="R92" s="300"/>
      <c r="S92" s="300"/>
      <c r="T92" s="300"/>
      <c r="U92" s="300"/>
      <c r="V92" s="199">
        <f t="shared" ref="V92" ca="1" si="75">IF(IF(RIGHT(H90,2)="PH",(1-L92)+$W$2,IF(RIGHT(H90,2)="HT",(1-L92)+$W$1,IF(RIGHT(H90,2)="SH",(1-L92)+$W$3,"")))&gt;0,IF(RIGHT(H90,2)="PH",(1-L92)+$W$2,IF(RIGHT(H90,2)="HT",(1-L92)+$W$1,IF(RIGHT(H90,2)="SH",(1-L92)+$W$3,""))),0)</f>
        <v>0.3</v>
      </c>
      <c r="W92" s="298"/>
      <c r="X92" s="698">
        <f t="shared" ca="1" si="27"/>
        <v>11</v>
      </c>
      <c r="Y92" s="81">
        <f t="shared" ca="1" si="67"/>
        <v>41</v>
      </c>
      <c r="Z92" s="81">
        <f t="shared" ca="1" si="68"/>
        <v>4</v>
      </c>
      <c r="AA92" s="81">
        <f t="shared" ca="1" si="69"/>
        <v>1</v>
      </c>
      <c r="AB92" s="81">
        <f t="shared" ca="1" si="70"/>
        <v>10</v>
      </c>
      <c r="AC92" s="224"/>
      <c r="AD92" s="81">
        <v>2050</v>
      </c>
      <c r="AE92" s="706"/>
      <c r="AF92" s="220"/>
    </row>
    <row r="93" spans="1:33" s="226" customFormat="1">
      <c r="A93" s="224"/>
      <c r="B93" s="357" t="s">
        <v>1008</v>
      </c>
      <c r="C93" s="224"/>
      <c r="D93" s="212" t="str">
        <f>"IND"&amp;RIGHT(H93,4)&amp;RIGHT(G93,3)&amp;"N"&amp;RIGHT(E93,1)</f>
        <v>INDFDSHWCHN1</v>
      </c>
      <c r="E93" s="261" t="str">
        <f>"Industrial heating technology "&amp;$AJ$12&amp;" "&amp;RIGHT(H93,2)&amp;" - Wood chip boiler (Steam) - new 1"</f>
        <v>Industrial heating technology Food SH - Wood chip boiler (Steam) - new 1</v>
      </c>
      <c r="F93" s="224" t="s">
        <v>1149</v>
      </c>
      <c r="G93" s="173" t="s">
        <v>498</v>
      </c>
      <c r="H93" s="174" t="str">
        <f>$AI$15</f>
        <v>IFDSH</v>
      </c>
      <c r="I93" s="174" t="str">
        <f t="shared" si="22"/>
        <v>INDFWH</v>
      </c>
      <c r="J93" s="224">
        <f t="shared" si="32"/>
        <v>2011</v>
      </c>
      <c r="K93" s="299">
        <v>2025</v>
      </c>
      <c r="L93" s="199">
        <f t="shared" ca="1" si="62"/>
        <v>0.89</v>
      </c>
      <c r="M93" s="199"/>
      <c r="N93" s="81">
        <f ca="1">VLOOKUP($AD93,INDIRECT("'"&amp;$B93&amp;"'!"&amp;"$P$39:$AD$42"),5,FALSE)</f>
        <v>25</v>
      </c>
      <c r="O93" s="723">
        <f t="shared" ca="1" si="63"/>
        <v>4.6054545454545455</v>
      </c>
      <c r="P93" s="723">
        <f t="shared" ca="1" si="64"/>
        <v>0.25106499999999998</v>
      </c>
      <c r="Q93" s="81">
        <f t="shared" ca="1" si="65"/>
        <v>5.7509861111111107</v>
      </c>
      <c r="R93" s="81">
        <v>3.1536000000000002E-2</v>
      </c>
      <c r="S93" s="199">
        <v>0.5</v>
      </c>
      <c r="T93" s="199">
        <f ca="1">HLOOKUP($T$2,INDIRECT("'"&amp;$B93&amp;"'!"&amp;"$P$6:$AC$19"),IF(H93=$AI$13,6,IF(H93=$AI$14,9,14)),FALSE)</f>
        <v>1</v>
      </c>
      <c r="U93" s="772"/>
      <c r="V93" s="199">
        <f t="shared" ref="V93" ca="1" si="76">IF(IF(RIGHT(H93,2)="PH",(1-L93)+$W$2,IF(RIGHT(H93,2)="HT",(1-L93)+$W$1,IF(RIGHT(H93,2)="SH",(1-L93)+$W$3,"")))&gt;0,IF(RIGHT(H93,2)="PH",(1-L93)+$W$2,IF(RIGHT(H93,2)="HT",(1-L93)+$W$1,IF(RIGHT(H93,2)="SH",(1-L93)+$W$3,""))),0)</f>
        <v>0.10999999999999999</v>
      </c>
      <c r="W93" s="298"/>
      <c r="X93" s="698">
        <f t="shared" ca="1" si="27"/>
        <v>11</v>
      </c>
      <c r="Y93" s="81">
        <f t="shared" ca="1" si="67"/>
        <v>63</v>
      </c>
      <c r="Z93" s="81">
        <f t="shared" ca="1" si="68"/>
        <v>11</v>
      </c>
      <c r="AA93" s="81">
        <f t="shared" ca="1" si="69"/>
        <v>3</v>
      </c>
      <c r="AB93" s="81">
        <f t="shared" ca="1" si="70"/>
        <v>10</v>
      </c>
      <c r="AC93" s="296"/>
      <c r="AD93" s="81">
        <v>2020</v>
      </c>
      <c r="AE93" s="81"/>
      <c r="AF93" s="710"/>
    </row>
    <row r="94" spans="1:33" s="226" customFormat="1">
      <c r="A94" s="224"/>
      <c r="B94" s="357" t="s">
        <v>1008</v>
      </c>
      <c r="C94" s="224"/>
      <c r="D94" s="212"/>
      <c r="E94" s="212"/>
      <c r="F94" s="224" t="s">
        <v>1149</v>
      </c>
      <c r="G94" s="224"/>
      <c r="H94" s="174"/>
      <c r="I94" s="174" t="str">
        <f t="shared" si="22"/>
        <v>INDFWH</v>
      </c>
      <c r="J94" s="224">
        <f t="shared" si="32"/>
        <v>2030</v>
      </c>
      <c r="K94" s="81"/>
      <c r="L94" s="199">
        <f t="shared" ca="1" si="62"/>
        <v>0.89</v>
      </c>
      <c r="M94" s="199"/>
      <c r="N94" s="81"/>
      <c r="O94" s="723">
        <f t="shared" ca="1" si="63"/>
        <v>4.4022727272727264</v>
      </c>
      <c r="P94" s="723">
        <f t="shared" ca="1" si="64"/>
        <v>0.267455</v>
      </c>
      <c r="Q94" s="81">
        <f t="shared" ca="1" si="65"/>
        <v>5.8461805555555557</v>
      </c>
      <c r="R94" s="300"/>
      <c r="S94" s="300"/>
      <c r="T94" s="300"/>
      <c r="U94" s="300"/>
      <c r="V94" s="199">
        <f t="shared" ref="V94" ca="1" si="77">IF(IF(RIGHT(H93,2)="PH",(1-L94)+$W$2,IF(RIGHT(H93,2)="HT",(1-L94)+$W$1,IF(RIGHT(H93,2)="SH",(1-L94)+$W$3,"")))&gt;0,IF(RIGHT(H93,2)="PH",(1-L94)+$W$2,IF(RIGHT(H93,2)="HT",(1-L94)+$W$1,IF(RIGHT(H93,2)="SH",(1-L94)+$W$3,""))),0)</f>
        <v>0.10999999999999999</v>
      </c>
      <c r="W94" s="298"/>
      <c r="X94" s="698">
        <f t="shared" ca="1" si="27"/>
        <v>11</v>
      </c>
      <c r="Y94" s="81">
        <f t="shared" ca="1" si="67"/>
        <v>49</v>
      </c>
      <c r="Z94" s="81">
        <f t="shared" ca="1" si="68"/>
        <v>8</v>
      </c>
      <c r="AA94" s="81">
        <f t="shared" ca="1" si="69"/>
        <v>3</v>
      </c>
      <c r="AB94" s="81">
        <f t="shared" ca="1" si="70"/>
        <v>10</v>
      </c>
      <c r="AC94" s="55"/>
      <c r="AD94" s="81">
        <v>2030</v>
      </c>
      <c r="AE94" s="81"/>
      <c r="AF94" s="700"/>
    </row>
    <row r="95" spans="1:33" s="226" customFormat="1">
      <c r="A95" s="224"/>
      <c r="B95" s="357" t="s">
        <v>1008</v>
      </c>
      <c r="C95" s="224"/>
      <c r="D95" s="212"/>
      <c r="E95" s="212"/>
      <c r="F95" s="224" t="s">
        <v>1149</v>
      </c>
      <c r="G95" s="224"/>
      <c r="H95" s="174"/>
      <c r="I95" s="174" t="str">
        <f t="shared" si="22"/>
        <v>INDFWH</v>
      </c>
      <c r="J95" s="224">
        <f t="shared" si="32"/>
        <v>2050</v>
      </c>
      <c r="K95" s="706"/>
      <c r="L95" s="199">
        <f t="shared" ca="1" si="62"/>
        <v>0.9</v>
      </c>
      <c r="M95" s="774"/>
      <c r="N95" s="706"/>
      <c r="O95" s="724">
        <f t="shared" ca="1" si="63"/>
        <v>3.9959090909090902</v>
      </c>
      <c r="P95" s="724">
        <f t="shared" ca="1" si="64"/>
        <v>0.25106499999999998</v>
      </c>
      <c r="Q95" s="706">
        <f t="shared" ca="1" si="65"/>
        <v>5.8937777777777782</v>
      </c>
      <c r="R95" s="300"/>
      <c r="S95" s="300"/>
      <c r="T95" s="300"/>
      <c r="U95" s="300"/>
      <c r="V95" s="199">
        <f t="shared" ref="V95" ca="1" si="78">IF(IF(RIGHT(H93,2)="PH",(1-L95)+$W$2,IF(RIGHT(H93,2)="HT",(1-L95)+$W$1,IF(RIGHT(H93,2)="SH",(1-L95)+$W$3,"")))&gt;0,IF(RIGHT(H93,2)="PH",(1-L95)+$W$2,IF(RIGHT(H93,2)="HT",(1-L95)+$W$1,IF(RIGHT(H93,2)="SH",(1-L95)+$W$3,""))),0)</f>
        <v>9.9999999999999978E-2</v>
      </c>
      <c r="W95" s="298"/>
      <c r="X95" s="698">
        <f t="shared" ref="X95:X126" ca="1" si="79">IF(VLOOKUP($AD95,INDIRECT("'"&amp;$B95&amp;"'!"&amp;"$P$39:$AD$42"),11,FALSE)="Cf. the utilized electricity",0,VLOOKUP($AD95,INDIRECT("'"&amp;$B95&amp;"'!"&amp;"$P$39:$AD$42"),11,FALSE))</f>
        <v>11</v>
      </c>
      <c r="Y95" s="706">
        <f t="shared" ca="1" si="67"/>
        <v>41</v>
      </c>
      <c r="Z95" s="706">
        <f t="shared" ca="1" si="68"/>
        <v>4</v>
      </c>
      <c r="AA95" s="706">
        <f t="shared" ca="1" si="69"/>
        <v>1</v>
      </c>
      <c r="AB95" s="706">
        <f t="shared" ca="1" si="70"/>
        <v>10</v>
      </c>
      <c r="AC95" s="55"/>
      <c r="AD95" s="706">
        <v>2050</v>
      </c>
      <c r="AE95" s="81"/>
      <c r="AF95" s="700"/>
    </row>
    <row r="96" spans="1:33">
      <c r="B96" s="716" t="s">
        <v>1008</v>
      </c>
      <c r="C96" s="296"/>
      <c r="D96" s="707" t="str">
        <f>"IND"&amp;RIGHT(H96,4)&amp;RIGHT(G96,3)&amp;"N"&amp;RIGHT(E96,1)</f>
        <v>INDFDPHWCHN2</v>
      </c>
      <c r="E96" s="707" t="str">
        <f>"Industrial heating technology "&amp;$AJ$12&amp;" "&amp;RIGHT(H96,2)&amp;" - Wood chip boiler (Steam - condensing) - new 2"</f>
        <v>Industrial heating technology Food PH - Wood chip boiler (Steam - condensing) - new 2</v>
      </c>
      <c r="F96" s="224" t="s">
        <v>1149</v>
      </c>
      <c r="G96" s="708" t="s">
        <v>498</v>
      </c>
      <c r="H96" s="708" t="str">
        <f>$AI$14</f>
        <v>IFDPH</v>
      </c>
      <c r="I96" s="708" t="str">
        <f t="shared" si="22"/>
        <v>INDFWH</v>
      </c>
      <c r="J96" s="224">
        <f t="shared" si="32"/>
        <v>2011</v>
      </c>
      <c r="K96" s="299">
        <v>2025</v>
      </c>
      <c r="L96" s="199">
        <f t="shared" ref="L96:L101" ca="1" si="80">VLOOKUP($AD96,INDIRECT("'"&amp;$B96&amp;"'!"&amp;"$P$118:$AD$121"),3,FALSE)</f>
        <v>1.1618960947726835</v>
      </c>
      <c r="M96" s="199"/>
      <c r="N96" s="81">
        <f ca="1">VLOOKUP($AD96,INDIRECT("'"&amp;$B96&amp;"'!"&amp;"$P$118:$AD$121"),5,FALSE)</f>
        <v>25</v>
      </c>
      <c r="O96" s="723">
        <f t="shared" ref="O96:O101" ca="1" si="81">VLOOKUP($AD96,INDIRECT("'"&amp;$B96&amp;"'!"&amp;"$P$118:$AD$121"),6,FALSE)/1000</f>
        <v>5.0660000000000007</v>
      </c>
      <c r="P96" s="723">
        <f t="shared" ref="P96:P101" ca="1" si="82">VLOOKUP($AD96,INDIRECT("'"&amp;$B96&amp;"'!"&amp;"$P$118:$AD$121"),7,FALSE)/1000</f>
        <v>0.27564999999999995</v>
      </c>
      <c r="Q96" s="81">
        <f t="shared" ref="Q96:Q101" ca="1" si="83">VLOOKUP($AD96,INDIRECT("'"&amp;$B96&amp;"'!"&amp;"$P$118:$AD$121"),8,FALSE)</f>
        <v>5.7509861111111107</v>
      </c>
      <c r="R96" s="81">
        <v>3.1536000000000002E-2</v>
      </c>
      <c r="S96" s="199">
        <v>0.5</v>
      </c>
      <c r="T96" s="199">
        <f ca="1">HLOOKUP($T$2,INDIRECT("'"&amp;$B96&amp;"'!"&amp;"$P$85:$AC$98"),IF(H96=$AI$13,6,IF(H96=$AI$14,9,14)),FALSE)</f>
        <v>0</v>
      </c>
      <c r="U96" s="773"/>
      <c r="V96" s="199">
        <f t="shared" ref="V96" ca="1" si="84">IF(IF(RIGHT(H96,2)="PH",(1-L96)+$W$2,IF(RIGHT(H96,2)="HT",(1-L96)+$W$1,IF(RIGHT(H96,2)="SH",(1-L96)+$W$3,"")))&gt;0,IF(RIGHT(H96,2)="PH",(1-L96)+$W$2,IF(RIGHT(H96,2)="HT",(1-L96)+$W$1,IF(RIGHT(H96,2)="SH",(1-L96)+$W$3,""))),0)</f>
        <v>3.8103905227316492E-2</v>
      </c>
      <c r="W96" s="709"/>
      <c r="X96" s="698">
        <f t="shared" ca="1" si="79"/>
        <v>11</v>
      </c>
      <c r="Y96" s="698">
        <f t="shared" ref="Y96:Y101" ca="1" si="85">VLOOKUP($AD96,INDIRECT("'"&amp;$B96&amp;"'!"&amp;"$P$118:$AD$121"),12,FALSE)</f>
        <v>63</v>
      </c>
      <c r="Z96" s="698">
        <f t="shared" ref="Z96:Z101" ca="1" si="86">VLOOKUP($AD96,INDIRECT("'"&amp;$B96&amp;"'!"&amp;"$P$118:$AD$121"),13,FALSE)</f>
        <v>11</v>
      </c>
      <c r="AA96" s="698">
        <f t="shared" ref="AA96:AA101" ca="1" si="87">VLOOKUP($AD96,INDIRECT("'"&amp;$B96&amp;"'!"&amp;"$P$118:$AD$121"),14,FALSE)</f>
        <v>3</v>
      </c>
      <c r="AB96" s="698">
        <f t="shared" ref="AB96:AB101" ca="1" si="88">VLOOKUP($AD96,INDIRECT("'"&amp;$B96&amp;"'!"&amp;"$P$118:$AD$121"),15,FALSE)</f>
        <v>10</v>
      </c>
      <c r="AC96" s="55"/>
      <c r="AD96" s="81">
        <v>2020</v>
      </c>
      <c r="AE96" s="81"/>
      <c r="AF96" s="700"/>
      <c r="AG96" s="226"/>
    </row>
    <row r="97" spans="2:32">
      <c r="B97" s="357" t="s">
        <v>1008</v>
      </c>
      <c r="C97" s="55"/>
      <c r="D97" s="261"/>
      <c r="E97" s="261"/>
      <c r="F97" s="224" t="s">
        <v>1149</v>
      </c>
      <c r="G97" s="55"/>
      <c r="H97" s="174"/>
      <c r="I97" s="174" t="str">
        <f t="shared" si="22"/>
        <v>INDFWH</v>
      </c>
      <c r="J97" s="224">
        <f t="shared" si="32"/>
        <v>2030</v>
      </c>
      <c r="K97" s="81"/>
      <c r="L97" s="199">
        <f t="shared" ca="1" si="80"/>
        <v>1.1618960947726835</v>
      </c>
      <c r="M97" s="199"/>
      <c r="N97" s="81"/>
      <c r="O97" s="723">
        <f t="shared" ca="1" si="81"/>
        <v>4.8425000000000002</v>
      </c>
      <c r="P97" s="723">
        <f t="shared" ca="1" si="82"/>
        <v>0.267455</v>
      </c>
      <c r="Q97" s="81">
        <f t="shared" ca="1" si="83"/>
        <v>5.8461805555555557</v>
      </c>
      <c r="R97" s="300"/>
      <c r="S97" s="300"/>
      <c r="T97" s="300"/>
      <c r="U97" s="300"/>
      <c r="V97" s="199">
        <f t="shared" ref="V97" ca="1" si="89">IF(IF(RIGHT(H96,2)="PH",(1-L97)+$W$2,IF(RIGHT(H96,2)="HT",(1-L97)+$W$1,IF(RIGHT(H96,2)="SH",(1-L97)+$W$3,"")))&gt;0,IF(RIGHT(H96,2)="PH",(1-L97)+$W$2,IF(RIGHT(H96,2)="HT",(1-L97)+$W$1,IF(RIGHT(H96,2)="SH",(1-L97)+$W$3,""))),0)</f>
        <v>3.8103905227316492E-2</v>
      </c>
      <c r="W97" s="298"/>
      <c r="X97" s="698">
        <f t="shared" ca="1" si="79"/>
        <v>11</v>
      </c>
      <c r="Y97" s="698">
        <f t="shared" ca="1" si="85"/>
        <v>49</v>
      </c>
      <c r="Z97" s="698">
        <f t="shared" ca="1" si="86"/>
        <v>8</v>
      </c>
      <c r="AA97" s="698">
        <f t="shared" ca="1" si="87"/>
        <v>3</v>
      </c>
      <c r="AB97" s="698">
        <f t="shared" ca="1" si="88"/>
        <v>10</v>
      </c>
      <c r="AC97" s="55"/>
      <c r="AD97" s="81">
        <v>2030</v>
      </c>
      <c r="AE97" s="81"/>
      <c r="AF97" s="700"/>
    </row>
    <row r="98" spans="2:32">
      <c r="B98" s="357" t="s">
        <v>1008</v>
      </c>
      <c r="C98" s="55"/>
      <c r="D98" s="261"/>
      <c r="E98" s="261"/>
      <c r="F98" s="224" t="s">
        <v>1149</v>
      </c>
      <c r="G98" s="55"/>
      <c r="H98" s="174"/>
      <c r="I98" s="174" t="str">
        <f t="shared" si="22"/>
        <v>INDFWH</v>
      </c>
      <c r="J98" s="224">
        <f t="shared" si="32"/>
        <v>2050</v>
      </c>
      <c r="K98" s="81"/>
      <c r="L98" s="199">
        <f t="shared" ca="1" si="80"/>
        <v>1.1618960947726835</v>
      </c>
      <c r="M98" s="199"/>
      <c r="N98" s="81"/>
      <c r="O98" s="723">
        <f t="shared" ca="1" si="81"/>
        <v>4.3955000000000002</v>
      </c>
      <c r="P98" s="723">
        <f t="shared" ca="1" si="82"/>
        <v>0.25106499999999998</v>
      </c>
      <c r="Q98" s="81">
        <f t="shared" ca="1" si="83"/>
        <v>5.8937777777777782</v>
      </c>
      <c r="R98" s="300"/>
      <c r="S98" s="300"/>
      <c r="T98" s="300"/>
      <c r="U98" s="300"/>
      <c r="V98" s="199">
        <f t="shared" ref="V98" ca="1" si="90">IF(IF(RIGHT(H96,2)="PH",(1-L98)+$W$2,IF(RIGHT(H96,2)="HT",(1-L98)+$W$1,IF(RIGHT(H96,2)="SH",(1-L98)+$W$3,"")))&gt;0,IF(RIGHT(H96,2)="PH",(1-L98)+$W$2,IF(RIGHT(H96,2)="HT",(1-L98)+$W$1,IF(RIGHT(H96,2)="SH",(1-L98)+$W$3,""))),0)</f>
        <v>3.8103905227316492E-2</v>
      </c>
      <c r="W98" s="298"/>
      <c r="X98" s="698">
        <f t="shared" ca="1" si="79"/>
        <v>11</v>
      </c>
      <c r="Y98" s="698">
        <f t="shared" ca="1" si="85"/>
        <v>41</v>
      </c>
      <c r="Z98" s="698">
        <f t="shared" ca="1" si="86"/>
        <v>4</v>
      </c>
      <c r="AA98" s="698">
        <f t="shared" ca="1" si="87"/>
        <v>1</v>
      </c>
      <c r="AB98" s="698">
        <f t="shared" ca="1" si="88"/>
        <v>10</v>
      </c>
      <c r="AC98" s="203"/>
      <c r="AD98" s="81">
        <v>2050</v>
      </c>
      <c r="AE98" s="81"/>
      <c r="AF98" s="705"/>
    </row>
    <row r="99" spans="2:32">
      <c r="B99" s="357" t="s">
        <v>1008</v>
      </c>
      <c r="C99" s="55"/>
      <c r="D99" s="261" t="str">
        <f>"IND"&amp;RIGHT(H99,4)&amp;RIGHT(G99,3)&amp;"N"&amp;RIGHT(E99,1)</f>
        <v>INDFDSHWCHN2</v>
      </c>
      <c r="E99" s="261" t="str">
        <f>"Industrial heating technology "&amp;$AJ$12&amp;" "&amp;RIGHT(H99,2)&amp;" - Wood chip boiler (Steam - condensing) - new 2"</f>
        <v>Industrial heating technology Food SH - Wood chip boiler (Steam - condensing) - new 2</v>
      </c>
      <c r="F99" s="224" t="s">
        <v>1149</v>
      </c>
      <c r="G99" s="174" t="s">
        <v>498</v>
      </c>
      <c r="H99" s="174" t="str">
        <f>$AI$15</f>
        <v>IFDSH</v>
      </c>
      <c r="I99" s="174" t="str">
        <f t="shared" si="22"/>
        <v>INDFWH</v>
      </c>
      <c r="J99" s="224">
        <f t="shared" si="32"/>
        <v>2011</v>
      </c>
      <c r="K99" s="299">
        <v>2025</v>
      </c>
      <c r="L99" s="199">
        <f t="shared" ca="1" si="80"/>
        <v>1.1618960947726835</v>
      </c>
      <c r="M99" s="199"/>
      <c r="N99" s="81">
        <f ca="1">VLOOKUP($AD99,INDIRECT("'"&amp;$B99&amp;"'!"&amp;"$P$118:$AD$121"),5,FALSE)</f>
        <v>25</v>
      </c>
      <c r="O99" s="723">
        <f t="shared" ca="1" si="81"/>
        <v>5.0660000000000007</v>
      </c>
      <c r="P99" s="723">
        <f t="shared" ca="1" si="82"/>
        <v>0.27564999999999995</v>
      </c>
      <c r="Q99" s="81">
        <f t="shared" ca="1" si="83"/>
        <v>5.7509861111111107</v>
      </c>
      <c r="R99" s="81">
        <v>3.1536000000000002E-2</v>
      </c>
      <c r="S99" s="199">
        <v>0.5</v>
      </c>
      <c r="T99" s="199">
        <f ca="1">HLOOKUP($T$2,INDIRECT("'"&amp;$B99&amp;"'!"&amp;"$P$85:$AC$98"),IF(H99=$AI$13,6,IF(H99=$AI$14,9,14)),FALSE)</f>
        <v>1</v>
      </c>
      <c r="U99" s="772"/>
      <c r="V99" s="199">
        <f t="shared" ref="V99" ca="1" si="91">IF(IF(RIGHT(H99,2)="PH",(1-L99)+$W$2,IF(RIGHT(H99,2)="HT",(1-L99)+$W$1,IF(RIGHT(H99,2)="SH",(1-L99)+$W$3,"")))&gt;0,IF(RIGHT(H99,2)="PH",(1-L99)+$W$2,IF(RIGHT(H99,2)="HT",(1-L99)+$W$1,IF(RIGHT(H99,2)="SH",(1-L99)+$W$3,""))),0)</f>
        <v>0</v>
      </c>
      <c r="W99" s="298"/>
      <c r="X99" s="698">
        <f t="shared" ca="1" si="79"/>
        <v>11</v>
      </c>
      <c r="Y99" s="698">
        <f t="shared" ca="1" si="85"/>
        <v>63</v>
      </c>
      <c r="Z99" s="698">
        <f t="shared" ca="1" si="86"/>
        <v>11</v>
      </c>
      <c r="AA99" s="698">
        <f t="shared" ca="1" si="87"/>
        <v>3</v>
      </c>
      <c r="AB99" s="698">
        <f t="shared" ca="1" si="88"/>
        <v>10</v>
      </c>
      <c r="AC99" s="296"/>
      <c r="AD99" s="81">
        <v>2020</v>
      </c>
      <c r="AE99" s="81"/>
      <c r="AF99" s="710"/>
    </row>
    <row r="100" spans="2:32">
      <c r="B100" s="357" t="s">
        <v>1008</v>
      </c>
      <c r="C100" s="55"/>
      <c r="D100" s="261"/>
      <c r="E100" s="261"/>
      <c r="F100" s="224" t="s">
        <v>1149</v>
      </c>
      <c r="G100" s="55"/>
      <c r="H100" s="174"/>
      <c r="I100" s="174" t="str">
        <f t="shared" si="22"/>
        <v>INDFWH</v>
      </c>
      <c r="J100" s="224">
        <f t="shared" si="32"/>
        <v>2030</v>
      </c>
      <c r="K100" s="81"/>
      <c r="L100" s="199">
        <f t="shared" ca="1" si="80"/>
        <v>1.1618960947726835</v>
      </c>
      <c r="M100" s="199"/>
      <c r="N100" s="81"/>
      <c r="O100" s="723">
        <f t="shared" ca="1" si="81"/>
        <v>4.8425000000000002</v>
      </c>
      <c r="P100" s="723">
        <f t="shared" ca="1" si="82"/>
        <v>0.267455</v>
      </c>
      <c r="Q100" s="81">
        <f t="shared" ca="1" si="83"/>
        <v>5.8461805555555557</v>
      </c>
      <c r="R100" s="300"/>
      <c r="S100" s="300"/>
      <c r="T100" s="300"/>
      <c r="U100" s="300"/>
      <c r="V100" s="199">
        <f t="shared" ref="V100" ca="1" si="92">IF(IF(RIGHT(H99,2)="PH",(1-L100)+$W$2,IF(RIGHT(H99,2)="HT",(1-L100)+$W$1,IF(RIGHT(H99,2)="SH",(1-L100)+$W$3,"")))&gt;0,IF(RIGHT(H99,2)="PH",(1-L100)+$W$2,IF(RIGHT(H99,2)="HT",(1-L100)+$W$1,IF(RIGHT(H99,2)="SH",(1-L100)+$W$3,""))),0)</f>
        <v>0</v>
      </c>
      <c r="W100" s="298"/>
      <c r="X100" s="698">
        <f t="shared" ca="1" si="79"/>
        <v>11</v>
      </c>
      <c r="Y100" s="698">
        <f t="shared" ca="1" si="85"/>
        <v>49</v>
      </c>
      <c r="Z100" s="698">
        <f t="shared" ca="1" si="86"/>
        <v>8</v>
      </c>
      <c r="AA100" s="698">
        <f t="shared" ca="1" si="87"/>
        <v>3</v>
      </c>
      <c r="AB100" s="698">
        <f t="shared" ca="1" si="88"/>
        <v>10</v>
      </c>
      <c r="AC100" s="55"/>
      <c r="AD100" s="81">
        <v>2030</v>
      </c>
      <c r="AE100" s="81"/>
      <c r="AF100" s="700"/>
    </row>
    <row r="101" spans="2:32">
      <c r="B101" s="356" t="s">
        <v>1008</v>
      </c>
      <c r="C101" s="203"/>
      <c r="D101" s="701"/>
      <c r="E101" s="701"/>
      <c r="F101" s="224" t="s">
        <v>1149</v>
      </c>
      <c r="G101" s="203"/>
      <c r="H101" s="702"/>
      <c r="I101" s="702" t="str">
        <f t="shared" si="22"/>
        <v>INDFWH</v>
      </c>
      <c r="J101" s="224">
        <f t="shared" si="32"/>
        <v>2050</v>
      </c>
      <c r="K101" s="81"/>
      <c r="L101" s="199">
        <f t="shared" ca="1" si="80"/>
        <v>1.1618960947726835</v>
      </c>
      <c r="M101" s="199"/>
      <c r="N101" s="81"/>
      <c r="O101" s="723">
        <f t="shared" ca="1" si="81"/>
        <v>4.3955000000000002</v>
      </c>
      <c r="P101" s="723">
        <f t="shared" ca="1" si="82"/>
        <v>0.25106499999999998</v>
      </c>
      <c r="Q101" s="81">
        <f t="shared" ca="1" si="83"/>
        <v>5.8937777777777782</v>
      </c>
      <c r="R101" s="703"/>
      <c r="S101" s="703"/>
      <c r="T101" s="703"/>
      <c r="U101" s="703"/>
      <c r="V101" s="199">
        <f t="shared" ref="V101" ca="1" si="93">IF(IF(RIGHT(H99,2)="PH",(1-L101)+$W$2,IF(RIGHT(H99,2)="HT",(1-L101)+$W$1,IF(RIGHT(H99,2)="SH",(1-L101)+$W$3,"")))&gt;0,IF(RIGHT(H99,2)="PH",(1-L101)+$W$2,IF(RIGHT(H99,2)="HT",(1-L101)+$W$1,IF(RIGHT(H99,2)="SH",(1-L101)+$W$3,""))),0)</f>
        <v>0</v>
      </c>
      <c r="W101" s="704"/>
      <c r="X101" s="698">
        <f t="shared" ca="1" si="79"/>
        <v>11</v>
      </c>
      <c r="Y101" s="698">
        <f t="shared" ca="1" si="85"/>
        <v>41</v>
      </c>
      <c r="Z101" s="698">
        <f t="shared" ca="1" si="86"/>
        <v>4</v>
      </c>
      <c r="AA101" s="698">
        <f t="shared" ca="1" si="87"/>
        <v>1</v>
      </c>
      <c r="AB101" s="698">
        <f t="shared" ca="1" si="88"/>
        <v>10</v>
      </c>
      <c r="AC101" s="55"/>
      <c r="AD101" s="81">
        <v>2050</v>
      </c>
      <c r="AE101" s="81"/>
      <c r="AF101" s="700"/>
    </row>
    <row r="102" spans="2:32">
      <c r="B102" s="717" t="s">
        <v>1008</v>
      </c>
      <c r="C102" s="712"/>
      <c r="D102" s="707" t="str">
        <f>"IND"&amp;RIGHT(H102,4)&amp;RIGHT(G102,3)&amp;"N"&amp;RIGHT(E102,1)</f>
        <v>INDFDPHWCHN3</v>
      </c>
      <c r="E102" s="707" t="str">
        <f>"Industrial heating technology "&amp;$AJ$12&amp;" "&amp;RIGHT(H102,2)&amp;" - Wood chip boiler (Hot Water) - new 3"</f>
        <v>Industrial heating technology Food PH - Wood chip boiler (Hot Water) - new 3</v>
      </c>
      <c r="F102" s="224" t="s">
        <v>1149</v>
      </c>
      <c r="G102" s="708" t="s">
        <v>498</v>
      </c>
      <c r="H102" s="708" t="str">
        <f>$AI$14</f>
        <v>IFDPH</v>
      </c>
      <c r="I102" s="708" t="str">
        <f t="shared" si="22"/>
        <v>INDFWH</v>
      </c>
      <c r="J102" s="224">
        <f t="shared" si="32"/>
        <v>2011</v>
      </c>
      <c r="K102" s="299">
        <v>2025</v>
      </c>
      <c r="L102" s="199">
        <f t="shared" ref="L102:L107" ca="1" si="94">VLOOKUP($AD102,INDIRECT("'"&amp;$B102&amp;"'!"&amp;"$P$200:$AD$203"),3,FALSE)</f>
        <v>0.9</v>
      </c>
      <c r="M102" s="199"/>
      <c r="N102" s="81">
        <f ca="1">VLOOKUP($AD102,INDIRECT("'"&amp;$B102&amp;"'!"&amp;"$P$200:$AD$203"),5,FALSE)</f>
        <v>25</v>
      </c>
      <c r="O102" s="723">
        <f t="shared" ref="O102:O107" ca="1" si="95">VLOOKUP($AD102,INDIRECT("'"&amp;$B102&amp;"'!"&amp;"$P$200:$AD$203"),6,FALSE)/1000</f>
        <v>4.6054545454545437</v>
      </c>
      <c r="P102" s="723">
        <f t="shared" ref="P102:P107" ca="1" si="96">VLOOKUP($AD102,INDIRECT("'"&amp;$B102&amp;"'!"&amp;"$P$200:$AD$203"),7,FALSE)/1000</f>
        <v>0.25106499999999998</v>
      </c>
      <c r="Q102" s="81">
        <f t="shared" ref="Q102:Q107" ca="1" si="97">VLOOKUP($AD102,INDIRECT("'"&amp;$B102&amp;"'!"&amp;"$P$200:$AD$203"),8,FALSE)</f>
        <v>5.7509861111111107</v>
      </c>
      <c r="R102" s="81">
        <v>3.1536000000000002E-2</v>
      </c>
      <c r="S102" s="199">
        <v>0.5</v>
      </c>
      <c r="T102" s="199">
        <f ca="1">HLOOKUP($T$2,INDIRECT("'"&amp;$B102&amp;"'!"&amp;"$P$167:$AC$180"),IF(H102=$AI$13,6,IF(H102=$AI$14,9,14)),FALSE)</f>
        <v>0</v>
      </c>
      <c r="U102" s="773"/>
      <c r="V102" s="199">
        <f t="shared" ref="V102" ca="1" si="98">IF(IF(RIGHT(H102,2)="PH",(1-L102)+$W$2,IF(RIGHT(H102,2)="HT",(1-L102)+$W$1,IF(RIGHT(H102,2)="SH",(1-L102)+$W$3,"")))&gt;0,IF(RIGHT(H102,2)="PH",(1-L102)+$W$2,IF(RIGHT(H102,2)="HT",(1-L102)+$W$1,IF(RIGHT(H102,2)="SH",(1-L102)+$W$3,""))),0)</f>
        <v>0.3</v>
      </c>
      <c r="W102" s="709"/>
      <c r="X102" s="698">
        <f t="shared" ca="1" si="79"/>
        <v>11</v>
      </c>
      <c r="Y102" s="698">
        <f t="shared" ref="Y102:Y107" ca="1" si="99">VLOOKUP($AD102,INDIRECT("'"&amp;$B102&amp;"'!"&amp;"$P$200:$AD$203"),12,FALSE)</f>
        <v>63</v>
      </c>
      <c r="Z102" s="698">
        <f t="shared" ref="Z102:Z107" ca="1" si="100">VLOOKUP($AD102,INDIRECT("'"&amp;$B102&amp;"'!"&amp;"$P$200:$AD$203"),13,FALSE)</f>
        <v>11</v>
      </c>
      <c r="AA102" s="698">
        <f t="shared" ref="AA102:AA107" ca="1" si="101">VLOOKUP($AD102,INDIRECT("'"&amp;$B102&amp;"'!"&amp;"$P$200:$AD$203"),14,FALSE)</f>
        <v>3</v>
      </c>
      <c r="AB102" s="698">
        <f t="shared" ref="AB102:AB107" ca="1" si="102">VLOOKUP($AD102,INDIRECT("'"&amp;$B102&amp;"'!"&amp;"$P$200:$AD$203"),15,FALSE)</f>
        <v>10</v>
      </c>
      <c r="AC102" s="55"/>
      <c r="AD102" s="81">
        <v>2020</v>
      </c>
      <c r="AE102" s="81"/>
      <c r="AF102" s="700"/>
    </row>
    <row r="103" spans="2:32">
      <c r="B103" s="718" t="s">
        <v>1008</v>
      </c>
      <c r="C103" s="226"/>
      <c r="D103" s="261"/>
      <c r="E103" s="261"/>
      <c r="F103" s="224" t="s">
        <v>1149</v>
      </c>
      <c r="G103" s="55"/>
      <c r="H103" s="174"/>
      <c r="I103" s="174" t="str">
        <f t="shared" si="22"/>
        <v>INDFWH</v>
      </c>
      <c r="J103" s="224">
        <f t="shared" si="32"/>
        <v>2030</v>
      </c>
      <c r="K103" s="81"/>
      <c r="L103" s="199">
        <f t="shared" ca="1" si="94"/>
        <v>0.9</v>
      </c>
      <c r="M103" s="199"/>
      <c r="N103" s="81"/>
      <c r="O103" s="723">
        <f t="shared" ca="1" si="95"/>
        <v>4.4022727272727282</v>
      </c>
      <c r="P103" s="723">
        <f t="shared" ca="1" si="96"/>
        <v>0.267455</v>
      </c>
      <c r="Q103" s="81">
        <f t="shared" ca="1" si="97"/>
        <v>5.8461805555555557</v>
      </c>
      <c r="R103" s="300"/>
      <c r="S103" s="300"/>
      <c r="T103" s="300"/>
      <c r="U103" s="300"/>
      <c r="V103" s="199">
        <f t="shared" ref="V103" ca="1" si="103">IF(IF(RIGHT(H102,2)="PH",(1-L103)+$W$2,IF(RIGHT(H102,2)="HT",(1-L103)+$W$1,IF(RIGHT(H102,2)="SH",(1-L103)+$W$3,"")))&gt;0,IF(RIGHT(H102,2)="PH",(1-L103)+$W$2,IF(RIGHT(H102,2)="HT",(1-L103)+$W$1,IF(RIGHT(H102,2)="SH",(1-L103)+$W$3,""))),0)</f>
        <v>0.3</v>
      </c>
      <c r="W103" s="298"/>
      <c r="X103" s="698">
        <f t="shared" ca="1" si="79"/>
        <v>11</v>
      </c>
      <c r="Y103" s="698">
        <f t="shared" ca="1" si="99"/>
        <v>49</v>
      </c>
      <c r="Z103" s="698">
        <f t="shared" ca="1" si="100"/>
        <v>8</v>
      </c>
      <c r="AA103" s="698">
        <f t="shared" ca="1" si="101"/>
        <v>3</v>
      </c>
      <c r="AB103" s="698">
        <f t="shared" ca="1" si="102"/>
        <v>10</v>
      </c>
      <c r="AC103" s="55"/>
      <c r="AD103" s="81">
        <v>2030</v>
      </c>
      <c r="AE103" s="81"/>
      <c r="AF103" s="700"/>
    </row>
    <row r="104" spans="2:32">
      <c r="B104" s="718" t="s">
        <v>1008</v>
      </c>
      <c r="C104" s="226"/>
      <c r="D104" s="261"/>
      <c r="E104" s="261"/>
      <c r="F104" s="224" t="s">
        <v>1149</v>
      </c>
      <c r="G104" s="55"/>
      <c r="H104" s="174"/>
      <c r="I104" s="174" t="str">
        <f t="shared" si="22"/>
        <v>INDFWH</v>
      </c>
      <c r="J104" s="224">
        <f t="shared" si="32"/>
        <v>2050</v>
      </c>
      <c r="K104" s="81"/>
      <c r="L104" s="199">
        <f t="shared" ca="1" si="94"/>
        <v>0.91</v>
      </c>
      <c r="M104" s="199"/>
      <c r="N104" s="81"/>
      <c r="O104" s="723">
        <f t="shared" ca="1" si="95"/>
        <v>3.9959090909090884</v>
      </c>
      <c r="P104" s="723">
        <f t="shared" ca="1" si="96"/>
        <v>0.25106499999999998</v>
      </c>
      <c r="Q104" s="81">
        <f t="shared" ca="1" si="97"/>
        <v>5.8937777777777782</v>
      </c>
      <c r="R104" s="300"/>
      <c r="S104" s="300"/>
      <c r="T104" s="300"/>
      <c r="U104" s="300"/>
      <c r="V104" s="199">
        <f t="shared" ref="V104" ca="1" si="104">IF(IF(RIGHT(H102,2)="PH",(1-L104)+$W$2,IF(RIGHT(H102,2)="HT",(1-L104)+$W$1,IF(RIGHT(H102,2)="SH",(1-L104)+$W$3,"")))&gt;0,IF(RIGHT(H102,2)="PH",(1-L104)+$W$2,IF(RIGHT(H102,2)="HT",(1-L104)+$W$1,IF(RIGHT(H102,2)="SH",(1-L104)+$W$3,""))),0)</f>
        <v>0.28999999999999998</v>
      </c>
      <c r="W104" s="298"/>
      <c r="X104" s="698">
        <f t="shared" ca="1" si="79"/>
        <v>11</v>
      </c>
      <c r="Y104" s="698">
        <f t="shared" ca="1" si="99"/>
        <v>41</v>
      </c>
      <c r="Z104" s="698">
        <f t="shared" ca="1" si="100"/>
        <v>4</v>
      </c>
      <c r="AA104" s="698">
        <f t="shared" ca="1" si="101"/>
        <v>1</v>
      </c>
      <c r="AB104" s="698">
        <f t="shared" ca="1" si="102"/>
        <v>10</v>
      </c>
      <c r="AC104" s="203"/>
      <c r="AD104" s="81">
        <v>2050</v>
      </c>
      <c r="AE104" s="81"/>
      <c r="AF104" s="705"/>
    </row>
    <row r="105" spans="2:32">
      <c r="B105" s="718" t="s">
        <v>1008</v>
      </c>
      <c r="C105" s="226"/>
      <c r="D105" s="261" t="str">
        <f>"IND"&amp;RIGHT(H105,4)&amp;RIGHT(G105,3)&amp;"N"&amp;RIGHT(E105,1)</f>
        <v>INDFDSHWCHN3</v>
      </c>
      <c r="E105" s="261" t="str">
        <f>"Industrial heating technology "&amp;$AJ$12&amp;" "&amp;RIGHT(H105,2)&amp;" - Wood chip boiler (Hot Water) - new 3"</f>
        <v>Industrial heating technology Food SH - Wood chip boiler (Hot Water) - new 3</v>
      </c>
      <c r="F105" s="224" t="s">
        <v>1149</v>
      </c>
      <c r="G105" s="174" t="s">
        <v>498</v>
      </c>
      <c r="H105" s="174" t="str">
        <f>$AI$15</f>
        <v>IFDSH</v>
      </c>
      <c r="I105" s="174" t="str">
        <f t="shared" si="22"/>
        <v>INDFWH</v>
      </c>
      <c r="J105" s="224">
        <f t="shared" si="32"/>
        <v>2011</v>
      </c>
      <c r="K105" s="299">
        <v>2025</v>
      </c>
      <c r="L105" s="199">
        <f t="shared" ca="1" si="94"/>
        <v>0.9</v>
      </c>
      <c r="M105" s="199"/>
      <c r="N105" s="81">
        <f ca="1">VLOOKUP($AD105,INDIRECT("'"&amp;$B105&amp;"'!"&amp;"$P$200:$AD$203"),5,FALSE)</f>
        <v>25</v>
      </c>
      <c r="O105" s="723">
        <f t="shared" ca="1" si="95"/>
        <v>4.6054545454545437</v>
      </c>
      <c r="P105" s="723">
        <f t="shared" ca="1" si="96"/>
        <v>0.25106499999999998</v>
      </c>
      <c r="Q105" s="81">
        <f t="shared" ca="1" si="97"/>
        <v>5.7509861111111107</v>
      </c>
      <c r="R105" s="81">
        <v>3.1536000000000002E-2</v>
      </c>
      <c r="S105" s="199">
        <v>0.5</v>
      </c>
      <c r="T105" s="199">
        <f ca="1">HLOOKUP($T$2,INDIRECT("'"&amp;$B105&amp;"'!"&amp;"$P$167:$AC$180"),IF(H105=$AI$13,6,IF(H105=$AI$14,9,14)),FALSE)</f>
        <v>1</v>
      </c>
      <c r="U105" s="773"/>
      <c r="V105" s="199">
        <f t="shared" ref="V105" ca="1" si="105">IF(IF(RIGHT(H105,2)="PH",(1-L105)+$W$2,IF(RIGHT(H105,2)="HT",(1-L105)+$W$1,IF(RIGHT(H105,2)="SH",(1-L105)+$W$3,"")))&gt;0,IF(RIGHT(H105,2)="PH",(1-L105)+$W$2,IF(RIGHT(H105,2)="HT",(1-L105)+$W$1,IF(RIGHT(H105,2)="SH",(1-L105)+$W$3,""))),0)</f>
        <v>9.9999999999999978E-2</v>
      </c>
      <c r="W105" s="709"/>
      <c r="X105" s="698">
        <f t="shared" ca="1" si="79"/>
        <v>11</v>
      </c>
      <c r="Y105" s="698">
        <f t="shared" ca="1" si="99"/>
        <v>63</v>
      </c>
      <c r="Z105" s="698">
        <f t="shared" ca="1" si="100"/>
        <v>11</v>
      </c>
      <c r="AA105" s="698">
        <f t="shared" ca="1" si="101"/>
        <v>3</v>
      </c>
      <c r="AB105" s="698">
        <f t="shared" ca="1" si="102"/>
        <v>10</v>
      </c>
      <c r="AC105" s="296"/>
      <c r="AD105" s="81">
        <v>2020</v>
      </c>
      <c r="AE105" s="81"/>
      <c r="AF105" s="710"/>
    </row>
    <row r="106" spans="2:32">
      <c r="B106" s="718" t="s">
        <v>1008</v>
      </c>
      <c r="C106" s="226"/>
      <c r="D106" s="261"/>
      <c r="E106" s="261"/>
      <c r="F106" s="224" t="s">
        <v>1149</v>
      </c>
      <c r="G106" s="55"/>
      <c r="H106" s="174"/>
      <c r="I106" s="174" t="str">
        <f t="shared" si="22"/>
        <v>INDFWH</v>
      </c>
      <c r="J106" s="224">
        <f t="shared" si="32"/>
        <v>2030</v>
      </c>
      <c r="K106" s="81"/>
      <c r="L106" s="199">
        <f t="shared" ca="1" si="94"/>
        <v>0.9</v>
      </c>
      <c r="M106" s="199"/>
      <c r="N106" s="81"/>
      <c r="O106" s="723">
        <f t="shared" ca="1" si="95"/>
        <v>4.4022727272727282</v>
      </c>
      <c r="P106" s="723">
        <f t="shared" ca="1" si="96"/>
        <v>0.267455</v>
      </c>
      <c r="Q106" s="81">
        <f t="shared" ca="1" si="97"/>
        <v>5.8461805555555557</v>
      </c>
      <c r="R106" s="300"/>
      <c r="S106" s="300"/>
      <c r="T106" s="300"/>
      <c r="U106" s="300"/>
      <c r="V106" s="199">
        <f t="shared" ref="V106" ca="1" si="106">IF(IF(RIGHT(H105,2)="PH",(1-L106)+$W$2,IF(RIGHT(H105,2)="HT",(1-L106)+$W$1,IF(RIGHT(H105,2)="SH",(1-L106)+$W$3,"")))&gt;0,IF(RIGHT(H105,2)="PH",(1-L106)+$W$2,IF(RIGHT(H105,2)="HT",(1-L106)+$W$1,IF(RIGHT(H105,2)="SH",(1-L106)+$W$3,""))),0)</f>
        <v>9.9999999999999978E-2</v>
      </c>
      <c r="W106" s="298"/>
      <c r="X106" s="698">
        <f t="shared" ca="1" si="79"/>
        <v>11</v>
      </c>
      <c r="Y106" s="698">
        <f t="shared" ca="1" si="99"/>
        <v>49</v>
      </c>
      <c r="Z106" s="698">
        <f t="shared" ca="1" si="100"/>
        <v>8</v>
      </c>
      <c r="AA106" s="698">
        <f t="shared" ca="1" si="101"/>
        <v>3</v>
      </c>
      <c r="AB106" s="698">
        <f t="shared" ca="1" si="102"/>
        <v>10</v>
      </c>
      <c r="AC106" s="55"/>
      <c r="AD106" s="81">
        <v>2030</v>
      </c>
      <c r="AE106" s="81"/>
      <c r="AF106" s="700"/>
    </row>
    <row r="107" spans="2:32">
      <c r="B107" s="719" t="s">
        <v>1008</v>
      </c>
      <c r="C107" s="713"/>
      <c r="D107" s="701"/>
      <c r="E107" s="701"/>
      <c r="F107" s="224" t="s">
        <v>1149</v>
      </c>
      <c r="G107" s="203"/>
      <c r="H107" s="702"/>
      <c r="I107" s="702" t="str">
        <f t="shared" si="22"/>
        <v>INDFWH</v>
      </c>
      <c r="J107" s="224">
        <f t="shared" si="32"/>
        <v>2050</v>
      </c>
      <c r="K107" s="81"/>
      <c r="L107" s="199">
        <f t="shared" ca="1" si="94"/>
        <v>0.91</v>
      </c>
      <c r="M107" s="199"/>
      <c r="N107" s="81"/>
      <c r="O107" s="723">
        <f t="shared" ca="1" si="95"/>
        <v>3.9959090909090884</v>
      </c>
      <c r="P107" s="723">
        <f t="shared" ca="1" si="96"/>
        <v>0.25106499999999998</v>
      </c>
      <c r="Q107" s="81">
        <f t="shared" ca="1" si="97"/>
        <v>5.8937777777777782</v>
      </c>
      <c r="R107" s="300"/>
      <c r="S107" s="300"/>
      <c r="T107" s="300"/>
      <c r="U107" s="300"/>
      <c r="V107" s="199">
        <f t="shared" ref="V107" ca="1" si="107">IF(IF(RIGHT(H105,2)="PH",(1-L107)+$W$2,IF(RIGHT(H105,2)="HT",(1-L107)+$W$1,IF(RIGHT(H105,2)="SH",(1-L107)+$W$3,"")))&gt;0,IF(RIGHT(H105,2)="PH",(1-L107)+$W$2,IF(RIGHT(H105,2)="HT",(1-L107)+$W$1,IF(RIGHT(H105,2)="SH",(1-L107)+$W$3,""))),0)</f>
        <v>8.9999999999999969E-2</v>
      </c>
      <c r="W107" s="298"/>
      <c r="X107" s="698">
        <f t="shared" ca="1" si="79"/>
        <v>11</v>
      </c>
      <c r="Y107" s="698">
        <f t="shared" ca="1" si="99"/>
        <v>41</v>
      </c>
      <c r="Z107" s="698">
        <f t="shared" ca="1" si="100"/>
        <v>4</v>
      </c>
      <c r="AA107" s="698">
        <f t="shared" ca="1" si="101"/>
        <v>1</v>
      </c>
      <c r="AB107" s="698">
        <f t="shared" ca="1" si="102"/>
        <v>10</v>
      </c>
      <c r="AC107" s="55"/>
      <c r="AD107" s="81">
        <v>2050</v>
      </c>
      <c r="AE107" s="81"/>
      <c r="AF107" s="700"/>
    </row>
    <row r="108" spans="2:32">
      <c r="B108" s="717" t="s">
        <v>1008</v>
      </c>
      <c r="C108" s="712"/>
      <c r="D108" s="707" t="str">
        <f>"IND"&amp;RIGHT(H108,4)&amp;RIGHT(G108,3)&amp;"N"&amp;RIGHT(E108,1)</f>
        <v>INDFDPHWCHN4</v>
      </c>
      <c r="E108" s="707" t="str">
        <f>"Industrial heating technology "&amp;$AJ$12&amp;" "&amp;RIGHT(H108,2)&amp;" - Wood chip boiler (Hot Water - condensing) - new 4"</f>
        <v>Industrial heating technology Food PH - Wood chip boiler (Hot Water - condensing) - new 4</v>
      </c>
      <c r="F108" s="224" t="s">
        <v>1149</v>
      </c>
      <c r="G108" s="708" t="s">
        <v>498</v>
      </c>
      <c r="H108" s="708" t="str">
        <f>$AI$14</f>
        <v>IFDPH</v>
      </c>
      <c r="I108" s="708" t="str">
        <f t="shared" si="22"/>
        <v>INDFWH</v>
      </c>
      <c r="J108" s="224">
        <f t="shared" si="32"/>
        <v>2011</v>
      </c>
      <c r="K108" s="299">
        <v>2025</v>
      </c>
      <c r="L108" s="199">
        <f t="shared" ref="L108:L113" ca="1" si="108">VLOOKUP($AD108,INDIRECT("'"&amp;$B108&amp;"'!"&amp;"$P$279:$AD$282"),3,FALSE)</f>
        <v>1.1618960947726835</v>
      </c>
      <c r="M108" s="199"/>
      <c r="N108" s="81">
        <f ca="1">VLOOKUP($AD108,INDIRECT("'"&amp;$B108&amp;"'!"&amp;"$P$279:$AD$282"),5,FALSE)</f>
        <v>25</v>
      </c>
      <c r="O108" s="723">
        <f t="shared" ref="O108:O113" ca="1" si="109">VLOOKUP($AD108,INDIRECT("'"&amp;$B108&amp;"'!"&amp;"$P$279:$AD$282"),6,FALSE)/1000</f>
        <v>5.0660000000000007</v>
      </c>
      <c r="P108" s="723">
        <f t="shared" ref="P108:P113" ca="1" si="110">VLOOKUP($AD108,INDIRECT("'"&amp;$B108&amp;"'!"&amp;"$P$279:$AD$282"),7,FALSE)/1000</f>
        <v>0.27564999999999995</v>
      </c>
      <c r="Q108" s="81">
        <f t="shared" ref="Q108:Q113" ca="1" si="111">VLOOKUP($AD108,INDIRECT("'"&amp;$B108&amp;"'!"&amp;"$P$279:$AD$282"),8,FALSE)</f>
        <v>5.7509861111111107</v>
      </c>
      <c r="R108" s="81">
        <v>3.1536000000000002E-2</v>
      </c>
      <c r="S108" s="199">
        <v>0.5</v>
      </c>
      <c r="T108" s="199">
        <f ca="1">HLOOKUP($T$2,INDIRECT("'"&amp;$B108&amp;"'!"&amp;"$P$246:$AC$259"),IF(H108=$AI$13,6,IF(H108=$AI$14,9,14)),FALSE)</f>
        <v>0</v>
      </c>
      <c r="U108" s="773"/>
      <c r="V108" s="199">
        <f t="shared" ref="V108" ca="1" si="112">IF(IF(RIGHT(H108,2)="PH",(1-L108)+$W$2,IF(RIGHT(H108,2)="HT",(1-L108)+$W$1,IF(RIGHT(H108,2)="SH",(1-L108)+$W$3,"")))&gt;0,IF(RIGHT(H108,2)="PH",(1-L108)+$W$2,IF(RIGHT(H108,2)="HT",(1-L108)+$W$1,IF(RIGHT(H108,2)="SH",(1-L108)+$W$3,""))),0)</f>
        <v>3.8103905227316492E-2</v>
      </c>
      <c r="W108" s="709"/>
      <c r="X108" s="698">
        <f t="shared" ca="1" si="79"/>
        <v>11</v>
      </c>
      <c r="Y108" s="698">
        <f t="shared" ref="Y108:Y113" ca="1" si="113">VLOOKUP($AD108,INDIRECT("'"&amp;$B108&amp;"'!"&amp;"$P$279:$AD$282"),12,FALSE)</f>
        <v>63</v>
      </c>
      <c r="Z108" s="698">
        <f t="shared" ref="Z108:Z113" ca="1" si="114">VLOOKUP($AD108,INDIRECT("'"&amp;$B108&amp;"'!"&amp;"$P$279:$AD$282"),13,FALSE)</f>
        <v>11</v>
      </c>
      <c r="AA108" s="698">
        <f t="shared" ref="AA108:AA113" ca="1" si="115">VLOOKUP($AD108,INDIRECT("'"&amp;$B108&amp;"'!"&amp;"$P$279:$AD$282"),14,FALSE)</f>
        <v>3</v>
      </c>
      <c r="AB108" s="698">
        <f t="shared" ref="AB108:AB113" ca="1" si="116">VLOOKUP($AD108,INDIRECT("'"&amp;$B108&amp;"'!"&amp;"$P$279:$AD$282"),15,FALSE)</f>
        <v>10</v>
      </c>
      <c r="AC108" s="55"/>
      <c r="AD108" s="81">
        <v>2020</v>
      </c>
      <c r="AE108" s="81"/>
      <c r="AF108" s="700"/>
    </row>
    <row r="109" spans="2:32">
      <c r="B109" s="718" t="s">
        <v>1008</v>
      </c>
      <c r="C109" s="226"/>
      <c r="D109" s="261"/>
      <c r="E109" s="261"/>
      <c r="F109" s="224" t="s">
        <v>1149</v>
      </c>
      <c r="G109" s="55"/>
      <c r="H109" s="174"/>
      <c r="I109" s="174" t="str">
        <f t="shared" si="22"/>
        <v>INDFWH</v>
      </c>
      <c r="J109" s="224">
        <f t="shared" si="32"/>
        <v>2030</v>
      </c>
      <c r="K109" s="81"/>
      <c r="L109" s="199">
        <f t="shared" ca="1" si="108"/>
        <v>1.1618960947726835</v>
      </c>
      <c r="M109" s="199"/>
      <c r="N109" s="81"/>
      <c r="O109" s="723">
        <f t="shared" ca="1" si="109"/>
        <v>4.8425000000000002</v>
      </c>
      <c r="P109" s="723">
        <f t="shared" ca="1" si="110"/>
        <v>0.267455</v>
      </c>
      <c r="Q109" s="81">
        <f t="shared" ca="1" si="111"/>
        <v>5.8461805555555557</v>
      </c>
      <c r="R109" s="300"/>
      <c r="S109" s="300"/>
      <c r="T109" s="300"/>
      <c r="U109" s="300"/>
      <c r="V109" s="199">
        <f t="shared" ref="V109" ca="1" si="117">IF(IF(RIGHT(H108,2)="PH",(1-L109)+$W$2,IF(RIGHT(H108,2)="HT",(1-L109)+$W$1,IF(RIGHT(H108,2)="SH",(1-L109)+$W$3,"")))&gt;0,IF(RIGHT(H108,2)="PH",(1-L109)+$W$2,IF(RIGHT(H108,2)="HT",(1-L109)+$W$1,IF(RIGHT(H108,2)="SH",(1-L109)+$W$3,""))),0)</f>
        <v>3.8103905227316492E-2</v>
      </c>
      <c r="W109" s="298"/>
      <c r="X109" s="698">
        <f t="shared" ca="1" si="79"/>
        <v>11</v>
      </c>
      <c r="Y109" s="698">
        <f t="shared" ca="1" si="113"/>
        <v>49</v>
      </c>
      <c r="Z109" s="698">
        <f t="shared" ca="1" si="114"/>
        <v>8</v>
      </c>
      <c r="AA109" s="698">
        <f t="shared" ca="1" si="115"/>
        <v>3</v>
      </c>
      <c r="AB109" s="698">
        <f t="shared" ca="1" si="116"/>
        <v>10</v>
      </c>
      <c r="AC109" s="55"/>
      <c r="AD109" s="81">
        <v>2030</v>
      </c>
      <c r="AE109" s="81"/>
      <c r="AF109" s="700"/>
    </row>
    <row r="110" spans="2:32">
      <c r="B110" s="718" t="s">
        <v>1008</v>
      </c>
      <c r="C110" s="226"/>
      <c r="D110" s="261"/>
      <c r="E110" s="261"/>
      <c r="F110" s="224" t="s">
        <v>1149</v>
      </c>
      <c r="G110" s="55"/>
      <c r="H110" s="174"/>
      <c r="I110" s="174" t="str">
        <f t="shared" si="22"/>
        <v>INDFWH</v>
      </c>
      <c r="J110" s="224">
        <f t="shared" si="32"/>
        <v>2050</v>
      </c>
      <c r="K110" s="81"/>
      <c r="L110" s="199">
        <f t="shared" ca="1" si="108"/>
        <v>1.1618960947726835</v>
      </c>
      <c r="M110" s="199"/>
      <c r="N110" s="81"/>
      <c r="O110" s="723">
        <f t="shared" ca="1" si="109"/>
        <v>4.3955000000000002</v>
      </c>
      <c r="P110" s="723">
        <f t="shared" ca="1" si="110"/>
        <v>0.25106499999999998</v>
      </c>
      <c r="Q110" s="81">
        <f t="shared" ca="1" si="111"/>
        <v>5.8937777777777782</v>
      </c>
      <c r="R110" s="300"/>
      <c r="S110" s="300"/>
      <c r="T110" s="300"/>
      <c r="U110" s="300"/>
      <c r="V110" s="199">
        <f t="shared" ref="V110" ca="1" si="118">IF(IF(RIGHT(H108,2)="PH",(1-L110)+$W$2,IF(RIGHT(H108,2)="HT",(1-L110)+$W$1,IF(RIGHT(H108,2)="SH",(1-L110)+$W$3,"")))&gt;0,IF(RIGHT(H108,2)="PH",(1-L110)+$W$2,IF(RIGHT(H108,2)="HT",(1-L110)+$W$1,IF(RIGHT(H108,2)="SH",(1-L110)+$W$3,""))),0)</f>
        <v>3.8103905227316492E-2</v>
      </c>
      <c r="W110" s="298"/>
      <c r="X110" s="698">
        <f t="shared" ca="1" si="79"/>
        <v>11</v>
      </c>
      <c r="Y110" s="698">
        <f t="shared" ca="1" si="113"/>
        <v>41</v>
      </c>
      <c r="Z110" s="698">
        <f t="shared" ca="1" si="114"/>
        <v>4</v>
      </c>
      <c r="AA110" s="698">
        <f t="shared" ca="1" si="115"/>
        <v>1</v>
      </c>
      <c r="AB110" s="698">
        <f t="shared" ca="1" si="116"/>
        <v>10</v>
      </c>
      <c r="AC110" s="203"/>
      <c r="AD110" s="81">
        <v>2050</v>
      </c>
      <c r="AE110" s="81"/>
      <c r="AF110" s="705"/>
    </row>
    <row r="111" spans="2:32">
      <c r="B111" s="718" t="s">
        <v>1008</v>
      </c>
      <c r="C111" s="226"/>
      <c r="D111" s="261" t="str">
        <f>"IND"&amp;RIGHT(H111,4)&amp;RIGHT(G111,3)&amp;"N"&amp;RIGHT(E111,1)</f>
        <v>INDFDSHWCHN4</v>
      </c>
      <c r="E111" s="261" t="str">
        <f>"Industrial heating technology "&amp;$AJ$12&amp;" "&amp;RIGHT(H111,2)&amp;" - Wood chip boiler (Hot Water- condensing) - new 4"</f>
        <v>Industrial heating technology Food SH - Wood chip boiler (Hot Water- condensing) - new 4</v>
      </c>
      <c r="F111" s="224" t="s">
        <v>1149</v>
      </c>
      <c r="G111" s="174" t="s">
        <v>498</v>
      </c>
      <c r="H111" s="174" t="str">
        <f>$AI$15</f>
        <v>IFDSH</v>
      </c>
      <c r="I111" s="174" t="str">
        <f t="shared" si="22"/>
        <v>INDFWH</v>
      </c>
      <c r="J111" s="224">
        <f t="shared" si="32"/>
        <v>2011</v>
      </c>
      <c r="K111" s="299">
        <v>2025</v>
      </c>
      <c r="L111" s="199">
        <f t="shared" ca="1" si="108"/>
        <v>1.1618960947726835</v>
      </c>
      <c r="M111" s="199"/>
      <c r="N111" s="81">
        <f ca="1">VLOOKUP($AD111,INDIRECT("'"&amp;$B111&amp;"'!"&amp;"$P$279:$AD$282"),5,FALSE)</f>
        <v>25</v>
      </c>
      <c r="O111" s="723">
        <f t="shared" ca="1" si="109"/>
        <v>5.0660000000000007</v>
      </c>
      <c r="P111" s="723">
        <f t="shared" ca="1" si="110"/>
        <v>0.27564999999999995</v>
      </c>
      <c r="Q111" s="81">
        <f t="shared" ca="1" si="111"/>
        <v>5.7509861111111107</v>
      </c>
      <c r="R111" s="81">
        <v>3.1536000000000002E-2</v>
      </c>
      <c r="S111" s="199">
        <v>0.5</v>
      </c>
      <c r="T111" s="199">
        <f ca="1">HLOOKUP($T$2,INDIRECT("'"&amp;$B111&amp;"'!"&amp;"$P$246:$AC$259"),IF(H111=$AI$13,6,IF(H111=$AI$14,9,14)),FALSE)</f>
        <v>1</v>
      </c>
      <c r="U111" s="773"/>
      <c r="V111" s="199">
        <f t="shared" ref="V111" ca="1" si="119">IF(IF(RIGHT(H111,2)="PH",(1-L111)+$W$2,IF(RIGHT(H111,2)="HT",(1-L111)+$W$1,IF(RIGHT(H111,2)="SH",(1-L111)+$W$3,"")))&gt;0,IF(RIGHT(H111,2)="PH",(1-L111)+$W$2,IF(RIGHT(H111,2)="HT",(1-L111)+$W$1,IF(RIGHT(H111,2)="SH",(1-L111)+$W$3,""))),0)</f>
        <v>0</v>
      </c>
      <c r="W111" s="709"/>
      <c r="X111" s="698">
        <f t="shared" ca="1" si="79"/>
        <v>11</v>
      </c>
      <c r="Y111" s="698">
        <f t="shared" ca="1" si="113"/>
        <v>63</v>
      </c>
      <c r="Z111" s="698">
        <f t="shared" ca="1" si="114"/>
        <v>11</v>
      </c>
      <c r="AA111" s="698">
        <f t="shared" ca="1" si="115"/>
        <v>3</v>
      </c>
      <c r="AB111" s="698">
        <f t="shared" ca="1" si="116"/>
        <v>10</v>
      </c>
      <c r="AD111" s="81">
        <v>2020</v>
      </c>
      <c r="AE111" s="81"/>
      <c r="AF111" s="220"/>
    </row>
    <row r="112" spans="2:32">
      <c r="B112" s="718" t="s">
        <v>1008</v>
      </c>
      <c r="C112" s="226"/>
      <c r="D112" s="261"/>
      <c r="E112" s="261"/>
      <c r="F112" s="224" t="s">
        <v>1149</v>
      </c>
      <c r="G112" s="55"/>
      <c r="H112" s="174"/>
      <c r="I112" s="174" t="str">
        <f t="shared" si="22"/>
        <v>INDFWH</v>
      </c>
      <c r="J112" s="224">
        <f t="shared" si="32"/>
        <v>2030</v>
      </c>
      <c r="K112" s="81"/>
      <c r="L112" s="199">
        <f t="shared" ca="1" si="108"/>
        <v>1.1618960947726835</v>
      </c>
      <c r="M112" s="199"/>
      <c r="N112" s="81"/>
      <c r="O112" s="723">
        <f t="shared" ca="1" si="109"/>
        <v>4.8425000000000002</v>
      </c>
      <c r="P112" s="723">
        <f t="shared" ca="1" si="110"/>
        <v>0.267455</v>
      </c>
      <c r="Q112" s="81">
        <f t="shared" ca="1" si="111"/>
        <v>5.8461805555555557</v>
      </c>
      <c r="R112" s="300"/>
      <c r="S112" s="300"/>
      <c r="T112" s="300"/>
      <c r="U112" s="300"/>
      <c r="V112" s="199">
        <f t="shared" ref="V112" ca="1" si="120">IF(IF(RIGHT(H111,2)="PH",(1-L112)+$W$2,IF(RIGHT(H111,2)="HT",(1-L112)+$W$1,IF(RIGHT(H111,2)="SH",(1-L112)+$W$3,"")))&gt;0,IF(RIGHT(H111,2)="PH",(1-L112)+$W$2,IF(RIGHT(H111,2)="HT",(1-L112)+$W$1,IF(RIGHT(H111,2)="SH",(1-L112)+$W$3,""))),0)</f>
        <v>0</v>
      </c>
      <c r="W112" s="298"/>
      <c r="X112" s="698">
        <f t="shared" ca="1" si="79"/>
        <v>11</v>
      </c>
      <c r="Y112" s="698">
        <f t="shared" ca="1" si="113"/>
        <v>49</v>
      </c>
      <c r="Z112" s="698">
        <f t="shared" ca="1" si="114"/>
        <v>8</v>
      </c>
      <c r="AA112" s="698">
        <f t="shared" ca="1" si="115"/>
        <v>3</v>
      </c>
      <c r="AB112" s="698">
        <f t="shared" ca="1" si="116"/>
        <v>10</v>
      </c>
      <c r="AD112" s="81">
        <v>2030</v>
      </c>
      <c r="AE112" s="81"/>
      <c r="AF112" s="220"/>
    </row>
    <row r="113" spans="2:32">
      <c r="B113" s="719" t="s">
        <v>1008</v>
      </c>
      <c r="C113" s="713"/>
      <c r="D113" s="701"/>
      <c r="E113" s="701"/>
      <c r="F113" s="224" t="s">
        <v>1149</v>
      </c>
      <c r="G113" s="203"/>
      <c r="H113" s="702"/>
      <c r="I113" s="702" t="str">
        <f t="shared" si="22"/>
        <v>INDFWH</v>
      </c>
      <c r="J113" s="224">
        <f t="shared" si="32"/>
        <v>2050</v>
      </c>
      <c r="K113" s="81"/>
      <c r="L113" s="199">
        <f t="shared" ca="1" si="108"/>
        <v>1.1618960947726835</v>
      </c>
      <c r="M113" s="199"/>
      <c r="N113" s="81"/>
      <c r="O113" s="723">
        <f t="shared" ca="1" si="109"/>
        <v>4.3955000000000002</v>
      </c>
      <c r="P113" s="723">
        <f t="shared" ca="1" si="110"/>
        <v>0.25106499999999998</v>
      </c>
      <c r="Q113" s="81">
        <f t="shared" ca="1" si="111"/>
        <v>5.8937777777777782</v>
      </c>
      <c r="R113" s="300"/>
      <c r="S113" s="300"/>
      <c r="T113" s="300"/>
      <c r="U113" s="300"/>
      <c r="V113" s="199">
        <f t="shared" ref="V113" ca="1" si="121">IF(IF(RIGHT(H111,2)="PH",(1-L113)+$W$2,IF(RIGHT(H111,2)="HT",(1-L113)+$W$1,IF(RIGHT(H111,2)="SH",(1-L113)+$W$3,"")))&gt;0,IF(RIGHT(H111,2)="PH",(1-L113)+$W$2,IF(RIGHT(H111,2)="HT",(1-L113)+$W$1,IF(RIGHT(H111,2)="SH",(1-L113)+$W$3,""))),0)</f>
        <v>0</v>
      </c>
      <c r="W113" s="714"/>
      <c r="X113" s="698">
        <f t="shared" ca="1" si="79"/>
        <v>11</v>
      </c>
      <c r="Y113" s="698">
        <f t="shared" ca="1" si="113"/>
        <v>41</v>
      </c>
      <c r="Z113" s="698">
        <f t="shared" ca="1" si="114"/>
        <v>4</v>
      </c>
      <c r="AA113" s="698">
        <f t="shared" ca="1" si="115"/>
        <v>1</v>
      </c>
      <c r="AB113" s="698">
        <f t="shared" ca="1" si="116"/>
        <v>10</v>
      </c>
      <c r="AD113" s="81">
        <v>2050</v>
      </c>
      <c r="AE113" s="81"/>
      <c r="AF113" s="220"/>
    </row>
    <row r="114" spans="2:32">
      <c r="B114" s="718" t="s">
        <v>1014</v>
      </c>
      <c r="C114" s="226"/>
      <c r="D114" s="212" t="str">
        <f>"IND"&amp;RIGHT(H114,4)&amp;RIGHT(G114,3)&amp;"N"&amp;RIGHT(E114,2)</f>
        <v>INDFDPHELCN10</v>
      </c>
      <c r="E114" s="261" t="str">
        <f>"Industrial heating technology "&amp;$AJ$12&amp;" "&amp;RIGHT(H114,2)&amp;" - Direct electric heating - new 10"</f>
        <v>Industrial heating technology Food PH - Direct electric heating - new 10</v>
      </c>
      <c r="F114" s="224" t="s">
        <v>1149</v>
      </c>
      <c r="G114" s="173" t="s">
        <v>499</v>
      </c>
      <c r="H114" s="174" t="str">
        <f>$AI$13</f>
        <v>IFDPH</v>
      </c>
      <c r="I114" s="174" t="str">
        <f t="shared" si="22"/>
        <v>INDFWH</v>
      </c>
      <c r="J114" s="224">
        <f t="shared" si="32"/>
        <v>2011</v>
      </c>
      <c r="K114" s="299">
        <v>2020</v>
      </c>
      <c r="L114" s="199">
        <f t="shared" ref="L114:L128" ca="1" si="122">VLOOKUP($AD114,INDIRECT("'"&amp;$B114&amp;"'!"&amp;"$P$39:$AD$42"),3,FALSE)</f>
        <v>1</v>
      </c>
      <c r="M114" s="199"/>
      <c r="N114" s="81">
        <f ca="1">VLOOKUP($AD114,INDIRECT("'"&amp;$B114&amp;"'!"&amp;"$P$39:$AD$42"),5,FALSE)</f>
        <v>12.5</v>
      </c>
      <c r="O114" s="723">
        <f t="shared" ref="O114:O128" ca="1" si="123">VLOOKUP($AD114,INDIRECT("'"&amp;$B114&amp;"'!"&amp;"$P$39:$AD$42"),6,FALSE)/1000</f>
        <v>0.44700000000000001</v>
      </c>
      <c r="P114" s="723">
        <f t="shared" ref="P114:P128" ca="1" si="124">VLOOKUP($AD114,INDIRECT("'"&amp;$B114&amp;"'!"&amp;"$P$39:$AD$42"),7,FALSE)/1000</f>
        <v>0</v>
      </c>
      <c r="Q114" s="81">
        <f t="shared" ref="Q114:Q128" ca="1" si="125">VLOOKUP($AD114,INDIRECT("'"&amp;$B114&amp;"'!"&amp;"$P$39:$AD$42"),8,FALSE)</f>
        <v>0.37767361111111114</v>
      </c>
      <c r="R114" s="81">
        <v>3.1536000000000002E-2</v>
      </c>
      <c r="S114" s="199">
        <v>0.5</v>
      </c>
      <c r="T114" s="199">
        <f ca="1">HLOOKUP($S$2,INDIRECT("'"&amp;$B114&amp;"'!"&amp;"$P$6:$AC$19"),IF(H114=$AI$13,6,IF(H114=$AI$14,9,14)),FALSE)</f>
        <v>1</v>
      </c>
      <c r="U114" s="772"/>
      <c r="V114" s="199">
        <f t="shared" ref="V114" ca="1" si="126">IF(IF(RIGHT(H114,2)="PH",(1-L114)+$W$2,IF(RIGHT(H114,2)="HT",(1-L114)+$W$1,IF(RIGHT(H114,2)="SH",(1-L114)+$W$3,"")))&gt;0,IF(RIGHT(H114,2)="PH",(1-L114)+$W$2,IF(RIGHT(H114,2)="HT",(1-L114)+$W$1,IF(RIGHT(H114,2)="SH",(1-L114)+$W$3,""))),0)</f>
        <v>0.2</v>
      </c>
      <c r="W114" s="298"/>
      <c r="X114" s="698">
        <f t="shared" ca="1" si="79"/>
        <v>0</v>
      </c>
      <c r="Y114" s="81">
        <f t="shared" ref="Y114:Y128" ca="1" si="127">VLOOKUP($AD114,INDIRECT("'"&amp;$B114&amp;"'!"&amp;"$P$39:$AD$42"),12,FALSE)</f>
        <v>0</v>
      </c>
      <c r="Z114" s="81">
        <f t="shared" ref="Z114:Z128" ca="1" si="128">VLOOKUP($AD114,INDIRECT("'"&amp;$B114&amp;"'!"&amp;"$P$39:$AD$42"),13,FALSE)</f>
        <v>0</v>
      </c>
      <c r="AA114" s="81">
        <f t="shared" ref="AA114:AA128" ca="1" si="129">VLOOKUP($AD114,INDIRECT("'"&amp;$B114&amp;"'!"&amp;"$P$39:$AD$42"),14,FALSE)</f>
        <v>0</v>
      </c>
      <c r="AB114" s="81">
        <f t="shared" ref="AB114:AB128" ca="1" si="130">VLOOKUP($AD114,INDIRECT("'"&amp;$B114&amp;"'!"&amp;"$P$39:$AD$42"),15,FALSE)</f>
        <v>0</v>
      </c>
      <c r="AD114" s="81">
        <v>2020</v>
      </c>
      <c r="AE114" s="81"/>
      <c r="AF114" s="220"/>
    </row>
    <row r="115" spans="2:32">
      <c r="B115" s="718" t="s">
        <v>1014</v>
      </c>
      <c r="C115" s="226"/>
      <c r="D115" s="212"/>
      <c r="E115" s="212"/>
      <c r="F115" s="224" t="s">
        <v>1149</v>
      </c>
      <c r="H115" s="174"/>
      <c r="I115" s="174" t="str">
        <f t="shared" si="22"/>
        <v>INDFWH</v>
      </c>
      <c r="J115" s="224">
        <f t="shared" si="32"/>
        <v>2030</v>
      </c>
      <c r="K115" s="81"/>
      <c r="L115" s="199">
        <f t="shared" ca="1" si="122"/>
        <v>1</v>
      </c>
      <c r="M115" s="199"/>
      <c r="N115" s="81"/>
      <c r="O115" s="723">
        <f t="shared" ca="1" si="123"/>
        <v>0.44700000000000001</v>
      </c>
      <c r="P115" s="723">
        <f t="shared" ca="1" si="124"/>
        <v>0</v>
      </c>
      <c r="Q115" s="81">
        <f t="shared" ca="1" si="125"/>
        <v>0.38802083333333331</v>
      </c>
      <c r="R115" s="300"/>
      <c r="S115" s="300"/>
      <c r="T115" s="300"/>
      <c r="U115" s="300"/>
      <c r="V115" s="199">
        <f t="shared" ref="V115" ca="1" si="131">IF(IF(RIGHT(H114,2)="PH",(1-L115)+$W$2,IF(RIGHT(H114,2)="HT",(1-L115)+$W$1,IF(RIGHT(H114,2)="SH",(1-L115)+$W$3,"")))&gt;0,IF(RIGHT(H114,2)="PH",(1-L115)+$W$2,IF(RIGHT(H114,2)="HT",(1-L115)+$W$1,IF(RIGHT(H114,2)="SH",(1-L115)+$W$3,""))),0)</f>
        <v>0.2</v>
      </c>
      <c r="W115" s="298"/>
      <c r="X115" s="698">
        <f t="shared" ca="1" si="79"/>
        <v>0</v>
      </c>
      <c r="Y115" s="81">
        <f t="shared" ca="1" si="127"/>
        <v>0</v>
      </c>
      <c r="Z115" s="81">
        <f t="shared" ca="1" si="128"/>
        <v>0</v>
      </c>
      <c r="AA115" s="81">
        <f t="shared" ca="1" si="129"/>
        <v>0</v>
      </c>
      <c r="AB115" s="81">
        <f t="shared" ca="1" si="130"/>
        <v>0</v>
      </c>
      <c r="AD115" s="81">
        <v>2030</v>
      </c>
      <c r="AE115" s="81"/>
      <c r="AF115" s="220"/>
    </row>
    <row r="116" spans="2:32">
      <c r="B116" s="718" t="s">
        <v>1014</v>
      </c>
      <c r="C116" s="226"/>
      <c r="D116" s="212"/>
      <c r="E116" s="212"/>
      <c r="F116" s="224" t="s">
        <v>1149</v>
      </c>
      <c r="H116" s="174"/>
      <c r="I116" s="174" t="str">
        <f t="shared" si="22"/>
        <v>INDFWH</v>
      </c>
      <c r="J116" s="224">
        <f t="shared" si="32"/>
        <v>2050</v>
      </c>
      <c r="K116" s="81"/>
      <c r="L116" s="199">
        <f t="shared" ca="1" si="122"/>
        <v>1</v>
      </c>
      <c r="M116" s="199"/>
      <c r="N116" s="81"/>
      <c r="O116" s="723">
        <f t="shared" ca="1" si="123"/>
        <v>0.44700000000000001</v>
      </c>
      <c r="P116" s="723">
        <f t="shared" ca="1" si="124"/>
        <v>0</v>
      </c>
      <c r="Q116" s="81">
        <f t="shared" ca="1" si="125"/>
        <v>0.39319444444444446</v>
      </c>
      <c r="R116" s="300"/>
      <c r="S116" s="300"/>
      <c r="T116" s="300"/>
      <c r="U116" s="300"/>
      <c r="V116" s="199">
        <f t="shared" ref="V116" ca="1" si="132">IF(IF(RIGHT(H114,2)="PH",(1-L116)+$W$2,IF(RIGHT(H114,2)="HT",(1-L116)+$W$1,IF(RIGHT(H114,2)="SH",(1-L116)+$W$3,"")))&gt;0,IF(RIGHT(H114,2)="PH",(1-L116)+$W$2,IF(RIGHT(H114,2)="HT",(1-L116)+$W$1,IF(RIGHT(H114,2)="SH",(1-L116)+$W$3,""))),0)</f>
        <v>0.2</v>
      </c>
      <c r="W116" s="298"/>
      <c r="X116" s="698">
        <f t="shared" ca="1" si="79"/>
        <v>0</v>
      </c>
      <c r="Y116" s="81">
        <f t="shared" ca="1" si="127"/>
        <v>0</v>
      </c>
      <c r="Z116" s="81">
        <f t="shared" ca="1" si="128"/>
        <v>0</v>
      </c>
      <c r="AA116" s="81">
        <f t="shared" ca="1" si="129"/>
        <v>0</v>
      </c>
      <c r="AB116" s="81">
        <f t="shared" ca="1" si="130"/>
        <v>0</v>
      </c>
      <c r="AC116" s="203"/>
      <c r="AD116" s="81">
        <v>2050</v>
      </c>
      <c r="AE116" s="81"/>
      <c r="AF116" s="705"/>
    </row>
    <row r="117" spans="2:32">
      <c r="B117" s="718" t="s">
        <v>1014</v>
      </c>
      <c r="C117" s="226"/>
      <c r="D117" s="212" t="str">
        <f>"IND"&amp;RIGHT(H117,4)&amp;RIGHT(G117,3)&amp;"N"&amp;RIGHT(E117,2)</f>
        <v>INDFDPHELCN10</v>
      </c>
      <c r="E117" s="261" t="str">
        <f>"Industrial heating technology "&amp;$AJ$12&amp;" "&amp;RIGHT(H117,2)&amp;" - Direct electric heating - new 10"</f>
        <v>Industrial heating technology Food PH - Direct electric heating - new 10</v>
      </c>
      <c r="F117" s="224" t="s">
        <v>1149</v>
      </c>
      <c r="G117" s="173" t="s">
        <v>499</v>
      </c>
      <c r="H117" s="174" t="str">
        <f>$AI$14</f>
        <v>IFDPH</v>
      </c>
      <c r="I117" s="174" t="str">
        <f t="shared" si="22"/>
        <v>INDFWH</v>
      </c>
      <c r="J117" s="224">
        <f t="shared" si="32"/>
        <v>2011</v>
      </c>
      <c r="K117" s="299">
        <v>2020</v>
      </c>
      <c r="L117" s="199">
        <f t="shared" ca="1" si="122"/>
        <v>1</v>
      </c>
      <c r="M117" s="199"/>
      <c r="N117" s="81">
        <f ca="1">VLOOKUP($AD117,INDIRECT("'"&amp;$B117&amp;"'!"&amp;"$P$39:$AD$42"),5,FALSE)</f>
        <v>12.5</v>
      </c>
      <c r="O117" s="723">
        <f t="shared" ca="1" si="123"/>
        <v>0.44700000000000001</v>
      </c>
      <c r="P117" s="723">
        <f t="shared" ca="1" si="124"/>
        <v>0</v>
      </c>
      <c r="Q117" s="81">
        <f t="shared" ca="1" si="125"/>
        <v>0.37767361111111114</v>
      </c>
      <c r="R117" s="81">
        <v>3.1536000000000002E-2</v>
      </c>
      <c r="S117" s="199">
        <v>0.5</v>
      </c>
      <c r="T117" s="199">
        <f ca="1">HLOOKUP($S$2,INDIRECT("'"&amp;$B117&amp;"'!"&amp;"$P$6:$AC$19"),IF(H117=$AI$13,6,IF(H117=$AI$14,9,14)),FALSE)</f>
        <v>1</v>
      </c>
      <c r="U117" s="772"/>
      <c r="V117" s="199">
        <f t="shared" ref="V117" ca="1" si="133">IF(IF(RIGHT(H117,2)="PH",(1-L117)+$W$2,IF(RIGHT(H117,2)="HT",(1-L117)+$W$1,IF(RIGHT(H117,2)="SH",(1-L117)+$W$3,"")))&gt;0,IF(RIGHT(H117,2)="PH",(1-L117)+$W$2,IF(RIGHT(H117,2)="HT",(1-L117)+$W$1,IF(RIGHT(H117,2)="SH",(1-L117)+$W$3,""))),0)</f>
        <v>0.2</v>
      </c>
      <c r="W117" s="298"/>
      <c r="X117" s="698">
        <f t="shared" ca="1" si="79"/>
        <v>0</v>
      </c>
      <c r="Y117" s="81">
        <f t="shared" ca="1" si="127"/>
        <v>0</v>
      </c>
      <c r="Z117" s="81">
        <f t="shared" ca="1" si="128"/>
        <v>0</v>
      </c>
      <c r="AA117" s="81">
        <f t="shared" ca="1" si="129"/>
        <v>0</v>
      </c>
      <c r="AB117" s="81">
        <f t="shared" ca="1" si="130"/>
        <v>0</v>
      </c>
      <c r="AD117" s="81">
        <v>2020</v>
      </c>
      <c r="AE117" s="299"/>
      <c r="AF117" s="220"/>
    </row>
    <row r="118" spans="2:32">
      <c r="B118" s="718" t="s">
        <v>1014</v>
      </c>
      <c r="C118" s="226"/>
      <c r="D118" s="212"/>
      <c r="E118" s="212"/>
      <c r="F118" s="224" t="s">
        <v>1149</v>
      </c>
      <c r="H118" s="174"/>
      <c r="I118" s="174" t="str">
        <f t="shared" si="22"/>
        <v>INDFWH</v>
      </c>
      <c r="J118" s="224">
        <f t="shared" si="32"/>
        <v>2030</v>
      </c>
      <c r="K118" s="81"/>
      <c r="L118" s="199">
        <f t="shared" ca="1" si="122"/>
        <v>1</v>
      </c>
      <c r="M118" s="199"/>
      <c r="N118" s="81"/>
      <c r="O118" s="723">
        <f t="shared" ca="1" si="123"/>
        <v>0.44700000000000001</v>
      </c>
      <c r="P118" s="723">
        <f t="shared" ca="1" si="124"/>
        <v>0</v>
      </c>
      <c r="Q118" s="81">
        <f t="shared" ca="1" si="125"/>
        <v>0.38802083333333331</v>
      </c>
      <c r="R118" s="300"/>
      <c r="S118" s="300"/>
      <c r="T118" s="300"/>
      <c r="U118" s="300"/>
      <c r="V118" s="199">
        <f t="shared" ref="V118" ca="1" si="134">IF(IF(RIGHT(H117,2)="PH",(1-L118)+$W$2,IF(RIGHT(H117,2)="HT",(1-L118)+$W$1,IF(RIGHT(H117,2)="SH",(1-L118)+$W$3,"")))&gt;0,IF(RIGHT(H117,2)="PH",(1-L118)+$W$2,IF(RIGHT(H117,2)="HT",(1-L118)+$W$1,IF(RIGHT(H117,2)="SH",(1-L118)+$W$3,""))),0)</f>
        <v>0.2</v>
      </c>
      <c r="W118" s="298"/>
      <c r="X118" s="698">
        <f t="shared" ca="1" si="79"/>
        <v>0</v>
      </c>
      <c r="Y118" s="81">
        <f t="shared" ca="1" si="127"/>
        <v>0</v>
      </c>
      <c r="Z118" s="81">
        <f t="shared" ca="1" si="128"/>
        <v>0</v>
      </c>
      <c r="AA118" s="81">
        <f t="shared" ca="1" si="129"/>
        <v>0</v>
      </c>
      <c r="AB118" s="81">
        <f t="shared" ca="1" si="130"/>
        <v>0</v>
      </c>
      <c r="AD118" s="81">
        <v>2030</v>
      </c>
      <c r="AE118" s="81"/>
      <c r="AF118" s="220"/>
    </row>
    <row r="119" spans="2:32">
      <c r="B119" s="719" t="s">
        <v>1014</v>
      </c>
      <c r="C119" s="713"/>
      <c r="D119" s="701"/>
      <c r="E119" s="701"/>
      <c r="F119" s="224" t="s">
        <v>1149</v>
      </c>
      <c r="G119" s="203"/>
      <c r="H119" s="702"/>
      <c r="I119" s="702" t="str">
        <f t="shared" si="22"/>
        <v>INDFWH</v>
      </c>
      <c r="J119" s="224">
        <f t="shared" si="32"/>
        <v>2050</v>
      </c>
      <c r="K119" s="81"/>
      <c r="L119" s="199">
        <f t="shared" ca="1" si="122"/>
        <v>1</v>
      </c>
      <c r="M119" s="199"/>
      <c r="N119" s="81"/>
      <c r="O119" s="723">
        <f t="shared" ca="1" si="123"/>
        <v>0.44700000000000001</v>
      </c>
      <c r="P119" s="723">
        <f t="shared" ca="1" si="124"/>
        <v>0</v>
      </c>
      <c r="Q119" s="81">
        <f t="shared" ca="1" si="125"/>
        <v>0.39319444444444446</v>
      </c>
      <c r="R119" s="703"/>
      <c r="S119" s="703"/>
      <c r="T119" s="703"/>
      <c r="U119" s="703"/>
      <c r="V119" s="199">
        <f t="shared" ref="V119" ca="1" si="135">IF(IF(RIGHT(H117,2)="PH",(1-L119)+$W$2,IF(RIGHT(H117,2)="HT",(1-L119)+$W$1,IF(RIGHT(H117,2)="SH",(1-L119)+$W$3,"")))&gt;0,IF(RIGHT(H117,2)="PH",(1-L119)+$W$2,IF(RIGHT(H117,2)="HT",(1-L119)+$W$1,IF(RIGHT(H117,2)="SH",(1-L119)+$W$3,""))),0)</f>
        <v>0.2</v>
      </c>
      <c r="W119" s="704"/>
      <c r="X119" s="698">
        <f t="shared" ca="1" si="79"/>
        <v>0</v>
      </c>
      <c r="Y119" s="81">
        <f t="shared" ca="1" si="127"/>
        <v>0</v>
      </c>
      <c r="Z119" s="81">
        <f t="shared" ca="1" si="128"/>
        <v>0</v>
      </c>
      <c r="AA119" s="81">
        <f t="shared" ca="1" si="129"/>
        <v>0</v>
      </c>
      <c r="AB119" s="81">
        <f t="shared" ca="1" si="130"/>
        <v>0</v>
      </c>
      <c r="AD119" s="81">
        <v>2050</v>
      </c>
      <c r="AE119" s="81"/>
      <c r="AF119" s="220"/>
    </row>
    <row r="120" spans="2:32">
      <c r="B120" s="718" t="s">
        <v>1009</v>
      </c>
      <c r="C120" s="226"/>
      <c r="D120" s="212" t="str">
        <f>"IND"&amp;RIGHT(H120,4)&amp;"DSL"&amp;"N"&amp;RIGHT(E120,1)</f>
        <v>INDFDPHDSLN1</v>
      </c>
      <c r="E120" s="261" t="str">
        <f>"Industrial heating technology "&amp;$AJ$12&amp;" "&amp;RIGHT(H120,2)&amp;" - Oil boiler (Steam) - new 1"</f>
        <v>Industrial heating technology Food PH - Oil boiler (Steam) - new 1</v>
      </c>
      <c r="F120" s="224" t="s">
        <v>1149</v>
      </c>
      <c r="G120" s="173" t="s">
        <v>2081</v>
      </c>
      <c r="H120" s="174" t="str">
        <f>$AI$13</f>
        <v>IFDPH</v>
      </c>
      <c r="I120" s="174" t="str">
        <f t="shared" si="22"/>
        <v>INDFWH</v>
      </c>
      <c r="J120" s="224">
        <f t="shared" si="32"/>
        <v>2011</v>
      </c>
      <c r="K120" s="299">
        <v>2025</v>
      </c>
      <c r="L120" s="199">
        <f t="shared" ca="1" si="122"/>
        <v>0.94</v>
      </c>
      <c r="M120" s="699"/>
      <c r="N120" s="299">
        <f ca="1">VLOOKUP($AD120,INDIRECT("'"&amp;$B120&amp;"'!"&amp;"$P$39:$AD$42"),5,FALSE)</f>
        <v>25</v>
      </c>
      <c r="O120" s="725">
        <f t="shared" ca="1" si="123"/>
        <v>0.40975</v>
      </c>
      <c r="P120" s="725">
        <f t="shared" ca="1" si="124"/>
        <v>1.341E-2</v>
      </c>
      <c r="Q120" s="299">
        <f t="shared" ca="1" si="125"/>
        <v>2.0694444444444446</v>
      </c>
      <c r="R120" s="299">
        <v>3.1536000000000002E-2</v>
      </c>
      <c r="S120" s="699">
        <v>0.5</v>
      </c>
      <c r="T120" s="699">
        <f ca="1">HLOOKUP($T$2,INDIRECT("'"&amp;$B120&amp;"'!"&amp;"$P$6:$AC$19"),IF(H120=$AI$13,6,IF(H120=$AI$14,9,14)),FALSE)</f>
        <v>1</v>
      </c>
      <c r="U120" s="772"/>
      <c r="V120" s="199">
        <f t="shared" ref="V120" ca="1" si="136">IF(IF(RIGHT(H120,2)="PH",(1-L120)+$W$2,IF(RIGHT(H120,2)="HT",(1-L120)+$W$1,IF(RIGHT(H120,2)="SH",(1-L120)+$W$3,"")))&gt;0,IF(RIGHT(H120,2)="PH",(1-L120)+$W$2,IF(RIGHT(H120,2)="HT",(1-L120)+$W$1,IF(RIGHT(H120,2)="SH",(1-L120)+$W$3,""))),0)</f>
        <v>0.26000000000000006</v>
      </c>
      <c r="W120" s="298"/>
      <c r="X120" s="698">
        <f t="shared" ca="1" si="79"/>
        <v>0.5</v>
      </c>
      <c r="Y120" s="299">
        <f t="shared" ca="1" si="127"/>
        <v>25</v>
      </c>
      <c r="Z120" s="299">
        <f t="shared" ca="1" si="128"/>
        <v>0</v>
      </c>
      <c r="AA120" s="299">
        <f t="shared" ca="1" si="129"/>
        <v>0</v>
      </c>
      <c r="AB120" s="299">
        <f t="shared" ca="1" si="130"/>
        <v>0.1</v>
      </c>
      <c r="AD120" s="299">
        <v>2020</v>
      </c>
      <c r="AE120" s="81"/>
      <c r="AF120" s="220"/>
    </row>
    <row r="121" spans="2:32">
      <c r="B121" s="718" t="s">
        <v>1009</v>
      </c>
      <c r="C121" s="226"/>
      <c r="D121" s="212"/>
      <c r="E121" s="212"/>
      <c r="F121" s="224" t="s">
        <v>1149</v>
      </c>
      <c r="H121" s="174"/>
      <c r="I121" s="174" t="str">
        <f t="shared" si="22"/>
        <v>INDFWH</v>
      </c>
      <c r="J121" s="224">
        <f t="shared" si="32"/>
        <v>2030</v>
      </c>
      <c r="K121" s="81"/>
      <c r="L121" s="199">
        <f t="shared" ca="1" si="122"/>
        <v>0.95</v>
      </c>
      <c r="M121" s="199"/>
      <c r="N121" s="81"/>
      <c r="O121" s="723">
        <f t="shared" ca="1" si="123"/>
        <v>0.3469940346244772</v>
      </c>
      <c r="P121" s="723">
        <f t="shared" ca="1" si="124"/>
        <v>1.2664999999999999E-2</v>
      </c>
      <c r="Q121" s="81">
        <f t="shared" ca="1" si="125"/>
        <v>1.8625</v>
      </c>
      <c r="R121" s="300"/>
      <c r="S121" s="300"/>
      <c r="T121" s="300"/>
      <c r="U121" s="300"/>
      <c r="V121" s="199">
        <f t="shared" ref="V121" ca="1" si="137">IF(IF(RIGHT(H120,2)="PH",(1-L121)+$W$2,IF(RIGHT(H120,2)="HT",(1-L121)+$W$1,IF(RIGHT(H120,2)="SH",(1-L121)+$W$3,"")))&gt;0,IF(RIGHT(H120,2)="PH",(1-L121)+$W$2,IF(RIGHT(H120,2)="HT",(1-L121)+$W$1,IF(RIGHT(H120,2)="SH",(1-L121)+$W$3,""))),0)</f>
        <v>0.25000000000000006</v>
      </c>
      <c r="W121" s="298"/>
      <c r="X121" s="698">
        <f t="shared" ca="1" si="79"/>
        <v>0.5</v>
      </c>
      <c r="Y121" s="81">
        <f t="shared" ca="1" si="127"/>
        <v>20</v>
      </c>
      <c r="Z121" s="81">
        <f t="shared" ca="1" si="128"/>
        <v>0</v>
      </c>
      <c r="AA121" s="81">
        <f t="shared" ca="1" si="129"/>
        <v>0</v>
      </c>
      <c r="AB121" s="81">
        <f t="shared" ca="1" si="130"/>
        <v>0.1</v>
      </c>
      <c r="AD121" s="81">
        <v>2030</v>
      </c>
      <c r="AE121" s="81"/>
      <c r="AF121" s="220"/>
    </row>
    <row r="122" spans="2:32">
      <c r="B122" s="718" t="s">
        <v>1009</v>
      </c>
      <c r="C122" s="226"/>
      <c r="D122" s="212"/>
      <c r="E122" s="212"/>
      <c r="F122" s="224" t="s">
        <v>1149</v>
      </c>
      <c r="H122" s="174"/>
      <c r="I122" s="174" t="str">
        <f t="shared" si="22"/>
        <v>INDFWH</v>
      </c>
      <c r="J122" s="224">
        <f t="shared" si="32"/>
        <v>2050</v>
      </c>
      <c r="K122" s="81"/>
      <c r="L122" s="199">
        <f t="shared" ca="1" si="122"/>
        <v>0.96</v>
      </c>
      <c r="M122" s="199"/>
      <c r="N122" s="81"/>
      <c r="O122" s="723">
        <f t="shared" ca="1" si="123"/>
        <v>0.32813985758696651</v>
      </c>
      <c r="P122" s="723">
        <f t="shared" ca="1" si="124"/>
        <v>1.1175000000000001E-2</v>
      </c>
      <c r="Q122" s="81">
        <f t="shared" ca="1" si="125"/>
        <v>1.8625</v>
      </c>
      <c r="R122" s="300"/>
      <c r="S122" s="300"/>
      <c r="T122" s="300"/>
      <c r="U122" s="300"/>
      <c r="V122" s="199">
        <f t="shared" ref="V122" ca="1" si="138">IF(IF(RIGHT(H120,2)="PH",(1-L122)+$W$2,IF(RIGHT(H120,2)="HT",(1-L122)+$W$1,IF(RIGHT(H120,2)="SH",(1-L122)+$W$3,"")))&gt;0,IF(RIGHT(H120,2)="PH",(1-L122)+$W$2,IF(RIGHT(H120,2)="HT",(1-L122)+$W$1,IF(RIGHT(H120,2)="SH",(1-L122)+$W$3,""))),0)</f>
        <v>0.24000000000000005</v>
      </c>
      <c r="W122" s="298"/>
      <c r="X122" s="698">
        <f t="shared" ca="1" si="79"/>
        <v>0.5</v>
      </c>
      <c r="Y122" s="81">
        <f t="shared" ca="1" si="127"/>
        <v>15</v>
      </c>
      <c r="Z122" s="81">
        <f t="shared" ca="1" si="128"/>
        <v>0</v>
      </c>
      <c r="AA122" s="81">
        <f t="shared" ca="1" si="129"/>
        <v>0</v>
      </c>
      <c r="AB122" s="81">
        <f t="shared" ca="1" si="130"/>
        <v>0.1</v>
      </c>
      <c r="AD122" s="81">
        <v>2050</v>
      </c>
      <c r="AE122" s="81"/>
      <c r="AF122" s="220"/>
    </row>
    <row r="123" spans="2:32">
      <c r="B123" s="718" t="s">
        <v>1009</v>
      </c>
      <c r="C123" s="226"/>
      <c r="D123" s="212" t="str">
        <f>"IND"&amp;RIGHT(H123,4)&amp;"DSL"&amp;"N"&amp;RIGHT(E123,1)</f>
        <v>INDFDPHDSLN1</v>
      </c>
      <c r="E123" s="261" t="str">
        <f>"Industrial heating technology "&amp;$AJ$12&amp;" "&amp;RIGHT(H123,2)&amp;" - Oil boiler (Steam) - new 1"</f>
        <v>Industrial heating technology Food PH - Oil boiler (Steam) - new 1</v>
      </c>
      <c r="F123" s="224" t="s">
        <v>1149</v>
      </c>
      <c r="G123" s="173" t="s">
        <v>2081</v>
      </c>
      <c r="H123" s="174" t="str">
        <f>$AI$14</f>
        <v>IFDPH</v>
      </c>
      <c r="I123" s="174" t="str">
        <f t="shared" si="22"/>
        <v>INDFWH</v>
      </c>
      <c r="J123" s="224">
        <f t="shared" si="32"/>
        <v>2011</v>
      </c>
      <c r="K123" s="299">
        <v>2025</v>
      </c>
      <c r="L123" s="199">
        <f t="shared" ca="1" si="122"/>
        <v>0.94</v>
      </c>
      <c r="M123" s="199"/>
      <c r="N123" s="81">
        <f ca="1">VLOOKUP($AD123,INDIRECT("'"&amp;$B123&amp;"'!"&amp;"$P$39:$AD$42"),5,FALSE)</f>
        <v>25</v>
      </c>
      <c r="O123" s="723">
        <f t="shared" ca="1" si="123"/>
        <v>0.40975</v>
      </c>
      <c r="P123" s="723">
        <f t="shared" ca="1" si="124"/>
        <v>1.341E-2</v>
      </c>
      <c r="Q123" s="81">
        <f t="shared" ca="1" si="125"/>
        <v>2.0694444444444446</v>
      </c>
      <c r="R123" s="81">
        <v>3.1536000000000002E-2</v>
      </c>
      <c r="S123" s="199">
        <v>0.5</v>
      </c>
      <c r="T123" s="199">
        <f ca="1">HLOOKUP($T$2,INDIRECT("'"&amp;$B123&amp;"'!"&amp;"$P$6:$AC$19"),IF(H123=$AI$13,6,IF(H123=$AI$14,9,14)),FALSE)</f>
        <v>1</v>
      </c>
      <c r="U123" s="772"/>
      <c r="V123" s="199">
        <f t="shared" ref="V123" ca="1" si="139">IF(IF(RIGHT(H123,2)="PH",(1-L123)+$W$2,IF(RIGHT(H123,2)="HT",(1-L123)+$W$1,IF(RIGHT(H123,2)="SH",(1-L123)+$W$3,"")))&gt;0,IF(RIGHT(H123,2)="PH",(1-L123)+$W$2,IF(RIGHT(H123,2)="HT",(1-L123)+$W$1,IF(RIGHT(H123,2)="SH",(1-L123)+$W$3,""))),0)</f>
        <v>0.26000000000000006</v>
      </c>
      <c r="W123" s="298"/>
      <c r="X123" s="698">
        <f t="shared" ca="1" si="79"/>
        <v>0.5</v>
      </c>
      <c r="Y123" s="81">
        <f t="shared" ca="1" si="127"/>
        <v>25</v>
      </c>
      <c r="Z123" s="81">
        <f t="shared" ca="1" si="128"/>
        <v>0</v>
      </c>
      <c r="AA123" s="81">
        <f t="shared" ca="1" si="129"/>
        <v>0</v>
      </c>
      <c r="AB123" s="81">
        <f t="shared" ca="1" si="130"/>
        <v>0.1</v>
      </c>
      <c r="AD123" s="81">
        <v>2020</v>
      </c>
      <c r="AE123" s="81"/>
      <c r="AF123" s="220"/>
    </row>
    <row r="124" spans="2:32">
      <c r="B124" s="718" t="s">
        <v>1009</v>
      </c>
      <c r="C124" s="226"/>
      <c r="D124" s="212"/>
      <c r="E124" s="212"/>
      <c r="F124" s="224" t="s">
        <v>1149</v>
      </c>
      <c r="H124" s="174"/>
      <c r="I124" s="174" t="str">
        <f t="shared" si="22"/>
        <v>INDFWH</v>
      </c>
      <c r="J124" s="224">
        <f t="shared" si="32"/>
        <v>2030</v>
      </c>
      <c r="K124" s="81"/>
      <c r="L124" s="199">
        <f t="shared" ca="1" si="122"/>
        <v>0.95</v>
      </c>
      <c r="M124" s="199"/>
      <c r="N124" s="81"/>
      <c r="O124" s="723">
        <f t="shared" ca="1" si="123"/>
        <v>0.3469940346244772</v>
      </c>
      <c r="P124" s="723">
        <f t="shared" ca="1" si="124"/>
        <v>1.2664999999999999E-2</v>
      </c>
      <c r="Q124" s="81">
        <f t="shared" ca="1" si="125"/>
        <v>1.8625</v>
      </c>
      <c r="R124" s="300"/>
      <c r="S124" s="300"/>
      <c r="T124" s="300"/>
      <c r="U124" s="300"/>
      <c r="V124" s="199">
        <f t="shared" ref="V124" ca="1" si="140">IF(IF(RIGHT(H123,2)="PH",(1-L124)+$W$2,IF(RIGHT(H123,2)="HT",(1-L124)+$W$1,IF(RIGHT(H123,2)="SH",(1-L124)+$W$3,"")))&gt;0,IF(RIGHT(H123,2)="PH",(1-L124)+$W$2,IF(RIGHT(H123,2)="HT",(1-L124)+$W$1,IF(RIGHT(H123,2)="SH",(1-L124)+$W$3,""))),0)</f>
        <v>0.25000000000000006</v>
      </c>
      <c r="W124" s="298"/>
      <c r="X124" s="698">
        <f t="shared" ca="1" si="79"/>
        <v>0.5</v>
      </c>
      <c r="Y124" s="81">
        <f t="shared" ca="1" si="127"/>
        <v>20</v>
      </c>
      <c r="Z124" s="81">
        <f t="shared" ca="1" si="128"/>
        <v>0</v>
      </c>
      <c r="AA124" s="81">
        <f t="shared" ca="1" si="129"/>
        <v>0</v>
      </c>
      <c r="AB124" s="81">
        <f t="shared" ca="1" si="130"/>
        <v>0.1</v>
      </c>
      <c r="AD124" s="81">
        <v>2030</v>
      </c>
      <c r="AE124" s="81"/>
      <c r="AF124" s="220"/>
    </row>
    <row r="125" spans="2:32">
      <c r="B125" s="718" t="s">
        <v>1009</v>
      </c>
      <c r="C125" s="226"/>
      <c r="D125" s="212"/>
      <c r="E125" s="212"/>
      <c r="F125" s="224" t="s">
        <v>1149</v>
      </c>
      <c r="H125" s="174"/>
      <c r="I125" s="174" t="str">
        <f t="shared" si="22"/>
        <v>INDFWH</v>
      </c>
      <c r="J125" s="224">
        <f t="shared" si="32"/>
        <v>2050</v>
      </c>
      <c r="K125" s="81"/>
      <c r="L125" s="199">
        <f t="shared" ca="1" si="122"/>
        <v>0.96</v>
      </c>
      <c r="M125" s="199"/>
      <c r="N125" s="81"/>
      <c r="O125" s="723">
        <f t="shared" ca="1" si="123"/>
        <v>0.32813985758696651</v>
      </c>
      <c r="P125" s="723">
        <f t="shared" ca="1" si="124"/>
        <v>1.1175000000000001E-2</v>
      </c>
      <c r="Q125" s="81">
        <f t="shared" ca="1" si="125"/>
        <v>1.8625</v>
      </c>
      <c r="R125" s="300"/>
      <c r="S125" s="300"/>
      <c r="T125" s="300"/>
      <c r="U125" s="300"/>
      <c r="V125" s="199">
        <f t="shared" ref="V125" ca="1" si="141">IF(IF(RIGHT(H123,2)="PH",(1-L125)+$W$2,IF(RIGHT(H123,2)="HT",(1-L125)+$W$1,IF(RIGHT(H123,2)="SH",(1-L125)+$W$3,"")))&gt;0,IF(RIGHT(H123,2)="PH",(1-L125)+$W$2,IF(RIGHT(H123,2)="HT",(1-L125)+$W$1,IF(RIGHT(H123,2)="SH",(1-L125)+$W$3,""))),0)</f>
        <v>0.24000000000000005</v>
      </c>
      <c r="W125" s="298"/>
      <c r="X125" s="698">
        <f t="shared" ca="1" si="79"/>
        <v>0.5</v>
      </c>
      <c r="Y125" s="81">
        <f t="shared" ca="1" si="127"/>
        <v>15</v>
      </c>
      <c r="Z125" s="81">
        <f t="shared" ca="1" si="128"/>
        <v>0</v>
      </c>
      <c r="AA125" s="81">
        <f t="shared" ca="1" si="129"/>
        <v>0</v>
      </c>
      <c r="AB125" s="81">
        <f t="shared" ca="1" si="130"/>
        <v>0.1</v>
      </c>
      <c r="AC125" s="203"/>
      <c r="AD125" s="81">
        <v>2050</v>
      </c>
      <c r="AE125" s="81"/>
      <c r="AF125" s="705"/>
    </row>
    <row r="126" spans="2:32">
      <c r="B126" s="718" t="s">
        <v>1009</v>
      </c>
      <c r="C126" s="226"/>
      <c r="D126" s="212" t="str">
        <f>"IND"&amp;RIGHT(H126,4)&amp;"DSL"&amp;"N"&amp;RIGHT(E126,1)</f>
        <v>INDFDSHDSLN1</v>
      </c>
      <c r="E126" s="261" t="str">
        <f>"Industrial heating technology "&amp;$AJ$12&amp;" "&amp;RIGHT(H126,2)&amp;" - Oil boiler (Steam) - new 1"</f>
        <v>Industrial heating technology Food SH - Oil boiler (Steam) - new 1</v>
      </c>
      <c r="F126" s="224" t="s">
        <v>1149</v>
      </c>
      <c r="G126" s="173" t="s">
        <v>2081</v>
      </c>
      <c r="H126" s="174" t="str">
        <f>$AI$15</f>
        <v>IFDSH</v>
      </c>
      <c r="I126" s="174" t="str">
        <f t="shared" si="22"/>
        <v>INDFWH</v>
      </c>
      <c r="J126" s="224">
        <f t="shared" si="32"/>
        <v>2011</v>
      </c>
      <c r="K126" s="299">
        <v>2025</v>
      </c>
      <c r="L126" s="199">
        <f t="shared" ca="1" si="122"/>
        <v>0.94</v>
      </c>
      <c r="M126" s="199"/>
      <c r="N126" s="81">
        <f ca="1">VLOOKUP($AD126,INDIRECT("'"&amp;$B126&amp;"'!"&amp;"$P$39:$AD$42"),5,FALSE)</f>
        <v>25</v>
      </c>
      <c r="O126" s="723">
        <f t="shared" ca="1" si="123"/>
        <v>0.40975</v>
      </c>
      <c r="P126" s="723">
        <f t="shared" ca="1" si="124"/>
        <v>1.341E-2</v>
      </c>
      <c r="Q126" s="81">
        <f t="shared" ca="1" si="125"/>
        <v>2.0694444444444446</v>
      </c>
      <c r="R126" s="81">
        <v>3.1536000000000002E-2</v>
      </c>
      <c r="S126" s="199">
        <v>0.5</v>
      </c>
      <c r="T126" s="199">
        <f ca="1">HLOOKUP($T$2,INDIRECT("'"&amp;$B126&amp;"'!"&amp;"$P$6:$AC$19"),IF(H126=$AI$13,6,IF(H126=$AI$14,9,14)),FALSE)</f>
        <v>1</v>
      </c>
      <c r="U126" s="772"/>
      <c r="V126" s="199">
        <f t="shared" ref="V126" ca="1" si="142">IF(IF(RIGHT(H126,2)="PH",(1-L126)+$W$2,IF(RIGHT(H126,2)="HT",(1-L126)+$W$1,IF(RIGHT(H126,2)="SH",(1-L126)+$W$3,"")))&gt;0,IF(RIGHT(H126,2)="PH",(1-L126)+$W$2,IF(RIGHT(H126,2)="HT",(1-L126)+$W$1,IF(RIGHT(H126,2)="SH",(1-L126)+$W$3,""))),0)</f>
        <v>6.0000000000000053E-2</v>
      </c>
      <c r="W126" s="298"/>
      <c r="X126" s="698">
        <f t="shared" ca="1" si="79"/>
        <v>0.5</v>
      </c>
      <c r="Y126" s="81">
        <f t="shared" ca="1" si="127"/>
        <v>25</v>
      </c>
      <c r="Z126" s="81">
        <f t="shared" ca="1" si="128"/>
        <v>0</v>
      </c>
      <c r="AA126" s="81">
        <f t="shared" ca="1" si="129"/>
        <v>0</v>
      </c>
      <c r="AB126" s="81">
        <f t="shared" ca="1" si="130"/>
        <v>0.1</v>
      </c>
      <c r="AC126" s="296"/>
      <c r="AD126" s="81">
        <v>2020</v>
      </c>
      <c r="AE126" s="81"/>
      <c r="AF126" s="710"/>
    </row>
    <row r="127" spans="2:32">
      <c r="B127" s="718" t="s">
        <v>1009</v>
      </c>
      <c r="C127" s="226"/>
      <c r="D127" s="212"/>
      <c r="E127" s="212"/>
      <c r="F127" s="224" t="s">
        <v>1149</v>
      </c>
      <c r="H127" s="174"/>
      <c r="I127" s="174" t="str">
        <f t="shared" ref="I127:I182" si="143">$AI$20</f>
        <v>INDFWH</v>
      </c>
      <c r="J127" s="224">
        <f t="shared" si="32"/>
        <v>2030</v>
      </c>
      <c r="K127" s="81"/>
      <c r="L127" s="199">
        <f t="shared" ca="1" si="122"/>
        <v>0.95</v>
      </c>
      <c r="M127" s="199"/>
      <c r="N127" s="81"/>
      <c r="O127" s="723">
        <f t="shared" ca="1" si="123"/>
        <v>0.3469940346244772</v>
      </c>
      <c r="P127" s="723">
        <f t="shared" ca="1" si="124"/>
        <v>1.2664999999999999E-2</v>
      </c>
      <c r="Q127" s="81">
        <f t="shared" ca="1" si="125"/>
        <v>1.8625</v>
      </c>
      <c r="R127" s="300"/>
      <c r="S127" s="300"/>
      <c r="T127" s="300"/>
      <c r="U127" s="300"/>
      <c r="V127" s="199">
        <f t="shared" ref="V127" ca="1" si="144">IF(IF(RIGHT(H126,2)="PH",(1-L127)+$W$2,IF(RIGHT(H126,2)="HT",(1-L127)+$W$1,IF(RIGHT(H126,2)="SH",(1-L127)+$W$3,"")))&gt;0,IF(RIGHT(H126,2)="PH",(1-L127)+$W$2,IF(RIGHT(H126,2)="HT",(1-L127)+$W$1,IF(RIGHT(H126,2)="SH",(1-L127)+$W$3,""))),0)</f>
        <v>5.0000000000000044E-2</v>
      </c>
      <c r="W127" s="298"/>
      <c r="X127" s="698">
        <f t="shared" ref="X127:X158" ca="1" si="145">IF(VLOOKUP($AD127,INDIRECT("'"&amp;$B127&amp;"'!"&amp;"$P$39:$AD$42"),11,FALSE)="Cf. the utilized electricity",0,VLOOKUP($AD127,INDIRECT("'"&amp;$B127&amp;"'!"&amp;"$P$39:$AD$42"),11,FALSE))</f>
        <v>0.5</v>
      </c>
      <c r="Y127" s="81">
        <f t="shared" ca="1" si="127"/>
        <v>20</v>
      </c>
      <c r="Z127" s="81">
        <f t="shared" ca="1" si="128"/>
        <v>0</v>
      </c>
      <c r="AA127" s="81">
        <f t="shared" ca="1" si="129"/>
        <v>0</v>
      </c>
      <c r="AB127" s="81">
        <f t="shared" ca="1" si="130"/>
        <v>0.1</v>
      </c>
      <c r="AC127" s="55"/>
      <c r="AD127" s="81">
        <v>2030</v>
      </c>
      <c r="AE127" s="81"/>
      <c r="AF127" s="700"/>
    </row>
    <row r="128" spans="2:32">
      <c r="B128" s="719" t="s">
        <v>1009</v>
      </c>
      <c r="C128" s="713"/>
      <c r="D128" s="701"/>
      <c r="E128" s="701"/>
      <c r="F128" s="224" t="s">
        <v>1149</v>
      </c>
      <c r="G128" s="203"/>
      <c r="H128" s="702"/>
      <c r="I128" s="702" t="str">
        <f t="shared" si="143"/>
        <v>INDFWH</v>
      </c>
      <c r="J128" s="224">
        <f t="shared" ref="J128:J186" si="146">IF(AD128=2020,2011,AD128)</f>
        <v>2050</v>
      </c>
      <c r="K128" s="81"/>
      <c r="L128" s="199">
        <f t="shared" ca="1" si="122"/>
        <v>0.96</v>
      </c>
      <c r="M128" s="199"/>
      <c r="N128" s="81"/>
      <c r="O128" s="723">
        <f t="shared" ca="1" si="123"/>
        <v>0.32813985758696651</v>
      </c>
      <c r="P128" s="723">
        <f t="shared" ca="1" si="124"/>
        <v>1.1175000000000001E-2</v>
      </c>
      <c r="Q128" s="81">
        <f t="shared" ca="1" si="125"/>
        <v>1.8625</v>
      </c>
      <c r="R128" s="703"/>
      <c r="S128" s="703"/>
      <c r="T128" s="703"/>
      <c r="U128" s="703"/>
      <c r="V128" s="199">
        <f t="shared" ref="V128" ca="1" si="147">IF(IF(RIGHT(H126,2)="PH",(1-L128)+$W$2,IF(RIGHT(H126,2)="HT",(1-L128)+$W$1,IF(RIGHT(H126,2)="SH",(1-L128)+$W$3,"")))&gt;0,IF(RIGHT(H126,2)="PH",(1-L128)+$W$2,IF(RIGHT(H126,2)="HT",(1-L128)+$W$1,IF(RIGHT(H126,2)="SH",(1-L128)+$W$3,""))),0)</f>
        <v>4.0000000000000036E-2</v>
      </c>
      <c r="W128" s="704"/>
      <c r="X128" s="698">
        <f t="shared" ca="1" si="145"/>
        <v>0.5</v>
      </c>
      <c r="Y128" s="81">
        <f t="shared" ca="1" si="127"/>
        <v>15</v>
      </c>
      <c r="Z128" s="81">
        <f t="shared" ca="1" si="128"/>
        <v>0</v>
      </c>
      <c r="AA128" s="81">
        <f t="shared" ca="1" si="129"/>
        <v>0</v>
      </c>
      <c r="AB128" s="81">
        <f t="shared" ca="1" si="130"/>
        <v>0.1</v>
      </c>
      <c r="AC128" s="55"/>
      <c r="AD128" s="81">
        <v>2050</v>
      </c>
      <c r="AE128" s="81"/>
      <c r="AF128" s="700"/>
    </row>
    <row r="129" spans="2:32">
      <c r="B129" s="718" t="s">
        <v>1009</v>
      </c>
      <c r="C129" s="226"/>
      <c r="D129" s="212" t="str">
        <f>"IND"&amp;RIGHT(H129,4)&amp;"DSL"&amp;"N"&amp;RIGHT(E129,1)</f>
        <v>INDFDPHDSLN2</v>
      </c>
      <c r="E129" s="707" t="str">
        <f>"Industrial heating technology "&amp;$AJ$12&amp;" "&amp;RIGHT(H129,2)&amp;" - Oil boiler (Steam - condensing) - new 2"</f>
        <v>Industrial heating technology Food PH - Oil boiler (Steam - condensing) - new 2</v>
      </c>
      <c r="F129" s="224" t="s">
        <v>1149</v>
      </c>
      <c r="G129" s="173" t="s">
        <v>2081</v>
      </c>
      <c r="H129" s="708" t="str">
        <f>$AI$14</f>
        <v>IFDPH</v>
      </c>
      <c r="I129" s="708" t="str">
        <f t="shared" si="143"/>
        <v>INDFWH</v>
      </c>
      <c r="J129" s="224">
        <f t="shared" si="146"/>
        <v>2011</v>
      </c>
      <c r="K129" s="299">
        <v>2025</v>
      </c>
      <c r="L129" s="199">
        <f t="shared" ref="L129:L134" ca="1" si="148">VLOOKUP($AD129,INDIRECT("'"&amp;$B129&amp;"'!"&amp;"$P$118:$AD$121"),3,FALSE)</f>
        <v>0.95</v>
      </c>
      <c r="M129" s="199"/>
      <c r="N129" s="81">
        <f ca="1">VLOOKUP($AD129,INDIRECT("'"&amp;$B129&amp;"'!"&amp;"$P$118:$AD$121"),5,FALSE)</f>
        <v>25</v>
      </c>
      <c r="O129" s="723">
        <f t="shared" ref="O129:O134" ca="1" si="149">VLOOKUP($AD129,INDIRECT("'"&amp;$B129&amp;"'!"&amp;"$P$118:$AD$121"),6,FALSE)/1000</f>
        <v>0.32780000000000004</v>
      </c>
      <c r="P129" s="723">
        <f t="shared" ref="P129:P134" ca="1" si="150">VLOOKUP($AD129,INDIRECT("'"&amp;$B129&amp;"'!"&amp;"$P$118:$AD$121"),7,FALSE)/1000</f>
        <v>1.341E-2</v>
      </c>
      <c r="Q129" s="81">
        <f t="shared" ref="Q129:Q134" ca="1" si="151">VLOOKUP($AD129,INDIRECT("'"&amp;$B129&amp;"'!"&amp;"$P$118:$AD$121"),8,FALSE)</f>
        <v>2.0694444444444446</v>
      </c>
      <c r="R129" s="81">
        <v>3.1536000000000002E-2</v>
      </c>
      <c r="S129" s="199">
        <v>0.5</v>
      </c>
      <c r="T129" s="199">
        <f ca="1">HLOOKUP($T$2,INDIRECT("'"&amp;$B129&amp;"'!"&amp;"$P$85:$AC$98"),IF(H129=$AI$13,6,IF(H129=$AI$14,9,14)),FALSE)</f>
        <v>0</v>
      </c>
      <c r="U129" s="773"/>
      <c r="V129" s="199">
        <f t="shared" ref="V129" ca="1" si="152">IF(IF(RIGHT(H129,2)="PH",(1-L129)+$W$2,IF(RIGHT(H129,2)="HT",(1-L129)+$W$1,IF(RIGHT(H129,2)="SH",(1-L129)+$W$3,"")))&gt;0,IF(RIGHT(H129,2)="PH",(1-L129)+$W$2,IF(RIGHT(H129,2)="HT",(1-L129)+$W$1,IF(RIGHT(H129,2)="SH",(1-L129)+$W$3,""))),0)</f>
        <v>0.25000000000000006</v>
      </c>
      <c r="W129" s="709"/>
      <c r="X129" s="698">
        <f t="shared" ca="1" si="145"/>
        <v>0.5</v>
      </c>
      <c r="Y129" s="698">
        <f t="shared" ref="Y129:Y134" ca="1" si="153">VLOOKUP($AD129,INDIRECT("'"&amp;$B129&amp;"'!"&amp;"$P$118:$AD$121"),12,FALSE)</f>
        <v>25</v>
      </c>
      <c r="Z129" s="698">
        <f t="shared" ref="Z129:Z134" ca="1" si="154">VLOOKUP($AD129,INDIRECT("'"&amp;$B129&amp;"'!"&amp;"$P$118:$AD$121"),13,FALSE)</f>
        <v>0</v>
      </c>
      <c r="AA129" s="698">
        <f t="shared" ref="AA129:AA134" ca="1" si="155">VLOOKUP($AD129,INDIRECT("'"&amp;$B129&amp;"'!"&amp;"$P$118:$AD$121"),14,FALSE)</f>
        <v>0</v>
      </c>
      <c r="AB129" s="698">
        <f t="shared" ref="AB129:AB134" ca="1" si="156">VLOOKUP($AD129,INDIRECT("'"&amp;$B129&amp;"'!"&amp;"$P$118:$AD$121"),15,FALSE)</f>
        <v>0.1</v>
      </c>
      <c r="AC129" s="55"/>
      <c r="AD129" s="81">
        <v>2020</v>
      </c>
      <c r="AE129" s="81"/>
      <c r="AF129" s="700"/>
    </row>
    <row r="130" spans="2:32">
      <c r="B130" s="718" t="s">
        <v>1009</v>
      </c>
      <c r="C130" s="226"/>
      <c r="D130" s="212"/>
      <c r="E130" s="261"/>
      <c r="F130" s="224" t="s">
        <v>1149</v>
      </c>
      <c r="G130" s="55"/>
      <c r="H130" s="174"/>
      <c r="I130" s="174" t="str">
        <f t="shared" si="143"/>
        <v>INDFWH</v>
      </c>
      <c r="J130" s="224">
        <f t="shared" si="146"/>
        <v>2030</v>
      </c>
      <c r="K130" s="81"/>
      <c r="L130" s="199">
        <f t="shared" ca="1" si="148"/>
        <v>0.96</v>
      </c>
      <c r="M130" s="199"/>
      <c r="N130" s="81"/>
      <c r="O130" s="723">
        <f t="shared" ca="1" si="149"/>
        <v>0.27759522769958173</v>
      </c>
      <c r="P130" s="723">
        <f t="shared" ca="1" si="150"/>
        <v>1.2664999999999999E-2</v>
      </c>
      <c r="Q130" s="81">
        <f t="shared" ca="1" si="151"/>
        <v>1.8625</v>
      </c>
      <c r="R130" s="300"/>
      <c r="S130" s="300"/>
      <c r="T130" s="300"/>
      <c r="U130" s="300"/>
      <c r="V130" s="199">
        <f t="shared" ref="V130" ca="1" si="157">IF(IF(RIGHT(H129,2)="PH",(1-L130)+$W$2,IF(RIGHT(H129,2)="HT",(1-L130)+$W$1,IF(RIGHT(H129,2)="SH",(1-L130)+$W$3,"")))&gt;0,IF(RIGHT(H129,2)="PH",(1-L130)+$W$2,IF(RIGHT(H129,2)="HT",(1-L130)+$W$1,IF(RIGHT(H129,2)="SH",(1-L130)+$W$3,""))),0)</f>
        <v>0.24000000000000005</v>
      </c>
      <c r="W130" s="298"/>
      <c r="X130" s="698">
        <f t="shared" ca="1" si="145"/>
        <v>0.5</v>
      </c>
      <c r="Y130" s="698">
        <f t="shared" ca="1" si="153"/>
        <v>20</v>
      </c>
      <c r="Z130" s="698">
        <f t="shared" ca="1" si="154"/>
        <v>0</v>
      </c>
      <c r="AA130" s="698">
        <f t="shared" ca="1" si="155"/>
        <v>0</v>
      </c>
      <c r="AB130" s="698">
        <f t="shared" ca="1" si="156"/>
        <v>0.1</v>
      </c>
      <c r="AC130" s="55"/>
      <c r="AD130" s="81">
        <v>2030</v>
      </c>
      <c r="AE130" s="81"/>
      <c r="AF130" s="700"/>
    </row>
    <row r="131" spans="2:32">
      <c r="B131" s="718" t="s">
        <v>1009</v>
      </c>
      <c r="C131" s="226"/>
      <c r="E131" s="261"/>
      <c r="F131" s="224" t="s">
        <v>1149</v>
      </c>
      <c r="G131" s="55"/>
      <c r="H131" s="174"/>
      <c r="I131" s="174" t="str">
        <f t="shared" si="143"/>
        <v>INDFWH</v>
      </c>
      <c r="J131" s="224">
        <f t="shared" si="146"/>
        <v>2050</v>
      </c>
      <c r="K131" s="81"/>
      <c r="L131" s="199">
        <f t="shared" ca="1" si="148"/>
        <v>0.97</v>
      </c>
      <c r="M131" s="199"/>
      <c r="N131" s="81"/>
      <c r="O131" s="723">
        <f t="shared" ca="1" si="149"/>
        <v>0.26251188606957326</v>
      </c>
      <c r="P131" s="723">
        <f t="shared" ca="1" si="150"/>
        <v>1.1175000000000001E-2</v>
      </c>
      <c r="Q131" s="81">
        <f t="shared" ca="1" si="151"/>
        <v>1.8625</v>
      </c>
      <c r="R131" s="300"/>
      <c r="S131" s="300"/>
      <c r="T131" s="300"/>
      <c r="U131" s="300"/>
      <c r="V131" s="199">
        <f t="shared" ref="V131" ca="1" si="158">IF(IF(RIGHT(H129,2)="PH",(1-L131)+$W$2,IF(RIGHT(H129,2)="HT",(1-L131)+$W$1,IF(RIGHT(H129,2)="SH",(1-L131)+$W$3,"")))&gt;0,IF(RIGHT(H129,2)="PH",(1-L131)+$W$2,IF(RIGHT(H129,2)="HT",(1-L131)+$W$1,IF(RIGHT(H129,2)="SH",(1-L131)+$W$3,""))),0)</f>
        <v>0.23000000000000004</v>
      </c>
      <c r="W131" s="298"/>
      <c r="X131" s="698">
        <f t="shared" ca="1" si="145"/>
        <v>0.5</v>
      </c>
      <c r="Y131" s="698">
        <f t="shared" ca="1" si="153"/>
        <v>15</v>
      </c>
      <c r="Z131" s="698">
        <f t="shared" ca="1" si="154"/>
        <v>0</v>
      </c>
      <c r="AA131" s="698">
        <f t="shared" ca="1" si="155"/>
        <v>0</v>
      </c>
      <c r="AB131" s="698">
        <f t="shared" ca="1" si="156"/>
        <v>0.1</v>
      </c>
      <c r="AC131" s="203"/>
      <c r="AD131" s="81">
        <v>2050</v>
      </c>
      <c r="AE131" s="81"/>
      <c r="AF131" s="705"/>
    </row>
    <row r="132" spans="2:32">
      <c r="B132" s="718" t="s">
        <v>1009</v>
      </c>
      <c r="C132" s="226"/>
      <c r="D132" s="212" t="str">
        <f>"IND"&amp;RIGHT(H132,4)&amp;"DSL"&amp;"N"&amp;RIGHT(E132,1)</f>
        <v>INDFDSHDSLN2</v>
      </c>
      <c r="E132" s="261" t="str">
        <f>"Industrial heating technology "&amp;$AJ$12&amp;" "&amp;RIGHT(H132,2)&amp;" - Oil boiler (Steam - condensing) - new 2"</f>
        <v>Industrial heating technology Food SH - Oil boiler (Steam - condensing) - new 2</v>
      </c>
      <c r="F132" s="224" t="s">
        <v>1149</v>
      </c>
      <c r="G132" s="173" t="s">
        <v>2081</v>
      </c>
      <c r="H132" s="174" t="str">
        <f>$AI$15</f>
        <v>IFDSH</v>
      </c>
      <c r="I132" s="174" t="str">
        <f t="shared" si="143"/>
        <v>INDFWH</v>
      </c>
      <c r="J132" s="224">
        <f t="shared" si="146"/>
        <v>2011</v>
      </c>
      <c r="K132" s="299">
        <v>2025</v>
      </c>
      <c r="L132" s="199">
        <f t="shared" ca="1" si="148"/>
        <v>0.95</v>
      </c>
      <c r="M132" s="199"/>
      <c r="N132" s="81">
        <f ca="1">VLOOKUP($AD132,INDIRECT("'"&amp;$B132&amp;"'!"&amp;"$P$118:$AD$121"),5,FALSE)</f>
        <v>25</v>
      </c>
      <c r="O132" s="723">
        <f t="shared" ca="1" si="149"/>
        <v>0.32780000000000004</v>
      </c>
      <c r="P132" s="723">
        <f t="shared" ca="1" si="150"/>
        <v>1.341E-2</v>
      </c>
      <c r="Q132" s="81">
        <f t="shared" ca="1" si="151"/>
        <v>2.0694444444444446</v>
      </c>
      <c r="R132" s="81">
        <v>3.1536000000000002E-2</v>
      </c>
      <c r="S132" s="199">
        <v>0.5</v>
      </c>
      <c r="T132" s="199">
        <f ca="1">HLOOKUP($T$2,INDIRECT("'"&amp;$B132&amp;"'!"&amp;"$P$85:$AC$98"),IF(H132=$AI$13,6,IF(H132=$AI$14,9,14)),FALSE)</f>
        <v>1</v>
      </c>
      <c r="U132" s="772"/>
      <c r="V132" s="199">
        <f t="shared" ref="V132" ca="1" si="159">IF(IF(RIGHT(H132,2)="PH",(1-L132)+$W$2,IF(RIGHT(H132,2)="HT",(1-L132)+$W$1,IF(RIGHT(H132,2)="SH",(1-L132)+$W$3,"")))&gt;0,IF(RIGHT(H132,2)="PH",(1-L132)+$W$2,IF(RIGHT(H132,2)="HT",(1-L132)+$W$1,IF(RIGHT(H132,2)="SH",(1-L132)+$W$3,""))),0)</f>
        <v>5.0000000000000044E-2</v>
      </c>
      <c r="W132" s="298"/>
      <c r="X132" s="698">
        <f t="shared" ca="1" si="145"/>
        <v>0.5</v>
      </c>
      <c r="Y132" s="698">
        <f t="shared" ca="1" si="153"/>
        <v>25</v>
      </c>
      <c r="Z132" s="698">
        <f t="shared" ca="1" si="154"/>
        <v>0</v>
      </c>
      <c r="AA132" s="698">
        <f t="shared" ca="1" si="155"/>
        <v>0</v>
      </c>
      <c r="AB132" s="698">
        <f t="shared" ca="1" si="156"/>
        <v>0.1</v>
      </c>
      <c r="AD132" s="81">
        <v>2020</v>
      </c>
      <c r="AE132" s="299"/>
      <c r="AF132" s="220"/>
    </row>
    <row r="133" spans="2:32">
      <c r="B133" s="718" t="s">
        <v>1009</v>
      </c>
      <c r="C133" s="226"/>
      <c r="E133" s="261"/>
      <c r="F133" s="224" t="s">
        <v>1149</v>
      </c>
      <c r="G133" s="55"/>
      <c r="H133" s="174"/>
      <c r="I133" s="174" t="str">
        <f t="shared" si="143"/>
        <v>INDFWH</v>
      </c>
      <c r="J133" s="224">
        <f t="shared" si="146"/>
        <v>2030</v>
      </c>
      <c r="K133" s="81"/>
      <c r="L133" s="199">
        <f t="shared" ca="1" si="148"/>
        <v>0.96</v>
      </c>
      <c r="M133" s="199"/>
      <c r="N133" s="81"/>
      <c r="O133" s="723">
        <f t="shared" ca="1" si="149"/>
        <v>0.27759522769958173</v>
      </c>
      <c r="P133" s="723">
        <f t="shared" ca="1" si="150"/>
        <v>1.2664999999999999E-2</v>
      </c>
      <c r="Q133" s="81">
        <f t="shared" ca="1" si="151"/>
        <v>1.8625</v>
      </c>
      <c r="R133" s="300"/>
      <c r="S133" s="300"/>
      <c r="T133" s="300"/>
      <c r="U133" s="300"/>
      <c r="V133" s="199">
        <f t="shared" ref="V133" ca="1" si="160">IF(IF(RIGHT(H132,2)="PH",(1-L133)+$W$2,IF(RIGHT(H132,2)="HT",(1-L133)+$W$1,IF(RIGHT(H132,2)="SH",(1-L133)+$W$3,"")))&gt;0,IF(RIGHT(H132,2)="PH",(1-L133)+$W$2,IF(RIGHT(H132,2)="HT",(1-L133)+$W$1,IF(RIGHT(H132,2)="SH",(1-L133)+$W$3,""))),0)</f>
        <v>4.0000000000000036E-2</v>
      </c>
      <c r="W133" s="298"/>
      <c r="X133" s="698">
        <f t="shared" ca="1" si="145"/>
        <v>0.5</v>
      </c>
      <c r="Y133" s="698">
        <f t="shared" ca="1" si="153"/>
        <v>20</v>
      </c>
      <c r="Z133" s="698">
        <f t="shared" ca="1" si="154"/>
        <v>0</v>
      </c>
      <c r="AA133" s="698">
        <f t="shared" ca="1" si="155"/>
        <v>0</v>
      </c>
      <c r="AB133" s="698">
        <f t="shared" ca="1" si="156"/>
        <v>0.1</v>
      </c>
      <c r="AD133" s="81">
        <v>2030</v>
      </c>
      <c r="AE133" s="81"/>
      <c r="AF133" s="220"/>
    </row>
    <row r="134" spans="2:32">
      <c r="B134" s="719" t="s">
        <v>1009</v>
      </c>
      <c r="C134" s="713"/>
      <c r="D134" s="701"/>
      <c r="E134" s="701"/>
      <c r="F134" s="224" t="s">
        <v>1149</v>
      </c>
      <c r="G134" s="203"/>
      <c r="H134" s="702"/>
      <c r="I134" s="702" t="str">
        <f t="shared" si="143"/>
        <v>INDFWH</v>
      </c>
      <c r="J134" s="224">
        <f t="shared" si="146"/>
        <v>2050</v>
      </c>
      <c r="K134" s="81"/>
      <c r="L134" s="199">
        <f t="shared" ca="1" si="148"/>
        <v>0.97</v>
      </c>
      <c r="M134" s="199"/>
      <c r="N134" s="81"/>
      <c r="O134" s="723">
        <f t="shared" ca="1" si="149"/>
        <v>0.26251188606957326</v>
      </c>
      <c r="P134" s="723">
        <f t="shared" ca="1" si="150"/>
        <v>1.1175000000000001E-2</v>
      </c>
      <c r="Q134" s="81">
        <f t="shared" ca="1" si="151"/>
        <v>1.8625</v>
      </c>
      <c r="R134" s="703"/>
      <c r="S134" s="703"/>
      <c r="T134" s="703"/>
      <c r="U134" s="703"/>
      <c r="V134" s="199">
        <f t="shared" ref="V134" ca="1" si="161">IF(IF(RIGHT(H132,2)="PH",(1-L134)+$W$2,IF(RIGHT(H132,2)="HT",(1-L134)+$W$1,IF(RIGHT(H132,2)="SH",(1-L134)+$W$3,"")))&gt;0,IF(RIGHT(H132,2)="PH",(1-L134)+$W$2,IF(RIGHT(H132,2)="HT",(1-L134)+$W$1,IF(RIGHT(H132,2)="SH",(1-L134)+$W$3,""))),0)</f>
        <v>3.0000000000000027E-2</v>
      </c>
      <c r="W134" s="704"/>
      <c r="X134" s="698">
        <f t="shared" ca="1" si="145"/>
        <v>0.5</v>
      </c>
      <c r="Y134" s="698">
        <f t="shared" ca="1" si="153"/>
        <v>15</v>
      </c>
      <c r="Z134" s="698">
        <f t="shared" ca="1" si="154"/>
        <v>0</v>
      </c>
      <c r="AA134" s="698">
        <f t="shared" ca="1" si="155"/>
        <v>0</v>
      </c>
      <c r="AB134" s="698">
        <f t="shared" ca="1" si="156"/>
        <v>0.1</v>
      </c>
      <c r="AD134" s="81">
        <v>2050</v>
      </c>
      <c r="AE134" s="81"/>
      <c r="AF134" s="220"/>
    </row>
    <row r="135" spans="2:32">
      <c r="B135" s="718" t="s">
        <v>1010</v>
      </c>
      <c r="C135" s="226"/>
      <c r="D135" s="212" t="str">
        <f>"IND"&amp;RIGHT(H135,4)&amp;"GAS"&amp;"N"&amp;RIGHT(E135,1)</f>
        <v>INDFDPHGASN1</v>
      </c>
      <c r="E135" s="261" t="str">
        <f>"Industrial heating technology "&amp;$AJ$12&amp;" "&amp;RIGHT(H135,2)&amp;" - Gas boiler (Steam) - new 1"</f>
        <v>Industrial heating technology Food PH - Gas boiler (Steam) - new 1</v>
      </c>
      <c r="F135" s="224" t="s">
        <v>1149</v>
      </c>
      <c r="G135" s="173" t="s">
        <v>2080</v>
      </c>
      <c r="H135" s="174" t="str">
        <f>$AI$13</f>
        <v>IFDPH</v>
      </c>
      <c r="I135" s="174" t="str">
        <f t="shared" si="143"/>
        <v>INDFWH</v>
      </c>
      <c r="J135" s="224">
        <f t="shared" si="146"/>
        <v>2011</v>
      </c>
      <c r="K135" s="299">
        <v>2011</v>
      </c>
      <c r="L135" s="199">
        <f t="shared" ref="L135:L143" ca="1" si="162">VLOOKUP($AD135,INDIRECT("'"&amp;$B135&amp;"'!"&amp;"$P$39:$AD$42"),3,FALSE)</f>
        <v>0.92</v>
      </c>
      <c r="M135" s="699"/>
      <c r="N135" s="299">
        <f ca="1">VLOOKUP($AD135,INDIRECT("'"&amp;$B135&amp;"'!"&amp;"$P$39:$AD$42"),5,FALSE)</f>
        <v>25</v>
      </c>
      <c r="O135" s="725">
        <f t="shared" ref="O135:O143" ca="1" si="163">VLOOKUP($AD135,INDIRECT("'"&amp;$B135&amp;"'!"&amp;"$P$39:$AD$42"),6,FALSE)/1000</f>
        <v>0.40636363636363632</v>
      </c>
      <c r="P135" s="725">
        <f t="shared" ref="P135:P143" ca="1" si="164">VLOOKUP($AD135,INDIRECT("'"&amp;$B135&amp;"'!"&amp;"$P$39:$AD$42"),7,FALSE)/1000</f>
        <v>1.49E-2</v>
      </c>
      <c r="Q135" s="299">
        <f t="shared" ref="Q135:Q143" ca="1" si="165">VLOOKUP($AD135,INDIRECT("'"&amp;$B135&amp;"'!"&amp;"$P$39:$AD$42"),8,FALSE)</f>
        <v>2.276388888888889</v>
      </c>
      <c r="R135" s="299">
        <v>3.1536000000000002E-2</v>
      </c>
      <c r="S135" s="699">
        <v>0.5</v>
      </c>
      <c r="T135" s="699">
        <f ca="1">HLOOKUP($T$2,INDIRECT("'"&amp;$B135&amp;"'!"&amp;"$P$6:$AC$19"),IF(H135=$AI$13,6,IF(H135=$AI$14,9,14)),FALSE)</f>
        <v>1</v>
      </c>
      <c r="U135" s="772"/>
      <c r="V135" s="199">
        <f t="shared" ref="V135" ca="1" si="166">IF(IF(RIGHT(H135,2)="PH",(1-L135)+$W$2,IF(RIGHT(H135,2)="HT",(1-L135)+$W$1,IF(RIGHT(H135,2)="SH",(1-L135)+$W$3,"")))&gt;0,IF(RIGHT(H135,2)="PH",(1-L135)+$W$2,IF(RIGHT(H135,2)="HT",(1-L135)+$W$1,IF(RIGHT(H135,2)="SH",(1-L135)+$W$3,""))),0)</f>
        <v>0.27999999999999997</v>
      </c>
      <c r="W135" s="298"/>
      <c r="X135" s="698">
        <f t="shared" ca="1" si="145"/>
        <v>0.3</v>
      </c>
      <c r="Y135" s="299">
        <f t="shared" ref="Y135:Y143" ca="1" si="167">VLOOKUP($AD135,INDIRECT("'"&amp;$B135&amp;"'!"&amp;"$P$39:$AD$42"),12,FALSE)</f>
        <v>9</v>
      </c>
      <c r="Z135" s="299">
        <f t="shared" ref="Z135:Z143" ca="1" si="168">VLOOKUP($AD135,INDIRECT("'"&amp;$B135&amp;"'!"&amp;"$P$39:$AD$42"),13,FALSE)</f>
        <v>3</v>
      </c>
      <c r="AA135" s="299">
        <f t="shared" ref="AA135:AA143" ca="1" si="169">VLOOKUP($AD135,INDIRECT("'"&amp;$B135&amp;"'!"&amp;"$P$39:$AD$42"),14,FALSE)</f>
        <v>1</v>
      </c>
      <c r="AB135" s="299">
        <f t="shared" ref="AB135:AB143" ca="1" si="170">VLOOKUP($AD135,INDIRECT("'"&amp;$B135&amp;"'!"&amp;"$P$39:$AD$42"),15,FALSE)</f>
        <v>0.1</v>
      </c>
      <c r="AD135" s="299">
        <v>2020</v>
      </c>
      <c r="AE135" s="81"/>
      <c r="AF135" s="220"/>
    </row>
    <row r="136" spans="2:32">
      <c r="B136" s="718" t="s">
        <v>1010</v>
      </c>
      <c r="C136" s="226"/>
      <c r="E136" s="212"/>
      <c r="F136" s="224" t="s">
        <v>1149</v>
      </c>
      <c r="H136" s="174"/>
      <c r="I136" s="174" t="str">
        <f t="shared" si="143"/>
        <v>INDFWH</v>
      </c>
      <c r="J136" s="224">
        <f t="shared" si="146"/>
        <v>2030</v>
      </c>
      <c r="K136" s="81"/>
      <c r="L136" s="199">
        <f t="shared" ca="1" si="162"/>
        <v>0.93</v>
      </c>
      <c r="M136" s="199"/>
      <c r="N136" s="81"/>
      <c r="O136" s="723">
        <f t="shared" ca="1" si="163"/>
        <v>0.33863636363636368</v>
      </c>
      <c r="P136" s="723">
        <f t="shared" ca="1" si="164"/>
        <v>1.4154999999999999E-2</v>
      </c>
      <c r="Q136" s="81">
        <f t="shared" ca="1" si="165"/>
        <v>2.0694444444444446</v>
      </c>
      <c r="R136" s="300"/>
      <c r="S136" s="300"/>
      <c r="T136" s="300"/>
      <c r="U136" s="300"/>
      <c r="V136" s="199">
        <f t="shared" ref="V136" ca="1" si="171">IF(IF(RIGHT(H135,2)="PH",(1-L136)+$W$2,IF(RIGHT(H135,2)="HT",(1-L136)+$W$1,IF(RIGHT(H135,2)="SH",(1-L136)+$W$3,"")))&gt;0,IF(RIGHT(H135,2)="PH",(1-L136)+$W$2,IF(RIGHT(H135,2)="HT",(1-L136)+$W$1,IF(RIGHT(H135,2)="SH",(1-L136)+$W$3,""))),0)</f>
        <v>0.26999999999999996</v>
      </c>
      <c r="W136" s="298"/>
      <c r="X136" s="698">
        <f t="shared" ca="1" si="145"/>
        <v>0.3</v>
      </c>
      <c r="Y136" s="81">
        <f t="shared" ca="1" si="167"/>
        <v>7</v>
      </c>
      <c r="Z136" s="81">
        <f t="shared" ca="1" si="168"/>
        <v>2</v>
      </c>
      <c r="AA136" s="81">
        <f t="shared" ca="1" si="169"/>
        <v>1</v>
      </c>
      <c r="AB136" s="81">
        <f t="shared" ca="1" si="170"/>
        <v>0.1</v>
      </c>
      <c r="AD136" s="81">
        <v>2030</v>
      </c>
      <c r="AE136" s="81"/>
      <c r="AF136" s="220"/>
    </row>
    <row r="137" spans="2:32">
      <c r="B137" s="718" t="s">
        <v>1010</v>
      </c>
      <c r="C137" s="226"/>
      <c r="E137" s="212"/>
      <c r="F137" s="224" t="s">
        <v>1149</v>
      </c>
      <c r="H137" s="174"/>
      <c r="I137" s="174" t="str">
        <f t="shared" si="143"/>
        <v>INDFWH</v>
      </c>
      <c r="J137" s="224">
        <f t="shared" si="146"/>
        <v>2050</v>
      </c>
      <c r="K137" s="81"/>
      <c r="L137" s="199">
        <f t="shared" ca="1" si="162"/>
        <v>0.94</v>
      </c>
      <c r="M137" s="199"/>
      <c r="N137" s="81"/>
      <c r="O137" s="723">
        <f t="shared" ca="1" si="163"/>
        <v>0.33863636363636368</v>
      </c>
      <c r="P137" s="723">
        <f t="shared" ca="1" si="164"/>
        <v>1.2664999999999999E-2</v>
      </c>
      <c r="Q137" s="81">
        <f t="shared" ca="1" si="165"/>
        <v>2.0694444444444446</v>
      </c>
      <c r="R137" s="300"/>
      <c r="S137" s="300"/>
      <c r="T137" s="300"/>
      <c r="U137" s="300"/>
      <c r="V137" s="199">
        <f t="shared" ref="V137" ca="1" si="172">IF(IF(RIGHT(H135,2)="PH",(1-L137)+$W$2,IF(RIGHT(H135,2)="HT",(1-L137)+$W$1,IF(RIGHT(H135,2)="SH",(1-L137)+$W$3,"")))&gt;0,IF(RIGHT(H135,2)="PH",(1-L137)+$W$2,IF(RIGHT(H135,2)="HT",(1-L137)+$W$1,IF(RIGHT(H135,2)="SH",(1-L137)+$W$3,""))),0)</f>
        <v>0.26000000000000006</v>
      </c>
      <c r="W137" s="298"/>
      <c r="X137" s="698">
        <f t="shared" ca="1" si="145"/>
        <v>0.3</v>
      </c>
      <c r="Y137" s="81">
        <f t="shared" ca="1" si="167"/>
        <v>6</v>
      </c>
      <c r="Z137" s="81">
        <f t="shared" ca="1" si="168"/>
        <v>2</v>
      </c>
      <c r="AA137" s="81">
        <f t="shared" ca="1" si="169"/>
        <v>1</v>
      </c>
      <c r="AB137" s="81">
        <f t="shared" ca="1" si="170"/>
        <v>0.1</v>
      </c>
      <c r="AD137" s="81">
        <v>2050</v>
      </c>
      <c r="AE137" s="81"/>
      <c r="AF137" s="220"/>
    </row>
    <row r="138" spans="2:32">
      <c r="B138" s="718" t="s">
        <v>1010</v>
      </c>
      <c r="C138" s="226"/>
      <c r="D138" s="212" t="str">
        <f>"IND"&amp;RIGHT(H138,4)&amp;"GAS"&amp;"N"&amp;RIGHT(E138,1)</f>
        <v>INDFDPHGASN1</v>
      </c>
      <c r="E138" s="261" t="str">
        <f>"Industrial heating technology "&amp;$AJ$12&amp;" "&amp;RIGHT(H138,2)&amp;" - Gas boiler (Steam) - new 1"</f>
        <v>Industrial heating technology Food PH - Gas boiler (Steam) - new 1</v>
      </c>
      <c r="F138" s="224" t="s">
        <v>1149</v>
      </c>
      <c r="G138" s="173" t="s">
        <v>2080</v>
      </c>
      <c r="H138" s="174" t="str">
        <f>$AI$14</f>
        <v>IFDPH</v>
      </c>
      <c r="I138" s="174" t="str">
        <f t="shared" si="143"/>
        <v>INDFWH</v>
      </c>
      <c r="J138" s="224">
        <f t="shared" si="146"/>
        <v>2011</v>
      </c>
      <c r="K138" s="299">
        <f>J138</f>
        <v>2011</v>
      </c>
      <c r="L138" s="199">
        <f t="shared" ca="1" si="162"/>
        <v>0.92</v>
      </c>
      <c r="M138" s="199"/>
      <c r="N138" s="81">
        <f ca="1">VLOOKUP($AD138,INDIRECT("'"&amp;$B138&amp;"'!"&amp;"$P$39:$AD$42"),5,FALSE)</f>
        <v>25</v>
      </c>
      <c r="O138" s="723">
        <f t="shared" ca="1" si="163"/>
        <v>0.40636363636363632</v>
      </c>
      <c r="P138" s="723">
        <f t="shared" ca="1" si="164"/>
        <v>1.49E-2</v>
      </c>
      <c r="Q138" s="81">
        <f t="shared" ca="1" si="165"/>
        <v>2.276388888888889</v>
      </c>
      <c r="R138" s="81">
        <v>3.1536000000000002E-2</v>
      </c>
      <c r="S138" s="199">
        <v>0.5</v>
      </c>
      <c r="T138" s="199">
        <f ca="1">HLOOKUP($T$2,INDIRECT("'"&amp;$B138&amp;"'!"&amp;"$P$6:$AC$19"),IF(H138=$AI$13,6,IF(H138=$AI$14,9,14)),FALSE)</f>
        <v>1</v>
      </c>
      <c r="U138" s="772"/>
      <c r="V138" s="199">
        <f t="shared" ref="V138" ca="1" si="173">IF(IF(RIGHT(H138,2)="PH",(1-L138)+$W$2,IF(RIGHT(H138,2)="HT",(1-L138)+$W$1,IF(RIGHT(H138,2)="SH",(1-L138)+$W$3,"")))&gt;0,IF(RIGHT(H138,2)="PH",(1-L138)+$W$2,IF(RIGHT(H138,2)="HT",(1-L138)+$W$1,IF(RIGHT(H138,2)="SH",(1-L138)+$W$3,""))),0)</f>
        <v>0.27999999999999997</v>
      </c>
      <c r="W138" s="298"/>
      <c r="X138" s="698">
        <f t="shared" ca="1" si="145"/>
        <v>0.3</v>
      </c>
      <c r="Y138" s="81">
        <f t="shared" ca="1" si="167"/>
        <v>9</v>
      </c>
      <c r="Z138" s="81">
        <f t="shared" ca="1" si="168"/>
        <v>3</v>
      </c>
      <c r="AA138" s="81">
        <f t="shared" ca="1" si="169"/>
        <v>1</v>
      </c>
      <c r="AB138" s="81">
        <f t="shared" ca="1" si="170"/>
        <v>0.1</v>
      </c>
      <c r="AD138" s="81">
        <v>2020</v>
      </c>
      <c r="AE138" s="81"/>
      <c r="AF138" s="220"/>
    </row>
    <row r="139" spans="2:32">
      <c r="B139" s="718" t="s">
        <v>1010</v>
      </c>
      <c r="C139" s="226"/>
      <c r="E139" s="212"/>
      <c r="F139" s="224" t="s">
        <v>1149</v>
      </c>
      <c r="H139" s="174"/>
      <c r="I139" s="174" t="str">
        <f t="shared" si="143"/>
        <v>INDFWH</v>
      </c>
      <c r="J139" s="224">
        <f t="shared" si="146"/>
        <v>2030</v>
      </c>
      <c r="K139" s="81"/>
      <c r="L139" s="199">
        <f t="shared" ca="1" si="162"/>
        <v>0.93</v>
      </c>
      <c r="M139" s="199"/>
      <c r="N139" s="81"/>
      <c r="O139" s="723">
        <f t="shared" ca="1" si="163"/>
        <v>0.33863636363636368</v>
      </c>
      <c r="P139" s="723">
        <f t="shared" ca="1" si="164"/>
        <v>1.4154999999999999E-2</v>
      </c>
      <c r="Q139" s="81">
        <f t="shared" ca="1" si="165"/>
        <v>2.0694444444444446</v>
      </c>
      <c r="R139" s="300"/>
      <c r="S139" s="300"/>
      <c r="T139" s="300"/>
      <c r="U139" s="300"/>
      <c r="V139" s="199">
        <f t="shared" ref="V139" ca="1" si="174">IF(IF(RIGHT(H138,2)="PH",(1-L139)+$W$2,IF(RIGHT(H138,2)="HT",(1-L139)+$W$1,IF(RIGHT(H138,2)="SH",(1-L139)+$W$3,"")))&gt;0,IF(RIGHT(H138,2)="PH",(1-L139)+$W$2,IF(RIGHT(H138,2)="HT",(1-L139)+$W$1,IF(RIGHT(H138,2)="SH",(1-L139)+$W$3,""))),0)</f>
        <v>0.26999999999999996</v>
      </c>
      <c r="W139" s="298"/>
      <c r="X139" s="698">
        <f t="shared" ca="1" si="145"/>
        <v>0.3</v>
      </c>
      <c r="Y139" s="81">
        <f t="shared" ca="1" si="167"/>
        <v>7</v>
      </c>
      <c r="Z139" s="81">
        <f t="shared" ca="1" si="168"/>
        <v>2</v>
      </c>
      <c r="AA139" s="81">
        <f t="shared" ca="1" si="169"/>
        <v>1</v>
      </c>
      <c r="AB139" s="81">
        <f t="shared" ca="1" si="170"/>
        <v>0.1</v>
      </c>
      <c r="AD139" s="81">
        <v>2030</v>
      </c>
      <c r="AE139" s="81"/>
      <c r="AF139" s="220"/>
    </row>
    <row r="140" spans="2:32">
      <c r="B140" s="718" t="s">
        <v>1010</v>
      </c>
      <c r="C140" s="226"/>
      <c r="E140" s="212"/>
      <c r="F140" s="224" t="s">
        <v>1149</v>
      </c>
      <c r="H140" s="174"/>
      <c r="I140" s="174" t="str">
        <f t="shared" si="143"/>
        <v>INDFWH</v>
      </c>
      <c r="J140" s="224">
        <f t="shared" si="146"/>
        <v>2050</v>
      </c>
      <c r="K140" s="81"/>
      <c r="L140" s="199">
        <f t="shared" ca="1" si="162"/>
        <v>0.94</v>
      </c>
      <c r="M140" s="199"/>
      <c r="N140" s="81"/>
      <c r="O140" s="723">
        <f t="shared" ca="1" si="163"/>
        <v>0.33863636363636368</v>
      </c>
      <c r="P140" s="723">
        <f t="shared" ca="1" si="164"/>
        <v>1.2664999999999999E-2</v>
      </c>
      <c r="Q140" s="81">
        <f t="shared" ca="1" si="165"/>
        <v>2.0694444444444446</v>
      </c>
      <c r="R140" s="300"/>
      <c r="S140" s="300"/>
      <c r="T140" s="300"/>
      <c r="U140" s="300"/>
      <c r="V140" s="199">
        <f t="shared" ref="V140" ca="1" si="175">IF(IF(RIGHT(H138,2)="PH",(1-L140)+$W$2,IF(RIGHT(H138,2)="HT",(1-L140)+$W$1,IF(RIGHT(H138,2)="SH",(1-L140)+$W$3,"")))&gt;0,IF(RIGHT(H138,2)="PH",(1-L140)+$W$2,IF(RIGHT(H138,2)="HT",(1-L140)+$W$1,IF(RIGHT(H138,2)="SH",(1-L140)+$W$3,""))),0)</f>
        <v>0.26000000000000006</v>
      </c>
      <c r="W140" s="298"/>
      <c r="X140" s="698">
        <f t="shared" ca="1" si="145"/>
        <v>0.3</v>
      </c>
      <c r="Y140" s="81">
        <f t="shared" ca="1" si="167"/>
        <v>6</v>
      </c>
      <c r="Z140" s="81">
        <f t="shared" ca="1" si="168"/>
        <v>2</v>
      </c>
      <c r="AA140" s="81">
        <f t="shared" ca="1" si="169"/>
        <v>1</v>
      </c>
      <c r="AB140" s="81">
        <f t="shared" ca="1" si="170"/>
        <v>0.1</v>
      </c>
      <c r="AC140" s="203"/>
      <c r="AD140" s="81">
        <v>2050</v>
      </c>
      <c r="AE140" s="81"/>
      <c r="AF140" s="705"/>
    </row>
    <row r="141" spans="2:32">
      <c r="B141" s="718" t="s">
        <v>1010</v>
      </c>
      <c r="C141" s="226"/>
      <c r="D141" s="212" t="str">
        <f>"IND"&amp;RIGHT(H141,4)&amp;"GAS"&amp;"N"&amp;RIGHT(E141,1)</f>
        <v>INDFDSHGASN1</v>
      </c>
      <c r="E141" s="261" t="str">
        <f>"Industrial heating technology "&amp;$AJ$12&amp;" "&amp;RIGHT(H141,2)&amp;" - Gas boiler (Steam) - new 1"</f>
        <v>Industrial heating technology Food SH - Gas boiler (Steam) - new 1</v>
      </c>
      <c r="F141" s="224" t="s">
        <v>1149</v>
      </c>
      <c r="G141" s="173" t="s">
        <v>2080</v>
      </c>
      <c r="H141" s="174" t="str">
        <f>$AI$15</f>
        <v>IFDSH</v>
      </c>
      <c r="I141" s="174" t="str">
        <f t="shared" si="143"/>
        <v>INDFWH</v>
      </c>
      <c r="J141" s="224">
        <f t="shared" si="146"/>
        <v>2011</v>
      </c>
      <c r="K141" s="299">
        <f>J141</f>
        <v>2011</v>
      </c>
      <c r="L141" s="199">
        <f t="shared" ca="1" si="162"/>
        <v>0.92</v>
      </c>
      <c r="M141" s="199"/>
      <c r="N141" s="81">
        <f ca="1">VLOOKUP($AD141,INDIRECT("'"&amp;$B141&amp;"'!"&amp;"$P$39:$AD$42"),5,FALSE)</f>
        <v>25</v>
      </c>
      <c r="O141" s="723">
        <f t="shared" ca="1" si="163"/>
        <v>0.40636363636363632</v>
      </c>
      <c r="P141" s="723">
        <f t="shared" ca="1" si="164"/>
        <v>1.49E-2</v>
      </c>
      <c r="Q141" s="81">
        <f t="shared" ca="1" si="165"/>
        <v>2.276388888888889</v>
      </c>
      <c r="R141" s="81">
        <v>3.1536000000000002E-2</v>
      </c>
      <c r="S141" s="199">
        <v>0.5</v>
      </c>
      <c r="T141" s="199">
        <f ca="1">HLOOKUP($T$2,INDIRECT("'"&amp;$B141&amp;"'!"&amp;"$P$6:$AC$19"),IF(H141=$AI$13,6,IF(H141=$AI$14,9,14)),FALSE)</f>
        <v>1</v>
      </c>
      <c r="U141" s="772"/>
      <c r="V141" s="199">
        <f t="shared" ref="V141" ca="1" si="176">IF(IF(RIGHT(H141,2)="PH",(1-L141)+$W$2,IF(RIGHT(H141,2)="HT",(1-L141)+$W$1,IF(RIGHT(H141,2)="SH",(1-L141)+$W$3,"")))&gt;0,IF(RIGHT(H141,2)="PH",(1-L141)+$W$2,IF(RIGHT(H141,2)="HT",(1-L141)+$W$1,IF(RIGHT(H141,2)="SH",(1-L141)+$W$3,""))),0)</f>
        <v>7.999999999999996E-2</v>
      </c>
      <c r="W141" s="298"/>
      <c r="X141" s="698">
        <f t="shared" ca="1" si="145"/>
        <v>0.3</v>
      </c>
      <c r="Y141" s="81">
        <f t="shared" ca="1" si="167"/>
        <v>9</v>
      </c>
      <c r="Z141" s="81">
        <f t="shared" ca="1" si="168"/>
        <v>3</v>
      </c>
      <c r="AA141" s="81">
        <f t="shared" ca="1" si="169"/>
        <v>1</v>
      </c>
      <c r="AB141" s="81">
        <f t="shared" ca="1" si="170"/>
        <v>0.1</v>
      </c>
      <c r="AC141" s="296"/>
      <c r="AD141" s="81">
        <v>2020</v>
      </c>
      <c r="AE141" s="81"/>
      <c r="AF141" s="710"/>
    </row>
    <row r="142" spans="2:32">
      <c r="B142" s="718" t="s">
        <v>1010</v>
      </c>
      <c r="C142" s="226"/>
      <c r="E142" s="212"/>
      <c r="F142" s="224" t="s">
        <v>1149</v>
      </c>
      <c r="H142" s="174"/>
      <c r="I142" s="174" t="str">
        <f t="shared" si="143"/>
        <v>INDFWH</v>
      </c>
      <c r="J142" s="224">
        <f t="shared" si="146"/>
        <v>2030</v>
      </c>
      <c r="K142" s="81"/>
      <c r="L142" s="199">
        <f t="shared" ca="1" si="162"/>
        <v>0.93</v>
      </c>
      <c r="M142" s="199"/>
      <c r="N142" s="81"/>
      <c r="O142" s="723">
        <f t="shared" ca="1" si="163"/>
        <v>0.33863636363636368</v>
      </c>
      <c r="P142" s="723">
        <f t="shared" ca="1" si="164"/>
        <v>1.4154999999999999E-2</v>
      </c>
      <c r="Q142" s="81">
        <f t="shared" ca="1" si="165"/>
        <v>2.0694444444444446</v>
      </c>
      <c r="R142" s="300"/>
      <c r="S142" s="300"/>
      <c r="T142" s="300"/>
      <c r="U142" s="300"/>
      <c r="V142" s="199">
        <f t="shared" ref="V142" ca="1" si="177">IF(IF(RIGHT(H141,2)="PH",(1-L142)+$W$2,IF(RIGHT(H141,2)="HT",(1-L142)+$W$1,IF(RIGHT(H141,2)="SH",(1-L142)+$W$3,"")))&gt;0,IF(RIGHT(H141,2)="PH",(1-L142)+$W$2,IF(RIGHT(H141,2)="HT",(1-L142)+$W$1,IF(RIGHT(H141,2)="SH",(1-L142)+$W$3,""))),0)</f>
        <v>6.9999999999999951E-2</v>
      </c>
      <c r="W142" s="298"/>
      <c r="X142" s="698">
        <f t="shared" ca="1" si="145"/>
        <v>0.3</v>
      </c>
      <c r="Y142" s="81">
        <f t="shared" ca="1" si="167"/>
        <v>7</v>
      </c>
      <c r="Z142" s="81">
        <f t="shared" ca="1" si="168"/>
        <v>2</v>
      </c>
      <c r="AA142" s="81">
        <f t="shared" ca="1" si="169"/>
        <v>1</v>
      </c>
      <c r="AB142" s="81">
        <f t="shared" ca="1" si="170"/>
        <v>0.1</v>
      </c>
      <c r="AC142" s="55"/>
      <c r="AD142" s="81">
        <v>2030</v>
      </c>
      <c r="AE142" s="81"/>
      <c r="AF142" s="700"/>
    </row>
    <row r="143" spans="2:32">
      <c r="B143" s="719" t="s">
        <v>1010</v>
      </c>
      <c r="C143" s="713"/>
      <c r="D143" s="203"/>
      <c r="E143" s="701"/>
      <c r="F143" s="224" t="s">
        <v>1149</v>
      </c>
      <c r="G143" s="203"/>
      <c r="H143" s="702"/>
      <c r="I143" s="702" t="str">
        <f t="shared" si="143"/>
        <v>INDFWH</v>
      </c>
      <c r="J143" s="224">
        <f t="shared" si="146"/>
        <v>2050</v>
      </c>
      <c r="K143" s="81"/>
      <c r="L143" s="199">
        <f t="shared" ca="1" si="162"/>
        <v>0.94</v>
      </c>
      <c r="M143" s="199"/>
      <c r="N143" s="81"/>
      <c r="O143" s="723">
        <f t="shared" ca="1" si="163"/>
        <v>0.33863636363636368</v>
      </c>
      <c r="P143" s="723">
        <f t="shared" ca="1" si="164"/>
        <v>1.2664999999999999E-2</v>
      </c>
      <c r="Q143" s="81">
        <f t="shared" ca="1" si="165"/>
        <v>2.0694444444444446</v>
      </c>
      <c r="R143" s="703"/>
      <c r="S143" s="703"/>
      <c r="T143" s="703"/>
      <c r="U143" s="703"/>
      <c r="V143" s="199">
        <f t="shared" ref="V143" ca="1" si="178">IF(IF(RIGHT(H141,2)="PH",(1-L143)+$W$2,IF(RIGHT(H141,2)="HT",(1-L143)+$W$1,IF(RIGHT(H141,2)="SH",(1-L143)+$W$3,"")))&gt;0,IF(RIGHT(H141,2)="PH",(1-L143)+$W$2,IF(RIGHT(H141,2)="HT",(1-L143)+$W$1,IF(RIGHT(H141,2)="SH",(1-L143)+$W$3,""))),0)</f>
        <v>6.0000000000000053E-2</v>
      </c>
      <c r="W143" s="704"/>
      <c r="X143" s="698">
        <f t="shared" ca="1" si="145"/>
        <v>0.3</v>
      </c>
      <c r="Y143" s="81">
        <f t="shared" ca="1" si="167"/>
        <v>6</v>
      </c>
      <c r="Z143" s="81">
        <f t="shared" ca="1" si="168"/>
        <v>2</v>
      </c>
      <c r="AA143" s="81">
        <f t="shared" ca="1" si="169"/>
        <v>1</v>
      </c>
      <c r="AB143" s="81">
        <f t="shared" ca="1" si="170"/>
        <v>0.1</v>
      </c>
      <c r="AC143" s="55"/>
      <c r="AD143" s="81">
        <v>2050</v>
      </c>
      <c r="AE143" s="81"/>
      <c r="AF143" s="700"/>
    </row>
    <row r="144" spans="2:32">
      <c r="B144" s="718" t="s">
        <v>1010</v>
      </c>
      <c r="C144" s="226"/>
      <c r="D144" s="212" t="str">
        <f>"IND"&amp;RIGHT(H144,4)&amp;"GAS"&amp;"N"&amp;RIGHT(E144,1)</f>
        <v>INDFDPHGASN2</v>
      </c>
      <c r="E144" s="707" t="str">
        <f>"Industrial heating technology "&amp;$AJ$12&amp;" "&amp;RIGHT(H144,2)&amp;" - Gas boiler (Steam - condensing) - new 2"</f>
        <v>Industrial heating technology Food PH - Gas boiler (Steam - condensing) - new 2</v>
      </c>
      <c r="F144" s="224" t="s">
        <v>1149</v>
      </c>
      <c r="G144" s="173" t="s">
        <v>2080</v>
      </c>
      <c r="H144" s="708" t="str">
        <f>$AI$14</f>
        <v>IFDPH</v>
      </c>
      <c r="I144" s="708" t="str">
        <f t="shared" si="143"/>
        <v>INDFWH</v>
      </c>
      <c r="J144" s="224">
        <f t="shared" si="146"/>
        <v>2011</v>
      </c>
      <c r="K144" s="299">
        <f>J144</f>
        <v>2011</v>
      </c>
      <c r="L144" s="199">
        <f t="shared" ref="L144:L149" ca="1" si="179">VLOOKUP($AD144,INDIRECT("'"&amp;$B144&amp;"'!"&amp;"$P$118:$AD$121"),3,FALSE)</f>
        <v>1.01</v>
      </c>
      <c r="M144" s="199"/>
      <c r="N144" s="81">
        <f ca="1">VLOOKUP($AD144,INDIRECT("'"&amp;$B144&amp;"'!"&amp;"$P$118:$AD$121"),5,FALSE)</f>
        <v>25</v>
      </c>
      <c r="O144" s="723">
        <f t="shared" ref="O144:O149" ca="1" si="180">VLOOKUP($AD144,INDIRECT("'"&amp;$B144&amp;"'!"&amp;"$P$118:$AD$121"),6,FALSE)/1000</f>
        <v>0.44700000000000001</v>
      </c>
      <c r="P144" s="723">
        <f t="shared" ref="P144:P149" ca="1" si="181">VLOOKUP($AD144,INDIRECT("'"&amp;$B144&amp;"'!"&amp;"$P$118:$AD$121"),7,FALSE)/1000</f>
        <v>1.49E-2</v>
      </c>
      <c r="Q144" s="81">
        <f t="shared" ref="Q144:Q149" ca="1" si="182">VLOOKUP($AD144,INDIRECT("'"&amp;$B144&amp;"'!"&amp;"$P$118:$AD$121"),8,FALSE)</f>
        <v>2.276388888888889</v>
      </c>
      <c r="R144" s="81">
        <v>3.1536000000000002E-2</v>
      </c>
      <c r="S144" s="199">
        <v>0.5</v>
      </c>
      <c r="T144" s="199">
        <f ca="1">HLOOKUP($T$2,INDIRECT("'"&amp;$B144&amp;"'!"&amp;"$P$85:$AC$98"),IF(H144=$AI$13,6,IF(H144=$AI$14,9,14)),FALSE)</f>
        <v>0</v>
      </c>
      <c r="U144" s="773"/>
      <c r="V144" s="199">
        <f t="shared" ref="V144" ca="1" si="183">IF(IF(RIGHT(H144,2)="PH",(1-L144)+$W$2,IF(RIGHT(H144,2)="HT",(1-L144)+$W$1,IF(RIGHT(H144,2)="SH",(1-L144)+$W$3,"")))&gt;0,IF(RIGHT(H144,2)="PH",(1-L144)+$W$2,IF(RIGHT(H144,2)="HT",(1-L144)+$W$1,IF(RIGHT(H144,2)="SH",(1-L144)+$W$3,""))),0)</f>
        <v>0.19</v>
      </c>
      <c r="W144" s="709"/>
      <c r="X144" s="698">
        <f t="shared" ca="1" si="145"/>
        <v>0.3</v>
      </c>
      <c r="Y144" s="698">
        <f t="shared" ref="Y144:Y149" ca="1" si="184">VLOOKUP($AD144,INDIRECT("'"&amp;$B144&amp;"'!"&amp;"$P$118:$AD$121"),12,FALSE)</f>
        <v>9</v>
      </c>
      <c r="Z144" s="698">
        <f t="shared" ref="Z144:Z149" ca="1" si="185">VLOOKUP($AD144,INDIRECT("'"&amp;$B144&amp;"'!"&amp;"$P$118:$AD$121"),13,FALSE)</f>
        <v>3</v>
      </c>
      <c r="AA144" s="698">
        <f t="shared" ref="AA144:AA149" ca="1" si="186">VLOOKUP($AD144,INDIRECT("'"&amp;$B144&amp;"'!"&amp;"$P$118:$AD$121"),14,FALSE)</f>
        <v>1</v>
      </c>
      <c r="AB144" s="698">
        <f t="shared" ref="AB144:AB149" ca="1" si="187">VLOOKUP($AD144,INDIRECT("'"&amp;$B144&amp;"'!"&amp;"$P$118:$AD$121"),15,FALSE)</f>
        <v>0.1</v>
      </c>
      <c r="AC144" s="55"/>
      <c r="AD144" s="81">
        <v>2020</v>
      </c>
      <c r="AE144" s="81"/>
      <c r="AF144" s="700"/>
    </row>
    <row r="145" spans="1:32">
      <c r="B145" s="718" t="s">
        <v>1010</v>
      </c>
      <c r="C145" s="226"/>
      <c r="E145" s="261"/>
      <c r="F145" s="224" t="s">
        <v>1149</v>
      </c>
      <c r="G145" s="55"/>
      <c r="H145" s="174"/>
      <c r="I145" s="174" t="str">
        <f t="shared" si="143"/>
        <v>INDFWH</v>
      </c>
      <c r="J145" s="224">
        <f t="shared" si="146"/>
        <v>2030</v>
      </c>
      <c r="K145" s="81"/>
      <c r="L145" s="199">
        <f t="shared" ca="1" si="179"/>
        <v>1.03</v>
      </c>
      <c r="M145" s="199"/>
      <c r="N145" s="81"/>
      <c r="O145" s="723">
        <f t="shared" ca="1" si="180"/>
        <v>0.37250000000000005</v>
      </c>
      <c r="P145" s="723">
        <f t="shared" ca="1" si="181"/>
        <v>1.4154999999999999E-2</v>
      </c>
      <c r="Q145" s="81">
        <f t="shared" ca="1" si="182"/>
        <v>2.0694444444444446</v>
      </c>
      <c r="R145" s="300"/>
      <c r="S145" s="300"/>
      <c r="T145" s="300"/>
      <c r="U145" s="300"/>
      <c r="V145" s="199">
        <f t="shared" ref="V145" ca="1" si="188">IF(IF(RIGHT(H144,2)="PH",(1-L145)+$W$2,IF(RIGHT(H144,2)="HT",(1-L145)+$W$1,IF(RIGHT(H144,2)="SH",(1-L145)+$W$3,"")))&gt;0,IF(RIGHT(H144,2)="PH",(1-L145)+$W$2,IF(RIGHT(H144,2)="HT",(1-L145)+$W$1,IF(RIGHT(H144,2)="SH",(1-L145)+$W$3,""))),0)</f>
        <v>0.16999999999999998</v>
      </c>
      <c r="W145" s="298"/>
      <c r="X145" s="698">
        <f t="shared" ca="1" si="145"/>
        <v>0.3</v>
      </c>
      <c r="Y145" s="698">
        <f t="shared" ca="1" si="184"/>
        <v>7</v>
      </c>
      <c r="Z145" s="698">
        <f t="shared" ca="1" si="185"/>
        <v>2</v>
      </c>
      <c r="AA145" s="698">
        <f t="shared" ca="1" si="186"/>
        <v>1</v>
      </c>
      <c r="AB145" s="698">
        <f t="shared" ca="1" si="187"/>
        <v>0.1</v>
      </c>
      <c r="AC145" s="55"/>
      <c r="AD145" s="81">
        <v>2030</v>
      </c>
      <c r="AE145" s="81"/>
      <c r="AF145" s="700"/>
    </row>
    <row r="146" spans="1:32">
      <c r="A146" s="226"/>
      <c r="B146" s="718" t="s">
        <v>1010</v>
      </c>
      <c r="C146" s="226"/>
      <c r="E146" s="261"/>
      <c r="F146" s="224" t="s">
        <v>1149</v>
      </c>
      <c r="G146" s="55"/>
      <c r="H146" s="174"/>
      <c r="I146" s="174" t="str">
        <f t="shared" si="143"/>
        <v>INDFWH</v>
      </c>
      <c r="J146" s="224">
        <f t="shared" si="146"/>
        <v>2050</v>
      </c>
      <c r="K146" s="81"/>
      <c r="L146" s="199">
        <f t="shared" ca="1" si="179"/>
        <v>1.03</v>
      </c>
      <c r="M146" s="199"/>
      <c r="N146" s="81"/>
      <c r="O146" s="723">
        <f t="shared" ca="1" si="180"/>
        <v>0.37250000000000005</v>
      </c>
      <c r="P146" s="723">
        <f t="shared" ca="1" si="181"/>
        <v>1.2664999999999999E-2</v>
      </c>
      <c r="Q146" s="81">
        <f t="shared" ca="1" si="182"/>
        <v>2.0694444444444446</v>
      </c>
      <c r="R146" s="300"/>
      <c r="S146" s="300"/>
      <c r="T146" s="300"/>
      <c r="U146" s="300"/>
      <c r="V146" s="199">
        <f t="shared" ref="V146" ca="1" si="189">IF(IF(RIGHT(H144,2)="PH",(1-L146)+$W$2,IF(RIGHT(H144,2)="HT",(1-L146)+$W$1,IF(RIGHT(H144,2)="SH",(1-L146)+$W$3,"")))&gt;0,IF(RIGHT(H144,2)="PH",(1-L146)+$W$2,IF(RIGHT(H144,2)="HT",(1-L146)+$W$1,IF(RIGHT(H144,2)="SH",(1-L146)+$W$3,""))),0)</f>
        <v>0.16999999999999998</v>
      </c>
      <c r="W146" s="298"/>
      <c r="X146" s="698">
        <f t="shared" ca="1" si="145"/>
        <v>0.3</v>
      </c>
      <c r="Y146" s="698">
        <f t="shared" ca="1" si="184"/>
        <v>6</v>
      </c>
      <c r="Z146" s="698">
        <f t="shared" ca="1" si="185"/>
        <v>2</v>
      </c>
      <c r="AA146" s="698">
        <f t="shared" ca="1" si="186"/>
        <v>1</v>
      </c>
      <c r="AB146" s="698">
        <f t="shared" ca="1" si="187"/>
        <v>0.1</v>
      </c>
      <c r="AC146" s="203"/>
      <c r="AD146" s="81">
        <v>2050</v>
      </c>
      <c r="AE146" s="81"/>
      <c r="AF146" s="705"/>
    </row>
    <row r="147" spans="1:32">
      <c r="A147" s="226"/>
      <c r="B147" s="718" t="s">
        <v>1010</v>
      </c>
      <c r="C147" s="226"/>
      <c r="D147" s="212" t="str">
        <f>"IND"&amp;RIGHT(H147,4)&amp;"GAS"&amp;"N"&amp;RIGHT(E147,1)</f>
        <v>INDFDSHGASN2</v>
      </c>
      <c r="E147" s="261" t="str">
        <f>"Industrial heating technology "&amp;$AJ$12&amp;" "&amp;RIGHT(H147,2)&amp;" - Gas boiler (Steam - condensing) - new 2"</f>
        <v>Industrial heating technology Food SH - Gas boiler (Steam - condensing) - new 2</v>
      </c>
      <c r="F147" s="224" t="s">
        <v>1149</v>
      </c>
      <c r="G147" s="173" t="s">
        <v>2080</v>
      </c>
      <c r="H147" s="174" t="str">
        <f>$AI$15</f>
        <v>IFDSH</v>
      </c>
      <c r="I147" s="174" t="str">
        <f t="shared" si="143"/>
        <v>INDFWH</v>
      </c>
      <c r="J147" s="224">
        <f t="shared" si="146"/>
        <v>2011</v>
      </c>
      <c r="K147" s="299">
        <f>J147</f>
        <v>2011</v>
      </c>
      <c r="L147" s="199">
        <f t="shared" ca="1" si="179"/>
        <v>1.01</v>
      </c>
      <c r="M147" s="199"/>
      <c r="N147" s="81">
        <f ca="1">VLOOKUP($AD147,INDIRECT("'"&amp;$B147&amp;"'!"&amp;"$P$118:$AD$121"),5,FALSE)</f>
        <v>25</v>
      </c>
      <c r="O147" s="723">
        <f t="shared" ca="1" si="180"/>
        <v>0.44700000000000001</v>
      </c>
      <c r="P147" s="723">
        <f t="shared" ca="1" si="181"/>
        <v>1.49E-2</v>
      </c>
      <c r="Q147" s="81">
        <f t="shared" ca="1" si="182"/>
        <v>2.276388888888889</v>
      </c>
      <c r="R147" s="81">
        <v>3.1536000000000002E-2</v>
      </c>
      <c r="S147" s="199">
        <v>0.5</v>
      </c>
      <c r="T147" s="199">
        <f ca="1">HLOOKUP($T$2,INDIRECT("'"&amp;$B147&amp;"'!"&amp;"$P$85:$AC$98"),IF(H147=$AI$13,6,IF(H147=$AI$14,9,14)),FALSE)</f>
        <v>1</v>
      </c>
      <c r="U147" s="772"/>
      <c r="V147" s="199">
        <f t="shared" ref="V147" ca="1" si="190">IF(IF(RIGHT(H147,2)="PH",(1-L147)+$W$2,IF(RIGHT(H147,2)="HT",(1-L147)+$W$1,IF(RIGHT(H147,2)="SH",(1-L147)+$W$3,"")))&gt;0,IF(RIGHT(H147,2)="PH",(1-L147)+$W$2,IF(RIGHT(H147,2)="HT",(1-L147)+$W$1,IF(RIGHT(H147,2)="SH",(1-L147)+$W$3,""))),0)</f>
        <v>0</v>
      </c>
      <c r="W147" s="298"/>
      <c r="X147" s="698">
        <f t="shared" ca="1" si="145"/>
        <v>0.3</v>
      </c>
      <c r="Y147" s="698">
        <f t="shared" ca="1" si="184"/>
        <v>9</v>
      </c>
      <c r="Z147" s="698">
        <f t="shared" ca="1" si="185"/>
        <v>3</v>
      </c>
      <c r="AA147" s="698">
        <f t="shared" ca="1" si="186"/>
        <v>1</v>
      </c>
      <c r="AB147" s="698">
        <f t="shared" ca="1" si="187"/>
        <v>0.1</v>
      </c>
      <c r="AC147" s="296"/>
      <c r="AD147" s="81">
        <v>2020</v>
      </c>
      <c r="AE147" s="81"/>
      <c r="AF147" s="710"/>
    </row>
    <row r="148" spans="1:32">
      <c r="A148" s="226"/>
      <c r="B148" s="718" t="s">
        <v>1010</v>
      </c>
      <c r="C148" s="226"/>
      <c r="E148" s="261"/>
      <c r="F148" s="224" t="s">
        <v>1149</v>
      </c>
      <c r="G148" s="55"/>
      <c r="H148" s="174"/>
      <c r="I148" s="174" t="str">
        <f t="shared" si="143"/>
        <v>INDFWH</v>
      </c>
      <c r="J148" s="224">
        <f t="shared" si="146"/>
        <v>2030</v>
      </c>
      <c r="K148" s="81"/>
      <c r="L148" s="199">
        <f t="shared" ca="1" si="179"/>
        <v>1.03</v>
      </c>
      <c r="M148" s="199"/>
      <c r="N148" s="81"/>
      <c r="O148" s="723">
        <f t="shared" ca="1" si="180"/>
        <v>0.37250000000000005</v>
      </c>
      <c r="P148" s="723">
        <f t="shared" ca="1" si="181"/>
        <v>1.4154999999999999E-2</v>
      </c>
      <c r="Q148" s="81">
        <f t="shared" ca="1" si="182"/>
        <v>2.0694444444444446</v>
      </c>
      <c r="R148" s="300"/>
      <c r="S148" s="300"/>
      <c r="T148" s="300"/>
      <c r="U148" s="300"/>
      <c r="V148" s="199">
        <f t="shared" ref="V148" ca="1" si="191">IF(IF(RIGHT(H147,2)="PH",(1-L148)+$W$2,IF(RIGHT(H147,2)="HT",(1-L148)+$W$1,IF(RIGHT(H147,2)="SH",(1-L148)+$W$3,"")))&gt;0,IF(RIGHT(H147,2)="PH",(1-L148)+$W$2,IF(RIGHT(H147,2)="HT",(1-L148)+$W$1,IF(RIGHT(H147,2)="SH",(1-L148)+$W$3,""))),0)</f>
        <v>0</v>
      </c>
      <c r="W148" s="298"/>
      <c r="X148" s="698">
        <f t="shared" ca="1" si="145"/>
        <v>0.3</v>
      </c>
      <c r="Y148" s="698">
        <f t="shared" ca="1" si="184"/>
        <v>7</v>
      </c>
      <c r="Z148" s="698">
        <f t="shared" ca="1" si="185"/>
        <v>2</v>
      </c>
      <c r="AA148" s="698">
        <f t="shared" ca="1" si="186"/>
        <v>1</v>
      </c>
      <c r="AB148" s="698">
        <f t="shared" ca="1" si="187"/>
        <v>0.1</v>
      </c>
      <c r="AC148" s="55"/>
      <c r="AD148" s="81">
        <v>2030</v>
      </c>
      <c r="AE148" s="81"/>
      <c r="AF148" s="700"/>
    </row>
    <row r="149" spans="1:32">
      <c r="A149" s="226"/>
      <c r="B149" s="719" t="s">
        <v>1010</v>
      </c>
      <c r="C149" s="713"/>
      <c r="D149" s="203"/>
      <c r="E149" s="701"/>
      <c r="F149" s="224" t="s">
        <v>1149</v>
      </c>
      <c r="G149" s="203"/>
      <c r="H149" s="702"/>
      <c r="I149" s="702" t="str">
        <f t="shared" si="143"/>
        <v>INDFWH</v>
      </c>
      <c r="J149" s="224">
        <f t="shared" si="146"/>
        <v>2050</v>
      </c>
      <c r="K149" s="81"/>
      <c r="L149" s="199">
        <f t="shared" ca="1" si="179"/>
        <v>1.03</v>
      </c>
      <c r="M149" s="199"/>
      <c r="N149" s="81"/>
      <c r="O149" s="723">
        <f t="shared" ca="1" si="180"/>
        <v>0.37250000000000005</v>
      </c>
      <c r="P149" s="723">
        <f t="shared" ca="1" si="181"/>
        <v>1.2664999999999999E-2</v>
      </c>
      <c r="Q149" s="81">
        <f t="shared" ca="1" si="182"/>
        <v>2.0694444444444446</v>
      </c>
      <c r="R149" s="703"/>
      <c r="S149" s="703"/>
      <c r="T149" s="703"/>
      <c r="U149" s="703"/>
      <c r="V149" s="199">
        <f t="shared" ref="V149" ca="1" si="192">IF(IF(RIGHT(H147,2)="PH",(1-L149)+$W$2,IF(RIGHT(H147,2)="HT",(1-L149)+$W$1,IF(RIGHT(H147,2)="SH",(1-L149)+$W$3,"")))&gt;0,IF(RIGHT(H147,2)="PH",(1-L149)+$W$2,IF(RIGHT(H147,2)="HT",(1-L149)+$W$1,IF(RIGHT(H147,2)="SH",(1-L149)+$W$3,""))),0)</f>
        <v>0</v>
      </c>
      <c r="W149" s="704"/>
      <c r="X149" s="698">
        <f t="shared" ca="1" si="145"/>
        <v>0.3</v>
      </c>
      <c r="Y149" s="698">
        <f t="shared" ca="1" si="184"/>
        <v>6</v>
      </c>
      <c r="Z149" s="698">
        <f t="shared" ca="1" si="185"/>
        <v>2</v>
      </c>
      <c r="AA149" s="698">
        <f t="shared" ca="1" si="186"/>
        <v>1</v>
      </c>
      <c r="AB149" s="698">
        <f t="shared" ca="1" si="187"/>
        <v>0.1</v>
      </c>
      <c r="AC149" s="55"/>
      <c r="AD149" s="81">
        <v>2050</v>
      </c>
      <c r="AE149" s="81"/>
      <c r="AF149" s="700"/>
    </row>
    <row r="150" spans="1:32">
      <c r="A150" s="226"/>
      <c r="B150" s="718" t="s">
        <v>1010</v>
      </c>
      <c r="C150" s="226"/>
      <c r="D150" s="212" t="str">
        <f>"IND"&amp;RIGHT(H150,4)&amp;"GAS"&amp;"N"&amp;RIGHT(E150,1)</f>
        <v>INDFDPHGASN3</v>
      </c>
      <c r="E150" s="707" t="str">
        <f>"Industrial heating technology "&amp;$AJ$12&amp;" "&amp;RIGHT(H150,2)&amp;" - Gas boiler (Hot Water) - new 3"</f>
        <v>Industrial heating technology Food PH - Gas boiler (Hot Water) - new 3</v>
      </c>
      <c r="F150" s="224" t="s">
        <v>1149</v>
      </c>
      <c r="G150" s="173" t="s">
        <v>2080</v>
      </c>
      <c r="H150" s="708" t="str">
        <f>$AI$14</f>
        <v>IFDPH</v>
      </c>
      <c r="I150" s="708" t="str">
        <f t="shared" si="143"/>
        <v>INDFWH</v>
      </c>
      <c r="J150" s="224">
        <f t="shared" si="146"/>
        <v>2011</v>
      </c>
      <c r="K150" s="299">
        <f>J150</f>
        <v>2011</v>
      </c>
      <c r="L150" s="199">
        <f t="shared" ref="L150:L155" ca="1" si="193">VLOOKUP($AD150,INDIRECT("'"&amp;$B150&amp;"'!"&amp;"$P$200:$AD$203"),3,FALSE)</f>
        <v>0.93</v>
      </c>
      <c r="M150" s="199"/>
      <c r="N150" s="81">
        <f ca="1">VLOOKUP($AD150,INDIRECT("'"&amp;$B150&amp;"'!"&amp;"$P$200:$AD$203"),5,FALSE)</f>
        <v>25</v>
      </c>
      <c r="O150" s="723">
        <f t="shared" ref="O150:O155" ca="1" si="194">VLOOKUP($AD150,INDIRECT("'"&amp;$B150&amp;"'!"&amp;"$P$200:$AD$203"),6,FALSE)/1000</f>
        <v>0.3250909090909091</v>
      </c>
      <c r="P150" s="723">
        <f t="shared" ref="P150:P155" ca="1" si="195">VLOOKUP($AD150,INDIRECT("'"&amp;$B150&amp;"'!"&amp;"$P$200:$AD$203"),7,FALSE)/1000</f>
        <v>1.49E-2</v>
      </c>
      <c r="Q150" s="81">
        <f t="shared" ref="Q150:Q155" ca="1" si="196">VLOOKUP($AD150,INDIRECT("'"&amp;$B150&amp;"'!"&amp;"$P$200:$AD$203"),8,FALSE)</f>
        <v>2.276388888888889</v>
      </c>
      <c r="R150" s="81">
        <v>3.1536000000000002E-2</v>
      </c>
      <c r="S150" s="199">
        <v>0.5</v>
      </c>
      <c r="T150" s="199">
        <f ca="1">HLOOKUP($T$2,INDIRECT("'"&amp;$B150&amp;"'!"&amp;"$P$167:$AC$180"),IF(H150=$AI$13,6,IF(H150=$AI$14,9,14)),FALSE)</f>
        <v>0</v>
      </c>
      <c r="U150" s="773"/>
      <c r="V150" s="199">
        <f t="shared" ref="V150" ca="1" si="197">IF(IF(RIGHT(H150,2)="PH",(1-L150)+$W$2,IF(RIGHT(H150,2)="HT",(1-L150)+$W$1,IF(RIGHT(H150,2)="SH",(1-L150)+$W$3,"")))&gt;0,IF(RIGHT(H150,2)="PH",(1-L150)+$W$2,IF(RIGHT(H150,2)="HT",(1-L150)+$W$1,IF(RIGHT(H150,2)="SH",(1-L150)+$W$3,""))),0)</f>
        <v>0.26999999999999996</v>
      </c>
      <c r="W150" s="709"/>
      <c r="X150" s="698">
        <f t="shared" ca="1" si="145"/>
        <v>0.3</v>
      </c>
      <c r="Y150" s="698">
        <f t="shared" ref="Y150:Y155" ca="1" si="198">VLOOKUP($AD150,INDIRECT("'"&amp;$B150&amp;"'!"&amp;"$P$200:$AD$203"),12,FALSE)</f>
        <v>9</v>
      </c>
      <c r="Z150" s="698">
        <f t="shared" ref="Z150:Z155" ca="1" si="199">VLOOKUP($AD150,INDIRECT("'"&amp;$B150&amp;"'!"&amp;"$P$200:$AD$203"),13,FALSE)</f>
        <v>3</v>
      </c>
      <c r="AA150" s="698">
        <f t="shared" ref="AA150:AA155" ca="1" si="200">VLOOKUP($AD150,INDIRECT("'"&amp;$B150&amp;"'!"&amp;"$P$200:$AD$203"),14,FALSE)</f>
        <v>1</v>
      </c>
      <c r="AB150" s="698">
        <f t="shared" ref="AB150:AB155" ca="1" si="201">VLOOKUP($AD150,INDIRECT("'"&amp;$B150&amp;"'!"&amp;"$P$200:$AD$203"),15,FALSE)</f>
        <v>0.1</v>
      </c>
      <c r="AC150" s="55"/>
      <c r="AD150" s="81">
        <v>2020</v>
      </c>
      <c r="AE150" s="81"/>
      <c r="AF150" s="700"/>
    </row>
    <row r="151" spans="1:32">
      <c r="A151" s="226"/>
      <c r="B151" s="718" t="s">
        <v>1010</v>
      </c>
      <c r="C151" s="226"/>
      <c r="E151" s="261"/>
      <c r="F151" s="224" t="s">
        <v>1149</v>
      </c>
      <c r="G151" s="55"/>
      <c r="H151" s="174"/>
      <c r="I151" s="174" t="str">
        <f t="shared" si="143"/>
        <v>INDFWH</v>
      </c>
      <c r="J151" s="224">
        <f t="shared" si="146"/>
        <v>2030</v>
      </c>
      <c r="K151" s="81"/>
      <c r="L151" s="199">
        <f t="shared" ca="1" si="193"/>
        <v>0.94</v>
      </c>
      <c r="M151" s="199"/>
      <c r="N151" s="81"/>
      <c r="O151" s="723">
        <f t="shared" ca="1" si="194"/>
        <v>0.27090909090909093</v>
      </c>
      <c r="P151" s="723">
        <f t="shared" ca="1" si="195"/>
        <v>1.4154999999999999E-2</v>
      </c>
      <c r="Q151" s="81">
        <f t="shared" ca="1" si="196"/>
        <v>2.0694444444444446</v>
      </c>
      <c r="R151" s="300"/>
      <c r="S151" s="300"/>
      <c r="T151" s="300"/>
      <c r="U151" s="300"/>
      <c r="V151" s="199">
        <f t="shared" ref="V151" ca="1" si="202">IF(IF(RIGHT(H150,2)="PH",(1-L151)+$W$2,IF(RIGHT(H150,2)="HT",(1-L151)+$W$1,IF(RIGHT(H150,2)="SH",(1-L151)+$W$3,"")))&gt;0,IF(RIGHT(H150,2)="PH",(1-L151)+$W$2,IF(RIGHT(H150,2)="HT",(1-L151)+$W$1,IF(RIGHT(H150,2)="SH",(1-L151)+$W$3,""))),0)</f>
        <v>0.26000000000000006</v>
      </c>
      <c r="W151" s="298"/>
      <c r="X151" s="698">
        <f t="shared" ca="1" si="145"/>
        <v>0.3</v>
      </c>
      <c r="Y151" s="698">
        <f t="shared" ca="1" si="198"/>
        <v>7</v>
      </c>
      <c r="Z151" s="698">
        <f t="shared" ca="1" si="199"/>
        <v>2</v>
      </c>
      <c r="AA151" s="698">
        <f t="shared" ca="1" si="200"/>
        <v>1</v>
      </c>
      <c r="AB151" s="698">
        <f t="shared" ca="1" si="201"/>
        <v>0.1</v>
      </c>
      <c r="AC151" s="55"/>
      <c r="AD151" s="81">
        <v>2030</v>
      </c>
      <c r="AE151" s="81"/>
      <c r="AF151" s="700"/>
    </row>
    <row r="152" spans="1:32">
      <c r="B152" s="718" t="s">
        <v>1010</v>
      </c>
      <c r="C152" s="226"/>
      <c r="E152" s="261"/>
      <c r="F152" s="224" t="s">
        <v>1149</v>
      </c>
      <c r="G152" s="55"/>
      <c r="H152" s="174"/>
      <c r="I152" s="174" t="str">
        <f t="shared" si="143"/>
        <v>INDFWH</v>
      </c>
      <c r="J152" s="224">
        <f t="shared" si="146"/>
        <v>2050</v>
      </c>
      <c r="K152" s="81"/>
      <c r="L152" s="199">
        <f t="shared" ca="1" si="193"/>
        <v>0.95</v>
      </c>
      <c r="M152" s="199"/>
      <c r="N152" s="81"/>
      <c r="O152" s="723">
        <f t="shared" ca="1" si="194"/>
        <v>0.27090909090909093</v>
      </c>
      <c r="P152" s="723">
        <f t="shared" ca="1" si="195"/>
        <v>1.2664999999999999E-2</v>
      </c>
      <c r="Q152" s="81">
        <f t="shared" ca="1" si="196"/>
        <v>2.0694444444444446</v>
      </c>
      <c r="R152" s="300"/>
      <c r="S152" s="300"/>
      <c r="T152" s="300"/>
      <c r="U152" s="300"/>
      <c r="V152" s="199">
        <f t="shared" ref="V152" ca="1" si="203">IF(IF(RIGHT(H150,2)="PH",(1-L152)+$W$2,IF(RIGHT(H150,2)="HT",(1-L152)+$W$1,IF(RIGHT(H150,2)="SH",(1-L152)+$W$3,"")))&gt;0,IF(RIGHT(H150,2)="PH",(1-L152)+$W$2,IF(RIGHT(H150,2)="HT",(1-L152)+$W$1,IF(RIGHT(H150,2)="SH",(1-L152)+$W$3,""))),0)</f>
        <v>0.25000000000000006</v>
      </c>
      <c r="W152" s="720"/>
      <c r="X152" s="698">
        <f t="shared" ca="1" si="145"/>
        <v>0.3</v>
      </c>
      <c r="Y152" s="698">
        <f t="shared" ca="1" si="198"/>
        <v>6</v>
      </c>
      <c r="Z152" s="698">
        <f t="shared" ca="1" si="199"/>
        <v>2</v>
      </c>
      <c r="AA152" s="698">
        <f t="shared" ca="1" si="200"/>
        <v>1</v>
      </c>
      <c r="AB152" s="698">
        <f t="shared" ca="1" si="201"/>
        <v>0.1</v>
      </c>
      <c r="AC152" s="203"/>
      <c r="AD152" s="81">
        <v>2050</v>
      </c>
      <c r="AE152" s="81"/>
      <c r="AF152" s="705"/>
    </row>
    <row r="153" spans="1:32">
      <c r="B153" s="718" t="s">
        <v>1010</v>
      </c>
      <c r="C153" s="64"/>
      <c r="D153" s="212" t="str">
        <f>"IND"&amp;RIGHT(H153,4)&amp;"GAS"&amp;"N"&amp;RIGHT(E153,1)</f>
        <v>INDFDSHGASN3</v>
      </c>
      <c r="E153" s="261" t="str">
        <f>"Industrial heating technology "&amp;$AJ$12&amp;" "&amp;RIGHT(H153,2)&amp;" - Gas boiler (Hot Water) - new 3"</f>
        <v>Industrial heating technology Food SH - Gas boiler (Hot Water) - new 3</v>
      </c>
      <c r="F153" s="224" t="s">
        <v>1149</v>
      </c>
      <c r="G153" s="173" t="s">
        <v>2080</v>
      </c>
      <c r="H153" s="174" t="str">
        <f>$AI$15</f>
        <v>IFDSH</v>
      </c>
      <c r="I153" s="174" t="str">
        <f t="shared" si="143"/>
        <v>INDFWH</v>
      </c>
      <c r="J153" s="224">
        <f t="shared" si="146"/>
        <v>2011</v>
      </c>
      <c r="K153" s="299">
        <f>J153</f>
        <v>2011</v>
      </c>
      <c r="L153" s="199">
        <f t="shared" ca="1" si="193"/>
        <v>0.93</v>
      </c>
      <c r="M153" s="199"/>
      <c r="N153" s="81">
        <f ca="1">VLOOKUP($AD153,INDIRECT("'"&amp;$B153&amp;"'!"&amp;"$P$200:$AD$203"),5,FALSE)</f>
        <v>25</v>
      </c>
      <c r="O153" s="723">
        <f t="shared" ca="1" si="194"/>
        <v>0.3250909090909091</v>
      </c>
      <c r="P153" s="723">
        <f t="shared" ca="1" si="195"/>
        <v>1.49E-2</v>
      </c>
      <c r="Q153" s="81">
        <f t="shared" ca="1" si="196"/>
        <v>2.276388888888889</v>
      </c>
      <c r="R153" s="81">
        <v>3.1536000000000002E-2</v>
      </c>
      <c r="S153" s="199">
        <v>0.5</v>
      </c>
      <c r="T153" s="199">
        <f ca="1">HLOOKUP($T$2,INDIRECT("'"&amp;$B153&amp;"'!"&amp;"$P$167:$AC$180"),IF(H153=$AI$13,6,IF(H153=$AI$14,9,14)),FALSE)</f>
        <v>1</v>
      </c>
      <c r="U153" s="772"/>
      <c r="V153" s="199">
        <f t="shared" ref="V153" ca="1" si="204">IF(IF(RIGHT(H153,2)="PH",(1-L153)+$W$2,IF(RIGHT(H153,2)="HT",(1-L153)+$W$1,IF(RIGHT(H153,2)="SH",(1-L153)+$W$3,"")))&gt;0,IF(RIGHT(H153,2)="PH",(1-L153)+$W$2,IF(RIGHT(H153,2)="HT",(1-L153)+$W$1,IF(RIGHT(H153,2)="SH",(1-L153)+$W$3,""))),0)</f>
        <v>6.9999999999999951E-2</v>
      </c>
      <c r="W153" s="298"/>
      <c r="X153" s="698">
        <f t="shared" ca="1" si="145"/>
        <v>0.3</v>
      </c>
      <c r="Y153" s="698">
        <f t="shared" ca="1" si="198"/>
        <v>9</v>
      </c>
      <c r="Z153" s="698">
        <f t="shared" ca="1" si="199"/>
        <v>3</v>
      </c>
      <c r="AA153" s="698">
        <f t="shared" ca="1" si="200"/>
        <v>1</v>
      </c>
      <c r="AB153" s="698">
        <f t="shared" ca="1" si="201"/>
        <v>0.1</v>
      </c>
      <c r="AC153" s="296"/>
      <c r="AD153" s="81">
        <v>2020</v>
      </c>
      <c r="AE153" s="81"/>
      <c r="AF153" s="710"/>
    </row>
    <row r="154" spans="1:32">
      <c r="B154" s="718" t="s">
        <v>1010</v>
      </c>
      <c r="C154" s="64"/>
      <c r="E154" s="261"/>
      <c r="F154" s="224" t="s">
        <v>1149</v>
      </c>
      <c r="G154" s="55"/>
      <c r="H154" s="174"/>
      <c r="I154" s="174" t="str">
        <f t="shared" si="143"/>
        <v>INDFWH</v>
      </c>
      <c r="J154" s="224">
        <f t="shared" si="146"/>
        <v>2030</v>
      </c>
      <c r="K154" s="81"/>
      <c r="L154" s="199">
        <f t="shared" ca="1" si="193"/>
        <v>0.94</v>
      </c>
      <c r="M154" s="199"/>
      <c r="N154" s="81"/>
      <c r="O154" s="723">
        <f t="shared" ca="1" si="194"/>
        <v>0.27090909090909093</v>
      </c>
      <c r="P154" s="723">
        <f t="shared" ca="1" si="195"/>
        <v>1.4154999999999999E-2</v>
      </c>
      <c r="Q154" s="81">
        <f t="shared" ca="1" si="196"/>
        <v>2.0694444444444446</v>
      </c>
      <c r="R154" s="300"/>
      <c r="S154" s="300"/>
      <c r="T154" s="300"/>
      <c r="U154" s="300"/>
      <c r="V154" s="199">
        <f t="shared" ref="V154" ca="1" si="205">IF(IF(RIGHT(H153,2)="PH",(1-L154)+$W$2,IF(RIGHT(H153,2)="HT",(1-L154)+$W$1,IF(RIGHT(H153,2)="SH",(1-L154)+$W$3,"")))&gt;0,IF(RIGHT(H153,2)="PH",(1-L154)+$W$2,IF(RIGHT(H153,2)="HT",(1-L154)+$W$1,IF(RIGHT(H153,2)="SH",(1-L154)+$W$3,""))),0)</f>
        <v>6.0000000000000053E-2</v>
      </c>
      <c r="W154" s="298"/>
      <c r="X154" s="698">
        <f t="shared" ca="1" si="145"/>
        <v>0.3</v>
      </c>
      <c r="Y154" s="698">
        <f t="shared" ca="1" si="198"/>
        <v>7</v>
      </c>
      <c r="Z154" s="698">
        <f t="shared" ca="1" si="199"/>
        <v>2</v>
      </c>
      <c r="AA154" s="698">
        <f t="shared" ca="1" si="200"/>
        <v>1</v>
      </c>
      <c r="AB154" s="698">
        <f t="shared" ca="1" si="201"/>
        <v>0.1</v>
      </c>
      <c r="AC154" s="55"/>
      <c r="AD154" s="81">
        <v>2030</v>
      </c>
      <c r="AE154" s="81"/>
      <c r="AF154" s="700"/>
    </row>
    <row r="155" spans="1:32">
      <c r="A155" s="226"/>
      <c r="B155" s="719" t="s">
        <v>1010</v>
      </c>
      <c r="C155" s="713"/>
      <c r="D155" s="203"/>
      <c r="E155" s="701"/>
      <c r="F155" s="224" t="s">
        <v>1149</v>
      </c>
      <c r="G155" s="203"/>
      <c r="H155" s="702"/>
      <c r="I155" s="702" t="str">
        <f t="shared" si="143"/>
        <v>INDFWH</v>
      </c>
      <c r="J155" s="224">
        <f t="shared" si="146"/>
        <v>2050</v>
      </c>
      <c r="K155" s="81"/>
      <c r="L155" s="199">
        <f t="shared" ca="1" si="193"/>
        <v>0.95</v>
      </c>
      <c r="M155" s="199"/>
      <c r="N155" s="81"/>
      <c r="O155" s="723">
        <f t="shared" ca="1" si="194"/>
        <v>0.27090909090909093</v>
      </c>
      <c r="P155" s="723">
        <f t="shared" ca="1" si="195"/>
        <v>1.2664999999999999E-2</v>
      </c>
      <c r="Q155" s="81">
        <f t="shared" ca="1" si="196"/>
        <v>2.0694444444444446</v>
      </c>
      <c r="R155" s="300"/>
      <c r="S155" s="300"/>
      <c r="T155" s="300"/>
      <c r="U155" s="300"/>
      <c r="V155" s="199">
        <f t="shared" ref="V155" ca="1" si="206">IF(IF(RIGHT(H153,2)="PH",(1-L155)+$W$2,IF(RIGHT(H153,2)="HT",(1-L155)+$W$1,IF(RIGHT(H153,2)="SH",(1-L155)+$W$3,"")))&gt;0,IF(RIGHT(H153,2)="PH",(1-L155)+$W$2,IF(RIGHT(H153,2)="HT",(1-L155)+$W$1,IF(RIGHT(H153,2)="SH",(1-L155)+$W$3,""))),0)</f>
        <v>5.0000000000000044E-2</v>
      </c>
      <c r="W155" s="298"/>
      <c r="X155" s="698">
        <f t="shared" ca="1" si="145"/>
        <v>0.3</v>
      </c>
      <c r="Y155" s="698">
        <f t="shared" ca="1" si="198"/>
        <v>6</v>
      </c>
      <c r="Z155" s="698">
        <f t="shared" ca="1" si="199"/>
        <v>2</v>
      </c>
      <c r="AA155" s="698">
        <f t="shared" ca="1" si="200"/>
        <v>1</v>
      </c>
      <c r="AB155" s="698">
        <f t="shared" ca="1" si="201"/>
        <v>0.1</v>
      </c>
      <c r="AC155" s="55"/>
      <c r="AD155" s="81">
        <v>2050</v>
      </c>
      <c r="AE155" s="81"/>
      <c r="AF155" s="700"/>
    </row>
    <row r="156" spans="1:32">
      <c r="B156" s="718" t="s">
        <v>1010</v>
      </c>
      <c r="C156" s="64"/>
      <c r="D156" s="212" t="str">
        <f>"IND"&amp;RIGHT(H156,4)&amp;"GAS"&amp;"N"&amp;RIGHT(E156,1)</f>
        <v>INDFDPHGASN4</v>
      </c>
      <c r="E156" s="707" t="str">
        <f>"Industrial heating technology "&amp;$AJ$12&amp;" "&amp;RIGHT(H156,2)&amp;" - Gas boiler (Hot Water - condensing) - new 4"</f>
        <v>Industrial heating technology Food PH - Gas boiler (Hot Water - condensing) - new 4</v>
      </c>
      <c r="F156" s="224" t="s">
        <v>1149</v>
      </c>
      <c r="G156" s="173" t="s">
        <v>2080</v>
      </c>
      <c r="H156" s="708" t="str">
        <f>$AI$14</f>
        <v>IFDPH</v>
      </c>
      <c r="I156" s="708" t="str">
        <f t="shared" si="143"/>
        <v>INDFWH</v>
      </c>
      <c r="J156" s="224">
        <f t="shared" si="146"/>
        <v>2011</v>
      </c>
      <c r="K156" s="299">
        <f>J156</f>
        <v>2011</v>
      </c>
      <c r="L156" s="199">
        <f t="shared" ref="L156:L161" ca="1" si="207">VLOOKUP($AD156,INDIRECT("'"&amp;$B156&amp;"'!"&amp;"$P$279:$AD$282"),3,FALSE)</f>
        <v>1.01</v>
      </c>
      <c r="M156" s="199"/>
      <c r="N156" s="81">
        <f ca="1">VLOOKUP($AD156,INDIRECT("'"&amp;$B156&amp;"'!"&amp;"$P$279:$AD$282"),5,FALSE)</f>
        <v>25</v>
      </c>
      <c r="O156" s="723">
        <f t="shared" ref="O156:O161" ca="1" si="208">VLOOKUP($AD156,INDIRECT("'"&amp;$B156&amp;"'!"&amp;"$P$279:$AD$282"),6,FALSE)/1000</f>
        <v>0.35760000000000003</v>
      </c>
      <c r="P156" s="723">
        <f t="shared" ref="P156:P161" ca="1" si="209">VLOOKUP($AD156,INDIRECT("'"&amp;$B156&amp;"'!"&amp;"$P$279:$AD$282"),7,FALSE)/1000</f>
        <v>1.49E-2</v>
      </c>
      <c r="Q156" s="81">
        <f t="shared" ref="Q156:Q161" ca="1" si="210">VLOOKUP($AD156,INDIRECT("'"&amp;$B156&amp;"'!"&amp;"$P$279:$AD$282"),8,FALSE)</f>
        <v>2.276388888888889</v>
      </c>
      <c r="R156" s="81">
        <v>3.1536000000000002E-2</v>
      </c>
      <c r="S156" s="199">
        <v>0.5</v>
      </c>
      <c r="T156" s="199">
        <f ca="1">HLOOKUP($T$2,INDIRECT("'"&amp;$B156&amp;"'!"&amp;"$P$246:$AC$259"),IF(H156=$AI$13,6,IF(H156=$AI$14,9,14)),FALSE)</f>
        <v>0</v>
      </c>
      <c r="U156" s="773"/>
      <c r="V156" s="199">
        <f t="shared" ref="V156" ca="1" si="211">IF(IF(RIGHT(H156,2)="PH",(1-L156)+$W$2,IF(RIGHT(H156,2)="HT",(1-L156)+$W$1,IF(RIGHT(H156,2)="SH",(1-L156)+$W$3,"")))&gt;0,IF(RIGHT(H156,2)="PH",(1-L156)+$W$2,IF(RIGHT(H156,2)="HT",(1-L156)+$W$1,IF(RIGHT(H156,2)="SH",(1-L156)+$W$3,""))),0)</f>
        <v>0.19</v>
      </c>
      <c r="W156" s="709"/>
      <c r="X156" s="698">
        <f t="shared" ca="1" si="145"/>
        <v>0.3</v>
      </c>
      <c r="Y156" s="698">
        <f t="shared" ref="Y156:Y161" ca="1" si="212">VLOOKUP($AD156,INDIRECT("'"&amp;$B156&amp;"'!"&amp;"$P$279:$AD$282"),12,FALSE)</f>
        <v>9</v>
      </c>
      <c r="Z156" s="698">
        <f t="shared" ref="Z156:Z161" ca="1" si="213">VLOOKUP($AD156,INDIRECT("'"&amp;$B156&amp;"'!"&amp;"$P$279:$AD$282"),13,FALSE)</f>
        <v>3</v>
      </c>
      <c r="AA156" s="698">
        <f t="shared" ref="AA156:AA161" ca="1" si="214">VLOOKUP($AD156,INDIRECT("'"&amp;$B156&amp;"'!"&amp;"$P$279:$AD$282"),14,FALSE)</f>
        <v>1</v>
      </c>
      <c r="AB156" s="698">
        <f t="shared" ref="AB156:AB161" ca="1" si="215">VLOOKUP($AD156,INDIRECT("'"&amp;$B156&amp;"'!"&amp;"$P$279:$AD$282"),15,FALSE)</f>
        <v>0.1</v>
      </c>
      <c r="AC156" s="55"/>
      <c r="AD156" s="81">
        <v>2020</v>
      </c>
      <c r="AE156" s="81"/>
      <c r="AF156" s="700"/>
    </row>
    <row r="157" spans="1:32">
      <c r="B157" s="718" t="s">
        <v>1010</v>
      </c>
      <c r="C157" s="64"/>
      <c r="E157" s="261"/>
      <c r="F157" s="224" t="s">
        <v>1149</v>
      </c>
      <c r="G157" s="55"/>
      <c r="H157" s="174"/>
      <c r="I157" s="174" t="str">
        <f t="shared" si="143"/>
        <v>INDFWH</v>
      </c>
      <c r="J157" s="224">
        <f t="shared" si="146"/>
        <v>2030</v>
      </c>
      <c r="K157" s="81"/>
      <c r="L157" s="199">
        <f t="shared" ca="1" si="207"/>
        <v>1.03</v>
      </c>
      <c r="M157" s="199"/>
      <c r="N157" s="81"/>
      <c r="O157" s="723">
        <f t="shared" ca="1" si="208"/>
        <v>0.29800000000000004</v>
      </c>
      <c r="P157" s="723">
        <f t="shared" ca="1" si="209"/>
        <v>1.4154999999999999E-2</v>
      </c>
      <c r="Q157" s="81">
        <f t="shared" ca="1" si="210"/>
        <v>2.0694444444444446</v>
      </c>
      <c r="R157" s="300"/>
      <c r="S157" s="300"/>
      <c r="T157" s="300"/>
      <c r="U157" s="300"/>
      <c r="V157" s="199">
        <f t="shared" ref="V157" ca="1" si="216">IF(IF(RIGHT(H156,2)="PH",(1-L157)+$W$2,IF(RIGHT(H156,2)="HT",(1-L157)+$W$1,IF(RIGHT(H156,2)="SH",(1-L157)+$W$3,"")))&gt;0,IF(RIGHT(H156,2)="PH",(1-L157)+$W$2,IF(RIGHT(H156,2)="HT",(1-L157)+$W$1,IF(RIGHT(H156,2)="SH",(1-L157)+$W$3,""))),0)</f>
        <v>0.16999999999999998</v>
      </c>
      <c r="W157" s="298"/>
      <c r="X157" s="698">
        <f t="shared" ca="1" si="145"/>
        <v>0.3</v>
      </c>
      <c r="Y157" s="698">
        <f t="shared" ca="1" si="212"/>
        <v>7</v>
      </c>
      <c r="Z157" s="698">
        <f t="shared" ca="1" si="213"/>
        <v>2</v>
      </c>
      <c r="AA157" s="698">
        <f t="shared" ca="1" si="214"/>
        <v>1</v>
      </c>
      <c r="AB157" s="698">
        <f t="shared" ca="1" si="215"/>
        <v>0.1</v>
      </c>
      <c r="AC157" s="55"/>
      <c r="AD157" s="81">
        <v>2030</v>
      </c>
      <c r="AE157" s="81"/>
      <c r="AF157" s="700"/>
    </row>
    <row r="158" spans="1:32">
      <c r="B158" s="718" t="s">
        <v>1010</v>
      </c>
      <c r="C158" s="64"/>
      <c r="E158" s="261"/>
      <c r="F158" s="224" t="s">
        <v>1149</v>
      </c>
      <c r="G158" s="55"/>
      <c r="H158" s="174"/>
      <c r="I158" s="174" t="str">
        <f t="shared" si="143"/>
        <v>INDFWH</v>
      </c>
      <c r="J158" s="224">
        <f t="shared" si="146"/>
        <v>2050</v>
      </c>
      <c r="K158" s="81"/>
      <c r="L158" s="199">
        <f t="shared" ca="1" si="207"/>
        <v>1.03</v>
      </c>
      <c r="M158" s="199"/>
      <c r="N158" s="81"/>
      <c r="O158" s="723">
        <f t="shared" ca="1" si="208"/>
        <v>0.29800000000000004</v>
      </c>
      <c r="P158" s="723">
        <f t="shared" ca="1" si="209"/>
        <v>1.2664999999999999E-2</v>
      </c>
      <c r="Q158" s="81">
        <f t="shared" ca="1" si="210"/>
        <v>2.0694444444444446</v>
      </c>
      <c r="R158" s="300"/>
      <c r="S158" s="300"/>
      <c r="T158" s="300"/>
      <c r="U158" s="300"/>
      <c r="V158" s="199">
        <f t="shared" ref="V158" ca="1" si="217">IF(IF(RIGHT(H156,2)="PH",(1-L158)+$W$2,IF(RIGHT(H156,2)="HT",(1-L158)+$W$1,IF(RIGHT(H156,2)="SH",(1-L158)+$W$3,"")))&gt;0,IF(RIGHT(H156,2)="PH",(1-L158)+$W$2,IF(RIGHT(H156,2)="HT",(1-L158)+$W$1,IF(RIGHT(H156,2)="SH",(1-L158)+$W$3,""))),0)</f>
        <v>0.16999999999999998</v>
      </c>
      <c r="W158" s="298"/>
      <c r="X158" s="698">
        <f t="shared" ca="1" si="145"/>
        <v>0.3</v>
      </c>
      <c r="Y158" s="698">
        <f t="shared" ca="1" si="212"/>
        <v>6</v>
      </c>
      <c r="Z158" s="698">
        <f t="shared" ca="1" si="213"/>
        <v>2</v>
      </c>
      <c r="AA158" s="698">
        <f t="shared" ca="1" si="214"/>
        <v>1</v>
      </c>
      <c r="AB158" s="698">
        <f t="shared" ca="1" si="215"/>
        <v>0.1</v>
      </c>
      <c r="AC158" s="203"/>
      <c r="AD158" s="81">
        <v>2050</v>
      </c>
      <c r="AE158" s="81"/>
      <c r="AF158" s="705"/>
    </row>
    <row r="159" spans="1:32">
      <c r="A159" s="226"/>
      <c r="B159" s="718" t="s">
        <v>1010</v>
      </c>
      <c r="C159" s="64"/>
      <c r="D159" s="212" t="str">
        <f>"IND"&amp;RIGHT(H159,4)&amp;"GAS"&amp;"N"&amp;RIGHT(E159,1)</f>
        <v>INDFDSHGASN4</v>
      </c>
      <c r="E159" s="261" t="str">
        <f>"Industrial heating technology "&amp;$AJ$12&amp;" "&amp;RIGHT(H159,2)&amp;" - Gas boiler (Hot Water- condensing) - new 4"</f>
        <v>Industrial heating technology Food SH - Gas boiler (Hot Water- condensing) - new 4</v>
      </c>
      <c r="F159" s="224" t="s">
        <v>1149</v>
      </c>
      <c r="G159" s="173" t="s">
        <v>2080</v>
      </c>
      <c r="H159" s="174" t="str">
        <f>$AI$15</f>
        <v>IFDSH</v>
      </c>
      <c r="I159" s="174" t="str">
        <f t="shared" si="143"/>
        <v>INDFWH</v>
      </c>
      <c r="J159" s="224">
        <f t="shared" si="146"/>
        <v>2011</v>
      </c>
      <c r="K159" s="299">
        <f>J159</f>
        <v>2011</v>
      </c>
      <c r="L159" s="199">
        <f t="shared" ca="1" si="207"/>
        <v>1.01</v>
      </c>
      <c r="M159" s="199"/>
      <c r="N159" s="81">
        <f ca="1">VLOOKUP($AD159,INDIRECT("'"&amp;$B159&amp;"'!"&amp;"$P$279:$AD$282"),5,FALSE)</f>
        <v>25</v>
      </c>
      <c r="O159" s="723">
        <f t="shared" ca="1" si="208"/>
        <v>0.35760000000000003</v>
      </c>
      <c r="P159" s="723">
        <f t="shared" ca="1" si="209"/>
        <v>1.49E-2</v>
      </c>
      <c r="Q159" s="81">
        <f t="shared" ca="1" si="210"/>
        <v>2.276388888888889</v>
      </c>
      <c r="R159" s="81">
        <v>3.1536000000000002E-2</v>
      </c>
      <c r="S159" s="199">
        <v>0.5</v>
      </c>
      <c r="T159" s="199">
        <f ca="1">HLOOKUP($T$2,INDIRECT("'"&amp;$B159&amp;"'!"&amp;"$P$246:$AC$259"),IF(H159=$AI$13,6,IF(H159=$AI$14,9,14)),FALSE)</f>
        <v>1</v>
      </c>
      <c r="U159" s="773"/>
      <c r="V159" s="199">
        <f t="shared" ref="V159" ca="1" si="218">IF(IF(RIGHT(H159,2)="PH",(1-L159)+$W$2,IF(RIGHT(H159,2)="HT",(1-L159)+$W$1,IF(RIGHT(H159,2)="SH",(1-L159)+$W$3,"")))&gt;0,IF(RIGHT(H159,2)="PH",(1-L159)+$W$2,IF(RIGHT(H159,2)="HT",(1-L159)+$W$1,IF(RIGHT(H159,2)="SH",(1-L159)+$W$3,""))),0)</f>
        <v>0</v>
      </c>
      <c r="W159" s="709"/>
      <c r="X159" s="698">
        <f t="shared" ref="X159:X177" ca="1" si="219">IF(VLOOKUP($AD159,INDIRECT("'"&amp;$B159&amp;"'!"&amp;"$P$39:$AD$42"),11,FALSE)="Cf. the utilized electricity",0,VLOOKUP($AD159,INDIRECT("'"&amp;$B159&amp;"'!"&amp;"$P$39:$AD$42"),11,FALSE))</f>
        <v>0.3</v>
      </c>
      <c r="Y159" s="698">
        <f t="shared" ca="1" si="212"/>
        <v>9</v>
      </c>
      <c r="Z159" s="698">
        <f t="shared" ca="1" si="213"/>
        <v>3</v>
      </c>
      <c r="AA159" s="698">
        <f t="shared" ca="1" si="214"/>
        <v>1</v>
      </c>
      <c r="AB159" s="698">
        <f t="shared" ca="1" si="215"/>
        <v>0.1</v>
      </c>
      <c r="AC159" s="296"/>
      <c r="AD159" s="81">
        <v>2020</v>
      </c>
      <c r="AE159" s="81"/>
      <c r="AF159" s="710"/>
    </row>
    <row r="160" spans="1:32">
      <c r="B160" s="718" t="s">
        <v>1010</v>
      </c>
      <c r="C160" s="64"/>
      <c r="E160" s="261"/>
      <c r="F160" s="224" t="s">
        <v>1149</v>
      </c>
      <c r="G160" s="55"/>
      <c r="H160" s="174"/>
      <c r="I160" s="174" t="str">
        <f t="shared" si="143"/>
        <v>INDFWH</v>
      </c>
      <c r="J160" s="224">
        <f t="shared" si="146"/>
        <v>2030</v>
      </c>
      <c r="K160" s="81"/>
      <c r="L160" s="199">
        <f t="shared" ca="1" si="207"/>
        <v>1.03</v>
      </c>
      <c r="M160" s="199"/>
      <c r="N160" s="81"/>
      <c r="O160" s="723">
        <f t="shared" ca="1" si="208"/>
        <v>0.29800000000000004</v>
      </c>
      <c r="P160" s="723">
        <f t="shared" ca="1" si="209"/>
        <v>1.4154999999999999E-2</v>
      </c>
      <c r="Q160" s="81">
        <f t="shared" ca="1" si="210"/>
        <v>2.0694444444444446</v>
      </c>
      <c r="R160" s="300"/>
      <c r="S160" s="300"/>
      <c r="T160" s="300"/>
      <c r="U160" s="300"/>
      <c r="V160" s="199">
        <f t="shared" ref="V160" ca="1" si="220">IF(IF(RIGHT(H159,2)="PH",(1-L160)+$W$2,IF(RIGHT(H159,2)="HT",(1-L160)+$W$1,IF(RIGHT(H159,2)="SH",(1-L160)+$W$3,"")))&gt;0,IF(RIGHT(H159,2)="PH",(1-L160)+$W$2,IF(RIGHT(H159,2)="HT",(1-L160)+$W$1,IF(RIGHT(H159,2)="SH",(1-L160)+$W$3,""))),0)</f>
        <v>0</v>
      </c>
      <c r="W160" s="298"/>
      <c r="X160" s="698">
        <f t="shared" ca="1" si="219"/>
        <v>0.3</v>
      </c>
      <c r="Y160" s="698">
        <f t="shared" ca="1" si="212"/>
        <v>7</v>
      </c>
      <c r="Z160" s="698">
        <f t="shared" ca="1" si="213"/>
        <v>2</v>
      </c>
      <c r="AA160" s="698">
        <f t="shared" ca="1" si="214"/>
        <v>1</v>
      </c>
      <c r="AB160" s="698">
        <f t="shared" ca="1" si="215"/>
        <v>0.1</v>
      </c>
      <c r="AC160" s="55"/>
      <c r="AD160" s="81">
        <v>2030</v>
      </c>
      <c r="AE160" s="81"/>
      <c r="AF160" s="700"/>
    </row>
    <row r="161" spans="1:32">
      <c r="B161" s="719" t="s">
        <v>1010</v>
      </c>
      <c r="C161" s="713"/>
      <c r="D161" s="701"/>
      <c r="E161" s="701"/>
      <c r="F161" s="224" t="s">
        <v>1149</v>
      </c>
      <c r="G161" s="203"/>
      <c r="H161" s="702"/>
      <c r="I161" s="702" t="str">
        <f t="shared" si="143"/>
        <v>INDFWH</v>
      </c>
      <c r="J161" s="224">
        <f t="shared" si="146"/>
        <v>2050</v>
      </c>
      <c r="K161" s="81"/>
      <c r="L161" s="199">
        <f t="shared" ca="1" si="207"/>
        <v>1.03</v>
      </c>
      <c r="M161" s="199"/>
      <c r="N161" s="81"/>
      <c r="O161" s="723">
        <f t="shared" ca="1" si="208"/>
        <v>0.29800000000000004</v>
      </c>
      <c r="P161" s="723">
        <f t="shared" ca="1" si="209"/>
        <v>1.2664999999999999E-2</v>
      </c>
      <c r="Q161" s="81">
        <f t="shared" ca="1" si="210"/>
        <v>2.0694444444444446</v>
      </c>
      <c r="R161" s="300"/>
      <c r="S161" s="300"/>
      <c r="T161" s="300"/>
      <c r="U161" s="300"/>
      <c r="V161" s="199">
        <f t="shared" ref="V161" ca="1" si="221">IF(IF(RIGHT(H159,2)="PH",(1-L161)+$W$2,IF(RIGHT(H159,2)="HT",(1-L161)+$W$1,IF(RIGHT(H159,2)="SH",(1-L161)+$W$3,"")))&gt;0,IF(RIGHT(H159,2)="PH",(1-L161)+$W$2,IF(RIGHT(H159,2)="HT",(1-L161)+$W$1,IF(RIGHT(H159,2)="SH",(1-L161)+$W$3,""))),0)</f>
        <v>0</v>
      </c>
      <c r="W161" s="714"/>
      <c r="X161" s="698">
        <f t="shared" ca="1" si="219"/>
        <v>0.3</v>
      </c>
      <c r="Y161" s="698">
        <f t="shared" ca="1" si="212"/>
        <v>6</v>
      </c>
      <c r="Z161" s="698">
        <f t="shared" ca="1" si="213"/>
        <v>2</v>
      </c>
      <c r="AA161" s="698">
        <f t="shared" ca="1" si="214"/>
        <v>1</v>
      </c>
      <c r="AB161" s="698">
        <f t="shared" ca="1" si="215"/>
        <v>0.1</v>
      </c>
      <c r="AC161" s="55"/>
      <c r="AD161" s="81">
        <v>2050</v>
      </c>
      <c r="AE161" s="81"/>
      <c r="AF161" s="700"/>
    </row>
    <row r="162" spans="1:32">
      <c r="B162" s="718" t="s">
        <v>1010</v>
      </c>
      <c r="C162" s="64"/>
      <c r="D162" s="212" t="str">
        <f>"IND"&amp;RIGHT(H162,4)&amp;"GAS"&amp;"N"&amp;RIGHT(E162,1)</f>
        <v>INDFDPHGASN5</v>
      </c>
      <c r="E162" s="707" t="str">
        <f>"Industrial heating technology "&amp;$AJ$12&amp;" "&amp;RIGHT(H162,2)&amp;" - Gas boiler (Direct firing) - new 5"</f>
        <v>Industrial heating technology Food PH - Gas boiler (Direct firing) - new 5</v>
      </c>
      <c r="F162" s="224" t="s">
        <v>1149</v>
      </c>
      <c r="G162" s="173" t="s">
        <v>2080</v>
      </c>
      <c r="H162" s="174" t="str">
        <f>$AI$13</f>
        <v>IFDPH</v>
      </c>
      <c r="I162" s="174" t="str">
        <f t="shared" si="143"/>
        <v>INDFWH</v>
      </c>
      <c r="J162" s="224">
        <f t="shared" si="146"/>
        <v>2011</v>
      </c>
      <c r="K162" s="299">
        <f>J162</f>
        <v>2011</v>
      </c>
      <c r="L162" s="199">
        <f t="shared" ref="L162:L167" ca="1" si="222">VLOOKUP($AD162,INDIRECT("'"&amp;$B162&amp;"'!"&amp;"$P$345:$AD$348"),3,FALSE)</f>
        <v>1</v>
      </c>
      <c r="M162" s="199"/>
      <c r="N162" s="81">
        <f ca="1">VLOOKUP($AD162,INDIRECT("'"&amp;$B162&amp;"'!"&amp;"$P$345:$AD$348"),5,FALSE)</f>
        <v>15</v>
      </c>
      <c r="O162" s="723">
        <f t="shared" ref="O162:O167" ca="1" si="223">VLOOKUP($AD162,INDIRECT("'"&amp;$B162&amp;"'!"&amp;"$P$345:$AD$348"),6,FALSE)/1000</f>
        <v>0.11175</v>
      </c>
      <c r="P162" s="723">
        <f t="shared" ref="P162:P167" ca="1" si="224">VLOOKUP($AD162,INDIRECT("'"&amp;$B162&amp;"'!"&amp;"$P$345:$AD$348"),7,FALSE)/1000</f>
        <v>1.3545454545454561E-3</v>
      </c>
      <c r="Q162" s="81">
        <f t="shared" ref="Q162:Q167" ca="1" si="225">VLOOKUP($AD162,INDIRECT("'"&amp;$B162&amp;"'!"&amp;"$P$345:$AD$348"),8,FALSE)</f>
        <v>0.58461805555555546</v>
      </c>
      <c r="R162" s="81">
        <v>3.1536000000000002E-2</v>
      </c>
      <c r="S162" s="199">
        <v>0.5</v>
      </c>
      <c r="T162" s="199">
        <f ca="1">HLOOKUP($S$2,INDIRECT("'"&amp;$B162&amp;"'!"&amp;"$P$312:$AC$325"),IF(H162=$AI$13,6,IF(H162=$AI$14,9,14)),FALSE)</f>
        <v>1</v>
      </c>
      <c r="U162" s="773"/>
      <c r="V162" s="199">
        <f t="shared" ref="V162" ca="1" si="226">IF(IF(RIGHT(H162,2)="PH",(1-L162)+$W$2,IF(RIGHT(H162,2)="HT",(1-L162)+$W$1,IF(RIGHT(H162,2)="SH",(1-L162)+$W$3,"")))&gt;0,IF(RIGHT(H162,2)="PH",(1-L162)+$W$2,IF(RIGHT(H162,2)="HT",(1-L162)+$W$1,IF(RIGHT(H162,2)="SH",(1-L162)+$W$3,""))),0)</f>
        <v>0.2</v>
      </c>
      <c r="W162" s="709"/>
      <c r="X162" s="698">
        <f t="shared" ca="1" si="219"/>
        <v>0.3</v>
      </c>
      <c r="Y162" s="698">
        <f t="shared" ref="Y162:Y167" ca="1" si="227">VLOOKUP($AD162,INDIRECT("'"&amp;$B162&amp;"'!"&amp;"$P$345:$AD$348"),12,FALSE)</f>
        <v>9</v>
      </c>
      <c r="Z162" s="698">
        <f t="shared" ref="Z162:Z167" ca="1" si="228">VLOOKUP($AD162,INDIRECT("'"&amp;$B162&amp;"'!"&amp;"$P$345:$AD$348"),13,FALSE)</f>
        <v>3</v>
      </c>
      <c r="AA162" s="698">
        <f t="shared" ref="AA162:AA167" ca="1" si="229">VLOOKUP($AD162,INDIRECT("'"&amp;$B162&amp;"'!"&amp;"$P$345:$AD$348"),14,FALSE)</f>
        <v>1</v>
      </c>
      <c r="AB162" s="698">
        <f t="shared" ref="AB162:AB167" ca="1" si="230">VLOOKUP($AD162,INDIRECT("'"&amp;$B162&amp;"'!"&amp;"$P$345:$AD$348"),15,FALSE)</f>
        <v>0.1</v>
      </c>
      <c r="AC162" s="55"/>
      <c r="AD162" s="81">
        <v>2020</v>
      </c>
      <c r="AE162" s="81"/>
      <c r="AF162" s="700"/>
    </row>
    <row r="163" spans="1:32">
      <c r="B163" s="718" t="s">
        <v>1010</v>
      </c>
      <c r="C163" s="64"/>
      <c r="E163" s="261"/>
      <c r="F163" s="224" t="s">
        <v>1149</v>
      </c>
      <c r="G163" s="55"/>
      <c r="H163" s="174"/>
      <c r="I163" s="174" t="str">
        <f t="shared" si="143"/>
        <v>INDFWH</v>
      </c>
      <c r="J163" s="224">
        <f t="shared" si="146"/>
        <v>2030</v>
      </c>
      <c r="K163" s="81"/>
      <c r="L163" s="199">
        <f t="shared" ca="1" si="222"/>
        <v>1</v>
      </c>
      <c r="M163" s="199"/>
      <c r="N163" s="81"/>
      <c r="O163" s="723">
        <f t="shared" ca="1" si="223"/>
        <v>0.11175</v>
      </c>
      <c r="P163" s="723">
        <f t="shared" ca="1" si="224"/>
        <v>1.3206818181818161E-3</v>
      </c>
      <c r="Q163" s="81">
        <f t="shared" ca="1" si="225"/>
        <v>0.5742708333333334</v>
      </c>
      <c r="R163" s="300"/>
      <c r="S163" s="300"/>
      <c r="T163" s="300"/>
      <c r="U163" s="300"/>
      <c r="V163" s="199">
        <f t="shared" ref="V163" ca="1" si="231">IF(IF(RIGHT(H162,2)="PH",(1-L163)+$W$2,IF(RIGHT(H162,2)="HT",(1-L163)+$W$1,IF(RIGHT(H162,2)="SH",(1-L163)+$W$3,"")))&gt;0,IF(RIGHT(H162,2)="PH",(1-L163)+$W$2,IF(RIGHT(H162,2)="HT",(1-L163)+$W$1,IF(RIGHT(H162,2)="SH",(1-L163)+$W$3,""))),0)</f>
        <v>0.2</v>
      </c>
      <c r="W163" s="298"/>
      <c r="X163" s="698">
        <f t="shared" ca="1" si="219"/>
        <v>0.3</v>
      </c>
      <c r="Y163" s="698">
        <f t="shared" ca="1" si="227"/>
        <v>7</v>
      </c>
      <c r="Z163" s="698">
        <f t="shared" ca="1" si="228"/>
        <v>2</v>
      </c>
      <c r="AA163" s="698">
        <f t="shared" ca="1" si="229"/>
        <v>1</v>
      </c>
      <c r="AB163" s="698">
        <f t="shared" ca="1" si="230"/>
        <v>0.1</v>
      </c>
      <c r="AC163" s="55"/>
      <c r="AD163" s="81">
        <v>2030</v>
      </c>
      <c r="AE163" s="81"/>
      <c r="AF163" s="700"/>
    </row>
    <row r="164" spans="1:32">
      <c r="B164" s="718" t="s">
        <v>1010</v>
      </c>
      <c r="C164" s="64"/>
      <c r="E164" s="261"/>
      <c r="F164" s="224" t="s">
        <v>1149</v>
      </c>
      <c r="G164" s="55"/>
      <c r="H164" s="174"/>
      <c r="I164" s="174" t="str">
        <f t="shared" si="143"/>
        <v>INDFWH</v>
      </c>
      <c r="J164" s="224">
        <f t="shared" si="146"/>
        <v>2050</v>
      </c>
      <c r="K164" s="81"/>
      <c r="L164" s="199">
        <f t="shared" ca="1" si="222"/>
        <v>1</v>
      </c>
      <c r="M164" s="199"/>
      <c r="N164" s="81"/>
      <c r="O164" s="723">
        <f t="shared" ca="1" si="223"/>
        <v>0.11175</v>
      </c>
      <c r="P164" s="723">
        <f t="shared" ca="1" si="224"/>
        <v>1.1513636363636396E-3</v>
      </c>
      <c r="Q164" s="81">
        <f t="shared" ca="1" si="225"/>
        <v>0.57944444444444443</v>
      </c>
      <c r="R164" s="300"/>
      <c r="S164" s="300"/>
      <c r="T164" s="300"/>
      <c r="U164" s="300"/>
      <c r="V164" s="199">
        <f t="shared" ref="V164" ca="1" si="232">IF(IF(RIGHT(H162,2)="PH",(1-L164)+$W$2,IF(RIGHT(H162,2)="HT",(1-L164)+$W$1,IF(RIGHT(H162,2)="SH",(1-L164)+$W$3,"")))&gt;0,IF(RIGHT(H162,2)="PH",(1-L164)+$W$2,IF(RIGHT(H162,2)="HT",(1-L164)+$W$1,IF(RIGHT(H162,2)="SH",(1-L164)+$W$3,""))),0)</f>
        <v>0.2</v>
      </c>
      <c r="W164" s="298"/>
      <c r="X164" s="698">
        <f t="shared" ca="1" si="219"/>
        <v>0.3</v>
      </c>
      <c r="Y164" s="698">
        <f t="shared" ca="1" si="227"/>
        <v>6</v>
      </c>
      <c r="Z164" s="698">
        <f t="shared" ca="1" si="228"/>
        <v>2</v>
      </c>
      <c r="AA164" s="698">
        <f t="shared" ca="1" si="229"/>
        <v>1</v>
      </c>
      <c r="AB164" s="698">
        <f t="shared" ca="1" si="230"/>
        <v>0.1</v>
      </c>
      <c r="AC164" s="203"/>
      <c r="AD164" s="81">
        <v>2050</v>
      </c>
      <c r="AE164" s="81"/>
      <c r="AF164" s="700"/>
    </row>
    <row r="165" spans="1:32">
      <c r="B165" s="718" t="s">
        <v>1010</v>
      </c>
      <c r="C165" s="64"/>
      <c r="D165" s="212" t="str">
        <f>"IND"&amp;RIGHT(H165,4)&amp;"GAS"&amp;"N"&amp;RIGHT(E165,1)</f>
        <v>INDFDPHGASN5</v>
      </c>
      <c r="E165" s="261" t="str">
        <f>"Industrial heating technology "&amp;$AJ$12&amp;" "&amp;RIGHT(H165,2)&amp;" - Gas boiler (Direct firing) - new 5"</f>
        <v>Industrial heating technology Food PH - Gas boiler (Direct firing) - new 5</v>
      </c>
      <c r="F165" s="224" t="s">
        <v>1149</v>
      </c>
      <c r="G165" s="173" t="s">
        <v>2080</v>
      </c>
      <c r="H165" s="174" t="str">
        <f>$AI$14</f>
        <v>IFDPH</v>
      </c>
      <c r="I165" s="721" t="str">
        <f t="shared" si="143"/>
        <v>INDFWH</v>
      </c>
      <c r="J165" s="224">
        <f t="shared" si="146"/>
        <v>2011</v>
      </c>
      <c r="K165" s="299">
        <f>J165</f>
        <v>2011</v>
      </c>
      <c r="L165" s="199">
        <f t="shared" ca="1" si="222"/>
        <v>1</v>
      </c>
      <c r="M165" s="199"/>
      <c r="N165" s="81">
        <f ca="1">VLOOKUP($AD165,INDIRECT("'"&amp;$B165&amp;"'!"&amp;"$P$279:$AD$282"),5,FALSE)</f>
        <v>25</v>
      </c>
      <c r="O165" s="723">
        <f t="shared" ca="1" si="223"/>
        <v>0.11175</v>
      </c>
      <c r="P165" s="723">
        <f t="shared" ca="1" si="224"/>
        <v>1.3545454545454561E-3</v>
      </c>
      <c r="Q165" s="81">
        <f t="shared" ca="1" si="225"/>
        <v>0.58461805555555546</v>
      </c>
      <c r="R165" s="81">
        <v>3.1536000000000002E-2</v>
      </c>
      <c r="S165" s="199">
        <v>0.5</v>
      </c>
      <c r="T165" s="199">
        <f ca="1">HLOOKUP($S$2,INDIRECT("'"&amp;$B165&amp;"'!"&amp;"$P$312:$AC$325"),IF(H165=$AI$13,6,IF(H165=$AI$14,9,14)),FALSE)</f>
        <v>1</v>
      </c>
      <c r="U165" s="773"/>
      <c r="V165" s="199">
        <f t="shared" ref="V165" ca="1" si="233">IF(IF(RIGHT(H165,2)="PH",(1-L165)+$W$2,IF(RIGHT(H165,2)="HT",(1-L165)+$W$1,IF(RIGHT(H165,2)="SH",(1-L165)+$W$3,"")))&gt;0,IF(RIGHT(H165,2)="PH",(1-L165)+$W$2,IF(RIGHT(H165,2)="HT",(1-L165)+$W$1,IF(RIGHT(H165,2)="SH",(1-L165)+$W$3,""))),0)</f>
        <v>0.2</v>
      </c>
      <c r="W165" s="709"/>
      <c r="X165" s="698">
        <f t="shared" ca="1" si="219"/>
        <v>0.3</v>
      </c>
      <c r="Y165" s="698">
        <f t="shared" ca="1" si="227"/>
        <v>9</v>
      </c>
      <c r="Z165" s="698">
        <f t="shared" ca="1" si="228"/>
        <v>3</v>
      </c>
      <c r="AA165" s="698">
        <f t="shared" ca="1" si="229"/>
        <v>1</v>
      </c>
      <c r="AB165" s="698">
        <f t="shared" ca="1" si="230"/>
        <v>0.1</v>
      </c>
      <c r="AD165" s="277">
        <v>2020</v>
      </c>
      <c r="AE165" s="273"/>
      <c r="AF165" s="830"/>
    </row>
    <row r="166" spans="1:32">
      <c r="B166" s="718" t="s">
        <v>1010</v>
      </c>
      <c r="C166" s="64"/>
      <c r="E166" s="261"/>
      <c r="F166" s="224" t="s">
        <v>1149</v>
      </c>
      <c r="G166" s="55"/>
      <c r="H166" s="174"/>
      <c r="I166" s="174" t="str">
        <f t="shared" si="143"/>
        <v>INDFWH</v>
      </c>
      <c r="J166" s="224">
        <f t="shared" si="146"/>
        <v>2030</v>
      </c>
      <c r="K166" s="81"/>
      <c r="L166" s="199">
        <f t="shared" ca="1" si="222"/>
        <v>1</v>
      </c>
      <c r="M166" s="199"/>
      <c r="N166" s="81"/>
      <c r="O166" s="723">
        <f t="shared" ca="1" si="223"/>
        <v>0.11175</v>
      </c>
      <c r="P166" s="723">
        <f t="shared" ca="1" si="224"/>
        <v>1.3206818181818161E-3</v>
      </c>
      <c r="Q166" s="81">
        <f t="shared" ca="1" si="225"/>
        <v>0.5742708333333334</v>
      </c>
      <c r="R166" s="300"/>
      <c r="S166" s="300"/>
      <c r="T166" s="300"/>
      <c r="U166" s="300"/>
      <c r="V166" s="199">
        <f t="shared" ref="V166" ca="1" si="234">IF(IF(RIGHT(H165,2)="PH",(1-L166)+$W$2,IF(RIGHT(H165,2)="HT",(1-L166)+$W$1,IF(RIGHT(H165,2)="SH",(1-L166)+$W$3,"")))&gt;0,IF(RIGHT(H165,2)="PH",(1-L166)+$W$2,IF(RIGHT(H165,2)="HT",(1-L166)+$W$1,IF(RIGHT(H165,2)="SH",(1-L166)+$W$3,""))),0)</f>
        <v>0.2</v>
      </c>
      <c r="W166" s="298"/>
      <c r="X166" s="698">
        <f t="shared" ca="1" si="219"/>
        <v>0.3</v>
      </c>
      <c r="Y166" s="698">
        <f t="shared" ca="1" si="227"/>
        <v>7</v>
      </c>
      <c r="Z166" s="698">
        <f t="shared" ca="1" si="228"/>
        <v>2</v>
      </c>
      <c r="AA166" s="698">
        <f t="shared" ca="1" si="229"/>
        <v>1</v>
      </c>
      <c r="AB166" s="698">
        <f t="shared" ca="1" si="230"/>
        <v>0.1</v>
      </c>
      <c r="AD166" s="81">
        <v>2030</v>
      </c>
      <c r="AE166" s="273"/>
      <c r="AF166" s="828"/>
    </row>
    <row r="167" spans="1:32">
      <c r="A167" s="169"/>
      <c r="B167" s="719" t="s">
        <v>1010</v>
      </c>
      <c r="C167" s="713"/>
      <c r="D167" s="701"/>
      <c r="E167" s="701"/>
      <c r="F167" s="224" t="s">
        <v>1149</v>
      </c>
      <c r="G167" s="203"/>
      <c r="H167" s="702"/>
      <c r="I167" s="702" t="str">
        <f t="shared" si="143"/>
        <v>INDFWH</v>
      </c>
      <c r="J167" s="224">
        <f t="shared" si="146"/>
        <v>2050</v>
      </c>
      <c r="K167" s="81"/>
      <c r="L167" s="199">
        <f t="shared" ca="1" si="222"/>
        <v>1</v>
      </c>
      <c r="M167" s="199"/>
      <c r="N167" s="81"/>
      <c r="O167" s="723">
        <f t="shared" ca="1" si="223"/>
        <v>0.11175</v>
      </c>
      <c r="P167" s="723">
        <f t="shared" ca="1" si="224"/>
        <v>1.1513636363636396E-3</v>
      </c>
      <c r="Q167" s="81">
        <f t="shared" ca="1" si="225"/>
        <v>0.57944444444444443</v>
      </c>
      <c r="R167" s="722"/>
      <c r="S167" s="703"/>
      <c r="T167" s="703"/>
      <c r="U167" s="703"/>
      <c r="V167" s="199">
        <f t="shared" ref="V167" ca="1" si="235">IF(IF(RIGHT(H165,2)="PH",(1-L167)+$W$2,IF(RIGHT(H165,2)="HT",(1-L167)+$W$1,IF(RIGHT(H165,2)="SH",(1-L167)+$W$3,"")))&gt;0,IF(RIGHT(H165,2)="PH",(1-L167)+$W$2,IF(RIGHT(H165,2)="HT",(1-L167)+$W$1,IF(RIGHT(H165,2)="SH",(1-L167)+$W$3,""))),0)</f>
        <v>0.2</v>
      </c>
      <c r="W167" s="714"/>
      <c r="X167" s="698">
        <f t="shared" ca="1" si="219"/>
        <v>0.3</v>
      </c>
      <c r="Y167" s="698">
        <f t="shared" ca="1" si="227"/>
        <v>6</v>
      </c>
      <c r="Z167" s="698">
        <f t="shared" ca="1" si="228"/>
        <v>2</v>
      </c>
      <c r="AA167" s="698">
        <f t="shared" ca="1" si="229"/>
        <v>1</v>
      </c>
      <c r="AB167" s="698">
        <f t="shared" ca="1" si="230"/>
        <v>0.1</v>
      </c>
      <c r="AD167" s="81">
        <v>2050</v>
      </c>
      <c r="AE167" s="273"/>
      <c r="AF167" s="828"/>
    </row>
    <row r="168" spans="1:32">
      <c r="A168" s="169"/>
      <c r="B168" s="718" t="s">
        <v>1099</v>
      </c>
      <c r="C168" s="226"/>
      <c r="D168" s="707" t="str">
        <f>"IND"&amp;RIGHT(H168,4)&amp;RIGHT(G168,3)&amp;"N"&amp;RIGHT(E168,1)</f>
        <v>INDFDPHCOAN1</v>
      </c>
      <c r="E168" s="261" t="str">
        <f>"Industrial heating technology "&amp;$AJ$12&amp;" "&amp;RIGHT(H168,2)&amp;" - Coal boiler (Steam) - new 1"</f>
        <v>Industrial heating technology Food PH - Coal boiler (Steam) - new 1</v>
      </c>
      <c r="F168" s="224" t="s">
        <v>1149</v>
      </c>
      <c r="G168" s="55" t="s">
        <v>617</v>
      </c>
      <c r="H168" s="174" t="str">
        <f>$AI$13</f>
        <v>IFDPH</v>
      </c>
      <c r="I168" s="174" t="str">
        <f t="shared" si="143"/>
        <v>INDFWH</v>
      </c>
      <c r="J168" s="224">
        <f t="shared" si="146"/>
        <v>2011</v>
      </c>
      <c r="K168" s="299">
        <v>2025</v>
      </c>
      <c r="L168" s="199">
        <f t="shared" ref="L168:L176" ca="1" si="236">VLOOKUP($AD168,INDIRECT("'"&amp;$B168&amp;"'!"&amp;"$P$39:$AD$42"),3,FALSE)</f>
        <v>0.89</v>
      </c>
      <c r="M168" s="699"/>
      <c r="N168" s="299">
        <f ca="1">VLOOKUP($AD168,INDIRECT("'"&amp;$B168&amp;"'!"&amp;"$P$39:$AD$42"),5,FALSE)</f>
        <v>25</v>
      </c>
      <c r="O168" s="725">
        <f t="shared" ref="O168:O176" ca="1" si="237">VLOOKUP($AD168,INDIRECT("'"&amp;$B168&amp;"'!"&amp;"$P$39:$AD$42"),6,FALSE)/1000</f>
        <v>3.7250000000000001</v>
      </c>
      <c r="P168" s="725">
        <f t="shared" ref="P168:P176" ca="1" si="238">VLOOKUP($AD168,INDIRECT("'"&amp;$B168&amp;"'!"&amp;"$P$39:$AD$42"),7,FALSE)/1000</f>
        <v>0.25106499999999998</v>
      </c>
      <c r="Q168" s="299">
        <f t="shared" ref="Q168:Q176" ca="1" si="239">VLOOKUP($AD168,INDIRECT("'"&amp;$B168&amp;"'!"&amp;"$P$39:$AD$42"),8,FALSE)</f>
        <v>3.9381527777777778</v>
      </c>
      <c r="R168" s="299">
        <v>3.1536000000000002E-2</v>
      </c>
      <c r="S168" s="699">
        <v>0.5</v>
      </c>
      <c r="T168" s="699">
        <f ca="1">HLOOKUP($T$2,INDIRECT("'"&amp;$B168&amp;"'!"&amp;"$P$6:$AC$19"),IF(H168=$AI$13,6,IF(H168=$AI$14,9,14)),FALSE)</f>
        <v>1</v>
      </c>
      <c r="U168" s="772"/>
      <c r="V168" s="199">
        <f t="shared" ref="V168" ca="1" si="240">IF(IF(RIGHT(H168,2)="PH",(1-L168)+$W$2,IF(RIGHT(H168,2)="HT",(1-L168)+$W$1,IF(RIGHT(H168,2)="SH",(1-L168)+$W$3,"")))&gt;0,IF(RIGHT(H168,2)="PH",(1-L168)+$W$2,IF(RIGHT(H168,2)="HT",(1-L168)+$W$1,IF(RIGHT(H168,2)="SH",(1-L168)+$W$3,""))),0)</f>
        <v>0.31</v>
      </c>
      <c r="W168" s="298"/>
      <c r="X168" s="698">
        <f t="shared" ca="1" si="219"/>
        <v>8</v>
      </c>
      <c r="Y168" s="299">
        <f t="shared" ref="Y168:Y176" ca="1" si="241">VLOOKUP($AD168,INDIRECT("'"&amp;$B168&amp;"'!"&amp;"$P$39:$AD$42"),12,FALSE)</f>
        <v>35</v>
      </c>
      <c r="Z168" s="299">
        <f t="shared" ref="Z168:Z176" ca="1" si="242">VLOOKUP($AD168,INDIRECT("'"&amp;$B168&amp;"'!"&amp;"$P$39:$AD$42"),13,FALSE)</f>
        <v>1.5</v>
      </c>
      <c r="AA168" s="299">
        <f t="shared" ref="AA168:AA176" ca="1" si="243">VLOOKUP($AD168,INDIRECT("'"&amp;$B168&amp;"'!"&amp;"$P$39:$AD$42"),14,FALSE)</f>
        <v>0.8</v>
      </c>
      <c r="AB168" s="299">
        <f t="shared" ref="AB168:AB176" ca="1" si="244">VLOOKUP($AD168,INDIRECT("'"&amp;$B168&amp;"'!"&amp;"$P$39:$AD$42"),15,FALSE)</f>
        <v>2.1</v>
      </c>
      <c r="AD168" s="81">
        <v>2020</v>
      </c>
      <c r="AE168" s="273"/>
      <c r="AF168" s="828"/>
    </row>
    <row r="169" spans="1:32">
      <c r="A169" s="169"/>
      <c r="B169" s="718" t="s">
        <v>1099</v>
      </c>
      <c r="C169" s="226"/>
      <c r="D169" s="261"/>
      <c r="E169" s="261"/>
      <c r="F169" s="224" t="s">
        <v>1149</v>
      </c>
      <c r="G169" s="55"/>
      <c r="H169" s="174"/>
      <c r="I169" s="174" t="str">
        <f t="shared" si="143"/>
        <v>INDFWH</v>
      </c>
      <c r="J169" s="224">
        <f t="shared" si="146"/>
        <v>2030</v>
      </c>
      <c r="K169" s="81"/>
      <c r="L169" s="199">
        <f t="shared" ca="1" si="236"/>
        <v>0.89</v>
      </c>
      <c r="M169" s="772"/>
      <c r="N169" s="200"/>
      <c r="O169" s="725">
        <f t="shared" ca="1" si="237"/>
        <v>3.4699403462447704</v>
      </c>
      <c r="P169" s="725">
        <f t="shared" ca="1" si="238"/>
        <v>0.24287</v>
      </c>
      <c r="Q169" s="299">
        <f t="shared" ca="1" si="239"/>
        <v>3.9836805555555559</v>
      </c>
      <c r="R169" s="823"/>
      <c r="S169" s="300"/>
      <c r="T169" s="300"/>
      <c r="U169" s="300"/>
      <c r="V169" s="199">
        <f t="shared" ref="V169" ca="1" si="245">IF(IF(RIGHT(H168,2)="PH",(1-L169)+$W$2,IF(RIGHT(H168,2)="HT",(1-L169)+$W$1,IF(RIGHT(H168,2)="SH",(1-L169)+$W$3,"")))&gt;0,IF(RIGHT(H168,2)="PH",(1-L169)+$W$2,IF(RIGHT(H168,2)="HT",(1-L169)+$W$1,IF(RIGHT(H168,2)="SH",(1-L169)+$W$3,""))),0)</f>
        <v>0.31</v>
      </c>
      <c r="W169" s="298"/>
      <c r="X169" s="698">
        <f t="shared" ca="1" si="219"/>
        <v>8</v>
      </c>
      <c r="Y169" s="299">
        <f t="shared" ca="1" si="241"/>
        <v>35</v>
      </c>
      <c r="Z169" s="299">
        <f t="shared" ca="1" si="242"/>
        <v>1.5</v>
      </c>
      <c r="AA169" s="299">
        <f t="shared" ca="1" si="243"/>
        <v>0.8</v>
      </c>
      <c r="AB169" s="299">
        <f t="shared" ca="1" si="244"/>
        <v>2.1</v>
      </c>
      <c r="AD169" s="81">
        <v>2030</v>
      </c>
      <c r="AE169" s="273"/>
      <c r="AF169" s="828"/>
    </row>
    <row r="170" spans="1:32">
      <c r="A170" s="169"/>
      <c r="B170" s="718" t="s">
        <v>1099</v>
      </c>
      <c r="C170" s="226"/>
      <c r="D170" s="261"/>
      <c r="E170" s="261"/>
      <c r="F170" s="224" t="s">
        <v>1149</v>
      </c>
      <c r="G170" s="55"/>
      <c r="H170" s="174"/>
      <c r="I170" s="174" t="str">
        <f t="shared" si="143"/>
        <v>INDFWH</v>
      </c>
      <c r="J170" s="224">
        <f t="shared" si="146"/>
        <v>2050</v>
      </c>
      <c r="K170" s="81"/>
      <c r="L170" s="199">
        <f t="shared" ca="1" si="236"/>
        <v>0.91</v>
      </c>
      <c r="M170" s="772"/>
      <c r="N170" s="200"/>
      <c r="O170" s="725">
        <f t="shared" ca="1" si="237"/>
        <v>3.2813985758696647</v>
      </c>
      <c r="P170" s="725">
        <f t="shared" ca="1" si="238"/>
        <v>0.22797000000000001</v>
      </c>
      <c r="Q170" s="299">
        <f t="shared" ca="1" si="239"/>
        <v>4.0064444444444449</v>
      </c>
      <c r="R170" s="823"/>
      <c r="S170" s="300"/>
      <c r="T170" s="300"/>
      <c r="U170" s="300"/>
      <c r="V170" s="199">
        <f t="shared" ref="V170" ca="1" si="246">IF(IF(RIGHT(H168,2)="PH",(1-L170)+$W$2,IF(RIGHT(H168,2)="HT",(1-L170)+$W$1,IF(RIGHT(H168,2)="SH",(1-L170)+$W$3,"")))&gt;0,IF(RIGHT(H168,2)="PH",(1-L170)+$W$2,IF(RIGHT(H168,2)="HT",(1-L170)+$W$1,IF(RIGHT(H168,2)="SH",(1-L170)+$W$3,""))),0)</f>
        <v>0.28999999999999998</v>
      </c>
      <c r="W170" s="298"/>
      <c r="X170" s="698">
        <f t="shared" ca="1" si="219"/>
        <v>8</v>
      </c>
      <c r="Y170" s="299">
        <f t="shared" ca="1" si="241"/>
        <v>35</v>
      </c>
      <c r="Z170" s="299">
        <f t="shared" ca="1" si="242"/>
        <v>1.5</v>
      </c>
      <c r="AA170" s="299">
        <f t="shared" ca="1" si="243"/>
        <v>0.8</v>
      </c>
      <c r="AB170" s="299">
        <f t="shared" ca="1" si="244"/>
        <v>2.1</v>
      </c>
      <c r="AD170" s="81">
        <v>2050</v>
      </c>
      <c r="AE170" s="273"/>
      <c r="AF170" s="828"/>
    </row>
    <row r="171" spans="1:32">
      <c r="A171" s="169"/>
      <c r="B171" s="718" t="s">
        <v>1099</v>
      </c>
      <c r="C171" s="226"/>
      <c r="D171" s="261" t="str">
        <f>"IND"&amp;RIGHT(H171,4)&amp;RIGHT(G171,3)&amp;"N"&amp;RIGHT(E171,1)</f>
        <v>INDFDPHCOAN1</v>
      </c>
      <c r="E171" s="261" t="str">
        <f>"Industrial heating technology "&amp;$AJ$12&amp;" "&amp;RIGHT(H171,2)&amp;" - Coal boiler (Steam) - new 1"</f>
        <v>Industrial heating technology Food PH - Coal boiler (Steam) - new 1</v>
      </c>
      <c r="F171" s="224" t="s">
        <v>1149</v>
      </c>
      <c r="G171" s="55" t="s">
        <v>617</v>
      </c>
      <c r="H171" s="174" t="str">
        <f>$AI$14</f>
        <v>IFDPH</v>
      </c>
      <c r="I171" s="174" t="str">
        <f t="shared" si="143"/>
        <v>INDFWH</v>
      </c>
      <c r="J171" s="224">
        <f t="shared" si="146"/>
        <v>2011</v>
      </c>
      <c r="K171" s="299">
        <v>2025</v>
      </c>
      <c r="L171" s="199">
        <f t="shared" ca="1" si="236"/>
        <v>0.89</v>
      </c>
      <c r="M171" s="199"/>
      <c r="N171" s="81">
        <f ca="1">VLOOKUP($AD171,INDIRECT("'"&amp;$B171&amp;"'!"&amp;"$P$39:$AD$42"),5,FALSE)</f>
        <v>25</v>
      </c>
      <c r="O171" s="725">
        <f t="shared" ca="1" si="237"/>
        <v>3.7250000000000001</v>
      </c>
      <c r="P171" s="725">
        <f t="shared" ca="1" si="238"/>
        <v>0.25106499999999998</v>
      </c>
      <c r="Q171" s="299">
        <f t="shared" ca="1" si="239"/>
        <v>3.9381527777777778</v>
      </c>
      <c r="R171" s="81">
        <v>3.1536000000000002E-2</v>
      </c>
      <c r="S171" s="199">
        <v>0.5</v>
      </c>
      <c r="T171" s="199">
        <f ca="1">HLOOKUP($T$2,INDIRECT("'"&amp;$B171&amp;"'!"&amp;"$P$6:$AC$19"),IF(H171=$AI$13,6,IF(H171=$AI$14,9,14)),FALSE)</f>
        <v>1</v>
      </c>
      <c r="U171" s="772"/>
      <c r="V171" s="199">
        <f t="shared" ref="V171" ca="1" si="247">IF(IF(RIGHT(H171,2)="PH",(1-L171)+$W$2,IF(RIGHT(H171,2)="HT",(1-L171)+$W$1,IF(RIGHT(H171,2)="SH",(1-L171)+$W$3,"")))&gt;0,IF(RIGHT(H171,2)="PH",(1-L171)+$W$2,IF(RIGHT(H171,2)="HT",(1-L171)+$W$1,IF(RIGHT(H171,2)="SH",(1-L171)+$W$3,""))),0)</f>
        <v>0.31</v>
      </c>
      <c r="W171" s="298"/>
      <c r="X171" s="698">
        <f t="shared" ca="1" si="219"/>
        <v>8</v>
      </c>
      <c r="Y171" s="299">
        <f t="shared" ca="1" si="241"/>
        <v>35</v>
      </c>
      <c r="Z171" s="299">
        <f t="shared" ca="1" si="242"/>
        <v>1.5</v>
      </c>
      <c r="AA171" s="299">
        <f t="shared" ca="1" si="243"/>
        <v>0.8</v>
      </c>
      <c r="AB171" s="299">
        <f t="shared" ca="1" si="244"/>
        <v>2.1</v>
      </c>
      <c r="AD171" s="81">
        <v>2020</v>
      </c>
      <c r="AE171" s="273"/>
      <c r="AF171" s="828"/>
    </row>
    <row r="172" spans="1:32">
      <c r="A172" s="169"/>
      <c r="B172" s="718" t="s">
        <v>1099</v>
      </c>
      <c r="C172" s="226"/>
      <c r="D172" s="261"/>
      <c r="E172" s="261"/>
      <c r="F172" s="224" t="s">
        <v>1149</v>
      </c>
      <c r="G172" s="55"/>
      <c r="H172" s="174"/>
      <c r="I172" s="174" t="str">
        <f t="shared" si="143"/>
        <v>INDFWH</v>
      </c>
      <c r="J172" s="224">
        <f t="shared" si="146"/>
        <v>2030</v>
      </c>
      <c r="K172" s="81"/>
      <c r="L172" s="199">
        <f t="shared" ca="1" si="236"/>
        <v>0.89</v>
      </c>
      <c r="M172" s="772"/>
      <c r="N172" s="200"/>
      <c r="O172" s="725">
        <f t="shared" ca="1" si="237"/>
        <v>3.4699403462447704</v>
      </c>
      <c r="P172" s="725">
        <f t="shared" ca="1" si="238"/>
        <v>0.24287</v>
      </c>
      <c r="Q172" s="299">
        <f t="shared" ca="1" si="239"/>
        <v>3.9836805555555559</v>
      </c>
      <c r="R172" s="823"/>
      <c r="S172" s="300"/>
      <c r="T172" s="300"/>
      <c r="U172" s="300"/>
      <c r="V172" s="199">
        <f t="shared" ref="V172" ca="1" si="248">IF(IF(RIGHT(H171,2)="PH",(1-L172)+$W$2,IF(RIGHT(H171,2)="HT",(1-L172)+$W$1,IF(RIGHT(H171,2)="SH",(1-L172)+$W$3,"")))&gt;0,IF(RIGHT(H171,2)="PH",(1-L172)+$W$2,IF(RIGHT(H171,2)="HT",(1-L172)+$W$1,IF(RIGHT(H171,2)="SH",(1-L172)+$W$3,""))),0)</f>
        <v>0.31</v>
      </c>
      <c r="W172" s="298"/>
      <c r="X172" s="698">
        <f t="shared" ca="1" si="219"/>
        <v>8</v>
      </c>
      <c r="Y172" s="299">
        <f t="shared" ca="1" si="241"/>
        <v>35</v>
      </c>
      <c r="Z172" s="299">
        <f t="shared" ca="1" si="242"/>
        <v>1.5</v>
      </c>
      <c r="AA172" s="299">
        <f t="shared" ca="1" si="243"/>
        <v>0.8</v>
      </c>
      <c r="AB172" s="299">
        <f t="shared" ca="1" si="244"/>
        <v>2.1</v>
      </c>
      <c r="AD172" s="81">
        <v>2030</v>
      </c>
      <c r="AE172" s="273"/>
      <c r="AF172" s="828"/>
    </row>
    <row r="173" spans="1:32">
      <c r="A173" s="169"/>
      <c r="B173" s="718" t="s">
        <v>1099</v>
      </c>
      <c r="C173" s="226"/>
      <c r="D173" s="261"/>
      <c r="E173" s="261"/>
      <c r="F173" s="224" t="s">
        <v>1149</v>
      </c>
      <c r="G173" s="55"/>
      <c r="H173" s="174"/>
      <c r="I173" s="174" t="str">
        <f t="shared" si="143"/>
        <v>INDFWH</v>
      </c>
      <c r="J173" s="224">
        <f t="shared" si="146"/>
        <v>2050</v>
      </c>
      <c r="K173" s="81"/>
      <c r="L173" s="199">
        <f t="shared" ca="1" si="236"/>
        <v>0.91</v>
      </c>
      <c r="M173" s="772"/>
      <c r="N173" s="200"/>
      <c r="O173" s="725">
        <f t="shared" ca="1" si="237"/>
        <v>3.2813985758696647</v>
      </c>
      <c r="P173" s="725">
        <f t="shared" ca="1" si="238"/>
        <v>0.22797000000000001</v>
      </c>
      <c r="Q173" s="299">
        <f t="shared" ca="1" si="239"/>
        <v>4.0064444444444449</v>
      </c>
      <c r="R173" s="823"/>
      <c r="S173" s="300"/>
      <c r="T173" s="300"/>
      <c r="U173" s="300"/>
      <c r="V173" s="199">
        <f t="shared" ref="V173" ca="1" si="249">IF(IF(RIGHT(H171,2)="PH",(1-L173)+$W$2,IF(RIGHT(H171,2)="HT",(1-L173)+$W$1,IF(RIGHT(H171,2)="SH",(1-L173)+$W$3,"")))&gt;0,IF(RIGHT(H171,2)="PH",(1-L173)+$W$2,IF(RIGHT(H171,2)="HT",(1-L173)+$W$1,IF(RIGHT(H171,2)="SH",(1-L173)+$W$3,""))),0)</f>
        <v>0.28999999999999998</v>
      </c>
      <c r="W173" s="298"/>
      <c r="X173" s="698">
        <f t="shared" ca="1" si="219"/>
        <v>8</v>
      </c>
      <c r="Y173" s="299">
        <f t="shared" ca="1" si="241"/>
        <v>35</v>
      </c>
      <c r="Z173" s="299">
        <f t="shared" ca="1" si="242"/>
        <v>1.5</v>
      </c>
      <c r="AA173" s="299">
        <f t="shared" ca="1" si="243"/>
        <v>0.8</v>
      </c>
      <c r="AB173" s="299">
        <f t="shared" ca="1" si="244"/>
        <v>2.1</v>
      </c>
      <c r="AD173" s="81">
        <v>2050</v>
      </c>
      <c r="AE173" s="273"/>
      <c r="AF173" s="828"/>
    </row>
    <row r="174" spans="1:32">
      <c r="A174" s="169"/>
      <c r="B174" s="718" t="s">
        <v>1099</v>
      </c>
      <c r="C174" s="226"/>
      <c r="D174" s="261" t="str">
        <f>"IND"&amp;RIGHT(H174,4)&amp;RIGHT(G174,3)&amp;"N"&amp;RIGHT(E174,1)</f>
        <v>INDFDSHCOAN1</v>
      </c>
      <c r="E174" s="261" t="str">
        <f>"Industrial heating technology "&amp;$AJ$12&amp;" "&amp;RIGHT(H174,2)&amp;" - Coal boiler (Steam) - new 1"</f>
        <v>Industrial heating technology Food SH - Coal boiler (Steam) - new 1</v>
      </c>
      <c r="F174" s="224" t="s">
        <v>1149</v>
      </c>
      <c r="G174" s="55" t="s">
        <v>617</v>
      </c>
      <c r="H174" s="174" t="str">
        <f>$AI$15</f>
        <v>IFDSH</v>
      </c>
      <c r="I174" s="174" t="str">
        <f t="shared" si="143"/>
        <v>INDFWH</v>
      </c>
      <c r="J174" s="224">
        <f t="shared" si="146"/>
        <v>2011</v>
      </c>
      <c r="K174" s="299">
        <v>2025</v>
      </c>
      <c r="L174" s="199">
        <f t="shared" ca="1" si="236"/>
        <v>0.89</v>
      </c>
      <c r="M174" s="199"/>
      <c r="N174" s="81">
        <f ca="1">VLOOKUP($AD174,INDIRECT("'"&amp;$B174&amp;"'!"&amp;"$P$39:$AD$42"),5,FALSE)</f>
        <v>25</v>
      </c>
      <c r="O174" s="725">
        <f t="shared" ca="1" si="237"/>
        <v>3.7250000000000001</v>
      </c>
      <c r="P174" s="725">
        <f t="shared" ca="1" si="238"/>
        <v>0.25106499999999998</v>
      </c>
      <c r="Q174" s="299">
        <f t="shared" ca="1" si="239"/>
        <v>3.9381527777777778</v>
      </c>
      <c r="R174" s="81">
        <v>3.1536000000000002E-2</v>
      </c>
      <c r="S174" s="199">
        <v>0.5</v>
      </c>
      <c r="T174" s="199">
        <f ca="1">HLOOKUP($T$2,INDIRECT("'"&amp;$B174&amp;"'!"&amp;"$P$6:$AC$19"),IF(H174=$AI$13,6,IF(H174=$AI$14,9,14)),FALSE)</f>
        <v>1</v>
      </c>
      <c r="U174" s="772"/>
      <c r="V174" s="199">
        <f t="shared" ref="V174" ca="1" si="250">IF(IF(RIGHT(H174,2)="PH",(1-L174)+$W$2,IF(RIGHT(H174,2)="HT",(1-L174)+$W$1,IF(RIGHT(H174,2)="SH",(1-L174)+$W$3,"")))&gt;0,IF(RIGHT(H174,2)="PH",(1-L174)+$W$2,IF(RIGHT(H174,2)="HT",(1-L174)+$W$1,IF(RIGHT(H174,2)="SH",(1-L174)+$W$3,""))),0)</f>
        <v>0.10999999999999999</v>
      </c>
      <c r="W174" s="298"/>
      <c r="X174" s="698">
        <f t="shared" ca="1" si="219"/>
        <v>8</v>
      </c>
      <c r="Y174" s="299">
        <f t="shared" ca="1" si="241"/>
        <v>35</v>
      </c>
      <c r="Z174" s="299">
        <f t="shared" ca="1" si="242"/>
        <v>1.5</v>
      </c>
      <c r="AA174" s="299">
        <f t="shared" ca="1" si="243"/>
        <v>0.8</v>
      </c>
      <c r="AB174" s="299">
        <f t="shared" ca="1" si="244"/>
        <v>2.1</v>
      </c>
      <c r="AD174" s="81">
        <v>2020</v>
      </c>
      <c r="AE174" s="273"/>
      <c r="AF174" s="828"/>
    </row>
    <row r="175" spans="1:32">
      <c r="A175" s="169"/>
      <c r="B175" s="718" t="s">
        <v>1099</v>
      </c>
      <c r="C175" s="226"/>
      <c r="D175" s="261"/>
      <c r="E175" s="261"/>
      <c r="F175" s="224" t="s">
        <v>1149</v>
      </c>
      <c r="G175" s="55"/>
      <c r="H175" s="174"/>
      <c r="I175" s="174" t="str">
        <f t="shared" si="143"/>
        <v>INDFWH</v>
      </c>
      <c r="J175" s="224">
        <f t="shared" si="146"/>
        <v>2030</v>
      </c>
      <c r="K175" s="81"/>
      <c r="L175" s="199">
        <f t="shared" ca="1" si="236"/>
        <v>0.89</v>
      </c>
      <c r="M175" s="772"/>
      <c r="N175" s="200"/>
      <c r="O175" s="725">
        <f t="shared" ca="1" si="237"/>
        <v>3.4699403462447704</v>
      </c>
      <c r="P175" s="725">
        <f t="shared" ca="1" si="238"/>
        <v>0.24287</v>
      </c>
      <c r="Q175" s="299">
        <f t="shared" ca="1" si="239"/>
        <v>3.9836805555555559</v>
      </c>
      <c r="R175" s="823"/>
      <c r="S175" s="300"/>
      <c r="T175" s="300"/>
      <c r="U175" s="300"/>
      <c r="V175" s="199">
        <f t="shared" ref="V175" ca="1" si="251">IF(IF(RIGHT(H174,2)="PH",(1-L175)+$W$2,IF(RIGHT(H174,2)="HT",(1-L175)+$W$1,IF(RIGHT(H174,2)="SH",(1-L175)+$W$3,"")))&gt;0,IF(RIGHT(H174,2)="PH",(1-L175)+$W$2,IF(RIGHT(H174,2)="HT",(1-L175)+$W$1,IF(RIGHT(H174,2)="SH",(1-L175)+$W$3,""))),0)</f>
        <v>0.10999999999999999</v>
      </c>
      <c r="W175" s="298"/>
      <c r="X175" s="698">
        <f t="shared" ca="1" si="219"/>
        <v>8</v>
      </c>
      <c r="Y175" s="299">
        <f t="shared" ca="1" si="241"/>
        <v>35</v>
      </c>
      <c r="Z175" s="299">
        <f t="shared" ca="1" si="242"/>
        <v>1.5</v>
      </c>
      <c r="AA175" s="299">
        <f t="shared" ca="1" si="243"/>
        <v>0.8</v>
      </c>
      <c r="AB175" s="299">
        <f t="shared" ca="1" si="244"/>
        <v>2.1</v>
      </c>
      <c r="AD175" s="81">
        <v>2030</v>
      </c>
      <c r="AE175" s="273"/>
      <c r="AF175" s="828"/>
    </row>
    <row r="176" spans="1:32">
      <c r="A176" s="169"/>
      <c r="B176" s="719" t="s">
        <v>1099</v>
      </c>
      <c r="C176" s="713"/>
      <c r="D176" s="701"/>
      <c r="E176" s="701"/>
      <c r="F176" s="224" t="s">
        <v>1149</v>
      </c>
      <c r="G176" s="203"/>
      <c r="H176" s="702"/>
      <c r="I176" s="702" t="str">
        <f t="shared" si="143"/>
        <v>INDFWH</v>
      </c>
      <c r="J176" s="224">
        <f t="shared" si="146"/>
        <v>2050</v>
      </c>
      <c r="K176" s="81"/>
      <c r="L176" s="199">
        <f t="shared" ca="1" si="236"/>
        <v>0.91</v>
      </c>
      <c r="M176" s="826"/>
      <c r="N176" s="825"/>
      <c r="O176" s="725">
        <f t="shared" ca="1" si="237"/>
        <v>3.2813985758696647</v>
      </c>
      <c r="P176" s="725">
        <f t="shared" ca="1" si="238"/>
        <v>0.22797000000000001</v>
      </c>
      <c r="Q176" s="299">
        <f t="shared" ca="1" si="239"/>
        <v>4.0064444444444449</v>
      </c>
      <c r="R176" s="722"/>
      <c r="S176" s="703"/>
      <c r="T176" s="703"/>
      <c r="U176" s="703"/>
      <c r="V176" s="199">
        <f t="shared" ref="V176" ca="1" si="252">IF(IF(RIGHT(H174,2)="PH",(1-L176)+$W$2,IF(RIGHT(H174,2)="HT",(1-L176)+$W$1,IF(RIGHT(H174,2)="SH",(1-L176)+$W$3,"")))&gt;0,IF(RIGHT(H174,2)="PH",(1-L176)+$W$2,IF(RIGHT(H174,2)="HT",(1-L176)+$W$1,IF(RIGHT(H174,2)="SH",(1-L176)+$W$3,""))),0)</f>
        <v>8.9999999999999969E-2</v>
      </c>
      <c r="W176" s="704"/>
      <c r="X176" s="698">
        <f t="shared" ca="1" si="219"/>
        <v>8</v>
      </c>
      <c r="Y176" s="299">
        <f t="shared" ca="1" si="241"/>
        <v>35</v>
      </c>
      <c r="Z176" s="299">
        <f t="shared" ca="1" si="242"/>
        <v>1.5</v>
      </c>
      <c r="AA176" s="299">
        <f t="shared" ca="1" si="243"/>
        <v>0.8</v>
      </c>
      <c r="AB176" s="299">
        <f t="shared" ca="1" si="244"/>
        <v>2.1</v>
      </c>
      <c r="AC176" s="203"/>
      <c r="AD176" s="81">
        <v>2050</v>
      </c>
      <c r="AE176" s="273"/>
      <c r="AF176" s="829"/>
    </row>
    <row r="177" spans="1:32">
      <c r="A177" s="169"/>
      <c r="B177" s="718" t="s">
        <v>1099</v>
      </c>
      <c r="C177" s="226"/>
      <c r="D177" s="707" t="str">
        <f>"IND"&amp;RIGHT(H177,4)&amp;RIGHT(G177,3)&amp;"N"&amp;RIGHT(E177,1)</f>
        <v>INDFDPHCOAN2</v>
      </c>
      <c r="E177" s="261" t="str">
        <f>"Industrial heating technology "&amp;$AJ$12&amp;" "&amp;RIGHT(H177,2)&amp;" - Coal boiler (Hot Water) - new 2"</f>
        <v>Industrial heating technology Food PH - Coal boiler (Hot Water) - new 2</v>
      </c>
      <c r="F177" s="224" t="s">
        <v>1149</v>
      </c>
      <c r="G177" s="55" t="s">
        <v>617</v>
      </c>
      <c r="H177" s="174" t="str">
        <f>$AI$14</f>
        <v>IFDPH</v>
      </c>
      <c r="I177" s="174" t="str">
        <f t="shared" si="143"/>
        <v>INDFWH</v>
      </c>
      <c r="J177" s="224">
        <f t="shared" si="146"/>
        <v>2011</v>
      </c>
      <c r="K177" s="299">
        <v>2025</v>
      </c>
      <c r="L177" s="199">
        <f t="shared" ref="L177:L182" ca="1" si="253">VLOOKUP($AD177,INDIRECT("'"&amp;$B177&amp;"'!"&amp;"$P$118:$AD$121"),3,FALSE)</f>
        <v>0.89</v>
      </c>
      <c r="M177" s="199"/>
      <c r="N177" s="81">
        <f ca="1">VLOOKUP($AD177,INDIRECT("'"&amp;$B177&amp;"'!"&amp;"$P$118:$AD$121"),5,FALSE)</f>
        <v>25</v>
      </c>
      <c r="O177" s="723">
        <f t="shared" ref="O177:O182" ca="1" si="254">VLOOKUP($AD177,INDIRECT("'"&amp;$B177&amp;"'!"&amp;"$P$118:$AD$121"),6,FALSE)/1000</f>
        <v>3.7250000000000001</v>
      </c>
      <c r="P177" s="723">
        <f t="shared" ref="P177:P182" ca="1" si="255">VLOOKUP($AD177,INDIRECT("'"&amp;$B177&amp;"'!"&amp;"$P$118:$AD$121"),7,FALSE)/1000</f>
        <v>0.25106499999999998</v>
      </c>
      <c r="Q177" s="81">
        <f t="shared" ref="Q177:Q182" ca="1" si="256">VLOOKUP($AD177,INDIRECT("'"&amp;$B177&amp;"'!"&amp;"$P$118:$AD$121"),8,FALSE)</f>
        <v>3.9381527777777778</v>
      </c>
      <c r="R177" s="81">
        <v>3.1536000000000002E-2</v>
      </c>
      <c r="S177" s="199">
        <v>0.5</v>
      </c>
      <c r="T177" s="199">
        <f ca="1">HLOOKUP($T$2,INDIRECT("'"&amp;$B177&amp;"'!"&amp;"$P$85:$AC$98"),IF(H177=$AI$13,6,IF(H177=$AI$14,9,14)),FALSE)</f>
        <v>0</v>
      </c>
      <c r="U177" s="773"/>
      <c r="V177" s="199">
        <f t="shared" ref="V177" ca="1" si="257">IF(IF(RIGHT(H177,2)="PH",(1-L177)+$W$2,IF(RIGHT(H177,2)="HT",(1-L177)+$W$1,IF(RIGHT(H177,2)="SH",(1-L177)+$W$3,"")))&gt;0,IF(RIGHT(H177,2)="PH",(1-L177)+$W$2,IF(RIGHT(H177,2)="HT",(1-L177)+$W$1,IF(RIGHT(H177,2)="SH",(1-L177)+$W$3,""))),0)</f>
        <v>0.31</v>
      </c>
      <c r="W177" s="709"/>
      <c r="X177" s="698">
        <f t="shared" ca="1" si="219"/>
        <v>8</v>
      </c>
      <c r="Y177" s="698">
        <f ca="1">VLOOKUP($AD177,INDIRECT("'"&amp;$B177&amp;"'!"&amp;"$P$118:$AD$121"),12,FALSE)</f>
        <v>35</v>
      </c>
      <c r="Z177" s="698">
        <f ca="1">VLOOKUP($AD177,INDIRECT("'"&amp;$B177&amp;"'!"&amp;"$P$118:$AD$121"),13,FALSE)</f>
        <v>1.5</v>
      </c>
      <c r="AA177" s="698">
        <f ca="1">VLOOKUP($AD177,INDIRECT("'"&amp;$B177&amp;"'!"&amp;"$P$118:$AD$121"),14,FALSE)</f>
        <v>0.8</v>
      </c>
      <c r="AB177" s="698">
        <f ca="1">VLOOKUP($AD177,INDIRECT("'"&amp;$B177&amp;"'!"&amp;"$P$118:$AD$121"),15,FALSE)</f>
        <v>2.1</v>
      </c>
      <c r="AC177" s="55"/>
      <c r="AD177" s="81">
        <v>2020</v>
      </c>
      <c r="AE177" s="273"/>
      <c r="AF177" s="828"/>
    </row>
    <row r="178" spans="1:32">
      <c r="A178" s="169"/>
      <c r="B178" s="718" t="s">
        <v>1099</v>
      </c>
      <c r="C178" s="226"/>
      <c r="D178" s="261"/>
      <c r="E178" s="261"/>
      <c r="F178" s="224" t="s">
        <v>1149</v>
      </c>
      <c r="G178" s="55"/>
      <c r="H178" s="174"/>
      <c r="I178" s="174" t="str">
        <f t="shared" si="143"/>
        <v>INDFWH</v>
      </c>
      <c r="J178" s="224">
        <f t="shared" si="146"/>
        <v>2030</v>
      </c>
      <c r="K178" s="81"/>
      <c r="L178" s="199">
        <f t="shared" ca="1" si="253"/>
        <v>0.89</v>
      </c>
      <c r="M178" s="772"/>
      <c r="N178" s="200"/>
      <c r="O178" s="723">
        <f t="shared" ca="1" si="254"/>
        <v>3.7250000000000001</v>
      </c>
      <c r="P178" s="723">
        <f t="shared" ca="1" si="255"/>
        <v>0.24287</v>
      </c>
      <c r="Q178" s="81">
        <f t="shared" ca="1" si="256"/>
        <v>3.9836805555555559</v>
      </c>
      <c r="R178" s="823"/>
      <c r="S178" s="300"/>
      <c r="T178" s="300"/>
      <c r="U178" s="300"/>
      <c r="V178" s="199">
        <f t="shared" ref="V178" ca="1" si="258">IF(IF(RIGHT(H177,2)="PH",(1-L178)+$W$2,IF(RIGHT(H177,2)="HT",(1-L178)+$W$1,IF(RIGHT(H177,2)="SH",(1-L178)+$W$3,"")))&gt;0,IF(RIGHT(H177,2)="PH",(1-L178)+$W$2,IF(RIGHT(H177,2)="HT",(1-L178)+$W$1,IF(RIGHT(H177,2)="SH",(1-L178)+$W$3,""))),0)</f>
        <v>0.31</v>
      </c>
      <c r="W178" s="298"/>
      <c r="X178" s="824"/>
      <c r="Y178" s="824"/>
      <c r="Z178" s="824"/>
      <c r="AA178" s="824"/>
      <c r="AB178" s="824"/>
      <c r="AD178" s="81">
        <v>2030</v>
      </c>
      <c r="AE178" s="273"/>
      <c r="AF178" s="828"/>
    </row>
    <row r="179" spans="1:32">
      <c r="A179" s="169"/>
      <c r="B179" s="718" t="s">
        <v>1099</v>
      </c>
      <c r="C179" s="226"/>
      <c r="D179" s="261"/>
      <c r="E179" s="261"/>
      <c r="F179" s="224" t="s">
        <v>1149</v>
      </c>
      <c r="G179" s="55"/>
      <c r="H179" s="174"/>
      <c r="I179" s="174" t="str">
        <f t="shared" si="143"/>
        <v>INDFWH</v>
      </c>
      <c r="J179" s="224">
        <f t="shared" si="146"/>
        <v>2050</v>
      </c>
      <c r="K179" s="81"/>
      <c r="L179" s="199">
        <f t="shared" ca="1" si="253"/>
        <v>0.91</v>
      </c>
      <c r="M179" s="772"/>
      <c r="N179" s="200"/>
      <c r="O179" s="723">
        <f t="shared" ca="1" si="254"/>
        <v>3.7250000000000001</v>
      </c>
      <c r="P179" s="723">
        <f t="shared" ca="1" si="255"/>
        <v>0.22797000000000001</v>
      </c>
      <c r="Q179" s="81">
        <f t="shared" ca="1" si="256"/>
        <v>4.0064444444444449</v>
      </c>
      <c r="R179" s="823"/>
      <c r="S179" s="300"/>
      <c r="T179" s="300"/>
      <c r="U179" s="300"/>
      <c r="V179" s="199">
        <f t="shared" ref="V179" ca="1" si="259">IF(IF(RIGHT(H177,2)="PH",(1-L179)+$W$2,IF(RIGHT(H177,2)="HT",(1-L179)+$W$1,IF(RIGHT(H177,2)="SH",(1-L179)+$W$3,"")))&gt;0,IF(RIGHT(H177,2)="PH",(1-L179)+$W$2,IF(RIGHT(H177,2)="HT",(1-L179)+$W$1,IF(RIGHT(H177,2)="SH",(1-L179)+$W$3,""))),0)</f>
        <v>0.28999999999999998</v>
      </c>
      <c r="W179" s="298"/>
      <c r="X179" s="824"/>
      <c r="Y179" s="824"/>
      <c r="Z179" s="824"/>
      <c r="AA179" s="824"/>
      <c r="AB179" s="824"/>
      <c r="AD179" s="81">
        <v>2050</v>
      </c>
      <c r="AE179" s="273"/>
      <c r="AF179" s="828"/>
    </row>
    <row r="180" spans="1:32">
      <c r="A180" s="169"/>
      <c r="B180" s="718" t="s">
        <v>1099</v>
      </c>
      <c r="C180" s="226"/>
      <c r="D180" s="261" t="str">
        <f>"IND"&amp;RIGHT(H180,4)&amp;RIGHT(G180,3)&amp;"N"&amp;RIGHT(E180,1)</f>
        <v>INDFDSHCOAN2</v>
      </c>
      <c r="E180" s="261" t="str">
        <f>"Industrial heating technology "&amp;$AJ$12&amp;" "&amp;RIGHT(H180,2)&amp;" - Coal boiler (Hot Water) - new 2"</f>
        <v>Industrial heating technology Food SH - Coal boiler (Hot Water) - new 2</v>
      </c>
      <c r="F180" s="224" t="s">
        <v>1149</v>
      </c>
      <c r="G180" s="55" t="s">
        <v>617</v>
      </c>
      <c r="H180" s="174" t="str">
        <f>$AI$15</f>
        <v>IFDSH</v>
      </c>
      <c r="I180" s="174" t="str">
        <f t="shared" si="143"/>
        <v>INDFWH</v>
      </c>
      <c r="J180" s="224">
        <f t="shared" si="146"/>
        <v>2011</v>
      </c>
      <c r="K180" s="299">
        <v>2025</v>
      </c>
      <c r="L180" s="199">
        <f t="shared" ca="1" si="253"/>
        <v>0.89</v>
      </c>
      <c r="M180" s="199"/>
      <c r="N180" s="81">
        <f ca="1">VLOOKUP($AD180,INDIRECT("'"&amp;$B180&amp;"'!"&amp;"$P$118:$AD$121"),5,FALSE)</f>
        <v>25</v>
      </c>
      <c r="O180" s="723">
        <f t="shared" ca="1" si="254"/>
        <v>3.7250000000000001</v>
      </c>
      <c r="P180" s="723">
        <f t="shared" ca="1" si="255"/>
        <v>0.25106499999999998</v>
      </c>
      <c r="Q180" s="81">
        <f t="shared" ca="1" si="256"/>
        <v>3.9381527777777778</v>
      </c>
      <c r="R180" s="81">
        <v>3.1536000000000002E-2</v>
      </c>
      <c r="S180" s="199">
        <v>0.5</v>
      </c>
      <c r="T180" s="199">
        <f ca="1">HLOOKUP($T$2,INDIRECT("'"&amp;$B180&amp;"'!"&amp;"$P$85:$AC$98"),IF(H180=$AI$13,6,IF(H180=$AI$14,9,14)),FALSE)</f>
        <v>1</v>
      </c>
      <c r="U180" s="773"/>
      <c r="V180" s="199">
        <f t="shared" ref="V180" ca="1" si="260">IF(IF(RIGHT(H180,2)="PH",(1-L180)+$W$2,IF(RIGHT(H180,2)="HT",(1-L180)+$W$1,IF(RIGHT(H180,2)="SH",(1-L180)+$W$3,"")))&gt;0,IF(RIGHT(H180,2)="PH",(1-L180)+$W$2,IF(RIGHT(H180,2)="HT",(1-L180)+$W$1,IF(RIGHT(H180,2)="SH",(1-L180)+$W$3,""))),0)</f>
        <v>0.10999999999999999</v>
      </c>
      <c r="W180" s="709"/>
      <c r="X180" s="698">
        <f ca="1">IF(VLOOKUP($AD180,INDIRECT("'"&amp;$B180&amp;"'!"&amp;"$P$39:$AD$42"),11,FALSE)="Cf. the utilized electricity",0,VLOOKUP($AD180,INDIRECT("'"&amp;$B180&amp;"'!"&amp;"$P$39:$AD$42"),11,FALSE))</f>
        <v>8</v>
      </c>
      <c r="Y180" s="698">
        <f ca="1">VLOOKUP($AD180,INDIRECT("'"&amp;$B180&amp;"'!"&amp;"$P$118:$AD$121"),12,FALSE)</f>
        <v>35</v>
      </c>
      <c r="Z180" s="698">
        <f ca="1">VLOOKUP($AD180,INDIRECT("'"&amp;$B180&amp;"'!"&amp;"$P$118:$AD$121"),13,FALSE)</f>
        <v>1.5</v>
      </c>
      <c r="AA180" s="698">
        <f ca="1">VLOOKUP($AD180,INDIRECT("'"&amp;$B180&amp;"'!"&amp;"$P$118:$AD$121"),14,FALSE)</f>
        <v>0.8</v>
      </c>
      <c r="AB180" s="698">
        <f ca="1">VLOOKUP($AD180,INDIRECT("'"&amp;$B180&amp;"'!"&amp;"$P$118:$AD$121"),15,FALSE)</f>
        <v>2.1</v>
      </c>
      <c r="AC180" s="55"/>
      <c r="AD180" s="81">
        <v>2020</v>
      </c>
      <c r="AE180" s="273"/>
      <c r="AF180" s="828"/>
    </row>
    <row r="181" spans="1:32">
      <c r="A181" s="169"/>
      <c r="B181" s="718" t="s">
        <v>1099</v>
      </c>
      <c r="C181" s="226"/>
      <c r="D181" s="261"/>
      <c r="E181" s="261"/>
      <c r="F181" s="224" t="s">
        <v>1149</v>
      </c>
      <c r="G181" s="55"/>
      <c r="H181" s="174"/>
      <c r="I181" s="174" t="str">
        <f t="shared" si="143"/>
        <v>INDFWH</v>
      </c>
      <c r="J181" s="224">
        <f t="shared" si="146"/>
        <v>2030</v>
      </c>
      <c r="K181" s="200"/>
      <c r="L181" s="199">
        <f t="shared" ca="1" si="253"/>
        <v>0.89</v>
      </c>
      <c r="M181" s="772"/>
      <c r="N181" s="200"/>
      <c r="O181" s="723">
        <f t="shared" ca="1" si="254"/>
        <v>3.7250000000000001</v>
      </c>
      <c r="P181" s="723">
        <f t="shared" ca="1" si="255"/>
        <v>0.24287</v>
      </c>
      <c r="Q181" s="81">
        <f t="shared" ca="1" si="256"/>
        <v>3.9836805555555559</v>
      </c>
      <c r="R181" s="823"/>
      <c r="S181" s="300"/>
      <c r="T181" s="300"/>
      <c r="U181" s="300"/>
      <c r="V181" s="199">
        <f t="shared" ref="V181" ca="1" si="261">IF(IF(RIGHT(H180,2)="PH",(1-L181)+$W$2,IF(RIGHT(H180,2)="HT",(1-L181)+$W$1,IF(RIGHT(H180,2)="SH",(1-L181)+$W$3,"")))&gt;0,IF(RIGHT(H180,2)="PH",(1-L181)+$W$2,IF(RIGHT(H180,2)="HT",(1-L181)+$W$1,IF(RIGHT(H180,2)="SH",(1-L181)+$W$3,""))),0)</f>
        <v>0.10999999999999999</v>
      </c>
      <c r="W181" s="298"/>
      <c r="X181" s="824"/>
      <c r="Y181" s="824"/>
      <c r="Z181" s="824"/>
      <c r="AA181" s="824"/>
      <c r="AB181" s="824"/>
      <c r="AD181" s="81">
        <v>2030</v>
      </c>
      <c r="AE181" s="273"/>
      <c r="AF181" s="828"/>
    </row>
    <row r="182" spans="1:32">
      <c r="A182" s="831"/>
      <c r="B182" s="719" t="s">
        <v>1099</v>
      </c>
      <c r="C182" s="713"/>
      <c r="D182" s="701"/>
      <c r="E182" s="701"/>
      <c r="F182" s="224" t="s">
        <v>1149</v>
      </c>
      <c r="G182" s="203"/>
      <c r="H182" s="702"/>
      <c r="I182" s="266" t="str">
        <f t="shared" si="143"/>
        <v>INDFWH</v>
      </c>
      <c r="J182" s="224">
        <f t="shared" si="146"/>
        <v>2050</v>
      </c>
      <c r="K182" s="825"/>
      <c r="L182" s="199">
        <f t="shared" ca="1" si="253"/>
        <v>0.91</v>
      </c>
      <c r="M182" s="826"/>
      <c r="N182" s="825"/>
      <c r="O182" s="723">
        <f t="shared" ca="1" si="254"/>
        <v>3.7250000000000001</v>
      </c>
      <c r="P182" s="723">
        <f t="shared" ca="1" si="255"/>
        <v>0.22797000000000001</v>
      </c>
      <c r="Q182" s="81">
        <f t="shared" ca="1" si="256"/>
        <v>4.0064444444444449</v>
      </c>
      <c r="R182" s="722"/>
      <c r="S182" s="703"/>
      <c r="T182" s="703"/>
      <c r="U182" s="703"/>
      <c r="V182" s="199">
        <f t="shared" ref="V182" ca="1" si="262">IF(IF(RIGHT(H180,2)="PH",(1-L182)+$W$2,IF(RIGHT(H180,2)="HT",(1-L182)+$W$1,IF(RIGHT(H180,2)="SH",(1-L182)+$W$3,"")))&gt;0,IF(RIGHT(H180,2)="PH",(1-L182)+$W$2,IF(RIGHT(H180,2)="HT",(1-L182)+$W$1,IF(RIGHT(H180,2)="SH",(1-L182)+$W$3,""))),0)</f>
        <v>8.9999999999999969E-2</v>
      </c>
      <c r="W182" s="704"/>
      <c r="X182" s="827"/>
      <c r="Y182" s="827"/>
      <c r="Z182" s="827"/>
      <c r="AA182" s="827"/>
      <c r="AB182" s="827"/>
      <c r="AC182" s="203"/>
      <c r="AD182" s="81">
        <v>2050</v>
      </c>
      <c r="AE182" s="273"/>
      <c r="AF182" s="829"/>
    </row>
    <row r="183" spans="1:32">
      <c r="A183" s="831"/>
      <c r="B183" s="226" t="s">
        <v>576</v>
      </c>
      <c r="C183" s="901"/>
      <c r="D183" s="261" t="str">
        <f>"IND"&amp;RIGHT(H183,4)&amp;RIGHT(G183,3)&amp;"N"&amp;RIGHT(E183,1)</f>
        <v>INDFDSHSOLN1</v>
      </c>
      <c r="E183" s="261" t="str">
        <f>"Industrial heating technology "&amp;$AJ$12&amp;" "&amp;RIGHT(H183,2)&amp;" - Solar - new 1"</f>
        <v>Industrial heating technology Food SH - Solar - new 1</v>
      </c>
      <c r="F183" s="224" t="s">
        <v>1149</v>
      </c>
      <c r="G183" s="55" t="s">
        <v>500</v>
      </c>
      <c r="H183" s="174" t="str">
        <f>$AI$15</f>
        <v>IFDSH</v>
      </c>
      <c r="I183" s="174"/>
      <c r="J183" s="224">
        <f t="shared" si="146"/>
        <v>2011</v>
      </c>
      <c r="K183" s="299">
        <v>2025</v>
      </c>
      <c r="L183" s="199">
        <f ca="1">VLOOKUP($AD183,INDIRECT("'"&amp;$B183&amp;"'!"&amp;"$J$40:$X$43"),3,FALSE)</f>
        <v>1</v>
      </c>
      <c r="M183" s="772"/>
      <c r="N183" s="199">
        <f ca="1">VLOOKUP($AD183,INDIRECT("'"&amp;$B183&amp;"'!"&amp;"$J$40:$X$43"),5,FALSE)</f>
        <v>25</v>
      </c>
      <c r="O183" s="199">
        <f ca="1">VLOOKUP($AD183,INDIRECT("'"&amp;$B183&amp;"'!"&amp;"$J$40:$X$43"),6,FALSE)/1000</f>
        <v>4.2857142857142865</v>
      </c>
      <c r="P183" s="199">
        <f ca="1">VLOOKUP($AD183,INDIRECT("'"&amp;$B183&amp;"'!"&amp;"$J$40:$X$43"),7,FALSE)/1000</f>
        <v>2.0660433158225668E-2</v>
      </c>
      <c r="Q183" s="199">
        <f ca="1">VLOOKUP($AD183,INDIRECT("'"&amp;$B183&amp;"'!"&amp;"$J$40:$X$43"),8,FALSE)</f>
        <v>0</v>
      </c>
      <c r="R183" s="81">
        <v>3.1536000000000002E-2</v>
      </c>
      <c r="S183" s="199">
        <v>8.5500000000000007E-2</v>
      </c>
      <c r="T183" s="199">
        <v>1</v>
      </c>
      <c r="U183" s="300"/>
      <c r="V183" s="199"/>
      <c r="W183" s="298"/>
      <c r="X183" s="698">
        <v>0</v>
      </c>
      <c r="Y183" s="81">
        <v>0</v>
      </c>
      <c r="Z183" s="81">
        <v>0</v>
      </c>
      <c r="AA183" s="81">
        <v>0</v>
      </c>
      <c r="AB183" s="81">
        <v>0</v>
      </c>
      <c r="AC183" s="55"/>
      <c r="AD183" s="81">
        <v>2020</v>
      </c>
      <c r="AE183" s="200"/>
      <c r="AF183" s="700"/>
    </row>
    <row r="184" spans="1:32">
      <c r="A184" s="831"/>
      <c r="B184" s="226" t="s">
        <v>576</v>
      </c>
      <c r="C184" s="902"/>
      <c r="D184" s="261"/>
      <c r="E184" s="261"/>
      <c r="F184" s="224" t="s">
        <v>1149</v>
      </c>
      <c r="G184" s="55"/>
      <c r="H184" s="174"/>
      <c r="I184" s="174"/>
      <c r="J184" s="224">
        <f t="shared" si="146"/>
        <v>2030</v>
      </c>
      <c r="K184" s="200"/>
      <c r="L184" s="199">
        <f ca="1">VLOOKUP($AD184,INDIRECT("'"&amp;$B184&amp;"'!"&amp;"$J$40:$X$43"),3,FALSE)</f>
        <v>1</v>
      </c>
      <c r="M184" s="772"/>
      <c r="N184" s="199">
        <f ca="1">VLOOKUP($AD184,INDIRECT("'"&amp;$B184&amp;"'!"&amp;"$J$40:$X$43"),5,FALSE)</f>
        <v>30</v>
      </c>
      <c r="O184" s="199">
        <f ca="1">VLOOKUP($AD184,INDIRECT("'"&amp;$B184&amp;"'!"&amp;"$J$40:$X$43"),6,FALSE)/1000</f>
        <v>3.9285714285714284</v>
      </c>
      <c r="P184" s="199">
        <f ca="1">VLOOKUP($AD184,INDIRECT("'"&amp;$B184&amp;"'!"&amp;"$J$40:$X$43"),7,FALSE)/1000</f>
        <v>2.328125E-2</v>
      </c>
      <c r="Q184" s="199">
        <f ca="1">VLOOKUP($AD184,INDIRECT("'"&amp;$B184&amp;"'!"&amp;"$J$40:$X$43"),8,FALSE)</f>
        <v>0</v>
      </c>
      <c r="R184" s="823"/>
      <c r="S184" s="300"/>
      <c r="T184" s="300"/>
      <c r="U184" s="300"/>
      <c r="V184" s="772"/>
      <c r="W184" s="298"/>
      <c r="X184" s="824"/>
      <c r="Y184" s="824"/>
      <c r="Z184" s="824"/>
      <c r="AA184" s="824"/>
      <c r="AB184" s="824"/>
      <c r="AC184" s="55"/>
      <c r="AD184" s="81">
        <v>2030</v>
      </c>
      <c r="AE184" s="200"/>
      <c r="AF184" s="700"/>
    </row>
    <row r="185" spans="1:32" s="203" customFormat="1">
      <c r="A185" s="900"/>
      <c r="B185" s="713" t="s">
        <v>576</v>
      </c>
      <c r="C185" s="903"/>
      <c r="D185" s="701"/>
      <c r="E185" s="701"/>
      <c r="F185" s="224" t="s">
        <v>1149</v>
      </c>
      <c r="H185" s="702"/>
      <c r="I185" s="702"/>
      <c r="J185" s="224">
        <f t="shared" si="146"/>
        <v>2050</v>
      </c>
      <c r="K185" s="825"/>
      <c r="L185" s="199">
        <f ca="1">VLOOKUP($AD185,INDIRECT("'"&amp;$B185&amp;"'!"&amp;"$J$40:$X$43"),3,FALSE)</f>
        <v>1</v>
      </c>
      <c r="M185" s="826"/>
      <c r="N185" s="199">
        <f ca="1">VLOOKUP($AD185,INDIRECT("'"&amp;$B185&amp;"'!"&amp;"$J$40:$X$43"),5,FALSE)</f>
        <v>30</v>
      </c>
      <c r="O185" s="199">
        <f ca="1">VLOOKUP($AD185,INDIRECT("'"&amp;$B185&amp;"'!"&amp;"$J$40:$X$43"),6,FALSE)/1000</f>
        <v>3.5714285714285721</v>
      </c>
      <c r="P185" s="199">
        <f ca="1">VLOOKUP($AD185,INDIRECT("'"&amp;$B185&amp;"'!"&amp;"$J$40:$X$43"),7,FALSE)/1000</f>
        <v>2.1498571428571429E-2</v>
      </c>
      <c r="Q185" s="199">
        <f ca="1">VLOOKUP($AD185,INDIRECT("'"&amp;$B185&amp;"'!"&amp;"$J$40:$X$43"),8,FALSE)</f>
        <v>0</v>
      </c>
      <c r="R185" s="722"/>
      <c r="S185" s="703"/>
      <c r="T185" s="703"/>
      <c r="U185" s="703"/>
      <c r="V185" s="826"/>
      <c r="W185" s="704"/>
      <c r="X185" s="827"/>
      <c r="Y185" s="827"/>
      <c r="Z185" s="827"/>
      <c r="AA185" s="827"/>
      <c r="AB185" s="827"/>
      <c r="AD185" s="81">
        <v>2050</v>
      </c>
      <c r="AE185" s="825"/>
      <c r="AF185" s="705"/>
    </row>
    <row r="186" spans="1:32">
      <c r="A186" s="169"/>
      <c r="D186" s="36" t="s">
        <v>503</v>
      </c>
      <c r="E186" s="36"/>
      <c r="F186" s="224" t="s">
        <v>1149</v>
      </c>
      <c r="H186" s="173"/>
      <c r="I186" s="173"/>
      <c r="J186" s="224">
        <f t="shared" si="146"/>
        <v>0</v>
      </c>
      <c r="K186" s="198"/>
      <c r="L186" s="204"/>
      <c r="M186" s="204"/>
      <c r="N186" s="204"/>
      <c r="O186" s="37"/>
      <c r="P186" s="37"/>
      <c r="Q186" s="205"/>
      <c r="R186" s="252"/>
      <c r="S186" s="274"/>
      <c r="T186" s="204"/>
      <c r="U186" s="204"/>
      <c r="V186" s="204"/>
      <c r="W186" s="204"/>
      <c r="X186" s="204"/>
      <c r="Y186" s="204"/>
      <c r="Z186" s="204"/>
      <c r="AA186" s="204"/>
      <c r="AB186" s="204"/>
    </row>
    <row r="187" spans="1:32">
      <c r="A187" s="169"/>
      <c r="D187" s="212" t="str">
        <f t="shared" ref="D187:D192" si="263">"IND"&amp;RIGHT(H187,4)&amp;RIGHT(G187,3)&amp;"N"&amp;RIGHT(E187,1)</f>
        <v>INDFDSHHCEN1</v>
      </c>
      <c r="E187" s="224" t="str">
        <f>"Industrial heating technology "&amp;$AJ$12&amp;" "&amp;RIGHT(H187,2)&amp;" - central district heating - within DH area - new 1"</f>
        <v>Industrial heating technology Food SH - central district heating - within DH area - new 1</v>
      </c>
      <c r="F187" s="224" t="s">
        <v>1149</v>
      </c>
      <c r="G187" s="225" t="s">
        <v>501</v>
      </c>
      <c r="H187" s="225" t="str">
        <f>AI15</f>
        <v>IFDSH</v>
      </c>
      <c r="I187" s="225"/>
      <c r="J187" s="81">
        <v>2011</v>
      </c>
      <c r="K187" s="299">
        <v>2025</v>
      </c>
      <c r="L187" s="81">
        <v>0.96</v>
      </c>
      <c r="M187" s="81"/>
      <c r="N187" s="81">
        <v>30</v>
      </c>
      <c r="O187" s="253">
        <v>1.17</v>
      </c>
      <c r="P187" s="254">
        <f>'DH network'!$M$9</f>
        <v>5.8735799999999998E-2</v>
      </c>
      <c r="Q187" s="254">
        <f ca="1">Q31*0.95</f>
        <v>1.9463124999999999</v>
      </c>
      <c r="R187" s="201">
        <v>3.1536000000000002E-2</v>
      </c>
      <c r="S187" s="275">
        <v>0.5</v>
      </c>
      <c r="T187" s="228"/>
      <c r="U187" s="228"/>
      <c r="V187" s="228"/>
      <c r="W187" s="287"/>
      <c r="X187" s="278"/>
      <c r="Y187" s="61"/>
      <c r="Z187" s="61"/>
      <c r="AA187" s="61"/>
      <c r="AB187" s="61"/>
    </row>
    <row r="188" spans="1:32">
      <c r="A188" s="169"/>
      <c r="D188" s="212" t="str">
        <f t="shared" si="263"/>
        <v>INDFDPHHCEN1</v>
      </c>
      <c r="E188" s="224" t="str">
        <f>"Industrial heating technology "&amp;$AJ$12&amp;" "&amp;RIGHT(H188,2)&amp;" - central district heating - within DH area - new 1"</f>
        <v>Industrial heating technology Food PH - central district heating - within DH area - new 1</v>
      </c>
      <c r="F188" s="224" t="s">
        <v>1149</v>
      </c>
      <c r="G188" s="225" t="s">
        <v>501</v>
      </c>
      <c r="H188" s="281" t="str">
        <f>AI14</f>
        <v>IFDPH</v>
      </c>
      <c r="I188" s="281"/>
      <c r="J188" s="81">
        <v>2011</v>
      </c>
      <c r="K188" s="299">
        <v>2025</v>
      </c>
      <c r="L188" s="81">
        <v>0.96</v>
      </c>
      <c r="M188" s="81"/>
      <c r="N188" s="81">
        <v>30</v>
      </c>
      <c r="O188" s="253">
        <v>1.17</v>
      </c>
      <c r="P188" s="254">
        <f>'DH network'!$M$9</f>
        <v>5.8735799999999998E-2</v>
      </c>
      <c r="Q188" s="254">
        <f ca="1">Q33*0.95</f>
        <v>6.4090694444444436</v>
      </c>
      <c r="R188" s="201">
        <v>3.1536000000000002E-2</v>
      </c>
      <c r="S188" s="275">
        <v>0.5</v>
      </c>
      <c r="T188" s="228">
        <v>0.05</v>
      </c>
      <c r="U188" s="228"/>
      <c r="V188" s="228"/>
      <c r="W188" s="287"/>
      <c r="X188" s="278"/>
      <c r="Y188" s="61"/>
      <c r="Z188" s="61"/>
      <c r="AA188" s="61"/>
      <c r="AB188" s="61"/>
      <c r="AC188" s="226"/>
      <c r="AD188" s="226"/>
      <c r="AE188" s="226"/>
      <c r="AF188" s="226"/>
    </row>
    <row r="189" spans="1:32">
      <c r="A189" s="169"/>
      <c r="D189" s="212" t="str">
        <f t="shared" si="263"/>
        <v>INDFDSHHSEN1</v>
      </c>
      <c r="E189" s="224" t="str">
        <f>"Industrial heating technology "&amp;$AJ$12&amp;" "&amp;RIGHT(H189,2)&amp;" - central district heating - within DH area - new 1"</f>
        <v>Industrial heating technology Food SH - central district heating - within DH area - new 1</v>
      </c>
      <c r="F189" s="224" t="s">
        <v>1149</v>
      </c>
      <c r="G189" s="225" t="s">
        <v>2123</v>
      </c>
      <c r="H189" s="225" t="str">
        <f>H187</f>
        <v>IFDSH</v>
      </c>
      <c r="I189" s="225"/>
      <c r="J189" s="81">
        <f t="shared" ref="J189:L190" si="264">J187</f>
        <v>2011</v>
      </c>
      <c r="K189" s="81">
        <f t="shared" si="264"/>
        <v>2025</v>
      </c>
      <c r="L189" s="81">
        <f t="shared" si="264"/>
        <v>0.96</v>
      </c>
      <c r="M189" s="81"/>
      <c r="N189" s="81">
        <f t="shared" ref="N189:S190" si="265">N187</f>
        <v>30</v>
      </c>
      <c r="O189" s="81">
        <f t="shared" si="265"/>
        <v>1.17</v>
      </c>
      <c r="P189" s="81">
        <f t="shared" si="265"/>
        <v>5.8735799999999998E-2</v>
      </c>
      <c r="Q189" s="81">
        <f t="shared" ca="1" si="265"/>
        <v>1.9463124999999999</v>
      </c>
      <c r="R189" s="81">
        <f t="shared" si="265"/>
        <v>3.1536000000000002E-2</v>
      </c>
      <c r="S189" s="81">
        <f t="shared" si="265"/>
        <v>0.5</v>
      </c>
      <c r="T189" s="228"/>
      <c r="U189" s="228"/>
      <c r="V189" s="228"/>
      <c r="W189" s="287"/>
      <c r="X189" s="278"/>
      <c r="Y189" s="61"/>
      <c r="Z189" s="61"/>
      <c r="AA189" s="61"/>
      <c r="AB189" s="61"/>
    </row>
    <row r="190" spans="1:32">
      <c r="A190" s="169"/>
      <c r="D190" s="212" t="str">
        <f t="shared" si="263"/>
        <v>INDFDPHHSEN1</v>
      </c>
      <c r="E190" s="224" t="str">
        <f>"Industrial heating technology "&amp;$AJ$12&amp;" "&amp;RIGHT(H190,2)&amp;" - central district heating - within DH area - new 1"</f>
        <v>Industrial heating technology Food PH - central district heating - within DH area - new 1</v>
      </c>
      <c r="F190" s="224" t="s">
        <v>1149</v>
      </c>
      <c r="G190" s="225" t="s">
        <v>2123</v>
      </c>
      <c r="H190" s="225" t="str">
        <f>H188</f>
        <v>IFDPH</v>
      </c>
      <c r="I190" s="281"/>
      <c r="J190" s="81">
        <f t="shared" si="264"/>
        <v>2011</v>
      </c>
      <c r="K190" s="81">
        <f t="shared" si="264"/>
        <v>2025</v>
      </c>
      <c r="L190" s="81">
        <f t="shared" si="264"/>
        <v>0.96</v>
      </c>
      <c r="M190" s="81"/>
      <c r="N190" s="81">
        <f t="shared" si="265"/>
        <v>30</v>
      </c>
      <c r="O190" s="81">
        <f t="shared" si="265"/>
        <v>1.17</v>
      </c>
      <c r="P190" s="81">
        <f t="shared" si="265"/>
        <v>5.8735799999999998E-2</v>
      </c>
      <c r="Q190" s="81">
        <f t="shared" ca="1" si="265"/>
        <v>6.4090694444444436</v>
      </c>
      <c r="R190" s="81">
        <f t="shared" si="265"/>
        <v>3.1536000000000002E-2</v>
      </c>
      <c r="S190" s="81">
        <f t="shared" si="265"/>
        <v>0.5</v>
      </c>
      <c r="T190" s="81">
        <f>T188</f>
        <v>0.05</v>
      </c>
      <c r="U190" s="228"/>
      <c r="V190" s="228"/>
      <c r="W190" s="287"/>
      <c r="X190" s="278"/>
      <c r="Y190" s="61"/>
      <c r="Z190" s="61"/>
      <c r="AA190" s="61"/>
      <c r="AB190" s="61"/>
      <c r="AC190" s="226"/>
      <c r="AD190" s="226"/>
      <c r="AE190" s="226"/>
      <c r="AF190" s="226"/>
    </row>
    <row r="191" spans="1:32">
      <c r="A191" s="169"/>
      <c r="D191" s="212" t="str">
        <f t="shared" si="263"/>
        <v>INDFDSHHDEN1</v>
      </c>
      <c r="E191" s="224" t="str">
        <f>"Industrial heating technology "&amp;$AJ$12&amp;" "&amp;RIGHT(H191,2)&amp;" - decentral district heating - within DH area - new 1"</f>
        <v>Industrial heating technology Food SH - decentral district heating - within DH area - new 1</v>
      </c>
      <c r="F191" s="224" t="s">
        <v>1149</v>
      </c>
      <c r="G191" s="259" t="s">
        <v>502</v>
      </c>
      <c r="H191" s="265" t="str">
        <f>AI15</f>
        <v>IFDSH</v>
      </c>
      <c r="I191" s="265"/>
      <c r="J191" s="81">
        <v>2011</v>
      </c>
      <c r="K191" s="299">
        <v>2025</v>
      </c>
      <c r="L191" s="81">
        <f>L187</f>
        <v>0.96</v>
      </c>
      <c r="M191" s="81"/>
      <c r="N191" s="81">
        <v>30</v>
      </c>
      <c r="O191" s="253">
        <v>1.25</v>
      </c>
      <c r="P191" s="254">
        <f>'DH network'!$M$9</f>
        <v>5.8735799999999998E-2</v>
      </c>
      <c r="Q191" s="254">
        <f ca="1">Q187</f>
        <v>1.9463124999999999</v>
      </c>
      <c r="R191" s="201">
        <v>3.1536000000000002E-2</v>
      </c>
      <c r="S191" s="275">
        <v>0.5</v>
      </c>
      <c r="T191" s="228"/>
      <c r="U191" s="228"/>
      <c r="V191" s="228"/>
      <c r="W191" s="287"/>
      <c r="X191" s="278"/>
      <c r="Y191" s="61"/>
      <c r="Z191" s="61"/>
      <c r="AA191" s="61"/>
      <c r="AB191" s="61"/>
      <c r="AC191" s="226"/>
      <c r="AD191" s="226"/>
      <c r="AE191" s="226"/>
      <c r="AF191" s="226"/>
    </row>
    <row r="192" spans="1:32">
      <c r="A192" s="169"/>
      <c r="D192" s="212" t="str">
        <f t="shared" si="263"/>
        <v>INDFDPHHDEN1</v>
      </c>
      <c r="E192" s="224" t="str">
        <f>"Industrial heating technology "&amp;$AJ$12&amp;" "&amp;RIGHT(H192,2)&amp;" - decentral district heating - within DH area - new 1"</f>
        <v>Industrial heating technology Food PH - decentral district heating - within DH area - new 1</v>
      </c>
      <c r="F192" s="224" t="s">
        <v>1149</v>
      </c>
      <c r="G192" s="259" t="s">
        <v>502</v>
      </c>
      <c r="H192" s="225" t="str">
        <f>AI14</f>
        <v>IFDPH</v>
      </c>
      <c r="I192" s="225"/>
      <c r="J192" s="81">
        <v>2011</v>
      </c>
      <c r="K192" s="299">
        <v>2025</v>
      </c>
      <c r="L192" s="81">
        <f>L188</f>
        <v>0.96</v>
      </c>
      <c r="M192" s="81"/>
      <c r="N192" s="81">
        <v>30</v>
      </c>
      <c r="O192" s="253">
        <v>1.25</v>
      </c>
      <c r="P192" s="254">
        <f>'DH network'!$M$9</f>
        <v>5.8735799999999998E-2</v>
      </c>
      <c r="Q192" s="254">
        <f ca="1">Q188</f>
        <v>6.4090694444444436</v>
      </c>
      <c r="R192" s="201">
        <v>3.1536000000000002E-2</v>
      </c>
      <c r="S192" s="275">
        <v>0.5</v>
      </c>
      <c r="T192" s="228">
        <v>0.05</v>
      </c>
      <c r="U192" s="228"/>
      <c r="V192" s="228"/>
      <c r="W192" s="287"/>
      <c r="X192" s="278"/>
      <c r="Y192" s="61"/>
      <c r="Z192" s="61"/>
      <c r="AA192" s="61"/>
      <c r="AB192" s="61"/>
      <c r="AC192" s="226"/>
      <c r="AD192" s="226"/>
      <c r="AE192" s="226"/>
      <c r="AF192" s="226"/>
    </row>
    <row r="193" spans="1:32">
      <c r="A193" s="169"/>
      <c r="B193" s="226"/>
      <c r="C193" s="226"/>
      <c r="D193" s="258" t="s">
        <v>497</v>
      </c>
      <c r="E193" s="258"/>
      <c r="F193" s="224" t="s">
        <v>1149</v>
      </c>
      <c r="G193" s="206"/>
      <c r="H193" s="225"/>
      <c r="I193" s="225"/>
      <c r="J193" s="200"/>
      <c r="K193" s="200"/>
      <c r="L193" s="200"/>
      <c r="M193" s="200"/>
      <c r="N193" s="200"/>
      <c r="O193" s="227"/>
      <c r="P193" s="227"/>
      <c r="Q193" s="227"/>
      <c r="R193" s="202"/>
      <c r="S193" s="228"/>
      <c r="T193" s="228"/>
      <c r="U193" s="228"/>
      <c r="V193" s="228"/>
      <c r="W193" s="287"/>
      <c r="X193" s="226"/>
      <c r="Y193" s="226"/>
      <c r="Z193" s="226"/>
      <c r="AA193" s="226"/>
      <c r="AB193" s="226"/>
      <c r="AC193" s="226"/>
      <c r="AD193" s="226"/>
      <c r="AE193" s="226"/>
      <c r="AF193" s="226"/>
    </row>
    <row r="194" spans="1:32">
      <c r="A194" s="169"/>
      <c r="B194" s="226"/>
      <c r="C194" s="226"/>
      <c r="D194" s="212" t="str">
        <f>"IND"&amp;RIGHT(H194,4)&amp;RIGHT(G194,3)&amp;"N"&amp;RIGHT(E194,1)</f>
        <v>INDFDLAELCN1</v>
      </c>
      <c r="E194" s="224" t="str">
        <f>"Industry "&amp;$AJ$12&amp;" "&amp;RIGHT(H194,2)&amp;" Electricity Light Appliance - New 1"</f>
        <v>Industry Food LA Electricity Light Appliance - New 1</v>
      </c>
      <c r="F194" s="224" t="s">
        <v>1149</v>
      </c>
      <c r="G194" s="225" t="s">
        <v>499</v>
      </c>
      <c r="H194" s="225" t="str">
        <f>AI16</f>
        <v>IFDLA</v>
      </c>
      <c r="I194" s="225"/>
      <c r="J194" s="81">
        <v>2011</v>
      </c>
      <c r="K194" s="81">
        <v>2011</v>
      </c>
      <c r="L194" s="256">
        <v>1</v>
      </c>
      <c r="M194" s="256"/>
      <c r="N194" s="256">
        <v>10</v>
      </c>
      <c r="O194" s="254"/>
      <c r="P194" s="254"/>
      <c r="Q194" s="254"/>
      <c r="R194" s="201"/>
      <c r="S194" s="275">
        <v>0.9</v>
      </c>
      <c r="T194" s="228"/>
      <c r="U194" s="228"/>
      <c r="V194" s="228"/>
      <c r="W194" s="287"/>
      <c r="X194" s="279"/>
      <c r="Y194" s="255"/>
      <c r="Z194" s="255"/>
      <c r="AA194" s="255"/>
      <c r="AB194" s="255"/>
      <c r="AC194" s="226"/>
      <c r="AD194" s="226"/>
      <c r="AE194" s="226"/>
      <c r="AF194" s="226"/>
    </row>
    <row r="195" spans="1:32">
      <c r="A195" s="169"/>
      <c r="B195" s="226"/>
      <c r="C195" s="226"/>
      <c r="F195" s="224" t="s">
        <v>1149</v>
      </c>
      <c r="G195" s="225"/>
      <c r="H195" s="226"/>
      <c r="I195" s="226"/>
      <c r="J195" s="256">
        <v>2020</v>
      </c>
      <c r="K195" s="256"/>
      <c r="L195" s="256"/>
      <c r="M195" s="256"/>
      <c r="N195" s="256"/>
      <c r="O195" s="254"/>
      <c r="P195" s="254"/>
      <c r="Q195" s="254"/>
      <c r="R195" s="201"/>
      <c r="S195" s="275"/>
      <c r="T195" s="228"/>
      <c r="U195" s="228"/>
      <c r="V195" s="228"/>
      <c r="W195" s="287"/>
      <c r="X195" s="279"/>
      <c r="Y195" s="255"/>
      <c r="Z195" s="255"/>
      <c r="AA195" s="255"/>
      <c r="AB195" s="255"/>
      <c r="AC195" s="226"/>
      <c r="AD195" s="226"/>
      <c r="AE195" s="226"/>
      <c r="AF195" s="226"/>
    </row>
    <row r="196" spans="1:32">
      <c r="A196" s="169"/>
      <c r="B196" s="226"/>
      <c r="C196" s="226"/>
      <c r="F196" s="224" t="s">
        <v>1149</v>
      </c>
      <c r="G196" s="225"/>
      <c r="H196" s="225"/>
      <c r="I196" s="225"/>
      <c r="J196" s="256">
        <v>2030</v>
      </c>
      <c r="K196" s="256"/>
      <c r="L196" s="256"/>
      <c r="M196" s="256"/>
      <c r="N196" s="256"/>
      <c r="O196" s="254"/>
      <c r="P196" s="254"/>
      <c r="Q196" s="254"/>
      <c r="R196" s="201"/>
      <c r="S196" s="275"/>
      <c r="T196" s="228"/>
      <c r="U196" s="228"/>
      <c r="V196" s="228"/>
      <c r="W196" s="287"/>
      <c r="X196" s="279"/>
      <c r="Y196" s="255"/>
      <c r="Z196" s="255"/>
      <c r="AA196" s="255"/>
      <c r="AB196" s="255"/>
    </row>
    <row r="197" spans="1:32">
      <c r="A197" s="169"/>
      <c r="B197" s="226"/>
      <c r="C197" s="226"/>
      <c r="F197" s="224" t="s">
        <v>1149</v>
      </c>
      <c r="G197" s="225"/>
      <c r="H197" s="225"/>
      <c r="I197" s="225"/>
      <c r="J197" s="256">
        <v>2050</v>
      </c>
      <c r="K197" s="256"/>
      <c r="L197" s="256"/>
      <c r="M197" s="256"/>
      <c r="N197" s="256"/>
      <c r="O197" s="254"/>
      <c r="P197" s="254"/>
      <c r="Q197" s="254"/>
      <c r="R197" s="201"/>
      <c r="S197" s="275"/>
      <c r="T197" s="228"/>
      <c r="U197" s="228"/>
      <c r="V197" s="228"/>
      <c r="W197" s="287"/>
      <c r="X197" s="279"/>
      <c r="Y197" s="255"/>
      <c r="Z197" s="255"/>
      <c r="AA197" s="255"/>
      <c r="AB197" s="255"/>
    </row>
    <row r="198" spans="1:32">
      <c r="A198" s="169"/>
      <c r="B198" s="226"/>
      <c r="C198" s="226"/>
      <c r="D198" s="212" t="str">
        <f>"IND"&amp;RIGHT(H198,4)&amp;RIGHT(G198,3)&amp;"N"&amp;RIGHT(E198,1)</f>
        <v>INDFDEMELCN1</v>
      </c>
      <c r="E198" s="224" t="str">
        <f>"Industry "&amp;$AJ$12&amp;" "&amp;RIGHT(H198,2)&amp;" Electricity Motors - New 1"</f>
        <v>Industry Food EM Electricity Motors - New 1</v>
      </c>
      <c r="F198" s="224" t="s">
        <v>1149</v>
      </c>
      <c r="G198" s="225" t="s">
        <v>499</v>
      </c>
      <c r="H198" s="225" t="str">
        <f>AI17</f>
        <v>IFDEM</v>
      </c>
      <c r="I198" s="225"/>
      <c r="J198" s="81">
        <v>2011</v>
      </c>
      <c r="K198" s="81">
        <v>2011</v>
      </c>
      <c r="L198" s="256">
        <v>1</v>
      </c>
      <c r="M198" s="256"/>
      <c r="N198" s="256">
        <v>10</v>
      </c>
      <c r="O198" s="254"/>
      <c r="P198" s="254"/>
      <c r="Q198" s="254"/>
      <c r="R198" s="201"/>
      <c r="S198" s="275">
        <v>0.9</v>
      </c>
      <c r="T198" s="228"/>
      <c r="U198" s="228"/>
      <c r="V198" s="228"/>
      <c r="W198" s="287"/>
      <c r="X198" s="279"/>
      <c r="Y198" s="255"/>
      <c r="Z198" s="255"/>
      <c r="AA198" s="255"/>
      <c r="AB198" s="255"/>
    </row>
    <row r="199" spans="1:32">
      <c r="A199" s="169"/>
      <c r="D199" s="170"/>
      <c r="E199" s="64"/>
      <c r="F199" s="224" t="s">
        <v>1149</v>
      </c>
      <c r="H199" s="173"/>
      <c r="I199" s="173"/>
      <c r="J199" s="256">
        <v>2020</v>
      </c>
      <c r="K199" s="257"/>
      <c r="L199" s="257"/>
      <c r="M199" s="257"/>
      <c r="N199" s="257"/>
      <c r="O199" s="61"/>
      <c r="P199" s="61"/>
      <c r="Q199" s="61"/>
      <c r="R199" s="61"/>
      <c r="S199" s="276"/>
      <c r="T199" s="55"/>
      <c r="U199" s="55"/>
      <c r="V199" s="55"/>
      <c r="W199" s="283"/>
      <c r="X199" s="278"/>
      <c r="Y199" s="61"/>
      <c r="Z199" s="61"/>
      <c r="AA199" s="61"/>
      <c r="AB199" s="61"/>
    </row>
    <row r="200" spans="1:32">
      <c r="A200" s="169"/>
      <c r="F200" s="224" t="s">
        <v>1149</v>
      </c>
      <c r="H200" s="173"/>
      <c r="I200" s="173"/>
      <c r="J200" s="256">
        <v>2030</v>
      </c>
      <c r="K200" s="257"/>
      <c r="L200" s="257"/>
      <c r="M200" s="257"/>
      <c r="N200" s="257"/>
      <c r="O200" s="61"/>
      <c r="P200" s="61"/>
      <c r="Q200" s="61"/>
      <c r="R200" s="61"/>
      <c r="S200" s="276"/>
      <c r="T200" s="55"/>
      <c r="U200" s="55"/>
      <c r="V200" s="55"/>
      <c r="W200" s="283"/>
      <c r="X200" s="278"/>
      <c r="Y200" s="61"/>
      <c r="Z200" s="61"/>
      <c r="AA200" s="61"/>
      <c r="AB200" s="61"/>
    </row>
    <row r="201" spans="1:32">
      <c r="A201" s="169"/>
      <c r="D201" s="203"/>
      <c r="E201" s="203"/>
      <c r="F201" s="224" t="s">
        <v>1149</v>
      </c>
      <c r="G201" s="203"/>
      <c r="H201" s="266"/>
      <c r="I201" s="266"/>
      <c r="J201" s="256">
        <v>2050</v>
      </c>
      <c r="K201" s="257"/>
      <c r="L201" s="257"/>
      <c r="M201" s="257"/>
      <c r="N201" s="257"/>
      <c r="O201" s="61"/>
      <c r="P201" s="61"/>
      <c r="Q201" s="61"/>
      <c r="R201" s="61"/>
      <c r="S201" s="276"/>
      <c r="T201" s="55"/>
      <c r="U201" s="55"/>
      <c r="V201" s="55"/>
      <c r="W201" s="283"/>
      <c r="X201" s="278"/>
      <c r="Y201" s="61"/>
      <c r="Z201" s="61"/>
      <c r="AA201" s="61"/>
      <c r="AB201" s="61"/>
    </row>
    <row r="202" spans="1:32">
      <c r="A202" s="169" t="s">
        <v>2057</v>
      </c>
      <c r="B202" s="224" t="s">
        <v>2064</v>
      </c>
      <c r="D202" s="212" t="str">
        <f>"IND"&amp;RIGHT(H202,4)&amp;"DSL"&amp;"N"&amp;RIGHT(E202,1)</f>
        <v>INDFDTFDSLN1</v>
      </c>
      <c r="E202" s="224" t="str">
        <f>"Industry "&amp;$AJ$12&amp;" "&amp;RIGHT(H202,2)&amp;" Tractors, Trucks, Fishing boats - New 1"</f>
        <v>Industry Food TF Tractors, Trucks, Fishing boats - New 1</v>
      </c>
      <c r="F202" s="224" t="s">
        <v>1149</v>
      </c>
      <c r="G202" s="173" t="s">
        <v>2081</v>
      </c>
      <c r="H202" s="174" t="str">
        <f>$AI$18</f>
        <v>IFDTF</v>
      </c>
      <c r="I202" s="174"/>
      <c r="J202" s="81">
        <v>2011</v>
      </c>
      <c r="K202" s="81">
        <v>2011</v>
      </c>
      <c r="L202" s="1127">
        <f>L203</f>
        <v>1</v>
      </c>
      <c r="M202" s="256"/>
      <c r="N202" s="256">
        <v>20</v>
      </c>
      <c r="O202" s="1127">
        <f>O203</f>
        <v>30.836264040545181</v>
      </c>
      <c r="P202" s="254"/>
      <c r="Q202" s="254"/>
      <c r="R202" s="1126">
        <v>1</v>
      </c>
      <c r="S202" s="1127">
        <v>1</v>
      </c>
      <c r="T202" s="228"/>
      <c r="U202" s="228"/>
      <c r="V202" s="228"/>
      <c r="W202" s="287"/>
      <c r="X202" s="55"/>
      <c r="Y202" s="55"/>
      <c r="Z202" s="55"/>
      <c r="AA202" s="55"/>
      <c r="AB202" s="55"/>
    </row>
    <row r="203" spans="1:32">
      <c r="A203" s="169" t="s">
        <v>2057</v>
      </c>
      <c r="B203" s="224" t="s">
        <v>2064</v>
      </c>
      <c r="D203" s="55"/>
      <c r="E203" s="55"/>
      <c r="F203" s="224" t="s">
        <v>1149</v>
      </c>
      <c r="G203" s="55"/>
      <c r="H203" s="174"/>
      <c r="I203" s="174"/>
      <c r="J203" s="256">
        <v>2017</v>
      </c>
      <c r="K203" s="256"/>
      <c r="L203" s="1127">
        <f>1/SUMIFS(Transport!$AS$13:$AS$264,Transport!$D$13:$D$264,$B203,Transport!$E$13:$E$264,$A203,Transport!$A$13:$A$264,$J203)</f>
        <v>1</v>
      </c>
      <c r="M203" s="256"/>
      <c r="N203" s="256"/>
      <c r="O203" s="1127">
        <f>SUMIFS(Transport!$AT$13:$AT$264,Transport!$D$13:$D$264,$B203,Transport!$E$13:$E$264,$A203,Transport!$A$13:$A$264,$J203)/1000*6.5</f>
        <v>30.836264040545181</v>
      </c>
      <c r="P203" s="254"/>
      <c r="Q203" s="254"/>
      <c r="R203" s="1126"/>
      <c r="S203" s="275"/>
      <c r="T203" s="228"/>
      <c r="U203" s="228"/>
      <c r="V203" s="228"/>
      <c r="W203" s="228"/>
      <c r="X203" s="55"/>
      <c r="Y203" s="55"/>
      <c r="Z203" s="55"/>
      <c r="AA203" s="55"/>
      <c r="AB203" s="55"/>
    </row>
    <row r="204" spans="1:32">
      <c r="A204" s="169" t="s">
        <v>2057</v>
      </c>
      <c r="B204" s="224" t="s">
        <v>2064</v>
      </c>
      <c r="D204" s="55"/>
      <c r="E204" s="55"/>
      <c r="F204" s="224" t="s">
        <v>1149</v>
      </c>
      <c r="G204" s="55"/>
      <c r="J204" s="256">
        <v>2030</v>
      </c>
      <c r="K204" s="256"/>
      <c r="L204" s="1127">
        <f>1/SUMIFS(Transport!$AS$13:$AS$264,Transport!$D$13:$D$264,$B204,Transport!$E$13:$E$264,$A204,Transport!$A$13:$A$264,$J204)</f>
        <v>1.4579105312754643</v>
      </c>
      <c r="M204" s="256"/>
      <c r="N204" s="256"/>
      <c r="O204" s="1127">
        <f>SUMIFS(Transport!$AT$13:$AT$264,Transport!$D$13:$D$264,$B204,Transport!$E$13:$E$264,$A204,Transport!$A$13:$A$264,$J204)/1000*6.5</f>
        <v>31.806294618979205</v>
      </c>
      <c r="P204" s="254"/>
      <c r="Q204" s="254"/>
      <c r="R204" s="1126"/>
      <c r="S204" s="275"/>
      <c r="T204" s="228"/>
      <c r="U204" s="228"/>
      <c r="V204" s="228"/>
      <c r="W204" s="228"/>
      <c r="X204" s="55"/>
      <c r="Y204" s="55"/>
      <c r="Z204" s="55"/>
      <c r="AA204" s="55"/>
      <c r="AB204" s="55"/>
    </row>
    <row r="205" spans="1:32">
      <c r="A205" s="169" t="s">
        <v>2057</v>
      </c>
      <c r="B205" s="224" t="s">
        <v>2064</v>
      </c>
      <c r="D205" s="55"/>
      <c r="E205" s="55"/>
      <c r="F205" s="224" t="s">
        <v>1149</v>
      </c>
      <c r="G205" s="55"/>
      <c r="J205" s="256">
        <v>2050</v>
      </c>
      <c r="K205" s="256"/>
      <c r="L205" s="1127">
        <f>1/SUMIFS(Transport!$AS$13:$AS$264,Transport!$D$13:$D$264,$B205,Transport!$E$13:$E$264,$A205,Transport!$A$13:$A$264,$J205)</f>
        <v>1.612189818950156</v>
      </c>
      <c r="M205" s="256"/>
      <c r="N205" s="256"/>
      <c r="O205" s="1127">
        <f>SUMIFS(Transport!$AT$13:$AT$264,Transport!$D$13:$D$264,$B205,Transport!$E$13:$E$264,$A205,Transport!$A$13:$A$264,$J205)/1000*6.5</f>
        <v>32.165108628526795</v>
      </c>
      <c r="P205" s="254"/>
      <c r="Q205" s="254"/>
      <c r="R205" s="1126"/>
      <c r="S205" s="275"/>
      <c r="T205" s="228"/>
      <c r="U205" s="228"/>
      <c r="V205" s="228"/>
      <c r="W205" s="228"/>
      <c r="X205" s="55"/>
      <c r="Y205" s="55"/>
      <c r="Z205" s="55"/>
      <c r="AA205" s="55"/>
      <c r="AB205" s="55"/>
    </row>
    <row r="206" spans="1:32">
      <c r="A206" s="169" t="s">
        <v>2062</v>
      </c>
      <c r="B206" s="224" t="s">
        <v>2064</v>
      </c>
      <c r="D206" s="212" t="str">
        <f>"IND"&amp;RIGHT(H206,4)&amp;"H2G"&amp;"N"&amp;RIGHT(E206,1)</f>
        <v>INDFDTFH2GN2</v>
      </c>
      <c r="E206" s="224" t="str">
        <f>"Industry "&amp;$AJ$12&amp;" "&amp;RIGHT(H206,2)&amp;" Tractors, Trucks, Fishing boats - New 2"</f>
        <v>Industry Food TF Tractors, Trucks, Fishing boats - New 2</v>
      </c>
      <c r="F206" s="224" t="s">
        <v>1149</v>
      </c>
      <c r="G206" s="55" t="s">
        <v>2077</v>
      </c>
      <c r="H206" s="174" t="str">
        <f>$AI$18</f>
        <v>IFDTF</v>
      </c>
      <c r="I206" s="174"/>
      <c r="J206" s="81">
        <v>2017</v>
      </c>
      <c r="K206" s="81">
        <v>2030</v>
      </c>
      <c r="L206" s="1127">
        <f>1/SUMIFS(Transport!$AS$13:$AS$264,Transport!$D$13:$D$264,$B206,Transport!$E$13:$E$264,$A206,Transport!$A$13:$A$264,$J206)</f>
        <v>1.6201914448931107</v>
      </c>
      <c r="M206" s="256"/>
      <c r="N206" s="256">
        <v>20</v>
      </c>
      <c r="O206" s="1127">
        <f>SUMIFS(Transport!$AT$13:$AT$264,Transport!$D$13:$D$264,$B206,Transport!$E$13:$E$264,$A206,Transport!$A$13:$A$264,$J206)/1000*6.5</f>
        <v>81.840656028484005</v>
      </c>
      <c r="P206" s="254"/>
      <c r="Q206" s="254"/>
      <c r="R206" s="1126">
        <v>1</v>
      </c>
      <c r="S206" s="1127">
        <v>1</v>
      </c>
      <c r="T206" s="228"/>
      <c r="U206" s="228"/>
      <c r="V206" s="228"/>
      <c r="W206" s="287"/>
      <c r="X206" s="55"/>
      <c r="Y206" s="55"/>
      <c r="Z206" s="55"/>
      <c r="AA206" s="55"/>
      <c r="AB206" s="55"/>
    </row>
    <row r="207" spans="1:32">
      <c r="A207" s="169" t="s">
        <v>2062</v>
      </c>
      <c r="B207" s="224" t="s">
        <v>2064</v>
      </c>
      <c r="D207" s="55"/>
      <c r="E207" s="55"/>
      <c r="F207" s="224" t="s">
        <v>1149</v>
      </c>
      <c r="G207" s="55"/>
      <c r="H207" s="174"/>
      <c r="I207" s="174"/>
      <c r="J207" s="256">
        <v>2017</v>
      </c>
      <c r="K207" s="256"/>
      <c r="L207" s="1127">
        <f>1/SUMIFS(Transport!$AS$13:$AS$264,Transport!$D$13:$D$264,$B207,Transport!$E$13:$E$264,$A207,Transport!$A$13:$A$264,$J207)</f>
        <v>1.6201914448931107</v>
      </c>
      <c r="M207" s="256"/>
      <c r="N207" s="256"/>
      <c r="O207" s="1127">
        <f>SUMIFS(Transport!$AT$13:$AT$264,Transport!$D$13:$D$264,$B207,Transport!$E$13:$E$264,$A207,Transport!$A$13:$A$264,$J207)/1000*6.5</f>
        <v>81.840656028484005</v>
      </c>
      <c r="P207" s="254"/>
      <c r="Q207" s="254"/>
      <c r="R207" s="1126"/>
      <c r="S207" s="275"/>
      <c r="T207" s="228"/>
      <c r="U207" s="228"/>
      <c r="V207" s="228"/>
      <c r="W207" s="228"/>
      <c r="X207" s="55"/>
      <c r="Y207" s="55"/>
      <c r="Z207" s="55"/>
      <c r="AA207" s="55"/>
      <c r="AB207" s="55"/>
    </row>
    <row r="208" spans="1:32">
      <c r="A208" s="169" t="s">
        <v>2062</v>
      </c>
      <c r="B208" s="224" t="s">
        <v>2064</v>
      </c>
      <c r="D208" s="55"/>
      <c r="E208" s="55"/>
      <c r="F208" s="224" t="s">
        <v>1149</v>
      </c>
      <c r="G208" s="55"/>
      <c r="J208" s="256">
        <v>2030</v>
      </c>
      <c r="K208" s="256"/>
      <c r="L208" s="1127">
        <f>1/SUMIFS(Transport!$AS$13:$AS$264,Transport!$D$13:$D$264,$B208,Transport!$E$13:$E$264,$A208,Transport!$A$13:$A$264,$J208)</f>
        <v>2.4143776559781225</v>
      </c>
      <c r="M208" s="256"/>
      <c r="N208" s="256"/>
      <c r="O208" s="1127">
        <f>SUMIFS(Transport!$AT$13:$AT$264,Transport!$D$13:$D$264,$B208,Transport!$E$13:$E$264,$A208,Transport!$A$13:$A$264,$J208)/1000*6.5</f>
        <v>34.253254247071318</v>
      </c>
      <c r="P208" s="254"/>
      <c r="Q208" s="254"/>
      <c r="R208" s="1126"/>
      <c r="S208" s="275"/>
      <c r="T208" s="228"/>
      <c r="U208" s="228"/>
      <c r="V208" s="228"/>
      <c r="W208" s="228"/>
      <c r="X208" s="55"/>
      <c r="Y208" s="55"/>
      <c r="Z208" s="55"/>
      <c r="AA208" s="55"/>
      <c r="AB208" s="55"/>
    </row>
    <row r="209" spans="1:28">
      <c r="A209" s="169" t="s">
        <v>2062</v>
      </c>
      <c r="B209" s="224" t="s">
        <v>2064</v>
      </c>
      <c r="D209" s="55"/>
      <c r="E209" s="55"/>
      <c r="F209" s="224" t="s">
        <v>1149</v>
      </c>
      <c r="G209" s="55"/>
      <c r="J209" s="256">
        <v>2050</v>
      </c>
      <c r="K209" s="256"/>
      <c r="L209" s="1127">
        <f>1/SUMIFS(Transport!$AS$13:$AS$264,Transport!$D$13:$D$264,$B209,Transport!$E$13:$E$264,$A209,Transport!$A$13:$A$264,$J209)</f>
        <v>2.9956358502626648</v>
      </c>
      <c r="M209" s="256"/>
      <c r="N209" s="256"/>
      <c r="O209" s="1127">
        <f>SUMIFS(Transport!$AT$13:$AT$264,Transport!$D$13:$D$264,$B209,Transport!$E$13:$E$264,$A209,Transport!$A$13:$A$264,$J209)/1000*6.5</f>
        <v>28.800352543800432</v>
      </c>
      <c r="P209" s="254"/>
      <c r="Q209" s="254"/>
      <c r="R209" s="1126"/>
      <c r="S209" s="275"/>
      <c r="T209" s="228"/>
      <c r="U209" s="228"/>
      <c r="V209" s="228"/>
      <c r="W209" s="228"/>
      <c r="X209" s="55"/>
      <c r="Y209" s="55"/>
      <c r="Z209" s="55"/>
      <c r="AA209" s="55"/>
      <c r="AB209" s="55"/>
    </row>
    <row r="210" spans="1:28">
      <c r="A210" s="169" t="s">
        <v>2061</v>
      </c>
      <c r="B210" s="224" t="s">
        <v>2064</v>
      </c>
      <c r="D210" s="212" t="str">
        <f>"IND"&amp;RIGHT(H210,4)&amp;"ELC"&amp;"N"&amp;RIGHT(E210,1)</f>
        <v>INDFDTFELCN3</v>
      </c>
      <c r="E210" s="224" t="str">
        <f>"Industry "&amp;$AJ$12&amp;" "&amp;RIGHT(H210,2)&amp;" Tractors, Trucks, Fishing boats - New 3"</f>
        <v>Industry Food TF Tractors, Trucks, Fishing boats - New 3</v>
      </c>
      <c r="F210" s="224" t="s">
        <v>1149</v>
      </c>
      <c r="G210" s="55" t="s">
        <v>499</v>
      </c>
      <c r="H210" s="174" t="str">
        <f>$AI$18</f>
        <v>IFDTF</v>
      </c>
      <c r="I210" s="174"/>
      <c r="J210" s="81">
        <v>2017</v>
      </c>
      <c r="K210" s="81">
        <v>2025</v>
      </c>
      <c r="L210" s="1127">
        <f>1/SUMIFS(Transport!$AS$13:$AS$264,Transport!$D$13:$D$264,$B210,Transport!$E$13:$E$264,$A210,Transport!$A$13:$A$264,$J210)</f>
        <v>3.2991956437648962</v>
      </c>
      <c r="M210" s="256"/>
      <c r="N210" s="256">
        <v>20</v>
      </c>
      <c r="O210" s="1127">
        <f>SUMIFS(Transport!$AT$13:$AT$264,Transport!$D$13:$D$264,$B210,Transport!$E$13:$E$264,$A210,Transport!$A$13:$A$264,$J210)/1000*6.5</f>
        <v>72.592990417868862</v>
      </c>
      <c r="P210" s="254"/>
      <c r="Q210" s="254"/>
      <c r="R210" s="1126">
        <v>1</v>
      </c>
      <c r="S210" s="1127">
        <v>1</v>
      </c>
      <c r="T210" s="228"/>
      <c r="U210" s="228"/>
      <c r="V210" s="228"/>
      <c r="W210" s="287"/>
      <c r="X210" s="55"/>
      <c r="Y210" s="55"/>
      <c r="Z210" s="55"/>
      <c r="AA210" s="55"/>
      <c r="AB210" s="55"/>
    </row>
    <row r="211" spans="1:28">
      <c r="A211" s="169" t="s">
        <v>2061</v>
      </c>
      <c r="B211" s="224" t="s">
        <v>2064</v>
      </c>
      <c r="D211" s="55"/>
      <c r="E211" s="55"/>
      <c r="F211" s="224" t="s">
        <v>1149</v>
      </c>
      <c r="G211" s="55"/>
      <c r="H211" s="174"/>
      <c r="I211" s="174"/>
      <c r="J211" s="256">
        <v>2017</v>
      </c>
      <c r="K211" s="256"/>
      <c r="L211" s="1127">
        <f>1/SUMIFS(Transport!$AS$13:$AS$264,Transport!$D$13:$D$264,$B211,Transport!$E$13:$E$264,$A211,Transport!$A$13:$A$264,$J211)</f>
        <v>3.2991956437648962</v>
      </c>
      <c r="M211" s="256"/>
      <c r="N211" s="256"/>
      <c r="O211" s="1127">
        <f>SUMIFS(Transport!$AT$13:$AT$264,Transport!$D$13:$D$264,$B211,Transport!$E$13:$E$264,$A211,Transport!$A$13:$A$264,$J211)/1000*6.5</f>
        <v>72.592990417868862</v>
      </c>
      <c r="P211" s="254"/>
      <c r="Q211" s="254"/>
      <c r="R211" s="201"/>
      <c r="S211" s="275"/>
      <c r="T211" s="228"/>
      <c r="U211" s="228"/>
      <c r="V211" s="228"/>
      <c r="W211" s="228"/>
      <c r="X211" s="55"/>
      <c r="Y211" s="55"/>
      <c r="Z211" s="55"/>
      <c r="AA211" s="55"/>
      <c r="AB211" s="55"/>
    </row>
    <row r="212" spans="1:28">
      <c r="A212" s="169" t="s">
        <v>2061</v>
      </c>
      <c r="B212" s="224" t="s">
        <v>2064</v>
      </c>
      <c r="D212" s="55"/>
      <c r="E212" s="55"/>
      <c r="F212" s="224" t="s">
        <v>1149</v>
      </c>
      <c r="G212" s="55"/>
      <c r="J212" s="256">
        <v>2030</v>
      </c>
      <c r="K212" s="256"/>
      <c r="L212" s="1127">
        <f>1/SUMIFS(Transport!$AS$13:$AS$264,Transport!$D$13:$D$264,$B212,Transport!$E$13:$E$264,$A212,Transport!$A$13:$A$264,$J212)</f>
        <v>3.2991956437648962</v>
      </c>
      <c r="M212" s="256"/>
      <c r="N212" s="256"/>
      <c r="O212" s="1127">
        <f>SUMIFS(Transport!$AT$13:$AT$264,Transport!$D$13:$D$264,$B212,Transport!$E$13:$E$264,$A212,Transport!$A$13:$A$264,$J212)/1000*6.5</f>
        <v>35.973025982850046</v>
      </c>
      <c r="P212" s="254"/>
      <c r="Q212" s="254"/>
      <c r="R212" s="201"/>
      <c r="S212" s="275"/>
      <c r="T212" s="228"/>
      <c r="U212" s="228"/>
      <c r="V212" s="228"/>
      <c r="W212" s="228"/>
      <c r="X212" s="55"/>
      <c r="Y212" s="55"/>
      <c r="Z212" s="55"/>
      <c r="AA212" s="55"/>
      <c r="AB212" s="55"/>
    </row>
    <row r="213" spans="1:28">
      <c r="A213" s="169" t="s">
        <v>2061</v>
      </c>
      <c r="B213" s="224" t="s">
        <v>2064</v>
      </c>
      <c r="D213" s="55"/>
      <c r="E213" s="55"/>
      <c r="F213" s="224" t="s">
        <v>1149</v>
      </c>
      <c r="G213" s="55"/>
      <c r="J213" s="256">
        <v>2050</v>
      </c>
      <c r="K213" s="256"/>
      <c r="L213" s="1127">
        <f>1/SUMIFS(Transport!$AS$13:$AS$264,Transport!$D$13:$D$264,$B213,Transport!$E$13:$E$264,$A213,Transport!$A$13:$A$264,$J213)</f>
        <v>3.2991956437648962</v>
      </c>
      <c r="M213" s="256"/>
      <c r="N213" s="256"/>
      <c r="O213" s="1127">
        <f>SUMIFS(Transport!$AT$13:$AT$264,Transport!$D$13:$D$264,$B213,Transport!$E$13:$E$264,$A213,Transport!$A$13:$A$264,$J213)/1000*6.5</f>
        <v>28.759134300809922</v>
      </c>
      <c r="P213" s="254"/>
      <c r="Q213" s="254"/>
      <c r="R213" s="201"/>
      <c r="S213" s="275"/>
      <c r="T213" s="228"/>
      <c r="U213" s="228"/>
      <c r="V213" s="228"/>
      <c r="W213" s="228"/>
      <c r="X213" s="55"/>
      <c r="Y213" s="55"/>
      <c r="Z213" s="55"/>
      <c r="AA213" s="55"/>
      <c r="AB213" s="55"/>
    </row>
    <row r="214" spans="1:28">
      <c r="A214" s="169"/>
      <c r="D214" s="212" t="str">
        <f>"IND"&amp;RIGHT(H214,4)&amp;RIGHT(G214,3)&amp;"N"&amp;RIGHT(E214,1)</f>
        <v>INDFDFLELCN1</v>
      </c>
      <c r="E214" s="224" t="str">
        <f>"Industry "&amp;$AJ$12&amp;" "&amp;RIGHT(H202,2)&amp;" Forklifts - New 1"</f>
        <v>Industry Food TF Forklifts - New 1</v>
      </c>
      <c r="F214" s="224" t="s">
        <v>1149</v>
      </c>
      <c r="G214" s="173" t="s">
        <v>2128</v>
      </c>
      <c r="H214" s="224" t="str">
        <f>AI19</f>
        <v>IFDFL</v>
      </c>
      <c r="J214" s="81">
        <v>2011</v>
      </c>
      <c r="K214" s="81">
        <v>2011</v>
      </c>
      <c r="L214" s="256">
        <v>1</v>
      </c>
      <c r="M214" s="256"/>
      <c r="N214" s="256">
        <v>10</v>
      </c>
      <c r="O214" s="254"/>
      <c r="P214" s="254"/>
      <c r="Q214" s="254"/>
      <c r="R214" s="201"/>
      <c r="S214" s="275">
        <v>0.9</v>
      </c>
      <c r="T214" s="228"/>
      <c r="U214" s="228"/>
      <c r="V214" s="228"/>
      <c r="W214" s="228"/>
      <c r="X214" s="55"/>
      <c r="Y214" s="55"/>
      <c r="Z214" s="55"/>
      <c r="AA214" s="55"/>
      <c r="AB214" s="55"/>
    </row>
    <row r="215" spans="1:28">
      <c r="A215" s="169"/>
      <c r="D215" s="55"/>
      <c r="E215" s="55"/>
      <c r="F215" s="224" t="s">
        <v>1149</v>
      </c>
      <c r="G215" s="55"/>
      <c r="H215" s="174"/>
      <c r="I215" s="174"/>
      <c r="J215" s="256">
        <v>2020</v>
      </c>
      <c r="K215" s="256"/>
      <c r="L215" s="256"/>
      <c r="M215" s="256"/>
      <c r="N215" s="257"/>
      <c r="O215" s="61"/>
      <c r="P215" s="61"/>
      <c r="Q215" s="61"/>
      <c r="R215" s="61"/>
      <c r="S215" s="276"/>
      <c r="T215" s="55"/>
      <c r="U215" s="55"/>
      <c r="V215" s="55"/>
      <c r="W215" s="55"/>
      <c r="X215" s="55"/>
      <c r="Y215" s="55"/>
      <c r="Z215" s="55"/>
      <c r="AA215" s="55"/>
      <c r="AB215" s="55"/>
    </row>
    <row r="216" spans="1:28">
      <c r="A216" s="169"/>
      <c r="D216" s="55"/>
      <c r="E216" s="55"/>
      <c r="F216" s="224" t="s">
        <v>1149</v>
      </c>
      <c r="G216" s="55"/>
      <c r="J216" s="256">
        <v>2030</v>
      </c>
      <c r="K216" s="256"/>
      <c r="L216" s="256"/>
      <c r="M216" s="256"/>
      <c r="N216" s="257"/>
      <c r="O216" s="61"/>
      <c r="P216" s="61"/>
      <c r="Q216" s="61"/>
      <c r="R216" s="61"/>
      <c r="S216" s="276"/>
      <c r="T216" s="55"/>
      <c r="U216" s="55"/>
      <c r="V216" s="55"/>
      <c r="W216" s="55"/>
      <c r="X216" s="55"/>
      <c r="Y216" s="55"/>
      <c r="Z216" s="55"/>
      <c r="AA216" s="55"/>
      <c r="AB216" s="55"/>
    </row>
    <row r="217" spans="1:28">
      <c r="A217" s="169"/>
      <c r="D217" s="55"/>
      <c r="E217" s="55"/>
      <c r="F217" s="224" t="s">
        <v>1149</v>
      </c>
      <c r="G217" s="55"/>
      <c r="H217" s="174"/>
      <c r="I217" s="174"/>
      <c r="J217" s="256">
        <v>2050</v>
      </c>
      <c r="K217" s="256"/>
      <c r="L217" s="256"/>
      <c r="M217" s="256"/>
      <c r="N217" s="257"/>
      <c r="O217" s="61"/>
      <c r="P217" s="61"/>
      <c r="Q217" s="61"/>
      <c r="R217" s="61"/>
      <c r="S217" s="276"/>
      <c r="T217" s="55"/>
      <c r="U217" s="55"/>
      <c r="V217" s="55"/>
      <c r="W217" s="55"/>
      <c r="X217" s="55"/>
      <c r="Y217" s="55"/>
      <c r="Z217" s="55"/>
      <c r="AA217" s="55"/>
      <c r="AB217" s="55"/>
    </row>
    <row r="218" spans="1:28">
      <c r="A218" s="169" t="s">
        <v>2107</v>
      </c>
      <c r="D218" s="212" t="str">
        <f>"IND"&amp;RIGHT(H218,4)&amp;RIGHT(G218,3)&amp;"N"&amp;RIGHT(E218,1)</f>
        <v>INDFDCOELCN1</v>
      </c>
      <c r="E218" s="224" t="str">
        <f>"Industry "&amp;$AJ$12&amp;" "&amp;RIGHT(H218,2)&amp;" Cooling - New 1"</f>
        <v>Industry Food CO Cooling - New 1</v>
      </c>
      <c r="F218" s="224" t="s">
        <v>1149</v>
      </c>
      <c r="G218" s="173" t="s">
        <v>499</v>
      </c>
      <c r="H218" s="224" t="str">
        <f>AI21</f>
        <v>IFDCO</v>
      </c>
      <c r="J218" s="82">
        <v>2015</v>
      </c>
      <c r="K218" s="82">
        <v>2015</v>
      </c>
      <c r="L218" s="1128">
        <v>1</v>
      </c>
      <c r="M218" s="1129"/>
      <c r="N218" s="1129">
        <v>12</v>
      </c>
      <c r="O218" s="1130">
        <v>3.3525</v>
      </c>
      <c r="P218" s="1131">
        <v>0.31662500000000005</v>
      </c>
      <c r="Q218" s="1131"/>
      <c r="R218" s="1132">
        <v>3.1536000000000002E-2</v>
      </c>
      <c r="S218" s="1133">
        <v>8.3999999999999991E-2</v>
      </c>
    </row>
    <row r="219" spans="1:28">
      <c r="A219" s="169"/>
      <c r="F219" s="224" t="s">
        <v>1149</v>
      </c>
      <c r="H219" s="173"/>
      <c r="I219" s="173"/>
      <c r="J219" s="1129">
        <v>2020</v>
      </c>
      <c r="K219" s="1129"/>
      <c r="L219" s="1128">
        <v>1</v>
      </c>
      <c r="M219" s="1129"/>
      <c r="N219" s="257">
        <v>12</v>
      </c>
      <c r="O219" s="61">
        <v>3.1662499999999998</v>
      </c>
      <c r="P219" s="61">
        <v>0.30110722454958749</v>
      </c>
      <c r="Q219" s="61"/>
      <c r="R219" s="61">
        <v>3.1536000000000002E-2</v>
      </c>
      <c r="S219" s="276">
        <v>8.3999999999999991E-2</v>
      </c>
    </row>
    <row r="220" spans="1:28">
      <c r="A220" s="169"/>
      <c r="F220" s="224" t="s">
        <v>1149</v>
      </c>
      <c r="J220" s="1129">
        <v>2030</v>
      </c>
      <c r="K220" s="1129"/>
      <c r="L220" s="1128">
        <v>1</v>
      </c>
      <c r="M220" s="1129"/>
      <c r="N220" s="257">
        <v>12</v>
      </c>
      <c r="O220" s="61">
        <v>3.1662499999999998</v>
      </c>
      <c r="P220" s="61">
        <v>0.30110722454958749</v>
      </c>
      <c r="Q220" s="61"/>
      <c r="R220" s="61">
        <v>3.1536000000000002E-2</v>
      </c>
      <c r="S220" s="276">
        <v>8.3999999999999991E-2</v>
      </c>
    </row>
    <row r="221" spans="1:28">
      <c r="A221" s="169"/>
      <c r="F221" s="224" t="s">
        <v>1149</v>
      </c>
      <c r="H221" s="173"/>
      <c r="I221" s="173"/>
      <c r="J221" s="1129">
        <v>2050</v>
      </c>
      <c r="K221" s="1129"/>
      <c r="L221" s="1128">
        <v>1</v>
      </c>
      <c r="M221" s="1129"/>
      <c r="N221" s="257">
        <v>12</v>
      </c>
      <c r="O221" s="61">
        <v>3.1662499999999998</v>
      </c>
      <c r="P221" s="61">
        <v>0.30110722454958749</v>
      </c>
      <c r="Q221" s="61"/>
      <c r="R221" s="61">
        <v>3.1536000000000002E-2</v>
      </c>
      <c r="S221" s="276">
        <v>8.3999999999999991E-2</v>
      </c>
    </row>
    <row r="222" spans="1:28">
      <c r="A222" s="169"/>
    </row>
    <row r="223" spans="1:28">
      <c r="A223" s="169"/>
    </row>
    <row r="224" spans="1:28">
      <c r="A224" s="169"/>
    </row>
    <row r="225" spans="1:10">
      <c r="A225" s="169"/>
    </row>
    <row r="226" spans="1:10">
      <c r="A226" s="169"/>
      <c r="C226" s="207" t="s">
        <v>467</v>
      </c>
      <c r="D226" s="208"/>
      <c r="E226" s="208"/>
      <c r="F226" s="208"/>
      <c r="G226" s="208"/>
      <c r="H226" s="208"/>
      <c r="I226" s="208"/>
      <c r="J226" s="208"/>
    </row>
    <row r="227" spans="1:10">
      <c r="A227" s="169"/>
      <c r="C227" s="209" t="s">
        <v>466</v>
      </c>
      <c r="D227" s="209" t="s">
        <v>425</v>
      </c>
      <c r="E227" s="209" t="s">
        <v>465</v>
      </c>
      <c r="F227" s="209" t="s">
        <v>464</v>
      </c>
      <c r="G227" s="209" t="s">
        <v>463</v>
      </c>
      <c r="H227" s="209" t="s">
        <v>462</v>
      </c>
      <c r="I227" s="209" t="s">
        <v>461</v>
      </c>
      <c r="J227" s="209" t="s">
        <v>460</v>
      </c>
    </row>
    <row r="228" spans="1:10" ht="25" thickBot="1">
      <c r="A228" s="169"/>
      <c r="C228" s="210" t="s">
        <v>459</v>
      </c>
      <c r="D228" s="210" t="s">
        <v>458</v>
      </c>
      <c r="E228" s="210" t="s">
        <v>457</v>
      </c>
      <c r="F228" s="210" t="s">
        <v>456</v>
      </c>
      <c r="G228" s="210" t="s">
        <v>455</v>
      </c>
      <c r="H228" s="210" t="s">
        <v>454</v>
      </c>
      <c r="I228" s="210" t="s">
        <v>453</v>
      </c>
      <c r="J228" s="210" t="s">
        <v>452</v>
      </c>
    </row>
    <row r="229" spans="1:10">
      <c r="A229" s="169"/>
      <c r="C229" s="211" t="s">
        <v>504</v>
      </c>
      <c r="D229" s="212" t="str">
        <f>D9</f>
        <v>INDFDPHELCN1</v>
      </c>
      <c r="E229" s="212" t="str">
        <f t="shared" ref="E229:E260" si="266">VLOOKUP(D229,$D$9:$E$222,2,FALSE)</f>
        <v>Industrial heating technology Food PH - Heat pump utilizing waste heat - new 1</v>
      </c>
      <c r="F229" s="211" t="s">
        <v>450</v>
      </c>
      <c r="G229" s="211" t="s">
        <v>449</v>
      </c>
      <c r="H229" s="263" t="s">
        <v>620</v>
      </c>
      <c r="I229" s="301"/>
      <c r="J229" s="208" t="s">
        <v>469</v>
      </c>
    </row>
    <row r="230" spans="1:10">
      <c r="A230" s="169"/>
      <c r="B230" s="301"/>
      <c r="C230" s="301"/>
      <c r="D230" s="212" t="str">
        <f t="shared" ref="D230:D238" ca="1" si="267">OFFSET($D$9,(ROW(D1)*6),0)</f>
        <v>INDFDSHELCN1</v>
      </c>
      <c r="E230" s="212" t="str">
        <f t="shared" ca="1" si="266"/>
        <v>Industrial heating technology Food SH - Heat pump utilizing waste heat - new 1</v>
      </c>
      <c r="F230" s="262" t="s">
        <v>450</v>
      </c>
      <c r="G230" s="262" t="s">
        <v>449</v>
      </c>
      <c r="H230" s="263" t="s">
        <v>620</v>
      </c>
      <c r="I230" s="301"/>
      <c r="J230" s="264" t="s">
        <v>469</v>
      </c>
    </row>
    <row r="231" spans="1:10">
      <c r="A231" s="169"/>
      <c r="D231" s="212" t="str">
        <f t="shared" ca="1" si="267"/>
        <v>INDFDPHELCN2</v>
      </c>
      <c r="E231" s="212" t="str">
        <f t="shared" ca="1" si="266"/>
        <v>Industrial heating technology Food PH - Heat driven heat pump utilizing waste heat - new 2</v>
      </c>
      <c r="F231" s="211" t="s">
        <v>450</v>
      </c>
      <c r="G231" s="211" t="s">
        <v>449</v>
      </c>
      <c r="H231" s="263" t="s">
        <v>620</v>
      </c>
      <c r="I231" s="208"/>
      <c r="J231" s="264" t="s">
        <v>469</v>
      </c>
    </row>
    <row r="232" spans="1:10">
      <c r="A232" s="169"/>
      <c r="B232" s="211"/>
      <c r="C232" s="211"/>
      <c r="D232" s="212" t="str">
        <f t="shared" ca="1" si="267"/>
        <v>INDFDSHELCN2</v>
      </c>
      <c r="E232" s="212" t="str">
        <f t="shared" ca="1" si="266"/>
        <v>Industrial heating technology Food SH - Heat driven heat pump utilizing waste heat - new 2</v>
      </c>
      <c r="F232" s="262" t="s">
        <v>450</v>
      </c>
      <c r="G232" s="262" t="s">
        <v>449</v>
      </c>
      <c r="H232" s="263" t="s">
        <v>620</v>
      </c>
      <c r="I232" s="264"/>
      <c r="J232" s="264" t="s">
        <v>469</v>
      </c>
    </row>
    <row r="233" spans="1:10">
      <c r="A233" s="169"/>
      <c r="B233" s="211"/>
      <c r="C233" s="211"/>
      <c r="D233" s="212" t="str">
        <f t="shared" ca="1" si="267"/>
        <v>INDFDPHELCN3</v>
      </c>
      <c r="E233" s="212" t="str">
        <f t="shared" ca="1" si="266"/>
        <v>Industrial heating technology Food PH - High Temp abs. Heat pump utilizing waste heat - new 3</v>
      </c>
      <c r="F233" s="262" t="s">
        <v>450</v>
      </c>
      <c r="G233" s="262" t="s">
        <v>449</v>
      </c>
      <c r="H233" s="263" t="s">
        <v>620</v>
      </c>
      <c r="I233" s="264"/>
      <c r="J233" s="264" t="s">
        <v>469</v>
      </c>
    </row>
    <row r="234" spans="1:10">
      <c r="A234" s="169"/>
      <c r="B234" s="211"/>
      <c r="C234" s="211"/>
      <c r="D234" s="212" t="str">
        <f t="shared" ca="1" si="267"/>
        <v>INDFDSHELCN3</v>
      </c>
      <c r="E234" s="212" t="str">
        <f t="shared" ca="1" si="266"/>
        <v>Industrial heating technology Food SH - High Temp abs. Heat pump utilizing waste heat - new 3</v>
      </c>
      <c r="F234" s="262" t="s">
        <v>450</v>
      </c>
      <c r="G234" s="262" t="s">
        <v>449</v>
      </c>
      <c r="H234" s="263" t="s">
        <v>620</v>
      </c>
      <c r="I234" s="264"/>
      <c r="J234" s="264" t="s">
        <v>469</v>
      </c>
    </row>
    <row r="235" spans="1:10">
      <c r="A235" s="169"/>
      <c r="B235" s="211"/>
      <c r="C235" s="211"/>
      <c r="D235" s="212" t="str">
        <f t="shared" ca="1" si="267"/>
        <v>INDFDPHELCN4</v>
      </c>
      <c r="E235" s="212" t="str">
        <f t="shared" ca="1" si="266"/>
        <v>Industrial heating technology Food PH - Booster Heat pump utilizing waste heat - new 4</v>
      </c>
      <c r="F235" s="262" t="s">
        <v>450</v>
      </c>
      <c r="G235" s="262" t="s">
        <v>449</v>
      </c>
      <c r="H235" s="263" t="s">
        <v>620</v>
      </c>
      <c r="I235" s="264"/>
      <c r="J235" s="264" t="s">
        <v>469</v>
      </c>
    </row>
    <row r="236" spans="1:10">
      <c r="A236" s="169"/>
      <c r="B236" s="211"/>
      <c r="C236" s="211"/>
      <c r="D236" s="212" t="str">
        <f t="shared" ca="1" si="267"/>
        <v>INDFDSHELCN4</v>
      </c>
      <c r="E236" s="212" t="str">
        <f t="shared" ca="1" si="266"/>
        <v>Industrial heating technology Food SH - Booster Heat pump utilizing waste heat - new 4</v>
      </c>
      <c r="F236" s="262" t="s">
        <v>450</v>
      </c>
      <c r="G236" s="262" t="s">
        <v>449</v>
      </c>
      <c r="H236" s="263" t="s">
        <v>620</v>
      </c>
      <c r="I236" s="264"/>
      <c r="J236" s="264" t="s">
        <v>469</v>
      </c>
    </row>
    <row r="237" spans="1:10">
      <c r="A237" s="169"/>
      <c r="B237" s="211"/>
      <c r="C237" s="211"/>
      <c r="D237" s="212" t="str">
        <f t="shared" ca="1" si="267"/>
        <v>INDFDPHELCN5</v>
      </c>
      <c r="E237" s="212" t="str">
        <f t="shared" ca="1" si="266"/>
        <v>Industrial heating technology Food PH - MVR utilizing waste heat - new 5</v>
      </c>
      <c r="F237" s="262" t="s">
        <v>450</v>
      </c>
      <c r="G237" s="262" t="s">
        <v>449</v>
      </c>
      <c r="H237" s="263"/>
      <c r="I237" s="264"/>
      <c r="J237" s="264" t="s">
        <v>469</v>
      </c>
    </row>
    <row r="238" spans="1:10">
      <c r="A238" s="169"/>
      <c r="B238" s="211"/>
      <c r="C238" s="211"/>
      <c r="D238" s="212" t="str">
        <f t="shared" ca="1" si="267"/>
        <v>INDFDPHWSTN1</v>
      </c>
      <c r="E238" s="212" t="str">
        <f t="shared" ca="1" si="266"/>
        <v>Industrial heating technology Food PH - Hotdisc - new 1</v>
      </c>
      <c r="F238" s="262" t="s">
        <v>450</v>
      </c>
      <c r="G238" s="262" t="s">
        <v>449</v>
      </c>
      <c r="H238" s="263" t="s">
        <v>620</v>
      </c>
      <c r="I238" s="264"/>
      <c r="J238" s="264" t="s">
        <v>469</v>
      </c>
    </row>
    <row r="239" spans="1:10">
      <c r="A239" s="169"/>
      <c r="B239" s="211"/>
      <c r="C239" s="211"/>
      <c r="D239" s="212" t="str">
        <f t="shared" ref="D239:D278" ca="1" si="268">OFFSET($D$9,(ROW(D19)*3),0)</f>
        <v>INDFDPHELCN6</v>
      </c>
      <c r="E239" s="212" t="str">
        <f t="shared" ca="1" si="266"/>
        <v>Industrial heating technology Food PH - Dielectric heating - new 6</v>
      </c>
      <c r="F239" s="262" t="s">
        <v>450</v>
      </c>
      <c r="G239" s="262" t="s">
        <v>449</v>
      </c>
      <c r="H239" s="263" t="s">
        <v>620</v>
      </c>
      <c r="I239" s="264"/>
      <c r="J239" s="264" t="s">
        <v>469</v>
      </c>
    </row>
    <row r="240" spans="1:10">
      <c r="A240" s="169"/>
      <c r="B240" s="211"/>
      <c r="C240" s="211"/>
      <c r="D240" s="212" t="str">
        <f t="shared" ca="1" si="268"/>
        <v>INDFDPHELCN7</v>
      </c>
      <c r="E240" s="212" t="str">
        <f t="shared" ca="1" si="266"/>
        <v>Industrial heating technology Food PH - Infrared heating - new 7</v>
      </c>
      <c r="F240" s="262" t="s">
        <v>450</v>
      </c>
      <c r="G240" s="262" t="s">
        <v>449</v>
      </c>
      <c r="H240" s="263" t="s">
        <v>620</v>
      </c>
      <c r="I240" s="264"/>
      <c r="J240" s="264" t="s">
        <v>469</v>
      </c>
    </row>
    <row r="241" spans="1:16">
      <c r="A241" s="169"/>
      <c r="B241" s="211"/>
      <c r="C241" s="211"/>
      <c r="D241" s="212" t="str">
        <f t="shared" ca="1" si="268"/>
        <v>INDFDPHELCN8</v>
      </c>
      <c r="E241" s="212" t="str">
        <f t="shared" ca="1" si="266"/>
        <v>Industrial heating technology Food PH - Electric boiler (Steam) - new 8</v>
      </c>
      <c r="F241" s="262" t="s">
        <v>450</v>
      </c>
      <c r="G241" s="262" t="s">
        <v>449</v>
      </c>
      <c r="H241" s="263" t="s">
        <v>620</v>
      </c>
      <c r="I241" s="264"/>
      <c r="J241" s="264" t="s">
        <v>469</v>
      </c>
    </row>
    <row r="242" spans="1:16">
      <c r="A242" s="169"/>
      <c r="B242" s="211"/>
      <c r="C242" s="211"/>
      <c r="D242" s="212" t="str">
        <f t="shared" ca="1" si="268"/>
        <v>INDFDPHELCN8</v>
      </c>
      <c r="E242" s="212" t="str">
        <f t="shared" ca="1" si="266"/>
        <v>Industrial heating technology Food PH - Electric boiler (Steam) - new 8</v>
      </c>
      <c r="F242" s="262" t="s">
        <v>450</v>
      </c>
      <c r="G242" s="262" t="s">
        <v>449</v>
      </c>
      <c r="H242" s="263" t="s">
        <v>620</v>
      </c>
      <c r="I242" s="264"/>
      <c r="J242" s="264" t="s">
        <v>469</v>
      </c>
    </row>
    <row r="243" spans="1:16">
      <c r="A243" s="169"/>
      <c r="B243" s="211"/>
      <c r="C243" s="211"/>
      <c r="D243" s="212" t="str">
        <f t="shared" ca="1" si="268"/>
        <v>INDFDSHELCN8</v>
      </c>
      <c r="E243" s="212" t="str">
        <f t="shared" ca="1" si="266"/>
        <v>Industrial heating technology Food SH - Electric boiler (Steam) - new 8</v>
      </c>
      <c r="F243" s="262" t="s">
        <v>450</v>
      </c>
      <c r="G243" s="262" t="s">
        <v>449</v>
      </c>
      <c r="H243" s="263" t="s">
        <v>620</v>
      </c>
      <c r="I243" s="264"/>
      <c r="J243" s="264" t="s">
        <v>469</v>
      </c>
      <c r="P243" s="173"/>
    </row>
    <row r="244" spans="1:16">
      <c r="A244" s="169"/>
      <c r="B244" s="211"/>
      <c r="C244" s="211"/>
      <c r="D244" s="212" t="str">
        <f t="shared" ca="1" si="268"/>
        <v>INDFDPHELCN9</v>
      </c>
      <c r="E244" s="212" t="str">
        <f t="shared" ca="1" si="266"/>
        <v>Industrial heating technology Food PH - Electric boiler (Hot Water) - new 9</v>
      </c>
      <c r="F244" s="262" t="s">
        <v>450</v>
      </c>
      <c r="G244" s="262" t="s">
        <v>449</v>
      </c>
      <c r="H244" s="263" t="s">
        <v>620</v>
      </c>
      <c r="I244" s="264"/>
      <c r="J244" s="264" t="s">
        <v>469</v>
      </c>
      <c r="P244" s="173"/>
    </row>
    <row r="245" spans="1:16">
      <c r="A245" s="169"/>
      <c r="B245" s="211"/>
      <c r="C245" s="211"/>
      <c r="D245" s="212" t="str">
        <f t="shared" ca="1" si="268"/>
        <v>INDFDSHELCN9</v>
      </c>
      <c r="E245" s="212" t="str">
        <f t="shared" ca="1" si="266"/>
        <v>Industrial heating technology Food SH - Electric boiler (Hot Water) - new 9</v>
      </c>
      <c r="F245" s="262" t="s">
        <v>450</v>
      </c>
      <c r="G245" s="262" t="s">
        <v>449</v>
      </c>
      <c r="H245" s="263" t="s">
        <v>620</v>
      </c>
      <c r="I245" s="264"/>
      <c r="J245" s="264" t="s">
        <v>469</v>
      </c>
      <c r="P245" s="173"/>
    </row>
    <row r="246" spans="1:16">
      <c r="A246" s="169"/>
      <c r="B246" s="211"/>
      <c r="C246" s="211"/>
      <c r="D246" s="212" t="str">
        <f t="shared" ca="1" si="268"/>
        <v>INDFDPHWCHN1</v>
      </c>
      <c r="E246" s="212" t="str">
        <f t="shared" ca="1" si="266"/>
        <v>Industrial heating technology Food PH - Wood chip boiler (Steam) - new 1</v>
      </c>
      <c r="F246" s="262" t="s">
        <v>450</v>
      </c>
      <c r="G246" s="262" t="s">
        <v>449</v>
      </c>
      <c r="H246" s="263"/>
      <c r="I246" s="264"/>
      <c r="J246" s="264" t="s">
        <v>469</v>
      </c>
      <c r="P246" s="173"/>
    </row>
    <row r="247" spans="1:16">
      <c r="A247" s="169"/>
      <c r="B247" s="211"/>
      <c r="C247" s="211"/>
      <c r="D247" s="212" t="str">
        <f t="shared" ca="1" si="268"/>
        <v>INDFDPHWCHN1</v>
      </c>
      <c r="E247" s="212" t="str">
        <f t="shared" ca="1" si="266"/>
        <v>Industrial heating technology Food PH - Wood chip boiler (Steam) - new 1</v>
      </c>
      <c r="F247" s="262" t="s">
        <v>450</v>
      </c>
      <c r="G247" s="262" t="s">
        <v>449</v>
      </c>
      <c r="H247" s="263"/>
      <c r="I247" s="264"/>
      <c r="J247" s="264" t="s">
        <v>469</v>
      </c>
      <c r="M247" s="171"/>
      <c r="N247" s="171"/>
      <c r="P247" s="173"/>
    </row>
    <row r="248" spans="1:16">
      <c r="A248" s="169"/>
      <c r="B248" s="211"/>
      <c r="C248" s="211"/>
      <c r="D248" s="212" t="str">
        <f t="shared" ca="1" si="268"/>
        <v>INDFDSHWCHN1</v>
      </c>
      <c r="E248" s="212" t="str">
        <f t="shared" ca="1" si="266"/>
        <v>Industrial heating technology Food SH - Wood chip boiler (Steam) - new 1</v>
      </c>
      <c r="F248" s="262" t="s">
        <v>450</v>
      </c>
      <c r="G248" s="262" t="s">
        <v>449</v>
      </c>
      <c r="H248" s="263"/>
      <c r="I248" s="264"/>
      <c r="J248" s="264" t="s">
        <v>469</v>
      </c>
      <c r="M248" s="171"/>
      <c r="N248" s="171"/>
      <c r="P248" s="173"/>
    </row>
    <row r="249" spans="1:16">
      <c r="A249" s="169"/>
      <c r="B249" s="211"/>
      <c r="C249" s="211"/>
      <c r="D249" s="212" t="str">
        <f t="shared" ca="1" si="268"/>
        <v>INDFDPHWCHN2</v>
      </c>
      <c r="E249" s="212" t="str">
        <f t="shared" ca="1" si="266"/>
        <v>Industrial heating technology Food PH - Wood chip boiler (Steam - condensing) - new 2</v>
      </c>
      <c r="F249" s="262" t="s">
        <v>450</v>
      </c>
      <c r="G249" s="262" t="s">
        <v>449</v>
      </c>
      <c r="H249" s="263"/>
      <c r="I249" s="264"/>
      <c r="J249" s="264" t="s">
        <v>469</v>
      </c>
      <c r="M249" s="171"/>
      <c r="N249" s="171"/>
      <c r="P249" s="173"/>
    </row>
    <row r="250" spans="1:16">
      <c r="A250" s="169"/>
      <c r="B250" s="212"/>
      <c r="C250" s="212"/>
      <c r="D250" s="212" t="str">
        <f t="shared" ca="1" si="268"/>
        <v>INDFDSHWCHN2</v>
      </c>
      <c r="E250" s="212" t="str">
        <f t="shared" ca="1" si="266"/>
        <v>Industrial heating technology Food SH - Wood chip boiler (Steam - condensing) - new 2</v>
      </c>
      <c r="F250" s="262" t="s">
        <v>450</v>
      </c>
      <c r="G250" s="262" t="s">
        <v>449</v>
      </c>
      <c r="H250" s="263"/>
      <c r="I250" s="264"/>
      <c r="J250" s="264" t="s">
        <v>469</v>
      </c>
    </row>
    <row r="251" spans="1:16">
      <c r="A251" s="169"/>
      <c r="B251" s="212"/>
      <c r="C251" s="212"/>
      <c r="D251" s="212" t="str">
        <f t="shared" ca="1" si="268"/>
        <v>INDFDPHWCHN3</v>
      </c>
      <c r="E251" s="212" t="str">
        <f t="shared" ca="1" si="266"/>
        <v>Industrial heating technology Food PH - Wood chip boiler (Hot Water) - new 3</v>
      </c>
      <c r="F251" s="262" t="s">
        <v>450</v>
      </c>
      <c r="G251" s="262" t="s">
        <v>449</v>
      </c>
      <c r="H251" s="261"/>
      <c r="I251" s="261"/>
      <c r="J251" s="264" t="s">
        <v>469</v>
      </c>
    </row>
    <row r="252" spans="1:16">
      <c r="A252" s="169"/>
      <c r="B252" s="212"/>
      <c r="C252" s="212"/>
      <c r="D252" s="212" t="str">
        <f t="shared" ca="1" si="268"/>
        <v>INDFDSHWCHN3</v>
      </c>
      <c r="E252" s="212" t="str">
        <f t="shared" ca="1" si="266"/>
        <v>Industrial heating technology Food SH - Wood chip boiler (Hot Water) - new 3</v>
      </c>
      <c r="F252" s="262" t="s">
        <v>450</v>
      </c>
      <c r="G252" s="262" t="s">
        <v>449</v>
      </c>
      <c r="H252" s="261"/>
      <c r="I252" s="261"/>
      <c r="J252" s="264" t="s">
        <v>469</v>
      </c>
    </row>
    <row r="253" spans="1:16">
      <c r="A253" s="169"/>
      <c r="B253" s="212"/>
      <c r="C253" s="212"/>
      <c r="D253" s="212" t="str">
        <f t="shared" ca="1" si="268"/>
        <v>INDFDPHWCHN4</v>
      </c>
      <c r="E253" s="212" t="str">
        <f t="shared" ca="1" si="266"/>
        <v>Industrial heating technology Food PH - Wood chip boiler (Hot Water - condensing) - new 4</v>
      </c>
      <c r="F253" s="262" t="s">
        <v>450</v>
      </c>
      <c r="G253" s="262" t="s">
        <v>449</v>
      </c>
      <c r="H253" s="261"/>
      <c r="I253" s="261"/>
      <c r="J253" s="264" t="s">
        <v>469</v>
      </c>
    </row>
    <row r="254" spans="1:16">
      <c r="A254" s="169"/>
      <c r="B254" s="212"/>
      <c r="C254" s="212"/>
      <c r="D254" s="212" t="str">
        <f t="shared" ca="1" si="268"/>
        <v>INDFDSHWCHN4</v>
      </c>
      <c r="E254" s="212" t="str">
        <f t="shared" ca="1" si="266"/>
        <v>Industrial heating technology Food SH - Wood chip boiler (Hot Water- condensing) - new 4</v>
      </c>
      <c r="F254" s="262" t="s">
        <v>450</v>
      </c>
      <c r="G254" s="262" t="s">
        <v>449</v>
      </c>
      <c r="H254" s="261"/>
      <c r="I254" s="261"/>
      <c r="J254" s="264" t="s">
        <v>469</v>
      </c>
    </row>
    <row r="255" spans="1:16">
      <c r="B255" s="212"/>
      <c r="C255" s="212"/>
      <c r="D255" s="212" t="str">
        <f t="shared" ca="1" si="268"/>
        <v>INDFDPHELCN10</v>
      </c>
      <c r="E255" s="212" t="str">
        <f t="shared" ca="1" si="266"/>
        <v>Industrial heating technology Food PH - Direct electric heating - new 10</v>
      </c>
      <c r="F255" s="262" t="s">
        <v>450</v>
      </c>
      <c r="G255" s="262" t="s">
        <v>449</v>
      </c>
      <c r="H255" s="261"/>
      <c r="I255" s="261"/>
      <c r="J255" s="264" t="s">
        <v>469</v>
      </c>
    </row>
    <row r="256" spans="1:16">
      <c r="B256" s="212"/>
      <c r="C256" s="212"/>
      <c r="D256" s="212" t="str">
        <f t="shared" ca="1" si="268"/>
        <v>INDFDPHELCN10</v>
      </c>
      <c r="E256" s="212" t="str">
        <f t="shared" ca="1" si="266"/>
        <v>Industrial heating technology Food PH - Direct electric heating - new 10</v>
      </c>
      <c r="F256" s="262" t="s">
        <v>450</v>
      </c>
      <c r="G256" s="262" t="s">
        <v>449</v>
      </c>
      <c r="H256" s="261"/>
      <c r="I256" s="261"/>
      <c r="J256" s="264" t="s">
        <v>469</v>
      </c>
    </row>
    <row r="257" spans="1:10">
      <c r="B257" s="212"/>
      <c r="C257" s="212"/>
      <c r="D257" s="212" t="str">
        <f t="shared" ca="1" si="268"/>
        <v>INDFDPHDSLN1</v>
      </c>
      <c r="E257" s="212" t="str">
        <f t="shared" ca="1" si="266"/>
        <v>Industrial heating technology Food PH - Oil boiler (Steam) - new 1</v>
      </c>
      <c r="F257" s="262" t="s">
        <v>450</v>
      </c>
      <c r="G257" s="262" t="s">
        <v>449</v>
      </c>
      <c r="H257" s="261"/>
      <c r="I257" s="261"/>
      <c r="J257" s="264" t="s">
        <v>469</v>
      </c>
    </row>
    <row r="258" spans="1:10">
      <c r="B258" s="212"/>
      <c r="C258" s="212"/>
      <c r="D258" s="212" t="str">
        <f t="shared" ca="1" si="268"/>
        <v>INDFDPHDSLN1</v>
      </c>
      <c r="E258" s="212" t="str">
        <f t="shared" ca="1" si="266"/>
        <v>Industrial heating technology Food PH - Oil boiler (Steam) - new 1</v>
      </c>
      <c r="F258" s="262" t="s">
        <v>450</v>
      </c>
      <c r="G258" s="262" t="s">
        <v>449</v>
      </c>
      <c r="H258" s="261"/>
      <c r="I258" s="261"/>
      <c r="J258" s="264" t="s">
        <v>469</v>
      </c>
    </row>
    <row r="259" spans="1:10">
      <c r="B259" s="212"/>
      <c r="C259" s="212"/>
      <c r="D259" s="212" t="str">
        <f t="shared" ca="1" si="268"/>
        <v>INDFDSHDSLN1</v>
      </c>
      <c r="E259" s="212" t="str">
        <f t="shared" ca="1" si="266"/>
        <v>Industrial heating technology Food SH - Oil boiler (Steam) - new 1</v>
      </c>
      <c r="F259" s="262" t="s">
        <v>450</v>
      </c>
      <c r="G259" s="262" t="s">
        <v>449</v>
      </c>
      <c r="H259" s="261"/>
      <c r="I259" s="261"/>
      <c r="J259" s="264" t="s">
        <v>469</v>
      </c>
    </row>
    <row r="260" spans="1:10">
      <c r="A260" s="214"/>
      <c r="B260" s="212"/>
      <c r="C260" s="212"/>
      <c r="D260" s="212" t="str">
        <f t="shared" ca="1" si="268"/>
        <v>INDFDPHDSLN2</v>
      </c>
      <c r="E260" s="212" t="str">
        <f t="shared" ca="1" si="266"/>
        <v>Industrial heating technology Food PH - Oil boiler (Steam - condensing) - new 2</v>
      </c>
      <c r="F260" s="262" t="s">
        <v>450</v>
      </c>
      <c r="G260" s="262" t="s">
        <v>449</v>
      </c>
      <c r="H260" s="261"/>
      <c r="I260" s="261"/>
      <c r="J260" s="264" t="s">
        <v>469</v>
      </c>
    </row>
    <row r="261" spans="1:10">
      <c r="A261" s="214"/>
      <c r="B261" s="212"/>
      <c r="C261" s="212"/>
      <c r="D261" s="212" t="str">
        <f t="shared" ca="1" si="268"/>
        <v>INDFDSHDSLN2</v>
      </c>
      <c r="E261" s="212" t="str">
        <f t="shared" ref="E261:E290" ca="1" si="269">VLOOKUP(D261,$D$9:$E$222,2,FALSE)</f>
        <v>Industrial heating technology Food SH - Oil boiler (Steam - condensing) - new 2</v>
      </c>
      <c r="F261" s="262" t="s">
        <v>450</v>
      </c>
      <c r="G261" s="262" t="s">
        <v>449</v>
      </c>
      <c r="H261" s="261"/>
      <c r="I261" s="261"/>
      <c r="J261" s="264" t="s">
        <v>469</v>
      </c>
    </row>
    <row r="262" spans="1:10">
      <c r="A262" s="214"/>
      <c r="B262" s="212"/>
      <c r="C262" s="212"/>
      <c r="D262" s="212" t="str">
        <f t="shared" ca="1" si="268"/>
        <v>INDFDPHGASN1</v>
      </c>
      <c r="E262" s="212" t="str">
        <f t="shared" ca="1" si="269"/>
        <v>Industrial heating technology Food PH - Gas boiler (Steam) - new 1</v>
      </c>
      <c r="F262" s="262" t="s">
        <v>450</v>
      </c>
      <c r="G262" s="262" t="s">
        <v>449</v>
      </c>
      <c r="H262" s="261"/>
      <c r="I262" s="261"/>
      <c r="J262" s="264" t="s">
        <v>469</v>
      </c>
    </row>
    <row r="263" spans="1:10">
      <c r="A263" s="214"/>
      <c r="B263" s="212"/>
      <c r="C263" s="212"/>
      <c r="D263" s="212" t="str">
        <f t="shared" ca="1" si="268"/>
        <v>INDFDPHGASN1</v>
      </c>
      <c r="E263" s="212" t="str">
        <f t="shared" ca="1" si="269"/>
        <v>Industrial heating technology Food PH - Gas boiler (Steam) - new 1</v>
      </c>
      <c r="F263" s="262" t="s">
        <v>450</v>
      </c>
      <c r="G263" s="262" t="s">
        <v>449</v>
      </c>
      <c r="H263" s="261"/>
      <c r="I263" s="261"/>
      <c r="J263" s="264" t="s">
        <v>469</v>
      </c>
    </row>
    <row r="264" spans="1:10">
      <c r="B264" s="212"/>
      <c r="C264" s="212"/>
      <c r="D264" s="212" t="str">
        <f t="shared" ca="1" si="268"/>
        <v>INDFDSHGASN1</v>
      </c>
      <c r="E264" s="212" t="str">
        <f t="shared" ca="1" si="269"/>
        <v>Industrial heating technology Food SH - Gas boiler (Steam) - new 1</v>
      </c>
      <c r="F264" s="262" t="s">
        <v>450</v>
      </c>
      <c r="G264" s="262" t="s">
        <v>449</v>
      </c>
      <c r="H264" s="261"/>
      <c r="I264" s="261"/>
      <c r="J264" s="264" t="s">
        <v>469</v>
      </c>
    </row>
    <row r="265" spans="1:10">
      <c r="B265" s="212"/>
      <c r="C265" s="212"/>
      <c r="D265" s="212" t="str">
        <f t="shared" ca="1" si="268"/>
        <v>INDFDPHGASN2</v>
      </c>
      <c r="E265" s="212" t="str">
        <f t="shared" ca="1" si="269"/>
        <v>Industrial heating technology Food PH - Gas boiler (Steam - condensing) - new 2</v>
      </c>
      <c r="F265" s="262" t="s">
        <v>450</v>
      </c>
      <c r="G265" s="262" t="s">
        <v>449</v>
      </c>
      <c r="H265" s="261"/>
      <c r="I265" s="261"/>
      <c r="J265" s="264" t="s">
        <v>469</v>
      </c>
    </row>
    <row r="266" spans="1:10">
      <c r="B266" s="212"/>
      <c r="C266" s="212"/>
      <c r="D266" s="212" t="str">
        <f t="shared" ca="1" si="268"/>
        <v>INDFDSHGASN2</v>
      </c>
      <c r="E266" s="212" t="str">
        <f t="shared" ca="1" si="269"/>
        <v>Industrial heating technology Food SH - Gas boiler (Steam - condensing) - new 2</v>
      </c>
      <c r="F266" s="262" t="s">
        <v>450</v>
      </c>
      <c r="G266" s="262" t="s">
        <v>449</v>
      </c>
      <c r="H266" s="261"/>
      <c r="I266" s="261"/>
      <c r="J266" s="264" t="s">
        <v>469</v>
      </c>
    </row>
    <row r="267" spans="1:10">
      <c r="B267" s="212"/>
      <c r="C267" s="212"/>
      <c r="D267" s="212" t="str">
        <f t="shared" ca="1" si="268"/>
        <v>INDFDPHGASN3</v>
      </c>
      <c r="E267" s="212" t="str">
        <f t="shared" ca="1" si="269"/>
        <v>Industrial heating technology Food PH - Gas boiler (Hot Water) - new 3</v>
      </c>
      <c r="F267" s="262" t="s">
        <v>450</v>
      </c>
      <c r="G267" s="262" t="s">
        <v>449</v>
      </c>
      <c r="H267" s="261"/>
      <c r="I267" s="261"/>
      <c r="J267" s="264" t="s">
        <v>469</v>
      </c>
    </row>
    <row r="268" spans="1:10">
      <c r="B268" s="212"/>
      <c r="C268" s="212"/>
      <c r="D268" s="212" t="str">
        <f t="shared" ca="1" si="268"/>
        <v>INDFDSHGASN3</v>
      </c>
      <c r="E268" s="212" t="str">
        <f t="shared" ca="1" si="269"/>
        <v>Industrial heating technology Food SH - Gas boiler (Hot Water) - new 3</v>
      </c>
      <c r="F268" s="262" t="s">
        <v>450</v>
      </c>
      <c r="G268" s="262" t="s">
        <v>449</v>
      </c>
      <c r="H268" s="261"/>
      <c r="I268" s="261"/>
      <c r="J268" s="264" t="s">
        <v>469</v>
      </c>
    </row>
    <row r="269" spans="1:10">
      <c r="B269" s="212"/>
      <c r="C269" s="212"/>
      <c r="D269" s="212" t="str">
        <f t="shared" ca="1" si="268"/>
        <v>INDFDPHGASN4</v>
      </c>
      <c r="E269" s="212" t="str">
        <f t="shared" ca="1" si="269"/>
        <v>Industrial heating technology Food PH - Gas boiler (Hot Water - condensing) - new 4</v>
      </c>
      <c r="F269" s="262" t="s">
        <v>450</v>
      </c>
      <c r="G269" s="262" t="s">
        <v>449</v>
      </c>
      <c r="H269" s="261"/>
      <c r="I269" s="261"/>
      <c r="J269" s="264" t="s">
        <v>469</v>
      </c>
    </row>
    <row r="270" spans="1:10">
      <c r="B270" s="212"/>
      <c r="C270" s="212"/>
      <c r="D270" s="212" t="str">
        <f t="shared" ca="1" si="268"/>
        <v>INDFDSHGASN4</v>
      </c>
      <c r="E270" s="212" t="str">
        <f t="shared" ca="1" si="269"/>
        <v>Industrial heating technology Food SH - Gas boiler (Hot Water- condensing) - new 4</v>
      </c>
      <c r="F270" s="262" t="s">
        <v>450</v>
      </c>
      <c r="G270" s="262" t="s">
        <v>449</v>
      </c>
      <c r="H270" s="261"/>
      <c r="I270" s="261"/>
      <c r="J270" s="264" t="s">
        <v>469</v>
      </c>
    </row>
    <row r="271" spans="1:10">
      <c r="B271" s="212"/>
      <c r="C271" s="212"/>
      <c r="D271" s="212" t="str">
        <f t="shared" ca="1" si="268"/>
        <v>INDFDPHGASN5</v>
      </c>
      <c r="E271" s="212" t="str">
        <f t="shared" ca="1" si="269"/>
        <v>Industrial heating technology Food PH - Gas boiler (Direct firing) - new 5</v>
      </c>
      <c r="F271" s="262" t="s">
        <v>450</v>
      </c>
      <c r="G271" s="262" t="s">
        <v>449</v>
      </c>
      <c r="H271" s="261"/>
      <c r="I271" s="261"/>
      <c r="J271" s="264" t="s">
        <v>469</v>
      </c>
    </row>
    <row r="272" spans="1:10">
      <c r="B272" s="212"/>
      <c r="C272" s="212"/>
      <c r="D272" s="212" t="str">
        <f t="shared" ca="1" si="268"/>
        <v>INDFDPHGASN5</v>
      </c>
      <c r="E272" s="212" t="str">
        <f t="shared" ca="1" si="269"/>
        <v>Industrial heating technology Food PH - Gas boiler (Direct firing) - new 5</v>
      </c>
      <c r="F272" s="262" t="s">
        <v>450</v>
      </c>
      <c r="G272" s="262" t="s">
        <v>449</v>
      </c>
      <c r="H272" s="261"/>
      <c r="I272" s="261"/>
      <c r="J272" s="264" t="s">
        <v>469</v>
      </c>
    </row>
    <row r="273" spans="2:10">
      <c r="B273" s="212"/>
      <c r="C273" s="212"/>
      <c r="D273" s="212" t="str">
        <f t="shared" ca="1" si="268"/>
        <v>INDFDPHCOAN1</v>
      </c>
      <c r="E273" s="212" t="str">
        <f t="shared" ca="1" si="269"/>
        <v>Industrial heating technology Food PH - Coal boiler (Steam) - new 1</v>
      </c>
      <c r="F273" s="262" t="s">
        <v>450</v>
      </c>
      <c r="G273" s="262" t="s">
        <v>449</v>
      </c>
      <c r="H273" s="261"/>
      <c r="I273" s="261"/>
      <c r="J273" s="264" t="s">
        <v>469</v>
      </c>
    </row>
    <row r="274" spans="2:10">
      <c r="B274" s="212"/>
      <c r="C274" s="212"/>
      <c r="D274" s="212" t="str">
        <f t="shared" ca="1" si="268"/>
        <v>INDFDPHCOAN1</v>
      </c>
      <c r="E274" s="212" t="str">
        <f t="shared" ca="1" si="269"/>
        <v>Industrial heating technology Food PH - Coal boiler (Steam) - new 1</v>
      </c>
      <c r="F274" s="262" t="s">
        <v>450</v>
      </c>
      <c r="G274" s="262" t="s">
        <v>449</v>
      </c>
      <c r="H274" s="261"/>
      <c r="I274" s="261"/>
      <c r="J274" s="264" t="s">
        <v>469</v>
      </c>
    </row>
    <row r="275" spans="2:10">
      <c r="B275" s="212"/>
      <c r="C275" s="212"/>
      <c r="D275" s="212" t="str">
        <f t="shared" ca="1" si="268"/>
        <v>INDFDSHCOAN1</v>
      </c>
      <c r="E275" s="212" t="str">
        <f t="shared" ca="1" si="269"/>
        <v>Industrial heating technology Food SH - Coal boiler (Steam) - new 1</v>
      </c>
      <c r="F275" s="262" t="s">
        <v>450</v>
      </c>
      <c r="G275" s="262" t="s">
        <v>449</v>
      </c>
      <c r="H275" s="261"/>
      <c r="I275" s="261"/>
      <c r="J275" s="264" t="s">
        <v>469</v>
      </c>
    </row>
    <row r="276" spans="2:10">
      <c r="B276" s="212"/>
      <c r="C276" s="212"/>
      <c r="D276" s="212" t="str">
        <f t="shared" ca="1" si="268"/>
        <v>INDFDPHCOAN2</v>
      </c>
      <c r="E276" s="212" t="str">
        <f t="shared" ca="1" si="269"/>
        <v>Industrial heating technology Food PH - Coal boiler (Hot Water) - new 2</v>
      </c>
      <c r="F276" s="262" t="s">
        <v>450</v>
      </c>
      <c r="G276" s="262" t="s">
        <v>449</v>
      </c>
      <c r="H276" s="261"/>
      <c r="I276" s="261"/>
      <c r="J276" s="264" t="s">
        <v>469</v>
      </c>
    </row>
    <row r="277" spans="2:10">
      <c r="B277" s="212"/>
      <c r="C277" s="212"/>
      <c r="D277" s="212" t="str">
        <f t="shared" ca="1" si="268"/>
        <v>INDFDSHCOAN2</v>
      </c>
      <c r="E277" s="212" t="str">
        <f t="shared" ca="1" si="269"/>
        <v>Industrial heating technology Food SH - Coal boiler (Hot Water) - new 2</v>
      </c>
      <c r="F277" s="262" t="s">
        <v>450</v>
      </c>
      <c r="G277" s="262" t="s">
        <v>449</v>
      </c>
      <c r="H277" s="261"/>
      <c r="I277" s="261"/>
      <c r="J277" s="264" t="s">
        <v>469</v>
      </c>
    </row>
    <row r="278" spans="2:10">
      <c r="B278" s="212"/>
      <c r="C278" s="212"/>
      <c r="D278" s="212" t="str">
        <f t="shared" ca="1" si="268"/>
        <v>INDFDSHSOLN1</v>
      </c>
      <c r="E278" s="212" t="str">
        <f t="shared" ca="1" si="269"/>
        <v>Industrial heating technology Food SH - Solar - new 1</v>
      </c>
      <c r="F278" s="262" t="s">
        <v>450</v>
      </c>
      <c r="G278" s="262" t="s">
        <v>449</v>
      </c>
      <c r="H278" s="263" t="s">
        <v>620</v>
      </c>
      <c r="I278" s="261"/>
      <c r="J278" s="264" t="s">
        <v>469</v>
      </c>
    </row>
    <row r="279" spans="2:10">
      <c r="B279" s="212"/>
      <c r="C279" s="212"/>
      <c r="D279" s="889" t="str">
        <f>D187</f>
        <v>INDFDSHHCEN1</v>
      </c>
      <c r="E279" s="889" t="str">
        <f t="shared" si="269"/>
        <v>Industrial heating technology Food SH - central district heating - within DH area - new 1</v>
      </c>
      <c r="F279" s="262" t="s">
        <v>450</v>
      </c>
      <c r="G279" s="262" t="s">
        <v>449</v>
      </c>
      <c r="H279" s="890"/>
      <c r="I279" s="890"/>
      <c r="J279" s="263" t="s">
        <v>469</v>
      </c>
    </row>
    <row r="280" spans="2:10">
      <c r="B280" s="212"/>
      <c r="C280" s="212"/>
      <c r="D280" s="889" t="str">
        <f>D188</f>
        <v>INDFDPHHCEN1</v>
      </c>
      <c r="E280" s="889" t="str">
        <f t="shared" si="269"/>
        <v>Industrial heating technology Food PH - central district heating - within DH area - new 1</v>
      </c>
      <c r="F280" s="262" t="s">
        <v>450</v>
      </c>
      <c r="G280" s="262" t="s">
        <v>449</v>
      </c>
      <c r="H280" s="890"/>
      <c r="I280" s="890"/>
      <c r="J280" s="263" t="s">
        <v>469</v>
      </c>
    </row>
    <row r="281" spans="2:10">
      <c r="B281" s="212"/>
      <c r="C281" s="212"/>
      <c r="D281" s="889" t="str">
        <f>D189</f>
        <v>INDFDSHHSEN1</v>
      </c>
      <c r="E281" s="889" t="str">
        <f t="shared" si="269"/>
        <v>Industrial heating technology Food SH - central district heating - within DH area - new 1</v>
      </c>
      <c r="F281" s="262" t="s">
        <v>450</v>
      </c>
      <c r="G281" s="262" t="s">
        <v>449</v>
      </c>
      <c r="H281" s="890"/>
      <c r="I281" s="890"/>
      <c r="J281" s="263" t="s">
        <v>469</v>
      </c>
    </row>
    <row r="282" spans="2:10">
      <c r="B282" s="212"/>
      <c r="C282" s="212"/>
      <c r="D282" s="889" t="str">
        <f>D190</f>
        <v>INDFDPHHSEN1</v>
      </c>
      <c r="E282" s="889" t="str">
        <f t="shared" si="269"/>
        <v>Industrial heating technology Food PH - central district heating - within DH area - new 1</v>
      </c>
      <c r="F282" s="262" t="s">
        <v>450</v>
      </c>
      <c r="G282" s="262" t="s">
        <v>449</v>
      </c>
      <c r="H282" s="890"/>
      <c r="I282" s="890"/>
      <c r="J282" s="263" t="s">
        <v>469</v>
      </c>
    </row>
    <row r="283" spans="2:10">
      <c r="B283" s="212"/>
      <c r="C283" s="212"/>
      <c r="D283" s="212" t="str">
        <f t="shared" ref="D283" si="270">D191</f>
        <v>INDFDSHHDEN1</v>
      </c>
      <c r="E283" s="212" t="str">
        <f t="shared" si="269"/>
        <v>Industrial heating technology Food SH - decentral district heating - within DH area - new 1</v>
      </c>
      <c r="F283" s="262" t="s">
        <v>450</v>
      </c>
      <c r="G283" s="262" t="s">
        <v>449</v>
      </c>
      <c r="H283" s="261"/>
      <c r="I283" s="261"/>
      <c r="J283" s="264" t="s">
        <v>469</v>
      </c>
    </row>
    <row r="284" spans="2:10">
      <c r="B284" s="212"/>
      <c r="C284" s="212"/>
      <c r="D284" s="212" t="str">
        <f>D192</f>
        <v>INDFDPHHDEN1</v>
      </c>
      <c r="E284" s="212" t="str">
        <f t="shared" si="269"/>
        <v>Industrial heating technology Food PH - decentral district heating - within DH area - new 1</v>
      </c>
      <c r="F284" s="262" t="s">
        <v>450</v>
      </c>
      <c r="G284" s="262" t="s">
        <v>449</v>
      </c>
      <c r="H284" s="261"/>
      <c r="I284" s="261"/>
      <c r="J284" s="264" t="s">
        <v>469</v>
      </c>
    </row>
    <row r="285" spans="2:10">
      <c r="B285" s="212"/>
      <c r="C285" s="212"/>
      <c r="D285" s="212" t="str">
        <f>D194</f>
        <v>INDFDLAELCN1</v>
      </c>
      <c r="E285" s="212" t="str">
        <f t="shared" si="269"/>
        <v>Industry Food LA Electricity Light Appliance - New 1</v>
      </c>
      <c r="F285" s="262" t="s">
        <v>450</v>
      </c>
      <c r="G285" s="262" t="s">
        <v>449</v>
      </c>
      <c r="H285" s="261"/>
      <c r="I285" s="261"/>
      <c r="J285" s="264" t="s">
        <v>469</v>
      </c>
    </row>
    <row r="286" spans="2:10">
      <c r="B286" s="212"/>
      <c r="C286" s="212"/>
      <c r="D286" s="212" t="str">
        <f>D198</f>
        <v>INDFDEMELCN1</v>
      </c>
      <c r="E286" s="212" t="str">
        <f t="shared" si="269"/>
        <v>Industry Food EM Electricity Motors - New 1</v>
      </c>
      <c r="F286" s="262" t="s">
        <v>450</v>
      </c>
      <c r="G286" s="262" t="s">
        <v>449</v>
      </c>
      <c r="H286" s="261"/>
      <c r="I286" s="261"/>
      <c r="J286" s="264" t="s">
        <v>469</v>
      </c>
    </row>
    <row r="287" spans="2:10">
      <c r="B287" s="212"/>
      <c r="C287" s="212"/>
      <c r="D287" s="212" t="str">
        <f>D202</f>
        <v>INDFDTFDSLN1</v>
      </c>
      <c r="E287" s="212" t="str">
        <f t="shared" si="269"/>
        <v>Industry Food TF Tractors, Trucks, Fishing boats - New 1</v>
      </c>
      <c r="F287" s="262" t="s">
        <v>450</v>
      </c>
      <c r="G287" s="262" t="s">
        <v>2078</v>
      </c>
      <c r="H287" s="261"/>
      <c r="I287" s="261"/>
      <c r="J287" s="264" t="s">
        <v>469</v>
      </c>
    </row>
    <row r="288" spans="2:10">
      <c r="B288" s="212"/>
      <c r="C288" s="212"/>
      <c r="D288" s="212" t="str">
        <f>D206</f>
        <v>INDFDTFH2GN2</v>
      </c>
      <c r="E288" s="212" t="str">
        <f t="shared" si="269"/>
        <v>Industry Food TF Tractors, Trucks, Fishing boats - New 2</v>
      </c>
      <c r="F288" s="262" t="s">
        <v>450</v>
      </c>
      <c r="G288" s="262" t="s">
        <v>2078</v>
      </c>
      <c r="H288" s="261"/>
      <c r="I288" s="261"/>
      <c r="J288" s="264" t="s">
        <v>469</v>
      </c>
    </row>
    <row r="289" spans="2:10">
      <c r="B289" s="212"/>
      <c r="C289" s="212"/>
      <c r="D289" s="212" t="str">
        <f>D210</f>
        <v>INDFDTFELCN3</v>
      </c>
      <c r="E289" s="212" t="str">
        <f t="shared" si="269"/>
        <v>Industry Food TF Tractors, Trucks, Fishing boats - New 3</v>
      </c>
      <c r="F289" s="262" t="s">
        <v>450</v>
      </c>
      <c r="G289" s="262" t="s">
        <v>2078</v>
      </c>
      <c r="H289" s="261"/>
      <c r="I289" s="261"/>
      <c r="J289" s="264" t="s">
        <v>469</v>
      </c>
    </row>
    <row r="290" spans="2:10">
      <c r="B290" s="212"/>
      <c r="C290" s="212"/>
      <c r="D290" s="212" t="str">
        <f>D214</f>
        <v>INDFDFLELCN1</v>
      </c>
      <c r="E290" s="212" t="str">
        <f t="shared" si="269"/>
        <v>Industry Food TF Forklifts - New 1</v>
      </c>
      <c r="F290" s="262" t="s">
        <v>450</v>
      </c>
      <c r="G290" s="262" t="s">
        <v>449</v>
      </c>
      <c r="H290" s="261"/>
      <c r="I290" s="261"/>
      <c r="J290" s="264" t="s">
        <v>469</v>
      </c>
    </row>
    <row r="291" spans="2:10">
      <c r="B291" s="212"/>
      <c r="C291" s="212"/>
      <c r="D291" s="212" t="str">
        <f>D218</f>
        <v>INDFDCOELCN1</v>
      </c>
      <c r="E291" s="212" t="str">
        <f>E218</f>
        <v>Industry Food CO Cooling - New 1</v>
      </c>
      <c r="F291" s="262" t="s">
        <v>450</v>
      </c>
      <c r="G291" s="262" t="s">
        <v>449</v>
      </c>
      <c r="H291" s="261" t="s">
        <v>620</v>
      </c>
      <c r="I291" s="261"/>
      <c r="J291" s="264"/>
    </row>
    <row r="292" spans="2:10">
      <c r="D292" s="212"/>
      <c r="E292" s="212"/>
    </row>
    <row r="293" spans="2:10">
      <c r="B293" s="213" t="s">
        <v>448</v>
      </c>
      <c r="C293" s="213"/>
      <c r="D293" s="214"/>
      <c r="E293" s="214"/>
      <c r="F293" s="214"/>
      <c r="G293" s="214"/>
      <c r="H293" s="214"/>
      <c r="I293" s="214"/>
      <c r="J293" s="214"/>
    </row>
    <row r="294" spans="2:10">
      <c r="B294" s="209" t="s">
        <v>447</v>
      </c>
      <c r="C294" s="209" t="s">
        <v>446</v>
      </c>
      <c r="D294" s="209" t="s">
        <v>445</v>
      </c>
      <c r="E294" s="209" t="s">
        <v>444</v>
      </c>
      <c r="F294" s="209" t="s">
        <v>435</v>
      </c>
      <c r="G294" s="209" t="s">
        <v>443</v>
      </c>
      <c r="H294" s="209" t="s">
        <v>442</v>
      </c>
      <c r="I294" s="209" t="s">
        <v>441</v>
      </c>
      <c r="J294" s="209" t="s">
        <v>440</v>
      </c>
    </row>
    <row r="295" spans="2:10" ht="25" thickBot="1">
      <c r="B295" s="215" t="s">
        <v>439</v>
      </c>
      <c r="C295" s="216" t="s">
        <v>438</v>
      </c>
      <c r="D295" s="216" t="s">
        <v>437</v>
      </c>
      <c r="E295" s="216" t="s">
        <v>436</v>
      </c>
      <c r="F295" s="216" t="s">
        <v>435</v>
      </c>
      <c r="G295" s="216" t="s">
        <v>434</v>
      </c>
      <c r="H295" s="216" t="s">
        <v>433</v>
      </c>
      <c r="I295" s="216" t="s">
        <v>432</v>
      </c>
      <c r="J295" s="216" t="s">
        <v>431</v>
      </c>
    </row>
    <row r="296" spans="2:10">
      <c r="B296" s="217" t="s">
        <v>430</v>
      </c>
      <c r="C296" s="218"/>
      <c r="D296" s="260" t="str">
        <f>"I"&amp;LEFT($AJ$12,1)&amp;"DSOx"</f>
        <v>IFDSOx</v>
      </c>
      <c r="E296" s="270" t="str">
        <f>"Industrial heating  heating technology "&amp;$AJ$12&amp;" - SOx emission"</f>
        <v>Industrial heating  heating technology Food - SOx emission</v>
      </c>
      <c r="F296" s="219" t="s">
        <v>352</v>
      </c>
      <c r="G296" s="211"/>
      <c r="H296" s="211"/>
      <c r="I296" s="211"/>
      <c r="J296" s="211"/>
    </row>
    <row r="297" spans="2:10">
      <c r="B297" s="214"/>
      <c r="C297" s="214"/>
      <c r="D297" s="260" t="str">
        <f>"I"&amp;LEFT($AJ$12,1)&amp;"DNOx"</f>
        <v>IFDNOx</v>
      </c>
      <c r="E297" s="270" t="str">
        <f>"Industrial heating  heating technology "&amp;$AJ$12&amp;" - NOx emission"</f>
        <v>Industrial heating  heating technology Food - NOx emission</v>
      </c>
      <c r="F297" s="219" t="s">
        <v>352</v>
      </c>
      <c r="G297" s="211"/>
      <c r="H297" s="214"/>
      <c r="I297" s="214"/>
      <c r="J297" s="214"/>
    </row>
    <row r="298" spans="2:10">
      <c r="B298" s="214"/>
      <c r="C298" s="214"/>
      <c r="D298" s="260" t="str">
        <f>"I"&amp;LEFT($AJ$12,1)&amp;"DCH4"</f>
        <v>IFDCH4</v>
      </c>
      <c r="E298" s="270" t="str">
        <f>"Industrial heating  heating technology "&amp;$AJ$12&amp;" - CH4 emission"</f>
        <v>Industrial heating  heating technology Food - CH4 emission</v>
      </c>
      <c r="F298" s="219" t="s">
        <v>352</v>
      </c>
      <c r="G298" s="211"/>
      <c r="H298" s="214"/>
      <c r="I298" s="214"/>
      <c r="J298" s="214"/>
    </row>
    <row r="299" spans="2:10">
      <c r="B299" s="214"/>
      <c r="C299" s="214"/>
      <c r="D299" s="260" t="str">
        <f>"I"&amp;LEFT($AJ$12,1)&amp;"DNO2"</f>
        <v>IFDNO2</v>
      </c>
      <c r="E299" s="270" t="str">
        <f>"Industrial heating  heating technology "&amp;$AJ$12&amp;" - NO2 emission"</f>
        <v>Industrial heating  heating technology Food - NO2 emission</v>
      </c>
      <c r="F299" s="219" t="s">
        <v>352</v>
      </c>
      <c r="G299" s="211"/>
      <c r="H299" s="214"/>
      <c r="I299" s="214"/>
      <c r="J299" s="214"/>
    </row>
    <row r="300" spans="2:10">
      <c r="B300" s="214"/>
      <c r="C300" s="214"/>
      <c r="D300" s="260" t="str">
        <f>"I"&amp;LEFT($AJ$12,1)&amp;"DPM"</f>
        <v>IFDPM</v>
      </c>
      <c r="E300" s="270" t="str">
        <f>"Industrial heating  heating technology "&amp;$AJ$12&amp;" - Particle emission"</f>
        <v>Industrial heating  heating technology Food - Particle emission</v>
      </c>
      <c r="F300" s="219" t="s">
        <v>352</v>
      </c>
      <c r="G300" s="211"/>
      <c r="H300" s="214"/>
      <c r="I300" s="214"/>
      <c r="J300" s="214"/>
    </row>
    <row r="301" spans="2:10">
      <c r="B301" s="224" t="s">
        <v>1057</v>
      </c>
      <c r="D301" s="224" t="str">
        <f>AI20</f>
        <v>INDFWH</v>
      </c>
      <c r="E301" s="270" t="str">
        <f>"Industrial heating technology "&amp;$AJ$12&amp;" - Waste heat"</f>
        <v>Industrial heating technology Food - Waste heat</v>
      </c>
      <c r="F301" s="263" t="s">
        <v>450</v>
      </c>
    </row>
  </sheetData>
  <pageMargins left="0.7" right="0.7" top="0.75" bottom="0.75" header="0.3" footer="0.3"/>
  <pageSetup paperSize="9" orientation="portrait"/>
  <legacyDrawing r:id="rId1"/>
  <extLst>
    <ext xmlns:x14="http://schemas.microsoft.com/office/spreadsheetml/2009/9/main" uri="{CCE6A557-97BC-4b89-ADB6-D9C93CAAB3DF}">
      <x14:dataValidations xmlns:xm="http://schemas.microsoft.com/office/excel/2006/main" count="1">
        <x14:dataValidation type="list" allowBlank="1" showInputMessage="1" showErrorMessage="1" xr:uid="{E1F428BB-C9C7-4014-A67F-DC479BE993B0}">
          <x14:formula1>
            <xm:f>'Oil-fired boiler_NEW'!$T$4:$X$4</xm:f>
          </x14:formula1>
          <xm:sqref>E1</xm:sqref>
        </x14:dataValidation>
      </x14:dataValidation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99619A-1E28-4505-A75F-CB24B93BF7C1}">
  <sheetPr>
    <tabColor rgb="FF00B050"/>
  </sheetPr>
  <dimension ref="A1:AP301"/>
  <sheetViews>
    <sheetView tabSelected="1" topLeftCell="A197" zoomScale="70" zoomScaleNormal="70" workbookViewId="0">
      <selection activeCell="G215" sqref="G215"/>
    </sheetView>
  </sheetViews>
  <sheetFormatPr baseColWidth="10" defaultColWidth="9.1640625" defaultRowHeight="15"/>
  <cols>
    <col min="1" max="1" width="9.1640625" style="224"/>
    <col min="2" max="2" width="31.5" style="224" customWidth="1"/>
    <col min="3" max="3" width="11.5" style="224" bestFit="1" customWidth="1"/>
    <col min="4" max="4" width="19.83203125" style="224" customWidth="1"/>
    <col min="5" max="5" width="98.5" style="224" bestFit="1" customWidth="1"/>
    <col min="6" max="6" width="10.5" style="224" bestFit="1" customWidth="1"/>
    <col min="7" max="7" width="55.83203125" style="224" bestFit="1" customWidth="1"/>
    <col min="8" max="8" width="27.83203125" style="224" bestFit="1" customWidth="1"/>
    <col min="9" max="9" width="27.83203125" style="224" customWidth="1"/>
    <col min="10" max="10" width="10.1640625" style="224" bestFit="1" customWidth="1"/>
    <col min="11" max="11" width="8.5" style="224" bestFit="1" customWidth="1"/>
    <col min="12" max="12" width="6.5" style="224" bestFit="1" customWidth="1"/>
    <col min="13" max="13" width="6.5" style="224" customWidth="1"/>
    <col min="14" max="15" width="12.83203125" style="224" bestFit="1" customWidth="1"/>
    <col min="16" max="16" width="12.5" style="224" bestFit="1" customWidth="1"/>
    <col min="17" max="17" width="6.1640625" style="224" customWidth="1"/>
    <col min="18" max="18" width="8.1640625" style="224" bestFit="1" customWidth="1"/>
    <col min="19" max="19" width="11.83203125" style="224" bestFit="1" customWidth="1"/>
    <col min="20" max="20" width="11.5" style="224" bestFit="1" customWidth="1"/>
    <col min="21" max="21" width="18.1640625" style="224" bestFit="1" customWidth="1"/>
    <col min="22" max="22" width="11.83203125" style="224" customWidth="1"/>
    <col min="23" max="23" width="7.83203125" style="224" bestFit="1" customWidth="1"/>
    <col min="24" max="24" width="8.5" style="224" bestFit="1" customWidth="1"/>
    <col min="25" max="25" width="6.5" style="224" bestFit="1" customWidth="1"/>
    <col min="26" max="26" width="6.5" style="224" customWidth="1"/>
    <col min="27" max="27" width="8" style="224" customWidth="1"/>
    <col min="28" max="38" width="9.1640625" style="224"/>
    <col min="39" max="39" width="64.1640625" style="224" bestFit="1" customWidth="1"/>
    <col min="40" max="16384" width="9.1640625" style="224"/>
  </cols>
  <sheetData>
    <row r="1" spans="2:42" ht="14.5" customHeight="1">
      <c r="D1" s="728" t="s">
        <v>1016</v>
      </c>
      <c r="E1" s="729" t="s">
        <v>718</v>
      </c>
      <c r="N1" s="64"/>
      <c r="O1" s="64"/>
      <c r="P1" s="64"/>
      <c r="S1" s="727" t="s">
        <v>1004</v>
      </c>
      <c r="T1" s="776" t="s">
        <v>1003</v>
      </c>
      <c r="U1" s="775" t="s">
        <v>1053</v>
      </c>
      <c r="V1" s="776" t="s">
        <v>1054</v>
      </c>
      <c r="W1" s="780">
        <v>0.3</v>
      </c>
    </row>
    <row r="2" spans="2:42" ht="16" thickBot="1">
      <c r="E2" s="730" t="s">
        <v>520</v>
      </c>
      <c r="N2" s="731"/>
      <c r="O2" s="731"/>
      <c r="P2" s="731"/>
      <c r="S2" s="726">
        <f>MATCH($E$1,$AJ$22:$AJ$35)</f>
        <v>11</v>
      </c>
      <c r="T2" s="778">
        <f>MATCH($E$1,$AJ$22:$AJ$35)+1</f>
        <v>12</v>
      </c>
      <c r="U2" s="779"/>
      <c r="V2" s="768" t="s">
        <v>1055</v>
      </c>
      <c r="W2" s="781">
        <v>0.2</v>
      </c>
    </row>
    <row r="3" spans="2:42" ht="16" thickBot="1">
      <c r="N3" s="731"/>
      <c r="O3" s="731"/>
      <c r="P3" s="731"/>
      <c r="S3" s="768"/>
      <c r="T3" s="768"/>
      <c r="U3" s="777"/>
      <c r="V3" s="778" t="s">
        <v>1056</v>
      </c>
      <c r="W3" s="782">
        <v>0</v>
      </c>
    </row>
    <row r="4" spans="2:42">
      <c r="N4" s="731"/>
      <c r="O4" s="731"/>
      <c r="P4" s="731"/>
      <c r="S4" s="768"/>
      <c r="T4" s="768"/>
      <c r="U4" s="768"/>
      <c r="V4" s="768"/>
    </row>
    <row r="5" spans="2:42">
      <c r="J5" s="172" t="s">
        <v>468</v>
      </c>
      <c r="N5" s="731"/>
      <c r="O5" s="731"/>
      <c r="P5" s="731"/>
      <c r="S5" s="768"/>
      <c r="T5" s="768"/>
      <c r="U5" s="768"/>
      <c r="V5" s="768"/>
    </row>
    <row r="6" spans="2:42" ht="26.25" customHeight="1">
      <c r="B6" s="166" t="s">
        <v>1015</v>
      </c>
      <c r="C6" s="46"/>
      <c r="D6" s="46" t="s">
        <v>425</v>
      </c>
      <c r="E6" s="46" t="s">
        <v>426</v>
      </c>
      <c r="F6" s="46" t="s">
        <v>689</v>
      </c>
      <c r="G6" s="46" t="s">
        <v>427</v>
      </c>
      <c r="H6" s="46" t="s">
        <v>428</v>
      </c>
      <c r="I6" s="771" t="s">
        <v>1049</v>
      </c>
      <c r="J6" s="46" t="s">
        <v>335</v>
      </c>
      <c r="K6" s="46" t="s">
        <v>336</v>
      </c>
      <c r="L6" s="47" t="s">
        <v>337</v>
      </c>
      <c r="M6" s="47" t="s">
        <v>1052</v>
      </c>
      <c r="N6" s="47" t="s">
        <v>339</v>
      </c>
      <c r="O6" s="48" t="s">
        <v>340</v>
      </c>
      <c r="P6" s="47" t="s">
        <v>341</v>
      </c>
      <c r="Q6" s="49" t="s">
        <v>342</v>
      </c>
      <c r="R6" s="49" t="s">
        <v>343</v>
      </c>
      <c r="S6" s="769" t="s">
        <v>344</v>
      </c>
      <c r="T6" s="770" t="s">
        <v>997</v>
      </c>
      <c r="U6" s="769" t="s">
        <v>1050</v>
      </c>
      <c r="V6" s="783" t="s">
        <v>1051</v>
      </c>
      <c r="W6" s="284"/>
      <c r="X6" s="280" t="str">
        <f>"FEMIS~"&amp;D296</f>
        <v>FEMIS~ICDSOx</v>
      </c>
      <c r="Y6" s="280" t="str">
        <f>"FEMIS~"&amp;D297</f>
        <v>FEMIS~ICDNOx</v>
      </c>
      <c r="Z6" s="280" t="str">
        <f>"FEMIS~"&amp;D298</f>
        <v>FEMIS~ICDCH4</v>
      </c>
      <c r="AA6" s="280" t="str">
        <f>"FEMIS~"&amp;D299</f>
        <v>FEMIS~ICDNO2</v>
      </c>
      <c r="AB6" s="280" t="str">
        <f>"FEMIS~"&amp;D300</f>
        <v>FEMIS~ICDPM</v>
      </c>
      <c r="AC6" s="224" t="s">
        <v>424</v>
      </c>
      <c r="AD6" s="224" t="s">
        <v>2001</v>
      </c>
      <c r="AE6" s="47" t="s">
        <v>338</v>
      </c>
      <c r="AF6" s="221" t="s">
        <v>473</v>
      </c>
    </row>
    <row r="7" spans="2:42" ht="16" thickBot="1">
      <c r="B7" s="715"/>
      <c r="C7" s="167"/>
      <c r="D7" s="167" t="s">
        <v>429</v>
      </c>
      <c r="E7" s="50"/>
      <c r="F7" s="50"/>
      <c r="G7" s="50"/>
      <c r="H7" s="50"/>
      <c r="I7" s="168"/>
      <c r="J7" s="50"/>
      <c r="K7" s="50"/>
      <c r="L7" s="51"/>
      <c r="M7" s="51"/>
      <c r="N7" s="51"/>
      <c r="O7" s="52"/>
      <c r="P7" s="50"/>
      <c r="Q7" s="50"/>
      <c r="R7" s="50"/>
      <c r="S7" s="50"/>
      <c r="T7" s="50"/>
      <c r="U7" s="50"/>
      <c r="V7" s="168"/>
      <c r="W7" s="285"/>
      <c r="X7" s="50"/>
      <c r="Y7" s="50"/>
      <c r="Z7" s="50"/>
      <c r="AA7" s="50"/>
      <c r="AB7" s="50"/>
      <c r="AE7" s="51"/>
      <c r="AF7" s="222"/>
    </row>
    <row r="8" spans="2:42">
      <c r="B8" s="357"/>
      <c r="D8" s="224" t="s">
        <v>451</v>
      </c>
      <c r="I8" s="357"/>
      <c r="J8" s="57"/>
      <c r="K8" s="57"/>
      <c r="L8" s="57"/>
      <c r="M8" s="57"/>
      <c r="N8" s="57"/>
      <c r="O8" s="57" t="s">
        <v>470</v>
      </c>
      <c r="P8" s="57" t="s">
        <v>471</v>
      </c>
      <c r="Q8" s="57" t="s">
        <v>472</v>
      </c>
      <c r="R8" s="57" t="s">
        <v>351</v>
      </c>
      <c r="S8" s="57" t="s">
        <v>351</v>
      </c>
      <c r="T8" s="57"/>
      <c r="U8" s="57"/>
      <c r="V8" s="784"/>
      <c r="W8" s="286"/>
      <c r="X8" s="57" t="s">
        <v>352</v>
      </c>
      <c r="Y8" s="57" t="s">
        <v>352</v>
      </c>
      <c r="Z8" s="57" t="s">
        <v>352</v>
      </c>
      <c r="AA8" s="57" t="s">
        <v>352</v>
      </c>
      <c r="AB8" s="57" t="s">
        <v>352</v>
      </c>
      <c r="AE8" s="57"/>
      <c r="AF8" s="220"/>
    </row>
    <row r="9" spans="2:42">
      <c r="B9" s="357" t="s">
        <v>998</v>
      </c>
      <c r="D9" s="212" t="str">
        <f>"IND"&amp;RIGHT(H9,4)&amp;RIGHT(G9,3)&amp;"N"&amp;RIGHT(E9,1)</f>
        <v>INDCDPHELCN1</v>
      </c>
      <c r="E9" s="261" t="str">
        <f>"Industrial heating technology "&amp;$AJ$12&amp;" "&amp;RIGHT(H9,2)&amp;" - Heat pump utilizing waste heat - new 1"</f>
        <v>Industrial heating technology Chemical PH - Heat pump utilizing waste heat - new 1</v>
      </c>
      <c r="F9" s="224" t="s">
        <v>1149</v>
      </c>
      <c r="G9" s="173" t="s">
        <v>499</v>
      </c>
      <c r="H9" s="174" t="str">
        <f>$AI$14</f>
        <v>ICDPH</v>
      </c>
      <c r="I9" s="173"/>
      <c r="J9" s="224">
        <f>AD9</f>
        <v>2020</v>
      </c>
      <c r="K9" s="81">
        <v>2020</v>
      </c>
      <c r="L9" s="333">
        <v>1</v>
      </c>
      <c r="M9" s="199">
        <f ca="1">VLOOKUP($AD9,INDIRECT("'"&amp;$B9&amp;"'!"&amp;"$P$39:$AD$42"),3,FALSE)</f>
        <v>4.4754761904761899</v>
      </c>
      <c r="N9" s="81">
        <f ca="1">VLOOKUP($AD9,INDIRECT("'"&amp;$B9&amp;"'!"&amp;"$P$39:$AD$42"),5,FALSE)</f>
        <v>20</v>
      </c>
      <c r="O9" s="723">
        <f ca="1">VLOOKUP($AD9,INDIRECT("'"&amp;$B9&amp;"'!"&amp;"$P$39:$AD$42"),6,FALSE)/1000</f>
        <v>5.4385000000000003</v>
      </c>
      <c r="P9" s="723">
        <f ca="1">VLOOKUP($AD9,INDIRECT("'"&amp;$B9&amp;"'!"&amp;"$P$39:$AD$42"),7,FALSE)/1000</f>
        <v>1.49E-2</v>
      </c>
      <c r="Q9" s="81">
        <f ca="1">VLOOKUP($AD9,INDIRECT("'"&amp;$B9&amp;"'!"&amp;"$P$39:$AD$42"),8,FALSE)</f>
        <v>6.7463888888888883</v>
      </c>
      <c r="R9" s="81">
        <v>3.1536000000000002E-2</v>
      </c>
      <c r="S9" s="199">
        <v>0.5</v>
      </c>
      <c r="T9" s="199">
        <f ca="1">HLOOKUP($T$2,INDIRECT("'"&amp;$B9&amp;"'!"&amp;"$P$6:$AC$19"),IF(H9=$AI$13,6,IF(H9=$AI$14,9,14)),FALSE)</f>
        <v>0</v>
      </c>
      <c r="U9" s="199">
        <f ca="1">1/M9</f>
        <v>0.22343991062403579</v>
      </c>
      <c r="V9" s="199"/>
      <c r="W9" s="298"/>
      <c r="X9" s="698">
        <f ca="1">IF(VLOOKUP($AD9,INDIRECT("'"&amp;$B9&amp;"'!"&amp;"$P$39:$AD$42"),11,FALSE)="Cf. the utilized electricity",0,VLOOKUP($AD9,INDIRECT("'"&amp;$B9&amp;"'!"&amp;"$P$39:$AD$42"),11,FALSE))</f>
        <v>0</v>
      </c>
      <c r="Y9" s="81">
        <f ca="1">VLOOKUP($AD9,INDIRECT("'"&amp;$B9&amp;"'!"&amp;"$P$39:$AD$42"),12,FALSE)</f>
        <v>0</v>
      </c>
      <c r="Z9" s="81">
        <f ca="1">VLOOKUP($AD9,INDIRECT("'"&amp;$B9&amp;"'!"&amp;"$P$39:$AD$42"),13,FALSE)</f>
        <v>0</v>
      </c>
      <c r="AA9" s="81">
        <f ca="1">VLOOKUP($AD9,INDIRECT("'"&amp;$B9&amp;"'!"&amp;"$P$39:$AD$42"),14,FALSE)</f>
        <v>0</v>
      </c>
      <c r="AB9" s="81">
        <f ca="1">VLOOKUP($AD9,INDIRECT("'"&amp;$B9&amp;"'!"&amp;"$P$39:$AD$42"),15,FALSE)</f>
        <v>0</v>
      </c>
      <c r="AC9" s="226"/>
      <c r="AD9" s="81">
        <v>2020</v>
      </c>
      <c r="AE9" s="81"/>
      <c r="AF9" s="220"/>
    </row>
    <row r="10" spans="2:42">
      <c r="B10" s="357" t="s">
        <v>998</v>
      </c>
      <c r="D10" s="212"/>
      <c r="E10" s="261"/>
      <c r="F10" s="224" t="s">
        <v>1149</v>
      </c>
      <c r="G10" s="173" t="str">
        <f>$AI$20</f>
        <v>INDCWH</v>
      </c>
      <c r="H10" s="174"/>
      <c r="I10" s="174"/>
      <c r="K10" s="81"/>
      <c r="L10" s="333"/>
      <c r="M10" s="199"/>
      <c r="N10" s="81"/>
      <c r="O10" s="723"/>
      <c r="P10" s="723"/>
      <c r="Q10" s="81"/>
      <c r="R10" s="200"/>
      <c r="S10" s="772"/>
      <c r="T10" s="772"/>
      <c r="U10" s="199">
        <f ca="1">1-U9</f>
        <v>0.77656008937596421</v>
      </c>
      <c r="V10" s="772"/>
      <c r="W10" s="298"/>
      <c r="X10" s="698"/>
      <c r="Y10" s="81"/>
      <c r="Z10" s="81"/>
      <c r="AA10" s="81"/>
      <c r="AB10" s="81"/>
      <c r="AC10" s="226"/>
      <c r="AD10" s="81"/>
      <c r="AE10" s="81"/>
      <c r="AF10" s="220"/>
    </row>
    <row r="11" spans="2:42">
      <c r="B11" s="357" t="s">
        <v>998</v>
      </c>
      <c r="D11" s="212"/>
      <c r="E11" s="212"/>
      <c r="F11" s="224" t="s">
        <v>1149</v>
      </c>
      <c r="G11" s="173" t="s">
        <v>499</v>
      </c>
      <c r="H11" s="174" t="str">
        <f>$AI$14</f>
        <v>ICDPH</v>
      </c>
      <c r="I11" s="173"/>
      <c r="J11" s="224">
        <f>AD11</f>
        <v>2030</v>
      </c>
      <c r="K11" s="81"/>
      <c r="L11" s="333">
        <v>1</v>
      </c>
      <c r="M11" s="199">
        <f ca="1">VLOOKUP($AD11,INDIRECT("'"&amp;$B11&amp;"'!"&amp;"$P$39:$AD$42"),3,FALSE)</f>
        <v>4.5792982142857133</v>
      </c>
      <c r="N11" s="81"/>
      <c r="O11" s="723">
        <f ca="1">VLOOKUP($AD11,INDIRECT("'"&amp;$B11&amp;"'!"&amp;"$P$39:$AD$42"),6,FALSE)/1000</f>
        <v>4.8425000000000002</v>
      </c>
      <c r="P11" s="723">
        <f ca="1">VLOOKUP($AD11,INDIRECT("'"&amp;$B11&amp;"'!"&amp;"$P$39:$AD$42"),7,FALSE)/1000</f>
        <v>1.49E-2</v>
      </c>
      <c r="Q11" s="81">
        <f ca="1">VLOOKUP($AD11,INDIRECT("'"&amp;$B11&amp;"'!"&amp;"$P$39:$AD$42"),8,FALSE)</f>
        <v>6.6222222222222227</v>
      </c>
      <c r="R11" s="300"/>
      <c r="S11" s="300"/>
      <c r="T11" s="300"/>
      <c r="U11" s="199">
        <f ca="1">1/M11</f>
        <v>0.21837407244637849</v>
      </c>
      <c r="V11" s="199"/>
      <c r="W11" s="298"/>
      <c r="X11" s="698">
        <f ca="1">IF(VLOOKUP($AD11,INDIRECT("'"&amp;$B11&amp;"'!"&amp;"$P$39:$AD$42"),11,FALSE)="Cf. the utilized electricity",0,VLOOKUP($AD11,INDIRECT("'"&amp;$B11&amp;"'!"&amp;"$P$39:$AD$42"),11,FALSE))</f>
        <v>0</v>
      </c>
      <c r="Y11" s="81">
        <f ca="1">VLOOKUP($AD11,INDIRECT("'"&amp;$B11&amp;"'!"&amp;"$P$39:$AD$42"),12,FALSE)</f>
        <v>0</v>
      </c>
      <c r="Z11" s="81">
        <f ca="1">VLOOKUP($AD11,INDIRECT("'"&amp;$B11&amp;"'!"&amp;"$P$39:$AD$42"),13,FALSE)</f>
        <v>0</v>
      </c>
      <c r="AA11" s="81">
        <f ca="1">VLOOKUP($AD11,INDIRECT("'"&amp;$B11&amp;"'!"&amp;"$P$39:$AD$42"),14,FALSE)</f>
        <v>0</v>
      </c>
      <c r="AB11" s="81">
        <f ca="1">VLOOKUP($AD11,INDIRECT("'"&amp;$B11&amp;"'!"&amp;"$P$39:$AD$42"),15,FALSE)</f>
        <v>0</v>
      </c>
      <c r="AC11" s="226"/>
      <c r="AD11" s="81">
        <v>2030</v>
      </c>
      <c r="AE11" s="81"/>
      <c r="AF11" s="220"/>
    </row>
    <row r="12" spans="2:42">
      <c r="B12" s="357" t="s">
        <v>998</v>
      </c>
      <c r="D12" s="212"/>
      <c r="E12" s="212"/>
      <c r="F12" s="224" t="s">
        <v>1149</v>
      </c>
      <c r="G12" s="173" t="str">
        <f>$AI$20</f>
        <v>INDCWH</v>
      </c>
      <c r="H12" s="174"/>
      <c r="I12" s="174"/>
      <c r="K12" s="81"/>
      <c r="L12" s="333"/>
      <c r="M12" s="199"/>
      <c r="N12" s="81"/>
      <c r="O12" s="723"/>
      <c r="P12" s="723"/>
      <c r="Q12" s="81"/>
      <c r="R12" s="300"/>
      <c r="S12" s="300"/>
      <c r="T12" s="300"/>
      <c r="U12" s="199">
        <f ca="1">1-U11</f>
        <v>0.78162592755362148</v>
      </c>
      <c r="V12" s="300"/>
      <c r="W12" s="298"/>
      <c r="X12" s="698"/>
      <c r="Y12" s="81"/>
      <c r="Z12" s="81"/>
      <c r="AA12" s="81"/>
      <c r="AB12" s="81"/>
      <c r="AC12" s="226"/>
      <c r="AD12" s="81"/>
      <c r="AE12" s="81"/>
      <c r="AF12" s="220"/>
      <c r="AI12" s="224" t="s">
        <v>518</v>
      </c>
      <c r="AJ12" s="224" t="str">
        <f>E2</f>
        <v>Chemical</v>
      </c>
    </row>
    <row r="13" spans="2:42">
      <c r="B13" s="357" t="s">
        <v>998</v>
      </c>
      <c r="D13" s="212"/>
      <c r="E13" s="212"/>
      <c r="F13" s="224" t="s">
        <v>1149</v>
      </c>
      <c r="G13" s="173" t="s">
        <v>499</v>
      </c>
      <c r="H13" s="174" t="str">
        <f>$AI$14</f>
        <v>ICDPH</v>
      </c>
      <c r="I13" s="173"/>
      <c r="J13" s="224">
        <f>AD13</f>
        <v>2050</v>
      </c>
      <c r="K13" s="81"/>
      <c r="L13" s="333">
        <v>1</v>
      </c>
      <c r="M13" s="199">
        <f ca="1">VLOOKUP($AD13,INDIRECT("'"&amp;$B13&amp;"'!"&amp;"$P$39:$AD$42"),3,FALSE)</f>
        <v>4.7191030203571422</v>
      </c>
      <c r="N13" s="81"/>
      <c r="O13" s="723">
        <f ca="1">VLOOKUP($AD13,INDIRECT("'"&amp;$B13&amp;"'!"&amp;"$P$39:$AD$42"),6,FALSE)/1000</f>
        <v>4.3209999999999997</v>
      </c>
      <c r="P13" s="723">
        <f ca="1">VLOOKUP($AD13,INDIRECT("'"&amp;$B13&amp;"'!"&amp;"$P$39:$AD$42"),7,FALSE)/1000</f>
        <v>1.49E-2</v>
      </c>
      <c r="Q13" s="81">
        <f ca="1">VLOOKUP($AD13,INDIRECT("'"&amp;$B13&amp;"'!"&amp;"$P$39:$AD$42"),8,FALSE)</f>
        <v>6.4566666666666661</v>
      </c>
      <c r="R13" s="300"/>
      <c r="S13" s="300"/>
      <c r="T13" s="300"/>
      <c r="U13" s="199">
        <f ca="1">1/M13</f>
        <v>0.21190467673331698</v>
      </c>
      <c r="V13" s="199"/>
      <c r="W13" s="298"/>
      <c r="X13" s="698">
        <f ca="1">IF(VLOOKUP($AD13,INDIRECT("'"&amp;$B13&amp;"'!"&amp;"$P$39:$AD$42"),11,FALSE)="Cf. the utilized electricity",0,VLOOKUP($AD13,INDIRECT("'"&amp;$B13&amp;"'!"&amp;"$P$39:$AD$42"),11,FALSE))</f>
        <v>0</v>
      </c>
      <c r="Y13" s="81">
        <f ca="1">VLOOKUP($AD13,INDIRECT("'"&amp;$B13&amp;"'!"&amp;"$P$39:$AD$42"),12,FALSE)</f>
        <v>0</v>
      </c>
      <c r="Z13" s="81">
        <f ca="1">VLOOKUP($AD13,INDIRECT("'"&amp;$B13&amp;"'!"&amp;"$P$39:$AD$42"),13,FALSE)</f>
        <v>0</v>
      </c>
      <c r="AA13" s="81">
        <f ca="1">VLOOKUP($AD13,INDIRECT("'"&amp;$B13&amp;"'!"&amp;"$P$39:$AD$42"),14,FALSE)</f>
        <v>0</v>
      </c>
      <c r="AB13" s="81">
        <f ca="1">VLOOKUP($AD13,INDIRECT("'"&amp;$B13&amp;"'!"&amp;"$P$39:$AD$42"),15,FALSE)</f>
        <v>0</v>
      </c>
      <c r="AC13" s="226"/>
      <c r="AD13" s="81">
        <v>2050</v>
      </c>
      <c r="AE13" s="81"/>
      <c r="AF13" s="220"/>
      <c r="AI13" s="224" t="str">
        <f>AO14</f>
        <v>ICDPH</v>
      </c>
      <c r="AJ13" s="224" t="str">
        <f>AP14</f>
        <v>Chemical industry Demand Heat High Temp. over 150C</v>
      </c>
      <c r="AO13" s="224" t="s">
        <v>2082</v>
      </c>
      <c r="AP13" s="224" t="s">
        <v>1161</v>
      </c>
    </row>
    <row r="14" spans="2:42">
      <c r="B14" s="357" t="s">
        <v>998</v>
      </c>
      <c r="D14" s="212"/>
      <c r="E14" s="212"/>
      <c r="F14" s="224" t="s">
        <v>1149</v>
      </c>
      <c r="G14" s="173" t="str">
        <f>$AI$20</f>
        <v>INDCWH</v>
      </c>
      <c r="H14" s="174"/>
      <c r="I14" s="174"/>
      <c r="K14" s="81"/>
      <c r="L14" s="333"/>
      <c r="M14" s="199"/>
      <c r="N14" s="81"/>
      <c r="O14" s="723"/>
      <c r="P14" s="723"/>
      <c r="Q14" s="81"/>
      <c r="R14" s="300"/>
      <c r="S14" s="300"/>
      <c r="T14" s="300"/>
      <c r="U14" s="199">
        <f ca="1">1-U13</f>
        <v>0.78809532326668297</v>
      </c>
      <c r="V14" s="300"/>
      <c r="W14" s="298"/>
      <c r="X14" s="698"/>
      <c r="Y14" s="81"/>
      <c r="Z14" s="81"/>
      <c r="AA14" s="81"/>
      <c r="AB14" s="81"/>
      <c r="AC14" s="226"/>
      <c r="AD14" s="81"/>
      <c r="AE14" s="81"/>
      <c r="AF14" s="220"/>
      <c r="AI14" s="224" t="str">
        <f>AO13</f>
        <v>ICDPH</v>
      </c>
      <c r="AJ14" s="224" t="str">
        <f>AP13</f>
        <v>Chemical industry Demand Heat Medium Temp. up to 150C</v>
      </c>
      <c r="AO14" s="224" t="s">
        <v>2082</v>
      </c>
      <c r="AP14" s="224" t="s">
        <v>1162</v>
      </c>
    </row>
    <row r="15" spans="2:42">
      <c r="B15" s="357" t="s">
        <v>998</v>
      </c>
      <c r="D15" s="212" t="str">
        <f>"IND"&amp;RIGHT(H15,4)&amp;RIGHT(G15,3)&amp;"N"&amp;RIGHT(E15,1)</f>
        <v>INDCDSHELCN1</v>
      </c>
      <c r="E15" s="261" t="str">
        <f>"Industrial heating technology "&amp;$AJ$12&amp;" "&amp;RIGHT(H15,2)&amp;" - Heat pump utilizing waste heat - new 1"</f>
        <v>Industrial heating technology Chemical SH - Heat pump utilizing waste heat - new 1</v>
      </c>
      <c r="F15" s="224" t="s">
        <v>1149</v>
      </c>
      <c r="G15" s="173" t="s">
        <v>499</v>
      </c>
      <c r="H15" s="174" t="str">
        <f>$AI$15</f>
        <v>ICDSH</v>
      </c>
      <c r="I15" s="174"/>
      <c r="J15" s="224">
        <f>AD15</f>
        <v>2020</v>
      </c>
      <c r="K15" s="81">
        <v>2020</v>
      </c>
      <c r="L15" s="333">
        <v>1</v>
      </c>
      <c r="M15" s="199">
        <f ca="1">VLOOKUP($AD15,INDIRECT("'"&amp;$B15&amp;"'!"&amp;"$P$39:$AD$42"),3,FALSE)</f>
        <v>4.4754761904761899</v>
      </c>
      <c r="N15" s="81">
        <f ca="1">VLOOKUP($AD15,INDIRECT("'"&amp;$B15&amp;"'!"&amp;"$P$39:$AD$42"),5,FALSE)</f>
        <v>20</v>
      </c>
      <c r="O15" s="723">
        <f ca="1">VLOOKUP($AD15,INDIRECT("'"&amp;$B15&amp;"'!"&amp;"$P$39:$AD$42"),6,FALSE)/1000</f>
        <v>5.4385000000000003</v>
      </c>
      <c r="P15" s="723">
        <f ca="1">VLOOKUP($AD15,INDIRECT("'"&amp;$B15&amp;"'!"&amp;"$P$39:$AD$42"),7,FALSE)/1000</f>
        <v>1.49E-2</v>
      </c>
      <c r="Q15" s="81">
        <f ca="1">VLOOKUP($AD15,INDIRECT("'"&amp;$B15&amp;"'!"&amp;"$P$39:$AD$42"),8,FALSE)</f>
        <v>6.7463888888888883</v>
      </c>
      <c r="R15" s="81">
        <v>3.1536000000000002E-2</v>
      </c>
      <c r="S15" s="199">
        <v>0.5</v>
      </c>
      <c r="T15" s="199">
        <f ca="1">HLOOKUP($T$2,INDIRECT("'"&amp;$B15&amp;"'!"&amp;"$P$6:$AC$19"),IF(H15=$AI$13,6,IF(H15=$AI$14,9,14)),FALSE)</f>
        <v>1</v>
      </c>
      <c r="U15" s="199">
        <f ca="1">1/M15</f>
        <v>0.22343991062403579</v>
      </c>
      <c r="V15" s="199"/>
      <c r="W15" s="298"/>
      <c r="X15" s="698">
        <f ca="1">IF(VLOOKUP($AD15,INDIRECT("'"&amp;$B15&amp;"'!"&amp;"$P$39:$AD$42"),11,FALSE)="Cf. the utilized electricity",0,VLOOKUP($AD15,INDIRECT("'"&amp;$B15&amp;"'!"&amp;"$P$39:$AD$42"),11,FALSE))</f>
        <v>0</v>
      </c>
      <c r="Y15" s="81">
        <f ca="1">VLOOKUP($AD15,INDIRECT("'"&amp;$B15&amp;"'!"&amp;"$P$39:$AD$42"),12,FALSE)</f>
        <v>0</v>
      </c>
      <c r="Z15" s="81">
        <f ca="1">VLOOKUP($AD15,INDIRECT("'"&amp;$B15&amp;"'!"&amp;"$P$39:$AD$42"),13,FALSE)</f>
        <v>0</v>
      </c>
      <c r="AA15" s="81">
        <f ca="1">VLOOKUP($AD15,INDIRECT("'"&amp;$B15&amp;"'!"&amp;"$P$39:$AD$42"),14,FALSE)</f>
        <v>0</v>
      </c>
      <c r="AB15" s="81">
        <f ca="1">VLOOKUP($AD15,INDIRECT("'"&amp;$B15&amp;"'!"&amp;"$P$39:$AD$42"),15,FALSE)</f>
        <v>0</v>
      </c>
      <c r="AC15" s="226"/>
      <c r="AD15" s="81">
        <v>2020</v>
      </c>
      <c r="AE15" s="81"/>
      <c r="AF15" s="220"/>
      <c r="AI15" s="224" t="str">
        <f>AO15</f>
        <v>ICDSH</v>
      </c>
      <c r="AJ15" s="224" t="str">
        <f>AP15</f>
        <v>Chemical industry Demand Heat Room Heat</v>
      </c>
      <c r="AO15" s="224" t="s">
        <v>2083</v>
      </c>
      <c r="AP15" s="224" t="s">
        <v>1163</v>
      </c>
    </row>
    <row r="16" spans="2:42">
      <c r="B16" s="357" t="s">
        <v>998</v>
      </c>
      <c r="D16" s="212"/>
      <c r="E16" s="261"/>
      <c r="F16" s="224" t="s">
        <v>1149</v>
      </c>
      <c r="G16" s="173" t="str">
        <f>$AI$20</f>
        <v>INDCWH</v>
      </c>
      <c r="H16" s="174"/>
      <c r="I16" s="174"/>
      <c r="K16" s="81"/>
      <c r="L16" s="333"/>
      <c r="M16" s="199"/>
      <c r="N16" s="81"/>
      <c r="O16" s="723"/>
      <c r="P16" s="723"/>
      <c r="Q16" s="81"/>
      <c r="R16" s="200"/>
      <c r="S16" s="772"/>
      <c r="T16" s="772"/>
      <c r="U16" s="199">
        <f ca="1">1-U15</f>
        <v>0.77656008937596421</v>
      </c>
      <c r="V16" s="772"/>
      <c r="W16" s="298"/>
      <c r="X16" s="698"/>
      <c r="Y16" s="81"/>
      <c r="Z16" s="81"/>
      <c r="AA16" s="81"/>
      <c r="AB16" s="81"/>
      <c r="AC16" s="226"/>
      <c r="AD16" s="81"/>
      <c r="AE16" s="81"/>
      <c r="AF16" s="220"/>
      <c r="AI16" s="224" t="str">
        <f t="shared" ref="AI16:AJ19" si="0">AO16</f>
        <v>ICDLA</v>
      </c>
      <c r="AJ16" s="224" t="str">
        <f t="shared" si="0"/>
        <v>Chemical industry Demand Light</v>
      </c>
      <c r="AO16" s="224" t="s">
        <v>1164</v>
      </c>
      <c r="AP16" s="224" t="s">
        <v>1165</v>
      </c>
    </row>
    <row r="17" spans="2:42">
      <c r="B17" s="357" t="s">
        <v>998</v>
      </c>
      <c r="D17" s="212"/>
      <c r="E17" s="212"/>
      <c r="F17" s="224" t="s">
        <v>1149</v>
      </c>
      <c r="G17" s="173" t="s">
        <v>499</v>
      </c>
      <c r="H17" s="174" t="str">
        <f>$AI$15</f>
        <v>ICDSH</v>
      </c>
      <c r="I17" s="174"/>
      <c r="J17" s="224">
        <f>AD17</f>
        <v>2030</v>
      </c>
      <c r="K17" s="81"/>
      <c r="L17" s="333">
        <v>1</v>
      </c>
      <c r="M17" s="199">
        <f ca="1">VLOOKUP($AD17,INDIRECT("'"&amp;$B17&amp;"'!"&amp;"$P$39:$AD$42"),3,FALSE)</f>
        <v>4.5792982142857133</v>
      </c>
      <c r="N17" s="81"/>
      <c r="O17" s="723">
        <f ca="1">VLOOKUP($AD17,INDIRECT("'"&amp;$B17&amp;"'!"&amp;"$P$39:$AD$42"),6,FALSE)/1000</f>
        <v>4.8425000000000002</v>
      </c>
      <c r="P17" s="723">
        <f ca="1">VLOOKUP($AD17,INDIRECT("'"&amp;$B17&amp;"'!"&amp;"$P$39:$AD$42"),7,FALSE)/1000</f>
        <v>1.49E-2</v>
      </c>
      <c r="Q17" s="81">
        <f ca="1">VLOOKUP($AD17,INDIRECT("'"&amp;$B17&amp;"'!"&amp;"$P$39:$AD$42"),8,FALSE)</f>
        <v>6.6222222222222227</v>
      </c>
      <c r="R17" s="300"/>
      <c r="S17" s="300"/>
      <c r="T17" s="300"/>
      <c r="U17" s="199">
        <f ca="1">1/M17</f>
        <v>0.21837407244637849</v>
      </c>
      <c r="V17" s="199"/>
      <c r="W17" s="298"/>
      <c r="X17" s="698">
        <f ca="1">IF(VLOOKUP($AD17,INDIRECT("'"&amp;$B17&amp;"'!"&amp;"$P$39:$AD$42"),11,FALSE)="Cf. the utilized electricity",0,VLOOKUP($AD17,INDIRECT("'"&amp;$B17&amp;"'!"&amp;"$P$39:$AD$42"),11,FALSE))</f>
        <v>0</v>
      </c>
      <c r="Y17" s="81">
        <f ca="1">VLOOKUP($AD17,INDIRECT("'"&amp;$B17&amp;"'!"&amp;"$P$39:$AD$42"),12,FALSE)</f>
        <v>0</v>
      </c>
      <c r="Z17" s="81">
        <f ca="1">VLOOKUP($AD17,INDIRECT("'"&amp;$B17&amp;"'!"&amp;"$P$39:$AD$42"),13,FALSE)</f>
        <v>0</v>
      </c>
      <c r="AA17" s="81">
        <f ca="1">VLOOKUP($AD17,INDIRECT("'"&amp;$B17&amp;"'!"&amp;"$P$39:$AD$42"),14,FALSE)</f>
        <v>0</v>
      </c>
      <c r="AB17" s="81">
        <f ca="1">VLOOKUP($AD17,INDIRECT("'"&amp;$B17&amp;"'!"&amp;"$P$39:$AD$42"),15,FALSE)</f>
        <v>0</v>
      </c>
      <c r="AC17" s="226"/>
      <c r="AD17" s="81">
        <v>2030</v>
      </c>
      <c r="AE17" s="81"/>
      <c r="AF17" s="220"/>
      <c r="AI17" s="224" t="str">
        <f t="shared" si="0"/>
        <v>ICDEM</v>
      </c>
      <c r="AJ17" s="224" t="str">
        <f t="shared" si="0"/>
        <v>Chemical industry Demand Electric Motors</v>
      </c>
      <c r="AO17" s="224" t="s">
        <v>1166</v>
      </c>
      <c r="AP17" s="224" t="s">
        <v>1167</v>
      </c>
    </row>
    <row r="18" spans="2:42">
      <c r="B18" s="357" t="s">
        <v>998</v>
      </c>
      <c r="D18" s="212"/>
      <c r="E18" s="212"/>
      <c r="F18" s="224" t="s">
        <v>1149</v>
      </c>
      <c r="G18" s="173" t="str">
        <f>$AI$20</f>
        <v>INDCWH</v>
      </c>
      <c r="H18" s="174"/>
      <c r="I18" s="174"/>
      <c r="K18" s="81"/>
      <c r="L18" s="333"/>
      <c r="M18" s="199"/>
      <c r="N18" s="81"/>
      <c r="O18" s="723"/>
      <c r="P18" s="723"/>
      <c r="Q18" s="81"/>
      <c r="R18" s="300"/>
      <c r="S18" s="300"/>
      <c r="T18" s="300"/>
      <c r="U18" s="199">
        <f ca="1">1-U17</f>
        <v>0.78162592755362148</v>
      </c>
      <c r="V18" s="300"/>
      <c r="W18" s="298"/>
      <c r="X18" s="698"/>
      <c r="Y18" s="81"/>
      <c r="Z18" s="81"/>
      <c r="AA18" s="81"/>
      <c r="AB18" s="81"/>
      <c r="AC18" s="226"/>
      <c r="AD18" s="81"/>
      <c r="AE18" s="81"/>
      <c r="AF18" s="220"/>
      <c r="AI18" s="224" t="str">
        <f t="shared" si="0"/>
        <v>ICDTF</v>
      </c>
      <c r="AJ18" s="224" t="str">
        <f t="shared" si="0"/>
        <v>Chemical industry Demand Haulage Tractors, Trucks, Fishing boats, Forest machines</v>
      </c>
      <c r="AO18" s="224" t="s">
        <v>1168</v>
      </c>
      <c r="AP18" s="224" t="s">
        <v>1169</v>
      </c>
    </row>
    <row r="19" spans="2:42">
      <c r="B19" s="357" t="s">
        <v>998</v>
      </c>
      <c r="D19" s="212"/>
      <c r="E19" s="212"/>
      <c r="F19" s="224" t="s">
        <v>1149</v>
      </c>
      <c r="G19" s="173" t="s">
        <v>499</v>
      </c>
      <c r="H19" s="174" t="str">
        <f>$AI$15</f>
        <v>ICDSH</v>
      </c>
      <c r="I19" s="174"/>
      <c r="J19" s="224">
        <f>AD19</f>
        <v>2050</v>
      </c>
      <c r="K19" s="81"/>
      <c r="L19" s="333">
        <v>1</v>
      </c>
      <c r="M19" s="199">
        <f ca="1">VLOOKUP($AD19,INDIRECT("'"&amp;$B19&amp;"'!"&amp;"$P$39:$AD$42"),3,FALSE)</f>
        <v>4.7191030203571422</v>
      </c>
      <c r="N19" s="81"/>
      <c r="O19" s="723">
        <f ca="1">VLOOKUP($AD19,INDIRECT("'"&amp;$B19&amp;"'!"&amp;"$P$39:$AD$42"),6,FALSE)/1000</f>
        <v>4.3209999999999997</v>
      </c>
      <c r="P19" s="723">
        <f ca="1">VLOOKUP($AD19,INDIRECT("'"&amp;$B19&amp;"'!"&amp;"$P$39:$AD$42"),7,FALSE)/1000</f>
        <v>1.49E-2</v>
      </c>
      <c r="Q19" s="81">
        <f ca="1">VLOOKUP($AD19,INDIRECT("'"&amp;$B19&amp;"'!"&amp;"$P$39:$AD$42"),8,FALSE)</f>
        <v>6.4566666666666661</v>
      </c>
      <c r="R19" s="300"/>
      <c r="S19" s="300"/>
      <c r="T19" s="300"/>
      <c r="U19" s="199">
        <f ca="1">1/M19</f>
        <v>0.21190467673331698</v>
      </c>
      <c r="V19" s="199"/>
      <c r="W19" s="298"/>
      <c r="X19" s="698">
        <f ca="1">IF(VLOOKUP($AD19,INDIRECT("'"&amp;$B19&amp;"'!"&amp;"$P$39:$AD$42"),11,FALSE)="Cf. the utilized electricity",0,VLOOKUP($AD19,INDIRECT("'"&amp;$B19&amp;"'!"&amp;"$P$39:$AD$42"),11,FALSE))</f>
        <v>0</v>
      </c>
      <c r="Y19" s="81">
        <f ca="1">VLOOKUP($AD19,INDIRECT("'"&amp;$B19&amp;"'!"&amp;"$P$39:$AD$42"),12,FALSE)</f>
        <v>0</v>
      </c>
      <c r="Z19" s="81">
        <f ca="1">VLOOKUP($AD19,INDIRECT("'"&amp;$B19&amp;"'!"&amp;"$P$39:$AD$42"),13,FALSE)</f>
        <v>0</v>
      </c>
      <c r="AA19" s="81">
        <f ca="1">VLOOKUP($AD19,INDIRECT("'"&amp;$B19&amp;"'!"&amp;"$P$39:$AD$42"),14,FALSE)</f>
        <v>0</v>
      </c>
      <c r="AB19" s="81">
        <f ca="1">VLOOKUP($AD19,INDIRECT("'"&amp;$B19&amp;"'!"&amp;"$P$39:$AD$42"),15,FALSE)</f>
        <v>0</v>
      </c>
      <c r="AC19" s="226"/>
      <c r="AD19" s="81">
        <v>2050</v>
      </c>
      <c r="AE19" s="81"/>
      <c r="AF19" s="220"/>
      <c r="AI19" s="224" t="str">
        <f t="shared" si="0"/>
        <v>ICDFL</v>
      </c>
      <c r="AJ19" s="224" t="str">
        <f t="shared" si="0"/>
        <v>Chemical industry Demand Haulage Forklifts</v>
      </c>
      <c r="AO19" s="224" t="s">
        <v>1170</v>
      </c>
      <c r="AP19" s="224" t="s">
        <v>1171</v>
      </c>
    </row>
    <row r="20" spans="2:42">
      <c r="B20" s="357" t="s">
        <v>998</v>
      </c>
      <c r="D20" s="212"/>
      <c r="E20" s="212"/>
      <c r="F20" s="224" t="s">
        <v>1149</v>
      </c>
      <c r="G20" s="173" t="str">
        <f>$AI$20</f>
        <v>INDCWH</v>
      </c>
      <c r="H20" s="174"/>
      <c r="I20" s="174"/>
      <c r="K20" s="81"/>
      <c r="L20" s="333"/>
      <c r="M20" s="199"/>
      <c r="N20" s="81"/>
      <c r="O20" s="723"/>
      <c r="P20" s="723"/>
      <c r="Q20" s="81"/>
      <c r="R20" s="300"/>
      <c r="S20" s="300"/>
      <c r="T20" s="300"/>
      <c r="U20" s="199">
        <f ca="1">1-U19</f>
        <v>0.78809532326668297</v>
      </c>
      <c r="V20" s="300"/>
      <c r="W20" s="298"/>
      <c r="X20" s="698"/>
      <c r="Y20" s="81"/>
      <c r="Z20" s="81"/>
      <c r="AA20" s="81"/>
      <c r="AB20" s="81"/>
      <c r="AC20" s="226"/>
      <c r="AD20" s="81"/>
      <c r="AE20" s="81"/>
      <c r="AF20" s="220"/>
      <c r="AI20" s="36" t="str">
        <f>"IND"&amp;MID(AI19,2,1)&amp;"WH"</f>
        <v>INDCWH</v>
      </c>
      <c r="AJ20" s="224" t="str">
        <f>$AJ$12&amp;" Industrial Waste Heat"</f>
        <v>Chemical Industrial Waste Heat</v>
      </c>
    </row>
    <row r="21" spans="2:42">
      <c r="B21" s="357" t="s">
        <v>999</v>
      </c>
      <c r="D21" s="212" t="str">
        <f>"IND"&amp;RIGHT(H21,4)&amp;RIGHT(G21,3)&amp;"N"&amp;RIGHT(E21,1)</f>
        <v>INDCDPHELCN2</v>
      </c>
      <c r="E21" s="261" t="str">
        <f>"Industrial heating technology "&amp;$AJ$12&amp;" "&amp;RIGHT(H21,2)&amp;" - Heat driven heat pump utilizing waste heat - new 2"</f>
        <v>Industrial heating technology Chemical PH - Heat driven heat pump utilizing waste heat - new 2</v>
      </c>
      <c r="F21" s="224" t="s">
        <v>1149</v>
      </c>
      <c r="G21" s="173" t="s">
        <v>499</v>
      </c>
      <c r="H21" s="174" t="str">
        <f>$AI$14</f>
        <v>ICDPH</v>
      </c>
      <c r="I21" s="174"/>
      <c r="J21" s="224">
        <f t="shared" ref="J21" si="1">AD21</f>
        <v>2020</v>
      </c>
      <c r="K21" s="81">
        <v>2020</v>
      </c>
      <c r="L21" s="333">
        <v>1</v>
      </c>
      <c r="M21" s="199">
        <f ca="1">VLOOKUP($AD21,INDIRECT("'"&amp;$B21&amp;"'!"&amp;"$P$39:$AD$42"),3,FALSE)</f>
        <v>1.68</v>
      </c>
      <c r="N21" s="81">
        <f ca="1">VLOOKUP($AD21,INDIRECT("'"&amp;$B21&amp;"'!"&amp;"$P$39:$AD$42"),5,FALSE)</f>
        <v>20</v>
      </c>
      <c r="O21" s="723">
        <f ca="1">VLOOKUP($AD21,INDIRECT("'"&amp;$B21&amp;"'!"&amp;"$P$39:$AD$42"),6,FALSE)/1000</f>
        <v>4.1720000000000006</v>
      </c>
      <c r="P21" s="723">
        <f ca="1">VLOOKUP($AD21,INDIRECT("'"&amp;$B21&amp;"'!"&amp;"$P$39:$AD$42"),7,FALSE)/1000</f>
        <v>1.49E-2</v>
      </c>
      <c r="Q21" s="81">
        <f ca="1">VLOOKUP($AD21,INDIRECT("'"&amp;$B21&amp;"'!"&amp;"$P$39:$AD$42"),8,FALSE)</f>
        <v>2.0901388888888892</v>
      </c>
      <c r="R21" s="81">
        <v>3.1536000000000002E-2</v>
      </c>
      <c r="S21" s="199">
        <v>0.5</v>
      </c>
      <c r="T21" s="199">
        <f ca="1">HLOOKUP($T$2,INDIRECT("'"&amp;$B21&amp;"'!"&amp;"$P$6:$AC$19"),IF(H21=$AI$13,6,IF(H21=$AI$14,9,14)),FALSE)</f>
        <v>0</v>
      </c>
      <c r="U21" s="199">
        <f ca="1">1/M21</f>
        <v>0.59523809523809523</v>
      </c>
      <c r="V21" s="199"/>
      <c r="W21" s="298"/>
      <c r="X21" s="698">
        <f ca="1">IF(VLOOKUP($AD21,INDIRECT("'"&amp;$B21&amp;"'!"&amp;"$P$39:$AD$42"),11,FALSE)="Cf. the utilized electricity",0,VLOOKUP($AD21,INDIRECT("'"&amp;$B21&amp;"'!"&amp;"$P$39:$AD$42"),11,FALSE))</f>
        <v>0</v>
      </c>
      <c r="Y21" s="81">
        <f ca="1">VLOOKUP($AD21,INDIRECT("'"&amp;$B21&amp;"'!"&amp;"$P$39:$AD$42"),12,FALSE)</f>
        <v>0</v>
      </c>
      <c r="Z21" s="81">
        <f ca="1">VLOOKUP($AD21,INDIRECT("'"&amp;$B21&amp;"'!"&amp;"$P$39:$AD$42"),13,FALSE)</f>
        <v>0</v>
      </c>
      <c r="AA21" s="81">
        <f ca="1">VLOOKUP($AD21,INDIRECT("'"&amp;$B21&amp;"'!"&amp;"$P$39:$AD$42"),14,FALSE)</f>
        <v>0</v>
      </c>
      <c r="AB21" s="81">
        <f ca="1">VLOOKUP($AD21,INDIRECT("'"&amp;$B21&amp;"'!"&amp;"$P$39:$AD$42"),15,FALSE)</f>
        <v>0</v>
      </c>
      <c r="AC21" s="226"/>
      <c r="AD21" s="81">
        <v>2020</v>
      </c>
      <c r="AE21" s="81"/>
      <c r="AF21" s="220"/>
      <c r="AI21" s="224" t="str">
        <f>"I"&amp;LEFT($AJ$12,1)&amp;"DCO"</f>
        <v>ICDCO</v>
      </c>
      <c r="AJ21" s="224" t="s">
        <v>2119</v>
      </c>
    </row>
    <row r="22" spans="2:42">
      <c r="B22" s="357" t="s">
        <v>999</v>
      </c>
      <c r="D22" s="212"/>
      <c r="E22" s="261"/>
      <c r="F22" s="224" t="s">
        <v>1149</v>
      </c>
      <c r="G22" s="173" t="str">
        <f>$AI$20</f>
        <v>INDCWH</v>
      </c>
      <c r="H22" s="174"/>
      <c r="I22" s="174"/>
      <c r="K22" s="81"/>
      <c r="L22" s="333"/>
      <c r="M22" s="199"/>
      <c r="N22" s="81"/>
      <c r="O22" s="723"/>
      <c r="P22" s="723"/>
      <c r="Q22" s="81"/>
      <c r="R22" s="200"/>
      <c r="S22" s="772"/>
      <c r="T22" s="772"/>
      <c r="U22" s="199">
        <f ca="1">1-U21</f>
        <v>0.40476190476190477</v>
      </c>
      <c r="V22" s="772"/>
      <c r="W22" s="298"/>
      <c r="X22" s="698"/>
      <c r="Y22" s="81"/>
      <c r="Z22" s="81"/>
      <c r="AA22" s="81"/>
      <c r="AB22" s="81"/>
      <c r="AC22" s="226"/>
      <c r="AD22" s="81"/>
      <c r="AE22" s="81"/>
      <c r="AF22" s="220"/>
      <c r="AI22" s="224">
        <v>1</v>
      </c>
    </row>
    <row r="23" spans="2:42">
      <c r="B23" s="357" t="s">
        <v>999</v>
      </c>
      <c r="D23" s="212"/>
      <c r="E23" s="212"/>
      <c r="F23" s="224" t="s">
        <v>1149</v>
      </c>
      <c r="G23" s="173" t="s">
        <v>499</v>
      </c>
      <c r="H23" s="174" t="str">
        <f>$AI$14</f>
        <v>ICDPH</v>
      </c>
      <c r="I23" s="174"/>
      <c r="J23" s="224">
        <f t="shared" ref="J23" si="2">AD23</f>
        <v>2030</v>
      </c>
      <c r="K23" s="81"/>
      <c r="L23" s="333">
        <v>1</v>
      </c>
      <c r="M23" s="199">
        <f ca="1">VLOOKUP($AD23,INDIRECT("'"&amp;$B23&amp;"'!"&amp;"$P$39:$AD$42"),3,FALSE)</f>
        <v>1.69</v>
      </c>
      <c r="N23" s="81"/>
      <c r="O23" s="723">
        <f ca="1">VLOOKUP($AD23,INDIRECT("'"&amp;$B23&amp;"'!"&amp;"$P$39:$AD$42"),6,FALSE)/1000</f>
        <v>3.7995000000000001</v>
      </c>
      <c r="P23" s="723">
        <f ca="1">VLOOKUP($AD23,INDIRECT("'"&amp;$B23&amp;"'!"&amp;"$P$39:$AD$42"),7,FALSE)/1000</f>
        <v>1.49E-2</v>
      </c>
      <c r="Q23" s="81">
        <f ca="1">VLOOKUP($AD23,INDIRECT("'"&amp;$B23&amp;"'!"&amp;"$P$39:$AD$42"),8,FALSE)</f>
        <v>2.0694444444444446</v>
      </c>
      <c r="R23" s="300"/>
      <c r="S23" s="300"/>
      <c r="T23" s="300"/>
      <c r="U23" s="199">
        <f ca="1">1/M23</f>
        <v>0.59171597633136097</v>
      </c>
      <c r="V23" s="199"/>
      <c r="W23" s="298"/>
      <c r="X23" s="698">
        <f ca="1">IF(VLOOKUP($AD23,INDIRECT("'"&amp;$B23&amp;"'!"&amp;"$P$39:$AD$42"),11,FALSE)="Cf. the utilized electricity",0,VLOOKUP($AD23,INDIRECT("'"&amp;$B23&amp;"'!"&amp;"$P$39:$AD$42"),11,FALSE))</f>
        <v>0</v>
      </c>
      <c r="Y23" s="81">
        <f ca="1">VLOOKUP($AD23,INDIRECT("'"&amp;$B23&amp;"'!"&amp;"$P$39:$AD$42"),12,FALSE)</f>
        <v>0</v>
      </c>
      <c r="Z23" s="81">
        <f ca="1">VLOOKUP($AD23,INDIRECT("'"&amp;$B23&amp;"'!"&amp;"$P$39:$AD$42"),13,FALSE)</f>
        <v>0</v>
      </c>
      <c r="AA23" s="81">
        <f ca="1">VLOOKUP($AD23,INDIRECT("'"&amp;$B23&amp;"'!"&amp;"$P$39:$AD$42"),14,FALSE)</f>
        <v>0</v>
      </c>
      <c r="AB23" s="81">
        <f ca="1">VLOOKUP($AD23,INDIRECT("'"&amp;$B23&amp;"'!"&amp;"$P$39:$AD$42"),15,FALSE)</f>
        <v>0</v>
      </c>
      <c r="AC23" s="226"/>
      <c r="AD23" s="81">
        <v>2030</v>
      </c>
      <c r="AE23" s="81"/>
      <c r="AF23" s="220"/>
      <c r="AI23" s="224">
        <v>2</v>
      </c>
    </row>
    <row r="24" spans="2:42" ht="14.5" customHeight="1">
      <c r="B24" s="357" t="s">
        <v>999</v>
      </c>
      <c r="D24" s="212"/>
      <c r="E24" s="212"/>
      <c r="F24" s="224" t="s">
        <v>1149</v>
      </c>
      <c r="G24" s="173" t="str">
        <f>$AI$20</f>
        <v>INDCWH</v>
      </c>
      <c r="H24" s="174"/>
      <c r="I24" s="174"/>
      <c r="K24" s="81"/>
      <c r="L24" s="333"/>
      <c r="M24" s="199"/>
      <c r="N24" s="81"/>
      <c r="O24" s="723"/>
      <c r="P24" s="723"/>
      <c r="Q24" s="81"/>
      <c r="R24" s="300"/>
      <c r="S24" s="300"/>
      <c r="T24" s="300"/>
      <c r="U24" s="199">
        <f ca="1">1-U23</f>
        <v>0.40828402366863903</v>
      </c>
      <c r="V24" s="300"/>
      <c r="W24" s="298"/>
      <c r="X24" s="698"/>
      <c r="Y24" s="81"/>
      <c r="Z24" s="81"/>
      <c r="AA24" s="81"/>
      <c r="AB24" s="81"/>
      <c r="AC24" s="226"/>
      <c r="AD24" s="81"/>
      <c r="AE24" s="81"/>
      <c r="AF24" s="220"/>
      <c r="AI24" s="224">
        <v>3</v>
      </c>
    </row>
    <row r="25" spans="2:42" ht="14.5" customHeight="1">
      <c r="B25" s="357" t="s">
        <v>999</v>
      </c>
      <c r="D25" s="212"/>
      <c r="E25" s="212"/>
      <c r="F25" s="224" t="s">
        <v>1149</v>
      </c>
      <c r="G25" s="173" t="s">
        <v>499</v>
      </c>
      <c r="H25" s="174" t="str">
        <f>$AI$14</f>
        <v>ICDPH</v>
      </c>
      <c r="I25" s="174"/>
      <c r="J25" s="224">
        <f t="shared" ref="J25" si="3">AD25</f>
        <v>2050</v>
      </c>
      <c r="K25" s="81"/>
      <c r="L25" s="333">
        <v>1</v>
      </c>
      <c r="M25" s="199">
        <f ca="1">VLOOKUP($AD25,INDIRECT("'"&amp;$B25&amp;"'!"&amp;"$P$39:$AD$42"),3,FALSE)</f>
        <v>1.71</v>
      </c>
      <c r="N25" s="81"/>
      <c r="O25" s="723">
        <f ca="1">VLOOKUP($AD25,INDIRECT("'"&amp;$B25&amp;"'!"&amp;"$P$39:$AD$42"),6,FALSE)/1000</f>
        <v>3.427</v>
      </c>
      <c r="P25" s="723">
        <f ca="1">VLOOKUP($AD25,INDIRECT("'"&amp;$B25&amp;"'!"&amp;"$P$39:$AD$42"),7,FALSE)/1000</f>
        <v>1.49E-2</v>
      </c>
      <c r="Q25" s="81">
        <f ca="1">VLOOKUP($AD25,INDIRECT("'"&amp;$B25&amp;"'!"&amp;"$P$39:$AD$42"),8,FALSE)</f>
        <v>2.0487500000000001</v>
      </c>
      <c r="R25" s="300"/>
      <c r="S25" s="300"/>
      <c r="T25" s="300"/>
      <c r="U25" s="199">
        <f ca="1">1/M25</f>
        <v>0.58479532163742687</v>
      </c>
      <c r="V25" s="199"/>
      <c r="W25" s="298"/>
      <c r="X25" s="698">
        <f ca="1">IF(VLOOKUP($AD25,INDIRECT("'"&amp;$B25&amp;"'!"&amp;"$P$39:$AD$42"),11,FALSE)="Cf. the utilized electricity",0,VLOOKUP($AD25,INDIRECT("'"&amp;$B25&amp;"'!"&amp;"$P$39:$AD$42"),11,FALSE))</f>
        <v>0</v>
      </c>
      <c r="Y25" s="81">
        <f ca="1">VLOOKUP($AD25,INDIRECT("'"&amp;$B25&amp;"'!"&amp;"$P$39:$AD$42"),12,FALSE)</f>
        <v>0</v>
      </c>
      <c r="Z25" s="81">
        <f ca="1">VLOOKUP($AD25,INDIRECT("'"&amp;$B25&amp;"'!"&amp;"$P$39:$AD$42"),13,FALSE)</f>
        <v>0</v>
      </c>
      <c r="AA25" s="81">
        <f ca="1">VLOOKUP($AD25,INDIRECT("'"&amp;$B25&amp;"'!"&amp;"$P$39:$AD$42"),14,FALSE)</f>
        <v>0</v>
      </c>
      <c r="AB25" s="81">
        <f ca="1">VLOOKUP($AD25,INDIRECT("'"&amp;$B25&amp;"'!"&amp;"$P$39:$AD$42"),15,FALSE)</f>
        <v>0</v>
      </c>
      <c r="AC25" s="226"/>
      <c r="AD25" s="81">
        <v>2050</v>
      </c>
      <c r="AE25" s="81"/>
      <c r="AF25" s="220"/>
      <c r="AI25" s="224">
        <v>4</v>
      </c>
    </row>
    <row r="26" spans="2:42" ht="15" customHeight="1">
      <c r="B26" s="357" t="s">
        <v>999</v>
      </c>
      <c r="D26" s="212"/>
      <c r="E26" s="212"/>
      <c r="F26" s="224" t="s">
        <v>1149</v>
      </c>
      <c r="G26" s="173" t="str">
        <f>$AI$20</f>
        <v>INDCWH</v>
      </c>
      <c r="H26" s="174"/>
      <c r="I26" s="174"/>
      <c r="K26" s="81"/>
      <c r="L26" s="333"/>
      <c r="M26" s="199"/>
      <c r="N26" s="81"/>
      <c r="O26" s="723"/>
      <c r="P26" s="723"/>
      <c r="Q26" s="81"/>
      <c r="R26" s="300"/>
      <c r="S26" s="300"/>
      <c r="T26" s="300"/>
      <c r="U26" s="199">
        <f ca="1">1-U25</f>
        <v>0.41520467836257313</v>
      </c>
      <c r="V26" s="300"/>
      <c r="W26" s="298"/>
      <c r="X26" s="698"/>
      <c r="Y26" s="81"/>
      <c r="Z26" s="81"/>
      <c r="AA26" s="81"/>
      <c r="AB26" s="81"/>
      <c r="AC26" s="226"/>
      <c r="AD26" s="81"/>
      <c r="AE26" s="81"/>
      <c r="AF26" s="220"/>
      <c r="AI26" s="224">
        <v>5</v>
      </c>
      <c r="AJ26" s="224" t="s">
        <v>715</v>
      </c>
    </row>
    <row r="27" spans="2:42">
      <c r="B27" s="357" t="s">
        <v>999</v>
      </c>
      <c r="D27" s="212" t="str">
        <f>"IND"&amp;RIGHT(H27,4)&amp;RIGHT(G27,3)&amp;"N"&amp;RIGHT(E27,1)</f>
        <v>INDCDSHELCN2</v>
      </c>
      <c r="E27" s="261" t="str">
        <f>"Industrial heating technology "&amp;$AJ$12&amp;" "&amp;RIGHT(H27,2)&amp;" - Heat driven heat pump utilizing waste heat - new 2"</f>
        <v>Industrial heating technology Chemical SH - Heat driven heat pump utilizing waste heat - new 2</v>
      </c>
      <c r="F27" s="224" t="s">
        <v>1149</v>
      </c>
      <c r="G27" s="173" t="s">
        <v>499</v>
      </c>
      <c r="H27" s="174" t="str">
        <f>$AI$15</f>
        <v>ICDSH</v>
      </c>
      <c r="I27" s="174"/>
      <c r="J27" s="224">
        <f t="shared" ref="J27" si="4">AD27</f>
        <v>2020</v>
      </c>
      <c r="K27" s="81">
        <v>2020</v>
      </c>
      <c r="L27" s="333">
        <v>1</v>
      </c>
      <c r="M27" s="199">
        <f ca="1">VLOOKUP($AD27,INDIRECT("'"&amp;$B27&amp;"'!"&amp;"$P$39:$AD$42"),3,FALSE)</f>
        <v>1.68</v>
      </c>
      <c r="N27" s="81">
        <f ca="1">VLOOKUP($AD27,INDIRECT("'"&amp;$B27&amp;"'!"&amp;"$P$39:$AD$42"),5,FALSE)</f>
        <v>20</v>
      </c>
      <c r="O27" s="723">
        <f ca="1">VLOOKUP($AD27,INDIRECT("'"&amp;$B27&amp;"'!"&amp;"$P$39:$AD$42"),6,FALSE)/1000</f>
        <v>4.1720000000000006</v>
      </c>
      <c r="P27" s="723">
        <f ca="1">VLOOKUP($AD27,INDIRECT("'"&amp;$B27&amp;"'!"&amp;"$P$39:$AD$42"),7,FALSE)/1000</f>
        <v>1.49E-2</v>
      </c>
      <c r="Q27" s="81">
        <f ca="1">VLOOKUP($AD27,INDIRECT("'"&amp;$B27&amp;"'!"&amp;"$P$39:$AD$42"),8,FALSE)</f>
        <v>2.0901388888888892</v>
      </c>
      <c r="R27" s="81">
        <v>3.1536000000000002E-2</v>
      </c>
      <c r="S27" s="199">
        <v>0.5</v>
      </c>
      <c r="T27" s="199">
        <f ca="1">HLOOKUP($T$2,INDIRECT("'"&amp;$B27&amp;"'!"&amp;"$P$6:$AC$19"),IF(H27=$AI$13,6,IF(H27=$AI$14,9,14)),FALSE)</f>
        <v>1</v>
      </c>
      <c r="U27" s="199">
        <f ca="1">1/M27</f>
        <v>0.59523809523809523</v>
      </c>
      <c r="V27" s="199"/>
      <c r="W27" s="298"/>
      <c r="X27" s="698">
        <f ca="1">IF(VLOOKUP($AD27,INDIRECT("'"&amp;$B27&amp;"'!"&amp;"$P$39:$AD$42"),11,FALSE)="Cf. the utilized electricity",0,VLOOKUP($AD27,INDIRECT("'"&amp;$B27&amp;"'!"&amp;"$P$39:$AD$42"),11,FALSE))</f>
        <v>0</v>
      </c>
      <c r="Y27" s="81">
        <f ca="1">VLOOKUP($AD27,INDIRECT("'"&amp;$B27&amp;"'!"&amp;"$P$39:$AD$42"),12,FALSE)</f>
        <v>0</v>
      </c>
      <c r="Z27" s="81">
        <f ca="1">VLOOKUP($AD27,INDIRECT("'"&amp;$B27&amp;"'!"&amp;"$P$39:$AD$42"),13,FALSE)</f>
        <v>0</v>
      </c>
      <c r="AA27" s="81">
        <f ca="1">VLOOKUP($AD27,INDIRECT("'"&amp;$B27&amp;"'!"&amp;"$P$39:$AD$42"),14,FALSE)</f>
        <v>0</v>
      </c>
      <c r="AB27" s="81">
        <f ca="1">VLOOKUP($AD27,INDIRECT("'"&amp;$B27&amp;"'!"&amp;"$P$39:$AD$42"),15,FALSE)</f>
        <v>0</v>
      </c>
      <c r="AD27" s="81">
        <v>2020</v>
      </c>
      <c r="AE27" s="81"/>
      <c r="AF27" s="220"/>
      <c r="AI27" s="224">
        <v>6</v>
      </c>
    </row>
    <row r="28" spans="2:42" ht="15" customHeight="1">
      <c r="B28" s="357" t="s">
        <v>999</v>
      </c>
      <c r="D28" s="212"/>
      <c r="E28" s="261"/>
      <c r="F28" s="224" t="s">
        <v>1149</v>
      </c>
      <c r="G28" s="173" t="str">
        <f>$AI$20</f>
        <v>INDCWH</v>
      </c>
      <c r="H28" s="174"/>
      <c r="I28" s="174"/>
      <c r="K28" s="81"/>
      <c r="L28" s="333"/>
      <c r="M28" s="199"/>
      <c r="N28" s="81"/>
      <c r="O28" s="723"/>
      <c r="P28" s="723"/>
      <c r="Q28" s="81"/>
      <c r="R28" s="200"/>
      <c r="S28" s="772"/>
      <c r="T28" s="772"/>
      <c r="U28" s="199">
        <f ca="1">1-U27</f>
        <v>0.40476190476190477</v>
      </c>
      <c r="V28" s="772"/>
      <c r="W28" s="298"/>
      <c r="X28" s="698"/>
      <c r="Y28" s="81"/>
      <c r="Z28" s="81"/>
      <c r="AA28" s="81"/>
      <c r="AB28" s="81"/>
      <c r="AD28" s="81"/>
      <c r="AE28" s="81"/>
      <c r="AF28" s="220"/>
      <c r="AI28" s="224">
        <v>7</v>
      </c>
      <c r="AJ28" s="224" t="s">
        <v>716</v>
      </c>
    </row>
    <row r="29" spans="2:42">
      <c r="B29" s="357" t="s">
        <v>999</v>
      </c>
      <c r="D29" s="212"/>
      <c r="E29" s="212"/>
      <c r="F29" s="224" t="s">
        <v>1149</v>
      </c>
      <c r="G29" s="173" t="s">
        <v>499</v>
      </c>
      <c r="H29" s="174" t="str">
        <f>$AI$15</f>
        <v>ICDSH</v>
      </c>
      <c r="I29" s="174"/>
      <c r="J29" s="224">
        <f t="shared" ref="J29" si="5">AD29</f>
        <v>2030</v>
      </c>
      <c r="K29" s="81"/>
      <c r="L29" s="333">
        <v>1</v>
      </c>
      <c r="M29" s="199">
        <f ca="1">VLOOKUP($AD29,INDIRECT("'"&amp;$B29&amp;"'!"&amp;"$P$39:$AD$42"),3,FALSE)</f>
        <v>1.69</v>
      </c>
      <c r="N29" s="81"/>
      <c r="O29" s="723">
        <f ca="1">VLOOKUP($AD29,INDIRECT("'"&amp;$B29&amp;"'!"&amp;"$P$39:$AD$42"),6,FALSE)/1000</f>
        <v>3.7995000000000001</v>
      </c>
      <c r="P29" s="723">
        <f ca="1">VLOOKUP($AD29,INDIRECT("'"&amp;$B29&amp;"'!"&amp;"$P$39:$AD$42"),7,FALSE)/1000</f>
        <v>1.49E-2</v>
      </c>
      <c r="Q29" s="81">
        <f ca="1">VLOOKUP($AD29,INDIRECT("'"&amp;$B29&amp;"'!"&amp;"$P$39:$AD$42"),8,FALSE)</f>
        <v>2.0694444444444446</v>
      </c>
      <c r="R29" s="300"/>
      <c r="S29" s="300"/>
      <c r="T29" s="300"/>
      <c r="U29" s="199">
        <f ca="1">1/M29</f>
        <v>0.59171597633136097</v>
      </c>
      <c r="V29" s="199"/>
      <c r="W29" s="298"/>
      <c r="X29" s="698">
        <f ca="1">IF(VLOOKUP($AD29,INDIRECT("'"&amp;$B29&amp;"'!"&amp;"$P$39:$AD$42"),11,FALSE)="Cf. the utilized electricity",0,VLOOKUP($AD29,INDIRECT("'"&amp;$B29&amp;"'!"&amp;"$P$39:$AD$42"),11,FALSE))</f>
        <v>0</v>
      </c>
      <c r="Y29" s="81">
        <f ca="1">VLOOKUP($AD29,INDIRECT("'"&amp;$B29&amp;"'!"&amp;"$P$39:$AD$42"),12,FALSE)</f>
        <v>0</v>
      </c>
      <c r="Z29" s="81">
        <f ca="1">VLOOKUP($AD29,INDIRECT("'"&amp;$B29&amp;"'!"&amp;"$P$39:$AD$42"),13,FALSE)</f>
        <v>0</v>
      </c>
      <c r="AA29" s="81">
        <f ca="1">VLOOKUP($AD29,INDIRECT("'"&amp;$B29&amp;"'!"&amp;"$P$39:$AD$42"),14,FALSE)</f>
        <v>0</v>
      </c>
      <c r="AB29" s="81">
        <f ca="1">VLOOKUP($AD29,INDIRECT("'"&amp;$B29&amp;"'!"&amp;"$P$39:$AD$42"),15,FALSE)</f>
        <v>0</v>
      </c>
      <c r="AD29" s="81">
        <v>2030</v>
      </c>
      <c r="AE29" s="81"/>
      <c r="AF29" s="220"/>
      <c r="AI29" s="224">
        <v>8</v>
      </c>
    </row>
    <row r="30" spans="2:42" ht="15" customHeight="1">
      <c r="B30" s="357" t="s">
        <v>999</v>
      </c>
      <c r="D30" s="212"/>
      <c r="E30" s="212"/>
      <c r="F30" s="224" t="s">
        <v>1149</v>
      </c>
      <c r="G30" s="173" t="str">
        <f>$AI$20</f>
        <v>INDCWH</v>
      </c>
      <c r="H30" s="174"/>
      <c r="I30" s="174"/>
      <c r="K30" s="81"/>
      <c r="L30" s="333"/>
      <c r="M30" s="199"/>
      <c r="N30" s="81"/>
      <c r="O30" s="723"/>
      <c r="P30" s="723"/>
      <c r="Q30" s="81"/>
      <c r="R30" s="300"/>
      <c r="S30" s="300"/>
      <c r="T30" s="300"/>
      <c r="U30" s="199">
        <f ca="1">1-U29</f>
        <v>0.40828402366863903</v>
      </c>
      <c r="V30" s="300"/>
      <c r="W30" s="298"/>
      <c r="X30" s="698"/>
      <c r="Y30" s="81"/>
      <c r="Z30" s="81"/>
      <c r="AA30" s="81"/>
      <c r="AB30" s="81"/>
      <c r="AD30" s="81"/>
      <c r="AE30" s="81"/>
      <c r="AF30" s="220"/>
      <c r="AI30" s="224">
        <v>9</v>
      </c>
      <c r="AJ30" s="224" t="s">
        <v>717</v>
      </c>
    </row>
    <row r="31" spans="2:42">
      <c r="B31" s="357" t="s">
        <v>999</v>
      </c>
      <c r="D31" s="212"/>
      <c r="E31" s="212"/>
      <c r="F31" s="224" t="s">
        <v>1149</v>
      </c>
      <c r="G31" s="173" t="s">
        <v>499</v>
      </c>
      <c r="H31" s="174" t="str">
        <f>$AI$15</f>
        <v>ICDSH</v>
      </c>
      <c r="I31" s="174"/>
      <c r="J31" s="224">
        <f t="shared" ref="J31" si="6">AD31</f>
        <v>2050</v>
      </c>
      <c r="K31" s="81"/>
      <c r="L31" s="333">
        <v>1</v>
      </c>
      <c r="M31" s="199">
        <f ca="1">VLOOKUP($AD31,INDIRECT("'"&amp;$B31&amp;"'!"&amp;"$P$39:$AD$42"),3,FALSE)</f>
        <v>1.71</v>
      </c>
      <c r="N31" s="81"/>
      <c r="O31" s="723">
        <f ca="1">VLOOKUP($AD31,INDIRECT("'"&amp;$B31&amp;"'!"&amp;"$P$39:$AD$42"),6,FALSE)/1000</f>
        <v>3.427</v>
      </c>
      <c r="P31" s="723">
        <f ca="1">VLOOKUP($AD31,INDIRECT("'"&amp;$B31&amp;"'!"&amp;"$P$39:$AD$42"),7,FALSE)/1000</f>
        <v>1.49E-2</v>
      </c>
      <c r="Q31" s="81">
        <f ca="1">VLOOKUP($AD31,INDIRECT("'"&amp;$B31&amp;"'!"&amp;"$P$39:$AD$42"),8,FALSE)</f>
        <v>2.0487500000000001</v>
      </c>
      <c r="R31" s="300"/>
      <c r="S31" s="300"/>
      <c r="T31" s="300"/>
      <c r="U31" s="199">
        <f ca="1">1/M31</f>
        <v>0.58479532163742687</v>
      </c>
      <c r="V31" s="199"/>
      <c r="W31" s="298"/>
      <c r="X31" s="698">
        <f ca="1">IF(VLOOKUP($AD31,INDIRECT("'"&amp;$B31&amp;"'!"&amp;"$P$39:$AD$42"),11,FALSE)="Cf. the utilized electricity",0,VLOOKUP($AD31,INDIRECT("'"&amp;$B31&amp;"'!"&amp;"$P$39:$AD$42"),11,FALSE))</f>
        <v>0</v>
      </c>
      <c r="Y31" s="81">
        <f ca="1">VLOOKUP($AD31,INDIRECT("'"&amp;$B31&amp;"'!"&amp;"$P$39:$AD$42"),12,FALSE)</f>
        <v>0</v>
      </c>
      <c r="Z31" s="81">
        <f ca="1">VLOOKUP($AD31,INDIRECT("'"&amp;$B31&amp;"'!"&amp;"$P$39:$AD$42"),13,FALSE)</f>
        <v>0</v>
      </c>
      <c r="AA31" s="81">
        <f ca="1">VLOOKUP($AD31,INDIRECT("'"&amp;$B31&amp;"'!"&amp;"$P$39:$AD$42"),14,FALSE)</f>
        <v>0</v>
      </c>
      <c r="AB31" s="81">
        <f ca="1">VLOOKUP($AD31,INDIRECT("'"&amp;$B31&amp;"'!"&amp;"$P$39:$AD$42"),15,FALSE)</f>
        <v>0</v>
      </c>
      <c r="AD31" s="81">
        <v>2050</v>
      </c>
      <c r="AE31" s="81"/>
      <c r="AF31" s="220"/>
      <c r="AI31" s="224">
        <v>10</v>
      </c>
    </row>
    <row r="32" spans="2:42">
      <c r="B32" s="357" t="s">
        <v>999</v>
      </c>
      <c r="D32" s="212"/>
      <c r="E32" s="212"/>
      <c r="F32" s="224" t="s">
        <v>1149</v>
      </c>
      <c r="G32" s="173" t="str">
        <f>$AI$20</f>
        <v>INDCWH</v>
      </c>
      <c r="H32" s="174"/>
      <c r="I32" s="174"/>
      <c r="K32" s="81"/>
      <c r="L32" s="333"/>
      <c r="M32" s="199"/>
      <c r="N32" s="81"/>
      <c r="O32" s="723"/>
      <c r="P32" s="723"/>
      <c r="Q32" s="81"/>
      <c r="R32" s="300"/>
      <c r="S32" s="300"/>
      <c r="T32" s="300"/>
      <c r="U32" s="199">
        <f ca="1">1-U31</f>
        <v>0.41520467836257313</v>
      </c>
      <c r="V32" s="300"/>
      <c r="W32" s="298"/>
      <c r="X32" s="698"/>
      <c r="Y32" s="81"/>
      <c r="Z32" s="81"/>
      <c r="AA32" s="81"/>
      <c r="AB32" s="81"/>
      <c r="AD32" s="81"/>
      <c r="AE32" s="81"/>
      <c r="AF32" s="220"/>
      <c r="AI32" s="224">
        <v>11</v>
      </c>
      <c r="AJ32" s="224" t="s">
        <v>718</v>
      </c>
    </row>
    <row r="33" spans="2:36">
      <c r="B33" s="357" t="s">
        <v>1000</v>
      </c>
      <c r="D33" s="212" t="str">
        <f>"IND"&amp;RIGHT(H33,4)&amp;RIGHT(G33,3)&amp;"N"&amp;RIGHT(E33,1)</f>
        <v>INDCDPHELCN3</v>
      </c>
      <c r="E33" s="261" t="str">
        <f>"Industrial heating technology "&amp;$AJ$12&amp;" "&amp;RIGHT(H33,2)&amp;" - High Temp abs. Heat pump utilizing waste heat - new 3"</f>
        <v>Industrial heating technology Chemical PH - High Temp abs. Heat pump utilizing waste heat - new 3</v>
      </c>
      <c r="F33" s="224" t="s">
        <v>1149</v>
      </c>
      <c r="G33" s="173" t="s">
        <v>499</v>
      </c>
      <c r="H33" s="174" t="str">
        <f>$AI$14</f>
        <v>ICDPH</v>
      </c>
      <c r="I33" s="174"/>
      <c r="J33" s="224">
        <f t="shared" ref="J33" si="7">AD33</f>
        <v>2020</v>
      </c>
      <c r="K33" s="81">
        <v>2020</v>
      </c>
      <c r="L33" s="333">
        <v>1</v>
      </c>
      <c r="M33" s="199">
        <f ca="1">VLOOKUP($AD33,INDIRECT("'"&amp;$B33&amp;"'!"&amp;"$P$39:$AD$42"),3,FALSE)</f>
        <v>2.75</v>
      </c>
      <c r="N33" s="81">
        <f ca="1">VLOOKUP($AD33,INDIRECT("'"&amp;$B33&amp;"'!"&amp;"$P$39:$AD$42"),5,FALSE)</f>
        <v>20</v>
      </c>
      <c r="O33" s="723">
        <f ca="1">VLOOKUP($AD33,INDIRECT("'"&amp;$B33&amp;"'!"&amp;"$P$39:$AD$42"),6,FALSE)/1000</f>
        <v>7.1394840000000004</v>
      </c>
      <c r="P33" s="723">
        <f ca="1">VLOOKUP($AD33,INDIRECT("'"&amp;$B33&amp;"'!"&amp;"$P$39:$AD$42"),7,FALSE)/1000</f>
        <v>7.2264999999999994E-3</v>
      </c>
      <c r="Q33" s="81">
        <f ca="1">VLOOKUP($AD33,INDIRECT("'"&amp;$B33&amp;"'!"&amp;"$P$39:$AD$42"),8,FALSE)</f>
        <v>6.7463888888888883</v>
      </c>
      <c r="R33" s="81">
        <v>3.1536000000000002E-2</v>
      </c>
      <c r="S33" s="199">
        <v>0.5</v>
      </c>
      <c r="T33" s="199">
        <f ca="1">HLOOKUP($T$2,INDIRECT("'"&amp;$B33&amp;"'!"&amp;"$P$6:$AC$19"),IF(H33=$AI$13,6,IF(H33=$AI$14,9,14)),FALSE)-T9</f>
        <v>0</v>
      </c>
      <c r="U33" s="199">
        <f ca="1">1/M33</f>
        <v>0.36363636363636365</v>
      </c>
      <c r="V33" s="199"/>
      <c r="W33" s="298"/>
      <c r="X33" s="698">
        <f ca="1">IF(VLOOKUP($AD33,INDIRECT("'"&amp;$B33&amp;"'!"&amp;"$P$39:$AD$42"),11,FALSE)="Cf. the utilized electricity",0,VLOOKUP($AD33,INDIRECT("'"&amp;$B33&amp;"'!"&amp;"$P$39:$AD$42"),11,FALSE))</f>
        <v>0</v>
      </c>
      <c r="Y33" s="81">
        <f ca="1">VLOOKUP($AD33,INDIRECT("'"&amp;$B33&amp;"'!"&amp;"$P$39:$AD$42"),12,FALSE)</f>
        <v>0</v>
      </c>
      <c r="Z33" s="81">
        <f ca="1">VLOOKUP($AD33,INDIRECT("'"&amp;$B33&amp;"'!"&amp;"$P$39:$AD$42"),13,FALSE)</f>
        <v>0</v>
      </c>
      <c r="AA33" s="81">
        <f ca="1">VLOOKUP($AD33,INDIRECT("'"&amp;$B33&amp;"'!"&amp;"$P$39:$AD$42"),14,FALSE)</f>
        <v>0</v>
      </c>
      <c r="AB33" s="81">
        <f ca="1">VLOOKUP($AD33,INDIRECT("'"&amp;$B33&amp;"'!"&amp;"$P$39:$AD$42"),15,FALSE)</f>
        <v>0</v>
      </c>
      <c r="AD33" s="81">
        <v>2020</v>
      </c>
      <c r="AE33" s="81"/>
      <c r="AF33" s="220"/>
      <c r="AI33" s="224">
        <v>12</v>
      </c>
    </row>
    <row r="34" spans="2:36">
      <c r="B34" s="357" t="s">
        <v>1000</v>
      </c>
      <c r="D34" s="212"/>
      <c r="E34" s="261"/>
      <c r="F34" s="224" t="s">
        <v>1149</v>
      </c>
      <c r="G34" s="173" t="str">
        <f>$AI$20</f>
        <v>INDCWH</v>
      </c>
      <c r="H34" s="174"/>
      <c r="I34" s="174"/>
      <c r="K34" s="81"/>
      <c r="L34" s="333"/>
      <c r="M34" s="199"/>
      <c r="N34" s="81"/>
      <c r="O34" s="723"/>
      <c r="P34" s="723"/>
      <c r="Q34" s="81"/>
      <c r="R34" s="200"/>
      <c r="S34" s="772"/>
      <c r="T34" s="772"/>
      <c r="U34" s="199">
        <f ca="1">1-U33</f>
        <v>0.63636363636363635</v>
      </c>
      <c r="V34" s="772"/>
      <c r="W34" s="298"/>
      <c r="X34" s="698"/>
      <c r="Y34" s="81"/>
      <c r="Z34" s="81"/>
      <c r="AA34" s="81"/>
      <c r="AB34" s="81"/>
      <c r="AD34" s="81"/>
      <c r="AE34" s="81"/>
      <c r="AF34" s="220"/>
      <c r="AI34" s="224">
        <v>13</v>
      </c>
      <c r="AJ34" s="224" t="s">
        <v>719</v>
      </c>
    </row>
    <row r="35" spans="2:36">
      <c r="B35" s="357" t="s">
        <v>1000</v>
      </c>
      <c r="D35" s="212"/>
      <c r="E35" s="212"/>
      <c r="F35" s="224" t="s">
        <v>1149</v>
      </c>
      <c r="G35" s="173" t="s">
        <v>499</v>
      </c>
      <c r="H35" s="174" t="str">
        <f>$AI$14</f>
        <v>ICDPH</v>
      </c>
      <c r="I35" s="174"/>
      <c r="J35" s="224">
        <f t="shared" ref="J35" si="8">AD35</f>
        <v>2030</v>
      </c>
      <c r="K35" s="81"/>
      <c r="L35" s="333">
        <v>1</v>
      </c>
      <c r="M35" s="199">
        <f ca="1">VLOOKUP($AD35,INDIRECT("'"&amp;$B35&amp;"'!"&amp;"$P$39:$AD$42"),3,FALSE)</f>
        <v>2.875</v>
      </c>
      <c r="N35" s="81"/>
      <c r="O35" s="723">
        <f ca="1">VLOOKUP($AD35,INDIRECT("'"&amp;$B35&amp;"'!"&amp;"$P$39:$AD$42"),6,FALSE)/1000</f>
        <v>6.3822660000000013</v>
      </c>
      <c r="P35" s="723">
        <f ca="1">VLOOKUP($AD35,INDIRECT("'"&amp;$B35&amp;"'!"&amp;"$P$39:$AD$42"),7,FALSE)/1000</f>
        <v>6.4814999999999994E-3</v>
      </c>
      <c r="Q35" s="81">
        <f ca="1">VLOOKUP($AD35,INDIRECT("'"&amp;$B35&amp;"'!"&amp;"$P$39:$AD$42"),8,FALSE)</f>
        <v>6.6222222222222227</v>
      </c>
      <c r="R35" s="300"/>
      <c r="S35" s="300"/>
      <c r="T35" s="300"/>
      <c r="U35" s="199">
        <f ca="1">1/M35</f>
        <v>0.34782608695652173</v>
      </c>
      <c r="V35" s="199"/>
      <c r="W35" s="298"/>
      <c r="X35" s="698">
        <f ca="1">IF(VLOOKUP($AD35,INDIRECT("'"&amp;$B35&amp;"'!"&amp;"$P$39:$AD$42"),11,FALSE)="Cf. the utilized electricity",0,VLOOKUP($AD35,INDIRECT("'"&amp;$B35&amp;"'!"&amp;"$P$39:$AD$42"),11,FALSE))</f>
        <v>0</v>
      </c>
      <c r="Y35" s="81">
        <f ca="1">VLOOKUP($AD35,INDIRECT("'"&amp;$B35&amp;"'!"&amp;"$P$39:$AD$42"),12,FALSE)</f>
        <v>0</v>
      </c>
      <c r="Z35" s="81">
        <f ca="1">VLOOKUP($AD35,INDIRECT("'"&amp;$B35&amp;"'!"&amp;"$P$39:$AD$42"),13,FALSE)</f>
        <v>0</v>
      </c>
      <c r="AA35" s="81">
        <f ca="1">VLOOKUP($AD35,INDIRECT("'"&amp;$B35&amp;"'!"&amp;"$P$39:$AD$42"),14,FALSE)</f>
        <v>0</v>
      </c>
      <c r="AB35" s="81">
        <f ca="1">VLOOKUP($AD35,INDIRECT("'"&amp;$B35&amp;"'!"&amp;"$P$39:$AD$42"),15,FALSE)</f>
        <v>0</v>
      </c>
      <c r="AD35" s="81">
        <v>2030</v>
      </c>
      <c r="AE35" s="81"/>
      <c r="AF35" s="220"/>
      <c r="AI35" s="224">
        <v>14</v>
      </c>
    </row>
    <row r="36" spans="2:36">
      <c r="B36" s="357" t="s">
        <v>1000</v>
      </c>
      <c r="D36" s="212"/>
      <c r="E36" s="212"/>
      <c r="F36" s="224" t="s">
        <v>1149</v>
      </c>
      <c r="G36" s="173" t="str">
        <f>$AI$20</f>
        <v>INDCWH</v>
      </c>
      <c r="H36" s="174"/>
      <c r="I36" s="174"/>
      <c r="K36" s="81"/>
      <c r="L36" s="333"/>
      <c r="M36" s="199"/>
      <c r="N36" s="81"/>
      <c r="O36" s="723"/>
      <c r="P36" s="723"/>
      <c r="Q36" s="81"/>
      <c r="R36" s="300"/>
      <c r="S36" s="300"/>
      <c r="T36" s="300"/>
      <c r="U36" s="199">
        <f ca="1">1-U35</f>
        <v>0.65217391304347827</v>
      </c>
      <c r="V36" s="300"/>
      <c r="W36" s="298"/>
      <c r="X36" s="698"/>
      <c r="Y36" s="81"/>
      <c r="Z36" s="81"/>
      <c r="AA36" s="81"/>
      <c r="AB36" s="81"/>
      <c r="AD36" s="81"/>
      <c r="AE36" s="81"/>
      <c r="AF36" s="220"/>
    </row>
    <row r="37" spans="2:36">
      <c r="B37" s="357" t="s">
        <v>1000</v>
      </c>
      <c r="D37" s="212"/>
      <c r="E37" s="212"/>
      <c r="F37" s="224" t="s">
        <v>1149</v>
      </c>
      <c r="G37" s="173" t="s">
        <v>499</v>
      </c>
      <c r="H37" s="174" t="str">
        <f>$AI$14</f>
        <v>ICDPH</v>
      </c>
      <c r="I37" s="174"/>
      <c r="J37" s="224">
        <f t="shared" ref="J37" si="9">AD37</f>
        <v>2050</v>
      </c>
      <c r="K37" s="81"/>
      <c r="L37" s="333">
        <v>1</v>
      </c>
      <c r="M37" s="199">
        <f ca="1">VLOOKUP($AD37,INDIRECT("'"&amp;$B37&amp;"'!"&amp;"$P$39:$AD$42"),3,FALSE)</f>
        <v>3.0249999999999999</v>
      </c>
      <c r="N37" s="81"/>
      <c r="O37" s="723">
        <f ca="1">VLOOKUP($AD37,INDIRECT("'"&amp;$B37&amp;"'!"&amp;"$P$39:$AD$42"),6,FALSE)/1000</f>
        <v>5.7365000000000004</v>
      </c>
      <c r="P37" s="723">
        <f ca="1">VLOOKUP($AD37,INDIRECT("'"&amp;$B37&amp;"'!"&amp;"$P$39:$AD$42"),7,FALSE)/1000</f>
        <v>5.3639999999999998E-3</v>
      </c>
      <c r="Q37" s="81">
        <f ca="1">VLOOKUP($AD37,INDIRECT("'"&amp;$B37&amp;"'!"&amp;"$P$39:$AD$42"),8,FALSE)</f>
        <v>6.4566666666666661</v>
      </c>
      <c r="R37" s="300"/>
      <c r="S37" s="300"/>
      <c r="T37" s="300"/>
      <c r="U37" s="199">
        <f ca="1">1/M37</f>
        <v>0.33057851239669422</v>
      </c>
      <c r="V37" s="199"/>
      <c r="W37" s="298"/>
      <c r="X37" s="698">
        <f ca="1">IF(VLOOKUP($AD37,INDIRECT("'"&amp;$B37&amp;"'!"&amp;"$P$39:$AD$42"),11,FALSE)="Cf. the utilized electricity",0,VLOOKUP($AD37,INDIRECT("'"&amp;$B37&amp;"'!"&amp;"$P$39:$AD$42"),11,FALSE))</f>
        <v>0</v>
      </c>
      <c r="Y37" s="81">
        <f ca="1">VLOOKUP($AD37,INDIRECT("'"&amp;$B37&amp;"'!"&amp;"$P$39:$AD$42"),12,FALSE)</f>
        <v>0</v>
      </c>
      <c r="Z37" s="81">
        <f ca="1">VLOOKUP($AD37,INDIRECT("'"&amp;$B37&amp;"'!"&amp;"$P$39:$AD$42"),13,FALSE)</f>
        <v>0</v>
      </c>
      <c r="AA37" s="81">
        <f ca="1">VLOOKUP($AD37,INDIRECT("'"&amp;$B37&amp;"'!"&amp;"$P$39:$AD$42"),14,FALSE)</f>
        <v>0</v>
      </c>
      <c r="AB37" s="81">
        <f ca="1">VLOOKUP($AD37,INDIRECT("'"&amp;$B37&amp;"'!"&amp;"$P$39:$AD$42"),15,FALSE)</f>
        <v>0</v>
      </c>
      <c r="AD37" s="81">
        <v>2050</v>
      </c>
      <c r="AE37" s="81"/>
      <c r="AF37" s="220"/>
    </row>
    <row r="38" spans="2:36">
      <c r="B38" s="357" t="s">
        <v>1000</v>
      </c>
      <c r="D38" s="212"/>
      <c r="E38" s="212"/>
      <c r="F38" s="224" t="s">
        <v>1149</v>
      </c>
      <c r="G38" s="173" t="str">
        <f>$AI$20</f>
        <v>INDCWH</v>
      </c>
      <c r="H38" s="174"/>
      <c r="I38" s="174"/>
      <c r="K38" s="81"/>
      <c r="L38" s="333"/>
      <c r="M38" s="199"/>
      <c r="N38" s="81"/>
      <c r="O38" s="723"/>
      <c r="P38" s="723"/>
      <c r="Q38" s="81"/>
      <c r="R38" s="300"/>
      <c r="S38" s="300"/>
      <c r="T38" s="300"/>
      <c r="U38" s="199">
        <f ca="1">1-U37</f>
        <v>0.66942148760330578</v>
      </c>
      <c r="V38" s="300"/>
      <c r="W38" s="298"/>
      <c r="X38" s="698"/>
      <c r="Y38" s="81"/>
      <c r="Z38" s="81"/>
      <c r="AA38" s="81"/>
      <c r="AB38" s="81"/>
      <c r="AD38" s="81"/>
      <c r="AE38" s="81"/>
      <c r="AF38" s="220"/>
    </row>
    <row r="39" spans="2:36">
      <c r="B39" s="357" t="s">
        <v>1000</v>
      </c>
      <c r="D39" s="212" t="str">
        <f>"IND"&amp;RIGHT(H39,4)&amp;RIGHT(G39,3)&amp;"N"&amp;RIGHT(E39,1)</f>
        <v>INDCDSHELCN3</v>
      </c>
      <c r="E39" s="261" t="str">
        <f>"Industrial heating technology "&amp;$AJ$12&amp;" "&amp;RIGHT(H39,2)&amp;" - High Temp abs. Heat pump utilizing waste heat - new 3"</f>
        <v>Industrial heating technology Chemical SH - High Temp abs. Heat pump utilizing waste heat - new 3</v>
      </c>
      <c r="F39" s="224" t="s">
        <v>1149</v>
      </c>
      <c r="G39" s="173" t="s">
        <v>499</v>
      </c>
      <c r="H39" s="174" t="str">
        <f>$AI$15</f>
        <v>ICDSH</v>
      </c>
      <c r="I39" s="174"/>
      <c r="J39" s="224">
        <f t="shared" ref="J39" si="10">AD39</f>
        <v>2020</v>
      </c>
      <c r="K39" s="81">
        <v>2020</v>
      </c>
      <c r="L39" s="333">
        <v>1</v>
      </c>
      <c r="M39" s="199">
        <f ca="1">VLOOKUP($AD39,INDIRECT("'"&amp;$B39&amp;"'!"&amp;"$P$39:$AD$42"),3,FALSE)</f>
        <v>2.75</v>
      </c>
      <c r="N39" s="81">
        <f ca="1">VLOOKUP($AD39,INDIRECT("'"&amp;$B39&amp;"'!"&amp;"$P$39:$AD$42"),5,FALSE)</f>
        <v>20</v>
      </c>
      <c r="O39" s="723">
        <f ca="1">VLOOKUP($AD39,INDIRECT("'"&amp;$B39&amp;"'!"&amp;"$P$39:$AD$42"),6,FALSE)/1000</f>
        <v>7.1394840000000004</v>
      </c>
      <c r="P39" s="723">
        <f ca="1">VLOOKUP($AD39,INDIRECT("'"&amp;$B39&amp;"'!"&amp;"$P$39:$AD$42"),7,FALSE)/1000</f>
        <v>7.2264999999999994E-3</v>
      </c>
      <c r="Q39" s="81">
        <f ca="1">VLOOKUP($AD39,INDIRECT("'"&amp;$B39&amp;"'!"&amp;"$P$39:$AD$42"),8,FALSE)</f>
        <v>6.7463888888888883</v>
      </c>
      <c r="R39" s="81">
        <v>3.1536000000000002E-2</v>
      </c>
      <c r="S39" s="199">
        <v>0.5</v>
      </c>
      <c r="T39" s="199">
        <f ca="1">HLOOKUP($T$2,INDIRECT("'"&amp;$B39&amp;"'!"&amp;"$P$6:$AC$19"),IF(H39=$AI$13,6,IF(H39=$AI$14,9,14)),FALSE)</f>
        <v>1</v>
      </c>
      <c r="U39" s="199">
        <f ca="1">1/M39</f>
        <v>0.36363636363636365</v>
      </c>
      <c r="V39" s="199"/>
      <c r="W39" s="298"/>
      <c r="X39" s="698">
        <f ca="1">IF(VLOOKUP($AD39,INDIRECT("'"&amp;$B39&amp;"'!"&amp;"$P$39:$AD$42"),11,FALSE)="Cf. the utilized electricity",0,VLOOKUP($AD39,INDIRECT("'"&amp;$B39&amp;"'!"&amp;"$P$39:$AD$42"),11,FALSE))</f>
        <v>0</v>
      </c>
      <c r="Y39" s="81">
        <f ca="1">VLOOKUP($AD39,INDIRECT("'"&amp;$B39&amp;"'!"&amp;"$P$39:$AD$42"),12,FALSE)</f>
        <v>0</v>
      </c>
      <c r="Z39" s="81">
        <f ca="1">VLOOKUP($AD39,INDIRECT("'"&amp;$B39&amp;"'!"&amp;"$P$39:$AD$42"),13,FALSE)</f>
        <v>0</v>
      </c>
      <c r="AA39" s="81">
        <f ca="1">VLOOKUP($AD39,INDIRECT("'"&amp;$B39&amp;"'!"&amp;"$P$39:$AD$42"),14,FALSE)</f>
        <v>0</v>
      </c>
      <c r="AB39" s="81">
        <f ca="1">VLOOKUP($AD39,INDIRECT("'"&amp;$B39&amp;"'!"&amp;"$P$39:$AD$42"),15,FALSE)</f>
        <v>0</v>
      </c>
      <c r="AD39" s="81">
        <v>2020</v>
      </c>
      <c r="AE39" s="81"/>
      <c r="AF39" s="220"/>
    </row>
    <row r="40" spans="2:36">
      <c r="B40" s="357" t="s">
        <v>1000</v>
      </c>
      <c r="D40" s="212"/>
      <c r="E40" s="261"/>
      <c r="F40" s="224" t="s">
        <v>1149</v>
      </c>
      <c r="G40" s="173" t="str">
        <f>$AI$20</f>
        <v>INDCWH</v>
      </c>
      <c r="H40" s="174"/>
      <c r="I40" s="174"/>
      <c r="K40" s="81"/>
      <c r="L40" s="333"/>
      <c r="M40" s="199"/>
      <c r="N40" s="81"/>
      <c r="O40" s="723"/>
      <c r="P40" s="723"/>
      <c r="Q40" s="81"/>
      <c r="R40" s="200"/>
      <c r="S40" s="772"/>
      <c r="T40" s="772"/>
      <c r="U40" s="199">
        <f ca="1">1-U39</f>
        <v>0.63636363636363635</v>
      </c>
      <c r="V40" s="772"/>
      <c r="W40" s="298"/>
      <c r="X40" s="698"/>
      <c r="Y40" s="81"/>
      <c r="Z40" s="81"/>
      <c r="AA40" s="81"/>
      <c r="AB40" s="81"/>
      <c r="AD40" s="81"/>
      <c r="AE40" s="81"/>
      <c r="AF40" s="220"/>
    </row>
    <row r="41" spans="2:36">
      <c r="B41" s="357" t="s">
        <v>1000</v>
      </c>
      <c r="D41" s="212"/>
      <c r="E41" s="212"/>
      <c r="F41" s="224" t="s">
        <v>1149</v>
      </c>
      <c r="G41" s="173" t="s">
        <v>499</v>
      </c>
      <c r="H41" s="174" t="str">
        <f>$AI$15</f>
        <v>ICDSH</v>
      </c>
      <c r="I41" s="174"/>
      <c r="J41" s="224">
        <f t="shared" ref="J41" si="11">AD41</f>
        <v>2030</v>
      </c>
      <c r="K41" s="81"/>
      <c r="L41" s="333">
        <v>1</v>
      </c>
      <c r="M41" s="199">
        <f ca="1">VLOOKUP($AD41,INDIRECT("'"&amp;$B41&amp;"'!"&amp;"$P$39:$AD$42"),3,FALSE)</f>
        <v>2.875</v>
      </c>
      <c r="N41" s="81"/>
      <c r="O41" s="723">
        <f ca="1">VLOOKUP($AD41,INDIRECT("'"&amp;$B41&amp;"'!"&amp;"$P$39:$AD$42"),6,FALSE)/1000</f>
        <v>6.3822660000000013</v>
      </c>
      <c r="P41" s="723">
        <f ca="1">VLOOKUP($AD41,INDIRECT("'"&amp;$B41&amp;"'!"&amp;"$P$39:$AD$42"),7,FALSE)/1000</f>
        <v>6.4814999999999994E-3</v>
      </c>
      <c r="Q41" s="81">
        <f ca="1">VLOOKUP($AD41,INDIRECT("'"&amp;$B41&amp;"'!"&amp;"$P$39:$AD$42"),8,FALSE)</f>
        <v>6.6222222222222227</v>
      </c>
      <c r="R41" s="300"/>
      <c r="S41" s="300"/>
      <c r="T41" s="300"/>
      <c r="U41" s="199">
        <f ca="1">1/M41</f>
        <v>0.34782608695652173</v>
      </c>
      <c r="V41" s="199"/>
      <c r="W41" s="298"/>
      <c r="X41" s="698">
        <f ca="1">IF(VLOOKUP($AD41,INDIRECT("'"&amp;$B41&amp;"'!"&amp;"$P$39:$AD$42"),11,FALSE)="Cf. the utilized electricity",0,VLOOKUP($AD41,INDIRECT("'"&amp;$B41&amp;"'!"&amp;"$P$39:$AD$42"),11,FALSE))</f>
        <v>0</v>
      </c>
      <c r="Y41" s="81">
        <f ca="1">VLOOKUP($AD41,INDIRECT("'"&amp;$B41&amp;"'!"&amp;"$P$39:$AD$42"),12,FALSE)</f>
        <v>0</v>
      </c>
      <c r="Z41" s="81">
        <f ca="1">VLOOKUP($AD41,INDIRECT("'"&amp;$B41&amp;"'!"&amp;"$P$39:$AD$42"),13,FALSE)</f>
        <v>0</v>
      </c>
      <c r="AA41" s="81">
        <f ca="1">VLOOKUP($AD41,INDIRECT("'"&amp;$B41&amp;"'!"&amp;"$P$39:$AD$42"),14,FALSE)</f>
        <v>0</v>
      </c>
      <c r="AB41" s="81">
        <f ca="1">VLOOKUP($AD41,INDIRECT("'"&amp;$B41&amp;"'!"&amp;"$P$39:$AD$42"),15,FALSE)</f>
        <v>0</v>
      </c>
      <c r="AD41" s="81">
        <v>2030</v>
      </c>
      <c r="AE41" s="81"/>
      <c r="AF41" s="220"/>
    </row>
    <row r="42" spans="2:36">
      <c r="B42" s="357" t="s">
        <v>1000</v>
      </c>
      <c r="D42" s="212"/>
      <c r="E42" s="212"/>
      <c r="F42" s="224" t="s">
        <v>1149</v>
      </c>
      <c r="G42" s="173" t="str">
        <f>$AI$20</f>
        <v>INDCWH</v>
      </c>
      <c r="H42" s="174"/>
      <c r="I42" s="174"/>
      <c r="K42" s="81"/>
      <c r="L42" s="333"/>
      <c r="M42" s="199"/>
      <c r="N42" s="81"/>
      <c r="O42" s="723"/>
      <c r="P42" s="723"/>
      <c r="Q42" s="81"/>
      <c r="R42" s="300"/>
      <c r="S42" s="300"/>
      <c r="T42" s="300"/>
      <c r="U42" s="199">
        <f ca="1">1-U41</f>
        <v>0.65217391304347827</v>
      </c>
      <c r="V42" s="300"/>
      <c r="W42" s="298"/>
      <c r="X42" s="698"/>
      <c r="Y42" s="81"/>
      <c r="Z42" s="81"/>
      <c r="AA42" s="81"/>
      <c r="AB42" s="81"/>
      <c r="AD42" s="81"/>
      <c r="AE42" s="81"/>
      <c r="AF42" s="220"/>
    </row>
    <row r="43" spans="2:36">
      <c r="B43" s="357" t="s">
        <v>1000</v>
      </c>
      <c r="D43" s="212"/>
      <c r="E43" s="212"/>
      <c r="F43" s="224" t="s">
        <v>1149</v>
      </c>
      <c r="G43" s="173" t="s">
        <v>499</v>
      </c>
      <c r="H43" s="174" t="str">
        <f>$AI$15</f>
        <v>ICDSH</v>
      </c>
      <c r="I43" s="174"/>
      <c r="J43" s="224">
        <f t="shared" ref="J43" si="12">AD43</f>
        <v>2050</v>
      </c>
      <c r="K43" s="81"/>
      <c r="L43" s="333">
        <v>1</v>
      </c>
      <c r="M43" s="199">
        <f ca="1">VLOOKUP($AD43,INDIRECT("'"&amp;$B43&amp;"'!"&amp;"$P$39:$AD$42"),3,FALSE)</f>
        <v>3.0249999999999999</v>
      </c>
      <c r="N43" s="81"/>
      <c r="O43" s="723">
        <f ca="1">VLOOKUP($AD43,INDIRECT("'"&amp;$B43&amp;"'!"&amp;"$P$39:$AD$42"),6,FALSE)/1000</f>
        <v>5.7365000000000004</v>
      </c>
      <c r="P43" s="723">
        <f ca="1">VLOOKUP($AD43,INDIRECT("'"&amp;$B43&amp;"'!"&amp;"$P$39:$AD$42"),7,FALSE)/1000</f>
        <v>5.3639999999999998E-3</v>
      </c>
      <c r="Q43" s="81">
        <f ca="1">VLOOKUP($AD43,INDIRECT("'"&amp;$B43&amp;"'!"&amp;"$P$39:$AD$42"),8,FALSE)</f>
        <v>6.4566666666666661</v>
      </c>
      <c r="R43" s="300"/>
      <c r="S43" s="300"/>
      <c r="T43" s="300"/>
      <c r="U43" s="199">
        <f ca="1">1/M43</f>
        <v>0.33057851239669422</v>
      </c>
      <c r="V43" s="199"/>
      <c r="W43" s="298"/>
      <c r="X43" s="698">
        <f ca="1">IF(VLOOKUP($AD43,INDIRECT("'"&amp;$B43&amp;"'!"&amp;"$P$39:$AD$42"),11,FALSE)="Cf. the utilized electricity",0,VLOOKUP($AD43,INDIRECT("'"&amp;$B43&amp;"'!"&amp;"$P$39:$AD$42"),11,FALSE))</f>
        <v>0</v>
      </c>
      <c r="Y43" s="81">
        <f ca="1">VLOOKUP($AD43,INDIRECT("'"&amp;$B43&amp;"'!"&amp;"$P$39:$AD$42"),12,FALSE)</f>
        <v>0</v>
      </c>
      <c r="Z43" s="81">
        <f ca="1">VLOOKUP($AD43,INDIRECT("'"&amp;$B43&amp;"'!"&amp;"$P$39:$AD$42"),13,FALSE)</f>
        <v>0</v>
      </c>
      <c r="AA43" s="81">
        <f ca="1">VLOOKUP($AD43,INDIRECT("'"&amp;$B43&amp;"'!"&amp;"$P$39:$AD$42"),14,FALSE)</f>
        <v>0</v>
      </c>
      <c r="AB43" s="81">
        <f ca="1">VLOOKUP($AD43,INDIRECT("'"&amp;$B43&amp;"'!"&amp;"$P$39:$AD$42"),15,FALSE)</f>
        <v>0</v>
      </c>
      <c r="AD43" s="81">
        <v>2050</v>
      </c>
      <c r="AE43" s="81"/>
      <c r="AF43" s="220"/>
    </row>
    <row r="44" spans="2:36">
      <c r="B44" s="357" t="s">
        <v>1000</v>
      </c>
      <c r="D44" s="212"/>
      <c r="E44" s="212"/>
      <c r="F44" s="224" t="s">
        <v>1149</v>
      </c>
      <c r="G44" s="173" t="str">
        <f>$AI$20</f>
        <v>INDCWH</v>
      </c>
      <c r="H44" s="174"/>
      <c r="I44" s="174"/>
      <c r="K44" s="81"/>
      <c r="L44" s="333"/>
      <c r="M44" s="199"/>
      <c r="N44" s="81"/>
      <c r="O44" s="723"/>
      <c r="P44" s="723"/>
      <c r="Q44" s="81"/>
      <c r="R44" s="300"/>
      <c r="S44" s="300"/>
      <c r="T44" s="300"/>
      <c r="U44" s="199">
        <f ca="1">1-U43</f>
        <v>0.66942148760330578</v>
      </c>
      <c r="V44" s="300"/>
      <c r="W44" s="298"/>
      <c r="X44" s="698"/>
      <c r="Y44" s="81"/>
      <c r="Z44" s="81"/>
      <c r="AA44" s="81"/>
      <c r="AB44" s="81"/>
      <c r="AD44" s="81"/>
      <c r="AE44" s="81"/>
      <c r="AF44" s="220"/>
    </row>
    <row r="45" spans="2:36">
      <c r="B45" s="357" t="s">
        <v>1001</v>
      </c>
      <c r="D45" s="212" t="str">
        <f>"IND"&amp;RIGHT(H45,4)&amp;RIGHT(G45,3)&amp;"N"&amp;RIGHT(E45,1)</f>
        <v>INDCDPHELCN4</v>
      </c>
      <c r="E45" s="261" t="str">
        <f>"Industrial heating technology "&amp;$AJ$12&amp;" "&amp;RIGHT(H45,2)&amp;" - Booster Heat pump utilizing waste heat - new 4"</f>
        <v>Industrial heating technology Chemical PH - Booster Heat pump utilizing waste heat - new 4</v>
      </c>
      <c r="F45" s="224" t="s">
        <v>1149</v>
      </c>
      <c r="G45" s="173" t="s">
        <v>499</v>
      </c>
      <c r="H45" s="174" t="str">
        <f>$AI$14</f>
        <v>ICDPH</v>
      </c>
      <c r="I45" s="174"/>
      <c r="J45" s="224">
        <f t="shared" ref="J45" si="13">AD45</f>
        <v>2020</v>
      </c>
      <c r="K45" s="81">
        <v>2020</v>
      </c>
      <c r="L45" s="333">
        <v>1</v>
      </c>
      <c r="M45" s="199">
        <f ca="1">VLOOKUP($AD45,INDIRECT("'"&amp;$B45&amp;"'!"&amp;"$P$39:$AD$42"),3,FALSE)</f>
        <v>1.93</v>
      </c>
      <c r="N45" s="81">
        <f ca="1">VLOOKUP($AD45,INDIRECT("'"&amp;$B45&amp;"'!"&amp;"$P$39:$AD$42"),5,FALSE)</f>
        <v>20</v>
      </c>
      <c r="O45" s="723">
        <f ca="1">VLOOKUP($AD45,INDIRECT("'"&amp;$B45&amp;"'!"&amp;"$P$39:$AD$42"),6,FALSE)/1000</f>
        <v>12.158890687341184</v>
      </c>
      <c r="P45" s="723">
        <f ca="1">VLOOKUP($AD45,INDIRECT("'"&amp;$B45&amp;"'!"&amp;"$P$39:$AD$42"),7,FALSE)/1000</f>
        <v>1.49E-2</v>
      </c>
      <c r="Q45" s="81">
        <f ca="1">VLOOKUP($AD45,INDIRECT("'"&amp;$B45&amp;"'!"&amp;"$P$39:$AD$42"),8,FALSE)</f>
        <v>7.1188888888888897</v>
      </c>
      <c r="R45" s="81">
        <v>3.1536000000000002E-2</v>
      </c>
      <c r="S45" s="199">
        <v>0.5</v>
      </c>
      <c r="T45" s="199">
        <f ca="1">HLOOKUP($T$2,INDIRECT("'"&amp;$B45&amp;"'!"&amp;"$P$6:$AC$19"),IF(H45=$AI$13,6,IF(H45=$AI$14,9,14)),FALSE)-T9</f>
        <v>0</v>
      </c>
      <c r="U45" s="199">
        <f ca="1">1/M45</f>
        <v>0.5181347150259068</v>
      </c>
      <c r="V45" s="199"/>
      <c r="W45" s="298"/>
      <c r="X45" s="698">
        <f ca="1">IF(VLOOKUP($AD45,INDIRECT("'"&amp;$B45&amp;"'!"&amp;"$P$39:$AD$42"),11,FALSE)="Cf. the utilized electricity",0,VLOOKUP($AD45,INDIRECT("'"&amp;$B45&amp;"'!"&amp;"$P$39:$AD$42"),11,FALSE))</f>
        <v>0</v>
      </c>
      <c r="Y45" s="81">
        <f ca="1">VLOOKUP($AD45,INDIRECT("'"&amp;$B45&amp;"'!"&amp;"$P$39:$AD$42"),12,FALSE)</f>
        <v>0</v>
      </c>
      <c r="Z45" s="81">
        <f ca="1">VLOOKUP($AD45,INDIRECT("'"&amp;$B45&amp;"'!"&amp;"$P$39:$AD$42"),13,FALSE)</f>
        <v>0</v>
      </c>
      <c r="AA45" s="81">
        <f ca="1">VLOOKUP($AD45,INDIRECT("'"&amp;$B45&amp;"'!"&amp;"$P$39:$AD$42"),14,FALSE)</f>
        <v>0</v>
      </c>
      <c r="AB45" s="81">
        <f ca="1">VLOOKUP($AD45,INDIRECT("'"&amp;$B45&amp;"'!"&amp;"$P$39:$AD$42"),15,FALSE)</f>
        <v>0</v>
      </c>
      <c r="AD45" s="81">
        <v>2020</v>
      </c>
      <c r="AE45" s="81"/>
      <c r="AF45" s="220"/>
    </row>
    <row r="46" spans="2:36">
      <c r="B46" s="357" t="s">
        <v>1001</v>
      </c>
      <c r="D46" s="212"/>
      <c r="E46" s="261"/>
      <c r="F46" s="224" t="s">
        <v>1149</v>
      </c>
      <c r="G46" s="173" t="str">
        <f>$AI$20</f>
        <v>INDCWH</v>
      </c>
      <c r="H46" s="174"/>
      <c r="I46" s="174"/>
      <c r="K46" s="81"/>
      <c r="L46" s="333"/>
      <c r="M46" s="199"/>
      <c r="N46" s="81"/>
      <c r="O46" s="723"/>
      <c r="P46" s="723"/>
      <c r="Q46" s="81"/>
      <c r="R46" s="200"/>
      <c r="S46" s="772"/>
      <c r="T46" s="772"/>
      <c r="U46" s="199">
        <f ca="1">1-U45</f>
        <v>0.4818652849740932</v>
      </c>
      <c r="V46" s="772"/>
      <c r="W46" s="298"/>
      <c r="X46" s="698"/>
      <c r="Y46" s="81"/>
      <c r="Z46" s="81"/>
      <c r="AA46" s="81"/>
      <c r="AB46" s="81"/>
      <c r="AD46" s="81"/>
      <c r="AE46" s="81"/>
      <c r="AF46" s="220"/>
    </row>
    <row r="47" spans="2:36">
      <c r="B47" s="357" t="s">
        <v>1001</v>
      </c>
      <c r="D47" s="212"/>
      <c r="E47" s="212"/>
      <c r="F47" s="224" t="s">
        <v>1149</v>
      </c>
      <c r="G47" s="173" t="s">
        <v>499</v>
      </c>
      <c r="H47" s="174" t="str">
        <f>$AI$14</f>
        <v>ICDPH</v>
      </c>
      <c r="I47" s="174"/>
      <c r="J47" s="224">
        <f t="shared" ref="J47" si="14">AD47</f>
        <v>2030</v>
      </c>
      <c r="K47" s="81"/>
      <c r="L47" s="333">
        <v>1</v>
      </c>
      <c r="M47" s="199">
        <f ca="1">VLOOKUP($AD47,INDIRECT("'"&amp;$B47&amp;"'!"&amp;"$P$39:$AD$42"),3,FALSE)</f>
        <v>1.9894000000000001</v>
      </c>
      <c r="N47" s="81"/>
      <c r="O47" s="723">
        <f ca="1">VLOOKUP($AD47,INDIRECT("'"&amp;$B47&amp;"'!"&amp;"$P$39:$AD$42"),6,FALSE)/1000</f>
        <v>9.8570539139933757</v>
      </c>
      <c r="P47" s="723">
        <f ca="1">VLOOKUP($AD47,INDIRECT("'"&amp;$B47&amp;"'!"&amp;"$P$39:$AD$42"),7,FALSE)/1000</f>
        <v>1.49E-2</v>
      </c>
      <c r="Q47" s="81">
        <f ca="1">VLOOKUP($AD47,INDIRECT("'"&amp;$B47&amp;"'!"&amp;"$P$39:$AD$42"),8,FALSE)</f>
        <v>6.9740277777777777</v>
      </c>
      <c r="R47" s="300"/>
      <c r="S47" s="300"/>
      <c r="T47" s="300"/>
      <c r="U47" s="199">
        <f ca="1">1/M47</f>
        <v>0.50266411983512616</v>
      </c>
      <c r="V47" s="199"/>
      <c r="W47" s="298"/>
      <c r="X47" s="698">
        <f ca="1">IF(VLOOKUP($AD47,INDIRECT("'"&amp;$B47&amp;"'!"&amp;"$P$39:$AD$42"),11,FALSE)="Cf. the utilized electricity",0,VLOOKUP($AD47,INDIRECT("'"&amp;$B47&amp;"'!"&amp;"$P$39:$AD$42"),11,FALSE))</f>
        <v>0</v>
      </c>
      <c r="Y47" s="81">
        <f ca="1">VLOOKUP($AD47,INDIRECT("'"&amp;$B47&amp;"'!"&amp;"$P$39:$AD$42"),12,FALSE)</f>
        <v>0</v>
      </c>
      <c r="Z47" s="81">
        <f ca="1">VLOOKUP($AD47,INDIRECT("'"&amp;$B47&amp;"'!"&amp;"$P$39:$AD$42"),13,FALSE)</f>
        <v>0</v>
      </c>
      <c r="AA47" s="81">
        <f ca="1">VLOOKUP($AD47,INDIRECT("'"&amp;$B47&amp;"'!"&amp;"$P$39:$AD$42"),14,FALSE)</f>
        <v>0</v>
      </c>
      <c r="AB47" s="81">
        <f ca="1">VLOOKUP($AD47,INDIRECT("'"&amp;$B47&amp;"'!"&amp;"$P$39:$AD$42"),15,FALSE)</f>
        <v>0</v>
      </c>
      <c r="AD47" s="81">
        <v>2030</v>
      </c>
      <c r="AE47" s="81"/>
      <c r="AF47" s="220"/>
    </row>
    <row r="48" spans="2:36">
      <c r="B48" s="357" t="s">
        <v>1001</v>
      </c>
      <c r="D48" s="212"/>
      <c r="E48" s="212"/>
      <c r="F48" s="224" t="s">
        <v>1149</v>
      </c>
      <c r="G48" s="173" t="str">
        <f>$AI$20</f>
        <v>INDCWH</v>
      </c>
      <c r="H48" s="174"/>
      <c r="I48" s="174"/>
      <c r="K48" s="81"/>
      <c r="L48" s="333"/>
      <c r="M48" s="199"/>
      <c r="N48" s="81"/>
      <c r="O48" s="723"/>
      <c r="P48" s="723"/>
      <c r="Q48" s="81"/>
      <c r="R48" s="300"/>
      <c r="S48" s="300"/>
      <c r="T48" s="300"/>
      <c r="U48" s="199">
        <f ca="1">1-U47</f>
        <v>0.49733588016487384</v>
      </c>
      <c r="V48" s="300"/>
      <c r="W48" s="298"/>
      <c r="X48" s="698"/>
      <c r="Y48" s="81"/>
      <c r="Z48" s="81"/>
      <c r="AA48" s="81"/>
      <c r="AB48" s="81"/>
      <c r="AD48" s="81"/>
      <c r="AE48" s="81"/>
      <c r="AF48" s="220"/>
    </row>
    <row r="49" spans="2:32">
      <c r="B49" s="357" t="s">
        <v>1001</v>
      </c>
      <c r="D49" s="212"/>
      <c r="E49" s="212"/>
      <c r="F49" s="224" t="s">
        <v>1149</v>
      </c>
      <c r="G49" s="173" t="s">
        <v>499</v>
      </c>
      <c r="H49" s="174" t="str">
        <f>$AI$14</f>
        <v>ICDPH</v>
      </c>
      <c r="I49" s="174"/>
      <c r="J49" s="224">
        <f t="shared" ref="J49" si="15">AD49</f>
        <v>2050</v>
      </c>
      <c r="K49" s="81"/>
      <c r="L49" s="333">
        <v>1</v>
      </c>
      <c r="M49" s="199">
        <f ca="1">VLOOKUP($AD49,INDIRECT("'"&amp;$B49&amp;"'!"&amp;"$P$39:$AD$42"),3,FALSE)</f>
        <v>2.0509898799999999</v>
      </c>
      <c r="N49" s="81"/>
      <c r="O49" s="723">
        <f ca="1">VLOOKUP($AD49,INDIRECT("'"&amp;$B49&amp;"'!"&amp;"$P$39:$AD$42"),6,FALSE)/1000</f>
        <v>6.955935359434223</v>
      </c>
      <c r="P49" s="723">
        <f ca="1">VLOOKUP($AD49,INDIRECT("'"&amp;$B49&amp;"'!"&amp;"$P$39:$AD$42"),7,FALSE)/1000</f>
        <v>1.49E-2</v>
      </c>
      <c r="Q49" s="81">
        <f ca="1">VLOOKUP($AD49,INDIRECT("'"&amp;$B49&amp;"'!"&amp;"$P$39:$AD$42"),8,FALSE)</f>
        <v>6.7877777777777784</v>
      </c>
      <c r="R49" s="300"/>
      <c r="S49" s="300"/>
      <c r="T49" s="300"/>
      <c r="U49" s="199">
        <f ca="1">1/M49</f>
        <v>0.48756944622271858</v>
      </c>
      <c r="V49" s="199"/>
      <c r="W49" s="298"/>
      <c r="X49" s="698">
        <f ca="1">IF(VLOOKUP($AD49,INDIRECT("'"&amp;$B49&amp;"'!"&amp;"$P$39:$AD$42"),11,FALSE)="Cf. the utilized electricity",0,VLOOKUP($AD49,INDIRECT("'"&amp;$B49&amp;"'!"&amp;"$P$39:$AD$42"),11,FALSE))</f>
        <v>0</v>
      </c>
      <c r="Y49" s="81">
        <f ca="1">VLOOKUP($AD49,INDIRECT("'"&amp;$B49&amp;"'!"&amp;"$P$39:$AD$42"),12,FALSE)</f>
        <v>0</v>
      </c>
      <c r="Z49" s="81">
        <f ca="1">VLOOKUP($AD49,INDIRECT("'"&amp;$B49&amp;"'!"&amp;"$P$39:$AD$42"),13,FALSE)</f>
        <v>0</v>
      </c>
      <c r="AA49" s="81">
        <f ca="1">VLOOKUP($AD49,INDIRECT("'"&amp;$B49&amp;"'!"&amp;"$P$39:$AD$42"),14,FALSE)</f>
        <v>0</v>
      </c>
      <c r="AB49" s="81">
        <f ca="1">VLOOKUP($AD49,INDIRECT("'"&amp;$B49&amp;"'!"&amp;"$P$39:$AD$42"),15,FALSE)</f>
        <v>0</v>
      </c>
      <c r="AD49" s="81">
        <v>2050</v>
      </c>
      <c r="AE49" s="81"/>
      <c r="AF49" s="220"/>
    </row>
    <row r="50" spans="2:32">
      <c r="B50" s="357" t="s">
        <v>1001</v>
      </c>
      <c r="D50" s="212"/>
      <c r="E50" s="212"/>
      <c r="F50" s="224" t="s">
        <v>1149</v>
      </c>
      <c r="G50" s="173" t="str">
        <f>$AI$20</f>
        <v>INDCWH</v>
      </c>
      <c r="H50" s="174"/>
      <c r="I50" s="174"/>
      <c r="K50" s="81"/>
      <c r="L50" s="333"/>
      <c r="M50" s="199"/>
      <c r="N50" s="81"/>
      <c r="O50" s="723"/>
      <c r="P50" s="723"/>
      <c r="Q50" s="81"/>
      <c r="R50" s="300"/>
      <c r="S50" s="300"/>
      <c r="T50" s="300"/>
      <c r="U50" s="199">
        <f ca="1">1-U49</f>
        <v>0.51243055377728142</v>
      </c>
      <c r="V50" s="300"/>
      <c r="W50" s="298"/>
      <c r="X50" s="698"/>
      <c r="Y50" s="81"/>
      <c r="Z50" s="81"/>
      <c r="AA50" s="81"/>
      <c r="AB50" s="81"/>
      <c r="AD50" s="81"/>
      <c r="AE50" s="81"/>
      <c r="AF50" s="220"/>
    </row>
    <row r="51" spans="2:32">
      <c r="B51" s="357" t="s">
        <v>1001</v>
      </c>
      <c r="D51" s="212" t="str">
        <f>"IND"&amp;RIGHT(H51,4)&amp;RIGHT(G51,3)&amp;"N"&amp;RIGHT(E51,1)</f>
        <v>INDCDSHELCN4</v>
      </c>
      <c r="E51" s="261" t="str">
        <f>"Industrial heating technology "&amp;$AJ$12&amp;" "&amp;RIGHT(H51,2)&amp;" - Booster Heat pump utilizing waste heat - new 4"</f>
        <v>Industrial heating technology Chemical SH - Booster Heat pump utilizing waste heat - new 4</v>
      </c>
      <c r="F51" s="224" t="s">
        <v>1149</v>
      </c>
      <c r="G51" s="173" t="s">
        <v>499</v>
      </c>
      <c r="H51" s="174" t="str">
        <f>$AI$15</f>
        <v>ICDSH</v>
      </c>
      <c r="I51" s="174"/>
      <c r="J51" s="224">
        <f t="shared" ref="J51" si="16">AD51</f>
        <v>2020</v>
      </c>
      <c r="K51" s="81">
        <v>2020</v>
      </c>
      <c r="L51" s="333">
        <v>1</v>
      </c>
      <c r="M51" s="199">
        <f ca="1">VLOOKUP($AD51,INDIRECT("'"&amp;$B51&amp;"'!"&amp;"$P$39:$AD$42"),3,FALSE)</f>
        <v>1.93</v>
      </c>
      <c r="N51" s="81">
        <f ca="1">VLOOKUP($AD51,INDIRECT("'"&amp;$B51&amp;"'!"&amp;"$P$39:$AD$42"),5,FALSE)</f>
        <v>20</v>
      </c>
      <c r="O51" s="723">
        <f ca="1">VLOOKUP($AD51,INDIRECT("'"&amp;$B51&amp;"'!"&amp;"$P$39:$AD$42"),6,FALSE)/1000</f>
        <v>12.158890687341184</v>
      </c>
      <c r="P51" s="723">
        <f ca="1">VLOOKUP($AD51,INDIRECT("'"&amp;$B51&amp;"'!"&amp;"$P$39:$AD$42"),7,FALSE)/1000</f>
        <v>1.49E-2</v>
      </c>
      <c r="Q51" s="81">
        <f ca="1">VLOOKUP($AD51,INDIRECT("'"&amp;$B51&amp;"'!"&amp;"$P$39:$AD$42"),8,FALSE)</f>
        <v>7.1188888888888897</v>
      </c>
      <c r="R51" s="81">
        <v>3.1536000000000002E-2</v>
      </c>
      <c r="S51" s="199">
        <v>0.5</v>
      </c>
      <c r="T51" s="199">
        <f ca="1">HLOOKUP($T$2,INDIRECT("'"&amp;$B51&amp;"'!"&amp;"$P$6:$AC$19"),IF(H51=$AI$13,6,IF(H51=$AI$14,9,14)),FALSE)</f>
        <v>1</v>
      </c>
      <c r="U51" s="199">
        <f ca="1">1/M51</f>
        <v>0.5181347150259068</v>
      </c>
      <c r="V51" s="199"/>
      <c r="W51" s="298"/>
      <c r="X51" s="698">
        <f ca="1">IF(VLOOKUP($AD51,INDIRECT("'"&amp;$B51&amp;"'!"&amp;"$P$39:$AD$42"),11,FALSE)="Cf. the utilized electricity",0,VLOOKUP($AD51,INDIRECT("'"&amp;$B51&amp;"'!"&amp;"$P$39:$AD$42"),11,FALSE))</f>
        <v>0</v>
      </c>
      <c r="Y51" s="81">
        <f ca="1">VLOOKUP($AD51,INDIRECT("'"&amp;$B51&amp;"'!"&amp;"$P$39:$AD$42"),12,FALSE)</f>
        <v>0</v>
      </c>
      <c r="Z51" s="81">
        <f ca="1">VLOOKUP($AD51,INDIRECT("'"&amp;$B51&amp;"'!"&amp;"$P$39:$AD$42"),13,FALSE)</f>
        <v>0</v>
      </c>
      <c r="AA51" s="81">
        <f ca="1">VLOOKUP($AD51,INDIRECT("'"&amp;$B51&amp;"'!"&amp;"$P$39:$AD$42"),14,FALSE)</f>
        <v>0</v>
      </c>
      <c r="AB51" s="81">
        <f ca="1">VLOOKUP($AD51,INDIRECT("'"&amp;$B51&amp;"'!"&amp;"$P$39:$AD$42"),15,FALSE)</f>
        <v>0</v>
      </c>
      <c r="AD51" s="81">
        <v>2020</v>
      </c>
      <c r="AE51" s="81"/>
      <c r="AF51" s="220"/>
    </row>
    <row r="52" spans="2:32">
      <c r="B52" s="357" t="s">
        <v>1001</v>
      </c>
      <c r="D52" s="212"/>
      <c r="E52" s="261"/>
      <c r="F52" s="224" t="s">
        <v>1149</v>
      </c>
      <c r="G52" s="173" t="str">
        <f>$AI$20</f>
        <v>INDCWH</v>
      </c>
      <c r="H52" s="174"/>
      <c r="I52" s="174"/>
      <c r="K52" s="81"/>
      <c r="L52" s="333"/>
      <c r="M52" s="199"/>
      <c r="N52" s="81"/>
      <c r="O52" s="723"/>
      <c r="P52" s="723"/>
      <c r="Q52" s="81"/>
      <c r="R52" s="200"/>
      <c r="S52" s="772"/>
      <c r="T52" s="772"/>
      <c r="U52" s="199">
        <f ca="1">1-U51</f>
        <v>0.4818652849740932</v>
      </c>
      <c r="V52" s="772"/>
      <c r="W52" s="298"/>
      <c r="X52" s="698"/>
      <c r="Y52" s="81"/>
      <c r="Z52" s="81"/>
      <c r="AA52" s="81"/>
      <c r="AB52" s="81"/>
      <c r="AD52" s="81"/>
      <c r="AE52" s="81"/>
      <c r="AF52" s="220"/>
    </row>
    <row r="53" spans="2:32">
      <c r="B53" s="357" t="s">
        <v>1001</v>
      </c>
      <c r="D53" s="212"/>
      <c r="E53" s="212"/>
      <c r="F53" s="224" t="s">
        <v>1149</v>
      </c>
      <c r="G53" s="173" t="s">
        <v>499</v>
      </c>
      <c r="H53" s="174" t="str">
        <f>$AI$15</f>
        <v>ICDSH</v>
      </c>
      <c r="I53" s="174"/>
      <c r="J53" s="224">
        <f t="shared" ref="J53" si="17">AD53</f>
        <v>2030</v>
      </c>
      <c r="K53" s="81"/>
      <c r="L53" s="333">
        <v>1</v>
      </c>
      <c r="M53" s="199">
        <f ca="1">VLOOKUP($AD53,INDIRECT("'"&amp;$B53&amp;"'!"&amp;"$P$39:$AD$42"),3,FALSE)</f>
        <v>1.9894000000000001</v>
      </c>
      <c r="N53" s="81"/>
      <c r="O53" s="723">
        <f ca="1">VLOOKUP($AD53,INDIRECT("'"&amp;$B53&amp;"'!"&amp;"$P$39:$AD$42"),6,FALSE)/1000</f>
        <v>9.8570539139933757</v>
      </c>
      <c r="P53" s="723">
        <f ca="1">VLOOKUP($AD53,INDIRECT("'"&amp;$B53&amp;"'!"&amp;"$P$39:$AD$42"),7,FALSE)/1000</f>
        <v>1.49E-2</v>
      </c>
      <c r="Q53" s="81">
        <f ca="1">VLOOKUP($AD53,INDIRECT("'"&amp;$B53&amp;"'!"&amp;"$P$39:$AD$42"),8,FALSE)</f>
        <v>6.9740277777777777</v>
      </c>
      <c r="R53" s="300"/>
      <c r="S53" s="300"/>
      <c r="T53" s="300"/>
      <c r="U53" s="199">
        <f ca="1">1/M53</f>
        <v>0.50266411983512616</v>
      </c>
      <c r="V53" s="199"/>
      <c r="W53" s="298"/>
      <c r="X53" s="698">
        <f ca="1">IF(VLOOKUP($AD53,INDIRECT("'"&amp;$B53&amp;"'!"&amp;"$P$39:$AD$42"),11,FALSE)="Cf. the utilized electricity",0,VLOOKUP($AD53,INDIRECT("'"&amp;$B53&amp;"'!"&amp;"$P$39:$AD$42"),11,FALSE))</f>
        <v>0</v>
      </c>
      <c r="Y53" s="81">
        <f ca="1">VLOOKUP($AD53,INDIRECT("'"&amp;$B53&amp;"'!"&amp;"$P$39:$AD$42"),12,FALSE)</f>
        <v>0</v>
      </c>
      <c r="Z53" s="81">
        <f ca="1">VLOOKUP($AD53,INDIRECT("'"&amp;$B53&amp;"'!"&amp;"$P$39:$AD$42"),13,FALSE)</f>
        <v>0</v>
      </c>
      <c r="AA53" s="81">
        <f ca="1">VLOOKUP($AD53,INDIRECT("'"&amp;$B53&amp;"'!"&amp;"$P$39:$AD$42"),14,FALSE)</f>
        <v>0</v>
      </c>
      <c r="AB53" s="81">
        <f ca="1">VLOOKUP($AD53,INDIRECT("'"&amp;$B53&amp;"'!"&amp;"$P$39:$AD$42"),15,FALSE)</f>
        <v>0</v>
      </c>
      <c r="AD53" s="81">
        <v>2030</v>
      </c>
      <c r="AE53" s="81"/>
      <c r="AF53" s="220"/>
    </row>
    <row r="54" spans="2:32">
      <c r="B54" s="357" t="s">
        <v>1001</v>
      </c>
      <c r="D54" s="212"/>
      <c r="E54" s="212"/>
      <c r="F54" s="224" t="s">
        <v>1149</v>
      </c>
      <c r="G54" s="173" t="str">
        <f>$AI$20</f>
        <v>INDCWH</v>
      </c>
      <c r="H54" s="174"/>
      <c r="I54" s="174"/>
      <c r="K54" s="81"/>
      <c r="L54" s="333"/>
      <c r="M54" s="199"/>
      <c r="N54" s="81"/>
      <c r="O54" s="723"/>
      <c r="P54" s="723"/>
      <c r="Q54" s="81"/>
      <c r="R54" s="300"/>
      <c r="S54" s="300"/>
      <c r="T54" s="300"/>
      <c r="U54" s="199">
        <f ca="1">1-U53</f>
        <v>0.49733588016487384</v>
      </c>
      <c r="V54" s="300"/>
      <c r="W54" s="298"/>
      <c r="X54" s="698"/>
      <c r="Y54" s="81"/>
      <c r="Z54" s="81"/>
      <c r="AA54" s="81"/>
      <c r="AB54" s="81"/>
      <c r="AD54" s="81"/>
      <c r="AE54" s="81"/>
      <c r="AF54" s="220"/>
    </row>
    <row r="55" spans="2:32">
      <c r="B55" s="357" t="s">
        <v>1001</v>
      </c>
      <c r="D55" s="212"/>
      <c r="E55" s="212"/>
      <c r="F55" s="224" t="s">
        <v>1149</v>
      </c>
      <c r="G55" s="173" t="s">
        <v>499</v>
      </c>
      <c r="H55" s="174" t="str">
        <f>$AI$15</f>
        <v>ICDSH</v>
      </c>
      <c r="I55" s="174"/>
      <c r="J55" s="224">
        <f t="shared" ref="J55" si="18">AD55</f>
        <v>2050</v>
      </c>
      <c r="K55" s="81"/>
      <c r="L55" s="333">
        <v>1</v>
      </c>
      <c r="M55" s="199">
        <f ca="1">VLOOKUP($AD55,INDIRECT("'"&amp;$B55&amp;"'!"&amp;"$P$39:$AD$42"),3,FALSE)</f>
        <v>2.0509898799999999</v>
      </c>
      <c r="N55" s="81"/>
      <c r="O55" s="723">
        <f ca="1">VLOOKUP($AD55,INDIRECT("'"&amp;$B55&amp;"'!"&amp;"$P$39:$AD$42"),6,FALSE)/1000</f>
        <v>6.955935359434223</v>
      </c>
      <c r="P55" s="723">
        <f ca="1">VLOOKUP($AD55,INDIRECT("'"&amp;$B55&amp;"'!"&amp;"$P$39:$AD$42"),7,FALSE)/1000</f>
        <v>1.49E-2</v>
      </c>
      <c r="Q55" s="81">
        <f ca="1">VLOOKUP($AD55,INDIRECT("'"&amp;$B55&amp;"'!"&amp;"$P$39:$AD$42"),8,FALSE)</f>
        <v>6.7877777777777784</v>
      </c>
      <c r="R55" s="300"/>
      <c r="S55" s="300"/>
      <c r="T55" s="300"/>
      <c r="U55" s="199">
        <f ca="1">1/M55</f>
        <v>0.48756944622271858</v>
      </c>
      <c r="V55" s="199"/>
      <c r="W55" s="298"/>
      <c r="X55" s="698">
        <f ca="1">IF(VLOOKUP($AD55,INDIRECT("'"&amp;$B55&amp;"'!"&amp;"$P$39:$AD$42"),11,FALSE)="Cf. the utilized electricity",0,VLOOKUP($AD55,INDIRECT("'"&amp;$B55&amp;"'!"&amp;"$P$39:$AD$42"),11,FALSE))</f>
        <v>0</v>
      </c>
      <c r="Y55" s="81">
        <f ca="1">VLOOKUP($AD55,INDIRECT("'"&amp;$B55&amp;"'!"&amp;"$P$39:$AD$42"),12,FALSE)</f>
        <v>0</v>
      </c>
      <c r="Z55" s="81">
        <f ca="1">VLOOKUP($AD55,INDIRECT("'"&amp;$B55&amp;"'!"&amp;"$P$39:$AD$42"),13,FALSE)</f>
        <v>0</v>
      </c>
      <c r="AA55" s="81">
        <f ca="1">VLOOKUP($AD55,INDIRECT("'"&amp;$B55&amp;"'!"&amp;"$P$39:$AD$42"),14,FALSE)</f>
        <v>0</v>
      </c>
      <c r="AB55" s="81">
        <f ca="1">VLOOKUP($AD55,INDIRECT("'"&amp;$B55&amp;"'!"&amp;"$P$39:$AD$42"),15,FALSE)</f>
        <v>0</v>
      </c>
      <c r="AD55" s="81">
        <v>2050</v>
      </c>
      <c r="AE55" s="81"/>
      <c r="AF55" s="220"/>
    </row>
    <row r="56" spans="2:32">
      <c r="B56" s="357" t="s">
        <v>1001</v>
      </c>
      <c r="D56" s="212"/>
      <c r="E56" s="212"/>
      <c r="F56" s="224" t="s">
        <v>1149</v>
      </c>
      <c r="G56" s="173" t="str">
        <f>$AI$20</f>
        <v>INDCWH</v>
      </c>
      <c r="H56" s="174"/>
      <c r="I56" s="174"/>
      <c r="K56" s="81"/>
      <c r="L56" s="333"/>
      <c r="M56" s="199"/>
      <c r="N56" s="81"/>
      <c r="O56" s="723"/>
      <c r="P56" s="723"/>
      <c r="Q56" s="81"/>
      <c r="R56" s="300"/>
      <c r="S56" s="300"/>
      <c r="T56" s="300"/>
      <c r="U56" s="199">
        <f ca="1">1-U55</f>
        <v>0.51243055377728142</v>
      </c>
      <c r="V56" s="300"/>
      <c r="W56" s="298"/>
      <c r="X56" s="698"/>
      <c r="Y56" s="81"/>
      <c r="Z56" s="81"/>
      <c r="AA56" s="81"/>
      <c r="AB56" s="81"/>
      <c r="AD56" s="81"/>
      <c r="AE56" s="81"/>
      <c r="AF56" s="220"/>
    </row>
    <row r="57" spans="2:32">
      <c r="B57" s="357" t="s">
        <v>1002</v>
      </c>
      <c r="D57" s="212" t="str">
        <f>"IND"&amp;RIGHT(H57,4)&amp;RIGHT(G57,3)&amp;"N"&amp;RIGHT(E57,1)</f>
        <v>INDCDPHELCN5</v>
      </c>
      <c r="E57" s="261" t="str">
        <f>"Industrial heating technology "&amp;$AJ$12&amp;" "&amp;RIGHT(H57,2)&amp;" - MVR utilizing waste heat - new 5"</f>
        <v>Industrial heating technology Chemical PH - MVR utilizing waste heat - new 5</v>
      </c>
      <c r="F57" s="224" t="s">
        <v>1149</v>
      </c>
      <c r="G57" s="173" t="s">
        <v>499</v>
      </c>
      <c r="H57" s="174" t="str">
        <f>$AI$14</f>
        <v>ICDPH</v>
      </c>
      <c r="I57" s="174"/>
      <c r="J57" s="224">
        <f t="shared" ref="J57" si="19">AD57</f>
        <v>2020</v>
      </c>
      <c r="K57" s="81">
        <v>2020</v>
      </c>
      <c r="L57" s="333">
        <v>1</v>
      </c>
      <c r="M57" s="199">
        <f ca="1">VLOOKUP($AD57,INDIRECT("'"&amp;$B57&amp;"'!"&amp;"$P$39:$AD$42"),3,FALSE)</f>
        <v>12.1</v>
      </c>
      <c r="N57" s="81">
        <f ca="1">VLOOKUP($AD57,INDIRECT("'"&amp;$B57&amp;"'!"&amp;"$P$39:$AD$42"),5,FALSE)</f>
        <v>25</v>
      </c>
      <c r="O57" s="723">
        <f ca="1">VLOOKUP($AD57,INDIRECT("'"&amp;$B57&amp;"'!"&amp;"$P$39:$AD$42"),6,FALSE)/1000</f>
        <v>2.6074999999999999</v>
      </c>
      <c r="P57" s="723">
        <f ca="1">VLOOKUP($AD57,INDIRECT("'"&amp;$B57&amp;"'!"&amp;"$P$39:$AD$42"),7,FALSE)/1000</f>
        <v>1.49E-2</v>
      </c>
      <c r="Q57" s="81">
        <f ca="1">VLOOKUP($AD57,INDIRECT("'"&amp;$B57&amp;"'!"&amp;"$P$39:$AD$42"),8,FALSE)</f>
        <v>5.2356944444444444</v>
      </c>
      <c r="R57" s="81">
        <v>3.1536000000000002E-2</v>
      </c>
      <c r="S57" s="199">
        <v>0.5</v>
      </c>
      <c r="T57" s="199">
        <f ca="1">HLOOKUP($T$2,INDIRECT("'"&amp;$B57&amp;"'!"&amp;"$P$6:$AC$19"),IF(H57=$AI$13,6,IF(H57=$AI$14,9,14)),FALSE)</f>
        <v>0</v>
      </c>
      <c r="U57" s="199">
        <f ca="1">1/M57</f>
        <v>8.2644628099173556E-2</v>
      </c>
      <c r="V57" s="199"/>
      <c r="W57" s="298"/>
      <c r="X57" s="698">
        <f ca="1">IF(VLOOKUP($AD57,INDIRECT("'"&amp;$B57&amp;"'!"&amp;"$P$39:$AD$42"),11,FALSE)="Cf. the utilized electricity",0,VLOOKUP($AD57,INDIRECT("'"&amp;$B57&amp;"'!"&amp;"$P$39:$AD$42"),11,FALSE))</f>
        <v>0</v>
      </c>
      <c r="Y57" s="81">
        <f ca="1">VLOOKUP($AD57,INDIRECT("'"&amp;$B57&amp;"'!"&amp;"$P$39:$AD$42"),12,FALSE)</f>
        <v>0</v>
      </c>
      <c r="Z57" s="81">
        <f ca="1">VLOOKUP($AD57,INDIRECT("'"&amp;$B57&amp;"'!"&amp;"$P$39:$AD$42"),13,FALSE)</f>
        <v>0</v>
      </c>
      <c r="AA57" s="81">
        <f ca="1">VLOOKUP($AD57,INDIRECT("'"&amp;$B57&amp;"'!"&amp;"$P$39:$AD$42"),14,FALSE)</f>
        <v>0</v>
      </c>
      <c r="AB57" s="81">
        <f ca="1">VLOOKUP($AD57,INDIRECT("'"&amp;$B57&amp;"'!"&amp;"$P$39:$AD$42"),15,FALSE)</f>
        <v>0</v>
      </c>
      <c r="AD57" s="81">
        <v>2020</v>
      </c>
      <c r="AE57" s="81"/>
      <c r="AF57" s="220"/>
    </row>
    <row r="58" spans="2:32">
      <c r="B58" s="357" t="s">
        <v>1002</v>
      </c>
      <c r="D58" s="212"/>
      <c r="E58" s="261"/>
      <c r="F58" s="224" t="s">
        <v>1149</v>
      </c>
      <c r="G58" s="173" t="str">
        <f>$AI$20</f>
        <v>INDCWH</v>
      </c>
      <c r="H58" s="174"/>
      <c r="I58" s="174"/>
      <c r="K58" s="81"/>
      <c r="L58" s="199"/>
      <c r="M58" s="199"/>
      <c r="N58" s="81"/>
      <c r="O58" s="723"/>
      <c r="P58" s="723"/>
      <c r="Q58" s="81"/>
      <c r="R58" s="200"/>
      <c r="S58" s="772"/>
      <c r="T58" s="772"/>
      <c r="U58" s="199">
        <f ca="1">1-U57</f>
        <v>0.9173553719008265</v>
      </c>
      <c r="V58" s="772"/>
      <c r="W58" s="298"/>
      <c r="X58" s="698"/>
      <c r="Y58" s="81"/>
      <c r="Z58" s="81"/>
      <c r="AA58" s="81"/>
      <c r="AB58" s="81"/>
      <c r="AD58" s="81"/>
      <c r="AE58" s="81"/>
      <c r="AF58" s="220"/>
    </row>
    <row r="59" spans="2:32">
      <c r="B59" s="357" t="s">
        <v>1002</v>
      </c>
      <c r="D59" s="212"/>
      <c r="E59" s="212"/>
      <c r="F59" s="224" t="s">
        <v>1149</v>
      </c>
      <c r="G59" s="173" t="s">
        <v>499</v>
      </c>
      <c r="H59" s="174" t="str">
        <f>$AI$14</f>
        <v>ICDPH</v>
      </c>
      <c r="I59" s="174"/>
      <c r="J59" s="224">
        <f t="shared" ref="J59" si="20">AD59</f>
        <v>2030</v>
      </c>
      <c r="K59" s="81"/>
      <c r="L59" s="333">
        <v>1</v>
      </c>
      <c r="M59" s="199">
        <f ca="1">VLOOKUP($AD59,INDIRECT("'"&amp;$B59&amp;"'!"&amp;"$P$39:$AD$42"),3,FALSE)</f>
        <v>12.7</v>
      </c>
      <c r="N59" s="81"/>
      <c r="O59" s="723">
        <f ca="1">VLOOKUP($AD59,INDIRECT("'"&amp;$B59&amp;"'!"&amp;"$P$39:$AD$42"),6,FALSE)/1000</f>
        <v>2.4585000000000004</v>
      </c>
      <c r="P59" s="723">
        <f ca="1">VLOOKUP($AD59,INDIRECT("'"&amp;$B59&amp;"'!"&amp;"$P$39:$AD$42"),7,FALSE)/1000</f>
        <v>1.49E-2</v>
      </c>
      <c r="Q59" s="81">
        <f ca="1">VLOOKUP($AD59,INDIRECT("'"&amp;$B59&amp;"'!"&amp;"$P$39:$AD$42"),8,FALSE)</f>
        <v>5.0701388888888888</v>
      </c>
      <c r="R59" s="300"/>
      <c r="S59" s="300"/>
      <c r="T59" s="300"/>
      <c r="U59" s="199">
        <f ca="1">1/M59</f>
        <v>7.874015748031496E-2</v>
      </c>
      <c r="V59" s="199"/>
      <c r="W59" s="298"/>
      <c r="X59" s="698">
        <f ca="1">IF(VLOOKUP($AD59,INDIRECT("'"&amp;$B59&amp;"'!"&amp;"$P$39:$AD$42"),11,FALSE)="Cf. the utilized electricity",0,VLOOKUP($AD59,INDIRECT("'"&amp;$B59&amp;"'!"&amp;"$P$39:$AD$42"),11,FALSE))</f>
        <v>0</v>
      </c>
      <c r="Y59" s="81">
        <f ca="1">VLOOKUP($AD59,INDIRECT("'"&amp;$B59&amp;"'!"&amp;"$P$39:$AD$42"),12,FALSE)</f>
        <v>0</v>
      </c>
      <c r="Z59" s="81">
        <f ca="1">VLOOKUP($AD59,INDIRECT("'"&amp;$B59&amp;"'!"&amp;"$P$39:$AD$42"),13,FALSE)</f>
        <v>0</v>
      </c>
      <c r="AA59" s="81">
        <f ca="1">VLOOKUP($AD59,INDIRECT("'"&amp;$B59&amp;"'!"&amp;"$P$39:$AD$42"),14,FALSE)</f>
        <v>0</v>
      </c>
      <c r="AB59" s="81">
        <f ca="1">VLOOKUP($AD59,INDIRECT("'"&amp;$B59&amp;"'!"&amp;"$P$39:$AD$42"),15,FALSE)</f>
        <v>0</v>
      </c>
      <c r="AD59" s="81">
        <v>2030</v>
      </c>
      <c r="AE59" s="81"/>
      <c r="AF59" s="220"/>
    </row>
    <row r="60" spans="2:32">
      <c r="B60" s="357" t="s">
        <v>1002</v>
      </c>
      <c r="D60" s="212"/>
      <c r="E60" s="212"/>
      <c r="F60" s="224" t="s">
        <v>1149</v>
      </c>
      <c r="G60" s="173" t="str">
        <f>$AI$20</f>
        <v>INDCWH</v>
      </c>
      <c r="H60" s="174"/>
      <c r="I60" s="174"/>
      <c r="K60" s="81"/>
      <c r="L60" s="199"/>
      <c r="M60" s="199"/>
      <c r="N60" s="81"/>
      <c r="O60" s="723"/>
      <c r="P60" s="723"/>
      <c r="Q60" s="81"/>
      <c r="R60" s="300"/>
      <c r="S60" s="300"/>
      <c r="T60" s="300"/>
      <c r="U60" s="199">
        <f ca="1">1-U59</f>
        <v>0.92125984251968507</v>
      </c>
      <c r="V60" s="300"/>
      <c r="W60" s="298"/>
      <c r="X60" s="698"/>
      <c r="Y60" s="81"/>
      <c r="Z60" s="81"/>
      <c r="AA60" s="81"/>
      <c r="AB60" s="81"/>
      <c r="AD60" s="81"/>
      <c r="AE60" s="81"/>
      <c r="AF60" s="220"/>
    </row>
    <row r="61" spans="2:32">
      <c r="B61" s="357" t="s">
        <v>1002</v>
      </c>
      <c r="D61" s="212"/>
      <c r="E61" s="212"/>
      <c r="F61" s="224" t="s">
        <v>1149</v>
      </c>
      <c r="G61" s="173" t="s">
        <v>499</v>
      </c>
      <c r="H61" s="174" t="str">
        <f>$AI$14</f>
        <v>ICDPH</v>
      </c>
      <c r="I61" s="174"/>
      <c r="J61" s="224">
        <f t="shared" ref="J61" si="21">AD61</f>
        <v>2050</v>
      </c>
      <c r="K61" s="81"/>
      <c r="L61" s="333">
        <v>1</v>
      </c>
      <c r="M61" s="199">
        <f ca="1">VLOOKUP($AD61,INDIRECT("'"&amp;$B61&amp;"'!"&amp;"$P$39:$AD$42"),3,FALSE)</f>
        <v>13.8</v>
      </c>
      <c r="N61" s="81"/>
      <c r="O61" s="723">
        <f ca="1">VLOOKUP($AD61,INDIRECT("'"&amp;$B61&amp;"'!"&amp;"$P$39:$AD$42"),6,FALSE)/1000</f>
        <v>2.3094999999999999</v>
      </c>
      <c r="P61" s="723">
        <f ca="1">VLOOKUP($AD61,INDIRECT("'"&amp;$B61&amp;"'!"&amp;"$P$39:$AD$42"),7,FALSE)/1000</f>
        <v>1.49E-2</v>
      </c>
      <c r="Q61" s="81">
        <f ca="1">VLOOKUP($AD61,INDIRECT("'"&amp;$B61&amp;"'!"&amp;"$P$39:$AD$42"),8,FALSE)</f>
        <v>4.8838888888888903</v>
      </c>
      <c r="R61" s="300"/>
      <c r="S61" s="300"/>
      <c r="T61" s="300"/>
      <c r="U61" s="199">
        <f ca="1">1/M61</f>
        <v>7.2463768115942032E-2</v>
      </c>
      <c r="V61" s="199"/>
      <c r="W61" s="298"/>
      <c r="X61" s="698">
        <f ca="1">IF(VLOOKUP($AD61,INDIRECT("'"&amp;$B61&amp;"'!"&amp;"$P$39:$AD$42"),11,FALSE)="Cf. the utilized electricity",0,VLOOKUP($AD61,INDIRECT("'"&amp;$B61&amp;"'!"&amp;"$P$39:$AD$42"),11,FALSE))</f>
        <v>0</v>
      </c>
      <c r="Y61" s="81">
        <f ca="1">VLOOKUP($AD61,INDIRECT("'"&amp;$B61&amp;"'!"&amp;"$P$39:$AD$42"),12,FALSE)</f>
        <v>0</v>
      </c>
      <c r="Z61" s="81">
        <f ca="1">VLOOKUP($AD61,INDIRECT("'"&amp;$B61&amp;"'!"&amp;"$P$39:$AD$42"),13,FALSE)</f>
        <v>0</v>
      </c>
      <c r="AA61" s="81">
        <f ca="1">VLOOKUP($AD61,INDIRECT("'"&amp;$B61&amp;"'!"&amp;"$P$39:$AD$42"),14,FALSE)</f>
        <v>0</v>
      </c>
      <c r="AB61" s="81">
        <f ca="1">VLOOKUP($AD61,INDIRECT("'"&amp;$B61&amp;"'!"&amp;"$P$39:$AD$42"),15,FALSE)</f>
        <v>0</v>
      </c>
      <c r="AD61" s="81">
        <v>2050</v>
      </c>
      <c r="AE61" s="81"/>
      <c r="AF61" s="220"/>
    </row>
    <row r="62" spans="2:32" ht="16" thickBot="1">
      <c r="B62" s="786" t="s">
        <v>1002</v>
      </c>
      <c r="C62" s="787"/>
      <c r="D62" s="732"/>
      <c r="E62" s="732"/>
      <c r="F62" s="224" t="s">
        <v>1149</v>
      </c>
      <c r="G62" s="788" t="str">
        <f>$AI$20</f>
        <v>INDCWH</v>
      </c>
      <c r="H62" s="788"/>
      <c r="I62" s="788"/>
      <c r="K62" s="789"/>
      <c r="L62" s="790"/>
      <c r="M62" s="790"/>
      <c r="N62" s="789"/>
      <c r="O62" s="791"/>
      <c r="P62" s="791"/>
      <c r="Q62" s="789"/>
      <c r="R62" s="792"/>
      <c r="S62" s="792"/>
      <c r="T62" s="792"/>
      <c r="U62" s="790">
        <f ca="1">1-U61</f>
        <v>0.92753623188405798</v>
      </c>
      <c r="V62" s="796"/>
      <c r="W62" s="793"/>
      <c r="X62" s="794"/>
      <c r="Y62" s="789"/>
      <c r="Z62" s="789"/>
      <c r="AA62" s="789"/>
      <c r="AB62" s="789"/>
      <c r="AC62" s="787"/>
      <c r="AD62" s="789"/>
      <c r="AE62" s="789"/>
      <c r="AF62" s="795"/>
    </row>
    <row r="63" spans="2:32">
      <c r="B63" s="357" t="s">
        <v>920</v>
      </c>
      <c r="D63" s="212" t="str">
        <f>"IND"&amp;RIGHT(H63,4)&amp;RIGHT(G63,3)&amp;"N"&amp;RIGHT(E63,1)</f>
        <v>INDCDPHWSTN1</v>
      </c>
      <c r="E63" s="261" t="str">
        <f>"Industrial heating technology "&amp;$AJ$12&amp;" "&amp;RIGHT(H63,2)&amp;" - Hotdisc - new 1"</f>
        <v>Industrial heating technology Chemical PH - Hotdisc - new 1</v>
      </c>
      <c r="F63" s="224" t="s">
        <v>1149</v>
      </c>
      <c r="G63" s="832" t="s">
        <v>1005</v>
      </c>
      <c r="H63" s="174" t="str">
        <f>$AI$13</f>
        <v>ICDPH</v>
      </c>
      <c r="I63" s="173" t="str">
        <f t="shared" ref="I63:I126" si="22">$AI$20</f>
        <v>INDCWH</v>
      </c>
      <c r="J63" s="224">
        <f>IF(AD63=2020,2011,AD63)</f>
        <v>2011</v>
      </c>
      <c r="K63" s="299">
        <v>2025</v>
      </c>
      <c r="L63" s="699">
        <f t="shared" ref="L63:L80" ca="1" si="23">VLOOKUP($AD63,INDIRECT("'"&amp;$B63&amp;"'!"&amp;"$P$39:$AD$42"),3,FALSE)</f>
        <v>0.9</v>
      </c>
      <c r="M63" s="699"/>
      <c r="N63" s="299">
        <f ca="1">VLOOKUP($AD63,INDIRECT("'"&amp;$B63&amp;"'!"&amp;"$P$39:$AD$42"),5,FALSE)</f>
        <v>20</v>
      </c>
      <c r="O63" s="725">
        <f t="shared" ref="O63:O80" ca="1" si="24">VLOOKUP($AD63,INDIRECT("'"&amp;$B63&amp;"'!"&amp;"$P$39:$AD$42"),6,FALSE)/1000</f>
        <v>3.7250000000000001</v>
      </c>
      <c r="P63" s="725">
        <f t="shared" ref="P63:P80" ca="1" si="25">VLOOKUP($AD63,INDIRECT("'"&amp;$B63&amp;"'!"&amp;"$P$39:$AD$42"),7,FALSE)/1000</f>
        <v>2.98E-3</v>
      </c>
      <c r="Q63" s="299">
        <f t="shared" ref="Q63:Q80" ca="1" si="26">VLOOKUP($AD63,INDIRECT("'"&amp;$B63&amp;"'!"&amp;"$P$39:$AD$42"),8,FALSE)</f>
        <v>2.4315972222222224</v>
      </c>
      <c r="R63" s="299">
        <v>3.1536000000000002E-2</v>
      </c>
      <c r="S63" s="699">
        <v>0.5</v>
      </c>
      <c r="T63" s="699">
        <f ca="1">HLOOKUP($S$2,INDIRECT("'"&amp;$B63&amp;"'!"&amp;"$P$6:$AC$19"),IF(H63=$AI$13,6,IF(H63=$AI$14,9,14)),FALSE)</f>
        <v>0</v>
      </c>
      <c r="U63" s="772"/>
      <c r="V63" s="199">
        <f ca="1">IF(IF(RIGHT(H63,2)="PH",(1-L63)+$W$2,IF(RIGHT(H63,2)="HT",(1-L63)+$W$1,IF(RIGHT(H63,2)="SH",(1-L63)+$W$3,"")))&gt;0,IF(RIGHT(H63,2)="PH",(1-L63)+$W$2,IF(RIGHT(H63,2)="HT",(1-L63)+$W$1,IF(RIGHT(H63,2)="SH",(1-L63)+$W$3,""))),0)</f>
        <v>0.3</v>
      </c>
      <c r="W63" s="298"/>
      <c r="X63" s="785">
        <f t="shared" ref="X63:X94" ca="1" si="27">IF(VLOOKUP($AD63,INDIRECT("'"&amp;$B63&amp;"'!"&amp;"$P$39:$AD$42"),11,FALSE)="Cf. the utilized electricity",0,VLOOKUP($AD63,INDIRECT("'"&amp;$B63&amp;"'!"&amp;"$P$39:$AD$42"),11,FALSE))</f>
        <v>8.3000000000000007</v>
      </c>
      <c r="Y63" s="299">
        <f t="shared" ref="Y63:Y80" ca="1" si="28">VLOOKUP($AD63,INDIRECT("'"&amp;$B63&amp;"'!"&amp;"$P$39:$AD$42"),12,FALSE)</f>
        <v>56</v>
      </c>
      <c r="Z63" s="299">
        <f t="shared" ref="Z63:Z80" ca="1" si="29">VLOOKUP($AD63,INDIRECT("'"&amp;$B63&amp;"'!"&amp;"$P$39:$AD$42"),13,FALSE)</f>
        <v>0.1</v>
      </c>
      <c r="AA63" s="299">
        <f t="shared" ref="AA63:AA80" ca="1" si="30">VLOOKUP($AD63,INDIRECT("'"&amp;$B63&amp;"'!"&amp;"$P$39:$AD$42"),14,FALSE)</f>
        <v>1</v>
      </c>
      <c r="AB63" s="299">
        <f t="shared" ref="AB63:AB80" ca="1" si="31">VLOOKUP($AD63,INDIRECT("'"&amp;$B63&amp;"'!"&amp;"$P$39:$AD$42"),15,FALSE)</f>
        <v>0.28999999999999998</v>
      </c>
      <c r="AD63" s="299">
        <v>2020</v>
      </c>
      <c r="AE63" s="299"/>
      <c r="AF63" s="220"/>
    </row>
    <row r="64" spans="2:32">
      <c r="B64" s="357" t="s">
        <v>920</v>
      </c>
      <c r="D64" s="212"/>
      <c r="E64" s="212"/>
      <c r="F64" s="224" t="s">
        <v>1149</v>
      </c>
      <c r="H64" s="174"/>
      <c r="I64" s="173" t="str">
        <f t="shared" si="22"/>
        <v>INDCWH</v>
      </c>
      <c r="J64" s="224">
        <f t="shared" ref="J64:J127" si="32">IF(AD64=2020,2011,AD64)</f>
        <v>2030</v>
      </c>
      <c r="K64" s="81"/>
      <c r="L64" s="199">
        <f t="shared" ca="1" si="23"/>
        <v>0.91</v>
      </c>
      <c r="M64" s="199"/>
      <c r="N64" s="81"/>
      <c r="O64" s="723">
        <f t="shared" ca="1" si="24"/>
        <v>3.4642500000000003</v>
      </c>
      <c r="P64" s="723">
        <f t="shared" ca="1" si="25"/>
        <v>2.98E-3</v>
      </c>
      <c r="Q64" s="81">
        <f t="shared" ca="1" si="26"/>
        <v>2.4729861111111116</v>
      </c>
      <c r="R64" s="300"/>
      <c r="S64" s="300"/>
      <c r="T64" s="300"/>
      <c r="U64" s="300"/>
      <c r="V64" s="199">
        <f ca="1">IF(IF(RIGHT(H63,2)="PH",(1-L64)+$W$2,IF(RIGHT(H63,2)="HT",(1-L64)+$W$1,IF(RIGHT(H63,2)="SH",(1-L64)+$W$3,"")))&gt;0,IF(RIGHT(H63,2)="PH",(1-L64)+$W$2,IF(RIGHT(H63,2)="HT",(1-L64)+$W$1,IF(RIGHT(H63,2)="SH",(1-L64)+$W$3,""))),0)</f>
        <v>0.28999999999999998</v>
      </c>
      <c r="W64" s="298"/>
      <c r="X64" s="698">
        <f t="shared" ca="1" si="27"/>
        <v>8.3000000000000007</v>
      </c>
      <c r="Y64" s="81">
        <f t="shared" ca="1" si="28"/>
        <v>45</v>
      </c>
      <c r="Z64" s="81">
        <f t="shared" ca="1" si="29"/>
        <v>0.1</v>
      </c>
      <c r="AA64" s="81">
        <f t="shared" ca="1" si="30"/>
        <v>1</v>
      </c>
      <c r="AB64" s="81">
        <f t="shared" ca="1" si="31"/>
        <v>0.28999999999999998</v>
      </c>
      <c r="AD64" s="81">
        <v>2030</v>
      </c>
      <c r="AE64" s="81"/>
      <c r="AF64" s="220"/>
    </row>
    <row r="65" spans="2:32">
      <c r="B65" s="357" t="s">
        <v>920</v>
      </c>
      <c r="D65" s="212"/>
      <c r="E65" s="212"/>
      <c r="F65" s="224" t="s">
        <v>1149</v>
      </c>
      <c r="H65" s="174"/>
      <c r="I65" s="173" t="str">
        <f t="shared" si="22"/>
        <v>INDCWH</v>
      </c>
      <c r="J65" s="224">
        <f t="shared" si="32"/>
        <v>2050</v>
      </c>
      <c r="K65" s="81"/>
      <c r="L65" s="199">
        <f t="shared" ca="1" si="23"/>
        <v>0.93</v>
      </c>
      <c r="M65" s="199"/>
      <c r="N65" s="81"/>
      <c r="O65" s="723">
        <f t="shared" ca="1" si="24"/>
        <v>3.3525</v>
      </c>
      <c r="P65" s="723">
        <f t="shared" ca="1" si="25"/>
        <v>2.98E-3</v>
      </c>
      <c r="Q65" s="81">
        <f t="shared" ca="1" si="26"/>
        <v>2.4936805555555561</v>
      </c>
      <c r="R65" s="300"/>
      <c r="S65" s="300"/>
      <c r="T65" s="300"/>
      <c r="U65" s="300"/>
      <c r="V65" s="199">
        <f ca="1">IF(IF(RIGHT(H63,2)="PH",(1-L65)+$W$2,IF(RIGHT(H63,2)="HT",(1-L65)+$W$1,IF(RIGHT(H63,2)="SH",(1-L65)+$W$3,"")))&gt;0,IF(RIGHT(H63,2)="PH",(1-L65)+$W$2,IF(RIGHT(H63,2)="HT",(1-L65)+$W$1,IF(RIGHT(H63,2)="SH",(1-L65)+$W$3,""))),0)</f>
        <v>0.26999999999999996</v>
      </c>
      <c r="W65" s="298"/>
      <c r="X65" s="698">
        <f t="shared" ca="1" si="27"/>
        <v>8.3000000000000007</v>
      </c>
      <c r="Y65" s="81">
        <f t="shared" ca="1" si="28"/>
        <v>11</v>
      </c>
      <c r="Z65" s="81">
        <f t="shared" ca="1" si="29"/>
        <v>0.1</v>
      </c>
      <c r="AA65" s="81">
        <f t="shared" ca="1" si="30"/>
        <v>1</v>
      </c>
      <c r="AB65" s="81">
        <f t="shared" ca="1" si="31"/>
        <v>0.28999999999999998</v>
      </c>
      <c r="AD65" s="81">
        <v>2050</v>
      </c>
      <c r="AE65" s="81"/>
      <c r="AF65" s="220"/>
    </row>
    <row r="66" spans="2:32">
      <c r="B66" s="357" t="s">
        <v>922</v>
      </c>
      <c r="D66" s="212" t="str">
        <f>"IND"&amp;RIGHT(H66,4)&amp;RIGHT(G66,3)&amp;"N"&amp;RIGHT(E66,1)</f>
        <v>INDCDPHELCN6</v>
      </c>
      <c r="E66" s="261" t="str">
        <f>"Industrial heating technology "&amp;$AJ$12&amp;" "&amp;RIGHT(H66,2)&amp;" - Dielectric heating - new 6"</f>
        <v>Industrial heating technology Chemical PH - Dielectric heating - new 6</v>
      </c>
      <c r="F66" s="224" t="s">
        <v>1149</v>
      </c>
      <c r="G66" s="173" t="s">
        <v>499</v>
      </c>
      <c r="H66" s="174" t="str">
        <f>$AI$14</f>
        <v>ICDPH</v>
      </c>
      <c r="I66" s="173" t="str">
        <f t="shared" si="22"/>
        <v>INDCWH</v>
      </c>
      <c r="J66" s="224">
        <f t="shared" si="32"/>
        <v>2011</v>
      </c>
      <c r="K66" s="299">
        <v>2020</v>
      </c>
      <c r="L66" s="199">
        <f t="shared" ca="1" si="23"/>
        <v>0.95</v>
      </c>
      <c r="M66" s="199"/>
      <c r="N66" s="81">
        <f ca="1">VLOOKUP($AD66,INDIRECT("'"&amp;$B66&amp;"'!"&amp;"$P$39:$AD$42"),5,FALSE)</f>
        <v>30</v>
      </c>
      <c r="O66" s="723">
        <f t="shared" ca="1" si="24"/>
        <v>20.115000000000002</v>
      </c>
      <c r="P66" s="723">
        <f t="shared" ca="1" si="25"/>
        <v>0</v>
      </c>
      <c r="Q66" s="81">
        <f t="shared" ca="1" si="26"/>
        <v>94.828152777777774</v>
      </c>
      <c r="R66" s="81">
        <v>3.1536000000000002E-2</v>
      </c>
      <c r="S66" s="199">
        <v>0.5</v>
      </c>
      <c r="T66" s="199">
        <f ca="1">HLOOKUP($S$2,INDIRECT("'"&amp;$B66&amp;"'!"&amp;"$P$6:$AC$19"),IF(H66=$AI$13,6,IF(H66=$AI$14,9,14)),FALSE)</f>
        <v>0</v>
      </c>
      <c r="U66" s="772"/>
      <c r="V66" s="199">
        <f t="shared" ref="V66" ca="1" si="33">IF(IF(RIGHT(H66,2)="PH",(1-L66)+$W$2,IF(RIGHT(H66,2)="HT",(1-L66)+$W$1,IF(RIGHT(H66,2)="SH",(1-L66)+$W$3,"")))&gt;0,IF(RIGHT(H66,2)="PH",(1-L66)+$W$2,IF(RIGHT(H66,2)="HT",(1-L66)+$W$1,IF(RIGHT(H66,2)="SH",(1-L66)+$W$3,""))),0)</f>
        <v>0.25000000000000006</v>
      </c>
      <c r="W66" s="298"/>
      <c r="X66" s="698">
        <f t="shared" ca="1" si="27"/>
        <v>0</v>
      </c>
      <c r="Y66" s="81">
        <f t="shared" ca="1" si="28"/>
        <v>0</v>
      </c>
      <c r="Z66" s="81">
        <f t="shared" ca="1" si="29"/>
        <v>0</v>
      </c>
      <c r="AA66" s="81">
        <f t="shared" ca="1" si="30"/>
        <v>0</v>
      </c>
      <c r="AB66" s="81">
        <f t="shared" ca="1" si="31"/>
        <v>0</v>
      </c>
      <c r="AD66" s="81">
        <v>2020</v>
      </c>
      <c r="AE66" s="81"/>
      <c r="AF66" s="220"/>
    </row>
    <row r="67" spans="2:32">
      <c r="B67" s="357" t="s">
        <v>922</v>
      </c>
      <c r="D67" s="212"/>
      <c r="E67" s="212"/>
      <c r="F67" s="224" t="s">
        <v>1149</v>
      </c>
      <c r="H67" s="174"/>
      <c r="I67" s="173" t="str">
        <f t="shared" si="22"/>
        <v>INDCWH</v>
      </c>
      <c r="J67" s="224">
        <f t="shared" si="32"/>
        <v>2030</v>
      </c>
      <c r="K67" s="81"/>
      <c r="L67" s="199">
        <f t="shared" ca="1" si="23"/>
        <v>0.95</v>
      </c>
      <c r="M67" s="199"/>
      <c r="N67" s="81"/>
      <c r="O67" s="723">
        <f t="shared" ca="1" si="24"/>
        <v>19.511550000000003</v>
      </c>
      <c r="P67" s="723">
        <f t="shared" ca="1" si="25"/>
        <v>0</v>
      </c>
      <c r="Q67" s="81">
        <f t="shared" ca="1" si="26"/>
        <v>94.832291666666663</v>
      </c>
      <c r="R67" s="300"/>
      <c r="S67" s="300"/>
      <c r="T67" s="300"/>
      <c r="U67" s="300"/>
      <c r="V67" s="199">
        <f t="shared" ref="V67" ca="1" si="34">IF(IF(RIGHT(H66,2)="PH",(1-L67)+$W$2,IF(RIGHT(H66,2)="HT",(1-L67)+$W$1,IF(RIGHT(H66,2)="SH",(1-L67)+$W$3,"")))&gt;0,IF(RIGHT(H66,2)="PH",(1-L67)+$W$2,IF(RIGHT(H66,2)="HT",(1-L67)+$W$1,IF(RIGHT(H66,2)="SH",(1-L67)+$W$3,""))),0)</f>
        <v>0.25000000000000006</v>
      </c>
      <c r="W67" s="298"/>
      <c r="X67" s="698">
        <f t="shared" ca="1" si="27"/>
        <v>0</v>
      </c>
      <c r="Y67" s="81">
        <f t="shared" ca="1" si="28"/>
        <v>0</v>
      </c>
      <c r="Z67" s="81">
        <f t="shared" ca="1" si="29"/>
        <v>0</v>
      </c>
      <c r="AA67" s="81">
        <f t="shared" ca="1" si="30"/>
        <v>0</v>
      </c>
      <c r="AB67" s="81">
        <f t="shared" ca="1" si="31"/>
        <v>0</v>
      </c>
      <c r="AD67" s="81">
        <v>2030</v>
      </c>
      <c r="AE67" s="81"/>
      <c r="AF67" s="220"/>
    </row>
    <row r="68" spans="2:32">
      <c r="B68" s="357" t="s">
        <v>922</v>
      </c>
      <c r="D68" s="212"/>
      <c r="E68" s="212"/>
      <c r="F68" s="224" t="s">
        <v>1149</v>
      </c>
      <c r="H68" s="174"/>
      <c r="I68" s="173" t="str">
        <f t="shared" si="22"/>
        <v>INDCWH</v>
      </c>
      <c r="J68" s="224">
        <f t="shared" si="32"/>
        <v>2050</v>
      </c>
      <c r="K68" s="81"/>
      <c r="L68" s="199">
        <f t="shared" ca="1" si="23"/>
        <v>0.95</v>
      </c>
      <c r="M68" s="199"/>
      <c r="N68" s="81"/>
      <c r="O68" s="723">
        <f t="shared" ca="1" si="24"/>
        <v>18.1035</v>
      </c>
      <c r="P68" s="723">
        <f t="shared" ca="1" si="25"/>
        <v>0</v>
      </c>
      <c r="Q68" s="81">
        <f t="shared" ca="1" si="26"/>
        <v>94.834361111111107</v>
      </c>
      <c r="R68" s="300"/>
      <c r="S68" s="300"/>
      <c r="T68" s="300"/>
      <c r="U68" s="300"/>
      <c r="V68" s="199">
        <f t="shared" ref="V68" ca="1" si="35">IF(IF(RIGHT(H66,2)="PH",(1-L68)+$W$2,IF(RIGHT(H66,2)="HT",(1-L68)+$W$1,IF(RIGHT(H66,2)="SH",(1-L68)+$W$3,"")))&gt;0,IF(RIGHT(H66,2)="PH",(1-L68)+$W$2,IF(RIGHT(H66,2)="HT",(1-L68)+$W$1,IF(RIGHT(H66,2)="SH",(1-L68)+$W$3,""))),0)</f>
        <v>0.25000000000000006</v>
      </c>
      <c r="W68" s="298"/>
      <c r="X68" s="698">
        <f t="shared" ca="1" si="27"/>
        <v>0</v>
      </c>
      <c r="Y68" s="81">
        <f t="shared" ca="1" si="28"/>
        <v>0</v>
      </c>
      <c r="Z68" s="81">
        <f t="shared" ca="1" si="29"/>
        <v>0</v>
      </c>
      <c r="AA68" s="81">
        <f t="shared" ca="1" si="30"/>
        <v>0</v>
      </c>
      <c r="AB68" s="81">
        <f t="shared" ca="1" si="31"/>
        <v>0</v>
      </c>
      <c r="AD68" s="81">
        <v>2050</v>
      </c>
      <c r="AE68" s="81"/>
      <c r="AF68" s="220"/>
    </row>
    <row r="69" spans="2:32">
      <c r="B69" s="357" t="s">
        <v>1006</v>
      </c>
      <c r="D69" s="212" t="str">
        <f>"IND"&amp;RIGHT(H69,4)&amp;RIGHT(G69,3)&amp;"N"&amp;RIGHT(E69,1)</f>
        <v>INDCDPHELCN7</v>
      </c>
      <c r="E69" s="261" t="str">
        <f>"Industrial heating technology "&amp;$AJ$12&amp;" "&amp;RIGHT(H69,2)&amp;" - Infrared heating - new 7"</f>
        <v>Industrial heating technology Chemical PH - Infrared heating - new 7</v>
      </c>
      <c r="F69" s="224" t="s">
        <v>1149</v>
      </c>
      <c r="G69" s="173" t="s">
        <v>499</v>
      </c>
      <c r="H69" s="174" t="str">
        <f>$AI$14</f>
        <v>ICDPH</v>
      </c>
      <c r="I69" s="173" t="str">
        <f t="shared" si="22"/>
        <v>INDCWH</v>
      </c>
      <c r="J69" s="224">
        <f t="shared" si="32"/>
        <v>2011</v>
      </c>
      <c r="K69" s="299">
        <v>2020</v>
      </c>
      <c r="L69" s="199">
        <f t="shared" ca="1" si="23"/>
        <v>0.96</v>
      </c>
      <c r="M69" s="199"/>
      <c r="N69" s="81">
        <f ca="1">VLOOKUP($AD69,INDIRECT("'"&amp;$B69&amp;"'!"&amp;"$P$39:$AD$42"),5,FALSE)</f>
        <v>30</v>
      </c>
      <c r="O69" s="723">
        <f t="shared" ca="1" si="24"/>
        <v>2.6074999999999999</v>
      </c>
      <c r="P69" s="723">
        <f t="shared" ca="1" si="25"/>
        <v>0</v>
      </c>
      <c r="Q69" s="81">
        <f t="shared" ca="1" si="26"/>
        <v>242.27606944444443</v>
      </c>
      <c r="R69" s="81">
        <v>3.1536000000000002E-2</v>
      </c>
      <c r="S69" s="199">
        <v>0.5</v>
      </c>
      <c r="T69" s="199">
        <f ca="1">HLOOKUP($S$2,INDIRECT("'"&amp;$B69&amp;"'!"&amp;"$P$6:$AC$19"),IF(H69=$AI$13,6,IF(H69=$AI$14,9,14)),FALSE)</f>
        <v>0</v>
      </c>
      <c r="U69" s="772"/>
      <c r="V69" s="199">
        <f t="shared" ref="V69" ca="1" si="36">IF(IF(RIGHT(H69,2)="PH",(1-L69)+$W$2,IF(RIGHT(H69,2)="HT",(1-L69)+$W$1,IF(RIGHT(H69,2)="SH",(1-L69)+$W$3,"")))&gt;0,IF(RIGHT(H69,2)="PH",(1-L69)+$W$2,IF(RIGHT(H69,2)="HT",(1-L69)+$W$1,IF(RIGHT(H69,2)="SH",(1-L69)+$W$3,""))),0)</f>
        <v>0.24000000000000005</v>
      </c>
      <c r="W69" s="298"/>
      <c r="X69" s="698">
        <f t="shared" ca="1" si="27"/>
        <v>0</v>
      </c>
      <c r="Y69" s="81">
        <f t="shared" ca="1" si="28"/>
        <v>0</v>
      </c>
      <c r="Z69" s="81">
        <f t="shared" ca="1" si="29"/>
        <v>0</v>
      </c>
      <c r="AA69" s="81">
        <f t="shared" ca="1" si="30"/>
        <v>0</v>
      </c>
      <c r="AB69" s="81">
        <f t="shared" ca="1" si="31"/>
        <v>0</v>
      </c>
      <c r="AD69" s="81">
        <v>2020</v>
      </c>
      <c r="AE69" s="81"/>
      <c r="AF69" s="220"/>
    </row>
    <row r="70" spans="2:32">
      <c r="B70" s="357" t="s">
        <v>1006</v>
      </c>
      <c r="D70" s="212"/>
      <c r="E70" s="212"/>
      <c r="F70" s="224" t="s">
        <v>1149</v>
      </c>
      <c r="H70" s="174"/>
      <c r="I70" s="173" t="str">
        <f t="shared" si="22"/>
        <v>INDCWH</v>
      </c>
      <c r="J70" s="224">
        <f t="shared" si="32"/>
        <v>2030</v>
      </c>
      <c r="K70" s="81"/>
      <c r="L70" s="199">
        <f t="shared" ca="1" si="23"/>
        <v>0.96</v>
      </c>
      <c r="M70" s="199"/>
      <c r="N70" s="81"/>
      <c r="O70" s="723">
        <f t="shared" ca="1" si="24"/>
        <v>2.5330000000000004</v>
      </c>
      <c r="P70" s="723">
        <f t="shared" ca="1" si="25"/>
        <v>0</v>
      </c>
      <c r="Q70" s="81">
        <f t="shared" ca="1" si="26"/>
        <v>242.28020833333332</v>
      </c>
      <c r="R70" s="300"/>
      <c r="S70" s="300"/>
      <c r="T70" s="300"/>
      <c r="U70" s="300"/>
      <c r="V70" s="199">
        <f t="shared" ref="V70" ca="1" si="37">IF(IF(RIGHT(H69,2)="PH",(1-L70)+$W$2,IF(RIGHT(H69,2)="HT",(1-L70)+$W$1,IF(RIGHT(H69,2)="SH",(1-L70)+$W$3,"")))&gt;0,IF(RIGHT(H69,2)="PH",(1-L70)+$W$2,IF(RIGHT(H69,2)="HT",(1-L70)+$W$1,IF(RIGHT(H69,2)="SH",(1-L70)+$W$3,""))),0)</f>
        <v>0.24000000000000005</v>
      </c>
      <c r="W70" s="298"/>
      <c r="X70" s="698">
        <f t="shared" ca="1" si="27"/>
        <v>0</v>
      </c>
      <c r="Y70" s="81">
        <f t="shared" ca="1" si="28"/>
        <v>0</v>
      </c>
      <c r="Z70" s="81">
        <f t="shared" ca="1" si="29"/>
        <v>0</v>
      </c>
      <c r="AA70" s="81">
        <f t="shared" ca="1" si="30"/>
        <v>0</v>
      </c>
      <c r="AB70" s="81">
        <f t="shared" ca="1" si="31"/>
        <v>0</v>
      </c>
      <c r="AD70" s="81">
        <v>2030</v>
      </c>
      <c r="AE70" s="81"/>
      <c r="AF70" s="220"/>
    </row>
    <row r="71" spans="2:32">
      <c r="B71" s="357" t="s">
        <v>1006</v>
      </c>
      <c r="D71" s="212"/>
      <c r="E71" s="212"/>
      <c r="F71" s="224" t="s">
        <v>1149</v>
      </c>
      <c r="H71" s="174"/>
      <c r="I71" s="174" t="str">
        <f t="shared" si="22"/>
        <v>INDCWH</v>
      </c>
      <c r="J71" s="224">
        <f t="shared" si="32"/>
        <v>2050</v>
      </c>
      <c r="K71" s="81"/>
      <c r="L71" s="199">
        <f t="shared" ca="1" si="23"/>
        <v>0.96</v>
      </c>
      <c r="M71" s="199"/>
      <c r="N71" s="81"/>
      <c r="O71" s="723">
        <f t="shared" ca="1" si="24"/>
        <v>2.3467500000000001</v>
      </c>
      <c r="P71" s="723">
        <f t="shared" ca="1" si="25"/>
        <v>0</v>
      </c>
      <c r="Q71" s="81">
        <f t="shared" ca="1" si="26"/>
        <v>242.28227777777775</v>
      </c>
      <c r="R71" s="300"/>
      <c r="S71" s="300"/>
      <c r="T71" s="300"/>
      <c r="U71" s="300"/>
      <c r="V71" s="199">
        <f t="shared" ref="V71" ca="1" si="38">IF(IF(RIGHT(H69,2)="PH",(1-L71)+$W$2,IF(RIGHT(H69,2)="HT",(1-L71)+$W$1,IF(RIGHT(H69,2)="SH",(1-L71)+$W$3,"")))&gt;0,IF(RIGHT(H69,2)="PH",(1-L71)+$W$2,IF(RIGHT(H69,2)="HT",(1-L71)+$W$1,IF(RIGHT(H69,2)="SH",(1-L71)+$W$3,""))),0)</f>
        <v>0.24000000000000005</v>
      </c>
      <c r="W71" s="298"/>
      <c r="X71" s="698">
        <f t="shared" ca="1" si="27"/>
        <v>0</v>
      </c>
      <c r="Y71" s="81">
        <f t="shared" ca="1" si="28"/>
        <v>0</v>
      </c>
      <c r="Z71" s="81">
        <f t="shared" ca="1" si="29"/>
        <v>0</v>
      </c>
      <c r="AA71" s="81">
        <f t="shared" ca="1" si="30"/>
        <v>0</v>
      </c>
      <c r="AB71" s="81">
        <f t="shared" ca="1" si="31"/>
        <v>0</v>
      </c>
      <c r="AD71" s="81">
        <v>2050</v>
      </c>
      <c r="AE71" s="81"/>
      <c r="AF71" s="220"/>
    </row>
    <row r="72" spans="2:32">
      <c r="B72" s="357" t="s">
        <v>1007</v>
      </c>
      <c r="D72" s="212" t="str">
        <f>"IND"&amp;RIGHT(H72,4)&amp;RIGHT(G72,3)&amp;"N"&amp;RIGHT(E72,1)</f>
        <v>INDCDPHELCN8</v>
      </c>
      <c r="E72" s="261" t="str">
        <f>"Industrial heating technology "&amp;$AJ$12&amp;" "&amp;RIGHT(H72,2)&amp;" - Electric boiler (Steam) - new 8"</f>
        <v>Industrial heating technology Chemical PH - Electric boiler (Steam) - new 8</v>
      </c>
      <c r="F72" s="224" t="s">
        <v>1149</v>
      </c>
      <c r="G72" s="173" t="s">
        <v>499</v>
      </c>
      <c r="H72" s="174" t="str">
        <f>$AI$13</f>
        <v>ICDPH</v>
      </c>
      <c r="I72" s="174" t="str">
        <f t="shared" si="22"/>
        <v>INDCWH</v>
      </c>
      <c r="J72" s="224">
        <f t="shared" si="32"/>
        <v>2011</v>
      </c>
      <c r="K72" s="299">
        <v>2020</v>
      </c>
      <c r="L72" s="199">
        <f t="shared" ca="1" si="23"/>
        <v>0.99</v>
      </c>
      <c r="M72" s="199"/>
      <c r="N72" s="81">
        <f ca="1">VLOOKUP($AD72,INDIRECT("'"&amp;$B72&amp;"'!"&amp;"$P$39:$AD$42"),5,FALSE)</f>
        <v>25</v>
      </c>
      <c r="O72" s="723">
        <f t="shared" ca="1" si="24"/>
        <v>0.59599999999999997</v>
      </c>
      <c r="P72" s="723">
        <f t="shared" ca="1" si="25"/>
        <v>7.9714999999999994E-3</v>
      </c>
      <c r="Q72" s="81">
        <f t="shared" ca="1" si="26"/>
        <v>1.7900694444444445</v>
      </c>
      <c r="R72" s="81">
        <v>3.1536000000000002E-2</v>
      </c>
      <c r="S72" s="199">
        <v>0.5</v>
      </c>
      <c r="T72" s="199">
        <f ca="1">HLOOKUP($T$2,INDIRECT("'"&amp;$B72&amp;"'!"&amp;"$P$6:$AC$19"),IF(H72=$AI$13,6,IF(H72=$AI$14,9,14)),FALSE)</f>
        <v>1</v>
      </c>
      <c r="U72" s="772"/>
      <c r="V72" s="199">
        <f t="shared" ref="V72" ca="1" si="39">IF(IF(RIGHT(H72,2)="PH",(1-L72)+$W$2,IF(RIGHT(H72,2)="HT",(1-L72)+$W$1,IF(RIGHT(H72,2)="SH",(1-L72)+$W$3,"")))&gt;0,IF(RIGHT(H72,2)="PH",(1-L72)+$W$2,IF(RIGHT(H72,2)="HT",(1-L72)+$W$1,IF(RIGHT(H72,2)="SH",(1-L72)+$W$3,""))),0)</f>
        <v>0.21000000000000002</v>
      </c>
      <c r="W72" s="298"/>
      <c r="X72" s="698">
        <f t="shared" ca="1" si="27"/>
        <v>0</v>
      </c>
      <c r="Y72" s="81">
        <f t="shared" ca="1" si="28"/>
        <v>0</v>
      </c>
      <c r="Z72" s="81">
        <f t="shared" ca="1" si="29"/>
        <v>0</v>
      </c>
      <c r="AA72" s="81">
        <f t="shared" ca="1" si="30"/>
        <v>0</v>
      </c>
      <c r="AB72" s="81">
        <f t="shared" ca="1" si="31"/>
        <v>0</v>
      </c>
      <c r="AD72" s="81">
        <v>2020</v>
      </c>
      <c r="AE72" s="81"/>
      <c r="AF72" s="220"/>
    </row>
    <row r="73" spans="2:32">
      <c r="B73" s="357" t="s">
        <v>1007</v>
      </c>
      <c r="D73" s="212"/>
      <c r="E73" s="212"/>
      <c r="F73" s="224" t="s">
        <v>1149</v>
      </c>
      <c r="H73" s="174"/>
      <c r="I73" s="174" t="str">
        <f t="shared" si="22"/>
        <v>INDCWH</v>
      </c>
      <c r="J73" s="224">
        <f t="shared" si="32"/>
        <v>2030</v>
      </c>
      <c r="K73" s="81"/>
      <c r="L73" s="199">
        <f t="shared" ca="1" si="23"/>
        <v>0.99</v>
      </c>
      <c r="M73" s="199"/>
      <c r="N73" s="81"/>
      <c r="O73" s="723">
        <f t="shared" ca="1" si="24"/>
        <v>0.52150000000000007</v>
      </c>
      <c r="P73" s="723">
        <f t="shared" ca="1" si="25"/>
        <v>7.5989999999999999E-3</v>
      </c>
      <c r="Q73" s="81">
        <f t="shared" ca="1" si="26"/>
        <v>1.8107638888888888</v>
      </c>
      <c r="R73" s="300"/>
      <c r="S73" s="300"/>
      <c r="T73" s="300"/>
      <c r="U73" s="300"/>
      <c r="V73" s="199">
        <f t="shared" ref="V73" ca="1" si="40">IF(IF(RIGHT(H72,2)="PH",(1-L73)+$W$2,IF(RIGHT(H72,2)="HT",(1-L73)+$W$1,IF(RIGHT(H72,2)="SH",(1-L73)+$W$3,"")))&gt;0,IF(RIGHT(H72,2)="PH",(1-L73)+$W$2,IF(RIGHT(H72,2)="HT",(1-L73)+$W$1,IF(RIGHT(H72,2)="SH",(1-L73)+$W$3,""))),0)</f>
        <v>0.21000000000000002</v>
      </c>
      <c r="W73" s="298"/>
      <c r="X73" s="698">
        <f t="shared" ca="1" si="27"/>
        <v>0</v>
      </c>
      <c r="Y73" s="81">
        <f t="shared" ca="1" si="28"/>
        <v>0</v>
      </c>
      <c r="Z73" s="81">
        <f t="shared" ca="1" si="29"/>
        <v>0</v>
      </c>
      <c r="AA73" s="81">
        <f t="shared" ca="1" si="30"/>
        <v>0</v>
      </c>
      <c r="AB73" s="81">
        <f t="shared" ca="1" si="31"/>
        <v>0</v>
      </c>
      <c r="AD73" s="81">
        <v>2030</v>
      </c>
      <c r="AE73" s="81"/>
      <c r="AF73" s="220"/>
    </row>
    <row r="74" spans="2:32">
      <c r="B74" s="357" t="s">
        <v>1007</v>
      </c>
      <c r="D74" s="212"/>
      <c r="E74" s="212"/>
      <c r="F74" s="224" t="s">
        <v>1149</v>
      </c>
      <c r="H74" s="174"/>
      <c r="I74" s="174" t="str">
        <f t="shared" si="22"/>
        <v>INDCWH</v>
      </c>
      <c r="J74" s="224">
        <f t="shared" si="32"/>
        <v>2050</v>
      </c>
      <c r="K74" s="81"/>
      <c r="L74" s="199">
        <f t="shared" ca="1" si="23"/>
        <v>0.99</v>
      </c>
      <c r="M74" s="199"/>
      <c r="N74" s="81"/>
      <c r="O74" s="723">
        <f t="shared" ca="1" si="24"/>
        <v>0.52150000000000007</v>
      </c>
      <c r="P74" s="723">
        <f t="shared" ca="1" si="25"/>
        <v>6.8539999999999998E-3</v>
      </c>
      <c r="Q74" s="81">
        <f t="shared" ca="1" si="26"/>
        <v>1.6141666666666665</v>
      </c>
      <c r="R74" s="300"/>
      <c r="S74" s="300"/>
      <c r="T74" s="300"/>
      <c r="U74" s="300"/>
      <c r="V74" s="199">
        <f t="shared" ref="V74" ca="1" si="41">IF(IF(RIGHT(H72,2)="PH",(1-L74)+$W$2,IF(RIGHT(H72,2)="HT",(1-L74)+$W$1,IF(RIGHT(H72,2)="SH",(1-L74)+$W$3,"")))&gt;0,IF(RIGHT(H72,2)="PH",(1-L74)+$W$2,IF(RIGHT(H72,2)="HT",(1-L74)+$W$1,IF(RIGHT(H72,2)="SH",(1-L74)+$W$3,""))),0)</f>
        <v>0.21000000000000002</v>
      </c>
      <c r="W74" s="298"/>
      <c r="X74" s="698">
        <f t="shared" ca="1" si="27"/>
        <v>0</v>
      </c>
      <c r="Y74" s="81">
        <f t="shared" ca="1" si="28"/>
        <v>0</v>
      </c>
      <c r="Z74" s="81">
        <f t="shared" ca="1" si="29"/>
        <v>0</v>
      </c>
      <c r="AA74" s="81">
        <f t="shared" ca="1" si="30"/>
        <v>0</v>
      </c>
      <c r="AB74" s="81">
        <f t="shared" ca="1" si="31"/>
        <v>0</v>
      </c>
      <c r="AD74" s="81">
        <v>2050</v>
      </c>
      <c r="AE74" s="81"/>
      <c r="AF74" s="220"/>
    </row>
    <row r="75" spans="2:32">
      <c r="B75" s="357" t="s">
        <v>1007</v>
      </c>
      <c r="D75" s="212" t="str">
        <f>"IND"&amp;RIGHT(H75,4)&amp;RIGHT(G75,3)&amp;"N"&amp;RIGHT(E75,1)</f>
        <v>INDCDPHELCN8</v>
      </c>
      <c r="E75" s="261" t="str">
        <f>"Industrial heating technology "&amp;$AJ$12&amp;" "&amp;RIGHT(H75,2)&amp;" - Electric boiler (Steam) - new 8"</f>
        <v>Industrial heating technology Chemical PH - Electric boiler (Steam) - new 8</v>
      </c>
      <c r="F75" s="224" t="s">
        <v>1149</v>
      </c>
      <c r="G75" s="173" t="s">
        <v>499</v>
      </c>
      <c r="H75" s="174" t="str">
        <f>$AI$14</f>
        <v>ICDPH</v>
      </c>
      <c r="I75" s="174" t="str">
        <f t="shared" si="22"/>
        <v>INDCWH</v>
      </c>
      <c r="J75" s="224">
        <f t="shared" si="32"/>
        <v>2011</v>
      </c>
      <c r="K75" s="299">
        <v>2020</v>
      </c>
      <c r="L75" s="199">
        <f t="shared" ca="1" si="23"/>
        <v>0.99</v>
      </c>
      <c r="M75" s="199"/>
      <c r="N75" s="81">
        <f ca="1">VLOOKUP($AD75,INDIRECT("'"&amp;$B75&amp;"'!"&amp;"$P$39:$AD$42"),5,FALSE)</f>
        <v>25</v>
      </c>
      <c r="O75" s="723">
        <f t="shared" ca="1" si="24"/>
        <v>0.59599999999999997</v>
      </c>
      <c r="P75" s="723">
        <f t="shared" ca="1" si="25"/>
        <v>7.9714999999999994E-3</v>
      </c>
      <c r="Q75" s="81">
        <f t="shared" ca="1" si="26"/>
        <v>1.7900694444444445</v>
      </c>
      <c r="R75" s="81">
        <v>3.1536000000000002E-2</v>
      </c>
      <c r="S75" s="199">
        <v>0.5</v>
      </c>
      <c r="T75" s="199">
        <f ca="1">HLOOKUP($T$2,INDIRECT("'"&amp;$B75&amp;"'!"&amp;"$P$6:$AC$19"),IF(H75=$AI$13,6,IF(H75=$AI$14,9,14)),FALSE)</f>
        <v>1</v>
      </c>
      <c r="U75" s="772"/>
      <c r="V75" s="199">
        <f t="shared" ref="V75" ca="1" si="42">IF(IF(RIGHT(H75,2)="PH",(1-L75)+$W$2,IF(RIGHT(H75,2)="HT",(1-L75)+$W$1,IF(RIGHT(H75,2)="SH",(1-L75)+$W$3,"")))&gt;0,IF(RIGHT(H75,2)="PH",(1-L75)+$W$2,IF(RIGHT(H75,2)="HT",(1-L75)+$W$1,IF(RIGHT(H75,2)="SH",(1-L75)+$W$3,""))),0)</f>
        <v>0.21000000000000002</v>
      </c>
      <c r="W75" s="298"/>
      <c r="X75" s="698">
        <f t="shared" ca="1" si="27"/>
        <v>0</v>
      </c>
      <c r="Y75" s="81">
        <f t="shared" ca="1" si="28"/>
        <v>0</v>
      </c>
      <c r="Z75" s="81">
        <f t="shared" ca="1" si="29"/>
        <v>0</v>
      </c>
      <c r="AA75" s="81">
        <f t="shared" ca="1" si="30"/>
        <v>0</v>
      </c>
      <c r="AB75" s="81">
        <f t="shared" ca="1" si="31"/>
        <v>0</v>
      </c>
      <c r="AD75" s="81">
        <v>2020</v>
      </c>
      <c r="AE75" s="81"/>
      <c r="AF75" s="220"/>
    </row>
    <row r="76" spans="2:32">
      <c r="B76" s="357" t="s">
        <v>1007</v>
      </c>
      <c r="D76" s="212"/>
      <c r="E76" s="212"/>
      <c r="F76" s="224" t="s">
        <v>1149</v>
      </c>
      <c r="H76" s="174"/>
      <c r="I76" s="174" t="str">
        <f t="shared" si="22"/>
        <v>INDCWH</v>
      </c>
      <c r="J76" s="224">
        <f t="shared" si="32"/>
        <v>2030</v>
      </c>
      <c r="K76" s="81"/>
      <c r="L76" s="199">
        <f t="shared" ca="1" si="23"/>
        <v>0.99</v>
      </c>
      <c r="M76" s="199"/>
      <c r="N76" s="81"/>
      <c r="O76" s="723">
        <f t="shared" ca="1" si="24"/>
        <v>0.52150000000000007</v>
      </c>
      <c r="P76" s="723">
        <f t="shared" ca="1" si="25"/>
        <v>7.5989999999999999E-3</v>
      </c>
      <c r="Q76" s="81">
        <f t="shared" ca="1" si="26"/>
        <v>1.8107638888888888</v>
      </c>
      <c r="R76" s="300"/>
      <c r="S76" s="300"/>
      <c r="T76" s="300"/>
      <c r="U76" s="300"/>
      <c r="V76" s="199">
        <f t="shared" ref="V76" ca="1" si="43">IF(IF(RIGHT(H75,2)="PH",(1-L76)+$W$2,IF(RIGHT(H75,2)="HT",(1-L76)+$W$1,IF(RIGHT(H75,2)="SH",(1-L76)+$W$3,"")))&gt;0,IF(RIGHT(H75,2)="PH",(1-L76)+$W$2,IF(RIGHT(H75,2)="HT",(1-L76)+$W$1,IF(RIGHT(H75,2)="SH",(1-L76)+$W$3,""))),0)</f>
        <v>0.21000000000000002</v>
      </c>
      <c r="W76" s="298"/>
      <c r="X76" s="698">
        <f t="shared" ca="1" si="27"/>
        <v>0</v>
      </c>
      <c r="Y76" s="81">
        <f t="shared" ca="1" si="28"/>
        <v>0</v>
      </c>
      <c r="Z76" s="81">
        <f t="shared" ca="1" si="29"/>
        <v>0</v>
      </c>
      <c r="AA76" s="81">
        <f t="shared" ca="1" si="30"/>
        <v>0</v>
      </c>
      <c r="AB76" s="81">
        <f t="shared" ca="1" si="31"/>
        <v>0</v>
      </c>
      <c r="AD76" s="81">
        <v>2030</v>
      </c>
      <c r="AE76" s="81"/>
      <c r="AF76" s="220"/>
    </row>
    <row r="77" spans="2:32">
      <c r="B77" s="357" t="s">
        <v>1007</v>
      </c>
      <c r="D77" s="212"/>
      <c r="E77" s="212"/>
      <c r="F77" s="224" t="s">
        <v>1149</v>
      </c>
      <c r="H77" s="174"/>
      <c r="I77" s="174" t="str">
        <f t="shared" si="22"/>
        <v>INDCWH</v>
      </c>
      <c r="J77" s="224">
        <f t="shared" si="32"/>
        <v>2050</v>
      </c>
      <c r="K77" s="81"/>
      <c r="L77" s="199">
        <f t="shared" ca="1" si="23"/>
        <v>0.99</v>
      </c>
      <c r="M77" s="199"/>
      <c r="N77" s="81"/>
      <c r="O77" s="723">
        <f t="shared" ca="1" si="24"/>
        <v>0.52150000000000007</v>
      </c>
      <c r="P77" s="723">
        <f t="shared" ca="1" si="25"/>
        <v>6.8539999999999998E-3</v>
      </c>
      <c r="Q77" s="81">
        <f t="shared" ca="1" si="26"/>
        <v>1.6141666666666665</v>
      </c>
      <c r="R77" s="300"/>
      <c r="S77" s="300"/>
      <c r="T77" s="300"/>
      <c r="U77" s="300"/>
      <c r="V77" s="199">
        <f t="shared" ref="V77" ca="1" si="44">IF(IF(RIGHT(H75,2)="PH",(1-L77)+$W$2,IF(RIGHT(H75,2)="HT",(1-L77)+$W$1,IF(RIGHT(H75,2)="SH",(1-L77)+$W$3,"")))&gt;0,IF(RIGHT(H75,2)="PH",(1-L77)+$W$2,IF(RIGHT(H75,2)="HT",(1-L77)+$W$1,IF(RIGHT(H75,2)="SH",(1-L77)+$W$3,""))),0)</f>
        <v>0.21000000000000002</v>
      </c>
      <c r="W77" s="298"/>
      <c r="X77" s="698">
        <f t="shared" ca="1" si="27"/>
        <v>0</v>
      </c>
      <c r="Y77" s="81">
        <f t="shared" ca="1" si="28"/>
        <v>0</v>
      </c>
      <c r="Z77" s="81">
        <f t="shared" ca="1" si="29"/>
        <v>0</v>
      </c>
      <c r="AA77" s="81">
        <f t="shared" ca="1" si="30"/>
        <v>0</v>
      </c>
      <c r="AB77" s="81">
        <f t="shared" ca="1" si="31"/>
        <v>0</v>
      </c>
      <c r="AD77" s="81">
        <v>2050</v>
      </c>
      <c r="AE77" s="706"/>
      <c r="AF77" s="220"/>
    </row>
    <row r="78" spans="2:32">
      <c r="B78" s="357" t="s">
        <v>1007</v>
      </c>
      <c r="D78" s="212" t="str">
        <f>"IND"&amp;RIGHT(H78,4)&amp;RIGHT(G78,3)&amp;"N"&amp;RIGHT(E78,1)</f>
        <v>INDCDSHELCN8</v>
      </c>
      <c r="E78" s="261" t="str">
        <f>"Industrial heating technology "&amp;$AJ$12&amp;" "&amp;RIGHT(H78,2)&amp;" - Electric boiler (Steam) - new 8"</f>
        <v>Industrial heating technology Chemical SH - Electric boiler (Steam) - new 8</v>
      </c>
      <c r="F78" s="224" t="s">
        <v>1149</v>
      </c>
      <c r="G78" s="173" t="s">
        <v>499</v>
      </c>
      <c r="H78" s="174" t="str">
        <f>$AI$15</f>
        <v>ICDSH</v>
      </c>
      <c r="I78" s="174" t="str">
        <f t="shared" si="22"/>
        <v>INDCWH</v>
      </c>
      <c r="J78" s="224">
        <f t="shared" si="32"/>
        <v>2011</v>
      </c>
      <c r="K78" s="299">
        <v>2020</v>
      </c>
      <c r="L78" s="199">
        <f t="shared" ca="1" si="23"/>
        <v>0.99</v>
      </c>
      <c r="M78" s="199"/>
      <c r="N78" s="81">
        <f ca="1">VLOOKUP($AD78,INDIRECT("'"&amp;$B78&amp;"'!"&amp;"$P$39:$AD$42"),5,FALSE)</f>
        <v>25</v>
      </c>
      <c r="O78" s="723">
        <f t="shared" ca="1" si="24"/>
        <v>0.59599999999999997</v>
      </c>
      <c r="P78" s="723">
        <f t="shared" ca="1" si="25"/>
        <v>7.9714999999999994E-3</v>
      </c>
      <c r="Q78" s="81">
        <f t="shared" ca="1" si="26"/>
        <v>1.7900694444444445</v>
      </c>
      <c r="R78" s="81">
        <v>3.1536000000000002E-2</v>
      </c>
      <c r="S78" s="199">
        <v>0.5</v>
      </c>
      <c r="T78" s="199">
        <f ca="1">HLOOKUP($T$2,INDIRECT("'"&amp;$B78&amp;"'!"&amp;"$P$6:$AC$19"),IF(H78=$AI$13,6,IF(H78=$AI$14,9,14)),FALSE)</f>
        <v>1</v>
      </c>
      <c r="U78" s="772"/>
      <c r="V78" s="199">
        <f t="shared" ref="V78" ca="1" si="45">IF(IF(RIGHT(H78,2)="PH",(1-L78)+$W$2,IF(RIGHT(H78,2)="HT",(1-L78)+$W$1,IF(RIGHT(H78,2)="SH",(1-L78)+$W$3,"")))&gt;0,IF(RIGHT(H78,2)="PH",(1-L78)+$W$2,IF(RIGHT(H78,2)="HT",(1-L78)+$W$1,IF(RIGHT(H78,2)="SH",(1-L78)+$W$3,""))),0)</f>
        <v>1.0000000000000009E-2</v>
      </c>
      <c r="W78" s="298"/>
      <c r="X78" s="698">
        <f t="shared" ca="1" si="27"/>
        <v>0</v>
      </c>
      <c r="Y78" s="81">
        <f t="shared" ca="1" si="28"/>
        <v>0</v>
      </c>
      <c r="Z78" s="81">
        <f t="shared" ca="1" si="29"/>
        <v>0</v>
      </c>
      <c r="AA78" s="81">
        <f t="shared" ca="1" si="30"/>
        <v>0</v>
      </c>
      <c r="AB78" s="81">
        <f t="shared" ca="1" si="31"/>
        <v>0</v>
      </c>
      <c r="AC78" s="296"/>
      <c r="AD78" s="81">
        <v>2020</v>
      </c>
      <c r="AE78" s="81"/>
      <c r="AF78" s="710"/>
    </row>
    <row r="79" spans="2:32">
      <c r="B79" s="357" t="s">
        <v>1007</v>
      </c>
      <c r="D79" s="212"/>
      <c r="E79" s="212"/>
      <c r="F79" s="224" t="s">
        <v>1149</v>
      </c>
      <c r="H79" s="174"/>
      <c r="I79" s="174" t="str">
        <f t="shared" si="22"/>
        <v>INDCWH</v>
      </c>
      <c r="J79" s="224">
        <f t="shared" si="32"/>
        <v>2030</v>
      </c>
      <c r="K79" s="81"/>
      <c r="L79" s="199">
        <f t="shared" ca="1" si="23"/>
        <v>0.99</v>
      </c>
      <c r="M79" s="199"/>
      <c r="N79" s="81"/>
      <c r="O79" s="723">
        <f t="shared" ca="1" si="24"/>
        <v>0.52150000000000007</v>
      </c>
      <c r="P79" s="723">
        <f t="shared" ca="1" si="25"/>
        <v>7.5989999999999999E-3</v>
      </c>
      <c r="Q79" s="81">
        <f t="shared" ca="1" si="26"/>
        <v>1.8107638888888888</v>
      </c>
      <c r="R79" s="300"/>
      <c r="S79" s="300"/>
      <c r="T79" s="300"/>
      <c r="U79" s="300"/>
      <c r="V79" s="199">
        <f t="shared" ref="V79" ca="1" si="46">IF(IF(RIGHT(H78,2)="PH",(1-L79)+$W$2,IF(RIGHT(H78,2)="HT",(1-L79)+$W$1,IF(RIGHT(H78,2)="SH",(1-L79)+$W$3,"")))&gt;0,IF(RIGHT(H78,2)="PH",(1-L79)+$W$2,IF(RIGHT(H78,2)="HT",(1-L79)+$W$1,IF(RIGHT(H78,2)="SH",(1-L79)+$W$3,""))),0)</f>
        <v>1.0000000000000009E-2</v>
      </c>
      <c r="W79" s="298"/>
      <c r="X79" s="698">
        <f t="shared" ca="1" si="27"/>
        <v>0</v>
      </c>
      <c r="Y79" s="81">
        <f t="shared" ca="1" si="28"/>
        <v>0</v>
      </c>
      <c r="Z79" s="81">
        <f t="shared" ca="1" si="29"/>
        <v>0</v>
      </c>
      <c r="AA79" s="81">
        <f t="shared" ca="1" si="30"/>
        <v>0</v>
      </c>
      <c r="AB79" s="81">
        <f t="shared" ca="1" si="31"/>
        <v>0</v>
      </c>
      <c r="AC79" s="55"/>
      <c r="AD79" s="81">
        <v>2030</v>
      </c>
      <c r="AE79" s="81"/>
      <c r="AF79" s="700"/>
    </row>
    <row r="80" spans="2:32">
      <c r="B80" s="357" t="s">
        <v>1007</v>
      </c>
      <c r="D80" s="212"/>
      <c r="E80" s="212"/>
      <c r="F80" s="224" t="s">
        <v>1149</v>
      </c>
      <c r="H80" s="174"/>
      <c r="I80" s="174" t="str">
        <f t="shared" si="22"/>
        <v>INDCWH</v>
      </c>
      <c r="J80" s="224">
        <f t="shared" si="32"/>
        <v>2050</v>
      </c>
      <c r="K80" s="706"/>
      <c r="L80" s="199">
        <f t="shared" ca="1" si="23"/>
        <v>0.99</v>
      </c>
      <c r="M80" s="774"/>
      <c r="N80" s="706"/>
      <c r="O80" s="724">
        <f t="shared" ca="1" si="24"/>
        <v>0.52150000000000007</v>
      </c>
      <c r="P80" s="724">
        <f t="shared" ca="1" si="25"/>
        <v>6.8539999999999998E-3</v>
      </c>
      <c r="Q80" s="706">
        <f t="shared" ca="1" si="26"/>
        <v>1.6141666666666665</v>
      </c>
      <c r="R80" s="300"/>
      <c r="S80" s="300"/>
      <c r="T80" s="300"/>
      <c r="U80" s="300"/>
      <c r="V80" s="199">
        <f t="shared" ref="V80" ca="1" si="47">IF(IF(RIGHT(H78,2)="PH",(1-L80)+$W$2,IF(RIGHT(H78,2)="HT",(1-L80)+$W$1,IF(RIGHT(H78,2)="SH",(1-L80)+$W$3,"")))&gt;0,IF(RIGHT(H78,2)="PH",(1-L80)+$W$2,IF(RIGHT(H78,2)="HT",(1-L80)+$W$1,IF(RIGHT(H78,2)="SH",(1-L80)+$W$3,""))),0)</f>
        <v>1.0000000000000009E-2</v>
      </c>
      <c r="W80" s="298"/>
      <c r="X80" s="698">
        <f t="shared" ca="1" si="27"/>
        <v>0</v>
      </c>
      <c r="Y80" s="706">
        <f t="shared" ca="1" si="28"/>
        <v>0</v>
      </c>
      <c r="Z80" s="706">
        <f t="shared" ca="1" si="29"/>
        <v>0</v>
      </c>
      <c r="AA80" s="706">
        <f t="shared" ca="1" si="30"/>
        <v>0</v>
      </c>
      <c r="AB80" s="706">
        <f t="shared" ca="1" si="31"/>
        <v>0</v>
      </c>
      <c r="AC80" s="55"/>
      <c r="AD80" s="706">
        <v>2050</v>
      </c>
      <c r="AE80" s="81"/>
      <c r="AF80" s="700"/>
    </row>
    <row r="81" spans="1:33">
      <c r="B81" s="716" t="s">
        <v>1007</v>
      </c>
      <c r="C81" s="296"/>
      <c r="D81" s="707" t="str">
        <f>"IND"&amp;RIGHT(H81,4)&amp;RIGHT(G81,3)&amp;"N"&amp;RIGHT(E81,1)</f>
        <v>INDCDPHELCN9</v>
      </c>
      <c r="E81" s="707" t="str">
        <f>"Industrial heating technology "&amp;$AJ$12&amp;" "&amp;RIGHT(H81,2)&amp;" - Electric boiler (Hot Water) - new 9"</f>
        <v>Industrial heating technology Chemical PH - Electric boiler (Hot Water) - new 9</v>
      </c>
      <c r="F81" s="224" t="s">
        <v>1149</v>
      </c>
      <c r="G81" s="708" t="s">
        <v>499</v>
      </c>
      <c r="H81" s="708" t="str">
        <f>$AI$14</f>
        <v>ICDPH</v>
      </c>
      <c r="I81" s="708" t="str">
        <f t="shared" si="22"/>
        <v>INDCWH</v>
      </c>
      <c r="J81" s="224">
        <f t="shared" si="32"/>
        <v>2011</v>
      </c>
      <c r="K81" s="299">
        <v>2020</v>
      </c>
      <c r="L81" s="199">
        <f t="shared" ref="L81:L86" ca="1" si="48">VLOOKUP($AD81,INDIRECT("'"&amp;$B81&amp;"'!"&amp;"$P$118:$AD$121"),3,FALSE)</f>
        <v>0.99</v>
      </c>
      <c r="M81" s="199"/>
      <c r="N81" s="81">
        <f ca="1">VLOOKUP($AD81,INDIRECT("'"&amp;$B81&amp;"'!"&amp;"$P$118:$AD$121"),5,FALSE)</f>
        <v>25</v>
      </c>
      <c r="O81" s="723">
        <f t="shared" ref="O81:O86" ca="1" si="49">VLOOKUP($AD81,INDIRECT("'"&amp;$B81&amp;"'!"&amp;"$P$118:$AD$121"),6,FALSE)/1000</f>
        <v>0.52150000000000007</v>
      </c>
      <c r="P81" s="723">
        <f t="shared" ref="P81:P86" ca="1" si="50">VLOOKUP($AD81,INDIRECT("'"&amp;$B81&amp;"'!"&amp;"$P$118:$AD$121"),7,FALSE)/1000</f>
        <v>7.9714999999999994E-3</v>
      </c>
      <c r="Q81" s="81">
        <f t="shared" ref="Q81:Q86" ca="1" si="51">VLOOKUP($AD81,INDIRECT("'"&amp;$B81&amp;"'!"&amp;"$P$118:$AD$121"),8,FALSE)</f>
        <v>1.7900694444444445</v>
      </c>
      <c r="R81" s="81">
        <v>3.1536000000000002E-2</v>
      </c>
      <c r="S81" s="199">
        <v>0.5</v>
      </c>
      <c r="T81" s="199">
        <f ca="1">HLOOKUP($T$2,INDIRECT("'"&amp;$B81&amp;"'!"&amp;"$P$85:$AC$98"),IF(H81=$AI$13,6,IF(H81=$AI$14,9,14)),FALSE)</f>
        <v>0</v>
      </c>
      <c r="U81" s="773"/>
      <c r="V81" s="199">
        <f t="shared" ref="V81" ca="1" si="52">IF(IF(RIGHT(H81,2)="PH",(1-L81)+$W$2,IF(RIGHT(H81,2)="HT",(1-L81)+$W$1,IF(RIGHT(H81,2)="SH",(1-L81)+$W$3,"")))&gt;0,IF(RIGHT(H81,2)="PH",(1-L81)+$W$2,IF(RIGHT(H81,2)="HT",(1-L81)+$W$1,IF(RIGHT(H81,2)="SH",(1-L81)+$W$3,""))),0)</f>
        <v>0.21000000000000002</v>
      </c>
      <c r="W81" s="709"/>
      <c r="X81" s="698">
        <f t="shared" ca="1" si="27"/>
        <v>0</v>
      </c>
      <c r="Y81" s="698">
        <f t="shared" ref="Y81:Y86" ca="1" si="53">VLOOKUP($AD81,INDIRECT("'"&amp;$B81&amp;"'!"&amp;"$P$118:$AD$121"),12,FALSE)</f>
        <v>0</v>
      </c>
      <c r="Z81" s="698">
        <f t="shared" ref="Z81:Z86" ca="1" si="54">VLOOKUP($AD81,INDIRECT("'"&amp;$B81&amp;"'!"&amp;"$P$118:$AD$121"),13,FALSE)</f>
        <v>0</v>
      </c>
      <c r="AA81" s="698">
        <f t="shared" ref="AA81:AA86" ca="1" si="55">VLOOKUP($AD81,INDIRECT("'"&amp;$B81&amp;"'!"&amp;"$P$118:$AD$121"),14,FALSE)</f>
        <v>0</v>
      </c>
      <c r="AB81" s="698">
        <f t="shared" ref="AB81:AB86" ca="1" si="56">VLOOKUP($AD81,INDIRECT("'"&amp;$B81&amp;"'!"&amp;"$P$118:$AD$121"),15,FALSE)</f>
        <v>0</v>
      </c>
      <c r="AC81" s="55"/>
      <c r="AD81" s="81">
        <v>2020</v>
      </c>
      <c r="AE81" s="81"/>
      <c r="AF81" s="700"/>
    </row>
    <row r="82" spans="1:33">
      <c r="B82" s="357" t="s">
        <v>1007</v>
      </c>
      <c r="C82" s="55"/>
      <c r="D82" s="261"/>
      <c r="E82" s="261"/>
      <c r="F82" s="224" t="s">
        <v>1149</v>
      </c>
      <c r="G82" s="55"/>
      <c r="H82" s="174"/>
      <c r="I82" s="174" t="str">
        <f t="shared" si="22"/>
        <v>INDCWH</v>
      </c>
      <c r="J82" s="224">
        <f t="shared" si="32"/>
        <v>2030</v>
      </c>
      <c r="K82" s="81"/>
      <c r="L82" s="199">
        <f t="shared" ca="1" si="48"/>
        <v>0.99</v>
      </c>
      <c r="M82" s="199"/>
      <c r="N82" s="81"/>
      <c r="O82" s="723">
        <f t="shared" ca="1" si="49"/>
        <v>0.44700000000000001</v>
      </c>
      <c r="P82" s="723">
        <f t="shared" ca="1" si="50"/>
        <v>7.5989999999999999E-3</v>
      </c>
      <c r="Q82" s="81">
        <f t="shared" ca="1" si="51"/>
        <v>1.8107638888888888</v>
      </c>
      <c r="R82" s="300"/>
      <c r="S82" s="300"/>
      <c r="T82" s="300"/>
      <c r="U82" s="300"/>
      <c r="V82" s="199">
        <f t="shared" ref="V82" ca="1" si="57">IF(IF(RIGHT(H81,2)="PH",(1-L82)+$W$2,IF(RIGHT(H81,2)="HT",(1-L82)+$W$1,IF(RIGHT(H81,2)="SH",(1-L82)+$W$3,"")))&gt;0,IF(RIGHT(H81,2)="PH",(1-L82)+$W$2,IF(RIGHT(H81,2)="HT",(1-L82)+$W$1,IF(RIGHT(H81,2)="SH",(1-L82)+$W$3,""))),0)</f>
        <v>0.21000000000000002</v>
      </c>
      <c r="W82" s="298"/>
      <c r="X82" s="698">
        <f t="shared" ca="1" si="27"/>
        <v>0</v>
      </c>
      <c r="Y82" s="698">
        <f t="shared" ca="1" si="53"/>
        <v>0</v>
      </c>
      <c r="Z82" s="698">
        <f t="shared" ca="1" si="54"/>
        <v>0</v>
      </c>
      <c r="AA82" s="698">
        <f t="shared" ca="1" si="55"/>
        <v>0</v>
      </c>
      <c r="AB82" s="698">
        <f t="shared" ca="1" si="56"/>
        <v>0</v>
      </c>
      <c r="AC82" s="55"/>
      <c r="AD82" s="81">
        <v>2030</v>
      </c>
      <c r="AE82" s="81"/>
      <c r="AF82" s="700"/>
    </row>
    <row r="83" spans="1:33">
      <c r="B83" s="357" t="s">
        <v>1007</v>
      </c>
      <c r="C83" s="55"/>
      <c r="D83" s="261"/>
      <c r="E83" s="261"/>
      <c r="F83" s="224" t="s">
        <v>1149</v>
      </c>
      <c r="G83" s="55"/>
      <c r="H83" s="174"/>
      <c r="I83" s="174" t="str">
        <f t="shared" si="22"/>
        <v>INDCWH</v>
      </c>
      <c r="J83" s="224">
        <f t="shared" si="32"/>
        <v>2050</v>
      </c>
      <c r="K83" s="81"/>
      <c r="L83" s="199">
        <f t="shared" ca="1" si="48"/>
        <v>0.99</v>
      </c>
      <c r="M83" s="199"/>
      <c r="N83" s="81"/>
      <c r="O83" s="723">
        <f t="shared" ca="1" si="49"/>
        <v>0.44700000000000001</v>
      </c>
      <c r="P83" s="723">
        <f t="shared" ca="1" si="50"/>
        <v>6.8539999999999998E-3</v>
      </c>
      <c r="Q83" s="81">
        <f t="shared" ca="1" si="51"/>
        <v>1.6141666666666665</v>
      </c>
      <c r="R83" s="300"/>
      <c r="S83" s="300"/>
      <c r="T83" s="300"/>
      <c r="U83" s="300"/>
      <c r="V83" s="199">
        <f t="shared" ref="V83" ca="1" si="58">IF(IF(RIGHT(H81,2)="PH",(1-L83)+$W$2,IF(RIGHT(H81,2)="HT",(1-L83)+$W$1,IF(RIGHT(H81,2)="SH",(1-L83)+$W$3,"")))&gt;0,IF(RIGHT(H81,2)="PH",(1-L83)+$W$2,IF(RIGHT(H81,2)="HT",(1-L83)+$W$1,IF(RIGHT(H81,2)="SH",(1-L83)+$W$3,""))),0)</f>
        <v>0.21000000000000002</v>
      </c>
      <c r="W83" s="298"/>
      <c r="X83" s="698">
        <f t="shared" ca="1" si="27"/>
        <v>0</v>
      </c>
      <c r="Y83" s="698">
        <f t="shared" ca="1" si="53"/>
        <v>0</v>
      </c>
      <c r="Z83" s="698">
        <f t="shared" ca="1" si="54"/>
        <v>0</v>
      </c>
      <c r="AA83" s="698">
        <f t="shared" ca="1" si="55"/>
        <v>0</v>
      </c>
      <c r="AB83" s="698">
        <f t="shared" ca="1" si="56"/>
        <v>0</v>
      </c>
      <c r="AC83" s="203"/>
      <c r="AD83" s="81">
        <v>2050</v>
      </c>
      <c r="AE83" s="81"/>
      <c r="AF83" s="705"/>
    </row>
    <row r="84" spans="1:33">
      <c r="B84" s="357" t="s">
        <v>1007</v>
      </c>
      <c r="C84" s="55"/>
      <c r="D84" s="261" t="str">
        <f>"IND"&amp;RIGHT(H84,4)&amp;RIGHT(G84,3)&amp;"N"&amp;RIGHT(E84,1)</f>
        <v>INDCDSHELCN9</v>
      </c>
      <c r="E84" s="261" t="str">
        <f>"Industrial heating technology "&amp;$AJ$12&amp;" "&amp;RIGHT(H84,2)&amp;" - Electric boiler (Hot Water) - new 9"</f>
        <v>Industrial heating technology Chemical SH - Electric boiler (Hot Water) - new 9</v>
      </c>
      <c r="F84" s="224" t="s">
        <v>1149</v>
      </c>
      <c r="G84" s="174" t="s">
        <v>499</v>
      </c>
      <c r="H84" s="174" t="str">
        <f>$AI$15</f>
        <v>ICDSH</v>
      </c>
      <c r="I84" s="174" t="str">
        <f t="shared" si="22"/>
        <v>INDCWH</v>
      </c>
      <c r="J84" s="224">
        <f t="shared" si="32"/>
        <v>2011</v>
      </c>
      <c r="K84" s="299">
        <v>2020</v>
      </c>
      <c r="L84" s="199">
        <f t="shared" ca="1" si="48"/>
        <v>0.99</v>
      </c>
      <c r="M84" s="199"/>
      <c r="N84" s="81">
        <f ca="1">VLOOKUP($AD84,INDIRECT("'"&amp;$B84&amp;"'!"&amp;"$P$118:$AD$121"),5,FALSE)</f>
        <v>25</v>
      </c>
      <c r="O84" s="723">
        <f t="shared" ca="1" si="49"/>
        <v>0.52150000000000007</v>
      </c>
      <c r="P84" s="723">
        <f t="shared" ca="1" si="50"/>
        <v>7.9714999999999994E-3</v>
      </c>
      <c r="Q84" s="81">
        <f t="shared" ca="1" si="51"/>
        <v>1.7900694444444445</v>
      </c>
      <c r="R84" s="81">
        <v>3.1536000000000002E-2</v>
      </c>
      <c r="S84" s="199">
        <v>0.5</v>
      </c>
      <c r="T84" s="199">
        <f ca="1">HLOOKUP($T$2,INDIRECT("'"&amp;$B84&amp;"'!"&amp;"$P$85:$AC$98"),IF(H84=$AI$13,6,IF(H84=$AI$14,9,14)),FALSE)</f>
        <v>1</v>
      </c>
      <c r="U84" s="772"/>
      <c r="V84" s="199">
        <f t="shared" ref="V84" ca="1" si="59">IF(IF(RIGHT(H84,2)="PH",(1-L84)+$W$2,IF(RIGHT(H84,2)="HT",(1-L84)+$W$1,IF(RIGHT(H84,2)="SH",(1-L84)+$W$3,"")))&gt;0,IF(RIGHT(H84,2)="PH",(1-L84)+$W$2,IF(RIGHT(H84,2)="HT",(1-L84)+$W$1,IF(RIGHT(H84,2)="SH",(1-L84)+$W$3,""))),0)</f>
        <v>1.0000000000000009E-2</v>
      </c>
      <c r="W84" s="298"/>
      <c r="X84" s="698">
        <f t="shared" ca="1" si="27"/>
        <v>0</v>
      </c>
      <c r="Y84" s="698">
        <f t="shared" ca="1" si="53"/>
        <v>0</v>
      </c>
      <c r="Z84" s="698">
        <f t="shared" ca="1" si="54"/>
        <v>0</v>
      </c>
      <c r="AA84" s="698">
        <f t="shared" ca="1" si="55"/>
        <v>0</v>
      </c>
      <c r="AB84" s="698">
        <f t="shared" ca="1" si="56"/>
        <v>0</v>
      </c>
      <c r="AD84" s="81">
        <v>2020</v>
      </c>
      <c r="AE84" s="299"/>
      <c r="AF84" s="220"/>
    </row>
    <row r="85" spans="1:33">
      <c r="B85" s="357" t="s">
        <v>1007</v>
      </c>
      <c r="C85" s="55"/>
      <c r="D85" s="261"/>
      <c r="E85" s="261"/>
      <c r="F85" s="224" t="s">
        <v>1149</v>
      </c>
      <c r="G85" s="55"/>
      <c r="H85" s="174"/>
      <c r="I85" s="174" t="str">
        <f t="shared" si="22"/>
        <v>INDCWH</v>
      </c>
      <c r="J85" s="224">
        <f t="shared" si="32"/>
        <v>2030</v>
      </c>
      <c r="K85" s="81"/>
      <c r="L85" s="199">
        <f t="shared" ca="1" si="48"/>
        <v>0.99</v>
      </c>
      <c r="M85" s="199"/>
      <c r="N85" s="81"/>
      <c r="O85" s="723">
        <f t="shared" ca="1" si="49"/>
        <v>0.44700000000000001</v>
      </c>
      <c r="P85" s="723">
        <f t="shared" ca="1" si="50"/>
        <v>7.5989999999999999E-3</v>
      </c>
      <c r="Q85" s="81">
        <f t="shared" ca="1" si="51"/>
        <v>1.8107638888888888</v>
      </c>
      <c r="R85" s="300"/>
      <c r="S85" s="300"/>
      <c r="T85" s="300"/>
      <c r="U85" s="300"/>
      <c r="V85" s="199">
        <f t="shared" ref="V85" ca="1" si="60">IF(IF(RIGHT(H84,2)="PH",(1-L85)+$W$2,IF(RIGHT(H84,2)="HT",(1-L85)+$W$1,IF(RIGHT(H84,2)="SH",(1-L85)+$W$3,"")))&gt;0,IF(RIGHT(H84,2)="PH",(1-L85)+$W$2,IF(RIGHT(H84,2)="HT",(1-L85)+$W$1,IF(RIGHT(H84,2)="SH",(1-L85)+$W$3,""))),0)</f>
        <v>1.0000000000000009E-2</v>
      </c>
      <c r="W85" s="298"/>
      <c r="X85" s="698">
        <f t="shared" ca="1" si="27"/>
        <v>0</v>
      </c>
      <c r="Y85" s="698">
        <f t="shared" ca="1" si="53"/>
        <v>0</v>
      </c>
      <c r="Z85" s="698">
        <f t="shared" ca="1" si="54"/>
        <v>0</v>
      </c>
      <c r="AA85" s="698">
        <f t="shared" ca="1" si="55"/>
        <v>0</v>
      </c>
      <c r="AB85" s="698">
        <f t="shared" ca="1" si="56"/>
        <v>0</v>
      </c>
      <c r="AD85" s="81">
        <v>2030</v>
      </c>
      <c r="AE85" s="81"/>
      <c r="AF85" s="220"/>
    </row>
    <row r="86" spans="1:33">
      <c r="B86" s="356" t="s">
        <v>1007</v>
      </c>
      <c r="C86" s="203"/>
      <c r="D86" s="701"/>
      <c r="E86" s="701"/>
      <c r="F86" s="224" t="s">
        <v>1149</v>
      </c>
      <c r="G86" s="203"/>
      <c r="H86" s="702"/>
      <c r="I86" s="702" t="str">
        <f t="shared" si="22"/>
        <v>INDCWH</v>
      </c>
      <c r="J86" s="224">
        <f t="shared" si="32"/>
        <v>2050</v>
      </c>
      <c r="K86" s="81"/>
      <c r="L86" s="199">
        <f t="shared" ca="1" si="48"/>
        <v>0.99</v>
      </c>
      <c r="M86" s="199"/>
      <c r="N86" s="81"/>
      <c r="O86" s="723">
        <f t="shared" ca="1" si="49"/>
        <v>0.44700000000000001</v>
      </c>
      <c r="P86" s="723">
        <f t="shared" ca="1" si="50"/>
        <v>6.8539999999999998E-3</v>
      </c>
      <c r="Q86" s="81">
        <f t="shared" ca="1" si="51"/>
        <v>1.6141666666666665</v>
      </c>
      <c r="R86" s="703"/>
      <c r="S86" s="703"/>
      <c r="T86" s="703"/>
      <c r="U86" s="703"/>
      <c r="V86" s="199">
        <f t="shared" ref="V86" ca="1" si="61">IF(IF(RIGHT(H84,2)="PH",(1-L86)+$W$2,IF(RIGHT(H84,2)="HT",(1-L86)+$W$1,IF(RIGHT(H84,2)="SH",(1-L86)+$W$3,"")))&gt;0,IF(RIGHT(H84,2)="PH",(1-L86)+$W$2,IF(RIGHT(H84,2)="HT",(1-L86)+$W$1,IF(RIGHT(H84,2)="SH",(1-L86)+$W$3,""))),0)</f>
        <v>1.0000000000000009E-2</v>
      </c>
      <c r="W86" s="704"/>
      <c r="X86" s="698">
        <f t="shared" ca="1" si="27"/>
        <v>0</v>
      </c>
      <c r="Y86" s="698">
        <f t="shared" ca="1" si="53"/>
        <v>0</v>
      </c>
      <c r="Z86" s="698">
        <f t="shared" ca="1" si="54"/>
        <v>0</v>
      </c>
      <c r="AA86" s="698">
        <f t="shared" ca="1" si="55"/>
        <v>0</v>
      </c>
      <c r="AB86" s="698">
        <f t="shared" ca="1" si="56"/>
        <v>0</v>
      </c>
      <c r="AD86" s="81">
        <v>2050</v>
      </c>
      <c r="AE86" s="81"/>
      <c r="AF86" s="220"/>
    </row>
    <row r="87" spans="1:33">
      <c r="B87" s="357" t="s">
        <v>1008</v>
      </c>
      <c r="D87" s="212" t="str">
        <f>"IND"&amp;RIGHT(H87,4)&amp;RIGHT(G87,3)&amp;"N"&amp;RIGHT(E87,1)</f>
        <v>INDCDPHWCHN1</v>
      </c>
      <c r="E87" s="261" t="str">
        <f>"Industrial heating technology "&amp;$AJ$12&amp;" "&amp;RIGHT(H87,2)&amp;" - Wood chip boiler (Steam) - new 1"</f>
        <v>Industrial heating technology Chemical PH - Wood chip boiler (Steam) - new 1</v>
      </c>
      <c r="F87" s="224" t="s">
        <v>1149</v>
      </c>
      <c r="G87" s="173" t="s">
        <v>498</v>
      </c>
      <c r="H87" s="174" t="str">
        <f>$AI$13</f>
        <v>ICDPH</v>
      </c>
      <c r="I87" s="174" t="str">
        <f t="shared" si="22"/>
        <v>INDCWH</v>
      </c>
      <c r="J87" s="224">
        <f t="shared" si="32"/>
        <v>2011</v>
      </c>
      <c r="K87" s="299">
        <v>2025</v>
      </c>
      <c r="L87" s="199">
        <f t="shared" ref="L87:L95" ca="1" si="62">VLOOKUP($AD87,INDIRECT("'"&amp;$B87&amp;"'!"&amp;"$P$39:$AD$42"),3,FALSE)</f>
        <v>0.89</v>
      </c>
      <c r="M87" s="699"/>
      <c r="N87" s="299">
        <f ca="1">VLOOKUP($AD87,INDIRECT("'"&amp;$B87&amp;"'!"&amp;"$P$39:$AD$42"),5,FALSE)</f>
        <v>25</v>
      </c>
      <c r="O87" s="725">
        <f t="shared" ref="O87:O95" ca="1" si="63">VLOOKUP($AD87,INDIRECT("'"&amp;$B87&amp;"'!"&amp;"$P$39:$AD$42"),6,FALSE)/1000</f>
        <v>4.6054545454545455</v>
      </c>
      <c r="P87" s="725">
        <f t="shared" ref="P87:P95" ca="1" si="64">VLOOKUP($AD87,INDIRECT("'"&amp;$B87&amp;"'!"&amp;"$P$39:$AD$42"),7,FALSE)/1000</f>
        <v>0.25106499999999998</v>
      </c>
      <c r="Q87" s="299">
        <f t="shared" ref="Q87:Q95" ca="1" si="65">VLOOKUP($AD87,INDIRECT("'"&amp;$B87&amp;"'!"&amp;"$P$39:$AD$42"),8,FALSE)</f>
        <v>5.7509861111111107</v>
      </c>
      <c r="R87" s="299">
        <v>3.1536000000000002E-2</v>
      </c>
      <c r="S87" s="699">
        <v>0.5</v>
      </c>
      <c r="T87" s="699">
        <f ca="1">HLOOKUP($T$2,INDIRECT("'"&amp;$B87&amp;"'!"&amp;"$P$6:$AC$19"),IF(H87=$AI$13,6,IF(H87=$AI$14,9,14)),FALSE)</f>
        <v>1</v>
      </c>
      <c r="U87" s="772"/>
      <c r="V87" s="199">
        <f t="shared" ref="V87" ca="1" si="66">IF(IF(RIGHT(H87,2)="PH",(1-L87)+$W$2,IF(RIGHT(H87,2)="HT",(1-L87)+$W$1,IF(RIGHT(H87,2)="SH",(1-L87)+$W$3,"")))&gt;0,IF(RIGHT(H87,2)="PH",(1-L87)+$W$2,IF(RIGHT(H87,2)="HT",(1-L87)+$W$1,IF(RIGHT(H87,2)="SH",(1-L87)+$W$3,""))),0)</f>
        <v>0.31</v>
      </c>
      <c r="W87" s="298"/>
      <c r="X87" s="698">
        <f t="shared" ca="1" si="27"/>
        <v>11</v>
      </c>
      <c r="Y87" s="299">
        <f t="shared" ref="Y87:Y95" ca="1" si="67">VLOOKUP($AD87,INDIRECT("'"&amp;$B87&amp;"'!"&amp;"$P$39:$AD$42"),12,FALSE)</f>
        <v>63</v>
      </c>
      <c r="Z87" s="299">
        <f t="shared" ref="Z87:Z95" ca="1" si="68">VLOOKUP($AD87,INDIRECT("'"&amp;$B87&amp;"'!"&amp;"$P$39:$AD$42"),13,FALSE)</f>
        <v>11</v>
      </c>
      <c r="AA87" s="299">
        <f t="shared" ref="AA87:AA95" ca="1" si="69">VLOOKUP($AD87,INDIRECT("'"&amp;$B87&amp;"'!"&amp;"$P$39:$AD$42"),14,FALSE)</f>
        <v>3</v>
      </c>
      <c r="AB87" s="299">
        <f t="shared" ref="AB87:AB95" ca="1" si="70">VLOOKUP($AD87,INDIRECT("'"&amp;$B87&amp;"'!"&amp;"$P$39:$AD$42"),15,FALSE)</f>
        <v>10</v>
      </c>
      <c r="AD87" s="299">
        <v>2020</v>
      </c>
      <c r="AE87" s="81"/>
      <c r="AF87" s="220"/>
    </row>
    <row r="88" spans="1:33">
      <c r="B88" s="357" t="s">
        <v>1008</v>
      </c>
      <c r="D88" s="212"/>
      <c r="E88" s="212"/>
      <c r="F88" s="224" t="s">
        <v>1149</v>
      </c>
      <c r="H88" s="174"/>
      <c r="I88" s="174" t="str">
        <f t="shared" si="22"/>
        <v>INDCWH</v>
      </c>
      <c r="J88" s="224">
        <f t="shared" si="32"/>
        <v>2030</v>
      </c>
      <c r="K88" s="81"/>
      <c r="L88" s="199">
        <f t="shared" ca="1" si="62"/>
        <v>0.89</v>
      </c>
      <c r="M88" s="199"/>
      <c r="N88" s="81"/>
      <c r="O88" s="723">
        <f t="shared" ca="1" si="63"/>
        <v>4.4022727272727264</v>
      </c>
      <c r="P88" s="723">
        <f t="shared" ca="1" si="64"/>
        <v>0.267455</v>
      </c>
      <c r="Q88" s="81">
        <f t="shared" ca="1" si="65"/>
        <v>5.8461805555555557</v>
      </c>
      <c r="R88" s="300"/>
      <c r="S88" s="300"/>
      <c r="T88" s="300"/>
      <c r="U88" s="300"/>
      <c r="V88" s="199">
        <f t="shared" ref="V88" ca="1" si="71">IF(IF(RIGHT(H87,2)="PH",(1-L88)+$W$2,IF(RIGHT(H87,2)="HT",(1-L88)+$W$1,IF(RIGHT(H87,2)="SH",(1-L88)+$W$3,"")))&gt;0,IF(RIGHT(H87,2)="PH",(1-L88)+$W$2,IF(RIGHT(H87,2)="HT",(1-L88)+$W$1,IF(RIGHT(H87,2)="SH",(1-L88)+$W$3,""))),0)</f>
        <v>0.31</v>
      </c>
      <c r="W88" s="298"/>
      <c r="X88" s="698">
        <f t="shared" ca="1" si="27"/>
        <v>11</v>
      </c>
      <c r="Y88" s="81">
        <f t="shared" ca="1" si="67"/>
        <v>49</v>
      </c>
      <c r="Z88" s="81">
        <f t="shared" ca="1" si="68"/>
        <v>8</v>
      </c>
      <c r="AA88" s="81">
        <f t="shared" ca="1" si="69"/>
        <v>3</v>
      </c>
      <c r="AB88" s="81">
        <f t="shared" ca="1" si="70"/>
        <v>10</v>
      </c>
      <c r="AD88" s="81">
        <v>2030</v>
      </c>
      <c r="AE88" s="81"/>
      <c r="AF88" s="220"/>
    </row>
    <row r="89" spans="1:33">
      <c r="B89" s="357" t="s">
        <v>1008</v>
      </c>
      <c r="D89" s="212"/>
      <c r="E89" s="212"/>
      <c r="F89" s="224" t="s">
        <v>1149</v>
      </c>
      <c r="H89" s="174"/>
      <c r="I89" s="174" t="str">
        <f t="shared" si="22"/>
        <v>INDCWH</v>
      </c>
      <c r="J89" s="224">
        <f t="shared" si="32"/>
        <v>2050</v>
      </c>
      <c r="K89" s="81"/>
      <c r="L89" s="199">
        <f t="shared" ca="1" si="62"/>
        <v>0.9</v>
      </c>
      <c r="M89" s="199"/>
      <c r="N89" s="81"/>
      <c r="O89" s="723">
        <f t="shared" ca="1" si="63"/>
        <v>3.9959090909090902</v>
      </c>
      <c r="P89" s="723">
        <f t="shared" ca="1" si="64"/>
        <v>0.25106499999999998</v>
      </c>
      <c r="Q89" s="81">
        <f t="shared" ca="1" si="65"/>
        <v>5.8937777777777782</v>
      </c>
      <c r="R89" s="300"/>
      <c r="S89" s="300"/>
      <c r="T89" s="300"/>
      <c r="U89" s="300"/>
      <c r="V89" s="199">
        <f t="shared" ref="V89" ca="1" si="72">IF(IF(RIGHT(H87,2)="PH",(1-L89)+$W$2,IF(RIGHT(H87,2)="HT",(1-L89)+$W$1,IF(RIGHT(H87,2)="SH",(1-L89)+$W$3,"")))&gt;0,IF(RIGHT(H87,2)="PH",(1-L89)+$W$2,IF(RIGHT(H87,2)="HT",(1-L89)+$W$1,IF(RIGHT(H87,2)="SH",(1-L89)+$W$3,""))),0)</f>
        <v>0.3</v>
      </c>
      <c r="W89" s="298"/>
      <c r="X89" s="698">
        <f t="shared" ca="1" si="27"/>
        <v>11</v>
      </c>
      <c r="Y89" s="81">
        <f t="shared" ca="1" si="67"/>
        <v>41</v>
      </c>
      <c r="Z89" s="81">
        <f t="shared" ca="1" si="68"/>
        <v>4</v>
      </c>
      <c r="AA89" s="81">
        <f t="shared" ca="1" si="69"/>
        <v>1</v>
      </c>
      <c r="AB89" s="81">
        <f t="shared" ca="1" si="70"/>
        <v>10</v>
      </c>
      <c r="AD89" s="81">
        <v>2050</v>
      </c>
      <c r="AE89" s="81"/>
      <c r="AF89" s="220"/>
    </row>
    <row r="90" spans="1:33" s="226" customFormat="1">
      <c r="A90" s="224"/>
      <c r="B90" s="357" t="s">
        <v>1008</v>
      </c>
      <c r="C90" s="224"/>
      <c r="D90" s="212" t="str">
        <f>"IND"&amp;RIGHT(H90,4)&amp;RIGHT(G90,3)&amp;"N"&amp;RIGHT(E90,1)</f>
        <v>INDCDPHWCHN1</v>
      </c>
      <c r="E90" s="261" t="str">
        <f>"Industrial heating technology "&amp;$AJ$12&amp;" "&amp;RIGHT(H90,2)&amp;" - Wood chip boiler (Steam) - new 1"</f>
        <v>Industrial heating technology Chemical PH - Wood chip boiler (Steam) - new 1</v>
      </c>
      <c r="F90" s="224" t="s">
        <v>1149</v>
      </c>
      <c r="G90" s="173" t="s">
        <v>498</v>
      </c>
      <c r="H90" s="174" t="str">
        <f>$AI$14</f>
        <v>ICDPH</v>
      </c>
      <c r="I90" s="174" t="str">
        <f t="shared" si="22"/>
        <v>INDCWH</v>
      </c>
      <c r="J90" s="224">
        <f t="shared" si="32"/>
        <v>2011</v>
      </c>
      <c r="K90" s="299">
        <v>2025</v>
      </c>
      <c r="L90" s="199">
        <f t="shared" ca="1" si="62"/>
        <v>0.89</v>
      </c>
      <c r="M90" s="199"/>
      <c r="N90" s="81">
        <f ca="1">VLOOKUP($AD90,INDIRECT("'"&amp;$B90&amp;"'!"&amp;"$P$39:$AD$42"),5,FALSE)</f>
        <v>25</v>
      </c>
      <c r="O90" s="723">
        <f t="shared" ca="1" si="63"/>
        <v>4.6054545454545455</v>
      </c>
      <c r="P90" s="723">
        <f t="shared" ca="1" si="64"/>
        <v>0.25106499999999998</v>
      </c>
      <c r="Q90" s="81">
        <f t="shared" ca="1" si="65"/>
        <v>5.7509861111111107</v>
      </c>
      <c r="R90" s="81">
        <v>3.1536000000000002E-2</v>
      </c>
      <c r="S90" s="199">
        <v>0.5</v>
      </c>
      <c r="T90" s="199">
        <f ca="1">HLOOKUP($T$2,INDIRECT("'"&amp;$B90&amp;"'!"&amp;"$P$6:$AC$19"),IF(H90=$AI$13,6,IF(H90=$AI$14,9,14)),FALSE)</f>
        <v>1</v>
      </c>
      <c r="U90" s="772"/>
      <c r="V90" s="199">
        <f t="shared" ref="V90" ca="1" si="73">IF(IF(RIGHT(H90,2)="PH",(1-L90)+$W$2,IF(RIGHT(H90,2)="HT",(1-L90)+$W$1,IF(RIGHT(H90,2)="SH",(1-L90)+$W$3,"")))&gt;0,IF(RIGHT(H90,2)="PH",(1-L90)+$W$2,IF(RIGHT(H90,2)="HT",(1-L90)+$W$1,IF(RIGHT(H90,2)="SH",(1-L90)+$W$3,""))),0)</f>
        <v>0.31</v>
      </c>
      <c r="W90" s="298"/>
      <c r="X90" s="698">
        <f t="shared" ca="1" si="27"/>
        <v>11</v>
      </c>
      <c r="Y90" s="81">
        <f t="shared" ca="1" si="67"/>
        <v>63</v>
      </c>
      <c r="Z90" s="81">
        <f t="shared" ca="1" si="68"/>
        <v>11</v>
      </c>
      <c r="AA90" s="81">
        <f t="shared" ca="1" si="69"/>
        <v>3</v>
      </c>
      <c r="AB90" s="81">
        <f t="shared" ca="1" si="70"/>
        <v>10</v>
      </c>
      <c r="AC90" s="224"/>
      <c r="AD90" s="81">
        <v>2020</v>
      </c>
      <c r="AE90" s="81"/>
      <c r="AF90" s="220"/>
      <c r="AG90" s="224"/>
    </row>
    <row r="91" spans="1:33" s="226" customFormat="1">
      <c r="A91" s="224"/>
      <c r="B91" s="357" t="s">
        <v>1008</v>
      </c>
      <c r="C91" s="224"/>
      <c r="D91" s="212"/>
      <c r="E91" s="212"/>
      <c r="F91" s="224" t="s">
        <v>1149</v>
      </c>
      <c r="G91" s="224"/>
      <c r="H91" s="174"/>
      <c r="I91" s="174" t="str">
        <f t="shared" si="22"/>
        <v>INDCWH</v>
      </c>
      <c r="J91" s="224">
        <f t="shared" si="32"/>
        <v>2030</v>
      </c>
      <c r="K91" s="81"/>
      <c r="L91" s="199">
        <f t="shared" ca="1" si="62"/>
        <v>0.89</v>
      </c>
      <c r="M91" s="199"/>
      <c r="N91" s="81"/>
      <c r="O91" s="723">
        <f t="shared" ca="1" si="63"/>
        <v>4.4022727272727264</v>
      </c>
      <c r="P91" s="723">
        <f t="shared" ca="1" si="64"/>
        <v>0.267455</v>
      </c>
      <c r="Q91" s="81">
        <f t="shared" ca="1" si="65"/>
        <v>5.8461805555555557</v>
      </c>
      <c r="R91" s="300"/>
      <c r="S91" s="300"/>
      <c r="T91" s="300"/>
      <c r="U91" s="300"/>
      <c r="V91" s="199">
        <f t="shared" ref="V91" ca="1" si="74">IF(IF(RIGHT(H90,2)="PH",(1-L91)+$W$2,IF(RIGHT(H90,2)="HT",(1-L91)+$W$1,IF(RIGHT(H90,2)="SH",(1-L91)+$W$3,"")))&gt;0,IF(RIGHT(H90,2)="PH",(1-L91)+$W$2,IF(RIGHT(H90,2)="HT",(1-L91)+$W$1,IF(RIGHT(H90,2)="SH",(1-L91)+$W$3,""))),0)</f>
        <v>0.31</v>
      </c>
      <c r="W91" s="298"/>
      <c r="X91" s="698">
        <f t="shared" ca="1" si="27"/>
        <v>11</v>
      </c>
      <c r="Y91" s="81">
        <f t="shared" ca="1" si="67"/>
        <v>49</v>
      </c>
      <c r="Z91" s="81">
        <f t="shared" ca="1" si="68"/>
        <v>8</v>
      </c>
      <c r="AA91" s="81">
        <f t="shared" ca="1" si="69"/>
        <v>3</v>
      </c>
      <c r="AB91" s="81">
        <f t="shared" ca="1" si="70"/>
        <v>10</v>
      </c>
      <c r="AC91" s="224"/>
      <c r="AD91" s="81">
        <v>2030</v>
      </c>
      <c r="AE91" s="81"/>
      <c r="AF91" s="220"/>
    </row>
    <row r="92" spans="1:33" s="226" customFormat="1">
      <c r="A92" s="224"/>
      <c r="B92" s="357" t="s">
        <v>1008</v>
      </c>
      <c r="C92" s="224"/>
      <c r="D92" s="212"/>
      <c r="E92" s="212"/>
      <c r="F92" s="224" t="s">
        <v>1149</v>
      </c>
      <c r="G92" s="224"/>
      <c r="H92" s="174"/>
      <c r="I92" s="174" t="str">
        <f t="shared" si="22"/>
        <v>INDCWH</v>
      </c>
      <c r="J92" s="224">
        <f t="shared" si="32"/>
        <v>2050</v>
      </c>
      <c r="K92" s="81"/>
      <c r="L92" s="199">
        <f t="shared" ca="1" si="62"/>
        <v>0.9</v>
      </c>
      <c r="M92" s="199"/>
      <c r="N92" s="81"/>
      <c r="O92" s="723">
        <f t="shared" ca="1" si="63"/>
        <v>3.9959090909090902</v>
      </c>
      <c r="P92" s="723">
        <f t="shared" ca="1" si="64"/>
        <v>0.25106499999999998</v>
      </c>
      <c r="Q92" s="81">
        <f t="shared" ca="1" si="65"/>
        <v>5.8937777777777782</v>
      </c>
      <c r="R92" s="300"/>
      <c r="S92" s="300"/>
      <c r="T92" s="300"/>
      <c r="U92" s="300"/>
      <c r="V92" s="199">
        <f t="shared" ref="V92" ca="1" si="75">IF(IF(RIGHT(H90,2)="PH",(1-L92)+$W$2,IF(RIGHT(H90,2)="HT",(1-L92)+$W$1,IF(RIGHT(H90,2)="SH",(1-L92)+$W$3,"")))&gt;0,IF(RIGHT(H90,2)="PH",(1-L92)+$W$2,IF(RIGHT(H90,2)="HT",(1-L92)+$W$1,IF(RIGHT(H90,2)="SH",(1-L92)+$W$3,""))),0)</f>
        <v>0.3</v>
      </c>
      <c r="W92" s="298"/>
      <c r="X92" s="698">
        <f t="shared" ca="1" si="27"/>
        <v>11</v>
      </c>
      <c r="Y92" s="81">
        <f t="shared" ca="1" si="67"/>
        <v>41</v>
      </c>
      <c r="Z92" s="81">
        <f t="shared" ca="1" si="68"/>
        <v>4</v>
      </c>
      <c r="AA92" s="81">
        <f t="shared" ca="1" si="69"/>
        <v>1</v>
      </c>
      <c r="AB92" s="81">
        <f t="shared" ca="1" si="70"/>
        <v>10</v>
      </c>
      <c r="AC92" s="224"/>
      <c r="AD92" s="81">
        <v>2050</v>
      </c>
      <c r="AE92" s="706"/>
      <c r="AF92" s="220"/>
    </row>
    <row r="93" spans="1:33" s="226" customFormat="1">
      <c r="A93" s="224"/>
      <c r="B93" s="357" t="s">
        <v>1008</v>
      </c>
      <c r="C93" s="224"/>
      <c r="D93" s="212" t="str">
        <f>"IND"&amp;RIGHT(H93,4)&amp;RIGHT(G93,3)&amp;"N"&amp;RIGHT(E93,1)</f>
        <v>INDCDSHWCHN1</v>
      </c>
      <c r="E93" s="261" t="str">
        <f>"Industrial heating technology "&amp;$AJ$12&amp;" "&amp;RIGHT(H93,2)&amp;" - Wood chip boiler (Steam) - new 1"</f>
        <v>Industrial heating technology Chemical SH - Wood chip boiler (Steam) - new 1</v>
      </c>
      <c r="F93" s="224" t="s">
        <v>1149</v>
      </c>
      <c r="G93" s="173" t="s">
        <v>498</v>
      </c>
      <c r="H93" s="174" t="str">
        <f>$AI$15</f>
        <v>ICDSH</v>
      </c>
      <c r="I93" s="174" t="str">
        <f t="shared" si="22"/>
        <v>INDCWH</v>
      </c>
      <c r="J93" s="224">
        <f t="shared" si="32"/>
        <v>2011</v>
      </c>
      <c r="K93" s="299">
        <v>2025</v>
      </c>
      <c r="L93" s="199">
        <f t="shared" ca="1" si="62"/>
        <v>0.89</v>
      </c>
      <c r="M93" s="199"/>
      <c r="N93" s="81">
        <f ca="1">VLOOKUP($AD93,INDIRECT("'"&amp;$B93&amp;"'!"&amp;"$P$39:$AD$42"),5,FALSE)</f>
        <v>25</v>
      </c>
      <c r="O93" s="723">
        <f t="shared" ca="1" si="63"/>
        <v>4.6054545454545455</v>
      </c>
      <c r="P93" s="723">
        <f t="shared" ca="1" si="64"/>
        <v>0.25106499999999998</v>
      </c>
      <c r="Q93" s="81">
        <f t="shared" ca="1" si="65"/>
        <v>5.7509861111111107</v>
      </c>
      <c r="R93" s="81">
        <v>3.1536000000000002E-2</v>
      </c>
      <c r="S93" s="199">
        <v>0.5</v>
      </c>
      <c r="T93" s="199">
        <f ca="1">HLOOKUP($T$2,INDIRECT("'"&amp;$B93&amp;"'!"&amp;"$P$6:$AC$19"),IF(H93=$AI$13,6,IF(H93=$AI$14,9,14)),FALSE)</f>
        <v>1</v>
      </c>
      <c r="U93" s="772"/>
      <c r="V93" s="199">
        <f t="shared" ref="V93" ca="1" si="76">IF(IF(RIGHT(H93,2)="PH",(1-L93)+$W$2,IF(RIGHT(H93,2)="HT",(1-L93)+$W$1,IF(RIGHT(H93,2)="SH",(1-L93)+$W$3,"")))&gt;0,IF(RIGHT(H93,2)="PH",(1-L93)+$W$2,IF(RIGHT(H93,2)="HT",(1-L93)+$W$1,IF(RIGHT(H93,2)="SH",(1-L93)+$W$3,""))),0)</f>
        <v>0.10999999999999999</v>
      </c>
      <c r="W93" s="298"/>
      <c r="X93" s="698">
        <f t="shared" ca="1" si="27"/>
        <v>11</v>
      </c>
      <c r="Y93" s="81">
        <f t="shared" ca="1" si="67"/>
        <v>63</v>
      </c>
      <c r="Z93" s="81">
        <f t="shared" ca="1" si="68"/>
        <v>11</v>
      </c>
      <c r="AA93" s="81">
        <f t="shared" ca="1" si="69"/>
        <v>3</v>
      </c>
      <c r="AB93" s="81">
        <f t="shared" ca="1" si="70"/>
        <v>10</v>
      </c>
      <c r="AC93" s="296"/>
      <c r="AD93" s="81">
        <v>2020</v>
      </c>
      <c r="AE93" s="81"/>
      <c r="AF93" s="710"/>
    </row>
    <row r="94" spans="1:33" s="226" customFormat="1">
      <c r="A94" s="224"/>
      <c r="B94" s="357" t="s">
        <v>1008</v>
      </c>
      <c r="C94" s="224"/>
      <c r="D94" s="212"/>
      <c r="E94" s="212"/>
      <c r="F94" s="224" t="s">
        <v>1149</v>
      </c>
      <c r="G94" s="224"/>
      <c r="H94" s="174"/>
      <c r="I94" s="174" t="str">
        <f t="shared" si="22"/>
        <v>INDCWH</v>
      </c>
      <c r="J94" s="224">
        <f t="shared" si="32"/>
        <v>2030</v>
      </c>
      <c r="K94" s="81"/>
      <c r="L94" s="199">
        <f t="shared" ca="1" si="62"/>
        <v>0.89</v>
      </c>
      <c r="M94" s="199"/>
      <c r="N94" s="81"/>
      <c r="O94" s="723">
        <f t="shared" ca="1" si="63"/>
        <v>4.4022727272727264</v>
      </c>
      <c r="P94" s="723">
        <f t="shared" ca="1" si="64"/>
        <v>0.267455</v>
      </c>
      <c r="Q94" s="81">
        <f t="shared" ca="1" si="65"/>
        <v>5.8461805555555557</v>
      </c>
      <c r="R94" s="300"/>
      <c r="S94" s="300"/>
      <c r="T94" s="300"/>
      <c r="U94" s="300"/>
      <c r="V94" s="199">
        <f t="shared" ref="V94" ca="1" si="77">IF(IF(RIGHT(H93,2)="PH",(1-L94)+$W$2,IF(RIGHT(H93,2)="HT",(1-L94)+$W$1,IF(RIGHT(H93,2)="SH",(1-L94)+$W$3,"")))&gt;0,IF(RIGHT(H93,2)="PH",(1-L94)+$W$2,IF(RIGHT(H93,2)="HT",(1-L94)+$W$1,IF(RIGHT(H93,2)="SH",(1-L94)+$W$3,""))),0)</f>
        <v>0.10999999999999999</v>
      </c>
      <c r="W94" s="298"/>
      <c r="X94" s="698">
        <f t="shared" ca="1" si="27"/>
        <v>11</v>
      </c>
      <c r="Y94" s="81">
        <f t="shared" ca="1" si="67"/>
        <v>49</v>
      </c>
      <c r="Z94" s="81">
        <f t="shared" ca="1" si="68"/>
        <v>8</v>
      </c>
      <c r="AA94" s="81">
        <f t="shared" ca="1" si="69"/>
        <v>3</v>
      </c>
      <c r="AB94" s="81">
        <f t="shared" ca="1" si="70"/>
        <v>10</v>
      </c>
      <c r="AC94" s="55"/>
      <c r="AD94" s="81">
        <v>2030</v>
      </c>
      <c r="AE94" s="81"/>
      <c r="AF94" s="700"/>
    </row>
    <row r="95" spans="1:33" s="226" customFormat="1">
      <c r="A95" s="224"/>
      <c r="B95" s="357" t="s">
        <v>1008</v>
      </c>
      <c r="C95" s="224"/>
      <c r="D95" s="212"/>
      <c r="E95" s="212"/>
      <c r="F95" s="224" t="s">
        <v>1149</v>
      </c>
      <c r="G95" s="224"/>
      <c r="H95" s="174"/>
      <c r="I95" s="174" t="str">
        <f t="shared" si="22"/>
        <v>INDCWH</v>
      </c>
      <c r="J95" s="224">
        <f t="shared" si="32"/>
        <v>2050</v>
      </c>
      <c r="K95" s="706"/>
      <c r="L95" s="199">
        <f t="shared" ca="1" si="62"/>
        <v>0.9</v>
      </c>
      <c r="M95" s="774"/>
      <c r="N95" s="706"/>
      <c r="O95" s="724">
        <f t="shared" ca="1" si="63"/>
        <v>3.9959090909090902</v>
      </c>
      <c r="P95" s="724">
        <f t="shared" ca="1" si="64"/>
        <v>0.25106499999999998</v>
      </c>
      <c r="Q95" s="706">
        <f t="shared" ca="1" si="65"/>
        <v>5.8937777777777782</v>
      </c>
      <c r="R95" s="300"/>
      <c r="S95" s="300"/>
      <c r="T95" s="300"/>
      <c r="U95" s="300"/>
      <c r="V95" s="199">
        <f t="shared" ref="V95" ca="1" si="78">IF(IF(RIGHT(H93,2)="PH",(1-L95)+$W$2,IF(RIGHT(H93,2)="HT",(1-L95)+$W$1,IF(RIGHT(H93,2)="SH",(1-L95)+$W$3,"")))&gt;0,IF(RIGHT(H93,2)="PH",(1-L95)+$W$2,IF(RIGHT(H93,2)="HT",(1-L95)+$W$1,IF(RIGHT(H93,2)="SH",(1-L95)+$W$3,""))),0)</f>
        <v>9.9999999999999978E-2</v>
      </c>
      <c r="W95" s="298"/>
      <c r="X95" s="698">
        <f t="shared" ref="X95:X126" ca="1" si="79">IF(VLOOKUP($AD95,INDIRECT("'"&amp;$B95&amp;"'!"&amp;"$P$39:$AD$42"),11,FALSE)="Cf. the utilized electricity",0,VLOOKUP($AD95,INDIRECT("'"&amp;$B95&amp;"'!"&amp;"$P$39:$AD$42"),11,FALSE))</f>
        <v>11</v>
      </c>
      <c r="Y95" s="706">
        <f t="shared" ca="1" si="67"/>
        <v>41</v>
      </c>
      <c r="Z95" s="706">
        <f t="shared" ca="1" si="68"/>
        <v>4</v>
      </c>
      <c r="AA95" s="706">
        <f t="shared" ca="1" si="69"/>
        <v>1</v>
      </c>
      <c r="AB95" s="706">
        <f t="shared" ca="1" si="70"/>
        <v>10</v>
      </c>
      <c r="AC95" s="55"/>
      <c r="AD95" s="706">
        <v>2050</v>
      </c>
      <c r="AE95" s="81"/>
      <c r="AF95" s="700"/>
    </row>
    <row r="96" spans="1:33">
      <c r="B96" s="716" t="s">
        <v>1008</v>
      </c>
      <c r="C96" s="296"/>
      <c r="D96" s="707" t="str">
        <f>"IND"&amp;RIGHT(H96,4)&amp;RIGHT(G96,3)&amp;"N"&amp;RIGHT(E96,1)</f>
        <v>INDCDPHWCHN2</v>
      </c>
      <c r="E96" s="707" t="str">
        <f>"Industrial heating technology "&amp;$AJ$12&amp;" "&amp;RIGHT(H96,2)&amp;" - Wood chip boiler (Steam - condensing) - new 2"</f>
        <v>Industrial heating technology Chemical PH - Wood chip boiler (Steam - condensing) - new 2</v>
      </c>
      <c r="F96" s="224" t="s">
        <v>1149</v>
      </c>
      <c r="G96" s="708" t="s">
        <v>498</v>
      </c>
      <c r="H96" s="708" t="str">
        <f>$AI$14</f>
        <v>ICDPH</v>
      </c>
      <c r="I96" s="708" t="str">
        <f t="shared" si="22"/>
        <v>INDCWH</v>
      </c>
      <c r="J96" s="224">
        <f t="shared" si="32"/>
        <v>2011</v>
      </c>
      <c r="K96" s="299">
        <v>2025</v>
      </c>
      <c r="L96" s="199">
        <f t="shared" ref="L96:L101" ca="1" si="80">VLOOKUP($AD96,INDIRECT("'"&amp;$B96&amp;"'!"&amp;"$P$118:$AD$121"),3,FALSE)</f>
        <v>1.1618960947726835</v>
      </c>
      <c r="M96" s="199"/>
      <c r="N96" s="81">
        <f ca="1">VLOOKUP($AD96,INDIRECT("'"&amp;$B96&amp;"'!"&amp;"$P$118:$AD$121"),5,FALSE)</f>
        <v>25</v>
      </c>
      <c r="O96" s="723">
        <f t="shared" ref="O96:O101" ca="1" si="81">VLOOKUP($AD96,INDIRECT("'"&amp;$B96&amp;"'!"&amp;"$P$118:$AD$121"),6,FALSE)/1000</f>
        <v>5.0660000000000007</v>
      </c>
      <c r="P96" s="723">
        <f t="shared" ref="P96:P101" ca="1" si="82">VLOOKUP($AD96,INDIRECT("'"&amp;$B96&amp;"'!"&amp;"$P$118:$AD$121"),7,FALSE)/1000</f>
        <v>0.27564999999999995</v>
      </c>
      <c r="Q96" s="81">
        <f t="shared" ref="Q96:Q101" ca="1" si="83">VLOOKUP($AD96,INDIRECT("'"&amp;$B96&amp;"'!"&amp;"$P$118:$AD$121"),8,FALSE)</f>
        <v>5.7509861111111107</v>
      </c>
      <c r="R96" s="81">
        <v>3.1536000000000002E-2</v>
      </c>
      <c r="S96" s="199">
        <v>0.5</v>
      </c>
      <c r="T96" s="199">
        <f ca="1">HLOOKUP($T$2,INDIRECT("'"&amp;$B96&amp;"'!"&amp;"$P$85:$AC$98"),IF(H96=$AI$13,6,IF(H96=$AI$14,9,14)),FALSE)</f>
        <v>0</v>
      </c>
      <c r="U96" s="773"/>
      <c r="V96" s="199">
        <f t="shared" ref="V96" ca="1" si="84">IF(IF(RIGHT(H96,2)="PH",(1-L96)+$W$2,IF(RIGHT(H96,2)="HT",(1-L96)+$W$1,IF(RIGHT(H96,2)="SH",(1-L96)+$W$3,"")))&gt;0,IF(RIGHT(H96,2)="PH",(1-L96)+$W$2,IF(RIGHT(H96,2)="HT",(1-L96)+$W$1,IF(RIGHT(H96,2)="SH",(1-L96)+$W$3,""))),0)</f>
        <v>3.8103905227316492E-2</v>
      </c>
      <c r="W96" s="709"/>
      <c r="X96" s="698">
        <f t="shared" ca="1" si="79"/>
        <v>11</v>
      </c>
      <c r="Y96" s="698">
        <f t="shared" ref="Y96:Y101" ca="1" si="85">VLOOKUP($AD96,INDIRECT("'"&amp;$B96&amp;"'!"&amp;"$P$118:$AD$121"),12,FALSE)</f>
        <v>63</v>
      </c>
      <c r="Z96" s="698">
        <f t="shared" ref="Z96:Z101" ca="1" si="86">VLOOKUP($AD96,INDIRECT("'"&amp;$B96&amp;"'!"&amp;"$P$118:$AD$121"),13,FALSE)</f>
        <v>11</v>
      </c>
      <c r="AA96" s="698">
        <f t="shared" ref="AA96:AA101" ca="1" si="87">VLOOKUP($AD96,INDIRECT("'"&amp;$B96&amp;"'!"&amp;"$P$118:$AD$121"),14,FALSE)</f>
        <v>3</v>
      </c>
      <c r="AB96" s="698">
        <f t="shared" ref="AB96:AB101" ca="1" si="88">VLOOKUP($AD96,INDIRECT("'"&amp;$B96&amp;"'!"&amp;"$P$118:$AD$121"),15,FALSE)</f>
        <v>10</v>
      </c>
      <c r="AC96" s="55"/>
      <c r="AD96" s="81">
        <v>2020</v>
      </c>
      <c r="AE96" s="81"/>
      <c r="AF96" s="700"/>
      <c r="AG96" s="226"/>
    </row>
    <row r="97" spans="2:32">
      <c r="B97" s="357" t="s">
        <v>1008</v>
      </c>
      <c r="C97" s="55"/>
      <c r="D97" s="261"/>
      <c r="E97" s="261"/>
      <c r="F97" s="224" t="s">
        <v>1149</v>
      </c>
      <c r="G97" s="55"/>
      <c r="H97" s="174"/>
      <c r="I97" s="174" t="str">
        <f t="shared" si="22"/>
        <v>INDCWH</v>
      </c>
      <c r="J97" s="224">
        <f t="shared" si="32"/>
        <v>2030</v>
      </c>
      <c r="K97" s="81"/>
      <c r="L97" s="199">
        <f t="shared" ca="1" si="80"/>
        <v>1.1618960947726835</v>
      </c>
      <c r="M97" s="199"/>
      <c r="N97" s="81"/>
      <c r="O97" s="723">
        <f t="shared" ca="1" si="81"/>
        <v>4.8425000000000002</v>
      </c>
      <c r="P97" s="723">
        <f t="shared" ca="1" si="82"/>
        <v>0.267455</v>
      </c>
      <c r="Q97" s="81">
        <f t="shared" ca="1" si="83"/>
        <v>5.8461805555555557</v>
      </c>
      <c r="R97" s="300"/>
      <c r="S97" s="300"/>
      <c r="T97" s="300"/>
      <c r="U97" s="300"/>
      <c r="V97" s="199">
        <f t="shared" ref="V97" ca="1" si="89">IF(IF(RIGHT(H96,2)="PH",(1-L97)+$W$2,IF(RIGHT(H96,2)="HT",(1-L97)+$W$1,IF(RIGHT(H96,2)="SH",(1-L97)+$W$3,"")))&gt;0,IF(RIGHT(H96,2)="PH",(1-L97)+$W$2,IF(RIGHT(H96,2)="HT",(1-L97)+$W$1,IF(RIGHT(H96,2)="SH",(1-L97)+$W$3,""))),0)</f>
        <v>3.8103905227316492E-2</v>
      </c>
      <c r="W97" s="298"/>
      <c r="X97" s="698">
        <f t="shared" ca="1" si="79"/>
        <v>11</v>
      </c>
      <c r="Y97" s="698">
        <f t="shared" ca="1" si="85"/>
        <v>49</v>
      </c>
      <c r="Z97" s="698">
        <f t="shared" ca="1" si="86"/>
        <v>8</v>
      </c>
      <c r="AA97" s="698">
        <f t="shared" ca="1" si="87"/>
        <v>3</v>
      </c>
      <c r="AB97" s="698">
        <f t="shared" ca="1" si="88"/>
        <v>10</v>
      </c>
      <c r="AC97" s="55"/>
      <c r="AD97" s="81">
        <v>2030</v>
      </c>
      <c r="AE97" s="81"/>
      <c r="AF97" s="700"/>
    </row>
    <row r="98" spans="2:32">
      <c r="B98" s="357" t="s">
        <v>1008</v>
      </c>
      <c r="C98" s="55"/>
      <c r="D98" s="261"/>
      <c r="E98" s="261"/>
      <c r="F98" s="224" t="s">
        <v>1149</v>
      </c>
      <c r="G98" s="55"/>
      <c r="H98" s="174"/>
      <c r="I98" s="174" t="str">
        <f t="shared" si="22"/>
        <v>INDCWH</v>
      </c>
      <c r="J98" s="224">
        <f t="shared" si="32"/>
        <v>2050</v>
      </c>
      <c r="K98" s="81"/>
      <c r="L98" s="199">
        <f t="shared" ca="1" si="80"/>
        <v>1.1618960947726835</v>
      </c>
      <c r="M98" s="199"/>
      <c r="N98" s="81"/>
      <c r="O98" s="723">
        <f t="shared" ca="1" si="81"/>
        <v>4.3955000000000002</v>
      </c>
      <c r="P98" s="723">
        <f t="shared" ca="1" si="82"/>
        <v>0.25106499999999998</v>
      </c>
      <c r="Q98" s="81">
        <f t="shared" ca="1" si="83"/>
        <v>5.8937777777777782</v>
      </c>
      <c r="R98" s="300"/>
      <c r="S98" s="300"/>
      <c r="T98" s="300"/>
      <c r="U98" s="300"/>
      <c r="V98" s="199">
        <f t="shared" ref="V98" ca="1" si="90">IF(IF(RIGHT(H96,2)="PH",(1-L98)+$W$2,IF(RIGHT(H96,2)="HT",(1-L98)+$W$1,IF(RIGHT(H96,2)="SH",(1-L98)+$W$3,"")))&gt;0,IF(RIGHT(H96,2)="PH",(1-L98)+$W$2,IF(RIGHT(H96,2)="HT",(1-L98)+$W$1,IF(RIGHT(H96,2)="SH",(1-L98)+$W$3,""))),0)</f>
        <v>3.8103905227316492E-2</v>
      </c>
      <c r="W98" s="298"/>
      <c r="X98" s="698">
        <f t="shared" ca="1" si="79"/>
        <v>11</v>
      </c>
      <c r="Y98" s="698">
        <f t="shared" ca="1" si="85"/>
        <v>41</v>
      </c>
      <c r="Z98" s="698">
        <f t="shared" ca="1" si="86"/>
        <v>4</v>
      </c>
      <c r="AA98" s="698">
        <f t="shared" ca="1" si="87"/>
        <v>1</v>
      </c>
      <c r="AB98" s="698">
        <f t="shared" ca="1" si="88"/>
        <v>10</v>
      </c>
      <c r="AC98" s="203"/>
      <c r="AD98" s="81">
        <v>2050</v>
      </c>
      <c r="AE98" s="81"/>
      <c r="AF98" s="705"/>
    </row>
    <row r="99" spans="2:32">
      <c r="B99" s="357" t="s">
        <v>1008</v>
      </c>
      <c r="C99" s="55"/>
      <c r="D99" s="261" t="str">
        <f>"IND"&amp;RIGHT(H99,4)&amp;RIGHT(G99,3)&amp;"N"&amp;RIGHT(E99,1)</f>
        <v>INDCDSHWCHN2</v>
      </c>
      <c r="E99" s="261" t="str">
        <f>"Industrial heating technology "&amp;$AJ$12&amp;" "&amp;RIGHT(H99,2)&amp;" - Wood chip boiler (Steam - condensing) - new 2"</f>
        <v>Industrial heating technology Chemical SH - Wood chip boiler (Steam - condensing) - new 2</v>
      </c>
      <c r="F99" s="224" t="s">
        <v>1149</v>
      </c>
      <c r="G99" s="174" t="s">
        <v>498</v>
      </c>
      <c r="H99" s="174" t="str">
        <f>$AI$15</f>
        <v>ICDSH</v>
      </c>
      <c r="I99" s="174" t="str">
        <f t="shared" si="22"/>
        <v>INDCWH</v>
      </c>
      <c r="J99" s="224">
        <f t="shared" si="32"/>
        <v>2011</v>
      </c>
      <c r="K99" s="299">
        <v>2025</v>
      </c>
      <c r="L99" s="199">
        <f t="shared" ca="1" si="80"/>
        <v>1.1618960947726835</v>
      </c>
      <c r="M99" s="199"/>
      <c r="N99" s="81">
        <f ca="1">VLOOKUP($AD99,INDIRECT("'"&amp;$B99&amp;"'!"&amp;"$P$118:$AD$121"),5,FALSE)</f>
        <v>25</v>
      </c>
      <c r="O99" s="723">
        <f t="shared" ca="1" si="81"/>
        <v>5.0660000000000007</v>
      </c>
      <c r="P99" s="723">
        <f t="shared" ca="1" si="82"/>
        <v>0.27564999999999995</v>
      </c>
      <c r="Q99" s="81">
        <f t="shared" ca="1" si="83"/>
        <v>5.7509861111111107</v>
      </c>
      <c r="R99" s="81">
        <v>3.1536000000000002E-2</v>
      </c>
      <c r="S99" s="199">
        <v>0.5</v>
      </c>
      <c r="T99" s="199">
        <f ca="1">HLOOKUP($T$2,INDIRECT("'"&amp;$B99&amp;"'!"&amp;"$P$85:$AC$98"),IF(H99=$AI$13,6,IF(H99=$AI$14,9,14)),FALSE)</f>
        <v>1</v>
      </c>
      <c r="U99" s="772"/>
      <c r="V99" s="199">
        <f t="shared" ref="V99" ca="1" si="91">IF(IF(RIGHT(H99,2)="PH",(1-L99)+$W$2,IF(RIGHT(H99,2)="HT",(1-L99)+$W$1,IF(RIGHT(H99,2)="SH",(1-L99)+$W$3,"")))&gt;0,IF(RIGHT(H99,2)="PH",(1-L99)+$W$2,IF(RIGHT(H99,2)="HT",(1-L99)+$W$1,IF(RIGHT(H99,2)="SH",(1-L99)+$W$3,""))),0)</f>
        <v>0</v>
      </c>
      <c r="W99" s="298"/>
      <c r="X99" s="698">
        <f t="shared" ca="1" si="79"/>
        <v>11</v>
      </c>
      <c r="Y99" s="698">
        <f t="shared" ca="1" si="85"/>
        <v>63</v>
      </c>
      <c r="Z99" s="698">
        <f t="shared" ca="1" si="86"/>
        <v>11</v>
      </c>
      <c r="AA99" s="698">
        <f t="shared" ca="1" si="87"/>
        <v>3</v>
      </c>
      <c r="AB99" s="698">
        <f t="shared" ca="1" si="88"/>
        <v>10</v>
      </c>
      <c r="AC99" s="296"/>
      <c r="AD99" s="81">
        <v>2020</v>
      </c>
      <c r="AE99" s="81"/>
      <c r="AF99" s="710"/>
    </row>
    <row r="100" spans="2:32">
      <c r="B100" s="357" t="s">
        <v>1008</v>
      </c>
      <c r="C100" s="55"/>
      <c r="D100" s="261"/>
      <c r="E100" s="261"/>
      <c r="F100" s="224" t="s">
        <v>1149</v>
      </c>
      <c r="G100" s="55"/>
      <c r="H100" s="174"/>
      <c r="I100" s="174" t="str">
        <f t="shared" si="22"/>
        <v>INDCWH</v>
      </c>
      <c r="J100" s="224">
        <f t="shared" si="32"/>
        <v>2030</v>
      </c>
      <c r="K100" s="81"/>
      <c r="L100" s="199">
        <f t="shared" ca="1" si="80"/>
        <v>1.1618960947726835</v>
      </c>
      <c r="M100" s="199"/>
      <c r="N100" s="81"/>
      <c r="O100" s="723">
        <f t="shared" ca="1" si="81"/>
        <v>4.8425000000000002</v>
      </c>
      <c r="P100" s="723">
        <f t="shared" ca="1" si="82"/>
        <v>0.267455</v>
      </c>
      <c r="Q100" s="81">
        <f t="shared" ca="1" si="83"/>
        <v>5.8461805555555557</v>
      </c>
      <c r="R100" s="300"/>
      <c r="S100" s="300"/>
      <c r="T100" s="300"/>
      <c r="U100" s="300"/>
      <c r="V100" s="199">
        <f t="shared" ref="V100" ca="1" si="92">IF(IF(RIGHT(H99,2)="PH",(1-L100)+$W$2,IF(RIGHT(H99,2)="HT",(1-L100)+$W$1,IF(RIGHT(H99,2)="SH",(1-L100)+$W$3,"")))&gt;0,IF(RIGHT(H99,2)="PH",(1-L100)+$W$2,IF(RIGHT(H99,2)="HT",(1-L100)+$W$1,IF(RIGHT(H99,2)="SH",(1-L100)+$W$3,""))),0)</f>
        <v>0</v>
      </c>
      <c r="W100" s="298"/>
      <c r="X100" s="698">
        <f t="shared" ca="1" si="79"/>
        <v>11</v>
      </c>
      <c r="Y100" s="698">
        <f t="shared" ca="1" si="85"/>
        <v>49</v>
      </c>
      <c r="Z100" s="698">
        <f t="shared" ca="1" si="86"/>
        <v>8</v>
      </c>
      <c r="AA100" s="698">
        <f t="shared" ca="1" si="87"/>
        <v>3</v>
      </c>
      <c r="AB100" s="698">
        <f t="shared" ca="1" si="88"/>
        <v>10</v>
      </c>
      <c r="AC100" s="55"/>
      <c r="AD100" s="81">
        <v>2030</v>
      </c>
      <c r="AE100" s="81"/>
      <c r="AF100" s="700"/>
    </row>
    <row r="101" spans="2:32">
      <c r="B101" s="356" t="s">
        <v>1008</v>
      </c>
      <c r="C101" s="203"/>
      <c r="D101" s="701"/>
      <c r="E101" s="701"/>
      <c r="F101" s="224" t="s">
        <v>1149</v>
      </c>
      <c r="G101" s="203"/>
      <c r="H101" s="702"/>
      <c r="I101" s="702" t="str">
        <f t="shared" si="22"/>
        <v>INDCWH</v>
      </c>
      <c r="J101" s="224">
        <f t="shared" si="32"/>
        <v>2050</v>
      </c>
      <c r="K101" s="81"/>
      <c r="L101" s="199">
        <f t="shared" ca="1" si="80"/>
        <v>1.1618960947726835</v>
      </c>
      <c r="M101" s="199"/>
      <c r="N101" s="81"/>
      <c r="O101" s="723">
        <f t="shared" ca="1" si="81"/>
        <v>4.3955000000000002</v>
      </c>
      <c r="P101" s="723">
        <f t="shared" ca="1" si="82"/>
        <v>0.25106499999999998</v>
      </c>
      <c r="Q101" s="81">
        <f t="shared" ca="1" si="83"/>
        <v>5.8937777777777782</v>
      </c>
      <c r="R101" s="703"/>
      <c r="S101" s="703"/>
      <c r="T101" s="703"/>
      <c r="U101" s="703"/>
      <c r="V101" s="199">
        <f t="shared" ref="V101" ca="1" si="93">IF(IF(RIGHT(H99,2)="PH",(1-L101)+$W$2,IF(RIGHT(H99,2)="HT",(1-L101)+$W$1,IF(RIGHT(H99,2)="SH",(1-L101)+$W$3,"")))&gt;0,IF(RIGHT(H99,2)="PH",(1-L101)+$W$2,IF(RIGHT(H99,2)="HT",(1-L101)+$W$1,IF(RIGHT(H99,2)="SH",(1-L101)+$W$3,""))),0)</f>
        <v>0</v>
      </c>
      <c r="W101" s="704"/>
      <c r="X101" s="698">
        <f t="shared" ca="1" si="79"/>
        <v>11</v>
      </c>
      <c r="Y101" s="698">
        <f t="shared" ca="1" si="85"/>
        <v>41</v>
      </c>
      <c r="Z101" s="698">
        <f t="shared" ca="1" si="86"/>
        <v>4</v>
      </c>
      <c r="AA101" s="698">
        <f t="shared" ca="1" si="87"/>
        <v>1</v>
      </c>
      <c r="AB101" s="698">
        <f t="shared" ca="1" si="88"/>
        <v>10</v>
      </c>
      <c r="AC101" s="55"/>
      <c r="AD101" s="81">
        <v>2050</v>
      </c>
      <c r="AE101" s="81"/>
      <c r="AF101" s="700"/>
    </row>
    <row r="102" spans="2:32">
      <c r="B102" s="717" t="s">
        <v>1008</v>
      </c>
      <c r="C102" s="712"/>
      <c r="D102" s="707" t="str">
        <f>"IND"&amp;RIGHT(H102,4)&amp;RIGHT(G102,3)&amp;"N"&amp;RIGHT(E102,1)</f>
        <v>INDCDPHWCHN3</v>
      </c>
      <c r="E102" s="707" t="str">
        <f>"Industrial heating technology "&amp;$AJ$12&amp;" "&amp;RIGHT(H102,2)&amp;" - Wood chip boiler (Hot Water) - new 3"</f>
        <v>Industrial heating technology Chemical PH - Wood chip boiler (Hot Water) - new 3</v>
      </c>
      <c r="F102" s="224" t="s">
        <v>1149</v>
      </c>
      <c r="G102" s="708" t="s">
        <v>498</v>
      </c>
      <c r="H102" s="708" t="str">
        <f>$AI$14</f>
        <v>ICDPH</v>
      </c>
      <c r="I102" s="708" t="str">
        <f t="shared" si="22"/>
        <v>INDCWH</v>
      </c>
      <c r="J102" s="224">
        <f t="shared" si="32"/>
        <v>2011</v>
      </c>
      <c r="K102" s="299">
        <v>2025</v>
      </c>
      <c r="L102" s="199">
        <f t="shared" ref="L102:L107" ca="1" si="94">VLOOKUP($AD102,INDIRECT("'"&amp;$B102&amp;"'!"&amp;"$P$200:$AD$203"),3,FALSE)</f>
        <v>0.9</v>
      </c>
      <c r="M102" s="199"/>
      <c r="N102" s="81">
        <f ca="1">VLOOKUP($AD102,INDIRECT("'"&amp;$B102&amp;"'!"&amp;"$P$200:$AD$203"),5,FALSE)</f>
        <v>25</v>
      </c>
      <c r="O102" s="723">
        <f t="shared" ref="O102:O107" ca="1" si="95">VLOOKUP($AD102,INDIRECT("'"&amp;$B102&amp;"'!"&amp;"$P$200:$AD$203"),6,FALSE)/1000</f>
        <v>4.6054545454545437</v>
      </c>
      <c r="P102" s="723">
        <f t="shared" ref="P102:P107" ca="1" si="96">VLOOKUP($AD102,INDIRECT("'"&amp;$B102&amp;"'!"&amp;"$P$200:$AD$203"),7,FALSE)/1000</f>
        <v>0.25106499999999998</v>
      </c>
      <c r="Q102" s="81">
        <f t="shared" ref="Q102:Q107" ca="1" si="97">VLOOKUP($AD102,INDIRECT("'"&amp;$B102&amp;"'!"&amp;"$P$200:$AD$203"),8,FALSE)</f>
        <v>5.7509861111111107</v>
      </c>
      <c r="R102" s="81">
        <v>3.1536000000000002E-2</v>
      </c>
      <c r="S102" s="199">
        <v>0.5</v>
      </c>
      <c r="T102" s="199">
        <f ca="1">HLOOKUP($T$2,INDIRECT("'"&amp;$B102&amp;"'!"&amp;"$P$167:$AC$180"),IF(H102=$AI$13,6,IF(H102=$AI$14,9,14)),FALSE)</f>
        <v>0</v>
      </c>
      <c r="U102" s="773"/>
      <c r="V102" s="199">
        <f t="shared" ref="V102" ca="1" si="98">IF(IF(RIGHT(H102,2)="PH",(1-L102)+$W$2,IF(RIGHT(H102,2)="HT",(1-L102)+$W$1,IF(RIGHT(H102,2)="SH",(1-L102)+$W$3,"")))&gt;0,IF(RIGHT(H102,2)="PH",(1-L102)+$W$2,IF(RIGHT(H102,2)="HT",(1-L102)+$W$1,IF(RIGHT(H102,2)="SH",(1-L102)+$W$3,""))),0)</f>
        <v>0.3</v>
      </c>
      <c r="W102" s="709"/>
      <c r="X102" s="698">
        <f t="shared" ca="1" si="79"/>
        <v>11</v>
      </c>
      <c r="Y102" s="698">
        <f t="shared" ref="Y102:Y107" ca="1" si="99">VLOOKUP($AD102,INDIRECT("'"&amp;$B102&amp;"'!"&amp;"$P$200:$AD$203"),12,FALSE)</f>
        <v>63</v>
      </c>
      <c r="Z102" s="698">
        <f t="shared" ref="Z102:Z107" ca="1" si="100">VLOOKUP($AD102,INDIRECT("'"&amp;$B102&amp;"'!"&amp;"$P$200:$AD$203"),13,FALSE)</f>
        <v>11</v>
      </c>
      <c r="AA102" s="698">
        <f t="shared" ref="AA102:AA107" ca="1" si="101">VLOOKUP($AD102,INDIRECT("'"&amp;$B102&amp;"'!"&amp;"$P$200:$AD$203"),14,FALSE)</f>
        <v>3</v>
      </c>
      <c r="AB102" s="698">
        <f t="shared" ref="AB102:AB107" ca="1" si="102">VLOOKUP($AD102,INDIRECT("'"&amp;$B102&amp;"'!"&amp;"$P$200:$AD$203"),15,FALSE)</f>
        <v>10</v>
      </c>
      <c r="AC102" s="55"/>
      <c r="AD102" s="81">
        <v>2020</v>
      </c>
      <c r="AE102" s="81"/>
      <c r="AF102" s="700"/>
    </row>
    <row r="103" spans="2:32">
      <c r="B103" s="718" t="s">
        <v>1008</v>
      </c>
      <c r="C103" s="226"/>
      <c r="D103" s="261"/>
      <c r="E103" s="261"/>
      <c r="F103" s="224" t="s">
        <v>1149</v>
      </c>
      <c r="G103" s="55"/>
      <c r="H103" s="174"/>
      <c r="I103" s="174" t="str">
        <f t="shared" si="22"/>
        <v>INDCWH</v>
      </c>
      <c r="J103" s="224">
        <f t="shared" si="32"/>
        <v>2030</v>
      </c>
      <c r="K103" s="81"/>
      <c r="L103" s="199">
        <f t="shared" ca="1" si="94"/>
        <v>0.9</v>
      </c>
      <c r="M103" s="199"/>
      <c r="N103" s="81"/>
      <c r="O103" s="723">
        <f t="shared" ca="1" si="95"/>
        <v>4.4022727272727282</v>
      </c>
      <c r="P103" s="723">
        <f t="shared" ca="1" si="96"/>
        <v>0.267455</v>
      </c>
      <c r="Q103" s="81">
        <f t="shared" ca="1" si="97"/>
        <v>5.8461805555555557</v>
      </c>
      <c r="R103" s="300"/>
      <c r="S103" s="300"/>
      <c r="T103" s="300"/>
      <c r="U103" s="300"/>
      <c r="V103" s="199">
        <f t="shared" ref="V103" ca="1" si="103">IF(IF(RIGHT(H102,2)="PH",(1-L103)+$W$2,IF(RIGHT(H102,2)="HT",(1-L103)+$W$1,IF(RIGHT(H102,2)="SH",(1-L103)+$W$3,"")))&gt;0,IF(RIGHT(H102,2)="PH",(1-L103)+$W$2,IF(RIGHT(H102,2)="HT",(1-L103)+$W$1,IF(RIGHT(H102,2)="SH",(1-L103)+$W$3,""))),0)</f>
        <v>0.3</v>
      </c>
      <c r="W103" s="298"/>
      <c r="X103" s="698">
        <f t="shared" ca="1" si="79"/>
        <v>11</v>
      </c>
      <c r="Y103" s="698">
        <f t="shared" ca="1" si="99"/>
        <v>49</v>
      </c>
      <c r="Z103" s="698">
        <f t="shared" ca="1" si="100"/>
        <v>8</v>
      </c>
      <c r="AA103" s="698">
        <f t="shared" ca="1" si="101"/>
        <v>3</v>
      </c>
      <c r="AB103" s="698">
        <f t="shared" ca="1" si="102"/>
        <v>10</v>
      </c>
      <c r="AC103" s="55"/>
      <c r="AD103" s="81">
        <v>2030</v>
      </c>
      <c r="AE103" s="81"/>
      <c r="AF103" s="700"/>
    </row>
    <row r="104" spans="2:32">
      <c r="B104" s="718" t="s">
        <v>1008</v>
      </c>
      <c r="C104" s="226"/>
      <c r="D104" s="261"/>
      <c r="E104" s="261"/>
      <c r="F104" s="224" t="s">
        <v>1149</v>
      </c>
      <c r="G104" s="55"/>
      <c r="H104" s="174"/>
      <c r="I104" s="174" t="str">
        <f t="shared" si="22"/>
        <v>INDCWH</v>
      </c>
      <c r="J104" s="224">
        <f t="shared" si="32"/>
        <v>2050</v>
      </c>
      <c r="K104" s="81"/>
      <c r="L104" s="199">
        <f t="shared" ca="1" si="94"/>
        <v>0.91</v>
      </c>
      <c r="M104" s="199"/>
      <c r="N104" s="81"/>
      <c r="O104" s="723">
        <f t="shared" ca="1" si="95"/>
        <v>3.9959090909090884</v>
      </c>
      <c r="P104" s="723">
        <f t="shared" ca="1" si="96"/>
        <v>0.25106499999999998</v>
      </c>
      <c r="Q104" s="81">
        <f t="shared" ca="1" si="97"/>
        <v>5.8937777777777782</v>
      </c>
      <c r="R104" s="300"/>
      <c r="S104" s="300"/>
      <c r="T104" s="300"/>
      <c r="U104" s="300"/>
      <c r="V104" s="199">
        <f t="shared" ref="V104" ca="1" si="104">IF(IF(RIGHT(H102,2)="PH",(1-L104)+$W$2,IF(RIGHT(H102,2)="HT",(1-L104)+$W$1,IF(RIGHT(H102,2)="SH",(1-L104)+$W$3,"")))&gt;0,IF(RIGHT(H102,2)="PH",(1-L104)+$W$2,IF(RIGHT(H102,2)="HT",(1-L104)+$W$1,IF(RIGHT(H102,2)="SH",(1-L104)+$W$3,""))),0)</f>
        <v>0.28999999999999998</v>
      </c>
      <c r="W104" s="298"/>
      <c r="X104" s="698">
        <f t="shared" ca="1" si="79"/>
        <v>11</v>
      </c>
      <c r="Y104" s="698">
        <f t="shared" ca="1" si="99"/>
        <v>41</v>
      </c>
      <c r="Z104" s="698">
        <f t="shared" ca="1" si="100"/>
        <v>4</v>
      </c>
      <c r="AA104" s="698">
        <f t="shared" ca="1" si="101"/>
        <v>1</v>
      </c>
      <c r="AB104" s="698">
        <f t="shared" ca="1" si="102"/>
        <v>10</v>
      </c>
      <c r="AC104" s="203"/>
      <c r="AD104" s="81">
        <v>2050</v>
      </c>
      <c r="AE104" s="81"/>
      <c r="AF104" s="705"/>
    </row>
    <row r="105" spans="2:32">
      <c r="B105" s="718" t="s">
        <v>1008</v>
      </c>
      <c r="C105" s="226"/>
      <c r="D105" s="261" t="str">
        <f>"IND"&amp;RIGHT(H105,4)&amp;RIGHT(G105,3)&amp;"N"&amp;RIGHT(E105,1)</f>
        <v>INDCDSHWCHN3</v>
      </c>
      <c r="E105" s="261" t="str">
        <f>"Industrial heating technology "&amp;$AJ$12&amp;" "&amp;RIGHT(H105,2)&amp;" - Wood chip boiler (Hot Water) - new 3"</f>
        <v>Industrial heating technology Chemical SH - Wood chip boiler (Hot Water) - new 3</v>
      </c>
      <c r="F105" s="224" t="s">
        <v>1149</v>
      </c>
      <c r="G105" s="174" t="s">
        <v>498</v>
      </c>
      <c r="H105" s="174" t="str">
        <f>$AI$15</f>
        <v>ICDSH</v>
      </c>
      <c r="I105" s="174" t="str">
        <f t="shared" si="22"/>
        <v>INDCWH</v>
      </c>
      <c r="J105" s="224">
        <f t="shared" si="32"/>
        <v>2011</v>
      </c>
      <c r="K105" s="299">
        <v>2025</v>
      </c>
      <c r="L105" s="199">
        <f t="shared" ca="1" si="94"/>
        <v>0.9</v>
      </c>
      <c r="M105" s="199"/>
      <c r="N105" s="81">
        <f ca="1">VLOOKUP($AD105,INDIRECT("'"&amp;$B105&amp;"'!"&amp;"$P$200:$AD$203"),5,FALSE)</f>
        <v>25</v>
      </c>
      <c r="O105" s="723">
        <f t="shared" ca="1" si="95"/>
        <v>4.6054545454545437</v>
      </c>
      <c r="P105" s="723">
        <f t="shared" ca="1" si="96"/>
        <v>0.25106499999999998</v>
      </c>
      <c r="Q105" s="81">
        <f t="shared" ca="1" si="97"/>
        <v>5.7509861111111107</v>
      </c>
      <c r="R105" s="81">
        <v>3.1536000000000002E-2</v>
      </c>
      <c r="S105" s="199">
        <v>0.5</v>
      </c>
      <c r="T105" s="199">
        <f ca="1">HLOOKUP($T$2,INDIRECT("'"&amp;$B105&amp;"'!"&amp;"$P$167:$AC$180"),IF(H105=$AI$13,6,IF(H105=$AI$14,9,14)),FALSE)</f>
        <v>1</v>
      </c>
      <c r="U105" s="773"/>
      <c r="V105" s="199">
        <f t="shared" ref="V105" ca="1" si="105">IF(IF(RIGHT(H105,2)="PH",(1-L105)+$W$2,IF(RIGHT(H105,2)="HT",(1-L105)+$W$1,IF(RIGHT(H105,2)="SH",(1-L105)+$W$3,"")))&gt;0,IF(RIGHT(H105,2)="PH",(1-L105)+$W$2,IF(RIGHT(H105,2)="HT",(1-L105)+$W$1,IF(RIGHT(H105,2)="SH",(1-L105)+$W$3,""))),0)</f>
        <v>9.9999999999999978E-2</v>
      </c>
      <c r="W105" s="709"/>
      <c r="X105" s="698">
        <f t="shared" ca="1" si="79"/>
        <v>11</v>
      </c>
      <c r="Y105" s="698">
        <f t="shared" ca="1" si="99"/>
        <v>63</v>
      </c>
      <c r="Z105" s="698">
        <f t="shared" ca="1" si="100"/>
        <v>11</v>
      </c>
      <c r="AA105" s="698">
        <f t="shared" ca="1" si="101"/>
        <v>3</v>
      </c>
      <c r="AB105" s="698">
        <f t="shared" ca="1" si="102"/>
        <v>10</v>
      </c>
      <c r="AC105" s="296"/>
      <c r="AD105" s="81">
        <v>2020</v>
      </c>
      <c r="AE105" s="81"/>
      <c r="AF105" s="710"/>
    </row>
    <row r="106" spans="2:32">
      <c r="B106" s="718" t="s">
        <v>1008</v>
      </c>
      <c r="C106" s="226"/>
      <c r="D106" s="261"/>
      <c r="E106" s="261"/>
      <c r="F106" s="224" t="s">
        <v>1149</v>
      </c>
      <c r="G106" s="55"/>
      <c r="H106" s="174"/>
      <c r="I106" s="174" t="str">
        <f t="shared" si="22"/>
        <v>INDCWH</v>
      </c>
      <c r="J106" s="224">
        <f t="shared" si="32"/>
        <v>2030</v>
      </c>
      <c r="K106" s="81"/>
      <c r="L106" s="199">
        <f t="shared" ca="1" si="94"/>
        <v>0.9</v>
      </c>
      <c r="M106" s="199"/>
      <c r="N106" s="81"/>
      <c r="O106" s="723">
        <f t="shared" ca="1" si="95"/>
        <v>4.4022727272727282</v>
      </c>
      <c r="P106" s="723">
        <f t="shared" ca="1" si="96"/>
        <v>0.267455</v>
      </c>
      <c r="Q106" s="81">
        <f t="shared" ca="1" si="97"/>
        <v>5.8461805555555557</v>
      </c>
      <c r="R106" s="300"/>
      <c r="S106" s="300"/>
      <c r="T106" s="300"/>
      <c r="U106" s="300"/>
      <c r="V106" s="199">
        <f t="shared" ref="V106" ca="1" si="106">IF(IF(RIGHT(H105,2)="PH",(1-L106)+$W$2,IF(RIGHT(H105,2)="HT",(1-L106)+$W$1,IF(RIGHT(H105,2)="SH",(1-L106)+$W$3,"")))&gt;0,IF(RIGHT(H105,2)="PH",(1-L106)+$W$2,IF(RIGHT(H105,2)="HT",(1-L106)+$W$1,IF(RIGHT(H105,2)="SH",(1-L106)+$W$3,""))),0)</f>
        <v>9.9999999999999978E-2</v>
      </c>
      <c r="W106" s="298"/>
      <c r="X106" s="698">
        <f t="shared" ca="1" si="79"/>
        <v>11</v>
      </c>
      <c r="Y106" s="698">
        <f t="shared" ca="1" si="99"/>
        <v>49</v>
      </c>
      <c r="Z106" s="698">
        <f t="shared" ca="1" si="100"/>
        <v>8</v>
      </c>
      <c r="AA106" s="698">
        <f t="shared" ca="1" si="101"/>
        <v>3</v>
      </c>
      <c r="AB106" s="698">
        <f t="shared" ca="1" si="102"/>
        <v>10</v>
      </c>
      <c r="AC106" s="55"/>
      <c r="AD106" s="81">
        <v>2030</v>
      </c>
      <c r="AE106" s="81"/>
      <c r="AF106" s="700"/>
    </row>
    <row r="107" spans="2:32">
      <c r="B107" s="719" t="s">
        <v>1008</v>
      </c>
      <c r="C107" s="713"/>
      <c r="D107" s="701"/>
      <c r="E107" s="701"/>
      <c r="F107" s="224" t="s">
        <v>1149</v>
      </c>
      <c r="G107" s="203"/>
      <c r="H107" s="702"/>
      <c r="I107" s="702" t="str">
        <f t="shared" si="22"/>
        <v>INDCWH</v>
      </c>
      <c r="J107" s="224">
        <f t="shared" si="32"/>
        <v>2050</v>
      </c>
      <c r="K107" s="81"/>
      <c r="L107" s="199">
        <f t="shared" ca="1" si="94"/>
        <v>0.91</v>
      </c>
      <c r="M107" s="199"/>
      <c r="N107" s="81"/>
      <c r="O107" s="723">
        <f t="shared" ca="1" si="95"/>
        <v>3.9959090909090884</v>
      </c>
      <c r="P107" s="723">
        <f t="shared" ca="1" si="96"/>
        <v>0.25106499999999998</v>
      </c>
      <c r="Q107" s="81">
        <f t="shared" ca="1" si="97"/>
        <v>5.8937777777777782</v>
      </c>
      <c r="R107" s="300"/>
      <c r="S107" s="300"/>
      <c r="T107" s="300"/>
      <c r="U107" s="300"/>
      <c r="V107" s="199">
        <f t="shared" ref="V107" ca="1" si="107">IF(IF(RIGHT(H105,2)="PH",(1-L107)+$W$2,IF(RIGHT(H105,2)="HT",(1-L107)+$W$1,IF(RIGHT(H105,2)="SH",(1-L107)+$W$3,"")))&gt;0,IF(RIGHT(H105,2)="PH",(1-L107)+$W$2,IF(RIGHT(H105,2)="HT",(1-L107)+$W$1,IF(RIGHT(H105,2)="SH",(1-L107)+$W$3,""))),0)</f>
        <v>8.9999999999999969E-2</v>
      </c>
      <c r="W107" s="298"/>
      <c r="X107" s="698">
        <f t="shared" ca="1" si="79"/>
        <v>11</v>
      </c>
      <c r="Y107" s="698">
        <f t="shared" ca="1" si="99"/>
        <v>41</v>
      </c>
      <c r="Z107" s="698">
        <f t="shared" ca="1" si="100"/>
        <v>4</v>
      </c>
      <c r="AA107" s="698">
        <f t="shared" ca="1" si="101"/>
        <v>1</v>
      </c>
      <c r="AB107" s="698">
        <f t="shared" ca="1" si="102"/>
        <v>10</v>
      </c>
      <c r="AC107" s="55"/>
      <c r="AD107" s="81">
        <v>2050</v>
      </c>
      <c r="AE107" s="81"/>
      <c r="AF107" s="700"/>
    </row>
    <row r="108" spans="2:32">
      <c r="B108" s="717" t="s">
        <v>1008</v>
      </c>
      <c r="C108" s="712"/>
      <c r="D108" s="707" t="str">
        <f>"IND"&amp;RIGHT(H108,4)&amp;RIGHT(G108,3)&amp;"N"&amp;RIGHT(E108,1)</f>
        <v>INDCDPHWCHN4</v>
      </c>
      <c r="E108" s="707" t="str">
        <f>"Industrial heating technology "&amp;$AJ$12&amp;" "&amp;RIGHT(H108,2)&amp;" - Wood chip boiler (Hot Water - condensing) - new 4"</f>
        <v>Industrial heating technology Chemical PH - Wood chip boiler (Hot Water - condensing) - new 4</v>
      </c>
      <c r="F108" s="224" t="s">
        <v>1149</v>
      </c>
      <c r="G108" s="708" t="s">
        <v>498</v>
      </c>
      <c r="H108" s="708" t="str">
        <f>$AI$14</f>
        <v>ICDPH</v>
      </c>
      <c r="I108" s="708" t="str">
        <f t="shared" si="22"/>
        <v>INDCWH</v>
      </c>
      <c r="J108" s="224">
        <f t="shared" si="32"/>
        <v>2011</v>
      </c>
      <c r="K108" s="299">
        <v>2025</v>
      </c>
      <c r="L108" s="199">
        <f t="shared" ref="L108:L113" ca="1" si="108">VLOOKUP($AD108,INDIRECT("'"&amp;$B108&amp;"'!"&amp;"$P$279:$AD$282"),3,FALSE)</f>
        <v>1.1618960947726835</v>
      </c>
      <c r="M108" s="199"/>
      <c r="N108" s="81">
        <f ca="1">VLOOKUP($AD108,INDIRECT("'"&amp;$B108&amp;"'!"&amp;"$P$279:$AD$282"),5,FALSE)</f>
        <v>25</v>
      </c>
      <c r="O108" s="723">
        <f t="shared" ref="O108:O113" ca="1" si="109">VLOOKUP($AD108,INDIRECT("'"&amp;$B108&amp;"'!"&amp;"$P$279:$AD$282"),6,FALSE)/1000</f>
        <v>5.0660000000000007</v>
      </c>
      <c r="P108" s="723">
        <f t="shared" ref="P108:P113" ca="1" si="110">VLOOKUP($AD108,INDIRECT("'"&amp;$B108&amp;"'!"&amp;"$P$279:$AD$282"),7,FALSE)/1000</f>
        <v>0.27564999999999995</v>
      </c>
      <c r="Q108" s="81">
        <f t="shared" ref="Q108:Q113" ca="1" si="111">VLOOKUP($AD108,INDIRECT("'"&amp;$B108&amp;"'!"&amp;"$P$279:$AD$282"),8,FALSE)</f>
        <v>5.7509861111111107</v>
      </c>
      <c r="R108" s="81">
        <v>3.1536000000000002E-2</v>
      </c>
      <c r="S108" s="199">
        <v>0.5</v>
      </c>
      <c r="T108" s="199">
        <f ca="1">HLOOKUP($T$2,INDIRECT("'"&amp;$B108&amp;"'!"&amp;"$P$246:$AC$259"),IF(H108=$AI$13,6,IF(H108=$AI$14,9,14)),FALSE)</f>
        <v>0</v>
      </c>
      <c r="U108" s="773"/>
      <c r="V108" s="199">
        <f t="shared" ref="V108" ca="1" si="112">IF(IF(RIGHT(H108,2)="PH",(1-L108)+$W$2,IF(RIGHT(H108,2)="HT",(1-L108)+$W$1,IF(RIGHT(H108,2)="SH",(1-L108)+$W$3,"")))&gt;0,IF(RIGHT(H108,2)="PH",(1-L108)+$W$2,IF(RIGHT(H108,2)="HT",(1-L108)+$W$1,IF(RIGHT(H108,2)="SH",(1-L108)+$W$3,""))),0)</f>
        <v>3.8103905227316492E-2</v>
      </c>
      <c r="W108" s="709"/>
      <c r="X108" s="698">
        <f t="shared" ca="1" si="79"/>
        <v>11</v>
      </c>
      <c r="Y108" s="698">
        <f t="shared" ref="Y108:Y113" ca="1" si="113">VLOOKUP($AD108,INDIRECT("'"&amp;$B108&amp;"'!"&amp;"$P$279:$AD$282"),12,FALSE)</f>
        <v>63</v>
      </c>
      <c r="Z108" s="698">
        <f t="shared" ref="Z108:Z113" ca="1" si="114">VLOOKUP($AD108,INDIRECT("'"&amp;$B108&amp;"'!"&amp;"$P$279:$AD$282"),13,FALSE)</f>
        <v>11</v>
      </c>
      <c r="AA108" s="698">
        <f t="shared" ref="AA108:AA113" ca="1" si="115">VLOOKUP($AD108,INDIRECT("'"&amp;$B108&amp;"'!"&amp;"$P$279:$AD$282"),14,FALSE)</f>
        <v>3</v>
      </c>
      <c r="AB108" s="698">
        <f t="shared" ref="AB108:AB113" ca="1" si="116">VLOOKUP($AD108,INDIRECT("'"&amp;$B108&amp;"'!"&amp;"$P$279:$AD$282"),15,FALSE)</f>
        <v>10</v>
      </c>
      <c r="AC108" s="55"/>
      <c r="AD108" s="81">
        <v>2020</v>
      </c>
      <c r="AE108" s="81"/>
      <c r="AF108" s="700"/>
    </row>
    <row r="109" spans="2:32">
      <c r="B109" s="718" t="s">
        <v>1008</v>
      </c>
      <c r="C109" s="226"/>
      <c r="D109" s="261"/>
      <c r="E109" s="261"/>
      <c r="F109" s="224" t="s">
        <v>1149</v>
      </c>
      <c r="G109" s="55"/>
      <c r="H109" s="174"/>
      <c r="I109" s="174" t="str">
        <f t="shared" si="22"/>
        <v>INDCWH</v>
      </c>
      <c r="J109" s="224">
        <f t="shared" si="32"/>
        <v>2030</v>
      </c>
      <c r="K109" s="81"/>
      <c r="L109" s="199">
        <f t="shared" ca="1" si="108"/>
        <v>1.1618960947726835</v>
      </c>
      <c r="M109" s="199"/>
      <c r="N109" s="81"/>
      <c r="O109" s="723">
        <f t="shared" ca="1" si="109"/>
        <v>4.8425000000000002</v>
      </c>
      <c r="P109" s="723">
        <f t="shared" ca="1" si="110"/>
        <v>0.267455</v>
      </c>
      <c r="Q109" s="81">
        <f t="shared" ca="1" si="111"/>
        <v>5.8461805555555557</v>
      </c>
      <c r="R109" s="300"/>
      <c r="S109" s="300"/>
      <c r="T109" s="300"/>
      <c r="U109" s="300"/>
      <c r="V109" s="199">
        <f t="shared" ref="V109" ca="1" si="117">IF(IF(RIGHT(H108,2)="PH",(1-L109)+$W$2,IF(RIGHT(H108,2)="HT",(1-L109)+$W$1,IF(RIGHT(H108,2)="SH",(1-L109)+$W$3,"")))&gt;0,IF(RIGHT(H108,2)="PH",(1-L109)+$W$2,IF(RIGHT(H108,2)="HT",(1-L109)+$W$1,IF(RIGHT(H108,2)="SH",(1-L109)+$W$3,""))),0)</f>
        <v>3.8103905227316492E-2</v>
      </c>
      <c r="W109" s="298"/>
      <c r="X109" s="698">
        <f t="shared" ca="1" si="79"/>
        <v>11</v>
      </c>
      <c r="Y109" s="698">
        <f t="shared" ca="1" si="113"/>
        <v>49</v>
      </c>
      <c r="Z109" s="698">
        <f t="shared" ca="1" si="114"/>
        <v>8</v>
      </c>
      <c r="AA109" s="698">
        <f t="shared" ca="1" si="115"/>
        <v>3</v>
      </c>
      <c r="AB109" s="698">
        <f t="shared" ca="1" si="116"/>
        <v>10</v>
      </c>
      <c r="AC109" s="55"/>
      <c r="AD109" s="81">
        <v>2030</v>
      </c>
      <c r="AE109" s="81"/>
      <c r="AF109" s="700"/>
    </row>
    <row r="110" spans="2:32">
      <c r="B110" s="718" t="s">
        <v>1008</v>
      </c>
      <c r="C110" s="226"/>
      <c r="D110" s="261"/>
      <c r="E110" s="261"/>
      <c r="F110" s="224" t="s">
        <v>1149</v>
      </c>
      <c r="G110" s="55"/>
      <c r="H110" s="174"/>
      <c r="I110" s="174" t="str">
        <f t="shared" si="22"/>
        <v>INDCWH</v>
      </c>
      <c r="J110" s="224">
        <f t="shared" si="32"/>
        <v>2050</v>
      </c>
      <c r="K110" s="81"/>
      <c r="L110" s="199">
        <f t="shared" ca="1" si="108"/>
        <v>1.1618960947726835</v>
      </c>
      <c r="M110" s="199"/>
      <c r="N110" s="81"/>
      <c r="O110" s="723">
        <f t="shared" ca="1" si="109"/>
        <v>4.3955000000000002</v>
      </c>
      <c r="P110" s="723">
        <f t="shared" ca="1" si="110"/>
        <v>0.25106499999999998</v>
      </c>
      <c r="Q110" s="81">
        <f t="shared" ca="1" si="111"/>
        <v>5.8937777777777782</v>
      </c>
      <c r="R110" s="300"/>
      <c r="S110" s="300"/>
      <c r="T110" s="300"/>
      <c r="U110" s="300"/>
      <c r="V110" s="199">
        <f t="shared" ref="V110" ca="1" si="118">IF(IF(RIGHT(H108,2)="PH",(1-L110)+$W$2,IF(RIGHT(H108,2)="HT",(1-L110)+$W$1,IF(RIGHT(H108,2)="SH",(1-L110)+$W$3,"")))&gt;0,IF(RIGHT(H108,2)="PH",(1-L110)+$W$2,IF(RIGHT(H108,2)="HT",(1-L110)+$W$1,IF(RIGHT(H108,2)="SH",(1-L110)+$W$3,""))),0)</f>
        <v>3.8103905227316492E-2</v>
      </c>
      <c r="W110" s="298"/>
      <c r="X110" s="698">
        <f t="shared" ca="1" si="79"/>
        <v>11</v>
      </c>
      <c r="Y110" s="698">
        <f t="shared" ca="1" si="113"/>
        <v>41</v>
      </c>
      <c r="Z110" s="698">
        <f t="shared" ca="1" si="114"/>
        <v>4</v>
      </c>
      <c r="AA110" s="698">
        <f t="shared" ca="1" si="115"/>
        <v>1</v>
      </c>
      <c r="AB110" s="698">
        <f t="shared" ca="1" si="116"/>
        <v>10</v>
      </c>
      <c r="AC110" s="203"/>
      <c r="AD110" s="81">
        <v>2050</v>
      </c>
      <c r="AE110" s="81"/>
      <c r="AF110" s="705"/>
    </row>
    <row r="111" spans="2:32">
      <c r="B111" s="718" t="s">
        <v>1008</v>
      </c>
      <c r="C111" s="226"/>
      <c r="D111" s="261" t="str">
        <f>"IND"&amp;RIGHT(H111,4)&amp;RIGHT(G111,3)&amp;"N"&amp;RIGHT(E111,1)</f>
        <v>INDCDSHWCHN4</v>
      </c>
      <c r="E111" s="261" t="str">
        <f>"Industrial heating technology "&amp;$AJ$12&amp;" "&amp;RIGHT(H111,2)&amp;" - Wood chip boiler (Hot Water- condensing) - new 4"</f>
        <v>Industrial heating technology Chemical SH - Wood chip boiler (Hot Water- condensing) - new 4</v>
      </c>
      <c r="F111" s="224" t="s">
        <v>1149</v>
      </c>
      <c r="G111" s="174" t="s">
        <v>498</v>
      </c>
      <c r="H111" s="174" t="str">
        <f>$AI$15</f>
        <v>ICDSH</v>
      </c>
      <c r="I111" s="174" t="str">
        <f t="shared" si="22"/>
        <v>INDCWH</v>
      </c>
      <c r="J111" s="224">
        <f t="shared" si="32"/>
        <v>2011</v>
      </c>
      <c r="K111" s="299">
        <v>2025</v>
      </c>
      <c r="L111" s="199">
        <f t="shared" ca="1" si="108"/>
        <v>1.1618960947726835</v>
      </c>
      <c r="M111" s="199"/>
      <c r="N111" s="81">
        <f ca="1">VLOOKUP($AD111,INDIRECT("'"&amp;$B111&amp;"'!"&amp;"$P$279:$AD$282"),5,FALSE)</f>
        <v>25</v>
      </c>
      <c r="O111" s="723">
        <f t="shared" ca="1" si="109"/>
        <v>5.0660000000000007</v>
      </c>
      <c r="P111" s="723">
        <f t="shared" ca="1" si="110"/>
        <v>0.27564999999999995</v>
      </c>
      <c r="Q111" s="81">
        <f t="shared" ca="1" si="111"/>
        <v>5.7509861111111107</v>
      </c>
      <c r="R111" s="81">
        <v>3.1536000000000002E-2</v>
      </c>
      <c r="S111" s="199">
        <v>0.5</v>
      </c>
      <c r="T111" s="199">
        <f ca="1">HLOOKUP($T$2,INDIRECT("'"&amp;$B111&amp;"'!"&amp;"$P$246:$AC$259"),IF(H111=$AI$13,6,IF(H111=$AI$14,9,14)),FALSE)</f>
        <v>1</v>
      </c>
      <c r="U111" s="773"/>
      <c r="V111" s="199">
        <f t="shared" ref="V111" ca="1" si="119">IF(IF(RIGHT(H111,2)="PH",(1-L111)+$W$2,IF(RIGHT(H111,2)="HT",(1-L111)+$W$1,IF(RIGHT(H111,2)="SH",(1-L111)+$W$3,"")))&gt;0,IF(RIGHT(H111,2)="PH",(1-L111)+$W$2,IF(RIGHT(H111,2)="HT",(1-L111)+$W$1,IF(RIGHT(H111,2)="SH",(1-L111)+$W$3,""))),0)</f>
        <v>0</v>
      </c>
      <c r="W111" s="709"/>
      <c r="X111" s="698">
        <f t="shared" ca="1" si="79"/>
        <v>11</v>
      </c>
      <c r="Y111" s="698">
        <f t="shared" ca="1" si="113"/>
        <v>63</v>
      </c>
      <c r="Z111" s="698">
        <f t="shared" ca="1" si="114"/>
        <v>11</v>
      </c>
      <c r="AA111" s="698">
        <f t="shared" ca="1" si="115"/>
        <v>3</v>
      </c>
      <c r="AB111" s="698">
        <f t="shared" ca="1" si="116"/>
        <v>10</v>
      </c>
      <c r="AD111" s="81">
        <v>2020</v>
      </c>
      <c r="AE111" s="81"/>
      <c r="AF111" s="220"/>
    </row>
    <row r="112" spans="2:32">
      <c r="B112" s="718" t="s">
        <v>1008</v>
      </c>
      <c r="C112" s="226"/>
      <c r="D112" s="261"/>
      <c r="E112" s="261"/>
      <c r="F112" s="224" t="s">
        <v>1149</v>
      </c>
      <c r="G112" s="55"/>
      <c r="H112" s="174"/>
      <c r="I112" s="174" t="str">
        <f t="shared" si="22"/>
        <v>INDCWH</v>
      </c>
      <c r="J112" s="224">
        <f t="shared" si="32"/>
        <v>2030</v>
      </c>
      <c r="K112" s="81"/>
      <c r="L112" s="199">
        <f t="shared" ca="1" si="108"/>
        <v>1.1618960947726835</v>
      </c>
      <c r="M112" s="199"/>
      <c r="N112" s="81"/>
      <c r="O112" s="723">
        <f t="shared" ca="1" si="109"/>
        <v>4.8425000000000002</v>
      </c>
      <c r="P112" s="723">
        <f t="shared" ca="1" si="110"/>
        <v>0.267455</v>
      </c>
      <c r="Q112" s="81">
        <f t="shared" ca="1" si="111"/>
        <v>5.8461805555555557</v>
      </c>
      <c r="R112" s="300"/>
      <c r="S112" s="300"/>
      <c r="T112" s="300"/>
      <c r="U112" s="300"/>
      <c r="V112" s="199">
        <f t="shared" ref="V112" ca="1" si="120">IF(IF(RIGHT(H111,2)="PH",(1-L112)+$W$2,IF(RIGHT(H111,2)="HT",(1-L112)+$W$1,IF(RIGHT(H111,2)="SH",(1-L112)+$W$3,"")))&gt;0,IF(RIGHT(H111,2)="PH",(1-L112)+$W$2,IF(RIGHT(H111,2)="HT",(1-L112)+$W$1,IF(RIGHT(H111,2)="SH",(1-L112)+$W$3,""))),0)</f>
        <v>0</v>
      </c>
      <c r="W112" s="298"/>
      <c r="X112" s="698">
        <f t="shared" ca="1" si="79"/>
        <v>11</v>
      </c>
      <c r="Y112" s="698">
        <f t="shared" ca="1" si="113"/>
        <v>49</v>
      </c>
      <c r="Z112" s="698">
        <f t="shared" ca="1" si="114"/>
        <v>8</v>
      </c>
      <c r="AA112" s="698">
        <f t="shared" ca="1" si="115"/>
        <v>3</v>
      </c>
      <c r="AB112" s="698">
        <f t="shared" ca="1" si="116"/>
        <v>10</v>
      </c>
      <c r="AD112" s="81">
        <v>2030</v>
      </c>
      <c r="AE112" s="81"/>
      <c r="AF112" s="220"/>
    </row>
    <row r="113" spans="2:32">
      <c r="B113" s="719" t="s">
        <v>1008</v>
      </c>
      <c r="C113" s="713"/>
      <c r="D113" s="701"/>
      <c r="E113" s="701"/>
      <c r="F113" s="224" t="s">
        <v>1149</v>
      </c>
      <c r="G113" s="203"/>
      <c r="H113" s="702"/>
      <c r="I113" s="702" t="str">
        <f t="shared" si="22"/>
        <v>INDCWH</v>
      </c>
      <c r="J113" s="224">
        <f t="shared" si="32"/>
        <v>2050</v>
      </c>
      <c r="K113" s="81"/>
      <c r="L113" s="199">
        <f t="shared" ca="1" si="108"/>
        <v>1.1618960947726835</v>
      </c>
      <c r="M113" s="199"/>
      <c r="N113" s="81"/>
      <c r="O113" s="723">
        <f t="shared" ca="1" si="109"/>
        <v>4.3955000000000002</v>
      </c>
      <c r="P113" s="723">
        <f t="shared" ca="1" si="110"/>
        <v>0.25106499999999998</v>
      </c>
      <c r="Q113" s="81">
        <f t="shared" ca="1" si="111"/>
        <v>5.8937777777777782</v>
      </c>
      <c r="R113" s="300"/>
      <c r="S113" s="300"/>
      <c r="T113" s="300"/>
      <c r="U113" s="300"/>
      <c r="V113" s="199">
        <f t="shared" ref="V113" ca="1" si="121">IF(IF(RIGHT(H111,2)="PH",(1-L113)+$W$2,IF(RIGHT(H111,2)="HT",(1-L113)+$W$1,IF(RIGHT(H111,2)="SH",(1-L113)+$W$3,"")))&gt;0,IF(RIGHT(H111,2)="PH",(1-L113)+$W$2,IF(RIGHT(H111,2)="HT",(1-L113)+$W$1,IF(RIGHT(H111,2)="SH",(1-L113)+$W$3,""))),0)</f>
        <v>0</v>
      </c>
      <c r="W113" s="714"/>
      <c r="X113" s="698">
        <f t="shared" ca="1" si="79"/>
        <v>11</v>
      </c>
      <c r="Y113" s="698">
        <f t="shared" ca="1" si="113"/>
        <v>41</v>
      </c>
      <c r="Z113" s="698">
        <f t="shared" ca="1" si="114"/>
        <v>4</v>
      </c>
      <c r="AA113" s="698">
        <f t="shared" ca="1" si="115"/>
        <v>1</v>
      </c>
      <c r="AB113" s="698">
        <f t="shared" ca="1" si="116"/>
        <v>10</v>
      </c>
      <c r="AD113" s="81">
        <v>2050</v>
      </c>
      <c r="AE113" s="81"/>
      <c r="AF113" s="220"/>
    </row>
    <row r="114" spans="2:32">
      <c r="B114" s="718" t="s">
        <v>1014</v>
      </c>
      <c r="C114" s="226"/>
      <c r="D114" s="212" t="str">
        <f>"IND"&amp;RIGHT(H114,4)&amp;RIGHT(G114,3)&amp;"N"&amp;RIGHT(E114,2)</f>
        <v>INDCDPHELCN10</v>
      </c>
      <c r="E114" s="261" t="str">
        <f>"Industrial heating technology "&amp;$AJ$12&amp;" "&amp;RIGHT(H114,2)&amp;" - Direct electric heating - new 10"</f>
        <v>Industrial heating technology Chemical PH - Direct electric heating - new 10</v>
      </c>
      <c r="F114" s="224" t="s">
        <v>1149</v>
      </c>
      <c r="G114" s="173" t="s">
        <v>499</v>
      </c>
      <c r="H114" s="174" t="str">
        <f>$AI$13</f>
        <v>ICDPH</v>
      </c>
      <c r="I114" s="174" t="str">
        <f t="shared" si="22"/>
        <v>INDCWH</v>
      </c>
      <c r="J114" s="224">
        <f t="shared" si="32"/>
        <v>2011</v>
      </c>
      <c r="K114" s="299">
        <v>2020</v>
      </c>
      <c r="L114" s="199">
        <f t="shared" ref="L114:L128" ca="1" si="122">VLOOKUP($AD114,INDIRECT("'"&amp;$B114&amp;"'!"&amp;"$P$39:$AD$42"),3,FALSE)</f>
        <v>1</v>
      </c>
      <c r="M114" s="199"/>
      <c r="N114" s="81">
        <f ca="1">VLOOKUP($AD114,INDIRECT("'"&amp;$B114&amp;"'!"&amp;"$P$39:$AD$42"),5,FALSE)</f>
        <v>12.5</v>
      </c>
      <c r="O114" s="723">
        <f t="shared" ref="O114:O128" ca="1" si="123">VLOOKUP($AD114,INDIRECT("'"&amp;$B114&amp;"'!"&amp;"$P$39:$AD$42"),6,FALSE)/1000</f>
        <v>0.44700000000000001</v>
      </c>
      <c r="P114" s="723">
        <f t="shared" ref="P114:P128" ca="1" si="124">VLOOKUP($AD114,INDIRECT("'"&amp;$B114&amp;"'!"&amp;"$P$39:$AD$42"),7,FALSE)/1000</f>
        <v>0</v>
      </c>
      <c r="Q114" s="81">
        <f t="shared" ref="Q114:Q128" ca="1" si="125">VLOOKUP($AD114,INDIRECT("'"&amp;$B114&amp;"'!"&amp;"$P$39:$AD$42"),8,FALSE)</f>
        <v>0.37767361111111114</v>
      </c>
      <c r="R114" s="81">
        <v>3.1536000000000002E-2</v>
      </c>
      <c r="S114" s="199">
        <v>0.5</v>
      </c>
      <c r="T114" s="199">
        <f ca="1">HLOOKUP($S$2,INDIRECT("'"&amp;$B114&amp;"'!"&amp;"$P$6:$AC$19"),IF(H114=$AI$13,6,IF(H114=$AI$14,9,14)),FALSE)</f>
        <v>0.2</v>
      </c>
      <c r="U114" s="772"/>
      <c r="V114" s="199">
        <f t="shared" ref="V114" ca="1" si="126">IF(IF(RIGHT(H114,2)="PH",(1-L114)+$W$2,IF(RIGHT(H114,2)="HT",(1-L114)+$W$1,IF(RIGHT(H114,2)="SH",(1-L114)+$W$3,"")))&gt;0,IF(RIGHT(H114,2)="PH",(1-L114)+$W$2,IF(RIGHT(H114,2)="HT",(1-L114)+$W$1,IF(RIGHT(H114,2)="SH",(1-L114)+$W$3,""))),0)</f>
        <v>0.2</v>
      </c>
      <c r="W114" s="298"/>
      <c r="X114" s="698">
        <f t="shared" ca="1" si="79"/>
        <v>0</v>
      </c>
      <c r="Y114" s="81">
        <f t="shared" ref="Y114:Y128" ca="1" si="127">VLOOKUP($AD114,INDIRECT("'"&amp;$B114&amp;"'!"&amp;"$P$39:$AD$42"),12,FALSE)</f>
        <v>0</v>
      </c>
      <c r="Z114" s="81">
        <f t="shared" ref="Z114:Z128" ca="1" si="128">VLOOKUP($AD114,INDIRECT("'"&amp;$B114&amp;"'!"&amp;"$P$39:$AD$42"),13,FALSE)</f>
        <v>0</v>
      </c>
      <c r="AA114" s="81">
        <f t="shared" ref="AA114:AA128" ca="1" si="129">VLOOKUP($AD114,INDIRECT("'"&amp;$B114&amp;"'!"&amp;"$P$39:$AD$42"),14,FALSE)</f>
        <v>0</v>
      </c>
      <c r="AB114" s="81">
        <f t="shared" ref="AB114:AB128" ca="1" si="130">VLOOKUP($AD114,INDIRECT("'"&amp;$B114&amp;"'!"&amp;"$P$39:$AD$42"),15,FALSE)</f>
        <v>0</v>
      </c>
      <c r="AD114" s="81">
        <v>2020</v>
      </c>
      <c r="AE114" s="81"/>
      <c r="AF114" s="220"/>
    </row>
    <row r="115" spans="2:32">
      <c r="B115" s="718" t="s">
        <v>1014</v>
      </c>
      <c r="C115" s="226"/>
      <c r="D115" s="212"/>
      <c r="E115" s="212"/>
      <c r="F115" s="224" t="s">
        <v>1149</v>
      </c>
      <c r="H115" s="174"/>
      <c r="I115" s="174" t="str">
        <f t="shared" si="22"/>
        <v>INDCWH</v>
      </c>
      <c r="J115" s="224">
        <f t="shared" si="32"/>
        <v>2030</v>
      </c>
      <c r="K115" s="81"/>
      <c r="L115" s="199">
        <f t="shared" ca="1" si="122"/>
        <v>1</v>
      </c>
      <c r="M115" s="199"/>
      <c r="N115" s="81"/>
      <c r="O115" s="723">
        <f t="shared" ca="1" si="123"/>
        <v>0.44700000000000001</v>
      </c>
      <c r="P115" s="723">
        <f t="shared" ca="1" si="124"/>
        <v>0</v>
      </c>
      <c r="Q115" s="81">
        <f t="shared" ca="1" si="125"/>
        <v>0.38802083333333331</v>
      </c>
      <c r="R115" s="300"/>
      <c r="S115" s="300"/>
      <c r="T115" s="300"/>
      <c r="U115" s="300"/>
      <c r="V115" s="199">
        <f t="shared" ref="V115" ca="1" si="131">IF(IF(RIGHT(H114,2)="PH",(1-L115)+$W$2,IF(RIGHT(H114,2)="HT",(1-L115)+$W$1,IF(RIGHT(H114,2)="SH",(1-L115)+$W$3,"")))&gt;0,IF(RIGHT(H114,2)="PH",(1-L115)+$W$2,IF(RIGHT(H114,2)="HT",(1-L115)+$W$1,IF(RIGHT(H114,2)="SH",(1-L115)+$W$3,""))),0)</f>
        <v>0.2</v>
      </c>
      <c r="W115" s="298"/>
      <c r="X115" s="698">
        <f t="shared" ca="1" si="79"/>
        <v>0</v>
      </c>
      <c r="Y115" s="81">
        <f t="shared" ca="1" si="127"/>
        <v>0</v>
      </c>
      <c r="Z115" s="81">
        <f t="shared" ca="1" si="128"/>
        <v>0</v>
      </c>
      <c r="AA115" s="81">
        <f t="shared" ca="1" si="129"/>
        <v>0</v>
      </c>
      <c r="AB115" s="81">
        <f t="shared" ca="1" si="130"/>
        <v>0</v>
      </c>
      <c r="AD115" s="81">
        <v>2030</v>
      </c>
      <c r="AE115" s="81"/>
      <c r="AF115" s="220"/>
    </row>
    <row r="116" spans="2:32">
      <c r="B116" s="718" t="s">
        <v>1014</v>
      </c>
      <c r="C116" s="226"/>
      <c r="D116" s="212"/>
      <c r="E116" s="212"/>
      <c r="F116" s="224" t="s">
        <v>1149</v>
      </c>
      <c r="H116" s="174"/>
      <c r="I116" s="174" t="str">
        <f t="shared" si="22"/>
        <v>INDCWH</v>
      </c>
      <c r="J116" s="224">
        <f t="shared" si="32"/>
        <v>2050</v>
      </c>
      <c r="K116" s="81"/>
      <c r="L116" s="199">
        <f t="shared" ca="1" si="122"/>
        <v>1</v>
      </c>
      <c r="M116" s="199"/>
      <c r="N116" s="81"/>
      <c r="O116" s="723">
        <f t="shared" ca="1" si="123"/>
        <v>0.44700000000000001</v>
      </c>
      <c r="P116" s="723">
        <f t="shared" ca="1" si="124"/>
        <v>0</v>
      </c>
      <c r="Q116" s="81">
        <f t="shared" ca="1" si="125"/>
        <v>0.39319444444444446</v>
      </c>
      <c r="R116" s="300"/>
      <c r="S116" s="300"/>
      <c r="T116" s="300"/>
      <c r="U116" s="300"/>
      <c r="V116" s="199">
        <f t="shared" ref="V116" ca="1" si="132">IF(IF(RIGHT(H114,2)="PH",(1-L116)+$W$2,IF(RIGHT(H114,2)="HT",(1-L116)+$W$1,IF(RIGHT(H114,2)="SH",(1-L116)+$W$3,"")))&gt;0,IF(RIGHT(H114,2)="PH",(1-L116)+$W$2,IF(RIGHT(H114,2)="HT",(1-L116)+$W$1,IF(RIGHT(H114,2)="SH",(1-L116)+$W$3,""))),0)</f>
        <v>0.2</v>
      </c>
      <c r="W116" s="298"/>
      <c r="X116" s="698">
        <f t="shared" ca="1" si="79"/>
        <v>0</v>
      </c>
      <c r="Y116" s="81">
        <f t="shared" ca="1" si="127"/>
        <v>0</v>
      </c>
      <c r="Z116" s="81">
        <f t="shared" ca="1" si="128"/>
        <v>0</v>
      </c>
      <c r="AA116" s="81">
        <f t="shared" ca="1" si="129"/>
        <v>0</v>
      </c>
      <c r="AB116" s="81">
        <f t="shared" ca="1" si="130"/>
        <v>0</v>
      </c>
      <c r="AC116" s="203"/>
      <c r="AD116" s="81">
        <v>2050</v>
      </c>
      <c r="AE116" s="81"/>
      <c r="AF116" s="705"/>
    </row>
    <row r="117" spans="2:32">
      <c r="B117" s="718" t="s">
        <v>1014</v>
      </c>
      <c r="C117" s="226"/>
      <c r="D117" s="212" t="str">
        <f>"IND"&amp;RIGHT(H117,4)&amp;RIGHT(G117,3)&amp;"N"&amp;RIGHT(E117,2)</f>
        <v>INDCDPHELCN10</v>
      </c>
      <c r="E117" s="261" t="str">
        <f>"Industrial heating technology "&amp;$AJ$12&amp;" "&amp;RIGHT(H117,2)&amp;" - Direct electric heating - new 10"</f>
        <v>Industrial heating technology Chemical PH - Direct electric heating - new 10</v>
      </c>
      <c r="F117" s="224" t="s">
        <v>1149</v>
      </c>
      <c r="G117" s="173" t="s">
        <v>499</v>
      </c>
      <c r="H117" s="174" t="str">
        <f>$AI$14</f>
        <v>ICDPH</v>
      </c>
      <c r="I117" s="174" t="str">
        <f t="shared" si="22"/>
        <v>INDCWH</v>
      </c>
      <c r="J117" s="224">
        <f t="shared" si="32"/>
        <v>2011</v>
      </c>
      <c r="K117" s="299">
        <v>2020</v>
      </c>
      <c r="L117" s="199">
        <f t="shared" ca="1" si="122"/>
        <v>1</v>
      </c>
      <c r="M117" s="199"/>
      <c r="N117" s="81">
        <f ca="1">VLOOKUP($AD117,INDIRECT("'"&amp;$B117&amp;"'!"&amp;"$P$39:$AD$42"),5,FALSE)</f>
        <v>12.5</v>
      </c>
      <c r="O117" s="723">
        <f t="shared" ca="1" si="123"/>
        <v>0.44700000000000001</v>
      </c>
      <c r="P117" s="723">
        <f t="shared" ca="1" si="124"/>
        <v>0</v>
      </c>
      <c r="Q117" s="81">
        <f t="shared" ca="1" si="125"/>
        <v>0.37767361111111114</v>
      </c>
      <c r="R117" s="81">
        <v>3.1536000000000002E-2</v>
      </c>
      <c r="S117" s="199">
        <v>0.5</v>
      </c>
      <c r="T117" s="199">
        <f ca="1">HLOOKUP($S$2,INDIRECT("'"&amp;$B117&amp;"'!"&amp;"$P$6:$AC$19"),IF(H117=$AI$13,6,IF(H117=$AI$14,9,14)),FALSE)</f>
        <v>0.2</v>
      </c>
      <c r="U117" s="772"/>
      <c r="V117" s="199">
        <f t="shared" ref="V117" ca="1" si="133">IF(IF(RIGHT(H117,2)="PH",(1-L117)+$W$2,IF(RIGHT(H117,2)="HT",(1-L117)+$W$1,IF(RIGHT(H117,2)="SH",(1-L117)+$W$3,"")))&gt;0,IF(RIGHT(H117,2)="PH",(1-L117)+$W$2,IF(RIGHT(H117,2)="HT",(1-L117)+$W$1,IF(RIGHT(H117,2)="SH",(1-L117)+$W$3,""))),0)</f>
        <v>0.2</v>
      </c>
      <c r="W117" s="298"/>
      <c r="X117" s="698">
        <f t="shared" ca="1" si="79"/>
        <v>0</v>
      </c>
      <c r="Y117" s="81">
        <f t="shared" ca="1" si="127"/>
        <v>0</v>
      </c>
      <c r="Z117" s="81">
        <f t="shared" ca="1" si="128"/>
        <v>0</v>
      </c>
      <c r="AA117" s="81">
        <f t="shared" ca="1" si="129"/>
        <v>0</v>
      </c>
      <c r="AB117" s="81">
        <f t="shared" ca="1" si="130"/>
        <v>0</v>
      </c>
      <c r="AD117" s="81">
        <v>2020</v>
      </c>
      <c r="AE117" s="299"/>
      <c r="AF117" s="220"/>
    </row>
    <row r="118" spans="2:32">
      <c r="B118" s="718" t="s">
        <v>1014</v>
      </c>
      <c r="C118" s="226"/>
      <c r="D118" s="212"/>
      <c r="E118" s="212"/>
      <c r="F118" s="224" t="s">
        <v>1149</v>
      </c>
      <c r="H118" s="174"/>
      <c r="I118" s="174" t="str">
        <f t="shared" si="22"/>
        <v>INDCWH</v>
      </c>
      <c r="J118" s="224">
        <f t="shared" si="32"/>
        <v>2030</v>
      </c>
      <c r="K118" s="81"/>
      <c r="L118" s="199">
        <f t="shared" ca="1" si="122"/>
        <v>1</v>
      </c>
      <c r="M118" s="199"/>
      <c r="N118" s="81"/>
      <c r="O118" s="723">
        <f t="shared" ca="1" si="123"/>
        <v>0.44700000000000001</v>
      </c>
      <c r="P118" s="723">
        <f t="shared" ca="1" si="124"/>
        <v>0</v>
      </c>
      <c r="Q118" s="81">
        <f t="shared" ca="1" si="125"/>
        <v>0.38802083333333331</v>
      </c>
      <c r="R118" s="300"/>
      <c r="S118" s="300"/>
      <c r="T118" s="300"/>
      <c r="U118" s="300"/>
      <c r="V118" s="199">
        <f t="shared" ref="V118" ca="1" si="134">IF(IF(RIGHT(H117,2)="PH",(1-L118)+$W$2,IF(RIGHT(H117,2)="HT",(1-L118)+$W$1,IF(RIGHT(H117,2)="SH",(1-L118)+$W$3,"")))&gt;0,IF(RIGHT(H117,2)="PH",(1-L118)+$W$2,IF(RIGHT(H117,2)="HT",(1-L118)+$W$1,IF(RIGHT(H117,2)="SH",(1-L118)+$W$3,""))),0)</f>
        <v>0.2</v>
      </c>
      <c r="W118" s="298"/>
      <c r="X118" s="698">
        <f t="shared" ca="1" si="79"/>
        <v>0</v>
      </c>
      <c r="Y118" s="81">
        <f t="shared" ca="1" si="127"/>
        <v>0</v>
      </c>
      <c r="Z118" s="81">
        <f t="shared" ca="1" si="128"/>
        <v>0</v>
      </c>
      <c r="AA118" s="81">
        <f t="shared" ca="1" si="129"/>
        <v>0</v>
      </c>
      <c r="AB118" s="81">
        <f t="shared" ca="1" si="130"/>
        <v>0</v>
      </c>
      <c r="AD118" s="81">
        <v>2030</v>
      </c>
      <c r="AE118" s="81"/>
      <c r="AF118" s="220"/>
    </row>
    <row r="119" spans="2:32">
      <c r="B119" s="719" t="s">
        <v>1014</v>
      </c>
      <c r="C119" s="713"/>
      <c r="D119" s="701"/>
      <c r="E119" s="701"/>
      <c r="F119" s="224" t="s">
        <v>1149</v>
      </c>
      <c r="G119" s="203"/>
      <c r="H119" s="702"/>
      <c r="I119" s="702" t="str">
        <f t="shared" si="22"/>
        <v>INDCWH</v>
      </c>
      <c r="J119" s="224">
        <f t="shared" si="32"/>
        <v>2050</v>
      </c>
      <c r="K119" s="81"/>
      <c r="L119" s="199">
        <f t="shared" ca="1" si="122"/>
        <v>1</v>
      </c>
      <c r="M119" s="199"/>
      <c r="N119" s="81"/>
      <c r="O119" s="723">
        <f t="shared" ca="1" si="123"/>
        <v>0.44700000000000001</v>
      </c>
      <c r="P119" s="723">
        <f t="shared" ca="1" si="124"/>
        <v>0</v>
      </c>
      <c r="Q119" s="81">
        <f t="shared" ca="1" si="125"/>
        <v>0.39319444444444446</v>
      </c>
      <c r="R119" s="703"/>
      <c r="S119" s="703"/>
      <c r="T119" s="703"/>
      <c r="U119" s="703"/>
      <c r="V119" s="199">
        <f t="shared" ref="V119" ca="1" si="135">IF(IF(RIGHT(H117,2)="PH",(1-L119)+$W$2,IF(RIGHT(H117,2)="HT",(1-L119)+$W$1,IF(RIGHT(H117,2)="SH",(1-L119)+$W$3,"")))&gt;0,IF(RIGHT(H117,2)="PH",(1-L119)+$W$2,IF(RIGHT(H117,2)="HT",(1-L119)+$W$1,IF(RIGHT(H117,2)="SH",(1-L119)+$W$3,""))),0)</f>
        <v>0.2</v>
      </c>
      <c r="W119" s="704"/>
      <c r="X119" s="698">
        <f t="shared" ca="1" si="79"/>
        <v>0</v>
      </c>
      <c r="Y119" s="81">
        <f t="shared" ca="1" si="127"/>
        <v>0</v>
      </c>
      <c r="Z119" s="81">
        <f t="shared" ca="1" si="128"/>
        <v>0</v>
      </c>
      <c r="AA119" s="81">
        <f t="shared" ca="1" si="129"/>
        <v>0</v>
      </c>
      <c r="AB119" s="81">
        <f t="shared" ca="1" si="130"/>
        <v>0</v>
      </c>
      <c r="AD119" s="81">
        <v>2050</v>
      </c>
      <c r="AE119" s="81"/>
      <c r="AF119" s="220"/>
    </row>
    <row r="120" spans="2:32">
      <c r="B120" s="718" t="s">
        <v>1009</v>
      </c>
      <c r="C120" s="226"/>
      <c r="D120" s="212" t="str">
        <f>"IND"&amp;RIGHT(H120,4)&amp;"DSL"&amp;"N"&amp;RIGHT(E120,1)</f>
        <v>INDCDPHDSLN1</v>
      </c>
      <c r="E120" s="261" t="str">
        <f>"Industrial heating technology "&amp;$AJ$12&amp;" "&amp;RIGHT(H120,2)&amp;" - Oil boiler (Steam) - new 1"</f>
        <v>Industrial heating technology Chemical PH - Oil boiler (Steam) - new 1</v>
      </c>
      <c r="F120" s="224" t="s">
        <v>1149</v>
      </c>
      <c r="G120" s="173" t="s">
        <v>2081</v>
      </c>
      <c r="H120" s="174" t="str">
        <f>$AI$13</f>
        <v>ICDPH</v>
      </c>
      <c r="I120" s="174" t="str">
        <f t="shared" si="22"/>
        <v>INDCWH</v>
      </c>
      <c r="J120" s="224">
        <f t="shared" si="32"/>
        <v>2011</v>
      </c>
      <c r="K120" s="299">
        <v>2025</v>
      </c>
      <c r="L120" s="199">
        <f t="shared" ca="1" si="122"/>
        <v>0.94</v>
      </c>
      <c r="M120" s="699"/>
      <c r="N120" s="299">
        <f ca="1">VLOOKUP($AD120,INDIRECT("'"&amp;$B120&amp;"'!"&amp;"$P$39:$AD$42"),5,FALSE)</f>
        <v>25</v>
      </c>
      <c r="O120" s="725">
        <f t="shared" ca="1" si="123"/>
        <v>0.40975</v>
      </c>
      <c r="P120" s="725">
        <f t="shared" ca="1" si="124"/>
        <v>1.341E-2</v>
      </c>
      <c r="Q120" s="299">
        <f t="shared" ca="1" si="125"/>
        <v>2.0694444444444446</v>
      </c>
      <c r="R120" s="299">
        <v>3.1536000000000002E-2</v>
      </c>
      <c r="S120" s="699">
        <v>0.5</v>
      </c>
      <c r="T120" s="699">
        <f ca="1">HLOOKUP($T$2,INDIRECT("'"&amp;$B120&amp;"'!"&amp;"$P$6:$AC$19"),IF(H120=$AI$13,6,IF(H120=$AI$14,9,14)),FALSE)</f>
        <v>1</v>
      </c>
      <c r="U120" s="772"/>
      <c r="V120" s="199">
        <f t="shared" ref="V120" ca="1" si="136">IF(IF(RIGHT(H120,2)="PH",(1-L120)+$W$2,IF(RIGHT(H120,2)="HT",(1-L120)+$W$1,IF(RIGHT(H120,2)="SH",(1-L120)+$W$3,"")))&gt;0,IF(RIGHT(H120,2)="PH",(1-L120)+$W$2,IF(RIGHT(H120,2)="HT",(1-L120)+$W$1,IF(RIGHT(H120,2)="SH",(1-L120)+$W$3,""))),0)</f>
        <v>0.26000000000000006</v>
      </c>
      <c r="W120" s="298"/>
      <c r="X120" s="698">
        <f t="shared" ca="1" si="79"/>
        <v>0.5</v>
      </c>
      <c r="Y120" s="299">
        <f t="shared" ca="1" si="127"/>
        <v>25</v>
      </c>
      <c r="Z120" s="299">
        <f t="shared" ca="1" si="128"/>
        <v>0</v>
      </c>
      <c r="AA120" s="299">
        <f t="shared" ca="1" si="129"/>
        <v>0</v>
      </c>
      <c r="AB120" s="299">
        <f t="shared" ca="1" si="130"/>
        <v>0.1</v>
      </c>
      <c r="AD120" s="299">
        <v>2020</v>
      </c>
      <c r="AE120" s="81"/>
      <c r="AF120" s="220"/>
    </row>
    <row r="121" spans="2:32">
      <c r="B121" s="718" t="s">
        <v>1009</v>
      </c>
      <c r="C121" s="226"/>
      <c r="D121" s="212"/>
      <c r="E121" s="212"/>
      <c r="F121" s="224" t="s">
        <v>1149</v>
      </c>
      <c r="H121" s="174"/>
      <c r="I121" s="174" t="str">
        <f t="shared" si="22"/>
        <v>INDCWH</v>
      </c>
      <c r="J121" s="224">
        <f t="shared" si="32"/>
        <v>2030</v>
      </c>
      <c r="K121" s="81"/>
      <c r="L121" s="199">
        <f t="shared" ca="1" si="122"/>
        <v>0.95</v>
      </c>
      <c r="M121" s="199"/>
      <c r="N121" s="81"/>
      <c r="O121" s="723">
        <f t="shared" ca="1" si="123"/>
        <v>0.3469940346244772</v>
      </c>
      <c r="P121" s="723">
        <f t="shared" ca="1" si="124"/>
        <v>1.2664999999999999E-2</v>
      </c>
      <c r="Q121" s="81">
        <f t="shared" ca="1" si="125"/>
        <v>1.8625</v>
      </c>
      <c r="R121" s="300"/>
      <c r="S121" s="300"/>
      <c r="T121" s="300"/>
      <c r="U121" s="300"/>
      <c r="V121" s="199">
        <f t="shared" ref="V121" ca="1" si="137">IF(IF(RIGHT(H120,2)="PH",(1-L121)+$W$2,IF(RIGHT(H120,2)="HT",(1-L121)+$W$1,IF(RIGHT(H120,2)="SH",(1-L121)+$W$3,"")))&gt;0,IF(RIGHT(H120,2)="PH",(1-L121)+$W$2,IF(RIGHT(H120,2)="HT",(1-L121)+$W$1,IF(RIGHT(H120,2)="SH",(1-L121)+$W$3,""))),0)</f>
        <v>0.25000000000000006</v>
      </c>
      <c r="W121" s="298"/>
      <c r="X121" s="698">
        <f t="shared" ca="1" si="79"/>
        <v>0.5</v>
      </c>
      <c r="Y121" s="81">
        <f t="shared" ca="1" si="127"/>
        <v>20</v>
      </c>
      <c r="Z121" s="81">
        <f t="shared" ca="1" si="128"/>
        <v>0</v>
      </c>
      <c r="AA121" s="81">
        <f t="shared" ca="1" si="129"/>
        <v>0</v>
      </c>
      <c r="AB121" s="81">
        <f t="shared" ca="1" si="130"/>
        <v>0.1</v>
      </c>
      <c r="AD121" s="81">
        <v>2030</v>
      </c>
      <c r="AE121" s="81"/>
      <c r="AF121" s="220"/>
    </row>
    <row r="122" spans="2:32">
      <c r="B122" s="718" t="s">
        <v>1009</v>
      </c>
      <c r="C122" s="226"/>
      <c r="D122" s="212"/>
      <c r="E122" s="212"/>
      <c r="F122" s="224" t="s">
        <v>1149</v>
      </c>
      <c r="H122" s="174"/>
      <c r="I122" s="174" t="str">
        <f t="shared" si="22"/>
        <v>INDCWH</v>
      </c>
      <c r="J122" s="224">
        <f t="shared" si="32"/>
        <v>2050</v>
      </c>
      <c r="K122" s="81"/>
      <c r="L122" s="199">
        <f t="shared" ca="1" si="122"/>
        <v>0.96</v>
      </c>
      <c r="M122" s="199"/>
      <c r="N122" s="81"/>
      <c r="O122" s="723">
        <f t="shared" ca="1" si="123"/>
        <v>0.32813985758696651</v>
      </c>
      <c r="P122" s="723">
        <f t="shared" ca="1" si="124"/>
        <v>1.1175000000000001E-2</v>
      </c>
      <c r="Q122" s="81">
        <f t="shared" ca="1" si="125"/>
        <v>1.8625</v>
      </c>
      <c r="R122" s="300"/>
      <c r="S122" s="300"/>
      <c r="T122" s="300"/>
      <c r="U122" s="300"/>
      <c r="V122" s="199">
        <f t="shared" ref="V122" ca="1" si="138">IF(IF(RIGHT(H120,2)="PH",(1-L122)+$W$2,IF(RIGHT(H120,2)="HT",(1-L122)+$W$1,IF(RIGHT(H120,2)="SH",(1-L122)+$W$3,"")))&gt;0,IF(RIGHT(H120,2)="PH",(1-L122)+$W$2,IF(RIGHT(H120,2)="HT",(1-L122)+$W$1,IF(RIGHT(H120,2)="SH",(1-L122)+$W$3,""))),0)</f>
        <v>0.24000000000000005</v>
      </c>
      <c r="W122" s="298"/>
      <c r="X122" s="698">
        <f t="shared" ca="1" si="79"/>
        <v>0.5</v>
      </c>
      <c r="Y122" s="81">
        <f t="shared" ca="1" si="127"/>
        <v>15</v>
      </c>
      <c r="Z122" s="81">
        <f t="shared" ca="1" si="128"/>
        <v>0</v>
      </c>
      <c r="AA122" s="81">
        <f t="shared" ca="1" si="129"/>
        <v>0</v>
      </c>
      <c r="AB122" s="81">
        <f t="shared" ca="1" si="130"/>
        <v>0.1</v>
      </c>
      <c r="AD122" s="81">
        <v>2050</v>
      </c>
      <c r="AE122" s="81"/>
      <c r="AF122" s="220"/>
    </row>
    <row r="123" spans="2:32">
      <c r="B123" s="718" t="s">
        <v>1009</v>
      </c>
      <c r="C123" s="226"/>
      <c r="D123" s="212" t="str">
        <f>"IND"&amp;RIGHT(H123,4)&amp;"DSL"&amp;"N"&amp;RIGHT(E123,1)</f>
        <v>INDCDPHDSLN1</v>
      </c>
      <c r="E123" s="261" t="str">
        <f>"Industrial heating technology "&amp;$AJ$12&amp;" "&amp;RIGHT(H123,2)&amp;" - Oil boiler (Steam) - new 1"</f>
        <v>Industrial heating technology Chemical PH - Oil boiler (Steam) - new 1</v>
      </c>
      <c r="F123" s="224" t="s">
        <v>1149</v>
      </c>
      <c r="G123" s="173" t="s">
        <v>2081</v>
      </c>
      <c r="H123" s="174" t="str">
        <f>$AI$14</f>
        <v>ICDPH</v>
      </c>
      <c r="I123" s="174" t="str">
        <f t="shared" si="22"/>
        <v>INDCWH</v>
      </c>
      <c r="J123" s="224">
        <f t="shared" si="32"/>
        <v>2011</v>
      </c>
      <c r="K123" s="299">
        <v>2025</v>
      </c>
      <c r="L123" s="199">
        <f t="shared" ca="1" si="122"/>
        <v>0.94</v>
      </c>
      <c r="M123" s="199"/>
      <c r="N123" s="81">
        <f ca="1">VLOOKUP($AD123,INDIRECT("'"&amp;$B123&amp;"'!"&amp;"$P$39:$AD$42"),5,FALSE)</f>
        <v>25</v>
      </c>
      <c r="O123" s="723">
        <f t="shared" ca="1" si="123"/>
        <v>0.40975</v>
      </c>
      <c r="P123" s="723">
        <f t="shared" ca="1" si="124"/>
        <v>1.341E-2</v>
      </c>
      <c r="Q123" s="81">
        <f t="shared" ca="1" si="125"/>
        <v>2.0694444444444446</v>
      </c>
      <c r="R123" s="81">
        <v>3.1536000000000002E-2</v>
      </c>
      <c r="S123" s="199">
        <v>0.5</v>
      </c>
      <c r="T123" s="199">
        <f ca="1">HLOOKUP($T$2,INDIRECT("'"&amp;$B123&amp;"'!"&amp;"$P$6:$AC$19"),IF(H123=$AI$13,6,IF(H123=$AI$14,9,14)),FALSE)</f>
        <v>1</v>
      </c>
      <c r="U123" s="772"/>
      <c r="V123" s="199">
        <f t="shared" ref="V123" ca="1" si="139">IF(IF(RIGHT(H123,2)="PH",(1-L123)+$W$2,IF(RIGHT(H123,2)="HT",(1-L123)+$W$1,IF(RIGHT(H123,2)="SH",(1-L123)+$W$3,"")))&gt;0,IF(RIGHT(H123,2)="PH",(1-L123)+$W$2,IF(RIGHT(H123,2)="HT",(1-L123)+$W$1,IF(RIGHT(H123,2)="SH",(1-L123)+$W$3,""))),0)</f>
        <v>0.26000000000000006</v>
      </c>
      <c r="W123" s="298"/>
      <c r="X123" s="698">
        <f t="shared" ca="1" si="79"/>
        <v>0.5</v>
      </c>
      <c r="Y123" s="81">
        <f t="shared" ca="1" si="127"/>
        <v>25</v>
      </c>
      <c r="Z123" s="81">
        <f t="shared" ca="1" si="128"/>
        <v>0</v>
      </c>
      <c r="AA123" s="81">
        <f t="shared" ca="1" si="129"/>
        <v>0</v>
      </c>
      <c r="AB123" s="81">
        <f t="shared" ca="1" si="130"/>
        <v>0.1</v>
      </c>
      <c r="AD123" s="81">
        <v>2020</v>
      </c>
      <c r="AE123" s="81"/>
      <c r="AF123" s="220"/>
    </row>
    <row r="124" spans="2:32">
      <c r="B124" s="718" t="s">
        <v>1009</v>
      </c>
      <c r="C124" s="226"/>
      <c r="D124" s="212"/>
      <c r="E124" s="212"/>
      <c r="F124" s="224" t="s">
        <v>1149</v>
      </c>
      <c r="H124" s="174"/>
      <c r="I124" s="174" t="str">
        <f t="shared" si="22"/>
        <v>INDCWH</v>
      </c>
      <c r="J124" s="224">
        <f t="shared" si="32"/>
        <v>2030</v>
      </c>
      <c r="K124" s="81"/>
      <c r="L124" s="199">
        <f t="shared" ca="1" si="122"/>
        <v>0.95</v>
      </c>
      <c r="M124" s="199"/>
      <c r="N124" s="81"/>
      <c r="O124" s="723">
        <f t="shared" ca="1" si="123"/>
        <v>0.3469940346244772</v>
      </c>
      <c r="P124" s="723">
        <f t="shared" ca="1" si="124"/>
        <v>1.2664999999999999E-2</v>
      </c>
      <c r="Q124" s="81">
        <f t="shared" ca="1" si="125"/>
        <v>1.8625</v>
      </c>
      <c r="R124" s="300"/>
      <c r="S124" s="300"/>
      <c r="T124" s="300"/>
      <c r="U124" s="300"/>
      <c r="V124" s="199">
        <f t="shared" ref="V124" ca="1" si="140">IF(IF(RIGHT(H123,2)="PH",(1-L124)+$W$2,IF(RIGHT(H123,2)="HT",(1-L124)+$W$1,IF(RIGHT(H123,2)="SH",(1-L124)+$W$3,"")))&gt;0,IF(RIGHT(H123,2)="PH",(1-L124)+$W$2,IF(RIGHT(H123,2)="HT",(1-L124)+$W$1,IF(RIGHT(H123,2)="SH",(1-L124)+$W$3,""))),0)</f>
        <v>0.25000000000000006</v>
      </c>
      <c r="W124" s="298"/>
      <c r="X124" s="698">
        <f t="shared" ca="1" si="79"/>
        <v>0.5</v>
      </c>
      <c r="Y124" s="81">
        <f t="shared" ca="1" si="127"/>
        <v>20</v>
      </c>
      <c r="Z124" s="81">
        <f t="shared" ca="1" si="128"/>
        <v>0</v>
      </c>
      <c r="AA124" s="81">
        <f t="shared" ca="1" si="129"/>
        <v>0</v>
      </c>
      <c r="AB124" s="81">
        <f t="shared" ca="1" si="130"/>
        <v>0.1</v>
      </c>
      <c r="AD124" s="81">
        <v>2030</v>
      </c>
      <c r="AE124" s="81"/>
      <c r="AF124" s="220"/>
    </row>
    <row r="125" spans="2:32">
      <c r="B125" s="718" t="s">
        <v>1009</v>
      </c>
      <c r="C125" s="226"/>
      <c r="D125" s="212"/>
      <c r="E125" s="212"/>
      <c r="F125" s="224" t="s">
        <v>1149</v>
      </c>
      <c r="H125" s="174"/>
      <c r="I125" s="174" t="str">
        <f t="shared" si="22"/>
        <v>INDCWH</v>
      </c>
      <c r="J125" s="224">
        <f t="shared" si="32"/>
        <v>2050</v>
      </c>
      <c r="K125" s="81"/>
      <c r="L125" s="199">
        <f t="shared" ca="1" si="122"/>
        <v>0.96</v>
      </c>
      <c r="M125" s="199"/>
      <c r="N125" s="81"/>
      <c r="O125" s="723">
        <f t="shared" ca="1" si="123"/>
        <v>0.32813985758696651</v>
      </c>
      <c r="P125" s="723">
        <f t="shared" ca="1" si="124"/>
        <v>1.1175000000000001E-2</v>
      </c>
      <c r="Q125" s="81">
        <f t="shared" ca="1" si="125"/>
        <v>1.8625</v>
      </c>
      <c r="R125" s="300"/>
      <c r="S125" s="300"/>
      <c r="T125" s="300"/>
      <c r="U125" s="300"/>
      <c r="V125" s="199">
        <f t="shared" ref="V125" ca="1" si="141">IF(IF(RIGHT(H123,2)="PH",(1-L125)+$W$2,IF(RIGHT(H123,2)="HT",(1-L125)+$W$1,IF(RIGHT(H123,2)="SH",(1-L125)+$W$3,"")))&gt;0,IF(RIGHT(H123,2)="PH",(1-L125)+$W$2,IF(RIGHT(H123,2)="HT",(1-L125)+$W$1,IF(RIGHT(H123,2)="SH",(1-L125)+$W$3,""))),0)</f>
        <v>0.24000000000000005</v>
      </c>
      <c r="W125" s="298"/>
      <c r="X125" s="698">
        <f t="shared" ca="1" si="79"/>
        <v>0.5</v>
      </c>
      <c r="Y125" s="81">
        <f t="shared" ca="1" si="127"/>
        <v>15</v>
      </c>
      <c r="Z125" s="81">
        <f t="shared" ca="1" si="128"/>
        <v>0</v>
      </c>
      <c r="AA125" s="81">
        <f t="shared" ca="1" si="129"/>
        <v>0</v>
      </c>
      <c r="AB125" s="81">
        <f t="shared" ca="1" si="130"/>
        <v>0.1</v>
      </c>
      <c r="AC125" s="203"/>
      <c r="AD125" s="81">
        <v>2050</v>
      </c>
      <c r="AE125" s="81"/>
      <c r="AF125" s="705"/>
    </row>
    <row r="126" spans="2:32">
      <c r="B126" s="718" t="s">
        <v>1009</v>
      </c>
      <c r="C126" s="226"/>
      <c r="D126" s="212" t="str">
        <f>"IND"&amp;RIGHT(H126,4)&amp;"DSL"&amp;"N"&amp;RIGHT(E126,1)</f>
        <v>INDCDSHDSLN1</v>
      </c>
      <c r="E126" s="261" t="str">
        <f>"Industrial heating technology "&amp;$AJ$12&amp;" "&amp;RIGHT(H126,2)&amp;" - Oil boiler (Steam) - new 1"</f>
        <v>Industrial heating technology Chemical SH - Oil boiler (Steam) - new 1</v>
      </c>
      <c r="F126" s="224" t="s">
        <v>1149</v>
      </c>
      <c r="G126" s="173" t="s">
        <v>2081</v>
      </c>
      <c r="H126" s="174" t="str">
        <f>$AI$15</f>
        <v>ICDSH</v>
      </c>
      <c r="I126" s="174" t="str">
        <f t="shared" si="22"/>
        <v>INDCWH</v>
      </c>
      <c r="J126" s="224">
        <f t="shared" si="32"/>
        <v>2011</v>
      </c>
      <c r="K126" s="299">
        <v>2025</v>
      </c>
      <c r="L126" s="199">
        <f t="shared" ca="1" si="122"/>
        <v>0.94</v>
      </c>
      <c r="M126" s="199"/>
      <c r="N126" s="81">
        <f ca="1">VLOOKUP($AD126,INDIRECT("'"&amp;$B126&amp;"'!"&amp;"$P$39:$AD$42"),5,FALSE)</f>
        <v>25</v>
      </c>
      <c r="O126" s="723">
        <f t="shared" ca="1" si="123"/>
        <v>0.40975</v>
      </c>
      <c r="P126" s="723">
        <f t="shared" ca="1" si="124"/>
        <v>1.341E-2</v>
      </c>
      <c r="Q126" s="81">
        <f t="shared" ca="1" si="125"/>
        <v>2.0694444444444446</v>
      </c>
      <c r="R126" s="81">
        <v>3.1536000000000002E-2</v>
      </c>
      <c r="S126" s="199">
        <v>0.5</v>
      </c>
      <c r="T126" s="199">
        <f ca="1">HLOOKUP($T$2,INDIRECT("'"&amp;$B126&amp;"'!"&amp;"$P$6:$AC$19"),IF(H126=$AI$13,6,IF(H126=$AI$14,9,14)),FALSE)</f>
        <v>1</v>
      </c>
      <c r="U126" s="772"/>
      <c r="V126" s="199">
        <f t="shared" ref="V126" ca="1" si="142">IF(IF(RIGHT(H126,2)="PH",(1-L126)+$W$2,IF(RIGHT(H126,2)="HT",(1-L126)+$W$1,IF(RIGHT(H126,2)="SH",(1-L126)+$W$3,"")))&gt;0,IF(RIGHT(H126,2)="PH",(1-L126)+$W$2,IF(RIGHT(H126,2)="HT",(1-L126)+$W$1,IF(RIGHT(H126,2)="SH",(1-L126)+$W$3,""))),0)</f>
        <v>6.0000000000000053E-2</v>
      </c>
      <c r="W126" s="298"/>
      <c r="X126" s="698">
        <f t="shared" ca="1" si="79"/>
        <v>0.5</v>
      </c>
      <c r="Y126" s="81">
        <f t="shared" ca="1" si="127"/>
        <v>25</v>
      </c>
      <c r="Z126" s="81">
        <f t="shared" ca="1" si="128"/>
        <v>0</v>
      </c>
      <c r="AA126" s="81">
        <f t="shared" ca="1" si="129"/>
        <v>0</v>
      </c>
      <c r="AB126" s="81">
        <f t="shared" ca="1" si="130"/>
        <v>0.1</v>
      </c>
      <c r="AC126" s="296"/>
      <c r="AD126" s="81">
        <v>2020</v>
      </c>
      <c r="AE126" s="81"/>
      <c r="AF126" s="710"/>
    </row>
    <row r="127" spans="2:32">
      <c r="B127" s="718" t="s">
        <v>1009</v>
      </c>
      <c r="C127" s="226"/>
      <c r="D127" s="212"/>
      <c r="E127" s="212"/>
      <c r="F127" s="224" t="s">
        <v>1149</v>
      </c>
      <c r="H127" s="174"/>
      <c r="I127" s="174" t="str">
        <f t="shared" ref="I127:I182" si="143">$AI$20</f>
        <v>INDCWH</v>
      </c>
      <c r="J127" s="224">
        <f t="shared" si="32"/>
        <v>2030</v>
      </c>
      <c r="K127" s="81"/>
      <c r="L127" s="199">
        <f t="shared" ca="1" si="122"/>
        <v>0.95</v>
      </c>
      <c r="M127" s="199"/>
      <c r="N127" s="81"/>
      <c r="O127" s="723">
        <f t="shared" ca="1" si="123"/>
        <v>0.3469940346244772</v>
      </c>
      <c r="P127" s="723">
        <f t="shared" ca="1" si="124"/>
        <v>1.2664999999999999E-2</v>
      </c>
      <c r="Q127" s="81">
        <f t="shared" ca="1" si="125"/>
        <v>1.8625</v>
      </c>
      <c r="R127" s="300"/>
      <c r="S127" s="300"/>
      <c r="T127" s="300"/>
      <c r="U127" s="300"/>
      <c r="V127" s="199">
        <f t="shared" ref="V127" ca="1" si="144">IF(IF(RIGHT(H126,2)="PH",(1-L127)+$W$2,IF(RIGHT(H126,2)="HT",(1-L127)+$W$1,IF(RIGHT(H126,2)="SH",(1-L127)+$W$3,"")))&gt;0,IF(RIGHT(H126,2)="PH",(1-L127)+$W$2,IF(RIGHT(H126,2)="HT",(1-L127)+$W$1,IF(RIGHT(H126,2)="SH",(1-L127)+$W$3,""))),0)</f>
        <v>5.0000000000000044E-2</v>
      </c>
      <c r="W127" s="298"/>
      <c r="X127" s="698">
        <f t="shared" ref="X127:X158" ca="1" si="145">IF(VLOOKUP($AD127,INDIRECT("'"&amp;$B127&amp;"'!"&amp;"$P$39:$AD$42"),11,FALSE)="Cf. the utilized electricity",0,VLOOKUP($AD127,INDIRECT("'"&amp;$B127&amp;"'!"&amp;"$P$39:$AD$42"),11,FALSE))</f>
        <v>0.5</v>
      </c>
      <c r="Y127" s="81">
        <f t="shared" ca="1" si="127"/>
        <v>20</v>
      </c>
      <c r="Z127" s="81">
        <f t="shared" ca="1" si="128"/>
        <v>0</v>
      </c>
      <c r="AA127" s="81">
        <f t="shared" ca="1" si="129"/>
        <v>0</v>
      </c>
      <c r="AB127" s="81">
        <f t="shared" ca="1" si="130"/>
        <v>0.1</v>
      </c>
      <c r="AC127" s="55"/>
      <c r="AD127" s="81">
        <v>2030</v>
      </c>
      <c r="AE127" s="81"/>
      <c r="AF127" s="700"/>
    </row>
    <row r="128" spans="2:32">
      <c r="B128" s="719" t="s">
        <v>1009</v>
      </c>
      <c r="C128" s="713"/>
      <c r="D128" s="701"/>
      <c r="E128" s="701"/>
      <c r="F128" s="224" t="s">
        <v>1149</v>
      </c>
      <c r="G128" s="203"/>
      <c r="H128" s="702"/>
      <c r="I128" s="702" t="str">
        <f t="shared" si="143"/>
        <v>INDCWH</v>
      </c>
      <c r="J128" s="224">
        <f t="shared" ref="J128:J186" si="146">IF(AD128=2020,2011,AD128)</f>
        <v>2050</v>
      </c>
      <c r="K128" s="81"/>
      <c r="L128" s="199">
        <f t="shared" ca="1" si="122"/>
        <v>0.96</v>
      </c>
      <c r="M128" s="199"/>
      <c r="N128" s="81"/>
      <c r="O128" s="723">
        <f t="shared" ca="1" si="123"/>
        <v>0.32813985758696651</v>
      </c>
      <c r="P128" s="723">
        <f t="shared" ca="1" si="124"/>
        <v>1.1175000000000001E-2</v>
      </c>
      <c r="Q128" s="81">
        <f t="shared" ca="1" si="125"/>
        <v>1.8625</v>
      </c>
      <c r="R128" s="703"/>
      <c r="S128" s="703"/>
      <c r="T128" s="703"/>
      <c r="U128" s="703"/>
      <c r="V128" s="199">
        <f t="shared" ref="V128" ca="1" si="147">IF(IF(RIGHT(H126,2)="PH",(1-L128)+$W$2,IF(RIGHT(H126,2)="HT",(1-L128)+$W$1,IF(RIGHT(H126,2)="SH",(1-L128)+$W$3,"")))&gt;0,IF(RIGHT(H126,2)="PH",(1-L128)+$W$2,IF(RIGHT(H126,2)="HT",(1-L128)+$W$1,IF(RIGHT(H126,2)="SH",(1-L128)+$W$3,""))),0)</f>
        <v>4.0000000000000036E-2</v>
      </c>
      <c r="W128" s="704"/>
      <c r="X128" s="698">
        <f t="shared" ca="1" si="145"/>
        <v>0.5</v>
      </c>
      <c r="Y128" s="81">
        <f t="shared" ca="1" si="127"/>
        <v>15</v>
      </c>
      <c r="Z128" s="81">
        <f t="shared" ca="1" si="128"/>
        <v>0</v>
      </c>
      <c r="AA128" s="81">
        <f t="shared" ca="1" si="129"/>
        <v>0</v>
      </c>
      <c r="AB128" s="81">
        <f t="shared" ca="1" si="130"/>
        <v>0.1</v>
      </c>
      <c r="AC128" s="55"/>
      <c r="AD128" s="81">
        <v>2050</v>
      </c>
      <c r="AE128" s="81"/>
      <c r="AF128" s="700"/>
    </row>
    <row r="129" spans="2:32">
      <c r="B129" s="718" t="s">
        <v>1009</v>
      </c>
      <c r="C129" s="226"/>
      <c r="D129" s="212" t="str">
        <f>"IND"&amp;RIGHT(H129,4)&amp;"DSL"&amp;"N"&amp;RIGHT(E129,1)</f>
        <v>INDCDPHDSLN2</v>
      </c>
      <c r="E129" s="707" t="str">
        <f>"Industrial heating technology "&amp;$AJ$12&amp;" "&amp;RIGHT(H129,2)&amp;" - Oil boiler (Steam - condensing) - new 2"</f>
        <v>Industrial heating technology Chemical PH - Oil boiler (Steam - condensing) - new 2</v>
      </c>
      <c r="F129" s="224" t="s">
        <v>1149</v>
      </c>
      <c r="G129" s="173" t="s">
        <v>2081</v>
      </c>
      <c r="H129" s="708" t="str">
        <f>$AI$14</f>
        <v>ICDPH</v>
      </c>
      <c r="I129" s="708" t="str">
        <f t="shared" si="143"/>
        <v>INDCWH</v>
      </c>
      <c r="J129" s="224">
        <f t="shared" si="146"/>
        <v>2011</v>
      </c>
      <c r="K129" s="299">
        <v>2025</v>
      </c>
      <c r="L129" s="199">
        <f t="shared" ref="L129:L134" ca="1" si="148">VLOOKUP($AD129,INDIRECT("'"&amp;$B129&amp;"'!"&amp;"$P$118:$AD$121"),3,FALSE)</f>
        <v>0.95</v>
      </c>
      <c r="M129" s="199"/>
      <c r="N129" s="81">
        <f ca="1">VLOOKUP($AD129,INDIRECT("'"&amp;$B129&amp;"'!"&amp;"$P$118:$AD$121"),5,FALSE)</f>
        <v>25</v>
      </c>
      <c r="O129" s="723">
        <f t="shared" ref="O129:O134" ca="1" si="149">VLOOKUP($AD129,INDIRECT("'"&amp;$B129&amp;"'!"&amp;"$P$118:$AD$121"),6,FALSE)/1000</f>
        <v>0.32780000000000004</v>
      </c>
      <c r="P129" s="723">
        <f t="shared" ref="P129:P134" ca="1" si="150">VLOOKUP($AD129,INDIRECT("'"&amp;$B129&amp;"'!"&amp;"$P$118:$AD$121"),7,FALSE)/1000</f>
        <v>1.341E-2</v>
      </c>
      <c r="Q129" s="81">
        <f t="shared" ref="Q129:Q134" ca="1" si="151">VLOOKUP($AD129,INDIRECT("'"&amp;$B129&amp;"'!"&amp;"$P$118:$AD$121"),8,FALSE)</f>
        <v>2.0694444444444446</v>
      </c>
      <c r="R129" s="81">
        <v>3.1536000000000002E-2</v>
      </c>
      <c r="S129" s="199">
        <v>0.5</v>
      </c>
      <c r="T129" s="199">
        <f ca="1">HLOOKUP($T$2,INDIRECT("'"&amp;$B129&amp;"'!"&amp;"$P$85:$AC$98"),IF(H129=$AI$13,6,IF(H129=$AI$14,9,14)),FALSE)</f>
        <v>0</v>
      </c>
      <c r="U129" s="773"/>
      <c r="V129" s="199">
        <f t="shared" ref="V129" ca="1" si="152">IF(IF(RIGHT(H129,2)="PH",(1-L129)+$W$2,IF(RIGHT(H129,2)="HT",(1-L129)+$W$1,IF(RIGHT(H129,2)="SH",(1-L129)+$W$3,"")))&gt;0,IF(RIGHT(H129,2)="PH",(1-L129)+$W$2,IF(RIGHT(H129,2)="HT",(1-L129)+$W$1,IF(RIGHT(H129,2)="SH",(1-L129)+$W$3,""))),0)</f>
        <v>0.25000000000000006</v>
      </c>
      <c r="W129" s="709"/>
      <c r="X129" s="698">
        <f t="shared" ca="1" si="145"/>
        <v>0.5</v>
      </c>
      <c r="Y129" s="698">
        <f t="shared" ref="Y129:Y134" ca="1" si="153">VLOOKUP($AD129,INDIRECT("'"&amp;$B129&amp;"'!"&amp;"$P$118:$AD$121"),12,FALSE)</f>
        <v>25</v>
      </c>
      <c r="Z129" s="698">
        <f t="shared" ref="Z129:Z134" ca="1" si="154">VLOOKUP($AD129,INDIRECT("'"&amp;$B129&amp;"'!"&amp;"$P$118:$AD$121"),13,FALSE)</f>
        <v>0</v>
      </c>
      <c r="AA129" s="698">
        <f t="shared" ref="AA129:AA134" ca="1" si="155">VLOOKUP($AD129,INDIRECT("'"&amp;$B129&amp;"'!"&amp;"$P$118:$AD$121"),14,FALSE)</f>
        <v>0</v>
      </c>
      <c r="AB129" s="698">
        <f t="shared" ref="AB129:AB134" ca="1" si="156">VLOOKUP($AD129,INDIRECT("'"&amp;$B129&amp;"'!"&amp;"$P$118:$AD$121"),15,FALSE)</f>
        <v>0.1</v>
      </c>
      <c r="AC129" s="55"/>
      <c r="AD129" s="81">
        <v>2020</v>
      </c>
      <c r="AE129" s="81"/>
      <c r="AF129" s="700"/>
    </row>
    <row r="130" spans="2:32">
      <c r="B130" s="718" t="s">
        <v>1009</v>
      </c>
      <c r="C130" s="226"/>
      <c r="D130" s="212"/>
      <c r="E130" s="261"/>
      <c r="F130" s="224" t="s">
        <v>1149</v>
      </c>
      <c r="G130" s="55"/>
      <c r="H130" s="174"/>
      <c r="I130" s="174" t="str">
        <f t="shared" si="143"/>
        <v>INDCWH</v>
      </c>
      <c r="J130" s="224">
        <f t="shared" si="146"/>
        <v>2030</v>
      </c>
      <c r="K130" s="81"/>
      <c r="L130" s="199">
        <f t="shared" ca="1" si="148"/>
        <v>0.96</v>
      </c>
      <c r="M130" s="199"/>
      <c r="N130" s="81"/>
      <c r="O130" s="723">
        <f t="shared" ca="1" si="149"/>
        <v>0.27759522769958173</v>
      </c>
      <c r="P130" s="723">
        <f t="shared" ca="1" si="150"/>
        <v>1.2664999999999999E-2</v>
      </c>
      <c r="Q130" s="81">
        <f t="shared" ca="1" si="151"/>
        <v>1.8625</v>
      </c>
      <c r="R130" s="300"/>
      <c r="S130" s="300"/>
      <c r="T130" s="300"/>
      <c r="U130" s="300"/>
      <c r="V130" s="199">
        <f t="shared" ref="V130" ca="1" si="157">IF(IF(RIGHT(H129,2)="PH",(1-L130)+$W$2,IF(RIGHT(H129,2)="HT",(1-L130)+$W$1,IF(RIGHT(H129,2)="SH",(1-L130)+$W$3,"")))&gt;0,IF(RIGHT(H129,2)="PH",(1-L130)+$W$2,IF(RIGHT(H129,2)="HT",(1-L130)+$W$1,IF(RIGHT(H129,2)="SH",(1-L130)+$W$3,""))),0)</f>
        <v>0.24000000000000005</v>
      </c>
      <c r="W130" s="298"/>
      <c r="X130" s="698">
        <f t="shared" ca="1" si="145"/>
        <v>0.5</v>
      </c>
      <c r="Y130" s="698">
        <f t="shared" ca="1" si="153"/>
        <v>20</v>
      </c>
      <c r="Z130" s="698">
        <f t="shared" ca="1" si="154"/>
        <v>0</v>
      </c>
      <c r="AA130" s="698">
        <f t="shared" ca="1" si="155"/>
        <v>0</v>
      </c>
      <c r="AB130" s="698">
        <f t="shared" ca="1" si="156"/>
        <v>0.1</v>
      </c>
      <c r="AC130" s="55"/>
      <c r="AD130" s="81">
        <v>2030</v>
      </c>
      <c r="AE130" s="81"/>
      <c r="AF130" s="700"/>
    </row>
    <row r="131" spans="2:32">
      <c r="B131" s="718" t="s">
        <v>1009</v>
      </c>
      <c r="C131" s="226"/>
      <c r="E131" s="261"/>
      <c r="F131" s="224" t="s">
        <v>1149</v>
      </c>
      <c r="G131" s="55"/>
      <c r="H131" s="174"/>
      <c r="I131" s="174" t="str">
        <f t="shared" si="143"/>
        <v>INDCWH</v>
      </c>
      <c r="J131" s="224">
        <f t="shared" si="146"/>
        <v>2050</v>
      </c>
      <c r="K131" s="81"/>
      <c r="L131" s="199">
        <f t="shared" ca="1" si="148"/>
        <v>0.97</v>
      </c>
      <c r="M131" s="199"/>
      <c r="N131" s="81"/>
      <c r="O131" s="723">
        <f t="shared" ca="1" si="149"/>
        <v>0.26251188606957326</v>
      </c>
      <c r="P131" s="723">
        <f t="shared" ca="1" si="150"/>
        <v>1.1175000000000001E-2</v>
      </c>
      <c r="Q131" s="81">
        <f t="shared" ca="1" si="151"/>
        <v>1.8625</v>
      </c>
      <c r="R131" s="300"/>
      <c r="S131" s="300"/>
      <c r="T131" s="300"/>
      <c r="U131" s="300"/>
      <c r="V131" s="199">
        <f t="shared" ref="V131" ca="1" si="158">IF(IF(RIGHT(H129,2)="PH",(1-L131)+$W$2,IF(RIGHT(H129,2)="HT",(1-L131)+$W$1,IF(RIGHT(H129,2)="SH",(1-L131)+$W$3,"")))&gt;0,IF(RIGHT(H129,2)="PH",(1-L131)+$W$2,IF(RIGHT(H129,2)="HT",(1-L131)+$W$1,IF(RIGHT(H129,2)="SH",(1-L131)+$W$3,""))),0)</f>
        <v>0.23000000000000004</v>
      </c>
      <c r="W131" s="298"/>
      <c r="X131" s="698">
        <f t="shared" ca="1" si="145"/>
        <v>0.5</v>
      </c>
      <c r="Y131" s="698">
        <f t="shared" ca="1" si="153"/>
        <v>15</v>
      </c>
      <c r="Z131" s="698">
        <f t="shared" ca="1" si="154"/>
        <v>0</v>
      </c>
      <c r="AA131" s="698">
        <f t="shared" ca="1" si="155"/>
        <v>0</v>
      </c>
      <c r="AB131" s="698">
        <f t="shared" ca="1" si="156"/>
        <v>0.1</v>
      </c>
      <c r="AC131" s="203"/>
      <c r="AD131" s="81">
        <v>2050</v>
      </c>
      <c r="AE131" s="81"/>
      <c r="AF131" s="705"/>
    </row>
    <row r="132" spans="2:32">
      <c r="B132" s="718" t="s">
        <v>1009</v>
      </c>
      <c r="C132" s="226"/>
      <c r="D132" s="212" t="str">
        <f>"IND"&amp;RIGHT(H132,4)&amp;"DSL"&amp;"N"&amp;RIGHT(E132,1)</f>
        <v>INDCDSHDSLN2</v>
      </c>
      <c r="E132" s="261" t="str">
        <f>"Industrial heating technology "&amp;$AJ$12&amp;" "&amp;RIGHT(H132,2)&amp;" - Oil boiler (Steam - condensing) - new 2"</f>
        <v>Industrial heating technology Chemical SH - Oil boiler (Steam - condensing) - new 2</v>
      </c>
      <c r="F132" s="224" t="s">
        <v>1149</v>
      </c>
      <c r="G132" s="173" t="s">
        <v>2081</v>
      </c>
      <c r="H132" s="174" t="str">
        <f>$AI$15</f>
        <v>ICDSH</v>
      </c>
      <c r="I132" s="174" t="str">
        <f t="shared" si="143"/>
        <v>INDCWH</v>
      </c>
      <c r="J132" s="224">
        <f t="shared" si="146"/>
        <v>2011</v>
      </c>
      <c r="K132" s="299">
        <v>2025</v>
      </c>
      <c r="L132" s="199">
        <f t="shared" ca="1" si="148"/>
        <v>0.95</v>
      </c>
      <c r="M132" s="199"/>
      <c r="N132" s="81">
        <f ca="1">VLOOKUP($AD132,INDIRECT("'"&amp;$B132&amp;"'!"&amp;"$P$118:$AD$121"),5,FALSE)</f>
        <v>25</v>
      </c>
      <c r="O132" s="723">
        <f t="shared" ca="1" si="149"/>
        <v>0.32780000000000004</v>
      </c>
      <c r="P132" s="723">
        <f t="shared" ca="1" si="150"/>
        <v>1.341E-2</v>
      </c>
      <c r="Q132" s="81">
        <f t="shared" ca="1" si="151"/>
        <v>2.0694444444444446</v>
      </c>
      <c r="R132" s="81">
        <v>3.1536000000000002E-2</v>
      </c>
      <c r="S132" s="199">
        <v>0.5</v>
      </c>
      <c r="T132" s="199">
        <f ca="1">HLOOKUP($T$2,INDIRECT("'"&amp;$B132&amp;"'!"&amp;"$P$85:$AC$98"),IF(H132=$AI$13,6,IF(H132=$AI$14,9,14)),FALSE)</f>
        <v>1</v>
      </c>
      <c r="U132" s="772"/>
      <c r="V132" s="199">
        <f t="shared" ref="V132" ca="1" si="159">IF(IF(RIGHT(H132,2)="PH",(1-L132)+$W$2,IF(RIGHT(H132,2)="HT",(1-L132)+$W$1,IF(RIGHT(H132,2)="SH",(1-L132)+$W$3,"")))&gt;0,IF(RIGHT(H132,2)="PH",(1-L132)+$W$2,IF(RIGHT(H132,2)="HT",(1-L132)+$W$1,IF(RIGHT(H132,2)="SH",(1-L132)+$W$3,""))),0)</f>
        <v>5.0000000000000044E-2</v>
      </c>
      <c r="W132" s="298"/>
      <c r="X132" s="698">
        <f t="shared" ca="1" si="145"/>
        <v>0.5</v>
      </c>
      <c r="Y132" s="698">
        <f t="shared" ca="1" si="153"/>
        <v>25</v>
      </c>
      <c r="Z132" s="698">
        <f t="shared" ca="1" si="154"/>
        <v>0</v>
      </c>
      <c r="AA132" s="698">
        <f t="shared" ca="1" si="155"/>
        <v>0</v>
      </c>
      <c r="AB132" s="698">
        <f t="shared" ca="1" si="156"/>
        <v>0.1</v>
      </c>
      <c r="AD132" s="81">
        <v>2020</v>
      </c>
      <c r="AE132" s="299"/>
      <c r="AF132" s="220"/>
    </row>
    <row r="133" spans="2:32">
      <c r="B133" s="718" t="s">
        <v>1009</v>
      </c>
      <c r="C133" s="226"/>
      <c r="E133" s="261"/>
      <c r="F133" s="224" t="s">
        <v>1149</v>
      </c>
      <c r="G133" s="55"/>
      <c r="H133" s="174"/>
      <c r="I133" s="174" t="str">
        <f t="shared" si="143"/>
        <v>INDCWH</v>
      </c>
      <c r="J133" s="224">
        <f t="shared" si="146"/>
        <v>2030</v>
      </c>
      <c r="K133" s="81"/>
      <c r="L133" s="199">
        <f t="shared" ca="1" si="148"/>
        <v>0.96</v>
      </c>
      <c r="M133" s="199"/>
      <c r="N133" s="81"/>
      <c r="O133" s="723">
        <f t="shared" ca="1" si="149"/>
        <v>0.27759522769958173</v>
      </c>
      <c r="P133" s="723">
        <f t="shared" ca="1" si="150"/>
        <v>1.2664999999999999E-2</v>
      </c>
      <c r="Q133" s="81">
        <f t="shared" ca="1" si="151"/>
        <v>1.8625</v>
      </c>
      <c r="R133" s="300"/>
      <c r="S133" s="300"/>
      <c r="T133" s="300"/>
      <c r="U133" s="300"/>
      <c r="V133" s="199">
        <f t="shared" ref="V133" ca="1" si="160">IF(IF(RIGHT(H132,2)="PH",(1-L133)+$W$2,IF(RIGHT(H132,2)="HT",(1-L133)+$W$1,IF(RIGHT(H132,2)="SH",(1-L133)+$W$3,"")))&gt;0,IF(RIGHT(H132,2)="PH",(1-L133)+$W$2,IF(RIGHT(H132,2)="HT",(1-L133)+$W$1,IF(RIGHT(H132,2)="SH",(1-L133)+$W$3,""))),0)</f>
        <v>4.0000000000000036E-2</v>
      </c>
      <c r="W133" s="298"/>
      <c r="X133" s="698">
        <f t="shared" ca="1" si="145"/>
        <v>0.5</v>
      </c>
      <c r="Y133" s="698">
        <f t="shared" ca="1" si="153"/>
        <v>20</v>
      </c>
      <c r="Z133" s="698">
        <f t="shared" ca="1" si="154"/>
        <v>0</v>
      </c>
      <c r="AA133" s="698">
        <f t="shared" ca="1" si="155"/>
        <v>0</v>
      </c>
      <c r="AB133" s="698">
        <f t="shared" ca="1" si="156"/>
        <v>0.1</v>
      </c>
      <c r="AD133" s="81">
        <v>2030</v>
      </c>
      <c r="AE133" s="81"/>
      <c r="AF133" s="220"/>
    </row>
    <row r="134" spans="2:32">
      <c r="B134" s="719" t="s">
        <v>1009</v>
      </c>
      <c r="C134" s="713"/>
      <c r="D134" s="701"/>
      <c r="E134" s="701"/>
      <c r="F134" s="224" t="s">
        <v>1149</v>
      </c>
      <c r="G134" s="203"/>
      <c r="H134" s="702"/>
      <c r="I134" s="702" t="str">
        <f t="shared" si="143"/>
        <v>INDCWH</v>
      </c>
      <c r="J134" s="224">
        <f t="shared" si="146"/>
        <v>2050</v>
      </c>
      <c r="K134" s="81"/>
      <c r="L134" s="199">
        <f t="shared" ca="1" si="148"/>
        <v>0.97</v>
      </c>
      <c r="M134" s="199"/>
      <c r="N134" s="81"/>
      <c r="O134" s="723">
        <f t="shared" ca="1" si="149"/>
        <v>0.26251188606957326</v>
      </c>
      <c r="P134" s="723">
        <f t="shared" ca="1" si="150"/>
        <v>1.1175000000000001E-2</v>
      </c>
      <c r="Q134" s="81">
        <f t="shared" ca="1" si="151"/>
        <v>1.8625</v>
      </c>
      <c r="R134" s="703"/>
      <c r="S134" s="703"/>
      <c r="T134" s="703"/>
      <c r="U134" s="703"/>
      <c r="V134" s="199">
        <f t="shared" ref="V134" ca="1" si="161">IF(IF(RIGHT(H132,2)="PH",(1-L134)+$W$2,IF(RIGHT(H132,2)="HT",(1-L134)+$W$1,IF(RIGHT(H132,2)="SH",(1-L134)+$W$3,"")))&gt;0,IF(RIGHT(H132,2)="PH",(1-L134)+$W$2,IF(RIGHT(H132,2)="HT",(1-L134)+$W$1,IF(RIGHT(H132,2)="SH",(1-L134)+$W$3,""))),0)</f>
        <v>3.0000000000000027E-2</v>
      </c>
      <c r="W134" s="704"/>
      <c r="X134" s="698">
        <f t="shared" ca="1" si="145"/>
        <v>0.5</v>
      </c>
      <c r="Y134" s="698">
        <f t="shared" ca="1" si="153"/>
        <v>15</v>
      </c>
      <c r="Z134" s="698">
        <f t="shared" ca="1" si="154"/>
        <v>0</v>
      </c>
      <c r="AA134" s="698">
        <f t="shared" ca="1" si="155"/>
        <v>0</v>
      </c>
      <c r="AB134" s="698">
        <f t="shared" ca="1" si="156"/>
        <v>0.1</v>
      </c>
      <c r="AD134" s="81">
        <v>2050</v>
      </c>
      <c r="AE134" s="81"/>
      <c r="AF134" s="220"/>
    </row>
    <row r="135" spans="2:32">
      <c r="B135" s="718" t="s">
        <v>1010</v>
      </c>
      <c r="C135" s="226"/>
      <c r="D135" s="212" t="str">
        <f>"IND"&amp;RIGHT(H135,4)&amp;"GAS"&amp;"N"&amp;RIGHT(E135,1)</f>
        <v>INDCDPHGASN1</v>
      </c>
      <c r="E135" s="261" t="str">
        <f>"Industrial heating technology "&amp;$AJ$12&amp;" "&amp;RIGHT(H135,2)&amp;" - Gas boiler (Steam) - new 1"</f>
        <v>Industrial heating technology Chemical PH - Gas boiler (Steam) - new 1</v>
      </c>
      <c r="F135" s="224" t="s">
        <v>1149</v>
      </c>
      <c r="G135" s="173" t="s">
        <v>2080</v>
      </c>
      <c r="H135" s="174" t="str">
        <f>$AI$13</f>
        <v>ICDPH</v>
      </c>
      <c r="I135" s="174" t="str">
        <f t="shared" si="143"/>
        <v>INDCWH</v>
      </c>
      <c r="J135" s="224">
        <f t="shared" si="146"/>
        <v>2011</v>
      </c>
      <c r="K135" s="299">
        <v>2011</v>
      </c>
      <c r="L135" s="199">
        <f t="shared" ref="L135:L143" ca="1" si="162">VLOOKUP($AD135,INDIRECT("'"&amp;$B135&amp;"'!"&amp;"$P$39:$AD$42"),3,FALSE)</f>
        <v>0.92</v>
      </c>
      <c r="M135" s="699"/>
      <c r="N135" s="299">
        <f ca="1">VLOOKUP($AD135,INDIRECT("'"&amp;$B135&amp;"'!"&amp;"$P$39:$AD$42"),5,FALSE)</f>
        <v>25</v>
      </c>
      <c r="O135" s="725">
        <f t="shared" ref="O135:O143" ca="1" si="163">VLOOKUP($AD135,INDIRECT("'"&amp;$B135&amp;"'!"&amp;"$P$39:$AD$42"),6,FALSE)/1000</f>
        <v>0.40636363636363632</v>
      </c>
      <c r="P135" s="725">
        <f t="shared" ref="P135:P143" ca="1" si="164">VLOOKUP($AD135,INDIRECT("'"&amp;$B135&amp;"'!"&amp;"$P$39:$AD$42"),7,FALSE)/1000</f>
        <v>1.49E-2</v>
      </c>
      <c r="Q135" s="299">
        <f t="shared" ref="Q135:Q143" ca="1" si="165">VLOOKUP($AD135,INDIRECT("'"&amp;$B135&amp;"'!"&amp;"$P$39:$AD$42"),8,FALSE)</f>
        <v>2.276388888888889</v>
      </c>
      <c r="R135" s="299">
        <v>3.1536000000000002E-2</v>
      </c>
      <c r="S135" s="699">
        <v>0.5</v>
      </c>
      <c r="T135" s="699">
        <f ca="1">HLOOKUP($T$2,INDIRECT("'"&amp;$B135&amp;"'!"&amp;"$P$6:$AC$19"),IF(H135=$AI$13,6,IF(H135=$AI$14,9,14)),FALSE)</f>
        <v>1</v>
      </c>
      <c r="U135" s="772"/>
      <c r="V135" s="199">
        <f t="shared" ref="V135" ca="1" si="166">IF(IF(RIGHT(H135,2)="PH",(1-L135)+$W$2,IF(RIGHT(H135,2)="HT",(1-L135)+$W$1,IF(RIGHT(H135,2)="SH",(1-L135)+$W$3,"")))&gt;0,IF(RIGHT(H135,2)="PH",(1-L135)+$W$2,IF(RIGHT(H135,2)="HT",(1-L135)+$W$1,IF(RIGHT(H135,2)="SH",(1-L135)+$W$3,""))),0)</f>
        <v>0.27999999999999997</v>
      </c>
      <c r="W135" s="298"/>
      <c r="X135" s="698">
        <f t="shared" ca="1" si="145"/>
        <v>0.3</v>
      </c>
      <c r="Y135" s="299">
        <f t="shared" ref="Y135:Y143" ca="1" si="167">VLOOKUP($AD135,INDIRECT("'"&amp;$B135&amp;"'!"&amp;"$P$39:$AD$42"),12,FALSE)</f>
        <v>9</v>
      </c>
      <c r="Z135" s="299">
        <f t="shared" ref="Z135:Z143" ca="1" si="168">VLOOKUP($AD135,INDIRECT("'"&amp;$B135&amp;"'!"&amp;"$P$39:$AD$42"),13,FALSE)</f>
        <v>3</v>
      </c>
      <c r="AA135" s="299">
        <f t="shared" ref="AA135:AA143" ca="1" si="169">VLOOKUP($AD135,INDIRECT("'"&amp;$B135&amp;"'!"&amp;"$P$39:$AD$42"),14,FALSE)</f>
        <v>1</v>
      </c>
      <c r="AB135" s="299">
        <f t="shared" ref="AB135:AB143" ca="1" si="170">VLOOKUP($AD135,INDIRECT("'"&amp;$B135&amp;"'!"&amp;"$P$39:$AD$42"),15,FALSE)</f>
        <v>0.1</v>
      </c>
      <c r="AD135" s="299">
        <v>2020</v>
      </c>
      <c r="AE135" s="81"/>
      <c r="AF135" s="220"/>
    </row>
    <row r="136" spans="2:32">
      <c r="B136" s="718" t="s">
        <v>1010</v>
      </c>
      <c r="C136" s="226"/>
      <c r="E136" s="212"/>
      <c r="F136" s="224" t="s">
        <v>1149</v>
      </c>
      <c r="H136" s="174"/>
      <c r="I136" s="174" t="str">
        <f t="shared" si="143"/>
        <v>INDCWH</v>
      </c>
      <c r="J136" s="224">
        <f t="shared" si="146"/>
        <v>2030</v>
      </c>
      <c r="K136" s="81"/>
      <c r="L136" s="199">
        <f t="shared" ca="1" si="162"/>
        <v>0.93</v>
      </c>
      <c r="M136" s="199"/>
      <c r="N136" s="81"/>
      <c r="O136" s="723">
        <f t="shared" ca="1" si="163"/>
        <v>0.33863636363636368</v>
      </c>
      <c r="P136" s="723">
        <f t="shared" ca="1" si="164"/>
        <v>1.4154999999999999E-2</v>
      </c>
      <c r="Q136" s="81">
        <f t="shared" ca="1" si="165"/>
        <v>2.0694444444444446</v>
      </c>
      <c r="R136" s="300"/>
      <c r="S136" s="300"/>
      <c r="T136" s="300"/>
      <c r="U136" s="300"/>
      <c r="V136" s="199">
        <f t="shared" ref="V136" ca="1" si="171">IF(IF(RIGHT(H135,2)="PH",(1-L136)+$W$2,IF(RIGHT(H135,2)="HT",(1-L136)+$W$1,IF(RIGHT(H135,2)="SH",(1-L136)+$W$3,"")))&gt;0,IF(RIGHT(H135,2)="PH",(1-L136)+$W$2,IF(RIGHT(H135,2)="HT",(1-L136)+$W$1,IF(RIGHT(H135,2)="SH",(1-L136)+$W$3,""))),0)</f>
        <v>0.26999999999999996</v>
      </c>
      <c r="W136" s="298"/>
      <c r="X136" s="698">
        <f t="shared" ca="1" si="145"/>
        <v>0.3</v>
      </c>
      <c r="Y136" s="81">
        <f t="shared" ca="1" si="167"/>
        <v>7</v>
      </c>
      <c r="Z136" s="81">
        <f t="shared" ca="1" si="168"/>
        <v>2</v>
      </c>
      <c r="AA136" s="81">
        <f t="shared" ca="1" si="169"/>
        <v>1</v>
      </c>
      <c r="AB136" s="81">
        <f t="shared" ca="1" si="170"/>
        <v>0.1</v>
      </c>
      <c r="AD136" s="81">
        <v>2030</v>
      </c>
      <c r="AE136" s="81"/>
      <c r="AF136" s="220"/>
    </row>
    <row r="137" spans="2:32">
      <c r="B137" s="718" t="s">
        <v>1010</v>
      </c>
      <c r="C137" s="226"/>
      <c r="E137" s="212"/>
      <c r="F137" s="224" t="s">
        <v>1149</v>
      </c>
      <c r="H137" s="174"/>
      <c r="I137" s="174" t="str">
        <f t="shared" si="143"/>
        <v>INDCWH</v>
      </c>
      <c r="J137" s="224">
        <f t="shared" si="146"/>
        <v>2050</v>
      </c>
      <c r="K137" s="81"/>
      <c r="L137" s="199">
        <f t="shared" ca="1" si="162"/>
        <v>0.94</v>
      </c>
      <c r="M137" s="199"/>
      <c r="N137" s="81"/>
      <c r="O137" s="723">
        <f t="shared" ca="1" si="163"/>
        <v>0.33863636363636368</v>
      </c>
      <c r="P137" s="723">
        <f t="shared" ca="1" si="164"/>
        <v>1.2664999999999999E-2</v>
      </c>
      <c r="Q137" s="81">
        <f t="shared" ca="1" si="165"/>
        <v>2.0694444444444446</v>
      </c>
      <c r="R137" s="300"/>
      <c r="S137" s="300"/>
      <c r="T137" s="300"/>
      <c r="U137" s="300"/>
      <c r="V137" s="199">
        <f t="shared" ref="V137" ca="1" si="172">IF(IF(RIGHT(H135,2)="PH",(1-L137)+$W$2,IF(RIGHT(H135,2)="HT",(1-L137)+$W$1,IF(RIGHT(H135,2)="SH",(1-L137)+$W$3,"")))&gt;0,IF(RIGHT(H135,2)="PH",(1-L137)+$W$2,IF(RIGHT(H135,2)="HT",(1-L137)+$W$1,IF(RIGHT(H135,2)="SH",(1-L137)+$W$3,""))),0)</f>
        <v>0.26000000000000006</v>
      </c>
      <c r="W137" s="298"/>
      <c r="X137" s="698">
        <f t="shared" ca="1" si="145"/>
        <v>0.3</v>
      </c>
      <c r="Y137" s="81">
        <f t="shared" ca="1" si="167"/>
        <v>6</v>
      </c>
      <c r="Z137" s="81">
        <f t="shared" ca="1" si="168"/>
        <v>2</v>
      </c>
      <c r="AA137" s="81">
        <f t="shared" ca="1" si="169"/>
        <v>1</v>
      </c>
      <c r="AB137" s="81">
        <f t="shared" ca="1" si="170"/>
        <v>0.1</v>
      </c>
      <c r="AD137" s="81">
        <v>2050</v>
      </c>
      <c r="AE137" s="81"/>
      <c r="AF137" s="220"/>
    </row>
    <row r="138" spans="2:32">
      <c r="B138" s="718" t="s">
        <v>1010</v>
      </c>
      <c r="C138" s="226"/>
      <c r="D138" s="212" t="str">
        <f>"IND"&amp;RIGHT(H138,4)&amp;"GAS"&amp;"N"&amp;RIGHT(E138,1)</f>
        <v>INDCDPHGASN1</v>
      </c>
      <c r="E138" s="261" t="str">
        <f>"Industrial heating technology "&amp;$AJ$12&amp;" "&amp;RIGHT(H138,2)&amp;" - Gas boiler (Steam) - new 1"</f>
        <v>Industrial heating technology Chemical PH - Gas boiler (Steam) - new 1</v>
      </c>
      <c r="F138" s="224" t="s">
        <v>1149</v>
      </c>
      <c r="G138" s="173" t="s">
        <v>2080</v>
      </c>
      <c r="H138" s="174" t="str">
        <f>$AI$14</f>
        <v>ICDPH</v>
      </c>
      <c r="I138" s="174" t="str">
        <f t="shared" si="143"/>
        <v>INDCWH</v>
      </c>
      <c r="J138" s="224">
        <f t="shared" si="146"/>
        <v>2011</v>
      </c>
      <c r="K138" s="299">
        <f>J138</f>
        <v>2011</v>
      </c>
      <c r="L138" s="199">
        <f t="shared" ca="1" si="162"/>
        <v>0.92</v>
      </c>
      <c r="M138" s="199"/>
      <c r="N138" s="81">
        <f ca="1">VLOOKUP($AD138,INDIRECT("'"&amp;$B138&amp;"'!"&amp;"$P$39:$AD$42"),5,FALSE)</f>
        <v>25</v>
      </c>
      <c r="O138" s="723">
        <f t="shared" ca="1" si="163"/>
        <v>0.40636363636363632</v>
      </c>
      <c r="P138" s="723">
        <f t="shared" ca="1" si="164"/>
        <v>1.49E-2</v>
      </c>
      <c r="Q138" s="81">
        <f t="shared" ca="1" si="165"/>
        <v>2.276388888888889</v>
      </c>
      <c r="R138" s="81">
        <v>3.1536000000000002E-2</v>
      </c>
      <c r="S138" s="199">
        <v>0.5</v>
      </c>
      <c r="T138" s="199">
        <f ca="1">HLOOKUP($T$2,INDIRECT("'"&amp;$B138&amp;"'!"&amp;"$P$6:$AC$19"),IF(H138=$AI$13,6,IF(H138=$AI$14,9,14)),FALSE)</f>
        <v>1</v>
      </c>
      <c r="U138" s="772"/>
      <c r="V138" s="199">
        <f t="shared" ref="V138" ca="1" si="173">IF(IF(RIGHT(H138,2)="PH",(1-L138)+$W$2,IF(RIGHT(H138,2)="HT",(1-L138)+$W$1,IF(RIGHT(H138,2)="SH",(1-L138)+$W$3,"")))&gt;0,IF(RIGHT(H138,2)="PH",(1-L138)+$W$2,IF(RIGHT(H138,2)="HT",(1-L138)+$W$1,IF(RIGHT(H138,2)="SH",(1-L138)+$W$3,""))),0)</f>
        <v>0.27999999999999997</v>
      </c>
      <c r="W138" s="298"/>
      <c r="X138" s="698">
        <f t="shared" ca="1" si="145"/>
        <v>0.3</v>
      </c>
      <c r="Y138" s="81">
        <f t="shared" ca="1" si="167"/>
        <v>9</v>
      </c>
      <c r="Z138" s="81">
        <f t="shared" ca="1" si="168"/>
        <v>3</v>
      </c>
      <c r="AA138" s="81">
        <f t="shared" ca="1" si="169"/>
        <v>1</v>
      </c>
      <c r="AB138" s="81">
        <f t="shared" ca="1" si="170"/>
        <v>0.1</v>
      </c>
      <c r="AD138" s="81">
        <v>2020</v>
      </c>
      <c r="AE138" s="81"/>
      <c r="AF138" s="220"/>
    </row>
    <row r="139" spans="2:32">
      <c r="B139" s="718" t="s">
        <v>1010</v>
      </c>
      <c r="C139" s="226"/>
      <c r="E139" s="212"/>
      <c r="F139" s="224" t="s">
        <v>1149</v>
      </c>
      <c r="H139" s="174"/>
      <c r="I139" s="174" t="str">
        <f t="shared" si="143"/>
        <v>INDCWH</v>
      </c>
      <c r="J139" s="224">
        <f t="shared" si="146"/>
        <v>2030</v>
      </c>
      <c r="K139" s="81"/>
      <c r="L139" s="199">
        <f t="shared" ca="1" si="162"/>
        <v>0.93</v>
      </c>
      <c r="M139" s="199"/>
      <c r="N139" s="81"/>
      <c r="O139" s="723">
        <f t="shared" ca="1" si="163"/>
        <v>0.33863636363636368</v>
      </c>
      <c r="P139" s="723">
        <f t="shared" ca="1" si="164"/>
        <v>1.4154999999999999E-2</v>
      </c>
      <c r="Q139" s="81">
        <f t="shared" ca="1" si="165"/>
        <v>2.0694444444444446</v>
      </c>
      <c r="R139" s="300"/>
      <c r="S139" s="300"/>
      <c r="T139" s="300"/>
      <c r="U139" s="300"/>
      <c r="V139" s="199">
        <f t="shared" ref="V139" ca="1" si="174">IF(IF(RIGHT(H138,2)="PH",(1-L139)+$W$2,IF(RIGHT(H138,2)="HT",(1-L139)+$W$1,IF(RIGHT(H138,2)="SH",(1-L139)+$W$3,"")))&gt;0,IF(RIGHT(H138,2)="PH",(1-L139)+$W$2,IF(RIGHT(H138,2)="HT",(1-L139)+$W$1,IF(RIGHT(H138,2)="SH",(1-L139)+$W$3,""))),0)</f>
        <v>0.26999999999999996</v>
      </c>
      <c r="W139" s="298"/>
      <c r="X139" s="698">
        <f t="shared" ca="1" si="145"/>
        <v>0.3</v>
      </c>
      <c r="Y139" s="81">
        <f t="shared" ca="1" si="167"/>
        <v>7</v>
      </c>
      <c r="Z139" s="81">
        <f t="shared" ca="1" si="168"/>
        <v>2</v>
      </c>
      <c r="AA139" s="81">
        <f t="shared" ca="1" si="169"/>
        <v>1</v>
      </c>
      <c r="AB139" s="81">
        <f t="shared" ca="1" si="170"/>
        <v>0.1</v>
      </c>
      <c r="AD139" s="81">
        <v>2030</v>
      </c>
      <c r="AE139" s="81"/>
      <c r="AF139" s="220"/>
    </row>
    <row r="140" spans="2:32">
      <c r="B140" s="718" t="s">
        <v>1010</v>
      </c>
      <c r="C140" s="226"/>
      <c r="E140" s="212"/>
      <c r="F140" s="224" t="s">
        <v>1149</v>
      </c>
      <c r="H140" s="174"/>
      <c r="I140" s="174" t="str">
        <f t="shared" si="143"/>
        <v>INDCWH</v>
      </c>
      <c r="J140" s="224">
        <f t="shared" si="146"/>
        <v>2050</v>
      </c>
      <c r="K140" s="81"/>
      <c r="L140" s="199">
        <f t="shared" ca="1" si="162"/>
        <v>0.94</v>
      </c>
      <c r="M140" s="199"/>
      <c r="N140" s="81"/>
      <c r="O140" s="723">
        <f t="shared" ca="1" si="163"/>
        <v>0.33863636363636368</v>
      </c>
      <c r="P140" s="723">
        <f t="shared" ca="1" si="164"/>
        <v>1.2664999999999999E-2</v>
      </c>
      <c r="Q140" s="81">
        <f t="shared" ca="1" si="165"/>
        <v>2.0694444444444446</v>
      </c>
      <c r="R140" s="300"/>
      <c r="S140" s="300"/>
      <c r="T140" s="300"/>
      <c r="U140" s="300"/>
      <c r="V140" s="199">
        <f t="shared" ref="V140" ca="1" si="175">IF(IF(RIGHT(H138,2)="PH",(1-L140)+$W$2,IF(RIGHT(H138,2)="HT",(1-L140)+$W$1,IF(RIGHT(H138,2)="SH",(1-L140)+$W$3,"")))&gt;0,IF(RIGHT(H138,2)="PH",(1-L140)+$W$2,IF(RIGHT(H138,2)="HT",(1-L140)+$W$1,IF(RIGHT(H138,2)="SH",(1-L140)+$W$3,""))),0)</f>
        <v>0.26000000000000006</v>
      </c>
      <c r="W140" s="298"/>
      <c r="X140" s="698">
        <f t="shared" ca="1" si="145"/>
        <v>0.3</v>
      </c>
      <c r="Y140" s="81">
        <f t="shared" ca="1" si="167"/>
        <v>6</v>
      </c>
      <c r="Z140" s="81">
        <f t="shared" ca="1" si="168"/>
        <v>2</v>
      </c>
      <c r="AA140" s="81">
        <f t="shared" ca="1" si="169"/>
        <v>1</v>
      </c>
      <c r="AB140" s="81">
        <f t="shared" ca="1" si="170"/>
        <v>0.1</v>
      </c>
      <c r="AC140" s="203"/>
      <c r="AD140" s="81">
        <v>2050</v>
      </c>
      <c r="AE140" s="81"/>
      <c r="AF140" s="705"/>
    </row>
    <row r="141" spans="2:32">
      <c r="B141" s="718" t="s">
        <v>1010</v>
      </c>
      <c r="C141" s="226"/>
      <c r="D141" s="212" t="str">
        <f>"IND"&amp;RIGHT(H141,4)&amp;"GAS"&amp;"N"&amp;RIGHT(E141,1)</f>
        <v>INDCDSHGASN1</v>
      </c>
      <c r="E141" s="261" t="str">
        <f>"Industrial heating technology "&amp;$AJ$12&amp;" "&amp;RIGHT(H141,2)&amp;" - Gas boiler (Steam) - new 1"</f>
        <v>Industrial heating technology Chemical SH - Gas boiler (Steam) - new 1</v>
      </c>
      <c r="F141" s="224" t="s">
        <v>1149</v>
      </c>
      <c r="G141" s="173" t="s">
        <v>2080</v>
      </c>
      <c r="H141" s="174" t="str">
        <f>$AI$15</f>
        <v>ICDSH</v>
      </c>
      <c r="I141" s="174" t="str">
        <f t="shared" si="143"/>
        <v>INDCWH</v>
      </c>
      <c r="J141" s="224">
        <f t="shared" si="146"/>
        <v>2011</v>
      </c>
      <c r="K141" s="299">
        <f>J141</f>
        <v>2011</v>
      </c>
      <c r="L141" s="199">
        <f t="shared" ca="1" si="162"/>
        <v>0.92</v>
      </c>
      <c r="M141" s="199"/>
      <c r="N141" s="81">
        <f ca="1">VLOOKUP($AD141,INDIRECT("'"&amp;$B141&amp;"'!"&amp;"$P$39:$AD$42"),5,FALSE)</f>
        <v>25</v>
      </c>
      <c r="O141" s="723">
        <f t="shared" ca="1" si="163"/>
        <v>0.40636363636363632</v>
      </c>
      <c r="P141" s="723">
        <f t="shared" ca="1" si="164"/>
        <v>1.49E-2</v>
      </c>
      <c r="Q141" s="81">
        <f t="shared" ca="1" si="165"/>
        <v>2.276388888888889</v>
      </c>
      <c r="R141" s="81">
        <v>3.1536000000000002E-2</v>
      </c>
      <c r="S141" s="199">
        <v>0.5</v>
      </c>
      <c r="T141" s="199">
        <f ca="1">HLOOKUP($T$2,INDIRECT("'"&amp;$B141&amp;"'!"&amp;"$P$6:$AC$19"),IF(H141=$AI$13,6,IF(H141=$AI$14,9,14)),FALSE)</f>
        <v>1</v>
      </c>
      <c r="U141" s="772"/>
      <c r="V141" s="199">
        <f t="shared" ref="V141" ca="1" si="176">IF(IF(RIGHT(H141,2)="PH",(1-L141)+$W$2,IF(RIGHT(H141,2)="HT",(1-L141)+$W$1,IF(RIGHT(H141,2)="SH",(1-L141)+$W$3,"")))&gt;0,IF(RIGHT(H141,2)="PH",(1-L141)+$W$2,IF(RIGHT(H141,2)="HT",(1-L141)+$W$1,IF(RIGHT(H141,2)="SH",(1-L141)+$W$3,""))),0)</f>
        <v>7.999999999999996E-2</v>
      </c>
      <c r="W141" s="298"/>
      <c r="X141" s="698">
        <f t="shared" ca="1" si="145"/>
        <v>0.3</v>
      </c>
      <c r="Y141" s="81">
        <f t="shared" ca="1" si="167"/>
        <v>9</v>
      </c>
      <c r="Z141" s="81">
        <f t="shared" ca="1" si="168"/>
        <v>3</v>
      </c>
      <c r="AA141" s="81">
        <f t="shared" ca="1" si="169"/>
        <v>1</v>
      </c>
      <c r="AB141" s="81">
        <f t="shared" ca="1" si="170"/>
        <v>0.1</v>
      </c>
      <c r="AC141" s="296"/>
      <c r="AD141" s="81">
        <v>2020</v>
      </c>
      <c r="AE141" s="81"/>
      <c r="AF141" s="710"/>
    </row>
    <row r="142" spans="2:32">
      <c r="B142" s="718" t="s">
        <v>1010</v>
      </c>
      <c r="C142" s="226"/>
      <c r="E142" s="212"/>
      <c r="F142" s="224" t="s">
        <v>1149</v>
      </c>
      <c r="H142" s="174"/>
      <c r="I142" s="174" t="str">
        <f t="shared" si="143"/>
        <v>INDCWH</v>
      </c>
      <c r="J142" s="224">
        <f t="shared" si="146"/>
        <v>2030</v>
      </c>
      <c r="K142" s="81"/>
      <c r="L142" s="199">
        <f t="shared" ca="1" si="162"/>
        <v>0.93</v>
      </c>
      <c r="M142" s="199"/>
      <c r="N142" s="81"/>
      <c r="O142" s="723">
        <f t="shared" ca="1" si="163"/>
        <v>0.33863636363636368</v>
      </c>
      <c r="P142" s="723">
        <f t="shared" ca="1" si="164"/>
        <v>1.4154999999999999E-2</v>
      </c>
      <c r="Q142" s="81">
        <f t="shared" ca="1" si="165"/>
        <v>2.0694444444444446</v>
      </c>
      <c r="R142" s="300"/>
      <c r="S142" s="300"/>
      <c r="T142" s="300"/>
      <c r="U142" s="300"/>
      <c r="V142" s="199">
        <f t="shared" ref="V142" ca="1" si="177">IF(IF(RIGHT(H141,2)="PH",(1-L142)+$W$2,IF(RIGHT(H141,2)="HT",(1-L142)+$W$1,IF(RIGHT(H141,2)="SH",(1-L142)+$W$3,"")))&gt;0,IF(RIGHT(H141,2)="PH",(1-L142)+$W$2,IF(RIGHT(H141,2)="HT",(1-L142)+$W$1,IF(RIGHT(H141,2)="SH",(1-L142)+$W$3,""))),0)</f>
        <v>6.9999999999999951E-2</v>
      </c>
      <c r="W142" s="298"/>
      <c r="X142" s="698">
        <f t="shared" ca="1" si="145"/>
        <v>0.3</v>
      </c>
      <c r="Y142" s="81">
        <f t="shared" ca="1" si="167"/>
        <v>7</v>
      </c>
      <c r="Z142" s="81">
        <f t="shared" ca="1" si="168"/>
        <v>2</v>
      </c>
      <c r="AA142" s="81">
        <f t="shared" ca="1" si="169"/>
        <v>1</v>
      </c>
      <c r="AB142" s="81">
        <f t="shared" ca="1" si="170"/>
        <v>0.1</v>
      </c>
      <c r="AC142" s="55"/>
      <c r="AD142" s="81">
        <v>2030</v>
      </c>
      <c r="AE142" s="81"/>
      <c r="AF142" s="700"/>
    </row>
    <row r="143" spans="2:32">
      <c r="B143" s="719" t="s">
        <v>1010</v>
      </c>
      <c r="C143" s="713"/>
      <c r="D143" s="203"/>
      <c r="E143" s="701"/>
      <c r="F143" s="224" t="s">
        <v>1149</v>
      </c>
      <c r="G143" s="203"/>
      <c r="H143" s="702"/>
      <c r="I143" s="702" t="str">
        <f t="shared" si="143"/>
        <v>INDCWH</v>
      </c>
      <c r="J143" s="224">
        <f t="shared" si="146"/>
        <v>2050</v>
      </c>
      <c r="K143" s="81"/>
      <c r="L143" s="199">
        <f t="shared" ca="1" si="162"/>
        <v>0.94</v>
      </c>
      <c r="M143" s="199"/>
      <c r="N143" s="81"/>
      <c r="O143" s="723">
        <f t="shared" ca="1" si="163"/>
        <v>0.33863636363636368</v>
      </c>
      <c r="P143" s="723">
        <f t="shared" ca="1" si="164"/>
        <v>1.2664999999999999E-2</v>
      </c>
      <c r="Q143" s="81">
        <f t="shared" ca="1" si="165"/>
        <v>2.0694444444444446</v>
      </c>
      <c r="R143" s="703"/>
      <c r="S143" s="703"/>
      <c r="T143" s="703"/>
      <c r="U143" s="703"/>
      <c r="V143" s="199">
        <f t="shared" ref="V143" ca="1" si="178">IF(IF(RIGHT(H141,2)="PH",(1-L143)+$W$2,IF(RIGHT(H141,2)="HT",(1-L143)+$W$1,IF(RIGHT(H141,2)="SH",(1-L143)+$W$3,"")))&gt;0,IF(RIGHT(H141,2)="PH",(1-L143)+$W$2,IF(RIGHT(H141,2)="HT",(1-L143)+$W$1,IF(RIGHT(H141,2)="SH",(1-L143)+$W$3,""))),0)</f>
        <v>6.0000000000000053E-2</v>
      </c>
      <c r="W143" s="704"/>
      <c r="X143" s="698">
        <f t="shared" ca="1" si="145"/>
        <v>0.3</v>
      </c>
      <c r="Y143" s="81">
        <f t="shared" ca="1" si="167"/>
        <v>6</v>
      </c>
      <c r="Z143" s="81">
        <f t="shared" ca="1" si="168"/>
        <v>2</v>
      </c>
      <c r="AA143" s="81">
        <f t="shared" ca="1" si="169"/>
        <v>1</v>
      </c>
      <c r="AB143" s="81">
        <f t="shared" ca="1" si="170"/>
        <v>0.1</v>
      </c>
      <c r="AC143" s="55"/>
      <c r="AD143" s="81">
        <v>2050</v>
      </c>
      <c r="AE143" s="81"/>
      <c r="AF143" s="700"/>
    </row>
    <row r="144" spans="2:32">
      <c r="B144" s="718" t="s">
        <v>1010</v>
      </c>
      <c r="C144" s="226"/>
      <c r="D144" s="212" t="str">
        <f>"IND"&amp;RIGHT(H144,4)&amp;"GAS"&amp;"N"&amp;RIGHT(E144,1)</f>
        <v>INDCDPHGASN2</v>
      </c>
      <c r="E144" s="707" t="str">
        <f>"Industrial heating technology "&amp;$AJ$12&amp;" "&amp;RIGHT(H144,2)&amp;" - Gas boiler (Steam - condensing) - new 2"</f>
        <v>Industrial heating technology Chemical PH - Gas boiler (Steam - condensing) - new 2</v>
      </c>
      <c r="F144" s="224" t="s">
        <v>1149</v>
      </c>
      <c r="G144" s="173" t="s">
        <v>2080</v>
      </c>
      <c r="H144" s="708" t="str">
        <f>$AI$14</f>
        <v>ICDPH</v>
      </c>
      <c r="I144" s="708" t="str">
        <f t="shared" si="143"/>
        <v>INDCWH</v>
      </c>
      <c r="J144" s="224">
        <f t="shared" si="146"/>
        <v>2011</v>
      </c>
      <c r="K144" s="299">
        <f>J144</f>
        <v>2011</v>
      </c>
      <c r="L144" s="199">
        <f t="shared" ref="L144:L149" ca="1" si="179">VLOOKUP($AD144,INDIRECT("'"&amp;$B144&amp;"'!"&amp;"$P$118:$AD$121"),3,FALSE)</f>
        <v>1.01</v>
      </c>
      <c r="M144" s="199"/>
      <c r="N144" s="81">
        <f ca="1">VLOOKUP($AD144,INDIRECT("'"&amp;$B144&amp;"'!"&amp;"$P$118:$AD$121"),5,FALSE)</f>
        <v>25</v>
      </c>
      <c r="O144" s="723">
        <f t="shared" ref="O144:O149" ca="1" si="180">VLOOKUP($AD144,INDIRECT("'"&amp;$B144&amp;"'!"&amp;"$P$118:$AD$121"),6,FALSE)/1000</f>
        <v>0.44700000000000001</v>
      </c>
      <c r="P144" s="723">
        <f t="shared" ref="P144:P149" ca="1" si="181">VLOOKUP($AD144,INDIRECT("'"&amp;$B144&amp;"'!"&amp;"$P$118:$AD$121"),7,FALSE)/1000</f>
        <v>1.49E-2</v>
      </c>
      <c r="Q144" s="81">
        <f t="shared" ref="Q144:Q149" ca="1" si="182">VLOOKUP($AD144,INDIRECT("'"&amp;$B144&amp;"'!"&amp;"$P$118:$AD$121"),8,FALSE)</f>
        <v>2.276388888888889</v>
      </c>
      <c r="R144" s="81">
        <v>3.1536000000000002E-2</v>
      </c>
      <c r="S144" s="199">
        <v>0.5</v>
      </c>
      <c r="T144" s="199">
        <f ca="1">HLOOKUP($T$2,INDIRECT("'"&amp;$B144&amp;"'!"&amp;"$P$85:$AC$98"),IF(H144=$AI$13,6,IF(H144=$AI$14,9,14)),FALSE)</f>
        <v>0</v>
      </c>
      <c r="U144" s="773"/>
      <c r="V144" s="199">
        <f t="shared" ref="V144" ca="1" si="183">IF(IF(RIGHT(H144,2)="PH",(1-L144)+$W$2,IF(RIGHT(H144,2)="HT",(1-L144)+$W$1,IF(RIGHT(H144,2)="SH",(1-L144)+$W$3,"")))&gt;0,IF(RIGHT(H144,2)="PH",(1-L144)+$W$2,IF(RIGHT(H144,2)="HT",(1-L144)+$W$1,IF(RIGHT(H144,2)="SH",(1-L144)+$W$3,""))),0)</f>
        <v>0.19</v>
      </c>
      <c r="W144" s="709"/>
      <c r="X144" s="698">
        <f t="shared" ca="1" si="145"/>
        <v>0.3</v>
      </c>
      <c r="Y144" s="698">
        <f t="shared" ref="Y144:Y149" ca="1" si="184">VLOOKUP($AD144,INDIRECT("'"&amp;$B144&amp;"'!"&amp;"$P$118:$AD$121"),12,FALSE)</f>
        <v>9</v>
      </c>
      <c r="Z144" s="698">
        <f t="shared" ref="Z144:Z149" ca="1" si="185">VLOOKUP($AD144,INDIRECT("'"&amp;$B144&amp;"'!"&amp;"$P$118:$AD$121"),13,FALSE)</f>
        <v>3</v>
      </c>
      <c r="AA144" s="698">
        <f t="shared" ref="AA144:AA149" ca="1" si="186">VLOOKUP($AD144,INDIRECT("'"&amp;$B144&amp;"'!"&amp;"$P$118:$AD$121"),14,FALSE)</f>
        <v>1</v>
      </c>
      <c r="AB144" s="698">
        <f t="shared" ref="AB144:AB149" ca="1" si="187">VLOOKUP($AD144,INDIRECT("'"&amp;$B144&amp;"'!"&amp;"$P$118:$AD$121"),15,FALSE)</f>
        <v>0.1</v>
      </c>
      <c r="AC144" s="55"/>
      <c r="AD144" s="81">
        <v>2020</v>
      </c>
      <c r="AE144" s="81"/>
      <c r="AF144" s="700"/>
    </row>
    <row r="145" spans="1:32">
      <c r="B145" s="718" t="s">
        <v>1010</v>
      </c>
      <c r="C145" s="226"/>
      <c r="E145" s="261"/>
      <c r="F145" s="224" t="s">
        <v>1149</v>
      </c>
      <c r="G145" s="55"/>
      <c r="H145" s="174"/>
      <c r="I145" s="174" t="str">
        <f t="shared" si="143"/>
        <v>INDCWH</v>
      </c>
      <c r="J145" s="224">
        <f t="shared" si="146"/>
        <v>2030</v>
      </c>
      <c r="K145" s="81"/>
      <c r="L145" s="199">
        <f t="shared" ca="1" si="179"/>
        <v>1.03</v>
      </c>
      <c r="M145" s="199"/>
      <c r="N145" s="81"/>
      <c r="O145" s="723">
        <f t="shared" ca="1" si="180"/>
        <v>0.37250000000000005</v>
      </c>
      <c r="P145" s="723">
        <f t="shared" ca="1" si="181"/>
        <v>1.4154999999999999E-2</v>
      </c>
      <c r="Q145" s="81">
        <f t="shared" ca="1" si="182"/>
        <v>2.0694444444444446</v>
      </c>
      <c r="R145" s="300"/>
      <c r="S145" s="300"/>
      <c r="T145" s="300"/>
      <c r="U145" s="300"/>
      <c r="V145" s="199">
        <f t="shared" ref="V145" ca="1" si="188">IF(IF(RIGHT(H144,2)="PH",(1-L145)+$W$2,IF(RIGHT(H144,2)="HT",(1-L145)+$W$1,IF(RIGHT(H144,2)="SH",(1-L145)+$W$3,"")))&gt;0,IF(RIGHT(H144,2)="PH",(1-L145)+$W$2,IF(RIGHT(H144,2)="HT",(1-L145)+$W$1,IF(RIGHT(H144,2)="SH",(1-L145)+$W$3,""))),0)</f>
        <v>0.16999999999999998</v>
      </c>
      <c r="W145" s="298"/>
      <c r="X145" s="698">
        <f t="shared" ca="1" si="145"/>
        <v>0.3</v>
      </c>
      <c r="Y145" s="698">
        <f t="shared" ca="1" si="184"/>
        <v>7</v>
      </c>
      <c r="Z145" s="698">
        <f t="shared" ca="1" si="185"/>
        <v>2</v>
      </c>
      <c r="AA145" s="698">
        <f t="shared" ca="1" si="186"/>
        <v>1</v>
      </c>
      <c r="AB145" s="698">
        <f t="shared" ca="1" si="187"/>
        <v>0.1</v>
      </c>
      <c r="AC145" s="55"/>
      <c r="AD145" s="81">
        <v>2030</v>
      </c>
      <c r="AE145" s="81"/>
      <c r="AF145" s="700"/>
    </row>
    <row r="146" spans="1:32">
      <c r="A146" s="226"/>
      <c r="B146" s="718" t="s">
        <v>1010</v>
      </c>
      <c r="C146" s="226"/>
      <c r="E146" s="261"/>
      <c r="F146" s="224" t="s">
        <v>1149</v>
      </c>
      <c r="G146" s="55"/>
      <c r="H146" s="174"/>
      <c r="I146" s="174" t="str">
        <f t="shared" si="143"/>
        <v>INDCWH</v>
      </c>
      <c r="J146" s="224">
        <f t="shared" si="146"/>
        <v>2050</v>
      </c>
      <c r="K146" s="81"/>
      <c r="L146" s="199">
        <f t="shared" ca="1" si="179"/>
        <v>1.03</v>
      </c>
      <c r="M146" s="199"/>
      <c r="N146" s="81"/>
      <c r="O146" s="723">
        <f t="shared" ca="1" si="180"/>
        <v>0.37250000000000005</v>
      </c>
      <c r="P146" s="723">
        <f t="shared" ca="1" si="181"/>
        <v>1.2664999999999999E-2</v>
      </c>
      <c r="Q146" s="81">
        <f t="shared" ca="1" si="182"/>
        <v>2.0694444444444446</v>
      </c>
      <c r="R146" s="300"/>
      <c r="S146" s="300"/>
      <c r="T146" s="300"/>
      <c r="U146" s="300"/>
      <c r="V146" s="199">
        <f t="shared" ref="V146" ca="1" si="189">IF(IF(RIGHT(H144,2)="PH",(1-L146)+$W$2,IF(RIGHT(H144,2)="HT",(1-L146)+$W$1,IF(RIGHT(H144,2)="SH",(1-L146)+$W$3,"")))&gt;0,IF(RIGHT(H144,2)="PH",(1-L146)+$W$2,IF(RIGHT(H144,2)="HT",(1-L146)+$W$1,IF(RIGHT(H144,2)="SH",(1-L146)+$W$3,""))),0)</f>
        <v>0.16999999999999998</v>
      </c>
      <c r="W146" s="298"/>
      <c r="X146" s="698">
        <f t="shared" ca="1" si="145"/>
        <v>0.3</v>
      </c>
      <c r="Y146" s="698">
        <f t="shared" ca="1" si="184"/>
        <v>6</v>
      </c>
      <c r="Z146" s="698">
        <f t="shared" ca="1" si="185"/>
        <v>2</v>
      </c>
      <c r="AA146" s="698">
        <f t="shared" ca="1" si="186"/>
        <v>1</v>
      </c>
      <c r="AB146" s="698">
        <f t="shared" ca="1" si="187"/>
        <v>0.1</v>
      </c>
      <c r="AC146" s="203"/>
      <c r="AD146" s="81">
        <v>2050</v>
      </c>
      <c r="AE146" s="81"/>
      <c r="AF146" s="705"/>
    </row>
    <row r="147" spans="1:32">
      <c r="A147" s="226"/>
      <c r="B147" s="718" t="s">
        <v>1010</v>
      </c>
      <c r="C147" s="226"/>
      <c r="D147" s="212" t="str">
        <f>"IND"&amp;RIGHT(H147,4)&amp;"GAS"&amp;"N"&amp;RIGHT(E147,1)</f>
        <v>INDCDSHGASN2</v>
      </c>
      <c r="E147" s="261" t="str">
        <f>"Industrial heating technology "&amp;$AJ$12&amp;" "&amp;RIGHT(H147,2)&amp;" - Gas boiler (Steam - condensing) - new 2"</f>
        <v>Industrial heating technology Chemical SH - Gas boiler (Steam - condensing) - new 2</v>
      </c>
      <c r="F147" s="224" t="s">
        <v>1149</v>
      </c>
      <c r="G147" s="173" t="s">
        <v>2080</v>
      </c>
      <c r="H147" s="174" t="str">
        <f>$AI$15</f>
        <v>ICDSH</v>
      </c>
      <c r="I147" s="174" t="str">
        <f t="shared" si="143"/>
        <v>INDCWH</v>
      </c>
      <c r="J147" s="224">
        <f t="shared" si="146"/>
        <v>2011</v>
      </c>
      <c r="K147" s="299">
        <f>J147</f>
        <v>2011</v>
      </c>
      <c r="L147" s="199">
        <f t="shared" ca="1" si="179"/>
        <v>1.01</v>
      </c>
      <c r="M147" s="199"/>
      <c r="N147" s="81">
        <f ca="1">VLOOKUP($AD147,INDIRECT("'"&amp;$B147&amp;"'!"&amp;"$P$118:$AD$121"),5,FALSE)</f>
        <v>25</v>
      </c>
      <c r="O147" s="723">
        <f t="shared" ca="1" si="180"/>
        <v>0.44700000000000001</v>
      </c>
      <c r="P147" s="723">
        <f t="shared" ca="1" si="181"/>
        <v>1.49E-2</v>
      </c>
      <c r="Q147" s="81">
        <f t="shared" ca="1" si="182"/>
        <v>2.276388888888889</v>
      </c>
      <c r="R147" s="81">
        <v>3.1536000000000002E-2</v>
      </c>
      <c r="S147" s="199">
        <v>0.5</v>
      </c>
      <c r="T147" s="199">
        <f ca="1">HLOOKUP($T$2,INDIRECT("'"&amp;$B147&amp;"'!"&amp;"$P$85:$AC$98"),IF(H147=$AI$13,6,IF(H147=$AI$14,9,14)),FALSE)</f>
        <v>1</v>
      </c>
      <c r="U147" s="772"/>
      <c r="V147" s="199">
        <f t="shared" ref="V147" ca="1" si="190">IF(IF(RIGHT(H147,2)="PH",(1-L147)+$W$2,IF(RIGHT(H147,2)="HT",(1-L147)+$W$1,IF(RIGHT(H147,2)="SH",(1-L147)+$W$3,"")))&gt;0,IF(RIGHT(H147,2)="PH",(1-L147)+$W$2,IF(RIGHT(H147,2)="HT",(1-L147)+$W$1,IF(RIGHT(H147,2)="SH",(1-L147)+$W$3,""))),0)</f>
        <v>0</v>
      </c>
      <c r="W147" s="298"/>
      <c r="X147" s="698">
        <f t="shared" ca="1" si="145"/>
        <v>0.3</v>
      </c>
      <c r="Y147" s="698">
        <f t="shared" ca="1" si="184"/>
        <v>9</v>
      </c>
      <c r="Z147" s="698">
        <f t="shared" ca="1" si="185"/>
        <v>3</v>
      </c>
      <c r="AA147" s="698">
        <f t="shared" ca="1" si="186"/>
        <v>1</v>
      </c>
      <c r="AB147" s="698">
        <f t="shared" ca="1" si="187"/>
        <v>0.1</v>
      </c>
      <c r="AC147" s="296"/>
      <c r="AD147" s="81">
        <v>2020</v>
      </c>
      <c r="AE147" s="81"/>
      <c r="AF147" s="710"/>
    </row>
    <row r="148" spans="1:32">
      <c r="A148" s="226"/>
      <c r="B148" s="718" t="s">
        <v>1010</v>
      </c>
      <c r="C148" s="226"/>
      <c r="E148" s="261"/>
      <c r="F148" s="224" t="s">
        <v>1149</v>
      </c>
      <c r="G148" s="55"/>
      <c r="H148" s="174"/>
      <c r="I148" s="174" t="str">
        <f t="shared" si="143"/>
        <v>INDCWH</v>
      </c>
      <c r="J148" s="224">
        <f t="shared" si="146"/>
        <v>2030</v>
      </c>
      <c r="K148" s="81"/>
      <c r="L148" s="199">
        <f t="shared" ca="1" si="179"/>
        <v>1.03</v>
      </c>
      <c r="M148" s="199"/>
      <c r="N148" s="81"/>
      <c r="O148" s="723">
        <f t="shared" ca="1" si="180"/>
        <v>0.37250000000000005</v>
      </c>
      <c r="P148" s="723">
        <f t="shared" ca="1" si="181"/>
        <v>1.4154999999999999E-2</v>
      </c>
      <c r="Q148" s="81">
        <f t="shared" ca="1" si="182"/>
        <v>2.0694444444444446</v>
      </c>
      <c r="R148" s="300"/>
      <c r="S148" s="300"/>
      <c r="T148" s="300"/>
      <c r="U148" s="300"/>
      <c r="V148" s="199">
        <f t="shared" ref="V148" ca="1" si="191">IF(IF(RIGHT(H147,2)="PH",(1-L148)+$W$2,IF(RIGHT(H147,2)="HT",(1-L148)+$W$1,IF(RIGHT(H147,2)="SH",(1-L148)+$W$3,"")))&gt;0,IF(RIGHT(H147,2)="PH",(1-L148)+$W$2,IF(RIGHT(H147,2)="HT",(1-L148)+$W$1,IF(RIGHT(H147,2)="SH",(1-L148)+$W$3,""))),0)</f>
        <v>0</v>
      </c>
      <c r="W148" s="298"/>
      <c r="X148" s="698">
        <f t="shared" ca="1" si="145"/>
        <v>0.3</v>
      </c>
      <c r="Y148" s="698">
        <f t="shared" ca="1" si="184"/>
        <v>7</v>
      </c>
      <c r="Z148" s="698">
        <f t="shared" ca="1" si="185"/>
        <v>2</v>
      </c>
      <c r="AA148" s="698">
        <f t="shared" ca="1" si="186"/>
        <v>1</v>
      </c>
      <c r="AB148" s="698">
        <f t="shared" ca="1" si="187"/>
        <v>0.1</v>
      </c>
      <c r="AC148" s="55"/>
      <c r="AD148" s="81">
        <v>2030</v>
      </c>
      <c r="AE148" s="81"/>
      <c r="AF148" s="700"/>
    </row>
    <row r="149" spans="1:32">
      <c r="A149" s="226"/>
      <c r="B149" s="719" t="s">
        <v>1010</v>
      </c>
      <c r="C149" s="713"/>
      <c r="D149" s="203"/>
      <c r="E149" s="701"/>
      <c r="F149" s="224" t="s">
        <v>1149</v>
      </c>
      <c r="G149" s="203"/>
      <c r="H149" s="702"/>
      <c r="I149" s="702" t="str">
        <f t="shared" si="143"/>
        <v>INDCWH</v>
      </c>
      <c r="J149" s="224">
        <f t="shared" si="146"/>
        <v>2050</v>
      </c>
      <c r="K149" s="81"/>
      <c r="L149" s="199">
        <f t="shared" ca="1" si="179"/>
        <v>1.03</v>
      </c>
      <c r="M149" s="199"/>
      <c r="N149" s="81"/>
      <c r="O149" s="723">
        <f t="shared" ca="1" si="180"/>
        <v>0.37250000000000005</v>
      </c>
      <c r="P149" s="723">
        <f t="shared" ca="1" si="181"/>
        <v>1.2664999999999999E-2</v>
      </c>
      <c r="Q149" s="81">
        <f t="shared" ca="1" si="182"/>
        <v>2.0694444444444446</v>
      </c>
      <c r="R149" s="703"/>
      <c r="S149" s="703"/>
      <c r="T149" s="703"/>
      <c r="U149" s="703"/>
      <c r="V149" s="199">
        <f t="shared" ref="V149" ca="1" si="192">IF(IF(RIGHT(H147,2)="PH",(1-L149)+$W$2,IF(RIGHT(H147,2)="HT",(1-L149)+$W$1,IF(RIGHT(H147,2)="SH",(1-L149)+$W$3,"")))&gt;0,IF(RIGHT(H147,2)="PH",(1-L149)+$W$2,IF(RIGHT(H147,2)="HT",(1-L149)+$W$1,IF(RIGHT(H147,2)="SH",(1-L149)+$W$3,""))),0)</f>
        <v>0</v>
      </c>
      <c r="W149" s="704"/>
      <c r="X149" s="698">
        <f t="shared" ca="1" si="145"/>
        <v>0.3</v>
      </c>
      <c r="Y149" s="698">
        <f t="shared" ca="1" si="184"/>
        <v>6</v>
      </c>
      <c r="Z149" s="698">
        <f t="shared" ca="1" si="185"/>
        <v>2</v>
      </c>
      <c r="AA149" s="698">
        <f t="shared" ca="1" si="186"/>
        <v>1</v>
      </c>
      <c r="AB149" s="698">
        <f t="shared" ca="1" si="187"/>
        <v>0.1</v>
      </c>
      <c r="AC149" s="55"/>
      <c r="AD149" s="81">
        <v>2050</v>
      </c>
      <c r="AE149" s="81"/>
      <c r="AF149" s="700"/>
    </row>
    <row r="150" spans="1:32">
      <c r="A150" s="226"/>
      <c r="B150" s="718" t="s">
        <v>1010</v>
      </c>
      <c r="C150" s="226"/>
      <c r="D150" s="212" t="str">
        <f>"IND"&amp;RIGHT(H150,4)&amp;"GAS"&amp;"N"&amp;RIGHT(E150,1)</f>
        <v>INDCDPHGASN3</v>
      </c>
      <c r="E150" s="707" t="str">
        <f>"Industrial heating technology "&amp;$AJ$12&amp;" "&amp;RIGHT(H150,2)&amp;" - Gas boiler (Hot Water) - new 3"</f>
        <v>Industrial heating technology Chemical PH - Gas boiler (Hot Water) - new 3</v>
      </c>
      <c r="F150" s="224" t="s">
        <v>1149</v>
      </c>
      <c r="G150" s="173" t="s">
        <v>2080</v>
      </c>
      <c r="H150" s="708" t="str">
        <f>$AI$14</f>
        <v>ICDPH</v>
      </c>
      <c r="I150" s="708" t="str">
        <f t="shared" si="143"/>
        <v>INDCWH</v>
      </c>
      <c r="J150" s="224">
        <f t="shared" si="146"/>
        <v>2011</v>
      </c>
      <c r="K150" s="299">
        <f>J150</f>
        <v>2011</v>
      </c>
      <c r="L150" s="199">
        <f t="shared" ref="L150:L155" ca="1" si="193">VLOOKUP($AD150,INDIRECT("'"&amp;$B150&amp;"'!"&amp;"$P$200:$AD$203"),3,FALSE)</f>
        <v>0.93</v>
      </c>
      <c r="M150" s="199"/>
      <c r="N150" s="81">
        <f ca="1">VLOOKUP($AD150,INDIRECT("'"&amp;$B150&amp;"'!"&amp;"$P$200:$AD$203"),5,FALSE)</f>
        <v>25</v>
      </c>
      <c r="O150" s="723">
        <f t="shared" ref="O150:O155" ca="1" si="194">VLOOKUP($AD150,INDIRECT("'"&amp;$B150&amp;"'!"&amp;"$P$200:$AD$203"),6,FALSE)/1000</f>
        <v>0.3250909090909091</v>
      </c>
      <c r="P150" s="723">
        <f t="shared" ref="P150:P155" ca="1" si="195">VLOOKUP($AD150,INDIRECT("'"&amp;$B150&amp;"'!"&amp;"$P$200:$AD$203"),7,FALSE)/1000</f>
        <v>1.49E-2</v>
      </c>
      <c r="Q150" s="81">
        <f t="shared" ref="Q150:Q155" ca="1" si="196">VLOOKUP($AD150,INDIRECT("'"&amp;$B150&amp;"'!"&amp;"$P$200:$AD$203"),8,FALSE)</f>
        <v>2.276388888888889</v>
      </c>
      <c r="R150" s="81">
        <v>3.1536000000000002E-2</v>
      </c>
      <c r="S150" s="199">
        <v>0.5</v>
      </c>
      <c r="T150" s="199">
        <f ca="1">HLOOKUP($T$2,INDIRECT("'"&amp;$B150&amp;"'!"&amp;"$P$167:$AC$180"),IF(H150=$AI$13,6,IF(H150=$AI$14,9,14)),FALSE)</f>
        <v>0</v>
      </c>
      <c r="U150" s="773"/>
      <c r="V150" s="199">
        <f t="shared" ref="V150" ca="1" si="197">IF(IF(RIGHT(H150,2)="PH",(1-L150)+$W$2,IF(RIGHT(H150,2)="HT",(1-L150)+$W$1,IF(RIGHT(H150,2)="SH",(1-L150)+$W$3,"")))&gt;0,IF(RIGHT(H150,2)="PH",(1-L150)+$W$2,IF(RIGHT(H150,2)="HT",(1-L150)+$W$1,IF(RIGHT(H150,2)="SH",(1-L150)+$W$3,""))),0)</f>
        <v>0.26999999999999996</v>
      </c>
      <c r="W150" s="709"/>
      <c r="X150" s="698">
        <f t="shared" ca="1" si="145"/>
        <v>0.3</v>
      </c>
      <c r="Y150" s="698">
        <f t="shared" ref="Y150:Y155" ca="1" si="198">VLOOKUP($AD150,INDIRECT("'"&amp;$B150&amp;"'!"&amp;"$P$200:$AD$203"),12,FALSE)</f>
        <v>9</v>
      </c>
      <c r="Z150" s="698">
        <f t="shared" ref="Z150:Z155" ca="1" si="199">VLOOKUP($AD150,INDIRECT("'"&amp;$B150&amp;"'!"&amp;"$P$200:$AD$203"),13,FALSE)</f>
        <v>3</v>
      </c>
      <c r="AA150" s="698">
        <f t="shared" ref="AA150:AA155" ca="1" si="200">VLOOKUP($AD150,INDIRECT("'"&amp;$B150&amp;"'!"&amp;"$P$200:$AD$203"),14,FALSE)</f>
        <v>1</v>
      </c>
      <c r="AB150" s="698">
        <f t="shared" ref="AB150:AB155" ca="1" si="201">VLOOKUP($AD150,INDIRECT("'"&amp;$B150&amp;"'!"&amp;"$P$200:$AD$203"),15,FALSE)</f>
        <v>0.1</v>
      </c>
      <c r="AC150" s="55"/>
      <c r="AD150" s="81">
        <v>2020</v>
      </c>
      <c r="AE150" s="81"/>
      <c r="AF150" s="700"/>
    </row>
    <row r="151" spans="1:32">
      <c r="A151" s="226"/>
      <c r="B151" s="718" t="s">
        <v>1010</v>
      </c>
      <c r="C151" s="226"/>
      <c r="E151" s="261"/>
      <c r="F151" s="224" t="s">
        <v>1149</v>
      </c>
      <c r="G151" s="55"/>
      <c r="H151" s="174"/>
      <c r="I151" s="174" t="str">
        <f t="shared" si="143"/>
        <v>INDCWH</v>
      </c>
      <c r="J151" s="224">
        <f t="shared" si="146"/>
        <v>2030</v>
      </c>
      <c r="K151" s="81"/>
      <c r="L151" s="199">
        <f t="shared" ca="1" si="193"/>
        <v>0.94</v>
      </c>
      <c r="M151" s="199"/>
      <c r="N151" s="81"/>
      <c r="O151" s="723">
        <f t="shared" ca="1" si="194"/>
        <v>0.27090909090909093</v>
      </c>
      <c r="P151" s="723">
        <f t="shared" ca="1" si="195"/>
        <v>1.4154999999999999E-2</v>
      </c>
      <c r="Q151" s="81">
        <f t="shared" ca="1" si="196"/>
        <v>2.0694444444444446</v>
      </c>
      <c r="R151" s="300"/>
      <c r="S151" s="300"/>
      <c r="T151" s="300"/>
      <c r="U151" s="300"/>
      <c r="V151" s="199">
        <f t="shared" ref="V151" ca="1" si="202">IF(IF(RIGHT(H150,2)="PH",(1-L151)+$W$2,IF(RIGHT(H150,2)="HT",(1-L151)+$W$1,IF(RIGHT(H150,2)="SH",(1-L151)+$W$3,"")))&gt;0,IF(RIGHT(H150,2)="PH",(1-L151)+$W$2,IF(RIGHT(H150,2)="HT",(1-L151)+$W$1,IF(RIGHT(H150,2)="SH",(1-L151)+$W$3,""))),0)</f>
        <v>0.26000000000000006</v>
      </c>
      <c r="W151" s="298"/>
      <c r="X151" s="698">
        <f t="shared" ca="1" si="145"/>
        <v>0.3</v>
      </c>
      <c r="Y151" s="698">
        <f t="shared" ca="1" si="198"/>
        <v>7</v>
      </c>
      <c r="Z151" s="698">
        <f t="shared" ca="1" si="199"/>
        <v>2</v>
      </c>
      <c r="AA151" s="698">
        <f t="shared" ca="1" si="200"/>
        <v>1</v>
      </c>
      <c r="AB151" s="698">
        <f t="shared" ca="1" si="201"/>
        <v>0.1</v>
      </c>
      <c r="AC151" s="55"/>
      <c r="AD151" s="81">
        <v>2030</v>
      </c>
      <c r="AE151" s="81"/>
      <c r="AF151" s="700"/>
    </row>
    <row r="152" spans="1:32">
      <c r="B152" s="718" t="s">
        <v>1010</v>
      </c>
      <c r="C152" s="226"/>
      <c r="E152" s="261"/>
      <c r="F152" s="224" t="s">
        <v>1149</v>
      </c>
      <c r="G152" s="55"/>
      <c r="H152" s="174"/>
      <c r="I152" s="174" t="str">
        <f t="shared" si="143"/>
        <v>INDCWH</v>
      </c>
      <c r="J152" s="224">
        <f t="shared" si="146"/>
        <v>2050</v>
      </c>
      <c r="K152" s="81"/>
      <c r="L152" s="199">
        <f t="shared" ca="1" si="193"/>
        <v>0.95</v>
      </c>
      <c r="M152" s="199"/>
      <c r="N152" s="81"/>
      <c r="O152" s="723">
        <f t="shared" ca="1" si="194"/>
        <v>0.27090909090909093</v>
      </c>
      <c r="P152" s="723">
        <f t="shared" ca="1" si="195"/>
        <v>1.2664999999999999E-2</v>
      </c>
      <c r="Q152" s="81">
        <f t="shared" ca="1" si="196"/>
        <v>2.0694444444444446</v>
      </c>
      <c r="R152" s="300"/>
      <c r="S152" s="300"/>
      <c r="T152" s="300"/>
      <c r="U152" s="300"/>
      <c r="V152" s="199">
        <f t="shared" ref="V152" ca="1" si="203">IF(IF(RIGHT(H150,2)="PH",(1-L152)+$W$2,IF(RIGHT(H150,2)="HT",(1-L152)+$W$1,IF(RIGHT(H150,2)="SH",(1-L152)+$W$3,"")))&gt;0,IF(RIGHT(H150,2)="PH",(1-L152)+$W$2,IF(RIGHT(H150,2)="HT",(1-L152)+$W$1,IF(RIGHT(H150,2)="SH",(1-L152)+$W$3,""))),0)</f>
        <v>0.25000000000000006</v>
      </c>
      <c r="W152" s="720"/>
      <c r="X152" s="698">
        <f t="shared" ca="1" si="145"/>
        <v>0.3</v>
      </c>
      <c r="Y152" s="698">
        <f t="shared" ca="1" si="198"/>
        <v>6</v>
      </c>
      <c r="Z152" s="698">
        <f t="shared" ca="1" si="199"/>
        <v>2</v>
      </c>
      <c r="AA152" s="698">
        <f t="shared" ca="1" si="200"/>
        <v>1</v>
      </c>
      <c r="AB152" s="698">
        <f t="shared" ca="1" si="201"/>
        <v>0.1</v>
      </c>
      <c r="AC152" s="203"/>
      <c r="AD152" s="81">
        <v>2050</v>
      </c>
      <c r="AE152" s="81"/>
      <c r="AF152" s="705"/>
    </row>
    <row r="153" spans="1:32">
      <c r="B153" s="718" t="s">
        <v>1010</v>
      </c>
      <c r="C153" s="64"/>
      <c r="D153" s="212" t="str">
        <f>"IND"&amp;RIGHT(H153,4)&amp;"GAS"&amp;"N"&amp;RIGHT(E153,1)</f>
        <v>INDCDSHGASN3</v>
      </c>
      <c r="E153" s="261" t="str">
        <f>"Industrial heating technology "&amp;$AJ$12&amp;" "&amp;RIGHT(H153,2)&amp;" - Gas boiler (Hot Water) - new 3"</f>
        <v>Industrial heating technology Chemical SH - Gas boiler (Hot Water) - new 3</v>
      </c>
      <c r="F153" s="224" t="s">
        <v>1149</v>
      </c>
      <c r="G153" s="173" t="s">
        <v>2080</v>
      </c>
      <c r="H153" s="174" t="str">
        <f>$AI$15</f>
        <v>ICDSH</v>
      </c>
      <c r="I153" s="174" t="str">
        <f t="shared" si="143"/>
        <v>INDCWH</v>
      </c>
      <c r="J153" s="224">
        <f t="shared" si="146"/>
        <v>2011</v>
      </c>
      <c r="K153" s="299">
        <f>J153</f>
        <v>2011</v>
      </c>
      <c r="L153" s="199">
        <f t="shared" ca="1" si="193"/>
        <v>0.93</v>
      </c>
      <c r="M153" s="199"/>
      <c r="N153" s="81">
        <f ca="1">VLOOKUP($AD153,INDIRECT("'"&amp;$B153&amp;"'!"&amp;"$P$200:$AD$203"),5,FALSE)</f>
        <v>25</v>
      </c>
      <c r="O153" s="723">
        <f t="shared" ca="1" si="194"/>
        <v>0.3250909090909091</v>
      </c>
      <c r="P153" s="723">
        <f t="shared" ca="1" si="195"/>
        <v>1.49E-2</v>
      </c>
      <c r="Q153" s="81">
        <f t="shared" ca="1" si="196"/>
        <v>2.276388888888889</v>
      </c>
      <c r="R153" s="81">
        <v>3.1536000000000002E-2</v>
      </c>
      <c r="S153" s="199">
        <v>0.5</v>
      </c>
      <c r="T153" s="199">
        <f ca="1">HLOOKUP($T$2,INDIRECT("'"&amp;$B153&amp;"'!"&amp;"$P$167:$AC$180"),IF(H153=$AI$13,6,IF(H153=$AI$14,9,14)),FALSE)</f>
        <v>1</v>
      </c>
      <c r="U153" s="772"/>
      <c r="V153" s="199">
        <f t="shared" ref="V153" ca="1" si="204">IF(IF(RIGHT(H153,2)="PH",(1-L153)+$W$2,IF(RIGHT(H153,2)="HT",(1-L153)+$W$1,IF(RIGHT(H153,2)="SH",(1-L153)+$W$3,"")))&gt;0,IF(RIGHT(H153,2)="PH",(1-L153)+$W$2,IF(RIGHT(H153,2)="HT",(1-L153)+$W$1,IF(RIGHT(H153,2)="SH",(1-L153)+$W$3,""))),0)</f>
        <v>6.9999999999999951E-2</v>
      </c>
      <c r="W153" s="298"/>
      <c r="X153" s="698">
        <f t="shared" ca="1" si="145"/>
        <v>0.3</v>
      </c>
      <c r="Y153" s="698">
        <f t="shared" ca="1" si="198"/>
        <v>9</v>
      </c>
      <c r="Z153" s="698">
        <f t="shared" ca="1" si="199"/>
        <v>3</v>
      </c>
      <c r="AA153" s="698">
        <f t="shared" ca="1" si="200"/>
        <v>1</v>
      </c>
      <c r="AB153" s="698">
        <f t="shared" ca="1" si="201"/>
        <v>0.1</v>
      </c>
      <c r="AC153" s="296"/>
      <c r="AD153" s="81">
        <v>2020</v>
      </c>
      <c r="AE153" s="81"/>
      <c r="AF153" s="710"/>
    </row>
    <row r="154" spans="1:32">
      <c r="B154" s="718" t="s">
        <v>1010</v>
      </c>
      <c r="C154" s="64"/>
      <c r="E154" s="261"/>
      <c r="F154" s="224" t="s">
        <v>1149</v>
      </c>
      <c r="G154" s="55"/>
      <c r="H154" s="174"/>
      <c r="I154" s="174" t="str">
        <f t="shared" si="143"/>
        <v>INDCWH</v>
      </c>
      <c r="J154" s="224">
        <f t="shared" si="146"/>
        <v>2030</v>
      </c>
      <c r="K154" s="81"/>
      <c r="L154" s="199">
        <f t="shared" ca="1" si="193"/>
        <v>0.94</v>
      </c>
      <c r="M154" s="199"/>
      <c r="N154" s="81"/>
      <c r="O154" s="723">
        <f t="shared" ca="1" si="194"/>
        <v>0.27090909090909093</v>
      </c>
      <c r="P154" s="723">
        <f t="shared" ca="1" si="195"/>
        <v>1.4154999999999999E-2</v>
      </c>
      <c r="Q154" s="81">
        <f t="shared" ca="1" si="196"/>
        <v>2.0694444444444446</v>
      </c>
      <c r="R154" s="300"/>
      <c r="S154" s="300"/>
      <c r="T154" s="300"/>
      <c r="U154" s="300"/>
      <c r="V154" s="199">
        <f t="shared" ref="V154" ca="1" si="205">IF(IF(RIGHT(H153,2)="PH",(1-L154)+$W$2,IF(RIGHT(H153,2)="HT",(1-L154)+$W$1,IF(RIGHT(H153,2)="SH",(1-L154)+$W$3,"")))&gt;0,IF(RIGHT(H153,2)="PH",(1-L154)+$W$2,IF(RIGHT(H153,2)="HT",(1-L154)+$W$1,IF(RIGHT(H153,2)="SH",(1-L154)+$W$3,""))),0)</f>
        <v>6.0000000000000053E-2</v>
      </c>
      <c r="W154" s="298"/>
      <c r="X154" s="698">
        <f t="shared" ca="1" si="145"/>
        <v>0.3</v>
      </c>
      <c r="Y154" s="698">
        <f t="shared" ca="1" si="198"/>
        <v>7</v>
      </c>
      <c r="Z154" s="698">
        <f t="shared" ca="1" si="199"/>
        <v>2</v>
      </c>
      <c r="AA154" s="698">
        <f t="shared" ca="1" si="200"/>
        <v>1</v>
      </c>
      <c r="AB154" s="698">
        <f t="shared" ca="1" si="201"/>
        <v>0.1</v>
      </c>
      <c r="AC154" s="55"/>
      <c r="AD154" s="81">
        <v>2030</v>
      </c>
      <c r="AE154" s="81"/>
      <c r="AF154" s="700"/>
    </row>
    <row r="155" spans="1:32">
      <c r="A155" s="226"/>
      <c r="B155" s="719" t="s">
        <v>1010</v>
      </c>
      <c r="C155" s="713"/>
      <c r="D155" s="203"/>
      <c r="E155" s="701"/>
      <c r="F155" s="224" t="s">
        <v>1149</v>
      </c>
      <c r="G155" s="203"/>
      <c r="H155" s="702"/>
      <c r="I155" s="702" t="str">
        <f t="shared" si="143"/>
        <v>INDCWH</v>
      </c>
      <c r="J155" s="224">
        <f t="shared" si="146"/>
        <v>2050</v>
      </c>
      <c r="K155" s="81"/>
      <c r="L155" s="199">
        <f t="shared" ca="1" si="193"/>
        <v>0.95</v>
      </c>
      <c r="M155" s="199"/>
      <c r="N155" s="81"/>
      <c r="O155" s="723">
        <f t="shared" ca="1" si="194"/>
        <v>0.27090909090909093</v>
      </c>
      <c r="P155" s="723">
        <f t="shared" ca="1" si="195"/>
        <v>1.2664999999999999E-2</v>
      </c>
      <c r="Q155" s="81">
        <f t="shared" ca="1" si="196"/>
        <v>2.0694444444444446</v>
      </c>
      <c r="R155" s="300"/>
      <c r="S155" s="300"/>
      <c r="T155" s="300"/>
      <c r="U155" s="300"/>
      <c r="V155" s="199">
        <f t="shared" ref="V155" ca="1" si="206">IF(IF(RIGHT(H153,2)="PH",(1-L155)+$W$2,IF(RIGHT(H153,2)="HT",(1-L155)+$W$1,IF(RIGHT(H153,2)="SH",(1-L155)+$W$3,"")))&gt;0,IF(RIGHT(H153,2)="PH",(1-L155)+$W$2,IF(RIGHT(H153,2)="HT",(1-L155)+$W$1,IF(RIGHT(H153,2)="SH",(1-L155)+$W$3,""))),0)</f>
        <v>5.0000000000000044E-2</v>
      </c>
      <c r="W155" s="298"/>
      <c r="X155" s="698">
        <f t="shared" ca="1" si="145"/>
        <v>0.3</v>
      </c>
      <c r="Y155" s="698">
        <f t="shared" ca="1" si="198"/>
        <v>6</v>
      </c>
      <c r="Z155" s="698">
        <f t="shared" ca="1" si="199"/>
        <v>2</v>
      </c>
      <c r="AA155" s="698">
        <f t="shared" ca="1" si="200"/>
        <v>1</v>
      </c>
      <c r="AB155" s="698">
        <f t="shared" ca="1" si="201"/>
        <v>0.1</v>
      </c>
      <c r="AC155" s="55"/>
      <c r="AD155" s="81">
        <v>2050</v>
      </c>
      <c r="AE155" s="81"/>
      <c r="AF155" s="700"/>
    </row>
    <row r="156" spans="1:32">
      <c r="B156" s="718" t="s">
        <v>1010</v>
      </c>
      <c r="C156" s="64"/>
      <c r="D156" s="212" t="str">
        <f>"IND"&amp;RIGHT(H156,4)&amp;"GAS"&amp;"N"&amp;RIGHT(E156,1)</f>
        <v>INDCDPHGASN4</v>
      </c>
      <c r="E156" s="707" t="str">
        <f>"Industrial heating technology "&amp;$AJ$12&amp;" "&amp;RIGHT(H156,2)&amp;" - Gas boiler (Hot Water - condensing) - new 4"</f>
        <v>Industrial heating technology Chemical PH - Gas boiler (Hot Water - condensing) - new 4</v>
      </c>
      <c r="F156" s="224" t="s">
        <v>1149</v>
      </c>
      <c r="G156" s="173" t="s">
        <v>2080</v>
      </c>
      <c r="H156" s="708" t="str">
        <f>$AI$14</f>
        <v>ICDPH</v>
      </c>
      <c r="I156" s="708" t="str">
        <f t="shared" si="143"/>
        <v>INDCWH</v>
      </c>
      <c r="J156" s="224">
        <f t="shared" si="146"/>
        <v>2011</v>
      </c>
      <c r="K156" s="299">
        <f>J156</f>
        <v>2011</v>
      </c>
      <c r="L156" s="199">
        <f t="shared" ref="L156:L161" ca="1" si="207">VLOOKUP($AD156,INDIRECT("'"&amp;$B156&amp;"'!"&amp;"$P$279:$AD$282"),3,FALSE)</f>
        <v>1.01</v>
      </c>
      <c r="M156" s="199"/>
      <c r="N156" s="81">
        <f ca="1">VLOOKUP($AD156,INDIRECT("'"&amp;$B156&amp;"'!"&amp;"$P$279:$AD$282"),5,FALSE)</f>
        <v>25</v>
      </c>
      <c r="O156" s="723">
        <f t="shared" ref="O156:O161" ca="1" si="208">VLOOKUP($AD156,INDIRECT("'"&amp;$B156&amp;"'!"&amp;"$P$279:$AD$282"),6,FALSE)/1000</f>
        <v>0.35760000000000003</v>
      </c>
      <c r="P156" s="723">
        <f t="shared" ref="P156:P161" ca="1" si="209">VLOOKUP($AD156,INDIRECT("'"&amp;$B156&amp;"'!"&amp;"$P$279:$AD$282"),7,FALSE)/1000</f>
        <v>1.49E-2</v>
      </c>
      <c r="Q156" s="81">
        <f t="shared" ref="Q156:Q161" ca="1" si="210">VLOOKUP($AD156,INDIRECT("'"&amp;$B156&amp;"'!"&amp;"$P$279:$AD$282"),8,FALSE)</f>
        <v>2.276388888888889</v>
      </c>
      <c r="R156" s="81">
        <v>3.1536000000000002E-2</v>
      </c>
      <c r="S156" s="199">
        <v>0.5</v>
      </c>
      <c r="T156" s="199">
        <f ca="1">HLOOKUP($T$2,INDIRECT("'"&amp;$B156&amp;"'!"&amp;"$P$246:$AC$259"),IF(H156=$AI$13,6,IF(H156=$AI$14,9,14)),FALSE)</f>
        <v>0</v>
      </c>
      <c r="U156" s="773"/>
      <c r="V156" s="199">
        <f t="shared" ref="V156" ca="1" si="211">IF(IF(RIGHT(H156,2)="PH",(1-L156)+$W$2,IF(RIGHT(H156,2)="HT",(1-L156)+$W$1,IF(RIGHT(H156,2)="SH",(1-L156)+$W$3,"")))&gt;0,IF(RIGHT(H156,2)="PH",(1-L156)+$W$2,IF(RIGHT(H156,2)="HT",(1-L156)+$W$1,IF(RIGHT(H156,2)="SH",(1-L156)+$W$3,""))),0)</f>
        <v>0.19</v>
      </c>
      <c r="W156" s="709"/>
      <c r="X156" s="698">
        <f t="shared" ca="1" si="145"/>
        <v>0.3</v>
      </c>
      <c r="Y156" s="698">
        <f t="shared" ref="Y156:Y161" ca="1" si="212">VLOOKUP($AD156,INDIRECT("'"&amp;$B156&amp;"'!"&amp;"$P$279:$AD$282"),12,FALSE)</f>
        <v>9</v>
      </c>
      <c r="Z156" s="698">
        <f t="shared" ref="Z156:Z161" ca="1" si="213">VLOOKUP($AD156,INDIRECT("'"&amp;$B156&amp;"'!"&amp;"$P$279:$AD$282"),13,FALSE)</f>
        <v>3</v>
      </c>
      <c r="AA156" s="698">
        <f t="shared" ref="AA156:AA161" ca="1" si="214">VLOOKUP($AD156,INDIRECT("'"&amp;$B156&amp;"'!"&amp;"$P$279:$AD$282"),14,FALSE)</f>
        <v>1</v>
      </c>
      <c r="AB156" s="698">
        <f t="shared" ref="AB156:AB161" ca="1" si="215">VLOOKUP($AD156,INDIRECT("'"&amp;$B156&amp;"'!"&amp;"$P$279:$AD$282"),15,FALSE)</f>
        <v>0.1</v>
      </c>
      <c r="AC156" s="55"/>
      <c r="AD156" s="81">
        <v>2020</v>
      </c>
      <c r="AE156" s="81"/>
      <c r="AF156" s="700"/>
    </row>
    <row r="157" spans="1:32">
      <c r="B157" s="718" t="s">
        <v>1010</v>
      </c>
      <c r="C157" s="64"/>
      <c r="E157" s="261"/>
      <c r="F157" s="224" t="s">
        <v>1149</v>
      </c>
      <c r="G157" s="55"/>
      <c r="H157" s="174"/>
      <c r="I157" s="174" t="str">
        <f t="shared" si="143"/>
        <v>INDCWH</v>
      </c>
      <c r="J157" s="224">
        <f t="shared" si="146"/>
        <v>2030</v>
      </c>
      <c r="K157" s="81"/>
      <c r="L157" s="199">
        <f t="shared" ca="1" si="207"/>
        <v>1.03</v>
      </c>
      <c r="M157" s="199"/>
      <c r="N157" s="81"/>
      <c r="O157" s="723">
        <f t="shared" ca="1" si="208"/>
        <v>0.29800000000000004</v>
      </c>
      <c r="P157" s="723">
        <f t="shared" ca="1" si="209"/>
        <v>1.4154999999999999E-2</v>
      </c>
      <c r="Q157" s="81">
        <f t="shared" ca="1" si="210"/>
        <v>2.0694444444444446</v>
      </c>
      <c r="R157" s="300"/>
      <c r="S157" s="300"/>
      <c r="T157" s="300"/>
      <c r="U157" s="300"/>
      <c r="V157" s="199">
        <f t="shared" ref="V157" ca="1" si="216">IF(IF(RIGHT(H156,2)="PH",(1-L157)+$W$2,IF(RIGHT(H156,2)="HT",(1-L157)+$W$1,IF(RIGHT(H156,2)="SH",(1-L157)+$W$3,"")))&gt;0,IF(RIGHT(H156,2)="PH",(1-L157)+$W$2,IF(RIGHT(H156,2)="HT",(1-L157)+$W$1,IF(RIGHT(H156,2)="SH",(1-L157)+$W$3,""))),0)</f>
        <v>0.16999999999999998</v>
      </c>
      <c r="W157" s="298"/>
      <c r="X157" s="698">
        <f t="shared" ca="1" si="145"/>
        <v>0.3</v>
      </c>
      <c r="Y157" s="698">
        <f t="shared" ca="1" si="212"/>
        <v>7</v>
      </c>
      <c r="Z157" s="698">
        <f t="shared" ca="1" si="213"/>
        <v>2</v>
      </c>
      <c r="AA157" s="698">
        <f t="shared" ca="1" si="214"/>
        <v>1</v>
      </c>
      <c r="AB157" s="698">
        <f t="shared" ca="1" si="215"/>
        <v>0.1</v>
      </c>
      <c r="AC157" s="55"/>
      <c r="AD157" s="81">
        <v>2030</v>
      </c>
      <c r="AE157" s="81"/>
      <c r="AF157" s="700"/>
    </row>
    <row r="158" spans="1:32">
      <c r="B158" s="718" t="s">
        <v>1010</v>
      </c>
      <c r="C158" s="64"/>
      <c r="E158" s="261"/>
      <c r="F158" s="224" t="s">
        <v>1149</v>
      </c>
      <c r="G158" s="55"/>
      <c r="H158" s="174"/>
      <c r="I158" s="174" t="str">
        <f t="shared" si="143"/>
        <v>INDCWH</v>
      </c>
      <c r="J158" s="224">
        <f t="shared" si="146"/>
        <v>2050</v>
      </c>
      <c r="K158" s="81"/>
      <c r="L158" s="199">
        <f t="shared" ca="1" si="207"/>
        <v>1.03</v>
      </c>
      <c r="M158" s="199"/>
      <c r="N158" s="81"/>
      <c r="O158" s="723">
        <f t="shared" ca="1" si="208"/>
        <v>0.29800000000000004</v>
      </c>
      <c r="P158" s="723">
        <f t="shared" ca="1" si="209"/>
        <v>1.2664999999999999E-2</v>
      </c>
      <c r="Q158" s="81">
        <f t="shared" ca="1" si="210"/>
        <v>2.0694444444444446</v>
      </c>
      <c r="R158" s="300"/>
      <c r="S158" s="300"/>
      <c r="T158" s="300"/>
      <c r="U158" s="300"/>
      <c r="V158" s="199">
        <f t="shared" ref="V158" ca="1" si="217">IF(IF(RIGHT(H156,2)="PH",(1-L158)+$W$2,IF(RIGHT(H156,2)="HT",(1-L158)+$W$1,IF(RIGHT(H156,2)="SH",(1-L158)+$W$3,"")))&gt;0,IF(RIGHT(H156,2)="PH",(1-L158)+$W$2,IF(RIGHT(H156,2)="HT",(1-L158)+$W$1,IF(RIGHT(H156,2)="SH",(1-L158)+$W$3,""))),0)</f>
        <v>0.16999999999999998</v>
      </c>
      <c r="W158" s="298"/>
      <c r="X158" s="698">
        <f t="shared" ca="1" si="145"/>
        <v>0.3</v>
      </c>
      <c r="Y158" s="698">
        <f t="shared" ca="1" si="212"/>
        <v>6</v>
      </c>
      <c r="Z158" s="698">
        <f t="shared" ca="1" si="213"/>
        <v>2</v>
      </c>
      <c r="AA158" s="698">
        <f t="shared" ca="1" si="214"/>
        <v>1</v>
      </c>
      <c r="AB158" s="698">
        <f t="shared" ca="1" si="215"/>
        <v>0.1</v>
      </c>
      <c r="AC158" s="203"/>
      <c r="AD158" s="81">
        <v>2050</v>
      </c>
      <c r="AE158" s="81"/>
      <c r="AF158" s="705"/>
    </row>
    <row r="159" spans="1:32">
      <c r="A159" s="226"/>
      <c r="B159" s="718" t="s">
        <v>1010</v>
      </c>
      <c r="C159" s="64"/>
      <c r="D159" s="212" t="str">
        <f>"IND"&amp;RIGHT(H159,4)&amp;"GAS"&amp;"N"&amp;RIGHT(E159,1)</f>
        <v>INDCDSHGASN4</v>
      </c>
      <c r="E159" s="261" t="str">
        <f>"Industrial heating technology "&amp;$AJ$12&amp;" "&amp;RIGHT(H159,2)&amp;" - Gas boiler (Hot Water- condensing) - new 4"</f>
        <v>Industrial heating technology Chemical SH - Gas boiler (Hot Water- condensing) - new 4</v>
      </c>
      <c r="F159" s="224" t="s">
        <v>1149</v>
      </c>
      <c r="G159" s="173" t="s">
        <v>2080</v>
      </c>
      <c r="H159" s="174" t="str">
        <f>$AI$15</f>
        <v>ICDSH</v>
      </c>
      <c r="I159" s="174" t="str">
        <f t="shared" si="143"/>
        <v>INDCWH</v>
      </c>
      <c r="J159" s="224">
        <f t="shared" si="146"/>
        <v>2011</v>
      </c>
      <c r="K159" s="299">
        <f>J159</f>
        <v>2011</v>
      </c>
      <c r="L159" s="199">
        <f t="shared" ca="1" si="207"/>
        <v>1.01</v>
      </c>
      <c r="M159" s="199"/>
      <c r="N159" s="81">
        <f ca="1">VLOOKUP($AD159,INDIRECT("'"&amp;$B159&amp;"'!"&amp;"$P$279:$AD$282"),5,FALSE)</f>
        <v>25</v>
      </c>
      <c r="O159" s="723">
        <f t="shared" ca="1" si="208"/>
        <v>0.35760000000000003</v>
      </c>
      <c r="P159" s="723">
        <f t="shared" ca="1" si="209"/>
        <v>1.49E-2</v>
      </c>
      <c r="Q159" s="81">
        <f t="shared" ca="1" si="210"/>
        <v>2.276388888888889</v>
      </c>
      <c r="R159" s="81">
        <v>3.1536000000000002E-2</v>
      </c>
      <c r="S159" s="199">
        <v>0.5</v>
      </c>
      <c r="T159" s="199">
        <f ca="1">HLOOKUP($T$2,INDIRECT("'"&amp;$B159&amp;"'!"&amp;"$P$246:$AC$259"),IF(H159=$AI$13,6,IF(H159=$AI$14,9,14)),FALSE)</f>
        <v>1</v>
      </c>
      <c r="U159" s="773"/>
      <c r="V159" s="199">
        <f t="shared" ref="V159" ca="1" si="218">IF(IF(RIGHT(H159,2)="PH",(1-L159)+$W$2,IF(RIGHT(H159,2)="HT",(1-L159)+$W$1,IF(RIGHT(H159,2)="SH",(1-L159)+$W$3,"")))&gt;0,IF(RIGHT(H159,2)="PH",(1-L159)+$W$2,IF(RIGHT(H159,2)="HT",(1-L159)+$W$1,IF(RIGHT(H159,2)="SH",(1-L159)+$W$3,""))),0)</f>
        <v>0</v>
      </c>
      <c r="W159" s="709"/>
      <c r="X159" s="698">
        <f t="shared" ref="X159:X177" ca="1" si="219">IF(VLOOKUP($AD159,INDIRECT("'"&amp;$B159&amp;"'!"&amp;"$P$39:$AD$42"),11,FALSE)="Cf. the utilized electricity",0,VLOOKUP($AD159,INDIRECT("'"&amp;$B159&amp;"'!"&amp;"$P$39:$AD$42"),11,FALSE))</f>
        <v>0.3</v>
      </c>
      <c r="Y159" s="698">
        <f t="shared" ca="1" si="212"/>
        <v>9</v>
      </c>
      <c r="Z159" s="698">
        <f t="shared" ca="1" si="213"/>
        <v>3</v>
      </c>
      <c r="AA159" s="698">
        <f t="shared" ca="1" si="214"/>
        <v>1</v>
      </c>
      <c r="AB159" s="698">
        <f t="shared" ca="1" si="215"/>
        <v>0.1</v>
      </c>
      <c r="AC159" s="296"/>
      <c r="AD159" s="81">
        <v>2020</v>
      </c>
      <c r="AE159" s="81"/>
      <c r="AF159" s="710"/>
    </row>
    <row r="160" spans="1:32">
      <c r="B160" s="718" t="s">
        <v>1010</v>
      </c>
      <c r="C160" s="64"/>
      <c r="E160" s="261"/>
      <c r="F160" s="224" t="s">
        <v>1149</v>
      </c>
      <c r="G160" s="55"/>
      <c r="H160" s="174"/>
      <c r="I160" s="174" t="str">
        <f t="shared" si="143"/>
        <v>INDCWH</v>
      </c>
      <c r="J160" s="224">
        <f t="shared" si="146"/>
        <v>2030</v>
      </c>
      <c r="K160" s="81"/>
      <c r="L160" s="199">
        <f t="shared" ca="1" si="207"/>
        <v>1.03</v>
      </c>
      <c r="M160" s="199"/>
      <c r="N160" s="81"/>
      <c r="O160" s="723">
        <f t="shared" ca="1" si="208"/>
        <v>0.29800000000000004</v>
      </c>
      <c r="P160" s="723">
        <f t="shared" ca="1" si="209"/>
        <v>1.4154999999999999E-2</v>
      </c>
      <c r="Q160" s="81">
        <f t="shared" ca="1" si="210"/>
        <v>2.0694444444444446</v>
      </c>
      <c r="R160" s="300"/>
      <c r="S160" s="300"/>
      <c r="T160" s="300"/>
      <c r="U160" s="300"/>
      <c r="V160" s="199">
        <f t="shared" ref="V160" ca="1" si="220">IF(IF(RIGHT(H159,2)="PH",(1-L160)+$W$2,IF(RIGHT(H159,2)="HT",(1-L160)+$W$1,IF(RIGHT(H159,2)="SH",(1-L160)+$W$3,"")))&gt;0,IF(RIGHT(H159,2)="PH",(1-L160)+$W$2,IF(RIGHT(H159,2)="HT",(1-L160)+$W$1,IF(RIGHT(H159,2)="SH",(1-L160)+$W$3,""))),0)</f>
        <v>0</v>
      </c>
      <c r="W160" s="298"/>
      <c r="X160" s="698">
        <f t="shared" ca="1" si="219"/>
        <v>0.3</v>
      </c>
      <c r="Y160" s="698">
        <f t="shared" ca="1" si="212"/>
        <v>7</v>
      </c>
      <c r="Z160" s="698">
        <f t="shared" ca="1" si="213"/>
        <v>2</v>
      </c>
      <c r="AA160" s="698">
        <f t="shared" ca="1" si="214"/>
        <v>1</v>
      </c>
      <c r="AB160" s="698">
        <f t="shared" ca="1" si="215"/>
        <v>0.1</v>
      </c>
      <c r="AC160" s="55"/>
      <c r="AD160" s="81">
        <v>2030</v>
      </c>
      <c r="AE160" s="81"/>
      <c r="AF160" s="700"/>
    </row>
    <row r="161" spans="1:32">
      <c r="B161" s="719" t="s">
        <v>1010</v>
      </c>
      <c r="C161" s="713"/>
      <c r="D161" s="701"/>
      <c r="E161" s="701"/>
      <c r="F161" s="224" t="s">
        <v>1149</v>
      </c>
      <c r="G161" s="203"/>
      <c r="H161" s="702"/>
      <c r="I161" s="702" t="str">
        <f t="shared" si="143"/>
        <v>INDCWH</v>
      </c>
      <c r="J161" s="224">
        <f t="shared" si="146"/>
        <v>2050</v>
      </c>
      <c r="K161" s="81"/>
      <c r="L161" s="199">
        <f t="shared" ca="1" si="207"/>
        <v>1.03</v>
      </c>
      <c r="M161" s="199"/>
      <c r="N161" s="81"/>
      <c r="O161" s="723">
        <f t="shared" ca="1" si="208"/>
        <v>0.29800000000000004</v>
      </c>
      <c r="P161" s="723">
        <f t="shared" ca="1" si="209"/>
        <v>1.2664999999999999E-2</v>
      </c>
      <c r="Q161" s="81">
        <f t="shared" ca="1" si="210"/>
        <v>2.0694444444444446</v>
      </c>
      <c r="R161" s="300"/>
      <c r="S161" s="300"/>
      <c r="T161" s="300"/>
      <c r="U161" s="300"/>
      <c r="V161" s="199">
        <f t="shared" ref="V161" ca="1" si="221">IF(IF(RIGHT(H159,2)="PH",(1-L161)+$W$2,IF(RIGHT(H159,2)="HT",(1-L161)+$W$1,IF(RIGHT(H159,2)="SH",(1-L161)+$W$3,"")))&gt;0,IF(RIGHT(H159,2)="PH",(1-L161)+$W$2,IF(RIGHT(H159,2)="HT",(1-L161)+$W$1,IF(RIGHT(H159,2)="SH",(1-L161)+$W$3,""))),0)</f>
        <v>0</v>
      </c>
      <c r="W161" s="714"/>
      <c r="X161" s="698">
        <f t="shared" ca="1" si="219"/>
        <v>0.3</v>
      </c>
      <c r="Y161" s="698">
        <f t="shared" ca="1" si="212"/>
        <v>6</v>
      </c>
      <c r="Z161" s="698">
        <f t="shared" ca="1" si="213"/>
        <v>2</v>
      </c>
      <c r="AA161" s="698">
        <f t="shared" ca="1" si="214"/>
        <v>1</v>
      </c>
      <c r="AB161" s="698">
        <f t="shared" ca="1" si="215"/>
        <v>0.1</v>
      </c>
      <c r="AC161" s="55"/>
      <c r="AD161" s="81">
        <v>2050</v>
      </c>
      <c r="AE161" s="81"/>
      <c r="AF161" s="700"/>
    </row>
    <row r="162" spans="1:32">
      <c r="B162" s="718" t="s">
        <v>1010</v>
      </c>
      <c r="C162" s="64"/>
      <c r="D162" s="212" t="str">
        <f>"IND"&amp;RIGHT(H162,4)&amp;"GAS"&amp;"N"&amp;RIGHT(E162,1)</f>
        <v>INDCDPHGASN5</v>
      </c>
      <c r="E162" s="707" t="str">
        <f>"Industrial heating technology "&amp;$AJ$12&amp;" "&amp;RIGHT(H162,2)&amp;" - Gas boiler (Direct firing) - new 5"</f>
        <v>Industrial heating technology Chemical PH - Gas boiler (Direct firing) - new 5</v>
      </c>
      <c r="F162" s="224" t="s">
        <v>1149</v>
      </c>
      <c r="G162" s="173" t="s">
        <v>2080</v>
      </c>
      <c r="H162" s="174" t="str">
        <f>$AI$13</f>
        <v>ICDPH</v>
      </c>
      <c r="I162" s="174" t="str">
        <f t="shared" si="143"/>
        <v>INDCWH</v>
      </c>
      <c r="J162" s="224">
        <f t="shared" si="146"/>
        <v>2011</v>
      </c>
      <c r="K162" s="299">
        <f>J162</f>
        <v>2011</v>
      </c>
      <c r="L162" s="199">
        <f t="shared" ref="L162:L167" ca="1" si="222">VLOOKUP($AD162,INDIRECT("'"&amp;$B162&amp;"'!"&amp;"$P$345:$AD$348"),3,FALSE)</f>
        <v>1</v>
      </c>
      <c r="M162" s="199"/>
      <c r="N162" s="81">
        <f ca="1">VLOOKUP($AD162,INDIRECT("'"&amp;$B162&amp;"'!"&amp;"$P$345:$AD$348"),5,FALSE)</f>
        <v>15</v>
      </c>
      <c r="O162" s="723">
        <f t="shared" ref="O162:O167" ca="1" si="223">VLOOKUP($AD162,INDIRECT("'"&amp;$B162&amp;"'!"&amp;"$P$345:$AD$348"),6,FALSE)/1000</f>
        <v>0.11175</v>
      </c>
      <c r="P162" s="723">
        <f t="shared" ref="P162:P167" ca="1" si="224">VLOOKUP($AD162,INDIRECT("'"&amp;$B162&amp;"'!"&amp;"$P$345:$AD$348"),7,FALSE)/1000</f>
        <v>1.3545454545454561E-3</v>
      </c>
      <c r="Q162" s="81">
        <f t="shared" ref="Q162:Q167" ca="1" si="225">VLOOKUP($AD162,INDIRECT("'"&amp;$B162&amp;"'!"&amp;"$P$345:$AD$348"),8,FALSE)</f>
        <v>0.58461805555555546</v>
      </c>
      <c r="R162" s="81">
        <v>3.1536000000000002E-2</v>
      </c>
      <c r="S162" s="199">
        <v>0.5</v>
      </c>
      <c r="T162" s="199">
        <f ca="1">HLOOKUP($S$2,INDIRECT("'"&amp;$B162&amp;"'!"&amp;"$P$312:$AC$325"),IF(H162=$AI$13,6,IF(H162=$AI$14,9,14)),FALSE)</f>
        <v>0.2</v>
      </c>
      <c r="U162" s="773"/>
      <c r="V162" s="199">
        <f t="shared" ref="V162" ca="1" si="226">IF(IF(RIGHT(H162,2)="PH",(1-L162)+$W$2,IF(RIGHT(H162,2)="HT",(1-L162)+$W$1,IF(RIGHT(H162,2)="SH",(1-L162)+$W$3,"")))&gt;0,IF(RIGHT(H162,2)="PH",(1-L162)+$W$2,IF(RIGHT(H162,2)="HT",(1-L162)+$W$1,IF(RIGHT(H162,2)="SH",(1-L162)+$W$3,""))),0)</f>
        <v>0.2</v>
      </c>
      <c r="W162" s="709"/>
      <c r="X162" s="698">
        <f t="shared" ca="1" si="219"/>
        <v>0.3</v>
      </c>
      <c r="Y162" s="698">
        <f t="shared" ref="Y162:Y167" ca="1" si="227">VLOOKUP($AD162,INDIRECT("'"&amp;$B162&amp;"'!"&amp;"$P$345:$AD$348"),12,FALSE)</f>
        <v>9</v>
      </c>
      <c r="Z162" s="698">
        <f t="shared" ref="Z162:Z167" ca="1" si="228">VLOOKUP($AD162,INDIRECT("'"&amp;$B162&amp;"'!"&amp;"$P$345:$AD$348"),13,FALSE)</f>
        <v>3</v>
      </c>
      <c r="AA162" s="698">
        <f t="shared" ref="AA162:AA167" ca="1" si="229">VLOOKUP($AD162,INDIRECT("'"&amp;$B162&amp;"'!"&amp;"$P$345:$AD$348"),14,FALSE)</f>
        <v>1</v>
      </c>
      <c r="AB162" s="698">
        <f t="shared" ref="AB162:AB167" ca="1" si="230">VLOOKUP($AD162,INDIRECT("'"&amp;$B162&amp;"'!"&amp;"$P$345:$AD$348"),15,FALSE)</f>
        <v>0.1</v>
      </c>
      <c r="AC162" s="55"/>
      <c r="AD162" s="81">
        <v>2020</v>
      </c>
      <c r="AE162" s="81"/>
      <c r="AF162" s="700"/>
    </row>
    <row r="163" spans="1:32">
      <c r="B163" s="718" t="s">
        <v>1010</v>
      </c>
      <c r="C163" s="64"/>
      <c r="E163" s="261"/>
      <c r="F163" s="224" t="s">
        <v>1149</v>
      </c>
      <c r="G163" s="55"/>
      <c r="H163" s="174"/>
      <c r="I163" s="174" t="str">
        <f t="shared" si="143"/>
        <v>INDCWH</v>
      </c>
      <c r="J163" s="224">
        <f t="shared" si="146"/>
        <v>2030</v>
      </c>
      <c r="K163" s="81"/>
      <c r="L163" s="199">
        <f t="shared" ca="1" si="222"/>
        <v>1</v>
      </c>
      <c r="M163" s="199"/>
      <c r="N163" s="81"/>
      <c r="O163" s="723">
        <f t="shared" ca="1" si="223"/>
        <v>0.11175</v>
      </c>
      <c r="P163" s="723">
        <f t="shared" ca="1" si="224"/>
        <v>1.3206818181818161E-3</v>
      </c>
      <c r="Q163" s="81">
        <f t="shared" ca="1" si="225"/>
        <v>0.5742708333333334</v>
      </c>
      <c r="R163" s="300"/>
      <c r="S163" s="300"/>
      <c r="T163" s="300"/>
      <c r="U163" s="300"/>
      <c r="V163" s="199">
        <f t="shared" ref="V163" ca="1" si="231">IF(IF(RIGHT(H162,2)="PH",(1-L163)+$W$2,IF(RIGHT(H162,2)="HT",(1-L163)+$W$1,IF(RIGHT(H162,2)="SH",(1-L163)+$W$3,"")))&gt;0,IF(RIGHT(H162,2)="PH",(1-L163)+$W$2,IF(RIGHT(H162,2)="HT",(1-L163)+$W$1,IF(RIGHT(H162,2)="SH",(1-L163)+$W$3,""))),0)</f>
        <v>0.2</v>
      </c>
      <c r="W163" s="298"/>
      <c r="X163" s="698">
        <f t="shared" ca="1" si="219"/>
        <v>0.3</v>
      </c>
      <c r="Y163" s="698">
        <f t="shared" ca="1" si="227"/>
        <v>7</v>
      </c>
      <c r="Z163" s="698">
        <f t="shared" ca="1" si="228"/>
        <v>2</v>
      </c>
      <c r="AA163" s="698">
        <f t="shared" ca="1" si="229"/>
        <v>1</v>
      </c>
      <c r="AB163" s="698">
        <f t="shared" ca="1" si="230"/>
        <v>0.1</v>
      </c>
      <c r="AC163" s="55"/>
      <c r="AD163" s="81">
        <v>2030</v>
      </c>
      <c r="AE163" s="81"/>
      <c r="AF163" s="700"/>
    </row>
    <row r="164" spans="1:32">
      <c r="B164" s="718" t="s">
        <v>1010</v>
      </c>
      <c r="C164" s="64"/>
      <c r="E164" s="261"/>
      <c r="F164" s="224" t="s">
        <v>1149</v>
      </c>
      <c r="G164" s="55"/>
      <c r="H164" s="174"/>
      <c r="I164" s="174" t="str">
        <f t="shared" si="143"/>
        <v>INDCWH</v>
      </c>
      <c r="J164" s="224">
        <f t="shared" si="146"/>
        <v>2050</v>
      </c>
      <c r="K164" s="81"/>
      <c r="L164" s="199">
        <f t="shared" ca="1" si="222"/>
        <v>1</v>
      </c>
      <c r="M164" s="199"/>
      <c r="N164" s="81"/>
      <c r="O164" s="723">
        <f t="shared" ca="1" si="223"/>
        <v>0.11175</v>
      </c>
      <c r="P164" s="723">
        <f t="shared" ca="1" si="224"/>
        <v>1.1513636363636396E-3</v>
      </c>
      <c r="Q164" s="81">
        <f t="shared" ca="1" si="225"/>
        <v>0.57944444444444443</v>
      </c>
      <c r="R164" s="300"/>
      <c r="S164" s="300"/>
      <c r="T164" s="300"/>
      <c r="U164" s="300"/>
      <c r="V164" s="199">
        <f t="shared" ref="V164" ca="1" si="232">IF(IF(RIGHT(H162,2)="PH",(1-L164)+$W$2,IF(RIGHT(H162,2)="HT",(1-L164)+$W$1,IF(RIGHT(H162,2)="SH",(1-L164)+$W$3,"")))&gt;0,IF(RIGHT(H162,2)="PH",(1-L164)+$W$2,IF(RIGHT(H162,2)="HT",(1-L164)+$W$1,IF(RIGHT(H162,2)="SH",(1-L164)+$W$3,""))),0)</f>
        <v>0.2</v>
      </c>
      <c r="W164" s="298"/>
      <c r="X164" s="698">
        <f t="shared" ca="1" si="219"/>
        <v>0.3</v>
      </c>
      <c r="Y164" s="698">
        <f t="shared" ca="1" si="227"/>
        <v>6</v>
      </c>
      <c r="Z164" s="698">
        <f t="shared" ca="1" si="228"/>
        <v>2</v>
      </c>
      <c r="AA164" s="698">
        <f t="shared" ca="1" si="229"/>
        <v>1</v>
      </c>
      <c r="AB164" s="698">
        <f t="shared" ca="1" si="230"/>
        <v>0.1</v>
      </c>
      <c r="AC164" s="203"/>
      <c r="AD164" s="81">
        <v>2050</v>
      </c>
      <c r="AE164" s="81"/>
      <c r="AF164" s="700"/>
    </row>
    <row r="165" spans="1:32">
      <c r="B165" s="718" t="s">
        <v>1010</v>
      </c>
      <c r="C165" s="64"/>
      <c r="D165" s="212" t="str">
        <f>"IND"&amp;RIGHT(H165,4)&amp;"GAS"&amp;"N"&amp;RIGHT(E165,1)</f>
        <v>INDCDPHGASN5</v>
      </c>
      <c r="E165" s="261" t="str">
        <f>"Industrial heating technology "&amp;$AJ$12&amp;" "&amp;RIGHT(H165,2)&amp;" - Gas boiler (Direct firing) - new 5"</f>
        <v>Industrial heating technology Chemical PH - Gas boiler (Direct firing) - new 5</v>
      </c>
      <c r="F165" s="224" t="s">
        <v>1149</v>
      </c>
      <c r="G165" s="173" t="s">
        <v>2080</v>
      </c>
      <c r="H165" s="174" t="str">
        <f>$AI$14</f>
        <v>ICDPH</v>
      </c>
      <c r="I165" s="721" t="str">
        <f t="shared" si="143"/>
        <v>INDCWH</v>
      </c>
      <c r="J165" s="224">
        <f t="shared" si="146"/>
        <v>2011</v>
      </c>
      <c r="K165" s="299">
        <f>J165</f>
        <v>2011</v>
      </c>
      <c r="L165" s="199">
        <f t="shared" ca="1" si="222"/>
        <v>1</v>
      </c>
      <c r="M165" s="199"/>
      <c r="N165" s="81">
        <f ca="1">VLOOKUP($AD165,INDIRECT("'"&amp;$B165&amp;"'!"&amp;"$P$279:$AD$282"),5,FALSE)</f>
        <v>25</v>
      </c>
      <c r="O165" s="723">
        <f t="shared" ca="1" si="223"/>
        <v>0.11175</v>
      </c>
      <c r="P165" s="723">
        <f t="shared" ca="1" si="224"/>
        <v>1.3545454545454561E-3</v>
      </c>
      <c r="Q165" s="81">
        <f t="shared" ca="1" si="225"/>
        <v>0.58461805555555546</v>
      </c>
      <c r="R165" s="81">
        <v>3.1536000000000002E-2</v>
      </c>
      <c r="S165" s="199">
        <v>0.5</v>
      </c>
      <c r="T165" s="199">
        <f ca="1">HLOOKUP($S$2,INDIRECT("'"&amp;$B165&amp;"'!"&amp;"$P$312:$AC$325"),IF(H165=$AI$13,6,IF(H165=$AI$14,9,14)),FALSE)</f>
        <v>0.2</v>
      </c>
      <c r="U165" s="773"/>
      <c r="V165" s="199">
        <f t="shared" ref="V165" ca="1" si="233">IF(IF(RIGHT(H165,2)="PH",(1-L165)+$W$2,IF(RIGHT(H165,2)="HT",(1-L165)+$W$1,IF(RIGHT(H165,2)="SH",(1-L165)+$W$3,"")))&gt;0,IF(RIGHT(H165,2)="PH",(1-L165)+$W$2,IF(RIGHT(H165,2)="HT",(1-L165)+$W$1,IF(RIGHT(H165,2)="SH",(1-L165)+$W$3,""))),0)</f>
        <v>0.2</v>
      </c>
      <c r="W165" s="709"/>
      <c r="X165" s="698">
        <f t="shared" ca="1" si="219"/>
        <v>0.3</v>
      </c>
      <c r="Y165" s="698">
        <f t="shared" ca="1" si="227"/>
        <v>9</v>
      </c>
      <c r="Z165" s="698">
        <f t="shared" ca="1" si="228"/>
        <v>3</v>
      </c>
      <c r="AA165" s="698">
        <f t="shared" ca="1" si="229"/>
        <v>1</v>
      </c>
      <c r="AB165" s="698">
        <f t="shared" ca="1" si="230"/>
        <v>0.1</v>
      </c>
      <c r="AD165" s="277">
        <v>2020</v>
      </c>
      <c r="AE165" s="273"/>
      <c r="AF165" s="830"/>
    </row>
    <row r="166" spans="1:32">
      <c r="B166" s="718" t="s">
        <v>1010</v>
      </c>
      <c r="C166" s="64"/>
      <c r="E166" s="261"/>
      <c r="F166" s="224" t="s">
        <v>1149</v>
      </c>
      <c r="G166" s="55"/>
      <c r="H166" s="174"/>
      <c r="I166" s="174" t="str">
        <f t="shared" si="143"/>
        <v>INDCWH</v>
      </c>
      <c r="J166" s="224">
        <f t="shared" si="146"/>
        <v>2030</v>
      </c>
      <c r="K166" s="81"/>
      <c r="L166" s="199">
        <f t="shared" ca="1" si="222"/>
        <v>1</v>
      </c>
      <c r="M166" s="199"/>
      <c r="N166" s="81"/>
      <c r="O166" s="723">
        <f t="shared" ca="1" si="223"/>
        <v>0.11175</v>
      </c>
      <c r="P166" s="723">
        <f t="shared" ca="1" si="224"/>
        <v>1.3206818181818161E-3</v>
      </c>
      <c r="Q166" s="81">
        <f t="shared" ca="1" si="225"/>
        <v>0.5742708333333334</v>
      </c>
      <c r="R166" s="300"/>
      <c r="S166" s="300"/>
      <c r="T166" s="300"/>
      <c r="U166" s="300"/>
      <c r="V166" s="199">
        <f t="shared" ref="V166" ca="1" si="234">IF(IF(RIGHT(H165,2)="PH",(1-L166)+$W$2,IF(RIGHT(H165,2)="HT",(1-L166)+$W$1,IF(RIGHT(H165,2)="SH",(1-L166)+$W$3,"")))&gt;0,IF(RIGHT(H165,2)="PH",(1-L166)+$W$2,IF(RIGHT(H165,2)="HT",(1-L166)+$W$1,IF(RIGHT(H165,2)="SH",(1-L166)+$W$3,""))),0)</f>
        <v>0.2</v>
      </c>
      <c r="W166" s="298"/>
      <c r="X166" s="698">
        <f t="shared" ca="1" si="219"/>
        <v>0.3</v>
      </c>
      <c r="Y166" s="698">
        <f t="shared" ca="1" si="227"/>
        <v>7</v>
      </c>
      <c r="Z166" s="698">
        <f t="shared" ca="1" si="228"/>
        <v>2</v>
      </c>
      <c r="AA166" s="698">
        <f t="shared" ca="1" si="229"/>
        <v>1</v>
      </c>
      <c r="AB166" s="698">
        <f t="shared" ca="1" si="230"/>
        <v>0.1</v>
      </c>
      <c r="AD166" s="81">
        <v>2030</v>
      </c>
      <c r="AE166" s="273"/>
      <c r="AF166" s="828"/>
    </row>
    <row r="167" spans="1:32">
      <c r="A167" s="169"/>
      <c r="B167" s="719" t="s">
        <v>1010</v>
      </c>
      <c r="C167" s="713"/>
      <c r="D167" s="701"/>
      <c r="E167" s="701"/>
      <c r="F167" s="224" t="s">
        <v>1149</v>
      </c>
      <c r="G167" s="203"/>
      <c r="H167" s="702"/>
      <c r="I167" s="702" t="str">
        <f t="shared" si="143"/>
        <v>INDCWH</v>
      </c>
      <c r="J167" s="224">
        <f t="shared" si="146"/>
        <v>2050</v>
      </c>
      <c r="K167" s="81"/>
      <c r="L167" s="199">
        <f t="shared" ca="1" si="222"/>
        <v>1</v>
      </c>
      <c r="M167" s="199"/>
      <c r="N167" s="81"/>
      <c r="O167" s="723">
        <f t="shared" ca="1" si="223"/>
        <v>0.11175</v>
      </c>
      <c r="P167" s="723">
        <f t="shared" ca="1" si="224"/>
        <v>1.1513636363636396E-3</v>
      </c>
      <c r="Q167" s="81">
        <f t="shared" ca="1" si="225"/>
        <v>0.57944444444444443</v>
      </c>
      <c r="R167" s="722"/>
      <c r="S167" s="703"/>
      <c r="T167" s="703"/>
      <c r="U167" s="703"/>
      <c r="V167" s="199">
        <f t="shared" ref="V167" ca="1" si="235">IF(IF(RIGHT(H165,2)="PH",(1-L167)+$W$2,IF(RIGHT(H165,2)="HT",(1-L167)+$W$1,IF(RIGHT(H165,2)="SH",(1-L167)+$W$3,"")))&gt;0,IF(RIGHT(H165,2)="PH",(1-L167)+$W$2,IF(RIGHT(H165,2)="HT",(1-L167)+$W$1,IF(RIGHT(H165,2)="SH",(1-L167)+$W$3,""))),0)</f>
        <v>0.2</v>
      </c>
      <c r="W167" s="714"/>
      <c r="X167" s="698">
        <f t="shared" ca="1" si="219"/>
        <v>0.3</v>
      </c>
      <c r="Y167" s="698">
        <f t="shared" ca="1" si="227"/>
        <v>6</v>
      </c>
      <c r="Z167" s="698">
        <f t="shared" ca="1" si="228"/>
        <v>2</v>
      </c>
      <c r="AA167" s="698">
        <f t="shared" ca="1" si="229"/>
        <v>1</v>
      </c>
      <c r="AB167" s="698">
        <f t="shared" ca="1" si="230"/>
        <v>0.1</v>
      </c>
      <c r="AD167" s="81">
        <v>2050</v>
      </c>
      <c r="AE167" s="273"/>
      <c r="AF167" s="828"/>
    </row>
    <row r="168" spans="1:32">
      <c r="A168" s="169"/>
      <c r="B168" s="718" t="s">
        <v>1099</v>
      </c>
      <c r="C168" s="226"/>
      <c r="D168" s="707" t="str">
        <f>"IND"&amp;RIGHT(H168,4)&amp;RIGHT(G168,3)&amp;"N"&amp;RIGHT(E168,1)</f>
        <v>INDCDPHCOAN1</v>
      </c>
      <c r="E168" s="261" t="str">
        <f>"Industrial heating technology "&amp;$AJ$12&amp;" "&amp;RIGHT(H168,2)&amp;" - Coal boiler (Steam) - new 1"</f>
        <v>Industrial heating technology Chemical PH - Coal boiler (Steam) - new 1</v>
      </c>
      <c r="F168" s="224" t="s">
        <v>1149</v>
      </c>
      <c r="G168" s="55" t="s">
        <v>617</v>
      </c>
      <c r="H168" s="174" t="str">
        <f>$AI$13</f>
        <v>ICDPH</v>
      </c>
      <c r="I168" s="174" t="str">
        <f t="shared" si="143"/>
        <v>INDCWH</v>
      </c>
      <c r="J168" s="224">
        <f t="shared" si="146"/>
        <v>2011</v>
      </c>
      <c r="K168" s="299">
        <v>2025</v>
      </c>
      <c r="L168" s="199">
        <f t="shared" ref="L168:L176" ca="1" si="236">VLOOKUP($AD168,INDIRECT("'"&amp;$B168&amp;"'!"&amp;"$P$39:$AD$42"),3,FALSE)</f>
        <v>0.89</v>
      </c>
      <c r="M168" s="699"/>
      <c r="N168" s="299">
        <f ca="1">VLOOKUP($AD168,INDIRECT("'"&amp;$B168&amp;"'!"&amp;"$P$39:$AD$42"),5,FALSE)</f>
        <v>25</v>
      </c>
      <c r="O168" s="725">
        <f t="shared" ref="O168:O176" ca="1" si="237">VLOOKUP($AD168,INDIRECT("'"&amp;$B168&amp;"'!"&amp;"$P$39:$AD$42"),6,FALSE)/1000</f>
        <v>3.7250000000000001</v>
      </c>
      <c r="P168" s="725">
        <f t="shared" ref="P168:P176" ca="1" si="238">VLOOKUP($AD168,INDIRECT("'"&amp;$B168&amp;"'!"&amp;"$P$39:$AD$42"),7,FALSE)/1000</f>
        <v>0.25106499999999998</v>
      </c>
      <c r="Q168" s="299">
        <f t="shared" ref="Q168:Q176" ca="1" si="239">VLOOKUP($AD168,INDIRECT("'"&amp;$B168&amp;"'!"&amp;"$P$39:$AD$42"),8,FALSE)</f>
        <v>3.9381527777777778</v>
      </c>
      <c r="R168" s="299">
        <v>3.1536000000000002E-2</v>
      </c>
      <c r="S168" s="699">
        <v>0.5</v>
      </c>
      <c r="T168" s="699">
        <f ca="1">HLOOKUP($T$2,INDIRECT("'"&amp;$B168&amp;"'!"&amp;"$P$6:$AC$19"),IF(H168=$AI$13,6,IF(H168=$AI$14,9,14)),FALSE)</f>
        <v>1</v>
      </c>
      <c r="U168" s="772"/>
      <c r="V168" s="199">
        <f t="shared" ref="V168" ca="1" si="240">IF(IF(RIGHT(H168,2)="PH",(1-L168)+$W$2,IF(RIGHT(H168,2)="HT",(1-L168)+$W$1,IF(RIGHT(H168,2)="SH",(1-L168)+$W$3,"")))&gt;0,IF(RIGHT(H168,2)="PH",(1-L168)+$W$2,IF(RIGHT(H168,2)="HT",(1-L168)+$W$1,IF(RIGHT(H168,2)="SH",(1-L168)+$W$3,""))),0)</f>
        <v>0.31</v>
      </c>
      <c r="W168" s="298"/>
      <c r="X168" s="698">
        <f t="shared" ca="1" si="219"/>
        <v>8</v>
      </c>
      <c r="Y168" s="299">
        <f t="shared" ref="Y168:Y176" ca="1" si="241">VLOOKUP($AD168,INDIRECT("'"&amp;$B168&amp;"'!"&amp;"$P$39:$AD$42"),12,FALSE)</f>
        <v>35</v>
      </c>
      <c r="Z168" s="299">
        <f t="shared" ref="Z168:Z176" ca="1" si="242">VLOOKUP($AD168,INDIRECT("'"&amp;$B168&amp;"'!"&amp;"$P$39:$AD$42"),13,FALSE)</f>
        <v>1.5</v>
      </c>
      <c r="AA168" s="299">
        <f t="shared" ref="AA168:AA176" ca="1" si="243">VLOOKUP($AD168,INDIRECT("'"&amp;$B168&amp;"'!"&amp;"$P$39:$AD$42"),14,FALSE)</f>
        <v>0.8</v>
      </c>
      <c r="AB168" s="299">
        <f t="shared" ref="AB168:AB176" ca="1" si="244">VLOOKUP($AD168,INDIRECT("'"&amp;$B168&amp;"'!"&amp;"$P$39:$AD$42"),15,FALSE)</f>
        <v>2.1</v>
      </c>
      <c r="AD168" s="81">
        <v>2020</v>
      </c>
      <c r="AE168" s="273"/>
      <c r="AF168" s="828"/>
    </row>
    <row r="169" spans="1:32">
      <c r="A169" s="169"/>
      <c r="B169" s="718" t="s">
        <v>1099</v>
      </c>
      <c r="C169" s="226"/>
      <c r="D169" s="261"/>
      <c r="E169" s="261"/>
      <c r="F169" s="224" t="s">
        <v>1149</v>
      </c>
      <c r="G169" s="55"/>
      <c r="H169" s="174"/>
      <c r="I169" s="174" t="str">
        <f t="shared" si="143"/>
        <v>INDCWH</v>
      </c>
      <c r="J169" s="224">
        <f t="shared" si="146"/>
        <v>2030</v>
      </c>
      <c r="K169" s="81"/>
      <c r="L169" s="199">
        <f t="shared" ca="1" si="236"/>
        <v>0.89</v>
      </c>
      <c r="M169" s="772"/>
      <c r="N169" s="200"/>
      <c r="O169" s="725">
        <f t="shared" ca="1" si="237"/>
        <v>3.4699403462447704</v>
      </c>
      <c r="P169" s="725">
        <f t="shared" ca="1" si="238"/>
        <v>0.24287</v>
      </c>
      <c r="Q169" s="299">
        <f t="shared" ca="1" si="239"/>
        <v>3.9836805555555559</v>
      </c>
      <c r="R169" s="823"/>
      <c r="S169" s="300"/>
      <c r="T169" s="300"/>
      <c r="U169" s="300"/>
      <c r="V169" s="199">
        <f t="shared" ref="V169" ca="1" si="245">IF(IF(RIGHT(H168,2)="PH",(1-L169)+$W$2,IF(RIGHT(H168,2)="HT",(1-L169)+$W$1,IF(RIGHT(H168,2)="SH",(1-L169)+$W$3,"")))&gt;0,IF(RIGHT(H168,2)="PH",(1-L169)+$W$2,IF(RIGHT(H168,2)="HT",(1-L169)+$W$1,IF(RIGHT(H168,2)="SH",(1-L169)+$W$3,""))),0)</f>
        <v>0.31</v>
      </c>
      <c r="W169" s="298"/>
      <c r="X169" s="698">
        <f t="shared" ca="1" si="219"/>
        <v>8</v>
      </c>
      <c r="Y169" s="299">
        <f t="shared" ca="1" si="241"/>
        <v>35</v>
      </c>
      <c r="Z169" s="299">
        <f t="shared" ca="1" si="242"/>
        <v>1.5</v>
      </c>
      <c r="AA169" s="299">
        <f t="shared" ca="1" si="243"/>
        <v>0.8</v>
      </c>
      <c r="AB169" s="299">
        <f t="shared" ca="1" si="244"/>
        <v>2.1</v>
      </c>
      <c r="AD169" s="81">
        <v>2030</v>
      </c>
      <c r="AE169" s="273"/>
      <c r="AF169" s="828"/>
    </row>
    <row r="170" spans="1:32">
      <c r="A170" s="169"/>
      <c r="B170" s="718" t="s">
        <v>1099</v>
      </c>
      <c r="C170" s="226"/>
      <c r="D170" s="261"/>
      <c r="E170" s="261"/>
      <c r="F170" s="224" t="s">
        <v>1149</v>
      </c>
      <c r="G170" s="55"/>
      <c r="H170" s="174"/>
      <c r="I170" s="174" t="str">
        <f t="shared" si="143"/>
        <v>INDCWH</v>
      </c>
      <c r="J170" s="224">
        <f t="shared" si="146"/>
        <v>2050</v>
      </c>
      <c r="K170" s="81"/>
      <c r="L170" s="199">
        <f t="shared" ca="1" si="236"/>
        <v>0.91</v>
      </c>
      <c r="M170" s="772"/>
      <c r="N170" s="200"/>
      <c r="O170" s="725">
        <f t="shared" ca="1" si="237"/>
        <v>3.2813985758696647</v>
      </c>
      <c r="P170" s="725">
        <f t="shared" ca="1" si="238"/>
        <v>0.22797000000000001</v>
      </c>
      <c r="Q170" s="299">
        <f t="shared" ca="1" si="239"/>
        <v>4.0064444444444449</v>
      </c>
      <c r="R170" s="823"/>
      <c r="S170" s="300"/>
      <c r="T170" s="300"/>
      <c r="U170" s="300"/>
      <c r="V170" s="199">
        <f t="shared" ref="V170" ca="1" si="246">IF(IF(RIGHT(H168,2)="PH",(1-L170)+$W$2,IF(RIGHT(H168,2)="HT",(1-L170)+$W$1,IF(RIGHT(H168,2)="SH",(1-L170)+$W$3,"")))&gt;0,IF(RIGHT(H168,2)="PH",(1-L170)+$W$2,IF(RIGHT(H168,2)="HT",(1-L170)+$W$1,IF(RIGHT(H168,2)="SH",(1-L170)+$W$3,""))),0)</f>
        <v>0.28999999999999998</v>
      </c>
      <c r="W170" s="298"/>
      <c r="X170" s="698">
        <f t="shared" ca="1" si="219"/>
        <v>8</v>
      </c>
      <c r="Y170" s="299">
        <f t="shared" ca="1" si="241"/>
        <v>35</v>
      </c>
      <c r="Z170" s="299">
        <f t="shared" ca="1" si="242"/>
        <v>1.5</v>
      </c>
      <c r="AA170" s="299">
        <f t="shared" ca="1" si="243"/>
        <v>0.8</v>
      </c>
      <c r="AB170" s="299">
        <f t="shared" ca="1" si="244"/>
        <v>2.1</v>
      </c>
      <c r="AD170" s="81">
        <v>2050</v>
      </c>
      <c r="AE170" s="273"/>
      <c r="AF170" s="828"/>
    </row>
    <row r="171" spans="1:32">
      <c r="A171" s="169"/>
      <c r="B171" s="718" t="s">
        <v>1099</v>
      </c>
      <c r="C171" s="226"/>
      <c r="D171" s="261" t="str">
        <f>"IND"&amp;RIGHT(H171,4)&amp;RIGHT(G171,3)&amp;"N"&amp;RIGHT(E171,1)</f>
        <v>INDCDPHCOAN1</v>
      </c>
      <c r="E171" s="261" t="str">
        <f>"Industrial heating technology "&amp;$AJ$12&amp;" "&amp;RIGHT(H171,2)&amp;" - Coal boiler (Steam) - new 1"</f>
        <v>Industrial heating technology Chemical PH - Coal boiler (Steam) - new 1</v>
      </c>
      <c r="F171" s="224" t="s">
        <v>1149</v>
      </c>
      <c r="G171" s="55" t="s">
        <v>617</v>
      </c>
      <c r="H171" s="174" t="str">
        <f>$AI$14</f>
        <v>ICDPH</v>
      </c>
      <c r="I171" s="174" t="str">
        <f t="shared" si="143"/>
        <v>INDCWH</v>
      </c>
      <c r="J171" s="224">
        <f t="shared" si="146"/>
        <v>2011</v>
      </c>
      <c r="K171" s="299">
        <v>2025</v>
      </c>
      <c r="L171" s="199">
        <f t="shared" ca="1" si="236"/>
        <v>0.89</v>
      </c>
      <c r="M171" s="199"/>
      <c r="N171" s="81">
        <f ca="1">VLOOKUP($AD171,INDIRECT("'"&amp;$B171&amp;"'!"&amp;"$P$39:$AD$42"),5,FALSE)</f>
        <v>25</v>
      </c>
      <c r="O171" s="725">
        <f t="shared" ca="1" si="237"/>
        <v>3.7250000000000001</v>
      </c>
      <c r="P171" s="725">
        <f t="shared" ca="1" si="238"/>
        <v>0.25106499999999998</v>
      </c>
      <c r="Q171" s="299">
        <f t="shared" ca="1" si="239"/>
        <v>3.9381527777777778</v>
      </c>
      <c r="R171" s="81">
        <v>3.1536000000000002E-2</v>
      </c>
      <c r="S171" s="199">
        <v>0.5</v>
      </c>
      <c r="T171" s="199">
        <f ca="1">HLOOKUP($T$2,INDIRECT("'"&amp;$B171&amp;"'!"&amp;"$P$6:$AC$19"),IF(H171=$AI$13,6,IF(H171=$AI$14,9,14)),FALSE)</f>
        <v>1</v>
      </c>
      <c r="U171" s="772"/>
      <c r="V171" s="199">
        <f t="shared" ref="V171" ca="1" si="247">IF(IF(RIGHT(H171,2)="PH",(1-L171)+$W$2,IF(RIGHT(H171,2)="HT",(1-L171)+$W$1,IF(RIGHT(H171,2)="SH",(1-L171)+$W$3,"")))&gt;0,IF(RIGHT(H171,2)="PH",(1-L171)+$W$2,IF(RIGHT(H171,2)="HT",(1-L171)+$W$1,IF(RIGHT(H171,2)="SH",(1-L171)+$W$3,""))),0)</f>
        <v>0.31</v>
      </c>
      <c r="W171" s="298"/>
      <c r="X171" s="698">
        <f t="shared" ca="1" si="219"/>
        <v>8</v>
      </c>
      <c r="Y171" s="299">
        <f t="shared" ca="1" si="241"/>
        <v>35</v>
      </c>
      <c r="Z171" s="299">
        <f t="shared" ca="1" si="242"/>
        <v>1.5</v>
      </c>
      <c r="AA171" s="299">
        <f t="shared" ca="1" si="243"/>
        <v>0.8</v>
      </c>
      <c r="AB171" s="299">
        <f t="shared" ca="1" si="244"/>
        <v>2.1</v>
      </c>
      <c r="AD171" s="81">
        <v>2020</v>
      </c>
      <c r="AE171" s="273"/>
      <c r="AF171" s="828"/>
    </row>
    <row r="172" spans="1:32">
      <c r="A172" s="169"/>
      <c r="B172" s="718" t="s">
        <v>1099</v>
      </c>
      <c r="C172" s="226"/>
      <c r="D172" s="261"/>
      <c r="E172" s="261"/>
      <c r="F172" s="224" t="s">
        <v>1149</v>
      </c>
      <c r="G172" s="55"/>
      <c r="H172" s="174"/>
      <c r="I172" s="174" t="str">
        <f t="shared" si="143"/>
        <v>INDCWH</v>
      </c>
      <c r="J172" s="224">
        <f t="shared" si="146"/>
        <v>2030</v>
      </c>
      <c r="K172" s="81"/>
      <c r="L172" s="199">
        <f t="shared" ca="1" si="236"/>
        <v>0.89</v>
      </c>
      <c r="M172" s="772"/>
      <c r="N172" s="200"/>
      <c r="O172" s="725">
        <f t="shared" ca="1" si="237"/>
        <v>3.4699403462447704</v>
      </c>
      <c r="P172" s="725">
        <f t="shared" ca="1" si="238"/>
        <v>0.24287</v>
      </c>
      <c r="Q172" s="299">
        <f t="shared" ca="1" si="239"/>
        <v>3.9836805555555559</v>
      </c>
      <c r="R172" s="823"/>
      <c r="S172" s="300"/>
      <c r="T172" s="300"/>
      <c r="U172" s="300"/>
      <c r="V172" s="199">
        <f t="shared" ref="V172" ca="1" si="248">IF(IF(RIGHT(H171,2)="PH",(1-L172)+$W$2,IF(RIGHT(H171,2)="HT",(1-L172)+$W$1,IF(RIGHT(H171,2)="SH",(1-L172)+$W$3,"")))&gt;0,IF(RIGHT(H171,2)="PH",(1-L172)+$W$2,IF(RIGHT(H171,2)="HT",(1-L172)+$W$1,IF(RIGHT(H171,2)="SH",(1-L172)+$W$3,""))),0)</f>
        <v>0.31</v>
      </c>
      <c r="W172" s="298"/>
      <c r="X172" s="698">
        <f t="shared" ca="1" si="219"/>
        <v>8</v>
      </c>
      <c r="Y172" s="299">
        <f t="shared" ca="1" si="241"/>
        <v>35</v>
      </c>
      <c r="Z172" s="299">
        <f t="shared" ca="1" si="242"/>
        <v>1.5</v>
      </c>
      <c r="AA172" s="299">
        <f t="shared" ca="1" si="243"/>
        <v>0.8</v>
      </c>
      <c r="AB172" s="299">
        <f t="shared" ca="1" si="244"/>
        <v>2.1</v>
      </c>
      <c r="AD172" s="81">
        <v>2030</v>
      </c>
      <c r="AE172" s="273"/>
      <c r="AF172" s="828"/>
    </row>
    <row r="173" spans="1:32">
      <c r="A173" s="169"/>
      <c r="B173" s="718" t="s">
        <v>1099</v>
      </c>
      <c r="C173" s="226"/>
      <c r="D173" s="261"/>
      <c r="E173" s="261"/>
      <c r="F173" s="224" t="s">
        <v>1149</v>
      </c>
      <c r="G173" s="55"/>
      <c r="H173" s="174"/>
      <c r="I173" s="174" t="str">
        <f t="shared" si="143"/>
        <v>INDCWH</v>
      </c>
      <c r="J173" s="224">
        <f t="shared" si="146"/>
        <v>2050</v>
      </c>
      <c r="K173" s="81"/>
      <c r="L173" s="199">
        <f t="shared" ca="1" si="236"/>
        <v>0.91</v>
      </c>
      <c r="M173" s="772"/>
      <c r="N173" s="200"/>
      <c r="O173" s="725">
        <f t="shared" ca="1" si="237"/>
        <v>3.2813985758696647</v>
      </c>
      <c r="P173" s="725">
        <f t="shared" ca="1" si="238"/>
        <v>0.22797000000000001</v>
      </c>
      <c r="Q173" s="299">
        <f t="shared" ca="1" si="239"/>
        <v>4.0064444444444449</v>
      </c>
      <c r="R173" s="823"/>
      <c r="S173" s="300"/>
      <c r="T173" s="300"/>
      <c r="U173" s="300"/>
      <c r="V173" s="199">
        <f t="shared" ref="V173" ca="1" si="249">IF(IF(RIGHT(H171,2)="PH",(1-L173)+$W$2,IF(RIGHT(H171,2)="HT",(1-L173)+$W$1,IF(RIGHT(H171,2)="SH",(1-L173)+$W$3,"")))&gt;0,IF(RIGHT(H171,2)="PH",(1-L173)+$W$2,IF(RIGHT(H171,2)="HT",(1-L173)+$W$1,IF(RIGHT(H171,2)="SH",(1-L173)+$W$3,""))),0)</f>
        <v>0.28999999999999998</v>
      </c>
      <c r="W173" s="298"/>
      <c r="X173" s="698">
        <f t="shared" ca="1" si="219"/>
        <v>8</v>
      </c>
      <c r="Y173" s="299">
        <f t="shared" ca="1" si="241"/>
        <v>35</v>
      </c>
      <c r="Z173" s="299">
        <f t="shared" ca="1" si="242"/>
        <v>1.5</v>
      </c>
      <c r="AA173" s="299">
        <f t="shared" ca="1" si="243"/>
        <v>0.8</v>
      </c>
      <c r="AB173" s="299">
        <f t="shared" ca="1" si="244"/>
        <v>2.1</v>
      </c>
      <c r="AD173" s="81">
        <v>2050</v>
      </c>
      <c r="AE173" s="273"/>
      <c r="AF173" s="828"/>
    </row>
    <row r="174" spans="1:32">
      <c r="A174" s="169"/>
      <c r="B174" s="718" t="s">
        <v>1099</v>
      </c>
      <c r="C174" s="226"/>
      <c r="D174" s="261" t="str">
        <f>"IND"&amp;RIGHT(H174,4)&amp;RIGHT(G174,3)&amp;"N"&amp;RIGHT(E174,1)</f>
        <v>INDCDSHCOAN1</v>
      </c>
      <c r="E174" s="261" t="str">
        <f>"Industrial heating technology "&amp;$AJ$12&amp;" "&amp;RIGHT(H174,2)&amp;" - Coal boiler (Steam) - new 1"</f>
        <v>Industrial heating technology Chemical SH - Coal boiler (Steam) - new 1</v>
      </c>
      <c r="F174" s="224" t="s">
        <v>1149</v>
      </c>
      <c r="G174" s="55" t="s">
        <v>617</v>
      </c>
      <c r="H174" s="174" t="str">
        <f>$AI$15</f>
        <v>ICDSH</v>
      </c>
      <c r="I174" s="174" t="str">
        <f t="shared" si="143"/>
        <v>INDCWH</v>
      </c>
      <c r="J174" s="224">
        <f t="shared" si="146"/>
        <v>2011</v>
      </c>
      <c r="K174" s="299">
        <v>2025</v>
      </c>
      <c r="L174" s="199">
        <f t="shared" ca="1" si="236"/>
        <v>0.89</v>
      </c>
      <c r="M174" s="199"/>
      <c r="N174" s="81">
        <f ca="1">VLOOKUP($AD174,INDIRECT("'"&amp;$B174&amp;"'!"&amp;"$P$39:$AD$42"),5,FALSE)</f>
        <v>25</v>
      </c>
      <c r="O174" s="725">
        <f t="shared" ca="1" si="237"/>
        <v>3.7250000000000001</v>
      </c>
      <c r="P174" s="725">
        <f t="shared" ca="1" si="238"/>
        <v>0.25106499999999998</v>
      </c>
      <c r="Q174" s="299">
        <f t="shared" ca="1" si="239"/>
        <v>3.9381527777777778</v>
      </c>
      <c r="R174" s="81">
        <v>3.1536000000000002E-2</v>
      </c>
      <c r="S174" s="199">
        <v>0.5</v>
      </c>
      <c r="T174" s="199">
        <f ca="1">HLOOKUP($T$2,INDIRECT("'"&amp;$B174&amp;"'!"&amp;"$P$6:$AC$19"),IF(H174=$AI$13,6,IF(H174=$AI$14,9,14)),FALSE)</f>
        <v>1</v>
      </c>
      <c r="U174" s="772"/>
      <c r="V174" s="199">
        <f t="shared" ref="V174" ca="1" si="250">IF(IF(RIGHT(H174,2)="PH",(1-L174)+$W$2,IF(RIGHT(H174,2)="HT",(1-L174)+$W$1,IF(RIGHT(H174,2)="SH",(1-L174)+$W$3,"")))&gt;0,IF(RIGHT(H174,2)="PH",(1-L174)+$W$2,IF(RIGHT(H174,2)="HT",(1-L174)+$W$1,IF(RIGHT(H174,2)="SH",(1-L174)+$W$3,""))),0)</f>
        <v>0.10999999999999999</v>
      </c>
      <c r="W174" s="298"/>
      <c r="X174" s="698">
        <f t="shared" ca="1" si="219"/>
        <v>8</v>
      </c>
      <c r="Y174" s="299">
        <f t="shared" ca="1" si="241"/>
        <v>35</v>
      </c>
      <c r="Z174" s="299">
        <f t="shared" ca="1" si="242"/>
        <v>1.5</v>
      </c>
      <c r="AA174" s="299">
        <f t="shared" ca="1" si="243"/>
        <v>0.8</v>
      </c>
      <c r="AB174" s="299">
        <f t="shared" ca="1" si="244"/>
        <v>2.1</v>
      </c>
      <c r="AD174" s="81">
        <v>2020</v>
      </c>
      <c r="AE174" s="273"/>
      <c r="AF174" s="828"/>
    </row>
    <row r="175" spans="1:32">
      <c r="A175" s="169"/>
      <c r="B175" s="718" t="s">
        <v>1099</v>
      </c>
      <c r="C175" s="226"/>
      <c r="D175" s="261"/>
      <c r="E175" s="261"/>
      <c r="F175" s="224" t="s">
        <v>1149</v>
      </c>
      <c r="G175" s="55"/>
      <c r="H175" s="174"/>
      <c r="I175" s="174" t="str">
        <f t="shared" si="143"/>
        <v>INDCWH</v>
      </c>
      <c r="J175" s="224">
        <f t="shared" si="146"/>
        <v>2030</v>
      </c>
      <c r="K175" s="81"/>
      <c r="L175" s="199">
        <f t="shared" ca="1" si="236"/>
        <v>0.89</v>
      </c>
      <c r="M175" s="772"/>
      <c r="N175" s="200"/>
      <c r="O175" s="725">
        <f t="shared" ca="1" si="237"/>
        <v>3.4699403462447704</v>
      </c>
      <c r="P175" s="725">
        <f t="shared" ca="1" si="238"/>
        <v>0.24287</v>
      </c>
      <c r="Q175" s="299">
        <f t="shared" ca="1" si="239"/>
        <v>3.9836805555555559</v>
      </c>
      <c r="R175" s="823"/>
      <c r="S175" s="300"/>
      <c r="T175" s="300"/>
      <c r="U175" s="300"/>
      <c r="V175" s="199">
        <f t="shared" ref="V175" ca="1" si="251">IF(IF(RIGHT(H174,2)="PH",(1-L175)+$W$2,IF(RIGHT(H174,2)="HT",(1-L175)+$W$1,IF(RIGHT(H174,2)="SH",(1-L175)+$W$3,"")))&gt;0,IF(RIGHT(H174,2)="PH",(1-L175)+$W$2,IF(RIGHT(H174,2)="HT",(1-L175)+$W$1,IF(RIGHT(H174,2)="SH",(1-L175)+$W$3,""))),0)</f>
        <v>0.10999999999999999</v>
      </c>
      <c r="W175" s="298"/>
      <c r="X175" s="698">
        <f t="shared" ca="1" si="219"/>
        <v>8</v>
      </c>
      <c r="Y175" s="299">
        <f t="shared" ca="1" si="241"/>
        <v>35</v>
      </c>
      <c r="Z175" s="299">
        <f t="shared" ca="1" si="242"/>
        <v>1.5</v>
      </c>
      <c r="AA175" s="299">
        <f t="shared" ca="1" si="243"/>
        <v>0.8</v>
      </c>
      <c r="AB175" s="299">
        <f t="shared" ca="1" si="244"/>
        <v>2.1</v>
      </c>
      <c r="AD175" s="81">
        <v>2030</v>
      </c>
      <c r="AE175" s="273"/>
      <c r="AF175" s="828"/>
    </row>
    <row r="176" spans="1:32">
      <c r="A176" s="169"/>
      <c r="B176" s="719" t="s">
        <v>1099</v>
      </c>
      <c r="C176" s="713"/>
      <c r="D176" s="701"/>
      <c r="E176" s="701"/>
      <c r="F176" s="224" t="s">
        <v>1149</v>
      </c>
      <c r="G176" s="203"/>
      <c r="H176" s="702"/>
      <c r="I176" s="702" t="str">
        <f t="shared" si="143"/>
        <v>INDCWH</v>
      </c>
      <c r="J176" s="224">
        <f t="shared" si="146"/>
        <v>2050</v>
      </c>
      <c r="K176" s="81"/>
      <c r="L176" s="199">
        <f t="shared" ca="1" si="236"/>
        <v>0.91</v>
      </c>
      <c r="M176" s="826"/>
      <c r="N176" s="825"/>
      <c r="O176" s="725">
        <f t="shared" ca="1" si="237"/>
        <v>3.2813985758696647</v>
      </c>
      <c r="P176" s="725">
        <f t="shared" ca="1" si="238"/>
        <v>0.22797000000000001</v>
      </c>
      <c r="Q176" s="299">
        <f t="shared" ca="1" si="239"/>
        <v>4.0064444444444449</v>
      </c>
      <c r="R176" s="722"/>
      <c r="S176" s="703"/>
      <c r="T176" s="703"/>
      <c r="U176" s="703"/>
      <c r="V176" s="199">
        <f t="shared" ref="V176" ca="1" si="252">IF(IF(RIGHT(H174,2)="PH",(1-L176)+$W$2,IF(RIGHT(H174,2)="HT",(1-L176)+$W$1,IF(RIGHT(H174,2)="SH",(1-L176)+$W$3,"")))&gt;0,IF(RIGHT(H174,2)="PH",(1-L176)+$W$2,IF(RIGHT(H174,2)="HT",(1-L176)+$W$1,IF(RIGHT(H174,2)="SH",(1-L176)+$W$3,""))),0)</f>
        <v>8.9999999999999969E-2</v>
      </c>
      <c r="W176" s="704"/>
      <c r="X176" s="698">
        <f t="shared" ca="1" si="219"/>
        <v>8</v>
      </c>
      <c r="Y176" s="299">
        <f t="shared" ca="1" si="241"/>
        <v>35</v>
      </c>
      <c r="Z176" s="299">
        <f t="shared" ca="1" si="242"/>
        <v>1.5</v>
      </c>
      <c r="AA176" s="299">
        <f t="shared" ca="1" si="243"/>
        <v>0.8</v>
      </c>
      <c r="AB176" s="299">
        <f t="shared" ca="1" si="244"/>
        <v>2.1</v>
      </c>
      <c r="AC176" s="203"/>
      <c r="AD176" s="81">
        <v>2050</v>
      </c>
      <c r="AE176" s="273"/>
      <c r="AF176" s="829"/>
    </row>
    <row r="177" spans="1:32">
      <c r="A177" s="169"/>
      <c r="B177" s="718" t="s">
        <v>1099</v>
      </c>
      <c r="C177" s="226"/>
      <c r="D177" s="707" t="str">
        <f>"IND"&amp;RIGHT(H177,4)&amp;RIGHT(G177,3)&amp;"N"&amp;RIGHT(E177,1)</f>
        <v>INDCDPHCOAN2</v>
      </c>
      <c r="E177" s="261" t="str">
        <f>"Industrial heating technology "&amp;$AJ$12&amp;" "&amp;RIGHT(H177,2)&amp;" - Coal boiler (Hot Water) - new 2"</f>
        <v>Industrial heating technology Chemical PH - Coal boiler (Hot Water) - new 2</v>
      </c>
      <c r="F177" s="224" t="s">
        <v>1149</v>
      </c>
      <c r="G177" s="55" t="s">
        <v>617</v>
      </c>
      <c r="H177" s="174" t="str">
        <f>$AI$14</f>
        <v>ICDPH</v>
      </c>
      <c r="I177" s="174" t="str">
        <f t="shared" si="143"/>
        <v>INDCWH</v>
      </c>
      <c r="J177" s="224">
        <f t="shared" si="146"/>
        <v>2011</v>
      </c>
      <c r="K177" s="299">
        <v>2025</v>
      </c>
      <c r="L177" s="199">
        <f t="shared" ref="L177:L182" ca="1" si="253">VLOOKUP($AD177,INDIRECT("'"&amp;$B177&amp;"'!"&amp;"$P$118:$AD$121"),3,FALSE)</f>
        <v>0.89</v>
      </c>
      <c r="M177" s="199"/>
      <c r="N177" s="81">
        <f ca="1">VLOOKUP($AD177,INDIRECT("'"&amp;$B177&amp;"'!"&amp;"$P$118:$AD$121"),5,FALSE)</f>
        <v>25</v>
      </c>
      <c r="O177" s="723">
        <f t="shared" ref="O177:O182" ca="1" si="254">VLOOKUP($AD177,INDIRECT("'"&amp;$B177&amp;"'!"&amp;"$P$118:$AD$121"),6,FALSE)/1000</f>
        <v>3.7250000000000001</v>
      </c>
      <c r="P177" s="723">
        <f t="shared" ref="P177:P182" ca="1" si="255">VLOOKUP($AD177,INDIRECT("'"&amp;$B177&amp;"'!"&amp;"$P$118:$AD$121"),7,FALSE)/1000</f>
        <v>0.25106499999999998</v>
      </c>
      <c r="Q177" s="81">
        <f t="shared" ref="Q177:Q182" ca="1" si="256">VLOOKUP($AD177,INDIRECT("'"&amp;$B177&amp;"'!"&amp;"$P$118:$AD$121"),8,FALSE)</f>
        <v>3.9381527777777778</v>
      </c>
      <c r="R177" s="81">
        <v>3.1536000000000002E-2</v>
      </c>
      <c r="S177" s="199">
        <v>0.5</v>
      </c>
      <c r="T177" s="199">
        <f ca="1">HLOOKUP($T$2,INDIRECT("'"&amp;$B177&amp;"'!"&amp;"$P$85:$AC$98"),IF(H177=$AI$13,6,IF(H177=$AI$14,9,14)),FALSE)</f>
        <v>0</v>
      </c>
      <c r="U177" s="773"/>
      <c r="V177" s="199">
        <f t="shared" ref="V177" ca="1" si="257">IF(IF(RIGHT(H177,2)="PH",(1-L177)+$W$2,IF(RIGHT(H177,2)="HT",(1-L177)+$W$1,IF(RIGHT(H177,2)="SH",(1-L177)+$W$3,"")))&gt;0,IF(RIGHT(H177,2)="PH",(1-L177)+$W$2,IF(RIGHT(H177,2)="HT",(1-L177)+$W$1,IF(RIGHT(H177,2)="SH",(1-L177)+$W$3,""))),0)</f>
        <v>0.31</v>
      </c>
      <c r="W177" s="709"/>
      <c r="X177" s="698">
        <f t="shared" ca="1" si="219"/>
        <v>8</v>
      </c>
      <c r="Y177" s="698">
        <f ca="1">VLOOKUP($AD177,INDIRECT("'"&amp;$B177&amp;"'!"&amp;"$P$118:$AD$121"),12,FALSE)</f>
        <v>35</v>
      </c>
      <c r="Z177" s="698">
        <f ca="1">VLOOKUP($AD177,INDIRECT("'"&amp;$B177&amp;"'!"&amp;"$P$118:$AD$121"),13,FALSE)</f>
        <v>1.5</v>
      </c>
      <c r="AA177" s="698">
        <f ca="1">VLOOKUP($AD177,INDIRECT("'"&amp;$B177&amp;"'!"&amp;"$P$118:$AD$121"),14,FALSE)</f>
        <v>0.8</v>
      </c>
      <c r="AB177" s="698">
        <f ca="1">VLOOKUP($AD177,INDIRECT("'"&amp;$B177&amp;"'!"&amp;"$P$118:$AD$121"),15,FALSE)</f>
        <v>2.1</v>
      </c>
      <c r="AC177" s="55"/>
      <c r="AD177" s="81">
        <v>2020</v>
      </c>
      <c r="AE177" s="273"/>
      <c r="AF177" s="828"/>
    </row>
    <row r="178" spans="1:32">
      <c r="A178" s="169"/>
      <c r="B178" s="718" t="s">
        <v>1099</v>
      </c>
      <c r="C178" s="226"/>
      <c r="D178" s="261"/>
      <c r="E178" s="261"/>
      <c r="F178" s="224" t="s">
        <v>1149</v>
      </c>
      <c r="G178" s="55"/>
      <c r="H178" s="174"/>
      <c r="I178" s="174" t="str">
        <f t="shared" si="143"/>
        <v>INDCWH</v>
      </c>
      <c r="J178" s="224">
        <f t="shared" si="146"/>
        <v>2030</v>
      </c>
      <c r="K178" s="81"/>
      <c r="L178" s="199">
        <f t="shared" ca="1" si="253"/>
        <v>0.89</v>
      </c>
      <c r="M178" s="772"/>
      <c r="N178" s="200"/>
      <c r="O178" s="723">
        <f t="shared" ca="1" si="254"/>
        <v>3.7250000000000001</v>
      </c>
      <c r="P178" s="723">
        <f t="shared" ca="1" si="255"/>
        <v>0.24287</v>
      </c>
      <c r="Q178" s="81">
        <f t="shared" ca="1" si="256"/>
        <v>3.9836805555555559</v>
      </c>
      <c r="R178" s="823"/>
      <c r="S178" s="300"/>
      <c r="T178" s="300"/>
      <c r="U178" s="300"/>
      <c r="V178" s="199">
        <f t="shared" ref="V178" ca="1" si="258">IF(IF(RIGHT(H177,2)="PH",(1-L178)+$W$2,IF(RIGHT(H177,2)="HT",(1-L178)+$W$1,IF(RIGHT(H177,2)="SH",(1-L178)+$W$3,"")))&gt;0,IF(RIGHT(H177,2)="PH",(1-L178)+$W$2,IF(RIGHT(H177,2)="HT",(1-L178)+$W$1,IF(RIGHT(H177,2)="SH",(1-L178)+$W$3,""))),0)</f>
        <v>0.31</v>
      </c>
      <c r="W178" s="298"/>
      <c r="X178" s="824"/>
      <c r="Y178" s="824"/>
      <c r="Z178" s="824"/>
      <c r="AA178" s="824"/>
      <c r="AB178" s="824"/>
      <c r="AD178" s="81">
        <v>2030</v>
      </c>
      <c r="AE178" s="273"/>
      <c r="AF178" s="828"/>
    </row>
    <row r="179" spans="1:32">
      <c r="A179" s="169"/>
      <c r="B179" s="718" t="s">
        <v>1099</v>
      </c>
      <c r="C179" s="226"/>
      <c r="D179" s="261"/>
      <c r="E179" s="261"/>
      <c r="F179" s="224" t="s">
        <v>1149</v>
      </c>
      <c r="G179" s="55"/>
      <c r="H179" s="174"/>
      <c r="I179" s="174" t="str">
        <f t="shared" si="143"/>
        <v>INDCWH</v>
      </c>
      <c r="J179" s="224">
        <f t="shared" si="146"/>
        <v>2050</v>
      </c>
      <c r="K179" s="81"/>
      <c r="L179" s="199">
        <f t="shared" ca="1" si="253"/>
        <v>0.91</v>
      </c>
      <c r="M179" s="772"/>
      <c r="N179" s="200"/>
      <c r="O179" s="723">
        <f t="shared" ca="1" si="254"/>
        <v>3.7250000000000001</v>
      </c>
      <c r="P179" s="723">
        <f t="shared" ca="1" si="255"/>
        <v>0.22797000000000001</v>
      </c>
      <c r="Q179" s="81">
        <f t="shared" ca="1" si="256"/>
        <v>4.0064444444444449</v>
      </c>
      <c r="R179" s="823"/>
      <c r="S179" s="300"/>
      <c r="T179" s="300"/>
      <c r="U179" s="300"/>
      <c r="V179" s="199">
        <f t="shared" ref="V179" ca="1" si="259">IF(IF(RIGHT(H177,2)="PH",(1-L179)+$W$2,IF(RIGHT(H177,2)="HT",(1-L179)+$W$1,IF(RIGHT(H177,2)="SH",(1-L179)+$W$3,"")))&gt;0,IF(RIGHT(H177,2)="PH",(1-L179)+$W$2,IF(RIGHT(H177,2)="HT",(1-L179)+$W$1,IF(RIGHT(H177,2)="SH",(1-L179)+$W$3,""))),0)</f>
        <v>0.28999999999999998</v>
      </c>
      <c r="W179" s="298"/>
      <c r="X179" s="824"/>
      <c r="Y179" s="824"/>
      <c r="Z179" s="824"/>
      <c r="AA179" s="824"/>
      <c r="AB179" s="824"/>
      <c r="AD179" s="81">
        <v>2050</v>
      </c>
      <c r="AE179" s="273"/>
      <c r="AF179" s="828"/>
    </row>
    <row r="180" spans="1:32">
      <c r="A180" s="169"/>
      <c r="B180" s="718" t="s">
        <v>1099</v>
      </c>
      <c r="C180" s="226"/>
      <c r="D180" s="261" t="str">
        <f>"IND"&amp;RIGHT(H180,4)&amp;RIGHT(G180,3)&amp;"N"&amp;RIGHT(E180,1)</f>
        <v>INDCDSHCOAN2</v>
      </c>
      <c r="E180" s="261" t="str">
        <f>"Industrial heating technology "&amp;$AJ$12&amp;" "&amp;RIGHT(H180,2)&amp;" - Coal boiler (Hot Water) - new 2"</f>
        <v>Industrial heating technology Chemical SH - Coal boiler (Hot Water) - new 2</v>
      </c>
      <c r="F180" s="224" t="s">
        <v>1149</v>
      </c>
      <c r="G180" s="55" t="s">
        <v>617</v>
      </c>
      <c r="H180" s="174" t="str">
        <f>$AI$15</f>
        <v>ICDSH</v>
      </c>
      <c r="I180" s="174" t="str">
        <f t="shared" si="143"/>
        <v>INDCWH</v>
      </c>
      <c r="J180" s="224">
        <f t="shared" si="146"/>
        <v>2011</v>
      </c>
      <c r="K180" s="299">
        <v>2025</v>
      </c>
      <c r="L180" s="199">
        <f t="shared" ca="1" si="253"/>
        <v>0.89</v>
      </c>
      <c r="M180" s="199"/>
      <c r="N180" s="81">
        <f ca="1">VLOOKUP($AD180,INDIRECT("'"&amp;$B180&amp;"'!"&amp;"$P$118:$AD$121"),5,FALSE)</f>
        <v>25</v>
      </c>
      <c r="O180" s="723">
        <f t="shared" ca="1" si="254"/>
        <v>3.7250000000000001</v>
      </c>
      <c r="P180" s="723">
        <f t="shared" ca="1" si="255"/>
        <v>0.25106499999999998</v>
      </c>
      <c r="Q180" s="81">
        <f t="shared" ca="1" si="256"/>
        <v>3.9381527777777778</v>
      </c>
      <c r="R180" s="81">
        <v>3.1536000000000002E-2</v>
      </c>
      <c r="S180" s="199">
        <v>0.5</v>
      </c>
      <c r="T180" s="199">
        <f ca="1">HLOOKUP($T$2,INDIRECT("'"&amp;$B180&amp;"'!"&amp;"$P$85:$AC$98"),IF(H180=$AI$13,6,IF(H180=$AI$14,9,14)),FALSE)</f>
        <v>1</v>
      </c>
      <c r="U180" s="773"/>
      <c r="V180" s="199">
        <f t="shared" ref="V180" ca="1" si="260">IF(IF(RIGHT(H180,2)="PH",(1-L180)+$W$2,IF(RIGHT(H180,2)="HT",(1-L180)+$W$1,IF(RIGHT(H180,2)="SH",(1-L180)+$W$3,"")))&gt;0,IF(RIGHT(H180,2)="PH",(1-L180)+$W$2,IF(RIGHT(H180,2)="HT",(1-L180)+$W$1,IF(RIGHT(H180,2)="SH",(1-L180)+$W$3,""))),0)</f>
        <v>0.10999999999999999</v>
      </c>
      <c r="W180" s="709"/>
      <c r="X180" s="698">
        <f ca="1">IF(VLOOKUP($AD180,INDIRECT("'"&amp;$B180&amp;"'!"&amp;"$P$39:$AD$42"),11,FALSE)="Cf. the utilized electricity",0,VLOOKUP($AD180,INDIRECT("'"&amp;$B180&amp;"'!"&amp;"$P$39:$AD$42"),11,FALSE))</f>
        <v>8</v>
      </c>
      <c r="Y180" s="698">
        <f ca="1">VLOOKUP($AD180,INDIRECT("'"&amp;$B180&amp;"'!"&amp;"$P$118:$AD$121"),12,FALSE)</f>
        <v>35</v>
      </c>
      <c r="Z180" s="698">
        <f ca="1">VLOOKUP($AD180,INDIRECT("'"&amp;$B180&amp;"'!"&amp;"$P$118:$AD$121"),13,FALSE)</f>
        <v>1.5</v>
      </c>
      <c r="AA180" s="698">
        <f ca="1">VLOOKUP($AD180,INDIRECT("'"&amp;$B180&amp;"'!"&amp;"$P$118:$AD$121"),14,FALSE)</f>
        <v>0.8</v>
      </c>
      <c r="AB180" s="698">
        <f ca="1">VLOOKUP($AD180,INDIRECT("'"&amp;$B180&amp;"'!"&amp;"$P$118:$AD$121"),15,FALSE)</f>
        <v>2.1</v>
      </c>
      <c r="AC180" s="55"/>
      <c r="AD180" s="81">
        <v>2020</v>
      </c>
      <c r="AE180" s="273"/>
      <c r="AF180" s="828"/>
    </row>
    <row r="181" spans="1:32">
      <c r="A181" s="169"/>
      <c r="B181" s="718" t="s">
        <v>1099</v>
      </c>
      <c r="C181" s="226"/>
      <c r="D181" s="261"/>
      <c r="E181" s="261"/>
      <c r="F181" s="224" t="s">
        <v>1149</v>
      </c>
      <c r="G181" s="55"/>
      <c r="H181" s="174"/>
      <c r="I181" s="174" t="str">
        <f t="shared" si="143"/>
        <v>INDCWH</v>
      </c>
      <c r="J181" s="224">
        <f t="shared" si="146"/>
        <v>2030</v>
      </c>
      <c r="K181" s="200"/>
      <c r="L181" s="199">
        <f t="shared" ca="1" si="253"/>
        <v>0.89</v>
      </c>
      <c r="M181" s="772"/>
      <c r="N181" s="200"/>
      <c r="O181" s="723">
        <f t="shared" ca="1" si="254"/>
        <v>3.7250000000000001</v>
      </c>
      <c r="P181" s="723">
        <f t="shared" ca="1" si="255"/>
        <v>0.24287</v>
      </c>
      <c r="Q181" s="81">
        <f t="shared" ca="1" si="256"/>
        <v>3.9836805555555559</v>
      </c>
      <c r="R181" s="823"/>
      <c r="S181" s="300"/>
      <c r="T181" s="300"/>
      <c r="U181" s="300"/>
      <c r="V181" s="199">
        <f t="shared" ref="V181" ca="1" si="261">IF(IF(RIGHT(H180,2)="PH",(1-L181)+$W$2,IF(RIGHT(H180,2)="HT",(1-L181)+$W$1,IF(RIGHT(H180,2)="SH",(1-L181)+$W$3,"")))&gt;0,IF(RIGHT(H180,2)="PH",(1-L181)+$W$2,IF(RIGHT(H180,2)="HT",(1-L181)+$W$1,IF(RIGHT(H180,2)="SH",(1-L181)+$W$3,""))),0)</f>
        <v>0.10999999999999999</v>
      </c>
      <c r="W181" s="298"/>
      <c r="X181" s="824"/>
      <c r="Y181" s="824"/>
      <c r="Z181" s="824"/>
      <c r="AA181" s="824"/>
      <c r="AB181" s="824"/>
      <c r="AD181" s="81">
        <v>2030</v>
      </c>
      <c r="AE181" s="273"/>
      <c r="AF181" s="828"/>
    </row>
    <row r="182" spans="1:32">
      <c r="A182" s="831"/>
      <c r="B182" s="719" t="s">
        <v>1099</v>
      </c>
      <c r="C182" s="713"/>
      <c r="D182" s="701"/>
      <c r="E182" s="701"/>
      <c r="F182" s="224" t="s">
        <v>1149</v>
      </c>
      <c r="G182" s="203"/>
      <c r="H182" s="702"/>
      <c r="I182" s="266" t="str">
        <f t="shared" si="143"/>
        <v>INDCWH</v>
      </c>
      <c r="J182" s="224">
        <f t="shared" si="146"/>
        <v>2050</v>
      </c>
      <c r="K182" s="825"/>
      <c r="L182" s="199">
        <f t="shared" ca="1" si="253"/>
        <v>0.91</v>
      </c>
      <c r="M182" s="826"/>
      <c r="N182" s="825"/>
      <c r="O182" s="723">
        <f t="shared" ca="1" si="254"/>
        <v>3.7250000000000001</v>
      </c>
      <c r="P182" s="723">
        <f t="shared" ca="1" si="255"/>
        <v>0.22797000000000001</v>
      </c>
      <c r="Q182" s="81">
        <f t="shared" ca="1" si="256"/>
        <v>4.0064444444444449</v>
      </c>
      <c r="R182" s="722"/>
      <c r="S182" s="703"/>
      <c r="T182" s="703"/>
      <c r="U182" s="703"/>
      <c r="V182" s="199">
        <f t="shared" ref="V182" ca="1" si="262">IF(IF(RIGHT(H180,2)="PH",(1-L182)+$W$2,IF(RIGHT(H180,2)="HT",(1-L182)+$W$1,IF(RIGHT(H180,2)="SH",(1-L182)+$W$3,"")))&gt;0,IF(RIGHT(H180,2)="PH",(1-L182)+$W$2,IF(RIGHT(H180,2)="HT",(1-L182)+$W$1,IF(RIGHT(H180,2)="SH",(1-L182)+$W$3,""))),0)</f>
        <v>8.9999999999999969E-2</v>
      </c>
      <c r="W182" s="704"/>
      <c r="X182" s="827"/>
      <c r="Y182" s="827"/>
      <c r="Z182" s="827"/>
      <c r="AA182" s="827"/>
      <c r="AB182" s="827"/>
      <c r="AC182" s="203"/>
      <c r="AD182" s="81">
        <v>2050</v>
      </c>
      <c r="AE182" s="273"/>
      <c r="AF182" s="829"/>
    </row>
    <row r="183" spans="1:32">
      <c r="A183" s="831"/>
      <c r="B183" s="226" t="s">
        <v>576</v>
      </c>
      <c r="C183" s="901"/>
      <c r="D183" s="261" t="str">
        <f>"IND"&amp;RIGHT(H183,4)&amp;RIGHT(G183,3)&amp;"N"&amp;RIGHT(E183,1)</f>
        <v>INDCDSHSOLN1</v>
      </c>
      <c r="E183" s="261" t="str">
        <f>"Industrial heating technology "&amp;$AJ$12&amp;" "&amp;RIGHT(H183,2)&amp;" - Solar - new 1"</f>
        <v>Industrial heating technology Chemical SH - Solar - new 1</v>
      </c>
      <c r="F183" s="224" t="s">
        <v>1149</v>
      </c>
      <c r="G183" s="55" t="s">
        <v>500</v>
      </c>
      <c r="H183" s="174" t="str">
        <f>$AI$15</f>
        <v>ICDSH</v>
      </c>
      <c r="I183" s="174"/>
      <c r="J183" s="224">
        <f t="shared" si="146"/>
        <v>2011</v>
      </c>
      <c r="K183" s="299">
        <v>2025</v>
      </c>
      <c r="L183" s="199">
        <f ca="1">VLOOKUP($AD183,INDIRECT("'"&amp;$B183&amp;"'!"&amp;"$J$40:$X$43"),3,FALSE)</f>
        <v>1</v>
      </c>
      <c r="M183" s="772"/>
      <c r="N183" s="199">
        <f ca="1">VLOOKUP($AD183,INDIRECT("'"&amp;$B183&amp;"'!"&amp;"$J$40:$X$43"),5,FALSE)</f>
        <v>25</v>
      </c>
      <c r="O183" s="199">
        <f ca="1">VLOOKUP($AD183,INDIRECT("'"&amp;$B183&amp;"'!"&amp;"$J$40:$X$43"),6,FALSE)/1000</f>
        <v>4.2857142857142865</v>
      </c>
      <c r="P183" s="199">
        <f ca="1">VLOOKUP($AD183,INDIRECT("'"&amp;$B183&amp;"'!"&amp;"$J$40:$X$43"),7,FALSE)/1000</f>
        <v>2.0660433158225668E-2</v>
      </c>
      <c r="Q183" s="199">
        <f ca="1">VLOOKUP($AD183,INDIRECT("'"&amp;$B183&amp;"'!"&amp;"$J$40:$X$43"),8,FALSE)</f>
        <v>0</v>
      </c>
      <c r="R183" s="81">
        <v>3.1536000000000002E-2</v>
      </c>
      <c r="S183" s="199">
        <v>8.5500000000000007E-2</v>
      </c>
      <c r="T183" s="199">
        <v>1</v>
      </c>
      <c r="U183" s="300"/>
      <c r="V183" s="199"/>
      <c r="W183" s="298"/>
      <c r="X183" s="698">
        <v>0</v>
      </c>
      <c r="Y183" s="81">
        <v>0</v>
      </c>
      <c r="Z183" s="81">
        <v>0</v>
      </c>
      <c r="AA183" s="81">
        <v>0</v>
      </c>
      <c r="AB183" s="81">
        <v>0</v>
      </c>
      <c r="AC183" s="55"/>
      <c r="AD183" s="81">
        <v>2020</v>
      </c>
      <c r="AE183" s="200"/>
      <c r="AF183" s="700"/>
    </row>
    <row r="184" spans="1:32">
      <c r="A184" s="831"/>
      <c r="B184" s="226" t="s">
        <v>576</v>
      </c>
      <c r="C184" s="902"/>
      <c r="D184" s="261"/>
      <c r="E184" s="261"/>
      <c r="F184" s="224" t="s">
        <v>1149</v>
      </c>
      <c r="G184" s="55"/>
      <c r="H184" s="174"/>
      <c r="I184" s="174"/>
      <c r="J184" s="224">
        <f t="shared" si="146"/>
        <v>2030</v>
      </c>
      <c r="K184" s="200"/>
      <c r="L184" s="199">
        <f ca="1">VLOOKUP($AD184,INDIRECT("'"&amp;$B184&amp;"'!"&amp;"$J$40:$X$43"),3,FALSE)</f>
        <v>1</v>
      </c>
      <c r="M184" s="772"/>
      <c r="N184" s="199">
        <f ca="1">VLOOKUP($AD184,INDIRECT("'"&amp;$B184&amp;"'!"&amp;"$J$40:$X$43"),5,FALSE)</f>
        <v>30</v>
      </c>
      <c r="O184" s="199">
        <f ca="1">VLOOKUP($AD184,INDIRECT("'"&amp;$B184&amp;"'!"&amp;"$J$40:$X$43"),6,FALSE)/1000</f>
        <v>3.9285714285714284</v>
      </c>
      <c r="P184" s="199">
        <f ca="1">VLOOKUP($AD184,INDIRECT("'"&amp;$B184&amp;"'!"&amp;"$J$40:$X$43"),7,FALSE)/1000</f>
        <v>2.328125E-2</v>
      </c>
      <c r="Q184" s="199">
        <f ca="1">VLOOKUP($AD184,INDIRECT("'"&amp;$B184&amp;"'!"&amp;"$J$40:$X$43"),8,FALSE)</f>
        <v>0</v>
      </c>
      <c r="R184" s="823"/>
      <c r="S184" s="300"/>
      <c r="T184" s="300"/>
      <c r="U184" s="300"/>
      <c r="V184" s="772"/>
      <c r="W184" s="298"/>
      <c r="X184" s="824"/>
      <c r="Y184" s="824"/>
      <c r="Z184" s="824"/>
      <c r="AA184" s="824"/>
      <c r="AB184" s="824"/>
      <c r="AC184" s="55"/>
      <c r="AD184" s="81">
        <v>2030</v>
      </c>
      <c r="AE184" s="200"/>
      <c r="AF184" s="700"/>
    </row>
    <row r="185" spans="1:32" s="203" customFormat="1">
      <c r="A185" s="900"/>
      <c r="B185" s="713" t="s">
        <v>576</v>
      </c>
      <c r="C185" s="903"/>
      <c r="D185" s="701"/>
      <c r="E185" s="701"/>
      <c r="F185" s="224" t="s">
        <v>1149</v>
      </c>
      <c r="H185" s="702"/>
      <c r="I185" s="702"/>
      <c r="J185" s="224">
        <f t="shared" si="146"/>
        <v>2050</v>
      </c>
      <c r="K185" s="825"/>
      <c r="L185" s="199">
        <f ca="1">VLOOKUP($AD185,INDIRECT("'"&amp;$B185&amp;"'!"&amp;"$J$40:$X$43"),3,FALSE)</f>
        <v>1</v>
      </c>
      <c r="M185" s="826"/>
      <c r="N185" s="199">
        <f ca="1">VLOOKUP($AD185,INDIRECT("'"&amp;$B185&amp;"'!"&amp;"$J$40:$X$43"),5,FALSE)</f>
        <v>30</v>
      </c>
      <c r="O185" s="199">
        <f ca="1">VLOOKUP($AD185,INDIRECT("'"&amp;$B185&amp;"'!"&amp;"$J$40:$X$43"),6,FALSE)/1000</f>
        <v>3.5714285714285721</v>
      </c>
      <c r="P185" s="199">
        <f ca="1">VLOOKUP($AD185,INDIRECT("'"&amp;$B185&amp;"'!"&amp;"$J$40:$X$43"),7,FALSE)/1000</f>
        <v>2.1498571428571429E-2</v>
      </c>
      <c r="Q185" s="199">
        <f ca="1">VLOOKUP($AD185,INDIRECT("'"&amp;$B185&amp;"'!"&amp;"$J$40:$X$43"),8,FALSE)</f>
        <v>0</v>
      </c>
      <c r="R185" s="722"/>
      <c r="S185" s="703"/>
      <c r="T185" s="703"/>
      <c r="U185" s="703"/>
      <c r="V185" s="826"/>
      <c r="W185" s="704"/>
      <c r="X185" s="827"/>
      <c r="Y185" s="827"/>
      <c r="Z185" s="827"/>
      <c r="AA185" s="827"/>
      <c r="AB185" s="827"/>
      <c r="AD185" s="81">
        <v>2050</v>
      </c>
      <c r="AE185" s="825"/>
      <c r="AF185" s="705"/>
    </row>
    <row r="186" spans="1:32">
      <c r="A186" s="169"/>
      <c r="D186" s="36" t="s">
        <v>503</v>
      </c>
      <c r="E186" s="36"/>
      <c r="F186" s="224" t="s">
        <v>1149</v>
      </c>
      <c r="H186" s="173"/>
      <c r="I186" s="173"/>
      <c r="J186" s="224">
        <f t="shared" si="146"/>
        <v>0</v>
      </c>
      <c r="K186" s="198"/>
      <c r="L186" s="204"/>
      <c r="M186" s="204"/>
      <c r="N186" s="204"/>
      <c r="O186" s="37"/>
      <c r="P186" s="37"/>
      <c r="Q186" s="205"/>
      <c r="R186" s="252"/>
      <c r="S186" s="274"/>
      <c r="T186" s="204"/>
      <c r="U186" s="204"/>
      <c r="V186" s="204"/>
      <c r="W186" s="204"/>
      <c r="X186" s="204"/>
      <c r="Y186" s="204"/>
      <c r="Z186" s="204"/>
      <c r="AA186" s="204"/>
      <c r="AB186" s="204"/>
    </row>
    <row r="187" spans="1:32">
      <c r="A187" s="169"/>
      <c r="D187" s="212" t="str">
        <f t="shared" ref="D187:D192" si="263">"IND"&amp;RIGHT(H187,4)&amp;RIGHT(G187,3)&amp;"N"&amp;RIGHT(E187,1)</f>
        <v>INDCDSHHCEN1</v>
      </c>
      <c r="E187" s="224" t="str">
        <f>"Industrial heating technology "&amp;$AJ$12&amp;" "&amp;RIGHT(H187,2)&amp;" - central district heating - within DH area - new 1"</f>
        <v>Industrial heating technology Chemical SH - central district heating - within DH area - new 1</v>
      </c>
      <c r="F187" s="224" t="s">
        <v>1149</v>
      </c>
      <c r="G187" s="225" t="s">
        <v>501</v>
      </c>
      <c r="H187" s="225" t="str">
        <f>AI15</f>
        <v>ICDSH</v>
      </c>
      <c r="I187" s="225"/>
      <c r="J187" s="81">
        <v>2011</v>
      </c>
      <c r="K187" s="299">
        <v>2025</v>
      </c>
      <c r="L187" s="81">
        <v>0.96</v>
      </c>
      <c r="M187" s="81"/>
      <c r="N187" s="81">
        <v>30</v>
      </c>
      <c r="O187" s="253">
        <v>1.17</v>
      </c>
      <c r="P187" s="254">
        <f>'DH network'!$M$9</f>
        <v>5.8735799999999998E-2</v>
      </c>
      <c r="Q187" s="254">
        <f ca="1">Q31*0.95</f>
        <v>1.9463124999999999</v>
      </c>
      <c r="R187" s="201">
        <v>3.1536000000000002E-2</v>
      </c>
      <c r="S187" s="275">
        <v>0.5</v>
      </c>
      <c r="T187" s="228"/>
      <c r="U187" s="228"/>
      <c r="V187" s="228"/>
      <c r="W187" s="287"/>
      <c r="X187" s="278"/>
      <c r="Y187" s="61"/>
      <c r="Z187" s="61"/>
      <c r="AA187" s="61"/>
      <c r="AB187" s="61"/>
    </row>
    <row r="188" spans="1:32">
      <c r="A188" s="169"/>
      <c r="D188" s="212" t="str">
        <f t="shared" si="263"/>
        <v>INDCDPHHCEN1</v>
      </c>
      <c r="E188" s="224" t="str">
        <f>"Industrial heating technology "&amp;$AJ$12&amp;" "&amp;RIGHT(H188,2)&amp;" - central district heating - within DH area - new 1"</f>
        <v>Industrial heating technology Chemical PH - central district heating - within DH area - new 1</v>
      </c>
      <c r="F188" s="224" t="s">
        <v>1149</v>
      </c>
      <c r="G188" s="225" t="s">
        <v>501</v>
      </c>
      <c r="H188" s="281" t="str">
        <f>AI14</f>
        <v>ICDPH</v>
      </c>
      <c r="I188" s="281"/>
      <c r="J188" s="81">
        <v>2011</v>
      </c>
      <c r="K188" s="299">
        <v>2025</v>
      </c>
      <c r="L188" s="81">
        <v>0.96</v>
      </c>
      <c r="M188" s="81"/>
      <c r="N188" s="81">
        <v>30</v>
      </c>
      <c r="O188" s="253">
        <v>1.17</v>
      </c>
      <c r="P188" s="254">
        <f>'DH network'!$M$9</f>
        <v>5.8735799999999998E-2</v>
      </c>
      <c r="Q188" s="254">
        <f ca="1">Q33*0.95</f>
        <v>6.4090694444444436</v>
      </c>
      <c r="R188" s="201">
        <v>3.1536000000000002E-2</v>
      </c>
      <c r="S188" s="275">
        <v>0.5</v>
      </c>
      <c r="T188" s="228">
        <v>0.05</v>
      </c>
      <c r="U188" s="228"/>
      <c r="V188" s="228"/>
      <c r="W188" s="287"/>
      <c r="X188" s="278"/>
      <c r="Y188" s="61"/>
      <c r="Z188" s="61"/>
      <c r="AA188" s="61"/>
      <c r="AB188" s="61"/>
      <c r="AC188" s="226"/>
      <c r="AD188" s="226"/>
      <c r="AE188" s="226"/>
      <c r="AF188" s="226"/>
    </row>
    <row r="189" spans="1:32">
      <c r="A189" s="169"/>
      <c r="D189" s="212" t="str">
        <f t="shared" si="263"/>
        <v>INDCDSHHSEN1</v>
      </c>
      <c r="E189" s="224" t="str">
        <f>"Industrial heating technology "&amp;$AJ$12&amp;" "&amp;RIGHT(H189,2)&amp;" - central district heating - within DH area - new 1"</f>
        <v>Industrial heating technology Chemical SH - central district heating - within DH area - new 1</v>
      </c>
      <c r="F189" s="224" t="s">
        <v>1149</v>
      </c>
      <c r="G189" s="225" t="s">
        <v>2123</v>
      </c>
      <c r="H189" s="225" t="str">
        <f>H187</f>
        <v>ICDSH</v>
      </c>
      <c r="I189" s="225"/>
      <c r="J189" s="81">
        <f t="shared" ref="J189:L190" si="264">J187</f>
        <v>2011</v>
      </c>
      <c r="K189" s="81">
        <f t="shared" si="264"/>
        <v>2025</v>
      </c>
      <c r="L189" s="81">
        <f t="shared" si="264"/>
        <v>0.96</v>
      </c>
      <c r="M189" s="81"/>
      <c r="N189" s="81">
        <f t="shared" ref="N189:S190" si="265">N187</f>
        <v>30</v>
      </c>
      <c r="O189" s="81">
        <f t="shared" si="265"/>
        <v>1.17</v>
      </c>
      <c r="P189" s="81">
        <f t="shared" si="265"/>
        <v>5.8735799999999998E-2</v>
      </c>
      <c r="Q189" s="81">
        <f t="shared" ca="1" si="265"/>
        <v>1.9463124999999999</v>
      </c>
      <c r="R189" s="81">
        <f t="shared" si="265"/>
        <v>3.1536000000000002E-2</v>
      </c>
      <c r="S189" s="81">
        <f t="shared" si="265"/>
        <v>0.5</v>
      </c>
      <c r="T189" s="228"/>
      <c r="U189" s="228"/>
      <c r="V189" s="228"/>
      <c r="W189" s="287"/>
      <c r="X189" s="278"/>
      <c r="Y189" s="61"/>
      <c r="Z189" s="61"/>
      <c r="AA189" s="61"/>
      <c r="AB189" s="61"/>
    </row>
    <row r="190" spans="1:32">
      <c r="A190" s="169"/>
      <c r="D190" s="212" t="str">
        <f t="shared" si="263"/>
        <v>INDCDPHHSEN1</v>
      </c>
      <c r="E190" s="224" t="str">
        <f>"Industrial heating technology "&amp;$AJ$12&amp;" "&amp;RIGHT(H190,2)&amp;" - central district heating - within DH area - new 1"</f>
        <v>Industrial heating technology Chemical PH - central district heating - within DH area - new 1</v>
      </c>
      <c r="F190" s="224" t="s">
        <v>1149</v>
      </c>
      <c r="G190" s="225" t="s">
        <v>2123</v>
      </c>
      <c r="H190" s="225" t="str">
        <f>H188</f>
        <v>ICDPH</v>
      </c>
      <c r="I190" s="281"/>
      <c r="J190" s="81">
        <f t="shared" si="264"/>
        <v>2011</v>
      </c>
      <c r="K190" s="81">
        <f t="shared" si="264"/>
        <v>2025</v>
      </c>
      <c r="L190" s="81">
        <f t="shared" si="264"/>
        <v>0.96</v>
      </c>
      <c r="M190" s="81"/>
      <c r="N190" s="81">
        <f t="shared" si="265"/>
        <v>30</v>
      </c>
      <c r="O190" s="81">
        <f t="shared" si="265"/>
        <v>1.17</v>
      </c>
      <c r="P190" s="81">
        <f t="shared" si="265"/>
        <v>5.8735799999999998E-2</v>
      </c>
      <c r="Q190" s="81">
        <f t="shared" ca="1" si="265"/>
        <v>6.4090694444444436</v>
      </c>
      <c r="R190" s="81">
        <f t="shared" si="265"/>
        <v>3.1536000000000002E-2</v>
      </c>
      <c r="S190" s="81">
        <f t="shared" si="265"/>
        <v>0.5</v>
      </c>
      <c r="T190" s="81">
        <f>T188</f>
        <v>0.05</v>
      </c>
      <c r="U190" s="228"/>
      <c r="V190" s="228"/>
      <c r="W190" s="287"/>
      <c r="X190" s="278"/>
      <c r="Y190" s="61"/>
      <c r="Z190" s="61"/>
      <c r="AA190" s="61"/>
      <c r="AB190" s="61"/>
      <c r="AC190" s="226"/>
      <c r="AD190" s="226"/>
      <c r="AE190" s="226"/>
      <c r="AF190" s="226"/>
    </row>
    <row r="191" spans="1:32">
      <c r="A191" s="169"/>
      <c r="D191" s="212" t="str">
        <f t="shared" si="263"/>
        <v>INDCDSHHDEN1</v>
      </c>
      <c r="E191" s="224" t="str">
        <f>"Industrial heating technology "&amp;$AJ$12&amp;" "&amp;RIGHT(H191,2)&amp;" - decentral district heating - within DH area - new 1"</f>
        <v>Industrial heating technology Chemical SH - decentral district heating - within DH area - new 1</v>
      </c>
      <c r="F191" s="224" t="s">
        <v>1149</v>
      </c>
      <c r="G191" s="259" t="s">
        <v>502</v>
      </c>
      <c r="H191" s="265" t="str">
        <f>AI15</f>
        <v>ICDSH</v>
      </c>
      <c r="I191" s="265"/>
      <c r="J191" s="81">
        <v>2011</v>
      </c>
      <c r="K191" s="299">
        <v>2025</v>
      </c>
      <c r="L191" s="81">
        <f>L187</f>
        <v>0.96</v>
      </c>
      <c r="M191" s="81"/>
      <c r="N191" s="81">
        <v>30</v>
      </c>
      <c r="O191" s="253">
        <v>1.25</v>
      </c>
      <c r="P191" s="254">
        <f>'DH network'!$M$9</f>
        <v>5.8735799999999998E-2</v>
      </c>
      <c r="Q191" s="254">
        <f ca="1">Q187</f>
        <v>1.9463124999999999</v>
      </c>
      <c r="R191" s="201">
        <v>3.1536000000000002E-2</v>
      </c>
      <c r="S191" s="275">
        <v>0.5</v>
      </c>
      <c r="T191" s="228"/>
      <c r="U191" s="228"/>
      <c r="V191" s="228"/>
      <c r="W191" s="287"/>
      <c r="X191" s="278"/>
      <c r="Y191" s="61"/>
      <c r="Z191" s="61"/>
      <c r="AA191" s="61"/>
      <c r="AB191" s="61"/>
      <c r="AC191" s="226"/>
      <c r="AD191" s="226"/>
      <c r="AE191" s="226"/>
      <c r="AF191" s="226"/>
    </row>
    <row r="192" spans="1:32">
      <c r="A192" s="169"/>
      <c r="D192" s="212" t="str">
        <f t="shared" si="263"/>
        <v>INDCDPHHDEN1</v>
      </c>
      <c r="E192" s="224" t="str">
        <f>"Industrial heating technology "&amp;$AJ$12&amp;" "&amp;RIGHT(H192,2)&amp;" - decentral district heating - within DH area - new 1"</f>
        <v>Industrial heating technology Chemical PH - decentral district heating - within DH area - new 1</v>
      </c>
      <c r="F192" s="224" t="s">
        <v>1149</v>
      </c>
      <c r="G192" s="259" t="s">
        <v>502</v>
      </c>
      <c r="H192" s="225" t="str">
        <f>AI14</f>
        <v>ICDPH</v>
      </c>
      <c r="I192" s="225"/>
      <c r="J192" s="81">
        <v>2011</v>
      </c>
      <c r="K192" s="299">
        <v>2025</v>
      </c>
      <c r="L192" s="81">
        <f>L188</f>
        <v>0.96</v>
      </c>
      <c r="M192" s="81"/>
      <c r="N192" s="81">
        <v>30</v>
      </c>
      <c r="O192" s="253">
        <v>1.25</v>
      </c>
      <c r="P192" s="254">
        <f>'DH network'!$M$9</f>
        <v>5.8735799999999998E-2</v>
      </c>
      <c r="Q192" s="254">
        <f ca="1">Q188</f>
        <v>6.4090694444444436</v>
      </c>
      <c r="R192" s="201">
        <v>3.1536000000000002E-2</v>
      </c>
      <c r="S192" s="275">
        <v>0.5</v>
      </c>
      <c r="T192" s="228">
        <v>0.05</v>
      </c>
      <c r="U192" s="228"/>
      <c r="V192" s="228"/>
      <c r="W192" s="287"/>
      <c r="X192" s="278"/>
      <c r="Y192" s="61"/>
      <c r="Z192" s="61"/>
      <c r="AA192" s="61"/>
      <c r="AB192" s="61"/>
      <c r="AC192" s="226"/>
      <c r="AD192" s="226"/>
      <c r="AE192" s="226"/>
      <c r="AF192" s="226"/>
    </row>
    <row r="193" spans="1:32">
      <c r="A193" s="169"/>
      <c r="B193" s="226"/>
      <c r="C193" s="226"/>
      <c r="D193" s="258" t="s">
        <v>497</v>
      </c>
      <c r="E193" s="258"/>
      <c r="F193" s="224" t="s">
        <v>1149</v>
      </c>
      <c r="G193" s="206"/>
      <c r="H193" s="225"/>
      <c r="I193" s="225"/>
      <c r="J193" s="200"/>
      <c r="K193" s="200"/>
      <c r="L193" s="200"/>
      <c r="M193" s="200"/>
      <c r="N193" s="200"/>
      <c r="O193" s="227"/>
      <c r="P193" s="227"/>
      <c r="Q193" s="227"/>
      <c r="R193" s="202"/>
      <c r="S193" s="228"/>
      <c r="T193" s="228"/>
      <c r="U193" s="228"/>
      <c r="V193" s="228"/>
      <c r="W193" s="287"/>
      <c r="X193" s="226"/>
      <c r="Y193" s="226"/>
      <c r="Z193" s="226"/>
      <c r="AA193" s="226"/>
      <c r="AB193" s="226"/>
      <c r="AC193" s="226"/>
      <c r="AD193" s="226"/>
      <c r="AE193" s="226"/>
      <c r="AF193" s="226"/>
    </row>
    <row r="194" spans="1:32">
      <c r="A194" s="169"/>
      <c r="B194" s="226"/>
      <c r="C194" s="226"/>
      <c r="D194" s="212" t="str">
        <f>"IND"&amp;RIGHT(H194,4)&amp;RIGHT(G194,3)&amp;"N"&amp;RIGHT(E194,1)</f>
        <v>INDCDLAELCN1</v>
      </c>
      <c r="E194" s="224" t="str">
        <f>"Industry "&amp;$AJ$12&amp;" "&amp;RIGHT(H194,2)&amp;" Electricity Light Appliance - New 1"</f>
        <v>Industry Chemical LA Electricity Light Appliance - New 1</v>
      </c>
      <c r="F194" s="224" t="s">
        <v>1149</v>
      </c>
      <c r="G194" s="225" t="s">
        <v>499</v>
      </c>
      <c r="H194" s="225" t="str">
        <f>AI16</f>
        <v>ICDLA</v>
      </c>
      <c r="I194" s="225"/>
      <c r="J194" s="81">
        <v>2011</v>
      </c>
      <c r="K194" s="81">
        <v>2011</v>
      </c>
      <c r="L194" s="256">
        <v>1</v>
      </c>
      <c r="M194" s="256"/>
      <c r="N194" s="256">
        <v>10</v>
      </c>
      <c r="O194" s="254"/>
      <c r="P194" s="254"/>
      <c r="Q194" s="254"/>
      <c r="R194" s="201"/>
      <c r="S194" s="275">
        <v>0.9</v>
      </c>
      <c r="T194" s="228"/>
      <c r="U194" s="228"/>
      <c r="V194" s="228"/>
      <c r="W194" s="287"/>
      <c r="X194" s="279"/>
      <c r="Y194" s="255"/>
      <c r="Z194" s="255"/>
      <c r="AA194" s="255"/>
      <c r="AB194" s="255"/>
      <c r="AC194" s="226"/>
      <c r="AD194" s="226"/>
      <c r="AE194" s="226"/>
      <c r="AF194" s="226"/>
    </row>
    <row r="195" spans="1:32">
      <c r="A195" s="169"/>
      <c r="B195" s="226"/>
      <c r="C195" s="226"/>
      <c r="F195" s="224" t="s">
        <v>1149</v>
      </c>
      <c r="G195" s="225"/>
      <c r="H195" s="226"/>
      <c r="I195" s="226"/>
      <c r="J195" s="256">
        <v>2020</v>
      </c>
      <c r="K195" s="256"/>
      <c r="L195" s="256"/>
      <c r="M195" s="256"/>
      <c r="N195" s="256"/>
      <c r="O195" s="254"/>
      <c r="P195" s="254"/>
      <c r="Q195" s="254"/>
      <c r="R195" s="201"/>
      <c r="S195" s="275"/>
      <c r="T195" s="228"/>
      <c r="U195" s="228"/>
      <c r="V195" s="228"/>
      <c r="W195" s="287"/>
      <c r="X195" s="279"/>
      <c r="Y195" s="255"/>
      <c r="Z195" s="255"/>
      <c r="AA195" s="255"/>
      <c r="AB195" s="255"/>
      <c r="AC195" s="226"/>
      <c r="AD195" s="226"/>
      <c r="AE195" s="226"/>
      <c r="AF195" s="226"/>
    </row>
    <row r="196" spans="1:32">
      <c r="A196" s="169"/>
      <c r="B196" s="226"/>
      <c r="C196" s="226"/>
      <c r="F196" s="224" t="s">
        <v>1149</v>
      </c>
      <c r="G196" s="225"/>
      <c r="H196" s="225"/>
      <c r="I196" s="225"/>
      <c r="J196" s="256">
        <v>2030</v>
      </c>
      <c r="K196" s="256"/>
      <c r="L196" s="256"/>
      <c r="M196" s="256"/>
      <c r="N196" s="256"/>
      <c r="O196" s="254"/>
      <c r="P196" s="254"/>
      <c r="Q196" s="254"/>
      <c r="R196" s="201"/>
      <c r="S196" s="275"/>
      <c r="T196" s="228"/>
      <c r="U196" s="228"/>
      <c r="V196" s="228"/>
      <c r="W196" s="287"/>
      <c r="X196" s="279"/>
      <c r="Y196" s="255"/>
      <c r="Z196" s="255"/>
      <c r="AA196" s="255"/>
      <c r="AB196" s="255"/>
    </row>
    <row r="197" spans="1:32">
      <c r="A197" s="169"/>
      <c r="B197" s="226"/>
      <c r="C197" s="226"/>
      <c r="F197" s="224" t="s">
        <v>1149</v>
      </c>
      <c r="G197" s="225"/>
      <c r="H197" s="225"/>
      <c r="I197" s="225"/>
      <c r="J197" s="256">
        <v>2050</v>
      </c>
      <c r="K197" s="256"/>
      <c r="L197" s="256"/>
      <c r="M197" s="256"/>
      <c r="N197" s="256"/>
      <c r="O197" s="254"/>
      <c r="P197" s="254"/>
      <c r="Q197" s="254"/>
      <c r="R197" s="201"/>
      <c r="S197" s="275"/>
      <c r="T197" s="228"/>
      <c r="U197" s="228"/>
      <c r="V197" s="228"/>
      <c r="W197" s="287"/>
      <c r="X197" s="279"/>
      <c r="Y197" s="255"/>
      <c r="Z197" s="255"/>
      <c r="AA197" s="255"/>
      <c r="AB197" s="255"/>
    </row>
    <row r="198" spans="1:32">
      <c r="A198" s="169"/>
      <c r="B198" s="226"/>
      <c r="C198" s="226"/>
      <c r="D198" s="212" t="str">
        <f>"IND"&amp;RIGHT(H198,4)&amp;RIGHT(G198,3)&amp;"N"&amp;RIGHT(E198,1)</f>
        <v>INDCDEMELCN1</v>
      </c>
      <c r="E198" s="224" t="str">
        <f>"Industry "&amp;$AJ$12&amp;" "&amp;RIGHT(H198,2)&amp;" Electricity Motors - New 1"</f>
        <v>Industry Chemical EM Electricity Motors - New 1</v>
      </c>
      <c r="F198" s="224" t="s">
        <v>1149</v>
      </c>
      <c r="G198" s="225" t="s">
        <v>499</v>
      </c>
      <c r="H198" s="225" t="str">
        <f>AI17</f>
        <v>ICDEM</v>
      </c>
      <c r="I198" s="225"/>
      <c r="J198" s="81">
        <v>2011</v>
      </c>
      <c r="K198" s="81">
        <v>2011</v>
      </c>
      <c r="L198" s="256">
        <v>1</v>
      </c>
      <c r="M198" s="256"/>
      <c r="N198" s="256">
        <v>10</v>
      </c>
      <c r="O198" s="254"/>
      <c r="P198" s="254"/>
      <c r="Q198" s="254"/>
      <c r="R198" s="201"/>
      <c r="S198" s="275">
        <v>0.9</v>
      </c>
      <c r="T198" s="228"/>
      <c r="U198" s="228"/>
      <c r="V198" s="228"/>
      <c r="W198" s="287"/>
      <c r="X198" s="279"/>
      <c r="Y198" s="255"/>
      <c r="Z198" s="255"/>
      <c r="AA198" s="255"/>
      <c r="AB198" s="255"/>
    </row>
    <row r="199" spans="1:32">
      <c r="A199" s="169"/>
      <c r="D199" s="170"/>
      <c r="E199" s="64"/>
      <c r="F199" s="224" t="s">
        <v>1149</v>
      </c>
      <c r="H199" s="173"/>
      <c r="I199" s="173"/>
      <c r="J199" s="256">
        <v>2020</v>
      </c>
      <c r="K199" s="257"/>
      <c r="L199" s="257"/>
      <c r="M199" s="257"/>
      <c r="N199" s="257"/>
      <c r="O199" s="61"/>
      <c r="P199" s="61"/>
      <c r="Q199" s="61"/>
      <c r="R199" s="61"/>
      <c r="S199" s="276"/>
      <c r="T199" s="55"/>
      <c r="U199" s="55"/>
      <c r="V199" s="55"/>
      <c r="W199" s="283"/>
      <c r="X199" s="278"/>
      <c r="Y199" s="61"/>
      <c r="Z199" s="61"/>
      <c r="AA199" s="61"/>
      <c r="AB199" s="61"/>
    </row>
    <row r="200" spans="1:32">
      <c r="A200" s="169"/>
      <c r="F200" s="224" t="s">
        <v>1149</v>
      </c>
      <c r="H200" s="173"/>
      <c r="I200" s="173"/>
      <c r="J200" s="256">
        <v>2030</v>
      </c>
      <c r="K200" s="257"/>
      <c r="L200" s="257"/>
      <c r="M200" s="257"/>
      <c r="N200" s="257"/>
      <c r="O200" s="61"/>
      <c r="P200" s="61"/>
      <c r="Q200" s="61"/>
      <c r="R200" s="61"/>
      <c r="S200" s="276"/>
      <c r="T200" s="55"/>
      <c r="U200" s="55"/>
      <c r="V200" s="55"/>
      <c r="W200" s="283"/>
      <c r="X200" s="278"/>
      <c r="Y200" s="61"/>
      <c r="Z200" s="61"/>
      <c r="AA200" s="61"/>
      <c r="AB200" s="61"/>
    </row>
    <row r="201" spans="1:32">
      <c r="A201" s="169"/>
      <c r="D201" s="203"/>
      <c r="E201" s="203"/>
      <c r="F201" s="224" t="s">
        <v>1149</v>
      </c>
      <c r="G201" s="203"/>
      <c r="H201" s="266"/>
      <c r="I201" s="266"/>
      <c r="J201" s="256">
        <v>2050</v>
      </c>
      <c r="K201" s="257"/>
      <c r="L201" s="257"/>
      <c r="M201" s="257"/>
      <c r="N201" s="257"/>
      <c r="O201" s="61"/>
      <c r="P201" s="61"/>
      <c r="Q201" s="61"/>
      <c r="R201" s="61"/>
      <c r="S201" s="276"/>
      <c r="T201" s="55"/>
      <c r="U201" s="55"/>
      <c r="V201" s="55"/>
      <c r="W201" s="283"/>
      <c r="X201" s="278"/>
      <c r="Y201" s="61"/>
      <c r="Z201" s="61"/>
      <c r="AA201" s="61"/>
      <c r="AB201" s="61"/>
    </row>
    <row r="202" spans="1:32">
      <c r="A202" s="169" t="s">
        <v>2057</v>
      </c>
      <c r="B202" s="224" t="s">
        <v>2064</v>
      </c>
      <c r="D202" s="212" t="str">
        <f>"IND"&amp;RIGHT(H202,4)&amp;"DSL"&amp;"N"&amp;RIGHT(E202,1)</f>
        <v>INDCDTFDSLN1</v>
      </c>
      <c r="E202" s="224" t="str">
        <f>"Industry "&amp;$AJ$12&amp;" "&amp;RIGHT(H202,2)&amp;" Tractors, Trucks, Fishing boats - New 1"</f>
        <v>Industry Chemical TF Tractors, Trucks, Fishing boats - New 1</v>
      </c>
      <c r="F202" s="224" t="s">
        <v>1149</v>
      </c>
      <c r="G202" s="173" t="s">
        <v>2081</v>
      </c>
      <c r="H202" s="174" t="str">
        <f>$AI$18</f>
        <v>ICDTF</v>
      </c>
      <c r="I202" s="174"/>
      <c r="J202" s="81">
        <v>2011</v>
      </c>
      <c r="K202" s="81">
        <v>2011</v>
      </c>
      <c r="L202" s="1127">
        <f>L203</f>
        <v>1</v>
      </c>
      <c r="M202" s="256"/>
      <c r="N202" s="256">
        <v>20</v>
      </c>
      <c r="O202" s="1127">
        <f>O203</f>
        <v>30.836264040545181</v>
      </c>
      <c r="P202" s="254"/>
      <c r="Q202" s="254"/>
      <c r="R202" s="1126">
        <v>1</v>
      </c>
      <c r="S202" s="1127">
        <v>1</v>
      </c>
      <c r="T202" s="228"/>
      <c r="U202" s="228"/>
      <c r="V202" s="228"/>
      <c r="W202" s="287"/>
      <c r="X202" s="55"/>
      <c r="Y202" s="55"/>
      <c r="Z202" s="55"/>
      <c r="AA202" s="55"/>
      <c r="AB202" s="55"/>
    </row>
    <row r="203" spans="1:32">
      <c r="A203" s="169" t="s">
        <v>2057</v>
      </c>
      <c r="B203" s="224" t="s">
        <v>2064</v>
      </c>
      <c r="D203" s="55"/>
      <c r="E203" s="55"/>
      <c r="F203" s="224" t="s">
        <v>1149</v>
      </c>
      <c r="G203" s="55"/>
      <c r="H203" s="174"/>
      <c r="I203" s="174"/>
      <c r="J203" s="256">
        <v>2017</v>
      </c>
      <c r="K203" s="256"/>
      <c r="L203" s="1127">
        <f>1/SUMIFS(Transport!$AS$13:$AS$264,Transport!$D$13:$D$264,$B203,Transport!$E$13:$E$264,$A203,Transport!$A$13:$A$264,$J203)</f>
        <v>1</v>
      </c>
      <c r="M203" s="256"/>
      <c r="N203" s="256"/>
      <c r="O203" s="1127">
        <f>SUMIFS(Transport!$AT$13:$AT$264,Transport!$D$13:$D$264,$B203,Transport!$E$13:$E$264,$A203,Transport!$A$13:$A$264,$J203)/1000*6.5</f>
        <v>30.836264040545181</v>
      </c>
      <c r="P203" s="254"/>
      <c r="Q203" s="254"/>
      <c r="R203" s="1126"/>
      <c r="S203" s="275"/>
      <c r="T203" s="228"/>
      <c r="U203" s="228"/>
      <c r="V203" s="228"/>
      <c r="W203" s="228"/>
      <c r="X203" s="55"/>
      <c r="Y203" s="55"/>
      <c r="Z203" s="55"/>
      <c r="AA203" s="55"/>
      <c r="AB203" s="55"/>
    </row>
    <row r="204" spans="1:32">
      <c r="A204" s="169" t="s">
        <v>2057</v>
      </c>
      <c r="B204" s="224" t="s">
        <v>2064</v>
      </c>
      <c r="D204" s="55"/>
      <c r="E204" s="55"/>
      <c r="F204" s="224" t="s">
        <v>1149</v>
      </c>
      <c r="G204" s="55"/>
      <c r="J204" s="256">
        <v>2030</v>
      </c>
      <c r="K204" s="256"/>
      <c r="L204" s="1127">
        <f>1/SUMIFS(Transport!$AS$13:$AS$264,Transport!$D$13:$D$264,$B204,Transport!$E$13:$E$264,$A204,Transport!$A$13:$A$264,$J204)</f>
        <v>1.4579105312754643</v>
      </c>
      <c r="M204" s="256"/>
      <c r="N204" s="256"/>
      <c r="O204" s="1127">
        <f>SUMIFS(Transport!$AT$13:$AT$264,Transport!$D$13:$D$264,$B204,Transport!$E$13:$E$264,$A204,Transport!$A$13:$A$264,$J204)/1000*6.5</f>
        <v>31.806294618979205</v>
      </c>
      <c r="P204" s="254"/>
      <c r="Q204" s="254"/>
      <c r="R204" s="1126"/>
      <c r="S204" s="275"/>
      <c r="T204" s="228"/>
      <c r="U204" s="228"/>
      <c r="V204" s="228"/>
      <c r="W204" s="228"/>
      <c r="X204" s="55"/>
      <c r="Y204" s="55"/>
      <c r="Z204" s="55"/>
      <c r="AA204" s="55"/>
      <c r="AB204" s="55"/>
    </row>
    <row r="205" spans="1:32">
      <c r="A205" s="169" t="s">
        <v>2057</v>
      </c>
      <c r="B205" s="224" t="s">
        <v>2064</v>
      </c>
      <c r="D205" s="55"/>
      <c r="E205" s="55"/>
      <c r="F205" s="224" t="s">
        <v>1149</v>
      </c>
      <c r="G205" s="55"/>
      <c r="J205" s="256">
        <v>2050</v>
      </c>
      <c r="K205" s="256"/>
      <c r="L205" s="1127">
        <f>1/SUMIFS(Transport!$AS$13:$AS$264,Transport!$D$13:$D$264,$B205,Transport!$E$13:$E$264,$A205,Transport!$A$13:$A$264,$J205)</f>
        <v>1.612189818950156</v>
      </c>
      <c r="M205" s="256"/>
      <c r="N205" s="256"/>
      <c r="O205" s="1127">
        <f>SUMIFS(Transport!$AT$13:$AT$264,Transport!$D$13:$D$264,$B205,Transport!$E$13:$E$264,$A205,Transport!$A$13:$A$264,$J205)/1000*6.5</f>
        <v>32.165108628526795</v>
      </c>
      <c r="P205" s="254"/>
      <c r="Q205" s="254"/>
      <c r="R205" s="1126"/>
      <c r="S205" s="275"/>
      <c r="T205" s="228"/>
      <c r="U205" s="228"/>
      <c r="V205" s="228"/>
      <c r="W205" s="228"/>
      <c r="X205" s="55"/>
      <c r="Y205" s="55"/>
      <c r="Z205" s="55"/>
      <c r="AA205" s="55"/>
      <c r="AB205" s="55"/>
    </row>
    <row r="206" spans="1:32">
      <c r="A206" s="169" t="s">
        <v>2062</v>
      </c>
      <c r="B206" s="224" t="s">
        <v>2064</v>
      </c>
      <c r="D206" s="212" t="str">
        <f>"IND"&amp;RIGHT(H206,4)&amp;"H2G"&amp;"N"&amp;RIGHT(E206,1)</f>
        <v>INDCDTFH2GN2</v>
      </c>
      <c r="E206" s="224" t="str">
        <f>"Industry "&amp;$AJ$12&amp;" "&amp;RIGHT(H206,2)&amp;" Tractors, Trucks, Fishing boats - New 2"</f>
        <v>Industry Chemical TF Tractors, Trucks, Fishing boats - New 2</v>
      </c>
      <c r="F206" s="224" t="s">
        <v>1149</v>
      </c>
      <c r="G206" s="55" t="s">
        <v>2077</v>
      </c>
      <c r="H206" s="174" t="str">
        <f>$AI$18</f>
        <v>ICDTF</v>
      </c>
      <c r="I206" s="174"/>
      <c r="J206" s="81">
        <v>2017</v>
      </c>
      <c r="K206" s="81">
        <v>2030</v>
      </c>
      <c r="L206" s="1127">
        <f>1/SUMIFS(Transport!$AS$13:$AS$264,Transport!$D$13:$D$264,$B206,Transport!$E$13:$E$264,$A206,Transport!$A$13:$A$264,$J206)</f>
        <v>1.6201914448931107</v>
      </c>
      <c r="M206" s="256"/>
      <c r="N206" s="256">
        <v>20</v>
      </c>
      <c r="O206" s="1127">
        <f>SUMIFS(Transport!$AT$13:$AT$264,Transport!$D$13:$D$264,$B206,Transport!$E$13:$E$264,$A206,Transport!$A$13:$A$264,$J206)/1000*6.5</f>
        <v>81.840656028484005</v>
      </c>
      <c r="P206" s="254"/>
      <c r="Q206" s="254"/>
      <c r="R206" s="1126">
        <v>1</v>
      </c>
      <c r="S206" s="1127">
        <v>1</v>
      </c>
      <c r="T206" s="228"/>
      <c r="U206" s="228"/>
      <c r="V206" s="228"/>
      <c r="W206" s="287"/>
      <c r="X206" s="55"/>
      <c r="Y206" s="55"/>
      <c r="Z206" s="55"/>
      <c r="AA206" s="55"/>
      <c r="AB206" s="55"/>
    </row>
    <row r="207" spans="1:32">
      <c r="A207" s="169" t="s">
        <v>2062</v>
      </c>
      <c r="B207" s="224" t="s">
        <v>2064</v>
      </c>
      <c r="D207" s="55"/>
      <c r="E207" s="55"/>
      <c r="F207" s="224" t="s">
        <v>1149</v>
      </c>
      <c r="G207" s="55"/>
      <c r="H207" s="174"/>
      <c r="I207" s="174"/>
      <c r="J207" s="256">
        <v>2017</v>
      </c>
      <c r="K207" s="256"/>
      <c r="L207" s="1127">
        <f>1/SUMIFS(Transport!$AS$13:$AS$264,Transport!$D$13:$D$264,$B207,Transport!$E$13:$E$264,$A207,Transport!$A$13:$A$264,$J207)</f>
        <v>1.6201914448931107</v>
      </c>
      <c r="M207" s="256"/>
      <c r="N207" s="256"/>
      <c r="O207" s="1127">
        <f>SUMIFS(Transport!$AT$13:$AT$264,Transport!$D$13:$D$264,$B207,Transport!$E$13:$E$264,$A207,Transport!$A$13:$A$264,$J207)/1000*6.5</f>
        <v>81.840656028484005</v>
      </c>
      <c r="P207" s="254"/>
      <c r="Q207" s="254"/>
      <c r="R207" s="1126"/>
      <c r="S207" s="275"/>
      <c r="T207" s="228"/>
      <c r="U207" s="228"/>
      <c r="V207" s="228"/>
      <c r="W207" s="228"/>
      <c r="X207" s="55"/>
      <c r="Y207" s="55"/>
      <c r="Z207" s="55"/>
      <c r="AA207" s="55"/>
      <c r="AB207" s="55"/>
    </row>
    <row r="208" spans="1:32">
      <c r="A208" s="169" t="s">
        <v>2062</v>
      </c>
      <c r="B208" s="224" t="s">
        <v>2064</v>
      </c>
      <c r="D208" s="55"/>
      <c r="E208" s="55"/>
      <c r="F208" s="224" t="s">
        <v>1149</v>
      </c>
      <c r="G208" s="55"/>
      <c r="J208" s="256">
        <v>2030</v>
      </c>
      <c r="K208" s="256"/>
      <c r="L208" s="1127">
        <f>1/SUMIFS(Transport!$AS$13:$AS$264,Transport!$D$13:$D$264,$B208,Transport!$E$13:$E$264,$A208,Transport!$A$13:$A$264,$J208)</f>
        <v>2.4143776559781225</v>
      </c>
      <c r="M208" s="256"/>
      <c r="N208" s="256"/>
      <c r="O208" s="1127">
        <f>SUMIFS(Transport!$AT$13:$AT$264,Transport!$D$13:$D$264,$B208,Transport!$E$13:$E$264,$A208,Transport!$A$13:$A$264,$J208)/1000*6.5</f>
        <v>34.253254247071318</v>
      </c>
      <c r="P208" s="254"/>
      <c r="Q208" s="254"/>
      <c r="R208" s="1126"/>
      <c r="S208" s="275"/>
      <c r="T208" s="228"/>
      <c r="U208" s="228"/>
      <c r="V208" s="228"/>
      <c r="W208" s="228"/>
      <c r="X208" s="55"/>
      <c r="Y208" s="55"/>
      <c r="Z208" s="55"/>
      <c r="AA208" s="55"/>
      <c r="AB208" s="55"/>
    </row>
    <row r="209" spans="1:28">
      <c r="A209" s="169" t="s">
        <v>2062</v>
      </c>
      <c r="B209" s="224" t="s">
        <v>2064</v>
      </c>
      <c r="D209" s="55"/>
      <c r="E209" s="55"/>
      <c r="F209" s="224" t="s">
        <v>1149</v>
      </c>
      <c r="G209" s="55"/>
      <c r="J209" s="256">
        <v>2050</v>
      </c>
      <c r="K209" s="256"/>
      <c r="L209" s="1127">
        <f>1/SUMIFS(Transport!$AS$13:$AS$264,Transport!$D$13:$D$264,$B209,Transport!$E$13:$E$264,$A209,Transport!$A$13:$A$264,$J209)</f>
        <v>2.9956358502626648</v>
      </c>
      <c r="M209" s="256"/>
      <c r="N209" s="256"/>
      <c r="O209" s="1127">
        <f>SUMIFS(Transport!$AT$13:$AT$264,Transport!$D$13:$D$264,$B209,Transport!$E$13:$E$264,$A209,Transport!$A$13:$A$264,$J209)/1000*6.5</f>
        <v>28.800352543800432</v>
      </c>
      <c r="P209" s="254"/>
      <c r="Q209" s="254"/>
      <c r="R209" s="1126"/>
      <c r="S209" s="275"/>
      <c r="T209" s="228"/>
      <c r="U209" s="228"/>
      <c r="V209" s="228"/>
      <c r="W209" s="228"/>
      <c r="X209" s="55"/>
      <c r="Y209" s="55"/>
      <c r="Z209" s="55"/>
      <c r="AA209" s="55"/>
      <c r="AB209" s="55"/>
    </row>
    <row r="210" spans="1:28">
      <c r="A210" s="169" t="s">
        <v>2061</v>
      </c>
      <c r="B210" s="224" t="s">
        <v>2064</v>
      </c>
      <c r="D210" s="212" t="str">
        <f>"IND"&amp;RIGHT(H210,4)&amp;"ELC"&amp;"N"&amp;RIGHT(E210,1)</f>
        <v>INDCDTFELCN3</v>
      </c>
      <c r="E210" s="224" t="str">
        <f>"Industry "&amp;$AJ$12&amp;" "&amp;RIGHT(H210,2)&amp;" Tractors, Trucks, Fishing boats - New 3"</f>
        <v>Industry Chemical TF Tractors, Trucks, Fishing boats - New 3</v>
      </c>
      <c r="F210" s="224" t="s">
        <v>1149</v>
      </c>
      <c r="G210" s="55" t="s">
        <v>499</v>
      </c>
      <c r="H210" s="174" t="str">
        <f>$AI$18</f>
        <v>ICDTF</v>
      </c>
      <c r="I210" s="174"/>
      <c r="J210" s="81">
        <v>2017</v>
      </c>
      <c r="K210" s="81">
        <v>2025</v>
      </c>
      <c r="L210" s="1127">
        <f>1/SUMIFS(Transport!$AS$13:$AS$264,Transport!$D$13:$D$264,$B210,Transport!$E$13:$E$264,$A210,Transport!$A$13:$A$264,$J210)</f>
        <v>3.2991956437648962</v>
      </c>
      <c r="M210" s="256"/>
      <c r="N210" s="256">
        <v>20</v>
      </c>
      <c r="O210" s="1127">
        <f>SUMIFS(Transport!$AT$13:$AT$264,Transport!$D$13:$D$264,$B210,Transport!$E$13:$E$264,$A210,Transport!$A$13:$A$264,$J210)/1000*6.5</f>
        <v>72.592990417868862</v>
      </c>
      <c r="P210" s="254"/>
      <c r="Q210" s="254"/>
      <c r="R210" s="1126">
        <v>1</v>
      </c>
      <c r="S210" s="1127">
        <v>1</v>
      </c>
      <c r="T210" s="228"/>
      <c r="U210" s="228"/>
      <c r="V210" s="228"/>
      <c r="W210" s="287"/>
      <c r="X210" s="55"/>
      <c r="Y210" s="55"/>
      <c r="Z210" s="55"/>
      <c r="AA210" s="55"/>
      <c r="AB210" s="55"/>
    </row>
    <row r="211" spans="1:28">
      <c r="A211" s="169" t="s">
        <v>2061</v>
      </c>
      <c r="B211" s="224" t="s">
        <v>2064</v>
      </c>
      <c r="D211" s="55"/>
      <c r="E211" s="55"/>
      <c r="F211" s="224" t="s">
        <v>1149</v>
      </c>
      <c r="G211" s="55"/>
      <c r="H211" s="174"/>
      <c r="I211" s="174"/>
      <c r="J211" s="256">
        <v>2017</v>
      </c>
      <c r="K211" s="256"/>
      <c r="L211" s="1127">
        <f>1/SUMIFS(Transport!$AS$13:$AS$264,Transport!$D$13:$D$264,$B211,Transport!$E$13:$E$264,$A211,Transport!$A$13:$A$264,$J211)</f>
        <v>3.2991956437648962</v>
      </c>
      <c r="M211" s="256"/>
      <c r="N211" s="256"/>
      <c r="O211" s="1127">
        <f>SUMIFS(Transport!$AT$13:$AT$264,Transport!$D$13:$D$264,$B211,Transport!$E$13:$E$264,$A211,Transport!$A$13:$A$264,$J211)/1000*6.5</f>
        <v>72.592990417868862</v>
      </c>
      <c r="P211" s="254"/>
      <c r="Q211" s="254"/>
      <c r="R211" s="201"/>
      <c r="S211" s="275"/>
      <c r="T211" s="228"/>
      <c r="U211" s="228"/>
      <c r="V211" s="228"/>
      <c r="W211" s="228"/>
      <c r="X211" s="55"/>
      <c r="Y211" s="55"/>
      <c r="Z211" s="55"/>
      <c r="AA211" s="55"/>
      <c r="AB211" s="55"/>
    </row>
    <row r="212" spans="1:28">
      <c r="A212" s="169" t="s">
        <v>2061</v>
      </c>
      <c r="B212" s="224" t="s">
        <v>2064</v>
      </c>
      <c r="D212" s="55"/>
      <c r="E212" s="55"/>
      <c r="F212" s="224" t="s">
        <v>1149</v>
      </c>
      <c r="G212" s="55"/>
      <c r="J212" s="256">
        <v>2030</v>
      </c>
      <c r="K212" s="256"/>
      <c r="L212" s="1127">
        <f>1/SUMIFS(Transport!$AS$13:$AS$264,Transport!$D$13:$D$264,$B212,Transport!$E$13:$E$264,$A212,Transport!$A$13:$A$264,$J212)</f>
        <v>3.2991956437648962</v>
      </c>
      <c r="M212" s="256"/>
      <c r="N212" s="256"/>
      <c r="O212" s="1127">
        <f>SUMIFS(Transport!$AT$13:$AT$264,Transport!$D$13:$D$264,$B212,Transport!$E$13:$E$264,$A212,Transport!$A$13:$A$264,$J212)/1000*6.5</f>
        <v>35.973025982850046</v>
      </c>
      <c r="P212" s="254"/>
      <c r="Q212" s="254"/>
      <c r="R212" s="201"/>
      <c r="S212" s="275"/>
      <c r="T212" s="228"/>
      <c r="U212" s="228"/>
      <c r="V212" s="228"/>
      <c r="W212" s="228"/>
      <c r="X212" s="55"/>
      <c r="Y212" s="55"/>
      <c r="Z212" s="55"/>
      <c r="AA212" s="55"/>
      <c r="AB212" s="55"/>
    </row>
    <row r="213" spans="1:28">
      <c r="A213" s="169" t="s">
        <v>2061</v>
      </c>
      <c r="B213" s="224" t="s">
        <v>2064</v>
      </c>
      <c r="D213" s="55"/>
      <c r="E213" s="55"/>
      <c r="F213" s="224" t="s">
        <v>1149</v>
      </c>
      <c r="G213" s="55"/>
      <c r="J213" s="256">
        <v>2050</v>
      </c>
      <c r="K213" s="256"/>
      <c r="L213" s="1127">
        <f>1/SUMIFS(Transport!$AS$13:$AS$264,Transport!$D$13:$D$264,$B213,Transport!$E$13:$E$264,$A213,Transport!$A$13:$A$264,$J213)</f>
        <v>3.2991956437648962</v>
      </c>
      <c r="M213" s="256"/>
      <c r="N213" s="256"/>
      <c r="O213" s="1127">
        <f>SUMIFS(Transport!$AT$13:$AT$264,Transport!$D$13:$D$264,$B213,Transport!$E$13:$E$264,$A213,Transport!$A$13:$A$264,$J213)/1000*6.5</f>
        <v>28.759134300809922</v>
      </c>
      <c r="P213" s="254"/>
      <c r="Q213" s="254"/>
      <c r="R213" s="201"/>
      <c r="S213" s="275"/>
      <c r="T213" s="228"/>
      <c r="U213" s="228"/>
      <c r="V213" s="228"/>
      <c r="W213" s="228"/>
      <c r="X213" s="55"/>
      <c r="Y213" s="55"/>
      <c r="Z213" s="55"/>
      <c r="AA213" s="55"/>
      <c r="AB213" s="55"/>
    </row>
    <row r="214" spans="1:28">
      <c r="A214" s="169"/>
      <c r="D214" s="212" t="str">
        <f>"IND"&amp;RIGHT(H214,4)&amp;RIGHT(G214,3)&amp;"N"&amp;RIGHT(E214,1)</f>
        <v>INDCDFLELCN1</v>
      </c>
      <c r="E214" s="224" t="str">
        <f>"Industry "&amp;$AJ$12&amp;" "&amp;RIGHT(H202,2)&amp;" Forklifts - New 1"</f>
        <v>Industry Chemical TF Forklifts - New 1</v>
      </c>
      <c r="F214" s="224" t="s">
        <v>1149</v>
      </c>
      <c r="G214" s="173" t="s">
        <v>2128</v>
      </c>
      <c r="H214" s="224" t="str">
        <f>AI19</f>
        <v>ICDFL</v>
      </c>
      <c r="J214" s="81">
        <v>2011</v>
      </c>
      <c r="K214" s="81">
        <v>2011</v>
      </c>
      <c r="L214" s="256">
        <v>1</v>
      </c>
      <c r="M214" s="256"/>
      <c r="N214" s="256">
        <v>10</v>
      </c>
      <c r="O214" s="254"/>
      <c r="P214" s="254"/>
      <c r="Q214" s="254"/>
      <c r="R214" s="201"/>
      <c r="S214" s="275">
        <v>0.9</v>
      </c>
      <c r="T214" s="228"/>
      <c r="U214" s="228"/>
      <c r="V214" s="228"/>
      <c r="W214" s="228"/>
      <c r="X214" s="55"/>
      <c r="Y214" s="55"/>
      <c r="Z214" s="55"/>
      <c r="AA214" s="55"/>
      <c r="AB214" s="55"/>
    </row>
    <row r="215" spans="1:28">
      <c r="A215" s="169"/>
      <c r="D215" s="55"/>
      <c r="E215" s="55"/>
      <c r="F215" s="224" t="s">
        <v>1149</v>
      </c>
      <c r="G215" s="55"/>
      <c r="H215" s="174"/>
      <c r="I215" s="174"/>
      <c r="J215" s="256">
        <v>2020</v>
      </c>
      <c r="K215" s="256"/>
      <c r="L215" s="256"/>
      <c r="M215" s="256"/>
      <c r="N215" s="257"/>
      <c r="O215" s="61"/>
      <c r="P215" s="61"/>
      <c r="Q215" s="61"/>
      <c r="R215" s="61"/>
      <c r="S215" s="276"/>
      <c r="T215" s="55"/>
      <c r="U215" s="55"/>
      <c r="V215" s="55"/>
      <c r="W215" s="55"/>
      <c r="X215" s="55"/>
      <c r="Y215" s="55"/>
      <c r="Z215" s="55"/>
      <c r="AA215" s="55"/>
      <c r="AB215" s="55"/>
    </row>
    <row r="216" spans="1:28">
      <c r="A216" s="169"/>
      <c r="D216" s="55"/>
      <c r="E216" s="55"/>
      <c r="F216" s="224" t="s">
        <v>1149</v>
      </c>
      <c r="G216" s="55"/>
      <c r="J216" s="256">
        <v>2030</v>
      </c>
      <c r="K216" s="256"/>
      <c r="L216" s="256"/>
      <c r="M216" s="256"/>
      <c r="N216" s="257"/>
      <c r="O216" s="61"/>
      <c r="P216" s="61"/>
      <c r="Q216" s="61"/>
      <c r="R216" s="61"/>
      <c r="S216" s="276"/>
      <c r="T216" s="55"/>
      <c r="U216" s="55"/>
      <c r="V216" s="55"/>
      <c r="W216" s="55"/>
      <c r="X216" s="55"/>
      <c r="Y216" s="55"/>
      <c r="Z216" s="55"/>
      <c r="AA216" s="55"/>
      <c r="AB216" s="55"/>
    </row>
    <row r="217" spans="1:28">
      <c r="A217" s="169"/>
      <c r="D217" s="55"/>
      <c r="E217" s="55"/>
      <c r="F217" s="224" t="s">
        <v>1149</v>
      </c>
      <c r="G217" s="55"/>
      <c r="H217" s="174"/>
      <c r="I217" s="174"/>
      <c r="J217" s="256">
        <v>2050</v>
      </c>
      <c r="K217" s="256"/>
      <c r="L217" s="256"/>
      <c r="M217" s="256"/>
      <c r="N217" s="257"/>
      <c r="O217" s="61"/>
      <c r="P217" s="61"/>
      <c r="Q217" s="61"/>
      <c r="R217" s="61"/>
      <c r="S217" s="276"/>
      <c r="T217" s="55"/>
      <c r="U217" s="55"/>
      <c r="V217" s="55"/>
      <c r="W217" s="55"/>
      <c r="X217" s="55"/>
      <c r="Y217" s="55"/>
      <c r="Z217" s="55"/>
      <c r="AA217" s="55"/>
      <c r="AB217" s="55"/>
    </row>
    <row r="218" spans="1:28">
      <c r="A218" s="169" t="s">
        <v>2107</v>
      </c>
      <c r="D218" s="212" t="str">
        <f>"IND"&amp;RIGHT(H218,4)&amp;RIGHT(G218,3)&amp;"N"&amp;RIGHT(E218,1)</f>
        <v>INDCDCOELCN1</v>
      </c>
      <c r="E218" s="224" t="str">
        <f>"Industry "&amp;$AJ$12&amp;" "&amp;RIGHT(H218,2)&amp;" Cooling - New 1"</f>
        <v>Industry Chemical CO Cooling - New 1</v>
      </c>
      <c r="F218" s="224" t="s">
        <v>1149</v>
      </c>
      <c r="G218" s="173" t="s">
        <v>499</v>
      </c>
      <c r="H218" s="224" t="str">
        <f>AI21</f>
        <v>ICDCO</v>
      </c>
      <c r="J218" s="82">
        <v>2011</v>
      </c>
      <c r="K218" s="82">
        <v>2011</v>
      </c>
      <c r="L218" s="1128">
        <v>1</v>
      </c>
      <c r="M218" s="1129"/>
      <c r="N218" s="1129">
        <v>12</v>
      </c>
      <c r="O218" s="1130">
        <v>3.3525</v>
      </c>
      <c r="P218" s="1131">
        <v>0.31662500000000005</v>
      </c>
      <c r="Q218" s="1131"/>
      <c r="R218" s="1132">
        <v>3.1536000000000002E-2</v>
      </c>
      <c r="S218" s="1133">
        <v>8.3999999999999991E-2</v>
      </c>
    </row>
    <row r="219" spans="1:28">
      <c r="A219" s="169"/>
      <c r="F219" s="224" t="s">
        <v>1149</v>
      </c>
      <c r="H219" s="173"/>
      <c r="I219" s="173"/>
      <c r="J219" s="1129">
        <v>2020</v>
      </c>
      <c r="K219" s="1129"/>
      <c r="L219" s="1128">
        <v>1</v>
      </c>
      <c r="M219" s="1129"/>
      <c r="N219" s="257">
        <v>12</v>
      </c>
      <c r="O219" s="61">
        <v>3.1662499999999998</v>
      </c>
      <c r="P219" s="61">
        <v>0.30110722454958749</v>
      </c>
      <c r="Q219" s="61"/>
      <c r="R219" s="61">
        <v>3.1536000000000002E-2</v>
      </c>
      <c r="S219" s="276">
        <v>8.3999999999999991E-2</v>
      </c>
    </row>
    <row r="220" spans="1:28">
      <c r="A220" s="169"/>
      <c r="F220" s="224" t="s">
        <v>1149</v>
      </c>
      <c r="J220" s="1129">
        <v>2030</v>
      </c>
      <c r="K220" s="1129"/>
      <c r="L220" s="1128">
        <v>1</v>
      </c>
      <c r="M220" s="1129"/>
      <c r="N220" s="257">
        <v>12</v>
      </c>
      <c r="O220" s="61">
        <v>3.1662499999999998</v>
      </c>
      <c r="P220" s="61">
        <v>0.30110722454958749</v>
      </c>
      <c r="Q220" s="61"/>
      <c r="R220" s="61">
        <v>3.1536000000000002E-2</v>
      </c>
      <c r="S220" s="276">
        <v>8.3999999999999991E-2</v>
      </c>
    </row>
    <row r="221" spans="1:28">
      <c r="A221" s="169"/>
      <c r="F221" s="224" t="s">
        <v>1149</v>
      </c>
      <c r="H221" s="173"/>
      <c r="I221" s="173"/>
      <c r="J221" s="1129">
        <v>2050</v>
      </c>
      <c r="K221" s="1129"/>
      <c r="L221" s="1128">
        <v>1</v>
      </c>
      <c r="M221" s="1129"/>
      <c r="N221" s="257">
        <v>12</v>
      </c>
      <c r="O221" s="61">
        <v>3.1662499999999998</v>
      </c>
      <c r="P221" s="61">
        <v>0.30110722454958749</v>
      </c>
      <c r="Q221" s="61"/>
      <c r="R221" s="61">
        <v>3.1536000000000002E-2</v>
      </c>
      <c r="S221" s="276">
        <v>8.3999999999999991E-2</v>
      </c>
    </row>
    <row r="222" spans="1:28">
      <c r="A222" s="169"/>
    </row>
    <row r="223" spans="1:28">
      <c r="A223" s="169"/>
    </row>
    <row r="224" spans="1:28">
      <c r="A224" s="169"/>
    </row>
    <row r="225" spans="1:10">
      <c r="A225" s="169"/>
    </row>
    <row r="226" spans="1:10">
      <c r="A226" s="169"/>
      <c r="C226" s="207" t="s">
        <v>467</v>
      </c>
      <c r="D226" s="208"/>
      <c r="E226" s="208"/>
      <c r="F226" s="208"/>
      <c r="G226" s="208"/>
      <c r="H226" s="208"/>
      <c r="I226" s="208"/>
      <c r="J226" s="208"/>
    </row>
    <row r="227" spans="1:10">
      <c r="A227" s="169"/>
      <c r="C227" s="209" t="s">
        <v>466</v>
      </c>
      <c r="D227" s="209" t="s">
        <v>425</v>
      </c>
      <c r="E227" s="209" t="s">
        <v>465</v>
      </c>
      <c r="F227" s="209" t="s">
        <v>464</v>
      </c>
      <c r="G227" s="209" t="s">
        <v>463</v>
      </c>
      <c r="H227" s="209" t="s">
        <v>462</v>
      </c>
      <c r="I227" s="209" t="s">
        <v>461</v>
      </c>
      <c r="J227" s="209" t="s">
        <v>460</v>
      </c>
    </row>
    <row r="228" spans="1:10" ht="25" thickBot="1">
      <c r="A228" s="169"/>
      <c r="C228" s="210" t="s">
        <v>459</v>
      </c>
      <c r="D228" s="210" t="s">
        <v>458</v>
      </c>
      <c r="E228" s="210" t="s">
        <v>457</v>
      </c>
      <c r="F228" s="210" t="s">
        <v>456</v>
      </c>
      <c r="G228" s="210" t="s">
        <v>455</v>
      </c>
      <c r="H228" s="210" t="s">
        <v>454</v>
      </c>
      <c r="I228" s="210" t="s">
        <v>453</v>
      </c>
      <c r="J228" s="210" t="s">
        <v>452</v>
      </c>
    </row>
    <row r="229" spans="1:10">
      <c r="A229" s="169"/>
      <c r="C229" s="211" t="s">
        <v>504</v>
      </c>
      <c r="D229" s="212" t="str">
        <f>D9</f>
        <v>INDCDPHELCN1</v>
      </c>
      <c r="E229" s="212" t="str">
        <f t="shared" ref="E229:E260" si="266">VLOOKUP(D229,$D$9:$E$222,2,FALSE)</f>
        <v>Industrial heating technology Chemical PH - Heat pump utilizing waste heat - new 1</v>
      </c>
      <c r="F229" s="211" t="s">
        <v>450</v>
      </c>
      <c r="G229" s="211" t="s">
        <v>449</v>
      </c>
      <c r="H229" s="263" t="s">
        <v>620</v>
      </c>
      <c r="I229" s="301"/>
      <c r="J229" s="208" t="s">
        <v>469</v>
      </c>
    </row>
    <row r="230" spans="1:10">
      <c r="A230" s="169"/>
      <c r="B230" s="301"/>
      <c r="C230" s="301"/>
      <c r="D230" s="212" t="str">
        <f t="shared" ref="D230:D238" ca="1" si="267">OFFSET($D$9,(ROW(D1)*6),0)</f>
        <v>INDCDSHELCN1</v>
      </c>
      <c r="E230" s="212" t="str">
        <f t="shared" ca="1" si="266"/>
        <v>Industrial heating technology Chemical SH - Heat pump utilizing waste heat - new 1</v>
      </c>
      <c r="F230" s="262" t="s">
        <v>450</v>
      </c>
      <c r="G230" s="262" t="s">
        <v>449</v>
      </c>
      <c r="H230" s="263" t="s">
        <v>620</v>
      </c>
      <c r="I230" s="301"/>
      <c r="J230" s="264" t="s">
        <v>469</v>
      </c>
    </row>
    <row r="231" spans="1:10">
      <c r="A231" s="169"/>
      <c r="D231" s="212" t="str">
        <f t="shared" ca="1" si="267"/>
        <v>INDCDPHELCN2</v>
      </c>
      <c r="E231" s="212" t="str">
        <f t="shared" ca="1" si="266"/>
        <v>Industrial heating technology Chemical PH - Heat driven heat pump utilizing waste heat - new 2</v>
      </c>
      <c r="F231" s="211" t="s">
        <v>450</v>
      </c>
      <c r="G231" s="211" t="s">
        <v>449</v>
      </c>
      <c r="H231" s="263" t="s">
        <v>620</v>
      </c>
      <c r="I231" s="208"/>
      <c r="J231" s="264" t="s">
        <v>469</v>
      </c>
    </row>
    <row r="232" spans="1:10">
      <c r="A232" s="169"/>
      <c r="B232" s="211"/>
      <c r="C232" s="211"/>
      <c r="D232" s="212" t="str">
        <f t="shared" ca="1" si="267"/>
        <v>INDCDSHELCN2</v>
      </c>
      <c r="E232" s="212" t="str">
        <f t="shared" ca="1" si="266"/>
        <v>Industrial heating technology Chemical SH - Heat driven heat pump utilizing waste heat - new 2</v>
      </c>
      <c r="F232" s="262" t="s">
        <v>450</v>
      </c>
      <c r="G232" s="262" t="s">
        <v>449</v>
      </c>
      <c r="H232" s="263" t="s">
        <v>620</v>
      </c>
      <c r="I232" s="264"/>
      <c r="J232" s="264" t="s">
        <v>469</v>
      </c>
    </row>
    <row r="233" spans="1:10">
      <c r="A233" s="169"/>
      <c r="B233" s="211"/>
      <c r="C233" s="211"/>
      <c r="D233" s="212" t="str">
        <f t="shared" ca="1" si="267"/>
        <v>INDCDPHELCN3</v>
      </c>
      <c r="E233" s="212" t="str">
        <f t="shared" ca="1" si="266"/>
        <v>Industrial heating technology Chemical PH - High Temp abs. Heat pump utilizing waste heat - new 3</v>
      </c>
      <c r="F233" s="262" t="s">
        <v>450</v>
      </c>
      <c r="G233" s="262" t="s">
        <v>449</v>
      </c>
      <c r="H233" s="263" t="s">
        <v>620</v>
      </c>
      <c r="I233" s="264"/>
      <c r="J233" s="264" t="s">
        <v>469</v>
      </c>
    </row>
    <row r="234" spans="1:10">
      <c r="A234" s="169"/>
      <c r="B234" s="211"/>
      <c r="C234" s="211"/>
      <c r="D234" s="212" t="str">
        <f t="shared" ca="1" si="267"/>
        <v>INDCDSHELCN3</v>
      </c>
      <c r="E234" s="212" t="str">
        <f t="shared" ca="1" si="266"/>
        <v>Industrial heating technology Chemical SH - High Temp abs. Heat pump utilizing waste heat - new 3</v>
      </c>
      <c r="F234" s="262" t="s">
        <v>450</v>
      </c>
      <c r="G234" s="262" t="s">
        <v>449</v>
      </c>
      <c r="H234" s="263" t="s">
        <v>620</v>
      </c>
      <c r="I234" s="264"/>
      <c r="J234" s="264" t="s">
        <v>469</v>
      </c>
    </row>
    <row r="235" spans="1:10">
      <c r="A235" s="169"/>
      <c r="B235" s="211"/>
      <c r="C235" s="211"/>
      <c r="D235" s="212" t="str">
        <f t="shared" ca="1" si="267"/>
        <v>INDCDPHELCN4</v>
      </c>
      <c r="E235" s="212" t="str">
        <f t="shared" ca="1" si="266"/>
        <v>Industrial heating technology Chemical PH - Booster Heat pump utilizing waste heat - new 4</v>
      </c>
      <c r="F235" s="262" t="s">
        <v>450</v>
      </c>
      <c r="G235" s="262" t="s">
        <v>449</v>
      </c>
      <c r="H235" s="263" t="s">
        <v>620</v>
      </c>
      <c r="I235" s="264"/>
      <c r="J235" s="264" t="s">
        <v>469</v>
      </c>
    </row>
    <row r="236" spans="1:10">
      <c r="A236" s="169"/>
      <c r="B236" s="211"/>
      <c r="C236" s="211"/>
      <c r="D236" s="212" t="str">
        <f t="shared" ca="1" si="267"/>
        <v>INDCDSHELCN4</v>
      </c>
      <c r="E236" s="212" t="str">
        <f t="shared" ca="1" si="266"/>
        <v>Industrial heating technology Chemical SH - Booster Heat pump utilizing waste heat - new 4</v>
      </c>
      <c r="F236" s="262" t="s">
        <v>450</v>
      </c>
      <c r="G236" s="262" t="s">
        <v>449</v>
      </c>
      <c r="H236" s="263" t="s">
        <v>620</v>
      </c>
      <c r="I236" s="264"/>
      <c r="J236" s="264" t="s">
        <v>469</v>
      </c>
    </row>
    <row r="237" spans="1:10">
      <c r="A237" s="169"/>
      <c r="B237" s="211"/>
      <c r="C237" s="211"/>
      <c r="D237" s="212" t="str">
        <f t="shared" ca="1" si="267"/>
        <v>INDCDPHELCN5</v>
      </c>
      <c r="E237" s="212" t="str">
        <f t="shared" ca="1" si="266"/>
        <v>Industrial heating technology Chemical PH - MVR utilizing waste heat - new 5</v>
      </c>
      <c r="F237" s="262" t="s">
        <v>450</v>
      </c>
      <c r="G237" s="262" t="s">
        <v>449</v>
      </c>
      <c r="H237" s="263"/>
      <c r="I237" s="264"/>
      <c r="J237" s="264" t="s">
        <v>469</v>
      </c>
    </row>
    <row r="238" spans="1:10">
      <c r="A238" s="169"/>
      <c r="B238" s="211"/>
      <c r="C238" s="211"/>
      <c r="D238" s="212" t="str">
        <f t="shared" ca="1" si="267"/>
        <v>INDCDPHWSTN1</v>
      </c>
      <c r="E238" s="212" t="str">
        <f t="shared" ca="1" si="266"/>
        <v>Industrial heating technology Chemical PH - Hotdisc - new 1</v>
      </c>
      <c r="F238" s="262" t="s">
        <v>450</v>
      </c>
      <c r="G238" s="262" t="s">
        <v>449</v>
      </c>
      <c r="H238" s="263" t="s">
        <v>620</v>
      </c>
      <c r="I238" s="264"/>
      <c r="J238" s="264" t="s">
        <v>469</v>
      </c>
    </row>
    <row r="239" spans="1:10">
      <c r="A239" s="169"/>
      <c r="B239" s="211"/>
      <c r="C239" s="211"/>
      <c r="D239" s="212" t="str">
        <f t="shared" ref="D239:D278" ca="1" si="268">OFFSET($D$9,(ROW(D19)*3),0)</f>
        <v>INDCDPHELCN6</v>
      </c>
      <c r="E239" s="212" t="str">
        <f t="shared" ca="1" si="266"/>
        <v>Industrial heating technology Chemical PH - Dielectric heating - new 6</v>
      </c>
      <c r="F239" s="262" t="s">
        <v>450</v>
      </c>
      <c r="G239" s="262" t="s">
        <v>449</v>
      </c>
      <c r="H239" s="263" t="s">
        <v>620</v>
      </c>
      <c r="I239" s="264"/>
      <c r="J239" s="264" t="s">
        <v>469</v>
      </c>
    </row>
    <row r="240" spans="1:10">
      <c r="A240" s="169"/>
      <c r="B240" s="211"/>
      <c r="C240" s="211"/>
      <c r="D240" s="212" t="str">
        <f t="shared" ca="1" si="268"/>
        <v>INDCDPHELCN7</v>
      </c>
      <c r="E240" s="212" t="str">
        <f t="shared" ca="1" si="266"/>
        <v>Industrial heating technology Chemical PH - Infrared heating - new 7</v>
      </c>
      <c r="F240" s="262" t="s">
        <v>450</v>
      </c>
      <c r="G240" s="262" t="s">
        <v>449</v>
      </c>
      <c r="H240" s="263" t="s">
        <v>620</v>
      </c>
      <c r="I240" s="264"/>
      <c r="J240" s="264" t="s">
        <v>469</v>
      </c>
    </row>
    <row r="241" spans="1:16">
      <c r="A241" s="169"/>
      <c r="B241" s="211"/>
      <c r="C241" s="211"/>
      <c r="D241" s="212" t="str">
        <f t="shared" ca="1" si="268"/>
        <v>INDCDPHELCN8</v>
      </c>
      <c r="E241" s="212" t="str">
        <f t="shared" ca="1" si="266"/>
        <v>Industrial heating technology Chemical PH - Electric boiler (Steam) - new 8</v>
      </c>
      <c r="F241" s="262" t="s">
        <v>450</v>
      </c>
      <c r="G241" s="262" t="s">
        <v>449</v>
      </c>
      <c r="H241" s="263" t="s">
        <v>620</v>
      </c>
      <c r="I241" s="264"/>
      <c r="J241" s="264" t="s">
        <v>469</v>
      </c>
    </row>
    <row r="242" spans="1:16">
      <c r="A242" s="169"/>
      <c r="B242" s="211"/>
      <c r="C242" s="211"/>
      <c r="D242" s="212" t="str">
        <f t="shared" ca="1" si="268"/>
        <v>INDCDPHELCN8</v>
      </c>
      <c r="E242" s="212" t="str">
        <f t="shared" ca="1" si="266"/>
        <v>Industrial heating technology Chemical PH - Electric boiler (Steam) - new 8</v>
      </c>
      <c r="F242" s="262" t="s">
        <v>450</v>
      </c>
      <c r="G242" s="262" t="s">
        <v>449</v>
      </c>
      <c r="H242" s="263" t="s">
        <v>620</v>
      </c>
      <c r="I242" s="264"/>
      <c r="J242" s="264" t="s">
        <v>469</v>
      </c>
    </row>
    <row r="243" spans="1:16">
      <c r="A243" s="169"/>
      <c r="B243" s="211"/>
      <c r="C243" s="211"/>
      <c r="D243" s="212" t="str">
        <f t="shared" ca="1" si="268"/>
        <v>INDCDSHELCN8</v>
      </c>
      <c r="E243" s="212" t="str">
        <f t="shared" ca="1" si="266"/>
        <v>Industrial heating technology Chemical SH - Electric boiler (Steam) - new 8</v>
      </c>
      <c r="F243" s="262" t="s">
        <v>450</v>
      </c>
      <c r="G243" s="262" t="s">
        <v>449</v>
      </c>
      <c r="H243" s="263" t="s">
        <v>620</v>
      </c>
      <c r="I243" s="264"/>
      <c r="J243" s="264" t="s">
        <v>469</v>
      </c>
      <c r="P243" s="173"/>
    </row>
    <row r="244" spans="1:16">
      <c r="A244" s="169"/>
      <c r="B244" s="211"/>
      <c r="C244" s="211"/>
      <c r="D244" s="212" t="str">
        <f t="shared" ca="1" si="268"/>
        <v>INDCDPHELCN9</v>
      </c>
      <c r="E244" s="212" t="str">
        <f t="shared" ca="1" si="266"/>
        <v>Industrial heating technology Chemical PH - Electric boiler (Hot Water) - new 9</v>
      </c>
      <c r="F244" s="262" t="s">
        <v>450</v>
      </c>
      <c r="G244" s="262" t="s">
        <v>449</v>
      </c>
      <c r="H244" s="263" t="s">
        <v>620</v>
      </c>
      <c r="I244" s="264"/>
      <c r="J244" s="264" t="s">
        <v>469</v>
      </c>
      <c r="P244" s="173"/>
    </row>
    <row r="245" spans="1:16">
      <c r="A245" s="169"/>
      <c r="B245" s="211"/>
      <c r="C245" s="211"/>
      <c r="D245" s="212" t="str">
        <f t="shared" ca="1" si="268"/>
        <v>INDCDSHELCN9</v>
      </c>
      <c r="E245" s="212" t="str">
        <f t="shared" ca="1" si="266"/>
        <v>Industrial heating technology Chemical SH - Electric boiler (Hot Water) - new 9</v>
      </c>
      <c r="F245" s="262" t="s">
        <v>450</v>
      </c>
      <c r="G245" s="262" t="s">
        <v>449</v>
      </c>
      <c r="H245" s="263" t="s">
        <v>620</v>
      </c>
      <c r="I245" s="264"/>
      <c r="J245" s="264" t="s">
        <v>469</v>
      </c>
      <c r="P245" s="173"/>
    </row>
    <row r="246" spans="1:16">
      <c r="A246" s="169"/>
      <c r="B246" s="211"/>
      <c r="C246" s="211"/>
      <c r="D246" s="212" t="str">
        <f t="shared" ca="1" si="268"/>
        <v>INDCDPHWCHN1</v>
      </c>
      <c r="E246" s="212" t="str">
        <f t="shared" ca="1" si="266"/>
        <v>Industrial heating technology Chemical PH - Wood chip boiler (Steam) - new 1</v>
      </c>
      <c r="F246" s="262" t="s">
        <v>450</v>
      </c>
      <c r="G246" s="262" t="s">
        <v>449</v>
      </c>
      <c r="H246" s="263"/>
      <c r="I246" s="264"/>
      <c r="J246" s="264" t="s">
        <v>469</v>
      </c>
      <c r="P246" s="173"/>
    </row>
    <row r="247" spans="1:16">
      <c r="A247" s="169"/>
      <c r="B247" s="211"/>
      <c r="C247" s="211"/>
      <c r="D247" s="212" t="str">
        <f t="shared" ca="1" si="268"/>
        <v>INDCDPHWCHN1</v>
      </c>
      <c r="E247" s="212" t="str">
        <f t="shared" ca="1" si="266"/>
        <v>Industrial heating technology Chemical PH - Wood chip boiler (Steam) - new 1</v>
      </c>
      <c r="F247" s="262" t="s">
        <v>450</v>
      </c>
      <c r="G247" s="262" t="s">
        <v>449</v>
      </c>
      <c r="H247" s="263"/>
      <c r="I247" s="264"/>
      <c r="J247" s="264" t="s">
        <v>469</v>
      </c>
      <c r="M247" s="171"/>
      <c r="N247" s="171"/>
      <c r="P247" s="173"/>
    </row>
    <row r="248" spans="1:16">
      <c r="A248" s="169"/>
      <c r="B248" s="211"/>
      <c r="C248" s="211"/>
      <c r="D248" s="212" t="str">
        <f t="shared" ca="1" si="268"/>
        <v>INDCDSHWCHN1</v>
      </c>
      <c r="E248" s="212" t="str">
        <f t="shared" ca="1" si="266"/>
        <v>Industrial heating technology Chemical SH - Wood chip boiler (Steam) - new 1</v>
      </c>
      <c r="F248" s="262" t="s">
        <v>450</v>
      </c>
      <c r="G248" s="262" t="s">
        <v>449</v>
      </c>
      <c r="H248" s="263"/>
      <c r="I248" s="264"/>
      <c r="J248" s="264" t="s">
        <v>469</v>
      </c>
      <c r="M248" s="171"/>
      <c r="N248" s="171"/>
      <c r="P248" s="173"/>
    </row>
    <row r="249" spans="1:16">
      <c r="A249" s="169"/>
      <c r="B249" s="211"/>
      <c r="C249" s="211"/>
      <c r="D249" s="212" t="str">
        <f t="shared" ca="1" si="268"/>
        <v>INDCDPHWCHN2</v>
      </c>
      <c r="E249" s="212" t="str">
        <f t="shared" ca="1" si="266"/>
        <v>Industrial heating technology Chemical PH - Wood chip boiler (Steam - condensing) - new 2</v>
      </c>
      <c r="F249" s="262" t="s">
        <v>450</v>
      </c>
      <c r="G249" s="262" t="s">
        <v>449</v>
      </c>
      <c r="H249" s="263"/>
      <c r="I249" s="264"/>
      <c r="J249" s="264" t="s">
        <v>469</v>
      </c>
      <c r="M249" s="171"/>
      <c r="N249" s="171"/>
      <c r="P249" s="173"/>
    </row>
    <row r="250" spans="1:16">
      <c r="A250" s="169"/>
      <c r="B250" s="212"/>
      <c r="C250" s="212"/>
      <c r="D250" s="212" t="str">
        <f t="shared" ca="1" si="268"/>
        <v>INDCDSHWCHN2</v>
      </c>
      <c r="E250" s="212" t="str">
        <f t="shared" ca="1" si="266"/>
        <v>Industrial heating technology Chemical SH - Wood chip boiler (Steam - condensing) - new 2</v>
      </c>
      <c r="F250" s="262" t="s">
        <v>450</v>
      </c>
      <c r="G250" s="262" t="s">
        <v>449</v>
      </c>
      <c r="H250" s="263"/>
      <c r="I250" s="264"/>
      <c r="J250" s="264" t="s">
        <v>469</v>
      </c>
    </row>
    <row r="251" spans="1:16">
      <c r="A251" s="169"/>
      <c r="B251" s="212"/>
      <c r="C251" s="212"/>
      <c r="D251" s="212" t="str">
        <f t="shared" ca="1" si="268"/>
        <v>INDCDPHWCHN3</v>
      </c>
      <c r="E251" s="212" t="str">
        <f t="shared" ca="1" si="266"/>
        <v>Industrial heating technology Chemical PH - Wood chip boiler (Hot Water) - new 3</v>
      </c>
      <c r="F251" s="262" t="s">
        <v>450</v>
      </c>
      <c r="G251" s="262" t="s">
        <v>449</v>
      </c>
      <c r="H251" s="261"/>
      <c r="I251" s="261"/>
      <c r="J251" s="264" t="s">
        <v>469</v>
      </c>
    </row>
    <row r="252" spans="1:16">
      <c r="A252" s="169"/>
      <c r="B252" s="212"/>
      <c r="C252" s="212"/>
      <c r="D252" s="212" t="str">
        <f t="shared" ca="1" si="268"/>
        <v>INDCDSHWCHN3</v>
      </c>
      <c r="E252" s="212" t="str">
        <f t="shared" ca="1" si="266"/>
        <v>Industrial heating technology Chemical SH - Wood chip boiler (Hot Water) - new 3</v>
      </c>
      <c r="F252" s="262" t="s">
        <v>450</v>
      </c>
      <c r="G252" s="262" t="s">
        <v>449</v>
      </c>
      <c r="H252" s="261"/>
      <c r="I252" s="261"/>
      <c r="J252" s="264" t="s">
        <v>469</v>
      </c>
    </row>
    <row r="253" spans="1:16">
      <c r="A253" s="169"/>
      <c r="B253" s="212"/>
      <c r="C253" s="212"/>
      <c r="D253" s="212" t="str">
        <f t="shared" ca="1" si="268"/>
        <v>INDCDPHWCHN4</v>
      </c>
      <c r="E253" s="212" t="str">
        <f t="shared" ca="1" si="266"/>
        <v>Industrial heating technology Chemical PH - Wood chip boiler (Hot Water - condensing) - new 4</v>
      </c>
      <c r="F253" s="262" t="s">
        <v>450</v>
      </c>
      <c r="G253" s="262" t="s">
        <v>449</v>
      </c>
      <c r="H253" s="261"/>
      <c r="I253" s="261"/>
      <c r="J253" s="264" t="s">
        <v>469</v>
      </c>
    </row>
    <row r="254" spans="1:16">
      <c r="A254" s="169"/>
      <c r="B254" s="212"/>
      <c r="C254" s="212"/>
      <c r="D254" s="212" t="str">
        <f t="shared" ca="1" si="268"/>
        <v>INDCDSHWCHN4</v>
      </c>
      <c r="E254" s="212" t="str">
        <f t="shared" ca="1" si="266"/>
        <v>Industrial heating technology Chemical SH - Wood chip boiler (Hot Water- condensing) - new 4</v>
      </c>
      <c r="F254" s="262" t="s">
        <v>450</v>
      </c>
      <c r="G254" s="262" t="s">
        <v>449</v>
      </c>
      <c r="H254" s="261"/>
      <c r="I254" s="261"/>
      <c r="J254" s="264" t="s">
        <v>469</v>
      </c>
    </row>
    <row r="255" spans="1:16">
      <c r="B255" s="212"/>
      <c r="C255" s="212"/>
      <c r="D255" s="212" t="str">
        <f t="shared" ca="1" si="268"/>
        <v>INDCDPHELCN10</v>
      </c>
      <c r="E255" s="212" t="str">
        <f t="shared" ca="1" si="266"/>
        <v>Industrial heating technology Chemical PH - Direct electric heating - new 10</v>
      </c>
      <c r="F255" s="262" t="s">
        <v>450</v>
      </c>
      <c r="G255" s="262" t="s">
        <v>449</v>
      </c>
      <c r="H255" s="261"/>
      <c r="I255" s="261"/>
      <c r="J255" s="264" t="s">
        <v>469</v>
      </c>
    </row>
    <row r="256" spans="1:16">
      <c r="B256" s="212"/>
      <c r="C256" s="212"/>
      <c r="D256" s="212" t="str">
        <f t="shared" ca="1" si="268"/>
        <v>INDCDPHELCN10</v>
      </c>
      <c r="E256" s="212" t="str">
        <f t="shared" ca="1" si="266"/>
        <v>Industrial heating technology Chemical PH - Direct electric heating - new 10</v>
      </c>
      <c r="F256" s="262" t="s">
        <v>450</v>
      </c>
      <c r="G256" s="262" t="s">
        <v>449</v>
      </c>
      <c r="H256" s="261"/>
      <c r="I256" s="261"/>
      <c r="J256" s="264" t="s">
        <v>469</v>
      </c>
    </row>
    <row r="257" spans="1:10">
      <c r="B257" s="212"/>
      <c r="C257" s="212"/>
      <c r="D257" s="212" t="str">
        <f t="shared" ca="1" si="268"/>
        <v>INDCDPHDSLN1</v>
      </c>
      <c r="E257" s="212" t="str">
        <f t="shared" ca="1" si="266"/>
        <v>Industrial heating technology Chemical PH - Oil boiler (Steam) - new 1</v>
      </c>
      <c r="F257" s="262" t="s">
        <v>450</v>
      </c>
      <c r="G257" s="262" t="s">
        <v>449</v>
      </c>
      <c r="H257" s="261"/>
      <c r="I257" s="261"/>
      <c r="J257" s="264" t="s">
        <v>469</v>
      </c>
    </row>
    <row r="258" spans="1:10">
      <c r="B258" s="212"/>
      <c r="C258" s="212"/>
      <c r="D258" s="212" t="str">
        <f t="shared" ca="1" si="268"/>
        <v>INDCDPHDSLN1</v>
      </c>
      <c r="E258" s="212" t="str">
        <f t="shared" ca="1" si="266"/>
        <v>Industrial heating technology Chemical PH - Oil boiler (Steam) - new 1</v>
      </c>
      <c r="F258" s="262" t="s">
        <v>450</v>
      </c>
      <c r="G258" s="262" t="s">
        <v>449</v>
      </c>
      <c r="H258" s="261"/>
      <c r="I258" s="261"/>
      <c r="J258" s="264" t="s">
        <v>469</v>
      </c>
    </row>
    <row r="259" spans="1:10">
      <c r="B259" s="212"/>
      <c r="C259" s="212"/>
      <c r="D259" s="212" t="str">
        <f t="shared" ca="1" si="268"/>
        <v>INDCDSHDSLN1</v>
      </c>
      <c r="E259" s="212" t="str">
        <f t="shared" ca="1" si="266"/>
        <v>Industrial heating technology Chemical SH - Oil boiler (Steam) - new 1</v>
      </c>
      <c r="F259" s="262" t="s">
        <v>450</v>
      </c>
      <c r="G259" s="262" t="s">
        <v>449</v>
      </c>
      <c r="H259" s="261"/>
      <c r="I259" s="261"/>
      <c r="J259" s="264" t="s">
        <v>469</v>
      </c>
    </row>
    <row r="260" spans="1:10">
      <c r="A260" s="214"/>
      <c r="B260" s="212"/>
      <c r="C260" s="212"/>
      <c r="D260" s="212" t="str">
        <f t="shared" ca="1" si="268"/>
        <v>INDCDPHDSLN2</v>
      </c>
      <c r="E260" s="212" t="str">
        <f t="shared" ca="1" si="266"/>
        <v>Industrial heating technology Chemical PH - Oil boiler (Steam - condensing) - new 2</v>
      </c>
      <c r="F260" s="262" t="s">
        <v>450</v>
      </c>
      <c r="G260" s="262" t="s">
        <v>449</v>
      </c>
      <c r="H260" s="261"/>
      <c r="I260" s="261"/>
      <c r="J260" s="264" t="s">
        <v>469</v>
      </c>
    </row>
    <row r="261" spans="1:10">
      <c r="A261" s="214"/>
      <c r="B261" s="212"/>
      <c r="C261" s="212"/>
      <c r="D261" s="212" t="str">
        <f t="shared" ca="1" si="268"/>
        <v>INDCDSHDSLN2</v>
      </c>
      <c r="E261" s="212" t="str">
        <f t="shared" ref="E261:E290" ca="1" si="269">VLOOKUP(D261,$D$9:$E$222,2,FALSE)</f>
        <v>Industrial heating technology Chemical SH - Oil boiler (Steam - condensing) - new 2</v>
      </c>
      <c r="F261" s="262" t="s">
        <v>450</v>
      </c>
      <c r="G261" s="262" t="s">
        <v>449</v>
      </c>
      <c r="H261" s="261"/>
      <c r="I261" s="261"/>
      <c r="J261" s="264" t="s">
        <v>469</v>
      </c>
    </row>
    <row r="262" spans="1:10">
      <c r="A262" s="214"/>
      <c r="B262" s="212"/>
      <c r="C262" s="212"/>
      <c r="D262" s="212" t="str">
        <f t="shared" ca="1" si="268"/>
        <v>INDCDPHGASN1</v>
      </c>
      <c r="E262" s="212" t="str">
        <f t="shared" ca="1" si="269"/>
        <v>Industrial heating technology Chemical PH - Gas boiler (Steam) - new 1</v>
      </c>
      <c r="F262" s="262" t="s">
        <v>450</v>
      </c>
      <c r="G262" s="262" t="s">
        <v>449</v>
      </c>
      <c r="H262" s="261"/>
      <c r="I262" s="261"/>
      <c r="J262" s="264" t="s">
        <v>469</v>
      </c>
    </row>
    <row r="263" spans="1:10">
      <c r="A263" s="214"/>
      <c r="B263" s="212"/>
      <c r="C263" s="212"/>
      <c r="D263" s="212" t="str">
        <f t="shared" ca="1" si="268"/>
        <v>INDCDPHGASN1</v>
      </c>
      <c r="E263" s="212" t="str">
        <f t="shared" ca="1" si="269"/>
        <v>Industrial heating technology Chemical PH - Gas boiler (Steam) - new 1</v>
      </c>
      <c r="F263" s="262" t="s">
        <v>450</v>
      </c>
      <c r="G263" s="262" t="s">
        <v>449</v>
      </c>
      <c r="H263" s="261"/>
      <c r="I263" s="261"/>
      <c r="J263" s="264" t="s">
        <v>469</v>
      </c>
    </row>
    <row r="264" spans="1:10">
      <c r="B264" s="212"/>
      <c r="C264" s="212"/>
      <c r="D264" s="212" t="str">
        <f t="shared" ca="1" si="268"/>
        <v>INDCDSHGASN1</v>
      </c>
      <c r="E264" s="212" t="str">
        <f t="shared" ca="1" si="269"/>
        <v>Industrial heating technology Chemical SH - Gas boiler (Steam) - new 1</v>
      </c>
      <c r="F264" s="262" t="s">
        <v>450</v>
      </c>
      <c r="G264" s="262" t="s">
        <v>449</v>
      </c>
      <c r="H264" s="261"/>
      <c r="I264" s="261"/>
      <c r="J264" s="264" t="s">
        <v>469</v>
      </c>
    </row>
    <row r="265" spans="1:10">
      <c r="B265" s="212"/>
      <c r="C265" s="212"/>
      <c r="D265" s="212" t="str">
        <f t="shared" ca="1" si="268"/>
        <v>INDCDPHGASN2</v>
      </c>
      <c r="E265" s="212" t="str">
        <f t="shared" ca="1" si="269"/>
        <v>Industrial heating technology Chemical PH - Gas boiler (Steam - condensing) - new 2</v>
      </c>
      <c r="F265" s="262" t="s">
        <v>450</v>
      </c>
      <c r="G265" s="262" t="s">
        <v>449</v>
      </c>
      <c r="H265" s="261"/>
      <c r="I265" s="261"/>
      <c r="J265" s="264" t="s">
        <v>469</v>
      </c>
    </row>
    <row r="266" spans="1:10">
      <c r="B266" s="212"/>
      <c r="C266" s="212"/>
      <c r="D266" s="212" t="str">
        <f t="shared" ca="1" si="268"/>
        <v>INDCDSHGASN2</v>
      </c>
      <c r="E266" s="212" t="str">
        <f t="shared" ca="1" si="269"/>
        <v>Industrial heating technology Chemical SH - Gas boiler (Steam - condensing) - new 2</v>
      </c>
      <c r="F266" s="262" t="s">
        <v>450</v>
      </c>
      <c r="G266" s="262" t="s">
        <v>449</v>
      </c>
      <c r="H266" s="261"/>
      <c r="I266" s="261"/>
      <c r="J266" s="264" t="s">
        <v>469</v>
      </c>
    </row>
    <row r="267" spans="1:10">
      <c r="B267" s="212"/>
      <c r="C267" s="212"/>
      <c r="D267" s="212" t="str">
        <f t="shared" ca="1" si="268"/>
        <v>INDCDPHGASN3</v>
      </c>
      <c r="E267" s="212" t="str">
        <f t="shared" ca="1" si="269"/>
        <v>Industrial heating technology Chemical PH - Gas boiler (Hot Water) - new 3</v>
      </c>
      <c r="F267" s="262" t="s">
        <v>450</v>
      </c>
      <c r="G267" s="262" t="s">
        <v>449</v>
      </c>
      <c r="H267" s="261"/>
      <c r="I267" s="261"/>
      <c r="J267" s="264" t="s">
        <v>469</v>
      </c>
    </row>
    <row r="268" spans="1:10">
      <c r="B268" s="212"/>
      <c r="C268" s="212"/>
      <c r="D268" s="212" t="str">
        <f t="shared" ca="1" si="268"/>
        <v>INDCDSHGASN3</v>
      </c>
      <c r="E268" s="212" t="str">
        <f t="shared" ca="1" si="269"/>
        <v>Industrial heating technology Chemical SH - Gas boiler (Hot Water) - new 3</v>
      </c>
      <c r="F268" s="262" t="s">
        <v>450</v>
      </c>
      <c r="G268" s="262" t="s">
        <v>449</v>
      </c>
      <c r="H268" s="261"/>
      <c r="I268" s="261"/>
      <c r="J268" s="264" t="s">
        <v>469</v>
      </c>
    </row>
    <row r="269" spans="1:10">
      <c r="B269" s="212"/>
      <c r="C269" s="212"/>
      <c r="D269" s="212" t="str">
        <f t="shared" ca="1" si="268"/>
        <v>INDCDPHGASN4</v>
      </c>
      <c r="E269" s="212" t="str">
        <f t="shared" ca="1" si="269"/>
        <v>Industrial heating technology Chemical PH - Gas boiler (Hot Water - condensing) - new 4</v>
      </c>
      <c r="F269" s="262" t="s">
        <v>450</v>
      </c>
      <c r="G269" s="262" t="s">
        <v>449</v>
      </c>
      <c r="H269" s="261"/>
      <c r="I269" s="261"/>
      <c r="J269" s="264" t="s">
        <v>469</v>
      </c>
    </row>
    <row r="270" spans="1:10">
      <c r="B270" s="212"/>
      <c r="C270" s="212"/>
      <c r="D270" s="212" t="str">
        <f t="shared" ca="1" si="268"/>
        <v>INDCDSHGASN4</v>
      </c>
      <c r="E270" s="212" t="str">
        <f t="shared" ca="1" si="269"/>
        <v>Industrial heating technology Chemical SH - Gas boiler (Hot Water- condensing) - new 4</v>
      </c>
      <c r="F270" s="262" t="s">
        <v>450</v>
      </c>
      <c r="G270" s="262" t="s">
        <v>449</v>
      </c>
      <c r="H270" s="261"/>
      <c r="I270" s="261"/>
      <c r="J270" s="264" t="s">
        <v>469</v>
      </c>
    </row>
    <row r="271" spans="1:10">
      <c r="B271" s="212"/>
      <c r="C271" s="212"/>
      <c r="D271" s="212" t="str">
        <f t="shared" ca="1" si="268"/>
        <v>INDCDPHGASN5</v>
      </c>
      <c r="E271" s="212" t="str">
        <f t="shared" ca="1" si="269"/>
        <v>Industrial heating technology Chemical PH - Gas boiler (Direct firing) - new 5</v>
      </c>
      <c r="F271" s="262" t="s">
        <v>450</v>
      </c>
      <c r="G271" s="262" t="s">
        <v>449</v>
      </c>
      <c r="H271" s="261"/>
      <c r="I271" s="261"/>
      <c r="J271" s="264" t="s">
        <v>469</v>
      </c>
    </row>
    <row r="272" spans="1:10">
      <c r="B272" s="212"/>
      <c r="C272" s="212"/>
      <c r="D272" s="212" t="str">
        <f t="shared" ca="1" si="268"/>
        <v>INDCDPHGASN5</v>
      </c>
      <c r="E272" s="212" t="str">
        <f t="shared" ca="1" si="269"/>
        <v>Industrial heating technology Chemical PH - Gas boiler (Direct firing) - new 5</v>
      </c>
      <c r="F272" s="262" t="s">
        <v>450</v>
      </c>
      <c r="G272" s="262" t="s">
        <v>449</v>
      </c>
      <c r="H272" s="261"/>
      <c r="I272" s="261"/>
      <c r="J272" s="264" t="s">
        <v>469</v>
      </c>
    </row>
    <row r="273" spans="2:10">
      <c r="B273" s="212"/>
      <c r="C273" s="212"/>
      <c r="D273" s="212" t="str">
        <f t="shared" ca="1" si="268"/>
        <v>INDCDPHCOAN1</v>
      </c>
      <c r="E273" s="212" t="str">
        <f t="shared" ca="1" si="269"/>
        <v>Industrial heating technology Chemical PH - Coal boiler (Steam) - new 1</v>
      </c>
      <c r="F273" s="262" t="s">
        <v>450</v>
      </c>
      <c r="G273" s="262" t="s">
        <v>449</v>
      </c>
      <c r="H273" s="261"/>
      <c r="I273" s="261"/>
      <c r="J273" s="264" t="s">
        <v>469</v>
      </c>
    </row>
    <row r="274" spans="2:10">
      <c r="B274" s="212"/>
      <c r="C274" s="212"/>
      <c r="D274" s="212" t="str">
        <f t="shared" ca="1" si="268"/>
        <v>INDCDPHCOAN1</v>
      </c>
      <c r="E274" s="212" t="str">
        <f t="shared" ca="1" si="269"/>
        <v>Industrial heating technology Chemical PH - Coal boiler (Steam) - new 1</v>
      </c>
      <c r="F274" s="262" t="s">
        <v>450</v>
      </c>
      <c r="G274" s="262" t="s">
        <v>449</v>
      </c>
      <c r="H274" s="261"/>
      <c r="I274" s="261"/>
      <c r="J274" s="264" t="s">
        <v>469</v>
      </c>
    </row>
    <row r="275" spans="2:10">
      <c r="B275" s="212"/>
      <c r="C275" s="212"/>
      <c r="D275" s="212" t="str">
        <f t="shared" ca="1" si="268"/>
        <v>INDCDSHCOAN1</v>
      </c>
      <c r="E275" s="212" t="str">
        <f t="shared" ca="1" si="269"/>
        <v>Industrial heating technology Chemical SH - Coal boiler (Steam) - new 1</v>
      </c>
      <c r="F275" s="262" t="s">
        <v>450</v>
      </c>
      <c r="G275" s="262" t="s">
        <v>449</v>
      </c>
      <c r="H275" s="261"/>
      <c r="I275" s="261"/>
      <c r="J275" s="264" t="s">
        <v>469</v>
      </c>
    </row>
    <row r="276" spans="2:10">
      <c r="B276" s="212"/>
      <c r="C276" s="212"/>
      <c r="D276" s="212" t="str">
        <f t="shared" ca="1" si="268"/>
        <v>INDCDPHCOAN2</v>
      </c>
      <c r="E276" s="212" t="str">
        <f t="shared" ca="1" si="269"/>
        <v>Industrial heating technology Chemical PH - Coal boiler (Hot Water) - new 2</v>
      </c>
      <c r="F276" s="262" t="s">
        <v>450</v>
      </c>
      <c r="G276" s="262" t="s">
        <v>449</v>
      </c>
      <c r="H276" s="261"/>
      <c r="I276" s="261"/>
      <c r="J276" s="264" t="s">
        <v>469</v>
      </c>
    </row>
    <row r="277" spans="2:10">
      <c r="B277" s="212"/>
      <c r="C277" s="212"/>
      <c r="D277" s="212" t="str">
        <f t="shared" ca="1" si="268"/>
        <v>INDCDSHCOAN2</v>
      </c>
      <c r="E277" s="212" t="str">
        <f t="shared" ca="1" si="269"/>
        <v>Industrial heating technology Chemical SH - Coal boiler (Hot Water) - new 2</v>
      </c>
      <c r="F277" s="262" t="s">
        <v>450</v>
      </c>
      <c r="G277" s="262" t="s">
        <v>449</v>
      </c>
      <c r="H277" s="261"/>
      <c r="I277" s="261"/>
      <c r="J277" s="264" t="s">
        <v>469</v>
      </c>
    </row>
    <row r="278" spans="2:10">
      <c r="B278" s="212"/>
      <c r="C278" s="212"/>
      <c r="D278" s="212" t="str">
        <f t="shared" ca="1" si="268"/>
        <v>INDCDSHSOLN1</v>
      </c>
      <c r="E278" s="212" t="str">
        <f t="shared" ca="1" si="269"/>
        <v>Industrial heating technology Chemical SH - Solar - new 1</v>
      </c>
      <c r="F278" s="262" t="s">
        <v>450</v>
      </c>
      <c r="G278" s="262" t="s">
        <v>449</v>
      </c>
      <c r="H278" s="263" t="s">
        <v>620</v>
      </c>
      <c r="I278" s="261"/>
      <c r="J278" s="264" t="s">
        <v>469</v>
      </c>
    </row>
    <row r="279" spans="2:10">
      <c r="B279" s="212"/>
      <c r="C279" s="212"/>
      <c r="D279" s="889" t="str">
        <f>D187</f>
        <v>INDCDSHHCEN1</v>
      </c>
      <c r="E279" s="889" t="str">
        <f t="shared" si="269"/>
        <v>Industrial heating technology Chemical SH - central district heating - within DH area - new 1</v>
      </c>
      <c r="F279" s="262" t="s">
        <v>450</v>
      </c>
      <c r="G279" s="262" t="s">
        <v>449</v>
      </c>
      <c r="H279" s="890"/>
      <c r="I279" s="890"/>
      <c r="J279" s="263" t="s">
        <v>469</v>
      </c>
    </row>
    <row r="280" spans="2:10">
      <c r="B280" s="212"/>
      <c r="C280" s="212"/>
      <c r="D280" s="889" t="str">
        <f>D188</f>
        <v>INDCDPHHCEN1</v>
      </c>
      <c r="E280" s="889" t="str">
        <f t="shared" si="269"/>
        <v>Industrial heating technology Chemical PH - central district heating - within DH area - new 1</v>
      </c>
      <c r="F280" s="262" t="s">
        <v>450</v>
      </c>
      <c r="G280" s="262" t="s">
        <v>449</v>
      </c>
      <c r="H280" s="890"/>
      <c r="I280" s="890"/>
      <c r="J280" s="263" t="s">
        <v>469</v>
      </c>
    </row>
    <row r="281" spans="2:10">
      <c r="B281" s="212"/>
      <c r="C281" s="212"/>
      <c r="D281" s="889" t="str">
        <f>D189</f>
        <v>INDCDSHHSEN1</v>
      </c>
      <c r="E281" s="889" t="str">
        <f t="shared" si="269"/>
        <v>Industrial heating technology Chemical SH - central district heating - within DH area - new 1</v>
      </c>
      <c r="F281" s="262" t="s">
        <v>450</v>
      </c>
      <c r="G281" s="262" t="s">
        <v>449</v>
      </c>
      <c r="H281" s="890"/>
      <c r="I281" s="890"/>
      <c r="J281" s="263" t="s">
        <v>469</v>
      </c>
    </row>
    <row r="282" spans="2:10">
      <c r="B282" s="212"/>
      <c r="C282" s="212"/>
      <c r="D282" s="889" t="str">
        <f>D190</f>
        <v>INDCDPHHSEN1</v>
      </c>
      <c r="E282" s="889" t="str">
        <f t="shared" si="269"/>
        <v>Industrial heating technology Chemical PH - central district heating - within DH area - new 1</v>
      </c>
      <c r="F282" s="262" t="s">
        <v>450</v>
      </c>
      <c r="G282" s="262" t="s">
        <v>449</v>
      </c>
      <c r="H282" s="890"/>
      <c r="I282" s="890"/>
      <c r="J282" s="263" t="s">
        <v>469</v>
      </c>
    </row>
    <row r="283" spans="2:10">
      <c r="B283" s="212"/>
      <c r="C283" s="212"/>
      <c r="D283" s="212" t="str">
        <f t="shared" ref="D283" si="270">D191</f>
        <v>INDCDSHHDEN1</v>
      </c>
      <c r="E283" s="212" t="str">
        <f t="shared" si="269"/>
        <v>Industrial heating technology Chemical SH - decentral district heating - within DH area - new 1</v>
      </c>
      <c r="F283" s="262" t="s">
        <v>450</v>
      </c>
      <c r="G283" s="262" t="s">
        <v>449</v>
      </c>
      <c r="H283" s="261"/>
      <c r="I283" s="261"/>
      <c r="J283" s="264" t="s">
        <v>469</v>
      </c>
    </row>
    <row r="284" spans="2:10">
      <c r="B284" s="212"/>
      <c r="C284" s="212"/>
      <c r="D284" s="212" t="str">
        <f>D192</f>
        <v>INDCDPHHDEN1</v>
      </c>
      <c r="E284" s="212" t="str">
        <f t="shared" si="269"/>
        <v>Industrial heating technology Chemical PH - decentral district heating - within DH area - new 1</v>
      </c>
      <c r="F284" s="262" t="s">
        <v>450</v>
      </c>
      <c r="G284" s="262" t="s">
        <v>449</v>
      </c>
      <c r="H284" s="261"/>
      <c r="I284" s="261"/>
      <c r="J284" s="264" t="s">
        <v>469</v>
      </c>
    </row>
    <row r="285" spans="2:10">
      <c r="B285" s="212"/>
      <c r="C285" s="212"/>
      <c r="D285" s="212" t="str">
        <f>D194</f>
        <v>INDCDLAELCN1</v>
      </c>
      <c r="E285" s="212" t="str">
        <f t="shared" si="269"/>
        <v>Industry Chemical LA Electricity Light Appliance - New 1</v>
      </c>
      <c r="F285" s="262" t="s">
        <v>450</v>
      </c>
      <c r="G285" s="262" t="s">
        <v>449</v>
      </c>
      <c r="H285" s="261"/>
      <c r="I285" s="261"/>
      <c r="J285" s="264" t="s">
        <v>469</v>
      </c>
    </row>
    <row r="286" spans="2:10">
      <c r="B286" s="212"/>
      <c r="C286" s="212"/>
      <c r="D286" s="212" t="str">
        <f>D198</f>
        <v>INDCDEMELCN1</v>
      </c>
      <c r="E286" s="212" t="str">
        <f t="shared" si="269"/>
        <v>Industry Chemical EM Electricity Motors - New 1</v>
      </c>
      <c r="F286" s="262" t="s">
        <v>450</v>
      </c>
      <c r="G286" s="262" t="s">
        <v>449</v>
      </c>
      <c r="H286" s="261"/>
      <c r="I286" s="261"/>
      <c r="J286" s="264" t="s">
        <v>469</v>
      </c>
    </row>
    <row r="287" spans="2:10">
      <c r="B287" s="212"/>
      <c r="C287" s="212"/>
      <c r="D287" s="212" t="str">
        <f>D202</f>
        <v>INDCDTFDSLN1</v>
      </c>
      <c r="E287" s="212" t="str">
        <f t="shared" si="269"/>
        <v>Industry Chemical TF Tractors, Trucks, Fishing boats - New 1</v>
      </c>
      <c r="F287" s="262" t="s">
        <v>450</v>
      </c>
      <c r="G287" s="262" t="s">
        <v>2078</v>
      </c>
      <c r="H287" s="261"/>
      <c r="I287" s="261"/>
      <c r="J287" s="264" t="s">
        <v>469</v>
      </c>
    </row>
    <row r="288" spans="2:10">
      <c r="B288" s="212"/>
      <c r="C288" s="212"/>
      <c r="D288" s="212" t="str">
        <f>D206</f>
        <v>INDCDTFH2GN2</v>
      </c>
      <c r="E288" s="212" t="str">
        <f t="shared" si="269"/>
        <v>Industry Chemical TF Tractors, Trucks, Fishing boats - New 2</v>
      </c>
      <c r="F288" s="262" t="s">
        <v>450</v>
      </c>
      <c r="G288" s="262" t="s">
        <v>2078</v>
      </c>
      <c r="H288" s="261"/>
      <c r="I288" s="261"/>
      <c r="J288" s="264" t="s">
        <v>469</v>
      </c>
    </row>
    <row r="289" spans="2:10">
      <c r="B289" s="212"/>
      <c r="C289" s="212"/>
      <c r="D289" s="212" t="str">
        <f>D210</f>
        <v>INDCDTFELCN3</v>
      </c>
      <c r="E289" s="212" t="str">
        <f t="shared" si="269"/>
        <v>Industry Chemical TF Tractors, Trucks, Fishing boats - New 3</v>
      </c>
      <c r="F289" s="262" t="s">
        <v>450</v>
      </c>
      <c r="G289" s="262" t="s">
        <v>2078</v>
      </c>
      <c r="H289" s="261"/>
      <c r="I289" s="261"/>
      <c r="J289" s="264" t="s">
        <v>469</v>
      </c>
    </row>
    <row r="290" spans="2:10">
      <c r="B290" s="212"/>
      <c r="C290" s="212"/>
      <c r="D290" s="212" t="str">
        <f>D214</f>
        <v>INDCDFLELCN1</v>
      </c>
      <c r="E290" s="212" t="str">
        <f t="shared" si="269"/>
        <v>Industry Chemical TF Forklifts - New 1</v>
      </c>
      <c r="F290" s="262" t="s">
        <v>450</v>
      </c>
      <c r="G290" s="262" t="s">
        <v>449</v>
      </c>
      <c r="H290" s="261"/>
      <c r="I290" s="261"/>
      <c r="J290" s="264" t="s">
        <v>469</v>
      </c>
    </row>
    <row r="291" spans="2:10">
      <c r="B291" s="212"/>
      <c r="C291" s="212"/>
      <c r="D291" s="212" t="str">
        <f>D218</f>
        <v>INDCDCOELCN1</v>
      </c>
      <c r="E291" s="212" t="str">
        <f>E218</f>
        <v>Industry Chemical CO Cooling - New 1</v>
      </c>
      <c r="F291" s="262" t="s">
        <v>450</v>
      </c>
      <c r="G291" s="262" t="s">
        <v>449</v>
      </c>
      <c r="H291" s="261" t="s">
        <v>620</v>
      </c>
      <c r="I291" s="261"/>
      <c r="J291" s="264"/>
    </row>
    <row r="292" spans="2:10">
      <c r="D292" s="212"/>
      <c r="E292" s="212"/>
    </row>
    <row r="293" spans="2:10">
      <c r="B293" s="213" t="s">
        <v>448</v>
      </c>
      <c r="C293" s="213"/>
      <c r="D293" s="214"/>
      <c r="E293" s="214"/>
      <c r="F293" s="214"/>
      <c r="G293" s="214"/>
      <c r="H293" s="214"/>
      <c r="I293" s="214"/>
      <c r="J293" s="214"/>
    </row>
    <row r="294" spans="2:10">
      <c r="B294" s="209" t="s">
        <v>447</v>
      </c>
      <c r="C294" s="209" t="s">
        <v>446</v>
      </c>
      <c r="D294" s="209" t="s">
        <v>445</v>
      </c>
      <c r="E294" s="209" t="s">
        <v>444</v>
      </c>
      <c r="F294" s="209" t="s">
        <v>435</v>
      </c>
      <c r="G294" s="209" t="s">
        <v>443</v>
      </c>
      <c r="H294" s="209" t="s">
        <v>442</v>
      </c>
      <c r="I294" s="209" t="s">
        <v>441</v>
      </c>
      <c r="J294" s="209" t="s">
        <v>440</v>
      </c>
    </row>
    <row r="295" spans="2:10" ht="25" thickBot="1">
      <c r="B295" s="215" t="s">
        <v>439</v>
      </c>
      <c r="C295" s="216" t="s">
        <v>438</v>
      </c>
      <c r="D295" s="216" t="s">
        <v>437</v>
      </c>
      <c r="E295" s="216" t="s">
        <v>436</v>
      </c>
      <c r="F295" s="216" t="s">
        <v>435</v>
      </c>
      <c r="G295" s="216" t="s">
        <v>434</v>
      </c>
      <c r="H295" s="216" t="s">
        <v>433</v>
      </c>
      <c r="I295" s="216" t="s">
        <v>432</v>
      </c>
      <c r="J295" s="216" t="s">
        <v>431</v>
      </c>
    </row>
    <row r="296" spans="2:10">
      <c r="B296" s="217" t="s">
        <v>430</v>
      </c>
      <c r="C296" s="218"/>
      <c r="D296" s="260" t="str">
        <f>"I"&amp;LEFT($AJ$12,1)&amp;"DSOx"</f>
        <v>ICDSOx</v>
      </c>
      <c r="E296" s="270" t="str">
        <f>"Industrial heating  heating technology "&amp;$AJ$12&amp;" - SOx emission"</f>
        <v>Industrial heating  heating technology Chemical - SOx emission</v>
      </c>
      <c r="F296" s="219" t="s">
        <v>352</v>
      </c>
      <c r="G296" s="211"/>
      <c r="H296" s="211"/>
      <c r="I296" s="211"/>
      <c r="J296" s="211"/>
    </row>
    <row r="297" spans="2:10">
      <c r="B297" s="214"/>
      <c r="C297" s="214"/>
      <c r="D297" s="260" t="str">
        <f>"I"&amp;LEFT($AJ$12,1)&amp;"DNOx"</f>
        <v>ICDNOx</v>
      </c>
      <c r="E297" s="270" t="str">
        <f>"Industrial heating  heating technology "&amp;$AJ$12&amp;" - NOx emission"</f>
        <v>Industrial heating  heating technology Chemical - NOx emission</v>
      </c>
      <c r="F297" s="219" t="s">
        <v>352</v>
      </c>
      <c r="G297" s="211"/>
      <c r="H297" s="214"/>
      <c r="I297" s="214"/>
      <c r="J297" s="214"/>
    </row>
    <row r="298" spans="2:10">
      <c r="B298" s="214"/>
      <c r="C298" s="214"/>
      <c r="D298" s="260" t="str">
        <f>"I"&amp;LEFT($AJ$12,1)&amp;"DCH4"</f>
        <v>ICDCH4</v>
      </c>
      <c r="E298" s="270" t="str">
        <f>"Industrial heating  heating technology "&amp;$AJ$12&amp;" - CH4 emission"</f>
        <v>Industrial heating  heating technology Chemical - CH4 emission</v>
      </c>
      <c r="F298" s="219" t="s">
        <v>352</v>
      </c>
      <c r="G298" s="211"/>
      <c r="H298" s="214"/>
      <c r="I298" s="214"/>
      <c r="J298" s="214"/>
    </row>
    <row r="299" spans="2:10">
      <c r="B299" s="214"/>
      <c r="C299" s="214"/>
      <c r="D299" s="260" t="str">
        <f>"I"&amp;LEFT($AJ$12,1)&amp;"DNO2"</f>
        <v>ICDNO2</v>
      </c>
      <c r="E299" s="270" t="str">
        <f>"Industrial heating  heating technology "&amp;$AJ$12&amp;" - NO2 emission"</f>
        <v>Industrial heating  heating technology Chemical - NO2 emission</v>
      </c>
      <c r="F299" s="219" t="s">
        <v>352</v>
      </c>
      <c r="G299" s="211"/>
      <c r="H299" s="214"/>
      <c r="I299" s="214"/>
      <c r="J299" s="214"/>
    </row>
    <row r="300" spans="2:10">
      <c r="B300" s="214"/>
      <c r="C300" s="214"/>
      <c r="D300" s="260" t="str">
        <f>"I"&amp;LEFT($AJ$12,1)&amp;"DPM"</f>
        <v>ICDPM</v>
      </c>
      <c r="E300" s="270" t="str">
        <f>"Industrial heating  heating technology "&amp;$AJ$12&amp;" - Particle emission"</f>
        <v>Industrial heating  heating technology Chemical - Particle emission</v>
      </c>
      <c r="F300" s="219" t="s">
        <v>352</v>
      </c>
      <c r="G300" s="211"/>
      <c r="H300" s="214"/>
      <c r="I300" s="214"/>
      <c r="J300" s="214"/>
    </row>
    <row r="301" spans="2:10">
      <c r="B301" s="224" t="s">
        <v>1057</v>
      </c>
      <c r="D301" s="224" t="str">
        <f>AI20</f>
        <v>INDCWH</v>
      </c>
      <c r="E301" s="270" t="str">
        <f>"Industrial heating technology "&amp;$AJ$12&amp;" - Waste heat"</f>
        <v>Industrial heating technology Chemical - Waste heat</v>
      </c>
      <c r="F301" s="263" t="s">
        <v>450</v>
      </c>
    </row>
  </sheetData>
  <pageMargins left="0.7" right="0.7" top="0.75" bottom="0.75" header="0.3" footer="0.3"/>
  <pageSetup paperSize="9" orientation="portrait"/>
  <legacyDrawing r:id="rId1"/>
  <extLst>
    <ext xmlns:x14="http://schemas.microsoft.com/office/spreadsheetml/2009/9/main" uri="{CCE6A557-97BC-4b89-ADB6-D9C93CAAB3DF}">
      <x14:dataValidations xmlns:xm="http://schemas.microsoft.com/office/excel/2006/main" count="1">
        <x14:dataValidation type="list" allowBlank="1" showInputMessage="1" showErrorMessage="1" xr:uid="{65C68204-34F7-4E07-BAA4-E0965997F79E}">
          <x14:formula1>
            <xm:f>'Oil-fired boiler_NEW'!$T$4:$X$4</xm:f>
          </x14:formula1>
          <xm:sqref>E1</xm:sqref>
        </x14:dataValidation>
      </x14:dataValidation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7F2F7-0CF6-4EBB-994F-F60CEA0F7388}">
  <sheetPr>
    <tabColor rgb="FF00B050"/>
  </sheetPr>
  <dimension ref="A1:AP301"/>
  <sheetViews>
    <sheetView tabSelected="1" topLeftCell="A186" zoomScale="70" zoomScaleNormal="70" workbookViewId="0">
      <selection activeCell="G215" sqref="G215"/>
    </sheetView>
  </sheetViews>
  <sheetFormatPr baseColWidth="10" defaultColWidth="9.1640625" defaultRowHeight="15"/>
  <cols>
    <col min="1" max="1" width="9.1640625" style="224"/>
    <col min="2" max="2" width="31.5" style="224" customWidth="1"/>
    <col min="3" max="3" width="11.5" style="224" bestFit="1" customWidth="1"/>
    <col min="4" max="4" width="19.83203125" style="224" customWidth="1"/>
    <col min="5" max="5" width="98.5" style="224" bestFit="1" customWidth="1"/>
    <col min="6" max="6" width="10.5" style="224" bestFit="1" customWidth="1"/>
    <col min="7" max="7" width="55.83203125" style="224" bestFit="1" customWidth="1"/>
    <col min="8" max="8" width="27.83203125" style="224" bestFit="1" customWidth="1"/>
    <col min="9" max="9" width="27.83203125" style="224" customWidth="1"/>
    <col min="10" max="10" width="10.1640625" style="224" bestFit="1" customWidth="1"/>
    <col min="11" max="11" width="8.5" style="224" bestFit="1" customWidth="1"/>
    <col min="12" max="12" width="6.5" style="224" bestFit="1" customWidth="1"/>
    <col min="13" max="13" width="6.5" style="224" customWidth="1"/>
    <col min="14" max="15" width="12.83203125" style="224" bestFit="1" customWidth="1"/>
    <col min="16" max="16" width="12.5" style="224" bestFit="1" customWidth="1"/>
    <col min="17" max="17" width="6.1640625" style="224" customWidth="1"/>
    <col min="18" max="18" width="8.1640625" style="224" bestFit="1" customWidth="1"/>
    <col min="19" max="19" width="11.83203125" style="224" bestFit="1" customWidth="1"/>
    <col min="20" max="20" width="11.5" style="224" bestFit="1" customWidth="1"/>
    <col min="21" max="21" width="18.1640625" style="224" bestFit="1" customWidth="1"/>
    <col min="22" max="22" width="11.83203125" style="224" customWidth="1"/>
    <col min="23" max="23" width="7.83203125" style="224" bestFit="1" customWidth="1"/>
    <col min="24" max="24" width="8.5" style="224" bestFit="1" customWidth="1"/>
    <col min="25" max="25" width="6.5" style="224" bestFit="1" customWidth="1"/>
    <col min="26" max="26" width="6.5" style="224" customWidth="1"/>
    <col min="27" max="27" width="8" style="224" customWidth="1"/>
    <col min="28" max="38" width="9.1640625" style="224"/>
    <col min="39" max="39" width="64.1640625" style="224" bestFit="1" customWidth="1"/>
    <col min="40" max="16384" width="9.1640625" style="224"/>
  </cols>
  <sheetData>
    <row r="1" spans="2:42" ht="14.5" customHeight="1">
      <c r="D1" s="728" t="s">
        <v>1016</v>
      </c>
      <c r="E1" s="729" t="s">
        <v>717</v>
      </c>
      <c r="N1" s="64"/>
      <c r="O1" s="64"/>
      <c r="P1" s="64"/>
      <c r="S1" s="727" t="s">
        <v>1004</v>
      </c>
      <c r="T1" s="776" t="s">
        <v>1003</v>
      </c>
      <c r="U1" s="775" t="s">
        <v>1053</v>
      </c>
      <c r="V1" s="776" t="s">
        <v>1054</v>
      </c>
      <c r="W1" s="780">
        <v>0.3</v>
      </c>
    </row>
    <row r="2" spans="2:42" ht="16" thickBot="1">
      <c r="E2" s="730" t="s">
        <v>521</v>
      </c>
      <c r="N2" s="731"/>
      <c r="O2" s="731"/>
      <c r="P2" s="731"/>
      <c r="S2" s="726">
        <f>MATCH($E$1,$AJ$22:$AJ$35)</f>
        <v>9</v>
      </c>
      <c r="T2" s="778">
        <f>MATCH($E$1,$AJ$22:$AJ$35)+1</f>
        <v>10</v>
      </c>
      <c r="U2" s="779"/>
      <c r="V2" s="768" t="s">
        <v>1055</v>
      </c>
      <c r="W2" s="781">
        <v>0.2</v>
      </c>
    </row>
    <row r="3" spans="2:42" ht="16" thickBot="1">
      <c r="N3" s="731"/>
      <c r="O3" s="731"/>
      <c r="P3" s="731"/>
      <c r="S3" s="768"/>
      <c r="T3" s="768"/>
      <c r="U3" s="777"/>
      <c r="V3" s="778" t="s">
        <v>1056</v>
      </c>
      <c r="W3" s="782">
        <v>0</v>
      </c>
    </row>
    <row r="4" spans="2:42">
      <c r="N4" s="731"/>
      <c r="O4" s="731"/>
      <c r="P4" s="731"/>
      <c r="S4" s="768"/>
      <c r="T4" s="768"/>
      <c r="U4" s="768"/>
      <c r="V4" s="768"/>
    </row>
    <row r="5" spans="2:42">
      <c r="J5" s="172" t="s">
        <v>468</v>
      </c>
      <c r="N5" s="731"/>
      <c r="O5" s="731"/>
      <c r="P5" s="731"/>
      <c r="S5" s="768"/>
      <c r="T5" s="768"/>
      <c r="U5" s="768"/>
      <c r="V5" s="768"/>
    </row>
    <row r="6" spans="2:42" ht="26.25" customHeight="1">
      <c r="B6" s="166" t="s">
        <v>1015</v>
      </c>
      <c r="C6" s="46"/>
      <c r="D6" s="46" t="s">
        <v>425</v>
      </c>
      <c r="E6" s="46" t="s">
        <v>426</v>
      </c>
      <c r="F6" s="46" t="s">
        <v>689</v>
      </c>
      <c r="G6" s="46" t="s">
        <v>427</v>
      </c>
      <c r="H6" s="46" t="s">
        <v>428</v>
      </c>
      <c r="I6" s="771" t="s">
        <v>1049</v>
      </c>
      <c r="J6" s="46" t="s">
        <v>335</v>
      </c>
      <c r="K6" s="46" t="s">
        <v>336</v>
      </c>
      <c r="L6" s="47" t="s">
        <v>337</v>
      </c>
      <c r="M6" s="47" t="s">
        <v>1052</v>
      </c>
      <c r="N6" s="47" t="s">
        <v>339</v>
      </c>
      <c r="O6" s="48" t="s">
        <v>340</v>
      </c>
      <c r="P6" s="47" t="s">
        <v>341</v>
      </c>
      <c r="Q6" s="49" t="s">
        <v>342</v>
      </c>
      <c r="R6" s="49" t="s">
        <v>343</v>
      </c>
      <c r="S6" s="769" t="s">
        <v>344</v>
      </c>
      <c r="T6" s="770" t="s">
        <v>997</v>
      </c>
      <c r="U6" s="769" t="s">
        <v>1050</v>
      </c>
      <c r="V6" s="783" t="s">
        <v>1051</v>
      </c>
      <c r="W6" s="284"/>
      <c r="X6" s="280" t="str">
        <f>"FEMIS~"&amp;D296</f>
        <v>FEMIS~IGDSOx</v>
      </c>
      <c r="Y6" s="280" t="str">
        <f>"FEMIS~"&amp;D297</f>
        <v>FEMIS~IGDNOx</v>
      </c>
      <c r="Z6" s="280" t="str">
        <f>"FEMIS~"&amp;D298</f>
        <v>FEMIS~IGDCH4</v>
      </c>
      <c r="AA6" s="280" t="str">
        <f>"FEMIS~"&amp;D299</f>
        <v>FEMIS~IGDNO2</v>
      </c>
      <c r="AB6" s="280" t="str">
        <f>"FEMIS~"&amp;D300</f>
        <v>FEMIS~IGDPM</v>
      </c>
      <c r="AC6" s="224" t="s">
        <v>424</v>
      </c>
      <c r="AD6" s="224" t="s">
        <v>2001</v>
      </c>
      <c r="AE6" s="47" t="s">
        <v>338</v>
      </c>
      <c r="AF6" s="221" t="s">
        <v>473</v>
      </c>
    </row>
    <row r="7" spans="2:42" ht="16" thickBot="1">
      <c r="B7" s="715"/>
      <c r="C7" s="167"/>
      <c r="D7" s="167" t="s">
        <v>429</v>
      </c>
      <c r="E7" s="50"/>
      <c r="F7" s="50"/>
      <c r="G7" s="50"/>
      <c r="H7" s="50"/>
      <c r="I7" s="168"/>
      <c r="J7" s="50"/>
      <c r="K7" s="50"/>
      <c r="L7" s="51"/>
      <c r="M7" s="51"/>
      <c r="N7" s="51"/>
      <c r="O7" s="52"/>
      <c r="P7" s="50"/>
      <c r="Q7" s="50"/>
      <c r="R7" s="50"/>
      <c r="S7" s="50"/>
      <c r="T7" s="50"/>
      <c r="U7" s="50"/>
      <c r="V7" s="168"/>
      <c r="W7" s="285"/>
      <c r="X7" s="50"/>
      <c r="Y7" s="50"/>
      <c r="Z7" s="50"/>
      <c r="AA7" s="50"/>
      <c r="AB7" s="50"/>
      <c r="AE7" s="51"/>
      <c r="AF7" s="222"/>
    </row>
    <row r="8" spans="2:42">
      <c r="B8" s="357"/>
      <c r="D8" s="224" t="s">
        <v>451</v>
      </c>
      <c r="I8" s="357"/>
      <c r="J8" s="57"/>
      <c r="K8" s="57"/>
      <c r="L8" s="57"/>
      <c r="M8" s="57"/>
      <c r="N8" s="57"/>
      <c r="O8" s="57" t="s">
        <v>470</v>
      </c>
      <c r="P8" s="57" t="s">
        <v>471</v>
      </c>
      <c r="Q8" s="57" t="s">
        <v>472</v>
      </c>
      <c r="R8" s="57" t="s">
        <v>351</v>
      </c>
      <c r="S8" s="57" t="s">
        <v>351</v>
      </c>
      <c r="T8" s="57"/>
      <c r="U8" s="57"/>
      <c r="V8" s="784"/>
      <c r="W8" s="286"/>
      <c r="X8" s="57" t="s">
        <v>352</v>
      </c>
      <c r="Y8" s="57" t="s">
        <v>352</v>
      </c>
      <c r="Z8" s="57" t="s">
        <v>352</v>
      </c>
      <c r="AA8" s="57" t="s">
        <v>352</v>
      </c>
      <c r="AB8" s="57" t="s">
        <v>352</v>
      </c>
      <c r="AE8" s="57"/>
      <c r="AF8" s="220"/>
    </row>
    <row r="9" spans="2:42">
      <c r="B9" s="357" t="s">
        <v>998</v>
      </c>
      <c r="D9" s="212" t="str">
        <f>"IND"&amp;RIGHT(H9,4)&amp;RIGHT(G9,3)&amp;"N"&amp;RIGHT(E9,1)</f>
        <v>INDGDPHELCN1</v>
      </c>
      <c r="E9" s="261" t="str">
        <f>"Industrial heating technology "&amp;$AJ$12&amp;" "&amp;RIGHT(H9,2)&amp;" - Heat pump utilizing waste heat - new 1"</f>
        <v>Industrial heating technology Glass &amp; Concrete PH - Heat pump utilizing waste heat - new 1</v>
      </c>
      <c r="F9" s="224" t="s">
        <v>1149</v>
      </c>
      <c r="G9" s="173" t="s">
        <v>499</v>
      </c>
      <c r="H9" s="174" t="str">
        <f>$AI$14</f>
        <v>IGDPH</v>
      </c>
      <c r="I9" s="173"/>
      <c r="J9" s="224">
        <f>AD9</f>
        <v>2020</v>
      </c>
      <c r="K9" s="81">
        <v>2020</v>
      </c>
      <c r="L9" s="333">
        <v>1</v>
      </c>
      <c r="M9" s="199">
        <f ca="1">VLOOKUP($AD9,INDIRECT("'"&amp;$B9&amp;"'!"&amp;"$P$39:$AD$42"),3,FALSE)</f>
        <v>4.4754761904761899</v>
      </c>
      <c r="N9" s="81">
        <f ca="1">VLOOKUP($AD9,INDIRECT("'"&amp;$B9&amp;"'!"&amp;"$P$39:$AD$42"),5,FALSE)</f>
        <v>20</v>
      </c>
      <c r="O9" s="723">
        <f ca="1">VLOOKUP($AD9,INDIRECT("'"&amp;$B9&amp;"'!"&amp;"$P$39:$AD$42"),6,FALSE)/1000</f>
        <v>5.4385000000000003</v>
      </c>
      <c r="P9" s="723">
        <f ca="1">VLOOKUP($AD9,INDIRECT("'"&amp;$B9&amp;"'!"&amp;"$P$39:$AD$42"),7,FALSE)/1000</f>
        <v>1.49E-2</v>
      </c>
      <c r="Q9" s="81">
        <f ca="1">VLOOKUP($AD9,INDIRECT("'"&amp;$B9&amp;"'!"&amp;"$P$39:$AD$42"),8,FALSE)</f>
        <v>6.7463888888888883</v>
      </c>
      <c r="R9" s="81">
        <v>3.1536000000000002E-2</v>
      </c>
      <c r="S9" s="199">
        <v>0.5</v>
      </c>
      <c r="T9" s="199">
        <f ca="1">HLOOKUP($T$2,INDIRECT("'"&amp;$B9&amp;"'!"&amp;"$P$6:$AC$19"),IF(H9=$AI$13,6,IF(H9=$AI$14,9,14)),FALSE)</f>
        <v>0</v>
      </c>
      <c r="U9" s="199">
        <f ca="1">1/M9</f>
        <v>0.22343991062403579</v>
      </c>
      <c r="V9" s="199"/>
      <c r="W9" s="298"/>
      <c r="X9" s="698">
        <f ca="1">IF(VLOOKUP($AD9,INDIRECT("'"&amp;$B9&amp;"'!"&amp;"$P$39:$AD$42"),11,FALSE)="Cf. the utilized electricity",0,VLOOKUP($AD9,INDIRECT("'"&amp;$B9&amp;"'!"&amp;"$P$39:$AD$42"),11,FALSE))</f>
        <v>0</v>
      </c>
      <c r="Y9" s="81">
        <f ca="1">VLOOKUP($AD9,INDIRECT("'"&amp;$B9&amp;"'!"&amp;"$P$39:$AD$42"),12,FALSE)</f>
        <v>0</v>
      </c>
      <c r="Z9" s="81">
        <f ca="1">VLOOKUP($AD9,INDIRECT("'"&amp;$B9&amp;"'!"&amp;"$P$39:$AD$42"),13,FALSE)</f>
        <v>0</v>
      </c>
      <c r="AA9" s="81">
        <f ca="1">VLOOKUP($AD9,INDIRECT("'"&amp;$B9&amp;"'!"&amp;"$P$39:$AD$42"),14,FALSE)</f>
        <v>0</v>
      </c>
      <c r="AB9" s="81">
        <f ca="1">VLOOKUP($AD9,INDIRECT("'"&amp;$B9&amp;"'!"&amp;"$P$39:$AD$42"),15,FALSE)</f>
        <v>0</v>
      </c>
      <c r="AC9" s="226"/>
      <c r="AD9" s="81">
        <v>2020</v>
      </c>
      <c r="AE9" s="81"/>
      <c r="AF9" s="220"/>
    </row>
    <row r="10" spans="2:42">
      <c r="B10" s="357" t="s">
        <v>998</v>
      </c>
      <c r="D10" s="212"/>
      <c r="E10" s="261"/>
      <c r="F10" s="224" t="s">
        <v>1149</v>
      </c>
      <c r="G10" s="173" t="str">
        <f>$AI$20</f>
        <v>INDGWH</v>
      </c>
      <c r="H10" s="174"/>
      <c r="I10" s="174"/>
      <c r="K10" s="81"/>
      <c r="L10" s="333"/>
      <c r="M10" s="199"/>
      <c r="N10" s="81"/>
      <c r="O10" s="723"/>
      <c r="P10" s="723"/>
      <c r="Q10" s="81"/>
      <c r="R10" s="200"/>
      <c r="S10" s="772"/>
      <c r="T10" s="772"/>
      <c r="U10" s="199">
        <f ca="1">1-U9</f>
        <v>0.77656008937596421</v>
      </c>
      <c r="V10" s="772"/>
      <c r="W10" s="298"/>
      <c r="X10" s="698"/>
      <c r="Y10" s="81"/>
      <c r="Z10" s="81"/>
      <c r="AA10" s="81"/>
      <c r="AB10" s="81"/>
      <c r="AC10" s="226"/>
      <c r="AD10" s="81"/>
      <c r="AE10" s="81"/>
      <c r="AF10" s="220"/>
    </row>
    <row r="11" spans="2:42">
      <c r="B11" s="357" t="s">
        <v>998</v>
      </c>
      <c r="D11" s="212"/>
      <c r="E11" s="212"/>
      <c r="F11" s="224" t="s">
        <v>1149</v>
      </c>
      <c r="G11" s="173" t="s">
        <v>499</v>
      </c>
      <c r="H11" s="174" t="str">
        <f>$AI$14</f>
        <v>IGDPH</v>
      </c>
      <c r="I11" s="173"/>
      <c r="J11" s="224">
        <f>AD11</f>
        <v>2030</v>
      </c>
      <c r="K11" s="81"/>
      <c r="L11" s="333">
        <v>1</v>
      </c>
      <c r="M11" s="199">
        <f ca="1">VLOOKUP($AD11,INDIRECT("'"&amp;$B11&amp;"'!"&amp;"$P$39:$AD$42"),3,FALSE)</f>
        <v>4.5792982142857133</v>
      </c>
      <c r="N11" s="81"/>
      <c r="O11" s="723">
        <f ca="1">VLOOKUP($AD11,INDIRECT("'"&amp;$B11&amp;"'!"&amp;"$P$39:$AD$42"),6,FALSE)/1000</f>
        <v>4.8425000000000002</v>
      </c>
      <c r="P11" s="723">
        <f ca="1">VLOOKUP($AD11,INDIRECT("'"&amp;$B11&amp;"'!"&amp;"$P$39:$AD$42"),7,FALSE)/1000</f>
        <v>1.49E-2</v>
      </c>
      <c r="Q11" s="81">
        <f ca="1">VLOOKUP($AD11,INDIRECT("'"&amp;$B11&amp;"'!"&amp;"$P$39:$AD$42"),8,FALSE)</f>
        <v>6.6222222222222227</v>
      </c>
      <c r="R11" s="300"/>
      <c r="S11" s="300"/>
      <c r="T11" s="300"/>
      <c r="U11" s="199">
        <f ca="1">1/M11</f>
        <v>0.21837407244637849</v>
      </c>
      <c r="V11" s="199"/>
      <c r="W11" s="298"/>
      <c r="X11" s="698">
        <f ca="1">IF(VLOOKUP($AD11,INDIRECT("'"&amp;$B11&amp;"'!"&amp;"$P$39:$AD$42"),11,FALSE)="Cf. the utilized electricity",0,VLOOKUP($AD11,INDIRECT("'"&amp;$B11&amp;"'!"&amp;"$P$39:$AD$42"),11,FALSE))</f>
        <v>0</v>
      </c>
      <c r="Y11" s="81">
        <f ca="1">VLOOKUP($AD11,INDIRECT("'"&amp;$B11&amp;"'!"&amp;"$P$39:$AD$42"),12,FALSE)</f>
        <v>0</v>
      </c>
      <c r="Z11" s="81">
        <f ca="1">VLOOKUP($AD11,INDIRECT("'"&amp;$B11&amp;"'!"&amp;"$P$39:$AD$42"),13,FALSE)</f>
        <v>0</v>
      </c>
      <c r="AA11" s="81">
        <f ca="1">VLOOKUP($AD11,INDIRECT("'"&amp;$B11&amp;"'!"&amp;"$P$39:$AD$42"),14,FALSE)</f>
        <v>0</v>
      </c>
      <c r="AB11" s="81">
        <f ca="1">VLOOKUP($AD11,INDIRECT("'"&amp;$B11&amp;"'!"&amp;"$P$39:$AD$42"),15,FALSE)</f>
        <v>0</v>
      </c>
      <c r="AC11" s="226"/>
      <c r="AD11" s="81">
        <v>2030</v>
      </c>
      <c r="AE11" s="81"/>
      <c r="AF11" s="220"/>
    </row>
    <row r="12" spans="2:42">
      <c r="B12" s="357" t="s">
        <v>998</v>
      </c>
      <c r="D12" s="212"/>
      <c r="E12" s="212"/>
      <c r="F12" s="224" t="s">
        <v>1149</v>
      </c>
      <c r="G12" s="173" t="str">
        <f>$AI$20</f>
        <v>INDGWH</v>
      </c>
      <c r="H12" s="174"/>
      <c r="I12" s="174"/>
      <c r="K12" s="81"/>
      <c r="L12" s="333"/>
      <c r="M12" s="199"/>
      <c r="N12" s="81"/>
      <c r="O12" s="723"/>
      <c r="P12" s="723"/>
      <c r="Q12" s="81"/>
      <c r="R12" s="300"/>
      <c r="S12" s="300"/>
      <c r="T12" s="300"/>
      <c r="U12" s="199">
        <f ca="1">1-U11</f>
        <v>0.78162592755362148</v>
      </c>
      <c r="V12" s="300"/>
      <c r="W12" s="298"/>
      <c r="X12" s="698"/>
      <c r="Y12" s="81"/>
      <c r="Z12" s="81"/>
      <c r="AA12" s="81"/>
      <c r="AB12" s="81"/>
      <c r="AC12" s="226"/>
      <c r="AD12" s="81"/>
      <c r="AE12" s="81"/>
      <c r="AF12" s="220"/>
      <c r="AI12" s="224" t="s">
        <v>518</v>
      </c>
      <c r="AJ12" s="224" t="str">
        <f>E2</f>
        <v>Glass &amp; Concrete</v>
      </c>
    </row>
    <row r="13" spans="2:42">
      <c r="B13" s="357" t="s">
        <v>998</v>
      </c>
      <c r="D13" s="212"/>
      <c r="E13" s="212"/>
      <c r="F13" s="224" t="s">
        <v>1149</v>
      </c>
      <c r="G13" s="173" t="s">
        <v>499</v>
      </c>
      <c r="H13" s="174" t="str">
        <f>$AI$14</f>
        <v>IGDPH</v>
      </c>
      <c r="I13" s="173"/>
      <c r="J13" s="224">
        <f>AD13</f>
        <v>2050</v>
      </c>
      <c r="K13" s="81"/>
      <c r="L13" s="333">
        <v>1</v>
      </c>
      <c r="M13" s="199">
        <f ca="1">VLOOKUP($AD13,INDIRECT("'"&amp;$B13&amp;"'!"&amp;"$P$39:$AD$42"),3,FALSE)</f>
        <v>4.7191030203571422</v>
      </c>
      <c r="N13" s="81"/>
      <c r="O13" s="723">
        <f ca="1">VLOOKUP($AD13,INDIRECT("'"&amp;$B13&amp;"'!"&amp;"$P$39:$AD$42"),6,FALSE)/1000</f>
        <v>4.3209999999999997</v>
      </c>
      <c r="P13" s="723">
        <f ca="1">VLOOKUP($AD13,INDIRECT("'"&amp;$B13&amp;"'!"&amp;"$P$39:$AD$42"),7,FALSE)/1000</f>
        <v>1.49E-2</v>
      </c>
      <c r="Q13" s="81">
        <f ca="1">VLOOKUP($AD13,INDIRECT("'"&amp;$B13&amp;"'!"&amp;"$P$39:$AD$42"),8,FALSE)</f>
        <v>6.4566666666666661</v>
      </c>
      <c r="R13" s="300"/>
      <c r="S13" s="300"/>
      <c r="T13" s="300"/>
      <c r="U13" s="199">
        <f ca="1">1/M13</f>
        <v>0.21190467673331698</v>
      </c>
      <c r="V13" s="199"/>
      <c r="W13" s="298"/>
      <c r="X13" s="698">
        <f ca="1">IF(VLOOKUP($AD13,INDIRECT("'"&amp;$B13&amp;"'!"&amp;"$P$39:$AD$42"),11,FALSE)="Cf. the utilized electricity",0,VLOOKUP($AD13,INDIRECT("'"&amp;$B13&amp;"'!"&amp;"$P$39:$AD$42"),11,FALSE))</f>
        <v>0</v>
      </c>
      <c r="Y13" s="81">
        <f ca="1">VLOOKUP($AD13,INDIRECT("'"&amp;$B13&amp;"'!"&amp;"$P$39:$AD$42"),12,FALSE)</f>
        <v>0</v>
      </c>
      <c r="Z13" s="81">
        <f ca="1">VLOOKUP($AD13,INDIRECT("'"&amp;$B13&amp;"'!"&amp;"$P$39:$AD$42"),13,FALSE)</f>
        <v>0</v>
      </c>
      <c r="AA13" s="81">
        <f ca="1">VLOOKUP($AD13,INDIRECT("'"&amp;$B13&amp;"'!"&amp;"$P$39:$AD$42"),14,FALSE)</f>
        <v>0</v>
      </c>
      <c r="AB13" s="81">
        <f ca="1">VLOOKUP($AD13,INDIRECT("'"&amp;$B13&amp;"'!"&amp;"$P$39:$AD$42"),15,FALSE)</f>
        <v>0</v>
      </c>
      <c r="AC13" s="226"/>
      <c r="AD13" s="81">
        <v>2050</v>
      </c>
      <c r="AE13" s="81"/>
      <c r="AF13" s="220"/>
      <c r="AI13" s="224" t="str">
        <f>AO14</f>
        <v>IGDPH</v>
      </c>
      <c r="AJ13" s="224" t="str">
        <f>AP14</f>
        <v>Glass &amp; Concrete industry Demand Heat High Temp. over 150C</v>
      </c>
      <c r="AO13" s="224" t="s">
        <v>2084</v>
      </c>
      <c r="AP13" s="224" t="s">
        <v>1150</v>
      </c>
    </row>
    <row r="14" spans="2:42">
      <c r="B14" s="357" t="s">
        <v>998</v>
      </c>
      <c r="D14" s="212"/>
      <c r="E14" s="212"/>
      <c r="F14" s="224" t="s">
        <v>1149</v>
      </c>
      <c r="G14" s="173" t="str">
        <f>$AI$20</f>
        <v>INDGWH</v>
      </c>
      <c r="H14" s="174"/>
      <c r="I14" s="174"/>
      <c r="K14" s="81"/>
      <c r="L14" s="333"/>
      <c r="M14" s="199"/>
      <c r="N14" s="81"/>
      <c r="O14" s="723"/>
      <c r="P14" s="723"/>
      <c r="Q14" s="81"/>
      <c r="R14" s="300"/>
      <c r="S14" s="300"/>
      <c r="T14" s="300"/>
      <c r="U14" s="199">
        <f ca="1">1-U13</f>
        <v>0.78809532326668297</v>
      </c>
      <c r="V14" s="300"/>
      <c r="W14" s="298"/>
      <c r="X14" s="698"/>
      <c r="Y14" s="81"/>
      <c r="Z14" s="81"/>
      <c r="AA14" s="81"/>
      <c r="AB14" s="81"/>
      <c r="AC14" s="226"/>
      <c r="AD14" s="81"/>
      <c r="AE14" s="81"/>
      <c r="AF14" s="220"/>
      <c r="AI14" s="224" t="str">
        <f>AO13</f>
        <v>IGDPH</v>
      </c>
      <c r="AJ14" s="224" t="str">
        <f>AP13</f>
        <v>Glass &amp; Concrete industry Demand Heat Medium Temp. up to 150C</v>
      </c>
      <c r="AO14" s="224" t="s">
        <v>2084</v>
      </c>
      <c r="AP14" s="224" t="s">
        <v>1151</v>
      </c>
    </row>
    <row r="15" spans="2:42">
      <c r="B15" s="357" t="s">
        <v>998</v>
      </c>
      <c r="D15" s="212" t="str">
        <f>"IND"&amp;RIGHT(H15,4)&amp;RIGHT(G15,3)&amp;"N"&amp;RIGHT(E15,1)</f>
        <v>INDGDSHELCN1</v>
      </c>
      <c r="E15" s="261" t="str">
        <f>"Industrial heating technology "&amp;$AJ$12&amp;" "&amp;RIGHT(H15,2)&amp;" - Heat pump utilizing waste heat - new 1"</f>
        <v>Industrial heating technology Glass &amp; Concrete SH - Heat pump utilizing waste heat - new 1</v>
      </c>
      <c r="F15" s="224" t="s">
        <v>1149</v>
      </c>
      <c r="G15" s="173" t="s">
        <v>499</v>
      </c>
      <c r="H15" s="174" t="str">
        <f>$AI$15</f>
        <v>IGDSH</v>
      </c>
      <c r="I15" s="174"/>
      <c r="J15" s="224">
        <f>AD15</f>
        <v>2020</v>
      </c>
      <c r="K15" s="81">
        <v>2020</v>
      </c>
      <c r="L15" s="333">
        <v>1</v>
      </c>
      <c r="M15" s="199">
        <f ca="1">VLOOKUP($AD15,INDIRECT("'"&amp;$B15&amp;"'!"&amp;"$P$39:$AD$42"),3,FALSE)</f>
        <v>4.4754761904761899</v>
      </c>
      <c r="N15" s="81">
        <f ca="1">VLOOKUP($AD15,INDIRECT("'"&amp;$B15&amp;"'!"&amp;"$P$39:$AD$42"),5,FALSE)</f>
        <v>20</v>
      </c>
      <c r="O15" s="723">
        <f ca="1">VLOOKUP($AD15,INDIRECT("'"&amp;$B15&amp;"'!"&amp;"$P$39:$AD$42"),6,FALSE)/1000</f>
        <v>5.4385000000000003</v>
      </c>
      <c r="P15" s="723">
        <f ca="1">VLOOKUP($AD15,INDIRECT("'"&amp;$B15&amp;"'!"&amp;"$P$39:$AD$42"),7,FALSE)/1000</f>
        <v>1.49E-2</v>
      </c>
      <c r="Q15" s="81">
        <f ca="1">VLOOKUP($AD15,INDIRECT("'"&amp;$B15&amp;"'!"&amp;"$P$39:$AD$42"),8,FALSE)</f>
        <v>6.7463888888888883</v>
      </c>
      <c r="R15" s="81">
        <v>3.1536000000000002E-2</v>
      </c>
      <c r="S15" s="199">
        <v>0.5</v>
      </c>
      <c r="T15" s="199">
        <f ca="1">HLOOKUP($T$2,INDIRECT("'"&amp;$B15&amp;"'!"&amp;"$P$6:$AC$19"),IF(H15=$AI$13,6,IF(H15=$AI$14,9,14)),FALSE)</f>
        <v>1</v>
      </c>
      <c r="U15" s="199">
        <f ca="1">1/M15</f>
        <v>0.22343991062403579</v>
      </c>
      <c r="V15" s="199"/>
      <c r="W15" s="298"/>
      <c r="X15" s="698">
        <f ca="1">IF(VLOOKUP($AD15,INDIRECT("'"&amp;$B15&amp;"'!"&amp;"$P$39:$AD$42"),11,FALSE)="Cf. the utilized electricity",0,VLOOKUP($AD15,INDIRECT("'"&amp;$B15&amp;"'!"&amp;"$P$39:$AD$42"),11,FALSE))</f>
        <v>0</v>
      </c>
      <c r="Y15" s="81">
        <f ca="1">VLOOKUP($AD15,INDIRECT("'"&amp;$B15&amp;"'!"&amp;"$P$39:$AD$42"),12,FALSE)</f>
        <v>0</v>
      </c>
      <c r="Z15" s="81">
        <f ca="1">VLOOKUP($AD15,INDIRECT("'"&amp;$B15&amp;"'!"&amp;"$P$39:$AD$42"),13,FALSE)</f>
        <v>0</v>
      </c>
      <c r="AA15" s="81">
        <f ca="1">VLOOKUP($AD15,INDIRECT("'"&amp;$B15&amp;"'!"&amp;"$P$39:$AD$42"),14,FALSE)</f>
        <v>0</v>
      </c>
      <c r="AB15" s="81">
        <f ca="1">VLOOKUP($AD15,INDIRECT("'"&amp;$B15&amp;"'!"&amp;"$P$39:$AD$42"),15,FALSE)</f>
        <v>0</v>
      </c>
      <c r="AC15" s="226"/>
      <c r="AD15" s="81">
        <v>2020</v>
      </c>
      <c r="AE15" s="81"/>
      <c r="AF15" s="220"/>
      <c r="AI15" s="224" t="str">
        <f>AO15</f>
        <v>IGDSH</v>
      </c>
      <c r="AJ15" s="224" t="str">
        <f>AP15</f>
        <v>Glass &amp; Concrete industry Demand Heat Room Heat</v>
      </c>
      <c r="AO15" s="224" t="s">
        <v>2085</v>
      </c>
      <c r="AP15" s="224" t="s">
        <v>1152</v>
      </c>
    </row>
    <row r="16" spans="2:42">
      <c r="B16" s="357" t="s">
        <v>998</v>
      </c>
      <c r="D16" s="212"/>
      <c r="E16" s="261"/>
      <c r="F16" s="224" t="s">
        <v>1149</v>
      </c>
      <c r="G16" s="173" t="str">
        <f>$AI$20</f>
        <v>INDGWH</v>
      </c>
      <c r="H16" s="174"/>
      <c r="I16" s="174"/>
      <c r="K16" s="81"/>
      <c r="L16" s="333"/>
      <c r="M16" s="199"/>
      <c r="N16" s="81"/>
      <c r="O16" s="723"/>
      <c r="P16" s="723"/>
      <c r="Q16" s="81"/>
      <c r="R16" s="200"/>
      <c r="S16" s="772"/>
      <c r="T16" s="772"/>
      <c r="U16" s="199">
        <f ca="1">1-U15</f>
        <v>0.77656008937596421</v>
      </c>
      <c r="V16" s="772"/>
      <c r="W16" s="298"/>
      <c r="X16" s="698"/>
      <c r="Y16" s="81"/>
      <c r="Z16" s="81"/>
      <c r="AA16" s="81"/>
      <c r="AB16" s="81"/>
      <c r="AC16" s="226"/>
      <c r="AD16" s="81"/>
      <c r="AE16" s="81"/>
      <c r="AF16" s="220"/>
      <c r="AI16" s="224" t="str">
        <f t="shared" ref="AI16:AJ19" si="0">AO16</f>
        <v>IGDLA</v>
      </c>
      <c r="AJ16" s="224" t="str">
        <f t="shared" si="0"/>
        <v>Glass &amp; Concrete industry Demand Light</v>
      </c>
      <c r="AO16" s="224" t="s">
        <v>1153</v>
      </c>
      <c r="AP16" s="224" t="s">
        <v>1154</v>
      </c>
    </row>
    <row r="17" spans="2:42">
      <c r="B17" s="357" t="s">
        <v>998</v>
      </c>
      <c r="D17" s="212"/>
      <c r="E17" s="212"/>
      <c r="F17" s="224" t="s">
        <v>1149</v>
      </c>
      <c r="G17" s="173" t="s">
        <v>499</v>
      </c>
      <c r="H17" s="174" t="str">
        <f>$AI$15</f>
        <v>IGDSH</v>
      </c>
      <c r="I17" s="174"/>
      <c r="J17" s="224">
        <f>AD17</f>
        <v>2030</v>
      </c>
      <c r="K17" s="81"/>
      <c r="L17" s="333">
        <v>1</v>
      </c>
      <c r="M17" s="199">
        <f ca="1">VLOOKUP($AD17,INDIRECT("'"&amp;$B17&amp;"'!"&amp;"$P$39:$AD$42"),3,FALSE)</f>
        <v>4.5792982142857133</v>
      </c>
      <c r="N17" s="81"/>
      <c r="O17" s="723">
        <f ca="1">VLOOKUP($AD17,INDIRECT("'"&amp;$B17&amp;"'!"&amp;"$P$39:$AD$42"),6,FALSE)/1000</f>
        <v>4.8425000000000002</v>
      </c>
      <c r="P17" s="723">
        <f ca="1">VLOOKUP($AD17,INDIRECT("'"&amp;$B17&amp;"'!"&amp;"$P$39:$AD$42"),7,FALSE)/1000</f>
        <v>1.49E-2</v>
      </c>
      <c r="Q17" s="81">
        <f ca="1">VLOOKUP($AD17,INDIRECT("'"&amp;$B17&amp;"'!"&amp;"$P$39:$AD$42"),8,FALSE)</f>
        <v>6.6222222222222227</v>
      </c>
      <c r="R17" s="300"/>
      <c r="S17" s="300"/>
      <c r="T17" s="300"/>
      <c r="U17" s="199">
        <f ca="1">1/M17</f>
        <v>0.21837407244637849</v>
      </c>
      <c r="V17" s="199"/>
      <c r="W17" s="298"/>
      <c r="X17" s="698">
        <f ca="1">IF(VLOOKUP($AD17,INDIRECT("'"&amp;$B17&amp;"'!"&amp;"$P$39:$AD$42"),11,FALSE)="Cf. the utilized electricity",0,VLOOKUP($AD17,INDIRECT("'"&amp;$B17&amp;"'!"&amp;"$P$39:$AD$42"),11,FALSE))</f>
        <v>0</v>
      </c>
      <c r="Y17" s="81">
        <f ca="1">VLOOKUP($AD17,INDIRECT("'"&amp;$B17&amp;"'!"&amp;"$P$39:$AD$42"),12,FALSE)</f>
        <v>0</v>
      </c>
      <c r="Z17" s="81">
        <f ca="1">VLOOKUP($AD17,INDIRECT("'"&amp;$B17&amp;"'!"&amp;"$P$39:$AD$42"),13,FALSE)</f>
        <v>0</v>
      </c>
      <c r="AA17" s="81">
        <f ca="1">VLOOKUP($AD17,INDIRECT("'"&amp;$B17&amp;"'!"&amp;"$P$39:$AD$42"),14,FALSE)</f>
        <v>0</v>
      </c>
      <c r="AB17" s="81">
        <f ca="1">VLOOKUP($AD17,INDIRECT("'"&amp;$B17&amp;"'!"&amp;"$P$39:$AD$42"),15,FALSE)</f>
        <v>0</v>
      </c>
      <c r="AC17" s="226"/>
      <c r="AD17" s="81">
        <v>2030</v>
      </c>
      <c r="AE17" s="81"/>
      <c r="AF17" s="220"/>
      <c r="AI17" s="224" t="str">
        <f t="shared" si="0"/>
        <v>IGDEM</v>
      </c>
      <c r="AJ17" s="224" t="str">
        <f t="shared" si="0"/>
        <v>Glass &amp; Concrete industry Demand Electric Motors</v>
      </c>
      <c r="AO17" s="224" t="s">
        <v>1155</v>
      </c>
      <c r="AP17" s="224" t="s">
        <v>1156</v>
      </c>
    </row>
    <row r="18" spans="2:42">
      <c r="B18" s="357" t="s">
        <v>998</v>
      </c>
      <c r="D18" s="212"/>
      <c r="E18" s="212"/>
      <c r="F18" s="224" t="s">
        <v>1149</v>
      </c>
      <c r="G18" s="173" t="str">
        <f>$AI$20</f>
        <v>INDGWH</v>
      </c>
      <c r="H18" s="174"/>
      <c r="I18" s="174"/>
      <c r="K18" s="81"/>
      <c r="L18" s="333"/>
      <c r="M18" s="199"/>
      <c r="N18" s="81"/>
      <c r="O18" s="723"/>
      <c r="P18" s="723"/>
      <c r="Q18" s="81"/>
      <c r="R18" s="300"/>
      <c r="S18" s="300"/>
      <c r="T18" s="300"/>
      <c r="U18" s="199">
        <f ca="1">1-U17</f>
        <v>0.78162592755362148</v>
      </c>
      <c r="V18" s="300"/>
      <c r="W18" s="298"/>
      <c r="X18" s="698"/>
      <c r="Y18" s="81"/>
      <c r="Z18" s="81"/>
      <c r="AA18" s="81"/>
      <c r="AB18" s="81"/>
      <c r="AC18" s="226"/>
      <c r="AD18" s="81"/>
      <c r="AE18" s="81"/>
      <c r="AF18" s="220"/>
      <c r="AI18" s="224" t="str">
        <f t="shared" si="0"/>
        <v>IGDTF</v>
      </c>
      <c r="AJ18" s="224" t="str">
        <f t="shared" si="0"/>
        <v>Glass &amp; Concrete industry Demand Haulage Tractors, Trucks, Fishing boats, Forest machines</v>
      </c>
      <c r="AO18" s="224" t="s">
        <v>1157</v>
      </c>
      <c r="AP18" s="224" t="s">
        <v>1158</v>
      </c>
    </row>
    <row r="19" spans="2:42">
      <c r="B19" s="357" t="s">
        <v>998</v>
      </c>
      <c r="D19" s="212"/>
      <c r="E19" s="212"/>
      <c r="F19" s="224" t="s">
        <v>1149</v>
      </c>
      <c r="G19" s="173" t="s">
        <v>499</v>
      </c>
      <c r="H19" s="174" t="str">
        <f>$AI$15</f>
        <v>IGDSH</v>
      </c>
      <c r="I19" s="174"/>
      <c r="J19" s="224">
        <f>AD19</f>
        <v>2050</v>
      </c>
      <c r="K19" s="81"/>
      <c r="L19" s="333">
        <v>1</v>
      </c>
      <c r="M19" s="199">
        <f ca="1">VLOOKUP($AD19,INDIRECT("'"&amp;$B19&amp;"'!"&amp;"$P$39:$AD$42"),3,FALSE)</f>
        <v>4.7191030203571422</v>
      </c>
      <c r="N19" s="81"/>
      <c r="O19" s="723">
        <f ca="1">VLOOKUP($AD19,INDIRECT("'"&amp;$B19&amp;"'!"&amp;"$P$39:$AD$42"),6,FALSE)/1000</f>
        <v>4.3209999999999997</v>
      </c>
      <c r="P19" s="723">
        <f ca="1">VLOOKUP($AD19,INDIRECT("'"&amp;$B19&amp;"'!"&amp;"$P$39:$AD$42"),7,FALSE)/1000</f>
        <v>1.49E-2</v>
      </c>
      <c r="Q19" s="81">
        <f ca="1">VLOOKUP($AD19,INDIRECT("'"&amp;$B19&amp;"'!"&amp;"$P$39:$AD$42"),8,FALSE)</f>
        <v>6.4566666666666661</v>
      </c>
      <c r="R19" s="300"/>
      <c r="S19" s="300"/>
      <c r="T19" s="300"/>
      <c r="U19" s="199">
        <f ca="1">1/M19</f>
        <v>0.21190467673331698</v>
      </c>
      <c r="V19" s="199"/>
      <c r="W19" s="298"/>
      <c r="X19" s="698">
        <f ca="1">IF(VLOOKUP($AD19,INDIRECT("'"&amp;$B19&amp;"'!"&amp;"$P$39:$AD$42"),11,FALSE)="Cf. the utilized electricity",0,VLOOKUP($AD19,INDIRECT("'"&amp;$B19&amp;"'!"&amp;"$P$39:$AD$42"),11,FALSE))</f>
        <v>0</v>
      </c>
      <c r="Y19" s="81">
        <f ca="1">VLOOKUP($AD19,INDIRECT("'"&amp;$B19&amp;"'!"&amp;"$P$39:$AD$42"),12,FALSE)</f>
        <v>0</v>
      </c>
      <c r="Z19" s="81">
        <f ca="1">VLOOKUP($AD19,INDIRECT("'"&amp;$B19&amp;"'!"&amp;"$P$39:$AD$42"),13,FALSE)</f>
        <v>0</v>
      </c>
      <c r="AA19" s="81">
        <f ca="1">VLOOKUP($AD19,INDIRECT("'"&amp;$B19&amp;"'!"&amp;"$P$39:$AD$42"),14,FALSE)</f>
        <v>0</v>
      </c>
      <c r="AB19" s="81">
        <f ca="1">VLOOKUP($AD19,INDIRECT("'"&amp;$B19&amp;"'!"&amp;"$P$39:$AD$42"),15,FALSE)</f>
        <v>0</v>
      </c>
      <c r="AC19" s="226"/>
      <c r="AD19" s="81">
        <v>2050</v>
      </c>
      <c r="AE19" s="81"/>
      <c r="AF19" s="220"/>
      <c r="AI19" s="224" t="str">
        <f t="shared" si="0"/>
        <v>IGDFL</v>
      </c>
      <c r="AJ19" s="224" t="str">
        <f t="shared" si="0"/>
        <v>Glass &amp; Concrete industry Demand Haulage Forklifts</v>
      </c>
      <c r="AO19" s="224" t="s">
        <v>1159</v>
      </c>
      <c r="AP19" s="224" t="s">
        <v>1160</v>
      </c>
    </row>
    <row r="20" spans="2:42">
      <c r="B20" s="357" t="s">
        <v>998</v>
      </c>
      <c r="D20" s="212"/>
      <c r="E20" s="212"/>
      <c r="F20" s="224" t="s">
        <v>1149</v>
      </c>
      <c r="G20" s="173" t="str">
        <f>$AI$20</f>
        <v>INDGWH</v>
      </c>
      <c r="H20" s="174"/>
      <c r="I20" s="174"/>
      <c r="K20" s="81"/>
      <c r="L20" s="333"/>
      <c r="M20" s="199"/>
      <c r="N20" s="81"/>
      <c r="O20" s="723"/>
      <c r="P20" s="723"/>
      <c r="Q20" s="81"/>
      <c r="R20" s="300"/>
      <c r="S20" s="300"/>
      <c r="T20" s="300"/>
      <c r="U20" s="199">
        <f ca="1">1-U19</f>
        <v>0.78809532326668297</v>
      </c>
      <c r="V20" s="300"/>
      <c r="W20" s="298"/>
      <c r="X20" s="698"/>
      <c r="Y20" s="81"/>
      <c r="Z20" s="81"/>
      <c r="AA20" s="81"/>
      <c r="AB20" s="81"/>
      <c r="AC20" s="226"/>
      <c r="AD20" s="81"/>
      <c r="AE20" s="81"/>
      <c r="AF20" s="220"/>
      <c r="AI20" s="36" t="str">
        <f>"IND"&amp;MID(AI19,2,1)&amp;"WH"</f>
        <v>INDGWH</v>
      </c>
      <c r="AJ20" s="224" t="str">
        <f>$AJ$12&amp;" Industrial Waste Heat"</f>
        <v>Glass &amp; Concrete Industrial Waste Heat</v>
      </c>
    </row>
    <row r="21" spans="2:42">
      <c r="B21" s="357" t="s">
        <v>999</v>
      </c>
      <c r="D21" s="212" t="str">
        <f>"IND"&amp;RIGHT(H21,4)&amp;RIGHT(G21,3)&amp;"N"&amp;RIGHT(E21,1)</f>
        <v>INDGDPHELCN2</v>
      </c>
      <c r="E21" s="261" t="str">
        <f>"Industrial heating technology "&amp;$AJ$12&amp;" "&amp;RIGHT(H21,2)&amp;" - Heat driven heat pump utilizing waste heat - new 2"</f>
        <v>Industrial heating technology Glass &amp; Concrete PH - Heat driven heat pump utilizing waste heat - new 2</v>
      </c>
      <c r="F21" s="224" t="s">
        <v>1149</v>
      </c>
      <c r="G21" s="173" t="s">
        <v>499</v>
      </c>
      <c r="H21" s="174" t="str">
        <f>$AI$14</f>
        <v>IGDPH</v>
      </c>
      <c r="I21" s="174"/>
      <c r="J21" s="224">
        <f t="shared" ref="J21" si="1">AD21</f>
        <v>2020</v>
      </c>
      <c r="K21" s="81">
        <v>2020</v>
      </c>
      <c r="L21" s="333">
        <v>1</v>
      </c>
      <c r="M21" s="199">
        <f ca="1">VLOOKUP($AD21,INDIRECT("'"&amp;$B21&amp;"'!"&amp;"$P$39:$AD$42"),3,FALSE)</f>
        <v>1.68</v>
      </c>
      <c r="N21" s="81">
        <f ca="1">VLOOKUP($AD21,INDIRECT("'"&amp;$B21&amp;"'!"&amp;"$P$39:$AD$42"),5,FALSE)</f>
        <v>20</v>
      </c>
      <c r="O21" s="723">
        <f ca="1">VLOOKUP($AD21,INDIRECT("'"&amp;$B21&amp;"'!"&amp;"$P$39:$AD$42"),6,FALSE)/1000</f>
        <v>4.1720000000000006</v>
      </c>
      <c r="P21" s="723">
        <f ca="1">VLOOKUP($AD21,INDIRECT("'"&amp;$B21&amp;"'!"&amp;"$P$39:$AD$42"),7,FALSE)/1000</f>
        <v>1.49E-2</v>
      </c>
      <c r="Q21" s="81">
        <f ca="1">VLOOKUP($AD21,INDIRECT("'"&amp;$B21&amp;"'!"&amp;"$P$39:$AD$42"),8,FALSE)</f>
        <v>2.0901388888888892</v>
      </c>
      <c r="R21" s="81">
        <v>3.1536000000000002E-2</v>
      </c>
      <c r="S21" s="199">
        <v>0.5</v>
      </c>
      <c r="T21" s="199">
        <f ca="1">HLOOKUP($T$2,INDIRECT("'"&amp;$B21&amp;"'!"&amp;"$P$6:$AC$19"),IF(H21=$AI$13,6,IF(H21=$AI$14,9,14)),FALSE)</f>
        <v>0</v>
      </c>
      <c r="U21" s="199">
        <f ca="1">1/M21</f>
        <v>0.59523809523809523</v>
      </c>
      <c r="V21" s="199"/>
      <c r="W21" s="298"/>
      <c r="X21" s="698">
        <f ca="1">IF(VLOOKUP($AD21,INDIRECT("'"&amp;$B21&amp;"'!"&amp;"$P$39:$AD$42"),11,FALSE)="Cf. the utilized electricity",0,VLOOKUP($AD21,INDIRECT("'"&amp;$B21&amp;"'!"&amp;"$P$39:$AD$42"),11,FALSE))</f>
        <v>0</v>
      </c>
      <c r="Y21" s="81">
        <f ca="1">VLOOKUP($AD21,INDIRECT("'"&amp;$B21&amp;"'!"&amp;"$P$39:$AD$42"),12,FALSE)</f>
        <v>0</v>
      </c>
      <c r="Z21" s="81">
        <f ca="1">VLOOKUP($AD21,INDIRECT("'"&amp;$B21&amp;"'!"&amp;"$P$39:$AD$42"),13,FALSE)</f>
        <v>0</v>
      </c>
      <c r="AA21" s="81">
        <f ca="1">VLOOKUP($AD21,INDIRECT("'"&amp;$B21&amp;"'!"&amp;"$P$39:$AD$42"),14,FALSE)</f>
        <v>0</v>
      </c>
      <c r="AB21" s="81">
        <f ca="1">VLOOKUP($AD21,INDIRECT("'"&amp;$B21&amp;"'!"&amp;"$P$39:$AD$42"),15,FALSE)</f>
        <v>0</v>
      </c>
      <c r="AC21" s="226"/>
      <c r="AD21" s="81">
        <v>2020</v>
      </c>
      <c r="AE21" s="81"/>
      <c r="AF21" s="220"/>
      <c r="AI21" s="224" t="str">
        <f>"I"&amp;LEFT($AJ$12,1)&amp;"DCO"</f>
        <v>IGDCO</v>
      </c>
      <c r="AJ21" s="224" t="s">
        <v>2120</v>
      </c>
    </row>
    <row r="22" spans="2:42">
      <c r="B22" s="357" t="s">
        <v>999</v>
      </c>
      <c r="D22" s="212"/>
      <c r="E22" s="261"/>
      <c r="F22" s="224" t="s">
        <v>1149</v>
      </c>
      <c r="G22" s="173" t="str">
        <f>$AI$20</f>
        <v>INDGWH</v>
      </c>
      <c r="H22" s="174"/>
      <c r="I22" s="174"/>
      <c r="K22" s="81"/>
      <c r="L22" s="333"/>
      <c r="M22" s="199"/>
      <c r="N22" s="81"/>
      <c r="O22" s="723"/>
      <c r="P22" s="723"/>
      <c r="Q22" s="81"/>
      <c r="R22" s="200"/>
      <c r="S22" s="772"/>
      <c r="T22" s="772"/>
      <c r="U22" s="199">
        <f ca="1">1-U21</f>
        <v>0.40476190476190477</v>
      </c>
      <c r="V22" s="772"/>
      <c r="W22" s="298"/>
      <c r="X22" s="698"/>
      <c r="Y22" s="81"/>
      <c r="Z22" s="81"/>
      <c r="AA22" s="81"/>
      <c r="AB22" s="81"/>
      <c r="AC22" s="226"/>
      <c r="AD22" s="81"/>
      <c r="AE22" s="81"/>
      <c r="AF22" s="220"/>
      <c r="AI22" s="224">
        <v>1</v>
      </c>
    </row>
    <row r="23" spans="2:42">
      <c r="B23" s="357" t="s">
        <v>999</v>
      </c>
      <c r="D23" s="212"/>
      <c r="E23" s="212"/>
      <c r="F23" s="224" t="s">
        <v>1149</v>
      </c>
      <c r="G23" s="173" t="s">
        <v>499</v>
      </c>
      <c r="H23" s="174" t="str">
        <f>$AI$14</f>
        <v>IGDPH</v>
      </c>
      <c r="I23" s="174"/>
      <c r="J23" s="224">
        <f t="shared" ref="J23" si="2">AD23</f>
        <v>2030</v>
      </c>
      <c r="K23" s="81"/>
      <c r="L23" s="333">
        <v>1</v>
      </c>
      <c r="M23" s="199">
        <f ca="1">VLOOKUP($AD23,INDIRECT("'"&amp;$B23&amp;"'!"&amp;"$P$39:$AD$42"),3,FALSE)</f>
        <v>1.69</v>
      </c>
      <c r="N23" s="81"/>
      <c r="O23" s="723">
        <f ca="1">VLOOKUP($AD23,INDIRECT("'"&amp;$B23&amp;"'!"&amp;"$P$39:$AD$42"),6,FALSE)/1000</f>
        <v>3.7995000000000001</v>
      </c>
      <c r="P23" s="723">
        <f ca="1">VLOOKUP($AD23,INDIRECT("'"&amp;$B23&amp;"'!"&amp;"$P$39:$AD$42"),7,FALSE)/1000</f>
        <v>1.49E-2</v>
      </c>
      <c r="Q23" s="81">
        <f ca="1">VLOOKUP($AD23,INDIRECT("'"&amp;$B23&amp;"'!"&amp;"$P$39:$AD$42"),8,FALSE)</f>
        <v>2.0694444444444446</v>
      </c>
      <c r="R23" s="300"/>
      <c r="S23" s="300"/>
      <c r="T23" s="300"/>
      <c r="U23" s="199">
        <f ca="1">1/M23</f>
        <v>0.59171597633136097</v>
      </c>
      <c r="V23" s="199"/>
      <c r="W23" s="298"/>
      <c r="X23" s="698">
        <f ca="1">IF(VLOOKUP($AD23,INDIRECT("'"&amp;$B23&amp;"'!"&amp;"$P$39:$AD$42"),11,FALSE)="Cf. the utilized electricity",0,VLOOKUP($AD23,INDIRECT("'"&amp;$B23&amp;"'!"&amp;"$P$39:$AD$42"),11,FALSE))</f>
        <v>0</v>
      </c>
      <c r="Y23" s="81">
        <f ca="1">VLOOKUP($AD23,INDIRECT("'"&amp;$B23&amp;"'!"&amp;"$P$39:$AD$42"),12,FALSE)</f>
        <v>0</v>
      </c>
      <c r="Z23" s="81">
        <f ca="1">VLOOKUP($AD23,INDIRECT("'"&amp;$B23&amp;"'!"&amp;"$P$39:$AD$42"),13,FALSE)</f>
        <v>0</v>
      </c>
      <c r="AA23" s="81">
        <f ca="1">VLOOKUP($AD23,INDIRECT("'"&amp;$B23&amp;"'!"&amp;"$P$39:$AD$42"),14,FALSE)</f>
        <v>0</v>
      </c>
      <c r="AB23" s="81">
        <f ca="1">VLOOKUP($AD23,INDIRECT("'"&amp;$B23&amp;"'!"&amp;"$P$39:$AD$42"),15,FALSE)</f>
        <v>0</v>
      </c>
      <c r="AC23" s="226"/>
      <c r="AD23" s="81">
        <v>2030</v>
      </c>
      <c r="AE23" s="81"/>
      <c r="AF23" s="220"/>
      <c r="AI23" s="224">
        <v>2</v>
      </c>
    </row>
    <row r="24" spans="2:42" ht="14.5" customHeight="1">
      <c r="B24" s="357" t="s">
        <v>999</v>
      </c>
      <c r="D24" s="212"/>
      <c r="E24" s="212"/>
      <c r="F24" s="224" t="s">
        <v>1149</v>
      </c>
      <c r="G24" s="173" t="str">
        <f>$AI$20</f>
        <v>INDGWH</v>
      </c>
      <c r="H24" s="174"/>
      <c r="I24" s="174"/>
      <c r="K24" s="81"/>
      <c r="L24" s="333"/>
      <c r="M24" s="199"/>
      <c r="N24" s="81"/>
      <c r="O24" s="723"/>
      <c r="P24" s="723"/>
      <c r="Q24" s="81"/>
      <c r="R24" s="300"/>
      <c r="S24" s="300"/>
      <c r="T24" s="300"/>
      <c r="U24" s="199">
        <f ca="1">1-U23</f>
        <v>0.40828402366863903</v>
      </c>
      <c r="V24" s="300"/>
      <c r="W24" s="298"/>
      <c r="X24" s="698"/>
      <c r="Y24" s="81"/>
      <c r="Z24" s="81"/>
      <c r="AA24" s="81"/>
      <c r="AB24" s="81"/>
      <c r="AC24" s="226"/>
      <c r="AD24" s="81"/>
      <c r="AE24" s="81"/>
      <c r="AF24" s="220"/>
      <c r="AI24" s="224">
        <v>3</v>
      </c>
    </row>
    <row r="25" spans="2:42" ht="14.5" customHeight="1">
      <c r="B25" s="357" t="s">
        <v>999</v>
      </c>
      <c r="D25" s="212"/>
      <c r="E25" s="212"/>
      <c r="F25" s="224" t="s">
        <v>1149</v>
      </c>
      <c r="G25" s="173" t="s">
        <v>499</v>
      </c>
      <c r="H25" s="174" t="str">
        <f>$AI$14</f>
        <v>IGDPH</v>
      </c>
      <c r="I25" s="174"/>
      <c r="J25" s="224">
        <f t="shared" ref="J25" si="3">AD25</f>
        <v>2050</v>
      </c>
      <c r="K25" s="81"/>
      <c r="L25" s="333">
        <v>1</v>
      </c>
      <c r="M25" s="199">
        <f ca="1">VLOOKUP($AD25,INDIRECT("'"&amp;$B25&amp;"'!"&amp;"$P$39:$AD$42"),3,FALSE)</f>
        <v>1.71</v>
      </c>
      <c r="N25" s="81"/>
      <c r="O25" s="723">
        <f ca="1">VLOOKUP($AD25,INDIRECT("'"&amp;$B25&amp;"'!"&amp;"$P$39:$AD$42"),6,FALSE)/1000</f>
        <v>3.427</v>
      </c>
      <c r="P25" s="723">
        <f ca="1">VLOOKUP($AD25,INDIRECT("'"&amp;$B25&amp;"'!"&amp;"$P$39:$AD$42"),7,FALSE)/1000</f>
        <v>1.49E-2</v>
      </c>
      <c r="Q25" s="81">
        <f ca="1">VLOOKUP($AD25,INDIRECT("'"&amp;$B25&amp;"'!"&amp;"$P$39:$AD$42"),8,FALSE)</f>
        <v>2.0487500000000001</v>
      </c>
      <c r="R25" s="300"/>
      <c r="S25" s="300"/>
      <c r="T25" s="300"/>
      <c r="U25" s="199">
        <f ca="1">1/M25</f>
        <v>0.58479532163742687</v>
      </c>
      <c r="V25" s="199"/>
      <c r="W25" s="298"/>
      <c r="X25" s="698">
        <f ca="1">IF(VLOOKUP($AD25,INDIRECT("'"&amp;$B25&amp;"'!"&amp;"$P$39:$AD$42"),11,FALSE)="Cf. the utilized electricity",0,VLOOKUP($AD25,INDIRECT("'"&amp;$B25&amp;"'!"&amp;"$P$39:$AD$42"),11,FALSE))</f>
        <v>0</v>
      </c>
      <c r="Y25" s="81">
        <f ca="1">VLOOKUP($AD25,INDIRECT("'"&amp;$B25&amp;"'!"&amp;"$P$39:$AD$42"),12,FALSE)</f>
        <v>0</v>
      </c>
      <c r="Z25" s="81">
        <f ca="1">VLOOKUP($AD25,INDIRECT("'"&amp;$B25&amp;"'!"&amp;"$P$39:$AD$42"),13,FALSE)</f>
        <v>0</v>
      </c>
      <c r="AA25" s="81">
        <f ca="1">VLOOKUP($AD25,INDIRECT("'"&amp;$B25&amp;"'!"&amp;"$P$39:$AD$42"),14,FALSE)</f>
        <v>0</v>
      </c>
      <c r="AB25" s="81">
        <f ca="1">VLOOKUP($AD25,INDIRECT("'"&amp;$B25&amp;"'!"&amp;"$P$39:$AD$42"),15,FALSE)</f>
        <v>0</v>
      </c>
      <c r="AC25" s="226"/>
      <c r="AD25" s="81">
        <v>2050</v>
      </c>
      <c r="AE25" s="81"/>
      <c r="AF25" s="220"/>
      <c r="AI25" s="224">
        <v>4</v>
      </c>
    </row>
    <row r="26" spans="2:42" ht="15" customHeight="1">
      <c r="B26" s="357" t="s">
        <v>999</v>
      </c>
      <c r="D26" s="212"/>
      <c r="E26" s="212"/>
      <c r="F26" s="224" t="s">
        <v>1149</v>
      </c>
      <c r="G26" s="173" t="str">
        <f>$AI$20</f>
        <v>INDGWH</v>
      </c>
      <c r="H26" s="174"/>
      <c r="I26" s="174"/>
      <c r="K26" s="81"/>
      <c r="L26" s="333"/>
      <c r="M26" s="199"/>
      <c r="N26" s="81"/>
      <c r="O26" s="723"/>
      <c r="P26" s="723"/>
      <c r="Q26" s="81"/>
      <c r="R26" s="300"/>
      <c r="S26" s="300"/>
      <c r="T26" s="300"/>
      <c r="U26" s="199">
        <f ca="1">1-U25</f>
        <v>0.41520467836257313</v>
      </c>
      <c r="V26" s="300"/>
      <c r="W26" s="298"/>
      <c r="X26" s="698"/>
      <c r="Y26" s="81"/>
      <c r="Z26" s="81"/>
      <c r="AA26" s="81"/>
      <c r="AB26" s="81"/>
      <c r="AC26" s="226"/>
      <c r="AD26" s="81"/>
      <c r="AE26" s="81"/>
      <c r="AF26" s="220"/>
      <c r="AI26" s="224">
        <v>5</v>
      </c>
      <c r="AJ26" s="224" t="s">
        <v>715</v>
      </c>
    </row>
    <row r="27" spans="2:42">
      <c r="B27" s="357" t="s">
        <v>999</v>
      </c>
      <c r="D27" s="212" t="str">
        <f>"IND"&amp;RIGHT(H27,4)&amp;RIGHT(G27,3)&amp;"N"&amp;RIGHT(E27,1)</f>
        <v>INDGDSHELCN2</v>
      </c>
      <c r="E27" s="261" t="str">
        <f>"Industrial heating technology "&amp;$AJ$12&amp;" "&amp;RIGHT(H27,2)&amp;" - Heat driven heat pump utilizing waste heat - new 2"</f>
        <v>Industrial heating technology Glass &amp; Concrete SH - Heat driven heat pump utilizing waste heat - new 2</v>
      </c>
      <c r="F27" s="224" t="s">
        <v>1149</v>
      </c>
      <c r="G27" s="173" t="s">
        <v>499</v>
      </c>
      <c r="H27" s="174" t="str">
        <f>$AI$15</f>
        <v>IGDSH</v>
      </c>
      <c r="I27" s="174"/>
      <c r="J27" s="224">
        <f t="shared" ref="J27" si="4">AD27</f>
        <v>2020</v>
      </c>
      <c r="K27" s="81">
        <v>2020</v>
      </c>
      <c r="L27" s="333">
        <v>1</v>
      </c>
      <c r="M27" s="199">
        <f ca="1">VLOOKUP($AD27,INDIRECT("'"&amp;$B27&amp;"'!"&amp;"$P$39:$AD$42"),3,FALSE)</f>
        <v>1.68</v>
      </c>
      <c r="N27" s="81">
        <f ca="1">VLOOKUP($AD27,INDIRECT("'"&amp;$B27&amp;"'!"&amp;"$P$39:$AD$42"),5,FALSE)</f>
        <v>20</v>
      </c>
      <c r="O27" s="723">
        <f ca="1">VLOOKUP($AD27,INDIRECT("'"&amp;$B27&amp;"'!"&amp;"$P$39:$AD$42"),6,FALSE)/1000</f>
        <v>4.1720000000000006</v>
      </c>
      <c r="P27" s="723">
        <f ca="1">VLOOKUP($AD27,INDIRECT("'"&amp;$B27&amp;"'!"&amp;"$P$39:$AD$42"),7,FALSE)/1000</f>
        <v>1.49E-2</v>
      </c>
      <c r="Q27" s="81">
        <f ca="1">VLOOKUP($AD27,INDIRECT("'"&amp;$B27&amp;"'!"&amp;"$P$39:$AD$42"),8,FALSE)</f>
        <v>2.0901388888888892</v>
      </c>
      <c r="R27" s="81">
        <v>3.1536000000000002E-2</v>
      </c>
      <c r="S27" s="199">
        <v>0.5</v>
      </c>
      <c r="T27" s="199">
        <f ca="1">HLOOKUP($T$2,INDIRECT("'"&amp;$B27&amp;"'!"&amp;"$P$6:$AC$19"),IF(H27=$AI$13,6,IF(H27=$AI$14,9,14)),FALSE)</f>
        <v>1</v>
      </c>
      <c r="U27" s="199">
        <f ca="1">1/M27</f>
        <v>0.59523809523809523</v>
      </c>
      <c r="V27" s="199"/>
      <c r="W27" s="298"/>
      <c r="X27" s="698">
        <f ca="1">IF(VLOOKUP($AD27,INDIRECT("'"&amp;$B27&amp;"'!"&amp;"$P$39:$AD$42"),11,FALSE)="Cf. the utilized electricity",0,VLOOKUP($AD27,INDIRECT("'"&amp;$B27&amp;"'!"&amp;"$P$39:$AD$42"),11,FALSE))</f>
        <v>0</v>
      </c>
      <c r="Y27" s="81">
        <f ca="1">VLOOKUP($AD27,INDIRECT("'"&amp;$B27&amp;"'!"&amp;"$P$39:$AD$42"),12,FALSE)</f>
        <v>0</v>
      </c>
      <c r="Z27" s="81">
        <f ca="1">VLOOKUP($AD27,INDIRECT("'"&amp;$B27&amp;"'!"&amp;"$P$39:$AD$42"),13,FALSE)</f>
        <v>0</v>
      </c>
      <c r="AA27" s="81">
        <f ca="1">VLOOKUP($AD27,INDIRECT("'"&amp;$B27&amp;"'!"&amp;"$P$39:$AD$42"),14,FALSE)</f>
        <v>0</v>
      </c>
      <c r="AB27" s="81">
        <f ca="1">VLOOKUP($AD27,INDIRECT("'"&amp;$B27&amp;"'!"&amp;"$P$39:$AD$42"),15,FALSE)</f>
        <v>0</v>
      </c>
      <c r="AD27" s="81">
        <v>2020</v>
      </c>
      <c r="AE27" s="81"/>
      <c r="AF27" s="220"/>
      <c r="AI27" s="224">
        <v>6</v>
      </c>
    </row>
    <row r="28" spans="2:42" ht="15" customHeight="1">
      <c r="B28" s="357" t="s">
        <v>999</v>
      </c>
      <c r="D28" s="212"/>
      <c r="E28" s="261"/>
      <c r="F28" s="224" t="s">
        <v>1149</v>
      </c>
      <c r="G28" s="173" t="str">
        <f>$AI$20</f>
        <v>INDGWH</v>
      </c>
      <c r="H28" s="174"/>
      <c r="I28" s="174"/>
      <c r="K28" s="81"/>
      <c r="L28" s="333"/>
      <c r="M28" s="199"/>
      <c r="N28" s="81"/>
      <c r="O28" s="723"/>
      <c r="P28" s="723"/>
      <c r="Q28" s="81"/>
      <c r="R28" s="200"/>
      <c r="S28" s="772"/>
      <c r="T28" s="772"/>
      <c r="U28" s="199">
        <f ca="1">1-U27</f>
        <v>0.40476190476190477</v>
      </c>
      <c r="V28" s="772"/>
      <c r="W28" s="298"/>
      <c r="X28" s="698"/>
      <c r="Y28" s="81"/>
      <c r="Z28" s="81"/>
      <c r="AA28" s="81"/>
      <c r="AB28" s="81"/>
      <c r="AD28" s="81"/>
      <c r="AE28" s="81"/>
      <c r="AF28" s="220"/>
      <c r="AI28" s="224">
        <v>7</v>
      </c>
      <c r="AJ28" s="224" t="s">
        <v>716</v>
      </c>
    </row>
    <row r="29" spans="2:42">
      <c r="B29" s="357" t="s">
        <v>999</v>
      </c>
      <c r="D29" s="212"/>
      <c r="E29" s="212"/>
      <c r="F29" s="224" t="s">
        <v>1149</v>
      </c>
      <c r="G29" s="173" t="s">
        <v>499</v>
      </c>
      <c r="H29" s="174" t="str">
        <f>$AI$15</f>
        <v>IGDSH</v>
      </c>
      <c r="I29" s="174"/>
      <c r="J29" s="224">
        <f t="shared" ref="J29" si="5">AD29</f>
        <v>2030</v>
      </c>
      <c r="K29" s="81"/>
      <c r="L29" s="333">
        <v>1</v>
      </c>
      <c r="M29" s="199">
        <f ca="1">VLOOKUP($AD29,INDIRECT("'"&amp;$B29&amp;"'!"&amp;"$P$39:$AD$42"),3,FALSE)</f>
        <v>1.69</v>
      </c>
      <c r="N29" s="81"/>
      <c r="O29" s="723">
        <f ca="1">VLOOKUP($AD29,INDIRECT("'"&amp;$B29&amp;"'!"&amp;"$P$39:$AD$42"),6,FALSE)/1000</f>
        <v>3.7995000000000001</v>
      </c>
      <c r="P29" s="723">
        <f ca="1">VLOOKUP($AD29,INDIRECT("'"&amp;$B29&amp;"'!"&amp;"$P$39:$AD$42"),7,FALSE)/1000</f>
        <v>1.49E-2</v>
      </c>
      <c r="Q29" s="81">
        <f ca="1">VLOOKUP($AD29,INDIRECT("'"&amp;$B29&amp;"'!"&amp;"$P$39:$AD$42"),8,FALSE)</f>
        <v>2.0694444444444446</v>
      </c>
      <c r="R29" s="300"/>
      <c r="S29" s="300"/>
      <c r="T29" s="300"/>
      <c r="U29" s="199">
        <f ca="1">1/M29</f>
        <v>0.59171597633136097</v>
      </c>
      <c r="V29" s="199"/>
      <c r="W29" s="298"/>
      <c r="X29" s="698">
        <f ca="1">IF(VLOOKUP($AD29,INDIRECT("'"&amp;$B29&amp;"'!"&amp;"$P$39:$AD$42"),11,FALSE)="Cf. the utilized electricity",0,VLOOKUP($AD29,INDIRECT("'"&amp;$B29&amp;"'!"&amp;"$P$39:$AD$42"),11,FALSE))</f>
        <v>0</v>
      </c>
      <c r="Y29" s="81">
        <f ca="1">VLOOKUP($AD29,INDIRECT("'"&amp;$B29&amp;"'!"&amp;"$P$39:$AD$42"),12,FALSE)</f>
        <v>0</v>
      </c>
      <c r="Z29" s="81">
        <f ca="1">VLOOKUP($AD29,INDIRECT("'"&amp;$B29&amp;"'!"&amp;"$P$39:$AD$42"),13,FALSE)</f>
        <v>0</v>
      </c>
      <c r="AA29" s="81">
        <f ca="1">VLOOKUP($AD29,INDIRECT("'"&amp;$B29&amp;"'!"&amp;"$P$39:$AD$42"),14,FALSE)</f>
        <v>0</v>
      </c>
      <c r="AB29" s="81">
        <f ca="1">VLOOKUP($AD29,INDIRECT("'"&amp;$B29&amp;"'!"&amp;"$P$39:$AD$42"),15,FALSE)</f>
        <v>0</v>
      </c>
      <c r="AD29" s="81">
        <v>2030</v>
      </c>
      <c r="AE29" s="81"/>
      <c r="AF29" s="220"/>
      <c r="AI29" s="224">
        <v>8</v>
      </c>
    </row>
    <row r="30" spans="2:42" ht="15" customHeight="1">
      <c r="B30" s="357" t="s">
        <v>999</v>
      </c>
      <c r="D30" s="212"/>
      <c r="E30" s="212"/>
      <c r="F30" s="224" t="s">
        <v>1149</v>
      </c>
      <c r="G30" s="173" t="str">
        <f>$AI$20</f>
        <v>INDGWH</v>
      </c>
      <c r="H30" s="174"/>
      <c r="I30" s="174"/>
      <c r="K30" s="81"/>
      <c r="L30" s="333"/>
      <c r="M30" s="199"/>
      <c r="N30" s="81"/>
      <c r="O30" s="723"/>
      <c r="P30" s="723"/>
      <c r="Q30" s="81"/>
      <c r="R30" s="300"/>
      <c r="S30" s="300"/>
      <c r="T30" s="300"/>
      <c r="U30" s="199">
        <f ca="1">1-U29</f>
        <v>0.40828402366863903</v>
      </c>
      <c r="V30" s="300"/>
      <c r="W30" s="298"/>
      <c r="X30" s="698"/>
      <c r="Y30" s="81"/>
      <c r="Z30" s="81"/>
      <c r="AA30" s="81"/>
      <c r="AB30" s="81"/>
      <c r="AD30" s="81"/>
      <c r="AE30" s="81"/>
      <c r="AF30" s="220"/>
      <c r="AI30" s="224">
        <v>9</v>
      </c>
      <c r="AJ30" s="224" t="s">
        <v>717</v>
      </c>
    </row>
    <row r="31" spans="2:42">
      <c r="B31" s="357" t="s">
        <v>999</v>
      </c>
      <c r="D31" s="212"/>
      <c r="E31" s="212"/>
      <c r="F31" s="224" t="s">
        <v>1149</v>
      </c>
      <c r="G31" s="173" t="s">
        <v>499</v>
      </c>
      <c r="H31" s="174" t="str">
        <f>$AI$15</f>
        <v>IGDSH</v>
      </c>
      <c r="I31" s="174"/>
      <c r="J31" s="224">
        <f t="shared" ref="J31" si="6">AD31</f>
        <v>2050</v>
      </c>
      <c r="K31" s="81"/>
      <c r="L31" s="333">
        <v>1</v>
      </c>
      <c r="M31" s="199">
        <f ca="1">VLOOKUP($AD31,INDIRECT("'"&amp;$B31&amp;"'!"&amp;"$P$39:$AD$42"),3,FALSE)</f>
        <v>1.71</v>
      </c>
      <c r="N31" s="81"/>
      <c r="O31" s="723">
        <f ca="1">VLOOKUP($AD31,INDIRECT("'"&amp;$B31&amp;"'!"&amp;"$P$39:$AD$42"),6,FALSE)/1000</f>
        <v>3.427</v>
      </c>
      <c r="P31" s="723">
        <f ca="1">VLOOKUP($AD31,INDIRECT("'"&amp;$B31&amp;"'!"&amp;"$P$39:$AD$42"),7,FALSE)/1000</f>
        <v>1.49E-2</v>
      </c>
      <c r="Q31" s="81">
        <f ca="1">VLOOKUP($AD31,INDIRECT("'"&amp;$B31&amp;"'!"&amp;"$P$39:$AD$42"),8,FALSE)</f>
        <v>2.0487500000000001</v>
      </c>
      <c r="R31" s="300"/>
      <c r="S31" s="300"/>
      <c r="T31" s="300"/>
      <c r="U31" s="199">
        <f ca="1">1/M31</f>
        <v>0.58479532163742687</v>
      </c>
      <c r="V31" s="199"/>
      <c r="W31" s="298"/>
      <c r="X31" s="698">
        <f ca="1">IF(VLOOKUP($AD31,INDIRECT("'"&amp;$B31&amp;"'!"&amp;"$P$39:$AD$42"),11,FALSE)="Cf. the utilized electricity",0,VLOOKUP($AD31,INDIRECT("'"&amp;$B31&amp;"'!"&amp;"$P$39:$AD$42"),11,FALSE))</f>
        <v>0</v>
      </c>
      <c r="Y31" s="81">
        <f ca="1">VLOOKUP($AD31,INDIRECT("'"&amp;$B31&amp;"'!"&amp;"$P$39:$AD$42"),12,FALSE)</f>
        <v>0</v>
      </c>
      <c r="Z31" s="81">
        <f ca="1">VLOOKUP($AD31,INDIRECT("'"&amp;$B31&amp;"'!"&amp;"$P$39:$AD$42"),13,FALSE)</f>
        <v>0</v>
      </c>
      <c r="AA31" s="81">
        <f ca="1">VLOOKUP($AD31,INDIRECT("'"&amp;$B31&amp;"'!"&amp;"$P$39:$AD$42"),14,FALSE)</f>
        <v>0</v>
      </c>
      <c r="AB31" s="81">
        <f ca="1">VLOOKUP($AD31,INDIRECT("'"&amp;$B31&amp;"'!"&amp;"$P$39:$AD$42"),15,FALSE)</f>
        <v>0</v>
      </c>
      <c r="AD31" s="81">
        <v>2050</v>
      </c>
      <c r="AE31" s="81"/>
      <c r="AF31" s="220"/>
      <c r="AI31" s="224">
        <v>10</v>
      </c>
    </row>
    <row r="32" spans="2:42">
      <c r="B32" s="357" t="s">
        <v>999</v>
      </c>
      <c r="D32" s="212"/>
      <c r="E32" s="212"/>
      <c r="F32" s="224" t="s">
        <v>1149</v>
      </c>
      <c r="G32" s="173" t="str">
        <f>$AI$20</f>
        <v>INDGWH</v>
      </c>
      <c r="H32" s="174"/>
      <c r="I32" s="174"/>
      <c r="K32" s="81"/>
      <c r="L32" s="333"/>
      <c r="M32" s="199"/>
      <c r="N32" s="81"/>
      <c r="O32" s="723"/>
      <c r="P32" s="723"/>
      <c r="Q32" s="81"/>
      <c r="R32" s="300"/>
      <c r="S32" s="300"/>
      <c r="T32" s="300"/>
      <c r="U32" s="199">
        <f ca="1">1-U31</f>
        <v>0.41520467836257313</v>
      </c>
      <c r="V32" s="300"/>
      <c r="W32" s="298"/>
      <c r="X32" s="698"/>
      <c r="Y32" s="81"/>
      <c r="Z32" s="81"/>
      <c r="AA32" s="81"/>
      <c r="AB32" s="81"/>
      <c r="AD32" s="81"/>
      <c r="AE32" s="81"/>
      <c r="AF32" s="220"/>
      <c r="AI32" s="224">
        <v>11</v>
      </c>
      <c r="AJ32" s="224" t="s">
        <v>718</v>
      </c>
    </row>
    <row r="33" spans="2:36">
      <c r="B33" s="357" t="s">
        <v>1000</v>
      </c>
      <c r="D33" s="212" t="str">
        <f>"IND"&amp;RIGHT(H33,4)&amp;RIGHT(G33,3)&amp;"N"&amp;RIGHT(E33,1)</f>
        <v>INDGDPHELCN3</v>
      </c>
      <c r="E33" s="261" t="str">
        <f>"Industrial heating technology "&amp;$AJ$12&amp;" "&amp;RIGHT(H33,2)&amp;" - High Temp abs. Heat pump utilizing waste heat - new 3"</f>
        <v>Industrial heating technology Glass &amp; Concrete PH - High Temp abs. Heat pump utilizing waste heat - new 3</v>
      </c>
      <c r="F33" s="224" t="s">
        <v>1149</v>
      </c>
      <c r="G33" s="173" t="s">
        <v>499</v>
      </c>
      <c r="H33" s="174" t="str">
        <f>$AI$14</f>
        <v>IGDPH</v>
      </c>
      <c r="I33" s="174"/>
      <c r="J33" s="224">
        <f t="shared" ref="J33" si="7">AD33</f>
        <v>2020</v>
      </c>
      <c r="K33" s="81">
        <v>2020</v>
      </c>
      <c r="L33" s="333">
        <v>1</v>
      </c>
      <c r="M33" s="199">
        <f ca="1">VLOOKUP($AD33,INDIRECT("'"&amp;$B33&amp;"'!"&amp;"$P$39:$AD$42"),3,FALSE)</f>
        <v>2.75</v>
      </c>
      <c r="N33" s="81">
        <f ca="1">VLOOKUP($AD33,INDIRECT("'"&amp;$B33&amp;"'!"&amp;"$P$39:$AD$42"),5,FALSE)</f>
        <v>20</v>
      </c>
      <c r="O33" s="723">
        <f ca="1">VLOOKUP($AD33,INDIRECT("'"&amp;$B33&amp;"'!"&amp;"$P$39:$AD$42"),6,FALSE)/1000</f>
        <v>7.1394840000000004</v>
      </c>
      <c r="P33" s="723">
        <f ca="1">VLOOKUP($AD33,INDIRECT("'"&amp;$B33&amp;"'!"&amp;"$P$39:$AD$42"),7,FALSE)/1000</f>
        <v>7.2264999999999994E-3</v>
      </c>
      <c r="Q33" s="81">
        <f ca="1">VLOOKUP($AD33,INDIRECT("'"&amp;$B33&amp;"'!"&amp;"$P$39:$AD$42"),8,FALSE)</f>
        <v>6.7463888888888883</v>
      </c>
      <c r="R33" s="81">
        <v>3.1536000000000002E-2</v>
      </c>
      <c r="S33" s="199">
        <v>0.5</v>
      </c>
      <c r="T33" s="199">
        <f ca="1">HLOOKUP($T$2,INDIRECT("'"&amp;$B33&amp;"'!"&amp;"$P$6:$AC$19"),IF(H33=$AI$13,6,IF(H33=$AI$14,9,14)),FALSE)-T9</f>
        <v>0</v>
      </c>
      <c r="U33" s="199">
        <f ca="1">1/M33</f>
        <v>0.36363636363636365</v>
      </c>
      <c r="V33" s="199"/>
      <c r="W33" s="298"/>
      <c r="X33" s="698">
        <f ca="1">IF(VLOOKUP($AD33,INDIRECT("'"&amp;$B33&amp;"'!"&amp;"$P$39:$AD$42"),11,FALSE)="Cf. the utilized electricity",0,VLOOKUP($AD33,INDIRECT("'"&amp;$B33&amp;"'!"&amp;"$P$39:$AD$42"),11,FALSE))</f>
        <v>0</v>
      </c>
      <c r="Y33" s="81">
        <f ca="1">VLOOKUP($AD33,INDIRECT("'"&amp;$B33&amp;"'!"&amp;"$P$39:$AD$42"),12,FALSE)</f>
        <v>0</v>
      </c>
      <c r="Z33" s="81">
        <f ca="1">VLOOKUP($AD33,INDIRECT("'"&amp;$B33&amp;"'!"&amp;"$P$39:$AD$42"),13,FALSE)</f>
        <v>0</v>
      </c>
      <c r="AA33" s="81">
        <f ca="1">VLOOKUP($AD33,INDIRECT("'"&amp;$B33&amp;"'!"&amp;"$P$39:$AD$42"),14,FALSE)</f>
        <v>0</v>
      </c>
      <c r="AB33" s="81">
        <f ca="1">VLOOKUP($AD33,INDIRECT("'"&amp;$B33&amp;"'!"&amp;"$P$39:$AD$42"),15,FALSE)</f>
        <v>0</v>
      </c>
      <c r="AD33" s="81">
        <v>2020</v>
      </c>
      <c r="AE33" s="81"/>
      <c r="AF33" s="220"/>
      <c r="AI33" s="224">
        <v>12</v>
      </c>
    </row>
    <row r="34" spans="2:36">
      <c r="B34" s="357" t="s">
        <v>1000</v>
      </c>
      <c r="D34" s="212"/>
      <c r="E34" s="261"/>
      <c r="F34" s="224" t="s">
        <v>1149</v>
      </c>
      <c r="G34" s="173" t="str">
        <f>$AI$20</f>
        <v>INDGWH</v>
      </c>
      <c r="H34" s="174"/>
      <c r="I34" s="174"/>
      <c r="K34" s="81"/>
      <c r="L34" s="333"/>
      <c r="M34" s="199"/>
      <c r="N34" s="81"/>
      <c r="O34" s="723"/>
      <c r="P34" s="723"/>
      <c r="Q34" s="81"/>
      <c r="R34" s="200"/>
      <c r="S34" s="772"/>
      <c r="T34" s="772"/>
      <c r="U34" s="199">
        <f ca="1">1-U33</f>
        <v>0.63636363636363635</v>
      </c>
      <c r="V34" s="772"/>
      <c r="W34" s="298"/>
      <c r="X34" s="698"/>
      <c r="Y34" s="81"/>
      <c r="Z34" s="81"/>
      <c r="AA34" s="81"/>
      <c r="AB34" s="81"/>
      <c r="AD34" s="81"/>
      <c r="AE34" s="81"/>
      <c r="AF34" s="220"/>
      <c r="AI34" s="224">
        <v>13</v>
      </c>
      <c r="AJ34" s="224" t="s">
        <v>719</v>
      </c>
    </row>
    <row r="35" spans="2:36">
      <c r="B35" s="357" t="s">
        <v>1000</v>
      </c>
      <c r="D35" s="212"/>
      <c r="E35" s="212"/>
      <c r="F35" s="224" t="s">
        <v>1149</v>
      </c>
      <c r="G35" s="173" t="s">
        <v>499</v>
      </c>
      <c r="H35" s="174" t="str">
        <f>$AI$14</f>
        <v>IGDPH</v>
      </c>
      <c r="I35" s="174"/>
      <c r="J35" s="224">
        <f t="shared" ref="J35" si="8">AD35</f>
        <v>2030</v>
      </c>
      <c r="K35" s="81"/>
      <c r="L35" s="333">
        <v>1</v>
      </c>
      <c r="M35" s="199">
        <f ca="1">VLOOKUP($AD35,INDIRECT("'"&amp;$B35&amp;"'!"&amp;"$P$39:$AD$42"),3,FALSE)</f>
        <v>2.875</v>
      </c>
      <c r="N35" s="81"/>
      <c r="O35" s="723">
        <f ca="1">VLOOKUP($AD35,INDIRECT("'"&amp;$B35&amp;"'!"&amp;"$P$39:$AD$42"),6,FALSE)/1000</f>
        <v>6.3822660000000013</v>
      </c>
      <c r="P35" s="723">
        <f ca="1">VLOOKUP($AD35,INDIRECT("'"&amp;$B35&amp;"'!"&amp;"$P$39:$AD$42"),7,FALSE)/1000</f>
        <v>6.4814999999999994E-3</v>
      </c>
      <c r="Q35" s="81">
        <f ca="1">VLOOKUP($AD35,INDIRECT("'"&amp;$B35&amp;"'!"&amp;"$P$39:$AD$42"),8,FALSE)</f>
        <v>6.6222222222222227</v>
      </c>
      <c r="R35" s="300"/>
      <c r="S35" s="300"/>
      <c r="T35" s="300"/>
      <c r="U35" s="199">
        <f ca="1">1/M35</f>
        <v>0.34782608695652173</v>
      </c>
      <c r="V35" s="199"/>
      <c r="W35" s="298"/>
      <c r="X35" s="698">
        <f ca="1">IF(VLOOKUP($AD35,INDIRECT("'"&amp;$B35&amp;"'!"&amp;"$P$39:$AD$42"),11,FALSE)="Cf. the utilized electricity",0,VLOOKUP($AD35,INDIRECT("'"&amp;$B35&amp;"'!"&amp;"$P$39:$AD$42"),11,FALSE))</f>
        <v>0</v>
      </c>
      <c r="Y35" s="81">
        <f ca="1">VLOOKUP($AD35,INDIRECT("'"&amp;$B35&amp;"'!"&amp;"$P$39:$AD$42"),12,FALSE)</f>
        <v>0</v>
      </c>
      <c r="Z35" s="81">
        <f ca="1">VLOOKUP($AD35,INDIRECT("'"&amp;$B35&amp;"'!"&amp;"$P$39:$AD$42"),13,FALSE)</f>
        <v>0</v>
      </c>
      <c r="AA35" s="81">
        <f ca="1">VLOOKUP($AD35,INDIRECT("'"&amp;$B35&amp;"'!"&amp;"$P$39:$AD$42"),14,FALSE)</f>
        <v>0</v>
      </c>
      <c r="AB35" s="81">
        <f ca="1">VLOOKUP($AD35,INDIRECT("'"&amp;$B35&amp;"'!"&amp;"$P$39:$AD$42"),15,FALSE)</f>
        <v>0</v>
      </c>
      <c r="AD35" s="81">
        <v>2030</v>
      </c>
      <c r="AE35" s="81"/>
      <c r="AF35" s="220"/>
      <c r="AI35" s="224">
        <v>14</v>
      </c>
    </row>
    <row r="36" spans="2:36">
      <c r="B36" s="357" t="s">
        <v>1000</v>
      </c>
      <c r="D36" s="212"/>
      <c r="E36" s="212"/>
      <c r="F36" s="224" t="s">
        <v>1149</v>
      </c>
      <c r="G36" s="173" t="str">
        <f>$AI$20</f>
        <v>INDGWH</v>
      </c>
      <c r="H36" s="174"/>
      <c r="I36" s="174"/>
      <c r="K36" s="81"/>
      <c r="L36" s="333"/>
      <c r="M36" s="199"/>
      <c r="N36" s="81"/>
      <c r="O36" s="723"/>
      <c r="P36" s="723"/>
      <c r="Q36" s="81"/>
      <c r="R36" s="300"/>
      <c r="S36" s="300"/>
      <c r="T36" s="300"/>
      <c r="U36" s="199">
        <f ca="1">1-U35</f>
        <v>0.65217391304347827</v>
      </c>
      <c r="V36" s="300"/>
      <c r="W36" s="298"/>
      <c r="X36" s="698"/>
      <c r="Y36" s="81"/>
      <c r="Z36" s="81"/>
      <c r="AA36" s="81"/>
      <c r="AB36" s="81"/>
      <c r="AD36" s="81"/>
      <c r="AE36" s="81"/>
      <c r="AF36" s="220"/>
    </row>
    <row r="37" spans="2:36">
      <c r="B37" s="357" t="s">
        <v>1000</v>
      </c>
      <c r="D37" s="212"/>
      <c r="E37" s="212"/>
      <c r="F37" s="224" t="s">
        <v>1149</v>
      </c>
      <c r="G37" s="173" t="s">
        <v>499</v>
      </c>
      <c r="H37" s="174" t="str">
        <f>$AI$14</f>
        <v>IGDPH</v>
      </c>
      <c r="I37" s="174"/>
      <c r="J37" s="224">
        <f t="shared" ref="J37" si="9">AD37</f>
        <v>2050</v>
      </c>
      <c r="K37" s="81"/>
      <c r="L37" s="333">
        <v>1</v>
      </c>
      <c r="M37" s="199">
        <f ca="1">VLOOKUP($AD37,INDIRECT("'"&amp;$B37&amp;"'!"&amp;"$P$39:$AD$42"),3,FALSE)</f>
        <v>3.0249999999999999</v>
      </c>
      <c r="N37" s="81"/>
      <c r="O37" s="723">
        <f ca="1">VLOOKUP($AD37,INDIRECT("'"&amp;$B37&amp;"'!"&amp;"$P$39:$AD$42"),6,FALSE)/1000</f>
        <v>5.7365000000000004</v>
      </c>
      <c r="P37" s="723">
        <f ca="1">VLOOKUP($AD37,INDIRECT("'"&amp;$B37&amp;"'!"&amp;"$P$39:$AD$42"),7,FALSE)/1000</f>
        <v>5.3639999999999998E-3</v>
      </c>
      <c r="Q37" s="81">
        <f ca="1">VLOOKUP($AD37,INDIRECT("'"&amp;$B37&amp;"'!"&amp;"$P$39:$AD$42"),8,FALSE)</f>
        <v>6.4566666666666661</v>
      </c>
      <c r="R37" s="300"/>
      <c r="S37" s="300"/>
      <c r="T37" s="300"/>
      <c r="U37" s="199">
        <f ca="1">1/M37</f>
        <v>0.33057851239669422</v>
      </c>
      <c r="V37" s="199"/>
      <c r="W37" s="298"/>
      <c r="X37" s="698">
        <f ca="1">IF(VLOOKUP($AD37,INDIRECT("'"&amp;$B37&amp;"'!"&amp;"$P$39:$AD$42"),11,FALSE)="Cf. the utilized electricity",0,VLOOKUP($AD37,INDIRECT("'"&amp;$B37&amp;"'!"&amp;"$P$39:$AD$42"),11,FALSE))</f>
        <v>0</v>
      </c>
      <c r="Y37" s="81">
        <f ca="1">VLOOKUP($AD37,INDIRECT("'"&amp;$B37&amp;"'!"&amp;"$P$39:$AD$42"),12,FALSE)</f>
        <v>0</v>
      </c>
      <c r="Z37" s="81">
        <f ca="1">VLOOKUP($AD37,INDIRECT("'"&amp;$B37&amp;"'!"&amp;"$P$39:$AD$42"),13,FALSE)</f>
        <v>0</v>
      </c>
      <c r="AA37" s="81">
        <f ca="1">VLOOKUP($AD37,INDIRECT("'"&amp;$B37&amp;"'!"&amp;"$P$39:$AD$42"),14,FALSE)</f>
        <v>0</v>
      </c>
      <c r="AB37" s="81">
        <f ca="1">VLOOKUP($AD37,INDIRECT("'"&amp;$B37&amp;"'!"&amp;"$P$39:$AD$42"),15,FALSE)</f>
        <v>0</v>
      </c>
      <c r="AD37" s="81">
        <v>2050</v>
      </c>
      <c r="AE37" s="81"/>
      <c r="AF37" s="220"/>
    </row>
    <row r="38" spans="2:36">
      <c r="B38" s="357" t="s">
        <v>1000</v>
      </c>
      <c r="D38" s="212"/>
      <c r="E38" s="212"/>
      <c r="F38" s="224" t="s">
        <v>1149</v>
      </c>
      <c r="G38" s="173" t="str">
        <f>$AI$20</f>
        <v>INDGWH</v>
      </c>
      <c r="H38" s="174"/>
      <c r="I38" s="174"/>
      <c r="K38" s="81"/>
      <c r="L38" s="333"/>
      <c r="M38" s="199"/>
      <c r="N38" s="81"/>
      <c r="O38" s="723"/>
      <c r="P38" s="723"/>
      <c r="Q38" s="81"/>
      <c r="R38" s="300"/>
      <c r="S38" s="300"/>
      <c r="T38" s="300"/>
      <c r="U38" s="199">
        <f ca="1">1-U37</f>
        <v>0.66942148760330578</v>
      </c>
      <c r="V38" s="300"/>
      <c r="W38" s="298"/>
      <c r="X38" s="698"/>
      <c r="Y38" s="81"/>
      <c r="Z38" s="81"/>
      <c r="AA38" s="81"/>
      <c r="AB38" s="81"/>
      <c r="AD38" s="81"/>
      <c r="AE38" s="81"/>
      <c r="AF38" s="220"/>
    </row>
    <row r="39" spans="2:36">
      <c r="B39" s="357" t="s">
        <v>1000</v>
      </c>
      <c r="D39" s="212" t="str">
        <f>"IND"&amp;RIGHT(H39,4)&amp;RIGHT(G39,3)&amp;"N"&amp;RIGHT(E39,1)</f>
        <v>INDGDSHELCN3</v>
      </c>
      <c r="E39" s="261" t="str">
        <f>"Industrial heating technology "&amp;$AJ$12&amp;" "&amp;RIGHT(H39,2)&amp;" - High Temp abs. Heat pump utilizing waste heat - new 3"</f>
        <v>Industrial heating technology Glass &amp; Concrete SH - High Temp abs. Heat pump utilizing waste heat - new 3</v>
      </c>
      <c r="F39" s="224" t="s">
        <v>1149</v>
      </c>
      <c r="G39" s="173" t="s">
        <v>499</v>
      </c>
      <c r="H39" s="174" t="str">
        <f>$AI$15</f>
        <v>IGDSH</v>
      </c>
      <c r="I39" s="174"/>
      <c r="J39" s="224">
        <f t="shared" ref="J39" si="10">AD39</f>
        <v>2020</v>
      </c>
      <c r="K39" s="81">
        <v>2020</v>
      </c>
      <c r="L39" s="333">
        <v>1</v>
      </c>
      <c r="M39" s="199">
        <f ca="1">VLOOKUP($AD39,INDIRECT("'"&amp;$B39&amp;"'!"&amp;"$P$39:$AD$42"),3,FALSE)</f>
        <v>2.75</v>
      </c>
      <c r="N39" s="81">
        <f ca="1">VLOOKUP($AD39,INDIRECT("'"&amp;$B39&amp;"'!"&amp;"$P$39:$AD$42"),5,FALSE)</f>
        <v>20</v>
      </c>
      <c r="O39" s="723">
        <f ca="1">VLOOKUP($AD39,INDIRECT("'"&amp;$B39&amp;"'!"&amp;"$P$39:$AD$42"),6,FALSE)/1000</f>
        <v>7.1394840000000004</v>
      </c>
      <c r="P39" s="723">
        <f ca="1">VLOOKUP($AD39,INDIRECT("'"&amp;$B39&amp;"'!"&amp;"$P$39:$AD$42"),7,FALSE)/1000</f>
        <v>7.2264999999999994E-3</v>
      </c>
      <c r="Q39" s="81">
        <f ca="1">VLOOKUP($AD39,INDIRECT("'"&amp;$B39&amp;"'!"&amp;"$P$39:$AD$42"),8,FALSE)</f>
        <v>6.7463888888888883</v>
      </c>
      <c r="R39" s="81">
        <v>3.1536000000000002E-2</v>
      </c>
      <c r="S39" s="199">
        <v>0.5</v>
      </c>
      <c r="T39" s="199">
        <f ca="1">HLOOKUP($T$2,INDIRECT("'"&amp;$B39&amp;"'!"&amp;"$P$6:$AC$19"),IF(H39=$AI$13,6,IF(H39=$AI$14,9,14)),FALSE)</f>
        <v>1</v>
      </c>
      <c r="U39" s="199">
        <f ca="1">1/M39</f>
        <v>0.36363636363636365</v>
      </c>
      <c r="V39" s="199"/>
      <c r="W39" s="298"/>
      <c r="X39" s="698">
        <f ca="1">IF(VLOOKUP($AD39,INDIRECT("'"&amp;$B39&amp;"'!"&amp;"$P$39:$AD$42"),11,FALSE)="Cf. the utilized electricity",0,VLOOKUP($AD39,INDIRECT("'"&amp;$B39&amp;"'!"&amp;"$P$39:$AD$42"),11,FALSE))</f>
        <v>0</v>
      </c>
      <c r="Y39" s="81">
        <f ca="1">VLOOKUP($AD39,INDIRECT("'"&amp;$B39&amp;"'!"&amp;"$P$39:$AD$42"),12,FALSE)</f>
        <v>0</v>
      </c>
      <c r="Z39" s="81">
        <f ca="1">VLOOKUP($AD39,INDIRECT("'"&amp;$B39&amp;"'!"&amp;"$P$39:$AD$42"),13,FALSE)</f>
        <v>0</v>
      </c>
      <c r="AA39" s="81">
        <f ca="1">VLOOKUP($AD39,INDIRECT("'"&amp;$B39&amp;"'!"&amp;"$P$39:$AD$42"),14,FALSE)</f>
        <v>0</v>
      </c>
      <c r="AB39" s="81">
        <f ca="1">VLOOKUP($AD39,INDIRECT("'"&amp;$B39&amp;"'!"&amp;"$P$39:$AD$42"),15,FALSE)</f>
        <v>0</v>
      </c>
      <c r="AD39" s="81">
        <v>2020</v>
      </c>
      <c r="AE39" s="81"/>
      <c r="AF39" s="220"/>
    </row>
    <row r="40" spans="2:36">
      <c r="B40" s="357" t="s">
        <v>1000</v>
      </c>
      <c r="D40" s="212"/>
      <c r="E40" s="261"/>
      <c r="F40" s="224" t="s">
        <v>1149</v>
      </c>
      <c r="G40" s="173" t="str">
        <f>$AI$20</f>
        <v>INDGWH</v>
      </c>
      <c r="H40" s="174"/>
      <c r="I40" s="174"/>
      <c r="K40" s="81"/>
      <c r="L40" s="333"/>
      <c r="M40" s="199"/>
      <c r="N40" s="81"/>
      <c r="O40" s="723"/>
      <c r="P40" s="723"/>
      <c r="Q40" s="81"/>
      <c r="R40" s="200"/>
      <c r="S40" s="772"/>
      <c r="T40" s="772"/>
      <c r="U40" s="199">
        <f ca="1">1-U39</f>
        <v>0.63636363636363635</v>
      </c>
      <c r="V40" s="772"/>
      <c r="W40" s="298"/>
      <c r="X40" s="698"/>
      <c r="Y40" s="81"/>
      <c r="Z40" s="81"/>
      <c r="AA40" s="81"/>
      <c r="AB40" s="81"/>
      <c r="AD40" s="81"/>
      <c r="AE40" s="81"/>
      <c r="AF40" s="220"/>
    </row>
    <row r="41" spans="2:36">
      <c r="B41" s="357" t="s">
        <v>1000</v>
      </c>
      <c r="D41" s="212"/>
      <c r="E41" s="212"/>
      <c r="F41" s="224" t="s">
        <v>1149</v>
      </c>
      <c r="G41" s="173" t="s">
        <v>499</v>
      </c>
      <c r="H41" s="174" t="str">
        <f>$AI$15</f>
        <v>IGDSH</v>
      </c>
      <c r="I41" s="174"/>
      <c r="J41" s="224">
        <f t="shared" ref="J41" si="11">AD41</f>
        <v>2030</v>
      </c>
      <c r="K41" s="81"/>
      <c r="L41" s="333">
        <v>1</v>
      </c>
      <c r="M41" s="199">
        <f ca="1">VLOOKUP($AD41,INDIRECT("'"&amp;$B41&amp;"'!"&amp;"$P$39:$AD$42"),3,FALSE)</f>
        <v>2.875</v>
      </c>
      <c r="N41" s="81"/>
      <c r="O41" s="723">
        <f ca="1">VLOOKUP($AD41,INDIRECT("'"&amp;$B41&amp;"'!"&amp;"$P$39:$AD$42"),6,FALSE)/1000</f>
        <v>6.3822660000000013</v>
      </c>
      <c r="P41" s="723">
        <f ca="1">VLOOKUP($AD41,INDIRECT("'"&amp;$B41&amp;"'!"&amp;"$P$39:$AD$42"),7,FALSE)/1000</f>
        <v>6.4814999999999994E-3</v>
      </c>
      <c r="Q41" s="81">
        <f ca="1">VLOOKUP($AD41,INDIRECT("'"&amp;$B41&amp;"'!"&amp;"$P$39:$AD$42"),8,FALSE)</f>
        <v>6.6222222222222227</v>
      </c>
      <c r="R41" s="300"/>
      <c r="S41" s="300"/>
      <c r="T41" s="300"/>
      <c r="U41" s="199">
        <f ca="1">1/M41</f>
        <v>0.34782608695652173</v>
      </c>
      <c r="V41" s="199"/>
      <c r="W41" s="298"/>
      <c r="X41" s="698">
        <f ca="1">IF(VLOOKUP($AD41,INDIRECT("'"&amp;$B41&amp;"'!"&amp;"$P$39:$AD$42"),11,FALSE)="Cf. the utilized electricity",0,VLOOKUP($AD41,INDIRECT("'"&amp;$B41&amp;"'!"&amp;"$P$39:$AD$42"),11,FALSE))</f>
        <v>0</v>
      </c>
      <c r="Y41" s="81">
        <f ca="1">VLOOKUP($AD41,INDIRECT("'"&amp;$B41&amp;"'!"&amp;"$P$39:$AD$42"),12,FALSE)</f>
        <v>0</v>
      </c>
      <c r="Z41" s="81">
        <f ca="1">VLOOKUP($AD41,INDIRECT("'"&amp;$B41&amp;"'!"&amp;"$P$39:$AD$42"),13,FALSE)</f>
        <v>0</v>
      </c>
      <c r="AA41" s="81">
        <f ca="1">VLOOKUP($AD41,INDIRECT("'"&amp;$B41&amp;"'!"&amp;"$P$39:$AD$42"),14,FALSE)</f>
        <v>0</v>
      </c>
      <c r="AB41" s="81">
        <f ca="1">VLOOKUP($AD41,INDIRECT("'"&amp;$B41&amp;"'!"&amp;"$P$39:$AD$42"),15,FALSE)</f>
        <v>0</v>
      </c>
      <c r="AD41" s="81">
        <v>2030</v>
      </c>
      <c r="AE41" s="81"/>
      <c r="AF41" s="220"/>
    </row>
    <row r="42" spans="2:36">
      <c r="B42" s="357" t="s">
        <v>1000</v>
      </c>
      <c r="D42" s="212"/>
      <c r="E42" s="212"/>
      <c r="F42" s="224" t="s">
        <v>1149</v>
      </c>
      <c r="G42" s="173" t="str">
        <f>$AI$20</f>
        <v>INDGWH</v>
      </c>
      <c r="H42" s="174"/>
      <c r="I42" s="174"/>
      <c r="K42" s="81"/>
      <c r="L42" s="333"/>
      <c r="M42" s="199"/>
      <c r="N42" s="81"/>
      <c r="O42" s="723"/>
      <c r="P42" s="723"/>
      <c r="Q42" s="81"/>
      <c r="R42" s="300"/>
      <c r="S42" s="300"/>
      <c r="T42" s="300"/>
      <c r="U42" s="199">
        <f ca="1">1-U41</f>
        <v>0.65217391304347827</v>
      </c>
      <c r="V42" s="300"/>
      <c r="W42" s="298"/>
      <c r="X42" s="698"/>
      <c r="Y42" s="81"/>
      <c r="Z42" s="81"/>
      <c r="AA42" s="81"/>
      <c r="AB42" s="81"/>
      <c r="AD42" s="81"/>
      <c r="AE42" s="81"/>
      <c r="AF42" s="220"/>
    </row>
    <row r="43" spans="2:36">
      <c r="B43" s="357" t="s">
        <v>1000</v>
      </c>
      <c r="D43" s="212"/>
      <c r="E43" s="212"/>
      <c r="F43" s="224" t="s">
        <v>1149</v>
      </c>
      <c r="G43" s="173" t="s">
        <v>499</v>
      </c>
      <c r="H43" s="174" t="str">
        <f>$AI$15</f>
        <v>IGDSH</v>
      </c>
      <c r="I43" s="174"/>
      <c r="J43" s="224">
        <f t="shared" ref="J43" si="12">AD43</f>
        <v>2050</v>
      </c>
      <c r="K43" s="81"/>
      <c r="L43" s="333">
        <v>1</v>
      </c>
      <c r="M43" s="199">
        <f ca="1">VLOOKUP($AD43,INDIRECT("'"&amp;$B43&amp;"'!"&amp;"$P$39:$AD$42"),3,FALSE)</f>
        <v>3.0249999999999999</v>
      </c>
      <c r="N43" s="81"/>
      <c r="O43" s="723">
        <f ca="1">VLOOKUP($AD43,INDIRECT("'"&amp;$B43&amp;"'!"&amp;"$P$39:$AD$42"),6,FALSE)/1000</f>
        <v>5.7365000000000004</v>
      </c>
      <c r="P43" s="723">
        <f ca="1">VLOOKUP($AD43,INDIRECT("'"&amp;$B43&amp;"'!"&amp;"$P$39:$AD$42"),7,FALSE)/1000</f>
        <v>5.3639999999999998E-3</v>
      </c>
      <c r="Q43" s="81">
        <f ca="1">VLOOKUP($AD43,INDIRECT("'"&amp;$B43&amp;"'!"&amp;"$P$39:$AD$42"),8,FALSE)</f>
        <v>6.4566666666666661</v>
      </c>
      <c r="R43" s="300"/>
      <c r="S43" s="300"/>
      <c r="T43" s="300"/>
      <c r="U43" s="199">
        <f ca="1">1/M43</f>
        <v>0.33057851239669422</v>
      </c>
      <c r="V43" s="199"/>
      <c r="W43" s="298"/>
      <c r="X43" s="698">
        <f ca="1">IF(VLOOKUP($AD43,INDIRECT("'"&amp;$B43&amp;"'!"&amp;"$P$39:$AD$42"),11,FALSE)="Cf. the utilized electricity",0,VLOOKUP($AD43,INDIRECT("'"&amp;$B43&amp;"'!"&amp;"$P$39:$AD$42"),11,FALSE))</f>
        <v>0</v>
      </c>
      <c r="Y43" s="81">
        <f ca="1">VLOOKUP($AD43,INDIRECT("'"&amp;$B43&amp;"'!"&amp;"$P$39:$AD$42"),12,FALSE)</f>
        <v>0</v>
      </c>
      <c r="Z43" s="81">
        <f ca="1">VLOOKUP($AD43,INDIRECT("'"&amp;$B43&amp;"'!"&amp;"$P$39:$AD$42"),13,FALSE)</f>
        <v>0</v>
      </c>
      <c r="AA43" s="81">
        <f ca="1">VLOOKUP($AD43,INDIRECT("'"&amp;$B43&amp;"'!"&amp;"$P$39:$AD$42"),14,FALSE)</f>
        <v>0</v>
      </c>
      <c r="AB43" s="81">
        <f ca="1">VLOOKUP($AD43,INDIRECT("'"&amp;$B43&amp;"'!"&amp;"$P$39:$AD$42"),15,FALSE)</f>
        <v>0</v>
      </c>
      <c r="AD43" s="81">
        <v>2050</v>
      </c>
      <c r="AE43" s="81"/>
      <c r="AF43" s="220"/>
    </row>
    <row r="44" spans="2:36">
      <c r="B44" s="357" t="s">
        <v>1000</v>
      </c>
      <c r="D44" s="212"/>
      <c r="E44" s="212"/>
      <c r="F44" s="224" t="s">
        <v>1149</v>
      </c>
      <c r="G44" s="173" t="str">
        <f>$AI$20</f>
        <v>INDGWH</v>
      </c>
      <c r="H44" s="174"/>
      <c r="I44" s="174"/>
      <c r="K44" s="81"/>
      <c r="L44" s="333"/>
      <c r="M44" s="199"/>
      <c r="N44" s="81"/>
      <c r="O44" s="723"/>
      <c r="P44" s="723"/>
      <c r="Q44" s="81"/>
      <c r="R44" s="300"/>
      <c r="S44" s="300"/>
      <c r="T44" s="300"/>
      <c r="U44" s="199">
        <f ca="1">1-U43</f>
        <v>0.66942148760330578</v>
      </c>
      <c r="V44" s="300"/>
      <c r="W44" s="298"/>
      <c r="X44" s="698"/>
      <c r="Y44" s="81"/>
      <c r="Z44" s="81"/>
      <c r="AA44" s="81"/>
      <c r="AB44" s="81"/>
      <c r="AD44" s="81"/>
      <c r="AE44" s="81"/>
      <c r="AF44" s="220"/>
    </row>
    <row r="45" spans="2:36">
      <c r="B45" s="357" t="s">
        <v>1001</v>
      </c>
      <c r="D45" s="212" t="str">
        <f>"IND"&amp;RIGHT(H45,4)&amp;RIGHT(G45,3)&amp;"N"&amp;RIGHT(E45,1)</f>
        <v>INDGDPHELCN4</v>
      </c>
      <c r="E45" s="261" t="str">
        <f>"Industrial heating technology "&amp;$AJ$12&amp;" "&amp;RIGHT(H45,2)&amp;" - Booster Heat pump utilizing waste heat - new 4"</f>
        <v>Industrial heating technology Glass &amp; Concrete PH - Booster Heat pump utilizing waste heat - new 4</v>
      </c>
      <c r="F45" s="224" t="s">
        <v>1149</v>
      </c>
      <c r="G45" s="173" t="s">
        <v>499</v>
      </c>
      <c r="H45" s="174" t="str">
        <f>$AI$14</f>
        <v>IGDPH</v>
      </c>
      <c r="I45" s="174"/>
      <c r="J45" s="224">
        <f t="shared" ref="J45" si="13">AD45</f>
        <v>2020</v>
      </c>
      <c r="K45" s="81">
        <v>2020</v>
      </c>
      <c r="L45" s="333">
        <v>1</v>
      </c>
      <c r="M45" s="199">
        <f ca="1">VLOOKUP($AD45,INDIRECT("'"&amp;$B45&amp;"'!"&amp;"$P$39:$AD$42"),3,FALSE)</f>
        <v>1.93</v>
      </c>
      <c r="N45" s="81">
        <f ca="1">VLOOKUP($AD45,INDIRECT("'"&amp;$B45&amp;"'!"&amp;"$P$39:$AD$42"),5,FALSE)</f>
        <v>20</v>
      </c>
      <c r="O45" s="723">
        <f ca="1">VLOOKUP($AD45,INDIRECT("'"&amp;$B45&amp;"'!"&amp;"$P$39:$AD$42"),6,FALSE)/1000</f>
        <v>12.158890687341184</v>
      </c>
      <c r="P45" s="723">
        <f ca="1">VLOOKUP($AD45,INDIRECT("'"&amp;$B45&amp;"'!"&amp;"$P$39:$AD$42"),7,FALSE)/1000</f>
        <v>1.49E-2</v>
      </c>
      <c r="Q45" s="81">
        <f ca="1">VLOOKUP($AD45,INDIRECT("'"&amp;$B45&amp;"'!"&amp;"$P$39:$AD$42"),8,FALSE)</f>
        <v>7.1188888888888897</v>
      </c>
      <c r="R45" s="81">
        <v>3.1536000000000002E-2</v>
      </c>
      <c r="S45" s="199">
        <v>0.5</v>
      </c>
      <c r="T45" s="199">
        <f ca="1">HLOOKUP($T$2,INDIRECT("'"&amp;$B45&amp;"'!"&amp;"$P$6:$AC$19"),IF(H45=$AI$13,6,IF(H45=$AI$14,9,14)),FALSE)-T9</f>
        <v>0</v>
      </c>
      <c r="U45" s="199">
        <f ca="1">1/M45</f>
        <v>0.5181347150259068</v>
      </c>
      <c r="V45" s="199"/>
      <c r="W45" s="298"/>
      <c r="X45" s="698">
        <f ca="1">IF(VLOOKUP($AD45,INDIRECT("'"&amp;$B45&amp;"'!"&amp;"$P$39:$AD$42"),11,FALSE)="Cf. the utilized electricity",0,VLOOKUP($AD45,INDIRECT("'"&amp;$B45&amp;"'!"&amp;"$P$39:$AD$42"),11,FALSE))</f>
        <v>0</v>
      </c>
      <c r="Y45" s="81">
        <f ca="1">VLOOKUP($AD45,INDIRECT("'"&amp;$B45&amp;"'!"&amp;"$P$39:$AD$42"),12,FALSE)</f>
        <v>0</v>
      </c>
      <c r="Z45" s="81">
        <f ca="1">VLOOKUP($AD45,INDIRECT("'"&amp;$B45&amp;"'!"&amp;"$P$39:$AD$42"),13,FALSE)</f>
        <v>0</v>
      </c>
      <c r="AA45" s="81">
        <f ca="1">VLOOKUP($AD45,INDIRECT("'"&amp;$B45&amp;"'!"&amp;"$P$39:$AD$42"),14,FALSE)</f>
        <v>0</v>
      </c>
      <c r="AB45" s="81">
        <f ca="1">VLOOKUP($AD45,INDIRECT("'"&amp;$B45&amp;"'!"&amp;"$P$39:$AD$42"),15,FALSE)</f>
        <v>0</v>
      </c>
      <c r="AD45" s="81">
        <v>2020</v>
      </c>
      <c r="AE45" s="81"/>
      <c r="AF45" s="220"/>
    </row>
    <row r="46" spans="2:36">
      <c r="B46" s="357" t="s">
        <v>1001</v>
      </c>
      <c r="D46" s="212"/>
      <c r="E46" s="261"/>
      <c r="F46" s="224" t="s">
        <v>1149</v>
      </c>
      <c r="G46" s="173" t="str">
        <f>$AI$20</f>
        <v>INDGWH</v>
      </c>
      <c r="H46" s="174"/>
      <c r="I46" s="174"/>
      <c r="K46" s="81"/>
      <c r="L46" s="333"/>
      <c r="M46" s="199"/>
      <c r="N46" s="81"/>
      <c r="O46" s="723"/>
      <c r="P46" s="723"/>
      <c r="Q46" s="81"/>
      <c r="R46" s="200"/>
      <c r="S46" s="772"/>
      <c r="T46" s="772"/>
      <c r="U46" s="199">
        <f ca="1">1-U45</f>
        <v>0.4818652849740932</v>
      </c>
      <c r="V46" s="772"/>
      <c r="W46" s="298"/>
      <c r="X46" s="698"/>
      <c r="Y46" s="81"/>
      <c r="Z46" s="81"/>
      <c r="AA46" s="81"/>
      <c r="AB46" s="81"/>
      <c r="AD46" s="81"/>
      <c r="AE46" s="81"/>
      <c r="AF46" s="220"/>
    </row>
    <row r="47" spans="2:36">
      <c r="B47" s="357" t="s">
        <v>1001</v>
      </c>
      <c r="D47" s="212"/>
      <c r="E47" s="212"/>
      <c r="F47" s="224" t="s">
        <v>1149</v>
      </c>
      <c r="G47" s="173" t="s">
        <v>499</v>
      </c>
      <c r="H47" s="174" t="str">
        <f>$AI$14</f>
        <v>IGDPH</v>
      </c>
      <c r="I47" s="174"/>
      <c r="J47" s="224">
        <f t="shared" ref="J47" si="14">AD47</f>
        <v>2030</v>
      </c>
      <c r="K47" s="81"/>
      <c r="L47" s="333">
        <v>1</v>
      </c>
      <c r="M47" s="199">
        <f ca="1">VLOOKUP($AD47,INDIRECT("'"&amp;$B47&amp;"'!"&amp;"$P$39:$AD$42"),3,FALSE)</f>
        <v>1.9894000000000001</v>
      </c>
      <c r="N47" s="81"/>
      <c r="O47" s="723">
        <f ca="1">VLOOKUP($AD47,INDIRECT("'"&amp;$B47&amp;"'!"&amp;"$P$39:$AD$42"),6,FALSE)/1000</f>
        <v>9.8570539139933757</v>
      </c>
      <c r="P47" s="723">
        <f ca="1">VLOOKUP($AD47,INDIRECT("'"&amp;$B47&amp;"'!"&amp;"$P$39:$AD$42"),7,FALSE)/1000</f>
        <v>1.49E-2</v>
      </c>
      <c r="Q47" s="81">
        <f ca="1">VLOOKUP($AD47,INDIRECT("'"&amp;$B47&amp;"'!"&amp;"$P$39:$AD$42"),8,FALSE)</f>
        <v>6.9740277777777777</v>
      </c>
      <c r="R47" s="300"/>
      <c r="S47" s="300"/>
      <c r="T47" s="300"/>
      <c r="U47" s="199">
        <f ca="1">1/M47</f>
        <v>0.50266411983512616</v>
      </c>
      <c r="V47" s="199"/>
      <c r="W47" s="298"/>
      <c r="X47" s="698">
        <f ca="1">IF(VLOOKUP($AD47,INDIRECT("'"&amp;$B47&amp;"'!"&amp;"$P$39:$AD$42"),11,FALSE)="Cf. the utilized electricity",0,VLOOKUP($AD47,INDIRECT("'"&amp;$B47&amp;"'!"&amp;"$P$39:$AD$42"),11,FALSE))</f>
        <v>0</v>
      </c>
      <c r="Y47" s="81">
        <f ca="1">VLOOKUP($AD47,INDIRECT("'"&amp;$B47&amp;"'!"&amp;"$P$39:$AD$42"),12,FALSE)</f>
        <v>0</v>
      </c>
      <c r="Z47" s="81">
        <f ca="1">VLOOKUP($AD47,INDIRECT("'"&amp;$B47&amp;"'!"&amp;"$P$39:$AD$42"),13,FALSE)</f>
        <v>0</v>
      </c>
      <c r="AA47" s="81">
        <f ca="1">VLOOKUP($AD47,INDIRECT("'"&amp;$B47&amp;"'!"&amp;"$P$39:$AD$42"),14,FALSE)</f>
        <v>0</v>
      </c>
      <c r="AB47" s="81">
        <f ca="1">VLOOKUP($AD47,INDIRECT("'"&amp;$B47&amp;"'!"&amp;"$P$39:$AD$42"),15,FALSE)</f>
        <v>0</v>
      </c>
      <c r="AD47" s="81">
        <v>2030</v>
      </c>
      <c r="AE47" s="81"/>
      <c r="AF47" s="220"/>
    </row>
    <row r="48" spans="2:36">
      <c r="B48" s="357" t="s">
        <v>1001</v>
      </c>
      <c r="D48" s="212"/>
      <c r="E48" s="212"/>
      <c r="F48" s="224" t="s">
        <v>1149</v>
      </c>
      <c r="G48" s="173" t="str">
        <f>$AI$20</f>
        <v>INDGWH</v>
      </c>
      <c r="H48" s="174"/>
      <c r="I48" s="174"/>
      <c r="K48" s="81"/>
      <c r="L48" s="333"/>
      <c r="M48" s="199"/>
      <c r="N48" s="81"/>
      <c r="O48" s="723"/>
      <c r="P48" s="723"/>
      <c r="Q48" s="81"/>
      <c r="R48" s="300"/>
      <c r="S48" s="300"/>
      <c r="T48" s="300"/>
      <c r="U48" s="199">
        <f ca="1">1-U47</f>
        <v>0.49733588016487384</v>
      </c>
      <c r="V48" s="300"/>
      <c r="W48" s="298"/>
      <c r="X48" s="698"/>
      <c r="Y48" s="81"/>
      <c r="Z48" s="81"/>
      <c r="AA48" s="81"/>
      <c r="AB48" s="81"/>
      <c r="AD48" s="81"/>
      <c r="AE48" s="81"/>
      <c r="AF48" s="220"/>
    </row>
    <row r="49" spans="2:32">
      <c r="B49" s="357" t="s">
        <v>1001</v>
      </c>
      <c r="D49" s="212"/>
      <c r="E49" s="212"/>
      <c r="F49" s="224" t="s">
        <v>1149</v>
      </c>
      <c r="G49" s="173" t="s">
        <v>499</v>
      </c>
      <c r="H49" s="174" t="str">
        <f>$AI$14</f>
        <v>IGDPH</v>
      </c>
      <c r="I49" s="174"/>
      <c r="J49" s="224">
        <f t="shared" ref="J49" si="15">AD49</f>
        <v>2050</v>
      </c>
      <c r="K49" s="81"/>
      <c r="L49" s="333">
        <v>1</v>
      </c>
      <c r="M49" s="199">
        <f ca="1">VLOOKUP($AD49,INDIRECT("'"&amp;$B49&amp;"'!"&amp;"$P$39:$AD$42"),3,FALSE)</f>
        <v>2.0509898799999999</v>
      </c>
      <c r="N49" s="81"/>
      <c r="O49" s="723">
        <f ca="1">VLOOKUP($AD49,INDIRECT("'"&amp;$B49&amp;"'!"&amp;"$P$39:$AD$42"),6,FALSE)/1000</f>
        <v>6.955935359434223</v>
      </c>
      <c r="P49" s="723">
        <f ca="1">VLOOKUP($AD49,INDIRECT("'"&amp;$B49&amp;"'!"&amp;"$P$39:$AD$42"),7,FALSE)/1000</f>
        <v>1.49E-2</v>
      </c>
      <c r="Q49" s="81">
        <f ca="1">VLOOKUP($AD49,INDIRECT("'"&amp;$B49&amp;"'!"&amp;"$P$39:$AD$42"),8,FALSE)</f>
        <v>6.7877777777777784</v>
      </c>
      <c r="R49" s="300"/>
      <c r="S49" s="300"/>
      <c r="T49" s="300"/>
      <c r="U49" s="199">
        <f ca="1">1/M49</f>
        <v>0.48756944622271858</v>
      </c>
      <c r="V49" s="199"/>
      <c r="W49" s="298"/>
      <c r="X49" s="698">
        <f ca="1">IF(VLOOKUP($AD49,INDIRECT("'"&amp;$B49&amp;"'!"&amp;"$P$39:$AD$42"),11,FALSE)="Cf. the utilized electricity",0,VLOOKUP($AD49,INDIRECT("'"&amp;$B49&amp;"'!"&amp;"$P$39:$AD$42"),11,FALSE))</f>
        <v>0</v>
      </c>
      <c r="Y49" s="81">
        <f ca="1">VLOOKUP($AD49,INDIRECT("'"&amp;$B49&amp;"'!"&amp;"$P$39:$AD$42"),12,FALSE)</f>
        <v>0</v>
      </c>
      <c r="Z49" s="81">
        <f ca="1">VLOOKUP($AD49,INDIRECT("'"&amp;$B49&amp;"'!"&amp;"$P$39:$AD$42"),13,FALSE)</f>
        <v>0</v>
      </c>
      <c r="AA49" s="81">
        <f ca="1">VLOOKUP($AD49,INDIRECT("'"&amp;$B49&amp;"'!"&amp;"$P$39:$AD$42"),14,FALSE)</f>
        <v>0</v>
      </c>
      <c r="AB49" s="81">
        <f ca="1">VLOOKUP($AD49,INDIRECT("'"&amp;$B49&amp;"'!"&amp;"$P$39:$AD$42"),15,FALSE)</f>
        <v>0</v>
      </c>
      <c r="AD49" s="81">
        <v>2050</v>
      </c>
      <c r="AE49" s="81"/>
      <c r="AF49" s="220"/>
    </row>
    <row r="50" spans="2:32">
      <c r="B50" s="357" t="s">
        <v>1001</v>
      </c>
      <c r="D50" s="212"/>
      <c r="E50" s="212"/>
      <c r="F50" s="224" t="s">
        <v>1149</v>
      </c>
      <c r="G50" s="173" t="str">
        <f>$AI$20</f>
        <v>INDGWH</v>
      </c>
      <c r="H50" s="174"/>
      <c r="I50" s="174"/>
      <c r="K50" s="81"/>
      <c r="L50" s="333"/>
      <c r="M50" s="199"/>
      <c r="N50" s="81"/>
      <c r="O50" s="723"/>
      <c r="P50" s="723"/>
      <c r="Q50" s="81"/>
      <c r="R50" s="300"/>
      <c r="S50" s="300"/>
      <c r="T50" s="300"/>
      <c r="U50" s="199">
        <f ca="1">1-U49</f>
        <v>0.51243055377728142</v>
      </c>
      <c r="V50" s="300"/>
      <c r="W50" s="298"/>
      <c r="X50" s="698"/>
      <c r="Y50" s="81"/>
      <c r="Z50" s="81"/>
      <c r="AA50" s="81"/>
      <c r="AB50" s="81"/>
      <c r="AD50" s="81"/>
      <c r="AE50" s="81"/>
      <c r="AF50" s="220"/>
    </row>
    <row r="51" spans="2:32">
      <c r="B51" s="357" t="s">
        <v>1001</v>
      </c>
      <c r="D51" s="212" t="str">
        <f>"IND"&amp;RIGHT(H51,4)&amp;RIGHT(G51,3)&amp;"N"&amp;RIGHT(E51,1)</f>
        <v>INDGDSHELCN4</v>
      </c>
      <c r="E51" s="261" t="str">
        <f>"Industrial heating technology "&amp;$AJ$12&amp;" "&amp;RIGHT(H51,2)&amp;" - Booster Heat pump utilizing waste heat - new 4"</f>
        <v>Industrial heating technology Glass &amp; Concrete SH - Booster Heat pump utilizing waste heat - new 4</v>
      </c>
      <c r="F51" s="224" t="s">
        <v>1149</v>
      </c>
      <c r="G51" s="173" t="s">
        <v>499</v>
      </c>
      <c r="H51" s="174" t="str">
        <f>$AI$15</f>
        <v>IGDSH</v>
      </c>
      <c r="I51" s="174"/>
      <c r="J51" s="224">
        <f t="shared" ref="J51" si="16">AD51</f>
        <v>2020</v>
      </c>
      <c r="K51" s="81">
        <v>2020</v>
      </c>
      <c r="L51" s="333">
        <v>1</v>
      </c>
      <c r="M51" s="199">
        <f ca="1">VLOOKUP($AD51,INDIRECT("'"&amp;$B51&amp;"'!"&amp;"$P$39:$AD$42"),3,FALSE)</f>
        <v>1.93</v>
      </c>
      <c r="N51" s="81">
        <f ca="1">VLOOKUP($AD51,INDIRECT("'"&amp;$B51&amp;"'!"&amp;"$P$39:$AD$42"),5,FALSE)</f>
        <v>20</v>
      </c>
      <c r="O51" s="723">
        <f ca="1">VLOOKUP($AD51,INDIRECT("'"&amp;$B51&amp;"'!"&amp;"$P$39:$AD$42"),6,FALSE)/1000</f>
        <v>12.158890687341184</v>
      </c>
      <c r="P51" s="723">
        <f ca="1">VLOOKUP($AD51,INDIRECT("'"&amp;$B51&amp;"'!"&amp;"$P$39:$AD$42"),7,FALSE)/1000</f>
        <v>1.49E-2</v>
      </c>
      <c r="Q51" s="81">
        <f ca="1">VLOOKUP($AD51,INDIRECT("'"&amp;$B51&amp;"'!"&amp;"$P$39:$AD$42"),8,FALSE)</f>
        <v>7.1188888888888897</v>
      </c>
      <c r="R51" s="81">
        <v>3.1536000000000002E-2</v>
      </c>
      <c r="S51" s="199">
        <v>0.5</v>
      </c>
      <c r="T51" s="199">
        <f ca="1">HLOOKUP($T$2,INDIRECT("'"&amp;$B51&amp;"'!"&amp;"$P$6:$AC$19"),IF(H51=$AI$13,6,IF(H51=$AI$14,9,14)),FALSE)</f>
        <v>1</v>
      </c>
      <c r="U51" s="199">
        <f ca="1">1/M51</f>
        <v>0.5181347150259068</v>
      </c>
      <c r="V51" s="199"/>
      <c r="W51" s="298"/>
      <c r="X51" s="698">
        <f ca="1">IF(VLOOKUP($AD51,INDIRECT("'"&amp;$B51&amp;"'!"&amp;"$P$39:$AD$42"),11,FALSE)="Cf. the utilized electricity",0,VLOOKUP($AD51,INDIRECT("'"&amp;$B51&amp;"'!"&amp;"$P$39:$AD$42"),11,FALSE))</f>
        <v>0</v>
      </c>
      <c r="Y51" s="81">
        <f ca="1">VLOOKUP($AD51,INDIRECT("'"&amp;$B51&amp;"'!"&amp;"$P$39:$AD$42"),12,FALSE)</f>
        <v>0</v>
      </c>
      <c r="Z51" s="81">
        <f ca="1">VLOOKUP($AD51,INDIRECT("'"&amp;$B51&amp;"'!"&amp;"$P$39:$AD$42"),13,FALSE)</f>
        <v>0</v>
      </c>
      <c r="AA51" s="81">
        <f ca="1">VLOOKUP($AD51,INDIRECT("'"&amp;$B51&amp;"'!"&amp;"$P$39:$AD$42"),14,FALSE)</f>
        <v>0</v>
      </c>
      <c r="AB51" s="81">
        <f ca="1">VLOOKUP($AD51,INDIRECT("'"&amp;$B51&amp;"'!"&amp;"$P$39:$AD$42"),15,FALSE)</f>
        <v>0</v>
      </c>
      <c r="AD51" s="81">
        <v>2020</v>
      </c>
      <c r="AE51" s="81"/>
      <c r="AF51" s="220"/>
    </row>
    <row r="52" spans="2:32">
      <c r="B52" s="357" t="s">
        <v>1001</v>
      </c>
      <c r="D52" s="212"/>
      <c r="E52" s="261"/>
      <c r="F52" s="224" t="s">
        <v>1149</v>
      </c>
      <c r="G52" s="173" t="str">
        <f>$AI$20</f>
        <v>INDGWH</v>
      </c>
      <c r="H52" s="174"/>
      <c r="I52" s="174"/>
      <c r="K52" s="81"/>
      <c r="L52" s="333"/>
      <c r="M52" s="199"/>
      <c r="N52" s="81"/>
      <c r="O52" s="723"/>
      <c r="P52" s="723"/>
      <c r="Q52" s="81"/>
      <c r="R52" s="200"/>
      <c r="S52" s="772"/>
      <c r="T52" s="772"/>
      <c r="U52" s="199">
        <f ca="1">1-U51</f>
        <v>0.4818652849740932</v>
      </c>
      <c r="V52" s="772"/>
      <c r="W52" s="298"/>
      <c r="X52" s="698"/>
      <c r="Y52" s="81"/>
      <c r="Z52" s="81"/>
      <c r="AA52" s="81"/>
      <c r="AB52" s="81"/>
      <c r="AD52" s="81"/>
      <c r="AE52" s="81"/>
      <c r="AF52" s="220"/>
    </row>
    <row r="53" spans="2:32">
      <c r="B53" s="357" t="s">
        <v>1001</v>
      </c>
      <c r="D53" s="212"/>
      <c r="E53" s="212"/>
      <c r="F53" s="224" t="s">
        <v>1149</v>
      </c>
      <c r="G53" s="173" t="s">
        <v>499</v>
      </c>
      <c r="H53" s="174" t="str">
        <f>$AI$15</f>
        <v>IGDSH</v>
      </c>
      <c r="I53" s="174"/>
      <c r="J53" s="224">
        <f t="shared" ref="J53" si="17">AD53</f>
        <v>2030</v>
      </c>
      <c r="K53" s="81"/>
      <c r="L53" s="333">
        <v>1</v>
      </c>
      <c r="M53" s="199">
        <f ca="1">VLOOKUP($AD53,INDIRECT("'"&amp;$B53&amp;"'!"&amp;"$P$39:$AD$42"),3,FALSE)</f>
        <v>1.9894000000000001</v>
      </c>
      <c r="N53" s="81"/>
      <c r="O53" s="723">
        <f ca="1">VLOOKUP($AD53,INDIRECT("'"&amp;$B53&amp;"'!"&amp;"$P$39:$AD$42"),6,FALSE)/1000</f>
        <v>9.8570539139933757</v>
      </c>
      <c r="P53" s="723">
        <f ca="1">VLOOKUP($AD53,INDIRECT("'"&amp;$B53&amp;"'!"&amp;"$P$39:$AD$42"),7,FALSE)/1000</f>
        <v>1.49E-2</v>
      </c>
      <c r="Q53" s="81">
        <f ca="1">VLOOKUP($AD53,INDIRECT("'"&amp;$B53&amp;"'!"&amp;"$P$39:$AD$42"),8,FALSE)</f>
        <v>6.9740277777777777</v>
      </c>
      <c r="R53" s="300"/>
      <c r="S53" s="300"/>
      <c r="T53" s="300"/>
      <c r="U53" s="199">
        <f ca="1">1/M53</f>
        <v>0.50266411983512616</v>
      </c>
      <c r="V53" s="199"/>
      <c r="W53" s="298"/>
      <c r="X53" s="698">
        <f ca="1">IF(VLOOKUP($AD53,INDIRECT("'"&amp;$B53&amp;"'!"&amp;"$P$39:$AD$42"),11,FALSE)="Cf. the utilized electricity",0,VLOOKUP($AD53,INDIRECT("'"&amp;$B53&amp;"'!"&amp;"$P$39:$AD$42"),11,FALSE))</f>
        <v>0</v>
      </c>
      <c r="Y53" s="81">
        <f ca="1">VLOOKUP($AD53,INDIRECT("'"&amp;$B53&amp;"'!"&amp;"$P$39:$AD$42"),12,FALSE)</f>
        <v>0</v>
      </c>
      <c r="Z53" s="81">
        <f ca="1">VLOOKUP($AD53,INDIRECT("'"&amp;$B53&amp;"'!"&amp;"$P$39:$AD$42"),13,FALSE)</f>
        <v>0</v>
      </c>
      <c r="AA53" s="81">
        <f ca="1">VLOOKUP($AD53,INDIRECT("'"&amp;$B53&amp;"'!"&amp;"$P$39:$AD$42"),14,FALSE)</f>
        <v>0</v>
      </c>
      <c r="AB53" s="81">
        <f ca="1">VLOOKUP($AD53,INDIRECT("'"&amp;$B53&amp;"'!"&amp;"$P$39:$AD$42"),15,FALSE)</f>
        <v>0</v>
      </c>
      <c r="AD53" s="81">
        <v>2030</v>
      </c>
      <c r="AE53" s="81"/>
      <c r="AF53" s="220"/>
    </row>
    <row r="54" spans="2:32">
      <c r="B54" s="357" t="s">
        <v>1001</v>
      </c>
      <c r="D54" s="212"/>
      <c r="E54" s="212"/>
      <c r="F54" s="224" t="s">
        <v>1149</v>
      </c>
      <c r="G54" s="173" t="str">
        <f>$AI$20</f>
        <v>INDGWH</v>
      </c>
      <c r="H54" s="174"/>
      <c r="I54" s="174"/>
      <c r="K54" s="81"/>
      <c r="L54" s="333"/>
      <c r="M54" s="199"/>
      <c r="N54" s="81"/>
      <c r="O54" s="723"/>
      <c r="P54" s="723"/>
      <c r="Q54" s="81"/>
      <c r="R54" s="300"/>
      <c r="S54" s="300"/>
      <c r="T54" s="300"/>
      <c r="U54" s="199">
        <f ca="1">1-U53</f>
        <v>0.49733588016487384</v>
      </c>
      <c r="V54" s="300"/>
      <c r="W54" s="298"/>
      <c r="X54" s="698"/>
      <c r="Y54" s="81"/>
      <c r="Z54" s="81"/>
      <c r="AA54" s="81"/>
      <c r="AB54" s="81"/>
      <c r="AD54" s="81"/>
      <c r="AE54" s="81"/>
      <c r="AF54" s="220"/>
    </row>
    <row r="55" spans="2:32">
      <c r="B55" s="357" t="s">
        <v>1001</v>
      </c>
      <c r="D55" s="212"/>
      <c r="E55" s="212"/>
      <c r="F55" s="224" t="s">
        <v>1149</v>
      </c>
      <c r="G55" s="173" t="s">
        <v>499</v>
      </c>
      <c r="H55" s="174" t="str">
        <f>$AI$15</f>
        <v>IGDSH</v>
      </c>
      <c r="I55" s="174"/>
      <c r="J55" s="224">
        <f t="shared" ref="J55" si="18">AD55</f>
        <v>2050</v>
      </c>
      <c r="K55" s="81"/>
      <c r="L55" s="333">
        <v>1</v>
      </c>
      <c r="M55" s="199">
        <f ca="1">VLOOKUP($AD55,INDIRECT("'"&amp;$B55&amp;"'!"&amp;"$P$39:$AD$42"),3,FALSE)</f>
        <v>2.0509898799999999</v>
      </c>
      <c r="N55" s="81"/>
      <c r="O55" s="723">
        <f ca="1">VLOOKUP($AD55,INDIRECT("'"&amp;$B55&amp;"'!"&amp;"$P$39:$AD$42"),6,FALSE)/1000</f>
        <v>6.955935359434223</v>
      </c>
      <c r="P55" s="723">
        <f ca="1">VLOOKUP($AD55,INDIRECT("'"&amp;$B55&amp;"'!"&amp;"$P$39:$AD$42"),7,FALSE)/1000</f>
        <v>1.49E-2</v>
      </c>
      <c r="Q55" s="81">
        <f ca="1">VLOOKUP($AD55,INDIRECT("'"&amp;$B55&amp;"'!"&amp;"$P$39:$AD$42"),8,FALSE)</f>
        <v>6.7877777777777784</v>
      </c>
      <c r="R55" s="300"/>
      <c r="S55" s="300"/>
      <c r="T55" s="300"/>
      <c r="U55" s="199">
        <f ca="1">1/M55</f>
        <v>0.48756944622271858</v>
      </c>
      <c r="V55" s="199"/>
      <c r="W55" s="298"/>
      <c r="X55" s="698">
        <f ca="1">IF(VLOOKUP($AD55,INDIRECT("'"&amp;$B55&amp;"'!"&amp;"$P$39:$AD$42"),11,FALSE)="Cf. the utilized electricity",0,VLOOKUP($AD55,INDIRECT("'"&amp;$B55&amp;"'!"&amp;"$P$39:$AD$42"),11,FALSE))</f>
        <v>0</v>
      </c>
      <c r="Y55" s="81">
        <f ca="1">VLOOKUP($AD55,INDIRECT("'"&amp;$B55&amp;"'!"&amp;"$P$39:$AD$42"),12,FALSE)</f>
        <v>0</v>
      </c>
      <c r="Z55" s="81">
        <f ca="1">VLOOKUP($AD55,INDIRECT("'"&amp;$B55&amp;"'!"&amp;"$P$39:$AD$42"),13,FALSE)</f>
        <v>0</v>
      </c>
      <c r="AA55" s="81">
        <f ca="1">VLOOKUP($AD55,INDIRECT("'"&amp;$B55&amp;"'!"&amp;"$P$39:$AD$42"),14,FALSE)</f>
        <v>0</v>
      </c>
      <c r="AB55" s="81">
        <f ca="1">VLOOKUP($AD55,INDIRECT("'"&amp;$B55&amp;"'!"&amp;"$P$39:$AD$42"),15,FALSE)</f>
        <v>0</v>
      </c>
      <c r="AD55" s="81">
        <v>2050</v>
      </c>
      <c r="AE55" s="81"/>
      <c r="AF55" s="220"/>
    </row>
    <row r="56" spans="2:32">
      <c r="B56" s="357" t="s">
        <v>1001</v>
      </c>
      <c r="D56" s="212"/>
      <c r="E56" s="212"/>
      <c r="F56" s="224" t="s">
        <v>1149</v>
      </c>
      <c r="G56" s="173" t="str">
        <f>$AI$20</f>
        <v>INDGWH</v>
      </c>
      <c r="H56" s="174"/>
      <c r="I56" s="174"/>
      <c r="K56" s="81"/>
      <c r="L56" s="333"/>
      <c r="M56" s="199"/>
      <c r="N56" s="81"/>
      <c r="O56" s="723"/>
      <c r="P56" s="723"/>
      <c r="Q56" s="81"/>
      <c r="R56" s="300"/>
      <c r="S56" s="300"/>
      <c r="T56" s="300"/>
      <c r="U56" s="199">
        <f ca="1">1-U55</f>
        <v>0.51243055377728142</v>
      </c>
      <c r="V56" s="300"/>
      <c r="W56" s="298"/>
      <c r="X56" s="698"/>
      <c r="Y56" s="81"/>
      <c r="Z56" s="81"/>
      <c r="AA56" s="81"/>
      <c r="AB56" s="81"/>
      <c r="AD56" s="81"/>
      <c r="AE56" s="81"/>
      <c r="AF56" s="220"/>
    </row>
    <row r="57" spans="2:32">
      <c r="B57" s="357" t="s">
        <v>1002</v>
      </c>
      <c r="D57" s="212" t="str">
        <f>"IND"&amp;RIGHT(H57,4)&amp;RIGHT(G57,3)&amp;"N"&amp;RIGHT(E57,1)</f>
        <v>INDGDPHELCN5</v>
      </c>
      <c r="E57" s="261" t="str">
        <f>"Industrial heating technology "&amp;$AJ$12&amp;" "&amp;RIGHT(H57,2)&amp;" - MVR utilizing waste heat - new 5"</f>
        <v>Industrial heating technology Glass &amp; Concrete PH - MVR utilizing waste heat - new 5</v>
      </c>
      <c r="F57" s="224" t="s">
        <v>1149</v>
      </c>
      <c r="G57" s="173" t="s">
        <v>499</v>
      </c>
      <c r="H57" s="174" t="str">
        <f>$AI$14</f>
        <v>IGDPH</v>
      </c>
      <c r="I57" s="174"/>
      <c r="J57" s="224">
        <f t="shared" ref="J57" si="19">AD57</f>
        <v>2020</v>
      </c>
      <c r="K57" s="81">
        <v>2020</v>
      </c>
      <c r="L57" s="333">
        <v>1</v>
      </c>
      <c r="M57" s="199">
        <f ca="1">VLOOKUP($AD57,INDIRECT("'"&amp;$B57&amp;"'!"&amp;"$P$39:$AD$42"),3,FALSE)</f>
        <v>12.1</v>
      </c>
      <c r="N57" s="81">
        <f ca="1">VLOOKUP($AD57,INDIRECT("'"&amp;$B57&amp;"'!"&amp;"$P$39:$AD$42"),5,FALSE)</f>
        <v>25</v>
      </c>
      <c r="O57" s="723">
        <f ca="1">VLOOKUP($AD57,INDIRECT("'"&amp;$B57&amp;"'!"&amp;"$P$39:$AD$42"),6,FALSE)/1000</f>
        <v>2.6074999999999999</v>
      </c>
      <c r="P57" s="723">
        <f ca="1">VLOOKUP($AD57,INDIRECT("'"&amp;$B57&amp;"'!"&amp;"$P$39:$AD$42"),7,FALSE)/1000</f>
        <v>1.49E-2</v>
      </c>
      <c r="Q57" s="81">
        <f ca="1">VLOOKUP($AD57,INDIRECT("'"&amp;$B57&amp;"'!"&amp;"$P$39:$AD$42"),8,FALSE)</f>
        <v>5.2356944444444444</v>
      </c>
      <c r="R57" s="81">
        <v>3.1536000000000002E-2</v>
      </c>
      <c r="S57" s="199">
        <v>0.5</v>
      </c>
      <c r="T57" s="199">
        <f ca="1">HLOOKUP($T$2,INDIRECT("'"&amp;$B57&amp;"'!"&amp;"$P$6:$AC$19"),IF(H57=$AI$13,6,IF(H57=$AI$14,9,14)),FALSE)</f>
        <v>0</v>
      </c>
      <c r="U57" s="199">
        <f ca="1">1/M57</f>
        <v>8.2644628099173556E-2</v>
      </c>
      <c r="V57" s="199"/>
      <c r="W57" s="298"/>
      <c r="X57" s="698">
        <f ca="1">IF(VLOOKUP($AD57,INDIRECT("'"&amp;$B57&amp;"'!"&amp;"$P$39:$AD$42"),11,FALSE)="Cf. the utilized electricity",0,VLOOKUP($AD57,INDIRECT("'"&amp;$B57&amp;"'!"&amp;"$P$39:$AD$42"),11,FALSE))</f>
        <v>0</v>
      </c>
      <c r="Y57" s="81">
        <f ca="1">VLOOKUP($AD57,INDIRECT("'"&amp;$B57&amp;"'!"&amp;"$P$39:$AD$42"),12,FALSE)</f>
        <v>0</v>
      </c>
      <c r="Z57" s="81">
        <f ca="1">VLOOKUP($AD57,INDIRECT("'"&amp;$B57&amp;"'!"&amp;"$P$39:$AD$42"),13,FALSE)</f>
        <v>0</v>
      </c>
      <c r="AA57" s="81">
        <f ca="1">VLOOKUP($AD57,INDIRECT("'"&amp;$B57&amp;"'!"&amp;"$P$39:$AD$42"),14,FALSE)</f>
        <v>0</v>
      </c>
      <c r="AB57" s="81">
        <f ca="1">VLOOKUP($AD57,INDIRECT("'"&amp;$B57&amp;"'!"&amp;"$P$39:$AD$42"),15,FALSE)</f>
        <v>0</v>
      </c>
      <c r="AD57" s="81">
        <v>2020</v>
      </c>
      <c r="AE57" s="81"/>
      <c r="AF57" s="220"/>
    </row>
    <row r="58" spans="2:32">
      <c r="B58" s="357" t="s">
        <v>1002</v>
      </c>
      <c r="D58" s="212"/>
      <c r="E58" s="261"/>
      <c r="F58" s="224" t="s">
        <v>1149</v>
      </c>
      <c r="G58" s="173" t="str">
        <f>$AI$20</f>
        <v>INDGWH</v>
      </c>
      <c r="H58" s="174"/>
      <c r="I58" s="174"/>
      <c r="K58" s="81"/>
      <c r="L58" s="199"/>
      <c r="M58" s="199"/>
      <c r="N58" s="81"/>
      <c r="O58" s="723"/>
      <c r="P58" s="723"/>
      <c r="Q58" s="81"/>
      <c r="R58" s="200"/>
      <c r="S58" s="772"/>
      <c r="T58" s="772"/>
      <c r="U58" s="199">
        <f ca="1">1-U57</f>
        <v>0.9173553719008265</v>
      </c>
      <c r="V58" s="772"/>
      <c r="W58" s="298"/>
      <c r="X58" s="698"/>
      <c r="Y58" s="81"/>
      <c r="Z58" s="81"/>
      <c r="AA58" s="81"/>
      <c r="AB58" s="81"/>
      <c r="AD58" s="81"/>
      <c r="AE58" s="81"/>
      <c r="AF58" s="220"/>
    </row>
    <row r="59" spans="2:32">
      <c r="B59" s="357" t="s">
        <v>1002</v>
      </c>
      <c r="D59" s="212"/>
      <c r="E59" s="212"/>
      <c r="F59" s="224" t="s">
        <v>1149</v>
      </c>
      <c r="G59" s="173" t="s">
        <v>499</v>
      </c>
      <c r="H59" s="174" t="str">
        <f>$AI$14</f>
        <v>IGDPH</v>
      </c>
      <c r="I59" s="174"/>
      <c r="J59" s="224">
        <f t="shared" ref="J59" si="20">AD59</f>
        <v>2030</v>
      </c>
      <c r="K59" s="81"/>
      <c r="L59" s="333">
        <v>1</v>
      </c>
      <c r="M59" s="199">
        <f ca="1">VLOOKUP($AD59,INDIRECT("'"&amp;$B59&amp;"'!"&amp;"$P$39:$AD$42"),3,FALSE)</f>
        <v>12.7</v>
      </c>
      <c r="N59" s="81"/>
      <c r="O59" s="723">
        <f ca="1">VLOOKUP($AD59,INDIRECT("'"&amp;$B59&amp;"'!"&amp;"$P$39:$AD$42"),6,FALSE)/1000</f>
        <v>2.4585000000000004</v>
      </c>
      <c r="P59" s="723">
        <f ca="1">VLOOKUP($AD59,INDIRECT("'"&amp;$B59&amp;"'!"&amp;"$P$39:$AD$42"),7,FALSE)/1000</f>
        <v>1.49E-2</v>
      </c>
      <c r="Q59" s="81">
        <f ca="1">VLOOKUP($AD59,INDIRECT("'"&amp;$B59&amp;"'!"&amp;"$P$39:$AD$42"),8,FALSE)</f>
        <v>5.0701388888888888</v>
      </c>
      <c r="R59" s="300"/>
      <c r="S59" s="300"/>
      <c r="T59" s="300"/>
      <c r="U59" s="199">
        <f ca="1">1/M59</f>
        <v>7.874015748031496E-2</v>
      </c>
      <c r="V59" s="199"/>
      <c r="W59" s="298"/>
      <c r="X59" s="698">
        <f ca="1">IF(VLOOKUP($AD59,INDIRECT("'"&amp;$B59&amp;"'!"&amp;"$P$39:$AD$42"),11,FALSE)="Cf. the utilized electricity",0,VLOOKUP($AD59,INDIRECT("'"&amp;$B59&amp;"'!"&amp;"$P$39:$AD$42"),11,FALSE))</f>
        <v>0</v>
      </c>
      <c r="Y59" s="81">
        <f ca="1">VLOOKUP($AD59,INDIRECT("'"&amp;$B59&amp;"'!"&amp;"$P$39:$AD$42"),12,FALSE)</f>
        <v>0</v>
      </c>
      <c r="Z59" s="81">
        <f ca="1">VLOOKUP($AD59,INDIRECT("'"&amp;$B59&amp;"'!"&amp;"$P$39:$AD$42"),13,FALSE)</f>
        <v>0</v>
      </c>
      <c r="AA59" s="81">
        <f ca="1">VLOOKUP($AD59,INDIRECT("'"&amp;$B59&amp;"'!"&amp;"$P$39:$AD$42"),14,FALSE)</f>
        <v>0</v>
      </c>
      <c r="AB59" s="81">
        <f ca="1">VLOOKUP($AD59,INDIRECT("'"&amp;$B59&amp;"'!"&amp;"$P$39:$AD$42"),15,FALSE)</f>
        <v>0</v>
      </c>
      <c r="AD59" s="81">
        <v>2030</v>
      </c>
      <c r="AE59" s="81"/>
      <c r="AF59" s="220"/>
    </row>
    <row r="60" spans="2:32">
      <c r="B60" s="357" t="s">
        <v>1002</v>
      </c>
      <c r="D60" s="212"/>
      <c r="E60" s="212"/>
      <c r="F60" s="224" t="s">
        <v>1149</v>
      </c>
      <c r="G60" s="173" t="str">
        <f>$AI$20</f>
        <v>INDGWH</v>
      </c>
      <c r="H60" s="174"/>
      <c r="I60" s="174"/>
      <c r="K60" s="81"/>
      <c r="L60" s="199"/>
      <c r="M60" s="199"/>
      <c r="N60" s="81"/>
      <c r="O60" s="723"/>
      <c r="P60" s="723"/>
      <c r="Q60" s="81"/>
      <c r="R60" s="300"/>
      <c r="S60" s="300"/>
      <c r="T60" s="300"/>
      <c r="U60" s="199">
        <f ca="1">1-U59</f>
        <v>0.92125984251968507</v>
      </c>
      <c r="V60" s="300"/>
      <c r="W60" s="298"/>
      <c r="X60" s="698"/>
      <c r="Y60" s="81"/>
      <c r="Z60" s="81"/>
      <c r="AA60" s="81"/>
      <c r="AB60" s="81"/>
      <c r="AD60" s="81"/>
      <c r="AE60" s="81"/>
      <c r="AF60" s="220"/>
    </row>
    <row r="61" spans="2:32">
      <c r="B61" s="357" t="s">
        <v>1002</v>
      </c>
      <c r="D61" s="212"/>
      <c r="E61" s="212"/>
      <c r="F61" s="224" t="s">
        <v>1149</v>
      </c>
      <c r="G61" s="173" t="s">
        <v>499</v>
      </c>
      <c r="H61" s="174" t="str">
        <f>$AI$14</f>
        <v>IGDPH</v>
      </c>
      <c r="I61" s="174"/>
      <c r="J61" s="224">
        <f t="shared" ref="J61" si="21">AD61</f>
        <v>2050</v>
      </c>
      <c r="K61" s="81"/>
      <c r="L61" s="333">
        <v>1</v>
      </c>
      <c r="M61" s="199">
        <f ca="1">VLOOKUP($AD61,INDIRECT("'"&amp;$B61&amp;"'!"&amp;"$P$39:$AD$42"),3,FALSE)</f>
        <v>13.8</v>
      </c>
      <c r="N61" s="81"/>
      <c r="O61" s="723">
        <f ca="1">VLOOKUP($AD61,INDIRECT("'"&amp;$B61&amp;"'!"&amp;"$P$39:$AD$42"),6,FALSE)/1000</f>
        <v>2.3094999999999999</v>
      </c>
      <c r="P61" s="723">
        <f ca="1">VLOOKUP($AD61,INDIRECT("'"&amp;$B61&amp;"'!"&amp;"$P$39:$AD$42"),7,FALSE)/1000</f>
        <v>1.49E-2</v>
      </c>
      <c r="Q61" s="81">
        <f ca="1">VLOOKUP($AD61,INDIRECT("'"&amp;$B61&amp;"'!"&amp;"$P$39:$AD$42"),8,FALSE)</f>
        <v>4.8838888888888903</v>
      </c>
      <c r="R61" s="300"/>
      <c r="S61" s="300"/>
      <c r="T61" s="300"/>
      <c r="U61" s="199">
        <f ca="1">1/M61</f>
        <v>7.2463768115942032E-2</v>
      </c>
      <c r="V61" s="199"/>
      <c r="W61" s="298"/>
      <c r="X61" s="698">
        <f ca="1">IF(VLOOKUP($AD61,INDIRECT("'"&amp;$B61&amp;"'!"&amp;"$P$39:$AD$42"),11,FALSE)="Cf. the utilized electricity",0,VLOOKUP($AD61,INDIRECT("'"&amp;$B61&amp;"'!"&amp;"$P$39:$AD$42"),11,FALSE))</f>
        <v>0</v>
      </c>
      <c r="Y61" s="81">
        <f ca="1">VLOOKUP($AD61,INDIRECT("'"&amp;$B61&amp;"'!"&amp;"$P$39:$AD$42"),12,FALSE)</f>
        <v>0</v>
      </c>
      <c r="Z61" s="81">
        <f ca="1">VLOOKUP($AD61,INDIRECT("'"&amp;$B61&amp;"'!"&amp;"$P$39:$AD$42"),13,FALSE)</f>
        <v>0</v>
      </c>
      <c r="AA61" s="81">
        <f ca="1">VLOOKUP($AD61,INDIRECT("'"&amp;$B61&amp;"'!"&amp;"$P$39:$AD$42"),14,FALSE)</f>
        <v>0</v>
      </c>
      <c r="AB61" s="81">
        <f ca="1">VLOOKUP($AD61,INDIRECT("'"&amp;$B61&amp;"'!"&amp;"$P$39:$AD$42"),15,FALSE)</f>
        <v>0</v>
      </c>
      <c r="AD61" s="81">
        <v>2050</v>
      </c>
      <c r="AE61" s="81"/>
      <c r="AF61" s="220"/>
    </row>
    <row r="62" spans="2:32" ht="16" thickBot="1">
      <c r="B62" s="786" t="s">
        <v>1002</v>
      </c>
      <c r="C62" s="787"/>
      <c r="D62" s="732"/>
      <c r="E62" s="732"/>
      <c r="F62" s="224" t="s">
        <v>1149</v>
      </c>
      <c r="G62" s="788" t="str">
        <f>$AI$20</f>
        <v>INDGWH</v>
      </c>
      <c r="H62" s="788"/>
      <c r="I62" s="788"/>
      <c r="K62" s="789"/>
      <c r="L62" s="790"/>
      <c r="M62" s="790"/>
      <c r="N62" s="789"/>
      <c r="O62" s="791"/>
      <c r="P62" s="791"/>
      <c r="Q62" s="789"/>
      <c r="R62" s="792"/>
      <c r="S62" s="792"/>
      <c r="T62" s="792"/>
      <c r="U62" s="790">
        <f ca="1">1-U61</f>
        <v>0.92753623188405798</v>
      </c>
      <c r="V62" s="796"/>
      <c r="W62" s="793"/>
      <c r="X62" s="794"/>
      <c r="Y62" s="789"/>
      <c r="Z62" s="789"/>
      <c r="AA62" s="789"/>
      <c r="AB62" s="789"/>
      <c r="AC62" s="787"/>
      <c r="AD62" s="789"/>
      <c r="AE62" s="789"/>
      <c r="AF62" s="795"/>
    </row>
    <row r="63" spans="2:32">
      <c r="B63" s="357" t="s">
        <v>920</v>
      </c>
      <c r="D63" s="212" t="str">
        <f>"IND"&amp;RIGHT(H63,4)&amp;RIGHT(G63,3)&amp;"N"&amp;RIGHT(E63,1)</f>
        <v>INDGDPHWSTN1</v>
      </c>
      <c r="E63" s="261" t="str">
        <f>"Industrial heating technology "&amp;$AJ$12&amp;" "&amp;RIGHT(H63,2)&amp;" - Hotdisc - new 1"</f>
        <v>Industrial heating technology Glass &amp; Concrete PH - Hotdisc - new 1</v>
      </c>
      <c r="F63" s="224" t="s">
        <v>1149</v>
      </c>
      <c r="G63" s="832" t="s">
        <v>1005</v>
      </c>
      <c r="H63" s="174" t="str">
        <f>$AI$13</f>
        <v>IGDPH</v>
      </c>
      <c r="I63" s="173" t="str">
        <f t="shared" ref="I63:I70" si="22">$AI$20</f>
        <v>INDGWH</v>
      </c>
      <c r="J63" s="224">
        <f>IF(AD63=2020,2011,AD63)</f>
        <v>2011</v>
      </c>
      <c r="K63" s="299">
        <v>2025</v>
      </c>
      <c r="L63" s="699">
        <f t="shared" ref="L63:L80" ca="1" si="23">VLOOKUP($AD63,INDIRECT("'"&amp;$B63&amp;"'!"&amp;"$P$39:$AD$42"),3,FALSE)</f>
        <v>0.9</v>
      </c>
      <c r="M63" s="699"/>
      <c r="N63" s="299">
        <f ca="1">VLOOKUP($AD63,INDIRECT("'"&amp;$B63&amp;"'!"&amp;"$P$39:$AD$42"),5,FALSE)</f>
        <v>20</v>
      </c>
      <c r="O63" s="725">
        <f t="shared" ref="O63:O80" ca="1" si="24">VLOOKUP($AD63,INDIRECT("'"&amp;$B63&amp;"'!"&amp;"$P$39:$AD$42"),6,FALSE)/1000</f>
        <v>3.7250000000000001</v>
      </c>
      <c r="P63" s="725">
        <f t="shared" ref="P63:P80" ca="1" si="25">VLOOKUP($AD63,INDIRECT("'"&amp;$B63&amp;"'!"&amp;"$P$39:$AD$42"),7,FALSE)/1000</f>
        <v>2.98E-3</v>
      </c>
      <c r="Q63" s="299">
        <f t="shared" ref="Q63:Q80" ca="1" si="26">VLOOKUP($AD63,INDIRECT("'"&amp;$B63&amp;"'!"&amp;"$P$39:$AD$42"),8,FALSE)</f>
        <v>2.4315972222222224</v>
      </c>
      <c r="R63" s="299">
        <v>3.1536000000000002E-2</v>
      </c>
      <c r="S63" s="699">
        <v>0.5</v>
      </c>
      <c r="T63" s="699">
        <f ca="1">HLOOKUP($S$2,INDIRECT("'"&amp;$B63&amp;"'!"&amp;"$P$6:$AC$19"),IF(H63=$AI$13,6,IF(H63=$AI$14,9,14)),FALSE)</f>
        <v>0.15</v>
      </c>
      <c r="U63" s="772"/>
      <c r="V63" s="199">
        <f ca="1">IF(IF(RIGHT(H63,2)="PH",(1-L63)+$W$2,IF(RIGHT(H63,2)="HT",(1-L63)+$W$1,IF(RIGHT(H63,2)="SH",(1-L63)+$W$3,"")))&gt;0,IF(RIGHT(H63,2)="PH",(1-L63)+$W$2,IF(RIGHT(H63,2)="HT",(1-L63)+$W$1,IF(RIGHT(H63,2)="SH",(1-L63)+$W$3,""))),0)</f>
        <v>0.3</v>
      </c>
      <c r="W63" s="298"/>
      <c r="X63" s="785">
        <f t="shared" ref="X63:X94" ca="1" si="27">IF(VLOOKUP($AD63,INDIRECT("'"&amp;$B63&amp;"'!"&amp;"$P$39:$AD$42"),11,FALSE)="Cf. the utilized electricity",0,VLOOKUP($AD63,INDIRECT("'"&amp;$B63&amp;"'!"&amp;"$P$39:$AD$42"),11,FALSE))</f>
        <v>8.3000000000000007</v>
      </c>
      <c r="Y63" s="299">
        <f t="shared" ref="Y63:Y80" ca="1" si="28">VLOOKUP($AD63,INDIRECT("'"&amp;$B63&amp;"'!"&amp;"$P$39:$AD$42"),12,FALSE)</f>
        <v>56</v>
      </c>
      <c r="Z63" s="299">
        <f t="shared" ref="Z63:Z80" ca="1" si="29">VLOOKUP($AD63,INDIRECT("'"&amp;$B63&amp;"'!"&amp;"$P$39:$AD$42"),13,FALSE)</f>
        <v>0.1</v>
      </c>
      <c r="AA63" s="299">
        <f t="shared" ref="AA63:AA80" ca="1" si="30">VLOOKUP($AD63,INDIRECT("'"&amp;$B63&amp;"'!"&amp;"$P$39:$AD$42"),14,FALSE)</f>
        <v>1</v>
      </c>
      <c r="AB63" s="299">
        <f t="shared" ref="AB63:AB80" ca="1" si="31">VLOOKUP($AD63,INDIRECT("'"&amp;$B63&amp;"'!"&amp;"$P$39:$AD$42"),15,FALSE)</f>
        <v>0.28999999999999998</v>
      </c>
      <c r="AD63" s="299">
        <v>2020</v>
      </c>
      <c r="AE63" s="299"/>
      <c r="AF63" s="220"/>
    </row>
    <row r="64" spans="2:32">
      <c r="B64" s="357" t="s">
        <v>920</v>
      </c>
      <c r="D64" s="212"/>
      <c r="E64" s="212"/>
      <c r="F64" s="224" t="s">
        <v>1149</v>
      </c>
      <c r="H64" s="174"/>
      <c r="I64" s="173" t="str">
        <f t="shared" si="22"/>
        <v>INDGWH</v>
      </c>
      <c r="J64" s="224">
        <f t="shared" ref="J64:J127" si="32">IF(AD64=2020,2011,AD64)</f>
        <v>2030</v>
      </c>
      <c r="K64" s="81"/>
      <c r="L64" s="199">
        <f t="shared" ca="1" si="23"/>
        <v>0.91</v>
      </c>
      <c r="M64" s="199"/>
      <c r="N64" s="81"/>
      <c r="O64" s="723">
        <f t="shared" ca="1" si="24"/>
        <v>3.4642500000000003</v>
      </c>
      <c r="P64" s="723">
        <f t="shared" ca="1" si="25"/>
        <v>2.98E-3</v>
      </c>
      <c r="Q64" s="81">
        <f t="shared" ca="1" si="26"/>
        <v>2.4729861111111116</v>
      </c>
      <c r="R64" s="300"/>
      <c r="S64" s="300"/>
      <c r="T64" s="300"/>
      <c r="U64" s="300"/>
      <c r="V64" s="199">
        <f ca="1">IF(IF(RIGHT(H63,2)="PH",(1-L64)+$W$2,IF(RIGHT(H63,2)="HT",(1-L64)+$W$1,IF(RIGHT(H63,2)="SH",(1-L64)+$W$3,"")))&gt;0,IF(RIGHT(H63,2)="PH",(1-L64)+$W$2,IF(RIGHT(H63,2)="HT",(1-L64)+$W$1,IF(RIGHT(H63,2)="SH",(1-L64)+$W$3,""))),0)</f>
        <v>0.28999999999999998</v>
      </c>
      <c r="W64" s="298"/>
      <c r="X64" s="698">
        <f t="shared" ca="1" si="27"/>
        <v>8.3000000000000007</v>
      </c>
      <c r="Y64" s="81">
        <f t="shared" ca="1" si="28"/>
        <v>45</v>
      </c>
      <c r="Z64" s="81">
        <f t="shared" ca="1" si="29"/>
        <v>0.1</v>
      </c>
      <c r="AA64" s="81">
        <f t="shared" ca="1" si="30"/>
        <v>1</v>
      </c>
      <c r="AB64" s="81">
        <f t="shared" ca="1" si="31"/>
        <v>0.28999999999999998</v>
      </c>
      <c r="AD64" s="81">
        <v>2030</v>
      </c>
      <c r="AE64" s="81"/>
      <c r="AF64" s="220"/>
    </row>
    <row r="65" spans="2:32">
      <c r="B65" s="357" t="s">
        <v>920</v>
      </c>
      <c r="D65" s="212"/>
      <c r="E65" s="212"/>
      <c r="F65" s="224" t="s">
        <v>1149</v>
      </c>
      <c r="H65" s="174"/>
      <c r="I65" s="173" t="str">
        <f t="shared" si="22"/>
        <v>INDGWH</v>
      </c>
      <c r="J65" s="224">
        <f t="shared" si="32"/>
        <v>2050</v>
      </c>
      <c r="K65" s="81"/>
      <c r="L65" s="199">
        <f t="shared" ca="1" si="23"/>
        <v>0.93</v>
      </c>
      <c r="M65" s="199"/>
      <c r="N65" s="81"/>
      <c r="O65" s="723">
        <f t="shared" ca="1" si="24"/>
        <v>3.3525</v>
      </c>
      <c r="P65" s="723">
        <f t="shared" ca="1" si="25"/>
        <v>2.98E-3</v>
      </c>
      <c r="Q65" s="81">
        <f t="shared" ca="1" si="26"/>
        <v>2.4936805555555561</v>
      </c>
      <c r="R65" s="300"/>
      <c r="S65" s="300"/>
      <c r="T65" s="300"/>
      <c r="U65" s="300"/>
      <c r="V65" s="199">
        <f ca="1">IF(IF(RIGHT(H63,2)="PH",(1-L65)+$W$2,IF(RIGHT(H63,2)="HT",(1-L65)+$W$1,IF(RIGHT(H63,2)="SH",(1-L65)+$W$3,"")))&gt;0,IF(RIGHT(H63,2)="PH",(1-L65)+$W$2,IF(RIGHT(H63,2)="HT",(1-L65)+$W$1,IF(RIGHT(H63,2)="SH",(1-L65)+$W$3,""))),0)</f>
        <v>0.26999999999999996</v>
      </c>
      <c r="W65" s="298"/>
      <c r="X65" s="698">
        <f t="shared" ca="1" si="27"/>
        <v>8.3000000000000007</v>
      </c>
      <c r="Y65" s="81">
        <f t="shared" ca="1" si="28"/>
        <v>11</v>
      </c>
      <c r="Z65" s="81">
        <f t="shared" ca="1" si="29"/>
        <v>0.1</v>
      </c>
      <c r="AA65" s="81">
        <f t="shared" ca="1" si="30"/>
        <v>1</v>
      </c>
      <c r="AB65" s="81">
        <f t="shared" ca="1" si="31"/>
        <v>0.28999999999999998</v>
      </c>
      <c r="AD65" s="81">
        <v>2050</v>
      </c>
      <c r="AE65" s="81"/>
      <c r="AF65" s="220"/>
    </row>
    <row r="66" spans="2:32">
      <c r="B66" s="357" t="s">
        <v>922</v>
      </c>
      <c r="D66" s="212" t="str">
        <f>"IND"&amp;RIGHT(H66,4)&amp;RIGHT(G66,3)&amp;"N"&amp;RIGHT(E66,1)</f>
        <v>INDGDPHELCN6</v>
      </c>
      <c r="E66" s="261" t="str">
        <f>"Industrial heating technology "&amp;$AJ$12&amp;" "&amp;RIGHT(H66,2)&amp;" - Dielectric heating - new 6"</f>
        <v>Industrial heating technology Glass &amp; Concrete PH - Dielectric heating - new 6</v>
      </c>
      <c r="F66" s="224" t="s">
        <v>1149</v>
      </c>
      <c r="G66" s="173" t="s">
        <v>499</v>
      </c>
      <c r="H66" s="174" t="str">
        <f>$AI$14</f>
        <v>IGDPH</v>
      </c>
      <c r="I66" s="173" t="str">
        <f t="shared" si="22"/>
        <v>INDGWH</v>
      </c>
      <c r="J66" s="224">
        <f t="shared" si="32"/>
        <v>2011</v>
      </c>
      <c r="K66" s="299">
        <v>2020</v>
      </c>
      <c r="L66" s="199">
        <f t="shared" ca="1" si="23"/>
        <v>0.95</v>
      </c>
      <c r="M66" s="199"/>
      <c r="N66" s="81">
        <f ca="1">VLOOKUP($AD66,INDIRECT("'"&amp;$B66&amp;"'!"&amp;"$P$39:$AD$42"),5,FALSE)</f>
        <v>30</v>
      </c>
      <c r="O66" s="723">
        <f t="shared" ca="1" si="24"/>
        <v>20.115000000000002</v>
      </c>
      <c r="P66" s="723">
        <f t="shared" ca="1" si="25"/>
        <v>0</v>
      </c>
      <c r="Q66" s="81">
        <f t="shared" ca="1" si="26"/>
        <v>94.828152777777774</v>
      </c>
      <c r="R66" s="81">
        <v>3.1536000000000002E-2</v>
      </c>
      <c r="S66" s="199">
        <v>0.5</v>
      </c>
      <c r="T66" s="199">
        <f ca="1">HLOOKUP($S$2,INDIRECT("'"&amp;$B66&amp;"'!"&amp;"$P$6:$AC$19"),IF(H66=$AI$13,6,IF(H66=$AI$14,9,14)),FALSE)</f>
        <v>0</v>
      </c>
      <c r="U66" s="772"/>
      <c r="V66" s="199">
        <f t="shared" ref="V66" ca="1" si="33">IF(IF(RIGHT(H66,2)="PH",(1-L66)+$W$2,IF(RIGHT(H66,2)="HT",(1-L66)+$W$1,IF(RIGHT(H66,2)="SH",(1-L66)+$W$3,"")))&gt;0,IF(RIGHT(H66,2)="PH",(1-L66)+$W$2,IF(RIGHT(H66,2)="HT",(1-L66)+$W$1,IF(RIGHT(H66,2)="SH",(1-L66)+$W$3,""))),0)</f>
        <v>0.25000000000000006</v>
      </c>
      <c r="W66" s="298"/>
      <c r="X66" s="698">
        <f t="shared" ca="1" si="27"/>
        <v>0</v>
      </c>
      <c r="Y66" s="81">
        <f t="shared" ca="1" si="28"/>
        <v>0</v>
      </c>
      <c r="Z66" s="81">
        <f t="shared" ca="1" si="29"/>
        <v>0</v>
      </c>
      <c r="AA66" s="81">
        <f t="shared" ca="1" si="30"/>
        <v>0</v>
      </c>
      <c r="AB66" s="81">
        <f t="shared" ca="1" si="31"/>
        <v>0</v>
      </c>
      <c r="AD66" s="81">
        <v>2020</v>
      </c>
      <c r="AE66" s="81"/>
      <c r="AF66" s="220"/>
    </row>
    <row r="67" spans="2:32">
      <c r="B67" s="357" t="s">
        <v>922</v>
      </c>
      <c r="D67" s="212"/>
      <c r="E67" s="212"/>
      <c r="F67" s="224" t="s">
        <v>1149</v>
      </c>
      <c r="H67" s="174"/>
      <c r="I67" s="173" t="str">
        <f t="shared" si="22"/>
        <v>INDGWH</v>
      </c>
      <c r="J67" s="224">
        <f t="shared" si="32"/>
        <v>2030</v>
      </c>
      <c r="K67" s="81"/>
      <c r="L67" s="199">
        <f t="shared" ca="1" si="23"/>
        <v>0.95</v>
      </c>
      <c r="M67" s="199"/>
      <c r="N67" s="81"/>
      <c r="O67" s="723">
        <f t="shared" ca="1" si="24"/>
        <v>19.511550000000003</v>
      </c>
      <c r="P67" s="723">
        <f t="shared" ca="1" si="25"/>
        <v>0</v>
      </c>
      <c r="Q67" s="81">
        <f t="shared" ca="1" si="26"/>
        <v>94.832291666666663</v>
      </c>
      <c r="R67" s="300"/>
      <c r="S67" s="300"/>
      <c r="T67" s="300"/>
      <c r="U67" s="300"/>
      <c r="V67" s="199">
        <f t="shared" ref="V67" ca="1" si="34">IF(IF(RIGHT(H66,2)="PH",(1-L67)+$W$2,IF(RIGHT(H66,2)="HT",(1-L67)+$W$1,IF(RIGHT(H66,2)="SH",(1-L67)+$W$3,"")))&gt;0,IF(RIGHT(H66,2)="PH",(1-L67)+$W$2,IF(RIGHT(H66,2)="HT",(1-L67)+$W$1,IF(RIGHT(H66,2)="SH",(1-L67)+$W$3,""))),0)</f>
        <v>0.25000000000000006</v>
      </c>
      <c r="W67" s="298"/>
      <c r="X67" s="698">
        <f t="shared" ca="1" si="27"/>
        <v>0</v>
      </c>
      <c r="Y67" s="81">
        <f t="shared" ca="1" si="28"/>
        <v>0</v>
      </c>
      <c r="Z67" s="81">
        <f t="shared" ca="1" si="29"/>
        <v>0</v>
      </c>
      <c r="AA67" s="81">
        <f t="shared" ca="1" si="30"/>
        <v>0</v>
      </c>
      <c r="AB67" s="81">
        <f t="shared" ca="1" si="31"/>
        <v>0</v>
      </c>
      <c r="AD67" s="81">
        <v>2030</v>
      </c>
      <c r="AE67" s="81"/>
      <c r="AF67" s="220"/>
    </row>
    <row r="68" spans="2:32">
      <c r="B68" s="357" t="s">
        <v>922</v>
      </c>
      <c r="D68" s="212"/>
      <c r="E68" s="212"/>
      <c r="F68" s="224" t="s">
        <v>1149</v>
      </c>
      <c r="H68" s="174"/>
      <c r="I68" s="173" t="str">
        <f t="shared" si="22"/>
        <v>INDGWH</v>
      </c>
      <c r="J68" s="224">
        <f t="shared" si="32"/>
        <v>2050</v>
      </c>
      <c r="K68" s="81"/>
      <c r="L68" s="199">
        <f t="shared" ca="1" si="23"/>
        <v>0.95</v>
      </c>
      <c r="M68" s="199"/>
      <c r="N68" s="81"/>
      <c r="O68" s="723">
        <f t="shared" ca="1" si="24"/>
        <v>18.1035</v>
      </c>
      <c r="P68" s="723">
        <f t="shared" ca="1" si="25"/>
        <v>0</v>
      </c>
      <c r="Q68" s="81">
        <f t="shared" ca="1" si="26"/>
        <v>94.834361111111107</v>
      </c>
      <c r="R68" s="300"/>
      <c r="S68" s="300"/>
      <c r="T68" s="300"/>
      <c r="U68" s="300"/>
      <c r="V68" s="199">
        <f t="shared" ref="V68" ca="1" si="35">IF(IF(RIGHT(H66,2)="PH",(1-L68)+$W$2,IF(RIGHT(H66,2)="HT",(1-L68)+$W$1,IF(RIGHT(H66,2)="SH",(1-L68)+$W$3,"")))&gt;0,IF(RIGHT(H66,2)="PH",(1-L68)+$W$2,IF(RIGHT(H66,2)="HT",(1-L68)+$W$1,IF(RIGHT(H66,2)="SH",(1-L68)+$W$3,""))),0)</f>
        <v>0.25000000000000006</v>
      </c>
      <c r="W68" s="298"/>
      <c r="X68" s="698">
        <f t="shared" ca="1" si="27"/>
        <v>0</v>
      </c>
      <c r="Y68" s="81">
        <f t="shared" ca="1" si="28"/>
        <v>0</v>
      </c>
      <c r="Z68" s="81">
        <f t="shared" ca="1" si="29"/>
        <v>0</v>
      </c>
      <c r="AA68" s="81">
        <f t="shared" ca="1" si="30"/>
        <v>0</v>
      </c>
      <c r="AB68" s="81">
        <f t="shared" ca="1" si="31"/>
        <v>0</v>
      </c>
      <c r="AD68" s="81">
        <v>2050</v>
      </c>
      <c r="AE68" s="81"/>
      <c r="AF68" s="220"/>
    </row>
    <row r="69" spans="2:32">
      <c r="B69" s="357" t="s">
        <v>1006</v>
      </c>
      <c r="D69" s="212" t="str">
        <f>"IND"&amp;RIGHT(H69,4)&amp;RIGHT(G69,3)&amp;"N"&amp;RIGHT(E69,1)</f>
        <v>INDGDPHELCN7</v>
      </c>
      <c r="E69" s="261" t="str">
        <f>"Industrial heating technology "&amp;$AJ$12&amp;" "&amp;RIGHT(H69,2)&amp;" - Infrared heating - new 7"</f>
        <v>Industrial heating technology Glass &amp; Concrete PH - Infrared heating - new 7</v>
      </c>
      <c r="F69" s="224" t="s">
        <v>1149</v>
      </c>
      <c r="G69" s="173" t="s">
        <v>499</v>
      </c>
      <c r="H69" s="174" t="str">
        <f>$AI$14</f>
        <v>IGDPH</v>
      </c>
      <c r="I69" s="173" t="str">
        <f t="shared" si="22"/>
        <v>INDGWH</v>
      </c>
      <c r="J69" s="224">
        <f t="shared" si="32"/>
        <v>2011</v>
      </c>
      <c r="K69" s="299">
        <v>2020</v>
      </c>
      <c r="L69" s="199">
        <f t="shared" ca="1" si="23"/>
        <v>0.96</v>
      </c>
      <c r="M69" s="199"/>
      <c r="N69" s="81">
        <f ca="1">VLOOKUP($AD69,INDIRECT("'"&amp;$B69&amp;"'!"&amp;"$P$39:$AD$42"),5,FALSE)</f>
        <v>30</v>
      </c>
      <c r="O69" s="723">
        <f t="shared" ca="1" si="24"/>
        <v>2.6074999999999999</v>
      </c>
      <c r="P69" s="723">
        <f t="shared" ca="1" si="25"/>
        <v>0</v>
      </c>
      <c r="Q69" s="81">
        <f t="shared" ca="1" si="26"/>
        <v>242.27606944444443</v>
      </c>
      <c r="R69" s="81">
        <v>3.1536000000000002E-2</v>
      </c>
      <c r="S69" s="199">
        <v>0.5</v>
      </c>
      <c r="T69" s="199">
        <f ca="1">HLOOKUP($S$2,INDIRECT("'"&amp;$B69&amp;"'!"&amp;"$P$6:$AC$19"),IF(H69=$AI$13,6,IF(H69=$AI$14,9,14)),FALSE)</f>
        <v>0</v>
      </c>
      <c r="U69" s="772"/>
      <c r="V69" s="199">
        <f t="shared" ref="V69" ca="1" si="36">IF(IF(RIGHT(H69,2)="PH",(1-L69)+$W$2,IF(RIGHT(H69,2)="HT",(1-L69)+$W$1,IF(RIGHT(H69,2)="SH",(1-L69)+$W$3,"")))&gt;0,IF(RIGHT(H69,2)="PH",(1-L69)+$W$2,IF(RIGHT(H69,2)="HT",(1-L69)+$W$1,IF(RIGHT(H69,2)="SH",(1-L69)+$W$3,""))),0)</f>
        <v>0.24000000000000005</v>
      </c>
      <c r="W69" s="298"/>
      <c r="X69" s="698">
        <f t="shared" ca="1" si="27"/>
        <v>0</v>
      </c>
      <c r="Y69" s="81">
        <f t="shared" ca="1" si="28"/>
        <v>0</v>
      </c>
      <c r="Z69" s="81">
        <f t="shared" ca="1" si="29"/>
        <v>0</v>
      </c>
      <c r="AA69" s="81">
        <f t="shared" ca="1" si="30"/>
        <v>0</v>
      </c>
      <c r="AB69" s="81">
        <f t="shared" ca="1" si="31"/>
        <v>0</v>
      </c>
      <c r="AD69" s="81">
        <v>2020</v>
      </c>
      <c r="AE69" s="81"/>
      <c r="AF69" s="220"/>
    </row>
    <row r="70" spans="2:32">
      <c r="B70" s="357" t="s">
        <v>1006</v>
      </c>
      <c r="D70" s="212"/>
      <c r="E70" s="212"/>
      <c r="F70" s="224" t="s">
        <v>1149</v>
      </c>
      <c r="H70" s="174"/>
      <c r="I70" s="173" t="str">
        <f t="shared" si="22"/>
        <v>INDGWH</v>
      </c>
      <c r="J70" s="224">
        <f t="shared" si="32"/>
        <v>2030</v>
      </c>
      <c r="K70" s="81"/>
      <c r="L70" s="199">
        <f t="shared" ca="1" si="23"/>
        <v>0.96</v>
      </c>
      <c r="M70" s="199"/>
      <c r="N70" s="81"/>
      <c r="O70" s="723">
        <f t="shared" ca="1" si="24"/>
        <v>2.5330000000000004</v>
      </c>
      <c r="P70" s="723">
        <f t="shared" ca="1" si="25"/>
        <v>0</v>
      </c>
      <c r="Q70" s="81">
        <f t="shared" ca="1" si="26"/>
        <v>242.28020833333332</v>
      </c>
      <c r="R70" s="300"/>
      <c r="S70" s="300"/>
      <c r="T70" s="300"/>
      <c r="U70" s="300"/>
      <c r="V70" s="199">
        <f t="shared" ref="V70" ca="1" si="37">IF(IF(RIGHT(H69,2)="PH",(1-L70)+$W$2,IF(RIGHT(H69,2)="HT",(1-L70)+$W$1,IF(RIGHT(H69,2)="SH",(1-L70)+$W$3,"")))&gt;0,IF(RIGHT(H69,2)="PH",(1-L70)+$W$2,IF(RIGHT(H69,2)="HT",(1-L70)+$W$1,IF(RIGHT(H69,2)="SH",(1-L70)+$W$3,""))),0)</f>
        <v>0.24000000000000005</v>
      </c>
      <c r="W70" s="298"/>
      <c r="X70" s="698">
        <f t="shared" ca="1" si="27"/>
        <v>0</v>
      </c>
      <c r="Y70" s="81">
        <f t="shared" ca="1" si="28"/>
        <v>0</v>
      </c>
      <c r="Z70" s="81">
        <f t="shared" ca="1" si="29"/>
        <v>0</v>
      </c>
      <c r="AA70" s="81">
        <f t="shared" ca="1" si="30"/>
        <v>0</v>
      </c>
      <c r="AB70" s="81">
        <f t="shared" ca="1" si="31"/>
        <v>0</v>
      </c>
      <c r="AD70" s="81">
        <v>2030</v>
      </c>
      <c r="AE70" s="81"/>
      <c r="AF70" s="220"/>
    </row>
    <row r="71" spans="2:32">
      <c r="B71" s="357" t="s">
        <v>1006</v>
      </c>
      <c r="D71" s="212"/>
      <c r="E71" s="212"/>
      <c r="F71" s="224" t="s">
        <v>1149</v>
      </c>
      <c r="H71" s="174"/>
      <c r="I71" s="174" t="str">
        <f t="shared" ref="I71:I134" si="38">$AI$20</f>
        <v>INDGWH</v>
      </c>
      <c r="J71" s="224">
        <f t="shared" si="32"/>
        <v>2050</v>
      </c>
      <c r="K71" s="81"/>
      <c r="L71" s="199">
        <f t="shared" ca="1" si="23"/>
        <v>0.96</v>
      </c>
      <c r="M71" s="199"/>
      <c r="N71" s="81"/>
      <c r="O71" s="723">
        <f t="shared" ca="1" si="24"/>
        <v>2.3467500000000001</v>
      </c>
      <c r="P71" s="723">
        <f t="shared" ca="1" si="25"/>
        <v>0</v>
      </c>
      <c r="Q71" s="81">
        <f t="shared" ca="1" si="26"/>
        <v>242.28227777777775</v>
      </c>
      <c r="R71" s="300"/>
      <c r="S71" s="300"/>
      <c r="T71" s="300"/>
      <c r="U71" s="300"/>
      <c r="V71" s="199">
        <f t="shared" ref="V71" ca="1" si="39">IF(IF(RIGHT(H69,2)="PH",(1-L71)+$W$2,IF(RIGHT(H69,2)="HT",(1-L71)+$W$1,IF(RIGHT(H69,2)="SH",(1-L71)+$W$3,"")))&gt;0,IF(RIGHT(H69,2)="PH",(1-L71)+$W$2,IF(RIGHT(H69,2)="HT",(1-L71)+$W$1,IF(RIGHT(H69,2)="SH",(1-L71)+$W$3,""))),0)</f>
        <v>0.24000000000000005</v>
      </c>
      <c r="W71" s="298"/>
      <c r="X71" s="698">
        <f t="shared" ca="1" si="27"/>
        <v>0</v>
      </c>
      <c r="Y71" s="81">
        <f t="shared" ca="1" si="28"/>
        <v>0</v>
      </c>
      <c r="Z71" s="81">
        <f t="shared" ca="1" si="29"/>
        <v>0</v>
      </c>
      <c r="AA71" s="81">
        <f t="shared" ca="1" si="30"/>
        <v>0</v>
      </c>
      <c r="AB71" s="81">
        <f t="shared" ca="1" si="31"/>
        <v>0</v>
      </c>
      <c r="AD71" s="81">
        <v>2050</v>
      </c>
      <c r="AE71" s="81"/>
      <c r="AF71" s="220"/>
    </row>
    <row r="72" spans="2:32">
      <c r="B72" s="357" t="s">
        <v>1007</v>
      </c>
      <c r="D72" s="212" t="str">
        <f>"IND"&amp;RIGHT(H72,4)&amp;RIGHT(G72,3)&amp;"N"&amp;RIGHT(E72,1)</f>
        <v>INDGDPHELCN8</v>
      </c>
      <c r="E72" s="261" t="str">
        <f>"Industrial heating technology "&amp;$AJ$12&amp;" "&amp;RIGHT(H72,2)&amp;" - Electric boiler (Steam) - new 8"</f>
        <v>Industrial heating technology Glass &amp; Concrete PH - Electric boiler (Steam) - new 8</v>
      </c>
      <c r="F72" s="224" t="s">
        <v>1149</v>
      </c>
      <c r="G72" s="173" t="s">
        <v>499</v>
      </c>
      <c r="H72" s="174" t="str">
        <f>$AI$13</f>
        <v>IGDPH</v>
      </c>
      <c r="I72" s="174" t="str">
        <f t="shared" si="38"/>
        <v>INDGWH</v>
      </c>
      <c r="J72" s="224">
        <f t="shared" si="32"/>
        <v>2011</v>
      </c>
      <c r="K72" s="299">
        <v>2020</v>
      </c>
      <c r="L72" s="199">
        <f t="shared" ca="1" si="23"/>
        <v>0.99</v>
      </c>
      <c r="M72" s="199"/>
      <c r="N72" s="81">
        <f ca="1">VLOOKUP($AD72,INDIRECT("'"&amp;$B72&amp;"'!"&amp;"$P$39:$AD$42"),5,FALSE)</f>
        <v>25</v>
      </c>
      <c r="O72" s="723">
        <f t="shared" ca="1" si="24"/>
        <v>0.59599999999999997</v>
      </c>
      <c r="P72" s="723">
        <f t="shared" ca="1" si="25"/>
        <v>7.9714999999999994E-3</v>
      </c>
      <c r="Q72" s="81">
        <f t="shared" ca="1" si="26"/>
        <v>1.7900694444444445</v>
      </c>
      <c r="R72" s="81">
        <v>3.1536000000000002E-2</v>
      </c>
      <c r="S72" s="199">
        <v>0.5</v>
      </c>
      <c r="T72" s="199">
        <f ca="1">HLOOKUP($T$2,INDIRECT("'"&amp;$B72&amp;"'!"&amp;"$P$6:$AC$19"),IF(H72=$AI$13,6,IF(H72=$AI$14,9,14)),FALSE)</f>
        <v>1</v>
      </c>
      <c r="U72" s="772"/>
      <c r="V72" s="199">
        <f t="shared" ref="V72" ca="1" si="40">IF(IF(RIGHT(H72,2)="PH",(1-L72)+$W$2,IF(RIGHT(H72,2)="HT",(1-L72)+$W$1,IF(RIGHT(H72,2)="SH",(1-L72)+$W$3,"")))&gt;0,IF(RIGHT(H72,2)="PH",(1-L72)+$W$2,IF(RIGHT(H72,2)="HT",(1-L72)+$W$1,IF(RIGHT(H72,2)="SH",(1-L72)+$W$3,""))),0)</f>
        <v>0.21000000000000002</v>
      </c>
      <c r="W72" s="298"/>
      <c r="X72" s="698">
        <f t="shared" ca="1" si="27"/>
        <v>0</v>
      </c>
      <c r="Y72" s="81">
        <f t="shared" ca="1" si="28"/>
        <v>0</v>
      </c>
      <c r="Z72" s="81">
        <f t="shared" ca="1" si="29"/>
        <v>0</v>
      </c>
      <c r="AA72" s="81">
        <f t="shared" ca="1" si="30"/>
        <v>0</v>
      </c>
      <c r="AB72" s="81">
        <f t="shared" ca="1" si="31"/>
        <v>0</v>
      </c>
      <c r="AD72" s="81">
        <v>2020</v>
      </c>
      <c r="AE72" s="81"/>
      <c r="AF72" s="220"/>
    </row>
    <row r="73" spans="2:32">
      <c r="B73" s="357" t="s">
        <v>1007</v>
      </c>
      <c r="D73" s="212"/>
      <c r="E73" s="212"/>
      <c r="F73" s="224" t="s">
        <v>1149</v>
      </c>
      <c r="H73" s="174"/>
      <c r="I73" s="174" t="str">
        <f t="shared" si="38"/>
        <v>INDGWH</v>
      </c>
      <c r="J73" s="224">
        <f t="shared" si="32"/>
        <v>2030</v>
      </c>
      <c r="K73" s="81"/>
      <c r="L73" s="199">
        <f t="shared" ca="1" si="23"/>
        <v>0.99</v>
      </c>
      <c r="M73" s="199"/>
      <c r="N73" s="81"/>
      <c r="O73" s="723">
        <f t="shared" ca="1" si="24"/>
        <v>0.52150000000000007</v>
      </c>
      <c r="P73" s="723">
        <f t="shared" ca="1" si="25"/>
        <v>7.5989999999999999E-3</v>
      </c>
      <c r="Q73" s="81">
        <f t="shared" ca="1" si="26"/>
        <v>1.8107638888888888</v>
      </c>
      <c r="R73" s="300"/>
      <c r="S73" s="300"/>
      <c r="T73" s="300"/>
      <c r="U73" s="300"/>
      <c r="V73" s="199">
        <f t="shared" ref="V73" ca="1" si="41">IF(IF(RIGHT(H72,2)="PH",(1-L73)+$W$2,IF(RIGHT(H72,2)="HT",(1-L73)+$W$1,IF(RIGHT(H72,2)="SH",(1-L73)+$W$3,"")))&gt;0,IF(RIGHT(H72,2)="PH",(1-L73)+$W$2,IF(RIGHT(H72,2)="HT",(1-L73)+$W$1,IF(RIGHT(H72,2)="SH",(1-L73)+$W$3,""))),0)</f>
        <v>0.21000000000000002</v>
      </c>
      <c r="W73" s="298"/>
      <c r="X73" s="698">
        <f t="shared" ca="1" si="27"/>
        <v>0</v>
      </c>
      <c r="Y73" s="81">
        <f t="shared" ca="1" si="28"/>
        <v>0</v>
      </c>
      <c r="Z73" s="81">
        <f t="shared" ca="1" si="29"/>
        <v>0</v>
      </c>
      <c r="AA73" s="81">
        <f t="shared" ca="1" si="30"/>
        <v>0</v>
      </c>
      <c r="AB73" s="81">
        <f t="shared" ca="1" si="31"/>
        <v>0</v>
      </c>
      <c r="AD73" s="81">
        <v>2030</v>
      </c>
      <c r="AE73" s="81"/>
      <c r="AF73" s="220"/>
    </row>
    <row r="74" spans="2:32">
      <c r="B74" s="357" t="s">
        <v>1007</v>
      </c>
      <c r="D74" s="212"/>
      <c r="E74" s="212"/>
      <c r="F74" s="224" t="s">
        <v>1149</v>
      </c>
      <c r="H74" s="174"/>
      <c r="I74" s="174" t="str">
        <f t="shared" si="38"/>
        <v>INDGWH</v>
      </c>
      <c r="J74" s="224">
        <f t="shared" si="32"/>
        <v>2050</v>
      </c>
      <c r="K74" s="81"/>
      <c r="L74" s="199">
        <f t="shared" ca="1" si="23"/>
        <v>0.99</v>
      </c>
      <c r="M74" s="199"/>
      <c r="N74" s="81"/>
      <c r="O74" s="723">
        <f t="shared" ca="1" si="24"/>
        <v>0.52150000000000007</v>
      </c>
      <c r="P74" s="723">
        <f t="shared" ca="1" si="25"/>
        <v>6.8539999999999998E-3</v>
      </c>
      <c r="Q74" s="81">
        <f t="shared" ca="1" si="26"/>
        <v>1.6141666666666665</v>
      </c>
      <c r="R74" s="300"/>
      <c r="S74" s="300"/>
      <c r="T74" s="300"/>
      <c r="U74" s="300"/>
      <c r="V74" s="199">
        <f t="shared" ref="V74" ca="1" si="42">IF(IF(RIGHT(H72,2)="PH",(1-L74)+$W$2,IF(RIGHT(H72,2)="HT",(1-L74)+$W$1,IF(RIGHT(H72,2)="SH",(1-L74)+$W$3,"")))&gt;0,IF(RIGHT(H72,2)="PH",(1-L74)+$W$2,IF(RIGHT(H72,2)="HT",(1-L74)+$W$1,IF(RIGHT(H72,2)="SH",(1-L74)+$W$3,""))),0)</f>
        <v>0.21000000000000002</v>
      </c>
      <c r="W74" s="298"/>
      <c r="X74" s="698">
        <f t="shared" ca="1" si="27"/>
        <v>0</v>
      </c>
      <c r="Y74" s="81">
        <f t="shared" ca="1" si="28"/>
        <v>0</v>
      </c>
      <c r="Z74" s="81">
        <f t="shared" ca="1" si="29"/>
        <v>0</v>
      </c>
      <c r="AA74" s="81">
        <f t="shared" ca="1" si="30"/>
        <v>0</v>
      </c>
      <c r="AB74" s="81">
        <f t="shared" ca="1" si="31"/>
        <v>0</v>
      </c>
      <c r="AD74" s="81">
        <v>2050</v>
      </c>
      <c r="AE74" s="81"/>
      <c r="AF74" s="220"/>
    </row>
    <row r="75" spans="2:32">
      <c r="B75" s="357" t="s">
        <v>1007</v>
      </c>
      <c r="D75" s="212" t="str">
        <f>"IND"&amp;RIGHT(H75,4)&amp;RIGHT(G75,3)&amp;"N"&amp;RIGHT(E75,1)</f>
        <v>INDGDPHELCN8</v>
      </c>
      <c r="E75" s="261" t="str">
        <f>"Industrial heating technology "&amp;$AJ$12&amp;" "&amp;RIGHT(H75,2)&amp;" - Electric boiler (Steam) - new 8"</f>
        <v>Industrial heating technology Glass &amp; Concrete PH - Electric boiler (Steam) - new 8</v>
      </c>
      <c r="F75" s="224" t="s">
        <v>1149</v>
      </c>
      <c r="G75" s="173" t="s">
        <v>499</v>
      </c>
      <c r="H75" s="174" t="str">
        <f>$AI$14</f>
        <v>IGDPH</v>
      </c>
      <c r="I75" s="174" t="str">
        <f t="shared" si="38"/>
        <v>INDGWH</v>
      </c>
      <c r="J75" s="224">
        <f t="shared" si="32"/>
        <v>2011</v>
      </c>
      <c r="K75" s="299">
        <v>2020</v>
      </c>
      <c r="L75" s="199">
        <f t="shared" ca="1" si="23"/>
        <v>0.99</v>
      </c>
      <c r="M75" s="199"/>
      <c r="N75" s="81">
        <f ca="1">VLOOKUP($AD75,INDIRECT("'"&amp;$B75&amp;"'!"&amp;"$P$39:$AD$42"),5,FALSE)</f>
        <v>25</v>
      </c>
      <c r="O75" s="723">
        <f t="shared" ca="1" si="24"/>
        <v>0.59599999999999997</v>
      </c>
      <c r="P75" s="723">
        <f t="shared" ca="1" si="25"/>
        <v>7.9714999999999994E-3</v>
      </c>
      <c r="Q75" s="81">
        <f t="shared" ca="1" si="26"/>
        <v>1.7900694444444445</v>
      </c>
      <c r="R75" s="81">
        <v>3.1536000000000002E-2</v>
      </c>
      <c r="S75" s="199">
        <v>0.5</v>
      </c>
      <c r="T75" s="199">
        <f ca="1">HLOOKUP($T$2,INDIRECT("'"&amp;$B75&amp;"'!"&amp;"$P$6:$AC$19"),IF(H75=$AI$13,6,IF(H75=$AI$14,9,14)),FALSE)</f>
        <v>1</v>
      </c>
      <c r="U75" s="772"/>
      <c r="V75" s="199">
        <f t="shared" ref="V75" ca="1" si="43">IF(IF(RIGHT(H75,2)="PH",(1-L75)+$W$2,IF(RIGHT(H75,2)="HT",(1-L75)+$W$1,IF(RIGHT(H75,2)="SH",(1-L75)+$W$3,"")))&gt;0,IF(RIGHT(H75,2)="PH",(1-L75)+$W$2,IF(RIGHT(H75,2)="HT",(1-L75)+$W$1,IF(RIGHT(H75,2)="SH",(1-L75)+$W$3,""))),0)</f>
        <v>0.21000000000000002</v>
      </c>
      <c r="W75" s="298"/>
      <c r="X75" s="698">
        <f t="shared" ca="1" si="27"/>
        <v>0</v>
      </c>
      <c r="Y75" s="81">
        <f t="shared" ca="1" si="28"/>
        <v>0</v>
      </c>
      <c r="Z75" s="81">
        <f t="shared" ca="1" si="29"/>
        <v>0</v>
      </c>
      <c r="AA75" s="81">
        <f t="shared" ca="1" si="30"/>
        <v>0</v>
      </c>
      <c r="AB75" s="81">
        <f t="shared" ca="1" si="31"/>
        <v>0</v>
      </c>
      <c r="AD75" s="81">
        <v>2020</v>
      </c>
      <c r="AE75" s="81"/>
      <c r="AF75" s="220"/>
    </row>
    <row r="76" spans="2:32">
      <c r="B76" s="357" t="s">
        <v>1007</v>
      </c>
      <c r="D76" s="212"/>
      <c r="E76" s="212"/>
      <c r="F76" s="224" t="s">
        <v>1149</v>
      </c>
      <c r="H76" s="174"/>
      <c r="I76" s="174" t="str">
        <f t="shared" si="38"/>
        <v>INDGWH</v>
      </c>
      <c r="J76" s="224">
        <f t="shared" si="32"/>
        <v>2030</v>
      </c>
      <c r="K76" s="81"/>
      <c r="L76" s="199">
        <f t="shared" ca="1" si="23"/>
        <v>0.99</v>
      </c>
      <c r="M76" s="199"/>
      <c r="N76" s="81"/>
      <c r="O76" s="723">
        <f t="shared" ca="1" si="24"/>
        <v>0.52150000000000007</v>
      </c>
      <c r="P76" s="723">
        <f t="shared" ca="1" si="25"/>
        <v>7.5989999999999999E-3</v>
      </c>
      <c r="Q76" s="81">
        <f t="shared" ca="1" si="26"/>
        <v>1.8107638888888888</v>
      </c>
      <c r="R76" s="300"/>
      <c r="S76" s="300"/>
      <c r="T76" s="300"/>
      <c r="U76" s="300"/>
      <c r="V76" s="199">
        <f t="shared" ref="V76" ca="1" si="44">IF(IF(RIGHT(H75,2)="PH",(1-L76)+$W$2,IF(RIGHT(H75,2)="HT",(1-L76)+$W$1,IF(RIGHT(H75,2)="SH",(1-L76)+$W$3,"")))&gt;0,IF(RIGHT(H75,2)="PH",(1-L76)+$W$2,IF(RIGHT(H75,2)="HT",(1-L76)+$W$1,IF(RIGHT(H75,2)="SH",(1-L76)+$W$3,""))),0)</f>
        <v>0.21000000000000002</v>
      </c>
      <c r="W76" s="298"/>
      <c r="X76" s="698">
        <f t="shared" ca="1" si="27"/>
        <v>0</v>
      </c>
      <c r="Y76" s="81">
        <f t="shared" ca="1" si="28"/>
        <v>0</v>
      </c>
      <c r="Z76" s="81">
        <f t="shared" ca="1" si="29"/>
        <v>0</v>
      </c>
      <c r="AA76" s="81">
        <f t="shared" ca="1" si="30"/>
        <v>0</v>
      </c>
      <c r="AB76" s="81">
        <f t="shared" ca="1" si="31"/>
        <v>0</v>
      </c>
      <c r="AD76" s="81">
        <v>2030</v>
      </c>
      <c r="AE76" s="81"/>
      <c r="AF76" s="220"/>
    </row>
    <row r="77" spans="2:32">
      <c r="B77" s="357" t="s">
        <v>1007</v>
      </c>
      <c r="D77" s="212"/>
      <c r="E77" s="212"/>
      <c r="F77" s="224" t="s">
        <v>1149</v>
      </c>
      <c r="H77" s="174"/>
      <c r="I77" s="174" t="str">
        <f t="shared" si="38"/>
        <v>INDGWH</v>
      </c>
      <c r="J77" s="224">
        <f t="shared" si="32"/>
        <v>2050</v>
      </c>
      <c r="K77" s="81"/>
      <c r="L77" s="199">
        <f t="shared" ca="1" si="23"/>
        <v>0.99</v>
      </c>
      <c r="M77" s="199"/>
      <c r="N77" s="81"/>
      <c r="O77" s="723">
        <f t="shared" ca="1" si="24"/>
        <v>0.52150000000000007</v>
      </c>
      <c r="P77" s="723">
        <f t="shared" ca="1" si="25"/>
        <v>6.8539999999999998E-3</v>
      </c>
      <c r="Q77" s="81">
        <f t="shared" ca="1" si="26"/>
        <v>1.6141666666666665</v>
      </c>
      <c r="R77" s="300"/>
      <c r="S77" s="300"/>
      <c r="T77" s="300"/>
      <c r="U77" s="300"/>
      <c r="V77" s="199">
        <f t="shared" ref="V77" ca="1" si="45">IF(IF(RIGHT(H75,2)="PH",(1-L77)+$W$2,IF(RIGHT(H75,2)="HT",(1-L77)+$W$1,IF(RIGHT(H75,2)="SH",(1-L77)+$W$3,"")))&gt;0,IF(RIGHT(H75,2)="PH",(1-L77)+$W$2,IF(RIGHT(H75,2)="HT",(1-L77)+$W$1,IF(RIGHT(H75,2)="SH",(1-L77)+$W$3,""))),0)</f>
        <v>0.21000000000000002</v>
      </c>
      <c r="W77" s="298"/>
      <c r="X77" s="698">
        <f t="shared" ca="1" si="27"/>
        <v>0</v>
      </c>
      <c r="Y77" s="81">
        <f t="shared" ca="1" si="28"/>
        <v>0</v>
      </c>
      <c r="Z77" s="81">
        <f t="shared" ca="1" si="29"/>
        <v>0</v>
      </c>
      <c r="AA77" s="81">
        <f t="shared" ca="1" si="30"/>
        <v>0</v>
      </c>
      <c r="AB77" s="81">
        <f t="shared" ca="1" si="31"/>
        <v>0</v>
      </c>
      <c r="AD77" s="81">
        <v>2050</v>
      </c>
      <c r="AE77" s="706"/>
      <c r="AF77" s="220"/>
    </row>
    <row r="78" spans="2:32">
      <c r="B78" s="357" t="s">
        <v>1007</v>
      </c>
      <c r="D78" s="212" t="str">
        <f>"IND"&amp;RIGHT(H78,4)&amp;RIGHT(G78,3)&amp;"N"&amp;RIGHT(E78,1)</f>
        <v>INDGDSHELCN8</v>
      </c>
      <c r="E78" s="261" t="str">
        <f>"Industrial heating technology "&amp;$AJ$12&amp;" "&amp;RIGHT(H78,2)&amp;" - Electric boiler (Steam) - new 8"</f>
        <v>Industrial heating technology Glass &amp; Concrete SH - Electric boiler (Steam) - new 8</v>
      </c>
      <c r="F78" s="224" t="s">
        <v>1149</v>
      </c>
      <c r="G78" s="173" t="s">
        <v>499</v>
      </c>
      <c r="H78" s="174" t="str">
        <f>$AI$15</f>
        <v>IGDSH</v>
      </c>
      <c r="I78" s="174" t="str">
        <f t="shared" si="38"/>
        <v>INDGWH</v>
      </c>
      <c r="J78" s="224">
        <f t="shared" si="32"/>
        <v>2011</v>
      </c>
      <c r="K78" s="299">
        <v>2020</v>
      </c>
      <c r="L78" s="199">
        <f t="shared" ca="1" si="23"/>
        <v>0.99</v>
      </c>
      <c r="M78" s="199"/>
      <c r="N78" s="81">
        <f ca="1">VLOOKUP($AD78,INDIRECT("'"&amp;$B78&amp;"'!"&amp;"$P$39:$AD$42"),5,FALSE)</f>
        <v>25</v>
      </c>
      <c r="O78" s="723">
        <f t="shared" ca="1" si="24"/>
        <v>0.59599999999999997</v>
      </c>
      <c r="P78" s="723">
        <f t="shared" ca="1" si="25"/>
        <v>7.9714999999999994E-3</v>
      </c>
      <c r="Q78" s="81">
        <f t="shared" ca="1" si="26"/>
        <v>1.7900694444444445</v>
      </c>
      <c r="R78" s="81">
        <v>3.1536000000000002E-2</v>
      </c>
      <c r="S78" s="199">
        <v>0.5</v>
      </c>
      <c r="T78" s="199">
        <f ca="1">HLOOKUP($T$2,INDIRECT("'"&amp;$B78&amp;"'!"&amp;"$P$6:$AC$19"),IF(H78=$AI$13,6,IF(H78=$AI$14,9,14)),FALSE)</f>
        <v>1</v>
      </c>
      <c r="U78" s="772"/>
      <c r="V78" s="199">
        <f t="shared" ref="V78" ca="1" si="46">IF(IF(RIGHT(H78,2)="PH",(1-L78)+$W$2,IF(RIGHT(H78,2)="HT",(1-L78)+$W$1,IF(RIGHT(H78,2)="SH",(1-L78)+$W$3,"")))&gt;0,IF(RIGHT(H78,2)="PH",(1-L78)+$W$2,IF(RIGHT(H78,2)="HT",(1-L78)+$W$1,IF(RIGHT(H78,2)="SH",(1-L78)+$W$3,""))),0)</f>
        <v>1.0000000000000009E-2</v>
      </c>
      <c r="W78" s="298"/>
      <c r="X78" s="698">
        <f t="shared" ca="1" si="27"/>
        <v>0</v>
      </c>
      <c r="Y78" s="81">
        <f t="shared" ca="1" si="28"/>
        <v>0</v>
      </c>
      <c r="Z78" s="81">
        <f t="shared" ca="1" si="29"/>
        <v>0</v>
      </c>
      <c r="AA78" s="81">
        <f t="shared" ca="1" si="30"/>
        <v>0</v>
      </c>
      <c r="AB78" s="81">
        <f t="shared" ca="1" si="31"/>
        <v>0</v>
      </c>
      <c r="AC78" s="296"/>
      <c r="AD78" s="81">
        <v>2020</v>
      </c>
      <c r="AE78" s="81"/>
      <c r="AF78" s="710"/>
    </row>
    <row r="79" spans="2:32">
      <c r="B79" s="357" t="s">
        <v>1007</v>
      </c>
      <c r="D79" s="212"/>
      <c r="E79" s="212"/>
      <c r="F79" s="224" t="s">
        <v>1149</v>
      </c>
      <c r="H79" s="174"/>
      <c r="I79" s="174" t="str">
        <f t="shared" si="38"/>
        <v>INDGWH</v>
      </c>
      <c r="J79" s="224">
        <f t="shared" si="32"/>
        <v>2030</v>
      </c>
      <c r="K79" s="81"/>
      <c r="L79" s="199">
        <f t="shared" ca="1" si="23"/>
        <v>0.99</v>
      </c>
      <c r="M79" s="199"/>
      <c r="N79" s="81"/>
      <c r="O79" s="723">
        <f t="shared" ca="1" si="24"/>
        <v>0.52150000000000007</v>
      </c>
      <c r="P79" s="723">
        <f t="shared" ca="1" si="25"/>
        <v>7.5989999999999999E-3</v>
      </c>
      <c r="Q79" s="81">
        <f t="shared" ca="1" si="26"/>
        <v>1.8107638888888888</v>
      </c>
      <c r="R79" s="300"/>
      <c r="S79" s="300"/>
      <c r="T79" s="300"/>
      <c r="U79" s="300"/>
      <c r="V79" s="199">
        <f t="shared" ref="V79" ca="1" si="47">IF(IF(RIGHT(H78,2)="PH",(1-L79)+$W$2,IF(RIGHT(H78,2)="HT",(1-L79)+$W$1,IF(RIGHT(H78,2)="SH",(1-L79)+$W$3,"")))&gt;0,IF(RIGHT(H78,2)="PH",(1-L79)+$W$2,IF(RIGHT(H78,2)="HT",(1-L79)+$W$1,IF(RIGHT(H78,2)="SH",(1-L79)+$W$3,""))),0)</f>
        <v>1.0000000000000009E-2</v>
      </c>
      <c r="W79" s="298"/>
      <c r="X79" s="698">
        <f t="shared" ca="1" si="27"/>
        <v>0</v>
      </c>
      <c r="Y79" s="81">
        <f t="shared" ca="1" si="28"/>
        <v>0</v>
      </c>
      <c r="Z79" s="81">
        <f t="shared" ca="1" si="29"/>
        <v>0</v>
      </c>
      <c r="AA79" s="81">
        <f t="shared" ca="1" si="30"/>
        <v>0</v>
      </c>
      <c r="AB79" s="81">
        <f t="shared" ca="1" si="31"/>
        <v>0</v>
      </c>
      <c r="AC79" s="55"/>
      <c r="AD79" s="81">
        <v>2030</v>
      </c>
      <c r="AE79" s="81"/>
      <c r="AF79" s="700"/>
    </row>
    <row r="80" spans="2:32">
      <c r="B80" s="357" t="s">
        <v>1007</v>
      </c>
      <c r="D80" s="212"/>
      <c r="E80" s="212"/>
      <c r="F80" s="224" t="s">
        <v>1149</v>
      </c>
      <c r="H80" s="174"/>
      <c r="I80" s="174" t="str">
        <f t="shared" si="38"/>
        <v>INDGWH</v>
      </c>
      <c r="J80" s="224">
        <f t="shared" si="32"/>
        <v>2050</v>
      </c>
      <c r="K80" s="706"/>
      <c r="L80" s="199">
        <f t="shared" ca="1" si="23"/>
        <v>0.99</v>
      </c>
      <c r="M80" s="774"/>
      <c r="N80" s="706"/>
      <c r="O80" s="724">
        <f t="shared" ca="1" si="24"/>
        <v>0.52150000000000007</v>
      </c>
      <c r="P80" s="724">
        <f t="shared" ca="1" si="25"/>
        <v>6.8539999999999998E-3</v>
      </c>
      <c r="Q80" s="706">
        <f t="shared" ca="1" si="26"/>
        <v>1.6141666666666665</v>
      </c>
      <c r="R80" s="300"/>
      <c r="S80" s="300"/>
      <c r="T80" s="300"/>
      <c r="U80" s="300"/>
      <c r="V80" s="199">
        <f t="shared" ref="V80" ca="1" si="48">IF(IF(RIGHT(H78,2)="PH",(1-L80)+$W$2,IF(RIGHT(H78,2)="HT",(1-L80)+$W$1,IF(RIGHT(H78,2)="SH",(1-L80)+$W$3,"")))&gt;0,IF(RIGHT(H78,2)="PH",(1-L80)+$W$2,IF(RIGHT(H78,2)="HT",(1-L80)+$W$1,IF(RIGHT(H78,2)="SH",(1-L80)+$W$3,""))),0)</f>
        <v>1.0000000000000009E-2</v>
      </c>
      <c r="W80" s="298"/>
      <c r="X80" s="698">
        <f t="shared" ca="1" si="27"/>
        <v>0</v>
      </c>
      <c r="Y80" s="706">
        <f t="shared" ca="1" si="28"/>
        <v>0</v>
      </c>
      <c r="Z80" s="706">
        <f t="shared" ca="1" si="29"/>
        <v>0</v>
      </c>
      <c r="AA80" s="706">
        <f t="shared" ca="1" si="30"/>
        <v>0</v>
      </c>
      <c r="AB80" s="706">
        <f t="shared" ca="1" si="31"/>
        <v>0</v>
      </c>
      <c r="AC80" s="55"/>
      <c r="AD80" s="706">
        <v>2050</v>
      </c>
      <c r="AE80" s="81"/>
      <c r="AF80" s="700"/>
    </row>
    <row r="81" spans="1:33">
      <c r="B81" s="716" t="s">
        <v>1007</v>
      </c>
      <c r="C81" s="296"/>
      <c r="D81" s="707" t="str">
        <f>"IND"&amp;RIGHT(H81,4)&amp;RIGHT(G81,3)&amp;"N"&amp;RIGHT(E81,1)</f>
        <v>INDGDPHELCN9</v>
      </c>
      <c r="E81" s="707" t="str">
        <f>"Industrial heating technology "&amp;$AJ$12&amp;" "&amp;RIGHT(H81,2)&amp;" - Electric boiler (Hot Water) - new 9"</f>
        <v>Industrial heating technology Glass &amp; Concrete PH - Electric boiler (Hot Water) - new 9</v>
      </c>
      <c r="F81" s="224" t="s">
        <v>1149</v>
      </c>
      <c r="G81" s="708" t="s">
        <v>499</v>
      </c>
      <c r="H81" s="708" t="str">
        <f>$AI$14</f>
        <v>IGDPH</v>
      </c>
      <c r="I81" s="708" t="str">
        <f t="shared" si="38"/>
        <v>INDGWH</v>
      </c>
      <c r="J81" s="224">
        <f t="shared" si="32"/>
        <v>2011</v>
      </c>
      <c r="K81" s="299">
        <v>2020</v>
      </c>
      <c r="L81" s="199">
        <f t="shared" ref="L81:L86" ca="1" si="49">VLOOKUP($AD81,INDIRECT("'"&amp;$B81&amp;"'!"&amp;"$P$118:$AD$121"),3,FALSE)</f>
        <v>0.99</v>
      </c>
      <c r="M81" s="199"/>
      <c r="N81" s="81">
        <f ca="1">VLOOKUP($AD81,INDIRECT("'"&amp;$B81&amp;"'!"&amp;"$P$118:$AD$121"),5,FALSE)</f>
        <v>25</v>
      </c>
      <c r="O81" s="723">
        <f t="shared" ref="O81:O86" ca="1" si="50">VLOOKUP($AD81,INDIRECT("'"&amp;$B81&amp;"'!"&amp;"$P$118:$AD$121"),6,FALSE)/1000</f>
        <v>0.52150000000000007</v>
      </c>
      <c r="P81" s="723">
        <f t="shared" ref="P81:P86" ca="1" si="51">VLOOKUP($AD81,INDIRECT("'"&amp;$B81&amp;"'!"&amp;"$P$118:$AD$121"),7,FALSE)/1000</f>
        <v>7.9714999999999994E-3</v>
      </c>
      <c r="Q81" s="81">
        <f t="shared" ref="Q81:Q86" ca="1" si="52">VLOOKUP($AD81,INDIRECT("'"&amp;$B81&amp;"'!"&amp;"$P$118:$AD$121"),8,FALSE)</f>
        <v>1.7900694444444445</v>
      </c>
      <c r="R81" s="81">
        <v>3.1536000000000002E-2</v>
      </c>
      <c r="S81" s="199">
        <v>0.5</v>
      </c>
      <c r="T81" s="199">
        <f ca="1">HLOOKUP($T$2,INDIRECT("'"&amp;$B81&amp;"'!"&amp;"$P$85:$AC$98"),IF(H81=$AI$13,6,IF(H81=$AI$14,9,14)),FALSE)</f>
        <v>0</v>
      </c>
      <c r="U81" s="773"/>
      <c r="V81" s="199">
        <f t="shared" ref="V81" ca="1" si="53">IF(IF(RIGHT(H81,2)="PH",(1-L81)+$W$2,IF(RIGHT(H81,2)="HT",(1-L81)+$W$1,IF(RIGHT(H81,2)="SH",(1-L81)+$W$3,"")))&gt;0,IF(RIGHT(H81,2)="PH",(1-L81)+$W$2,IF(RIGHT(H81,2)="HT",(1-L81)+$W$1,IF(RIGHT(H81,2)="SH",(1-L81)+$W$3,""))),0)</f>
        <v>0.21000000000000002</v>
      </c>
      <c r="W81" s="709"/>
      <c r="X81" s="698">
        <f t="shared" ca="1" si="27"/>
        <v>0</v>
      </c>
      <c r="Y81" s="698">
        <f t="shared" ref="Y81:Y86" ca="1" si="54">VLOOKUP($AD81,INDIRECT("'"&amp;$B81&amp;"'!"&amp;"$P$118:$AD$121"),12,FALSE)</f>
        <v>0</v>
      </c>
      <c r="Z81" s="698">
        <f t="shared" ref="Z81:Z86" ca="1" si="55">VLOOKUP($AD81,INDIRECT("'"&amp;$B81&amp;"'!"&amp;"$P$118:$AD$121"),13,FALSE)</f>
        <v>0</v>
      </c>
      <c r="AA81" s="698">
        <f t="shared" ref="AA81:AA86" ca="1" si="56">VLOOKUP($AD81,INDIRECT("'"&amp;$B81&amp;"'!"&amp;"$P$118:$AD$121"),14,FALSE)</f>
        <v>0</v>
      </c>
      <c r="AB81" s="698">
        <f t="shared" ref="AB81:AB86" ca="1" si="57">VLOOKUP($AD81,INDIRECT("'"&amp;$B81&amp;"'!"&amp;"$P$118:$AD$121"),15,FALSE)</f>
        <v>0</v>
      </c>
      <c r="AC81" s="55"/>
      <c r="AD81" s="81">
        <v>2020</v>
      </c>
      <c r="AE81" s="81"/>
      <c r="AF81" s="700"/>
    </row>
    <row r="82" spans="1:33">
      <c r="B82" s="357" t="s">
        <v>1007</v>
      </c>
      <c r="C82" s="55"/>
      <c r="D82" s="261"/>
      <c r="E82" s="261"/>
      <c r="F82" s="224" t="s">
        <v>1149</v>
      </c>
      <c r="G82" s="55"/>
      <c r="H82" s="174"/>
      <c r="I82" s="174" t="str">
        <f t="shared" si="38"/>
        <v>INDGWH</v>
      </c>
      <c r="J82" s="224">
        <f t="shared" si="32"/>
        <v>2030</v>
      </c>
      <c r="K82" s="81"/>
      <c r="L82" s="199">
        <f t="shared" ca="1" si="49"/>
        <v>0.99</v>
      </c>
      <c r="M82" s="199"/>
      <c r="N82" s="81"/>
      <c r="O82" s="723">
        <f t="shared" ca="1" si="50"/>
        <v>0.44700000000000001</v>
      </c>
      <c r="P82" s="723">
        <f t="shared" ca="1" si="51"/>
        <v>7.5989999999999999E-3</v>
      </c>
      <c r="Q82" s="81">
        <f t="shared" ca="1" si="52"/>
        <v>1.8107638888888888</v>
      </c>
      <c r="R82" s="300"/>
      <c r="S82" s="300"/>
      <c r="T82" s="300"/>
      <c r="U82" s="300"/>
      <c r="V82" s="199">
        <f t="shared" ref="V82" ca="1" si="58">IF(IF(RIGHT(H81,2)="PH",(1-L82)+$W$2,IF(RIGHT(H81,2)="HT",(1-L82)+$W$1,IF(RIGHT(H81,2)="SH",(1-L82)+$W$3,"")))&gt;0,IF(RIGHT(H81,2)="PH",(1-L82)+$W$2,IF(RIGHT(H81,2)="HT",(1-L82)+$W$1,IF(RIGHT(H81,2)="SH",(1-L82)+$W$3,""))),0)</f>
        <v>0.21000000000000002</v>
      </c>
      <c r="W82" s="298"/>
      <c r="X82" s="698">
        <f t="shared" ca="1" si="27"/>
        <v>0</v>
      </c>
      <c r="Y82" s="698">
        <f t="shared" ca="1" si="54"/>
        <v>0</v>
      </c>
      <c r="Z82" s="698">
        <f t="shared" ca="1" si="55"/>
        <v>0</v>
      </c>
      <c r="AA82" s="698">
        <f t="shared" ca="1" si="56"/>
        <v>0</v>
      </c>
      <c r="AB82" s="698">
        <f t="shared" ca="1" si="57"/>
        <v>0</v>
      </c>
      <c r="AC82" s="55"/>
      <c r="AD82" s="81">
        <v>2030</v>
      </c>
      <c r="AE82" s="81"/>
      <c r="AF82" s="700"/>
    </row>
    <row r="83" spans="1:33">
      <c r="B83" s="357" t="s">
        <v>1007</v>
      </c>
      <c r="C83" s="55"/>
      <c r="D83" s="261"/>
      <c r="E83" s="261"/>
      <c r="F83" s="224" t="s">
        <v>1149</v>
      </c>
      <c r="G83" s="55"/>
      <c r="H83" s="174"/>
      <c r="I83" s="174" t="str">
        <f t="shared" si="38"/>
        <v>INDGWH</v>
      </c>
      <c r="J83" s="224">
        <f t="shared" si="32"/>
        <v>2050</v>
      </c>
      <c r="K83" s="81"/>
      <c r="L83" s="199">
        <f t="shared" ca="1" si="49"/>
        <v>0.99</v>
      </c>
      <c r="M83" s="199"/>
      <c r="N83" s="81"/>
      <c r="O83" s="723">
        <f t="shared" ca="1" si="50"/>
        <v>0.44700000000000001</v>
      </c>
      <c r="P83" s="723">
        <f t="shared" ca="1" si="51"/>
        <v>6.8539999999999998E-3</v>
      </c>
      <c r="Q83" s="81">
        <f t="shared" ca="1" si="52"/>
        <v>1.6141666666666665</v>
      </c>
      <c r="R83" s="300"/>
      <c r="S83" s="300"/>
      <c r="T83" s="300"/>
      <c r="U83" s="300"/>
      <c r="V83" s="199">
        <f t="shared" ref="V83" ca="1" si="59">IF(IF(RIGHT(H81,2)="PH",(1-L83)+$W$2,IF(RIGHT(H81,2)="HT",(1-L83)+$W$1,IF(RIGHT(H81,2)="SH",(1-L83)+$W$3,"")))&gt;0,IF(RIGHT(H81,2)="PH",(1-L83)+$W$2,IF(RIGHT(H81,2)="HT",(1-L83)+$W$1,IF(RIGHT(H81,2)="SH",(1-L83)+$W$3,""))),0)</f>
        <v>0.21000000000000002</v>
      </c>
      <c r="W83" s="298"/>
      <c r="X83" s="698">
        <f t="shared" ca="1" si="27"/>
        <v>0</v>
      </c>
      <c r="Y83" s="698">
        <f t="shared" ca="1" si="54"/>
        <v>0</v>
      </c>
      <c r="Z83" s="698">
        <f t="shared" ca="1" si="55"/>
        <v>0</v>
      </c>
      <c r="AA83" s="698">
        <f t="shared" ca="1" si="56"/>
        <v>0</v>
      </c>
      <c r="AB83" s="698">
        <f t="shared" ca="1" si="57"/>
        <v>0</v>
      </c>
      <c r="AC83" s="203"/>
      <c r="AD83" s="81">
        <v>2050</v>
      </c>
      <c r="AE83" s="81"/>
      <c r="AF83" s="705"/>
    </row>
    <row r="84" spans="1:33">
      <c r="B84" s="357" t="s">
        <v>1007</v>
      </c>
      <c r="C84" s="55"/>
      <c r="D84" s="261" t="str">
        <f>"IND"&amp;RIGHT(H84,4)&amp;RIGHT(G84,3)&amp;"N"&amp;RIGHT(E84,1)</f>
        <v>INDGDSHELCN9</v>
      </c>
      <c r="E84" s="261" t="str">
        <f>"Industrial heating technology "&amp;$AJ$12&amp;" "&amp;RIGHT(H84,2)&amp;" - Electric boiler (Hot Water) - new 9"</f>
        <v>Industrial heating technology Glass &amp; Concrete SH - Electric boiler (Hot Water) - new 9</v>
      </c>
      <c r="F84" s="224" t="s">
        <v>1149</v>
      </c>
      <c r="G84" s="174" t="s">
        <v>499</v>
      </c>
      <c r="H84" s="174" t="str">
        <f>$AI$15</f>
        <v>IGDSH</v>
      </c>
      <c r="I84" s="174" t="str">
        <f t="shared" si="38"/>
        <v>INDGWH</v>
      </c>
      <c r="J84" s="224">
        <f t="shared" si="32"/>
        <v>2011</v>
      </c>
      <c r="K84" s="299">
        <v>2020</v>
      </c>
      <c r="L84" s="199">
        <f t="shared" ca="1" si="49"/>
        <v>0.99</v>
      </c>
      <c r="M84" s="199"/>
      <c r="N84" s="81">
        <f ca="1">VLOOKUP($AD84,INDIRECT("'"&amp;$B84&amp;"'!"&amp;"$P$118:$AD$121"),5,FALSE)</f>
        <v>25</v>
      </c>
      <c r="O84" s="723">
        <f t="shared" ca="1" si="50"/>
        <v>0.52150000000000007</v>
      </c>
      <c r="P84" s="723">
        <f t="shared" ca="1" si="51"/>
        <v>7.9714999999999994E-3</v>
      </c>
      <c r="Q84" s="81">
        <f t="shared" ca="1" si="52"/>
        <v>1.7900694444444445</v>
      </c>
      <c r="R84" s="81">
        <v>3.1536000000000002E-2</v>
      </c>
      <c r="S84" s="199">
        <v>0.5</v>
      </c>
      <c r="T84" s="199">
        <f ca="1">HLOOKUP($T$2,INDIRECT("'"&amp;$B84&amp;"'!"&amp;"$P$85:$AC$98"),IF(H84=$AI$13,6,IF(H84=$AI$14,9,14)),FALSE)</f>
        <v>1</v>
      </c>
      <c r="U84" s="772"/>
      <c r="V84" s="199">
        <f t="shared" ref="V84" ca="1" si="60">IF(IF(RIGHT(H84,2)="PH",(1-L84)+$W$2,IF(RIGHT(H84,2)="HT",(1-L84)+$W$1,IF(RIGHT(H84,2)="SH",(1-L84)+$W$3,"")))&gt;0,IF(RIGHT(H84,2)="PH",(1-L84)+$W$2,IF(RIGHT(H84,2)="HT",(1-L84)+$W$1,IF(RIGHT(H84,2)="SH",(1-L84)+$W$3,""))),0)</f>
        <v>1.0000000000000009E-2</v>
      </c>
      <c r="W84" s="298"/>
      <c r="X84" s="698">
        <f t="shared" ca="1" si="27"/>
        <v>0</v>
      </c>
      <c r="Y84" s="698">
        <f t="shared" ca="1" si="54"/>
        <v>0</v>
      </c>
      <c r="Z84" s="698">
        <f t="shared" ca="1" si="55"/>
        <v>0</v>
      </c>
      <c r="AA84" s="698">
        <f t="shared" ca="1" si="56"/>
        <v>0</v>
      </c>
      <c r="AB84" s="698">
        <f t="shared" ca="1" si="57"/>
        <v>0</v>
      </c>
      <c r="AD84" s="81">
        <v>2020</v>
      </c>
      <c r="AE84" s="299"/>
      <c r="AF84" s="220"/>
    </row>
    <row r="85" spans="1:33">
      <c r="B85" s="357" t="s">
        <v>1007</v>
      </c>
      <c r="C85" s="55"/>
      <c r="D85" s="261"/>
      <c r="E85" s="261"/>
      <c r="F85" s="224" t="s">
        <v>1149</v>
      </c>
      <c r="G85" s="55"/>
      <c r="H85" s="174"/>
      <c r="I85" s="174" t="str">
        <f t="shared" si="38"/>
        <v>INDGWH</v>
      </c>
      <c r="J85" s="224">
        <f t="shared" si="32"/>
        <v>2030</v>
      </c>
      <c r="K85" s="81"/>
      <c r="L85" s="199">
        <f t="shared" ca="1" si="49"/>
        <v>0.99</v>
      </c>
      <c r="M85" s="199"/>
      <c r="N85" s="81"/>
      <c r="O85" s="723">
        <f t="shared" ca="1" si="50"/>
        <v>0.44700000000000001</v>
      </c>
      <c r="P85" s="723">
        <f t="shared" ca="1" si="51"/>
        <v>7.5989999999999999E-3</v>
      </c>
      <c r="Q85" s="81">
        <f t="shared" ca="1" si="52"/>
        <v>1.8107638888888888</v>
      </c>
      <c r="R85" s="300"/>
      <c r="S85" s="300"/>
      <c r="T85" s="300"/>
      <c r="U85" s="300"/>
      <c r="V85" s="199">
        <f t="shared" ref="V85" ca="1" si="61">IF(IF(RIGHT(H84,2)="PH",(1-L85)+$W$2,IF(RIGHT(H84,2)="HT",(1-L85)+$W$1,IF(RIGHT(H84,2)="SH",(1-L85)+$W$3,"")))&gt;0,IF(RIGHT(H84,2)="PH",(1-L85)+$W$2,IF(RIGHT(H84,2)="HT",(1-L85)+$W$1,IF(RIGHT(H84,2)="SH",(1-L85)+$W$3,""))),0)</f>
        <v>1.0000000000000009E-2</v>
      </c>
      <c r="W85" s="298"/>
      <c r="X85" s="698">
        <f t="shared" ca="1" si="27"/>
        <v>0</v>
      </c>
      <c r="Y85" s="698">
        <f t="shared" ca="1" si="54"/>
        <v>0</v>
      </c>
      <c r="Z85" s="698">
        <f t="shared" ca="1" si="55"/>
        <v>0</v>
      </c>
      <c r="AA85" s="698">
        <f t="shared" ca="1" si="56"/>
        <v>0</v>
      </c>
      <c r="AB85" s="698">
        <f t="shared" ca="1" si="57"/>
        <v>0</v>
      </c>
      <c r="AD85" s="81">
        <v>2030</v>
      </c>
      <c r="AE85" s="81"/>
      <c r="AF85" s="220"/>
    </row>
    <row r="86" spans="1:33">
      <c r="B86" s="356" t="s">
        <v>1007</v>
      </c>
      <c r="C86" s="203"/>
      <c r="D86" s="701"/>
      <c r="E86" s="701"/>
      <c r="F86" s="224" t="s">
        <v>1149</v>
      </c>
      <c r="G86" s="203"/>
      <c r="H86" s="702"/>
      <c r="I86" s="702" t="str">
        <f t="shared" si="38"/>
        <v>INDGWH</v>
      </c>
      <c r="J86" s="224">
        <f t="shared" si="32"/>
        <v>2050</v>
      </c>
      <c r="K86" s="81"/>
      <c r="L86" s="199">
        <f t="shared" ca="1" si="49"/>
        <v>0.99</v>
      </c>
      <c r="M86" s="199"/>
      <c r="N86" s="81"/>
      <c r="O86" s="723">
        <f t="shared" ca="1" si="50"/>
        <v>0.44700000000000001</v>
      </c>
      <c r="P86" s="723">
        <f t="shared" ca="1" si="51"/>
        <v>6.8539999999999998E-3</v>
      </c>
      <c r="Q86" s="81">
        <f t="shared" ca="1" si="52"/>
        <v>1.6141666666666665</v>
      </c>
      <c r="R86" s="703"/>
      <c r="S86" s="703"/>
      <c r="T86" s="703"/>
      <c r="U86" s="703"/>
      <c r="V86" s="199">
        <f t="shared" ref="V86" ca="1" si="62">IF(IF(RIGHT(H84,2)="PH",(1-L86)+$W$2,IF(RIGHT(H84,2)="HT",(1-L86)+$W$1,IF(RIGHT(H84,2)="SH",(1-L86)+$W$3,"")))&gt;0,IF(RIGHT(H84,2)="PH",(1-L86)+$W$2,IF(RIGHT(H84,2)="HT",(1-L86)+$W$1,IF(RIGHT(H84,2)="SH",(1-L86)+$W$3,""))),0)</f>
        <v>1.0000000000000009E-2</v>
      </c>
      <c r="W86" s="704"/>
      <c r="X86" s="698">
        <f t="shared" ca="1" si="27"/>
        <v>0</v>
      </c>
      <c r="Y86" s="698">
        <f t="shared" ca="1" si="54"/>
        <v>0</v>
      </c>
      <c r="Z86" s="698">
        <f t="shared" ca="1" si="55"/>
        <v>0</v>
      </c>
      <c r="AA86" s="698">
        <f t="shared" ca="1" si="56"/>
        <v>0</v>
      </c>
      <c r="AB86" s="698">
        <f t="shared" ca="1" si="57"/>
        <v>0</v>
      </c>
      <c r="AD86" s="81">
        <v>2050</v>
      </c>
      <c r="AE86" s="81"/>
      <c r="AF86" s="220"/>
    </row>
    <row r="87" spans="1:33">
      <c r="B87" s="357" t="s">
        <v>1008</v>
      </c>
      <c r="D87" s="212" t="str">
        <f>"IND"&amp;RIGHT(H87,4)&amp;RIGHT(G87,3)&amp;"N"&amp;RIGHT(E87,1)</f>
        <v>INDGDPHWCHN1</v>
      </c>
      <c r="E87" s="261" t="str">
        <f>"Industrial heating technology "&amp;$AJ$12&amp;" "&amp;RIGHT(H87,2)&amp;" - Wood chip boiler (Steam) - new 1"</f>
        <v>Industrial heating technology Glass &amp; Concrete PH - Wood chip boiler (Steam) - new 1</v>
      </c>
      <c r="F87" s="224" t="s">
        <v>1149</v>
      </c>
      <c r="G87" s="173" t="s">
        <v>498</v>
      </c>
      <c r="H87" s="174" t="str">
        <f>$AI$13</f>
        <v>IGDPH</v>
      </c>
      <c r="I87" s="174" t="str">
        <f t="shared" si="38"/>
        <v>INDGWH</v>
      </c>
      <c r="J87" s="224">
        <f t="shared" si="32"/>
        <v>2011</v>
      </c>
      <c r="K87" s="299">
        <v>2025</v>
      </c>
      <c r="L87" s="199">
        <f t="shared" ref="L87:L95" ca="1" si="63">VLOOKUP($AD87,INDIRECT("'"&amp;$B87&amp;"'!"&amp;"$P$39:$AD$42"),3,FALSE)</f>
        <v>0.89</v>
      </c>
      <c r="M87" s="699"/>
      <c r="N87" s="299">
        <f ca="1">VLOOKUP($AD87,INDIRECT("'"&amp;$B87&amp;"'!"&amp;"$P$39:$AD$42"),5,FALSE)</f>
        <v>25</v>
      </c>
      <c r="O87" s="725">
        <f t="shared" ref="O87:O95" ca="1" si="64">VLOOKUP($AD87,INDIRECT("'"&amp;$B87&amp;"'!"&amp;"$P$39:$AD$42"),6,FALSE)/1000</f>
        <v>4.6054545454545455</v>
      </c>
      <c r="P87" s="725">
        <f t="shared" ref="P87:P95" ca="1" si="65">VLOOKUP($AD87,INDIRECT("'"&amp;$B87&amp;"'!"&amp;"$P$39:$AD$42"),7,FALSE)/1000</f>
        <v>0.25106499999999998</v>
      </c>
      <c r="Q87" s="299">
        <f t="shared" ref="Q87:Q95" ca="1" si="66">VLOOKUP($AD87,INDIRECT("'"&amp;$B87&amp;"'!"&amp;"$P$39:$AD$42"),8,FALSE)</f>
        <v>5.7509861111111107</v>
      </c>
      <c r="R87" s="299">
        <v>3.1536000000000002E-2</v>
      </c>
      <c r="S87" s="699">
        <v>0.5</v>
      </c>
      <c r="T87" s="699">
        <f ca="1">HLOOKUP($T$2,INDIRECT("'"&amp;$B87&amp;"'!"&amp;"$P$6:$AC$19"),IF(H87=$AI$13,6,IF(H87=$AI$14,9,14)),FALSE)</f>
        <v>1</v>
      </c>
      <c r="U87" s="772"/>
      <c r="V87" s="199">
        <f t="shared" ref="V87" ca="1" si="67">IF(IF(RIGHT(H87,2)="PH",(1-L87)+$W$2,IF(RIGHT(H87,2)="HT",(1-L87)+$W$1,IF(RIGHT(H87,2)="SH",(1-L87)+$W$3,"")))&gt;0,IF(RIGHT(H87,2)="PH",(1-L87)+$W$2,IF(RIGHT(H87,2)="HT",(1-L87)+$W$1,IF(RIGHT(H87,2)="SH",(1-L87)+$W$3,""))),0)</f>
        <v>0.31</v>
      </c>
      <c r="W87" s="298"/>
      <c r="X87" s="698">
        <f t="shared" ca="1" si="27"/>
        <v>11</v>
      </c>
      <c r="Y87" s="299">
        <f t="shared" ref="Y87:Y95" ca="1" si="68">VLOOKUP($AD87,INDIRECT("'"&amp;$B87&amp;"'!"&amp;"$P$39:$AD$42"),12,FALSE)</f>
        <v>63</v>
      </c>
      <c r="Z87" s="299">
        <f t="shared" ref="Z87:Z95" ca="1" si="69">VLOOKUP($AD87,INDIRECT("'"&amp;$B87&amp;"'!"&amp;"$P$39:$AD$42"),13,FALSE)</f>
        <v>11</v>
      </c>
      <c r="AA87" s="299">
        <f t="shared" ref="AA87:AA95" ca="1" si="70">VLOOKUP($AD87,INDIRECT("'"&amp;$B87&amp;"'!"&amp;"$P$39:$AD$42"),14,FALSE)</f>
        <v>3</v>
      </c>
      <c r="AB87" s="299">
        <f t="shared" ref="AB87:AB95" ca="1" si="71">VLOOKUP($AD87,INDIRECT("'"&amp;$B87&amp;"'!"&amp;"$P$39:$AD$42"),15,FALSE)</f>
        <v>10</v>
      </c>
      <c r="AD87" s="299">
        <v>2020</v>
      </c>
      <c r="AE87" s="81"/>
      <c r="AF87" s="220"/>
    </row>
    <row r="88" spans="1:33">
      <c r="B88" s="357" t="s">
        <v>1008</v>
      </c>
      <c r="D88" s="212"/>
      <c r="E88" s="212"/>
      <c r="F88" s="224" t="s">
        <v>1149</v>
      </c>
      <c r="H88" s="174"/>
      <c r="I88" s="174" t="str">
        <f t="shared" si="38"/>
        <v>INDGWH</v>
      </c>
      <c r="J88" s="224">
        <f t="shared" si="32"/>
        <v>2030</v>
      </c>
      <c r="K88" s="81"/>
      <c r="L88" s="199">
        <f t="shared" ca="1" si="63"/>
        <v>0.89</v>
      </c>
      <c r="M88" s="199"/>
      <c r="N88" s="81"/>
      <c r="O88" s="723">
        <f t="shared" ca="1" si="64"/>
        <v>4.4022727272727264</v>
      </c>
      <c r="P88" s="723">
        <f t="shared" ca="1" si="65"/>
        <v>0.267455</v>
      </c>
      <c r="Q88" s="81">
        <f t="shared" ca="1" si="66"/>
        <v>5.8461805555555557</v>
      </c>
      <c r="R88" s="300"/>
      <c r="S88" s="300"/>
      <c r="T88" s="300"/>
      <c r="U88" s="300"/>
      <c r="V88" s="199">
        <f t="shared" ref="V88" ca="1" si="72">IF(IF(RIGHT(H87,2)="PH",(1-L88)+$W$2,IF(RIGHT(H87,2)="HT",(1-L88)+$W$1,IF(RIGHT(H87,2)="SH",(1-L88)+$W$3,"")))&gt;0,IF(RIGHT(H87,2)="PH",(1-L88)+$W$2,IF(RIGHT(H87,2)="HT",(1-L88)+$W$1,IF(RIGHT(H87,2)="SH",(1-L88)+$W$3,""))),0)</f>
        <v>0.31</v>
      </c>
      <c r="W88" s="298"/>
      <c r="X88" s="698">
        <f t="shared" ca="1" si="27"/>
        <v>11</v>
      </c>
      <c r="Y88" s="81">
        <f t="shared" ca="1" si="68"/>
        <v>49</v>
      </c>
      <c r="Z88" s="81">
        <f t="shared" ca="1" si="69"/>
        <v>8</v>
      </c>
      <c r="AA88" s="81">
        <f t="shared" ca="1" si="70"/>
        <v>3</v>
      </c>
      <c r="AB88" s="81">
        <f t="shared" ca="1" si="71"/>
        <v>10</v>
      </c>
      <c r="AD88" s="81">
        <v>2030</v>
      </c>
      <c r="AE88" s="81"/>
      <c r="AF88" s="220"/>
    </row>
    <row r="89" spans="1:33">
      <c r="B89" s="357" t="s">
        <v>1008</v>
      </c>
      <c r="D89" s="212"/>
      <c r="E89" s="212"/>
      <c r="F89" s="224" t="s">
        <v>1149</v>
      </c>
      <c r="H89" s="174"/>
      <c r="I89" s="174" t="str">
        <f t="shared" si="38"/>
        <v>INDGWH</v>
      </c>
      <c r="J89" s="224">
        <f t="shared" si="32"/>
        <v>2050</v>
      </c>
      <c r="K89" s="81"/>
      <c r="L89" s="199">
        <f t="shared" ca="1" si="63"/>
        <v>0.9</v>
      </c>
      <c r="M89" s="199"/>
      <c r="N89" s="81"/>
      <c r="O89" s="723">
        <f t="shared" ca="1" si="64"/>
        <v>3.9959090909090902</v>
      </c>
      <c r="P89" s="723">
        <f t="shared" ca="1" si="65"/>
        <v>0.25106499999999998</v>
      </c>
      <c r="Q89" s="81">
        <f t="shared" ca="1" si="66"/>
        <v>5.8937777777777782</v>
      </c>
      <c r="R89" s="300"/>
      <c r="S89" s="300"/>
      <c r="T89" s="300"/>
      <c r="U89" s="300"/>
      <c r="V89" s="199">
        <f t="shared" ref="V89" ca="1" si="73">IF(IF(RIGHT(H87,2)="PH",(1-L89)+$W$2,IF(RIGHT(H87,2)="HT",(1-L89)+$W$1,IF(RIGHT(H87,2)="SH",(1-L89)+$W$3,"")))&gt;0,IF(RIGHT(H87,2)="PH",(1-L89)+$W$2,IF(RIGHT(H87,2)="HT",(1-L89)+$W$1,IF(RIGHT(H87,2)="SH",(1-L89)+$W$3,""))),0)</f>
        <v>0.3</v>
      </c>
      <c r="W89" s="298"/>
      <c r="X89" s="698">
        <f t="shared" ca="1" si="27"/>
        <v>11</v>
      </c>
      <c r="Y89" s="81">
        <f t="shared" ca="1" si="68"/>
        <v>41</v>
      </c>
      <c r="Z89" s="81">
        <f t="shared" ca="1" si="69"/>
        <v>4</v>
      </c>
      <c r="AA89" s="81">
        <f t="shared" ca="1" si="70"/>
        <v>1</v>
      </c>
      <c r="AB89" s="81">
        <f t="shared" ca="1" si="71"/>
        <v>10</v>
      </c>
      <c r="AD89" s="81">
        <v>2050</v>
      </c>
      <c r="AE89" s="81"/>
      <c r="AF89" s="220"/>
    </row>
    <row r="90" spans="1:33" s="226" customFormat="1">
      <c r="A90" s="224"/>
      <c r="B90" s="357" t="s">
        <v>1008</v>
      </c>
      <c r="C90" s="224"/>
      <c r="D90" s="212" t="str">
        <f>"IND"&amp;RIGHT(H90,4)&amp;RIGHT(G90,3)&amp;"N"&amp;RIGHT(E90,1)</f>
        <v>INDGDPHWCHN1</v>
      </c>
      <c r="E90" s="261" t="str">
        <f>"Industrial heating technology "&amp;$AJ$12&amp;" "&amp;RIGHT(H90,2)&amp;" - Wood chip boiler (Steam) - new 1"</f>
        <v>Industrial heating technology Glass &amp; Concrete PH - Wood chip boiler (Steam) - new 1</v>
      </c>
      <c r="F90" s="224" t="s">
        <v>1149</v>
      </c>
      <c r="G90" s="173" t="s">
        <v>498</v>
      </c>
      <c r="H90" s="174" t="str">
        <f>$AI$14</f>
        <v>IGDPH</v>
      </c>
      <c r="I90" s="174" t="str">
        <f t="shared" si="38"/>
        <v>INDGWH</v>
      </c>
      <c r="J90" s="224">
        <f t="shared" si="32"/>
        <v>2011</v>
      </c>
      <c r="K90" s="299">
        <v>2025</v>
      </c>
      <c r="L90" s="199">
        <f t="shared" ca="1" si="63"/>
        <v>0.89</v>
      </c>
      <c r="M90" s="199"/>
      <c r="N90" s="81">
        <f ca="1">VLOOKUP($AD90,INDIRECT("'"&amp;$B90&amp;"'!"&amp;"$P$39:$AD$42"),5,FALSE)</f>
        <v>25</v>
      </c>
      <c r="O90" s="723">
        <f t="shared" ca="1" si="64"/>
        <v>4.6054545454545455</v>
      </c>
      <c r="P90" s="723">
        <f t="shared" ca="1" si="65"/>
        <v>0.25106499999999998</v>
      </c>
      <c r="Q90" s="81">
        <f t="shared" ca="1" si="66"/>
        <v>5.7509861111111107</v>
      </c>
      <c r="R90" s="81">
        <v>3.1536000000000002E-2</v>
      </c>
      <c r="S90" s="199">
        <v>0.5</v>
      </c>
      <c r="T90" s="199">
        <f ca="1">HLOOKUP($T$2,INDIRECT("'"&amp;$B90&amp;"'!"&amp;"$P$6:$AC$19"),IF(H90=$AI$13,6,IF(H90=$AI$14,9,14)),FALSE)</f>
        <v>1</v>
      </c>
      <c r="U90" s="772"/>
      <c r="V90" s="199">
        <f t="shared" ref="V90" ca="1" si="74">IF(IF(RIGHT(H90,2)="PH",(1-L90)+$W$2,IF(RIGHT(H90,2)="HT",(1-L90)+$W$1,IF(RIGHT(H90,2)="SH",(1-L90)+$W$3,"")))&gt;0,IF(RIGHT(H90,2)="PH",(1-L90)+$W$2,IF(RIGHT(H90,2)="HT",(1-L90)+$W$1,IF(RIGHT(H90,2)="SH",(1-L90)+$W$3,""))),0)</f>
        <v>0.31</v>
      </c>
      <c r="W90" s="298"/>
      <c r="X90" s="698">
        <f t="shared" ca="1" si="27"/>
        <v>11</v>
      </c>
      <c r="Y90" s="81">
        <f t="shared" ca="1" si="68"/>
        <v>63</v>
      </c>
      <c r="Z90" s="81">
        <f t="shared" ca="1" si="69"/>
        <v>11</v>
      </c>
      <c r="AA90" s="81">
        <f t="shared" ca="1" si="70"/>
        <v>3</v>
      </c>
      <c r="AB90" s="81">
        <f t="shared" ca="1" si="71"/>
        <v>10</v>
      </c>
      <c r="AC90" s="224"/>
      <c r="AD90" s="81">
        <v>2020</v>
      </c>
      <c r="AE90" s="81"/>
      <c r="AF90" s="220"/>
      <c r="AG90" s="224"/>
    </row>
    <row r="91" spans="1:33" s="226" customFormat="1">
      <c r="A91" s="224"/>
      <c r="B91" s="357" t="s">
        <v>1008</v>
      </c>
      <c r="C91" s="224"/>
      <c r="D91" s="212"/>
      <c r="E91" s="212"/>
      <c r="F91" s="224" t="s">
        <v>1149</v>
      </c>
      <c r="G91" s="224"/>
      <c r="H91" s="174"/>
      <c r="I91" s="174" t="str">
        <f t="shared" si="38"/>
        <v>INDGWH</v>
      </c>
      <c r="J91" s="224">
        <f t="shared" si="32"/>
        <v>2030</v>
      </c>
      <c r="K91" s="81"/>
      <c r="L91" s="199">
        <f t="shared" ca="1" si="63"/>
        <v>0.89</v>
      </c>
      <c r="M91" s="199"/>
      <c r="N91" s="81"/>
      <c r="O91" s="723">
        <f t="shared" ca="1" si="64"/>
        <v>4.4022727272727264</v>
      </c>
      <c r="P91" s="723">
        <f t="shared" ca="1" si="65"/>
        <v>0.267455</v>
      </c>
      <c r="Q91" s="81">
        <f t="shared" ca="1" si="66"/>
        <v>5.8461805555555557</v>
      </c>
      <c r="R91" s="300"/>
      <c r="S91" s="300"/>
      <c r="T91" s="300"/>
      <c r="U91" s="300"/>
      <c r="V91" s="199">
        <f t="shared" ref="V91" ca="1" si="75">IF(IF(RIGHT(H90,2)="PH",(1-L91)+$W$2,IF(RIGHT(H90,2)="HT",(1-L91)+$W$1,IF(RIGHT(H90,2)="SH",(1-L91)+$W$3,"")))&gt;0,IF(RIGHT(H90,2)="PH",(1-L91)+$W$2,IF(RIGHT(H90,2)="HT",(1-L91)+$W$1,IF(RIGHT(H90,2)="SH",(1-L91)+$W$3,""))),0)</f>
        <v>0.31</v>
      </c>
      <c r="W91" s="298"/>
      <c r="X91" s="698">
        <f t="shared" ca="1" si="27"/>
        <v>11</v>
      </c>
      <c r="Y91" s="81">
        <f t="shared" ca="1" si="68"/>
        <v>49</v>
      </c>
      <c r="Z91" s="81">
        <f t="shared" ca="1" si="69"/>
        <v>8</v>
      </c>
      <c r="AA91" s="81">
        <f t="shared" ca="1" si="70"/>
        <v>3</v>
      </c>
      <c r="AB91" s="81">
        <f t="shared" ca="1" si="71"/>
        <v>10</v>
      </c>
      <c r="AC91" s="224"/>
      <c r="AD91" s="81">
        <v>2030</v>
      </c>
      <c r="AE91" s="81"/>
      <c r="AF91" s="220"/>
    </row>
    <row r="92" spans="1:33" s="226" customFormat="1">
      <c r="A92" s="224"/>
      <c r="B92" s="357" t="s">
        <v>1008</v>
      </c>
      <c r="C92" s="224"/>
      <c r="D92" s="212"/>
      <c r="E92" s="212"/>
      <c r="F92" s="224" t="s">
        <v>1149</v>
      </c>
      <c r="G92" s="224"/>
      <c r="H92" s="174"/>
      <c r="I92" s="174" t="str">
        <f t="shared" si="38"/>
        <v>INDGWH</v>
      </c>
      <c r="J92" s="224">
        <f t="shared" si="32"/>
        <v>2050</v>
      </c>
      <c r="K92" s="81"/>
      <c r="L92" s="199">
        <f t="shared" ca="1" si="63"/>
        <v>0.9</v>
      </c>
      <c r="M92" s="199"/>
      <c r="N92" s="81"/>
      <c r="O92" s="723">
        <f t="shared" ca="1" si="64"/>
        <v>3.9959090909090902</v>
      </c>
      <c r="P92" s="723">
        <f t="shared" ca="1" si="65"/>
        <v>0.25106499999999998</v>
      </c>
      <c r="Q92" s="81">
        <f t="shared" ca="1" si="66"/>
        <v>5.8937777777777782</v>
      </c>
      <c r="R92" s="300"/>
      <c r="S92" s="300"/>
      <c r="T92" s="300"/>
      <c r="U92" s="300"/>
      <c r="V92" s="199">
        <f t="shared" ref="V92" ca="1" si="76">IF(IF(RIGHT(H90,2)="PH",(1-L92)+$W$2,IF(RIGHT(H90,2)="HT",(1-L92)+$W$1,IF(RIGHT(H90,2)="SH",(1-L92)+$W$3,"")))&gt;0,IF(RIGHT(H90,2)="PH",(1-L92)+$W$2,IF(RIGHT(H90,2)="HT",(1-L92)+$W$1,IF(RIGHT(H90,2)="SH",(1-L92)+$W$3,""))),0)</f>
        <v>0.3</v>
      </c>
      <c r="W92" s="298"/>
      <c r="X92" s="698">
        <f t="shared" ca="1" si="27"/>
        <v>11</v>
      </c>
      <c r="Y92" s="81">
        <f t="shared" ca="1" si="68"/>
        <v>41</v>
      </c>
      <c r="Z92" s="81">
        <f t="shared" ca="1" si="69"/>
        <v>4</v>
      </c>
      <c r="AA92" s="81">
        <f t="shared" ca="1" si="70"/>
        <v>1</v>
      </c>
      <c r="AB92" s="81">
        <f t="shared" ca="1" si="71"/>
        <v>10</v>
      </c>
      <c r="AC92" s="224"/>
      <c r="AD92" s="81">
        <v>2050</v>
      </c>
      <c r="AE92" s="706"/>
      <c r="AF92" s="220"/>
    </row>
    <row r="93" spans="1:33" s="226" customFormat="1">
      <c r="A93" s="224"/>
      <c r="B93" s="357" t="s">
        <v>1008</v>
      </c>
      <c r="C93" s="224"/>
      <c r="D93" s="212" t="str">
        <f>"IND"&amp;RIGHT(H93,4)&amp;RIGHT(G93,3)&amp;"N"&amp;RIGHT(E93,1)</f>
        <v>INDGDSHWCHN1</v>
      </c>
      <c r="E93" s="261" t="str">
        <f>"Industrial heating technology "&amp;$AJ$12&amp;" "&amp;RIGHT(H93,2)&amp;" - Wood chip boiler (Steam) - new 1"</f>
        <v>Industrial heating technology Glass &amp; Concrete SH - Wood chip boiler (Steam) - new 1</v>
      </c>
      <c r="F93" s="224" t="s">
        <v>1149</v>
      </c>
      <c r="G93" s="173" t="s">
        <v>498</v>
      </c>
      <c r="H93" s="174" t="str">
        <f>$AI$15</f>
        <v>IGDSH</v>
      </c>
      <c r="I93" s="174" t="str">
        <f t="shared" si="38"/>
        <v>INDGWH</v>
      </c>
      <c r="J93" s="224">
        <f t="shared" si="32"/>
        <v>2011</v>
      </c>
      <c r="K93" s="299">
        <v>2025</v>
      </c>
      <c r="L93" s="199">
        <f t="shared" ca="1" si="63"/>
        <v>0.89</v>
      </c>
      <c r="M93" s="199"/>
      <c r="N93" s="81">
        <f ca="1">VLOOKUP($AD93,INDIRECT("'"&amp;$B93&amp;"'!"&amp;"$P$39:$AD$42"),5,FALSE)</f>
        <v>25</v>
      </c>
      <c r="O93" s="723">
        <f t="shared" ca="1" si="64"/>
        <v>4.6054545454545455</v>
      </c>
      <c r="P93" s="723">
        <f t="shared" ca="1" si="65"/>
        <v>0.25106499999999998</v>
      </c>
      <c r="Q93" s="81">
        <f t="shared" ca="1" si="66"/>
        <v>5.7509861111111107</v>
      </c>
      <c r="R93" s="81">
        <v>3.1536000000000002E-2</v>
      </c>
      <c r="S93" s="199">
        <v>0.5</v>
      </c>
      <c r="T93" s="199">
        <f ca="1">HLOOKUP($T$2,INDIRECT("'"&amp;$B93&amp;"'!"&amp;"$P$6:$AC$19"),IF(H93=$AI$13,6,IF(H93=$AI$14,9,14)),FALSE)</f>
        <v>1</v>
      </c>
      <c r="U93" s="772"/>
      <c r="V93" s="199">
        <f t="shared" ref="V93" ca="1" si="77">IF(IF(RIGHT(H93,2)="PH",(1-L93)+$W$2,IF(RIGHT(H93,2)="HT",(1-L93)+$W$1,IF(RIGHT(H93,2)="SH",(1-L93)+$W$3,"")))&gt;0,IF(RIGHT(H93,2)="PH",(1-L93)+$W$2,IF(RIGHT(H93,2)="HT",(1-L93)+$W$1,IF(RIGHT(H93,2)="SH",(1-L93)+$W$3,""))),0)</f>
        <v>0.10999999999999999</v>
      </c>
      <c r="W93" s="298"/>
      <c r="X93" s="698">
        <f t="shared" ca="1" si="27"/>
        <v>11</v>
      </c>
      <c r="Y93" s="81">
        <f t="shared" ca="1" si="68"/>
        <v>63</v>
      </c>
      <c r="Z93" s="81">
        <f t="shared" ca="1" si="69"/>
        <v>11</v>
      </c>
      <c r="AA93" s="81">
        <f t="shared" ca="1" si="70"/>
        <v>3</v>
      </c>
      <c r="AB93" s="81">
        <f t="shared" ca="1" si="71"/>
        <v>10</v>
      </c>
      <c r="AC93" s="296"/>
      <c r="AD93" s="81">
        <v>2020</v>
      </c>
      <c r="AE93" s="81"/>
      <c r="AF93" s="710"/>
    </row>
    <row r="94" spans="1:33" s="226" customFormat="1">
      <c r="A94" s="224"/>
      <c r="B94" s="357" t="s">
        <v>1008</v>
      </c>
      <c r="C94" s="224"/>
      <c r="D94" s="212"/>
      <c r="E94" s="212"/>
      <c r="F94" s="224" t="s">
        <v>1149</v>
      </c>
      <c r="G94" s="224"/>
      <c r="H94" s="174"/>
      <c r="I94" s="174" t="str">
        <f t="shared" si="38"/>
        <v>INDGWH</v>
      </c>
      <c r="J94" s="224">
        <f t="shared" si="32"/>
        <v>2030</v>
      </c>
      <c r="K94" s="81"/>
      <c r="L94" s="199">
        <f t="shared" ca="1" si="63"/>
        <v>0.89</v>
      </c>
      <c r="M94" s="199"/>
      <c r="N94" s="81"/>
      <c r="O94" s="723">
        <f t="shared" ca="1" si="64"/>
        <v>4.4022727272727264</v>
      </c>
      <c r="P94" s="723">
        <f t="shared" ca="1" si="65"/>
        <v>0.267455</v>
      </c>
      <c r="Q94" s="81">
        <f t="shared" ca="1" si="66"/>
        <v>5.8461805555555557</v>
      </c>
      <c r="R94" s="300"/>
      <c r="S94" s="300"/>
      <c r="T94" s="300"/>
      <c r="U94" s="300"/>
      <c r="V94" s="199">
        <f t="shared" ref="V94" ca="1" si="78">IF(IF(RIGHT(H93,2)="PH",(1-L94)+$W$2,IF(RIGHT(H93,2)="HT",(1-L94)+$W$1,IF(RIGHT(H93,2)="SH",(1-L94)+$W$3,"")))&gt;0,IF(RIGHT(H93,2)="PH",(1-L94)+$W$2,IF(RIGHT(H93,2)="HT",(1-L94)+$W$1,IF(RIGHT(H93,2)="SH",(1-L94)+$W$3,""))),0)</f>
        <v>0.10999999999999999</v>
      </c>
      <c r="W94" s="298"/>
      <c r="X94" s="698">
        <f t="shared" ca="1" si="27"/>
        <v>11</v>
      </c>
      <c r="Y94" s="81">
        <f t="shared" ca="1" si="68"/>
        <v>49</v>
      </c>
      <c r="Z94" s="81">
        <f t="shared" ca="1" si="69"/>
        <v>8</v>
      </c>
      <c r="AA94" s="81">
        <f t="shared" ca="1" si="70"/>
        <v>3</v>
      </c>
      <c r="AB94" s="81">
        <f t="shared" ca="1" si="71"/>
        <v>10</v>
      </c>
      <c r="AC94" s="55"/>
      <c r="AD94" s="81">
        <v>2030</v>
      </c>
      <c r="AE94" s="81"/>
      <c r="AF94" s="700"/>
    </row>
    <row r="95" spans="1:33" s="226" customFormat="1">
      <c r="A95" s="224"/>
      <c r="B95" s="357" t="s">
        <v>1008</v>
      </c>
      <c r="C95" s="224"/>
      <c r="D95" s="212"/>
      <c r="E95" s="212"/>
      <c r="F95" s="224" t="s">
        <v>1149</v>
      </c>
      <c r="G95" s="224"/>
      <c r="H95" s="174"/>
      <c r="I95" s="174" t="str">
        <f t="shared" si="38"/>
        <v>INDGWH</v>
      </c>
      <c r="J95" s="224">
        <f t="shared" si="32"/>
        <v>2050</v>
      </c>
      <c r="K95" s="706"/>
      <c r="L95" s="199">
        <f t="shared" ca="1" si="63"/>
        <v>0.9</v>
      </c>
      <c r="M95" s="774"/>
      <c r="N95" s="706"/>
      <c r="O95" s="724">
        <f t="shared" ca="1" si="64"/>
        <v>3.9959090909090902</v>
      </c>
      <c r="P95" s="724">
        <f t="shared" ca="1" si="65"/>
        <v>0.25106499999999998</v>
      </c>
      <c r="Q95" s="706">
        <f t="shared" ca="1" si="66"/>
        <v>5.8937777777777782</v>
      </c>
      <c r="R95" s="300"/>
      <c r="S95" s="300"/>
      <c r="T95" s="300"/>
      <c r="U95" s="300"/>
      <c r="V95" s="199">
        <f t="shared" ref="V95" ca="1" si="79">IF(IF(RIGHT(H93,2)="PH",(1-L95)+$W$2,IF(RIGHT(H93,2)="HT",(1-L95)+$W$1,IF(RIGHT(H93,2)="SH",(1-L95)+$W$3,"")))&gt;0,IF(RIGHT(H93,2)="PH",(1-L95)+$W$2,IF(RIGHT(H93,2)="HT",(1-L95)+$W$1,IF(RIGHT(H93,2)="SH",(1-L95)+$W$3,""))),0)</f>
        <v>9.9999999999999978E-2</v>
      </c>
      <c r="W95" s="298"/>
      <c r="X95" s="698">
        <f t="shared" ref="X95:X126" ca="1" si="80">IF(VLOOKUP($AD95,INDIRECT("'"&amp;$B95&amp;"'!"&amp;"$P$39:$AD$42"),11,FALSE)="Cf. the utilized electricity",0,VLOOKUP($AD95,INDIRECT("'"&amp;$B95&amp;"'!"&amp;"$P$39:$AD$42"),11,FALSE))</f>
        <v>11</v>
      </c>
      <c r="Y95" s="706">
        <f t="shared" ca="1" si="68"/>
        <v>41</v>
      </c>
      <c r="Z95" s="706">
        <f t="shared" ca="1" si="69"/>
        <v>4</v>
      </c>
      <c r="AA95" s="706">
        <f t="shared" ca="1" si="70"/>
        <v>1</v>
      </c>
      <c r="AB95" s="706">
        <f t="shared" ca="1" si="71"/>
        <v>10</v>
      </c>
      <c r="AC95" s="55"/>
      <c r="AD95" s="706">
        <v>2050</v>
      </c>
      <c r="AE95" s="81"/>
      <c r="AF95" s="700"/>
    </row>
    <row r="96" spans="1:33">
      <c r="B96" s="716" t="s">
        <v>1008</v>
      </c>
      <c r="C96" s="296"/>
      <c r="D96" s="707" t="str">
        <f>"IND"&amp;RIGHT(H96,4)&amp;RIGHT(G96,3)&amp;"N"&amp;RIGHT(E96,1)</f>
        <v>INDGDPHWCHN2</v>
      </c>
      <c r="E96" s="707" t="str">
        <f>"Industrial heating technology "&amp;$AJ$12&amp;" "&amp;RIGHT(H96,2)&amp;" - Wood chip boiler (Steam - condensing) - new 2"</f>
        <v>Industrial heating technology Glass &amp; Concrete PH - Wood chip boiler (Steam - condensing) - new 2</v>
      </c>
      <c r="F96" s="224" t="s">
        <v>1149</v>
      </c>
      <c r="G96" s="708" t="s">
        <v>498</v>
      </c>
      <c r="H96" s="708" t="str">
        <f>$AI$14</f>
        <v>IGDPH</v>
      </c>
      <c r="I96" s="708" t="str">
        <f t="shared" si="38"/>
        <v>INDGWH</v>
      </c>
      <c r="J96" s="224">
        <f t="shared" si="32"/>
        <v>2011</v>
      </c>
      <c r="K96" s="299">
        <v>2025</v>
      </c>
      <c r="L96" s="199">
        <f t="shared" ref="L96:L101" ca="1" si="81">VLOOKUP($AD96,INDIRECT("'"&amp;$B96&amp;"'!"&amp;"$P$118:$AD$121"),3,FALSE)</f>
        <v>1.1618960947726835</v>
      </c>
      <c r="M96" s="199"/>
      <c r="N96" s="81">
        <f ca="1">VLOOKUP($AD96,INDIRECT("'"&amp;$B96&amp;"'!"&amp;"$P$118:$AD$121"),5,FALSE)</f>
        <v>25</v>
      </c>
      <c r="O96" s="723">
        <f t="shared" ref="O96:O101" ca="1" si="82">VLOOKUP($AD96,INDIRECT("'"&amp;$B96&amp;"'!"&amp;"$P$118:$AD$121"),6,FALSE)/1000</f>
        <v>5.0660000000000007</v>
      </c>
      <c r="P96" s="723">
        <f t="shared" ref="P96:P101" ca="1" si="83">VLOOKUP($AD96,INDIRECT("'"&amp;$B96&amp;"'!"&amp;"$P$118:$AD$121"),7,FALSE)/1000</f>
        <v>0.27564999999999995</v>
      </c>
      <c r="Q96" s="81">
        <f t="shared" ref="Q96:Q101" ca="1" si="84">VLOOKUP($AD96,INDIRECT("'"&amp;$B96&amp;"'!"&amp;"$P$118:$AD$121"),8,FALSE)</f>
        <v>5.7509861111111107</v>
      </c>
      <c r="R96" s="81">
        <v>3.1536000000000002E-2</v>
      </c>
      <c r="S96" s="199">
        <v>0.5</v>
      </c>
      <c r="T96" s="199">
        <f ca="1">HLOOKUP($T$2,INDIRECT("'"&amp;$B96&amp;"'!"&amp;"$P$85:$AC$98"),IF(H96=$AI$13,6,IF(H96=$AI$14,9,14)),FALSE)</f>
        <v>0</v>
      </c>
      <c r="U96" s="773"/>
      <c r="V96" s="199">
        <f t="shared" ref="V96" ca="1" si="85">IF(IF(RIGHT(H96,2)="PH",(1-L96)+$W$2,IF(RIGHT(H96,2)="HT",(1-L96)+$W$1,IF(RIGHT(H96,2)="SH",(1-L96)+$W$3,"")))&gt;0,IF(RIGHT(H96,2)="PH",(1-L96)+$W$2,IF(RIGHT(H96,2)="HT",(1-L96)+$W$1,IF(RIGHT(H96,2)="SH",(1-L96)+$W$3,""))),0)</f>
        <v>3.8103905227316492E-2</v>
      </c>
      <c r="W96" s="709"/>
      <c r="X96" s="698">
        <f t="shared" ca="1" si="80"/>
        <v>11</v>
      </c>
      <c r="Y96" s="698">
        <f t="shared" ref="Y96:Y101" ca="1" si="86">VLOOKUP($AD96,INDIRECT("'"&amp;$B96&amp;"'!"&amp;"$P$118:$AD$121"),12,FALSE)</f>
        <v>63</v>
      </c>
      <c r="Z96" s="698">
        <f t="shared" ref="Z96:Z101" ca="1" si="87">VLOOKUP($AD96,INDIRECT("'"&amp;$B96&amp;"'!"&amp;"$P$118:$AD$121"),13,FALSE)</f>
        <v>11</v>
      </c>
      <c r="AA96" s="698">
        <f t="shared" ref="AA96:AA101" ca="1" si="88">VLOOKUP($AD96,INDIRECT("'"&amp;$B96&amp;"'!"&amp;"$P$118:$AD$121"),14,FALSE)</f>
        <v>3</v>
      </c>
      <c r="AB96" s="698">
        <f t="shared" ref="AB96:AB101" ca="1" si="89">VLOOKUP($AD96,INDIRECT("'"&amp;$B96&amp;"'!"&amp;"$P$118:$AD$121"),15,FALSE)</f>
        <v>10</v>
      </c>
      <c r="AC96" s="55"/>
      <c r="AD96" s="81">
        <v>2020</v>
      </c>
      <c r="AE96" s="81"/>
      <c r="AF96" s="700"/>
      <c r="AG96" s="226"/>
    </row>
    <row r="97" spans="2:32">
      <c r="B97" s="357" t="s">
        <v>1008</v>
      </c>
      <c r="C97" s="55"/>
      <c r="D97" s="261"/>
      <c r="E97" s="261"/>
      <c r="F97" s="224" t="s">
        <v>1149</v>
      </c>
      <c r="G97" s="55"/>
      <c r="H97" s="174"/>
      <c r="I97" s="174" t="str">
        <f t="shared" si="38"/>
        <v>INDGWH</v>
      </c>
      <c r="J97" s="224">
        <f t="shared" si="32"/>
        <v>2030</v>
      </c>
      <c r="K97" s="81"/>
      <c r="L97" s="199">
        <f t="shared" ca="1" si="81"/>
        <v>1.1618960947726835</v>
      </c>
      <c r="M97" s="199"/>
      <c r="N97" s="81"/>
      <c r="O97" s="723">
        <f t="shared" ca="1" si="82"/>
        <v>4.8425000000000002</v>
      </c>
      <c r="P97" s="723">
        <f t="shared" ca="1" si="83"/>
        <v>0.267455</v>
      </c>
      <c r="Q97" s="81">
        <f t="shared" ca="1" si="84"/>
        <v>5.8461805555555557</v>
      </c>
      <c r="R97" s="300"/>
      <c r="S97" s="300"/>
      <c r="T97" s="300"/>
      <c r="U97" s="300"/>
      <c r="V97" s="199">
        <f t="shared" ref="V97" ca="1" si="90">IF(IF(RIGHT(H96,2)="PH",(1-L97)+$W$2,IF(RIGHT(H96,2)="HT",(1-L97)+$W$1,IF(RIGHT(H96,2)="SH",(1-L97)+$W$3,"")))&gt;0,IF(RIGHT(H96,2)="PH",(1-L97)+$W$2,IF(RIGHT(H96,2)="HT",(1-L97)+$W$1,IF(RIGHT(H96,2)="SH",(1-L97)+$W$3,""))),0)</f>
        <v>3.8103905227316492E-2</v>
      </c>
      <c r="W97" s="298"/>
      <c r="X97" s="698">
        <f t="shared" ca="1" si="80"/>
        <v>11</v>
      </c>
      <c r="Y97" s="698">
        <f t="shared" ca="1" si="86"/>
        <v>49</v>
      </c>
      <c r="Z97" s="698">
        <f t="shared" ca="1" si="87"/>
        <v>8</v>
      </c>
      <c r="AA97" s="698">
        <f t="shared" ca="1" si="88"/>
        <v>3</v>
      </c>
      <c r="AB97" s="698">
        <f t="shared" ca="1" si="89"/>
        <v>10</v>
      </c>
      <c r="AC97" s="55"/>
      <c r="AD97" s="81">
        <v>2030</v>
      </c>
      <c r="AE97" s="81"/>
      <c r="AF97" s="700"/>
    </row>
    <row r="98" spans="2:32">
      <c r="B98" s="357" t="s">
        <v>1008</v>
      </c>
      <c r="C98" s="55"/>
      <c r="D98" s="261"/>
      <c r="E98" s="261"/>
      <c r="F98" s="224" t="s">
        <v>1149</v>
      </c>
      <c r="G98" s="55"/>
      <c r="H98" s="174"/>
      <c r="I98" s="174" t="str">
        <f t="shared" si="38"/>
        <v>INDGWH</v>
      </c>
      <c r="J98" s="224">
        <f t="shared" si="32"/>
        <v>2050</v>
      </c>
      <c r="K98" s="81"/>
      <c r="L98" s="199">
        <f t="shared" ca="1" si="81"/>
        <v>1.1618960947726835</v>
      </c>
      <c r="M98" s="199"/>
      <c r="N98" s="81"/>
      <c r="O98" s="723">
        <f t="shared" ca="1" si="82"/>
        <v>4.3955000000000002</v>
      </c>
      <c r="P98" s="723">
        <f t="shared" ca="1" si="83"/>
        <v>0.25106499999999998</v>
      </c>
      <c r="Q98" s="81">
        <f t="shared" ca="1" si="84"/>
        <v>5.8937777777777782</v>
      </c>
      <c r="R98" s="300"/>
      <c r="S98" s="300"/>
      <c r="T98" s="300"/>
      <c r="U98" s="300"/>
      <c r="V98" s="199">
        <f t="shared" ref="V98" ca="1" si="91">IF(IF(RIGHT(H96,2)="PH",(1-L98)+$W$2,IF(RIGHT(H96,2)="HT",(1-L98)+$W$1,IF(RIGHT(H96,2)="SH",(1-L98)+$W$3,"")))&gt;0,IF(RIGHT(H96,2)="PH",(1-L98)+$W$2,IF(RIGHT(H96,2)="HT",(1-L98)+$W$1,IF(RIGHT(H96,2)="SH",(1-L98)+$W$3,""))),0)</f>
        <v>3.8103905227316492E-2</v>
      </c>
      <c r="W98" s="298"/>
      <c r="X98" s="698">
        <f t="shared" ca="1" si="80"/>
        <v>11</v>
      </c>
      <c r="Y98" s="698">
        <f t="shared" ca="1" si="86"/>
        <v>41</v>
      </c>
      <c r="Z98" s="698">
        <f t="shared" ca="1" si="87"/>
        <v>4</v>
      </c>
      <c r="AA98" s="698">
        <f t="shared" ca="1" si="88"/>
        <v>1</v>
      </c>
      <c r="AB98" s="698">
        <f t="shared" ca="1" si="89"/>
        <v>10</v>
      </c>
      <c r="AC98" s="203"/>
      <c r="AD98" s="81">
        <v>2050</v>
      </c>
      <c r="AE98" s="81"/>
      <c r="AF98" s="705"/>
    </row>
    <row r="99" spans="2:32">
      <c r="B99" s="357" t="s">
        <v>1008</v>
      </c>
      <c r="C99" s="55"/>
      <c r="D99" s="261" t="str">
        <f>"IND"&amp;RIGHT(H99,4)&amp;RIGHT(G99,3)&amp;"N"&amp;RIGHT(E99,1)</f>
        <v>INDGDSHWCHN2</v>
      </c>
      <c r="E99" s="261" t="str">
        <f>"Industrial heating technology "&amp;$AJ$12&amp;" "&amp;RIGHT(H99,2)&amp;" - Wood chip boiler (Steam - condensing) - new 2"</f>
        <v>Industrial heating technology Glass &amp; Concrete SH - Wood chip boiler (Steam - condensing) - new 2</v>
      </c>
      <c r="F99" s="224" t="s">
        <v>1149</v>
      </c>
      <c r="G99" s="174" t="s">
        <v>498</v>
      </c>
      <c r="H99" s="174" t="str">
        <f>$AI$15</f>
        <v>IGDSH</v>
      </c>
      <c r="I99" s="174" t="str">
        <f t="shared" si="38"/>
        <v>INDGWH</v>
      </c>
      <c r="J99" s="224">
        <f t="shared" si="32"/>
        <v>2011</v>
      </c>
      <c r="K99" s="299">
        <v>2025</v>
      </c>
      <c r="L99" s="199">
        <f t="shared" ca="1" si="81"/>
        <v>1.1618960947726835</v>
      </c>
      <c r="M99" s="199"/>
      <c r="N99" s="81">
        <f ca="1">VLOOKUP($AD99,INDIRECT("'"&amp;$B99&amp;"'!"&amp;"$P$118:$AD$121"),5,FALSE)</f>
        <v>25</v>
      </c>
      <c r="O99" s="723">
        <f t="shared" ca="1" si="82"/>
        <v>5.0660000000000007</v>
      </c>
      <c r="P99" s="723">
        <f t="shared" ca="1" si="83"/>
        <v>0.27564999999999995</v>
      </c>
      <c r="Q99" s="81">
        <f t="shared" ca="1" si="84"/>
        <v>5.7509861111111107</v>
      </c>
      <c r="R99" s="81">
        <v>3.1536000000000002E-2</v>
      </c>
      <c r="S99" s="199">
        <v>0.5</v>
      </c>
      <c r="T99" s="199">
        <f ca="1">HLOOKUP($T$2,INDIRECT("'"&amp;$B99&amp;"'!"&amp;"$P$85:$AC$98"),IF(H99=$AI$13,6,IF(H99=$AI$14,9,14)),FALSE)</f>
        <v>0</v>
      </c>
      <c r="U99" s="772"/>
      <c r="V99" s="199">
        <f t="shared" ref="V99" ca="1" si="92">IF(IF(RIGHT(H99,2)="PH",(1-L99)+$W$2,IF(RIGHT(H99,2)="HT",(1-L99)+$W$1,IF(RIGHT(H99,2)="SH",(1-L99)+$W$3,"")))&gt;0,IF(RIGHT(H99,2)="PH",(1-L99)+$W$2,IF(RIGHT(H99,2)="HT",(1-L99)+$W$1,IF(RIGHT(H99,2)="SH",(1-L99)+$W$3,""))),0)</f>
        <v>0</v>
      </c>
      <c r="W99" s="298"/>
      <c r="X99" s="698">
        <f t="shared" ca="1" si="80"/>
        <v>11</v>
      </c>
      <c r="Y99" s="698">
        <f t="shared" ca="1" si="86"/>
        <v>63</v>
      </c>
      <c r="Z99" s="698">
        <f t="shared" ca="1" si="87"/>
        <v>11</v>
      </c>
      <c r="AA99" s="698">
        <f t="shared" ca="1" si="88"/>
        <v>3</v>
      </c>
      <c r="AB99" s="698">
        <f t="shared" ca="1" si="89"/>
        <v>10</v>
      </c>
      <c r="AC99" s="296"/>
      <c r="AD99" s="81">
        <v>2020</v>
      </c>
      <c r="AE99" s="81"/>
      <c r="AF99" s="710"/>
    </row>
    <row r="100" spans="2:32">
      <c r="B100" s="357" t="s">
        <v>1008</v>
      </c>
      <c r="C100" s="55"/>
      <c r="D100" s="261"/>
      <c r="E100" s="261"/>
      <c r="F100" s="224" t="s">
        <v>1149</v>
      </c>
      <c r="G100" s="55"/>
      <c r="H100" s="174"/>
      <c r="I100" s="174" t="str">
        <f t="shared" si="38"/>
        <v>INDGWH</v>
      </c>
      <c r="J100" s="224">
        <f t="shared" si="32"/>
        <v>2030</v>
      </c>
      <c r="K100" s="81"/>
      <c r="L100" s="199">
        <f t="shared" ca="1" si="81"/>
        <v>1.1618960947726835</v>
      </c>
      <c r="M100" s="199"/>
      <c r="N100" s="81"/>
      <c r="O100" s="723">
        <f t="shared" ca="1" si="82"/>
        <v>4.8425000000000002</v>
      </c>
      <c r="P100" s="723">
        <f t="shared" ca="1" si="83"/>
        <v>0.267455</v>
      </c>
      <c r="Q100" s="81">
        <f t="shared" ca="1" si="84"/>
        <v>5.8461805555555557</v>
      </c>
      <c r="R100" s="300"/>
      <c r="S100" s="300"/>
      <c r="T100" s="300"/>
      <c r="U100" s="300"/>
      <c r="V100" s="199">
        <f t="shared" ref="V100" ca="1" si="93">IF(IF(RIGHT(H99,2)="PH",(1-L100)+$W$2,IF(RIGHT(H99,2)="HT",(1-L100)+$W$1,IF(RIGHT(H99,2)="SH",(1-L100)+$W$3,"")))&gt;0,IF(RIGHT(H99,2)="PH",(1-L100)+$W$2,IF(RIGHT(H99,2)="HT",(1-L100)+$W$1,IF(RIGHT(H99,2)="SH",(1-L100)+$W$3,""))),0)</f>
        <v>0</v>
      </c>
      <c r="W100" s="298"/>
      <c r="X100" s="698">
        <f t="shared" ca="1" si="80"/>
        <v>11</v>
      </c>
      <c r="Y100" s="698">
        <f t="shared" ca="1" si="86"/>
        <v>49</v>
      </c>
      <c r="Z100" s="698">
        <f t="shared" ca="1" si="87"/>
        <v>8</v>
      </c>
      <c r="AA100" s="698">
        <f t="shared" ca="1" si="88"/>
        <v>3</v>
      </c>
      <c r="AB100" s="698">
        <f t="shared" ca="1" si="89"/>
        <v>10</v>
      </c>
      <c r="AC100" s="55"/>
      <c r="AD100" s="81">
        <v>2030</v>
      </c>
      <c r="AE100" s="81"/>
      <c r="AF100" s="700"/>
    </row>
    <row r="101" spans="2:32">
      <c r="B101" s="356" t="s">
        <v>1008</v>
      </c>
      <c r="C101" s="203"/>
      <c r="D101" s="701"/>
      <c r="E101" s="701"/>
      <c r="F101" s="224" t="s">
        <v>1149</v>
      </c>
      <c r="G101" s="203"/>
      <c r="H101" s="702"/>
      <c r="I101" s="702" t="str">
        <f t="shared" si="38"/>
        <v>INDGWH</v>
      </c>
      <c r="J101" s="224">
        <f t="shared" si="32"/>
        <v>2050</v>
      </c>
      <c r="K101" s="81"/>
      <c r="L101" s="199">
        <f t="shared" ca="1" si="81"/>
        <v>1.1618960947726835</v>
      </c>
      <c r="M101" s="199"/>
      <c r="N101" s="81"/>
      <c r="O101" s="723">
        <f t="shared" ca="1" si="82"/>
        <v>4.3955000000000002</v>
      </c>
      <c r="P101" s="723">
        <f t="shared" ca="1" si="83"/>
        <v>0.25106499999999998</v>
      </c>
      <c r="Q101" s="81">
        <f t="shared" ca="1" si="84"/>
        <v>5.8937777777777782</v>
      </c>
      <c r="R101" s="703"/>
      <c r="S101" s="703"/>
      <c r="T101" s="703"/>
      <c r="U101" s="703"/>
      <c r="V101" s="199">
        <f t="shared" ref="V101" ca="1" si="94">IF(IF(RIGHT(H99,2)="PH",(1-L101)+$W$2,IF(RIGHT(H99,2)="HT",(1-L101)+$W$1,IF(RIGHT(H99,2)="SH",(1-L101)+$W$3,"")))&gt;0,IF(RIGHT(H99,2)="PH",(1-L101)+$W$2,IF(RIGHT(H99,2)="HT",(1-L101)+$W$1,IF(RIGHT(H99,2)="SH",(1-L101)+$W$3,""))),0)</f>
        <v>0</v>
      </c>
      <c r="W101" s="704"/>
      <c r="X101" s="698">
        <f t="shared" ca="1" si="80"/>
        <v>11</v>
      </c>
      <c r="Y101" s="698">
        <f t="shared" ca="1" si="86"/>
        <v>41</v>
      </c>
      <c r="Z101" s="698">
        <f t="shared" ca="1" si="87"/>
        <v>4</v>
      </c>
      <c r="AA101" s="698">
        <f t="shared" ca="1" si="88"/>
        <v>1</v>
      </c>
      <c r="AB101" s="698">
        <f t="shared" ca="1" si="89"/>
        <v>10</v>
      </c>
      <c r="AC101" s="55"/>
      <c r="AD101" s="81">
        <v>2050</v>
      </c>
      <c r="AE101" s="81"/>
      <c r="AF101" s="700"/>
    </row>
    <row r="102" spans="2:32">
      <c r="B102" s="717" t="s">
        <v>1008</v>
      </c>
      <c r="C102" s="712"/>
      <c r="D102" s="707" t="str">
        <f>"IND"&amp;RIGHT(H102,4)&amp;RIGHT(G102,3)&amp;"N"&amp;RIGHT(E102,1)</f>
        <v>INDGDPHWCHN3</v>
      </c>
      <c r="E102" s="707" t="str">
        <f>"Industrial heating technology "&amp;$AJ$12&amp;" "&amp;RIGHT(H102,2)&amp;" - Wood chip boiler (Hot Water) - new 3"</f>
        <v>Industrial heating technology Glass &amp; Concrete PH - Wood chip boiler (Hot Water) - new 3</v>
      </c>
      <c r="F102" s="224" t="s">
        <v>1149</v>
      </c>
      <c r="G102" s="708" t="s">
        <v>498</v>
      </c>
      <c r="H102" s="708" t="str">
        <f>$AI$14</f>
        <v>IGDPH</v>
      </c>
      <c r="I102" s="708" t="str">
        <f t="shared" si="38"/>
        <v>INDGWH</v>
      </c>
      <c r="J102" s="224">
        <f t="shared" si="32"/>
        <v>2011</v>
      </c>
      <c r="K102" s="299">
        <v>2025</v>
      </c>
      <c r="L102" s="199">
        <f t="shared" ref="L102:L107" ca="1" si="95">VLOOKUP($AD102,INDIRECT("'"&amp;$B102&amp;"'!"&amp;"$P$200:$AD$203"),3,FALSE)</f>
        <v>0.9</v>
      </c>
      <c r="M102" s="199"/>
      <c r="N102" s="81">
        <f ca="1">VLOOKUP($AD102,INDIRECT("'"&amp;$B102&amp;"'!"&amp;"$P$200:$AD$203"),5,FALSE)</f>
        <v>25</v>
      </c>
      <c r="O102" s="723">
        <f t="shared" ref="O102:O107" ca="1" si="96">VLOOKUP($AD102,INDIRECT("'"&amp;$B102&amp;"'!"&amp;"$P$200:$AD$203"),6,FALSE)/1000</f>
        <v>4.6054545454545437</v>
      </c>
      <c r="P102" s="723">
        <f t="shared" ref="P102:P107" ca="1" si="97">VLOOKUP($AD102,INDIRECT("'"&amp;$B102&amp;"'!"&amp;"$P$200:$AD$203"),7,FALSE)/1000</f>
        <v>0.25106499999999998</v>
      </c>
      <c r="Q102" s="81">
        <f t="shared" ref="Q102:Q107" ca="1" si="98">VLOOKUP($AD102,INDIRECT("'"&amp;$B102&amp;"'!"&amp;"$P$200:$AD$203"),8,FALSE)</f>
        <v>5.7509861111111107</v>
      </c>
      <c r="R102" s="81">
        <v>3.1536000000000002E-2</v>
      </c>
      <c r="S102" s="199">
        <v>0.5</v>
      </c>
      <c r="T102" s="199">
        <f ca="1">HLOOKUP($T$2,INDIRECT("'"&amp;$B102&amp;"'!"&amp;"$P$167:$AC$180"),IF(H102=$AI$13,6,IF(H102=$AI$14,9,14)),FALSE)</f>
        <v>0</v>
      </c>
      <c r="U102" s="773"/>
      <c r="V102" s="199">
        <f t="shared" ref="V102" ca="1" si="99">IF(IF(RIGHT(H102,2)="PH",(1-L102)+$W$2,IF(RIGHT(H102,2)="HT",(1-L102)+$W$1,IF(RIGHT(H102,2)="SH",(1-L102)+$W$3,"")))&gt;0,IF(RIGHT(H102,2)="PH",(1-L102)+$W$2,IF(RIGHT(H102,2)="HT",(1-L102)+$W$1,IF(RIGHT(H102,2)="SH",(1-L102)+$W$3,""))),0)</f>
        <v>0.3</v>
      </c>
      <c r="W102" s="709"/>
      <c r="X102" s="698">
        <f t="shared" ca="1" si="80"/>
        <v>11</v>
      </c>
      <c r="Y102" s="698">
        <f t="shared" ref="Y102:Y107" ca="1" si="100">VLOOKUP($AD102,INDIRECT("'"&amp;$B102&amp;"'!"&amp;"$P$200:$AD$203"),12,FALSE)</f>
        <v>63</v>
      </c>
      <c r="Z102" s="698">
        <f t="shared" ref="Z102:Z107" ca="1" si="101">VLOOKUP($AD102,INDIRECT("'"&amp;$B102&amp;"'!"&amp;"$P$200:$AD$203"),13,FALSE)</f>
        <v>11</v>
      </c>
      <c r="AA102" s="698">
        <f t="shared" ref="AA102:AA107" ca="1" si="102">VLOOKUP($AD102,INDIRECT("'"&amp;$B102&amp;"'!"&amp;"$P$200:$AD$203"),14,FALSE)</f>
        <v>3</v>
      </c>
      <c r="AB102" s="698">
        <f t="shared" ref="AB102:AB107" ca="1" si="103">VLOOKUP($AD102,INDIRECT("'"&amp;$B102&amp;"'!"&amp;"$P$200:$AD$203"),15,FALSE)</f>
        <v>10</v>
      </c>
      <c r="AC102" s="55"/>
      <c r="AD102" s="81">
        <v>2020</v>
      </c>
      <c r="AE102" s="81"/>
      <c r="AF102" s="700"/>
    </row>
    <row r="103" spans="2:32">
      <c r="B103" s="718" t="s">
        <v>1008</v>
      </c>
      <c r="C103" s="226"/>
      <c r="D103" s="261"/>
      <c r="E103" s="261"/>
      <c r="F103" s="224" t="s">
        <v>1149</v>
      </c>
      <c r="G103" s="55"/>
      <c r="H103" s="174"/>
      <c r="I103" s="174" t="str">
        <f t="shared" si="38"/>
        <v>INDGWH</v>
      </c>
      <c r="J103" s="224">
        <f t="shared" si="32"/>
        <v>2030</v>
      </c>
      <c r="K103" s="81"/>
      <c r="L103" s="199">
        <f t="shared" ca="1" si="95"/>
        <v>0.9</v>
      </c>
      <c r="M103" s="199"/>
      <c r="N103" s="81"/>
      <c r="O103" s="723">
        <f t="shared" ca="1" si="96"/>
        <v>4.4022727272727282</v>
      </c>
      <c r="P103" s="723">
        <f t="shared" ca="1" si="97"/>
        <v>0.267455</v>
      </c>
      <c r="Q103" s="81">
        <f t="shared" ca="1" si="98"/>
        <v>5.8461805555555557</v>
      </c>
      <c r="R103" s="300"/>
      <c r="S103" s="300"/>
      <c r="T103" s="300"/>
      <c r="U103" s="300"/>
      <c r="V103" s="199">
        <f t="shared" ref="V103" ca="1" si="104">IF(IF(RIGHT(H102,2)="PH",(1-L103)+$W$2,IF(RIGHT(H102,2)="HT",(1-L103)+$W$1,IF(RIGHT(H102,2)="SH",(1-L103)+$W$3,"")))&gt;0,IF(RIGHT(H102,2)="PH",(1-L103)+$W$2,IF(RIGHT(H102,2)="HT",(1-L103)+$W$1,IF(RIGHT(H102,2)="SH",(1-L103)+$W$3,""))),0)</f>
        <v>0.3</v>
      </c>
      <c r="W103" s="298"/>
      <c r="X103" s="698">
        <f t="shared" ca="1" si="80"/>
        <v>11</v>
      </c>
      <c r="Y103" s="698">
        <f t="shared" ca="1" si="100"/>
        <v>49</v>
      </c>
      <c r="Z103" s="698">
        <f t="shared" ca="1" si="101"/>
        <v>8</v>
      </c>
      <c r="AA103" s="698">
        <f t="shared" ca="1" si="102"/>
        <v>3</v>
      </c>
      <c r="AB103" s="698">
        <f t="shared" ca="1" si="103"/>
        <v>10</v>
      </c>
      <c r="AC103" s="55"/>
      <c r="AD103" s="81">
        <v>2030</v>
      </c>
      <c r="AE103" s="81"/>
      <c r="AF103" s="700"/>
    </row>
    <row r="104" spans="2:32">
      <c r="B104" s="718" t="s">
        <v>1008</v>
      </c>
      <c r="C104" s="226"/>
      <c r="D104" s="261"/>
      <c r="E104" s="261"/>
      <c r="F104" s="224" t="s">
        <v>1149</v>
      </c>
      <c r="G104" s="55"/>
      <c r="H104" s="174"/>
      <c r="I104" s="174" t="str">
        <f t="shared" si="38"/>
        <v>INDGWH</v>
      </c>
      <c r="J104" s="224">
        <f t="shared" si="32"/>
        <v>2050</v>
      </c>
      <c r="K104" s="81"/>
      <c r="L104" s="199">
        <f t="shared" ca="1" si="95"/>
        <v>0.91</v>
      </c>
      <c r="M104" s="199"/>
      <c r="N104" s="81"/>
      <c r="O104" s="723">
        <f t="shared" ca="1" si="96"/>
        <v>3.9959090909090884</v>
      </c>
      <c r="P104" s="723">
        <f t="shared" ca="1" si="97"/>
        <v>0.25106499999999998</v>
      </c>
      <c r="Q104" s="81">
        <f t="shared" ca="1" si="98"/>
        <v>5.8937777777777782</v>
      </c>
      <c r="R104" s="300"/>
      <c r="S104" s="300"/>
      <c r="T104" s="300"/>
      <c r="U104" s="300"/>
      <c r="V104" s="199">
        <f t="shared" ref="V104" ca="1" si="105">IF(IF(RIGHT(H102,2)="PH",(1-L104)+$W$2,IF(RIGHT(H102,2)="HT",(1-L104)+$W$1,IF(RIGHT(H102,2)="SH",(1-L104)+$W$3,"")))&gt;0,IF(RIGHT(H102,2)="PH",(1-L104)+$W$2,IF(RIGHT(H102,2)="HT",(1-L104)+$W$1,IF(RIGHT(H102,2)="SH",(1-L104)+$W$3,""))),0)</f>
        <v>0.28999999999999998</v>
      </c>
      <c r="W104" s="298"/>
      <c r="X104" s="698">
        <f t="shared" ca="1" si="80"/>
        <v>11</v>
      </c>
      <c r="Y104" s="698">
        <f t="shared" ca="1" si="100"/>
        <v>41</v>
      </c>
      <c r="Z104" s="698">
        <f t="shared" ca="1" si="101"/>
        <v>4</v>
      </c>
      <c r="AA104" s="698">
        <f t="shared" ca="1" si="102"/>
        <v>1</v>
      </c>
      <c r="AB104" s="698">
        <f t="shared" ca="1" si="103"/>
        <v>10</v>
      </c>
      <c r="AC104" s="203"/>
      <c r="AD104" s="81">
        <v>2050</v>
      </c>
      <c r="AE104" s="81"/>
      <c r="AF104" s="705"/>
    </row>
    <row r="105" spans="2:32">
      <c r="B105" s="718" t="s">
        <v>1008</v>
      </c>
      <c r="C105" s="226"/>
      <c r="D105" s="261" t="str">
        <f>"IND"&amp;RIGHT(H105,4)&amp;RIGHT(G105,3)&amp;"N"&amp;RIGHT(E105,1)</f>
        <v>INDGDSHWCHN3</v>
      </c>
      <c r="E105" s="261" t="str">
        <f>"Industrial heating technology "&amp;$AJ$12&amp;" "&amp;RIGHT(H105,2)&amp;" - Wood chip boiler (Hot Water) - new 3"</f>
        <v>Industrial heating technology Glass &amp; Concrete SH - Wood chip boiler (Hot Water) - new 3</v>
      </c>
      <c r="F105" s="224" t="s">
        <v>1149</v>
      </c>
      <c r="G105" s="174" t="s">
        <v>498</v>
      </c>
      <c r="H105" s="174" t="str">
        <f>$AI$15</f>
        <v>IGDSH</v>
      </c>
      <c r="I105" s="174" t="str">
        <f t="shared" si="38"/>
        <v>INDGWH</v>
      </c>
      <c r="J105" s="224">
        <f t="shared" si="32"/>
        <v>2011</v>
      </c>
      <c r="K105" s="299">
        <v>2025</v>
      </c>
      <c r="L105" s="199">
        <f t="shared" ca="1" si="95"/>
        <v>0.9</v>
      </c>
      <c r="M105" s="199"/>
      <c r="N105" s="81">
        <f ca="1">VLOOKUP($AD105,INDIRECT("'"&amp;$B105&amp;"'!"&amp;"$P$200:$AD$203"),5,FALSE)</f>
        <v>25</v>
      </c>
      <c r="O105" s="723">
        <f t="shared" ca="1" si="96"/>
        <v>4.6054545454545437</v>
      </c>
      <c r="P105" s="723">
        <f t="shared" ca="1" si="97"/>
        <v>0.25106499999999998</v>
      </c>
      <c r="Q105" s="81">
        <f t="shared" ca="1" si="98"/>
        <v>5.7509861111111107</v>
      </c>
      <c r="R105" s="81">
        <v>3.1536000000000002E-2</v>
      </c>
      <c r="S105" s="199">
        <v>0.5</v>
      </c>
      <c r="T105" s="199">
        <f ca="1">HLOOKUP($T$2,INDIRECT("'"&amp;$B105&amp;"'!"&amp;"$P$167:$AC$180"),IF(H105=$AI$13,6,IF(H105=$AI$14,9,14)),FALSE)</f>
        <v>1</v>
      </c>
      <c r="U105" s="773"/>
      <c r="V105" s="199">
        <f t="shared" ref="V105" ca="1" si="106">IF(IF(RIGHT(H105,2)="PH",(1-L105)+$W$2,IF(RIGHT(H105,2)="HT",(1-L105)+$W$1,IF(RIGHT(H105,2)="SH",(1-L105)+$W$3,"")))&gt;0,IF(RIGHT(H105,2)="PH",(1-L105)+$W$2,IF(RIGHT(H105,2)="HT",(1-L105)+$W$1,IF(RIGHT(H105,2)="SH",(1-L105)+$W$3,""))),0)</f>
        <v>9.9999999999999978E-2</v>
      </c>
      <c r="W105" s="709"/>
      <c r="X105" s="698">
        <f t="shared" ca="1" si="80"/>
        <v>11</v>
      </c>
      <c r="Y105" s="698">
        <f t="shared" ca="1" si="100"/>
        <v>63</v>
      </c>
      <c r="Z105" s="698">
        <f t="shared" ca="1" si="101"/>
        <v>11</v>
      </c>
      <c r="AA105" s="698">
        <f t="shared" ca="1" si="102"/>
        <v>3</v>
      </c>
      <c r="AB105" s="698">
        <f t="shared" ca="1" si="103"/>
        <v>10</v>
      </c>
      <c r="AC105" s="296"/>
      <c r="AD105" s="81">
        <v>2020</v>
      </c>
      <c r="AE105" s="81"/>
      <c r="AF105" s="710"/>
    </row>
    <row r="106" spans="2:32">
      <c r="B106" s="718" t="s">
        <v>1008</v>
      </c>
      <c r="C106" s="226"/>
      <c r="D106" s="261"/>
      <c r="E106" s="261"/>
      <c r="F106" s="224" t="s">
        <v>1149</v>
      </c>
      <c r="G106" s="55"/>
      <c r="H106" s="174"/>
      <c r="I106" s="174" t="str">
        <f t="shared" si="38"/>
        <v>INDGWH</v>
      </c>
      <c r="J106" s="224">
        <f t="shared" si="32"/>
        <v>2030</v>
      </c>
      <c r="K106" s="81"/>
      <c r="L106" s="199">
        <f t="shared" ca="1" si="95"/>
        <v>0.9</v>
      </c>
      <c r="M106" s="199"/>
      <c r="N106" s="81"/>
      <c r="O106" s="723">
        <f t="shared" ca="1" si="96"/>
        <v>4.4022727272727282</v>
      </c>
      <c r="P106" s="723">
        <f t="shared" ca="1" si="97"/>
        <v>0.267455</v>
      </c>
      <c r="Q106" s="81">
        <f t="shared" ca="1" si="98"/>
        <v>5.8461805555555557</v>
      </c>
      <c r="R106" s="300"/>
      <c r="S106" s="300"/>
      <c r="T106" s="300"/>
      <c r="U106" s="300"/>
      <c r="V106" s="199">
        <f t="shared" ref="V106" ca="1" si="107">IF(IF(RIGHT(H105,2)="PH",(1-L106)+$W$2,IF(RIGHT(H105,2)="HT",(1-L106)+$W$1,IF(RIGHT(H105,2)="SH",(1-L106)+$W$3,"")))&gt;0,IF(RIGHT(H105,2)="PH",(1-L106)+$W$2,IF(RIGHT(H105,2)="HT",(1-L106)+$W$1,IF(RIGHT(H105,2)="SH",(1-L106)+$W$3,""))),0)</f>
        <v>9.9999999999999978E-2</v>
      </c>
      <c r="W106" s="298"/>
      <c r="X106" s="698">
        <f t="shared" ca="1" si="80"/>
        <v>11</v>
      </c>
      <c r="Y106" s="698">
        <f t="shared" ca="1" si="100"/>
        <v>49</v>
      </c>
      <c r="Z106" s="698">
        <f t="shared" ca="1" si="101"/>
        <v>8</v>
      </c>
      <c r="AA106" s="698">
        <f t="shared" ca="1" si="102"/>
        <v>3</v>
      </c>
      <c r="AB106" s="698">
        <f t="shared" ca="1" si="103"/>
        <v>10</v>
      </c>
      <c r="AC106" s="55"/>
      <c r="AD106" s="81">
        <v>2030</v>
      </c>
      <c r="AE106" s="81"/>
      <c r="AF106" s="700"/>
    </row>
    <row r="107" spans="2:32">
      <c r="B107" s="719" t="s">
        <v>1008</v>
      </c>
      <c r="C107" s="713"/>
      <c r="D107" s="701"/>
      <c r="E107" s="701"/>
      <c r="F107" s="224" t="s">
        <v>1149</v>
      </c>
      <c r="G107" s="203"/>
      <c r="H107" s="702"/>
      <c r="I107" s="702" t="str">
        <f t="shared" si="38"/>
        <v>INDGWH</v>
      </c>
      <c r="J107" s="224">
        <f t="shared" si="32"/>
        <v>2050</v>
      </c>
      <c r="K107" s="81"/>
      <c r="L107" s="199">
        <f t="shared" ca="1" si="95"/>
        <v>0.91</v>
      </c>
      <c r="M107" s="199"/>
      <c r="N107" s="81"/>
      <c r="O107" s="723">
        <f t="shared" ca="1" si="96"/>
        <v>3.9959090909090884</v>
      </c>
      <c r="P107" s="723">
        <f t="shared" ca="1" si="97"/>
        <v>0.25106499999999998</v>
      </c>
      <c r="Q107" s="81">
        <f t="shared" ca="1" si="98"/>
        <v>5.8937777777777782</v>
      </c>
      <c r="R107" s="300"/>
      <c r="S107" s="300"/>
      <c r="T107" s="300"/>
      <c r="U107" s="300"/>
      <c r="V107" s="199">
        <f t="shared" ref="V107" ca="1" si="108">IF(IF(RIGHT(H105,2)="PH",(1-L107)+$W$2,IF(RIGHT(H105,2)="HT",(1-L107)+$W$1,IF(RIGHT(H105,2)="SH",(1-L107)+$W$3,"")))&gt;0,IF(RIGHT(H105,2)="PH",(1-L107)+$W$2,IF(RIGHT(H105,2)="HT",(1-L107)+$W$1,IF(RIGHT(H105,2)="SH",(1-L107)+$W$3,""))),0)</f>
        <v>8.9999999999999969E-2</v>
      </c>
      <c r="W107" s="298"/>
      <c r="X107" s="698">
        <f t="shared" ca="1" si="80"/>
        <v>11</v>
      </c>
      <c r="Y107" s="698">
        <f t="shared" ca="1" si="100"/>
        <v>41</v>
      </c>
      <c r="Z107" s="698">
        <f t="shared" ca="1" si="101"/>
        <v>4</v>
      </c>
      <c r="AA107" s="698">
        <f t="shared" ca="1" si="102"/>
        <v>1</v>
      </c>
      <c r="AB107" s="698">
        <f t="shared" ca="1" si="103"/>
        <v>10</v>
      </c>
      <c r="AC107" s="55"/>
      <c r="AD107" s="81">
        <v>2050</v>
      </c>
      <c r="AE107" s="81"/>
      <c r="AF107" s="700"/>
    </row>
    <row r="108" spans="2:32">
      <c r="B108" s="717" t="s">
        <v>1008</v>
      </c>
      <c r="C108" s="712"/>
      <c r="D108" s="707" t="str">
        <f>"IND"&amp;RIGHT(H108,4)&amp;RIGHT(G108,3)&amp;"N"&amp;RIGHT(E108,1)</f>
        <v>INDGDPHWCHN4</v>
      </c>
      <c r="E108" s="707" t="str">
        <f>"Industrial heating technology "&amp;$AJ$12&amp;" "&amp;RIGHT(H108,2)&amp;" - Wood chip boiler (Hot Water - condensing) - new 4"</f>
        <v>Industrial heating technology Glass &amp; Concrete PH - Wood chip boiler (Hot Water - condensing) - new 4</v>
      </c>
      <c r="F108" s="224" t="s">
        <v>1149</v>
      </c>
      <c r="G108" s="708" t="s">
        <v>498</v>
      </c>
      <c r="H108" s="708" t="str">
        <f>$AI$14</f>
        <v>IGDPH</v>
      </c>
      <c r="I108" s="708" t="str">
        <f t="shared" si="38"/>
        <v>INDGWH</v>
      </c>
      <c r="J108" s="224">
        <f t="shared" si="32"/>
        <v>2011</v>
      </c>
      <c r="K108" s="299">
        <v>2025</v>
      </c>
      <c r="L108" s="199">
        <f t="shared" ref="L108:L113" ca="1" si="109">VLOOKUP($AD108,INDIRECT("'"&amp;$B108&amp;"'!"&amp;"$P$279:$AD$282"),3,FALSE)</f>
        <v>1.1618960947726835</v>
      </c>
      <c r="M108" s="199"/>
      <c r="N108" s="81">
        <f ca="1">VLOOKUP($AD108,INDIRECT("'"&amp;$B108&amp;"'!"&amp;"$P$279:$AD$282"),5,FALSE)</f>
        <v>25</v>
      </c>
      <c r="O108" s="723">
        <f t="shared" ref="O108:O113" ca="1" si="110">VLOOKUP($AD108,INDIRECT("'"&amp;$B108&amp;"'!"&amp;"$P$279:$AD$282"),6,FALSE)/1000</f>
        <v>5.0660000000000007</v>
      </c>
      <c r="P108" s="723">
        <f t="shared" ref="P108:P113" ca="1" si="111">VLOOKUP($AD108,INDIRECT("'"&amp;$B108&amp;"'!"&amp;"$P$279:$AD$282"),7,FALSE)/1000</f>
        <v>0.27564999999999995</v>
      </c>
      <c r="Q108" s="81">
        <f t="shared" ref="Q108:Q113" ca="1" si="112">VLOOKUP($AD108,INDIRECT("'"&amp;$B108&amp;"'!"&amp;"$P$279:$AD$282"),8,FALSE)</f>
        <v>5.7509861111111107</v>
      </c>
      <c r="R108" s="81">
        <v>3.1536000000000002E-2</v>
      </c>
      <c r="S108" s="199">
        <v>0.5</v>
      </c>
      <c r="T108" s="199">
        <f ca="1">HLOOKUP($T$2,INDIRECT("'"&amp;$B108&amp;"'!"&amp;"$P$246:$AC$259"),IF(H108=$AI$13,6,IF(H108=$AI$14,9,14)),FALSE)</f>
        <v>0</v>
      </c>
      <c r="U108" s="773"/>
      <c r="V108" s="199">
        <f t="shared" ref="V108" ca="1" si="113">IF(IF(RIGHT(H108,2)="PH",(1-L108)+$W$2,IF(RIGHT(H108,2)="HT",(1-L108)+$W$1,IF(RIGHT(H108,2)="SH",(1-L108)+$W$3,"")))&gt;0,IF(RIGHT(H108,2)="PH",(1-L108)+$W$2,IF(RIGHT(H108,2)="HT",(1-L108)+$W$1,IF(RIGHT(H108,2)="SH",(1-L108)+$W$3,""))),0)</f>
        <v>3.8103905227316492E-2</v>
      </c>
      <c r="W108" s="709"/>
      <c r="X108" s="698">
        <f t="shared" ca="1" si="80"/>
        <v>11</v>
      </c>
      <c r="Y108" s="698">
        <f t="shared" ref="Y108:Y113" ca="1" si="114">VLOOKUP($AD108,INDIRECT("'"&amp;$B108&amp;"'!"&amp;"$P$279:$AD$282"),12,FALSE)</f>
        <v>63</v>
      </c>
      <c r="Z108" s="698">
        <f t="shared" ref="Z108:Z113" ca="1" si="115">VLOOKUP($AD108,INDIRECT("'"&amp;$B108&amp;"'!"&amp;"$P$279:$AD$282"),13,FALSE)</f>
        <v>11</v>
      </c>
      <c r="AA108" s="698">
        <f t="shared" ref="AA108:AA113" ca="1" si="116">VLOOKUP($AD108,INDIRECT("'"&amp;$B108&amp;"'!"&amp;"$P$279:$AD$282"),14,FALSE)</f>
        <v>3</v>
      </c>
      <c r="AB108" s="698">
        <f t="shared" ref="AB108:AB113" ca="1" si="117">VLOOKUP($AD108,INDIRECT("'"&amp;$B108&amp;"'!"&amp;"$P$279:$AD$282"),15,FALSE)</f>
        <v>10</v>
      </c>
      <c r="AC108" s="55"/>
      <c r="AD108" s="81">
        <v>2020</v>
      </c>
      <c r="AE108" s="81"/>
      <c r="AF108" s="700"/>
    </row>
    <row r="109" spans="2:32">
      <c r="B109" s="718" t="s">
        <v>1008</v>
      </c>
      <c r="C109" s="226"/>
      <c r="D109" s="261"/>
      <c r="E109" s="261"/>
      <c r="F109" s="224" t="s">
        <v>1149</v>
      </c>
      <c r="G109" s="55"/>
      <c r="H109" s="174"/>
      <c r="I109" s="174" t="str">
        <f t="shared" si="38"/>
        <v>INDGWH</v>
      </c>
      <c r="J109" s="224">
        <f t="shared" si="32"/>
        <v>2030</v>
      </c>
      <c r="K109" s="81"/>
      <c r="L109" s="199">
        <f t="shared" ca="1" si="109"/>
        <v>1.1618960947726835</v>
      </c>
      <c r="M109" s="199"/>
      <c r="N109" s="81"/>
      <c r="O109" s="723">
        <f t="shared" ca="1" si="110"/>
        <v>4.8425000000000002</v>
      </c>
      <c r="P109" s="723">
        <f t="shared" ca="1" si="111"/>
        <v>0.267455</v>
      </c>
      <c r="Q109" s="81">
        <f t="shared" ca="1" si="112"/>
        <v>5.8461805555555557</v>
      </c>
      <c r="R109" s="300"/>
      <c r="S109" s="300"/>
      <c r="T109" s="300"/>
      <c r="U109" s="300"/>
      <c r="V109" s="199">
        <f t="shared" ref="V109" ca="1" si="118">IF(IF(RIGHT(H108,2)="PH",(1-L109)+$W$2,IF(RIGHT(H108,2)="HT",(1-L109)+$W$1,IF(RIGHT(H108,2)="SH",(1-L109)+$W$3,"")))&gt;0,IF(RIGHT(H108,2)="PH",(1-L109)+$W$2,IF(RIGHT(H108,2)="HT",(1-L109)+$W$1,IF(RIGHT(H108,2)="SH",(1-L109)+$W$3,""))),0)</f>
        <v>3.8103905227316492E-2</v>
      </c>
      <c r="W109" s="298"/>
      <c r="X109" s="698">
        <f t="shared" ca="1" si="80"/>
        <v>11</v>
      </c>
      <c r="Y109" s="698">
        <f t="shared" ca="1" si="114"/>
        <v>49</v>
      </c>
      <c r="Z109" s="698">
        <f t="shared" ca="1" si="115"/>
        <v>8</v>
      </c>
      <c r="AA109" s="698">
        <f t="shared" ca="1" si="116"/>
        <v>3</v>
      </c>
      <c r="AB109" s="698">
        <f t="shared" ca="1" si="117"/>
        <v>10</v>
      </c>
      <c r="AC109" s="55"/>
      <c r="AD109" s="81">
        <v>2030</v>
      </c>
      <c r="AE109" s="81"/>
      <c r="AF109" s="700"/>
    </row>
    <row r="110" spans="2:32">
      <c r="B110" s="718" t="s">
        <v>1008</v>
      </c>
      <c r="C110" s="226"/>
      <c r="D110" s="261"/>
      <c r="E110" s="261"/>
      <c r="F110" s="224" t="s">
        <v>1149</v>
      </c>
      <c r="G110" s="55"/>
      <c r="H110" s="174"/>
      <c r="I110" s="174" t="str">
        <f t="shared" si="38"/>
        <v>INDGWH</v>
      </c>
      <c r="J110" s="224">
        <f t="shared" si="32"/>
        <v>2050</v>
      </c>
      <c r="K110" s="81"/>
      <c r="L110" s="199">
        <f t="shared" ca="1" si="109"/>
        <v>1.1618960947726835</v>
      </c>
      <c r="M110" s="199"/>
      <c r="N110" s="81"/>
      <c r="O110" s="723">
        <f t="shared" ca="1" si="110"/>
        <v>4.3955000000000002</v>
      </c>
      <c r="P110" s="723">
        <f t="shared" ca="1" si="111"/>
        <v>0.25106499999999998</v>
      </c>
      <c r="Q110" s="81">
        <f t="shared" ca="1" si="112"/>
        <v>5.8937777777777782</v>
      </c>
      <c r="R110" s="300"/>
      <c r="S110" s="300"/>
      <c r="T110" s="300"/>
      <c r="U110" s="300"/>
      <c r="V110" s="199">
        <f t="shared" ref="V110" ca="1" si="119">IF(IF(RIGHT(H108,2)="PH",(1-L110)+$W$2,IF(RIGHT(H108,2)="HT",(1-L110)+$W$1,IF(RIGHT(H108,2)="SH",(1-L110)+$W$3,"")))&gt;0,IF(RIGHT(H108,2)="PH",(1-L110)+$W$2,IF(RIGHT(H108,2)="HT",(1-L110)+$W$1,IF(RIGHT(H108,2)="SH",(1-L110)+$W$3,""))),0)</f>
        <v>3.8103905227316492E-2</v>
      </c>
      <c r="W110" s="298"/>
      <c r="X110" s="698">
        <f t="shared" ca="1" si="80"/>
        <v>11</v>
      </c>
      <c r="Y110" s="698">
        <f t="shared" ca="1" si="114"/>
        <v>41</v>
      </c>
      <c r="Z110" s="698">
        <f t="shared" ca="1" si="115"/>
        <v>4</v>
      </c>
      <c r="AA110" s="698">
        <f t="shared" ca="1" si="116"/>
        <v>1</v>
      </c>
      <c r="AB110" s="698">
        <f t="shared" ca="1" si="117"/>
        <v>10</v>
      </c>
      <c r="AC110" s="203"/>
      <c r="AD110" s="81">
        <v>2050</v>
      </c>
      <c r="AE110" s="81"/>
      <c r="AF110" s="705"/>
    </row>
    <row r="111" spans="2:32">
      <c r="B111" s="718" t="s">
        <v>1008</v>
      </c>
      <c r="C111" s="226"/>
      <c r="D111" s="261" t="str">
        <f>"IND"&amp;RIGHT(H111,4)&amp;RIGHT(G111,3)&amp;"N"&amp;RIGHT(E111,1)</f>
        <v>INDGDSHWCHN4</v>
      </c>
      <c r="E111" s="261" t="str">
        <f>"Industrial heating technology "&amp;$AJ$12&amp;" "&amp;RIGHT(H111,2)&amp;" - Wood chip boiler (Hot Water- condensing) - new 4"</f>
        <v>Industrial heating technology Glass &amp; Concrete SH - Wood chip boiler (Hot Water- condensing) - new 4</v>
      </c>
      <c r="F111" s="224" t="s">
        <v>1149</v>
      </c>
      <c r="G111" s="174" t="s">
        <v>498</v>
      </c>
      <c r="H111" s="174" t="str">
        <f>$AI$15</f>
        <v>IGDSH</v>
      </c>
      <c r="I111" s="174" t="str">
        <f t="shared" si="38"/>
        <v>INDGWH</v>
      </c>
      <c r="J111" s="224">
        <f t="shared" si="32"/>
        <v>2011</v>
      </c>
      <c r="K111" s="299">
        <v>2025</v>
      </c>
      <c r="L111" s="199">
        <f t="shared" ca="1" si="109"/>
        <v>1.1618960947726835</v>
      </c>
      <c r="M111" s="199"/>
      <c r="N111" s="81">
        <f ca="1">VLOOKUP($AD111,INDIRECT("'"&amp;$B111&amp;"'!"&amp;"$P$279:$AD$282"),5,FALSE)</f>
        <v>25</v>
      </c>
      <c r="O111" s="723">
        <f t="shared" ca="1" si="110"/>
        <v>5.0660000000000007</v>
      </c>
      <c r="P111" s="723">
        <f t="shared" ca="1" si="111"/>
        <v>0.27564999999999995</v>
      </c>
      <c r="Q111" s="81">
        <f t="shared" ca="1" si="112"/>
        <v>5.7509861111111107</v>
      </c>
      <c r="R111" s="81">
        <v>3.1536000000000002E-2</v>
      </c>
      <c r="S111" s="199">
        <v>0.5</v>
      </c>
      <c r="T111" s="199">
        <f ca="1">HLOOKUP($T$2,INDIRECT("'"&amp;$B111&amp;"'!"&amp;"$P$246:$AC$259"),IF(H111=$AI$13,6,IF(H111=$AI$14,9,14)),FALSE)</f>
        <v>0</v>
      </c>
      <c r="U111" s="773"/>
      <c r="V111" s="199">
        <f t="shared" ref="V111" ca="1" si="120">IF(IF(RIGHT(H111,2)="PH",(1-L111)+$W$2,IF(RIGHT(H111,2)="HT",(1-L111)+$W$1,IF(RIGHT(H111,2)="SH",(1-L111)+$W$3,"")))&gt;0,IF(RIGHT(H111,2)="PH",(1-L111)+$W$2,IF(RIGHT(H111,2)="HT",(1-L111)+$W$1,IF(RIGHT(H111,2)="SH",(1-L111)+$W$3,""))),0)</f>
        <v>0</v>
      </c>
      <c r="W111" s="709"/>
      <c r="X111" s="698">
        <f t="shared" ca="1" si="80"/>
        <v>11</v>
      </c>
      <c r="Y111" s="698">
        <f t="shared" ca="1" si="114"/>
        <v>63</v>
      </c>
      <c r="Z111" s="698">
        <f t="shared" ca="1" si="115"/>
        <v>11</v>
      </c>
      <c r="AA111" s="698">
        <f t="shared" ca="1" si="116"/>
        <v>3</v>
      </c>
      <c r="AB111" s="698">
        <f t="shared" ca="1" si="117"/>
        <v>10</v>
      </c>
      <c r="AD111" s="81">
        <v>2020</v>
      </c>
      <c r="AE111" s="81"/>
      <c r="AF111" s="220"/>
    </row>
    <row r="112" spans="2:32">
      <c r="B112" s="718" t="s">
        <v>1008</v>
      </c>
      <c r="C112" s="226"/>
      <c r="D112" s="261"/>
      <c r="E112" s="261"/>
      <c r="F112" s="224" t="s">
        <v>1149</v>
      </c>
      <c r="G112" s="55"/>
      <c r="H112" s="174"/>
      <c r="I112" s="174" t="str">
        <f t="shared" si="38"/>
        <v>INDGWH</v>
      </c>
      <c r="J112" s="224">
        <f t="shared" si="32"/>
        <v>2030</v>
      </c>
      <c r="K112" s="81"/>
      <c r="L112" s="199">
        <f t="shared" ca="1" si="109"/>
        <v>1.1618960947726835</v>
      </c>
      <c r="M112" s="199"/>
      <c r="N112" s="81"/>
      <c r="O112" s="723">
        <f t="shared" ca="1" si="110"/>
        <v>4.8425000000000002</v>
      </c>
      <c r="P112" s="723">
        <f t="shared" ca="1" si="111"/>
        <v>0.267455</v>
      </c>
      <c r="Q112" s="81">
        <f t="shared" ca="1" si="112"/>
        <v>5.8461805555555557</v>
      </c>
      <c r="R112" s="300"/>
      <c r="S112" s="300"/>
      <c r="T112" s="300"/>
      <c r="U112" s="300"/>
      <c r="V112" s="199">
        <f t="shared" ref="V112" ca="1" si="121">IF(IF(RIGHT(H111,2)="PH",(1-L112)+$W$2,IF(RIGHT(H111,2)="HT",(1-L112)+$W$1,IF(RIGHT(H111,2)="SH",(1-L112)+$W$3,"")))&gt;0,IF(RIGHT(H111,2)="PH",(1-L112)+$W$2,IF(RIGHT(H111,2)="HT",(1-L112)+$W$1,IF(RIGHT(H111,2)="SH",(1-L112)+$W$3,""))),0)</f>
        <v>0</v>
      </c>
      <c r="W112" s="298"/>
      <c r="X112" s="698">
        <f t="shared" ca="1" si="80"/>
        <v>11</v>
      </c>
      <c r="Y112" s="698">
        <f t="shared" ca="1" si="114"/>
        <v>49</v>
      </c>
      <c r="Z112" s="698">
        <f t="shared" ca="1" si="115"/>
        <v>8</v>
      </c>
      <c r="AA112" s="698">
        <f t="shared" ca="1" si="116"/>
        <v>3</v>
      </c>
      <c r="AB112" s="698">
        <f t="shared" ca="1" si="117"/>
        <v>10</v>
      </c>
      <c r="AD112" s="81">
        <v>2030</v>
      </c>
      <c r="AE112" s="81"/>
      <c r="AF112" s="220"/>
    </row>
    <row r="113" spans="2:32">
      <c r="B113" s="719" t="s">
        <v>1008</v>
      </c>
      <c r="C113" s="713"/>
      <c r="D113" s="701"/>
      <c r="E113" s="701"/>
      <c r="F113" s="224" t="s">
        <v>1149</v>
      </c>
      <c r="G113" s="203"/>
      <c r="H113" s="702"/>
      <c r="I113" s="702" t="str">
        <f t="shared" si="38"/>
        <v>INDGWH</v>
      </c>
      <c r="J113" s="224">
        <f t="shared" si="32"/>
        <v>2050</v>
      </c>
      <c r="K113" s="81"/>
      <c r="L113" s="199">
        <f t="shared" ca="1" si="109"/>
        <v>1.1618960947726835</v>
      </c>
      <c r="M113" s="199"/>
      <c r="N113" s="81"/>
      <c r="O113" s="723">
        <f t="shared" ca="1" si="110"/>
        <v>4.3955000000000002</v>
      </c>
      <c r="P113" s="723">
        <f t="shared" ca="1" si="111"/>
        <v>0.25106499999999998</v>
      </c>
      <c r="Q113" s="81">
        <f t="shared" ca="1" si="112"/>
        <v>5.8937777777777782</v>
      </c>
      <c r="R113" s="300"/>
      <c r="S113" s="300"/>
      <c r="T113" s="300"/>
      <c r="U113" s="300"/>
      <c r="V113" s="199">
        <f t="shared" ref="V113" ca="1" si="122">IF(IF(RIGHT(H111,2)="PH",(1-L113)+$W$2,IF(RIGHT(H111,2)="HT",(1-L113)+$W$1,IF(RIGHT(H111,2)="SH",(1-L113)+$W$3,"")))&gt;0,IF(RIGHT(H111,2)="PH",(1-L113)+$W$2,IF(RIGHT(H111,2)="HT",(1-L113)+$W$1,IF(RIGHT(H111,2)="SH",(1-L113)+$W$3,""))),0)</f>
        <v>0</v>
      </c>
      <c r="W113" s="714"/>
      <c r="X113" s="698">
        <f t="shared" ca="1" si="80"/>
        <v>11</v>
      </c>
      <c r="Y113" s="698">
        <f t="shared" ca="1" si="114"/>
        <v>41</v>
      </c>
      <c r="Z113" s="698">
        <f t="shared" ca="1" si="115"/>
        <v>4</v>
      </c>
      <c r="AA113" s="698">
        <f t="shared" ca="1" si="116"/>
        <v>1</v>
      </c>
      <c r="AB113" s="698">
        <f t="shared" ca="1" si="117"/>
        <v>10</v>
      </c>
      <c r="AD113" s="81">
        <v>2050</v>
      </c>
      <c r="AE113" s="81"/>
      <c r="AF113" s="220"/>
    </row>
    <row r="114" spans="2:32">
      <c r="B114" s="718" t="s">
        <v>1014</v>
      </c>
      <c r="C114" s="226"/>
      <c r="D114" s="212" t="str">
        <f>"IND"&amp;RIGHT(H114,4)&amp;RIGHT(G114,3)&amp;"N"&amp;RIGHT(E114,2)</f>
        <v>INDGDPHELCN10</v>
      </c>
      <c r="E114" s="261" t="str">
        <f>"Industrial heating technology "&amp;$AJ$12&amp;" "&amp;RIGHT(H114,2)&amp;" - Direct electric heating - new 10"</f>
        <v>Industrial heating technology Glass &amp; Concrete PH - Direct electric heating - new 10</v>
      </c>
      <c r="F114" s="224" t="s">
        <v>1149</v>
      </c>
      <c r="G114" s="173" t="s">
        <v>499</v>
      </c>
      <c r="H114" s="174" t="str">
        <f>$AI$13</f>
        <v>IGDPH</v>
      </c>
      <c r="I114" s="174" t="str">
        <f t="shared" si="38"/>
        <v>INDGWH</v>
      </c>
      <c r="J114" s="224">
        <f t="shared" si="32"/>
        <v>2011</v>
      </c>
      <c r="K114" s="299">
        <v>2020</v>
      </c>
      <c r="L114" s="199">
        <f t="shared" ref="L114:L128" ca="1" si="123">VLOOKUP($AD114,INDIRECT("'"&amp;$B114&amp;"'!"&amp;"$P$39:$AD$42"),3,FALSE)</f>
        <v>1</v>
      </c>
      <c r="M114" s="199"/>
      <c r="N114" s="81">
        <f ca="1">VLOOKUP($AD114,INDIRECT("'"&amp;$B114&amp;"'!"&amp;"$P$39:$AD$42"),5,FALSE)</f>
        <v>12.5</v>
      </c>
      <c r="O114" s="723">
        <f t="shared" ref="O114:O128" ca="1" si="124">VLOOKUP($AD114,INDIRECT("'"&amp;$B114&amp;"'!"&amp;"$P$39:$AD$42"),6,FALSE)/1000</f>
        <v>0.44700000000000001</v>
      </c>
      <c r="P114" s="723">
        <f t="shared" ref="P114:P128" ca="1" si="125">VLOOKUP($AD114,INDIRECT("'"&amp;$B114&amp;"'!"&amp;"$P$39:$AD$42"),7,FALSE)/1000</f>
        <v>0</v>
      </c>
      <c r="Q114" s="81">
        <f t="shared" ref="Q114:Q128" ca="1" si="126">VLOOKUP($AD114,INDIRECT("'"&amp;$B114&amp;"'!"&amp;"$P$39:$AD$42"),8,FALSE)</f>
        <v>0.37767361111111114</v>
      </c>
      <c r="R114" s="81">
        <v>3.1536000000000002E-2</v>
      </c>
      <c r="S114" s="199">
        <v>0.5</v>
      </c>
      <c r="T114" s="199">
        <f ca="1">HLOOKUP($S$2,INDIRECT("'"&amp;$B114&amp;"'!"&amp;"$P$6:$AC$19"),IF(H114=$AI$13,6,IF(H114=$AI$14,9,14)),FALSE)</f>
        <v>0</v>
      </c>
      <c r="U114" s="772"/>
      <c r="V114" s="199">
        <f t="shared" ref="V114" ca="1" si="127">IF(IF(RIGHT(H114,2)="PH",(1-L114)+$W$2,IF(RIGHT(H114,2)="HT",(1-L114)+$W$1,IF(RIGHT(H114,2)="SH",(1-L114)+$W$3,"")))&gt;0,IF(RIGHT(H114,2)="PH",(1-L114)+$W$2,IF(RIGHT(H114,2)="HT",(1-L114)+$W$1,IF(RIGHT(H114,2)="SH",(1-L114)+$W$3,""))),0)</f>
        <v>0.2</v>
      </c>
      <c r="W114" s="298"/>
      <c r="X114" s="698">
        <f t="shared" ca="1" si="80"/>
        <v>0</v>
      </c>
      <c r="Y114" s="81">
        <f t="shared" ref="Y114:Y128" ca="1" si="128">VLOOKUP($AD114,INDIRECT("'"&amp;$B114&amp;"'!"&amp;"$P$39:$AD$42"),12,FALSE)</f>
        <v>0</v>
      </c>
      <c r="Z114" s="81">
        <f t="shared" ref="Z114:Z128" ca="1" si="129">VLOOKUP($AD114,INDIRECT("'"&amp;$B114&amp;"'!"&amp;"$P$39:$AD$42"),13,FALSE)</f>
        <v>0</v>
      </c>
      <c r="AA114" s="81">
        <f t="shared" ref="AA114:AA128" ca="1" si="130">VLOOKUP($AD114,INDIRECT("'"&amp;$B114&amp;"'!"&amp;"$P$39:$AD$42"),14,FALSE)</f>
        <v>0</v>
      </c>
      <c r="AB114" s="81">
        <f t="shared" ref="AB114:AB128" ca="1" si="131">VLOOKUP($AD114,INDIRECT("'"&amp;$B114&amp;"'!"&amp;"$P$39:$AD$42"),15,FALSE)</f>
        <v>0</v>
      </c>
      <c r="AD114" s="81">
        <v>2020</v>
      </c>
      <c r="AE114" s="81"/>
      <c r="AF114" s="220"/>
    </row>
    <row r="115" spans="2:32">
      <c r="B115" s="718" t="s">
        <v>1014</v>
      </c>
      <c r="C115" s="226"/>
      <c r="D115" s="212"/>
      <c r="E115" s="212"/>
      <c r="F115" s="224" t="s">
        <v>1149</v>
      </c>
      <c r="H115" s="174"/>
      <c r="I115" s="174" t="str">
        <f t="shared" si="38"/>
        <v>INDGWH</v>
      </c>
      <c r="J115" s="224">
        <f t="shared" si="32"/>
        <v>2030</v>
      </c>
      <c r="K115" s="81"/>
      <c r="L115" s="199">
        <f t="shared" ca="1" si="123"/>
        <v>1</v>
      </c>
      <c r="M115" s="199"/>
      <c r="N115" s="81"/>
      <c r="O115" s="723">
        <f t="shared" ca="1" si="124"/>
        <v>0.44700000000000001</v>
      </c>
      <c r="P115" s="723">
        <f t="shared" ca="1" si="125"/>
        <v>0</v>
      </c>
      <c r="Q115" s="81">
        <f t="shared" ca="1" si="126"/>
        <v>0.38802083333333331</v>
      </c>
      <c r="R115" s="300"/>
      <c r="S115" s="300"/>
      <c r="T115" s="300"/>
      <c r="U115" s="300"/>
      <c r="V115" s="199">
        <f t="shared" ref="V115" ca="1" si="132">IF(IF(RIGHT(H114,2)="PH",(1-L115)+$W$2,IF(RIGHT(H114,2)="HT",(1-L115)+$W$1,IF(RIGHT(H114,2)="SH",(1-L115)+$W$3,"")))&gt;0,IF(RIGHT(H114,2)="PH",(1-L115)+$W$2,IF(RIGHT(H114,2)="HT",(1-L115)+$W$1,IF(RIGHT(H114,2)="SH",(1-L115)+$W$3,""))),0)</f>
        <v>0.2</v>
      </c>
      <c r="W115" s="298"/>
      <c r="X115" s="698">
        <f t="shared" ca="1" si="80"/>
        <v>0</v>
      </c>
      <c r="Y115" s="81">
        <f t="shared" ca="1" si="128"/>
        <v>0</v>
      </c>
      <c r="Z115" s="81">
        <f t="shared" ca="1" si="129"/>
        <v>0</v>
      </c>
      <c r="AA115" s="81">
        <f t="shared" ca="1" si="130"/>
        <v>0</v>
      </c>
      <c r="AB115" s="81">
        <f t="shared" ca="1" si="131"/>
        <v>0</v>
      </c>
      <c r="AD115" s="81">
        <v>2030</v>
      </c>
      <c r="AE115" s="81"/>
      <c r="AF115" s="220"/>
    </row>
    <row r="116" spans="2:32">
      <c r="B116" s="718" t="s">
        <v>1014</v>
      </c>
      <c r="C116" s="226"/>
      <c r="D116" s="212"/>
      <c r="E116" s="212"/>
      <c r="F116" s="224" t="s">
        <v>1149</v>
      </c>
      <c r="H116" s="174"/>
      <c r="I116" s="174" t="str">
        <f t="shared" si="38"/>
        <v>INDGWH</v>
      </c>
      <c r="J116" s="224">
        <f t="shared" si="32"/>
        <v>2050</v>
      </c>
      <c r="K116" s="81"/>
      <c r="L116" s="199">
        <f t="shared" ca="1" si="123"/>
        <v>1</v>
      </c>
      <c r="M116" s="199"/>
      <c r="N116" s="81"/>
      <c r="O116" s="723">
        <f t="shared" ca="1" si="124"/>
        <v>0.44700000000000001</v>
      </c>
      <c r="P116" s="723">
        <f t="shared" ca="1" si="125"/>
        <v>0</v>
      </c>
      <c r="Q116" s="81">
        <f t="shared" ca="1" si="126"/>
        <v>0.39319444444444446</v>
      </c>
      <c r="R116" s="300"/>
      <c r="S116" s="300"/>
      <c r="T116" s="300"/>
      <c r="U116" s="300"/>
      <c r="V116" s="199">
        <f t="shared" ref="V116" ca="1" si="133">IF(IF(RIGHT(H114,2)="PH",(1-L116)+$W$2,IF(RIGHT(H114,2)="HT",(1-L116)+$W$1,IF(RIGHT(H114,2)="SH",(1-L116)+$W$3,"")))&gt;0,IF(RIGHT(H114,2)="PH",(1-L116)+$W$2,IF(RIGHT(H114,2)="HT",(1-L116)+$W$1,IF(RIGHT(H114,2)="SH",(1-L116)+$W$3,""))),0)</f>
        <v>0.2</v>
      </c>
      <c r="W116" s="298"/>
      <c r="X116" s="698">
        <f t="shared" ca="1" si="80"/>
        <v>0</v>
      </c>
      <c r="Y116" s="81">
        <f t="shared" ca="1" si="128"/>
        <v>0</v>
      </c>
      <c r="Z116" s="81">
        <f t="shared" ca="1" si="129"/>
        <v>0</v>
      </c>
      <c r="AA116" s="81">
        <f t="shared" ca="1" si="130"/>
        <v>0</v>
      </c>
      <c r="AB116" s="81">
        <f t="shared" ca="1" si="131"/>
        <v>0</v>
      </c>
      <c r="AC116" s="203"/>
      <c r="AD116" s="81">
        <v>2050</v>
      </c>
      <c r="AE116" s="81"/>
      <c r="AF116" s="705"/>
    </row>
    <row r="117" spans="2:32">
      <c r="B117" s="718" t="s">
        <v>1014</v>
      </c>
      <c r="C117" s="226"/>
      <c r="D117" s="212" t="str">
        <f>"IND"&amp;RIGHT(H117,4)&amp;RIGHT(G117,3)&amp;"N"&amp;RIGHT(E117,2)</f>
        <v>INDGDPHELCN10</v>
      </c>
      <c r="E117" s="261" t="str">
        <f>"Industrial heating technology "&amp;$AJ$12&amp;" "&amp;RIGHT(H117,2)&amp;" - Direct electric heating - new 10"</f>
        <v>Industrial heating technology Glass &amp; Concrete PH - Direct electric heating - new 10</v>
      </c>
      <c r="F117" s="224" t="s">
        <v>1149</v>
      </c>
      <c r="G117" s="173" t="s">
        <v>499</v>
      </c>
      <c r="H117" s="174" t="str">
        <f>$AI$14</f>
        <v>IGDPH</v>
      </c>
      <c r="I117" s="174" t="str">
        <f t="shared" si="38"/>
        <v>INDGWH</v>
      </c>
      <c r="J117" s="224">
        <f t="shared" si="32"/>
        <v>2011</v>
      </c>
      <c r="K117" s="299">
        <v>2020</v>
      </c>
      <c r="L117" s="199">
        <f t="shared" ca="1" si="123"/>
        <v>1</v>
      </c>
      <c r="M117" s="199"/>
      <c r="N117" s="81">
        <f ca="1">VLOOKUP($AD117,INDIRECT("'"&amp;$B117&amp;"'!"&amp;"$P$39:$AD$42"),5,FALSE)</f>
        <v>12.5</v>
      </c>
      <c r="O117" s="723">
        <f t="shared" ca="1" si="124"/>
        <v>0.44700000000000001</v>
      </c>
      <c r="P117" s="723">
        <f t="shared" ca="1" si="125"/>
        <v>0</v>
      </c>
      <c r="Q117" s="81">
        <f t="shared" ca="1" si="126"/>
        <v>0.37767361111111114</v>
      </c>
      <c r="R117" s="81">
        <v>3.1536000000000002E-2</v>
      </c>
      <c r="S117" s="199">
        <v>0.5</v>
      </c>
      <c r="T117" s="199">
        <f ca="1">HLOOKUP($S$2,INDIRECT("'"&amp;$B117&amp;"'!"&amp;"$P$6:$AC$19"),IF(H117=$AI$13,6,IF(H117=$AI$14,9,14)),FALSE)</f>
        <v>0</v>
      </c>
      <c r="U117" s="772"/>
      <c r="V117" s="199">
        <f t="shared" ref="V117" ca="1" si="134">IF(IF(RIGHT(H117,2)="PH",(1-L117)+$W$2,IF(RIGHT(H117,2)="HT",(1-L117)+$W$1,IF(RIGHT(H117,2)="SH",(1-L117)+$W$3,"")))&gt;0,IF(RIGHT(H117,2)="PH",(1-L117)+$W$2,IF(RIGHT(H117,2)="HT",(1-L117)+$W$1,IF(RIGHT(H117,2)="SH",(1-L117)+$W$3,""))),0)</f>
        <v>0.2</v>
      </c>
      <c r="W117" s="298"/>
      <c r="X117" s="698">
        <f t="shared" ca="1" si="80"/>
        <v>0</v>
      </c>
      <c r="Y117" s="81">
        <f t="shared" ca="1" si="128"/>
        <v>0</v>
      </c>
      <c r="Z117" s="81">
        <f t="shared" ca="1" si="129"/>
        <v>0</v>
      </c>
      <c r="AA117" s="81">
        <f t="shared" ca="1" si="130"/>
        <v>0</v>
      </c>
      <c r="AB117" s="81">
        <f t="shared" ca="1" si="131"/>
        <v>0</v>
      </c>
      <c r="AD117" s="81">
        <v>2020</v>
      </c>
      <c r="AE117" s="299"/>
      <c r="AF117" s="220"/>
    </row>
    <row r="118" spans="2:32">
      <c r="B118" s="718" t="s">
        <v>1014</v>
      </c>
      <c r="C118" s="226"/>
      <c r="D118" s="212"/>
      <c r="E118" s="212"/>
      <c r="F118" s="224" t="s">
        <v>1149</v>
      </c>
      <c r="H118" s="174"/>
      <c r="I118" s="174" t="str">
        <f t="shared" si="38"/>
        <v>INDGWH</v>
      </c>
      <c r="J118" s="224">
        <f t="shared" si="32"/>
        <v>2030</v>
      </c>
      <c r="K118" s="81"/>
      <c r="L118" s="199">
        <f t="shared" ca="1" si="123"/>
        <v>1</v>
      </c>
      <c r="M118" s="199"/>
      <c r="N118" s="81"/>
      <c r="O118" s="723">
        <f t="shared" ca="1" si="124"/>
        <v>0.44700000000000001</v>
      </c>
      <c r="P118" s="723">
        <f t="shared" ca="1" si="125"/>
        <v>0</v>
      </c>
      <c r="Q118" s="81">
        <f t="shared" ca="1" si="126"/>
        <v>0.38802083333333331</v>
      </c>
      <c r="R118" s="300"/>
      <c r="S118" s="300"/>
      <c r="T118" s="300"/>
      <c r="U118" s="300"/>
      <c r="V118" s="199">
        <f t="shared" ref="V118" ca="1" si="135">IF(IF(RIGHT(H117,2)="PH",(1-L118)+$W$2,IF(RIGHT(H117,2)="HT",(1-L118)+$W$1,IF(RIGHT(H117,2)="SH",(1-L118)+$W$3,"")))&gt;0,IF(RIGHT(H117,2)="PH",(1-L118)+$W$2,IF(RIGHT(H117,2)="HT",(1-L118)+$W$1,IF(RIGHT(H117,2)="SH",(1-L118)+$W$3,""))),0)</f>
        <v>0.2</v>
      </c>
      <c r="W118" s="298"/>
      <c r="X118" s="698">
        <f t="shared" ca="1" si="80"/>
        <v>0</v>
      </c>
      <c r="Y118" s="81">
        <f t="shared" ca="1" si="128"/>
        <v>0</v>
      </c>
      <c r="Z118" s="81">
        <f t="shared" ca="1" si="129"/>
        <v>0</v>
      </c>
      <c r="AA118" s="81">
        <f t="shared" ca="1" si="130"/>
        <v>0</v>
      </c>
      <c r="AB118" s="81">
        <f t="shared" ca="1" si="131"/>
        <v>0</v>
      </c>
      <c r="AD118" s="81">
        <v>2030</v>
      </c>
      <c r="AE118" s="81"/>
      <c r="AF118" s="220"/>
    </row>
    <row r="119" spans="2:32">
      <c r="B119" s="719" t="s">
        <v>1014</v>
      </c>
      <c r="C119" s="713"/>
      <c r="D119" s="701"/>
      <c r="E119" s="701"/>
      <c r="F119" s="224" t="s">
        <v>1149</v>
      </c>
      <c r="G119" s="203"/>
      <c r="H119" s="702"/>
      <c r="I119" s="702" t="str">
        <f t="shared" si="38"/>
        <v>INDGWH</v>
      </c>
      <c r="J119" s="224">
        <f t="shared" si="32"/>
        <v>2050</v>
      </c>
      <c r="K119" s="81"/>
      <c r="L119" s="199">
        <f t="shared" ca="1" si="123"/>
        <v>1</v>
      </c>
      <c r="M119" s="199"/>
      <c r="N119" s="81"/>
      <c r="O119" s="723">
        <f t="shared" ca="1" si="124"/>
        <v>0.44700000000000001</v>
      </c>
      <c r="P119" s="723">
        <f t="shared" ca="1" si="125"/>
        <v>0</v>
      </c>
      <c r="Q119" s="81">
        <f t="shared" ca="1" si="126"/>
        <v>0.39319444444444446</v>
      </c>
      <c r="R119" s="703"/>
      <c r="S119" s="703"/>
      <c r="T119" s="703"/>
      <c r="U119" s="703"/>
      <c r="V119" s="199">
        <f t="shared" ref="V119" ca="1" si="136">IF(IF(RIGHT(H117,2)="PH",(1-L119)+$W$2,IF(RIGHT(H117,2)="HT",(1-L119)+$W$1,IF(RIGHT(H117,2)="SH",(1-L119)+$W$3,"")))&gt;0,IF(RIGHT(H117,2)="PH",(1-L119)+$W$2,IF(RIGHT(H117,2)="HT",(1-L119)+$W$1,IF(RIGHT(H117,2)="SH",(1-L119)+$W$3,""))),0)</f>
        <v>0.2</v>
      </c>
      <c r="W119" s="704"/>
      <c r="X119" s="698">
        <f t="shared" ca="1" si="80"/>
        <v>0</v>
      </c>
      <c r="Y119" s="81">
        <f t="shared" ca="1" si="128"/>
        <v>0</v>
      </c>
      <c r="Z119" s="81">
        <f t="shared" ca="1" si="129"/>
        <v>0</v>
      </c>
      <c r="AA119" s="81">
        <f t="shared" ca="1" si="130"/>
        <v>0</v>
      </c>
      <c r="AB119" s="81">
        <f t="shared" ca="1" si="131"/>
        <v>0</v>
      </c>
      <c r="AD119" s="81">
        <v>2050</v>
      </c>
      <c r="AE119" s="81"/>
      <c r="AF119" s="220"/>
    </row>
    <row r="120" spans="2:32">
      <c r="B120" s="718" t="s">
        <v>1009</v>
      </c>
      <c r="C120" s="226"/>
      <c r="D120" s="212" t="str">
        <f>"IND"&amp;RIGHT(H120,4)&amp;"DSL"&amp;"N"&amp;RIGHT(E120,1)</f>
        <v>INDGDPHDSLN1</v>
      </c>
      <c r="E120" s="261" t="str">
        <f>"Industrial heating technology "&amp;$AJ$12&amp;" "&amp;RIGHT(H120,2)&amp;" - Oil boiler (Steam) - new 1"</f>
        <v>Industrial heating technology Glass &amp; Concrete PH - Oil boiler (Steam) - new 1</v>
      </c>
      <c r="F120" s="224" t="s">
        <v>1149</v>
      </c>
      <c r="G120" s="173" t="s">
        <v>2081</v>
      </c>
      <c r="H120" s="174" t="str">
        <f>$AI$13</f>
        <v>IGDPH</v>
      </c>
      <c r="I120" s="174" t="str">
        <f t="shared" si="38"/>
        <v>INDGWH</v>
      </c>
      <c r="J120" s="224">
        <f t="shared" si="32"/>
        <v>2011</v>
      </c>
      <c r="K120" s="299">
        <v>2025</v>
      </c>
      <c r="L120" s="199">
        <f t="shared" ca="1" si="123"/>
        <v>0.94</v>
      </c>
      <c r="M120" s="699"/>
      <c r="N120" s="299">
        <f ca="1">VLOOKUP($AD120,INDIRECT("'"&amp;$B120&amp;"'!"&amp;"$P$39:$AD$42"),5,FALSE)</f>
        <v>25</v>
      </c>
      <c r="O120" s="725">
        <f t="shared" ca="1" si="124"/>
        <v>0.40975</v>
      </c>
      <c r="P120" s="725">
        <f t="shared" ca="1" si="125"/>
        <v>1.341E-2</v>
      </c>
      <c r="Q120" s="299">
        <f t="shared" ca="1" si="126"/>
        <v>2.0694444444444446</v>
      </c>
      <c r="R120" s="299">
        <v>3.1536000000000002E-2</v>
      </c>
      <c r="S120" s="699">
        <v>0.5</v>
      </c>
      <c r="T120" s="699">
        <f ca="1">HLOOKUP($T$2,INDIRECT("'"&amp;$B120&amp;"'!"&amp;"$P$6:$AC$19"),IF(H120=$AI$13,6,IF(H120=$AI$14,9,14)),FALSE)</f>
        <v>1</v>
      </c>
      <c r="U120" s="772"/>
      <c r="V120" s="199">
        <f t="shared" ref="V120" ca="1" si="137">IF(IF(RIGHT(H120,2)="PH",(1-L120)+$W$2,IF(RIGHT(H120,2)="HT",(1-L120)+$W$1,IF(RIGHT(H120,2)="SH",(1-L120)+$W$3,"")))&gt;0,IF(RIGHT(H120,2)="PH",(1-L120)+$W$2,IF(RIGHT(H120,2)="HT",(1-L120)+$W$1,IF(RIGHT(H120,2)="SH",(1-L120)+$W$3,""))),0)</f>
        <v>0.26000000000000006</v>
      </c>
      <c r="W120" s="298"/>
      <c r="X120" s="698">
        <f t="shared" ca="1" si="80"/>
        <v>0.5</v>
      </c>
      <c r="Y120" s="299">
        <f t="shared" ca="1" si="128"/>
        <v>25</v>
      </c>
      <c r="Z120" s="299">
        <f t="shared" ca="1" si="129"/>
        <v>0</v>
      </c>
      <c r="AA120" s="299">
        <f t="shared" ca="1" si="130"/>
        <v>0</v>
      </c>
      <c r="AB120" s="299">
        <f t="shared" ca="1" si="131"/>
        <v>0.1</v>
      </c>
      <c r="AD120" s="299">
        <v>2020</v>
      </c>
      <c r="AE120" s="81"/>
      <c r="AF120" s="220"/>
    </row>
    <row r="121" spans="2:32">
      <c r="B121" s="718" t="s">
        <v>1009</v>
      </c>
      <c r="C121" s="226"/>
      <c r="D121" s="212"/>
      <c r="E121" s="212"/>
      <c r="F121" s="224" t="s">
        <v>1149</v>
      </c>
      <c r="H121" s="174"/>
      <c r="I121" s="174" t="str">
        <f t="shared" si="38"/>
        <v>INDGWH</v>
      </c>
      <c r="J121" s="224">
        <f t="shared" si="32"/>
        <v>2030</v>
      </c>
      <c r="K121" s="81"/>
      <c r="L121" s="199">
        <f t="shared" ca="1" si="123"/>
        <v>0.95</v>
      </c>
      <c r="M121" s="199"/>
      <c r="N121" s="81"/>
      <c r="O121" s="723">
        <f t="shared" ca="1" si="124"/>
        <v>0.3469940346244772</v>
      </c>
      <c r="P121" s="723">
        <f t="shared" ca="1" si="125"/>
        <v>1.2664999999999999E-2</v>
      </c>
      <c r="Q121" s="81">
        <f t="shared" ca="1" si="126"/>
        <v>1.8625</v>
      </c>
      <c r="R121" s="300"/>
      <c r="S121" s="300"/>
      <c r="T121" s="300"/>
      <c r="U121" s="300"/>
      <c r="V121" s="199">
        <f t="shared" ref="V121" ca="1" si="138">IF(IF(RIGHT(H120,2)="PH",(1-L121)+$W$2,IF(RIGHT(H120,2)="HT",(1-L121)+$W$1,IF(RIGHT(H120,2)="SH",(1-L121)+$W$3,"")))&gt;0,IF(RIGHT(H120,2)="PH",(1-L121)+$W$2,IF(RIGHT(H120,2)="HT",(1-L121)+$W$1,IF(RIGHT(H120,2)="SH",(1-L121)+$W$3,""))),0)</f>
        <v>0.25000000000000006</v>
      </c>
      <c r="W121" s="298"/>
      <c r="X121" s="698">
        <f t="shared" ca="1" si="80"/>
        <v>0.5</v>
      </c>
      <c r="Y121" s="81">
        <f t="shared" ca="1" si="128"/>
        <v>20</v>
      </c>
      <c r="Z121" s="81">
        <f t="shared" ca="1" si="129"/>
        <v>0</v>
      </c>
      <c r="AA121" s="81">
        <f t="shared" ca="1" si="130"/>
        <v>0</v>
      </c>
      <c r="AB121" s="81">
        <f t="shared" ca="1" si="131"/>
        <v>0.1</v>
      </c>
      <c r="AD121" s="81">
        <v>2030</v>
      </c>
      <c r="AE121" s="81"/>
      <c r="AF121" s="220"/>
    </row>
    <row r="122" spans="2:32">
      <c r="B122" s="718" t="s">
        <v>1009</v>
      </c>
      <c r="C122" s="226"/>
      <c r="D122" s="212"/>
      <c r="E122" s="212"/>
      <c r="F122" s="224" t="s">
        <v>1149</v>
      </c>
      <c r="H122" s="174"/>
      <c r="I122" s="174" t="str">
        <f t="shared" si="38"/>
        <v>INDGWH</v>
      </c>
      <c r="J122" s="224">
        <f t="shared" si="32"/>
        <v>2050</v>
      </c>
      <c r="K122" s="81"/>
      <c r="L122" s="199">
        <f t="shared" ca="1" si="123"/>
        <v>0.96</v>
      </c>
      <c r="M122" s="199"/>
      <c r="N122" s="81"/>
      <c r="O122" s="723">
        <f t="shared" ca="1" si="124"/>
        <v>0.32813985758696651</v>
      </c>
      <c r="P122" s="723">
        <f t="shared" ca="1" si="125"/>
        <v>1.1175000000000001E-2</v>
      </c>
      <c r="Q122" s="81">
        <f t="shared" ca="1" si="126"/>
        <v>1.8625</v>
      </c>
      <c r="R122" s="300"/>
      <c r="S122" s="300"/>
      <c r="T122" s="300"/>
      <c r="U122" s="300"/>
      <c r="V122" s="199">
        <f t="shared" ref="V122" ca="1" si="139">IF(IF(RIGHT(H120,2)="PH",(1-L122)+$W$2,IF(RIGHT(H120,2)="HT",(1-L122)+$W$1,IF(RIGHT(H120,2)="SH",(1-L122)+$W$3,"")))&gt;0,IF(RIGHT(H120,2)="PH",(1-L122)+$W$2,IF(RIGHT(H120,2)="HT",(1-L122)+$W$1,IF(RIGHT(H120,2)="SH",(1-L122)+$W$3,""))),0)</f>
        <v>0.24000000000000005</v>
      </c>
      <c r="W122" s="298"/>
      <c r="X122" s="698">
        <f t="shared" ca="1" si="80"/>
        <v>0.5</v>
      </c>
      <c r="Y122" s="81">
        <f t="shared" ca="1" si="128"/>
        <v>15</v>
      </c>
      <c r="Z122" s="81">
        <f t="shared" ca="1" si="129"/>
        <v>0</v>
      </c>
      <c r="AA122" s="81">
        <f t="shared" ca="1" si="130"/>
        <v>0</v>
      </c>
      <c r="AB122" s="81">
        <f t="shared" ca="1" si="131"/>
        <v>0.1</v>
      </c>
      <c r="AD122" s="81">
        <v>2050</v>
      </c>
      <c r="AE122" s="81"/>
      <c r="AF122" s="220"/>
    </row>
    <row r="123" spans="2:32">
      <c r="B123" s="718" t="s">
        <v>1009</v>
      </c>
      <c r="C123" s="226"/>
      <c r="D123" s="212" t="str">
        <f>"IND"&amp;RIGHT(H123,4)&amp;"DSL"&amp;"N"&amp;RIGHT(E123,1)</f>
        <v>INDGDPHDSLN1</v>
      </c>
      <c r="E123" s="261" t="str">
        <f>"Industrial heating technology "&amp;$AJ$12&amp;" "&amp;RIGHT(H123,2)&amp;" - Oil boiler (Steam) - new 1"</f>
        <v>Industrial heating technology Glass &amp; Concrete PH - Oil boiler (Steam) - new 1</v>
      </c>
      <c r="F123" s="224" t="s">
        <v>1149</v>
      </c>
      <c r="G123" s="173" t="s">
        <v>2081</v>
      </c>
      <c r="H123" s="174" t="str">
        <f>$AI$14</f>
        <v>IGDPH</v>
      </c>
      <c r="I123" s="174" t="str">
        <f t="shared" si="38"/>
        <v>INDGWH</v>
      </c>
      <c r="J123" s="224">
        <f t="shared" si="32"/>
        <v>2011</v>
      </c>
      <c r="K123" s="299">
        <v>2025</v>
      </c>
      <c r="L123" s="199">
        <f t="shared" ca="1" si="123"/>
        <v>0.94</v>
      </c>
      <c r="M123" s="199"/>
      <c r="N123" s="81">
        <f ca="1">VLOOKUP($AD123,INDIRECT("'"&amp;$B123&amp;"'!"&amp;"$P$39:$AD$42"),5,FALSE)</f>
        <v>25</v>
      </c>
      <c r="O123" s="723">
        <f t="shared" ca="1" si="124"/>
        <v>0.40975</v>
      </c>
      <c r="P123" s="723">
        <f t="shared" ca="1" si="125"/>
        <v>1.341E-2</v>
      </c>
      <c r="Q123" s="81">
        <f t="shared" ca="1" si="126"/>
        <v>2.0694444444444446</v>
      </c>
      <c r="R123" s="81">
        <v>3.1536000000000002E-2</v>
      </c>
      <c r="S123" s="199">
        <v>0.5</v>
      </c>
      <c r="T123" s="199">
        <f ca="1">HLOOKUP($T$2,INDIRECT("'"&amp;$B123&amp;"'!"&amp;"$P$6:$AC$19"),IF(H123=$AI$13,6,IF(H123=$AI$14,9,14)),FALSE)</f>
        <v>1</v>
      </c>
      <c r="U123" s="772"/>
      <c r="V123" s="199">
        <f t="shared" ref="V123" ca="1" si="140">IF(IF(RIGHT(H123,2)="PH",(1-L123)+$W$2,IF(RIGHT(H123,2)="HT",(1-L123)+$W$1,IF(RIGHT(H123,2)="SH",(1-L123)+$W$3,"")))&gt;0,IF(RIGHT(H123,2)="PH",(1-L123)+$W$2,IF(RIGHT(H123,2)="HT",(1-L123)+$W$1,IF(RIGHT(H123,2)="SH",(1-L123)+$W$3,""))),0)</f>
        <v>0.26000000000000006</v>
      </c>
      <c r="W123" s="298"/>
      <c r="X123" s="698">
        <f t="shared" ca="1" si="80"/>
        <v>0.5</v>
      </c>
      <c r="Y123" s="81">
        <f t="shared" ca="1" si="128"/>
        <v>25</v>
      </c>
      <c r="Z123" s="81">
        <f t="shared" ca="1" si="129"/>
        <v>0</v>
      </c>
      <c r="AA123" s="81">
        <f t="shared" ca="1" si="130"/>
        <v>0</v>
      </c>
      <c r="AB123" s="81">
        <f t="shared" ca="1" si="131"/>
        <v>0.1</v>
      </c>
      <c r="AD123" s="81">
        <v>2020</v>
      </c>
      <c r="AE123" s="81"/>
      <c r="AF123" s="220"/>
    </row>
    <row r="124" spans="2:32">
      <c r="B124" s="718" t="s">
        <v>1009</v>
      </c>
      <c r="C124" s="226"/>
      <c r="D124" s="212"/>
      <c r="E124" s="212"/>
      <c r="F124" s="224" t="s">
        <v>1149</v>
      </c>
      <c r="H124" s="174"/>
      <c r="I124" s="174" t="str">
        <f t="shared" si="38"/>
        <v>INDGWH</v>
      </c>
      <c r="J124" s="224">
        <f t="shared" si="32"/>
        <v>2030</v>
      </c>
      <c r="K124" s="81"/>
      <c r="L124" s="199">
        <f t="shared" ca="1" si="123"/>
        <v>0.95</v>
      </c>
      <c r="M124" s="199"/>
      <c r="N124" s="81"/>
      <c r="O124" s="723">
        <f t="shared" ca="1" si="124"/>
        <v>0.3469940346244772</v>
      </c>
      <c r="P124" s="723">
        <f t="shared" ca="1" si="125"/>
        <v>1.2664999999999999E-2</v>
      </c>
      <c r="Q124" s="81">
        <f t="shared" ca="1" si="126"/>
        <v>1.8625</v>
      </c>
      <c r="R124" s="300"/>
      <c r="S124" s="300"/>
      <c r="T124" s="300"/>
      <c r="U124" s="300"/>
      <c r="V124" s="199">
        <f t="shared" ref="V124" ca="1" si="141">IF(IF(RIGHT(H123,2)="PH",(1-L124)+$W$2,IF(RIGHT(H123,2)="HT",(1-L124)+$W$1,IF(RIGHT(H123,2)="SH",(1-L124)+$W$3,"")))&gt;0,IF(RIGHT(H123,2)="PH",(1-L124)+$W$2,IF(RIGHT(H123,2)="HT",(1-L124)+$W$1,IF(RIGHT(H123,2)="SH",(1-L124)+$W$3,""))),0)</f>
        <v>0.25000000000000006</v>
      </c>
      <c r="W124" s="298"/>
      <c r="X124" s="698">
        <f t="shared" ca="1" si="80"/>
        <v>0.5</v>
      </c>
      <c r="Y124" s="81">
        <f t="shared" ca="1" si="128"/>
        <v>20</v>
      </c>
      <c r="Z124" s="81">
        <f t="shared" ca="1" si="129"/>
        <v>0</v>
      </c>
      <c r="AA124" s="81">
        <f t="shared" ca="1" si="130"/>
        <v>0</v>
      </c>
      <c r="AB124" s="81">
        <f t="shared" ca="1" si="131"/>
        <v>0.1</v>
      </c>
      <c r="AD124" s="81">
        <v>2030</v>
      </c>
      <c r="AE124" s="81"/>
      <c r="AF124" s="220"/>
    </row>
    <row r="125" spans="2:32">
      <c r="B125" s="718" t="s">
        <v>1009</v>
      </c>
      <c r="C125" s="226"/>
      <c r="D125" s="212"/>
      <c r="E125" s="212"/>
      <c r="F125" s="224" t="s">
        <v>1149</v>
      </c>
      <c r="H125" s="174"/>
      <c r="I125" s="174" t="str">
        <f t="shared" si="38"/>
        <v>INDGWH</v>
      </c>
      <c r="J125" s="224">
        <f t="shared" si="32"/>
        <v>2050</v>
      </c>
      <c r="K125" s="81"/>
      <c r="L125" s="199">
        <f t="shared" ca="1" si="123"/>
        <v>0.96</v>
      </c>
      <c r="M125" s="199"/>
      <c r="N125" s="81"/>
      <c r="O125" s="723">
        <f t="shared" ca="1" si="124"/>
        <v>0.32813985758696651</v>
      </c>
      <c r="P125" s="723">
        <f t="shared" ca="1" si="125"/>
        <v>1.1175000000000001E-2</v>
      </c>
      <c r="Q125" s="81">
        <f t="shared" ca="1" si="126"/>
        <v>1.8625</v>
      </c>
      <c r="R125" s="300"/>
      <c r="S125" s="300"/>
      <c r="T125" s="300"/>
      <c r="U125" s="300"/>
      <c r="V125" s="199">
        <f t="shared" ref="V125" ca="1" si="142">IF(IF(RIGHT(H123,2)="PH",(1-L125)+$W$2,IF(RIGHT(H123,2)="HT",(1-L125)+$W$1,IF(RIGHT(H123,2)="SH",(1-L125)+$W$3,"")))&gt;0,IF(RIGHT(H123,2)="PH",(1-L125)+$W$2,IF(RIGHT(H123,2)="HT",(1-L125)+$W$1,IF(RIGHT(H123,2)="SH",(1-L125)+$W$3,""))),0)</f>
        <v>0.24000000000000005</v>
      </c>
      <c r="W125" s="298"/>
      <c r="X125" s="698">
        <f t="shared" ca="1" si="80"/>
        <v>0.5</v>
      </c>
      <c r="Y125" s="81">
        <f t="shared" ca="1" si="128"/>
        <v>15</v>
      </c>
      <c r="Z125" s="81">
        <f t="shared" ca="1" si="129"/>
        <v>0</v>
      </c>
      <c r="AA125" s="81">
        <f t="shared" ca="1" si="130"/>
        <v>0</v>
      </c>
      <c r="AB125" s="81">
        <f t="shared" ca="1" si="131"/>
        <v>0.1</v>
      </c>
      <c r="AC125" s="203"/>
      <c r="AD125" s="81">
        <v>2050</v>
      </c>
      <c r="AE125" s="81"/>
      <c r="AF125" s="705"/>
    </row>
    <row r="126" spans="2:32">
      <c r="B126" s="718" t="s">
        <v>1009</v>
      </c>
      <c r="C126" s="226"/>
      <c r="D126" s="212" t="str">
        <f>"IND"&amp;RIGHT(H126,4)&amp;"DSL"&amp;"N"&amp;RIGHT(E126,1)</f>
        <v>INDGDSHDSLN1</v>
      </c>
      <c r="E126" s="261" t="str">
        <f>"Industrial heating technology "&amp;$AJ$12&amp;" "&amp;RIGHT(H126,2)&amp;" - Oil boiler (Steam) - new 1"</f>
        <v>Industrial heating technology Glass &amp; Concrete SH - Oil boiler (Steam) - new 1</v>
      </c>
      <c r="F126" s="224" t="s">
        <v>1149</v>
      </c>
      <c r="G126" s="173" t="s">
        <v>2081</v>
      </c>
      <c r="H126" s="174" t="str">
        <f>$AI$15</f>
        <v>IGDSH</v>
      </c>
      <c r="I126" s="174" t="str">
        <f t="shared" si="38"/>
        <v>INDGWH</v>
      </c>
      <c r="J126" s="224">
        <f t="shared" si="32"/>
        <v>2011</v>
      </c>
      <c r="K126" s="299">
        <v>2025</v>
      </c>
      <c r="L126" s="199">
        <f t="shared" ca="1" si="123"/>
        <v>0.94</v>
      </c>
      <c r="M126" s="199"/>
      <c r="N126" s="81">
        <f ca="1">VLOOKUP($AD126,INDIRECT("'"&amp;$B126&amp;"'!"&amp;"$P$39:$AD$42"),5,FALSE)</f>
        <v>25</v>
      </c>
      <c r="O126" s="723">
        <f t="shared" ca="1" si="124"/>
        <v>0.40975</v>
      </c>
      <c r="P126" s="723">
        <f t="shared" ca="1" si="125"/>
        <v>1.341E-2</v>
      </c>
      <c r="Q126" s="81">
        <f t="shared" ca="1" si="126"/>
        <v>2.0694444444444446</v>
      </c>
      <c r="R126" s="81">
        <v>3.1536000000000002E-2</v>
      </c>
      <c r="S126" s="199">
        <v>0.5</v>
      </c>
      <c r="T126" s="199">
        <f ca="1">HLOOKUP($T$2,INDIRECT("'"&amp;$B126&amp;"'!"&amp;"$P$6:$AC$19"),IF(H126=$AI$13,6,IF(H126=$AI$14,9,14)),FALSE)</f>
        <v>1</v>
      </c>
      <c r="U126" s="772"/>
      <c r="V126" s="199">
        <f t="shared" ref="V126" ca="1" si="143">IF(IF(RIGHT(H126,2)="PH",(1-L126)+$W$2,IF(RIGHT(H126,2)="HT",(1-L126)+$W$1,IF(RIGHT(H126,2)="SH",(1-L126)+$W$3,"")))&gt;0,IF(RIGHT(H126,2)="PH",(1-L126)+$W$2,IF(RIGHT(H126,2)="HT",(1-L126)+$W$1,IF(RIGHT(H126,2)="SH",(1-L126)+$W$3,""))),0)</f>
        <v>6.0000000000000053E-2</v>
      </c>
      <c r="W126" s="298"/>
      <c r="X126" s="698">
        <f t="shared" ca="1" si="80"/>
        <v>0.5</v>
      </c>
      <c r="Y126" s="81">
        <f t="shared" ca="1" si="128"/>
        <v>25</v>
      </c>
      <c r="Z126" s="81">
        <f t="shared" ca="1" si="129"/>
        <v>0</v>
      </c>
      <c r="AA126" s="81">
        <f t="shared" ca="1" si="130"/>
        <v>0</v>
      </c>
      <c r="AB126" s="81">
        <f t="shared" ca="1" si="131"/>
        <v>0.1</v>
      </c>
      <c r="AC126" s="296"/>
      <c r="AD126" s="81">
        <v>2020</v>
      </c>
      <c r="AE126" s="81"/>
      <c r="AF126" s="710"/>
    </row>
    <row r="127" spans="2:32">
      <c r="B127" s="718" t="s">
        <v>1009</v>
      </c>
      <c r="C127" s="226"/>
      <c r="D127" s="212"/>
      <c r="E127" s="212"/>
      <c r="F127" s="224" t="s">
        <v>1149</v>
      </c>
      <c r="H127" s="174"/>
      <c r="I127" s="174" t="str">
        <f t="shared" si="38"/>
        <v>INDGWH</v>
      </c>
      <c r="J127" s="224">
        <f t="shared" si="32"/>
        <v>2030</v>
      </c>
      <c r="K127" s="81"/>
      <c r="L127" s="199">
        <f t="shared" ca="1" si="123"/>
        <v>0.95</v>
      </c>
      <c r="M127" s="199"/>
      <c r="N127" s="81"/>
      <c r="O127" s="723">
        <f t="shared" ca="1" si="124"/>
        <v>0.3469940346244772</v>
      </c>
      <c r="P127" s="723">
        <f t="shared" ca="1" si="125"/>
        <v>1.2664999999999999E-2</v>
      </c>
      <c r="Q127" s="81">
        <f t="shared" ca="1" si="126"/>
        <v>1.8625</v>
      </c>
      <c r="R127" s="300"/>
      <c r="S127" s="300"/>
      <c r="T127" s="300"/>
      <c r="U127" s="300"/>
      <c r="V127" s="199">
        <f t="shared" ref="V127" ca="1" si="144">IF(IF(RIGHT(H126,2)="PH",(1-L127)+$W$2,IF(RIGHT(H126,2)="HT",(1-L127)+$W$1,IF(RIGHT(H126,2)="SH",(1-L127)+$W$3,"")))&gt;0,IF(RIGHT(H126,2)="PH",(1-L127)+$W$2,IF(RIGHT(H126,2)="HT",(1-L127)+$W$1,IF(RIGHT(H126,2)="SH",(1-L127)+$W$3,""))),0)</f>
        <v>5.0000000000000044E-2</v>
      </c>
      <c r="W127" s="298"/>
      <c r="X127" s="698">
        <f t="shared" ref="X127:X158" ca="1" si="145">IF(VLOOKUP($AD127,INDIRECT("'"&amp;$B127&amp;"'!"&amp;"$P$39:$AD$42"),11,FALSE)="Cf. the utilized electricity",0,VLOOKUP($AD127,INDIRECT("'"&amp;$B127&amp;"'!"&amp;"$P$39:$AD$42"),11,FALSE))</f>
        <v>0.5</v>
      </c>
      <c r="Y127" s="81">
        <f t="shared" ca="1" si="128"/>
        <v>20</v>
      </c>
      <c r="Z127" s="81">
        <f t="shared" ca="1" si="129"/>
        <v>0</v>
      </c>
      <c r="AA127" s="81">
        <f t="shared" ca="1" si="130"/>
        <v>0</v>
      </c>
      <c r="AB127" s="81">
        <f t="shared" ca="1" si="131"/>
        <v>0.1</v>
      </c>
      <c r="AC127" s="55"/>
      <c r="AD127" s="81">
        <v>2030</v>
      </c>
      <c r="AE127" s="81"/>
      <c r="AF127" s="700"/>
    </row>
    <row r="128" spans="2:32">
      <c r="B128" s="719" t="s">
        <v>1009</v>
      </c>
      <c r="C128" s="713"/>
      <c r="D128" s="701"/>
      <c r="E128" s="701"/>
      <c r="F128" s="224" t="s">
        <v>1149</v>
      </c>
      <c r="G128" s="203"/>
      <c r="H128" s="702"/>
      <c r="I128" s="702" t="str">
        <f t="shared" si="38"/>
        <v>INDGWH</v>
      </c>
      <c r="J128" s="224">
        <f t="shared" ref="J128:J186" si="146">IF(AD128=2020,2011,AD128)</f>
        <v>2050</v>
      </c>
      <c r="K128" s="81"/>
      <c r="L128" s="199">
        <f t="shared" ca="1" si="123"/>
        <v>0.96</v>
      </c>
      <c r="M128" s="199"/>
      <c r="N128" s="81"/>
      <c r="O128" s="723">
        <f t="shared" ca="1" si="124"/>
        <v>0.32813985758696651</v>
      </c>
      <c r="P128" s="723">
        <f t="shared" ca="1" si="125"/>
        <v>1.1175000000000001E-2</v>
      </c>
      <c r="Q128" s="81">
        <f t="shared" ca="1" si="126"/>
        <v>1.8625</v>
      </c>
      <c r="R128" s="703"/>
      <c r="S128" s="703"/>
      <c r="T128" s="703"/>
      <c r="U128" s="703"/>
      <c r="V128" s="199">
        <f t="shared" ref="V128" ca="1" si="147">IF(IF(RIGHT(H126,2)="PH",(1-L128)+$W$2,IF(RIGHT(H126,2)="HT",(1-L128)+$W$1,IF(RIGHT(H126,2)="SH",(1-L128)+$W$3,"")))&gt;0,IF(RIGHT(H126,2)="PH",(1-L128)+$W$2,IF(RIGHT(H126,2)="HT",(1-L128)+$W$1,IF(RIGHT(H126,2)="SH",(1-L128)+$W$3,""))),0)</f>
        <v>4.0000000000000036E-2</v>
      </c>
      <c r="W128" s="704"/>
      <c r="X128" s="698">
        <f t="shared" ca="1" si="145"/>
        <v>0.5</v>
      </c>
      <c r="Y128" s="81">
        <f t="shared" ca="1" si="128"/>
        <v>15</v>
      </c>
      <c r="Z128" s="81">
        <f t="shared" ca="1" si="129"/>
        <v>0</v>
      </c>
      <c r="AA128" s="81">
        <f t="shared" ca="1" si="130"/>
        <v>0</v>
      </c>
      <c r="AB128" s="81">
        <f t="shared" ca="1" si="131"/>
        <v>0.1</v>
      </c>
      <c r="AC128" s="55"/>
      <c r="AD128" s="81">
        <v>2050</v>
      </c>
      <c r="AE128" s="81"/>
      <c r="AF128" s="700"/>
    </row>
    <row r="129" spans="2:32">
      <c r="B129" s="718" t="s">
        <v>1009</v>
      </c>
      <c r="C129" s="226"/>
      <c r="D129" s="212" t="str">
        <f>"IND"&amp;RIGHT(H129,4)&amp;"DSL"&amp;"N"&amp;RIGHT(E129,1)</f>
        <v>INDGDPHDSLN2</v>
      </c>
      <c r="E129" s="707" t="str">
        <f>"Industrial heating technology "&amp;$AJ$12&amp;" "&amp;RIGHT(H129,2)&amp;" - Oil boiler (Steam - condensing) - new 2"</f>
        <v>Industrial heating technology Glass &amp; Concrete PH - Oil boiler (Steam - condensing) - new 2</v>
      </c>
      <c r="F129" s="224" t="s">
        <v>1149</v>
      </c>
      <c r="G129" s="173" t="s">
        <v>2081</v>
      </c>
      <c r="H129" s="708" t="str">
        <f>$AI$14</f>
        <v>IGDPH</v>
      </c>
      <c r="I129" s="708" t="str">
        <f t="shared" si="38"/>
        <v>INDGWH</v>
      </c>
      <c r="J129" s="224">
        <f t="shared" si="146"/>
        <v>2011</v>
      </c>
      <c r="K129" s="299">
        <v>2025</v>
      </c>
      <c r="L129" s="199">
        <f t="shared" ref="L129:L134" ca="1" si="148">VLOOKUP($AD129,INDIRECT("'"&amp;$B129&amp;"'!"&amp;"$P$118:$AD$121"),3,FALSE)</f>
        <v>0.95</v>
      </c>
      <c r="M129" s="199"/>
      <c r="N129" s="81">
        <f ca="1">VLOOKUP($AD129,INDIRECT("'"&amp;$B129&amp;"'!"&amp;"$P$118:$AD$121"),5,FALSE)</f>
        <v>25</v>
      </c>
      <c r="O129" s="723">
        <f t="shared" ref="O129:O134" ca="1" si="149">VLOOKUP($AD129,INDIRECT("'"&amp;$B129&amp;"'!"&amp;"$P$118:$AD$121"),6,FALSE)/1000</f>
        <v>0.32780000000000004</v>
      </c>
      <c r="P129" s="723">
        <f t="shared" ref="P129:P134" ca="1" si="150">VLOOKUP($AD129,INDIRECT("'"&amp;$B129&amp;"'!"&amp;"$P$118:$AD$121"),7,FALSE)/1000</f>
        <v>1.341E-2</v>
      </c>
      <c r="Q129" s="81">
        <f t="shared" ref="Q129:Q134" ca="1" si="151">VLOOKUP($AD129,INDIRECT("'"&amp;$B129&amp;"'!"&amp;"$P$118:$AD$121"),8,FALSE)</f>
        <v>2.0694444444444446</v>
      </c>
      <c r="R129" s="81">
        <v>3.1536000000000002E-2</v>
      </c>
      <c r="S129" s="199">
        <v>0.5</v>
      </c>
      <c r="T129" s="199">
        <f ca="1">HLOOKUP($T$2,INDIRECT("'"&amp;$B129&amp;"'!"&amp;"$P$85:$AC$98"),IF(H129=$AI$13,6,IF(H129=$AI$14,9,14)),FALSE)</f>
        <v>0</v>
      </c>
      <c r="U129" s="773"/>
      <c r="V129" s="199">
        <f t="shared" ref="V129" ca="1" si="152">IF(IF(RIGHT(H129,2)="PH",(1-L129)+$W$2,IF(RIGHT(H129,2)="HT",(1-L129)+$W$1,IF(RIGHT(H129,2)="SH",(1-L129)+$W$3,"")))&gt;0,IF(RIGHT(H129,2)="PH",(1-L129)+$W$2,IF(RIGHT(H129,2)="HT",(1-L129)+$W$1,IF(RIGHT(H129,2)="SH",(1-L129)+$W$3,""))),0)</f>
        <v>0.25000000000000006</v>
      </c>
      <c r="W129" s="709"/>
      <c r="X129" s="698">
        <f t="shared" ca="1" si="145"/>
        <v>0.5</v>
      </c>
      <c r="Y129" s="698">
        <f t="shared" ref="Y129:Y134" ca="1" si="153">VLOOKUP($AD129,INDIRECT("'"&amp;$B129&amp;"'!"&amp;"$P$118:$AD$121"),12,FALSE)</f>
        <v>25</v>
      </c>
      <c r="Z129" s="698">
        <f t="shared" ref="Z129:Z134" ca="1" si="154">VLOOKUP($AD129,INDIRECT("'"&amp;$B129&amp;"'!"&amp;"$P$118:$AD$121"),13,FALSE)</f>
        <v>0</v>
      </c>
      <c r="AA129" s="698">
        <f t="shared" ref="AA129:AA134" ca="1" si="155">VLOOKUP($AD129,INDIRECT("'"&amp;$B129&amp;"'!"&amp;"$P$118:$AD$121"),14,FALSE)</f>
        <v>0</v>
      </c>
      <c r="AB129" s="698">
        <f t="shared" ref="AB129:AB134" ca="1" si="156">VLOOKUP($AD129,INDIRECT("'"&amp;$B129&amp;"'!"&amp;"$P$118:$AD$121"),15,FALSE)</f>
        <v>0.1</v>
      </c>
      <c r="AC129" s="55"/>
      <c r="AD129" s="81">
        <v>2020</v>
      </c>
      <c r="AE129" s="81"/>
      <c r="AF129" s="700"/>
    </row>
    <row r="130" spans="2:32">
      <c r="B130" s="718" t="s">
        <v>1009</v>
      </c>
      <c r="C130" s="226"/>
      <c r="D130" s="212"/>
      <c r="E130" s="261"/>
      <c r="F130" s="224" t="s">
        <v>1149</v>
      </c>
      <c r="G130" s="55"/>
      <c r="H130" s="174"/>
      <c r="I130" s="174" t="str">
        <f t="shared" si="38"/>
        <v>INDGWH</v>
      </c>
      <c r="J130" s="224">
        <f t="shared" si="146"/>
        <v>2030</v>
      </c>
      <c r="K130" s="81"/>
      <c r="L130" s="199">
        <f t="shared" ca="1" si="148"/>
        <v>0.96</v>
      </c>
      <c r="M130" s="199"/>
      <c r="N130" s="81"/>
      <c r="O130" s="723">
        <f t="shared" ca="1" si="149"/>
        <v>0.27759522769958173</v>
      </c>
      <c r="P130" s="723">
        <f t="shared" ca="1" si="150"/>
        <v>1.2664999999999999E-2</v>
      </c>
      <c r="Q130" s="81">
        <f t="shared" ca="1" si="151"/>
        <v>1.8625</v>
      </c>
      <c r="R130" s="300"/>
      <c r="S130" s="300"/>
      <c r="T130" s="300"/>
      <c r="U130" s="300"/>
      <c r="V130" s="199">
        <f t="shared" ref="V130" ca="1" si="157">IF(IF(RIGHT(H129,2)="PH",(1-L130)+$W$2,IF(RIGHT(H129,2)="HT",(1-L130)+$W$1,IF(RIGHT(H129,2)="SH",(1-L130)+$W$3,"")))&gt;0,IF(RIGHT(H129,2)="PH",(1-L130)+$W$2,IF(RIGHT(H129,2)="HT",(1-L130)+$W$1,IF(RIGHT(H129,2)="SH",(1-L130)+$W$3,""))),0)</f>
        <v>0.24000000000000005</v>
      </c>
      <c r="W130" s="298"/>
      <c r="X130" s="698">
        <f t="shared" ca="1" si="145"/>
        <v>0.5</v>
      </c>
      <c r="Y130" s="698">
        <f t="shared" ca="1" si="153"/>
        <v>20</v>
      </c>
      <c r="Z130" s="698">
        <f t="shared" ca="1" si="154"/>
        <v>0</v>
      </c>
      <c r="AA130" s="698">
        <f t="shared" ca="1" si="155"/>
        <v>0</v>
      </c>
      <c r="AB130" s="698">
        <f t="shared" ca="1" si="156"/>
        <v>0.1</v>
      </c>
      <c r="AC130" s="55"/>
      <c r="AD130" s="81">
        <v>2030</v>
      </c>
      <c r="AE130" s="81"/>
      <c r="AF130" s="700"/>
    </row>
    <row r="131" spans="2:32">
      <c r="B131" s="718" t="s">
        <v>1009</v>
      </c>
      <c r="C131" s="226"/>
      <c r="E131" s="261"/>
      <c r="F131" s="224" t="s">
        <v>1149</v>
      </c>
      <c r="G131" s="55"/>
      <c r="H131" s="174"/>
      <c r="I131" s="174" t="str">
        <f t="shared" si="38"/>
        <v>INDGWH</v>
      </c>
      <c r="J131" s="224">
        <f t="shared" si="146"/>
        <v>2050</v>
      </c>
      <c r="K131" s="81"/>
      <c r="L131" s="199">
        <f t="shared" ca="1" si="148"/>
        <v>0.97</v>
      </c>
      <c r="M131" s="199"/>
      <c r="N131" s="81"/>
      <c r="O131" s="723">
        <f t="shared" ca="1" si="149"/>
        <v>0.26251188606957326</v>
      </c>
      <c r="P131" s="723">
        <f t="shared" ca="1" si="150"/>
        <v>1.1175000000000001E-2</v>
      </c>
      <c r="Q131" s="81">
        <f t="shared" ca="1" si="151"/>
        <v>1.8625</v>
      </c>
      <c r="R131" s="300"/>
      <c r="S131" s="300"/>
      <c r="T131" s="300"/>
      <c r="U131" s="300"/>
      <c r="V131" s="199">
        <f t="shared" ref="V131" ca="1" si="158">IF(IF(RIGHT(H129,2)="PH",(1-L131)+$W$2,IF(RIGHT(H129,2)="HT",(1-L131)+$W$1,IF(RIGHT(H129,2)="SH",(1-L131)+$W$3,"")))&gt;0,IF(RIGHT(H129,2)="PH",(1-L131)+$W$2,IF(RIGHT(H129,2)="HT",(1-L131)+$W$1,IF(RIGHT(H129,2)="SH",(1-L131)+$W$3,""))),0)</f>
        <v>0.23000000000000004</v>
      </c>
      <c r="W131" s="298"/>
      <c r="X131" s="698">
        <f t="shared" ca="1" si="145"/>
        <v>0.5</v>
      </c>
      <c r="Y131" s="698">
        <f t="shared" ca="1" si="153"/>
        <v>15</v>
      </c>
      <c r="Z131" s="698">
        <f t="shared" ca="1" si="154"/>
        <v>0</v>
      </c>
      <c r="AA131" s="698">
        <f t="shared" ca="1" si="155"/>
        <v>0</v>
      </c>
      <c r="AB131" s="698">
        <f t="shared" ca="1" si="156"/>
        <v>0.1</v>
      </c>
      <c r="AC131" s="203"/>
      <c r="AD131" s="81">
        <v>2050</v>
      </c>
      <c r="AE131" s="81"/>
      <c r="AF131" s="705"/>
    </row>
    <row r="132" spans="2:32">
      <c r="B132" s="718" t="s">
        <v>1009</v>
      </c>
      <c r="C132" s="226"/>
      <c r="D132" s="212" t="str">
        <f>"IND"&amp;RIGHT(H132,4)&amp;"DSL"&amp;"N"&amp;RIGHT(E132,1)</f>
        <v>INDGDSHDSLN2</v>
      </c>
      <c r="E132" s="261" t="str">
        <f>"Industrial heating technology "&amp;$AJ$12&amp;" "&amp;RIGHT(H132,2)&amp;" - Oil boiler (Steam - condensing) - new 2"</f>
        <v>Industrial heating technology Glass &amp; Concrete SH - Oil boiler (Steam - condensing) - new 2</v>
      </c>
      <c r="F132" s="224" t="s">
        <v>1149</v>
      </c>
      <c r="G132" s="173" t="s">
        <v>2081</v>
      </c>
      <c r="H132" s="174" t="str">
        <f>$AI$15</f>
        <v>IGDSH</v>
      </c>
      <c r="I132" s="174" t="str">
        <f t="shared" si="38"/>
        <v>INDGWH</v>
      </c>
      <c r="J132" s="224">
        <f t="shared" si="146"/>
        <v>2011</v>
      </c>
      <c r="K132" s="299">
        <v>2025</v>
      </c>
      <c r="L132" s="199">
        <f t="shared" ca="1" si="148"/>
        <v>0.95</v>
      </c>
      <c r="M132" s="199"/>
      <c r="N132" s="81">
        <f ca="1">VLOOKUP($AD132,INDIRECT("'"&amp;$B132&amp;"'!"&amp;"$P$118:$AD$121"),5,FALSE)</f>
        <v>25</v>
      </c>
      <c r="O132" s="723">
        <f t="shared" ca="1" si="149"/>
        <v>0.32780000000000004</v>
      </c>
      <c r="P132" s="723">
        <f t="shared" ca="1" si="150"/>
        <v>1.341E-2</v>
      </c>
      <c r="Q132" s="81">
        <f t="shared" ca="1" si="151"/>
        <v>2.0694444444444446</v>
      </c>
      <c r="R132" s="81">
        <v>3.1536000000000002E-2</v>
      </c>
      <c r="S132" s="199">
        <v>0.5</v>
      </c>
      <c r="T132" s="199">
        <f ca="1">HLOOKUP($T$2,INDIRECT("'"&amp;$B132&amp;"'!"&amp;"$P$85:$AC$98"),IF(H132=$AI$13,6,IF(H132=$AI$14,9,14)),FALSE)</f>
        <v>1</v>
      </c>
      <c r="U132" s="772"/>
      <c r="V132" s="199">
        <f t="shared" ref="V132" ca="1" si="159">IF(IF(RIGHT(H132,2)="PH",(1-L132)+$W$2,IF(RIGHT(H132,2)="HT",(1-L132)+$W$1,IF(RIGHT(H132,2)="SH",(1-L132)+$W$3,"")))&gt;0,IF(RIGHT(H132,2)="PH",(1-L132)+$W$2,IF(RIGHT(H132,2)="HT",(1-L132)+$W$1,IF(RIGHT(H132,2)="SH",(1-L132)+$W$3,""))),0)</f>
        <v>5.0000000000000044E-2</v>
      </c>
      <c r="W132" s="298"/>
      <c r="X132" s="698">
        <f t="shared" ca="1" si="145"/>
        <v>0.5</v>
      </c>
      <c r="Y132" s="698">
        <f t="shared" ca="1" si="153"/>
        <v>25</v>
      </c>
      <c r="Z132" s="698">
        <f t="shared" ca="1" si="154"/>
        <v>0</v>
      </c>
      <c r="AA132" s="698">
        <f t="shared" ca="1" si="155"/>
        <v>0</v>
      </c>
      <c r="AB132" s="698">
        <f t="shared" ca="1" si="156"/>
        <v>0.1</v>
      </c>
      <c r="AD132" s="81">
        <v>2020</v>
      </c>
      <c r="AE132" s="299"/>
      <c r="AF132" s="220"/>
    </row>
    <row r="133" spans="2:32">
      <c r="B133" s="718" t="s">
        <v>1009</v>
      </c>
      <c r="C133" s="226"/>
      <c r="E133" s="261"/>
      <c r="F133" s="224" t="s">
        <v>1149</v>
      </c>
      <c r="G133" s="55"/>
      <c r="H133" s="174"/>
      <c r="I133" s="174" t="str">
        <f t="shared" si="38"/>
        <v>INDGWH</v>
      </c>
      <c r="J133" s="224">
        <f t="shared" si="146"/>
        <v>2030</v>
      </c>
      <c r="K133" s="81"/>
      <c r="L133" s="199">
        <f t="shared" ca="1" si="148"/>
        <v>0.96</v>
      </c>
      <c r="M133" s="199"/>
      <c r="N133" s="81"/>
      <c r="O133" s="723">
        <f t="shared" ca="1" si="149"/>
        <v>0.27759522769958173</v>
      </c>
      <c r="P133" s="723">
        <f t="shared" ca="1" si="150"/>
        <v>1.2664999999999999E-2</v>
      </c>
      <c r="Q133" s="81">
        <f t="shared" ca="1" si="151"/>
        <v>1.8625</v>
      </c>
      <c r="R133" s="300"/>
      <c r="S133" s="300"/>
      <c r="T133" s="300"/>
      <c r="U133" s="300"/>
      <c r="V133" s="199">
        <f t="shared" ref="V133" ca="1" si="160">IF(IF(RIGHT(H132,2)="PH",(1-L133)+$W$2,IF(RIGHT(H132,2)="HT",(1-L133)+$W$1,IF(RIGHT(H132,2)="SH",(1-L133)+$W$3,"")))&gt;0,IF(RIGHT(H132,2)="PH",(1-L133)+$W$2,IF(RIGHT(H132,2)="HT",(1-L133)+$W$1,IF(RIGHT(H132,2)="SH",(1-L133)+$W$3,""))),0)</f>
        <v>4.0000000000000036E-2</v>
      </c>
      <c r="W133" s="298"/>
      <c r="X133" s="698">
        <f t="shared" ca="1" si="145"/>
        <v>0.5</v>
      </c>
      <c r="Y133" s="698">
        <f t="shared" ca="1" si="153"/>
        <v>20</v>
      </c>
      <c r="Z133" s="698">
        <f t="shared" ca="1" si="154"/>
        <v>0</v>
      </c>
      <c r="AA133" s="698">
        <f t="shared" ca="1" si="155"/>
        <v>0</v>
      </c>
      <c r="AB133" s="698">
        <f t="shared" ca="1" si="156"/>
        <v>0.1</v>
      </c>
      <c r="AD133" s="81">
        <v>2030</v>
      </c>
      <c r="AE133" s="81"/>
      <c r="AF133" s="220"/>
    </row>
    <row r="134" spans="2:32">
      <c r="B134" s="719" t="s">
        <v>1009</v>
      </c>
      <c r="C134" s="713"/>
      <c r="D134" s="701"/>
      <c r="E134" s="701"/>
      <c r="F134" s="224" t="s">
        <v>1149</v>
      </c>
      <c r="G134" s="203"/>
      <c r="H134" s="702"/>
      <c r="I134" s="702" t="str">
        <f t="shared" si="38"/>
        <v>INDGWH</v>
      </c>
      <c r="J134" s="224">
        <f t="shared" si="146"/>
        <v>2050</v>
      </c>
      <c r="K134" s="81"/>
      <c r="L134" s="199">
        <f t="shared" ca="1" si="148"/>
        <v>0.97</v>
      </c>
      <c r="M134" s="199"/>
      <c r="N134" s="81"/>
      <c r="O134" s="723">
        <f t="shared" ca="1" si="149"/>
        <v>0.26251188606957326</v>
      </c>
      <c r="P134" s="723">
        <f t="shared" ca="1" si="150"/>
        <v>1.1175000000000001E-2</v>
      </c>
      <c r="Q134" s="81">
        <f t="shared" ca="1" si="151"/>
        <v>1.8625</v>
      </c>
      <c r="R134" s="703"/>
      <c r="S134" s="703"/>
      <c r="T134" s="703"/>
      <c r="U134" s="703"/>
      <c r="V134" s="199">
        <f t="shared" ref="V134" ca="1" si="161">IF(IF(RIGHT(H132,2)="PH",(1-L134)+$W$2,IF(RIGHT(H132,2)="HT",(1-L134)+$W$1,IF(RIGHT(H132,2)="SH",(1-L134)+$W$3,"")))&gt;0,IF(RIGHT(H132,2)="PH",(1-L134)+$W$2,IF(RIGHT(H132,2)="HT",(1-L134)+$W$1,IF(RIGHT(H132,2)="SH",(1-L134)+$W$3,""))),0)</f>
        <v>3.0000000000000027E-2</v>
      </c>
      <c r="W134" s="704"/>
      <c r="X134" s="698">
        <f t="shared" ca="1" si="145"/>
        <v>0.5</v>
      </c>
      <c r="Y134" s="698">
        <f t="shared" ca="1" si="153"/>
        <v>15</v>
      </c>
      <c r="Z134" s="698">
        <f t="shared" ca="1" si="154"/>
        <v>0</v>
      </c>
      <c r="AA134" s="698">
        <f t="shared" ca="1" si="155"/>
        <v>0</v>
      </c>
      <c r="AB134" s="698">
        <f t="shared" ca="1" si="156"/>
        <v>0.1</v>
      </c>
      <c r="AD134" s="81">
        <v>2050</v>
      </c>
      <c r="AE134" s="81"/>
      <c r="AF134" s="220"/>
    </row>
    <row r="135" spans="2:32">
      <c r="B135" s="718" t="s">
        <v>1010</v>
      </c>
      <c r="C135" s="226"/>
      <c r="D135" s="212" t="str">
        <f>"IND"&amp;RIGHT(H135,4)&amp;"GAS"&amp;"N"&amp;RIGHT(E135,1)</f>
        <v>INDGDPHGASN1</v>
      </c>
      <c r="E135" s="261" t="str">
        <f>"Industrial heating technology "&amp;$AJ$12&amp;" "&amp;RIGHT(H135,2)&amp;" - Gas boiler (Steam) - new 1"</f>
        <v>Industrial heating technology Glass &amp; Concrete PH - Gas boiler (Steam) - new 1</v>
      </c>
      <c r="F135" s="224" t="s">
        <v>1149</v>
      </c>
      <c r="G135" s="173" t="s">
        <v>2080</v>
      </c>
      <c r="H135" s="174" t="str">
        <f>$AI$13</f>
        <v>IGDPH</v>
      </c>
      <c r="I135" s="174" t="str">
        <f t="shared" ref="I135:I182" si="162">$AI$20</f>
        <v>INDGWH</v>
      </c>
      <c r="J135" s="224">
        <f t="shared" si="146"/>
        <v>2011</v>
      </c>
      <c r="K135" s="299">
        <v>2011</v>
      </c>
      <c r="L135" s="199">
        <f t="shared" ref="L135:L143" ca="1" si="163">VLOOKUP($AD135,INDIRECT("'"&amp;$B135&amp;"'!"&amp;"$P$39:$AD$42"),3,FALSE)</f>
        <v>0.92</v>
      </c>
      <c r="M135" s="699"/>
      <c r="N135" s="299">
        <f ca="1">VLOOKUP($AD135,INDIRECT("'"&amp;$B135&amp;"'!"&amp;"$P$39:$AD$42"),5,FALSE)</f>
        <v>25</v>
      </c>
      <c r="O135" s="725">
        <f t="shared" ref="O135:O143" ca="1" si="164">VLOOKUP($AD135,INDIRECT("'"&amp;$B135&amp;"'!"&amp;"$P$39:$AD$42"),6,FALSE)/1000</f>
        <v>0.40636363636363632</v>
      </c>
      <c r="P135" s="725">
        <f t="shared" ref="P135:P143" ca="1" si="165">VLOOKUP($AD135,INDIRECT("'"&amp;$B135&amp;"'!"&amp;"$P$39:$AD$42"),7,FALSE)/1000</f>
        <v>1.49E-2</v>
      </c>
      <c r="Q135" s="299">
        <f t="shared" ref="Q135:Q143" ca="1" si="166">VLOOKUP($AD135,INDIRECT("'"&amp;$B135&amp;"'!"&amp;"$P$39:$AD$42"),8,FALSE)</f>
        <v>2.276388888888889</v>
      </c>
      <c r="R135" s="299">
        <v>3.1536000000000002E-2</v>
      </c>
      <c r="S135" s="699">
        <v>0.5</v>
      </c>
      <c r="T135" s="699">
        <f ca="1">HLOOKUP($T$2,INDIRECT("'"&amp;$B135&amp;"'!"&amp;"$P$6:$AC$19"),IF(H135=$AI$13,6,IF(H135=$AI$14,9,14)),FALSE)</f>
        <v>1</v>
      </c>
      <c r="U135" s="772"/>
      <c r="V135" s="199">
        <f t="shared" ref="V135" ca="1" si="167">IF(IF(RIGHT(H135,2)="PH",(1-L135)+$W$2,IF(RIGHT(H135,2)="HT",(1-L135)+$W$1,IF(RIGHT(H135,2)="SH",(1-L135)+$W$3,"")))&gt;0,IF(RIGHT(H135,2)="PH",(1-L135)+$W$2,IF(RIGHT(H135,2)="HT",(1-L135)+$W$1,IF(RIGHT(H135,2)="SH",(1-L135)+$W$3,""))),0)</f>
        <v>0.27999999999999997</v>
      </c>
      <c r="W135" s="298"/>
      <c r="X135" s="698">
        <f t="shared" ca="1" si="145"/>
        <v>0.3</v>
      </c>
      <c r="Y135" s="299">
        <f t="shared" ref="Y135:Y143" ca="1" si="168">VLOOKUP($AD135,INDIRECT("'"&amp;$B135&amp;"'!"&amp;"$P$39:$AD$42"),12,FALSE)</f>
        <v>9</v>
      </c>
      <c r="Z135" s="299">
        <f t="shared" ref="Z135:Z143" ca="1" si="169">VLOOKUP($AD135,INDIRECT("'"&amp;$B135&amp;"'!"&amp;"$P$39:$AD$42"),13,FALSE)</f>
        <v>3</v>
      </c>
      <c r="AA135" s="299">
        <f t="shared" ref="AA135:AA143" ca="1" si="170">VLOOKUP($AD135,INDIRECT("'"&amp;$B135&amp;"'!"&amp;"$P$39:$AD$42"),14,FALSE)</f>
        <v>1</v>
      </c>
      <c r="AB135" s="299">
        <f t="shared" ref="AB135:AB143" ca="1" si="171">VLOOKUP($AD135,INDIRECT("'"&amp;$B135&amp;"'!"&amp;"$P$39:$AD$42"),15,FALSE)</f>
        <v>0.1</v>
      </c>
      <c r="AD135" s="299">
        <v>2020</v>
      </c>
      <c r="AE135" s="81"/>
      <c r="AF135" s="220"/>
    </row>
    <row r="136" spans="2:32">
      <c r="B136" s="718" t="s">
        <v>1010</v>
      </c>
      <c r="C136" s="226"/>
      <c r="E136" s="212"/>
      <c r="F136" s="224" t="s">
        <v>1149</v>
      </c>
      <c r="H136" s="174"/>
      <c r="I136" s="174" t="str">
        <f t="shared" si="162"/>
        <v>INDGWH</v>
      </c>
      <c r="J136" s="224">
        <f t="shared" si="146"/>
        <v>2030</v>
      </c>
      <c r="K136" s="81"/>
      <c r="L136" s="199">
        <f t="shared" ca="1" si="163"/>
        <v>0.93</v>
      </c>
      <c r="M136" s="199"/>
      <c r="N136" s="81"/>
      <c r="O136" s="723">
        <f t="shared" ca="1" si="164"/>
        <v>0.33863636363636368</v>
      </c>
      <c r="P136" s="723">
        <f t="shared" ca="1" si="165"/>
        <v>1.4154999999999999E-2</v>
      </c>
      <c r="Q136" s="81">
        <f t="shared" ca="1" si="166"/>
        <v>2.0694444444444446</v>
      </c>
      <c r="R136" s="300"/>
      <c r="S136" s="300"/>
      <c r="T136" s="300"/>
      <c r="U136" s="300"/>
      <c r="V136" s="199">
        <f t="shared" ref="V136" ca="1" si="172">IF(IF(RIGHT(H135,2)="PH",(1-L136)+$W$2,IF(RIGHT(H135,2)="HT",(1-L136)+$W$1,IF(RIGHT(H135,2)="SH",(1-L136)+$W$3,"")))&gt;0,IF(RIGHT(H135,2)="PH",(1-L136)+$W$2,IF(RIGHT(H135,2)="HT",(1-L136)+$W$1,IF(RIGHT(H135,2)="SH",(1-L136)+$W$3,""))),0)</f>
        <v>0.26999999999999996</v>
      </c>
      <c r="W136" s="298"/>
      <c r="X136" s="698">
        <f t="shared" ca="1" si="145"/>
        <v>0.3</v>
      </c>
      <c r="Y136" s="81">
        <f t="shared" ca="1" si="168"/>
        <v>7</v>
      </c>
      <c r="Z136" s="81">
        <f t="shared" ca="1" si="169"/>
        <v>2</v>
      </c>
      <c r="AA136" s="81">
        <f t="shared" ca="1" si="170"/>
        <v>1</v>
      </c>
      <c r="AB136" s="81">
        <f t="shared" ca="1" si="171"/>
        <v>0.1</v>
      </c>
      <c r="AD136" s="81">
        <v>2030</v>
      </c>
      <c r="AE136" s="81"/>
      <c r="AF136" s="220"/>
    </row>
    <row r="137" spans="2:32">
      <c r="B137" s="718" t="s">
        <v>1010</v>
      </c>
      <c r="C137" s="226"/>
      <c r="E137" s="212"/>
      <c r="F137" s="224" t="s">
        <v>1149</v>
      </c>
      <c r="H137" s="174"/>
      <c r="I137" s="174" t="str">
        <f t="shared" si="162"/>
        <v>INDGWH</v>
      </c>
      <c r="J137" s="224">
        <f t="shared" si="146"/>
        <v>2050</v>
      </c>
      <c r="K137" s="81"/>
      <c r="L137" s="199">
        <f t="shared" ca="1" si="163"/>
        <v>0.94</v>
      </c>
      <c r="M137" s="199"/>
      <c r="N137" s="81"/>
      <c r="O137" s="723">
        <f t="shared" ca="1" si="164"/>
        <v>0.33863636363636368</v>
      </c>
      <c r="P137" s="723">
        <f t="shared" ca="1" si="165"/>
        <v>1.2664999999999999E-2</v>
      </c>
      <c r="Q137" s="81">
        <f t="shared" ca="1" si="166"/>
        <v>2.0694444444444446</v>
      </c>
      <c r="R137" s="300"/>
      <c r="S137" s="300"/>
      <c r="T137" s="300"/>
      <c r="U137" s="300"/>
      <c r="V137" s="199">
        <f t="shared" ref="V137" ca="1" si="173">IF(IF(RIGHT(H135,2)="PH",(1-L137)+$W$2,IF(RIGHT(H135,2)="HT",(1-L137)+$W$1,IF(RIGHT(H135,2)="SH",(1-L137)+$W$3,"")))&gt;0,IF(RIGHT(H135,2)="PH",(1-L137)+$W$2,IF(RIGHT(H135,2)="HT",(1-L137)+$W$1,IF(RIGHT(H135,2)="SH",(1-L137)+$W$3,""))),0)</f>
        <v>0.26000000000000006</v>
      </c>
      <c r="W137" s="298"/>
      <c r="X137" s="698">
        <f t="shared" ca="1" si="145"/>
        <v>0.3</v>
      </c>
      <c r="Y137" s="81">
        <f t="shared" ca="1" si="168"/>
        <v>6</v>
      </c>
      <c r="Z137" s="81">
        <f t="shared" ca="1" si="169"/>
        <v>2</v>
      </c>
      <c r="AA137" s="81">
        <f t="shared" ca="1" si="170"/>
        <v>1</v>
      </c>
      <c r="AB137" s="81">
        <f t="shared" ca="1" si="171"/>
        <v>0.1</v>
      </c>
      <c r="AD137" s="81">
        <v>2050</v>
      </c>
      <c r="AE137" s="81"/>
      <c r="AF137" s="220"/>
    </row>
    <row r="138" spans="2:32">
      <c r="B138" s="718" t="s">
        <v>1010</v>
      </c>
      <c r="C138" s="226"/>
      <c r="D138" s="212" t="str">
        <f>"IND"&amp;RIGHT(H138,4)&amp;"GAS"&amp;"N"&amp;RIGHT(E138,1)</f>
        <v>INDGDPHGASN1</v>
      </c>
      <c r="E138" s="261" t="str">
        <f>"Industrial heating technology "&amp;$AJ$12&amp;" "&amp;RIGHT(H138,2)&amp;" - Gas boiler (Steam) - new 1"</f>
        <v>Industrial heating technology Glass &amp; Concrete PH - Gas boiler (Steam) - new 1</v>
      </c>
      <c r="F138" s="224" t="s">
        <v>1149</v>
      </c>
      <c r="G138" s="173" t="s">
        <v>2080</v>
      </c>
      <c r="H138" s="174" t="str">
        <f>$AI$14</f>
        <v>IGDPH</v>
      </c>
      <c r="I138" s="174" t="str">
        <f t="shared" si="162"/>
        <v>INDGWH</v>
      </c>
      <c r="J138" s="224">
        <f t="shared" si="146"/>
        <v>2011</v>
      </c>
      <c r="K138" s="299">
        <f>J138</f>
        <v>2011</v>
      </c>
      <c r="L138" s="199">
        <f t="shared" ca="1" si="163"/>
        <v>0.92</v>
      </c>
      <c r="M138" s="199"/>
      <c r="N138" s="81">
        <f ca="1">VLOOKUP($AD138,INDIRECT("'"&amp;$B138&amp;"'!"&amp;"$P$39:$AD$42"),5,FALSE)</f>
        <v>25</v>
      </c>
      <c r="O138" s="723">
        <f t="shared" ca="1" si="164"/>
        <v>0.40636363636363632</v>
      </c>
      <c r="P138" s="723">
        <f t="shared" ca="1" si="165"/>
        <v>1.49E-2</v>
      </c>
      <c r="Q138" s="81">
        <f t="shared" ca="1" si="166"/>
        <v>2.276388888888889</v>
      </c>
      <c r="R138" s="81">
        <v>3.1536000000000002E-2</v>
      </c>
      <c r="S138" s="199">
        <v>0.5</v>
      </c>
      <c r="T138" s="199">
        <f ca="1">HLOOKUP($T$2,INDIRECT("'"&amp;$B138&amp;"'!"&amp;"$P$6:$AC$19"),IF(H138=$AI$13,6,IF(H138=$AI$14,9,14)),FALSE)</f>
        <v>1</v>
      </c>
      <c r="U138" s="772"/>
      <c r="V138" s="199">
        <f t="shared" ref="V138" ca="1" si="174">IF(IF(RIGHT(H138,2)="PH",(1-L138)+$W$2,IF(RIGHT(H138,2)="HT",(1-L138)+$W$1,IF(RIGHT(H138,2)="SH",(1-L138)+$W$3,"")))&gt;0,IF(RIGHT(H138,2)="PH",(1-L138)+$W$2,IF(RIGHT(H138,2)="HT",(1-L138)+$W$1,IF(RIGHT(H138,2)="SH",(1-L138)+$W$3,""))),0)</f>
        <v>0.27999999999999997</v>
      </c>
      <c r="W138" s="298"/>
      <c r="X138" s="698">
        <f t="shared" ca="1" si="145"/>
        <v>0.3</v>
      </c>
      <c r="Y138" s="81">
        <f t="shared" ca="1" si="168"/>
        <v>9</v>
      </c>
      <c r="Z138" s="81">
        <f t="shared" ca="1" si="169"/>
        <v>3</v>
      </c>
      <c r="AA138" s="81">
        <f t="shared" ca="1" si="170"/>
        <v>1</v>
      </c>
      <c r="AB138" s="81">
        <f t="shared" ca="1" si="171"/>
        <v>0.1</v>
      </c>
      <c r="AD138" s="81">
        <v>2020</v>
      </c>
      <c r="AE138" s="81"/>
      <c r="AF138" s="220"/>
    </row>
    <row r="139" spans="2:32">
      <c r="B139" s="718" t="s">
        <v>1010</v>
      </c>
      <c r="C139" s="226"/>
      <c r="E139" s="212"/>
      <c r="F139" s="224" t="s">
        <v>1149</v>
      </c>
      <c r="H139" s="174"/>
      <c r="I139" s="174" t="str">
        <f t="shared" si="162"/>
        <v>INDGWH</v>
      </c>
      <c r="J139" s="224">
        <f t="shared" si="146"/>
        <v>2030</v>
      </c>
      <c r="K139" s="81"/>
      <c r="L139" s="199">
        <f t="shared" ca="1" si="163"/>
        <v>0.93</v>
      </c>
      <c r="M139" s="199"/>
      <c r="N139" s="81"/>
      <c r="O139" s="723">
        <f t="shared" ca="1" si="164"/>
        <v>0.33863636363636368</v>
      </c>
      <c r="P139" s="723">
        <f t="shared" ca="1" si="165"/>
        <v>1.4154999999999999E-2</v>
      </c>
      <c r="Q139" s="81">
        <f t="shared" ca="1" si="166"/>
        <v>2.0694444444444446</v>
      </c>
      <c r="R139" s="300"/>
      <c r="S139" s="300"/>
      <c r="T139" s="300"/>
      <c r="U139" s="300"/>
      <c r="V139" s="199">
        <f t="shared" ref="V139" ca="1" si="175">IF(IF(RIGHT(H138,2)="PH",(1-L139)+$W$2,IF(RIGHT(H138,2)="HT",(1-L139)+$W$1,IF(RIGHT(H138,2)="SH",(1-L139)+$W$3,"")))&gt;0,IF(RIGHT(H138,2)="PH",(1-L139)+$W$2,IF(RIGHT(H138,2)="HT",(1-L139)+$W$1,IF(RIGHT(H138,2)="SH",(1-L139)+$W$3,""))),0)</f>
        <v>0.26999999999999996</v>
      </c>
      <c r="W139" s="298"/>
      <c r="X139" s="698">
        <f t="shared" ca="1" si="145"/>
        <v>0.3</v>
      </c>
      <c r="Y139" s="81">
        <f t="shared" ca="1" si="168"/>
        <v>7</v>
      </c>
      <c r="Z139" s="81">
        <f t="shared" ca="1" si="169"/>
        <v>2</v>
      </c>
      <c r="AA139" s="81">
        <f t="shared" ca="1" si="170"/>
        <v>1</v>
      </c>
      <c r="AB139" s="81">
        <f t="shared" ca="1" si="171"/>
        <v>0.1</v>
      </c>
      <c r="AD139" s="81">
        <v>2030</v>
      </c>
      <c r="AE139" s="81"/>
      <c r="AF139" s="220"/>
    </row>
    <row r="140" spans="2:32">
      <c r="B140" s="718" t="s">
        <v>1010</v>
      </c>
      <c r="C140" s="226"/>
      <c r="E140" s="212"/>
      <c r="F140" s="224" t="s">
        <v>1149</v>
      </c>
      <c r="H140" s="174"/>
      <c r="I140" s="174" t="str">
        <f t="shared" si="162"/>
        <v>INDGWH</v>
      </c>
      <c r="J140" s="224">
        <f t="shared" si="146"/>
        <v>2050</v>
      </c>
      <c r="K140" s="81"/>
      <c r="L140" s="199">
        <f t="shared" ca="1" si="163"/>
        <v>0.94</v>
      </c>
      <c r="M140" s="199"/>
      <c r="N140" s="81"/>
      <c r="O140" s="723">
        <f t="shared" ca="1" si="164"/>
        <v>0.33863636363636368</v>
      </c>
      <c r="P140" s="723">
        <f t="shared" ca="1" si="165"/>
        <v>1.2664999999999999E-2</v>
      </c>
      <c r="Q140" s="81">
        <f t="shared" ca="1" si="166"/>
        <v>2.0694444444444446</v>
      </c>
      <c r="R140" s="300"/>
      <c r="S140" s="300"/>
      <c r="T140" s="300"/>
      <c r="U140" s="300"/>
      <c r="V140" s="199">
        <f t="shared" ref="V140" ca="1" si="176">IF(IF(RIGHT(H138,2)="PH",(1-L140)+$W$2,IF(RIGHT(H138,2)="HT",(1-L140)+$W$1,IF(RIGHT(H138,2)="SH",(1-L140)+$W$3,"")))&gt;0,IF(RIGHT(H138,2)="PH",(1-L140)+$W$2,IF(RIGHT(H138,2)="HT",(1-L140)+$W$1,IF(RIGHT(H138,2)="SH",(1-L140)+$W$3,""))),0)</f>
        <v>0.26000000000000006</v>
      </c>
      <c r="W140" s="298"/>
      <c r="X140" s="698">
        <f t="shared" ca="1" si="145"/>
        <v>0.3</v>
      </c>
      <c r="Y140" s="81">
        <f t="shared" ca="1" si="168"/>
        <v>6</v>
      </c>
      <c r="Z140" s="81">
        <f t="shared" ca="1" si="169"/>
        <v>2</v>
      </c>
      <c r="AA140" s="81">
        <f t="shared" ca="1" si="170"/>
        <v>1</v>
      </c>
      <c r="AB140" s="81">
        <f t="shared" ca="1" si="171"/>
        <v>0.1</v>
      </c>
      <c r="AC140" s="203"/>
      <c r="AD140" s="81">
        <v>2050</v>
      </c>
      <c r="AE140" s="81"/>
      <c r="AF140" s="705"/>
    </row>
    <row r="141" spans="2:32">
      <c r="B141" s="718" t="s">
        <v>1010</v>
      </c>
      <c r="C141" s="226"/>
      <c r="D141" s="212" t="str">
        <f>"IND"&amp;RIGHT(H141,4)&amp;"GAS"&amp;"N"&amp;RIGHT(E141,1)</f>
        <v>INDGDSHGASN1</v>
      </c>
      <c r="E141" s="261" t="str">
        <f>"Industrial heating technology "&amp;$AJ$12&amp;" "&amp;RIGHT(H141,2)&amp;" - Gas boiler (Steam) - new 1"</f>
        <v>Industrial heating technology Glass &amp; Concrete SH - Gas boiler (Steam) - new 1</v>
      </c>
      <c r="F141" s="224" t="s">
        <v>1149</v>
      </c>
      <c r="G141" s="173" t="s">
        <v>2080</v>
      </c>
      <c r="H141" s="174" t="str">
        <f>$AI$15</f>
        <v>IGDSH</v>
      </c>
      <c r="I141" s="174" t="str">
        <f t="shared" si="162"/>
        <v>INDGWH</v>
      </c>
      <c r="J141" s="224">
        <f t="shared" si="146"/>
        <v>2011</v>
      </c>
      <c r="K141" s="299">
        <f>J141</f>
        <v>2011</v>
      </c>
      <c r="L141" s="199">
        <f t="shared" ca="1" si="163"/>
        <v>0.92</v>
      </c>
      <c r="M141" s="199"/>
      <c r="N141" s="81">
        <f ca="1">VLOOKUP($AD141,INDIRECT("'"&amp;$B141&amp;"'!"&amp;"$P$39:$AD$42"),5,FALSE)</f>
        <v>25</v>
      </c>
      <c r="O141" s="723">
        <f t="shared" ca="1" si="164"/>
        <v>0.40636363636363632</v>
      </c>
      <c r="P141" s="723">
        <f t="shared" ca="1" si="165"/>
        <v>1.49E-2</v>
      </c>
      <c r="Q141" s="81">
        <f t="shared" ca="1" si="166"/>
        <v>2.276388888888889</v>
      </c>
      <c r="R141" s="81">
        <v>3.1536000000000002E-2</v>
      </c>
      <c r="S141" s="199">
        <v>0.5</v>
      </c>
      <c r="T141" s="199">
        <f ca="1">HLOOKUP($T$2,INDIRECT("'"&amp;$B141&amp;"'!"&amp;"$P$6:$AC$19"),IF(H141=$AI$13,6,IF(H141=$AI$14,9,14)),FALSE)</f>
        <v>1</v>
      </c>
      <c r="U141" s="772"/>
      <c r="V141" s="199">
        <f t="shared" ref="V141" ca="1" si="177">IF(IF(RIGHT(H141,2)="PH",(1-L141)+$W$2,IF(RIGHT(H141,2)="HT",(1-L141)+$W$1,IF(RIGHT(H141,2)="SH",(1-L141)+$W$3,"")))&gt;0,IF(RIGHT(H141,2)="PH",(1-L141)+$W$2,IF(RIGHT(H141,2)="HT",(1-L141)+$W$1,IF(RIGHT(H141,2)="SH",(1-L141)+$W$3,""))),0)</f>
        <v>7.999999999999996E-2</v>
      </c>
      <c r="W141" s="298"/>
      <c r="X141" s="698">
        <f t="shared" ca="1" si="145"/>
        <v>0.3</v>
      </c>
      <c r="Y141" s="81">
        <f t="shared" ca="1" si="168"/>
        <v>9</v>
      </c>
      <c r="Z141" s="81">
        <f t="shared" ca="1" si="169"/>
        <v>3</v>
      </c>
      <c r="AA141" s="81">
        <f t="shared" ca="1" si="170"/>
        <v>1</v>
      </c>
      <c r="AB141" s="81">
        <f t="shared" ca="1" si="171"/>
        <v>0.1</v>
      </c>
      <c r="AC141" s="296"/>
      <c r="AD141" s="81">
        <v>2020</v>
      </c>
      <c r="AE141" s="81"/>
      <c r="AF141" s="710"/>
    </row>
    <row r="142" spans="2:32">
      <c r="B142" s="718" t="s">
        <v>1010</v>
      </c>
      <c r="C142" s="226"/>
      <c r="E142" s="212"/>
      <c r="F142" s="224" t="s">
        <v>1149</v>
      </c>
      <c r="H142" s="174"/>
      <c r="I142" s="174" t="str">
        <f t="shared" si="162"/>
        <v>INDGWH</v>
      </c>
      <c r="J142" s="224">
        <f t="shared" si="146"/>
        <v>2030</v>
      </c>
      <c r="K142" s="81"/>
      <c r="L142" s="199">
        <f t="shared" ca="1" si="163"/>
        <v>0.93</v>
      </c>
      <c r="M142" s="199"/>
      <c r="N142" s="81"/>
      <c r="O142" s="723">
        <f t="shared" ca="1" si="164"/>
        <v>0.33863636363636368</v>
      </c>
      <c r="P142" s="723">
        <f t="shared" ca="1" si="165"/>
        <v>1.4154999999999999E-2</v>
      </c>
      <c r="Q142" s="81">
        <f t="shared" ca="1" si="166"/>
        <v>2.0694444444444446</v>
      </c>
      <c r="R142" s="300"/>
      <c r="S142" s="300"/>
      <c r="T142" s="300"/>
      <c r="U142" s="300"/>
      <c r="V142" s="199">
        <f t="shared" ref="V142" ca="1" si="178">IF(IF(RIGHT(H141,2)="PH",(1-L142)+$W$2,IF(RIGHT(H141,2)="HT",(1-L142)+$W$1,IF(RIGHT(H141,2)="SH",(1-L142)+$W$3,"")))&gt;0,IF(RIGHT(H141,2)="PH",(1-L142)+$W$2,IF(RIGHT(H141,2)="HT",(1-L142)+$W$1,IF(RIGHT(H141,2)="SH",(1-L142)+$W$3,""))),0)</f>
        <v>6.9999999999999951E-2</v>
      </c>
      <c r="W142" s="298"/>
      <c r="X142" s="698">
        <f t="shared" ca="1" si="145"/>
        <v>0.3</v>
      </c>
      <c r="Y142" s="81">
        <f t="shared" ca="1" si="168"/>
        <v>7</v>
      </c>
      <c r="Z142" s="81">
        <f t="shared" ca="1" si="169"/>
        <v>2</v>
      </c>
      <c r="AA142" s="81">
        <f t="shared" ca="1" si="170"/>
        <v>1</v>
      </c>
      <c r="AB142" s="81">
        <f t="shared" ca="1" si="171"/>
        <v>0.1</v>
      </c>
      <c r="AC142" s="55"/>
      <c r="AD142" s="81">
        <v>2030</v>
      </c>
      <c r="AE142" s="81"/>
      <c r="AF142" s="700"/>
    </row>
    <row r="143" spans="2:32">
      <c r="B143" s="719" t="s">
        <v>1010</v>
      </c>
      <c r="C143" s="713"/>
      <c r="D143" s="203"/>
      <c r="E143" s="701"/>
      <c r="F143" s="224" t="s">
        <v>1149</v>
      </c>
      <c r="G143" s="203"/>
      <c r="H143" s="702"/>
      <c r="I143" s="702" t="str">
        <f t="shared" si="162"/>
        <v>INDGWH</v>
      </c>
      <c r="J143" s="224">
        <f t="shared" si="146"/>
        <v>2050</v>
      </c>
      <c r="K143" s="81"/>
      <c r="L143" s="199">
        <f t="shared" ca="1" si="163"/>
        <v>0.94</v>
      </c>
      <c r="M143" s="199"/>
      <c r="N143" s="81"/>
      <c r="O143" s="723">
        <f t="shared" ca="1" si="164"/>
        <v>0.33863636363636368</v>
      </c>
      <c r="P143" s="723">
        <f t="shared" ca="1" si="165"/>
        <v>1.2664999999999999E-2</v>
      </c>
      <c r="Q143" s="81">
        <f t="shared" ca="1" si="166"/>
        <v>2.0694444444444446</v>
      </c>
      <c r="R143" s="703"/>
      <c r="S143" s="703"/>
      <c r="T143" s="703"/>
      <c r="U143" s="703"/>
      <c r="V143" s="199">
        <f t="shared" ref="V143" ca="1" si="179">IF(IF(RIGHT(H141,2)="PH",(1-L143)+$W$2,IF(RIGHT(H141,2)="HT",(1-L143)+$W$1,IF(RIGHT(H141,2)="SH",(1-L143)+$W$3,"")))&gt;0,IF(RIGHT(H141,2)="PH",(1-L143)+$W$2,IF(RIGHT(H141,2)="HT",(1-L143)+$W$1,IF(RIGHT(H141,2)="SH",(1-L143)+$W$3,""))),0)</f>
        <v>6.0000000000000053E-2</v>
      </c>
      <c r="W143" s="704"/>
      <c r="X143" s="698">
        <f t="shared" ca="1" si="145"/>
        <v>0.3</v>
      </c>
      <c r="Y143" s="81">
        <f t="shared" ca="1" si="168"/>
        <v>6</v>
      </c>
      <c r="Z143" s="81">
        <f t="shared" ca="1" si="169"/>
        <v>2</v>
      </c>
      <c r="AA143" s="81">
        <f t="shared" ca="1" si="170"/>
        <v>1</v>
      </c>
      <c r="AB143" s="81">
        <f t="shared" ca="1" si="171"/>
        <v>0.1</v>
      </c>
      <c r="AC143" s="55"/>
      <c r="AD143" s="81">
        <v>2050</v>
      </c>
      <c r="AE143" s="81"/>
      <c r="AF143" s="700"/>
    </row>
    <row r="144" spans="2:32">
      <c r="B144" s="718" t="s">
        <v>1010</v>
      </c>
      <c r="C144" s="226"/>
      <c r="D144" s="212" t="str">
        <f>"IND"&amp;RIGHT(H144,4)&amp;"GAS"&amp;"N"&amp;RIGHT(E144,1)</f>
        <v>INDGDPHGASN2</v>
      </c>
      <c r="E144" s="707" t="str">
        <f>"Industrial heating technology "&amp;$AJ$12&amp;" "&amp;RIGHT(H144,2)&amp;" - Gas boiler (Steam - condensing) - new 2"</f>
        <v>Industrial heating technology Glass &amp; Concrete PH - Gas boiler (Steam - condensing) - new 2</v>
      </c>
      <c r="F144" s="224" t="s">
        <v>1149</v>
      </c>
      <c r="G144" s="173" t="s">
        <v>2080</v>
      </c>
      <c r="H144" s="708" t="str">
        <f>$AI$14</f>
        <v>IGDPH</v>
      </c>
      <c r="I144" s="708" t="str">
        <f t="shared" si="162"/>
        <v>INDGWH</v>
      </c>
      <c r="J144" s="224">
        <f t="shared" si="146"/>
        <v>2011</v>
      </c>
      <c r="K144" s="299">
        <f>J144</f>
        <v>2011</v>
      </c>
      <c r="L144" s="199">
        <f t="shared" ref="L144:L149" ca="1" si="180">VLOOKUP($AD144,INDIRECT("'"&amp;$B144&amp;"'!"&amp;"$P$118:$AD$121"),3,FALSE)</f>
        <v>1.01</v>
      </c>
      <c r="M144" s="199"/>
      <c r="N144" s="81">
        <f ca="1">VLOOKUP($AD144,INDIRECT("'"&amp;$B144&amp;"'!"&amp;"$P$118:$AD$121"),5,FALSE)</f>
        <v>25</v>
      </c>
      <c r="O144" s="723">
        <f t="shared" ref="O144:O149" ca="1" si="181">VLOOKUP($AD144,INDIRECT("'"&amp;$B144&amp;"'!"&amp;"$P$118:$AD$121"),6,FALSE)/1000</f>
        <v>0.44700000000000001</v>
      </c>
      <c r="P144" s="723">
        <f t="shared" ref="P144:P149" ca="1" si="182">VLOOKUP($AD144,INDIRECT("'"&amp;$B144&amp;"'!"&amp;"$P$118:$AD$121"),7,FALSE)/1000</f>
        <v>1.49E-2</v>
      </c>
      <c r="Q144" s="81">
        <f t="shared" ref="Q144:Q149" ca="1" si="183">VLOOKUP($AD144,INDIRECT("'"&amp;$B144&amp;"'!"&amp;"$P$118:$AD$121"),8,FALSE)</f>
        <v>2.276388888888889</v>
      </c>
      <c r="R144" s="81">
        <v>3.1536000000000002E-2</v>
      </c>
      <c r="S144" s="199">
        <v>0.5</v>
      </c>
      <c r="T144" s="199">
        <f ca="1">HLOOKUP($T$2,INDIRECT("'"&amp;$B144&amp;"'!"&amp;"$P$85:$AC$98"),IF(H144=$AI$13,6,IF(H144=$AI$14,9,14)),FALSE)</f>
        <v>0</v>
      </c>
      <c r="U144" s="773"/>
      <c r="V144" s="199">
        <f t="shared" ref="V144" ca="1" si="184">IF(IF(RIGHT(H144,2)="PH",(1-L144)+$W$2,IF(RIGHT(H144,2)="HT",(1-L144)+$W$1,IF(RIGHT(H144,2)="SH",(1-L144)+$W$3,"")))&gt;0,IF(RIGHT(H144,2)="PH",(1-L144)+$W$2,IF(RIGHT(H144,2)="HT",(1-L144)+$W$1,IF(RIGHT(H144,2)="SH",(1-L144)+$W$3,""))),0)</f>
        <v>0.19</v>
      </c>
      <c r="W144" s="709"/>
      <c r="X144" s="698">
        <f t="shared" ca="1" si="145"/>
        <v>0.3</v>
      </c>
      <c r="Y144" s="698">
        <f t="shared" ref="Y144:Y149" ca="1" si="185">VLOOKUP($AD144,INDIRECT("'"&amp;$B144&amp;"'!"&amp;"$P$118:$AD$121"),12,FALSE)</f>
        <v>9</v>
      </c>
      <c r="Z144" s="698">
        <f t="shared" ref="Z144:Z149" ca="1" si="186">VLOOKUP($AD144,INDIRECT("'"&amp;$B144&amp;"'!"&amp;"$P$118:$AD$121"),13,FALSE)</f>
        <v>3</v>
      </c>
      <c r="AA144" s="698">
        <f t="shared" ref="AA144:AA149" ca="1" si="187">VLOOKUP($AD144,INDIRECT("'"&amp;$B144&amp;"'!"&amp;"$P$118:$AD$121"),14,FALSE)</f>
        <v>1</v>
      </c>
      <c r="AB144" s="698">
        <f t="shared" ref="AB144:AB149" ca="1" si="188">VLOOKUP($AD144,INDIRECT("'"&amp;$B144&amp;"'!"&amp;"$P$118:$AD$121"),15,FALSE)</f>
        <v>0.1</v>
      </c>
      <c r="AC144" s="55"/>
      <c r="AD144" s="81">
        <v>2020</v>
      </c>
      <c r="AE144" s="81"/>
      <c r="AF144" s="700"/>
    </row>
    <row r="145" spans="1:32">
      <c r="B145" s="718" t="s">
        <v>1010</v>
      </c>
      <c r="C145" s="226"/>
      <c r="E145" s="261"/>
      <c r="F145" s="224" t="s">
        <v>1149</v>
      </c>
      <c r="G145" s="55"/>
      <c r="H145" s="174"/>
      <c r="I145" s="174" t="str">
        <f t="shared" si="162"/>
        <v>INDGWH</v>
      </c>
      <c r="J145" s="224">
        <f t="shared" si="146"/>
        <v>2030</v>
      </c>
      <c r="K145" s="81"/>
      <c r="L145" s="199">
        <f t="shared" ca="1" si="180"/>
        <v>1.03</v>
      </c>
      <c r="M145" s="199"/>
      <c r="N145" s="81"/>
      <c r="O145" s="723">
        <f t="shared" ca="1" si="181"/>
        <v>0.37250000000000005</v>
      </c>
      <c r="P145" s="723">
        <f t="shared" ca="1" si="182"/>
        <v>1.4154999999999999E-2</v>
      </c>
      <c r="Q145" s="81">
        <f t="shared" ca="1" si="183"/>
        <v>2.0694444444444446</v>
      </c>
      <c r="R145" s="300"/>
      <c r="S145" s="300"/>
      <c r="T145" s="300"/>
      <c r="U145" s="300"/>
      <c r="V145" s="199">
        <f t="shared" ref="V145" ca="1" si="189">IF(IF(RIGHT(H144,2)="PH",(1-L145)+$W$2,IF(RIGHT(H144,2)="HT",(1-L145)+$W$1,IF(RIGHT(H144,2)="SH",(1-L145)+$W$3,"")))&gt;0,IF(RIGHT(H144,2)="PH",(1-L145)+$W$2,IF(RIGHT(H144,2)="HT",(1-L145)+$W$1,IF(RIGHT(H144,2)="SH",(1-L145)+$W$3,""))),0)</f>
        <v>0.16999999999999998</v>
      </c>
      <c r="W145" s="298"/>
      <c r="X145" s="698">
        <f t="shared" ca="1" si="145"/>
        <v>0.3</v>
      </c>
      <c r="Y145" s="698">
        <f t="shared" ca="1" si="185"/>
        <v>7</v>
      </c>
      <c r="Z145" s="698">
        <f t="shared" ca="1" si="186"/>
        <v>2</v>
      </c>
      <c r="AA145" s="698">
        <f t="shared" ca="1" si="187"/>
        <v>1</v>
      </c>
      <c r="AB145" s="698">
        <f t="shared" ca="1" si="188"/>
        <v>0.1</v>
      </c>
      <c r="AC145" s="55"/>
      <c r="AD145" s="81">
        <v>2030</v>
      </c>
      <c r="AE145" s="81"/>
      <c r="AF145" s="700"/>
    </row>
    <row r="146" spans="1:32">
      <c r="A146" s="226"/>
      <c r="B146" s="718" t="s">
        <v>1010</v>
      </c>
      <c r="C146" s="226"/>
      <c r="E146" s="261"/>
      <c r="F146" s="224" t="s">
        <v>1149</v>
      </c>
      <c r="G146" s="55"/>
      <c r="H146" s="174"/>
      <c r="I146" s="174" t="str">
        <f t="shared" si="162"/>
        <v>INDGWH</v>
      </c>
      <c r="J146" s="224">
        <f t="shared" si="146"/>
        <v>2050</v>
      </c>
      <c r="K146" s="81"/>
      <c r="L146" s="199">
        <f t="shared" ca="1" si="180"/>
        <v>1.03</v>
      </c>
      <c r="M146" s="199"/>
      <c r="N146" s="81"/>
      <c r="O146" s="723">
        <f t="shared" ca="1" si="181"/>
        <v>0.37250000000000005</v>
      </c>
      <c r="P146" s="723">
        <f t="shared" ca="1" si="182"/>
        <v>1.2664999999999999E-2</v>
      </c>
      <c r="Q146" s="81">
        <f t="shared" ca="1" si="183"/>
        <v>2.0694444444444446</v>
      </c>
      <c r="R146" s="300"/>
      <c r="S146" s="300"/>
      <c r="T146" s="300"/>
      <c r="U146" s="300"/>
      <c r="V146" s="199">
        <f t="shared" ref="V146" ca="1" si="190">IF(IF(RIGHT(H144,2)="PH",(1-L146)+$W$2,IF(RIGHT(H144,2)="HT",(1-L146)+$W$1,IF(RIGHT(H144,2)="SH",(1-L146)+$W$3,"")))&gt;0,IF(RIGHT(H144,2)="PH",(1-L146)+$W$2,IF(RIGHT(H144,2)="HT",(1-L146)+$W$1,IF(RIGHT(H144,2)="SH",(1-L146)+$W$3,""))),0)</f>
        <v>0.16999999999999998</v>
      </c>
      <c r="W146" s="298"/>
      <c r="X146" s="698">
        <f t="shared" ca="1" si="145"/>
        <v>0.3</v>
      </c>
      <c r="Y146" s="698">
        <f t="shared" ca="1" si="185"/>
        <v>6</v>
      </c>
      <c r="Z146" s="698">
        <f t="shared" ca="1" si="186"/>
        <v>2</v>
      </c>
      <c r="AA146" s="698">
        <f t="shared" ca="1" si="187"/>
        <v>1</v>
      </c>
      <c r="AB146" s="698">
        <f t="shared" ca="1" si="188"/>
        <v>0.1</v>
      </c>
      <c r="AC146" s="203"/>
      <c r="AD146" s="81">
        <v>2050</v>
      </c>
      <c r="AE146" s="81"/>
      <c r="AF146" s="705"/>
    </row>
    <row r="147" spans="1:32">
      <c r="A147" s="226"/>
      <c r="B147" s="718" t="s">
        <v>1010</v>
      </c>
      <c r="C147" s="226"/>
      <c r="D147" s="212" t="str">
        <f>"IND"&amp;RIGHT(H147,4)&amp;"GAS"&amp;"N"&amp;RIGHT(E147,1)</f>
        <v>INDGDSHGASN2</v>
      </c>
      <c r="E147" s="261" t="str">
        <f>"Industrial heating technology "&amp;$AJ$12&amp;" "&amp;RIGHT(H147,2)&amp;" - Gas boiler (Steam - condensing) - new 2"</f>
        <v>Industrial heating technology Glass &amp; Concrete SH - Gas boiler (Steam - condensing) - new 2</v>
      </c>
      <c r="F147" s="224" t="s">
        <v>1149</v>
      </c>
      <c r="G147" s="173" t="s">
        <v>2080</v>
      </c>
      <c r="H147" s="174" t="str">
        <f>$AI$15</f>
        <v>IGDSH</v>
      </c>
      <c r="I147" s="174" t="str">
        <f t="shared" si="162"/>
        <v>INDGWH</v>
      </c>
      <c r="J147" s="224">
        <f t="shared" si="146"/>
        <v>2011</v>
      </c>
      <c r="K147" s="299">
        <f>J147</f>
        <v>2011</v>
      </c>
      <c r="L147" s="199">
        <f t="shared" ca="1" si="180"/>
        <v>1.01</v>
      </c>
      <c r="M147" s="199"/>
      <c r="N147" s="81">
        <f ca="1">VLOOKUP($AD147,INDIRECT("'"&amp;$B147&amp;"'!"&amp;"$P$118:$AD$121"),5,FALSE)</f>
        <v>25</v>
      </c>
      <c r="O147" s="723">
        <f t="shared" ca="1" si="181"/>
        <v>0.44700000000000001</v>
      </c>
      <c r="P147" s="723">
        <f t="shared" ca="1" si="182"/>
        <v>1.49E-2</v>
      </c>
      <c r="Q147" s="81">
        <f t="shared" ca="1" si="183"/>
        <v>2.276388888888889</v>
      </c>
      <c r="R147" s="81">
        <v>3.1536000000000002E-2</v>
      </c>
      <c r="S147" s="199">
        <v>0.5</v>
      </c>
      <c r="T147" s="199">
        <f ca="1">HLOOKUP($T$2,INDIRECT("'"&amp;$B147&amp;"'!"&amp;"$P$85:$AC$98"),IF(H147=$AI$13,6,IF(H147=$AI$14,9,14)),FALSE)</f>
        <v>0</v>
      </c>
      <c r="U147" s="772"/>
      <c r="V147" s="199">
        <f t="shared" ref="V147" ca="1" si="191">IF(IF(RIGHT(H147,2)="PH",(1-L147)+$W$2,IF(RIGHT(H147,2)="HT",(1-L147)+$W$1,IF(RIGHT(H147,2)="SH",(1-L147)+$W$3,"")))&gt;0,IF(RIGHT(H147,2)="PH",(1-L147)+$W$2,IF(RIGHT(H147,2)="HT",(1-L147)+$W$1,IF(RIGHT(H147,2)="SH",(1-L147)+$W$3,""))),0)</f>
        <v>0</v>
      </c>
      <c r="W147" s="298"/>
      <c r="X147" s="698">
        <f t="shared" ca="1" si="145"/>
        <v>0.3</v>
      </c>
      <c r="Y147" s="698">
        <f t="shared" ca="1" si="185"/>
        <v>9</v>
      </c>
      <c r="Z147" s="698">
        <f t="shared" ca="1" si="186"/>
        <v>3</v>
      </c>
      <c r="AA147" s="698">
        <f t="shared" ca="1" si="187"/>
        <v>1</v>
      </c>
      <c r="AB147" s="698">
        <f t="shared" ca="1" si="188"/>
        <v>0.1</v>
      </c>
      <c r="AC147" s="296"/>
      <c r="AD147" s="81">
        <v>2020</v>
      </c>
      <c r="AE147" s="81"/>
      <c r="AF147" s="710"/>
    </row>
    <row r="148" spans="1:32">
      <c r="A148" s="226"/>
      <c r="B148" s="718" t="s">
        <v>1010</v>
      </c>
      <c r="C148" s="226"/>
      <c r="E148" s="261"/>
      <c r="F148" s="224" t="s">
        <v>1149</v>
      </c>
      <c r="G148" s="55"/>
      <c r="H148" s="174"/>
      <c r="I148" s="174" t="str">
        <f t="shared" si="162"/>
        <v>INDGWH</v>
      </c>
      <c r="J148" s="224">
        <f t="shared" si="146"/>
        <v>2030</v>
      </c>
      <c r="K148" s="81"/>
      <c r="L148" s="199">
        <f t="shared" ca="1" si="180"/>
        <v>1.03</v>
      </c>
      <c r="M148" s="199"/>
      <c r="N148" s="81"/>
      <c r="O148" s="723">
        <f t="shared" ca="1" si="181"/>
        <v>0.37250000000000005</v>
      </c>
      <c r="P148" s="723">
        <f t="shared" ca="1" si="182"/>
        <v>1.4154999999999999E-2</v>
      </c>
      <c r="Q148" s="81">
        <f t="shared" ca="1" si="183"/>
        <v>2.0694444444444446</v>
      </c>
      <c r="R148" s="300"/>
      <c r="S148" s="300"/>
      <c r="T148" s="300"/>
      <c r="U148" s="300"/>
      <c r="V148" s="199">
        <f t="shared" ref="V148" ca="1" si="192">IF(IF(RIGHT(H147,2)="PH",(1-L148)+$W$2,IF(RIGHT(H147,2)="HT",(1-L148)+$W$1,IF(RIGHT(H147,2)="SH",(1-L148)+$W$3,"")))&gt;0,IF(RIGHT(H147,2)="PH",(1-L148)+$W$2,IF(RIGHT(H147,2)="HT",(1-L148)+$W$1,IF(RIGHT(H147,2)="SH",(1-L148)+$W$3,""))),0)</f>
        <v>0</v>
      </c>
      <c r="W148" s="298"/>
      <c r="X148" s="698">
        <f t="shared" ca="1" si="145"/>
        <v>0.3</v>
      </c>
      <c r="Y148" s="698">
        <f t="shared" ca="1" si="185"/>
        <v>7</v>
      </c>
      <c r="Z148" s="698">
        <f t="shared" ca="1" si="186"/>
        <v>2</v>
      </c>
      <c r="AA148" s="698">
        <f t="shared" ca="1" si="187"/>
        <v>1</v>
      </c>
      <c r="AB148" s="698">
        <f t="shared" ca="1" si="188"/>
        <v>0.1</v>
      </c>
      <c r="AC148" s="55"/>
      <c r="AD148" s="81">
        <v>2030</v>
      </c>
      <c r="AE148" s="81"/>
      <c r="AF148" s="700"/>
    </row>
    <row r="149" spans="1:32">
      <c r="A149" s="226"/>
      <c r="B149" s="719" t="s">
        <v>1010</v>
      </c>
      <c r="C149" s="713"/>
      <c r="D149" s="203"/>
      <c r="E149" s="701"/>
      <c r="F149" s="224" t="s">
        <v>1149</v>
      </c>
      <c r="G149" s="203"/>
      <c r="H149" s="702"/>
      <c r="I149" s="702" t="str">
        <f t="shared" si="162"/>
        <v>INDGWH</v>
      </c>
      <c r="J149" s="224">
        <f t="shared" si="146"/>
        <v>2050</v>
      </c>
      <c r="K149" s="81"/>
      <c r="L149" s="199">
        <f t="shared" ca="1" si="180"/>
        <v>1.03</v>
      </c>
      <c r="M149" s="199"/>
      <c r="N149" s="81"/>
      <c r="O149" s="723">
        <f t="shared" ca="1" si="181"/>
        <v>0.37250000000000005</v>
      </c>
      <c r="P149" s="723">
        <f t="shared" ca="1" si="182"/>
        <v>1.2664999999999999E-2</v>
      </c>
      <c r="Q149" s="81">
        <f t="shared" ca="1" si="183"/>
        <v>2.0694444444444446</v>
      </c>
      <c r="R149" s="703"/>
      <c r="S149" s="703"/>
      <c r="T149" s="703"/>
      <c r="U149" s="703"/>
      <c r="V149" s="199">
        <f t="shared" ref="V149" ca="1" si="193">IF(IF(RIGHT(H147,2)="PH",(1-L149)+$W$2,IF(RIGHT(H147,2)="HT",(1-L149)+$W$1,IF(RIGHT(H147,2)="SH",(1-L149)+$W$3,"")))&gt;0,IF(RIGHT(H147,2)="PH",(1-L149)+$W$2,IF(RIGHT(H147,2)="HT",(1-L149)+$W$1,IF(RIGHT(H147,2)="SH",(1-L149)+$W$3,""))),0)</f>
        <v>0</v>
      </c>
      <c r="W149" s="704"/>
      <c r="X149" s="698">
        <f t="shared" ca="1" si="145"/>
        <v>0.3</v>
      </c>
      <c r="Y149" s="698">
        <f t="shared" ca="1" si="185"/>
        <v>6</v>
      </c>
      <c r="Z149" s="698">
        <f t="shared" ca="1" si="186"/>
        <v>2</v>
      </c>
      <c r="AA149" s="698">
        <f t="shared" ca="1" si="187"/>
        <v>1</v>
      </c>
      <c r="AB149" s="698">
        <f t="shared" ca="1" si="188"/>
        <v>0.1</v>
      </c>
      <c r="AC149" s="55"/>
      <c r="AD149" s="81">
        <v>2050</v>
      </c>
      <c r="AE149" s="81"/>
      <c r="AF149" s="700"/>
    </row>
    <row r="150" spans="1:32">
      <c r="A150" s="226"/>
      <c r="B150" s="718" t="s">
        <v>1010</v>
      </c>
      <c r="C150" s="226"/>
      <c r="D150" s="212" t="str">
        <f>"IND"&amp;RIGHT(H150,4)&amp;"GAS"&amp;"N"&amp;RIGHT(E150,1)</f>
        <v>INDGDPHGASN3</v>
      </c>
      <c r="E150" s="707" t="str">
        <f>"Industrial heating technology "&amp;$AJ$12&amp;" "&amp;RIGHT(H150,2)&amp;" - Gas boiler (Hot Water) - new 3"</f>
        <v>Industrial heating technology Glass &amp; Concrete PH - Gas boiler (Hot Water) - new 3</v>
      </c>
      <c r="F150" s="224" t="s">
        <v>1149</v>
      </c>
      <c r="G150" s="173" t="s">
        <v>2080</v>
      </c>
      <c r="H150" s="708" t="str">
        <f>$AI$14</f>
        <v>IGDPH</v>
      </c>
      <c r="I150" s="708" t="str">
        <f t="shared" si="162"/>
        <v>INDGWH</v>
      </c>
      <c r="J150" s="224">
        <f t="shared" si="146"/>
        <v>2011</v>
      </c>
      <c r="K150" s="299">
        <f>J150</f>
        <v>2011</v>
      </c>
      <c r="L150" s="199">
        <f t="shared" ref="L150:L155" ca="1" si="194">VLOOKUP($AD150,INDIRECT("'"&amp;$B150&amp;"'!"&amp;"$P$200:$AD$203"),3,FALSE)</f>
        <v>0.93</v>
      </c>
      <c r="M150" s="199"/>
      <c r="N150" s="81">
        <f ca="1">VLOOKUP($AD150,INDIRECT("'"&amp;$B150&amp;"'!"&amp;"$P$200:$AD$203"),5,FALSE)</f>
        <v>25</v>
      </c>
      <c r="O150" s="723">
        <f t="shared" ref="O150:O155" ca="1" si="195">VLOOKUP($AD150,INDIRECT("'"&amp;$B150&amp;"'!"&amp;"$P$200:$AD$203"),6,FALSE)/1000</f>
        <v>0.3250909090909091</v>
      </c>
      <c r="P150" s="723">
        <f t="shared" ref="P150:P155" ca="1" si="196">VLOOKUP($AD150,INDIRECT("'"&amp;$B150&amp;"'!"&amp;"$P$200:$AD$203"),7,FALSE)/1000</f>
        <v>1.49E-2</v>
      </c>
      <c r="Q150" s="81">
        <f t="shared" ref="Q150:Q155" ca="1" si="197">VLOOKUP($AD150,INDIRECT("'"&amp;$B150&amp;"'!"&amp;"$P$200:$AD$203"),8,FALSE)</f>
        <v>2.276388888888889</v>
      </c>
      <c r="R150" s="81">
        <v>3.1536000000000002E-2</v>
      </c>
      <c r="S150" s="199">
        <v>0.5</v>
      </c>
      <c r="T150" s="199">
        <f ca="1">HLOOKUP($T$2,INDIRECT("'"&amp;$B150&amp;"'!"&amp;"$P$167:$AC$180"),IF(H150=$AI$13,6,IF(H150=$AI$14,9,14)),FALSE)</f>
        <v>0</v>
      </c>
      <c r="U150" s="773"/>
      <c r="V150" s="199">
        <f t="shared" ref="V150" ca="1" si="198">IF(IF(RIGHT(H150,2)="PH",(1-L150)+$W$2,IF(RIGHT(H150,2)="HT",(1-L150)+$W$1,IF(RIGHT(H150,2)="SH",(1-L150)+$W$3,"")))&gt;0,IF(RIGHT(H150,2)="PH",(1-L150)+$W$2,IF(RIGHT(H150,2)="HT",(1-L150)+$W$1,IF(RIGHT(H150,2)="SH",(1-L150)+$W$3,""))),0)</f>
        <v>0.26999999999999996</v>
      </c>
      <c r="W150" s="709"/>
      <c r="X150" s="698">
        <f t="shared" ca="1" si="145"/>
        <v>0.3</v>
      </c>
      <c r="Y150" s="698">
        <f t="shared" ref="Y150:Y155" ca="1" si="199">VLOOKUP($AD150,INDIRECT("'"&amp;$B150&amp;"'!"&amp;"$P$200:$AD$203"),12,FALSE)</f>
        <v>9</v>
      </c>
      <c r="Z150" s="698">
        <f t="shared" ref="Z150:Z155" ca="1" si="200">VLOOKUP($AD150,INDIRECT("'"&amp;$B150&amp;"'!"&amp;"$P$200:$AD$203"),13,FALSE)</f>
        <v>3</v>
      </c>
      <c r="AA150" s="698">
        <f t="shared" ref="AA150:AA155" ca="1" si="201">VLOOKUP($AD150,INDIRECT("'"&amp;$B150&amp;"'!"&amp;"$P$200:$AD$203"),14,FALSE)</f>
        <v>1</v>
      </c>
      <c r="AB150" s="698">
        <f t="shared" ref="AB150:AB155" ca="1" si="202">VLOOKUP($AD150,INDIRECT("'"&amp;$B150&amp;"'!"&amp;"$P$200:$AD$203"),15,FALSE)</f>
        <v>0.1</v>
      </c>
      <c r="AC150" s="55"/>
      <c r="AD150" s="81">
        <v>2020</v>
      </c>
      <c r="AE150" s="81"/>
      <c r="AF150" s="700"/>
    </row>
    <row r="151" spans="1:32">
      <c r="A151" s="226"/>
      <c r="B151" s="718" t="s">
        <v>1010</v>
      </c>
      <c r="C151" s="226"/>
      <c r="E151" s="261"/>
      <c r="F151" s="224" t="s">
        <v>1149</v>
      </c>
      <c r="G151" s="55"/>
      <c r="H151" s="174"/>
      <c r="I151" s="174" t="str">
        <f t="shared" si="162"/>
        <v>INDGWH</v>
      </c>
      <c r="J151" s="224">
        <f t="shared" si="146"/>
        <v>2030</v>
      </c>
      <c r="K151" s="81"/>
      <c r="L151" s="199">
        <f t="shared" ca="1" si="194"/>
        <v>0.94</v>
      </c>
      <c r="M151" s="199"/>
      <c r="N151" s="81"/>
      <c r="O151" s="723">
        <f t="shared" ca="1" si="195"/>
        <v>0.27090909090909093</v>
      </c>
      <c r="P151" s="723">
        <f t="shared" ca="1" si="196"/>
        <v>1.4154999999999999E-2</v>
      </c>
      <c r="Q151" s="81">
        <f t="shared" ca="1" si="197"/>
        <v>2.0694444444444446</v>
      </c>
      <c r="R151" s="300"/>
      <c r="S151" s="300"/>
      <c r="T151" s="300"/>
      <c r="U151" s="300"/>
      <c r="V151" s="199">
        <f t="shared" ref="V151" ca="1" si="203">IF(IF(RIGHT(H150,2)="PH",(1-L151)+$W$2,IF(RIGHT(H150,2)="HT",(1-L151)+$W$1,IF(RIGHT(H150,2)="SH",(1-L151)+$W$3,"")))&gt;0,IF(RIGHT(H150,2)="PH",(1-L151)+$W$2,IF(RIGHT(H150,2)="HT",(1-L151)+$W$1,IF(RIGHT(H150,2)="SH",(1-L151)+$W$3,""))),0)</f>
        <v>0.26000000000000006</v>
      </c>
      <c r="W151" s="298"/>
      <c r="X151" s="698">
        <f t="shared" ca="1" si="145"/>
        <v>0.3</v>
      </c>
      <c r="Y151" s="698">
        <f t="shared" ca="1" si="199"/>
        <v>7</v>
      </c>
      <c r="Z151" s="698">
        <f t="shared" ca="1" si="200"/>
        <v>2</v>
      </c>
      <c r="AA151" s="698">
        <f t="shared" ca="1" si="201"/>
        <v>1</v>
      </c>
      <c r="AB151" s="698">
        <f t="shared" ca="1" si="202"/>
        <v>0.1</v>
      </c>
      <c r="AC151" s="55"/>
      <c r="AD151" s="81">
        <v>2030</v>
      </c>
      <c r="AE151" s="81"/>
      <c r="AF151" s="700"/>
    </row>
    <row r="152" spans="1:32">
      <c r="B152" s="718" t="s">
        <v>1010</v>
      </c>
      <c r="C152" s="226"/>
      <c r="E152" s="261"/>
      <c r="F152" s="224" t="s">
        <v>1149</v>
      </c>
      <c r="G152" s="55"/>
      <c r="H152" s="174"/>
      <c r="I152" s="174" t="str">
        <f t="shared" si="162"/>
        <v>INDGWH</v>
      </c>
      <c r="J152" s="224">
        <f t="shared" si="146"/>
        <v>2050</v>
      </c>
      <c r="K152" s="81"/>
      <c r="L152" s="199">
        <f t="shared" ca="1" si="194"/>
        <v>0.95</v>
      </c>
      <c r="M152" s="199"/>
      <c r="N152" s="81"/>
      <c r="O152" s="723">
        <f t="shared" ca="1" si="195"/>
        <v>0.27090909090909093</v>
      </c>
      <c r="P152" s="723">
        <f t="shared" ca="1" si="196"/>
        <v>1.2664999999999999E-2</v>
      </c>
      <c r="Q152" s="81">
        <f t="shared" ca="1" si="197"/>
        <v>2.0694444444444446</v>
      </c>
      <c r="R152" s="300"/>
      <c r="S152" s="300"/>
      <c r="T152" s="300"/>
      <c r="U152" s="300"/>
      <c r="V152" s="199">
        <f t="shared" ref="V152" ca="1" si="204">IF(IF(RIGHT(H150,2)="PH",(1-L152)+$W$2,IF(RIGHT(H150,2)="HT",(1-L152)+$W$1,IF(RIGHT(H150,2)="SH",(1-L152)+$W$3,"")))&gt;0,IF(RIGHT(H150,2)="PH",(1-L152)+$W$2,IF(RIGHT(H150,2)="HT",(1-L152)+$W$1,IF(RIGHT(H150,2)="SH",(1-L152)+$W$3,""))),0)</f>
        <v>0.25000000000000006</v>
      </c>
      <c r="W152" s="720"/>
      <c r="X152" s="698">
        <f t="shared" ca="1" si="145"/>
        <v>0.3</v>
      </c>
      <c r="Y152" s="698">
        <f t="shared" ca="1" si="199"/>
        <v>6</v>
      </c>
      <c r="Z152" s="698">
        <f t="shared" ca="1" si="200"/>
        <v>2</v>
      </c>
      <c r="AA152" s="698">
        <f t="shared" ca="1" si="201"/>
        <v>1</v>
      </c>
      <c r="AB152" s="698">
        <f t="shared" ca="1" si="202"/>
        <v>0.1</v>
      </c>
      <c r="AC152" s="203"/>
      <c r="AD152" s="81">
        <v>2050</v>
      </c>
      <c r="AE152" s="81"/>
      <c r="AF152" s="705"/>
    </row>
    <row r="153" spans="1:32">
      <c r="B153" s="718" t="s">
        <v>1010</v>
      </c>
      <c r="C153" s="64"/>
      <c r="D153" s="212" t="str">
        <f>"IND"&amp;RIGHT(H153,4)&amp;"GAS"&amp;"N"&amp;RIGHT(E153,1)</f>
        <v>INDGDSHGASN3</v>
      </c>
      <c r="E153" s="261" t="str">
        <f>"Industrial heating technology "&amp;$AJ$12&amp;" "&amp;RIGHT(H153,2)&amp;" - Gas boiler (Hot Water) - new 3"</f>
        <v>Industrial heating technology Glass &amp; Concrete SH - Gas boiler (Hot Water) - new 3</v>
      </c>
      <c r="F153" s="224" t="s">
        <v>1149</v>
      </c>
      <c r="G153" s="173" t="s">
        <v>2080</v>
      </c>
      <c r="H153" s="174" t="str">
        <f>$AI$15</f>
        <v>IGDSH</v>
      </c>
      <c r="I153" s="174" t="str">
        <f t="shared" si="162"/>
        <v>INDGWH</v>
      </c>
      <c r="J153" s="224">
        <f t="shared" si="146"/>
        <v>2011</v>
      </c>
      <c r="K153" s="299">
        <f>J153</f>
        <v>2011</v>
      </c>
      <c r="L153" s="199">
        <f t="shared" ca="1" si="194"/>
        <v>0.93</v>
      </c>
      <c r="M153" s="199"/>
      <c r="N153" s="81">
        <f ca="1">VLOOKUP($AD153,INDIRECT("'"&amp;$B153&amp;"'!"&amp;"$P$200:$AD$203"),5,FALSE)</f>
        <v>25</v>
      </c>
      <c r="O153" s="723">
        <f t="shared" ca="1" si="195"/>
        <v>0.3250909090909091</v>
      </c>
      <c r="P153" s="723">
        <f t="shared" ca="1" si="196"/>
        <v>1.49E-2</v>
      </c>
      <c r="Q153" s="81">
        <f t="shared" ca="1" si="197"/>
        <v>2.276388888888889</v>
      </c>
      <c r="R153" s="81">
        <v>3.1536000000000002E-2</v>
      </c>
      <c r="S153" s="199">
        <v>0.5</v>
      </c>
      <c r="T153" s="199">
        <f ca="1">HLOOKUP($T$2,INDIRECT("'"&amp;$B153&amp;"'!"&amp;"$P$167:$AC$180"),IF(H153=$AI$13,6,IF(H153=$AI$14,9,14)),FALSE)</f>
        <v>1</v>
      </c>
      <c r="U153" s="772"/>
      <c r="V153" s="199">
        <f t="shared" ref="V153" ca="1" si="205">IF(IF(RIGHT(H153,2)="PH",(1-L153)+$W$2,IF(RIGHT(H153,2)="HT",(1-L153)+$W$1,IF(RIGHT(H153,2)="SH",(1-L153)+$W$3,"")))&gt;0,IF(RIGHT(H153,2)="PH",(1-L153)+$W$2,IF(RIGHT(H153,2)="HT",(1-L153)+$W$1,IF(RIGHT(H153,2)="SH",(1-L153)+$W$3,""))),0)</f>
        <v>6.9999999999999951E-2</v>
      </c>
      <c r="W153" s="298"/>
      <c r="X153" s="698">
        <f t="shared" ca="1" si="145"/>
        <v>0.3</v>
      </c>
      <c r="Y153" s="698">
        <f t="shared" ca="1" si="199"/>
        <v>9</v>
      </c>
      <c r="Z153" s="698">
        <f t="shared" ca="1" si="200"/>
        <v>3</v>
      </c>
      <c r="AA153" s="698">
        <f t="shared" ca="1" si="201"/>
        <v>1</v>
      </c>
      <c r="AB153" s="698">
        <f t="shared" ca="1" si="202"/>
        <v>0.1</v>
      </c>
      <c r="AC153" s="296"/>
      <c r="AD153" s="81">
        <v>2020</v>
      </c>
      <c r="AE153" s="81"/>
      <c r="AF153" s="710"/>
    </row>
    <row r="154" spans="1:32">
      <c r="B154" s="718" t="s">
        <v>1010</v>
      </c>
      <c r="C154" s="64"/>
      <c r="E154" s="261"/>
      <c r="F154" s="224" t="s">
        <v>1149</v>
      </c>
      <c r="G154" s="55"/>
      <c r="H154" s="174"/>
      <c r="I154" s="174" t="str">
        <f t="shared" si="162"/>
        <v>INDGWH</v>
      </c>
      <c r="J154" s="224">
        <f t="shared" si="146"/>
        <v>2030</v>
      </c>
      <c r="K154" s="81"/>
      <c r="L154" s="199">
        <f t="shared" ca="1" si="194"/>
        <v>0.94</v>
      </c>
      <c r="M154" s="199"/>
      <c r="N154" s="81"/>
      <c r="O154" s="723">
        <f t="shared" ca="1" si="195"/>
        <v>0.27090909090909093</v>
      </c>
      <c r="P154" s="723">
        <f t="shared" ca="1" si="196"/>
        <v>1.4154999999999999E-2</v>
      </c>
      <c r="Q154" s="81">
        <f t="shared" ca="1" si="197"/>
        <v>2.0694444444444446</v>
      </c>
      <c r="R154" s="300"/>
      <c r="S154" s="300"/>
      <c r="T154" s="300"/>
      <c r="U154" s="300"/>
      <c r="V154" s="199">
        <f t="shared" ref="V154" ca="1" si="206">IF(IF(RIGHT(H153,2)="PH",(1-L154)+$W$2,IF(RIGHT(H153,2)="HT",(1-L154)+$W$1,IF(RIGHT(H153,2)="SH",(1-L154)+$W$3,"")))&gt;0,IF(RIGHT(H153,2)="PH",(1-L154)+$W$2,IF(RIGHT(H153,2)="HT",(1-L154)+$W$1,IF(RIGHT(H153,2)="SH",(1-L154)+$W$3,""))),0)</f>
        <v>6.0000000000000053E-2</v>
      </c>
      <c r="W154" s="298"/>
      <c r="X154" s="698">
        <f t="shared" ca="1" si="145"/>
        <v>0.3</v>
      </c>
      <c r="Y154" s="698">
        <f t="shared" ca="1" si="199"/>
        <v>7</v>
      </c>
      <c r="Z154" s="698">
        <f t="shared" ca="1" si="200"/>
        <v>2</v>
      </c>
      <c r="AA154" s="698">
        <f t="shared" ca="1" si="201"/>
        <v>1</v>
      </c>
      <c r="AB154" s="698">
        <f t="shared" ca="1" si="202"/>
        <v>0.1</v>
      </c>
      <c r="AC154" s="55"/>
      <c r="AD154" s="81">
        <v>2030</v>
      </c>
      <c r="AE154" s="81"/>
      <c r="AF154" s="700"/>
    </row>
    <row r="155" spans="1:32">
      <c r="A155" s="226"/>
      <c r="B155" s="719" t="s">
        <v>1010</v>
      </c>
      <c r="C155" s="713"/>
      <c r="D155" s="203"/>
      <c r="E155" s="701"/>
      <c r="F155" s="224" t="s">
        <v>1149</v>
      </c>
      <c r="G155" s="203"/>
      <c r="H155" s="702"/>
      <c r="I155" s="702" t="str">
        <f t="shared" si="162"/>
        <v>INDGWH</v>
      </c>
      <c r="J155" s="224">
        <f t="shared" si="146"/>
        <v>2050</v>
      </c>
      <c r="K155" s="81"/>
      <c r="L155" s="199">
        <f t="shared" ca="1" si="194"/>
        <v>0.95</v>
      </c>
      <c r="M155" s="199"/>
      <c r="N155" s="81"/>
      <c r="O155" s="723">
        <f t="shared" ca="1" si="195"/>
        <v>0.27090909090909093</v>
      </c>
      <c r="P155" s="723">
        <f t="shared" ca="1" si="196"/>
        <v>1.2664999999999999E-2</v>
      </c>
      <c r="Q155" s="81">
        <f t="shared" ca="1" si="197"/>
        <v>2.0694444444444446</v>
      </c>
      <c r="R155" s="300"/>
      <c r="S155" s="300"/>
      <c r="T155" s="300"/>
      <c r="U155" s="300"/>
      <c r="V155" s="199">
        <f t="shared" ref="V155" ca="1" si="207">IF(IF(RIGHT(H153,2)="PH",(1-L155)+$W$2,IF(RIGHT(H153,2)="HT",(1-L155)+$W$1,IF(RIGHT(H153,2)="SH",(1-L155)+$W$3,"")))&gt;0,IF(RIGHT(H153,2)="PH",(1-L155)+$W$2,IF(RIGHT(H153,2)="HT",(1-L155)+$W$1,IF(RIGHT(H153,2)="SH",(1-L155)+$W$3,""))),0)</f>
        <v>5.0000000000000044E-2</v>
      </c>
      <c r="W155" s="298"/>
      <c r="X155" s="698">
        <f t="shared" ca="1" si="145"/>
        <v>0.3</v>
      </c>
      <c r="Y155" s="698">
        <f t="shared" ca="1" si="199"/>
        <v>6</v>
      </c>
      <c r="Z155" s="698">
        <f t="shared" ca="1" si="200"/>
        <v>2</v>
      </c>
      <c r="AA155" s="698">
        <f t="shared" ca="1" si="201"/>
        <v>1</v>
      </c>
      <c r="AB155" s="698">
        <f t="shared" ca="1" si="202"/>
        <v>0.1</v>
      </c>
      <c r="AC155" s="55"/>
      <c r="AD155" s="81">
        <v>2050</v>
      </c>
      <c r="AE155" s="81"/>
      <c r="AF155" s="700"/>
    </row>
    <row r="156" spans="1:32">
      <c r="B156" s="718" t="s">
        <v>1010</v>
      </c>
      <c r="C156" s="64"/>
      <c r="D156" s="212" t="str">
        <f>"IND"&amp;RIGHT(H156,4)&amp;"GAS"&amp;"N"&amp;RIGHT(E156,1)</f>
        <v>INDGDPHGASN4</v>
      </c>
      <c r="E156" s="707" t="str">
        <f>"Industrial heating technology "&amp;$AJ$12&amp;" "&amp;RIGHT(H156,2)&amp;" - Gas boiler (Hot Water - condensing) - new 4"</f>
        <v>Industrial heating technology Glass &amp; Concrete PH - Gas boiler (Hot Water - condensing) - new 4</v>
      </c>
      <c r="F156" s="224" t="s">
        <v>1149</v>
      </c>
      <c r="G156" s="173" t="s">
        <v>2080</v>
      </c>
      <c r="H156" s="708" t="str">
        <f>$AI$14</f>
        <v>IGDPH</v>
      </c>
      <c r="I156" s="708" t="str">
        <f t="shared" si="162"/>
        <v>INDGWH</v>
      </c>
      <c r="J156" s="224">
        <f t="shared" si="146"/>
        <v>2011</v>
      </c>
      <c r="K156" s="299">
        <f>J156</f>
        <v>2011</v>
      </c>
      <c r="L156" s="199">
        <f t="shared" ref="L156:L161" ca="1" si="208">VLOOKUP($AD156,INDIRECT("'"&amp;$B156&amp;"'!"&amp;"$P$279:$AD$282"),3,FALSE)</f>
        <v>1.01</v>
      </c>
      <c r="M156" s="199"/>
      <c r="N156" s="81">
        <f ca="1">VLOOKUP($AD156,INDIRECT("'"&amp;$B156&amp;"'!"&amp;"$P$279:$AD$282"),5,FALSE)</f>
        <v>25</v>
      </c>
      <c r="O156" s="723">
        <f t="shared" ref="O156:O161" ca="1" si="209">VLOOKUP($AD156,INDIRECT("'"&amp;$B156&amp;"'!"&amp;"$P$279:$AD$282"),6,FALSE)/1000</f>
        <v>0.35760000000000003</v>
      </c>
      <c r="P156" s="723">
        <f t="shared" ref="P156:P161" ca="1" si="210">VLOOKUP($AD156,INDIRECT("'"&amp;$B156&amp;"'!"&amp;"$P$279:$AD$282"),7,FALSE)/1000</f>
        <v>1.49E-2</v>
      </c>
      <c r="Q156" s="81">
        <f t="shared" ref="Q156:Q161" ca="1" si="211">VLOOKUP($AD156,INDIRECT("'"&amp;$B156&amp;"'!"&amp;"$P$279:$AD$282"),8,FALSE)</f>
        <v>2.276388888888889</v>
      </c>
      <c r="R156" s="81">
        <v>3.1536000000000002E-2</v>
      </c>
      <c r="S156" s="199">
        <v>0.5</v>
      </c>
      <c r="T156" s="199">
        <f ca="1">HLOOKUP($T$2,INDIRECT("'"&amp;$B156&amp;"'!"&amp;"$P$246:$AC$259"),IF(H156=$AI$13,6,IF(H156=$AI$14,9,14)),FALSE)</f>
        <v>0</v>
      </c>
      <c r="U156" s="773"/>
      <c r="V156" s="199">
        <f t="shared" ref="V156" ca="1" si="212">IF(IF(RIGHT(H156,2)="PH",(1-L156)+$W$2,IF(RIGHT(H156,2)="HT",(1-L156)+$W$1,IF(RIGHT(H156,2)="SH",(1-L156)+$W$3,"")))&gt;0,IF(RIGHT(H156,2)="PH",(1-L156)+$W$2,IF(RIGHT(H156,2)="HT",(1-L156)+$W$1,IF(RIGHT(H156,2)="SH",(1-L156)+$W$3,""))),0)</f>
        <v>0.19</v>
      </c>
      <c r="W156" s="709"/>
      <c r="X156" s="698">
        <f t="shared" ca="1" si="145"/>
        <v>0.3</v>
      </c>
      <c r="Y156" s="698">
        <f t="shared" ref="Y156:Y161" ca="1" si="213">VLOOKUP($AD156,INDIRECT("'"&amp;$B156&amp;"'!"&amp;"$P$279:$AD$282"),12,FALSE)</f>
        <v>9</v>
      </c>
      <c r="Z156" s="698">
        <f t="shared" ref="Z156:Z161" ca="1" si="214">VLOOKUP($AD156,INDIRECT("'"&amp;$B156&amp;"'!"&amp;"$P$279:$AD$282"),13,FALSE)</f>
        <v>3</v>
      </c>
      <c r="AA156" s="698">
        <f t="shared" ref="AA156:AA161" ca="1" si="215">VLOOKUP($AD156,INDIRECT("'"&amp;$B156&amp;"'!"&amp;"$P$279:$AD$282"),14,FALSE)</f>
        <v>1</v>
      </c>
      <c r="AB156" s="698">
        <f t="shared" ref="AB156:AB161" ca="1" si="216">VLOOKUP($AD156,INDIRECT("'"&amp;$B156&amp;"'!"&amp;"$P$279:$AD$282"),15,FALSE)</f>
        <v>0.1</v>
      </c>
      <c r="AC156" s="55"/>
      <c r="AD156" s="81">
        <v>2020</v>
      </c>
      <c r="AE156" s="81"/>
      <c r="AF156" s="700"/>
    </row>
    <row r="157" spans="1:32">
      <c r="B157" s="718" t="s">
        <v>1010</v>
      </c>
      <c r="C157" s="64"/>
      <c r="E157" s="261"/>
      <c r="F157" s="224" t="s">
        <v>1149</v>
      </c>
      <c r="G157" s="55"/>
      <c r="H157" s="174"/>
      <c r="I157" s="174" t="str">
        <f t="shared" si="162"/>
        <v>INDGWH</v>
      </c>
      <c r="J157" s="224">
        <f t="shared" si="146"/>
        <v>2030</v>
      </c>
      <c r="K157" s="81"/>
      <c r="L157" s="199">
        <f t="shared" ca="1" si="208"/>
        <v>1.03</v>
      </c>
      <c r="M157" s="199"/>
      <c r="N157" s="81"/>
      <c r="O157" s="723">
        <f t="shared" ca="1" si="209"/>
        <v>0.29800000000000004</v>
      </c>
      <c r="P157" s="723">
        <f t="shared" ca="1" si="210"/>
        <v>1.4154999999999999E-2</v>
      </c>
      <c r="Q157" s="81">
        <f t="shared" ca="1" si="211"/>
        <v>2.0694444444444446</v>
      </c>
      <c r="R157" s="300"/>
      <c r="S157" s="300"/>
      <c r="T157" s="300"/>
      <c r="U157" s="300"/>
      <c r="V157" s="199">
        <f t="shared" ref="V157" ca="1" si="217">IF(IF(RIGHT(H156,2)="PH",(1-L157)+$W$2,IF(RIGHT(H156,2)="HT",(1-L157)+$W$1,IF(RIGHT(H156,2)="SH",(1-L157)+$W$3,"")))&gt;0,IF(RIGHT(H156,2)="PH",(1-L157)+$W$2,IF(RIGHT(H156,2)="HT",(1-L157)+$W$1,IF(RIGHT(H156,2)="SH",(1-L157)+$W$3,""))),0)</f>
        <v>0.16999999999999998</v>
      </c>
      <c r="W157" s="298"/>
      <c r="X157" s="698">
        <f t="shared" ca="1" si="145"/>
        <v>0.3</v>
      </c>
      <c r="Y157" s="698">
        <f t="shared" ca="1" si="213"/>
        <v>7</v>
      </c>
      <c r="Z157" s="698">
        <f t="shared" ca="1" si="214"/>
        <v>2</v>
      </c>
      <c r="AA157" s="698">
        <f t="shared" ca="1" si="215"/>
        <v>1</v>
      </c>
      <c r="AB157" s="698">
        <f t="shared" ca="1" si="216"/>
        <v>0.1</v>
      </c>
      <c r="AC157" s="55"/>
      <c r="AD157" s="81">
        <v>2030</v>
      </c>
      <c r="AE157" s="81"/>
      <c r="AF157" s="700"/>
    </row>
    <row r="158" spans="1:32">
      <c r="B158" s="718" t="s">
        <v>1010</v>
      </c>
      <c r="C158" s="64"/>
      <c r="E158" s="261"/>
      <c r="F158" s="224" t="s">
        <v>1149</v>
      </c>
      <c r="G158" s="55"/>
      <c r="H158" s="174"/>
      <c r="I158" s="174" t="str">
        <f t="shared" si="162"/>
        <v>INDGWH</v>
      </c>
      <c r="J158" s="224">
        <f t="shared" si="146"/>
        <v>2050</v>
      </c>
      <c r="K158" s="81"/>
      <c r="L158" s="199">
        <f t="shared" ca="1" si="208"/>
        <v>1.03</v>
      </c>
      <c r="M158" s="199"/>
      <c r="N158" s="81"/>
      <c r="O158" s="723">
        <f t="shared" ca="1" si="209"/>
        <v>0.29800000000000004</v>
      </c>
      <c r="P158" s="723">
        <f t="shared" ca="1" si="210"/>
        <v>1.2664999999999999E-2</v>
      </c>
      <c r="Q158" s="81">
        <f t="shared" ca="1" si="211"/>
        <v>2.0694444444444446</v>
      </c>
      <c r="R158" s="300"/>
      <c r="S158" s="300"/>
      <c r="T158" s="300"/>
      <c r="U158" s="300"/>
      <c r="V158" s="199">
        <f t="shared" ref="V158" ca="1" si="218">IF(IF(RIGHT(H156,2)="PH",(1-L158)+$W$2,IF(RIGHT(H156,2)="HT",(1-L158)+$W$1,IF(RIGHT(H156,2)="SH",(1-L158)+$W$3,"")))&gt;0,IF(RIGHT(H156,2)="PH",(1-L158)+$W$2,IF(RIGHT(H156,2)="HT",(1-L158)+$W$1,IF(RIGHT(H156,2)="SH",(1-L158)+$W$3,""))),0)</f>
        <v>0.16999999999999998</v>
      </c>
      <c r="W158" s="298"/>
      <c r="X158" s="698">
        <f t="shared" ca="1" si="145"/>
        <v>0.3</v>
      </c>
      <c r="Y158" s="698">
        <f t="shared" ca="1" si="213"/>
        <v>6</v>
      </c>
      <c r="Z158" s="698">
        <f t="shared" ca="1" si="214"/>
        <v>2</v>
      </c>
      <c r="AA158" s="698">
        <f t="shared" ca="1" si="215"/>
        <v>1</v>
      </c>
      <c r="AB158" s="698">
        <f t="shared" ca="1" si="216"/>
        <v>0.1</v>
      </c>
      <c r="AC158" s="203"/>
      <c r="AD158" s="81">
        <v>2050</v>
      </c>
      <c r="AE158" s="81"/>
      <c r="AF158" s="705"/>
    </row>
    <row r="159" spans="1:32">
      <c r="A159" s="226"/>
      <c r="B159" s="718" t="s">
        <v>1010</v>
      </c>
      <c r="C159" s="64"/>
      <c r="D159" s="212" t="str">
        <f>"IND"&amp;RIGHT(H159,4)&amp;"GAS"&amp;"N"&amp;RIGHT(E159,1)</f>
        <v>INDGDSHGASN4</v>
      </c>
      <c r="E159" s="261" t="str">
        <f>"Industrial heating technology "&amp;$AJ$12&amp;" "&amp;RIGHT(H159,2)&amp;" - Gas boiler (Hot Water- condensing) - new 4"</f>
        <v>Industrial heating technology Glass &amp; Concrete SH - Gas boiler (Hot Water- condensing) - new 4</v>
      </c>
      <c r="F159" s="224" t="s">
        <v>1149</v>
      </c>
      <c r="G159" s="173" t="s">
        <v>2080</v>
      </c>
      <c r="H159" s="174" t="str">
        <f>$AI$15</f>
        <v>IGDSH</v>
      </c>
      <c r="I159" s="174" t="str">
        <f t="shared" si="162"/>
        <v>INDGWH</v>
      </c>
      <c r="J159" s="224">
        <f t="shared" si="146"/>
        <v>2011</v>
      </c>
      <c r="K159" s="299">
        <f>J159</f>
        <v>2011</v>
      </c>
      <c r="L159" s="199">
        <f t="shared" ca="1" si="208"/>
        <v>1.01</v>
      </c>
      <c r="M159" s="199"/>
      <c r="N159" s="81">
        <f ca="1">VLOOKUP($AD159,INDIRECT("'"&amp;$B159&amp;"'!"&amp;"$P$279:$AD$282"),5,FALSE)</f>
        <v>25</v>
      </c>
      <c r="O159" s="723">
        <f t="shared" ca="1" si="209"/>
        <v>0.35760000000000003</v>
      </c>
      <c r="P159" s="723">
        <f t="shared" ca="1" si="210"/>
        <v>1.49E-2</v>
      </c>
      <c r="Q159" s="81">
        <f t="shared" ca="1" si="211"/>
        <v>2.276388888888889</v>
      </c>
      <c r="R159" s="81">
        <v>3.1536000000000002E-2</v>
      </c>
      <c r="S159" s="199">
        <v>0.5</v>
      </c>
      <c r="T159" s="199">
        <f ca="1">HLOOKUP($T$2,INDIRECT("'"&amp;$B159&amp;"'!"&amp;"$P$246:$AC$259"),IF(H159=$AI$13,6,IF(H159=$AI$14,9,14)),FALSE)</f>
        <v>0</v>
      </c>
      <c r="U159" s="773"/>
      <c r="V159" s="199">
        <f t="shared" ref="V159" ca="1" si="219">IF(IF(RIGHT(H159,2)="PH",(1-L159)+$W$2,IF(RIGHT(H159,2)="HT",(1-L159)+$W$1,IF(RIGHT(H159,2)="SH",(1-L159)+$W$3,"")))&gt;0,IF(RIGHT(H159,2)="PH",(1-L159)+$W$2,IF(RIGHT(H159,2)="HT",(1-L159)+$W$1,IF(RIGHT(H159,2)="SH",(1-L159)+$W$3,""))),0)</f>
        <v>0</v>
      </c>
      <c r="W159" s="709"/>
      <c r="X159" s="698">
        <f t="shared" ref="X159:X177" ca="1" si="220">IF(VLOOKUP($AD159,INDIRECT("'"&amp;$B159&amp;"'!"&amp;"$P$39:$AD$42"),11,FALSE)="Cf. the utilized electricity",0,VLOOKUP($AD159,INDIRECT("'"&amp;$B159&amp;"'!"&amp;"$P$39:$AD$42"),11,FALSE))</f>
        <v>0.3</v>
      </c>
      <c r="Y159" s="698">
        <f t="shared" ca="1" si="213"/>
        <v>9</v>
      </c>
      <c r="Z159" s="698">
        <f t="shared" ca="1" si="214"/>
        <v>3</v>
      </c>
      <c r="AA159" s="698">
        <f t="shared" ca="1" si="215"/>
        <v>1</v>
      </c>
      <c r="AB159" s="698">
        <f t="shared" ca="1" si="216"/>
        <v>0.1</v>
      </c>
      <c r="AC159" s="296"/>
      <c r="AD159" s="81">
        <v>2020</v>
      </c>
      <c r="AE159" s="81"/>
      <c r="AF159" s="710"/>
    </row>
    <row r="160" spans="1:32">
      <c r="B160" s="718" t="s">
        <v>1010</v>
      </c>
      <c r="C160" s="64"/>
      <c r="E160" s="261"/>
      <c r="F160" s="224" t="s">
        <v>1149</v>
      </c>
      <c r="G160" s="55"/>
      <c r="H160" s="174"/>
      <c r="I160" s="174" t="str">
        <f t="shared" si="162"/>
        <v>INDGWH</v>
      </c>
      <c r="J160" s="224">
        <f t="shared" si="146"/>
        <v>2030</v>
      </c>
      <c r="K160" s="81"/>
      <c r="L160" s="199">
        <f t="shared" ca="1" si="208"/>
        <v>1.03</v>
      </c>
      <c r="M160" s="199"/>
      <c r="N160" s="81"/>
      <c r="O160" s="723">
        <f t="shared" ca="1" si="209"/>
        <v>0.29800000000000004</v>
      </c>
      <c r="P160" s="723">
        <f t="shared" ca="1" si="210"/>
        <v>1.4154999999999999E-2</v>
      </c>
      <c r="Q160" s="81">
        <f t="shared" ca="1" si="211"/>
        <v>2.0694444444444446</v>
      </c>
      <c r="R160" s="300"/>
      <c r="S160" s="300"/>
      <c r="T160" s="300"/>
      <c r="U160" s="300"/>
      <c r="V160" s="199">
        <f t="shared" ref="V160" ca="1" si="221">IF(IF(RIGHT(H159,2)="PH",(1-L160)+$W$2,IF(RIGHT(H159,2)="HT",(1-L160)+$W$1,IF(RIGHT(H159,2)="SH",(1-L160)+$W$3,"")))&gt;0,IF(RIGHT(H159,2)="PH",(1-L160)+$W$2,IF(RIGHT(H159,2)="HT",(1-L160)+$W$1,IF(RIGHT(H159,2)="SH",(1-L160)+$W$3,""))),0)</f>
        <v>0</v>
      </c>
      <c r="W160" s="298"/>
      <c r="X160" s="698">
        <f t="shared" ca="1" si="220"/>
        <v>0.3</v>
      </c>
      <c r="Y160" s="698">
        <f t="shared" ca="1" si="213"/>
        <v>7</v>
      </c>
      <c r="Z160" s="698">
        <f t="shared" ca="1" si="214"/>
        <v>2</v>
      </c>
      <c r="AA160" s="698">
        <f t="shared" ca="1" si="215"/>
        <v>1</v>
      </c>
      <c r="AB160" s="698">
        <f t="shared" ca="1" si="216"/>
        <v>0.1</v>
      </c>
      <c r="AC160" s="55"/>
      <c r="AD160" s="81">
        <v>2030</v>
      </c>
      <c r="AE160" s="81"/>
      <c r="AF160" s="700"/>
    </row>
    <row r="161" spans="1:32">
      <c r="B161" s="719" t="s">
        <v>1010</v>
      </c>
      <c r="C161" s="713"/>
      <c r="D161" s="701"/>
      <c r="E161" s="701"/>
      <c r="F161" s="224" t="s">
        <v>1149</v>
      </c>
      <c r="G161" s="203"/>
      <c r="H161" s="702"/>
      <c r="I161" s="702" t="str">
        <f t="shared" si="162"/>
        <v>INDGWH</v>
      </c>
      <c r="J161" s="224">
        <f t="shared" si="146"/>
        <v>2050</v>
      </c>
      <c r="K161" s="81"/>
      <c r="L161" s="199">
        <f t="shared" ca="1" si="208"/>
        <v>1.03</v>
      </c>
      <c r="M161" s="199"/>
      <c r="N161" s="81"/>
      <c r="O161" s="723">
        <f t="shared" ca="1" si="209"/>
        <v>0.29800000000000004</v>
      </c>
      <c r="P161" s="723">
        <f t="shared" ca="1" si="210"/>
        <v>1.2664999999999999E-2</v>
      </c>
      <c r="Q161" s="81">
        <f t="shared" ca="1" si="211"/>
        <v>2.0694444444444446</v>
      </c>
      <c r="R161" s="300"/>
      <c r="S161" s="300"/>
      <c r="T161" s="300"/>
      <c r="U161" s="300"/>
      <c r="V161" s="199">
        <f t="shared" ref="V161" ca="1" si="222">IF(IF(RIGHT(H159,2)="PH",(1-L161)+$W$2,IF(RIGHT(H159,2)="HT",(1-L161)+$W$1,IF(RIGHT(H159,2)="SH",(1-L161)+$W$3,"")))&gt;0,IF(RIGHT(H159,2)="PH",(1-L161)+$W$2,IF(RIGHT(H159,2)="HT",(1-L161)+$W$1,IF(RIGHT(H159,2)="SH",(1-L161)+$W$3,""))),0)</f>
        <v>0</v>
      </c>
      <c r="W161" s="714"/>
      <c r="X161" s="698">
        <f t="shared" ca="1" si="220"/>
        <v>0.3</v>
      </c>
      <c r="Y161" s="698">
        <f t="shared" ca="1" si="213"/>
        <v>6</v>
      </c>
      <c r="Z161" s="698">
        <f t="shared" ca="1" si="214"/>
        <v>2</v>
      </c>
      <c r="AA161" s="698">
        <f t="shared" ca="1" si="215"/>
        <v>1</v>
      </c>
      <c r="AB161" s="698">
        <f t="shared" ca="1" si="216"/>
        <v>0.1</v>
      </c>
      <c r="AC161" s="55"/>
      <c r="AD161" s="81">
        <v>2050</v>
      </c>
      <c r="AE161" s="81"/>
      <c r="AF161" s="700"/>
    </row>
    <row r="162" spans="1:32">
      <c r="B162" s="718" t="s">
        <v>1010</v>
      </c>
      <c r="C162" s="64"/>
      <c r="D162" s="212" t="str">
        <f>"IND"&amp;RIGHT(H162,4)&amp;"GAS"&amp;"N"&amp;RIGHT(E162,1)</f>
        <v>INDGDPHGASN5</v>
      </c>
      <c r="E162" s="707" t="str">
        <f>"Industrial heating technology "&amp;$AJ$12&amp;" "&amp;RIGHT(H162,2)&amp;" - Gas boiler (Direct firing) - new 5"</f>
        <v>Industrial heating technology Glass &amp; Concrete PH - Gas boiler (Direct firing) - new 5</v>
      </c>
      <c r="F162" s="224" t="s">
        <v>1149</v>
      </c>
      <c r="G162" s="173" t="s">
        <v>2080</v>
      </c>
      <c r="H162" s="174" t="str">
        <f>$AI$13</f>
        <v>IGDPH</v>
      </c>
      <c r="I162" s="174" t="str">
        <f t="shared" si="162"/>
        <v>INDGWH</v>
      </c>
      <c r="J162" s="224">
        <f t="shared" si="146"/>
        <v>2011</v>
      </c>
      <c r="K162" s="299">
        <f>J162</f>
        <v>2011</v>
      </c>
      <c r="L162" s="199">
        <f t="shared" ref="L162:L167" ca="1" si="223">VLOOKUP($AD162,INDIRECT("'"&amp;$B162&amp;"'!"&amp;"$P$345:$AD$348"),3,FALSE)</f>
        <v>1</v>
      </c>
      <c r="M162" s="199"/>
      <c r="N162" s="81">
        <f ca="1">VLOOKUP($AD162,INDIRECT("'"&amp;$B162&amp;"'!"&amp;"$P$345:$AD$348"),5,FALSE)</f>
        <v>15</v>
      </c>
      <c r="O162" s="723">
        <f t="shared" ref="O162:O167" ca="1" si="224">VLOOKUP($AD162,INDIRECT("'"&amp;$B162&amp;"'!"&amp;"$P$345:$AD$348"),6,FALSE)/1000</f>
        <v>0.11175</v>
      </c>
      <c r="P162" s="723">
        <f t="shared" ref="P162:P167" ca="1" si="225">VLOOKUP($AD162,INDIRECT("'"&amp;$B162&amp;"'!"&amp;"$P$345:$AD$348"),7,FALSE)/1000</f>
        <v>1.3545454545454561E-3</v>
      </c>
      <c r="Q162" s="81">
        <f t="shared" ref="Q162:Q167" ca="1" si="226">VLOOKUP($AD162,INDIRECT("'"&amp;$B162&amp;"'!"&amp;"$P$345:$AD$348"),8,FALSE)</f>
        <v>0.58461805555555546</v>
      </c>
      <c r="R162" s="81">
        <v>3.1536000000000002E-2</v>
      </c>
      <c r="S162" s="199">
        <v>0.5</v>
      </c>
      <c r="T162" s="199">
        <f ca="1">HLOOKUP($S$2,INDIRECT("'"&amp;$B162&amp;"'!"&amp;"$P$312:$AC$325"),IF(H162=$AI$13,6,IF(H162=$AI$14,9,14)),FALSE)</f>
        <v>1</v>
      </c>
      <c r="U162" s="773"/>
      <c r="V162" s="199">
        <f t="shared" ref="V162" ca="1" si="227">IF(IF(RIGHT(H162,2)="PH",(1-L162)+$W$2,IF(RIGHT(H162,2)="HT",(1-L162)+$W$1,IF(RIGHT(H162,2)="SH",(1-L162)+$W$3,"")))&gt;0,IF(RIGHT(H162,2)="PH",(1-L162)+$W$2,IF(RIGHT(H162,2)="HT",(1-L162)+$W$1,IF(RIGHT(H162,2)="SH",(1-L162)+$W$3,""))),0)</f>
        <v>0.2</v>
      </c>
      <c r="W162" s="709"/>
      <c r="X162" s="698">
        <f t="shared" ca="1" si="220"/>
        <v>0.3</v>
      </c>
      <c r="Y162" s="698">
        <f t="shared" ref="Y162:Y167" ca="1" si="228">VLOOKUP($AD162,INDIRECT("'"&amp;$B162&amp;"'!"&amp;"$P$345:$AD$348"),12,FALSE)</f>
        <v>9</v>
      </c>
      <c r="Z162" s="698">
        <f t="shared" ref="Z162:Z167" ca="1" si="229">VLOOKUP($AD162,INDIRECT("'"&amp;$B162&amp;"'!"&amp;"$P$345:$AD$348"),13,FALSE)</f>
        <v>3</v>
      </c>
      <c r="AA162" s="698">
        <f t="shared" ref="AA162:AA167" ca="1" si="230">VLOOKUP($AD162,INDIRECT("'"&amp;$B162&amp;"'!"&amp;"$P$345:$AD$348"),14,FALSE)</f>
        <v>1</v>
      </c>
      <c r="AB162" s="698">
        <f t="shared" ref="AB162:AB167" ca="1" si="231">VLOOKUP($AD162,INDIRECT("'"&amp;$B162&amp;"'!"&amp;"$P$345:$AD$348"),15,FALSE)</f>
        <v>0.1</v>
      </c>
      <c r="AC162" s="55"/>
      <c r="AD162" s="81">
        <v>2020</v>
      </c>
      <c r="AE162" s="81"/>
      <c r="AF162" s="700"/>
    </row>
    <row r="163" spans="1:32">
      <c r="B163" s="718" t="s">
        <v>1010</v>
      </c>
      <c r="C163" s="64"/>
      <c r="E163" s="261"/>
      <c r="F163" s="224" t="s">
        <v>1149</v>
      </c>
      <c r="G163" s="55"/>
      <c r="H163" s="174"/>
      <c r="I163" s="174" t="str">
        <f t="shared" si="162"/>
        <v>INDGWH</v>
      </c>
      <c r="J163" s="224">
        <f t="shared" si="146"/>
        <v>2030</v>
      </c>
      <c r="K163" s="81"/>
      <c r="L163" s="199">
        <f t="shared" ca="1" si="223"/>
        <v>1</v>
      </c>
      <c r="M163" s="199"/>
      <c r="N163" s="81"/>
      <c r="O163" s="723">
        <f t="shared" ca="1" si="224"/>
        <v>0.11175</v>
      </c>
      <c r="P163" s="723">
        <f t="shared" ca="1" si="225"/>
        <v>1.3206818181818161E-3</v>
      </c>
      <c r="Q163" s="81">
        <f t="shared" ca="1" si="226"/>
        <v>0.5742708333333334</v>
      </c>
      <c r="R163" s="300"/>
      <c r="S163" s="300"/>
      <c r="T163" s="300"/>
      <c r="U163" s="300"/>
      <c r="V163" s="199">
        <f t="shared" ref="V163" ca="1" si="232">IF(IF(RIGHT(H162,2)="PH",(1-L163)+$W$2,IF(RIGHT(H162,2)="HT",(1-L163)+$W$1,IF(RIGHT(H162,2)="SH",(1-L163)+$W$3,"")))&gt;0,IF(RIGHT(H162,2)="PH",(1-L163)+$W$2,IF(RIGHT(H162,2)="HT",(1-L163)+$W$1,IF(RIGHT(H162,2)="SH",(1-L163)+$W$3,""))),0)</f>
        <v>0.2</v>
      </c>
      <c r="W163" s="298"/>
      <c r="X163" s="698">
        <f t="shared" ca="1" si="220"/>
        <v>0.3</v>
      </c>
      <c r="Y163" s="698">
        <f t="shared" ca="1" si="228"/>
        <v>7</v>
      </c>
      <c r="Z163" s="698">
        <f t="shared" ca="1" si="229"/>
        <v>2</v>
      </c>
      <c r="AA163" s="698">
        <f t="shared" ca="1" si="230"/>
        <v>1</v>
      </c>
      <c r="AB163" s="698">
        <f t="shared" ca="1" si="231"/>
        <v>0.1</v>
      </c>
      <c r="AC163" s="55"/>
      <c r="AD163" s="81">
        <v>2030</v>
      </c>
      <c r="AE163" s="81"/>
      <c r="AF163" s="700"/>
    </row>
    <row r="164" spans="1:32">
      <c r="B164" s="718" t="s">
        <v>1010</v>
      </c>
      <c r="C164" s="64"/>
      <c r="E164" s="261"/>
      <c r="F164" s="224" t="s">
        <v>1149</v>
      </c>
      <c r="G164" s="55"/>
      <c r="H164" s="174"/>
      <c r="I164" s="174" t="str">
        <f t="shared" si="162"/>
        <v>INDGWH</v>
      </c>
      <c r="J164" s="224">
        <f t="shared" si="146"/>
        <v>2050</v>
      </c>
      <c r="K164" s="81"/>
      <c r="L164" s="199">
        <f t="shared" ca="1" si="223"/>
        <v>1</v>
      </c>
      <c r="M164" s="199"/>
      <c r="N164" s="81"/>
      <c r="O164" s="723">
        <f t="shared" ca="1" si="224"/>
        <v>0.11175</v>
      </c>
      <c r="P164" s="723">
        <f t="shared" ca="1" si="225"/>
        <v>1.1513636363636396E-3</v>
      </c>
      <c r="Q164" s="81">
        <f t="shared" ca="1" si="226"/>
        <v>0.57944444444444443</v>
      </c>
      <c r="R164" s="300"/>
      <c r="S164" s="300"/>
      <c r="T164" s="300"/>
      <c r="U164" s="300"/>
      <c r="V164" s="199">
        <f t="shared" ref="V164" ca="1" si="233">IF(IF(RIGHT(H162,2)="PH",(1-L164)+$W$2,IF(RIGHT(H162,2)="HT",(1-L164)+$W$1,IF(RIGHT(H162,2)="SH",(1-L164)+$W$3,"")))&gt;0,IF(RIGHT(H162,2)="PH",(1-L164)+$W$2,IF(RIGHT(H162,2)="HT",(1-L164)+$W$1,IF(RIGHT(H162,2)="SH",(1-L164)+$W$3,""))),0)</f>
        <v>0.2</v>
      </c>
      <c r="W164" s="298"/>
      <c r="X164" s="698">
        <f t="shared" ca="1" si="220"/>
        <v>0.3</v>
      </c>
      <c r="Y164" s="698">
        <f t="shared" ca="1" si="228"/>
        <v>6</v>
      </c>
      <c r="Z164" s="698">
        <f t="shared" ca="1" si="229"/>
        <v>2</v>
      </c>
      <c r="AA164" s="698">
        <f t="shared" ca="1" si="230"/>
        <v>1</v>
      </c>
      <c r="AB164" s="698">
        <f t="shared" ca="1" si="231"/>
        <v>0.1</v>
      </c>
      <c r="AC164" s="203"/>
      <c r="AD164" s="81">
        <v>2050</v>
      </c>
      <c r="AE164" s="81"/>
      <c r="AF164" s="700"/>
    </row>
    <row r="165" spans="1:32">
      <c r="B165" s="718" t="s">
        <v>1010</v>
      </c>
      <c r="C165" s="64"/>
      <c r="D165" s="212" t="str">
        <f>"IND"&amp;RIGHT(H165,4)&amp;"GAS"&amp;"N"&amp;RIGHT(E165,1)</f>
        <v>INDGDPHGASN5</v>
      </c>
      <c r="E165" s="261" t="str">
        <f>"Industrial heating technology "&amp;$AJ$12&amp;" "&amp;RIGHT(H165,2)&amp;" - Gas boiler (Direct firing) - new 5"</f>
        <v>Industrial heating technology Glass &amp; Concrete PH - Gas boiler (Direct firing) - new 5</v>
      </c>
      <c r="F165" s="224" t="s">
        <v>1149</v>
      </c>
      <c r="G165" s="173" t="s">
        <v>2080</v>
      </c>
      <c r="H165" s="174" t="str">
        <f>$AI$14</f>
        <v>IGDPH</v>
      </c>
      <c r="I165" s="721" t="str">
        <f t="shared" si="162"/>
        <v>INDGWH</v>
      </c>
      <c r="J165" s="224">
        <f t="shared" si="146"/>
        <v>2011</v>
      </c>
      <c r="K165" s="299">
        <f>J165</f>
        <v>2011</v>
      </c>
      <c r="L165" s="199">
        <f t="shared" ca="1" si="223"/>
        <v>1</v>
      </c>
      <c r="M165" s="199"/>
      <c r="N165" s="81">
        <f ca="1">VLOOKUP($AD165,INDIRECT("'"&amp;$B165&amp;"'!"&amp;"$P$279:$AD$282"),5,FALSE)</f>
        <v>25</v>
      </c>
      <c r="O165" s="723">
        <f t="shared" ca="1" si="224"/>
        <v>0.11175</v>
      </c>
      <c r="P165" s="723">
        <f t="shared" ca="1" si="225"/>
        <v>1.3545454545454561E-3</v>
      </c>
      <c r="Q165" s="81">
        <f t="shared" ca="1" si="226"/>
        <v>0.58461805555555546</v>
      </c>
      <c r="R165" s="81">
        <v>3.1536000000000002E-2</v>
      </c>
      <c r="S165" s="199">
        <v>0.5</v>
      </c>
      <c r="T165" s="199">
        <f ca="1">HLOOKUP($S$2,INDIRECT("'"&amp;$B165&amp;"'!"&amp;"$P$312:$AC$325"),IF(H165=$AI$13,6,IF(H165=$AI$14,9,14)),FALSE)</f>
        <v>1</v>
      </c>
      <c r="U165" s="773"/>
      <c r="V165" s="199">
        <f t="shared" ref="V165" ca="1" si="234">IF(IF(RIGHT(H165,2)="PH",(1-L165)+$W$2,IF(RIGHT(H165,2)="HT",(1-L165)+$W$1,IF(RIGHT(H165,2)="SH",(1-L165)+$W$3,"")))&gt;0,IF(RIGHT(H165,2)="PH",(1-L165)+$W$2,IF(RIGHT(H165,2)="HT",(1-L165)+$W$1,IF(RIGHT(H165,2)="SH",(1-L165)+$W$3,""))),0)</f>
        <v>0.2</v>
      </c>
      <c r="W165" s="709"/>
      <c r="X165" s="698">
        <f t="shared" ca="1" si="220"/>
        <v>0.3</v>
      </c>
      <c r="Y165" s="698">
        <f t="shared" ca="1" si="228"/>
        <v>9</v>
      </c>
      <c r="Z165" s="698">
        <f t="shared" ca="1" si="229"/>
        <v>3</v>
      </c>
      <c r="AA165" s="698">
        <f t="shared" ca="1" si="230"/>
        <v>1</v>
      </c>
      <c r="AB165" s="698">
        <f t="shared" ca="1" si="231"/>
        <v>0.1</v>
      </c>
      <c r="AD165" s="277">
        <v>2020</v>
      </c>
      <c r="AE165" s="273"/>
      <c r="AF165" s="830"/>
    </row>
    <row r="166" spans="1:32">
      <c r="B166" s="718" t="s">
        <v>1010</v>
      </c>
      <c r="C166" s="64"/>
      <c r="E166" s="261"/>
      <c r="F166" s="224" t="s">
        <v>1149</v>
      </c>
      <c r="G166" s="55"/>
      <c r="H166" s="174"/>
      <c r="I166" s="174" t="str">
        <f t="shared" si="162"/>
        <v>INDGWH</v>
      </c>
      <c r="J166" s="224">
        <f t="shared" si="146"/>
        <v>2030</v>
      </c>
      <c r="K166" s="81"/>
      <c r="L166" s="199">
        <f t="shared" ca="1" si="223"/>
        <v>1</v>
      </c>
      <c r="M166" s="199"/>
      <c r="N166" s="81"/>
      <c r="O166" s="723">
        <f t="shared" ca="1" si="224"/>
        <v>0.11175</v>
      </c>
      <c r="P166" s="723">
        <f t="shared" ca="1" si="225"/>
        <v>1.3206818181818161E-3</v>
      </c>
      <c r="Q166" s="81">
        <f t="shared" ca="1" si="226"/>
        <v>0.5742708333333334</v>
      </c>
      <c r="R166" s="300"/>
      <c r="S166" s="300"/>
      <c r="T166" s="300"/>
      <c r="U166" s="300"/>
      <c r="V166" s="199">
        <f t="shared" ref="V166" ca="1" si="235">IF(IF(RIGHT(H165,2)="PH",(1-L166)+$W$2,IF(RIGHT(H165,2)="HT",(1-L166)+$W$1,IF(RIGHT(H165,2)="SH",(1-L166)+$W$3,"")))&gt;0,IF(RIGHT(H165,2)="PH",(1-L166)+$W$2,IF(RIGHT(H165,2)="HT",(1-L166)+$W$1,IF(RIGHT(H165,2)="SH",(1-L166)+$W$3,""))),0)</f>
        <v>0.2</v>
      </c>
      <c r="W166" s="298"/>
      <c r="X166" s="698">
        <f t="shared" ca="1" si="220"/>
        <v>0.3</v>
      </c>
      <c r="Y166" s="698">
        <f t="shared" ca="1" si="228"/>
        <v>7</v>
      </c>
      <c r="Z166" s="698">
        <f t="shared" ca="1" si="229"/>
        <v>2</v>
      </c>
      <c r="AA166" s="698">
        <f t="shared" ca="1" si="230"/>
        <v>1</v>
      </c>
      <c r="AB166" s="698">
        <f t="shared" ca="1" si="231"/>
        <v>0.1</v>
      </c>
      <c r="AD166" s="81">
        <v>2030</v>
      </c>
      <c r="AE166" s="273"/>
      <c r="AF166" s="828"/>
    </row>
    <row r="167" spans="1:32">
      <c r="A167" s="169"/>
      <c r="B167" s="719" t="s">
        <v>1010</v>
      </c>
      <c r="C167" s="713"/>
      <c r="D167" s="701"/>
      <c r="E167" s="701"/>
      <c r="F167" s="224" t="s">
        <v>1149</v>
      </c>
      <c r="G167" s="203"/>
      <c r="H167" s="702"/>
      <c r="I167" s="702" t="str">
        <f t="shared" si="162"/>
        <v>INDGWH</v>
      </c>
      <c r="J167" s="224">
        <f t="shared" si="146"/>
        <v>2050</v>
      </c>
      <c r="K167" s="81"/>
      <c r="L167" s="199">
        <f t="shared" ca="1" si="223"/>
        <v>1</v>
      </c>
      <c r="M167" s="199"/>
      <c r="N167" s="81"/>
      <c r="O167" s="723">
        <f t="shared" ca="1" si="224"/>
        <v>0.11175</v>
      </c>
      <c r="P167" s="723">
        <f t="shared" ca="1" si="225"/>
        <v>1.1513636363636396E-3</v>
      </c>
      <c r="Q167" s="81">
        <f t="shared" ca="1" si="226"/>
        <v>0.57944444444444443</v>
      </c>
      <c r="R167" s="722"/>
      <c r="S167" s="703"/>
      <c r="T167" s="703"/>
      <c r="U167" s="703"/>
      <c r="V167" s="199">
        <f t="shared" ref="V167" ca="1" si="236">IF(IF(RIGHT(H165,2)="PH",(1-L167)+$W$2,IF(RIGHT(H165,2)="HT",(1-L167)+$W$1,IF(RIGHT(H165,2)="SH",(1-L167)+$W$3,"")))&gt;0,IF(RIGHT(H165,2)="PH",(1-L167)+$W$2,IF(RIGHT(H165,2)="HT",(1-L167)+$W$1,IF(RIGHT(H165,2)="SH",(1-L167)+$W$3,""))),0)</f>
        <v>0.2</v>
      </c>
      <c r="W167" s="714"/>
      <c r="X167" s="698">
        <f t="shared" ca="1" si="220"/>
        <v>0.3</v>
      </c>
      <c r="Y167" s="698">
        <f t="shared" ca="1" si="228"/>
        <v>6</v>
      </c>
      <c r="Z167" s="698">
        <f t="shared" ca="1" si="229"/>
        <v>2</v>
      </c>
      <c r="AA167" s="698">
        <f t="shared" ca="1" si="230"/>
        <v>1</v>
      </c>
      <c r="AB167" s="698">
        <f t="shared" ca="1" si="231"/>
        <v>0.1</v>
      </c>
      <c r="AD167" s="81">
        <v>2050</v>
      </c>
      <c r="AE167" s="273"/>
      <c r="AF167" s="828"/>
    </row>
    <row r="168" spans="1:32">
      <c r="A168" s="169"/>
      <c r="B168" s="718" t="s">
        <v>1099</v>
      </c>
      <c r="C168" s="226"/>
      <c r="D168" s="707" t="str">
        <f>"IND"&amp;RIGHT(H168,4)&amp;RIGHT(G168,3)&amp;"N"&amp;RIGHT(E168,1)</f>
        <v>INDGDPHCOAN1</v>
      </c>
      <c r="E168" s="261" t="str">
        <f>"Industrial heating technology "&amp;$AJ$12&amp;" "&amp;RIGHT(H168,2)&amp;" - Coal boiler (Steam) - new 1"</f>
        <v>Industrial heating technology Glass &amp; Concrete PH - Coal boiler (Steam) - new 1</v>
      </c>
      <c r="F168" s="224" t="s">
        <v>1149</v>
      </c>
      <c r="G168" s="55" t="s">
        <v>617</v>
      </c>
      <c r="H168" s="174" t="str">
        <f>$AI$13</f>
        <v>IGDPH</v>
      </c>
      <c r="I168" s="174" t="str">
        <f t="shared" si="162"/>
        <v>INDGWH</v>
      </c>
      <c r="J168" s="224">
        <f t="shared" si="146"/>
        <v>2011</v>
      </c>
      <c r="K168" s="299">
        <v>2025</v>
      </c>
      <c r="L168" s="199">
        <f t="shared" ref="L168:L176" ca="1" si="237">VLOOKUP($AD168,INDIRECT("'"&amp;$B168&amp;"'!"&amp;"$P$39:$AD$42"),3,FALSE)</f>
        <v>0.89</v>
      </c>
      <c r="M168" s="699"/>
      <c r="N168" s="299">
        <f ca="1">VLOOKUP($AD168,INDIRECT("'"&amp;$B168&amp;"'!"&amp;"$P$39:$AD$42"),5,FALSE)</f>
        <v>25</v>
      </c>
      <c r="O168" s="725">
        <f t="shared" ref="O168:O176" ca="1" si="238">VLOOKUP($AD168,INDIRECT("'"&amp;$B168&amp;"'!"&amp;"$P$39:$AD$42"),6,FALSE)/1000</f>
        <v>3.7250000000000001</v>
      </c>
      <c r="P168" s="725">
        <f t="shared" ref="P168:P176" ca="1" si="239">VLOOKUP($AD168,INDIRECT("'"&amp;$B168&amp;"'!"&amp;"$P$39:$AD$42"),7,FALSE)/1000</f>
        <v>0.25106499999999998</v>
      </c>
      <c r="Q168" s="299">
        <f t="shared" ref="Q168:Q176" ca="1" si="240">VLOOKUP($AD168,INDIRECT("'"&amp;$B168&amp;"'!"&amp;"$P$39:$AD$42"),8,FALSE)</f>
        <v>3.9381527777777778</v>
      </c>
      <c r="R168" s="299">
        <v>3.1536000000000002E-2</v>
      </c>
      <c r="S168" s="699">
        <v>0.5</v>
      </c>
      <c r="T168" s="699">
        <f ca="1">HLOOKUP($T$2,INDIRECT("'"&amp;$B168&amp;"'!"&amp;"$P$6:$AC$19"),IF(H168=$AI$13,6,IF(H168=$AI$14,9,14)),FALSE)</f>
        <v>1</v>
      </c>
      <c r="U168" s="772"/>
      <c r="V168" s="199">
        <f t="shared" ref="V168" ca="1" si="241">IF(IF(RIGHT(H168,2)="PH",(1-L168)+$W$2,IF(RIGHT(H168,2)="HT",(1-L168)+$W$1,IF(RIGHT(H168,2)="SH",(1-L168)+$W$3,"")))&gt;0,IF(RIGHT(H168,2)="PH",(1-L168)+$W$2,IF(RIGHT(H168,2)="HT",(1-L168)+$W$1,IF(RIGHT(H168,2)="SH",(1-L168)+$W$3,""))),0)</f>
        <v>0.31</v>
      </c>
      <c r="W168" s="298"/>
      <c r="X168" s="698">
        <f t="shared" ca="1" si="220"/>
        <v>8</v>
      </c>
      <c r="Y168" s="299">
        <f t="shared" ref="Y168:Y176" ca="1" si="242">VLOOKUP($AD168,INDIRECT("'"&amp;$B168&amp;"'!"&amp;"$P$39:$AD$42"),12,FALSE)</f>
        <v>35</v>
      </c>
      <c r="Z168" s="299">
        <f t="shared" ref="Z168:Z176" ca="1" si="243">VLOOKUP($AD168,INDIRECT("'"&amp;$B168&amp;"'!"&amp;"$P$39:$AD$42"),13,FALSE)</f>
        <v>1.5</v>
      </c>
      <c r="AA168" s="299">
        <f t="shared" ref="AA168:AA176" ca="1" si="244">VLOOKUP($AD168,INDIRECT("'"&amp;$B168&amp;"'!"&amp;"$P$39:$AD$42"),14,FALSE)</f>
        <v>0.8</v>
      </c>
      <c r="AB168" s="299">
        <f t="shared" ref="AB168:AB176" ca="1" si="245">VLOOKUP($AD168,INDIRECT("'"&amp;$B168&amp;"'!"&amp;"$P$39:$AD$42"),15,FALSE)</f>
        <v>2.1</v>
      </c>
      <c r="AD168" s="81">
        <v>2020</v>
      </c>
      <c r="AE168" s="273"/>
      <c r="AF168" s="828"/>
    </row>
    <row r="169" spans="1:32">
      <c r="A169" s="169"/>
      <c r="B169" s="718" t="s">
        <v>1099</v>
      </c>
      <c r="C169" s="226"/>
      <c r="D169" s="261"/>
      <c r="E169" s="261"/>
      <c r="F169" s="224" t="s">
        <v>1149</v>
      </c>
      <c r="G169" s="55"/>
      <c r="H169" s="174"/>
      <c r="I169" s="174" t="str">
        <f t="shared" si="162"/>
        <v>INDGWH</v>
      </c>
      <c r="J169" s="224">
        <f t="shared" si="146"/>
        <v>2030</v>
      </c>
      <c r="K169" s="81"/>
      <c r="L169" s="199">
        <f t="shared" ca="1" si="237"/>
        <v>0.89</v>
      </c>
      <c r="M169" s="772"/>
      <c r="N169" s="200"/>
      <c r="O169" s="725">
        <f t="shared" ca="1" si="238"/>
        <v>3.4699403462447704</v>
      </c>
      <c r="P169" s="725">
        <f t="shared" ca="1" si="239"/>
        <v>0.24287</v>
      </c>
      <c r="Q169" s="299">
        <f t="shared" ca="1" si="240"/>
        <v>3.9836805555555559</v>
      </c>
      <c r="R169" s="823"/>
      <c r="S169" s="300"/>
      <c r="T169" s="300"/>
      <c r="U169" s="300"/>
      <c r="V169" s="199">
        <f t="shared" ref="V169" ca="1" si="246">IF(IF(RIGHT(H168,2)="PH",(1-L169)+$W$2,IF(RIGHT(H168,2)="HT",(1-L169)+$W$1,IF(RIGHT(H168,2)="SH",(1-L169)+$W$3,"")))&gt;0,IF(RIGHT(H168,2)="PH",(1-L169)+$W$2,IF(RIGHT(H168,2)="HT",(1-L169)+$W$1,IF(RIGHT(H168,2)="SH",(1-L169)+$W$3,""))),0)</f>
        <v>0.31</v>
      </c>
      <c r="W169" s="298"/>
      <c r="X169" s="698">
        <f t="shared" ca="1" si="220"/>
        <v>8</v>
      </c>
      <c r="Y169" s="299">
        <f t="shared" ca="1" si="242"/>
        <v>35</v>
      </c>
      <c r="Z169" s="299">
        <f t="shared" ca="1" si="243"/>
        <v>1.5</v>
      </c>
      <c r="AA169" s="299">
        <f t="shared" ca="1" si="244"/>
        <v>0.8</v>
      </c>
      <c r="AB169" s="299">
        <f t="shared" ca="1" si="245"/>
        <v>2.1</v>
      </c>
      <c r="AD169" s="81">
        <v>2030</v>
      </c>
      <c r="AE169" s="273"/>
      <c r="AF169" s="828"/>
    </row>
    <row r="170" spans="1:32">
      <c r="A170" s="169"/>
      <c r="B170" s="718" t="s">
        <v>1099</v>
      </c>
      <c r="C170" s="226"/>
      <c r="D170" s="261"/>
      <c r="E170" s="261"/>
      <c r="F170" s="224" t="s">
        <v>1149</v>
      </c>
      <c r="G170" s="55"/>
      <c r="H170" s="174"/>
      <c r="I170" s="174" t="str">
        <f t="shared" si="162"/>
        <v>INDGWH</v>
      </c>
      <c r="J170" s="224">
        <f t="shared" si="146"/>
        <v>2050</v>
      </c>
      <c r="K170" s="81"/>
      <c r="L170" s="199">
        <f t="shared" ca="1" si="237"/>
        <v>0.91</v>
      </c>
      <c r="M170" s="772"/>
      <c r="N170" s="200"/>
      <c r="O170" s="725">
        <f t="shared" ca="1" si="238"/>
        <v>3.2813985758696647</v>
      </c>
      <c r="P170" s="725">
        <f t="shared" ca="1" si="239"/>
        <v>0.22797000000000001</v>
      </c>
      <c r="Q170" s="299">
        <f t="shared" ca="1" si="240"/>
        <v>4.0064444444444449</v>
      </c>
      <c r="R170" s="823"/>
      <c r="S170" s="300"/>
      <c r="T170" s="300"/>
      <c r="U170" s="300"/>
      <c r="V170" s="199">
        <f t="shared" ref="V170" ca="1" si="247">IF(IF(RIGHT(H168,2)="PH",(1-L170)+$W$2,IF(RIGHT(H168,2)="HT",(1-L170)+$W$1,IF(RIGHT(H168,2)="SH",(1-L170)+$W$3,"")))&gt;0,IF(RIGHT(H168,2)="PH",(1-L170)+$W$2,IF(RIGHT(H168,2)="HT",(1-L170)+$W$1,IF(RIGHT(H168,2)="SH",(1-L170)+$W$3,""))),0)</f>
        <v>0.28999999999999998</v>
      </c>
      <c r="W170" s="298"/>
      <c r="X170" s="698">
        <f t="shared" ca="1" si="220"/>
        <v>8</v>
      </c>
      <c r="Y170" s="299">
        <f t="shared" ca="1" si="242"/>
        <v>35</v>
      </c>
      <c r="Z170" s="299">
        <f t="shared" ca="1" si="243"/>
        <v>1.5</v>
      </c>
      <c r="AA170" s="299">
        <f t="shared" ca="1" si="244"/>
        <v>0.8</v>
      </c>
      <c r="AB170" s="299">
        <f t="shared" ca="1" si="245"/>
        <v>2.1</v>
      </c>
      <c r="AD170" s="81">
        <v>2050</v>
      </c>
      <c r="AE170" s="273"/>
      <c r="AF170" s="828"/>
    </row>
    <row r="171" spans="1:32">
      <c r="A171" s="169"/>
      <c r="B171" s="718" t="s">
        <v>1099</v>
      </c>
      <c r="C171" s="226"/>
      <c r="D171" s="261" t="str">
        <f>"IND"&amp;RIGHT(H171,4)&amp;RIGHT(G171,3)&amp;"N"&amp;RIGHT(E171,1)</f>
        <v>INDGDPHCOAN1</v>
      </c>
      <c r="E171" s="261" t="str">
        <f>"Industrial heating technology "&amp;$AJ$12&amp;" "&amp;RIGHT(H171,2)&amp;" - Coal boiler (Steam) - new 1"</f>
        <v>Industrial heating technology Glass &amp; Concrete PH - Coal boiler (Steam) - new 1</v>
      </c>
      <c r="F171" s="224" t="s">
        <v>1149</v>
      </c>
      <c r="G171" s="55" t="s">
        <v>617</v>
      </c>
      <c r="H171" s="174" t="str">
        <f>$AI$14</f>
        <v>IGDPH</v>
      </c>
      <c r="I171" s="174" t="str">
        <f t="shared" si="162"/>
        <v>INDGWH</v>
      </c>
      <c r="J171" s="224">
        <f t="shared" si="146"/>
        <v>2011</v>
      </c>
      <c r="K171" s="299">
        <v>2025</v>
      </c>
      <c r="L171" s="199">
        <f t="shared" ca="1" si="237"/>
        <v>0.89</v>
      </c>
      <c r="M171" s="199"/>
      <c r="N171" s="81">
        <f ca="1">VLOOKUP($AD171,INDIRECT("'"&amp;$B171&amp;"'!"&amp;"$P$39:$AD$42"),5,FALSE)</f>
        <v>25</v>
      </c>
      <c r="O171" s="725">
        <f t="shared" ca="1" si="238"/>
        <v>3.7250000000000001</v>
      </c>
      <c r="P171" s="725">
        <f t="shared" ca="1" si="239"/>
        <v>0.25106499999999998</v>
      </c>
      <c r="Q171" s="299">
        <f t="shared" ca="1" si="240"/>
        <v>3.9381527777777778</v>
      </c>
      <c r="R171" s="81">
        <v>3.1536000000000002E-2</v>
      </c>
      <c r="S171" s="199">
        <v>0.5</v>
      </c>
      <c r="T171" s="199">
        <f ca="1">HLOOKUP($T$2,INDIRECT("'"&amp;$B171&amp;"'!"&amp;"$P$6:$AC$19"),IF(H171=$AI$13,6,IF(H171=$AI$14,9,14)),FALSE)</f>
        <v>1</v>
      </c>
      <c r="U171" s="772"/>
      <c r="V171" s="199">
        <f t="shared" ref="V171" ca="1" si="248">IF(IF(RIGHT(H171,2)="PH",(1-L171)+$W$2,IF(RIGHT(H171,2)="HT",(1-L171)+$W$1,IF(RIGHT(H171,2)="SH",(1-L171)+$W$3,"")))&gt;0,IF(RIGHT(H171,2)="PH",(1-L171)+$W$2,IF(RIGHT(H171,2)="HT",(1-L171)+$W$1,IF(RIGHT(H171,2)="SH",(1-L171)+$W$3,""))),0)</f>
        <v>0.31</v>
      </c>
      <c r="W171" s="298"/>
      <c r="X171" s="698">
        <f t="shared" ca="1" si="220"/>
        <v>8</v>
      </c>
      <c r="Y171" s="299">
        <f t="shared" ca="1" si="242"/>
        <v>35</v>
      </c>
      <c r="Z171" s="299">
        <f t="shared" ca="1" si="243"/>
        <v>1.5</v>
      </c>
      <c r="AA171" s="299">
        <f t="shared" ca="1" si="244"/>
        <v>0.8</v>
      </c>
      <c r="AB171" s="299">
        <f t="shared" ca="1" si="245"/>
        <v>2.1</v>
      </c>
      <c r="AD171" s="81">
        <v>2020</v>
      </c>
      <c r="AE171" s="273"/>
      <c r="AF171" s="828"/>
    </row>
    <row r="172" spans="1:32">
      <c r="A172" s="169"/>
      <c r="B172" s="718" t="s">
        <v>1099</v>
      </c>
      <c r="C172" s="226"/>
      <c r="D172" s="261"/>
      <c r="E172" s="261"/>
      <c r="F172" s="224" t="s">
        <v>1149</v>
      </c>
      <c r="G172" s="55"/>
      <c r="H172" s="174"/>
      <c r="I172" s="174" t="str">
        <f t="shared" si="162"/>
        <v>INDGWH</v>
      </c>
      <c r="J172" s="224">
        <f t="shared" si="146"/>
        <v>2030</v>
      </c>
      <c r="K172" s="81"/>
      <c r="L172" s="199">
        <f t="shared" ca="1" si="237"/>
        <v>0.89</v>
      </c>
      <c r="M172" s="772"/>
      <c r="N172" s="200"/>
      <c r="O172" s="725">
        <f t="shared" ca="1" si="238"/>
        <v>3.4699403462447704</v>
      </c>
      <c r="P172" s="725">
        <f t="shared" ca="1" si="239"/>
        <v>0.24287</v>
      </c>
      <c r="Q172" s="299">
        <f t="shared" ca="1" si="240"/>
        <v>3.9836805555555559</v>
      </c>
      <c r="R172" s="823"/>
      <c r="S172" s="300"/>
      <c r="T172" s="300"/>
      <c r="U172" s="300"/>
      <c r="V172" s="199">
        <f t="shared" ref="V172" ca="1" si="249">IF(IF(RIGHT(H171,2)="PH",(1-L172)+$W$2,IF(RIGHT(H171,2)="HT",(1-L172)+$W$1,IF(RIGHT(H171,2)="SH",(1-L172)+$W$3,"")))&gt;0,IF(RIGHT(H171,2)="PH",(1-L172)+$W$2,IF(RIGHT(H171,2)="HT",(1-L172)+$W$1,IF(RIGHT(H171,2)="SH",(1-L172)+$W$3,""))),0)</f>
        <v>0.31</v>
      </c>
      <c r="W172" s="298"/>
      <c r="X172" s="698">
        <f t="shared" ca="1" si="220"/>
        <v>8</v>
      </c>
      <c r="Y172" s="299">
        <f t="shared" ca="1" si="242"/>
        <v>35</v>
      </c>
      <c r="Z172" s="299">
        <f t="shared" ca="1" si="243"/>
        <v>1.5</v>
      </c>
      <c r="AA172" s="299">
        <f t="shared" ca="1" si="244"/>
        <v>0.8</v>
      </c>
      <c r="AB172" s="299">
        <f t="shared" ca="1" si="245"/>
        <v>2.1</v>
      </c>
      <c r="AD172" s="81">
        <v>2030</v>
      </c>
      <c r="AE172" s="273"/>
      <c r="AF172" s="828"/>
    </row>
    <row r="173" spans="1:32">
      <c r="A173" s="169"/>
      <c r="B173" s="718" t="s">
        <v>1099</v>
      </c>
      <c r="C173" s="226"/>
      <c r="D173" s="261"/>
      <c r="E173" s="261"/>
      <c r="F173" s="224" t="s">
        <v>1149</v>
      </c>
      <c r="G173" s="55"/>
      <c r="H173" s="174"/>
      <c r="I173" s="174" t="str">
        <f t="shared" si="162"/>
        <v>INDGWH</v>
      </c>
      <c r="J173" s="224">
        <f t="shared" si="146"/>
        <v>2050</v>
      </c>
      <c r="K173" s="81"/>
      <c r="L173" s="199">
        <f t="shared" ca="1" si="237"/>
        <v>0.91</v>
      </c>
      <c r="M173" s="772"/>
      <c r="N173" s="200"/>
      <c r="O173" s="725">
        <f t="shared" ca="1" si="238"/>
        <v>3.2813985758696647</v>
      </c>
      <c r="P173" s="725">
        <f t="shared" ca="1" si="239"/>
        <v>0.22797000000000001</v>
      </c>
      <c r="Q173" s="299">
        <f t="shared" ca="1" si="240"/>
        <v>4.0064444444444449</v>
      </c>
      <c r="R173" s="823"/>
      <c r="S173" s="300"/>
      <c r="T173" s="300"/>
      <c r="U173" s="300"/>
      <c r="V173" s="199">
        <f t="shared" ref="V173" ca="1" si="250">IF(IF(RIGHT(H171,2)="PH",(1-L173)+$W$2,IF(RIGHT(H171,2)="HT",(1-L173)+$W$1,IF(RIGHT(H171,2)="SH",(1-L173)+$W$3,"")))&gt;0,IF(RIGHT(H171,2)="PH",(1-L173)+$W$2,IF(RIGHT(H171,2)="HT",(1-L173)+$W$1,IF(RIGHT(H171,2)="SH",(1-L173)+$W$3,""))),0)</f>
        <v>0.28999999999999998</v>
      </c>
      <c r="W173" s="298"/>
      <c r="X173" s="698">
        <f t="shared" ca="1" si="220"/>
        <v>8</v>
      </c>
      <c r="Y173" s="299">
        <f t="shared" ca="1" si="242"/>
        <v>35</v>
      </c>
      <c r="Z173" s="299">
        <f t="shared" ca="1" si="243"/>
        <v>1.5</v>
      </c>
      <c r="AA173" s="299">
        <f t="shared" ca="1" si="244"/>
        <v>0.8</v>
      </c>
      <c r="AB173" s="299">
        <f t="shared" ca="1" si="245"/>
        <v>2.1</v>
      </c>
      <c r="AD173" s="81">
        <v>2050</v>
      </c>
      <c r="AE173" s="273"/>
      <c r="AF173" s="828"/>
    </row>
    <row r="174" spans="1:32">
      <c r="A174" s="169"/>
      <c r="B174" s="718" t="s">
        <v>1099</v>
      </c>
      <c r="C174" s="226"/>
      <c r="D174" s="261" t="str">
        <f>"IND"&amp;RIGHT(H174,4)&amp;RIGHT(G174,3)&amp;"N"&amp;RIGHT(E174,1)</f>
        <v>INDGDSHCOAN1</v>
      </c>
      <c r="E174" s="261" t="str">
        <f>"Industrial heating technology "&amp;$AJ$12&amp;" "&amp;RIGHT(H174,2)&amp;" - Coal boiler (Steam) - new 1"</f>
        <v>Industrial heating technology Glass &amp; Concrete SH - Coal boiler (Steam) - new 1</v>
      </c>
      <c r="F174" s="224" t="s">
        <v>1149</v>
      </c>
      <c r="G174" s="55" t="s">
        <v>617</v>
      </c>
      <c r="H174" s="174" t="str">
        <f>$AI$15</f>
        <v>IGDSH</v>
      </c>
      <c r="I174" s="174" t="str">
        <f t="shared" si="162"/>
        <v>INDGWH</v>
      </c>
      <c r="J174" s="224">
        <f t="shared" si="146"/>
        <v>2011</v>
      </c>
      <c r="K174" s="299">
        <v>2025</v>
      </c>
      <c r="L174" s="199">
        <f t="shared" ca="1" si="237"/>
        <v>0.89</v>
      </c>
      <c r="M174" s="199"/>
      <c r="N174" s="81">
        <f ca="1">VLOOKUP($AD174,INDIRECT("'"&amp;$B174&amp;"'!"&amp;"$P$39:$AD$42"),5,FALSE)</f>
        <v>25</v>
      </c>
      <c r="O174" s="725">
        <f t="shared" ca="1" si="238"/>
        <v>3.7250000000000001</v>
      </c>
      <c r="P174" s="725">
        <f t="shared" ca="1" si="239"/>
        <v>0.25106499999999998</v>
      </c>
      <c r="Q174" s="299">
        <f t="shared" ca="1" si="240"/>
        <v>3.9381527777777778</v>
      </c>
      <c r="R174" s="81">
        <v>3.1536000000000002E-2</v>
      </c>
      <c r="S174" s="199">
        <v>0.5</v>
      </c>
      <c r="T174" s="199">
        <f ca="1">HLOOKUP($T$2,INDIRECT("'"&amp;$B174&amp;"'!"&amp;"$P$6:$AC$19"),IF(H174=$AI$13,6,IF(H174=$AI$14,9,14)),FALSE)</f>
        <v>1</v>
      </c>
      <c r="U174" s="772"/>
      <c r="V174" s="199">
        <f t="shared" ref="V174" ca="1" si="251">IF(IF(RIGHT(H174,2)="PH",(1-L174)+$W$2,IF(RIGHT(H174,2)="HT",(1-L174)+$W$1,IF(RIGHT(H174,2)="SH",(1-L174)+$W$3,"")))&gt;0,IF(RIGHT(H174,2)="PH",(1-L174)+$W$2,IF(RIGHT(H174,2)="HT",(1-L174)+$W$1,IF(RIGHT(H174,2)="SH",(1-L174)+$W$3,""))),0)</f>
        <v>0.10999999999999999</v>
      </c>
      <c r="W174" s="298"/>
      <c r="X174" s="698">
        <f t="shared" ca="1" si="220"/>
        <v>8</v>
      </c>
      <c r="Y174" s="299">
        <f t="shared" ca="1" si="242"/>
        <v>35</v>
      </c>
      <c r="Z174" s="299">
        <f t="shared" ca="1" si="243"/>
        <v>1.5</v>
      </c>
      <c r="AA174" s="299">
        <f t="shared" ca="1" si="244"/>
        <v>0.8</v>
      </c>
      <c r="AB174" s="299">
        <f t="shared" ca="1" si="245"/>
        <v>2.1</v>
      </c>
      <c r="AD174" s="81">
        <v>2020</v>
      </c>
      <c r="AE174" s="273"/>
      <c r="AF174" s="828"/>
    </row>
    <row r="175" spans="1:32">
      <c r="A175" s="169"/>
      <c r="B175" s="718" t="s">
        <v>1099</v>
      </c>
      <c r="C175" s="226"/>
      <c r="D175" s="261"/>
      <c r="E175" s="261"/>
      <c r="F175" s="224" t="s">
        <v>1149</v>
      </c>
      <c r="G175" s="55"/>
      <c r="H175" s="174"/>
      <c r="I175" s="174" t="str">
        <f t="shared" si="162"/>
        <v>INDGWH</v>
      </c>
      <c r="J175" s="224">
        <f t="shared" si="146"/>
        <v>2030</v>
      </c>
      <c r="K175" s="81"/>
      <c r="L175" s="199">
        <f t="shared" ca="1" si="237"/>
        <v>0.89</v>
      </c>
      <c r="M175" s="772"/>
      <c r="N175" s="200"/>
      <c r="O175" s="725">
        <f t="shared" ca="1" si="238"/>
        <v>3.4699403462447704</v>
      </c>
      <c r="P175" s="725">
        <f t="shared" ca="1" si="239"/>
        <v>0.24287</v>
      </c>
      <c r="Q175" s="299">
        <f t="shared" ca="1" si="240"/>
        <v>3.9836805555555559</v>
      </c>
      <c r="R175" s="823"/>
      <c r="S175" s="300"/>
      <c r="T175" s="300"/>
      <c r="U175" s="300"/>
      <c r="V175" s="199">
        <f t="shared" ref="V175" ca="1" si="252">IF(IF(RIGHT(H174,2)="PH",(1-L175)+$W$2,IF(RIGHT(H174,2)="HT",(1-L175)+$W$1,IF(RIGHT(H174,2)="SH",(1-L175)+$W$3,"")))&gt;0,IF(RIGHT(H174,2)="PH",(1-L175)+$W$2,IF(RIGHT(H174,2)="HT",(1-L175)+$W$1,IF(RIGHT(H174,2)="SH",(1-L175)+$W$3,""))),0)</f>
        <v>0.10999999999999999</v>
      </c>
      <c r="W175" s="298"/>
      <c r="X175" s="698">
        <f t="shared" ca="1" si="220"/>
        <v>8</v>
      </c>
      <c r="Y175" s="299">
        <f t="shared" ca="1" si="242"/>
        <v>35</v>
      </c>
      <c r="Z175" s="299">
        <f t="shared" ca="1" si="243"/>
        <v>1.5</v>
      </c>
      <c r="AA175" s="299">
        <f t="shared" ca="1" si="244"/>
        <v>0.8</v>
      </c>
      <c r="AB175" s="299">
        <f t="shared" ca="1" si="245"/>
        <v>2.1</v>
      </c>
      <c r="AD175" s="81">
        <v>2030</v>
      </c>
      <c r="AE175" s="273"/>
      <c r="AF175" s="828"/>
    </row>
    <row r="176" spans="1:32">
      <c r="A176" s="169"/>
      <c r="B176" s="719" t="s">
        <v>1099</v>
      </c>
      <c r="C176" s="713"/>
      <c r="D176" s="701"/>
      <c r="E176" s="701"/>
      <c r="F176" s="224" t="s">
        <v>1149</v>
      </c>
      <c r="G176" s="203"/>
      <c r="H176" s="702"/>
      <c r="I176" s="702" t="str">
        <f t="shared" si="162"/>
        <v>INDGWH</v>
      </c>
      <c r="J176" s="224">
        <f t="shared" si="146"/>
        <v>2050</v>
      </c>
      <c r="K176" s="81"/>
      <c r="L176" s="199">
        <f t="shared" ca="1" si="237"/>
        <v>0.91</v>
      </c>
      <c r="M176" s="826"/>
      <c r="N176" s="825"/>
      <c r="O176" s="725">
        <f t="shared" ca="1" si="238"/>
        <v>3.2813985758696647</v>
      </c>
      <c r="P176" s="725">
        <f t="shared" ca="1" si="239"/>
        <v>0.22797000000000001</v>
      </c>
      <c r="Q176" s="299">
        <f t="shared" ca="1" si="240"/>
        <v>4.0064444444444449</v>
      </c>
      <c r="R176" s="722"/>
      <c r="S176" s="703"/>
      <c r="T176" s="703"/>
      <c r="U176" s="703"/>
      <c r="V176" s="199">
        <f t="shared" ref="V176" ca="1" si="253">IF(IF(RIGHT(H174,2)="PH",(1-L176)+$W$2,IF(RIGHT(H174,2)="HT",(1-L176)+$W$1,IF(RIGHT(H174,2)="SH",(1-L176)+$W$3,"")))&gt;0,IF(RIGHT(H174,2)="PH",(1-L176)+$W$2,IF(RIGHT(H174,2)="HT",(1-L176)+$W$1,IF(RIGHT(H174,2)="SH",(1-L176)+$W$3,""))),0)</f>
        <v>8.9999999999999969E-2</v>
      </c>
      <c r="W176" s="704"/>
      <c r="X176" s="698">
        <f t="shared" ca="1" si="220"/>
        <v>8</v>
      </c>
      <c r="Y176" s="299">
        <f t="shared" ca="1" si="242"/>
        <v>35</v>
      </c>
      <c r="Z176" s="299">
        <f t="shared" ca="1" si="243"/>
        <v>1.5</v>
      </c>
      <c r="AA176" s="299">
        <f t="shared" ca="1" si="244"/>
        <v>0.8</v>
      </c>
      <c r="AB176" s="299">
        <f t="shared" ca="1" si="245"/>
        <v>2.1</v>
      </c>
      <c r="AC176" s="203"/>
      <c r="AD176" s="81">
        <v>2050</v>
      </c>
      <c r="AE176" s="273"/>
      <c r="AF176" s="829"/>
    </row>
    <row r="177" spans="1:32">
      <c r="A177" s="169"/>
      <c r="B177" s="718" t="s">
        <v>1099</v>
      </c>
      <c r="C177" s="226"/>
      <c r="D177" s="707" t="str">
        <f>"IND"&amp;RIGHT(H177,4)&amp;RIGHT(G177,3)&amp;"N"&amp;RIGHT(E177,1)</f>
        <v>INDGDPHCOAN2</v>
      </c>
      <c r="E177" s="261" t="str">
        <f>"Industrial heating technology "&amp;$AJ$12&amp;" "&amp;RIGHT(H177,2)&amp;" - Coal boiler (Hot Water) - new 2"</f>
        <v>Industrial heating technology Glass &amp; Concrete PH - Coal boiler (Hot Water) - new 2</v>
      </c>
      <c r="F177" s="224" t="s">
        <v>1149</v>
      </c>
      <c r="G177" s="55" t="s">
        <v>617</v>
      </c>
      <c r="H177" s="174" t="str">
        <f>$AI$14</f>
        <v>IGDPH</v>
      </c>
      <c r="I177" s="174" t="str">
        <f t="shared" si="162"/>
        <v>INDGWH</v>
      </c>
      <c r="J177" s="224">
        <f t="shared" si="146"/>
        <v>2011</v>
      </c>
      <c r="K177" s="299">
        <v>2025</v>
      </c>
      <c r="L177" s="199">
        <f t="shared" ref="L177:L182" ca="1" si="254">VLOOKUP($AD177,INDIRECT("'"&amp;$B177&amp;"'!"&amp;"$P$118:$AD$121"),3,FALSE)</f>
        <v>0.89</v>
      </c>
      <c r="M177" s="199"/>
      <c r="N177" s="81">
        <f ca="1">VLOOKUP($AD177,INDIRECT("'"&amp;$B177&amp;"'!"&amp;"$P$118:$AD$121"),5,FALSE)</f>
        <v>25</v>
      </c>
      <c r="O177" s="723">
        <f t="shared" ref="O177:O182" ca="1" si="255">VLOOKUP($AD177,INDIRECT("'"&amp;$B177&amp;"'!"&amp;"$P$118:$AD$121"),6,FALSE)/1000</f>
        <v>3.7250000000000001</v>
      </c>
      <c r="P177" s="723">
        <f t="shared" ref="P177:P182" ca="1" si="256">VLOOKUP($AD177,INDIRECT("'"&amp;$B177&amp;"'!"&amp;"$P$118:$AD$121"),7,FALSE)/1000</f>
        <v>0.25106499999999998</v>
      </c>
      <c r="Q177" s="81">
        <f t="shared" ref="Q177:Q182" ca="1" si="257">VLOOKUP($AD177,INDIRECT("'"&amp;$B177&amp;"'!"&amp;"$P$118:$AD$121"),8,FALSE)</f>
        <v>3.9381527777777778</v>
      </c>
      <c r="R177" s="81">
        <v>3.1536000000000002E-2</v>
      </c>
      <c r="S177" s="199">
        <v>0.5</v>
      </c>
      <c r="T177" s="199">
        <f ca="1">HLOOKUP($T$2,INDIRECT("'"&amp;$B177&amp;"'!"&amp;"$P$85:$AC$98"),IF(H177=$AI$13,6,IF(H177=$AI$14,9,14)),FALSE)</f>
        <v>0</v>
      </c>
      <c r="U177" s="773"/>
      <c r="V177" s="199">
        <f t="shared" ref="V177" ca="1" si="258">IF(IF(RIGHT(H177,2)="PH",(1-L177)+$W$2,IF(RIGHT(H177,2)="HT",(1-L177)+$W$1,IF(RIGHT(H177,2)="SH",(1-L177)+$W$3,"")))&gt;0,IF(RIGHT(H177,2)="PH",(1-L177)+$W$2,IF(RIGHT(H177,2)="HT",(1-L177)+$W$1,IF(RIGHT(H177,2)="SH",(1-L177)+$W$3,""))),0)</f>
        <v>0.31</v>
      </c>
      <c r="W177" s="709"/>
      <c r="X177" s="698">
        <f t="shared" ca="1" si="220"/>
        <v>8</v>
      </c>
      <c r="Y177" s="698">
        <f ca="1">VLOOKUP($AD177,INDIRECT("'"&amp;$B177&amp;"'!"&amp;"$P$118:$AD$121"),12,FALSE)</f>
        <v>35</v>
      </c>
      <c r="Z177" s="698">
        <f ca="1">VLOOKUP($AD177,INDIRECT("'"&amp;$B177&amp;"'!"&amp;"$P$118:$AD$121"),13,FALSE)</f>
        <v>1.5</v>
      </c>
      <c r="AA177" s="698">
        <f ca="1">VLOOKUP($AD177,INDIRECT("'"&amp;$B177&amp;"'!"&amp;"$P$118:$AD$121"),14,FALSE)</f>
        <v>0.8</v>
      </c>
      <c r="AB177" s="698">
        <f ca="1">VLOOKUP($AD177,INDIRECT("'"&amp;$B177&amp;"'!"&amp;"$P$118:$AD$121"),15,FALSE)</f>
        <v>2.1</v>
      </c>
      <c r="AC177" s="55"/>
      <c r="AD177" s="81">
        <v>2020</v>
      </c>
      <c r="AE177" s="273"/>
      <c r="AF177" s="828"/>
    </row>
    <row r="178" spans="1:32">
      <c r="A178" s="169"/>
      <c r="B178" s="718" t="s">
        <v>1099</v>
      </c>
      <c r="C178" s="226"/>
      <c r="D178" s="261"/>
      <c r="E178" s="261"/>
      <c r="F178" s="224" t="s">
        <v>1149</v>
      </c>
      <c r="G178" s="55"/>
      <c r="H178" s="174"/>
      <c r="I178" s="174" t="str">
        <f t="shared" si="162"/>
        <v>INDGWH</v>
      </c>
      <c r="J178" s="224">
        <f t="shared" si="146"/>
        <v>2030</v>
      </c>
      <c r="K178" s="81"/>
      <c r="L178" s="199">
        <f t="shared" ca="1" si="254"/>
        <v>0.89</v>
      </c>
      <c r="M178" s="772"/>
      <c r="N178" s="200"/>
      <c r="O178" s="723">
        <f t="shared" ca="1" si="255"/>
        <v>3.7250000000000001</v>
      </c>
      <c r="P178" s="723">
        <f t="shared" ca="1" si="256"/>
        <v>0.24287</v>
      </c>
      <c r="Q178" s="81">
        <f t="shared" ca="1" si="257"/>
        <v>3.9836805555555559</v>
      </c>
      <c r="R178" s="823"/>
      <c r="S178" s="300"/>
      <c r="T178" s="300"/>
      <c r="U178" s="300"/>
      <c r="V178" s="199">
        <f t="shared" ref="V178" ca="1" si="259">IF(IF(RIGHT(H177,2)="PH",(1-L178)+$W$2,IF(RIGHT(H177,2)="HT",(1-L178)+$W$1,IF(RIGHT(H177,2)="SH",(1-L178)+$W$3,"")))&gt;0,IF(RIGHT(H177,2)="PH",(1-L178)+$W$2,IF(RIGHT(H177,2)="HT",(1-L178)+$W$1,IF(RIGHT(H177,2)="SH",(1-L178)+$W$3,""))),0)</f>
        <v>0.31</v>
      </c>
      <c r="W178" s="298"/>
      <c r="X178" s="824"/>
      <c r="Y178" s="824"/>
      <c r="Z178" s="824"/>
      <c r="AA178" s="824"/>
      <c r="AB178" s="824"/>
      <c r="AD178" s="81">
        <v>2030</v>
      </c>
      <c r="AE178" s="273"/>
      <c r="AF178" s="828"/>
    </row>
    <row r="179" spans="1:32">
      <c r="A179" s="169"/>
      <c r="B179" s="718" t="s">
        <v>1099</v>
      </c>
      <c r="C179" s="226"/>
      <c r="D179" s="261"/>
      <c r="E179" s="261"/>
      <c r="F179" s="224" t="s">
        <v>1149</v>
      </c>
      <c r="G179" s="55"/>
      <c r="H179" s="174"/>
      <c r="I179" s="174" t="str">
        <f t="shared" si="162"/>
        <v>INDGWH</v>
      </c>
      <c r="J179" s="224">
        <f t="shared" si="146"/>
        <v>2050</v>
      </c>
      <c r="K179" s="81"/>
      <c r="L179" s="199">
        <f t="shared" ca="1" si="254"/>
        <v>0.91</v>
      </c>
      <c r="M179" s="772"/>
      <c r="N179" s="200"/>
      <c r="O179" s="723">
        <f t="shared" ca="1" si="255"/>
        <v>3.7250000000000001</v>
      </c>
      <c r="P179" s="723">
        <f t="shared" ca="1" si="256"/>
        <v>0.22797000000000001</v>
      </c>
      <c r="Q179" s="81">
        <f t="shared" ca="1" si="257"/>
        <v>4.0064444444444449</v>
      </c>
      <c r="R179" s="823"/>
      <c r="S179" s="300"/>
      <c r="T179" s="300"/>
      <c r="U179" s="300"/>
      <c r="V179" s="199">
        <f t="shared" ref="V179" ca="1" si="260">IF(IF(RIGHT(H177,2)="PH",(1-L179)+$W$2,IF(RIGHT(H177,2)="HT",(1-L179)+$W$1,IF(RIGHT(H177,2)="SH",(1-L179)+$W$3,"")))&gt;0,IF(RIGHT(H177,2)="PH",(1-L179)+$W$2,IF(RIGHT(H177,2)="HT",(1-L179)+$W$1,IF(RIGHT(H177,2)="SH",(1-L179)+$W$3,""))),0)</f>
        <v>0.28999999999999998</v>
      </c>
      <c r="W179" s="298"/>
      <c r="X179" s="824"/>
      <c r="Y179" s="824"/>
      <c r="Z179" s="824"/>
      <c r="AA179" s="824"/>
      <c r="AB179" s="824"/>
      <c r="AD179" s="81">
        <v>2050</v>
      </c>
      <c r="AE179" s="273"/>
      <c r="AF179" s="828"/>
    </row>
    <row r="180" spans="1:32">
      <c r="A180" s="169"/>
      <c r="B180" s="718" t="s">
        <v>1099</v>
      </c>
      <c r="C180" s="226"/>
      <c r="D180" s="261" t="str">
        <f>"IND"&amp;RIGHT(H180,4)&amp;RIGHT(G180,3)&amp;"N"&amp;RIGHT(E180,1)</f>
        <v>INDGDSHCOAN2</v>
      </c>
      <c r="E180" s="261" t="str">
        <f>"Industrial heating technology "&amp;$AJ$12&amp;" "&amp;RIGHT(H180,2)&amp;" - Coal boiler (Hot Water) - new 2"</f>
        <v>Industrial heating technology Glass &amp; Concrete SH - Coal boiler (Hot Water) - new 2</v>
      </c>
      <c r="F180" s="224" t="s">
        <v>1149</v>
      </c>
      <c r="G180" s="55" t="s">
        <v>617</v>
      </c>
      <c r="H180" s="174" t="str">
        <f>$AI$15</f>
        <v>IGDSH</v>
      </c>
      <c r="I180" s="174" t="str">
        <f t="shared" si="162"/>
        <v>INDGWH</v>
      </c>
      <c r="J180" s="224">
        <f t="shared" si="146"/>
        <v>2011</v>
      </c>
      <c r="K180" s="299">
        <v>2025</v>
      </c>
      <c r="L180" s="199">
        <f t="shared" ca="1" si="254"/>
        <v>0.89</v>
      </c>
      <c r="M180" s="199"/>
      <c r="N180" s="81">
        <f ca="1">VLOOKUP($AD180,INDIRECT("'"&amp;$B180&amp;"'!"&amp;"$P$118:$AD$121"),5,FALSE)</f>
        <v>25</v>
      </c>
      <c r="O180" s="723">
        <f t="shared" ca="1" si="255"/>
        <v>3.7250000000000001</v>
      </c>
      <c r="P180" s="723">
        <f t="shared" ca="1" si="256"/>
        <v>0.25106499999999998</v>
      </c>
      <c r="Q180" s="81">
        <f t="shared" ca="1" si="257"/>
        <v>3.9381527777777778</v>
      </c>
      <c r="R180" s="81">
        <v>3.1536000000000002E-2</v>
      </c>
      <c r="S180" s="199">
        <v>0.5</v>
      </c>
      <c r="T180" s="199">
        <f ca="1">HLOOKUP($T$2,INDIRECT("'"&amp;$B180&amp;"'!"&amp;"$P$85:$AC$98"),IF(H180=$AI$13,6,IF(H180=$AI$14,9,14)),FALSE)</f>
        <v>1</v>
      </c>
      <c r="U180" s="773"/>
      <c r="V180" s="199">
        <f t="shared" ref="V180" ca="1" si="261">IF(IF(RIGHT(H180,2)="PH",(1-L180)+$W$2,IF(RIGHT(H180,2)="HT",(1-L180)+$W$1,IF(RIGHT(H180,2)="SH",(1-L180)+$W$3,"")))&gt;0,IF(RIGHT(H180,2)="PH",(1-L180)+$W$2,IF(RIGHT(H180,2)="HT",(1-L180)+$W$1,IF(RIGHT(H180,2)="SH",(1-L180)+$W$3,""))),0)</f>
        <v>0.10999999999999999</v>
      </c>
      <c r="W180" s="709"/>
      <c r="X180" s="698">
        <f ca="1">IF(VLOOKUP($AD180,INDIRECT("'"&amp;$B180&amp;"'!"&amp;"$P$39:$AD$42"),11,FALSE)="Cf. the utilized electricity",0,VLOOKUP($AD180,INDIRECT("'"&amp;$B180&amp;"'!"&amp;"$P$39:$AD$42"),11,FALSE))</f>
        <v>8</v>
      </c>
      <c r="Y180" s="698">
        <f ca="1">VLOOKUP($AD180,INDIRECT("'"&amp;$B180&amp;"'!"&amp;"$P$118:$AD$121"),12,FALSE)</f>
        <v>35</v>
      </c>
      <c r="Z180" s="698">
        <f ca="1">VLOOKUP($AD180,INDIRECT("'"&amp;$B180&amp;"'!"&amp;"$P$118:$AD$121"),13,FALSE)</f>
        <v>1.5</v>
      </c>
      <c r="AA180" s="698">
        <f ca="1">VLOOKUP($AD180,INDIRECT("'"&amp;$B180&amp;"'!"&amp;"$P$118:$AD$121"),14,FALSE)</f>
        <v>0.8</v>
      </c>
      <c r="AB180" s="698">
        <f ca="1">VLOOKUP($AD180,INDIRECT("'"&amp;$B180&amp;"'!"&amp;"$P$118:$AD$121"),15,FALSE)</f>
        <v>2.1</v>
      </c>
      <c r="AC180" s="55"/>
      <c r="AD180" s="81">
        <v>2020</v>
      </c>
      <c r="AE180" s="273"/>
      <c r="AF180" s="828"/>
    </row>
    <row r="181" spans="1:32">
      <c r="A181" s="169"/>
      <c r="B181" s="718" t="s">
        <v>1099</v>
      </c>
      <c r="C181" s="226"/>
      <c r="D181" s="261"/>
      <c r="E181" s="261"/>
      <c r="F181" s="224" t="s">
        <v>1149</v>
      </c>
      <c r="G181" s="55"/>
      <c r="H181" s="174"/>
      <c r="I181" s="174" t="str">
        <f t="shared" si="162"/>
        <v>INDGWH</v>
      </c>
      <c r="J181" s="224">
        <f t="shared" si="146"/>
        <v>2030</v>
      </c>
      <c r="K181" s="200"/>
      <c r="L181" s="199">
        <f t="shared" ca="1" si="254"/>
        <v>0.89</v>
      </c>
      <c r="M181" s="772"/>
      <c r="N181" s="200"/>
      <c r="O181" s="723">
        <f t="shared" ca="1" si="255"/>
        <v>3.7250000000000001</v>
      </c>
      <c r="P181" s="723">
        <f t="shared" ca="1" si="256"/>
        <v>0.24287</v>
      </c>
      <c r="Q181" s="81">
        <f t="shared" ca="1" si="257"/>
        <v>3.9836805555555559</v>
      </c>
      <c r="R181" s="823"/>
      <c r="S181" s="300"/>
      <c r="T181" s="300"/>
      <c r="U181" s="300"/>
      <c r="V181" s="199">
        <f t="shared" ref="V181" ca="1" si="262">IF(IF(RIGHT(H180,2)="PH",(1-L181)+$W$2,IF(RIGHT(H180,2)="HT",(1-L181)+$W$1,IF(RIGHT(H180,2)="SH",(1-L181)+$W$3,"")))&gt;0,IF(RIGHT(H180,2)="PH",(1-L181)+$W$2,IF(RIGHT(H180,2)="HT",(1-L181)+$W$1,IF(RIGHT(H180,2)="SH",(1-L181)+$W$3,""))),0)</f>
        <v>0.10999999999999999</v>
      </c>
      <c r="W181" s="298"/>
      <c r="X181" s="824"/>
      <c r="Y181" s="824"/>
      <c r="Z181" s="824"/>
      <c r="AA181" s="824"/>
      <c r="AB181" s="824"/>
      <c r="AD181" s="81">
        <v>2030</v>
      </c>
      <c r="AE181" s="273"/>
      <c r="AF181" s="828"/>
    </row>
    <row r="182" spans="1:32">
      <c r="A182" s="831"/>
      <c r="B182" s="719" t="s">
        <v>1099</v>
      </c>
      <c r="C182" s="713"/>
      <c r="D182" s="701"/>
      <c r="E182" s="701"/>
      <c r="F182" s="224" t="s">
        <v>1149</v>
      </c>
      <c r="G182" s="203"/>
      <c r="H182" s="702"/>
      <c r="I182" s="266" t="str">
        <f t="shared" si="162"/>
        <v>INDGWH</v>
      </c>
      <c r="J182" s="224">
        <f t="shared" si="146"/>
        <v>2050</v>
      </c>
      <c r="K182" s="825"/>
      <c r="L182" s="199">
        <f t="shared" ca="1" si="254"/>
        <v>0.91</v>
      </c>
      <c r="M182" s="826"/>
      <c r="N182" s="825"/>
      <c r="O182" s="723">
        <f t="shared" ca="1" si="255"/>
        <v>3.7250000000000001</v>
      </c>
      <c r="P182" s="723">
        <f t="shared" ca="1" si="256"/>
        <v>0.22797000000000001</v>
      </c>
      <c r="Q182" s="81">
        <f t="shared" ca="1" si="257"/>
        <v>4.0064444444444449</v>
      </c>
      <c r="R182" s="722"/>
      <c r="S182" s="703"/>
      <c r="T182" s="703"/>
      <c r="U182" s="703"/>
      <c r="V182" s="199">
        <f t="shared" ref="V182" ca="1" si="263">IF(IF(RIGHT(H180,2)="PH",(1-L182)+$W$2,IF(RIGHT(H180,2)="HT",(1-L182)+$W$1,IF(RIGHT(H180,2)="SH",(1-L182)+$W$3,"")))&gt;0,IF(RIGHT(H180,2)="PH",(1-L182)+$W$2,IF(RIGHT(H180,2)="HT",(1-L182)+$W$1,IF(RIGHT(H180,2)="SH",(1-L182)+$W$3,""))),0)</f>
        <v>8.9999999999999969E-2</v>
      </c>
      <c r="W182" s="704"/>
      <c r="X182" s="827"/>
      <c r="Y182" s="827"/>
      <c r="Z182" s="827"/>
      <c r="AA182" s="827"/>
      <c r="AB182" s="827"/>
      <c r="AC182" s="203"/>
      <c r="AD182" s="81">
        <v>2050</v>
      </c>
      <c r="AE182" s="273"/>
      <c r="AF182" s="829"/>
    </row>
    <row r="183" spans="1:32">
      <c r="A183" s="831"/>
      <c r="B183" s="226" t="s">
        <v>576</v>
      </c>
      <c r="C183" s="901"/>
      <c r="D183" s="261" t="str">
        <f>"IND"&amp;RIGHT(H183,4)&amp;RIGHT(G183,3)&amp;"N"&amp;RIGHT(E183,1)</f>
        <v>INDGDSHSOLN1</v>
      </c>
      <c r="E183" s="261" t="str">
        <f>"Industrial heating technology "&amp;$AJ$12&amp;" "&amp;RIGHT(H183,2)&amp;" - Solar - new 1"</f>
        <v>Industrial heating technology Glass &amp; Concrete SH - Solar - new 1</v>
      </c>
      <c r="F183" s="224" t="s">
        <v>1149</v>
      </c>
      <c r="G183" s="55" t="s">
        <v>500</v>
      </c>
      <c r="H183" s="174" t="str">
        <f>$AI$15</f>
        <v>IGDSH</v>
      </c>
      <c r="I183" s="174"/>
      <c r="J183" s="224">
        <f t="shared" si="146"/>
        <v>2011</v>
      </c>
      <c r="K183" s="299">
        <v>2025</v>
      </c>
      <c r="L183" s="199">
        <f ca="1">VLOOKUP($AD183,INDIRECT("'"&amp;$B183&amp;"'!"&amp;"$J$40:$X$43"),3,FALSE)</f>
        <v>1</v>
      </c>
      <c r="M183" s="772"/>
      <c r="N183" s="199">
        <f ca="1">VLOOKUP($AD183,INDIRECT("'"&amp;$B183&amp;"'!"&amp;"$J$40:$X$43"),5,FALSE)</f>
        <v>25</v>
      </c>
      <c r="O183" s="199">
        <f ca="1">VLOOKUP($AD183,INDIRECT("'"&amp;$B183&amp;"'!"&amp;"$J$40:$X$43"),6,FALSE)/1000</f>
        <v>4.2857142857142865</v>
      </c>
      <c r="P183" s="199">
        <f ca="1">VLOOKUP($AD183,INDIRECT("'"&amp;$B183&amp;"'!"&amp;"$J$40:$X$43"),7,FALSE)/1000</f>
        <v>2.0660433158225668E-2</v>
      </c>
      <c r="Q183" s="199">
        <f ca="1">VLOOKUP($AD183,INDIRECT("'"&amp;$B183&amp;"'!"&amp;"$J$40:$X$43"),8,FALSE)</f>
        <v>0</v>
      </c>
      <c r="R183" s="81">
        <v>3.1536000000000002E-2</v>
      </c>
      <c r="S183" s="199">
        <v>8.5500000000000007E-2</v>
      </c>
      <c r="T183" s="199">
        <v>1</v>
      </c>
      <c r="U183" s="300"/>
      <c r="V183" s="199"/>
      <c r="W183" s="298"/>
      <c r="X183" s="698">
        <v>0</v>
      </c>
      <c r="Y183" s="81">
        <v>0</v>
      </c>
      <c r="Z183" s="81">
        <v>0</v>
      </c>
      <c r="AA183" s="81">
        <v>0</v>
      </c>
      <c r="AB183" s="81">
        <v>0</v>
      </c>
      <c r="AC183" s="55"/>
      <c r="AD183" s="81">
        <v>2020</v>
      </c>
      <c r="AE183" s="200"/>
      <c r="AF183" s="700"/>
    </row>
    <row r="184" spans="1:32">
      <c r="A184" s="831"/>
      <c r="B184" s="226" t="s">
        <v>576</v>
      </c>
      <c r="C184" s="902"/>
      <c r="D184" s="261"/>
      <c r="E184" s="261"/>
      <c r="F184" s="224" t="s">
        <v>1149</v>
      </c>
      <c r="G184" s="55"/>
      <c r="H184" s="174"/>
      <c r="I184" s="174"/>
      <c r="J184" s="224">
        <f t="shared" si="146"/>
        <v>2030</v>
      </c>
      <c r="K184" s="200"/>
      <c r="L184" s="199">
        <f ca="1">VLOOKUP($AD184,INDIRECT("'"&amp;$B184&amp;"'!"&amp;"$J$40:$X$43"),3,FALSE)</f>
        <v>1</v>
      </c>
      <c r="M184" s="772"/>
      <c r="N184" s="199">
        <f ca="1">VLOOKUP($AD184,INDIRECT("'"&amp;$B184&amp;"'!"&amp;"$J$40:$X$43"),5,FALSE)</f>
        <v>30</v>
      </c>
      <c r="O184" s="199">
        <f ca="1">VLOOKUP($AD184,INDIRECT("'"&amp;$B184&amp;"'!"&amp;"$J$40:$X$43"),6,FALSE)/1000</f>
        <v>3.9285714285714284</v>
      </c>
      <c r="P184" s="199">
        <f ca="1">VLOOKUP($AD184,INDIRECT("'"&amp;$B184&amp;"'!"&amp;"$J$40:$X$43"),7,FALSE)/1000</f>
        <v>2.328125E-2</v>
      </c>
      <c r="Q184" s="199">
        <f ca="1">VLOOKUP($AD184,INDIRECT("'"&amp;$B184&amp;"'!"&amp;"$J$40:$X$43"),8,FALSE)</f>
        <v>0</v>
      </c>
      <c r="R184" s="823"/>
      <c r="S184" s="300"/>
      <c r="T184" s="300"/>
      <c r="U184" s="300"/>
      <c r="V184" s="772"/>
      <c r="W184" s="298"/>
      <c r="X184" s="824"/>
      <c r="Y184" s="824"/>
      <c r="Z184" s="824"/>
      <c r="AA184" s="824"/>
      <c r="AB184" s="824"/>
      <c r="AC184" s="55"/>
      <c r="AD184" s="81">
        <v>2030</v>
      </c>
      <c r="AE184" s="200"/>
      <c r="AF184" s="700"/>
    </row>
    <row r="185" spans="1:32" s="203" customFormat="1">
      <c r="A185" s="900"/>
      <c r="B185" s="713" t="s">
        <v>576</v>
      </c>
      <c r="C185" s="903"/>
      <c r="D185" s="701"/>
      <c r="E185" s="701"/>
      <c r="F185" s="224" t="s">
        <v>1149</v>
      </c>
      <c r="H185" s="702"/>
      <c r="I185" s="702"/>
      <c r="J185" s="224">
        <f t="shared" si="146"/>
        <v>2050</v>
      </c>
      <c r="K185" s="825"/>
      <c r="L185" s="199">
        <f ca="1">VLOOKUP($AD185,INDIRECT("'"&amp;$B185&amp;"'!"&amp;"$J$40:$X$43"),3,FALSE)</f>
        <v>1</v>
      </c>
      <c r="M185" s="826"/>
      <c r="N185" s="199">
        <f ca="1">VLOOKUP($AD185,INDIRECT("'"&amp;$B185&amp;"'!"&amp;"$J$40:$X$43"),5,FALSE)</f>
        <v>30</v>
      </c>
      <c r="O185" s="199">
        <f ca="1">VLOOKUP($AD185,INDIRECT("'"&amp;$B185&amp;"'!"&amp;"$J$40:$X$43"),6,FALSE)/1000</f>
        <v>3.5714285714285721</v>
      </c>
      <c r="P185" s="199">
        <f ca="1">VLOOKUP($AD185,INDIRECT("'"&amp;$B185&amp;"'!"&amp;"$J$40:$X$43"),7,FALSE)/1000</f>
        <v>2.1498571428571429E-2</v>
      </c>
      <c r="Q185" s="199">
        <f ca="1">VLOOKUP($AD185,INDIRECT("'"&amp;$B185&amp;"'!"&amp;"$J$40:$X$43"),8,FALSE)</f>
        <v>0</v>
      </c>
      <c r="R185" s="722"/>
      <c r="S185" s="703"/>
      <c r="T185" s="703"/>
      <c r="U185" s="703"/>
      <c r="V185" s="826"/>
      <c r="W185" s="704"/>
      <c r="X185" s="827"/>
      <c r="Y185" s="827"/>
      <c r="Z185" s="827"/>
      <c r="AA185" s="827"/>
      <c r="AB185" s="827"/>
      <c r="AD185" s="81">
        <v>2050</v>
      </c>
      <c r="AE185" s="825"/>
      <c r="AF185" s="705"/>
    </row>
    <row r="186" spans="1:32">
      <c r="A186" s="169"/>
      <c r="D186" s="36" t="s">
        <v>503</v>
      </c>
      <c r="E186" s="36"/>
      <c r="F186" s="224" t="s">
        <v>1149</v>
      </c>
      <c r="H186" s="173"/>
      <c r="I186" s="173"/>
      <c r="J186" s="224">
        <f t="shared" si="146"/>
        <v>0</v>
      </c>
      <c r="K186" s="198"/>
      <c r="L186" s="204"/>
      <c r="M186" s="204"/>
      <c r="N186" s="204"/>
      <c r="O186" s="37"/>
      <c r="P186" s="37"/>
      <c r="Q186" s="205"/>
      <c r="R186" s="252"/>
      <c r="S186" s="274"/>
      <c r="T186" s="204"/>
      <c r="U186" s="204"/>
      <c r="V186" s="204"/>
      <c r="W186" s="204"/>
      <c r="X186" s="204"/>
      <c r="Y186" s="204"/>
      <c r="Z186" s="204"/>
      <c r="AA186" s="204"/>
      <c r="AB186" s="204"/>
    </row>
    <row r="187" spans="1:32">
      <c r="A187" s="169"/>
      <c r="D187" s="212" t="str">
        <f t="shared" ref="D187:D192" si="264">"IND"&amp;RIGHT(H187,4)&amp;RIGHT(G187,3)&amp;"N"&amp;RIGHT(E187,1)</f>
        <v>INDGDSHHCEN1</v>
      </c>
      <c r="E187" s="224" t="str">
        <f>"Industrial heating technology "&amp;$AJ$12&amp;" "&amp;RIGHT(H187,2)&amp;" - central district heating - within DH area - new 1"</f>
        <v>Industrial heating technology Glass &amp; Concrete SH - central district heating - within DH area - new 1</v>
      </c>
      <c r="F187" s="224" t="s">
        <v>1149</v>
      </c>
      <c r="G187" s="225" t="s">
        <v>501</v>
      </c>
      <c r="H187" s="225" t="str">
        <f>AI15</f>
        <v>IGDSH</v>
      </c>
      <c r="I187" s="225"/>
      <c r="J187" s="81">
        <v>2011</v>
      </c>
      <c r="K187" s="299">
        <v>2025</v>
      </c>
      <c r="L187" s="81">
        <v>0.96</v>
      </c>
      <c r="M187" s="81"/>
      <c r="N187" s="81">
        <v>30</v>
      </c>
      <c r="O187" s="253">
        <v>1.17</v>
      </c>
      <c r="P187" s="254">
        <f>'DH network'!$M$9</f>
        <v>5.8735799999999998E-2</v>
      </c>
      <c r="Q187" s="254">
        <f ca="1">Q31*0.95</f>
        <v>1.9463124999999999</v>
      </c>
      <c r="R187" s="201">
        <v>3.1536000000000002E-2</v>
      </c>
      <c r="S187" s="275">
        <v>0.5</v>
      </c>
      <c r="T187" s="228"/>
      <c r="U187" s="228"/>
      <c r="V187" s="228"/>
      <c r="W187" s="287"/>
      <c r="X187" s="278"/>
      <c r="Y187" s="61"/>
      <c r="Z187" s="61"/>
      <c r="AA187" s="61"/>
      <c r="AB187" s="61"/>
    </row>
    <row r="188" spans="1:32">
      <c r="A188" s="169"/>
      <c r="D188" s="212" t="str">
        <f t="shared" si="264"/>
        <v>INDGDPHHCEN1</v>
      </c>
      <c r="E188" s="224" t="str">
        <f>"Industrial heating technology "&amp;$AJ$12&amp;" "&amp;RIGHT(H188,2)&amp;" - central district heating - within DH area - new 1"</f>
        <v>Industrial heating technology Glass &amp; Concrete PH - central district heating - within DH area - new 1</v>
      </c>
      <c r="F188" s="224" t="s">
        <v>1149</v>
      </c>
      <c r="G188" s="225" t="s">
        <v>501</v>
      </c>
      <c r="H188" s="281" t="str">
        <f>AI14</f>
        <v>IGDPH</v>
      </c>
      <c r="I188" s="281"/>
      <c r="J188" s="81">
        <v>2011</v>
      </c>
      <c r="K188" s="299">
        <v>2025</v>
      </c>
      <c r="L188" s="81">
        <v>0.96</v>
      </c>
      <c r="M188" s="81"/>
      <c r="N188" s="81">
        <v>30</v>
      </c>
      <c r="O188" s="253">
        <v>1.17</v>
      </c>
      <c r="P188" s="254">
        <f>'DH network'!$M$9</f>
        <v>5.8735799999999998E-2</v>
      </c>
      <c r="Q188" s="254">
        <f ca="1">Q33*0.95</f>
        <v>6.4090694444444436</v>
      </c>
      <c r="R188" s="201">
        <v>3.1536000000000002E-2</v>
      </c>
      <c r="S188" s="275">
        <v>0.5</v>
      </c>
      <c r="T188" s="228">
        <v>0.05</v>
      </c>
      <c r="U188" s="228"/>
      <c r="V188" s="228"/>
      <c r="W188" s="287"/>
      <c r="X188" s="278"/>
      <c r="Y188" s="61"/>
      <c r="Z188" s="61"/>
      <c r="AA188" s="61"/>
      <c r="AB188" s="61"/>
      <c r="AC188" s="226"/>
      <c r="AD188" s="226"/>
      <c r="AE188" s="226"/>
      <c r="AF188" s="226"/>
    </row>
    <row r="189" spans="1:32">
      <c r="A189" s="169"/>
      <c r="D189" s="212" t="str">
        <f t="shared" si="264"/>
        <v>INDGDSHHSEN1</v>
      </c>
      <c r="E189" s="224" t="str">
        <f>"Industrial heating technology "&amp;$AJ$12&amp;" "&amp;RIGHT(H189,2)&amp;" - central district heating - within DH area - new 1"</f>
        <v>Industrial heating technology Glass &amp; Concrete SH - central district heating - within DH area - new 1</v>
      </c>
      <c r="F189" s="224" t="s">
        <v>1149</v>
      </c>
      <c r="G189" s="225" t="s">
        <v>2123</v>
      </c>
      <c r="H189" s="225" t="str">
        <f>H187</f>
        <v>IGDSH</v>
      </c>
      <c r="I189" s="225"/>
      <c r="J189" s="81">
        <f t="shared" ref="J189:L190" si="265">J187</f>
        <v>2011</v>
      </c>
      <c r="K189" s="81">
        <f t="shared" si="265"/>
        <v>2025</v>
      </c>
      <c r="L189" s="81">
        <f t="shared" si="265"/>
        <v>0.96</v>
      </c>
      <c r="M189" s="81"/>
      <c r="N189" s="81">
        <f t="shared" ref="N189:S190" si="266">N187</f>
        <v>30</v>
      </c>
      <c r="O189" s="81">
        <f t="shared" si="266"/>
        <v>1.17</v>
      </c>
      <c r="P189" s="81">
        <f t="shared" si="266"/>
        <v>5.8735799999999998E-2</v>
      </c>
      <c r="Q189" s="81">
        <f t="shared" ca="1" si="266"/>
        <v>1.9463124999999999</v>
      </c>
      <c r="R189" s="81">
        <f t="shared" si="266"/>
        <v>3.1536000000000002E-2</v>
      </c>
      <c r="S189" s="81">
        <f t="shared" si="266"/>
        <v>0.5</v>
      </c>
      <c r="T189" s="228"/>
      <c r="U189" s="228"/>
      <c r="V189" s="228"/>
      <c r="W189" s="287"/>
      <c r="X189" s="278"/>
      <c r="Y189" s="61"/>
      <c r="Z189" s="61"/>
      <c r="AA189" s="61"/>
      <c r="AB189" s="61"/>
    </row>
    <row r="190" spans="1:32">
      <c r="A190" s="169"/>
      <c r="D190" s="212" t="str">
        <f t="shared" si="264"/>
        <v>INDGDPHHSEN1</v>
      </c>
      <c r="E190" s="224" t="str">
        <f>"Industrial heating technology "&amp;$AJ$12&amp;" "&amp;RIGHT(H190,2)&amp;" - central district heating - within DH area - new 1"</f>
        <v>Industrial heating technology Glass &amp; Concrete PH - central district heating - within DH area - new 1</v>
      </c>
      <c r="F190" s="224" t="s">
        <v>1149</v>
      </c>
      <c r="G190" s="225" t="s">
        <v>2123</v>
      </c>
      <c r="H190" s="225" t="str">
        <f>H188</f>
        <v>IGDPH</v>
      </c>
      <c r="I190" s="281"/>
      <c r="J190" s="81">
        <f t="shared" si="265"/>
        <v>2011</v>
      </c>
      <c r="K190" s="81">
        <f t="shared" si="265"/>
        <v>2025</v>
      </c>
      <c r="L190" s="81">
        <f t="shared" si="265"/>
        <v>0.96</v>
      </c>
      <c r="M190" s="81"/>
      <c r="N190" s="81">
        <f t="shared" si="266"/>
        <v>30</v>
      </c>
      <c r="O190" s="81">
        <f t="shared" si="266"/>
        <v>1.17</v>
      </c>
      <c r="P190" s="81">
        <f t="shared" si="266"/>
        <v>5.8735799999999998E-2</v>
      </c>
      <c r="Q190" s="81">
        <f t="shared" ca="1" si="266"/>
        <v>6.4090694444444436</v>
      </c>
      <c r="R190" s="81">
        <f t="shared" si="266"/>
        <v>3.1536000000000002E-2</v>
      </c>
      <c r="S190" s="81">
        <f t="shared" si="266"/>
        <v>0.5</v>
      </c>
      <c r="T190" s="81">
        <f>T188</f>
        <v>0.05</v>
      </c>
      <c r="U190" s="228"/>
      <c r="V190" s="228"/>
      <c r="W190" s="287"/>
      <c r="X190" s="278"/>
      <c r="Y190" s="61"/>
      <c r="Z190" s="61"/>
      <c r="AA190" s="61"/>
      <c r="AB190" s="61"/>
      <c r="AC190" s="226"/>
      <c r="AD190" s="226"/>
      <c r="AE190" s="226"/>
      <c r="AF190" s="226"/>
    </row>
    <row r="191" spans="1:32">
      <c r="A191" s="169"/>
      <c r="D191" s="212" t="str">
        <f t="shared" si="264"/>
        <v>INDGDSHHDEN1</v>
      </c>
      <c r="E191" s="224" t="str">
        <f>"Industrial heating technology "&amp;$AJ$12&amp;" "&amp;RIGHT(H191,2)&amp;" - decentral district heating - within DH area - new 1"</f>
        <v>Industrial heating technology Glass &amp; Concrete SH - decentral district heating - within DH area - new 1</v>
      </c>
      <c r="F191" s="224" t="s">
        <v>1149</v>
      </c>
      <c r="G191" s="259" t="s">
        <v>502</v>
      </c>
      <c r="H191" s="265" t="str">
        <f>AI15</f>
        <v>IGDSH</v>
      </c>
      <c r="I191" s="265"/>
      <c r="J191" s="81">
        <v>2011</v>
      </c>
      <c r="K191" s="299">
        <v>2025</v>
      </c>
      <c r="L191" s="81">
        <f>L187</f>
        <v>0.96</v>
      </c>
      <c r="M191" s="81"/>
      <c r="N191" s="81">
        <v>30</v>
      </c>
      <c r="O191" s="253">
        <v>1.25</v>
      </c>
      <c r="P191" s="254">
        <f>'DH network'!$M$9</f>
        <v>5.8735799999999998E-2</v>
      </c>
      <c r="Q191" s="254">
        <f ca="1">Q187</f>
        <v>1.9463124999999999</v>
      </c>
      <c r="R191" s="201">
        <v>3.1536000000000002E-2</v>
      </c>
      <c r="S191" s="275">
        <v>0.5</v>
      </c>
      <c r="T191" s="228"/>
      <c r="U191" s="228"/>
      <c r="V191" s="228"/>
      <c r="W191" s="287"/>
      <c r="X191" s="278"/>
      <c r="Y191" s="61"/>
      <c r="Z191" s="61"/>
      <c r="AA191" s="61"/>
      <c r="AB191" s="61"/>
      <c r="AC191" s="226"/>
      <c r="AD191" s="226"/>
      <c r="AE191" s="226"/>
      <c r="AF191" s="226"/>
    </row>
    <row r="192" spans="1:32">
      <c r="A192" s="169"/>
      <c r="D192" s="212" t="str">
        <f t="shared" si="264"/>
        <v>INDGDPHHDEN1</v>
      </c>
      <c r="E192" s="224" t="str">
        <f>"Industrial heating technology "&amp;$AJ$12&amp;" "&amp;RIGHT(H192,2)&amp;" - decentral district heating - within DH area - new 1"</f>
        <v>Industrial heating technology Glass &amp; Concrete PH - decentral district heating - within DH area - new 1</v>
      </c>
      <c r="F192" s="224" t="s">
        <v>1149</v>
      </c>
      <c r="G192" s="259" t="s">
        <v>502</v>
      </c>
      <c r="H192" s="225" t="str">
        <f>AI14</f>
        <v>IGDPH</v>
      </c>
      <c r="I192" s="225"/>
      <c r="J192" s="81">
        <v>2011</v>
      </c>
      <c r="K192" s="299">
        <v>2025</v>
      </c>
      <c r="L192" s="81">
        <f>L188</f>
        <v>0.96</v>
      </c>
      <c r="M192" s="81"/>
      <c r="N192" s="81">
        <v>30</v>
      </c>
      <c r="O192" s="253">
        <v>1.25</v>
      </c>
      <c r="P192" s="254">
        <f>'DH network'!$M$9</f>
        <v>5.8735799999999998E-2</v>
      </c>
      <c r="Q192" s="254">
        <f ca="1">Q188</f>
        <v>6.4090694444444436</v>
      </c>
      <c r="R192" s="201">
        <v>3.1536000000000002E-2</v>
      </c>
      <c r="S192" s="275">
        <v>0.5</v>
      </c>
      <c r="T192" s="228">
        <v>0.05</v>
      </c>
      <c r="U192" s="228"/>
      <c r="V192" s="228"/>
      <c r="W192" s="287"/>
      <c r="X192" s="278"/>
      <c r="Y192" s="61"/>
      <c r="Z192" s="61"/>
      <c r="AA192" s="61"/>
      <c r="AB192" s="61"/>
      <c r="AC192" s="226"/>
      <c r="AD192" s="226"/>
      <c r="AE192" s="226"/>
      <c r="AF192" s="226"/>
    </row>
    <row r="193" spans="1:32">
      <c r="A193" s="169"/>
      <c r="B193" s="226"/>
      <c r="C193" s="226"/>
      <c r="D193" s="258" t="s">
        <v>497</v>
      </c>
      <c r="E193" s="258"/>
      <c r="F193" s="224" t="s">
        <v>1149</v>
      </c>
      <c r="G193" s="206"/>
      <c r="H193" s="225"/>
      <c r="I193" s="225"/>
      <c r="J193" s="200"/>
      <c r="K193" s="200"/>
      <c r="L193" s="200"/>
      <c r="M193" s="200"/>
      <c r="N193" s="200"/>
      <c r="O193" s="227"/>
      <c r="P193" s="227"/>
      <c r="Q193" s="227"/>
      <c r="R193" s="202"/>
      <c r="S193" s="228"/>
      <c r="T193" s="228"/>
      <c r="U193" s="228"/>
      <c r="V193" s="228"/>
      <c r="W193" s="287"/>
      <c r="X193" s="226"/>
      <c r="Y193" s="226"/>
      <c r="Z193" s="226"/>
      <c r="AA193" s="226"/>
      <c r="AB193" s="226"/>
      <c r="AC193" s="226"/>
      <c r="AD193" s="226"/>
      <c r="AE193" s="226"/>
      <c r="AF193" s="226"/>
    </row>
    <row r="194" spans="1:32">
      <c r="A194" s="169"/>
      <c r="B194" s="226"/>
      <c r="C194" s="226"/>
      <c r="D194" s="212" t="str">
        <f>"IND"&amp;RIGHT(H194,4)&amp;RIGHT(G194,3)&amp;"N"&amp;RIGHT(E194,1)</f>
        <v>INDGDLAELCN1</v>
      </c>
      <c r="E194" s="224" t="str">
        <f>"Industry "&amp;$AJ$12&amp;" "&amp;RIGHT(H194,2)&amp;" Electricity Light Appliance - New 1"</f>
        <v>Industry Glass &amp; Concrete LA Electricity Light Appliance - New 1</v>
      </c>
      <c r="F194" s="224" t="s">
        <v>1149</v>
      </c>
      <c r="G194" s="225" t="s">
        <v>499</v>
      </c>
      <c r="H194" s="225" t="str">
        <f>AI16</f>
        <v>IGDLA</v>
      </c>
      <c r="I194" s="225"/>
      <c r="J194" s="81">
        <v>2011</v>
      </c>
      <c r="K194" s="81">
        <v>2011</v>
      </c>
      <c r="L194" s="256">
        <v>1</v>
      </c>
      <c r="M194" s="256"/>
      <c r="N194" s="256">
        <v>10</v>
      </c>
      <c r="O194" s="254"/>
      <c r="P194" s="254"/>
      <c r="Q194" s="254"/>
      <c r="R194" s="201"/>
      <c r="S194" s="275">
        <v>0.9</v>
      </c>
      <c r="T194" s="228"/>
      <c r="U194" s="228"/>
      <c r="V194" s="228"/>
      <c r="W194" s="287"/>
      <c r="X194" s="279"/>
      <c r="Y194" s="255"/>
      <c r="Z194" s="255"/>
      <c r="AA194" s="255"/>
      <c r="AB194" s="255"/>
      <c r="AC194" s="226"/>
      <c r="AD194" s="226"/>
      <c r="AE194" s="226"/>
      <c r="AF194" s="226"/>
    </row>
    <row r="195" spans="1:32">
      <c r="A195" s="169"/>
      <c r="B195" s="226"/>
      <c r="C195" s="226"/>
      <c r="F195" s="224" t="s">
        <v>1149</v>
      </c>
      <c r="G195" s="225"/>
      <c r="H195" s="226"/>
      <c r="I195" s="226"/>
      <c r="J195" s="256">
        <v>2020</v>
      </c>
      <c r="K195" s="256"/>
      <c r="L195" s="256"/>
      <c r="M195" s="256"/>
      <c r="N195" s="256"/>
      <c r="O195" s="254"/>
      <c r="P195" s="254"/>
      <c r="Q195" s="254"/>
      <c r="R195" s="201"/>
      <c r="S195" s="275"/>
      <c r="T195" s="228"/>
      <c r="U195" s="228"/>
      <c r="V195" s="228"/>
      <c r="W195" s="287"/>
      <c r="X195" s="279"/>
      <c r="Y195" s="255"/>
      <c r="Z195" s="255"/>
      <c r="AA195" s="255"/>
      <c r="AB195" s="255"/>
      <c r="AC195" s="226"/>
      <c r="AD195" s="226"/>
      <c r="AE195" s="226"/>
      <c r="AF195" s="226"/>
    </row>
    <row r="196" spans="1:32">
      <c r="A196" s="169"/>
      <c r="B196" s="226"/>
      <c r="C196" s="226"/>
      <c r="F196" s="224" t="s">
        <v>1149</v>
      </c>
      <c r="G196" s="225"/>
      <c r="H196" s="225"/>
      <c r="I196" s="225"/>
      <c r="J196" s="256">
        <v>2030</v>
      </c>
      <c r="K196" s="256"/>
      <c r="L196" s="256"/>
      <c r="M196" s="256"/>
      <c r="N196" s="256"/>
      <c r="O196" s="254"/>
      <c r="P196" s="254"/>
      <c r="Q196" s="254"/>
      <c r="R196" s="201"/>
      <c r="S196" s="275"/>
      <c r="T196" s="228"/>
      <c r="U196" s="228"/>
      <c r="V196" s="228"/>
      <c r="W196" s="287"/>
      <c r="X196" s="279"/>
      <c r="Y196" s="255"/>
      <c r="Z196" s="255"/>
      <c r="AA196" s="255"/>
      <c r="AB196" s="255"/>
    </row>
    <row r="197" spans="1:32">
      <c r="A197" s="169"/>
      <c r="B197" s="226"/>
      <c r="C197" s="226"/>
      <c r="F197" s="224" t="s">
        <v>1149</v>
      </c>
      <c r="G197" s="225"/>
      <c r="H197" s="225"/>
      <c r="I197" s="225"/>
      <c r="J197" s="256">
        <v>2050</v>
      </c>
      <c r="K197" s="256"/>
      <c r="L197" s="256"/>
      <c r="M197" s="256"/>
      <c r="N197" s="256"/>
      <c r="O197" s="254"/>
      <c r="P197" s="254"/>
      <c r="Q197" s="254"/>
      <c r="R197" s="201"/>
      <c r="S197" s="275"/>
      <c r="T197" s="228"/>
      <c r="U197" s="228"/>
      <c r="V197" s="228"/>
      <c r="W197" s="287"/>
      <c r="X197" s="279"/>
      <c r="Y197" s="255"/>
      <c r="Z197" s="255"/>
      <c r="AA197" s="255"/>
      <c r="AB197" s="255"/>
    </row>
    <row r="198" spans="1:32">
      <c r="A198" s="169"/>
      <c r="B198" s="226"/>
      <c r="C198" s="226"/>
      <c r="D198" s="212" t="str">
        <f>"IND"&amp;RIGHT(H198,4)&amp;RIGHT(G198,3)&amp;"N"&amp;RIGHT(E198,1)</f>
        <v>INDGDEMELCN1</v>
      </c>
      <c r="E198" s="224" t="str">
        <f>"Industry "&amp;$AJ$12&amp;" "&amp;RIGHT(H198,2)&amp;" Electricity Motors - New 1"</f>
        <v>Industry Glass &amp; Concrete EM Electricity Motors - New 1</v>
      </c>
      <c r="F198" s="224" t="s">
        <v>1149</v>
      </c>
      <c r="G198" s="225" t="s">
        <v>499</v>
      </c>
      <c r="H198" s="225" t="str">
        <f>AI17</f>
        <v>IGDEM</v>
      </c>
      <c r="I198" s="225"/>
      <c r="J198" s="81">
        <v>2011</v>
      </c>
      <c r="K198" s="81">
        <v>2011</v>
      </c>
      <c r="L198" s="256">
        <v>1</v>
      </c>
      <c r="M198" s="256"/>
      <c r="N198" s="256">
        <v>10</v>
      </c>
      <c r="O198" s="254"/>
      <c r="P198" s="254"/>
      <c r="Q198" s="254"/>
      <c r="R198" s="201"/>
      <c r="S198" s="275">
        <v>0.9</v>
      </c>
      <c r="T198" s="228"/>
      <c r="U198" s="228"/>
      <c r="V198" s="228"/>
      <c r="W198" s="287"/>
      <c r="X198" s="279"/>
      <c r="Y198" s="255"/>
      <c r="Z198" s="255"/>
      <c r="AA198" s="255"/>
      <c r="AB198" s="255"/>
    </row>
    <row r="199" spans="1:32">
      <c r="A199" s="169"/>
      <c r="D199" s="170"/>
      <c r="E199" s="64"/>
      <c r="F199" s="224" t="s">
        <v>1149</v>
      </c>
      <c r="H199" s="173"/>
      <c r="I199" s="173"/>
      <c r="J199" s="256">
        <v>2020</v>
      </c>
      <c r="K199" s="257"/>
      <c r="L199" s="257"/>
      <c r="M199" s="257"/>
      <c r="N199" s="257"/>
      <c r="O199" s="61"/>
      <c r="P199" s="61"/>
      <c r="Q199" s="61"/>
      <c r="R199" s="61"/>
      <c r="S199" s="276"/>
      <c r="T199" s="55"/>
      <c r="U199" s="55"/>
      <c r="V199" s="55"/>
      <c r="W199" s="283"/>
      <c r="X199" s="278"/>
      <c r="Y199" s="61"/>
      <c r="Z199" s="61"/>
      <c r="AA199" s="61"/>
      <c r="AB199" s="61"/>
    </row>
    <row r="200" spans="1:32">
      <c r="A200" s="169"/>
      <c r="F200" s="224" t="s">
        <v>1149</v>
      </c>
      <c r="H200" s="173"/>
      <c r="I200" s="173"/>
      <c r="J200" s="256">
        <v>2030</v>
      </c>
      <c r="K200" s="257"/>
      <c r="L200" s="257"/>
      <c r="M200" s="257"/>
      <c r="N200" s="257"/>
      <c r="O200" s="61"/>
      <c r="P200" s="61"/>
      <c r="Q200" s="61"/>
      <c r="R200" s="61"/>
      <c r="S200" s="276"/>
      <c r="T200" s="55"/>
      <c r="U200" s="55"/>
      <c r="V200" s="55"/>
      <c r="W200" s="283"/>
      <c r="X200" s="278"/>
      <c r="Y200" s="61"/>
      <c r="Z200" s="61"/>
      <c r="AA200" s="61"/>
      <c r="AB200" s="61"/>
    </row>
    <row r="201" spans="1:32">
      <c r="A201" s="169"/>
      <c r="D201" s="203"/>
      <c r="E201" s="203"/>
      <c r="F201" s="224" t="s">
        <v>1149</v>
      </c>
      <c r="G201" s="203"/>
      <c r="H201" s="266"/>
      <c r="I201" s="266"/>
      <c r="J201" s="256">
        <v>2050</v>
      </c>
      <c r="K201" s="257"/>
      <c r="L201" s="257"/>
      <c r="M201" s="257"/>
      <c r="N201" s="257"/>
      <c r="O201" s="61"/>
      <c r="P201" s="61"/>
      <c r="Q201" s="61"/>
      <c r="R201" s="61"/>
      <c r="S201" s="276"/>
      <c r="T201" s="55"/>
      <c r="U201" s="55"/>
      <c r="V201" s="55"/>
      <c r="W201" s="283"/>
      <c r="X201" s="278"/>
      <c r="Y201" s="61"/>
      <c r="Z201" s="61"/>
      <c r="AA201" s="61"/>
      <c r="AB201" s="61"/>
    </row>
    <row r="202" spans="1:32">
      <c r="A202" s="169" t="s">
        <v>2057</v>
      </c>
      <c r="B202" s="224" t="s">
        <v>2064</v>
      </c>
      <c r="D202" s="212" t="str">
        <f>"IND"&amp;RIGHT(H202,4)&amp;"DSL"&amp;"N"&amp;RIGHT(E202,1)</f>
        <v>INDGDTFDSLN1</v>
      </c>
      <c r="E202" s="224" t="str">
        <f>"Industry "&amp;$AJ$12&amp;" "&amp;RIGHT(H202,2)&amp;" Tractors, Trucks, Fishing boats - New 1"</f>
        <v>Industry Glass &amp; Concrete TF Tractors, Trucks, Fishing boats - New 1</v>
      </c>
      <c r="F202" s="224" t="s">
        <v>1149</v>
      </c>
      <c r="G202" s="173" t="s">
        <v>2081</v>
      </c>
      <c r="H202" s="174" t="str">
        <f>$AI$18</f>
        <v>IGDTF</v>
      </c>
      <c r="I202" s="174"/>
      <c r="J202" s="81">
        <v>2011</v>
      </c>
      <c r="K202" s="81">
        <v>2011</v>
      </c>
      <c r="L202" s="1127">
        <f>L203</f>
        <v>1</v>
      </c>
      <c r="M202" s="256"/>
      <c r="N202" s="256">
        <v>20</v>
      </c>
      <c r="O202" s="1127">
        <f>O203</f>
        <v>30.836264040545181</v>
      </c>
      <c r="P202" s="254"/>
      <c r="Q202" s="254"/>
      <c r="R202" s="1126">
        <v>1</v>
      </c>
      <c r="S202" s="1127">
        <v>1</v>
      </c>
      <c r="T202" s="228"/>
      <c r="U202" s="228"/>
      <c r="V202" s="228"/>
      <c r="W202" s="287"/>
      <c r="X202" s="55"/>
      <c r="Y202" s="55"/>
      <c r="Z202" s="55"/>
      <c r="AA202" s="55"/>
      <c r="AB202" s="55"/>
    </row>
    <row r="203" spans="1:32">
      <c r="A203" s="169" t="s">
        <v>2057</v>
      </c>
      <c r="B203" s="224" t="s">
        <v>2064</v>
      </c>
      <c r="D203" s="55"/>
      <c r="E203" s="55"/>
      <c r="F203" s="224" t="s">
        <v>1149</v>
      </c>
      <c r="G203" s="55"/>
      <c r="H203" s="174"/>
      <c r="I203" s="174"/>
      <c r="J203" s="256">
        <v>2017</v>
      </c>
      <c r="K203" s="256"/>
      <c r="L203" s="1127">
        <f>1/SUMIFS(Transport!$AS$13:$AS$264,Transport!$D$13:$D$264,$B203,Transport!$E$13:$E$264,$A203,Transport!$A$13:$A$264,$J203)</f>
        <v>1</v>
      </c>
      <c r="M203" s="256"/>
      <c r="N203" s="256"/>
      <c r="O203" s="1127">
        <f>SUMIFS(Transport!$AT$13:$AT$264,Transport!$D$13:$D$264,$B203,Transport!$E$13:$E$264,$A203,Transport!$A$13:$A$264,$J203)/1000*6.5</f>
        <v>30.836264040545181</v>
      </c>
      <c r="P203" s="254"/>
      <c r="Q203" s="254"/>
      <c r="R203" s="1126"/>
      <c r="S203" s="275"/>
      <c r="T203" s="228"/>
      <c r="U203" s="228"/>
      <c r="V203" s="228"/>
      <c r="W203" s="228"/>
      <c r="X203" s="55"/>
      <c r="Y203" s="55"/>
      <c r="Z203" s="55"/>
      <c r="AA203" s="55"/>
      <c r="AB203" s="55"/>
    </row>
    <row r="204" spans="1:32">
      <c r="A204" s="169" t="s">
        <v>2057</v>
      </c>
      <c r="B204" s="224" t="s">
        <v>2064</v>
      </c>
      <c r="D204" s="55"/>
      <c r="E204" s="55"/>
      <c r="F204" s="224" t="s">
        <v>1149</v>
      </c>
      <c r="G204" s="55"/>
      <c r="J204" s="256">
        <v>2030</v>
      </c>
      <c r="K204" s="256"/>
      <c r="L204" s="1127">
        <f>1/SUMIFS(Transport!$AS$13:$AS$264,Transport!$D$13:$D$264,$B204,Transport!$E$13:$E$264,$A204,Transport!$A$13:$A$264,$J204)</f>
        <v>1.4579105312754643</v>
      </c>
      <c r="M204" s="256"/>
      <c r="N204" s="256"/>
      <c r="O204" s="1127">
        <f>SUMIFS(Transport!$AT$13:$AT$264,Transport!$D$13:$D$264,$B204,Transport!$E$13:$E$264,$A204,Transport!$A$13:$A$264,$J204)/1000*6.5</f>
        <v>31.806294618979205</v>
      </c>
      <c r="P204" s="254"/>
      <c r="Q204" s="254"/>
      <c r="R204" s="1126"/>
      <c r="S204" s="275"/>
      <c r="T204" s="228"/>
      <c r="U204" s="228"/>
      <c r="V204" s="228"/>
      <c r="W204" s="228"/>
      <c r="X204" s="55"/>
      <c r="Y204" s="55"/>
      <c r="Z204" s="55"/>
      <c r="AA204" s="55"/>
      <c r="AB204" s="55"/>
    </row>
    <row r="205" spans="1:32">
      <c r="A205" s="169" t="s">
        <v>2057</v>
      </c>
      <c r="B205" s="224" t="s">
        <v>2064</v>
      </c>
      <c r="D205" s="55"/>
      <c r="E205" s="55"/>
      <c r="F205" s="224" t="s">
        <v>1149</v>
      </c>
      <c r="G205" s="55"/>
      <c r="J205" s="256">
        <v>2050</v>
      </c>
      <c r="K205" s="256"/>
      <c r="L205" s="1127">
        <f>1/SUMIFS(Transport!$AS$13:$AS$264,Transport!$D$13:$D$264,$B205,Transport!$E$13:$E$264,$A205,Transport!$A$13:$A$264,$J205)</f>
        <v>1.612189818950156</v>
      </c>
      <c r="M205" s="256"/>
      <c r="N205" s="256"/>
      <c r="O205" s="1127">
        <f>SUMIFS(Transport!$AT$13:$AT$264,Transport!$D$13:$D$264,$B205,Transport!$E$13:$E$264,$A205,Transport!$A$13:$A$264,$J205)/1000*6.5</f>
        <v>32.165108628526795</v>
      </c>
      <c r="P205" s="254"/>
      <c r="Q205" s="254"/>
      <c r="R205" s="1126"/>
      <c r="S205" s="275"/>
      <c r="T205" s="228"/>
      <c r="U205" s="228"/>
      <c r="V205" s="228"/>
      <c r="W205" s="228"/>
      <c r="X205" s="55"/>
      <c r="Y205" s="55"/>
      <c r="Z205" s="55"/>
      <c r="AA205" s="55"/>
      <c r="AB205" s="55"/>
    </row>
    <row r="206" spans="1:32">
      <c r="A206" s="169" t="s">
        <v>2062</v>
      </c>
      <c r="B206" s="224" t="s">
        <v>2064</v>
      </c>
      <c r="D206" s="212" t="str">
        <f>"IND"&amp;RIGHT(H206,4)&amp;"H2G"&amp;"N"&amp;RIGHT(E206,1)</f>
        <v>INDGDTFH2GN2</v>
      </c>
      <c r="E206" s="224" t="str">
        <f>"Industry "&amp;$AJ$12&amp;" "&amp;RIGHT(H206,2)&amp;" Tractors, Trucks, Fishing boats - New 2"</f>
        <v>Industry Glass &amp; Concrete TF Tractors, Trucks, Fishing boats - New 2</v>
      </c>
      <c r="F206" s="224" t="s">
        <v>1149</v>
      </c>
      <c r="G206" s="55" t="s">
        <v>2077</v>
      </c>
      <c r="H206" s="174" t="str">
        <f>$AI$18</f>
        <v>IGDTF</v>
      </c>
      <c r="I206" s="174"/>
      <c r="J206" s="81">
        <v>2017</v>
      </c>
      <c r="K206" s="81">
        <v>2030</v>
      </c>
      <c r="L206" s="1127">
        <f>1/SUMIFS(Transport!$AS$13:$AS$264,Transport!$D$13:$D$264,$B206,Transport!$E$13:$E$264,$A206,Transport!$A$13:$A$264,$J206)</f>
        <v>1.6201914448931107</v>
      </c>
      <c r="M206" s="256"/>
      <c r="N206" s="256">
        <v>20</v>
      </c>
      <c r="O206" s="1127">
        <f>SUMIFS(Transport!$AT$13:$AT$264,Transport!$D$13:$D$264,$B206,Transport!$E$13:$E$264,$A206,Transport!$A$13:$A$264,$J206)/1000*6.5</f>
        <v>81.840656028484005</v>
      </c>
      <c r="P206" s="254"/>
      <c r="Q206" s="254"/>
      <c r="R206" s="1126">
        <v>1</v>
      </c>
      <c r="S206" s="1127">
        <v>1</v>
      </c>
      <c r="T206" s="228"/>
      <c r="U206" s="228"/>
      <c r="V206" s="228"/>
      <c r="W206" s="287"/>
      <c r="X206" s="55"/>
      <c r="Y206" s="55"/>
      <c r="Z206" s="55"/>
      <c r="AA206" s="55"/>
      <c r="AB206" s="55"/>
    </row>
    <row r="207" spans="1:32">
      <c r="A207" s="169" t="s">
        <v>2062</v>
      </c>
      <c r="B207" s="224" t="s">
        <v>2064</v>
      </c>
      <c r="D207" s="55"/>
      <c r="E207" s="55"/>
      <c r="F207" s="224" t="s">
        <v>1149</v>
      </c>
      <c r="G207" s="55"/>
      <c r="H207" s="174"/>
      <c r="I207" s="174"/>
      <c r="J207" s="256">
        <v>2017</v>
      </c>
      <c r="K207" s="256"/>
      <c r="L207" s="1127">
        <f>1/SUMIFS(Transport!$AS$13:$AS$264,Transport!$D$13:$D$264,$B207,Transport!$E$13:$E$264,$A207,Transport!$A$13:$A$264,$J207)</f>
        <v>1.6201914448931107</v>
      </c>
      <c r="M207" s="256"/>
      <c r="N207" s="256"/>
      <c r="O207" s="1127">
        <f>SUMIFS(Transport!$AT$13:$AT$264,Transport!$D$13:$D$264,$B207,Transport!$E$13:$E$264,$A207,Transport!$A$13:$A$264,$J207)/1000*6.5</f>
        <v>81.840656028484005</v>
      </c>
      <c r="P207" s="254"/>
      <c r="Q207" s="254"/>
      <c r="R207" s="1126"/>
      <c r="S207" s="275"/>
      <c r="T207" s="228"/>
      <c r="U207" s="228"/>
      <c r="V207" s="228"/>
      <c r="W207" s="228"/>
      <c r="X207" s="55"/>
      <c r="Y207" s="55"/>
      <c r="Z207" s="55"/>
      <c r="AA207" s="55"/>
      <c r="AB207" s="55"/>
    </row>
    <row r="208" spans="1:32">
      <c r="A208" s="169" t="s">
        <v>2062</v>
      </c>
      <c r="B208" s="224" t="s">
        <v>2064</v>
      </c>
      <c r="D208" s="55"/>
      <c r="E208" s="55"/>
      <c r="F208" s="224" t="s">
        <v>1149</v>
      </c>
      <c r="G208" s="55"/>
      <c r="J208" s="256">
        <v>2030</v>
      </c>
      <c r="K208" s="256"/>
      <c r="L208" s="1127">
        <f>1/SUMIFS(Transport!$AS$13:$AS$264,Transport!$D$13:$D$264,$B208,Transport!$E$13:$E$264,$A208,Transport!$A$13:$A$264,$J208)</f>
        <v>2.4143776559781225</v>
      </c>
      <c r="M208" s="256"/>
      <c r="N208" s="256"/>
      <c r="O208" s="1127">
        <f>SUMIFS(Transport!$AT$13:$AT$264,Transport!$D$13:$D$264,$B208,Transport!$E$13:$E$264,$A208,Transport!$A$13:$A$264,$J208)/1000*6.5</f>
        <v>34.253254247071318</v>
      </c>
      <c r="P208" s="254"/>
      <c r="Q208" s="254"/>
      <c r="R208" s="1126"/>
      <c r="S208" s="275"/>
      <c r="T208" s="228"/>
      <c r="U208" s="228"/>
      <c r="V208" s="228"/>
      <c r="W208" s="228"/>
      <c r="X208" s="55"/>
      <c r="Y208" s="55"/>
      <c r="Z208" s="55"/>
      <c r="AA208" s="55"/>
      <c r="AB208" s="55"/>
    </row>
    <row r="209" spans="1:28">
      <c r="A209" s="169" t="s">
        <v>2062</v>
      </c>
      <c r="B209" s="224" t="s">
        <v>2064</v>
      </c>
      <c r="D209" s="55"/>
      <c r="E209" s="55"/>
      <c r="F209" s="224" t="s">
        <v>1149</v>
      </c>
      <c r="G209" s="55"/>
      <c r="J209" s="256">
        <v>2050</v>
      </c>
      <c r="K209" s="256"/>
      <c r="L209" s="1127">
        <f>1/SUMIFS(Transport!$AS$13:$AS$264,Transport!$D$13:$D$264,$B209,Transport!$E$13:$E$264,$A209,Transport!$A$13:$A$264,$J209)</f>
        <v>2.9956358502626648</v>
      </c>
      <c r="M209" s="256"/>
      <c r="N209" s="256"/>
      <c r="O209" s="1127">
        <f>SUMIFS(Transport!$AT$13:$AT$264,Transport!$D$13:$D$264,$B209,Transport!$E$13:$E$264,$A209,Transport!$A$13:$A$264,$J209)/1000*6.5</f>
        <v>28.800352543800432</v>
      </c>
      <c r="P209" s="254"/>
      <c r="Q209" s="254"/>
      <c r="R209" s="1126"/>
      <c r="S209" s="275"/>
      <c r="T209" s="228"/>
      <c r="U209" s="228"/>
      <c r="V209" s="228"/>
      <c r="W209" s="228"/>
      <c r="X209" s="55"/>
      <c r="Y209" s="55"/>
      <c r="Z209" s="55"/>
      <c r="AA209" s="55"/>
      <c r="AB209" s="55"/>
    </row>
    <row r="210" spans="1:28">
      <c r="A210" s="169" t="s">
        <v>2061</v>
      </c>
      <c r="B210" s="224" t="s">
        <v>2064</v>
      </c>
      <c r="D210" s="212" t="str">
        <f>"IND"&amp;RIGHT(H210,4)&amp;"ELC"&amp;"N"&amp;RIGHT(E210,1)</f>
        <v>INDGDTFELCN3</v>
      </c>
      <c r="E210" s="224" t="str">
        <f>"Industry "&amp;$AJ$12&amp;" "&amp;RIGHT(H210,2)&amp;" Tractors, Trucks, Fishing boats - New 3"</f>
        <v>Industry Glass &amp; Concrete TF Tractors, Trucks, Fishing boats - New 3</v>
      </c>
      <c r="F210" s="224" t="s">
        <v>1149</v>
      </c>
      <c r="G210" s="55" t="s">
        <v>499</v>
      </c>
      <c r="H210" s="174" t="str">
        <f>$AI$18</f>
        <v>IGDTF</v>
      </c>
      <c r="I210" s="174"/>
      <c r="J210" s="81">
        <v>2017</v>
      </c>
      <c r="K210" s="81">
        <v>2025</v>
      </c>
      <c r="L210" s="1127">
        <f>1/SUMIFS(Transport!$AS$13:$AS$264,Transport!$D$13:$D$264,$B210,Transport!$E$13:$E$264,$A210,Transport!$A$13:$A$264,$J210)</f>
        <v>3.2991956437648962</v>
      </c>
      <c r="M210" s="256"/>
      <c r="N210" s="256">
        <v>20</v>
      </c>
      <c r="O210" s="1127">
        <f>SUMIFS(Transport!$AT$13:$AT$264,Transport!$D$13:$D$264,$B210,Transport!$E$13:$E$264,$A210,Transport!$A$13:$A$264,$J210)/1000*6.5</f>
        <v>72.592990417868862</v>
      </c>
      <c r="P210" s="254"/>
      <c r="Q210" s="254"/>
      <c r="R210" s="1126">
        <v>1</v>
      </c>
      <c r="S210" s="1127">
        <v>1</v>
      </c>
      <c r="T210" s="228"/>
      <c r="U210" s="228"/>
      <c r="V210" s="228"/>
      <c r="W210" s="287"/>
      <c r="X210" s="55"/>
      <c r="Y210" s="55"/>
      <c r="Z210" s="55"/>
      <c r="AA210" s="55"/>
      <c r="AB210" s="55"/>
    </row>
    <row r="211" spans="1:28">
      <c r="A211" s="169" t="s">
        <v>2061</v>
      </c>
      <c r="B211" s="224" t="s">
        <v>2064</v>
      </c>
      <c r="D211" s="55"/>
      <c r="E211" s="55"/>
      <c r="F211" s="224" t="s">
        <v>1149</v>
      </c>
      <c r="G211" s="55"/>
      <c r="H211" s="174"/>
      <c r="I211" s="174"/>
      <c r="J211" s="256">
        <v>2017</v>
      </c>
      <c r="K211" s="256"/>
      <c r="L211" s="1127">
        <f>1/SUMIFS(Transport!$AS$13:$AS$264,Transport!$D$13:$D$264,$B211,Transport!$E$13:$E$264,$A211,Transport!$A$13:$A$264,$J211)</f>
        <v>3.2991956437648962</v>
      </c>
      <c r="M211" s="256"/>
      <c r="N211" s="256"/>
      <c r="O211" s="1127">
        <f>SUMIFS(Transport!$AT$13:$AT$264,Transport!$D$13:$D$264,$B211,Transport!$E$13:$E$264,$A211,Transport!$A$13:$A$264,$J211)/1000*6.5</f>
        <v>72.592990417868862</v>
      </c>
      <c r="P211" s="254"/>
      <c r="Q211" s="254"/>
      <c r="R211" s="201"/>
      <c r="S211" s="275"/>
      <c r="T211" s="228"/>
      <c r="U211" s="228"/>
      <c r="V211" s="228"/>
      <c r="W211" s="228"/>
      <c r="X211" s="55"/>
      <c r="Y211" s="55"/>
      <c r="Z211" s="55"/>
      <c r="AA211" s="55"/>
      <c r="AB211" s="55"/>
    </row>
    <row r="212" spans="1:28">
      <c r="A212" s="169" t="s">
        <v>2061</v>
      </c>
      <c r="B212" s="224" t="s">
        <v>2064</v>
      </c>
      <c r="D212" s="55"/>
      <c r="E212" s="55"/>
      <c r="F212" s="224" t="s">
        <v>1149</v>
      </c>
      <c r="G212" s="55"/>
      <c r="J212" s="256">
        <v>2030</v>
      </c>
      <c r="K212" s="256"/>
      <c r="L212" s="1127">
        <f>1/SUMIFS(Transport!$AS$13:$AS$264,Transport!$D$13:$D$264,$B212,Transport!$E$13:$E$264,$A212,Transport!$A$13:$A$264,$J212)</f>
        <v>3.2991956437648962</v>
      </c>
      <c r="M212" s="256"/>
      <c r="N212" s="256"/>
      <c r="O212" s="1127">
        <f>SUMIFS(Transport!$AT$13:$AT$264,Transport!$D$13:$D$264,$B212,Transport!$E$13:$E$264,$A212,Transport!$A$13:$A$264,$J212)/1000*6.5</f>
        <v>35.973025982850046</v>
      </c>
      <c r="P212" s="254"/>
      <c r="Q212" s="254"/>
      <c r="R212" s="201"/>
      <c r="S212" s="275"/>
      <c r="T212" s="228"/>
      <c r="U212" s="228"/>
      <c r="V212" s="228"/>
      <c r="W212" s="228"/>
      <c r="X212" s="55"/>
      <c r="Y212" s="55"/>
      <c r="Z212" s="55"/>
      <c r="AA212" s="55"/>
      <c r="AB212" s="55"/>
    </row>
    <row r="213" spans="1:28">
      <c r="A213" s="169" t="s">
        <v>2061</v>
      </c>
      <c r="B213" s="224" t="s">
        <v>2064</v>
      </c>
      <c r="D213" s="55"/>
      <c r="E213" s="55"/>
      <c r="F213" s="224" t="s">
        <v>1149</v>
      </c>
      <c r="G213" s="55"/>
      <c r="J213" s="256">
        <v>2050</v>
      </c>
      <c r="K213" s="256"/>
      <c r="L213" s="1127">
        <f>1/SUMIFS(Transport!$AS$13:$AS$264,Transport!$D$13:$D$264,$B213,Transport!$E$13:$E$264,$A213,Transport!$A$13:$A$264,$J213)</f>
        <v>3.2991956437648962</v>
      </c>
      <c r="M213" s="256"/>
      <c r="N213" s="256"/>
      <c r="O213" s="1127">
        <f>SUMIFS(Transport!$AT$13:$AT$264,Transport!$D$13:$D$264,$B213,Transport!$E$13:$E$264,$A213,Transport!$A$13:$A$264,$J213)/1000*6.5</f>
        <v>28.759134300809922</v>
      </c>
      <c r="P213" s="254"/>
      <c r="Q213" s="254"/>
      <c r="R213" s="201"/>
      <c r="S213" s="275"/>
      <c r="T213" s="228"/>
      <c r="U213" s="228"/>
      <c r="V213" s="228"/>
      <c r="W213" s="228"/>
      <c r="X213" s="55"/>
      <c r="Y213" s="55"/>
      <c r="Z213" s="55"/>
      <c r="AA213" s="55"/>
      <c r="AB213" s="55"/>
    </row>
    <row r="214" spans="1:28">
      <c r="A214" s="169"/>
      <c r="D214" s="212" t="str">
        <f>"IND"&amp;RIGHT(H214,4)&amp;RIGHT(G214,3)&amp;"N"&amp;RIGHT(E214,1)</f>
        <v>INDGDFLELCN1</v>
      </c>
      <c r="E214" s="224" t="str">
        <f>"Industry "&amp;$AJ$12&amp;" "&amp;RIGHT(H202,2)&amp;" Forklifts - New 1"</f>
        <v>Industry Glass &amp; Concrete TF Forklifts - New 1</v>
      </c>
      <c r="F214" s="224" t="s">
        <v>1149</v>
      </c>
      <c r="G214" s="173" t="s">
        <v>2128</v>
      </c>
      <c r="H214" s="224" t="str">
        <f>AI19</f>
        <v>IGDFL</v>
      </c>
      <c r="J214" s="81">
        <v>2011</v>
      </c>
      <c r="K214" s="81">
        <v>2011</v>
      </c>
      <c r="L214" s="256">
        <v>1</v>
      </c>
      <c r="M214" s="256"/>
      <c r="N214" s="256">
        <v>10</v>
      </c>
      <c r="O214" s="254"/>
      <c r="P214" s="254"/>
      <c r="Q214" s="254"/>
      <c r="R214" s="201"/>
      <c r="S214" s="275">
        <v>0.9</v>
      </c>
      <c r="T214" s="228"/>
      <c r="U214" s="228"/>
      <c r="V214" s="228"/>
      <c r="W214" s="228"/>
      <c r="X214" s="55"/>
      <c r="Y214" s="55"/>
      <c r="Z214" s="55"/>
      <c r="AA214" s="55"/>
      <c r="AB214" s="55"/>
    </row>
    <row r="215" spans="1:28">
      <c r="A215" s="169"/>
      <c r="D215" s="55"/>
      <c r="E215" s="55"/>
      <c r="F215" s="224" t="s">
        <v>1149</v>
      </c>
      <c r="G215" s="55"/>
      <c r="H215" s="174"/>
      <c r="I215" s="174"/>
      <c r="J215" s="256">
        <v>2020</v>
      </c>
      <c r="K215" s="256"/>
      <c r="L215" s="256"/>
      <c r="M215" s="256"/>
      <c r="N215" s="257"/>
      <c r="O215" s="61"/>
      <c r="P215" s="61"/>
      <c r="Q215" s="61"/>
      <c r="R215" s="61"/>
      <c r="S215" s="276"/>
      <c r="T215" s="55"/>
      <c r="U215" s="55"/>
      <c r="V215" s="55"/>
      <c r="W215" s="55"/>
      <c r="X215" s="55"/>
      <c r="Y215" s="55"/>
      <c r="Z215" s="55"/>
      <c r="AA215" s="55"/>
      <c r="AB215" s="55"/>
    </row>
    <row r="216" spans="1:28">
      <c r="A216" s="169"/>
      <c r="D216" s="55"/>
      <c r="E216" s="55"/>
      <c r="F216" s="224" t="s">
        <v>1149</v>
      </c>
      <c r="G216" s="55"/>
      <c r="J216" s="256">
        <v>2030</v>
      </c>
      <c r="K216" s="256"/>
      <c r="L216" s="256"/>
      <c r="M216" s="256"/>
      <c r="N216" s="257"/>
      <c r="O216" s="61"/>
      <c r="P216" s="61"/>
      <c r="Q216" s="61"/>
      <c r="R216" s="61"/>
      <c r="S216" s="276"/>
      <c r="T216" s="55"/>
      <c r="U216" s="55"/>
      <c r="V216" s="55"/>
      <c r="W216" s="55"/>
      <c r="X216" s="55"/>
      <c r="Y216" s="55"/>
      <c r="Z216" s="55"/>
      <c r="AA216" s="55"/>
      <c r="AB216" s="55"/>
    </row>
    <row r="217" spans="1:28">
      <c r="A217" s="169"/>
      <c r="D217" s="55"/>
      <c r="E217" s="55"/>
      <c r="F217" s="224" t="s">
        <v>1149</v>
      </c>
      <c r="G217" s="55"/>
      <c r="H217" s="174"/>
      <c r="I217" s="174"/>
      <c r="J217" s="256">
        <v>2050</v>
      </c>
      <c r="K217" s="256"/>
      <c r="L217" s="256"/>
      <c r="M217" s="256"/>
      <c r="N217" s="257"/>
      <c r="O217" s="61"/>
      <c r="P217" s="61"/>
      <c r="Q217" s="61"/>
      <c r="R217" s="61"/>
      <c r="S217" s="276"/>
      <c r="T217" s="55"/>
      <c r="U217" s="55"/>
      <c r="V217" s="55"/>
      <c r="W217" s="55"/>
      <c r="X217" s="55"/>
      <c r="Y217" s="55"/>
      <c r="Z217" s="55"/>
      <c r="AA217" s="55"/>
      <c r="AB217" s="55"/>
    </row>
    <row r="218" spans="1:28">
      <c r="A218" s="169" t="s">
        <v>2107</v>
      </c>
      <c r="D218" s="212" t="str">
        <f>"IND"&amp;RIGHT(H218,4)&amp;RIGHT(G218,3)&amp;"N"&amp;RIGHT(E218,1)</f>
        <v>INDGDCOELCN1</v>
      </c>
      <c r="E218" s="224" t="str">
        <f>"Industry "&amp;$AJ$12&amp;" "&amp;RIGHT(H218,2)&amp;" Cooling - New 1"</f>
        <v>Industry Glass &amp; Concrete CO Cooling - New 1</v>
      </c>
      <c r="F218" s="224" t="s">
        <v>1149</v>
      </c>
      <c r="G218" s="173" t="s">
        <v>499</v>
      </c>
      <c r="H218" s="224" t="str">
        <f>AI21</f>
        <v>IGDCO</v>
      </c>
      <c r="J218" s="82">
        <v>2015</v>
      </c>
      <c r="K218" s="82">
        <v>2015</v>
      </c>
      <c r="L218" s="1128">
        <v>1</v>
      </c>
      <c r="M218" s="1129"/>
      <c r="N218" s="1129">
        <v>12</v>
      </c>
      <c r="O218" s="1130">
        <v>3.3525</v>
      </c>
      <c r="P218" s="1131">
        <v>0.31662500000000005</v>
      </c>
      <c r="Q218" s="1131"/>
      <c r="R218" s="1132">
        <v>3.1536000000000002E-2</v>
      </c>
      <c r="S218" s="1133">
        <v>8.3999999999999991E-2</v>
      </c>
    </row>
    <row r="219" spans="1:28">
      <c r="A219" s="169"/>
      <c r="F219" s="224" t="s">
        <v>1149</v>
      </c>
      <c r="H219" s="173"/>
      <c r="I219" s="173"/>
      <c r="J219" s="1129">
        <v>2020</v>
      </c>
      <c r="K219" s="1129"/>
      <c r="L219" s="1128">
        <v>1</v>
      </c>
      <c r="M219" s="1129"/>
      <c r="N219" s="257">
        <v>12</v>
      </c>
      <c r="O219" s="61">
        <v>3.1662499999999998</v>
      </c>
      <c r="P219" s="61">
        <v>0.30110722454958749</v>
      </c>
      <c r="Q219" s="61"/>
      <c r="R219" s="61">
        <v>3.1536000000000002E-2</v>
      </c>
      <c r="S219" s="276">
        <v>8.3999999999999991E-2</v>
      </c>
    </row>
    <row r="220" spans="1:28">
      <c r="A220" s="169"/>
      <c r="F220" s="224" t="s">
        <v>1149</v>
      </c>
      <c r="J220" s="1129">
        <v>2030</v>
      </c>
      <c r="K220" s="1129"/>
      <c r="L220" s="1128">
        <v>1</v>
      </c>
      <c r="M220" s="1129"/>
      <c r="N220" s="257">
        <v>12</v>
      </c>
      <c r="O220" s="61">
        <v>3.1662499999999998</v>
      </c>
      <c r="P220" s="61">
        <v>0.30110722454958749</v>
      </c>
      <c r="Q220" s="61"/>
      <c r="R220" s="61">
        <v>3.1536000000000002E-2</v>
      </c>
      <c r="S220" s="276">
        <v>8.3999999999999991E-2</v>
      </c>
    </row>
    <row r="221" spans="1:28">
      <c r="A221" s="169"/>
      <c r="F221" s="224" t="s">
        <v>1149</v>
      </c>
      <c r="H221" s="173"/>
      <c r="I221" s="173"/>
      <c r="J221" s="1129">
        <v>2050</v>
      </c>
      <c r="K221" s="1129"/>
      <c r="L221" s="1128">
        <v>1</v>
      </c>
      <c r="M221" s="1129"/>
      <c r="N221" s="257">
        <v>12</v>
      </c>
      <c r="O221" s="61">
        <v>3.1662499999999998</v>
      </c>
      <c r="P221" s="61">
        <v>0.30110722454958749</v>
      </c>
      <c r="Q221" s="61"/>
      <c r="R221" s="61">
        <v>3.1536000000000002E-2</v>
      </c>
      <c r="S221" s="276">
        <v>8.3999999999999991E-2</v>
      </c>
    </row>
    <row r="222" spans="1:28">
      <c r="A222" s="169"/>
    </row>
    <row r="223" spans="1:28">
      <c r="A223" s="169"/>
    </row>
    <row r="224" spans="1:28">
      <c r="A224" s="169"/>
    </row>
    <row r="225" spans="1:10">
      <c r="A225" s="169"/>
    </row>
    <row r="226" spans="1:10">
      <c r="A226" s="169"/>
      <c r="C226" s="207" t="s">
        <v>467</v>
      </c>
      <c r="D226" s="208"/>
      <c r="E226" s="208"/>
      <c r="F226" s="208"/>
      <c r="G226" s="208"/>
      <c r="H226" s="208"/>
      <c r="I226" s="208"/>
      <c r="J226" s="208"/>
    </row>
    <row r="227" spans="1:10">
      <c r="A227" s="169"/>
      <c r="C227" s="209" t="s">
        <v>466</v>
      </c>
      <c r="D227" s="209" t="s">
        <v>425</v>
      </c>
      <c r="E227" s="209" t="s">
        <v>465</v>
      </c>
      <c r="F227" s="209" t="s">
        <v>464</v>
      </c>
      <c r="G227" s="209" t="s">
        <v>463</v>
      </c>
      <c r="H227" s="209" t="s">
        <v>462</v>
      </c>
      <c r="I227" s="209" t="s">
        <v>461</v>
      </c>
      <c r="J227" s="209" t="s">
        <v>460</v>
      </c>
    </row>
    <row r="228" spans="1:10" ht="25" thickBot="1">
      <c r="A228" s="169"/>
      <c r="C228" s="210" t="s">
        <v>459</v>
      </c>
      <c r="D228" s="210" t="s">
        <v>458</v>
      </c>
      <c r="E228" s="210" t="s">
        <v>457</v>
      </c>
      <c r="F228" s="210" t="s">
        <v>456</v>
      </c>
      <c r="G228" s="210" t="s">
        <v>455</v>
      </c>
      <c r="H228" s="210" t="s">
        <v>454</v>
      </c>
      <c r="I228" s="210" t="s">
        <v>453</v>
      </c>
      <c r="J228" s="210" t="s">
        <v>452</v>
      </c>
    </row>
    <row r="229" spans="1:10">
      <c r="A229" s="169"/>
      <c r="C229" s="211" t="s">
        <v>504</v>
      </c>
      <c r="D229" s="212" t="str">
        <f>D9</f>
        <v>INDGDPHELCN1</v>
      </c>
      <c r="E229" s="212" t="str">
        <f t="shared" ref="E229:E260" si="267">VLOOKUP(D229,$D$9:$E$222,2,FALSE)</f>
        <v>Industrial heating technology Glass &amp; Concrete PH - Heat pump utilizing waste heat - new 1</v>
      </c>
      <c r="F229" s="211" t="s">
        <v>450</v>
      </c>
      <c r="G229" s="211" t="s">
        <v>449</v>
      </c>
      <c r="H229" s="263" t="s">
        <v>620</v>
      </c>
      <c r="I229" s="301"/>
      <c r="J229" s="208" t="s">
        <v>469</v>
      </c>
    </row>
    <row r="230" spans="1:10">
      <c r="A230" s="169"/>
      <c r="B230" s="301"/>
      <c r="C230" s="301"/>
      <c r="D230" s="212" t="str">
        <f t="shared" ref="D230:D238" ca="1" si="268">OFFSET($D$9,(ROW(D1)*6),0)</f>
        <v>INDGDSHELCN1</v>
      </c>
      <c r="E230" s="212" t="str">
        <f t="shared" ca="1" si="267"/>
        <v>Industrial heating technology Glass &amp; Concrete SH - Heat pump utilizing waste heat - new 1</v>
      </c>
      <c r="F230" s="262" t="s">
        <v>450</v>
      </c>
      <c r="G230" s="262" t="s">
        <v>449</v>
      </c>
      <c r="H230" s="263" t="s">
        <v>620</v>
      </c>
      <c r="I230" s="301"/>
      <c r="J230" s="264" t="s">
        <v>469</v>
      </c>
    </row>
    <row r="231" spans="1:10">
      <c r="A231" s="169"/>
      <c r="D231" s="212" t="str">
        <f t="shared" ca="1" si="268"/>
        <v>INDGDPHELCN2</v>
      </c>
      <c r="E231" s="212" t="str">
        <f t="shared" ca="1" si="267"/>
        <v>Industrial heating technology Glass &amp; Concrete PH - Heat driven heat pump utilizing waste heat - new 2</v>
      </c>
      <c r="F231" s="211" t="s">
        <v>450</v>
      </c>
      <c r="G231" s="211" t="s">
        <v>449</v>
      </c>
      <c r="H231" s="263" t="s">
        <v>620</v>
      </c>
      <c r="I231" s="208"/>
      <c r="J231" s="264" t="s">
        <v>469</v>
      </c>
    </row>
    <row r="232" spans="1:10">
      <c r="A232" s="169"/>
      <c r="B232" s="211"/>
      <c r="C232" s="211"/>
      <c r="D232" s="212" t="str">
        <f t="shared" ca="1" si="268"/>
        <v>INDGDSHELCN2</v>
      </c>
      <c r="E232" s="212" t="str">
        <f t="shared" ca="1" si="267"/>
        <v>Industrial heating technology Glass &amp; Concrete SH - Heat driven heat pump utilizing waste heat - new 2</v>
      </c>
      <c r="F232" s="262" t="s">
        <v>450</v>
      </c>
      <c r="G232" s="262" t="s">
        <v>449</v>
      </c>
      <c r="H232" s="263" t="s">
        <v>620</v>
      </c>
      <c r="I232" s="264"/>
      <c r="J232" s="264" t="s">
        <v>469</v>
      </c>
    </row>
    <row r="233" spans="1:10">
      <c r="A233" s="169"/>
      <c r="B233" s="211"/>
      <c r="C233" s="211"/>
      <c r="D233" s="212" t="str">
        <f t="shared" ca="1" si="268"/>
        <v>INDGDPHELCN3</v>
      </c>
      <c r="E233" s="212" t="str">
        <f t="shared" ca="1" si="267"/>
        <v>Industrial heating technology Glass &amp; Concrete PH - High Temp abs. Heat pump utilizing waste heat - new 3</v>
      </c>
      <c r="F233" s="262" t="s">
        <v>450</v>
      </c>
      <c r="G233" s="262" t="s">
        <v>449</v>
      </c>
      <c r="H233" s="263" t="s">
        <v>620</v>
      </c>
      <c r="I233" s="264"/>
      <c r="J233" s="264" t="s">
        <v>469</v>
      </c>
    </row>
    <row r="234" spans="1:10">
      <c r="A234" s="169"/>
      <c r="B234" s="211"/>
      <c r="C234" s="211"/>
      <c r="D234" s="212" t="str">
        <f t="shared" ca="1" si="268"/>
        <v>INDGDSHELCN3</v>
      </c>
      <c r="E234" s="212" t="str">
        <f t="shared" ca="1" si="267"/>
        <v>Industrial heating technology Glass &amp; Concrete SH - High Temp abs. Heat pump utilizing waste heat - new 3</v>
      </c>
      <c r="F234" s="262" t="s">
        <v>450</v>
      </c>
      <c r="G234" s="262" t="s">
        <v>449</v>
      </c>
      <c r="H234" s="263" t="s">
        <v>620</v>
      </c>
      <c r="I234" s="264"/>
      <c r="J234" s="264" t="s">
        <v>469</v>
      </c>
    </row>
    <row r="235" spans="1:10">
      <c r="A235" s="169"/>
      <c r="B235" s="211"/>
      <c r="C235" s="211"/>
      <c r="D235" s="212" t="str">
        <f t="shared" ca="1" si="268"/>
        <v>INDGDPHELCN4</v>
      </c>
      <c r="E235" s="212" t="str">
        <f t="shared" ca="1" si="267"/>
        <v>Industrial heating technology Glass &amp; Concrete PH - Booster Heat pump utilizing waste heat - new 4</v>
      </c>
      <c r="F235" s="262" t="s">
        <v>450</v>
      </c>
      <c r="G235" s="262" t="s">
        <v>449</v>
      </c>
      <c r="H235" s="263" t="s">
        <v>620</v>
      </c>
      <c r="I235" s="264"/>
      <c r="J235" s="264" t="s">
        <v>469</v>
      </c>
    </row>
    <row r="236" spans="1:10">
      <c r="A236" s="169"/>
      <c r="B236" s="211"/>
      <c r="C236" s="211"/>
      <c r="D236" s="212" t="str">
        <f t="shared" ca="1" si="268"/>
        <v>INDGDSHELCN4</v>
      </c>
      <c r="E236" s="212" t="str">
        <f t="shared" ca="1" si="267"/>
        <v>Industrial heating technology Glass &amp; Concrete SH - Booster Heat pump utilizing waste heat - new 4</v>
      </c>
      <c r="F236" s="262" t="s">
        <v>450</v>
      </c>
      <c r="G236" s="262" t="s">
        <v>449</v>
      </c>
      <c r="H236" s="263" t="s">
        <v>620</v>
      </c>
      <c r="I236" s="264"/>
      <c r="J236" s="264" t="s">
        <v>469</v>
      </c>
    </row>
    <row r="237" spans="1:10">
      <c r="A237" s="169"/>
      <c r="B237" s="211"/>
      <c r="C237" s="211"/>
      <c r="D237" s="212" t="str">
        <f t="shared" ca="1" si="268"/>
        <v>INDGDPHELCN5</v>
      </c>
      <c r="E237" s="212" t="str">
        <f t="shared" ca="1" si="267"/>
        <v>Industrial heating technology Glass &amp; Concrete PH - MVR utilizing waste heat - new 5</v>
      </c>
      <c r="F237" s="262" t="s">
        <v>450</v>
      </c>
      <c r="G237" s="262" t="s">
        <v>449</v>
      </c>
      <c r="H237" s="263"/>
      <c r="I237" s="264"/>
      <c r="J237" s="264" t="s">
        <v>469</v>
      </c>
    </row>
    <row r="238" spans="1:10">
      <c r="A238" s="169"/>
      <c r="B238" s="211"/>
      <c r="C238" s="211"/>
      <c r="D238" s="212" t="str">
        <f t="shared" ca="1" si="268"/>
        <v>INDGDPHWSTN1</v>
      </c>
      <c r="E238" s="212" t="str">
        <f t="shared" ca="1" si="267"/>
        <v>Industrial heating technology Glass &amp; Concrete PH - Hotdisc - new 1</v>
      </c>
      <c r="F238" s="262" t="s">
        <v>450</v>
      </c>
      <c r="G238" s="262" t="s">
        <v>449</v>
      </c>
      <c r="H238" s="263" t="s">
        <v>620</v>
      </c>
      <c r="I238" s="264"/>
      <c r="J238" s="264" t="s">
        <v>469</v>
      </c>
    </row>
    <row r="239" spans="1:10">
      <c r="A239" s="169"/>
      <c r="B239" s="211"/>
      <c r="C239" s="211"/>
      <c r="D239" s="212" t="str">
        <f t="shared" ref="D239:D278" ca="1" si="269">OFFSET($D$9,(ROW(D19)*3),0)</f>
        <v>INDGDPHELCN6</v>
      </c>
      <c r="E239" s="212" t="str">
        <f t="shared" ca="1" si="267"/>
        <v>Industrial heating technology Glass &amp; Concrete PH - Dielectric heating - new 6</v>
      </c>
      <c r="F239" s="262" t="s">
        <v>450</v>
      </c>
      <c r="G239" s="262" t="s">
        <v>449</v>
      </c>
      <c r="H239" s="263" t="s">
        <v>620</v>
      </c>
      <c r="I239" s="264"/>
      <c r="J239" s="264" t="s">
        <v>469</v>
      </c>
    </row>
    <row r="240" spans="1:10">
      <c r="A240" s="169"/>
      <c r="B240" s="211"/>
      <c r="C240" s="211"/>
      <c r="D240" s="212" t="str">
        <f t="shared" ca="1" si="269"/>
        <v>INDGDPHELCN7</v>
      </c>
      <c r="E240" s="212" t="str">
        <f t="shared" ca="1" si="267"/>
        <v>Industrial heating technology Glass &amp; Concrete PH - Infrared heating - new 7</v>
      </c>
      <c r="F240" s="262" t="s">
        <v>450</v>
      </c>
      <c r="G240" s="262" t="s">
        <v>449</v>
      </c>
      <c r="H240" s="263" t="s">
        <v>620</v>
      </c>
      <c r="I240" s="264"/>
      <c r="J240" s="264" t="s">
        <v>469</v>
      </c>
    </row>
    <row r="241" spans="1:16">
      <c r="A241" s="169"/>
      <c r="B241" s="211"/>
      <c r="C241" s="211"/>
      <c r="D241" s="212" t="str">
        <f t="shared" ca="1" si="269"/>
        <v>INDGDPHELCN8</v>
      </c>
      <c r="E241" s="212" t="str">
        <f t="shared" ca="1" si="267"/>
        <v>Industrial heating technology Glass &amp; Concrete PH - Electric boiler (Steam) - new 8</v>
      </c>
      <c r="F241" s="262" t="s">
        <v>450</v>
      </c>
      <c r="G241" s="262" t="s">
        <v>449</v>
      </c>
      <c r="H241" s="263" t="s">
        <v>620</v>
      </c>
      <c r="I241" s="264"/>
      <c r="J241" s="264" t="s">
        <v>469</v>
      </c>
    </row>
    <row r="242" spans="1:16">
      <c r="A242" s="169"/>
      <c r="B242" s="211"/>
      <c r="C242" s="211"/>
      <c r="D242" s="212" t="str">
        <f t="shared" ca="1" si="269"/>
        <v>INDGDPHELCN8</v>
      </c>
      <c r="E242" s="212" t="str">
        <f t="shared" ca="1" si="267"/>
        <v>Industrial heating technology Glass &amp; Concrete PH - Electric boiler (Steam) - new 8</v>
      </c>
      <c r="F242" s="262" t="s">
        <v>450</v>
      </c>
      <c r="G242" s="262" t="s">
        <v>449</v>
      </c>
      <c r="H242" s="263" t="s">
        <v>620</v>
      </c>
      <c r="I242" s="264"/>
      <c r="J242" s="264" t="s">
        <v>469</v>
      </c>
    </row>
    <row r="243" spans="1:16">
      <c r="A243" s="169"/>
      <c r="B243" s="211"/>
      <c r="C243" s="211"/>
      <c r="D243" s="212" t="str">
        <f t="shared" ca="1" si="269"/>
        <v>INDGDSHELCN8</v>
      </c>
      <c r="E243" s="212" t="str">
        <f t="shared" ca="1" si="267"/>
        <v>Industrial heating technology Glass &amp; Concrete SH - Electric boiler (Steam) - new 8</v>
      </c>
      <c r="F243" s="262" t="s">
        <v>450</v>
      </c>
      <c r="G243" s="262" t="s">
        <v>449</v>
      </c>
      <c r="H243" s="263" t="s">
        <v>620</v>
      </c>
      <c r="I243" s="264"/>
      <c r="J243" s="264" t="s">
        <v>469</v>
      </c>
      <c r="P243" s="173"/>
    </row>
    <row r="244" spans="1:16">
      <c r="A244" s="169"/>
      <c r="B244" s="211"/>
      <c r="C244" s="211"/>
      <c r="D244" s="212" t="str">
        <f t="shared" ca="1" si="269"/>
        <v>INDGDPHELCN9</v>
      </c>
      <c r="E244" s="212" t="str">
        <f t="shared" ca="1" si="267"/>
        <v>Industrial heating technology Glass &amp; Concrete PH - Electric boiler (Hot Water) - new 9</v>
      </c>
      <c r="F244" s="262" t="s">
        <v>450</v>
      </c>
      <c r="G244" s="262" t="s">
        <v>449</v>
      </c>
      <c r="H244" s="263" t="s">
        <v>620</v>
      </c>
      <c r="I244" s="264"/>
      <c r="J244" s="264" t="s">
        <v>469</v>
      </c>
      <c r="P244" s="173"/>
    </row>
    <row r="245" spans="1:16">
      <c r="A245" s="169"/>
      <c r="B245" s="211"/>
      <c r="C245" s="211"/>
      <c r="D245" s="212" t="str">
        <f t="shared" ca="1" si="269"/>
        <v>INDGDSHELCN9</v>
      </c>
      <c r="E245" s="212" t="str">
        <f t="shared" ca="1" si="267"/>
        <v>Industrial heating technology Glass &amp; Concrete SH - Electric boiler (Hot Water) - new 9</v>
      </c>
      <c r="F245" s="262" t="s">
        <v>450</v>
      </c>
      <c r="G245" s="262" t="s">
        <v>449</v>
      </c>
      <c r="H245" s="263" t="s">
        <v>620</v>
      </c>
      <c r="I245" s="264"/>
      <c r="J245" s="264" t="s">
        <v>469</v>
      </c>
      <c r="P245" s="173"/>
    </row>
    <row r="246" spans="1:16">
      <c r="A246" s="169"/>
      <c r="B246" s="211"/>
      <c r="C246" s="211"/>
      <c r="D246" s="212" t="str">
        <f t="shared" ca="1" si="269"/>
        <v>INDGDPHWCHN1</v>
      </c>
      <c r="E246" s="212" t="str">
        <f t="shared" ca="1" si="267"/>
        <v>Industrial heating technology Glass &amp; Concrete PH - Wood chip boiler (Steam) - new 1</v>
      </c>
      <c r="F246" s="262" t="s">
        <v>450</v>
      </c>
      <c r="G246" s="262" t="s">
        <v>449</v>
      </c>
      <c r="H246" s="263"/>
      <c r="I246" s="264"/>
      <c r="J246" s="264" t="s">
        <v>469</v>
      </c>
      <c r="P246" s="173"/>
    </row>
    <row r="247" spans="1:16">
      <c r="A247" s="169"/>
      <c r="B247" s="211"/>
      <c r="C247" s="211"/>
      <c r="D247" s="212" t="str">
        <f t="shared" ca="1" si="269"/>
        <v>INDGDPHWCHN1</v>
      </c>
      <c r="E247" s="212" t="str">
        <f t="shared" ca="1" si="267"/>
        <v>Industrial heating technology Glass &amp; Concrete PH - Wood chip boiler (Steam) - new 1</v>
      </c>
      <c r="F247" s="262" t="s">
        <v>450</v>
      </c>
      <c r="G247" s="262" t="s">
        <v>449</v>
      </c>
      <c r="H247" s="263"/>
      <c r="I247" s="264"/>
      <c r="J247" s="264" t="s">
        <v>469</v>
      </c>
      <c r="M247" s="171"/>
      <c r="N247" s="171"/>
      <c r="P247" s="173"/>
    </row>
    <row r="248" spans="1:16">
      <c r="A248" s="169"/>
      <c r="B248" s="211"/>
      <c r="C248" s="211"/>
      <c r="D248" s="212" t="str">
        <f t="shared" ca="1" si="269"/>
        <v>INDGDSHWCHN1</v>
      </c>
      <c r="E248" s="212" t="str">
        <f t="shared" ca="1" si="267"/>
        <v>Industrial heating technology Glass &amp; Concrete SH - Wood chip boiler (Steam) - new 1</v>
      </c>
      <c r="F248" s="262" t="s">
        <v>450</v>
      </c>
      <c r="G248" s="262" t="s">
        <v>449</v>
      </c>
      <c r="H248" s="263"/>
      <c r="I248" s="264"/>
      <c r="J248" s="264" t="s">
        <v>469</v>
      </c>
      <c r="M248" s="171"/>
      <c r="N248" s="171"/>
      <c r="P248" s="173"/>
    </row>
    <row r="249" spans="1:16">
      <c r="A249" s="169"/>
      <c r="B249" s="211"/>
      <c r="C249" s="211"/>
      <c r="D249" s="212" t="str">
        <f t="shared" ca="1" si="269"/>
        <v>INDGDPHWCHN2</v>
      </c>
      <c r="E249" s="212" t="str">
        <f t="shared" ca="1" si="267"/>
        <v>Industrial heating technology Glass &amp; Concrete PH - Wood chip boiler (Steam - condensing) - new 2</v>
      </c>
      <c r="F249" s="262" t="s">
        <v>450</v>
      </c>
      <c r="G249" s="262" t="s">
        <v>449</v>
      </c>
      <c r="H249" s="263"/>
      <c r="I249" s="264"/>
      <c r="J249" s="264" t="s">
        <v>469</v>
      </c>
      <c r="M249" s="171"/>
      <c r="N249" s="171"/>
      <c r="P249" s="173"/>
    </row>
    <row r="250" spans="1:16">
      <c r="A250" s="169"/>
      <c r="B250" s="212"/>
      <c r="C250" s="212"/>
      <c r="D250" s="212" t="str">
        <f t="shared" ca="1" si="269"/>
        <v>INDGDSHWCHN2</v>
      </c>
      <c r="E250" s="212" t="str">
        <f t="shared" ca="1" si="267"/>
        <v>Industrial heating technology Glass &amp; Concrete SH - Wood chip boiler (Steam - condensing) - new 2</v>
      </c>
      <c r="F250" s="262" t="s">
        <v>450</v>
      </c>
      <c r="G250" s="262" t="s">
        <v>449</v>
      </c>
      <c r="H250" s="263"/>
      <c r="I250" s="264"/>
      <c r="J250" s="264" t="s">
        <v>469</v>
      </c>
    </row>
    <row r="251" spans="1:16">
      <c r="A251" s="169"/>
      <c r="B251" s="212"/>
      <c r="C251" s="212"/>
      <c r="D251" s="212" t="str">
        <f t="shared" ca="1" si="269"/>
        <v>INDGDPHWCHN3</v>
      </c>
      <c r="E251" s="212" t="str">
        <f t="shared" ca="1" si="267"/>
        <v>Industrial heating technology Glass &amp; Concrete PH - Wood chip boiler (Hot Water) - new 3</v>
      </c>
      <c r="F251" s="262" t="s">
        <v>450</v>
      </c>
      <c r="G251" s="262" t="s">
        <v>449</v>
      </c>
      <c r="H251" s="261"/>
      <c r="I251" s="261"/>
      <c r="J251" s="264" t="s">
        <v>469</v>
      </c>
    </row>
    <row r="252" spans="1:16">
      <c r="A252" s="169"/>
      <c r="B252" s="212"/>
      <c r="C252" s="212"/>
      <c r="D252" s="212" t="str">
        <f t="shared" ca="1" si="269"/>
        <v>INDGDSHWCHN3</v>
      </c>
      <c r="E252" s="212" t="str">
        <f t="shared" ca="1" si="267"/>
        <v>Industrial heating technology Glass &amp; Concrete SH - Wood chip boiler (Hot Water) - new 3</v>
      </c>
      <c r="F252" s="262" t="s">
        <v>450</v>
      </c>
      <c r="G252" s="262" t="s">
        <v>449</v>
      </c>
      <c r="H252" s="261"/>
      <c r="I252" s="261"/>
      <c r="J252" s="264" t="s">
        <v>469</v>
      </c>
    </row>
    <row r="253" spans="1:16">
      <c r="A253" s="169"/>
      <c r="B253" s="212"/>
      <c r="C253" s="212"/>
      <c r="D253" s="212" t="str">
        <f t="shared" ca="1" si="269"/>
        <v>INDGDPHWCHN4</v>
      </c>
      <c r="E253" s="212" t="str">
        <f t="shared" ca="1" si="267"/>
        <v>Industrial heating technology Glass &amp; Concrete PH - Wood chip boiler (Hot Water - condensing) - new 4</v>
      </c>
      <c r="F253" s="262" t="s">
        <v>450</v>
      </c>
      <c r="G253" s="262" t="s">
        <v>449</v>
      </c>
      <c r="H253" s="261"/>
      <c r="I253" s="261"/>
      <c r="J253" s="264" t="s">
        <v>469</v>
      </c>
    </row>
    <row r="254" spans="1:16">
      <c r="A254" s="169"/>
      <c r="B254" s="212"/>
      <c r="C254" s="212"/>
      <c r="D254" s="212" t="str">
        <f t="shared" ca="1" si="269"/>
        <v>INDGDSHWCHN4</v>
      </c>
      <c r="E254" s="212" t="str">
        <f t="shared" ca="1" si="267"/>
        <v>Industrial heating technology Glass &amp; Concrete SH - Wood chip boiler (Hot Water- condensing) - new 4</v>
      </c>
      <c r="F254" s="262" t="s">
        <v>450</v>
      </c>
      <c r="G254" s="262" t="s">
        <v>449</v>
      </c>
      <c r="H254" s="261"/>
      <c r="I254" s="261"/>
      <c r="J254" s="264" t="s">
        <v>469</v>
      </c>
    </row>
    <row r="255" spans="1:16">
      <c r="B255" s="212"/>
      <c r="C255" s="212"/>
      <c r="D255" s="212" t="str">
        <f t="shared" ca="1" si="269"/>
        <v>INDGDPHELCN10</v>
      </c>
      <c r="E255" s="212" t="str">
        <f t="shared" ca="1" si="267"/>
        <v>Industrial heating technology Glass &amp; Concrete PH - Direct electric heating - new 10</v>
      </c>
      <c r="F255" s="262" t="s">
        <v>450</v>
      </c>
      <c r="G255" s="262" t="s">
        <v>449</v>
      </c>
      <c r="H255" s="261"/>
      <c r="I255" s="261"/>
      <c r="J255" s="264" t="s">
        <v>469</v>
      </c>
    </row>
    <row r="256" spans="1:16">
      <c r="B256" s="212"/>
      <c r="C256" s="212"/>
      <c r="D256" s="212" t="str">
        <f t="shared" ca="1" si="269"/>
        <v>INDGDPHELCN10</v>
      </c>
      <c r="E256" s="212" t="str">
        <f t="shared" ca="1" si="267"/>
        <v>Industrial heating technology Glass &amp; Concrete PH - Direct electric heating - new 10</v>
      </c>
      <c r="F256" s="262" t="s">
        <v>450</v>
      </c>
      <c r="G256" s="262" t="s">
        <v>449</v>
      </c>
      <c r="H256" s="261"/>
      <c r="I256" s="261"/>
      <c r="J256" s="264" t="s">
        <v>469</v>
      </c>
    </row>
    <row r="257" spans="1:10">
      <c r="B257" s="212"/>
      <c r="C257" s="212"/>
      <c r="D257" s="212" t="str">
        <f t="shared" ca="1" si="269"/>
        <v>INDGDPHDSLN1</v>
      </c>
      <c r="E257" s="212" t="str">
        <f t="shared" ca="1" si="267"/>
        <v>Industrial heating technology Glass &amp; Concrete PH - Oil boiler (Steam) - new 1</v>
      </c>
      <c r="F257" s="262" t="s">
        <v>450</v>
      </c>
      <c r="G257" s="262" t="s">
        <v>449</v>
      </c>
      <c r="H257" s="261"/>
      <c r="I257" s="261"/>
      <c r="J257" s="264" t="s">
        <v>469</v>
      </c>
    </row>
    <row r="258" spans="1:10">
      <c r="B258" s="212"/>
      <c r="C258" s="212"/>
      <c r="D258" s="212" t="str">
        <f t="shared" ca="1" si="269"/>
        <v>INDGDPHDSLN1</v>
      </c>
      <c r="E258" s="212" t="str">
        <f t="shared" ca="1" si="267"/>
        <v>Industrial heating technology Glass &amp; Concrete PH - Oil boiler (Steam) - new 1</v>
      </c>
      <c r="F258" s="262" t="s">
        <v>450</v>
      </c>
      <c r="G258" s="262" t="s">
        <v>449</v>
      </c>
      <c r="H258" s="261"/>
      <c r="I258" s="261"/>
      <c r="J258" s="264" t="s">
        <v>469</v>
      </c>
    </row>
    <row r="259" spans="1:10">
      <c r="B259" s="212"/>
      <c r="C259" s="212"/>
      <c r="D259" s="212" t="str">
        <f t="shared" ca="1" si="269"/>
        <v>INDGDSHDSLN1</v>
      </c>
      <c r="E259" s="212" t="str">
        <f t="shared" ca="1" si="267"/>
        <v>Industrial heating technology Glass &amp; Concrete SH - Oil boiler (Steam) - new 1</v>
      </c>
      <c r="F259" s="262" t="s">
        <v>450</v>
      </c>
      <c r="G259" s="262" t="s">
        <v>449</v>
      </c>
      <c r="H259" s="261"/>
      <c r="I259" s="261"/>
      <c r="J259" s="264" t="s">
        <v>469</v>
      </c>
    </row>
    <row r="260" spans="1:10">
      <c r="A260" s="214"/>
      <c r="B260" s="212"/>
      <c r="C260" s="212"/>
      <c r="D260" s="212" t="str">
        <f t="shared" ca="1" si="269"/>
        <v>INDGDPHDSLN2</v>
      </c>
      <c r="E260" s="212" t="str">
        <f t="shared" ca="1" si="267"/>
        <v>Industrial heating technology Glass &amp; Concrete PH - Oil boiler (Steam - condensing) - new 2</v>
      </c>
      <c r="F260" s="262" t="s">
        <v>450</v>
      </c>
      <c r="G260" s="262" t="s">
        <v>449</v>
      </c>
      <c r="H260" s="261"/>
      <c r="I260" s="261"/>
      <c r="J260" s="264" t="s">
        <v>469</v>
      </c>
    </row>
    <row r="261" spans="1:10">
      <c r="A261" s="214"/>
      <c r="B261" s="212"/>
      <c r="C261" s="212"/>
      <c r="D261" s="212" t="str">
        <f t="shared" ca="1" si="269"/>
        <v>INDGDSHDSLN2</v>
      </c>
      <c r="E261" s="212" t="str">
        <f t="shared" ref="E261:E290" ca="1" si="270">VLOOKUP(D261,$D$9:$E$222,2,FALSE)</f>
        <v>Industrial heating technology Glass &amp; Concrete SH - Oil boiler (Steam - condensing) - new 2</v>
      </c>
      <c r="F261" s="262" t="s">
        <v>450</v>
      </c>
      <c r="G261" s="262" t="s">
        <v>449</v>
      </c>
      <c r="H261" s="261"/>
      <c r="I261" s="261"/>
      <c r="J261" s="264" t="s">
        <v>469</v>
      </c>
    </row>
    <row r="262" spans="1:10">
      <c r="A262" s="214"/>
      <c r="B262" s="212"/>
      <c r="C262" s="212"/>
      <c r="D262" s="212" t="str">
        <f t="shared" ca="1" si="269"/>
        <v>INDGDPHGASN1</v>
      </c>
      <c r="E262" s="212" t="str">
        <f t="shared" ca="1" si="270"/>
        <v>Industrial heating technology Glass &amp; Concrete PH - Gas boiler (Steam) - new 1</v>
      </c>
      <c r="F262" s="262" t="s">
        <v>450</v>
      </c>
      <c r="G262" s="262" t="s">
        <v>449</v>
      </c>
      <c r="H262" s="261"/>
      <c r="I262" s="261"/>
      <c r="J262" s="264" t="s">
        <v>469</v>
      </c>
    </row>
    <row r="263" spans="1:10">
      <c r="A263" s="214"/>
      <c r="B263" s="212"/>
      <c r="C263" s="212"/>
      <c r="D263" s="212" t="str">
        <f t="shared" ca="1" si="269"/>
        <v>INDGDPHGASN1</v>
      </c>
      <c r="E263" s="212" t="str">
        <f t="shared" ca="1" si="270"/>
        <v>Industrial heating technology Glass &amp; Concrete PH - Gas boiler (Steam) - new 1</v>
      </c>
      <c r="F263" s="262" t="s">
        <v>450</v>
      </c>
      <c r="G263" s="262" t="s">
        <v>449</v>
      </c>
      <c r="H263" s="261"/>
      <c r="I263" s="261"/>
      <c r="J263" s="264" t="s">
        <v>469</v>
      </c>
    </row>
    <row r="264" spans="1:10">
      <c r="B264" s="212"/>
      <c r="C264" s="212"/>
      <c r="D264" s="212" t="str">
        <f t="shared" ca="1" si="269"/>
        <v>INDGDSHGASN1</v>
      </c>
      <c r="E264" s="212" t="str">
        <f t="shared" ca="1" si="270"/>
        <v>Industrial heating technology Glass &amp; Concrete SH - Gas boiler (Steam) - new 1</v>
      </c>
      <c r="F264" s="262" t="s">
        <v>450</v>
      </c>
      <c r="G264" s="262" t="s">
        <v>449</v>
      </c>
      <c r="H264" s="261"/>
      <c r="I264" s="261"/>
      <c r="J264" s="264" t="s">
        <v>469</v>
      </c>
    </row>
    <row r="265" spans="1:10">
      <c r="B265" s="212"/>
      <c r="C265" s="212"/>
      <c r="D265" s="212" t="str">
        <f t="shared" ca="1" si="269"/>
        <v>INDGDPHGASN2</v>
      </c>
      <c r="E265" s="212" t="str">
        <f t="shared" ca="1" si="270"/>
        <v>Industrial heating technology Glass &amp; Concrete PH - Gas boiler (Steam - condensing) - new 2</v>
      </c>
      <c r="F265" s="262" t="s">
        <v>450</v>
      </c>
      <c r="G265" s="262" t="s">
        <v>449</v>
      </c>
      <c r="H265" s="261"/>
      <c r="I265" s="261"/>
      <c r="J265" s="264" t="s">
        <v>469</v>
      </c>
    </row>
    <row r="266" spans="1:10">
      <c r="B266" s="212"/>
      <c r="C266" s="212"/>
      <c r="D266" s="212" t="str">
        <f t="shared" ca="1" si="269"/>
        <v>INDGDSHGASN2</v>
      </c>
      <c r="E266" s="212" t="str">
        <f t="shared" ca="1" si="270"/>
        <v>Industrial heating technology Glass &amp; Concrete SH - Gas boiler (Steam - condensing) - new 2</v>
      </c>
      <c r="F266" s="262" t="s">
        <v>450</v>
      </c>
      <c r="G266" s="262" t="s">
        <v>449</v>
      </c>
      <c r="H266" s="261"/>
      <c r="I266" s="261"/>
      <c r="J266" s="264" t="s">
        <v>469</v>
      </c>
    </row>
    <row r="267" spans="1:10">
      <c r="B267" s="212"/>
      <c r="C267" s="212"/>
      <c r="D267" s="212" t="str">
        <f t="shared" ca="1" si="269"/>
        <v>INDGDPHGASN3</v>
      </c>
      <c r="E267" s="212" t="str">
        <f t="shared" ca="1" si="270"/>
        <v>Industrial heating technology Glass &amp; Concrete PH - Gas boiler (Hot Water) - new 3</v>
      </c>
      <c r="F267" s="262" t="s">
        <v>450</v>
      </c>
      <c r="G267" s="262" t="s">
        <v>449</v>
      </c>
      <c r="H267" s="261"/>
      <c r="I267" s="261"/>
      <c r="J267" s="264" t="s">
        <v>469</v>
      </c>
    </row>
    <row r="268" spans="1:10">
      <c r="B268" s="212"/>
      <c r="C268" s="212"/>
      <c r="D268" s="212" t="str">
        <f t="shared" ca="1" si="269"/>
        <v>INDGDSHGASN3</v>
      </c>
      <c r="E268" s="212" t="str">
        <f t="shared" ca="1" si="270"/>
        <v>Industrial heating technology Glass &amp; Concrete SH - Gas boiler (Hot Water) - new 3</v>
      </c>
      <c r="F268" s="262" t="s">
        <v>450</v>
      </c>
      <c r="G268" s="262" t="s">
        <v>449</v>
      </c>
      <c r="H268" s="261"/>
      <c r="I268" s="261"/>
      <c r="J268" s="264" t="s">
        <v>469</v>
      </c>
    </row>
    <row r="269" spans="1:10">
      <c r="B269" s="212"/>
      <c r="C269" s="212"/>
      <c r="D269" s="212" t="str">
        <f t="shared" ca="1" si="269"/>
        <v>INDGDPHGASN4</v>
      </c>
      <c r="E269" s="212" t="str">
        <f t="shared" ca="1" si="270"/>
        <v>Industrial heating technology Glass &amp; Concrete PH - Gas boiler (Hot Water - condensing) - new 4</v>
      </c>
      <c r="F269" s="262" t="s">
        <v>450</v>
      </c>
      <c r="G269" s="262" t="s">
        <v>449</v>
      </c>
      <c r="H269" s="261"/>
      <c r="I269" s="261"/>
      <c r="J269" s="264" t="s">
        <v>469</v>
      </c>
    </row>
    <row r="270" spans="1:10">
      <c r="B270" s="212"/>
      <c r="C270" s="212"/>
      <c r="D270" s="212" t="str">
        <f t="shared" ca="1" si="269"/>
        <v>INDGDSHGASN4</v>
      </c>
      <c r="E270" s="212" t="str">
        <f t="shared" ca="1" si="270"/>
        <v>Industrial heating technology Glass &amp; Concrete SH - Gas boiler (Hot Water- condensing) - new 4</v>
      </c>
      <c r="F270" s="262" t="s">
        <v>450</v>
      </c>
      <c r="G270" s="262" t="s">
        <v>449</v>
      </c>
      <c r="H270" s="261"/>
      <c r="I270" s="261"/>
      <c r="J270" s="264" t="s">
        <v>469</v>
      </c>
    </row>
    <row r="271" spans="1:10">
      <c r="B271" s="212"/>
      <c r="C271" s="212"/>
      <c r="D271" s="212" t="str">
        <f t="shared" ca="1" si="269"/>
        <v>INDGDPHGASN5</v>
      </c>
      <c r="E271" s="212" t="str">
        <f t="shared" ca="1" si="270"/>
        <v>Industrial heating technology Glass &amp; Concrete PH - Gas boiler (Direct firing) - new 5</v>
      </c>
      <c r="F271" s="262" t="s">
        <v>450</v>
      </c>
      <c r="G271" s="262" t="s">
        <v>449</v>
      </c>
      <c r="H271" s="261"/>
      <c r="I271" s="261"/>
      <c r="J271" s="264" t="s">
        <v>469</v>
      </c>
    </row>
    <row r="272" spans="1:10">
      <c r="B272" s="212"/>
      <c r="C272" s="212"/>
      <c r="D272" s="212" t="str">
        <f t="shared" ca="1" si="269"/>
        <v>INDGDPHGASN5</v>
      </c>
      <c r="E272" s="212" t="str">
        <f t="shared" ca="1" si="270"/>
        <v>Industrial heating technology Glass &amp; Concrete PH - Gas boiler (Direct firing) - new 5</v>
      </c>
      <c r="F272" s="262" t="s">
        <v>450</v>
      </c>
      <c r="G272" s="262" t="s">
        <v>449</v>
      </c>
      <c r="H272" s="261"/>
      <c r="I272" s="261"/>
      <c r="J272" s="264" t="s">
        <v>469</v>
      </c>
    </row>
    <row r="273" spans="2:10">
      <c r="B273" s="212"/>
      <c r="C273" s="212"/>
      <c r="D273" s="212" t="str">
        <f t="shared" ca="1" si="269"/>
        <v>INDGDPHCOAN1</v>
      </c>
      <c r="E273" s="212" t="str">
        <f t="shared" ca="1" si="270"/>
        <v>Industrial heating technology Glass &amp; Concrete PH - Coal boiler (Steam) - new 1</v>
      </c>
      <c r="F273" s="262" t="s">
        <v>450</v>
      </c>
      <c r="G273" s="262" t="s">
        <v>449</v>
      </c>
      <c r="H273" s="261"/>
      <c r="I273" s="261"/>
      <c r="J273" s="264" t="s">
        <v>469</v>
      </c>
    </row>
    <row r="274" spans="2:10">
      <c r="B274" s="212"/>
      <c r="C274" s="212"/>
      <c r="D274" s="212" t="str">
        <f t="shared" ca="1" si="269"/>
        <v>INDGDPHCOAN1</v>
      </c>
      <c r="E274" s="212" t="str">
        <f t="shared" ca="1" si="270"/>
        <v>Industrial heating technology Glass &amp; Concrete PH - Coal boiler (Steam) - new 1</v>
      </c>
      <c r="F274" s="262" t="s">
        <v>450</v>
      </c>
      <c r="G274" s="262" t="s">
        <v>449</v>
      </c>
      <c r="H274" s="261"/>
      <c r="I274" s="261"/>
      <c r="J274" s="264" t="s">
        <v>469</v>
      </c>
    </row>
    <row r="275" spans="2:10">
      <c r="B275" s="212"/>
      <c r="C275" s="212"/>
      <c r="D275" s="212" t="str">
        <f t="shared" ca="1" si="269"/>
        <v>INDGDSHCOAN1</v>
      </c>
      <c r="E275" s="212" t="str">
        <f t="shared" ca="1" si="270"/>
        <v>Industrial heating technology Glass &amp; Concrete SH - Coal boiler (Steam) - new 1</v>
      </c>
      <c r="F275" s="262" t="s">
        <v>450</v>
      </c>
      <c r="G275" s="262" t="s">
        <v>449</v>
      </c>
      <c r="H275" s="261"/>
      <c r="I275" s="261"/>
      <c r="J275" s="264" t="s">
        <v>469</v>
      </c>
    </row>
    <row r="276" spans="2:10">
      <c r="B276" s="212"/>
      <c r="C276" s="212"/>
      <c r="D276" s="212" t="str">
        <f t="shared" ca="1" si="269"/>
        <v>INDGDPHCOAN2</v>
      </c>
      <c r="E276" s="212" t="str">
        <f t="shared" ca="1" si="270"/>
        <v>Industrial heating technology Glass &amp; Concrete PH - Coal boiler (Hot Water) - new 2</v>
      </c>
      <c r="F276" s="262" t="s">
        <v>450</v>
      </c>
      <c r="G276" s="262" t="s">
        <v>449</v>
      </c>
      <c r="H276" s="261"/>
      <c r="I276" s="261"/>
      <c r="J276" s="264" t="s">
        <v>469</v>
      </c>
    </row>
    <row r="277" spans="2:10">
      <c r="B277" s="212"/>
      <c r="C277" s="212"/>
      <c r="D277" s="212" t="str">
        <f t="shared" ca="1" si="269"/>
        <v>INDGDSHCOAN2</v>
      </c>
      <c r="E277" s="212" t="str">
        <f t="shared" ca="1" si="270"/>
        <v>Industrial heating technology Glass &amp; Concrete SH - Coal boiler (Hot Water) - new 2</v>
      </c>
      <c r="F277" s="262" t="s">
        <v>450</v>
      </c>
      <c r="G277" s="262" t="s">
        <v>449</v>
      </c>
      <c r="H277" s="261"/>
      <c r="I277" s="261"/>
      <c r="J277" s="264" t="s">
        <v>469</v>
      </c>
    </row>
    <row r="278" spans="2:10">
      <c r="B278" s="212"/>
      <c r="C278" s="212"/>
      <c r="D278" s="212" t="str">
        <f t="shared" ca="1" si="269"/>
        <v>INDGDSHSOLN1</v>
      </c>
      <c r="E278" s="212" t="str">
        <f t="shared" ca="1" si="270"/>
        <v>Industrial heating technology Glass &amp; Concrete SH - Solar - new 1</v>
      </c>
      <c r="F278" s="262" t="s">
        <v>450</v>
      </c>
      <c r="G278" s="262" t="s">
        <v>449</v>
      </c>
      <c r="H278" s="263" t="s">
        <v>620</v>
      </c>
      <c r="I278" s="261"/>
      <c r="J278" s="264" t="s">
        <v>469</v>
      </c>
    </row>
    <row r="279" spans="2:10">
      <c r="B279" s="212"/>
      <c r="C279" s="212"/>
      <c r="D279" s="889" t="str">
        <f>D187</f>
        <v>INDGDSHHCEN1</v>
      </c>
      <c r="E279" s="889" t="str">
        <f t="shared" si="270"/>
        <v>Industrial heating technology Glass &amp; Concrete SH - central district heating - within DH area - new 1</v>
      </c>
      <c r="F279" s="262" t="s">
        <v>450</v>
      </c>
      <c r="G279" s="262" t="s">
        <v>449</v>
      </c>
      <c r="H279" s="890"/>
      <c r="I279" s="890"/>
      <c r="J279" s="263" t="s">
        <v>469</v>
      </c>
    </row>
    <row r="280" spans="2:10">
      <c r="B280" s="212"/>
      <c r="C280" s="212"/>
      <c r="D280" s="889" t="str">
        <f>D188</f>
        <v>INDGDPHHCEN1</v>
      </c>
      <c r="E280" s="889" t="str">
        <f t="shared" si="270"/>
        <v>Industrial heating technology Glass &amp; Concrete PH - central district heating - within DH area - new 1</v>
      </c>
      <c r="F280" s="262" t="s">
        <v>450</v>
      </c>
      <c r="G280" s="262" t="s">
        <v>449</v>
      </c>
      <c r="H280" s="890"/>
      <c r="I280" s="890"/>
      <c r="J280" s="263" t="s">
        <v>469</v>
      </c>
    </row>
    <row r="281" spans="2:10">
      <c r="B281" s="212"/>
      <c r="C281" s="212"/>
      <c r="D281" s="889" t="str">
        <f>D189</f>
        <v>INDGDSHHSEN1</v>
      </c>
      <c r="E281" s="889" t="str">
        <f t="shared" si="270"/>
        <v>Industrial heating technology Glass &amp; Concrete SH - central district heating - within DH area - new 1</v>
      </c>
      <c r="F281" s="262" t="s">
        <v>450</v>
      </c>
      <c r="G281" s="262" t="s">
        <v>449</v>
      </c>
      <c r="H281" s="890"/>
      <c r="I281" s="890"/>
      <c r="J281" s="263" t="s">
        <v>469</v>
      </c>
    </row>
    <row r="282" spans="2:10">
      <c r="B282" s="212"/>
      <c r="C282" s="212"/>
      <c r="D282" s="889" t="str">
        <f>D190</f>
        <v>INDGDPHHSEN1</v>
      </c>
      <c r="E282" s="889" t="str">
        <f t="shared" si="270"/>
        <v>Industrial heating technology Glass &amp; Concrete PH - central district heating - within DH area - new 1</v>
      </c>
      <c r="F282" s="262" t="s">
        <v>450</v>
      </c>
      <c r="G282" s="262" t="s">
        <v>449</v>
      </c>
      <c r="H282" s="890"/>
      <c r="I282" s="890"/>
      <c r="J282" s="263" t="s">
        <v>469</v>
      </c>
    </row>
    <row r="283" spans="2:10">
      <c r="B283" s="212"/>
      <c r="C283" s="212"/>
      <c r="D283" s="212" t="str">
        <f t="shared" ref="D283" si="271">D191</f>
        <v>INDGDSHHDEN1</v>
      </c>
      <c r="E283" s="212" t="str">
        <f t="shared" si="270"/>
        <v>Industrial heating technology Glass &amp; Concrete SH - decentral district heating - within DH area - new 1</v>
      </c>
      <c r="F283" s="262" t="s">
        <v>450</v>
      </c>
      <c r="G283" s="262" t="s">
        <v>449</v>
      </c>
      <c r="H283" s="261"/>
      <c r="I283" s="261"/>
      <c r="J283" s="264" t="s">
        <v>469</v>
      </c>
    </row>
    <row r="284" spans="2:10">
      <c r="B284" s="212"/>
      <c r="C284" s="212"/>
      <c r="D284" s="212" t="str">
        <f>D192</f>
        <v>INDGDPHHDEN1</v>
      </c>
      <c r="E284" s="212" t="str">
        <f t="shared" si="270"/>
        <v>Industrial heating technology Glass &amp; Concrete PH - decentral district heating - within DH area - new 1</v>
      </c>
      <c r="F284" s="262" t="s">
        <v>450</v>
      </c>
      <c r="G284" s="262" t="s">
        <v>449</v>
      </c>
      <c r="H284" s="261"/>
      <c r="I284" s="261"/>
      <c r="J284" s="264" t="s">
        <v>469</v>
      </c>
    </row>
    <row r="285" spans="2:10">
      <c r="B285" s="212"/>
      <c r="C285" s="212"/>
      <c r="D285" s="212" t="str">
        <f>D194</f>
        <v>INDGDLAELCN1</v>
      </c>
      <c r="E285" s="212" t="str">
        <f t="shared" si="270"/>
        <v>Industry Glass &amp; Concrete LA Electricity Light Appliance - New 1</v>
      </c>
      <c r="F285" s="262" t="s">
        <v>450</v>
      </c>
      <c r="G285" s="262" t="s">
        <v>449</v>
      </c>
      <c r="H285" s="261"/>
      <c r="I285" s="261"/>
      <c r="J285" s="264" t="s">
        <v>469</v>
      </c>
    </row>
    <row r="286" spans="2:10">
      <c r="B286" s="212"/>
      <c r="C286" s="212"/>
      <c r="D286" s="212" t="str">
        <f>D198</f>
        <v>INDGDEMELCN1</v>
      </c>
      <c r="E286" s="212" t="str">
        <f t="shared" si="270"/>
        <v>Industry Glass &amp; Concrete EM Electricity Motors - New 1</v>
      </c>
      <c r="F286" s="262" t="s">
        <v>450</v>
      </c>
      <c r="G286" s="262" t="s">
        <v>449</v>
      </c>
      <c r="H286" s="261"/>
      <c r="I286" s="261"/>
      <c r="J286" s="264" t="s">
        <v>469</v>
      </c>
    </row>
    <row r="287" spans="2:10">
      <c r="B287" s="212"/>
      <c r="C287" s="212"/>
      <c r="D287" s="212" t="str">
        <f>D202</f>
        <v>INDGDTFDSLN1</v>
      </c>
      <c r="E287" s="212" t="str">
        <f t="shared" si="270"/>
        <v>Industry Glass &amp; Concrete TF Tractors, Trucks, Fishing boats - New 1</v>
      </c>
      <c r="F287" s="262" t="s">
        <v>450</v>
      </c>
      <c r="G287" s="262" t="s">
        <v>2078</v>
      </c>
      <c r="H287" s="261"/>
      <c r="I287" s="261"/>
      <c r="J287" s="264" t="s">
        <v>469</v>
      </c>
    </row>
    <row r="288" spans="2:10">
      <c r="B288" s="212"/>
      <c r="C288" s="212"/>
      <c r="D288" s="212" t="str">
        <f>D206</f>
        <v>INDGDTFH2GN2</v>
      </c>
      <c r="E288" s="212" t="str">
        <f t="shared" si="270"/>
        <v>Industry Glass &amp; Concrete TF Tractors, Trucks, Fishing boats - New 2</v>
      </c>
      <c r="F288" s="262" t="s">
        <v>450</v>
      </c>
      <c r="G288" s="262" t="s">
        <v>2078</v>
      </c>
      <c r="H288" s="261"/>
      <c r="I288" s="261"/>
      <c r="J288" s="264" t="s">
        <v>469</v>
      </c>
    </row>
    <row r="289" spans="2:10">
      <c r="B289" s="212"/>
      <c r="C289" s="212"/>
      <c r="D289" s="212" t="str">
        <f>D210</f>
        <v>INDGDTFELCN3</v>
      </c>
      <c r="E289" s="212" t="str">
        <f t="shared" si="270"/>
        <v>Industry Glass &amp; Concrete TF Tractors, Trucks, Fishing boats - New 3</v>
      </c>
      <c r="F289" s="262" t="s">
        <v>450</v>
      </c>
      <c r="G289" s="262" t="s">
        <v>2078</v>
      </c>
      <c r="H289" s="261"/>
      <c r="I289" s="261"/>
      <c r="J289" s="264" t="s">
        <v>469</v>
      </c>
    </row>
    <row r="290" spans="2:10">
      <c r="B290" s="212"/>
      <c r="C290" s="212"/>
      <c r="D290" s="212" t="str">
        <f>D214</f>
        <v>INDGDFLELCN1</v>
      </c>
      <c r="E290" s="212" t="str">
        <f t="shared" si="270"/>
        <v>Industry Glass &amp; Concrete TF Forklifts - New 1</v>
      </c>
      <c r="F290" s="262" t="s">
        <v>450</v>
      </c>
      <c r="G290" s="262" t="s">
        <v>449</v>
      </c>
      <c r="H290" s="261"/>
      <c r="I290" s="261"/>
      <c r="J290" s="264" t="s">
        <v>469</v>
      </c>
    </row>
    <row r="291" spans="2:10">
      <c r="B291" s="212"/>
      <c r="C291" s="212"/>
      <c r="D291" s="212" t="str">
        <f>D218</f>
        <v>INDGDCOELCN1</v>
      </c>
      <c r="E291" s="212" t="str">
        <f>E218</f>
        <v>Industry Glass &amp; Concrete CO Cooling - New 1</v>
      </c>
      <c r="F291" s="262" t="s">
        <v>450</v>
      </c>
      <c r="G291" s="262" t="s">
        <v>449</v>
      </c>
      <c r="H291" s="261" t="s">
        <v>620</v>
      </c>
      <c r="I291" s="261"/>
      <c r="J291" s="264"/>
    </row>
    <row r="292" spans="2:10">
      <c r="D292" s="212"/>
      <c r="E292" s="212"/>
    </row>
    <row r="293" spans="2:10">
      <c r="B293" s="213" t="s">
        <v>448</v>
      </c>
      <c r="C293" s="213"/>
      <c r="D293" s="214"/>
      <c r="E293" s="214"/>
      <c r="F293" s="214"/>
      <c r="G293" s="214"/>
      <c r="H293" s="214"/>
      <c r="I293" s="214"/>
      <c r="J293" s="214"/>
    </row>
    <row r="294" spans="2:10">
      <c r="B294" s="209" t="s">
        <v>447</v>
      </c>
      <c r="C294" s="209" t="s">
        <v>446</v>
      </c>
      <c r="D294" s="209" t="s">
        <v>445</v>
      </c>
      <c r="E294" s="209" t="s">
        <v>444</v>
      </c>
      <c r="F294" s="209" t="s">
        <v>435</v>
      </c>
      <c r="G294" s="209" t="s">
        <v>443</v>
      </c>
      <c r="H294" s="209" t="s">
        <v>442</v>
      </c>
      <c r="I294" s="209" t="s">
        <v>441</v>
      </c>
      <c r="J294" s="209" t="s">
        <v>440</v>
      </c>
    </row>
    <row r="295" spans="2:10" ht="25" thickBot="1">
      <c r="B295" s="215" t="s">
        <v>439</v>
      </c>
      <c r="C295" s="216" t="s">
        <v>438</v>
      </c>
      <c r="D295" s="216" t="s">
        <v>437</v>
      </c>
      <c r="E295" s="216" t="s">
        <v>436</v>
      </c>
      <c r="F295" s="216" t="s">
        <v>435</v>
      </c>
      <c r="G295" s="216" t="s">
        <v>434</v>
      </c>
      <c r="H295" s="216" t="s">
        <v>433</v>
      </c>
      <c r="I295" s="216" t="s">
        <v>432</v>
      </c>
      <c r="J295" s="216" t="s">
        <v>431</v>
      </c>
    </row>
    <row r="296" spans="2:10">
      <c r="B296" s="217" t="s">
        <v>430</v>
      </c>
      <c r="C296" s="218"/>
      <c r="D296" s="260" t="str">
        <f>"I"&amp;LEFT($AJ$12,1)&amp;"DSOx"</f>
        <v>IGDSOx</v>
      </c>
      <c r="E296" s="270" t="str">
        <f>"Industrial heating  heating technology "&amp;$AJ$12&amp;" - SOx emission"</f>
        <v>Industrial heating  heating technology Glass &amp; Concrete - SOx emission</v>
      </c>
      <c r="F296" s="219" t="s">
        <v>352</v>
      </c>
      <c r="G296" s="211"/>
      <c r="H296" s="211"/>
      <c r="I296" s="211"/>
      <c r="J296" s="211"/>
    </row>
    <row r="297" spans="2:10">
      <c r="B297" s="214"/>
      <c r="C297" s="214"/>
      <c r="D297" s="260" t="str">
        <f>"I"&amp;LEFT($AJ$12,1)&amp;"DNOx"</f>
        <v>IGDNOx</v>
      </c>
      <c r="E297" s="270" t="str">
        <f>"Industrial heating  heating technology "&amp;$AJ$12&amp;" - NOx emission"</f>
        <v>Industrial heating  heating technology Glass &amp; Concrete - NOx emission</v>
      </c>
      <c r="F297" s="219" t="s">
        <v>352</v>
      </c>
      <c r="G297" s="211"/>
      <c r="H297" s="214"/>
      <c r="I297" s="214"/>
      <c r="J297" s="214"/>
    </row>
    <row r="298" spans="2:10">
      <c r="B298" s="214"/>
      <c r="C298" s="214"/>
      <c r="D298" s="260" t="str">
        <f>"I"&amp;LEFT($AJ$12,1)&amp;"DCH4"</f>
        <v>IGDCH4</v>
      </c>
      <c r="E298" s="270" t="str">
        <f>"Industrial heating  heating technology "&amp;$AJ$12&amp;" - CH4 emission"</f>
        <v>Industrial heating  heating technology Glass &amp; Concrete - CH4 emission</v>
      </c>
      <c r="F298" s="219" t="s">
        <v>352</v>
      </c>
      <c r="G298" s="211"/>
      <c r="H298" s="214"/>
      <c r="I298" s="214"/>
      <c r="J298" s="214"/>
    </row>
    <row r="299" spans="2:10">
      <c r="B299" s="214"/>
      <c r="C299" s="214"/>
      <c r="D299" s="260" t="str">
        <f>"I"&amp;LEFT($AJ$12,1)&amp;"DNO2"</f>
        <v>IGDNO2</v>
      </c>
      <c r="E299" s="270" t="str">
        <f>"Industrial heating  heating technology "&amp;$AJ$12&amp;" - NO2 emission"</f>
        <v>Industrial heating  heating technology Glass &amp; Concrete - NO2 emission</v>
      </c>
      <c r="F299" s="219" t="s">
        <v>352</v>
      </c>
      <c r="G299" s="211"/>
      <c r="H299" s="214"/>
      <c r="I299" s="214"/>
      <c r="J299" s="214"/>
    </row>
    <row r="300" spans="2:10">
      <c r="B300" s="214"/>
      <c r="C300" s="214"/>
      <c r="D300" s="260" t="str">
        <f>"I"&amp;LEFT($AJ$12,1)&amp;"DPM"</f>
        <v>IGDPM</v>
      </c>
      <c r="E300" s="270" t="str">
        <f>"Industrial heating  heating technology "&amp;$AJ$12&amp;" - Particle emission"</f>
        <v>Industrial heating  heating technology Glass &amp; Concrete - Particle emission</v>
      </c>
      <c r="F300" s="219" t="s">
        <v>352</v>
      </c>
      <c r="G300" s="211"/>
      <c r="H300" s="214"/>
      <c r="I300" s="214"/>
      <c r="J300" s="214"/>
    </row>
    <row r="301" spans="2:10">
      <c r="B301" s="224" t="s">
        <v>1057</v>
      </c>
      <c r="D301" s="224" t="str">
        <f>AI20</f>
        <v>INDGWH</v>
      </c>
      <c r="E301" s="270" t="str">
        <f>"Industrial heating technology "&amp;$AJ$12&amp;" - Waste heat"</f>
        <v>Industrial heating technology Glass &amp; Concrete - Waste heat</v>
      </c>
      <c r="F301" s="263" t="s">
        <v>450</v>
      </c>
    </row>
  </sheetData>
  <pageMargins left="0.7" right="0.7" top="0.75" bottom="0.75" header="0.3" footer="0.3"/>
  <pageSetup paperSize="9" orientation="portrait"/>
  <legacyDrawing r:id="rId1"/>
  <extLst>
    <ext xmlns:x14="http://schemas.microsoft.com/office/spreadsheetml/2009/9/main" uri="{CCE6A557-97BC-4b89-ADB6-D9C93CAAB3DF}">
      <x14:dataValidations xmlns:xm="http://schemas.microsoft.com/office/excel/2006/main" count="1">
        <x14:dataValidation type="list" allowBlank="1" showInputMessage="1" showErrorMessage="1" xr:uid="{CF4DF305-EC1D-4DE3-BEC7-234BCFC314DB}">
          <x14:formula1>
            <xm:f>'Oil-fired boiler_NEW'!$T$4:$X$4</xm:f>
          </x14:formula1>
          <xm:sqref>E1</xm:sqref>
        </x14:dataValidation>
      </x14:dataValidation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D072A8-A721-4E40-88EE-BB1F0F28A315}">
  <sheetPr>
    <tabColor rgb="FFFFFF00"/>
  </sheetPr>
  <dimension ref="A2:AR387"/>
  <sheetViews>
    <sheetView zoomScale="70" zoomScaleNormal="70" workbookViewId="0">
      <selection activeCell="B20" sqref="B20"/>
    </sheetView>
  </sheetViews>
  <sheetFormatPr baseColWidth="10" defaultColWidth="8.83203125" defaultRowHeight="15" outlineLevelRow="1"/>
  <cols>
    <col min="1" max="1" width="42.6640625" style="224" bestFit="1" customWidth="1"/>
    <col min="2" max="2" width="63.5" style="224" bestFit="1" customWidth="1"/>
    <col min="3" max="3" width="11.5" style="224" customWidth="1"/>
    <col min="4" max="6" width="11" style="224" bestFit="1" customWidth="1"/>
    <col min="7" max="12" width="11" style="224" customWidth="1"/>
    <col min="13" max="13" width="8.83203125" style="224"/>
    <col min="14" max="14" width="4.5" style="224" customWidth="1"/>
    <col min="15" max="15" width="15.83203125" style="224" customWidth="1"/>
    <col min="16" max="16" width="11" style="224" bestFit="1" customWidth="1"/>
    <col min="17" max="17" width="12" style="224" customWidth="1"/>
    <col min="18" max="18" width="11.33203125" style="224" customWidth="1"/>
    <col min="19" max="20" width="8.83203125" style="224"/>
    <col min="21" max="21" width="15.1640625" style="224" customWidth="1"/>
    <col min="22" max="22" width="10" style="224" customWidth="1"/>
    <col min="23" max="24" width="8.83203125" style="224"/>
    <col min="25" max="25" width="28.1640625" style="224" customWidth="1"/>
    <col min="26" max="16384" width="8.83203125" style="224"/>
  </cols>
  <sheetData>
    <row r="2" spans="1:29">
      <c r="B2" s="638" t="str">
        <f>C7</f>
        <v>Post-combustion carbon capture retrofit - 100 MW(th) WtE or biomass CHP plant</v>
      </c>
    </row>
    <row r="4" spans="1:29" ht="25" customHeight="1">
      <c r="E4" s="224" t="s">
        <v>358</v>
      </c>
      <c r="F4" s="359">
        <v>7.45</v>
      </c>
      <c r="G4" s="359" t="s">
        <v>328</v>
      </c>
      <c r="O4" s="844" t="s">
        <v>445</v>
      </c>
      <c r="P4" s="845" t="s">
        <v>1114</v>
      </c>
      <c r="Q4" s="846" t="s">
        <v>1115</v>
      </c>
      <c r="R4" s="846" t="s">
        <v>1116</v>
      </c>
      <c r="S4" s="846" t="s">
        <v>1117</v>
      </c>
      <c r="T4" s="846" t="s">
        <v>1118</v>
      </c>
      <c r="U4" s="846" t="s">
        <v>1119</v>
      </c>
      <c r="V4" s="846" t="s">
        <v>1120</v>
      </c>
      <c r="W4" s="846" t="s">
        <v>1121</v>
      </c>
      <c r="X4" s="846" t="s">
        <v>1122</v>
      </c>
      <c r="Y4" s="846" t="s">
        <v>1123</v>
      </c>
      <c r="Z4" s="846" t="s">
        <v>1124</v>
      </c>
      <c r="AA4" s="846" t="s">
        <v>1125</v>
      </c>
      <c r="AB4" s="846" t="s">
        <v>1126</v>
      </c>
      <c r="AC4" s="846" t="s">
        <v>1127</v>
      </c>
    </row>
    <row r="5" spans="1:29" ht="15" customHeight="1" thickBot="1">
      <c r="A5" s="360" t="s">
        <v>1017</v>
      </c>
      <c r="B5" s="1207"/>
      <c r="C5" s="1143"/>
      <c r="D5" s="1143"/>
      <c r="E5" s="1143"/>
      <c r="F5" s="1143"/>
      <c r="G5" s="1143"/>
      <c r="H5" s="1143"/>
      <c r="I5" s="1143"/>
      <c r="J5" s="1143"/>
      <c r="K5" s="1143"/>
      <c r="L5" s="1143"/>
      <c r="M5" s="1143"/>
      <c r="N5" s="361"/>
      <c r="O5" s="847" t="s">
        <v>1128</v>
      </c>
      <c r="P5" s="848" t="s">
        <v>1129</v>
      </c>
      <c r="Q5" s="848" t="s">
        <v>1129</v>
      </c>
      <c r="R5" s="848" t="s">
        <v>1129</v>
      </c>
      <c r="S5" s="848" t="s">
        <v>1129</v>
      </c>
      <c r="T5" s="848" t="s">
        <v>1129</v>
      </c>
      <c r="U5" s="848" t="s">
        <v>1129</v>
      </c>
      <c r="V5" s="848" t="s">
        <v>1129</v>
      </c>
      <c r="W5" s="848" t="s">
        <v>1129</v>
      </c>
      <c r="X5" s="848" t="s">
        <v>1129</v>
      </c>
      <c r="Y5" s="848" t="s">
        <v>1129</v>
      </c>
      <c r="Z5" s="848" t="s">
        <v>1129</v>
      </c>
      <c r="AA5" s="848" t="s">
        <v>1129</v>
      </c>
      <c r="AB5" s="848" t="s">
        <v>1129</v>
      </c>
      <c r="AC5" s="848" t="s">
        <v>1129</v>
      </c>
    </row>
    <row r="6" spans="1:29" ht="15.75" customHeight="1" outlineLevel="1">
      <c r="B6" s="1207"/>
      <c r="C6" s="1143"/>
      <c r="D6" s="1143"/>
      <c r="E6" s="1143"/>
      <c r="F6" s="1143"/>
      <c r="G6" s="1143"/>
      <c r="H6" s="1143"/>
      <c r="I6" s="1143"/>
      <c r="J6" s="1143"/>
      <c r="K6" s="1143"/>
      <c r="L6" s="1143"/>
      <c r="M6" s="1143"/>
      <c r="N6" s="361"/>
      <c r="O6" s="849" t="s">
        <v>1130</v>
      </c>
      <c r="P6" s="850">
        <v>94.6</v>
      </c>
      <c r="Q6" s="850">
        <v>79.28</v>
      </c>
      <c r="R6" s="850">
        <v>74</v>
      </c>
      <c r="S6" s="850">
        <v>56.95</v>
      </c>
      <c r="T6" s="850">
        <v>0</v>
      </c>
      <c r="U6" s="850">
        <v>0</v>
      </c>
      <c r="V6" s="850">
        <v>0</v>
      </c>
      <c r="W6" s="850">
        <v>0</v>
      </c>
      <c r="X6" s="850">
        <v>37</v>
      </c>
      <c r="Y6" s="850">
        <v>0</v>
      </c>
      <c r="Z6" s="850">
        <v>0</v>
      </c>
      <c r="AA6" s="850">
        <v>0</v>
      </c>
      <c r="AB6" s="850">
        <v>0</v>
      </c>
      <c r="AC6" s="850">
        <v>0</v>
      </c>
    </row>
    <row r="7" spans="1:29" ht="20.25" customHeight="1" outlineLevel="1">
      <c r="B7" s="733" t="s">
        <v>0</v>
      </c>
      <c r="C7" s="1208" t="s">
        <v>1018</v>
      </c>
      <c r="D7" s="1213"/>
      <c r="E7" s="1213"/>
      <c r="F7" s="1213"/>
      <c r="G7" s="1213"/>
      <c r="H7" s="1213"/>
      <c r="I7" s="1213"/>
      <c r="J7" s="1213"/>
      <c r="K7" s="1213"/>
      <c r="L7" s="1213"/>
      <c r="M7" s="1214"/>
      <c r="N7" s="363"/>
    </row>
    <row r="8" spans="1:29" ht="15" customHeight="1" outlineLevel="1">
      <c r="B8" s="734"/>
      <c r="C8" s="751">
        <v>2020</v>
      </c>
      <c r="D8" s="751">
        <v>2025</v>
      </c>
      <c r="E8" s="752">
        <v>2030</v>
      </c>
      <c r="F8" s="752">
        <v>2040</v>
      </c>
      <c r="G8" s="753">
        <v>2050</v>
      </c>
      <c r="H8" s="1211" t="s">
        <v>1019</v>
      </c>
      <c r="I8" s="1212"/>
      <c r="J8" s="1211" t="s">
        <v>648</v>
      </c>
      <c r="K8" s="1212"/>
      <c r="L8" s="752" t="s">
        <v>2</v>
      </c>
      <c r="M8" s="735" t="s">
        <v>3</v>
      </c>
      <c r="N8" s="367"/>
      <c r="P8" s="224">
        <f>C11*C16</f>
        <v>26.655999999999999</v>
      </c>
    </row>
    <row r="9" spans="1:29" ht="16" outlineLevel="1">
      <c r="B9" s="734"/>
      <c r="C9" s="754"/>
      <c r="D9" s="755"/>
      <c r="E9" s="756"/>
      <c r="F9" s="756"/>
      <c r="G9" s="756"/>
      <c r="H9" s="757" t="s">
        <v>649</v>
      </c>
      <c r="I9" s="757" t="s">
        <v>650</v>
      </c>
      <c r="J9" s="757" t="s">
        <v>649</v>
      </c>
      <c r="K9" s="757" t="s">
        <v>650</v>
      </c>
      <c r="L9" s="756"/>
      <c r="M9" s="736"/>
      <c r="N9" s="370"/>
    </row>
    <row r="10" spans="1:29" outlineLevel="1">
      <c r="B10" s="737" t="s">
        <v>4</v>
      </c>
      <c r="C10" s="756"/>
      <c r="D10" s="756"/>
      <c r="E10" s="756"/>
      <c r="F10" s="756"/>
      <c r="G10" s="756"/>
      <c r="H10" s="756"/>
      <c r="I10" s="756"/>
      <c r="J10" s="756"/>
      <c r="K10" s="756"/>
      <c r="L10" s="756"/>
      <c r="M10" s="736"/>
      <c r="N10" s="370"/>
    </row>
    <row r="11" spans="1:29" ht="24.5" customHeight="1" outlineLevel="1">
      <c r="A11" s="809">
        <f>1/A12</f>
        <v>0.32</v>
      </c>
      <c r="B11" s="738" t="s">
        <v>1020</v>
      </c>
      <c r="C11" s="758">
        <v>32</v>
      </c>
      <c r="D11" s="758">
        <v>32</v>
      </c>
      <c r="E11" s="758">
        <v>32</v>
      </c>
      <c r="F11" s="758">
        <v>34</v>
      </c>
      <c r="G11" s="758">
        <v>34</v>
      </c>
      <c r="H11" s="758">
        <v>30</v>
      </c>
      <c r="I11" s="758">
        <v>34</v>
      </c>
      <c r="J11" s="758">
        <v>33</v>
      </c>
      <c r="K11" s="758">
        <v>35</v>
      </c>
      <c r="L11" s="758" t="s">
        <v>6</v>
      </c>
      <c r="M11" s="739"/>
      <c r="N11" s="370"/>
      <c r="P11" s="224">
        <f>57/P12</f>
        <v>0.17093159999999996</v>
      </c>
    </row>
    <row r="12" spans="1:29" ht="32.5" customHeight="1" outlineLevel="1">
      <c r="A12" s="224">
        <f>100/32</f>
        <v>3.125</v>
      </c>
      <c r="B12" s="740" t="s">
        <v>1021</v>
      </c>
      <c r="C12" s="759"/>
      <c r="D12" s="759"/>
      <c r="E12" s="759"/>
      <c r="F12" s="759"/>
      <c r="G12" s="759"/>
      <c r="H12" s="759"/>
      <c r="I12" s="759"/>
      <c r="J12" s="759"/>
      <c r="K12" s="759"/>
      <c r="L12" s="759"/>
      <c r="M12" s="741"/>
      <c r="N12" s="370"/>
      <c r="O12" s="224" t="s">
        <v>1073</v>
      </c>
      <c r="P12" s="224">
        <f>P13*1/3.6*1000000/1000</f>
        <v>333.46672002134193</v>
      </c>
      <c r="Q12" s="224">
        <f t="shared" ref="Q12:T12" si="0">Q13*1/3.6*1000000/1000</f>
        <v>333.46672002134193</v>
      </c>
      <c r="R12" s="224">
        <f t="shared" si="0"/>
        <v>385.80246913580248</v>
      </c>
      <c r="S12" s="224">
        <f t="shared" si="0"/>
        <v>420.87542087542084</v>
      </c>
      <c r="T12" s="224">
        <f t="shared" si="0"/>
        <v>420.87542087542084</v>
      </c>
    </row>
    <row r="13" spans="1:29" outlineLevel="1">
      <c r="A13" s="224">
        <f>500/164</f>
        <v>3.0487804878048781</v>
      </c>
      <c r="B13" s="738" t="s">
        <v>1022</v>
      </c>
      <c r="C13" s="758">
        <v>5.0999999999999996</v>
      </c>
      <c r="D13" s="758">
        <v>5.0999999999999996</v>
      </c>
      <c r="E13" s="758">
        <v>5.0999999999999996</v>
      </c>
      <c r="F13" s="758">
        <v>4.9000000000000004</v>
      </c>
      <c r="G13" s="758">
        <v>4.9000000000000004</v>
      </c>
      <c r="H13" s="758">
        <v>4.8</v>
      </c>
      <c r="I13" s="758">
        <v>6</v>
      </c>
      <c r="J13" s="758">
        <v>4.7</v>
      </c>
      <c r="K13" s="758">
        <v>6</v>
      </c>
      <c r="L13" s="758"/>
      <c r="M13" s="739"/>
      <c r="N13" s="370"/>
      <c r="O13" s="803"/>
      <c r="P13" s="224">
        <f>1/C16</f>
        <v>1.2004801920768309</v>
      </c>
      <c r="Q13" s="224">
        <f>1/D16</f>
        <v>1.2004801920768309</v>
      </c>
      <c r="R13" s="224">
        <f>1/E16</f>
        <v>1.3888888888888888</v>
      </c>
      <c r="S13" s="224">
        <f>1/F16</f>
        <v>1.5151515151515151</v>
      </c>
      <c r="T13" s="224">
        <f>1/G16</f>
        <v>1.5151515151515151</v>
      </c>
    </row>
    <row r="14" spans="1:29" ht="15" customHeight="1" outlineLevel="1">
      <c r="A14" s="224">
        <f>26.7/32</f>
        <v>0.83437499999999998</v>
      </c>
      <c r="B14" s="742" t="s">
        <v>1023</v>
      </c>
      <c r="C14" s="760">
        <v>15</v>
      </c>
      <c r="D14" s="760">
        <v>15</v>
      </c>
      <c r="E14" s="760">
        <v>15</v>
      </c>
      <c r="F14" s="760">
        <v>15</v>
      </c>
      <c r="G14" s="760">
        <v>15</v>
      </c>
      <c r="H14" s="760">
        <v>12</v>
      </c>
      <c r="I14" s="760">
        <v>15</v>
      </c>
      <c r="J14" s="760">
        <v>12</v>
      </c>
      <c r="K14" s="760">
        <v>15</v>
      </c>
      <c r="L14" s="760"/>
      <c r="M14" s="743"/>
      <c r="N14" s="370"/>
    </row>
    <row r="15" spans="1:29" ht="16" outlineLevel="1">
      <c r="B15" s="742" t="s">
        <v>1024</v>
      </c>
      <c r="C15" s="758">
        <v>35</v>
      </c>
      <c r="D15" s="758">
        <v>35</v>
      </c>
      <c r="E15" s="758">
        <v>35</v>
      </c>
      <c r="F15" s="758">
        <v>35</v>
      </c>
      <c r="G15" s="758">
        <v>35</v>
      </c>
      <c r="H15" s="758">
        <v>30</v>
      </c>
      <c r="I15" s="758">
        <v>40</v>
      </c>
      <c r="J15" s="758">
        <v>30</v>
      </c>
      <c r="K15" s="758">
        <v>40</v>
      </c>
      <c r="L15" s="758" t="s">
        <v>59</v>
      </c>
      <c r="M15" s="739"/>
      <c r="N15" s="367"/>
      <c r="T15" s="224" t="s">
        <v>1090</v>
      </c>
      <c r="U15" s="224" t="s">
        <v>1090</v>
      </c>
      <c r="V15" s="224" t="s">
        <v>1100</v>
      </c>
      <c r="W15" s="711" t="s">
        <v>1101</v>
      </c>
    </row>
    <row r="16" spans="1:29" ht="16" outlineLevel="1">
      <c r="B16" s="804" t="s">
        <v>1025</v>
      </c>
      <c r="C16" s="805">
        <f>0.833</f>
        <v>0.83299999999999996</v>
      </c>
      <c r="D16" s="805">
        <v>0.83299999999999996</v>
      </c>
      <c r="E16" s="805">
        <v>0.72</v>
      </c>
      <c r="F16" s="805">
        <v>0.66</v>
      </c>
      <c r="G16" s="805">
        <v>0.66</v>
      </c>
      <c r="H16" s="806">
        <v>0.66</v>
      </c>
      <c r="I16" s="806">
        <v>1</v>
      </c>
      <c r="J16" s="806">
        <v>0.55000000000000004</v>
      </c>
      <c r="K16" s="806">
        <v>0.72</v>
      </c>
      <c r="L16" s="806" t="s">
        <v>16</v>
      </c>
      <c r="M16" s="745"/>
      <c r="N16" s="363"/>
      <c r="P16" s="224">
        <f>P17/P13</f>
        <v>0.17078165999999997</v>
      </c>
      <c r="T16" s="224" t="s">
        <v>1087</v>
      </c>
      <c r="U16" s="224" t="s">
        <v>1088</v>
      </c>
      <c r="V16" s="224" t="s">
        <v>1089</v>
      </c>
    </row>
    <row r="17" spans="1:36" ht="16" outlineLevel="1">
      <c r="B17" s="807" t="s">
        <v>1026</v>
      </c>
      <c r="C17" s="808">
        <v>0.03</v>
      </c>
      <c r="D17" s="808">
        <v>0.03</v>
      </c>
      <c r="E17" s="808">
        <v>2.5000000000000001E-2</v>
      </c>
      <c r="F17" s="808">
        <v>2.3E-2</v>
      </c>
      <c r="G17" s="808">
        <v>0.02</v>
      </c>
      <c r="H17" s="808">
        <v>2.5000000000000001E-2</v>
      </c>
      <c r="I17" s="808">
        <v>3.5000000000000003E-2</v>
      </c>
      <c r="J17" s="808">
        <v>1.7000000000000001E-2</v>
      </c>
      <c r="K17" s="808">
        <v>2.5000000000000001E-2</v>
      </c>
      <c r="L17" s="808" t="s">
        <v>20</v>
      </c>
      <c r="M17" s="743"/>
      <c r="N17" s="363"/>
      <c r="O17" s="224" t="s">
        <v>1085</v>
      </c>
      <c r="P17" s="224">
        <f>S6/1*3.6/1000000*1000</f>
        <v>0.20502000000000001</v>
      </c>
      <c r="Q17" s="224" t="s">
        <v>1084</v>
      </c>
      <c r="S17" s="224">
        <f>P17/0.9</f>
        <v>0.2278</v>
      </c>
      <c r="T17" s="36">
        <f>S17*C33*7.45</f>
        <v>5.6004629999999995</v>
      </c>
      <c r="U17" s="36">
        <f>S17*C39*7.45</f>
        <v>0.16801389</v>
      </c>
      <c r="V17" s="36">
        <f>S17*C40*7.45/3.6</f>
        <v>1.178548611111111</v>
      </c>
    </row>
    <row r="18" spans="1:36" outlineLevel="1">
      <c r="B18" s="744" t="s">
        <v>1027</v>
      </c>
      <c r="C18" s="761">
        <v>0.3</v>
      </c>
      <c r="D18" s="761">
        <v>0.3</v>
      </c>
      <c r="E18" s="761">
        <v>0.2</v>
      </c>
      <c r="F18" s="761">
        <v>0.15</v>
      </c>
      <c r="G18" s="761">
        <v>0.1</v>
      </c>
      <c r="H18" s="761">
        <v>0.15</v>
      </c>
      <c r="I18" s="761">
        <v>1.5</v>
      </c>
      <c r="J18" s="761">
        <v>0.05</v>
      </c>
      <c r="K18" s="761">
        <v>0.3</v>
      </c>
      <c r="L18" s="761"/>
      <c r="M18" s="745"/>
      <c r="N18" s="363"/>
      <c r="P18" s="224">
        <f>1/P17</f>
        <v>4.8775729197151492</v>
      </c>
      <c r="Q18" s="224" t="s">
        <v>1086</v>
      </c>
      <c r="T18" s="36">
        <f>0.998*6.32</f>
        <v>6.3073600000000001</v>
      </c>
    </row>
    <row r="19" spans="1:36" ht="16" outlineLevel="1" thickBot="1">
      <c r="B19" s="738" t="s">
        <v>1028</v>
      </c>
      <c r="C19" s="762"/>
      <c r="D19" s="758"/>
      <c r="E19" s="758"/>
      <c r="F19" s="758"/>
      <c r="G19" s="758"/>
      <c r="H19" s="758"/>
      <c r="I19" s="758"/>
      <c r="J19" s="758"/>
      <c r="K19" s="758"/>
      <c r="L19" s="758"/>
      <c r="M19" s="739"/>
      <c r="N19" s="363"/>
    </row>
    <row r="20" spans="1:36" outlineLevel="1">
      <c r="B20" s="740" t="s">
        <v>1029</v>
      </c>
      <c r="C20" s="759"/>
      <c r="D20" s="759"/>
      <c r="E20" s="759"/>
      <c r="F20" s="759"/>
      <c r="G20" s="759"/>
      <c r="H20" s="759"/>
      <c r="I20" s="759"/>
      <c r="J20" s="759"/>
      <c r="K20" s="759"/>
      <c r="L20" s="759"/>
      <c r="M20" s="741"/>
      <c r="N20" s="363"/>
      <c r="O20" s="857"/>
      <c r="P20" s="862" t="s">
        <v>1133</v>
      </c>
      <c r="Q20" s="858" t="s">
        <v>1084</v>
      </c>
      <c r="R20" s="858" t="s">
        <v>1134</v>
      </c>
      <c r="S20" s="858" t="s">
        <v>1131</v>
      </c>
      <c r="T20" s="859" t="s">
        <v>1087</v>
      </c>
      <c r="U20" s="858" t="s">
        <v>1088</v>
      </c>
      <c r="V20" s="858" t="s">
        <v>1089</v>
      </c>
      <c r="W20" s="858" t="s">
        <v>1102</v>
      </c>
      <c r="X20" s="858" t="s">
        <v>337</v>
      </c>
      <c r="Y20" s="863" t="s">
        <v>1104</v>
      </c>
      <c r="Z20" s="858"/>
      <c r="AA20" s="858"/>
      <c r="AB20" s="860"/>
      <c r="AC20" s="851"/>
      <c r="AD20" s="851"/>
      <c r="AE20" s="851"/>
      <c r="AF20" s="851"/>
      <c r="AG20" s="851"/>
      <c r="AH20" s="851"/>
      <c r="AI20" s="851"/>
      <c r="AJ20" s="852"/>
    </row>
    <row r="21" spans="1:36" ht="16" outlineLevel="1">
      <c r="B21" s="746" t="s">
        <v>1030</v>
      </c>
      <c r="C21" s="758">
        <v>97</v>
      </c>
      <c r="D21" s="758">
        <v>97</v>
      </c>
      <c r="E21" s="758">
        <v>98</v>
      </c>
      <c r="F21" s="758">
        <v>99</v>
      </c>
      <c r="G21" s="758">
        <v>99</v>
      </c>
      <c r="H21" s="758">
        <v>96</v>
      </c>
      <c r="I21" s="758">
        <v>98</v>
      </c>
      <c r="J21" s="758">
        <v>98</v>
      </c>
      <c r="K21" s="758">
        <v>99</v>
      </c>
      <c r="L21" s="758" t="s">
        <v>76</v>
      </c>
      <c r="M21" s="739"/>
      <c r="N21" s="363"/>
      <c r="O21" s="853"/>
      <c r="P21" s="271"/>
      <c r="Q21" s="203"/>
      <c r="R21" s="203"/>
      <c r="S21" s="203"/>
      <c r="T21" s="203" t="s">
        <v>1090</v>
      </c>
      <c r="U21" s="203" t="s">
        <v>1090</v>
      </c>
      <c r="V21" s="203" t="s">
        <v>1100</v>
      </c>
      <c r="W21" s="203" t="s">
        <v>1132</v>
      </c>
      <c r="X21" s="203"/>
      <c r="Y21" s="356" t="s">
        <v>1105</v>
      </c>
      <c r="Z21" s="55"/>
      <c r="AA21" s="55"/>
      <c r="AB21" s="854"/>
      <c r="AC21" s="55"/>
      <c r="AD21" s="55"/>
      <c r="AE21" s="55"/>
      <c r="AF21" s="55"/>
      <c r="AG21" s="55"/>
      <c r="AH21" s="55"/>
      <c r="AI21" s="55"/>
      <c r="AJ21" s="854"/>
    </row>
    <row r="22" spans="1:36" ht="16" outlineLevel="1">
      <c r="B22" s="746" t="s">
        <v>1031</v>
      </c>
      <c r="C22" s="758">
        <v>160</v>
      </c>
      <c r="D22" s="758">
        <v>160</v>
      </c>
      <c r="E22" s="758">
        <v>300</v>
      </c>
      <c r="F22" s="758">
        <v>400</v>
      </c>
      <c r="G22" s="758">
        <v>400</v>
      </c>
      <c r="H22" s="758">
        <v>120</v>
      </c>
      <c r="I22" s="758">
        <v>300</v>
      </c>
      <c r="J22" s="758">
        <v>300</v>
      </c>
      <c r="K22" s="758">
        <v>600</v>
      </c>
      <c r="L22" s="758" t="s">
        <v>25</v>
      </c>
      <c r="M22" s="739"/>
      <c r="N22" s="420"/>
      <c r="O22" s="861" t="s">
        <v>1085</v>
      </c>
      <c r="P22" s="864">
        <v>2020</v>
      </c>
      <c r="Q22" s="883">
        <f>$S$6/1*3.6/1000000*1000</f>
        <v>0.20502000000000001</v>
      </c>
      <c r="R22" s="865">
        <f>C23/100</f>
        <v>0.9</v>
      </c>
      <c r="S22" s="883">
        <f>Q22/R22</f>
        <v>0.2278</v>
      </c>
      <c r="T22" s="883">
        <f>S22*C33*F4</f>
        <v>5.6004629999999995</v>
      </c>
      <c r="U22" s="883">
        <f>S22*C39*$F$4</f>
        <v>0.16801389</v>
      </c>
      <c r="V22" s="883">
        <f>S22*C40*$F$4/3.6</f>
        <v>1.178548611111111</v>
      </c>
      <c r="W22" s="883">
        <f>C17/S22</f>
        <v>0.13169446883230904</v>
      </c>
      <c r="X22" s="865">
        <f>VLOOKUP($P22,'Natural gas boiler_New'!$P$39:$AD$42,3,FALSE)</f>
        <v>0.92</v>
      </c>
      <c r="Y22" s="886">
        <f>$S$6/R22/X22</f>
        <v>68.780193236714979</v>
      </c>
      <c r="Z22" s="55"/>
      <c r="AA22" s="55"/>
      <c r="AB22" s="854"/>
      <c r="AC22" s="55"/>
      <c r="AD22" s="55"/>
      <c r="AE22" s="55"/>
      <c r="AF22" s="55"/>
      <c r="AG22" s="55"/>
      <c r="AH22" s="55"/>
      <c r="AI22" s="55"/>
      <c r="AJ22" s="854"/>
    </row>
    <row r="23" spans="1:36" ht="38.25" customHeight="1" outlineLevel="1">
      <c r="B23" s="738" t="s">
        <v>1032</v>
      </c>
      <c r="C23" s="758">
        <v>90</v>
      </c>
      <c r="D23" s="758">
        <v>90</v>
      </c>
      <c r="E23" s="758">
        <v>90</v>
      </c>
      <c r="F23" s="758">
        <v>95</v>
      </c>
      <c r="G23" s="758">
        <v>95</v>
      </c>
      <c r="H23" s="758">
        <v>85</v>
      </c>
      <c r="I23" s="758">
        <v>95</v>
      </c>
      <c r="J23" s="758">
        <v>92</v>
      </c>
      <c r="K23" s="758">
        <v>99</v>
      </c>
      <c r="L23" s="758" t="s">
        <v>33</v>
      </c>
      <c r="M23" s="739"/>
      <c r="N23" s="428"/>
      <c r="O23" s="853"/>
      <c r="P23" s="866">
        <v>2030</v>
      </c>
      <c r="Q23" s="884">
        <f t="shared" ref="Q23:Q24" si="1">$S$6/1*3.6/1000000*1000</f>
        <v>0.20502000000000001</v>
      </c>
      <c r="R23" s="867">
        <f>E23/100</f>
        <v>0.9</v>
      </c>
      <c r="S23" s="884">
        <f t="shared" ref="S23:S24" si="2">Q23/R23</f>
        <v>0.2278</v>
      </c>
      <c r="T23" s="884">
        <f>S23*E33*F4</f>
        <v>4.5821970000000007</v>
      </c>
      <c r="U23" s="884">
        <f>S23*E39*$F$4</f>
        <v>0.13746591</v>
      </c>
      <c r="V23" s="884">
        <f>S23*E40*$F$4/3.6</f>
        <v>1.178548611111111</v>
      </c>
      <c r="W23" s="884">
        <f>E17/S23</f>
        <v>0.10974539069359088</v>
      </c>
      <c r="X23" s="867">
        <f>VLOOKUP($P23,'Natural gas boiler_New'!$P$39:$AD$42,3,FALSE)</f>
        <v>0.93</v>
      </c>
      <c r="Y23" s="887">
        <f t="shared" ref="Y23:Y24" si="3">$S$6/R23/X23</f>
        <v>68.040621266427721</v>
      </c>
      <c r="Z23" s="55"/>
      <c r="AA23" s="55"/>
      <c r="AB23" s="854"/>
      <c r="AC23" s="55"/>
      <c r="AD23" s="55"/>
      <c r="AE23" s="55"/>
      <c r="AF23" s="55"/>
      <c r="AG23" s="55"/>
      <c r="AH23" s="55"/>
      <c r="AI23" s="55"/>
      <c r="AJ23" s="854"/>
    </row>
    <row r="24" spans="1:36" ht="16" outlineLevel="1" thickBot="1">
      <c r="B24" s="738" t="s">
        <v>1033</v>
      </c>
      <c r="C24" s="758">
        <v>0.83299999999999996</v>
      </c>
      <c r="D24" s="758">
        <v>0.83299999999999996</v>
      </c>
      <c r="E24" s="758">
        <v>0.72</v>
      </c>
      <c r="F24" s="758">
        <v>0.66</v>
      </c>
      <c r="G24" s="758">
        <v>0.66</v>
      </c>
      <c r="H24" s="761">
        <v>0.66</v>
      </c>
      <c r="I24" s="761">
        <v>1</v>
      </c>
      <c r="J24" s="761">
        <v>0.55000000000000004</v>
      </c>
      <c r="K24" s="761">
        <v>0.72</v>
      </c>
      <c r="L24" s="758"/>
      <c r="M24" s="739"/>
      <c r="N24" s="428"/>
      <c r="O24" s="855"/>
      <c r="P24" s="868">
        <v>2050</v>
      </c>
      <c r="Q24" s="885">
        <f t="shared" si="1"/>
        <v>0.20502000000000001</v>
      </c>
      <c r="R24" s="869">
        <f>G23/100</f>
        <v>0.95</v>
      </c>
      <c r="S24" s="885">
        <f t="shared" si="2"/>
        <v>0.21581052631578948</v>
      </c>
      <c r="T24" s="885">
        <f>S24*G33*F4</f>
        <v>3.2155768421052633</v>
      </c>
      <c r="U24" s="885">
        <f>S24*G39*$F$4</f>
        <v>9.6467305263157888E-2</v>
      </c>
      <c r="V24" s="885">
        <f>S24*G40*$F$4/3.6</f>
        <v>1.1165197368421054</v>
      </c>
      <c r="W24" s="885">
        <f>G17/S24</f>
        <v>9.2673885474587839E-2</v>
      </c>
      <c r="X24" s="869">
        <f>VLOOKUP($P24,'Natural gas boiler_New'!$P$39:$AD$42,3,FALSE)</f>
        <v>0.94</v>
      </c>
      <c r="Y24" s="888">
        <f t="shared" si="3"/>
        <v>63.77379619260919</v>
      </c>
      <c r="Z24" s="787"/>
      <c r="AA24" s="787"/>
      <c r="AB24" s="856"/>
      <c r="AC24" s="55"/>
      <c r="AD24" s="55"/>
      <c r="AE24" s="55"/>
      <c r="AF24" s="55"/>
      <c r="AG24" s="55"/>
      <c r="AH24" s="55"/>
      <c r="AI24" s="55"/>
      <c r="AJ24" s="854"/>
    </row>
    <row r="25" spans="1:36" ht="16" outlineLevel="1">
      <c r="B25" s="742" t="s">
        <v>1034</v>
      </c>
      <c r="C25" s="758">
        <v>60</v>
      </c>
      <c r="D25" s="758">
        <v>60</v>
      </c>
      <c r="E25" s="758">
        <v>60</v>
      </c>
      <c r="F25" s="758">
        <v>70</v>
      </c>
      <c r="G25" s="758">
        <v>70</v>
      </c>
      <c r="H25" s="758">
        <v>50</v>
      </c>
      <c r="I25" s="758">
        <v>80</v>
      </c>
      <c r="J25" s="758">
        <v>50</v>
      </c>
      <c r="K25" s="758">
        <v>120</v>
      </c>
      <c r="L25" s="758" t="s">
        <v>51</v>
      </c>
      <c r="M25" s="739"/>
      <c r="N25" s="428"/>
      <c r="O25" s="879" t="s">
        <v>1135</v>
      </c>
      <c r="P25" s="55"/>
      <c r="Q25" s="55"/>
      <c r="R25" s="55"/>
      <c r="S25" s="55"/>
      <c r="T25" s="55"/>
      <c r="U25" s="55"/>
      <c r="V25" s="55"/>
      <c r="W25" s="55"/>
      <c r="X25" s="55"/>
      <c r="Y25" s="55"/>
      <c r="Z25" s="55"/>
      <c r="AA25" s="55"/>
      <c r="AB25" s="55"/>
      <c r="AC25" s="55"/>
      <c r="AD25" s="55"/>
      <c r="AE25" s="55"/>
      <c r="AF25" s="55"/>
      <c r="AG25" s="55"/>
      <c r="AH25" s="55"/>
      <c r="AI25" s="55"/>
      <c r="AJ25" s="854"/>
    </row>
    <row r="26" spans="1:36" ht="30" outlineLevel="1">
      <c r="B26" s="747" t="s">
        <v>1035</v>
      </c>
      <c r="C26" s="761"/>
      <c r="D26" s="761"/>
      <c r="E26" s="761"/>
      <c r="F26" s="761"/>
      <c r="G26" s="761"/>
      <c r="H26" s="761"/>
      <c r="I26" s="761"/>
      <c r="J26" s="761"/>
      <c r="K26" s="761"/>
      <c r="L26" s="761"/>
      <c r="M26" s="745"/>
      <c r="N26" s="428"/>
      <c r="O26" s="853"/>
      <c r="P26" s="55"/>
      <c r="Q26" s="55"/>
      <c r="R26" s="880" t="s">
        <v>427</v>
      </c>
      <c r="S26" s="880" t="s">
        <v>1106</v>
      </c>
      <c r="T26" s="880" t="s">
        <v>428</v>
      </c>
      <c r="U26" s="771" t="s">
        <v>1049</v>
      </c>
      <c r="V26" s="880" t="s">
        <v>335</v>
      </c>
      <c r="W26" s="880" t="s">
        <v>336</v>
      </c>
      <c r="X26" s="881" t="s">
        <v>1102</v>
      </c>
      <c r="Y26" s="769" t="s">
        <v>337</v>
      </c>
      <c r="Z26" s="769" t="s">
        <v>1052</v>
      </c>
      <c r="AA26" s="769" t="s">
        <v>339</v>
      </c>
      <c r="AB26" s="882" t="s">
        <v>340</v>
      </c>
      <c r="AC26" s="47" t="s">
        <v>341</v>
      </c>
      <c r="AD26" s="49" t="s">
        <v>342</v>
      </c>
      <c r="AE26" s="49" t="s">
        <v>343</v>
      </c>
      <c r="AF26" s="769" t="s">
        <v>344</v>
      </c>
      <c r="AG26" s="769" t="s">
        <v>1104</v>
      </c>
      <c r="AH26" s="770" t="s">
        <v>997</v>
      </c>
      <c r="AI26" s="769" t="s">
        <v>1050</v>
      </c>
      <c r="AJ26" s="871" t="s">
        <v>1051</v>
      </c>
    </row>
    <row r="27" spans="1:36" ht="65" outlineLevel="1" thickBot="1">
      <c r="B27" s="740" t="s">
        <v>1036</v>
      </c>
      <c r="C27" s="761"/>
      <c r="D27" s="761"/>
      <c r="E27" s="761"/>
      <c r="F27" s="761"/>
      <c r="G27" s="761"/>
      <c r="H27" s="761"/>
      <c r="I27" s="761"/>
      <c r="J27" s="761"/>
      <c r="K27" s="761"/>
      <c r="L27" s="761"/>
      <c r="M27" s="745"/>
      <c r="N27" s="428"/>
      <c r="O27" s="853"/>
      <c r="P27" s="55"/>
      <c r="Q27" s="55"/>
      <c r="R27" s="834" t="s">
        <v>1107</v>
      </c>
      <c r="S27" s="834" t="s">
        <v>1108</v>
      </c>
      <c r="T27" s="834" t="s">
        <v>1109</v>
      </c>
      <c r="U27" s="835" t="s">
        <v>1110</v>
      </c>
      <c r="V27" s="50"/>
      <c r="W27" s="50"/>
      <c r="X27" s="833" t="s">
        <v>1103</v>
      </c>
      <c r="Y27" s="51"/>
      <c r="Z27" s="51"/>
      <c r="AA27" s="51"/>
      <c r="AB27" s="52"/>
      <c r="AC27" s="50"/>
      <c r="AD27" s="50"/>
      <c r="AE27" s="50"/>
      <c r="AF27" s="50"/>
      <c r="AG27" s="833" t="s">
        <v>1105</v>
      </c>
      <c r="AH27" s="50"/>
      <c r="AI27" s="50"/>
      <c r="AJ27" s="872"/>
    </row>
    <row r="28" spans="1:36" outlineLevel="1">
      <c r="B28" s="738" t="s">
        <v>657</v>
      </c>
      <c r="C28" s="758">
        <v>5</v>
      </c>
      <c r="D28" s="758">
        <v>5</v>
      </c>
      <c r="E28" s="758">
        <v>3</v>
      </c>
      <c r="F28" s="758">
        <v>3</v>
      </c>
      <c r="G28" s="758">
        <v>3</v>
      </c>
      <c r="H28" s="758">
        <v>3</v>
      </c>
      <c r="I28" s="758">
        <v>3</v>
      </c>
      <c r="J28" s="758">
        <v>3</v>
      </c>
      <c r="K28" s="758">
        <v>3</v>
      </c>
      <c r="L28" s="758"/>
      <c r="M28" s="739"/>
      <c r="N28" s="428"/>
      <c r="O28" s="853"/>
      <c r="P28" s="55"/>
      <c r="Q28" s="55"/>
      <c r="R28" s="55" t="s">
        <v>1111</v>
      </c>
      <c r="S28" s="55"/>
      <c r="T28" s="55" t="s">
        <v>1113</v>
      </c>
      <c r="U28" s="55" t="s">
        <v>1058</v>
      </c>
      <c r="V28" s="466">
        <v>2020</v>
      </c>
      <c r="W28" s="870">
        <v>2020</v>
      </c>
      <c r="X28" s="867"/>
      <c r="Y28" s="870">
        <f>VLOOKUP($V28,'Natural gas boiler_New'!$P$39:$AD$42,3,FALSE)</f>
        <v>0.92</v>
      </c>
      <c r="Z28" s="867"/>
      <c r="AA28" s="870">
        <v>25</v>
      </c>
      <c r="AB28" s="58">
        <f>VLOOKUP($V28,$P$22:$Y$24,5,FALSE)</f>
        <v>5.6004629999999995</v>
      </c>
      <c r="AC28" s="58">
        <f>VLOOKUP($V28,$P$22:$Y$24,6,FALSE)</f>
        <v>0.16801389</v>
      </c>
      <c r="AD28" s="58">
        <f>VLOOKUP($V28,$P$22:$Y$24,7,FALSE)</f>
        <v>1.178548611111111</v>
      </c>
      <c r="AE28" s="58"/>
      <c r="AF28" s="58"/>
      <c r="AG28" s="867"/>
      <c r="AH28" s="867"/>
      <c r="AI28" s="867"/>
      <c r="AJ28" s="873"/>
    </row>
    <row r="29" spans="1:36" ht="52" customHeight="1" outlineLevel="1">
      <c r="A29" s="435"/>
      <c r="B29" s="738" t="s">
        <v>658</v>
      </c>
      <c r="C29" s="758">
        <v>3</v>
      </c>
      <c r="D29" s="758">
        <v>3</v>
      </c>
      <c r="E29" s="758">
        <v>3</v>
      </c>
      <c r="F29" s="758">
        <v>2</v>
      </c>
      <c r="G29" s="758">
        <v>2</v>
      </c>
      <c r="H29" s="758">
        <v>2</v>
      </c>
      <c r="I29" s="758">
        <v>4</v>
      </c>
      <c r="J29" s="758">
        <v>2</v>
      </c>
      <c r="K29" s="758">
        <v>3</v>
      </c>
      <c r="L29" s="758"/>
      <c r="M29" s="739"/>
      <c r="N29" s="420"/>
      <c r="O29" s="853"/>
      <c r="P29" s="55"/>
      <c r="Q29" s="55"/>
      <c r="R29" s="55"/>
      <c r="S29" s="55" t="s">
        <v>499</v>
      </c>
      <c r="T29" s="55"/>
      <c r="U29" s="55" t="s">
        <v>1058</v>
      </c>
      <c r="V29" s="466">
        <v>2020</v>
      </c>
      <c r="W29" s="867"/>
      <c r="X29" s="82">
        <f>VLOOKUP($V29,$P$22:$Y$24,8,FALSE)</f>
        <v>0.13169446883230904</v>
      </c>
      <c r="Y29" s="874"/>
      <c r="Z29" s="867"/>
      <c r="AA29" s="867"/>
      <c r="AB29" s="867"/>
      <c r="AC29" s="867"/>
      <c r="AD29" s="867"/>
      <c r="AE29" s="867"/>
      <c r="AF29" s="867"/>
      <c r="AG29" s="867"/>
      <c r="AH29" s="867"/>
      <c r="AI29" s="867"/>
      <c r="AJ29" s="873"/>
    </row>
    <row r="30" spans="1:36" outlineLevel="1">
      <c r="B30" s="738" t="s">
        <v>11</v>
      </c>
      <c r="C30" s="758">
        <v>25</v>
      </c>
      <c r="D30" s="758">
        <v>25</v>
      </c>
      <c r="E30" s="758">
        <v>25</v>
      </c>
      <c r="F30" s="758">
        <v>25</v>
      </c>
      <c r="G30" s="758">
        <v>25</v>
      </c>
      <c r="H30" s="758">
        <v>25</v>
      </c>
      <c r="I30" s="758">
        <v>25</v>
      </c>
      <c r="J30" s="758">
        <v>25</v>
      </c>
      <c r="K30" s="758">
        <v>25</v>
      </c>
      <c r="L30" s="758"/>
      <c r="M30" s="739"/>
      <c r="N30" s="420"/>
      <c r="O30" s="853"/>
      <c r="P30" s="55"/>
      <c r="Q30" s="55"/>
      <c r="R30" s="55"/>
      <c r="S30" s="55"/>
      <c r="T30" s="55"/>
      <c r="U30" s="55" t="s">
        <v>1112</v>
      </c>
      <c r="V30" s="466">
        <v>2020</v>
      </c>
      <c r="W30" s="867"/>
      <c r="X30" s="198"/>
      <c r="Y30" s="874"/>
      <c r="Z30" s="867"/>
      <c r="AA30" s="867"/>
      <c r="AB30" s="867"/>
      <c r="AC30" s="867"/>
      <c r="AD30" s="867"/>
      <c r="AE30" s="867"/>
      <c r="AF30" s="867"/>
      <c r="AG30" s="58">
        <f>VLOOKUP($V30,$P$22:$Y$24,10,FALSE)</f>
        <v>68.780193236714979</v>
      </c>
      <c r="AH30" s="867"/>
      <c r="AI30" s="867"/>
      <c r="AJ30" s="873"/>
    </row>
    <row r="31" spans="1:36" outlineLevel="1">
      <c r="B31" s="738" t="s">
        <v>273</v>
      </c>
      <c r="C31" s="758">
        <v>2.5</v>
      </c>
      <c r="D31" s="758">
        <v>2.5</v>
      </c>
      <c r="E31" s="758">
        <v>2.5</v>
      </c>
      <c r="F31" s="758">
        <v>2</v>
      </c>
      <c r="G31" s="758">
        <v>2</v>
      </c>
      <c r="H31" s="758">
        <v>2</v>
      </c>
      <c r="I31" s="758">
        <v>4</v>
      </c>
      <c r="J31" s="758">
        <v>2</v>
      </c>
      <c r="K31" s="758">
        <v>3</v>
      </c>
      <c r="L31" s="758"/>
      <c r="M31" s="739"/>
      <c r="N31" s="420"/>
      <c r="O31" s="853"/>
      <c r="P31" s="55"/>
      <c r="Q31" s="55"/>
      <c r="R31" s="55"/>
      <c r="S31" s="55"/>
      <c r="T31" s="55"/>
      <c r="U31" s="55" t="s">
        <v>1058</v>
      </c>
      <c r="V31" s="466">
        <v>2030</v>
      </c>
      <c r="W31" s="867"/>
      <c r="X31" s="198"/>
      <c r="Y31" s="58">
        <f>VLOOKUP($V31,'Natural gas boiler_New'!$P$39:$AD$42,3,FALSE)</f>
        <v>0.93</v>
      </c>
      <c r="Z31" s="867"/>
      <c r="AA31" s="58">
        <v>25</v>
      </c>
      <c r="AB31" s="58">
        <f>VLOOKUP($V31,$P$22:$Y$24,5,FALSE)</f>
        <v>4.5821970000000007</v>
      </c>
      <c r="AC31" s="58">
        <f>VLOOKUP($V31,$P$22:$Y$24,6,FALSE)</f>
        <v>0.13746591</v>
      </c>
      <c r="AD31" s="58">
        <f>VLOOKUP($V31,$P$22:$Y$24,7,FALSE)</f>
        <v>1.178548611111111</v>
      </c>
      <c r="AE31" s="867"/>
      <c r="AF31" s="867"/>
      <c r="AG31" s="867"/>
      <c r="AH31" s="867"/>
      <c r="AI31" s="867"/>
      <c r="AJ31" s="873"/>
    </row>
    <row r="32" spans="1:36" outlineLevel="1">
      <c r="B32" s="748" t="s">
        <v>674</v>
      </c>
      <c r="C32" s="763"/>
      <c r="D32" s="763"/>
      <c r="E32" s="763"/>
      <c r="F32" s="763"/>
      <c r="G32" s="763"/>
      <c r="H32" s="763"/>
      <c r="I32" s="763"/>
      <c r="J32" s="763"/>
      <c r="K32" s="763"/>
      <c r="L32" s="763"/>
      <c r="M32" s="748"/>
      <c r="N32" s="420"/>
      <c r="O32" s="853"/>
      <c r="P32" s="55"/>
      <c r="Q32" s="55"/>
      <c r="R32" s="55"/>
      <c r="S32" s="55" t="s">
        <v>499</v>
      </c>
      <c r="T32" s="55"/>
      <c r="U32" s="55" t="s">
        <v>1058</v>
      </c>
      <c r="V32" s="466">
        <v>2030</v>
      </c>
      <c r="W32" s="867"/>
      <c r="X32" s="82">
        <f>VLOOKUP($V32,$P$22:$Y$24,8,FALSE)</f>
        <v>0.10974539069359088</v>
      </c>
      <c r="Y32" s="874"/>
      <c r="Z32" s="867"/>
      <c r="AA32" s="867"/>
      <c r="AB32" s="867"/>
      <c r="AC32" s="867"/>
      <c r="AD32" s="867"/>
      <c r="AE32" s="867"/>
      <c r="AF32" s="867"/>
      <c r="AG32" s="867"/>
      <c r="AH32" s="867"/>
      <c r="AI32" s="867"/>
      <c r="AJ32" s="873"/>
    </row>
    <row r="33" spans="2:36" ht="37" customHeight="1" outlineLevel="1">
      <c r="B33" s="836" t="s">
        <v>1037</v>
      </c>
      <c r="C33" s="837">
        <v>3.3</v>
      </c>
      <c r="D33" s="837">
        <v>3</v>
      </c>
      <c r="E33" s="837">
        <v>2.7</v>
      </c>
      <c r="F33" s="837">
        <v>2.4</v>
      </c>
      <c r="G33" s="837">
        <v>2</v>
      </c>
      <c r="H33" s="837">
        <v>2.5</v>
      </c>
      <c r="I33" s="837">
        <v>5</v>
      </c>
      <c r="J33" s="837">
        <v>1.6</v>
      </c>
      <c r="K33" s="837">
        <v>2.8</v>
      </c>
      <c r="L33" s="837" t="s">
        <v>52</v>
      </c>
      <c r="M33" s="838"/>
      <c r="N33" s="361"/>
      <c r="O33" s="853"/>
      <c r="P33" s="55"/>
      <c r="Q33" s="55"/>
      <c r="R33" s="55"/>
      <c r="S33" s="55"/>
      <c r="T33" s="55"/>
      <c r="U33" s="55" t="s">
        <v>1058</v>
      </c>
      <c r="V33" s="466">
        <v>2050</v>
      </c>
      <c r="W33" s="867"/>
      <c r="X33" s="198"/>
      <c r="Y33" s="58">
        <f>VLOOKUP($V33,'Natural gas boiler_New'!$P$39:$AD$42,3,FALSE)</f>
        <v>0.94</v>
      </c>
      <c r="Z33" s="867"/>
      <c r="AA33" s="58">
        <v>25</v>
      </c>
      <c r="AB33" s="58">
        <f>VLOOKUP($V33,$P$22:$Y$24,5,FALSE)</f>
        <v>3.2155768421052633</v>
      </c>
      <c r="AC33" s="58">
        <f>VLOOKUP($V33,$P$22:$Y$24,6,FALSE)</f>
        <v>9.6467305263157888E-2</v>
      </c>
      <c r="AD33" s="58">
        <f>VLOOKUP($V33,$P$22:$Y$24,7,FALSE)</f>
        <v>1.1165197368421054</v>
      </c>
      <c r="AE33" s="867"/>
      <c r="AF33" s="867"/>
      <c r="AG33" s="867"/>
      <c r="AH33" s="867"/>
      <c r="AI33" s="867"/>
      <c r="AJ33" s="873"/>
    </row>
    <row r="34" spans="2:36" ht="15.75" customHeight="1" outlineLevel="1" thickBot="1">
      <c r="B34" s="742" t="s">
        <v>1038</v>
      </c>
      <c r="C34" s="758">
        <v>50</v>
      </c>
      <c r="D34" s="758">
        <v>50</v>
      </c>
      <c r="E34" s="758">
        <v>50</v>
      </c>
      <c r="F34" s="758">
        <v>50</v>
      </c>
      <c r="G34" s="758">
        <v>50</v>
      </c>
      <c r="H34" s="758"/>
      <c r="I34" s="758"/>
      <c r="J34" s="758"/>
      <c r="K34" s="765"/>
      <c r="L34" s="758" t="s">
        <v>55</v>
      </c>
      <c r="M34" s="739"/>
      <c r="N34" s="361"/>
      <c r="O34" s="855"/>
      <c r="P34" s="787"/>
      <c r="Q34" s="787"/>
      <c r="R34" s="787"/>
      <c r="S34" s="787" t="s">
        <v>499</v>
      </c>
      <c r="T34" s="787"/>
      <c r="U34" s="787" t="s">
        <v>1058</v>
      </c>
      <c r="V34" s="875">
        <v>2050</v>
      </c>
      <c r="W34" s="869"/>
      <c r="X34" s="876">
        <f>VLOOKUP($V34,$P$22:$Y$24,8,FALSE)</f>
        <v>9.2673885474587839E-2</v>
      </c>
      <c r="Y34" s="877"/>
      <c r="Z34" s="869"/>
      <c r="AA34" s="869"/>
      <c r="AB34" s="869"/>
      <c r="AC34" s="869"/>
      <c r="AD34" s="869"/>
      <c r="AE34" s="869"/>
      <c r="AF34" s="869"/>
      <c r="AG34" s="869"/>
      <c r="AH34" s="869"/>
      <c r="AI34" s="869"/>
      <c r="AJ34" s="878"/>
    </row>
    <row r="35" spans="2:36" ht="17" outlineLevel="1" thickBot="1">
      <c r="B35" s="738" t="s">
        <v>1039</v>
      </c>
      <c r="C35" s="758">
        <v>10</v>
      </c>
      <c r="D35" s="758">
        <v>10</v>
      </c>
      <c r="E35" s="758">
        <v>10</v>
      </c>
      <c r="F35" s="758">
        <v>10</v>
      </c>
      <c r="G35" s="758">
        <v>10</v>
      </c>
      <c r="H35" s="758"/>
      <c r="I35" s="758"/>
      <c r="J35" s="758"/>
      <c r="K35" s="765"/>
      <c r="L35" s="758" t="s">
        <v>49</v>
      </c>
      <c r="M35" s="739"/>
      <c r="N35" s="363"/>
    </row>
    <row r="36" spans="2:36" outlineLevel="1">
      <c r="B36" s="749" t="s">
        <v>1040</v>
      </c>
      <c r="C36" s="758">
        <v>10</v>
      </c>
      <c r="D36" s="758">
        <v>10</v>
      </c>
      <c r="E36" s="758">
        <v>10</v>
      </c>
      <c r="F36" s="758">
        <v>10</v>
      </c>
      <c r="G36" s="758">
        <v>10</v>
      </c>
      <c r="H36" s="758"/>
      <c r="I36" s="758"/>
      <c r="J36" s="758"/>
      <c r="K36" s="765"/>
      <c r="L36" s="257"/>
      <c r="M36" s="739"/>
      <c r="N36" s="367"/>
      <c r="O36" s="857"/>
      <c r="P36" s="862" t="s">
        <v>1133</v>
      </c>
      <c r="Q36" s="858" t="s">
        <v>1084</v>
      </c>
      <c r="R36" s="858" t="s">
        <v>1134</v>
      </c>
      <c r="S36" s="858" t="s">
        <v>1131</v>
      </c>
      <c r="T36" s="859" t="s">
        <v>1087</v>
      </c>
      <c r="U36" s="858" t="s">
        <v>1088</v>
      </c>
      <c r="V36" s="858" t="s">
        <v>1089</v>
      </c>
      <c r="W36" s="858" t="s">
        <v>1102</v>
      </c>
      <c r="X36" s="858" t="s">
        <v>337</v>
      </c>
      <c r="Y36" s="863" t="s">
        <v>1104</v>
      </c>
      <c r="Z36" s="858"/>
      <c r="AA36" s="858"/>
      <c r="AB36" s="860"/>
      <c r="AC36" s="851"/>
      <c r="AD36" s="851"/>
      <c r="AE36" s="851"/>
      <c r="AF36" s="851"/>
      <c r="AG36" s="851"/>
      <c r="AH36" s="851"/>
      <c r="AI36" s="851"/>
      <c r="AJ36" s="852"/>
    </row>
    <row r="37" spans="2:36" ht="16" outlineLevel="1">
      <c r="B37" s="738" t="s">
        <v>1041</v>
      </c>
      <c r="C37" s="758">
        <v>15</v>
      </c>
      <c r="D37" s="758">
        <v>15</v>
      </c>
      <c r="E37" s="758">
        <v>15</v>
      </c>
      <c r="F37" s="758">
        <v>15</v>
      </c>
      <c r="G37" s="758">
        <v>15</v>
      </c>
      <c r="H37" s="758"/>
      <c r="I37" s="758"/>
      <c r="J37" s="758"/>
      <c r="K37" s="765"/>
      <c r="L37" s="758" t="s">
        <v>374</v>
      </c>
      <c r="M37" s="739"/>
      <c r="N37" s="363"/>
      <c r="O37" s="853"/>
      <c r="P37" s="271"/>
      <c r="Q37" s="203"/>
      <c r="R37" s="203"/>
      <c r="S37" s="203"/>
      <c r="T37" s="203" t="s">
        <v>1090</v>
      </c>
      <c r="U37" s="203" t="s">
        <v>1090</v>
      </c>
      <c r="V37" s="203" t="s">
        <v>1100</v>
      </c>
      <c r="W37" s="203" t="s">
        <v>1132</v>
      </c>
      <c r="X37" s="203"/>
      <c r="Y37" s="356" t="s">
        <v>1105</v>
      </c>
      <c r="Z37" s="55"/>
      <c r="AA37" s="55"/>
      <c r="AB37" s="854"/>
      <c r="AC37" s="55"/>
      <c r="AD37" s="55"/>
      <c r="AE37" s="55"/>
      <c r="AF37" s="55"/>
      <c r="AG37" s="55"/>
      <c r="AH37" s="55"/>
      <c r="AI37" s="55"/>
      <c r="AJ37" s="854"/>
    </row>
    <row r="38" spans="2:36" outlineLevel="1">
      <c r="B38" s="738" t="s">
        <v>1042</v>
      </c>
      <c r="C38" s="758">
        <v>15</v>
      </c>
      <c r="D38" s="758">
        <v>15</v>
      </c>
      <c r="E38" s="758">
        <v>15</v>
      </c>
      <c r="F38" s="758">
        <v>15</v>
      </c>
      <c r="G38" s="758">
        <v>15</v>
      </c>
      <c r="H38" s="758"/>
      <c r="I38" s="758"/>
      <c r="J38" s="758"/>
      <c r="K38" s="766"/>
      <c r="L38" s="257"/>
      <c r="M38" s="739"/>
      <c r="N38" s="363"/>
      <c r="O38" s="861" t="s">
        <v>1136</v>
      </c>
      <c r="P38" s="864">
        <v>2020</v>
      </c>
      <c r="Q38" s="883">
        <f>$P$6/1*3.6/1000000*1000</f>
        <v>0.34056000000000003</v>
      </c>
      <c r="R38" s="865">
        <f>R22</f>
        <v>0.9</v>
      </c>
      <c r="S38" s="883">
        <f>Q38/R38</f>
        <v>0.37840000000000001</v>
      </c>
      <c r="T38" s="883">
        <f>S38*C33*$F$4</f>
        <v>9.3029640000000011</v>
      </c>
      <c r="U38" s="883">
        <f>S38*C39*$F$4</f>
        <v>0.27908891999999996</v>
      </c>
      <c r="V38" s="883">
        <f>S38*C40*$F$4/3.6</f>
        <v>1.9576944444444446</v>
      </c>
      <c r="W38" s="883">
        <f>C17/S38</f>
        <v>7.9281183932346719E-2</v>
      </c>
      <c r="X38" s="865">
        <f>VLOOKUP($P38,'Coal boiler'!$P$39:$AD$42,3,FALSE)</f>
        <v>0.89</v>
      </c>
      <c r="Y38" s="886">
        <f>$P$6/R38/X38</f>
        <v>118.10237203495629</v>
      </c>
      <c r="Z38" s="55"/>
      <c r="AA38" s="55"/>
      <c r="AB38" s="854"/>
      <c r="AC38" s="55"/>
      <c r="AD38" s="55"/>
      <c r="AE38" s="55"/>
      <c r="AF38" s="55"/>
      <c r="AG38" s="55"/>
      <c r="AH38" s="55"/>
      <c r="AI38" s="55"/>
      <c r="AJ38" s="854"/>
    </row>
    <row r="39" spans="2:36" ht="16" outlineLevel="1">
      <c r="B39" s="839" t="s">
        <v>1043</v>
      </c>
      <c r="C39" s="840">
        <f>C33*0.03</f>
        <v>9.8999999999999991E-2</v>
      </c>
      <c r="D39" s="840">
        <f t="shared" ref="D39:K39" si="4">D33*0.03</f>
        <v>0.09</v>
      </c>
      <c r="E39" s="840">
        <f t="shared" si="4"/>
        <v>8.1000000000000003E-2</v>
      </c>
      <c r="F39" s="840">
        <f t="shared" si="4"/>
        <v>7.1999999999999995E-2</v>
      </c>
      <c r="G39" s="840">
        <f t="shared" si="4"/>
        <v>0.06</v>
      </c>
      <c r="H39" s="840">
        <f t="shared" si="4"/>
        <v>7.4999999999999997E-2</v>
      </c>
      <c r="I39" s="840">
        <f t="shared" si="4"/>
        <v>0.15</v>
      </c>
      <c r="J39" s="840">
        <f t="shared" si="4"/>
        <v>4.8000000000000001E-2</v>
      </c>
      <c r="K39" s="840">
        <f t="shared" si="4"/>
        <v>8.3999999999999991E-2</v>
      </c>
      <c r="L39" s="837" t="s">
        <v>886</v>
      </c>
      <c r="M39" s="841"/>
      <c r="N39" s="363"/>
      <c r="O39" s="853"/>
      <c r="P39" s="866">
        <v>2030</v>
      </c>
      <c r="Q39" s="884">
        <f t="shared" ref="Q39:Q40" si="5">$P$6/1*3.6/1000000*1000</f>
        <v>0.34056000000000003</v>
      </c>
      <c r="R39" s="867">
        <f t="shared" ref="R39:R40" si="6">R23</f>
        <v>0.9</v>
      </c>
      <c r="S39" s="884">
        <f t="shared" ref="S39:S40" si="7">Q39/R39</f>
        <v>0.37840000000000001</v>
      </c>
      <c r="T39" s="884">
        <f>S39*E33*$F$4</f>
        <v>7.6115160000000008</v>
      </c>
      <c r="U39" s="884">
        <f>S39*E39*$F$4</f>
        <v>0.22834548000000002</v>
      </c>
      <c r="V39" s="884">
        <f>S39*E40*$F$4/3.6</f>
        <v>1.9576944444444446</v>
      </c>
      <c r="W39" s="884">
        <f>E17/S39</f>
        <v>6.6067653276955601E-2</v>
      </c>
      <c r="X39" s="867">
        <f>VLOOKUP($P39,'Coal boiler'!$P$39:$AD$42,3,FALSE)</f>
        <v>0.89</v>
      </c>
      <c r="Y39" s="887">
        <f t="shared" ref="Y39:Y40" si="8">$P$6/R39/X39</f>
        <v>118.10237203495629</v>
      </c>
      <c r="Z39" s="55"/>
      <c r="AA39" s="55"/>
      <c r="AB39" s="854"/>
      <c r="AC39" s="55"/>
      <c r="AD39" s="55"/>
      <c r="AE39" s="55"/>
      <c r="AF39" s="55"/>
      <c r="AG39" s="55"/>
      <c r="AH39" s="55"/>
      <c r="AI39" s="55"/>
      <c r="AJ39" s="854"/>
    </row>
    <row r="40" spans="2:36" ht="14.5" customHeight="1" outlineLevel="1" thickBot="1">
      <c r="B40" s="842" t="s">
        <v>1044</v>
      </c>
      <c r="C40" s="837">
        <v>2.5</v>
      </c>
      <c r="D40" s="837">
        <v>2.5</v>
      </c>
      <c r="E40" s="837">
        <v>2.5</v>
      </c>
      <c r="F40" s="837">
        <v>2.5</v>
      </c>
      <c r="G40" s="837">
        <v>2.5</v>
      </c>
      <c r="H40" s="840">
        <v>1.5</v>
      </c>
      <c r="I40" s="840">
        <v>3.5</v>
      </c>
      <c r="J40" s="840">
        <v>1.5</v>
      </c>
      <c r="K40" s="840">
        <v>3.5</v>
      </c>
      <c r="L40" s="843"/>
      <c r="M40" s="838"/>
      <c r="N40" s="363"/>
      <c r="O40" s="855"/>
      <c r="P40" s="868">
        <v>2050</v>
      </c>
      <c r="Q40" s="885">
        <f t="shared" si="5"/>
        <v>0.34056000000000003</v>
      </c>
      <c r="R40" s="869">
        <f t="shared" si="6"/>
        <v>0.95</v>
      </c>
      <c r="S40" s="885">
        <f t="shared" si="7"/>
        <v>0.35848421052631585</v>
      </c>
      <c r="T40" s="885">
        <f>S40*G33*$F$4</f>
        <v>5.3414147368421059</v>
      </c>
      <c r="U40" s="885">
        <f>S40*G39*$F$4</f>
        <v>0.16024244210526317</v>
      </c>
      <c r="V40" s="885">
        <f>S40*G40*$F$4/3.6</f>
        <v>1.8546578947368424</v>
      </c>
      <c r="W40" s="885">
        <f>G17/S40</f>
        <v>5.5790462767206943E-2</v>
      </c>
      <c r="X40" s="869">
        <f>VLOOKUP($P40,'Coal boiler'!$P$39:$AD$42,3,FALSE)</f>
        <v>0.91</v>
      </c>
      <c r="Y40" s="888">
        <f t="shared" si="8"/>
        <v>109.42741469057259</v>
      </c>
      <c r="Z40" s="787"/>
      <c r="AA40" s="787"/>
      <c r="AB40" s="856"/>
      <c r="AC40" s="55"/>
      <c r="AD40" s="55"/>
      <c r="AE40" s="55"/>
      <c r="AF40" s="55"/>
      <c r="AG40" s="55"/>
      <c r="AH40" s="55"/>
      <c r="AI40" s="55"/>
      <c r="AJ40" s="854"/>
    </row>
    <row r="41" spans="2:36" outlineLevel="1">
      <c r="B41" s="746" t="s">
        <v>1045</v>
      </c>
      <c r="C41" s="758">
        <v>25</v>
      </c>
      <c r="D41" s="758">
        <v>25</v>
      </c>
      <c r="E41" s="758">
        <v>25</v>
      </c>
      <c r="F41" s="758">
        <v>25</v>
      </c>
      <c r="G41" s="758">
        <v>25</v>
      </c>
      <c r="H41" s="758"/>
      <c r="I41" s="758"/>
      <c r="J41" s="758"/>
      <c r="K41" s="765"/>
      <c r="L41" s="257"/>
      <c r="M41" s="739"/>
      <c r="N41" s="363"/>
      <c r="O41" s="879" t="s">
        <v>1135</v>
      </c>
      <c r="P41" s="55"/>
      <c r="Q41" s="55"/>
      <c r="R41" s="55"/>
      <c r="S41" s="55"/>
      <c r="T41" s="55"/>
      <c r="U41" s="55"/>
      <c r="V41" s="55"/>
      <c r="W41" s="55"/>
      <c r="X41" s="55"/>
      <c r="Y41" s="55"/>
      <c r="Z41" s="55"/>
      <c r="AA41" s="55"/>
      <c r="AB41" s="55"/>
      <c r="AC41" s="55"/>
      <c r="AD41" s="55"/>
      <c r="AE41" s="55"/>
      <c r="AF41" s="55"/>
      <c r="AG41" s="55"/>
      <c r="AH41" s="55"/>
      <c r="AI41" s="55"/>
      <c r="AJ41" s="854"/>
    </row>
    <row r="42" spans="2:36" ht="14.5" customHeight="1" outlineLevel="1">
      <c r="B42" s="737" t="s">
        <v>1046</v>
      </c>
      <c r="C42" s="756"/>
      <c r="D42" s="756"/>
      <c r="E42" s="756"/>
      <c r="F42" s="756"/>
      <c r="G42" s="756"/>
      <c r="H42" s="756"/>
      <c r="I42" s="756"/>
      <c r="J42" s="756"/>
      <c r="K42" s="756"/>
      <c r="L42" s="756"/>
      <c r="M42" s="750"/>
      <c r="N42" s="363"/>
      <c r="O42" s="853"/>
      <c r="P42" s="55"/>
      <c r="Q42" s="55"/>
      <c r="R42" s="880" t="s">
        <v>427</v>
      </c>
      <c r="S42" s="880" t="s">
        <v>1106</v>
      </c>
      <c r="T42" s="880" t="s">
        <v>428</v>
      </c>
      <c r="U42" s="771" t="s">
        <v>1049</v>
      </c>
      <c r="V42" s="880" t="s">
        <v>335</v>
      </c>
      <c r="W42" s="880" t="s">
        <v>336</v>
      </c>
      <c r="X42" s="881" t="s">
        <v>1102</v>
      </c>
      <c r="Y42" s="769" t="s">
        <v>337</v>
      </c>
      <c r="Z42" s="769" t="s">
        <v>1052</v>
      </c>
      <c r="AA42" s="769" t="s">
        <v>339</v>
      </c>
      <c r="AB42" s="882" t="s">
        <v>340</v>
      </c>
      <c r="AC42" s="47" t="s">
        <v>341</v>
      </c>
      <c r="AD42" s="49" t="s">
        <v>342</v>
      </c>
      <c r="AE42" s="49" t="s">
        <v>343</v>
      </c>
      <c r="AF42" s="769" t="s">
        <v>344</v>
      </c>
      <c r="AG42" s="769" t="s">
        <v>1104</v>
      </c>
      <c r="AH42" s="770" t="s">
        <v>997</v>
      </c>
      <c r="AI42" s="769" t="s">
        <v>1050</v>
      </c>
      <c r="AJ42" s="871" t="s">
        <v>1051</v>
      </c>
    </row>
    <row r="43" spans="2:36" ht="65" outlineLevel="1" thickBot="1">
      <c r="B43" s="742" t="s">
        <v>1047</v>
      </c>
      <c r="C43" s="767">
        <v>0.1</v>
      </c>
      <c r="D43" s="767">
        <v>0.1</v>
      </c>
      <c r="E43" s="758">
        <v>8.5000000000000006E-2</v>
      </c>
      <c r="F43" s="758">
        <v>7.4999999999999997E-2</v>
      </c>
      <c r="G43" s="758">
        <v>7.4999999999999997E-2</v>
      </c>
      <c r="H43" s="758">
        <v>0.09</v>
      </c>
      <c r="I43" s="758">
        <v>0.11</v>
      </c>
      <c r="J43" s="758">
        <v>7.0000000000000007E-2</v>
      </c>
      <c r="K43" s="760">
        <v>0.09</v>
      </c>
      <c r="L43" s="758" t="s">
        <v>887</v>
      </c>
      <c r="M43" s="739"/>
      <c r="N43" s="367"/>
      <c r="O43" s="853"/>
      <c r="P43" s="55"/>
      <c r="Q43" s="55"/>
      <c r="R43" s="834" t="s">
        <v>1107</v>
      </c>
      <c r="S43" s="834" t="s">
        <v>1108</v>
      </c>
      <c r="T43" s="834" t="s">
        <v>1109</v>
      </c>
      <c r="U43" s="835" t="s">
        <v>1110</v>
      </c>
      <c r="V43" s="50"/>
      <c r="W43" s="50"/>
      <c r="X43" s="833" t="s">
        <v>1103</v>
      </c>
      <c r="Y43" s="51"/>
      <c r="Z43" s="51"/>
      <c r="AA43" s="51"/>
      <c r="AB43" s="52"/>
      <c r="AC43" s="50"/>
      <c r="AD43" s="50"/>
      <c r="AE43" s="50"/>
      <c r="AF43" s="50"/>
      <c r="AG43" s="833" t="s">
        <v>1105</v>
      </c>
      <c r="AH43" s="50"/>
      <c r="AI43" s="50"/>
      <c r="AJ43" s="872"/>
    </row>
    <row r="44" spans="2:36" ht="16" outlineLevel="1">
      <c r="B44" s="742" t="s">
        <v>1048</v>
      </c>
      <c r="C44" s="758">
        <v>0.16</v>
      </c>
      <c r="D44" s="758">
        <v>0.16</v>
      </c>
      <c r="E44" s="758">
        <v>0.14000000000000001</v>
      </c>
      <c r="F44" s="758">
        <v>0.13</v>
      </c>
      <c r="G44" s="758">
        <v>0.13</v>
      </c>
      <c r="H44" s="758">
        <v>0.14000000000000001</v>
      </c>
      <c r="I44" s="758">
        <v>0.18</v>
      </c>
      <c r="J44" s="758">
        <v>0.12</v>
      </c>
      <c r="K44" s="760">
        <v>0.15</v>
      </c>
      <c r="L44" s="758" t="s">
        <v>887</v>
      </c>
      <c r="M44" s="739"/>
      <c r="N44" s="363"/>
      <c r="O44" s="853"/>
      <c r="P44" s="55"/>
      <c r="Q44" s="55"/>
      <c r="R44" s="55" t="s">
        <v>617</v>
      </c>
      <c r="S44" s="55"/>
      <c r="T44" s="55" t="s">
        <v>1113</v>
      </c>
      <c r="U44" s="55" t="s">
        <v>1058</v>
      </c>
      <c r="V44" s="466">
        <v>2020</v>
      </c>
      <c r="W44" s="870">
        <v>2020</v>
      </c>
      <c r="X44" s="867"/>
      <c r="Y44" s="82">
        <f>VLOOKUP($V44,$P$38:$Y$40,9,FALSE)</f>
        <v>0.89</v>
      </c>
      <c r="Z44" s="867"/>
      <c r="AA44" s="870">
        <v>25</v>
      </c>
      <c r="AB44" s="58">
        <f>VLOOKUP($V44,$P$38:$Y$40,5,FALSE)</f>
        <v>9.3029640000000011</v>
      </c>
      <c r="AC44" s="58">
        <f>VLOOKUP($V44,$P$38:$Y$40,6,FALSE)</f>
        <v>0.27908891999999996</v>
      </c>
      <c r="AD44" s="58">
        <f>VLOOKUP($V44,$P$38:$Y$40,7,FALSE)</f>
        <v>1.9576944444444446</v>
      </c>
      <c r="AE44" s="58"/>
      <c r="AF44" s="58"/>
      <c r="AG44" s="867"/>
      <c r="AH44" s="867"/>
      <c r="AI44" s="867"/>
      <c r="AJ44" s="873"/>
    </row>
    <row r="45" spans="2:36" outlineLevel="1">
      <c r="B45" s="742"/>
      <c r="C45" s="758"/>
      <c r="D45" s="758"/>
      <c r="E45" s="758"/>
      <c r="F45" s="758"/>
      <c r="G45" s="758"/>
      <c r="H45" s="758"/>
      <c r="I45" s="758"/>
      <c r="J45" s="758"/>
      <c r="K45" s="765"/>
      <c r="L45" s="758"/>
      <c r="M45" s="739"/>
      <c r="N45" s="363"/>
      <c r="O45" s="853"/>
      <c r="P45" s="55"/>
      <c r="Q45" s="55"/>
      <c r="R45" s="55"/>
      <c r="S45" s="55" t="s">
        <v>499</v>
      </c>
      <c r="T45" s="55"/>
      <c r="U45" s="55" t="s">
        <v>1058</v>
      </c>
      <c r="V45" s="466">
        <v>2020</v>
      </c>
      <c r="W45" s="867"/>
      <c r="X45" s="82">
        <f>VLOOKUP($V45,$P$38:$Y$40,8,FALSE)</f>
        <v>7.9281183932346719E-2</v>
      </c>
      <c r="Y45" s="874"/>
      <c r="Z45" s="867"/>
      <c r="AA45" s="867"/>
      <c r="AB45" s="867"/>
      <c r="AC45" s="867"/>
      <c r="AD45" s="867"/>
      <c r="AE45" s="867"/>
      <c r="AF45" s="867"/>
      <c r="AG45" s="867"/>
      <c r="AH45" s="867"/>
      <c r="AI45" s="867"/>
      <c r="AJ45" s="873"/>
    </row>
    <row r="46" spans="2:36" outlineLevel="1">
      <c r="B46" s="738"/>
      <c r="C46" s="758"/>
      <c r="D46" s="758"/>
      <c r="E46" s="758"/>
      <c r="F46" s="758"/>
      <c r="G46" s="766"/>
      <c r="H46" s="758"/>
      <c r="I46" s="758"/>
      <c r="J46" s="758"/>
      <c r="K46" s="766"/>
      <c r="L46" s="758"/>
      <c r="M46" s="739"/>
      <c r="N46" s="363"/>
      <c r="O46" s="853"/>
      <c r="P46" s="55"/>
      <c r="Q46" s="55"/>
      <c r="R46" s="55"/>
      <c r="S46" s="55"/>
      <c r="T46" s="55"/>
      <c r="U46" s="55" t="s">
        <v>1112</v>
      </c>
      <c r="V46" s="466">
        <v>2020</v>
      </c>
      <c r="W46" s="867"/>
      <c r="X46" s="198"/>
      <c r="Y46" s="874"/>
      <c r="Z46" s="867"/>
      <c r="AA46" s="867"/>
      <c r="AB46" s="867"/>
      <c r="AC46" s="867"/>
      <c r="AD46" s="867"/>
      <c r="AE46" s="867"/>
      <c r="AF46" s="867"/>
      <c r="AG46" s="58">
        <f>VLOOKUP($V46,$P$38:$Y$40,10,FALSE)</f>
        <v>118.10237203495629</v>
      </c>
      <c r="AH46" s="867"/>
      <c r="AI46" s="867"/>
      <c r="AJ46" s="873"/>
    </row>
    <row r="47" spans="2:36" ht="64" outlineLevel="1">
      <c r="B47" s="461" t="s">
        <v>769</v>
      </c>
      <c r="C47" s="483">
        <f>C33*$F$4*1/C16*1000</f>
        <v>29513.805522208888</v>
      </c>
      <c r="D47" s="483">
        <f t="shared" ref="D47:G47" si="9">D33*$F$4*1/D16*1000</f>
        <v>26830.732292917168</v>
      </c>
      <c r="E47" s="483">
        <f t="shared" si="9"/>
        <v>27937.500000000004</v>
      </c>
      <c r="F47" s="483">
        <f t="shared" si="9"/>
        <v>27090.909090909085</v>
      </c>
      <c r="G47" s="483">
        <f t="shared" si="9"/>
        <v>22575.757575757576</v>
      </c>
      <c r="H47" s="484"/>
      <c r="I47" s="420" t="s">
        <v>332</v>
      </c>
      <c r="J47" s="420"/>
      <c r="K47" s="484"/>
      <c r="L47" s="484"/>
      <c r="N47" s="420"/>
      <c r="O47" s="853"/>
      <c r="P47" s="55"/>
      <c r="Q47" s="55"/>
      <c r="R47" s="55"/>
      <c r="S47" s="55"/>
      <c r="T47" s="55"/>
      <c r="U47" s="55" t="s">
        <v>1058</v>
      </c>
      <c r="V47" s="466">
        <v>2030</v>
      </c>
      <c r="W47" s="867"/>
      <c r="X47" s="198"/>
      <c r="Y47" s="82">
        <f>VLOOKUP($V47,$P$38:$Y$40,9,FALSE)</f>
        <v>0.89</v>
      </c>
      <c r="Z47" s="867"/>
      <c r="AA47" s="58">
        <v>25</v>
      </c>
      <c r="AB47" s="58">
        <f>VLOOKUP($V47,$P$38:$Y$40,5,FALSE)</f>
        <v>7.6115160000000008</v>
      </c>
      <c r="AC47" s="58">
        <f>VLOOKUP($V47,$P$38:$Y$40,6,FALSE)</f>
        <v>0.22834548000000002</v>
      </c>
      <c r="AD47" s="58">
        <f>VLOOKUP($V47,$P$38:$Y$40,7,FALSE)</f>
        <v>1.9576944444444446</v>
      </c>
      <c r="AE47" s="867"/>
      <c r="AF47" s="867"/>
      <c r="AG47" s="867"/>
      <c r="AH47" s="867"/>
      <c r="AI47" s="867"/>
      <c r="AJ47" s="873"/>
    </row>
    <row r="48" spans="2:36" ht="14.5" customHeight="1" outlineLevel="1">
      <c r="B48" s="485" t="s">
        <v>770</v>
      </c>
      <c r="C48" s="486">
        <f>C47*$I48</f>
        <v>14756902.761104444</v>
      </c>
      <c r="D48" s="486">
        <f>D47*$I48</f>
        <v>13415366.146458585</v>
      </c>
      <c r="E48" s="486">
        <f>E47*$I48</f>
        <v>13968750.000000002</v>
      </c>
      <c r="F48" s="486">
        <f>F47*$I48</f>
        <v>13545454.545454543</v>
      </c>
      <c r="G48" s="486"/>
      <c r="H48" s="484"/>
      <c r="I48" s="71">
        <v>500</v>
      </c>
      <c r="J48" s="420" t="s">
        <v>330</v>
      </c>
      <c r="K48" s="484"/>
      <c r="L48" s="484"/>
      <c r="N48" s="420"/>
      <c r="O48" s="853"/>
      <c r="P48" s="55"/>
      <c r="Q48" s="55"/>
      <c r="R48" s="55"/>
      <c r="S48" s="55" t="s">
        <v>499</v>
      </c>
      <c r="T48" s="55"/>
      <c r="U48" s="55" t="s">
        <v>1058</v>
      </c>
      <c r="V48" s="466">
        <v>2030</v>
      </c>
      <c r="W48" s="867"/>
      <c r="X48" s="82">
        <f>VLOOKUP($V48,$P$38:$Y$40,8,FALSE)</f>
        <v>6.6067653276955601E-2</v>
      </c>
      <c r="Y48" s="874"/>
      <c r="Z48" s="867"/>
      <c r="AA48" s="867"/>
      <c r="AB48" s="867"/>
      <c r="AC48" s="867"/>
      <c r="AD48" s="867"/>
      <c r="AE48" s="867"/>
      <c r="AF48" s="867"/>
      <c r="AG48" s="867"/>
      <c r="AH48" s="867"/>
      <c r="AI48" s="867"/>
      <c r="AJ48" s="873"/>
    </row>
    <row r="49" spans="2:36" ht="48" outlineLevel="1">
      <c r="B49" s="461" t="s">
        <v>1074</v>
      </c>
      <c r="C49" s="359">
        <f>C39*$F$4*1/C16*1000</f>
        <v>885.4141656662664</v>
      </c>
      <c r="D49" s="359">
        <f t="shared" ref="D49:G49" si="10">D39*$F$4*1/D16*1000</f>
        <v>804.92196878751497</v>
      </c>
      <c r="E49" s="359">
        <f t="shared" si="10"/>
        <v>838.12500000000011</v>
      </c>
      <c r="F49" s="359">
        <f t="shared" si="10"/>
        <v>812.72727272727263</v>
      </c>
      <c r="G49" s="359">
        <f t="shared" si="10"/>
        <v>677.27272727272725</v>
      </c>
      <c r="I49" s="420" t="s">
        <v>333</v>
      </c>
      <c r="J49" s="420"/>
      <c r="N49" s="420" t="s">
        <v>1137</v>
      </c>
      <c r="O49" s="853"/>
      <c r="P49" s="55"/>
      <c r="Q49" s="55"/>
      <c r="R49" s="55"/>
      <c r="S49" s="55"/>
      <c r="T49" s="55"/>
      <c r="U49" s="55" t="s">
        <v>1058</v>
      </c>
      <c r="V49" s="466">
        <v>2050</v>
      </c>
      <c r="W49" s="867"/>
      <c r="X49" s="198"/>
      <c r="Y49" s="82">
        <f>VLOOKUP($V49,$P$38:$Y$40,9,FALSE)</f>
        <v>0.91</v>
      </c>
      <c r="Z49" s="867"/>
      <c r="AA49" s="58">
        <v>25</v>
      </c>
      <c r="AB49" s="58">
        <f>VLOOKUP($V49,$P$38:$Y$40,5,FALSE)</f>
        <v>5.3414147368421059</v>
      </c>
      <c r="AC49" s="58">
        <f>VLOOKUP($V49,$P$38:$Y$40,6,FALSE)</f>
        <v>0.16024244210526317</v>
      </c>
      <c r="AD49" s="58">
        <f>VLOOKUP($V49,$P$38:$Y$40,7,FALSE)</f>
        <v>1.8546578947368424</v>
      </c>
      <c r="AE49" s="867"/>
      <c r="AF49" s="867"/>
      <c r="AG49" s="867"/>
      <c r="AH49" s="867"/>
      <c r="AI49" s="867"/>
      <c r="AJ49" s="873"/>
    </row>
    <row r="50" spans="2:36" ht="49" outlineLevel="1" thickBot="1">
      <c r="B50" s="461" t="s">
        <v>846</v>
      </c>
      <c r="C50" s="487">
        <f>C40*$F$4*1/C24/3.6</f>
        <v>6.2108176603974927</v>
      </c>
      <c r="D50" s="487">
        <f t="shared" ref="D50:G50" si="11">D40*$F$4*1/D24/3.6</f>
        <v>6.2108176603974927</v>
      </c>
      <c r="E50" s="487">
        <f t="shared" si="11"/>
        <v>7.1855709876543212</v>
      </c>
      <c r="F50" s="487">
        <f t="shared" si="11"/>
        <v>7.8388047138047137</v>
      </c>
      <c r="G50" s="487">
        <f t="shared" si="11"/>
        <v>7.8388047138047137</v>
      </c>
      <c r="M50" s="420"/>
      <c r="N50" s="420"/>
      <c r="O50" s="855"/>
      <c r="P50" s="787"/>
      <c r="Q50" s="787"/>
      <c r="R50" s="787"/>
      <c r="S50" s="787" t="s">
        <v>499</v>
      </c>
      <c r="T50" s="787"/>
      <c r="U50" s="787" t="s">
        <v>1058</v>
      </c>
      <c r="V50" s="875">
        <v>2050</v>
      </c>
      <c r="W50" s="869"/>
      <c r="X50" s="876">
        <f>VLOOKUP($V50,$P$38:$Y$40,8,FALSE)</f>
        <v>5.5790462767206943E-2</v>
      </c>
      <c r="Y50" s="877"/>
      <c r="Z50" s="869"/>
      <c r="AA50" s="869"/>
      <c r="AB50" s="869"/>
      <c r="AC50" s="869"/>
      <c r="AD50" s="869"/>
      <c r="AE50" s="869"/>
      <c r="AF50" s="869"/>
      <c r="AG50" s="869"/>
      <c r="AH50" s="869"/>
      <c r="AI50" s="869"/>
      <c r="AJ50" s="878"/>
    </row>
    <row r="51" spans="2:36" outlineLevel="1"/>
    <row r="52" spans="2:36" outlineLevel="1"/>
    <row r="53" spans="2:36" outlineLevel="1"/>
    <row r="54" spans="2:36" outlineLevel="1"/>
    <row r="55" spans="2:36" outlineLevel="1">
      <c r="E55" s="358"/>
      <c r="F55" s="358"/>
      <c r="G55" s="358"/>
      <c r="H55" s="358"/>
      <c r="I55" s="358"/>
      <c r="J55" s="358"/>
      <c r="K55" s="358"/>
      <c r="L55" s="358"/>
    </row>
    <row r="56" spans="2:36" outlineLevel="1">
      <c r="B56" s="797" t="s">
        <v>773</v>
      </c>
      <c r="C56" s="223"/>
      <c r="D56" s="798"/>
      <c r="E56" s="798"/>
      <c r="F56" s="798"/>
      <c r="G56" s="798"/>
      <c r="H56" s="798"/>
      <c r="I56" s="798"/>
      <c r="J56" s="798"/>
      <c r="K56" s="798"/>
      <c r="L56" s="799"/>
    </row>
    <row r="57" spans="2:36" outlineLevel="1">
      <c r="B57" s="223">
        <v>1</v>
      </c>
      <c r="C57" s="223"/>
      <c r="D57" s="223"/>
      <c r="E57" s="800"/>
      <c r="F57" s="223"/>
      <c r="G57" s="223"/>
      <c r="H57" s="223"/>
      <c r="I57" s="223"/>
      <c r="J57" s="223"/>
      <c r="K57" s="223"/>
      <c r="L57" s="223"/>
    </row>
    <row r="58" spans="2:36" outlineLevel="1">
      <c r="B58" s="223">
        <v>2</v>
      </c>
      <c r="C58" s="223"/>
      <c r="D58" s="223"/>
      <c r="E58" s="800"/>
      <c r="F58" s="223"/>
      <c r="G58" s="223"/>
      <c r="H58" s="223"/>
      <c r="I58" s="223"/>
      <c r="J58" s="223"/>
      <c r="K58" s="223"/>
      <c r="L58" s="223"/>
    </row>
    <row r="59" spans="2:36" outlineLevel="1">
      <c r="B59" s="223">
        <v>3</v>
      </c>
      <c r="C59" s="223"/>
      <c r="D59" s="223"/>
      <c r="E59" s="800"/>
      <c r="F59" s="223"/>
      <c r="G59" s="223"/>
      <c r="H59" s="223"/>
      <c r="I59" s="223"/>
      <c r="J59" s="223"/>
      <c r="K59" s="223"/>
      <c r="L59" s="223"/>
    </row>
    <row r="60" spans="2:36" outlineLevel="1">
      <c r="B60" s="223"/>
      <c r="C60" s="223"/>
      <c r="D60" s="223"/>
      <c r="E60" s="223"/>
      <c r="F60" s="223"/>
      <c r="G60" s="223"/>
      <c r="H60" s="223"/>
      <c r="I60" s="223"/>
      <c r="J60" s="223"/>
      <c r="K60" s="223"/>
      <c r="L60" s="223"/>
    </row>
    <row r="61" spans="2:36" outlineLevel="1">
      <c r="B61" s="223"/>
      <c r="C61" s="223"/>
      <c r="D61" s="223"/>
      <c r="E61" s="223"/>
      <c r="F61" s="223"/>
      <c r="G61" s="223"/>
      <c r="H61" s="223"/>
      <c r="I61" s="223"/>
      <c r="J61" s="223"/>
      <c r="K61" s="223"/>
      <c r="L61" s="223"/>
    </row>
    <row r="62" spans="2:36" outlineLevel="1">
      <c r="B62" s="801" t="s">
        <v>783</v>
      </c>
      <c r="C62" s="223"/>
      <c r="D62" s="223"/>
      <c r="E62" s="223"/>
      <c r="F62" s="223"/>
      <c r="G62" s="223"/>
      <c r="H62" s="223"/>
      <c r="I62" s="223"/>
      <c r="J62" s="223"/>
      <c r="K62" s="223"/>
      <c r="L62" s="223"/>
    </row>
    <row r="63" spans="2:36" outlineLevel="1">
      <c r="B63" s="802" t="s">
        <v>6</v>
      </c>
      <c r="C63" s="223" t="s">
        <v>1059</v>
      </c>
      <c r="D63" s="223"/>
      <c r="E63" s="223"/>
      <c r="F63" s="223"/>
      <c r="G63" s="223"/>
      <c r="H63" s="223"/>
      <c r="I63" s="223"/>
      <c r="J63" s="223"/>
      <c r="K63" s="223"/>
      <c r="L63" s="223"/>
    </row>
    <row r="64" spans="2:36" outlineLevel="1">
      <c r="B64" s="802" t="s">
        <v>59</v>
      </c>
      <c r="C64" s="223" t="s">
        <v>1060</v>
      </c>
      <c r="D64" s="223"/>
      <c r="E64" s="223"/>
      <c r="F64" s="223"/>
      <c r="G64" s="223"/>
      <c r="H64" s="223"/>
      <c r="I64" s="223"/>
      <c r="J64" s="223"/>
      <c r="K64" s="223"/>
      <c r="L64" s="223"/>
    </row>
    <row r="65" spans="2:12" outlineLevel="1">
      <c r="B65" s="802" t="s">
        <v>16</v>
      </c>
      <c r="C65" s="223" t="s">
        <v>1061</v>
      </c>
      <c r="D65" s="223"/>
      <c r="E65" s="223"/>
      <c r="F65" s="223"/>
      <c r="G65" s="223"/>
      <c r="H65" s="223"/>
      <c r="I65" s="223"/>
      <c r="J65" s="223"/>
      <c r="K65" s="223"/>
      <c r="L65" s="223"/>
    </row>
    <row r="66" spans="2:12" outlineLevel="1">
      <c r="B66" s="802" t="s">
        <v>20</v>
      </c>
      <c r="C66" s="223" t="s">
        <v>1062</v>
      </c>
      <c r="D66" s="223"/>
      <c r="E66" s="223"/>
      <c r="F66" s="223"/>
      <c r="G66" s="223"/>
      <c r="H66" s="223"/>
      <c r="I66" s="223"/>
      <c r="J66" s="223"/>
      <c r="K66" s="223"/>
      <c r="L66" s="223"/>
    </row>
    <row r="67" spans="2:12" outlineLevel="1">
      <c r="B67" s="802" t="s">
        <v>76</v>
      </c>
      <c r="C67" s="223" t="s">
        <v>1063</v>
      </c>
      <c r="D67" s="223"/>
      <c r="E67" s="223"/>
      <c r="F67" s="223"/>
      <c r="G67" s="223"/>
      <c r="H67" s="223"/>
      <c r="I67" s="223"/>
      <c r="J67" s="223"/>
      <c r="K67" s="223"/>
      <c r="L67" s="223"/>
    </row>
    <row r="68" spans="2:12" outlineLevel="1">
      <c r="B68" s="802" t="s">
        <v>25</v>
      </c>
      <c r="C68" s="223" t="s">
        <v>1064</v>
      </c>
      <c r="D68" s="223"/>
      <c r="E68" s="223"/>
      <c r="F68" s="223"/>
      <c r="G68" s="223"/>
      <c r="H68" s="223"/>
      <c r="I68" s="223"/>
      <c r="J68" s="223"/>
      <c r="K68" s="223"/>
      <c r="L68" s="223"/>
    </row>
    <row r="69" spans="2:12" outlineLevel="1">
      <c r="B69" s="802" t="s">
        <v>33</v>
      </c>
      <c r="C69" s="223" t="s">
        <v>1065</v>
      </c>
      <c r="D69" s="223"/>
      <c r="E69" s="223"/>
      <c r="F69" s="223"/>
      <c r="G69" s="223"/>
      <c r="H69" s="223"/>
      <c r="I69" s="223"/>
      <c r="J69" s="223"/>
      <c r="K69" s="223"/>
      <c r="L69" s="223"/>
    </row>
    <row r="70" spans="2:12" outlineLevel="1">
      <c r="B70" s="802" t="s">
        <v>51</v>
      </c>
      <c r="C70" s="223" t="s">
        <v>1066</v>
      </c>
      <c r="D70" s="223"/>
      <c r="E70" s="223"/>
      <c r="F70" s="223"/>
      <c r="G70" s="223"/>
      <c r="H70" s="223"/>
      <c r="I70" s="223"/>
      <c r="J70" s="223"/>
      <c r="K70" s="223"/>
      <c r="L70" s="223"/>
    </row>
    <row r="71" spans="2:12" outlineLevel="1">
      <c r="B71" s="802" t="s">
        <v>52</v>
      </c>
      <c r="C71" s="223" t="s">
        <v>1067</v>
      </c>
      <c r="D71" s="223"/>
      <c r="E71" s="223"/>
      <c r="F71" s="223"/>
      <c r="G71" s="223"/>
      <c r="H71" s="223"/>
      <c r="I71" s="223"/>
      <c r="J71" s="223"/>
      <c r="K71" s="223"/>
      <c r="L71" s="223"/>
    </row>
    <row r="72" spans="2:12" outlineLevel="1">
      <c r="B72" s="802" t="s">
        <v>55</v>
      </c>
      <c r="C72" s="223" t="s">
        <v>1068</v>
      </c>
      <c r="D72" s="223"/>
      <c r="E72" s="223"/>
      <c r="F72" s="223"/>
      <c r="G72" s="223"/>
      <c r="H72" s="223"/>
      <c r="I72" s="223"/>
      <c r="J72" s="223"/>
      <c r="K72" s="223"/>
      <c r="L72" s="223"/>
    </row>
    <row r="73" spans="2:12" outlineLevel="1">
      <c r="B73" s="802" t="s">
        <v>49</v>
      </c>
      <c r="C73" s="223" t="s">
        <v>1069</v>
      </c>
      <c r="D73" s="223"/>
      <c r="E73" s="223"/>
      <c r="F73" s="223"/>
      <c r="G73" s="223"/>
      <c r="H73" s="223"/>
      <c r="I73" s="223"/>
      <c r="J73" s="223"/>
      <c r="K73" s="223"/>
      <c r="L73" s="223"/>
    </row>
    <row r="74" spans="2:12" outlineLevel="1">
      <c r="B74" s="802" t="s">
        <v>374</v>
      </c>
      <c r="C74" s="223" t="s">
        <v>1070</v>
      </c>
      <c r="D74" s="223"/>
      <c r="E74" s="223"/>
      <c r="F74" s="223"/>
      <c r="G74" s="223"/>
      <c r="H74" s="223"/>
      <c r="I74" s="223"/>
      <c r="J74" s="223"/>
      <c r="K74" s="223"/>
      <c r="L74" s="223"/>
    </row>
    <row r="75" spans="2:12" outlineLevel="1">
      <c r="B75" s="802" t="s">
        <v>886</v>
      </c>
      <c r="C75" s="223" t="s">
        <v>1071</v>
      </c>
      <c r="D75" s="223"/>
      <c r="E75" s="223"/>
      <c r="F75" s="223"/>
      <c r="G75" s="223"/>
      <c r="H75" s="223"/>
      <c r="I75" s="223"/>
      <c r="J75" s="223"/>
      <c r="K75" s="223"/>
      <c r="L75" s="223"/>
    </row>
    <row r="76" spans="2:12" outlineLevel="1">
      <c r="B76" s="802" t="s">
        <v>887</v>
      </c>
      <c r="C76" s="223" t="s">
        <v>1072</v>
      </c>
      <c r="D76" s="223"/>
      <c r="E76" s="223"/>
      <c r="F76" s="223"/>
      <c r="G76" s="223"/>
      <c r="H76" s="223"/>
      <c r="I76" s="223"/>
      <c r="J76" s="223"/>
      <c r="K76" s="223"/>
      <c r="L76" s="223"/>
    </row>
    <row r="77" spans="2:12" outlineLevel="1">
      <c r="B77" s="496"/>
      <c r="C77" s="498"/>
      <c r="G77" s="358"/>
      <c r="H77" s="358"/>
      <c r="I77" s="358"/>
      <c r="J77" s="358"/>
      <c r="K77" s="358"/>
      <c r="L77" s="358"/>
    </row>
    <row r="78" spans="2:12" outlineLevel="1">
      <c r="B78" s="496"/>
      <c r="C78" s="489"/>
      <c r="G78" s="358"/>
      <c r="H78" s="358"/>
      <c r="I78" s="358"/>
      <c r="J78" s="358"/>
      <c r="K78" s="358"/>
      <c r="L78" s="358"/>
    </row>
    <row r="79" spans="2:12" outlineLevel="1">
      <c r="E79" s="490"/>
      <c r="F79" s="490"/>
    </row>
    <row r="80" spans="2:12" outlineLevel="1"/>
    <row r="81" spans="1:21" outlineLevel="1">
      <c r="B81" s="496"/>
      <c r="C81" s="489"/>
      <c r="D81" s="489"/>
    </row>
    <row r="82" spans="1:21" outlineLevel="1">
      <c r="B82" s="638" t="str">
        <f>C87</f>
        <v>Post-combustion carbon capture retrofit - 500 MW(th) biomass-fired boiler</v>
      </c>
    </row>
    <row r="85" spans="1:21" ht="15" customHeight="1">
      <c r="A85" s="360" t="s">
        <v>1017</v>
      </c>
      <c r="B85" s="1207"/>
      <c r="C85" s="1143"/>
      <c r="D85" s="1143"/>
      <c r="E85" s="1143"/>
      <c r="F85" s="1143"/>
      <c r="G85" s="1143"/>
      <c r="H85" s="1143"/>
      <c r="I85" s="1143"/>
      <c r="J85" s="1143"/>
      <c r="K85" s="1143"/>
      <c r="L85" s="1143"/>
      <c r="M85" s="1143"/>
      <c r="N85" s="693"/>
    </row>
    <row r="86" spans="1:21" ht="15.75" customHeight="1" outlineLevel="1">
      <c r="B86" s="1207"/>
      <c r="C86" s="1143"/>
      <c r="D86" s="1143"/>
      <c r="E86" s="1143"/>
      <c r="F86" s="1143"/>
      <c r="G86" s="1143"/>
      <c r="H86" s="1143"/>
      <c r="I86" s="1143"/>
      <c r="J86" s="1143"/>
      <c r="K86" s="1143"/>
      <c r="L86" s="1143"/>
      <c r="M86" s="1143"/>
      <c r="N86" s="693"/>
    </row>
    <row r="87" spans="1:21" ht="20.25" customHeight="1" outlineLevel="1">
      <c r="B87" s="733" t="s">
        <v>0</v>
      </c>
      <c r="C87" s="1208" t="s">
        <v>1075</v>
      </c>
      <c r="D87" s="1209"/>
      <c r="E87" s="1209"/>
      <c r="F87" s="1209"/>
      <c r="G87" s="1209"/>
      <c r="H87" s="1209"/>
      <c r="I87" s="1209"/>
      <c r="J87" s="1209"/>
      <c r="K87" s="1209"/>
      <c r="L87" s="1209"/>
      <c r="M87" s="1210"/>
      <c r="N87" s="363"/>
    </row>
    <row r="88" spans="1:21" ht="15" customHeight="1" outlineLevel="1">
      <c r="B88" s="734"/>
      <c r="C88" s="751">
        <v>2020</v>
      </c>
      <c r="D88" s="751">
        <v>2025</v>
      </c>
      <c r="E88" s="752">
        <v>2030</v>
      </c>
      <c r="F88" s="752">
        <v>2040</v>
      </c>
      <c r="G88" s="753">
        <v>2050</v>
      </c>
      <c r="H88" s="1211" t="s">
        <v>1019</v>
      </c>
      <c r="I88" s="1212"/>
      <c r="J88" s="1211" t="s">
        <v>648</v>
      </c>
      <c r="K88" s="1212"/>
      <c r="L88" s="752" t="s">
        <v>2</v>
      </c>
      <c r="M88" s="735" t="s">
        <v>3</v>
      </c>
      <c r="N88" s="367"/>
      <c r="P88" s="1143"/>
      <c r="Q88" s="1143"/>
      <c r="R88" s="1143"/>
      <c r="S88" s="1143"/>
      <c r="T88" s="1143"/>
      <c r="U88" s="1143"/>
    </row>
    <row r="89" spans="1:21" ht="16" outlineLevel="1">
      <c r="B89" s="734"/>
      <c r="C89" s="754"/>
      <c r="D89" s="755"/>
      <c r="E89" s="756"/>
      <c r="F89" s="756"/>
      <c r="G89" s="756"/>
      <c r="H89" s="757" t="s">
        <v>649</v>
      </c>
      <c r="I89" s="757" t="s">
        <v>650</v>
      </c>
      <c r="J89" s="757" t="s">
        <v>649</v>
      </c>
      <c r="K89" s="757" t="s">
        <v>650</v>
      </c>
      <c r="L89" s="756"/>
      <c r="M89" s="736"/>
      <c r="N89" s="370"/>
    </row>
    <row r="90" spans="1:21" outlineLevel="1">
      <c r="B90" s="737" t="s">
        <v>4</v>
      </c>
      <c r="C90" s="756"/>
      <c r="D90" s="756"/>
      <c r="E90" s="756"/>
      <c r="F90" s="756"/>
      <c r="G90" s="756"/>
      <c r="H90" s="756"/>
      <c r="I90" s="756"/>
      <c r="J90" s="756"/>
      <c r="K90" s="756"/>
      <c r="L90" s="756"/>
      <c r="M90" s="736"/>
      <c r="N90" s="370"/>
    </row>
    <row r="91" spans="1:21" ht="24.5" customHeight="1" outlineLevel="1">
      <c r="B91" s="738" t="s">
        <v>1078</v>
      </c>
      <c r="C91" s="758">
        <v>164</v>
      </c>
      <c r="D91" s="758">
        <v>164</v>
      </c>
      <c r="E91" s="758">
        <v>164</v>
      </c>
      <c r="F91" s="758">
        <v>173</v>
      </c>
      <c r="G91" s="758">
        <v>173</v>
      </c>
      <c r="H91" s="758">
        <v>155</v>
      </c>
      <c r="I91" s="758">
        <v>173</v>
      </c>
      <c r="J91" s="758">
        <v>167</v>
      </c>
      <c r="K91" s="758">
        <v>180</v>
      </c>
      <c r="L91" s="758"/>
      <c r="M91" s="739"/>
      <c r="N91" s="370"/>
    </row>
    <row r="92" spans="1:21" ht="32.5" customHeight="1" outlineLevel="1">
      <c r="B92" s="740" t="s">
        <v>1021</v>
      </c>
      <c r="C92" s="759"/>
      <c r="D92" s="759"/>
      <c r="E92" s="759"/>
      <c r="F92" s="759"/>
      <c r="G92" s="759"/>
      <c r="H92" s="759"/>
      <c r="I92" s="759"/>
      <c r="J92" s="759"/>
      <c r="K92" s="759"/>
      <c r="L92" s="759"/>
      <c r="M92" s="741"/>
      <c r="N92" s="370"/>
    </row>
    <row r="93" spans="1:21" ht="14.5" customHeight="1" outlineLevel="1">
      <c r="B93" s="738" t="s">
        <v>1022</v>
      </c>
      <c r="C93" s="758">
        <v>5.0999999999999996</v>
      </c>
      <c r="D93" s="758">
        <v>5.0999999999999996</v>
      </c>
      <c r="E93" s="758">
        <v>5.0999999999999996</v>
      </c>
      <c r="F93" s="758">
        <v>4.8</v>
      </c>
      <c r="G93" s="758">
        <v>4.8</v>
      </c>
      <c r="H93" s="758">
        <v>5.4</v>
      </c>
      <c r="I93" s="758">
        <v>4.8</v>
      </c>
      <c r="J93" s="758">
        <v>5</v>
      </c>
      <c r="K93" s="758">
        <v>4.7</v>
      </c>
      <c r="L93" s="758"/>
      <c r="M93" s="739"/>
      <c r="N93" s="370"/>
    </row>
    <row r="94" spans="1:21" ht="15" customHeight="1" outlineLevel="1">
      <c r="B94" s="742" t="s">
        <v>1079</v>
      </c>
      <c r="C94" s="760">
        <v>17</v>
      </c>
      <c r="D94" s="760">
        <v>17</v>
      </c>
      <c r="E94" s="760">
        <v>17</v>
      </c>
      <c r="F94" s="760">
        <v>17</v>
      </c>
      <c r="G94" s="760">
        <v>17</v>
      </c>
      <c r="H94" s="760">
        <v>15</v>
      </c>
      <c r="I94" s="760">
        <v>17</v>
      </c>
      <c r="J94" s="760">
        <v>15</v>
      </c>
      <c r="K94" s="760">
        <v>17</v>
      </c>
      <c r="L94" s="760"/>
      <c r="M94" s="743"/>
      <c r="N94" s="370"/>
      <c r="P94" s="224">
        <f>C91*C96</f>
        <v>136.61199999999999</v>
      </c>
    </row>
    <row r="95" spans="1:21" ht="14.5" customHeight="1" outlineLevel="1">
      <c r="B95" s="742" t="s">
        <v>1080</v>
      </c>
      <c r="C95" s="758">
        <v>35</v>
      </c>
      <c r="D95" s="758">
        <v>35</v>
      </c>
      <c r="E95" s="758">
        <v>35</v>
      </c>
      <c r="F95" s="758">
        <v>35</v>
      </c>
      <c r="G95" s="758">
        <v>35</v>
      </c>
      <c r="H95" s="758">
        <v>30</v>
      </c>
      <c r="I95" s="758">
        <v>40</v>
      </c>
      <c r="J95" s="758">
        <v>30</v>
      </c>
      <c r="K95" s="758">
        <v>40</v>
      </c>
      <c r="L95" s="758" t="s">
        <v>59</v>
      </c>
      <c r="M95" s="739"/>
      <c r="N95" s="367"/>
    </row>
    <row r="96" spans="1:21" ht="16" outlineLevel="1">
      <c r="B96" s="804" t="s">
        <v>1025</v>
      </c>
      <c r="C96" s="805">
        <v>0.83299999999999996</v>
      </c>
      <c r="D96" s="805">
        <v>0.83299999999999996</v>
      </c>
      <c r="E96" s="805">
        <v>0.72</v>
      </c>
      <c r="F96" s="805">
        <v>0.66</v>
      </c>
      <c r="G96" s="805">
        <v>0.66</v>
      </c>
      <c r="H96" s="806">
        <v>0.66</v>
      </c>
      <c r="I96" s="806">
        <v>1</v>
      </c>
      <c r="J96" s="806">
        <v>0.55000000000000004</v>
      </c>
      <c r="K96" s="806">
        <v>0.72</v>
      </c>
      <c r="L96" s="806" t="s">
        <v>16</v>
      </c>
      <c r="M96" s="745"/>
      <c r="N96" s="363"/>
    </row>
    <row r="97" spans="1:20" ht="16" outlineLevel="1">
      <c r="B97" s="807" t="s">
        <v>1026</v>
      </c>
      <c r="C97" s="808">
        <v>0.03</v>
      </c>
      <c r="D97" s="808">
        <v>0.03</v>
      </c>
      <c r="E97" s="808">
        <v>2.5000000000000001E-2</v>
      </c>
      <c r="F97" s="808">
        <v>2.3E-2</v>
      </c>
      <c r="G97" s="808">
        <v>0.02</v>
      </c>
      <c r="H97" s="808">
        <v>2.5000000000000001E-2</v>
      </c>
      <c r="I97" s="808">
        <v>3.5000000000000003E-2</v>
      </c>
      <c r="J97" s="808">
        <v>1.7000000000000001E-2</v>
      </c>
      <c r="K97" s="808">
        <v>2.5000000000000001E-2</v>
      </c>
      <c r="L97" s="808" t="s">
        <v>20</v>
      </c>
      <c r="M97" s="743"/>
      <c r="N97" s="363"/>
      <c r="P97" s="224">
        <f>57/P98</f>
        <v>0.17093159999999996</v>
      </c>
    </row>
    <row r="98" spans="1:20" outlineLevel="1">
      <c r="B98" s="744" t="s">
        <v>1027</v>
      </c>
      <c r="C98" s="761">
        <v>0.3</v>
      </c>
      <c r="D98" s="761">
        <v>0.3</v>
      </c>
      <c r="E98" s="761">
        <v>0.2</v>
      </c>
      <c r="F98" s="761">
        <v>0.15</v>
      </c>
      <c r="G98" s="761">
        <v>0.1</v>
      </c>
      <c r="H98" s="761">
        <v>0.15</v>
      </c>
      <c r="I98" s="761">
        <v>1.5</v>
      </c>
      <c r="J98" s="761">
        <v>0.05</v>
      </c>
      <c r="K98" s="761">
        <v>0.3</v>
      </c>
      <c r="L98" s="761"/>
      <c r="M98" s="745"/>
      <c r="N98" s="363"/>
      <c r="O98" s="224" t="s">
        <v>1073</v>
      </c>
      <c r="P98" s="224">
        <f>P99*1/3.6*1000000/1000</f>
        <v>333.46672002134193</v>
      </c>
      <c r="Q98" s="224">
        <f t="shared" ref="Q98" si="12">Q99*1/3.6*1000000/1000</f>
        <v>333.46672002134193</v>
      </c>
      <c r="R98" s="224">
        <f t="shared" ref="R98" si="13">R99*1/3.6*1000000/1000</f>
        <v>385.80246913580248</v>
      </c>
      <c r="S98" s="224">
        <f t="shared" ref="S98" si="14">S99*1/3.6*1000000/1000</f>
        <v>420.87542087542084</v>
      </c>
      <c r="T98" s="224">
        <f t="shared" ref="T98" si="15">T99*1/3.6*1000000/1000</f>
        <v>420.87542087542084</v>
      </c>
    </row>
    <row r="99" spans="1:20" outlineLevel="1">
      <c r="B99" s="738" t="s">
        <v>1081</v>
      </c>
      <c r="C99" s="762"/>
      <c r="D99" s="758"/>
      <c r="E99" s="758"/>
      <c r="F99" s="758"/>
      <c r="G99" s="758"/>
      <c r="H99" s="758"/>
      <c r="I99" s="758"/>
      <c r="J99" s="758"/>
      <c r="K99" s="758"/>
      <c r="L99" s="758"/>
      <c r="M99" s="739"/>
      <c r="N99" s="363"/>
      <c r="O99" s="803"/>
      <c r="P99" s="224">
        <f>1/C96</f>
        <v>1.2004801920768309</v>
      </c>
      <c r="Q99" s="224">
        <f t="shared" ref="Q99" si="16">1/D96</f>
        <v>1.2004801920768309</v>
      </c>
      <c r="R99" s="224">
        <f t="shared" ref="R99" si="17">1/E96</f>
        <v>1.3888888888888888</v>
      </c>
      <c r="S99" s="224">
        <f t="shared" ref="S99" si="18">1/F96</f>
        <v>1.5151515151515151</v>
      </c>
      <c r="T99" s="224">
        <f t="shared" ref="T99" si="19">1/G96</f>
        <v>1.5151515151515151</v>
      </c>
    </row>
    <row r="100" spans="1:20" outlineLevel="1">
      <c r="B100" s="740" t="s">
        <v>1029</v>
      </c>
      <c r="C100" s="759"/>
      <c r="D100" s="759"/>
      <c r="E100" s="759"/>
      <c r="F100" s="759"/>
      <c r="G100" s="759"/>
      <c r="H100" s="759"/>
      <c r="I100" s="759"/>
      <c r="J100" s="759"/>
      <c r="K100" s="759"/>
      <c r="L100" s="759"/>
      <c r="M100" s="741"/>
      <c r="N100" s="363"/>
    </row>
    <row r="101" spans="1:20" ht="16" outlineLevel="1">
      <c r="B101" s="746" t="s">
        <v>1076</v>
      </c>
      <c r="C101" s="758">
        <v>97</v>
      </c>
      <c r="D101" s="758">
        <v>97</v>
      </c>
      <c r="E101" s="758">
        <v>98</v>
      </c>
      <c r="F101" s="758">
        <v>99</v>
      </c>
      <c r="G101" s="758">
        <v>99</v>
      </c>
      <c r="H101" s="758">
        <v>96</v>
      </c>
      <c r="I101" s="758">
        <v>98</v>
      </c>
      <c r="J101" s="758">
        <v>98</v>
      </c>
      <c r="K101" s="758">
        <v>99</v>
      </c>
      <c r="L101" s="758" t="s">
        <v>76</v>
      </c>
      <c r="M101" s="739"/>
      <c r="N101" s="363"/>
    </row>
    <row r="102" spans="1:20" ht="16" outlineLevel="1">
      <c r="B102" s="746" t="s">
        <v>1077</v>
      </c>
      <c r="C102" s="758">
        <v>160</v>
      </c>
      <c r="D102" s="758">
        <v>160</v>
      </c>
      <c r="E102" s="758">
        <v>300</v>
      </c>
      <c r="F102" s="758">
        <v>400</v>
      </c>
      <c r="G102" s="758">
        <v>400</v>
      </c>
      <c r="H102" s="758">
        <v>120</v>
      </c>
      <c r="I102" s="758">
        <v>300</v>
      </c>
      <c r="J102" s="758">
        <v>300</v>
      </c>
      <c r="K102" s="758">
        <v>600</v>
      </c>
      <c r="L102" s="758" t="s">
        <v>25</v>
      </c>
      <c r="M102" s="739"/>
      <c r="N102" s="420"/>
      <c r="P102" s="224">
        <f>P103/P99</f>
        <v>0.17093159999999999</v>
      </c>
    </row>
    <row r="103" spans="1:20" ht="38.25" customHeight="1" outlineLevel="1">
      <c r="B103" s="738" t="s">
        <v>1082</v>
      </c>
      <c r="C103" s="758">
        <v>90</v>
      </c>
      <c r="D103" s="758">
        <v>90</v>
      </c>
      <c r="E103" s="758">
        <v>90</v>
      </c>
      <c r="F103" s="758">
        <v>95</v>
      </c>
      <c r="G103" s="758">
        <v>95</v>
      </c>
      <c r="H103" s="758">
        <v>85</v>
      </c>
      <c r="I103" s="758">
        <v>95</v>
      </c>
      <c r="J103" s="758">
        <v>92</v>
      </c>
      <c r="K103" s="758">
        <v>99</v>
      </c>
      <c r="L103" s="758"/>
      <c r="M103" s="739"/>
      <c r="N103" s="428"/>
      <c r="P103" s="224">
        <f>57/1*3.6/1000000*1000</f>
        <v>0.20520000000000002</v>
      </c>
    </row>
    <row r="104" spans="1:20" outlineLevel="1">
      <c r="B104" s="738" t="s">
        <v>1033</v>
      </c>
      <c r="C104" s="758">
        <v>0.83299999999999996</v>
      </c>
      <c r="D104" s="758">
        <v>0.83299999999999996</v>
      </c>
      <c r="E104" s="758">
        <v>0.72</v>
      </c>
      <c r="F104" s="758">
        <v>0.66</v>
      </c>
      <c r="G104" s="758">
        <v>0.66</v>
      </c>
      <c r="H104" s="761">
        <v>0.66</v>
      </c>
      <c r="I104" s="761">
        <v>1</v>
      </c>
      <c r="J104" s="761">
        <v>0.55000000000000004</v>
      </c>
      <c r="K104" s="761">
        <v>0.72</v>
      </c>
      <c r="L104" s="758"/>
      <c r="M104" s="739"/>
      <c r="N104" s="428"/>
      <c r="P104" s="224">
        <f>333.5/1*3.6/1000000*1000</f>
        <v>1.2006000000000003</v>
      </c>
    </row>
    <row r="105" spans="1:20" ht="16" outlineLevel="1">
      <c r="B105" s="742" t="s">
        <v>1083</v>
      </c>
      <c r="C105" s="758">
        <v>60</v>
      </c>
      <c r="D105" s="758">
        <v>60</v>
      </c>
      <c r="E105" s="758">
        <v>60</v>
      </c>
      <c r="F105" s="758">
        <v>70</v>
      </c>
      <c r="G105" s="758">
        <v>70</v>
      </c>
      <c r="H105" s="758">
        <v>50</v>
      </c>
      <c r="I105" s="758">
        <v>80</v>
      </c>
      <c r="J105" s="758">
        <v>50</v>
      </c>
      <c r="K105" s="758">
        <v>120</v>
      </c>
      <c r="L105" s="758" t="s">
        <v>51</v>
      </c>
      <c r="M105" s="739"/>
      <c r="N105" s="428"/>
    </row>
    <row r="106" spans="1:20" outlineLevel="1">
      <c r="B106" s="747" t="s">
        <v>1035</v>
      </c>
      <c r="C106" s="761"/>
      <c r="D106" s="761"/>
      <c r="E106" s="761"/>
      <c r="F106" s="761"/>
      <c r="G106" s="761"/>
      <c r="H106" s="761"/>
      <c r="I106" s="761"/>
      <c r="J106" s="761"/>
      <c r="K106" s="761"/>
      <c r="L106" s="761"/>
      <c r="M106" s="745"/>
      <c r="N106" s="428"/>
    </row>
    <row r="107" spans="1:20" outlineLevel="1">
      <c r="B107" s="740" t="s">
        <v>1036</v>
      </c>
      <c r="C107" s="761"/>
      <c r="D107" s="761"/>
      <c r="E107" s="761"/>
      <c r="F107" s="761"/>
      <c r="G107" s="761"/>
      <c r="H107" s="761"/>
      <c r="I107" s="761"/>
      <c r="J107" s="761"/>
      <c r="K107" s="761"/>
      <c r="L107" s="761"/>
      <c r="M107" s="745"/>
      <c r="N107" s="428"/>
    </row>
    <row r="108" spans="1:20" outlineLevel="1">
      <c r="B108" s="738" t="s">
        <v>657</v>
      </c>
      <c r="C108" s="758">
        <v>5</v>
      </c>
      <c r="D108" s="758">
        <v>5</v>
      </c>
      <c r="E108" s="758">
        <v>3</v>
      </c>
      <c r="F108" s="758">
        <v>3</v>
      </c>
      <c r="G108" s="758">
        <v>3</v>
      </c>
      <c r="H108" s="758">
        <v>3</v>
      </c>
      <c r="I108" s="758">
        <v>3</v>
      </c>
      <c r="J108" s="758">
        <v>3</v>
      </c>
      <c r="K108" s="758">
        <v>3</v>
      </c>
      <c r="L108" s="758"/>
      <c r="M108" s="739"/>
      <c r="N108" s="428"/>
    </row>
    <row r="109" spans="1:20" ht="52" customHeight="1" outlineLevel="1">
      <c r="A109" s="435"/>
      <c r="B109" s="738" t="s">
        <v>658</v>
      </c>
      <c r="C109" s="758">
        <v>3</v>
      </c>
      <c r="D109" s="758">
        <v>3</v>
      </c>
      <c r="E109" s="758">
        <v>3</v>
      </c>
      <c r="F109" s="758">
        <v>2</v>
      </c>
      <c r="G109" s="758">
        <v>2</v>
      </c>
      <c r="H109" s="758">
        <v>2</v>
      </c>
      <c r="I109" s="758">
        <v>4</v>
      </c>
      <c r="J109" s="758">
        <v>2</v>
      </c>
      <c r="K109" s="758">
        <v>3</v>
      </c>
      <c r="L109" s="758"/>
      <c r="M109" s="739"/>
      <c r="N109" s="420"/>
    </row>
    <row r="110" spans="1:20" outlineLevel="1">
      <c r="B110" s="738" t="s">
        <v>11</v>
      </c>
      <c r="C110" s="758">
        <v>25</v>
      </c>
      <c r="D110" s="758">
        <v>25</v>
      </c>
      <c r="E110" s="758">
        <v>25</v>
      </c>
      <c r="F110" s="758">
        <v>25</v>
      </c>
      <c r="G110" s="758">
        <v>25</v>
      </c>
      <c r="H110" s="758">
        <v>25</v>
      </c>
      <c r="I110" s="758">
        <v>25</v>
      </c>
      <c r="J110" s="758">
        <v>25</v>
      </c>
      <c r="K110" s="758">
        <v>25</v>
      </c>
      <c r="L110" s="758"/>
      <c r="M110" s="739"/>
      <c r="N110" s="420"/>
    </row>
    <row r="111" spans="1:20" outlineLevel="1">
      <c r="B111" s="738" t="s">
        <v>273</v>
      </c>
      <c r="C111" s="758">
        <v>3</v>
      </c>
      <c r="D111" s="758">
        <v>3</v>
      </c>
      <c r="E111" s="758">
        <v>2.5</v>
      </c>
      <c r="F111" s="758">
        <v>2</v>
      </c>
      <c r="G111" s="758">
        <v>2</v>
      </c>
      <c r="H111" s="758">
        <v>2</v>
      </c>
      <c r="I111" s="758">
        <v>4</v>
      </c>
      <c r="J111" s="758">
        <v>2</v>
      </c>
      <c r="K111" s="758">
        <v>3</v>
      </c>
      <c r="L111" s="758"/>
      <c r="M111" s="739"/>
      <c r="N111" s="420"/>
    </row>
    <row r="112" spans="1:20" outlineLevel="1">
      <c r="B112" s="748" t="s">
        <v>674</v>
      </c>
      <c r="C112" s="763"/>
      <c r="D112" s="763"/>
      <c r="E112" s="763"/>
      <c r="F112" s="763"/>
      <c r="G112" s="763"/>
      <c r="H112" s="763"/>
      <c r="I112" s="763"/>
      <c r="J112" s="763"/>
      <c r="K112" s="763"/>
      <c r="L112" s="763"/>
      <c r="M112" s="748"/>
      <c r="N112" s="420"/>
    </row>
    <row r="113" spans="2:30" ht="37" customHeight="1" outlineLevel="1">
      <c r="B113" s="738" t="s">
        <v>1037</v>
      </c>
      <c r="C113" s="764">
        <v>2.7</v>
      </c>
      <c r="D113" s="764">
        <v>2.5</v>
      </c>
      <c r="E113" s="764">
        <v>2.2999999999999998</v>
      </c>
      <c r="F113" s="764">
        <v>2</v>
      </c>
      <c r="G113" s="764">
        <v>1.6</v>
      </c>
      <c r="H113" s="764">
        <v>2.2000000000000002</v>
      </c>
      <c r="I113" s="764">
        <v>3.7</v>
      </c>
      <c r="J113" s="764">
        <v>1.2</v>
      </c>
      <c r="K113" s="758">
        <v>2.2000000000000002</v>
      </c>
      <c r="L113" s="758" t="s">
        <v>52</v>
      </c>
      <c r="M113" s="739"/>
      <c r="N113" s="693"/>
    </row>
    <row r="114" spans="2:30" ht="15.75" customHeight="1" outlineLevel="1">
      <c r="B114" s="742" t="s">
        <v>1038</v>
      </c>
      <c r="C114" s="758">
        <v>50</v>
      </c>
      <c r="D114" s="758">
        <v>50</v>
      </c>
      <c r="E114" s="758">
        <v>50</v>
      </c>
      <c r="F114" s="758">
        <v>50</v>
      </c>
      <c r="G114" s="758">
        <v>50</v>
      </c>
      <c r="H114" s="758"/>
      <c r="I114" s="758"/>
      <c r="J114" s="758"/>
      <c r="K114" s="765"/>
      <c r="L114" s="758" t="s">
        <v>55</v>
      </c>
      <c r="M114" s="739"/>
      <c r="N114" s="693"/>
    </row>
    <row r="115" spans="2:30" ht="16" outlineLevel="1">
      <c r="B115" s="738" t="s">
        <v>1039</v>
      </c>
      <c r="C115" s="758">
        <v>10</v>
      </c>
      <c r="D115" s="758">
        <v>10</v>
      </c>
      <c r="E115" s="758">
        <v>10</v>
      </c>
      <c r="F115" s="758">
        <v>10</v>
      </c>
      <c r="G115" s="758">
        <v>10</v>
      </c>
      <c r="H115" s="758"/>
      <c r="I115" s="758"/>
      <c r="J115" s="758"/>
      <c r="K115" s="765"/>
      <c r="L115" s="758" t="s">
        <v>49</v>
      </c>
      <c r="M115" s="739"/>
      <c r="N115" s="363"/>
    </row>
    <row r="116" spans="2:30" outlineLevel="1">
      <c r="B116" s="749" t="s">
        <v>1040</v>
      </c>
      <c r="C116" s="758">
        <v>10</v>
      </c>
      <c r="D116" s="758">
        <v>10</v>
      </c>
      <c r="E116" s="758">
        <v>10</v>
      </c>
      <c r="F116" s="758">
        <v>10</v>
      </c>
      <c r="G116" s="758">
        <v>10</v>
      </c>
      <c r="H116" s="758"/>
      <c r="I116" s="758"/>
      <c r="J116" s="758"/>
      <c r="K116" s="765"/>
      <c r="L116" s="257"/>
      <c r="M116" s="739"/>
      <c r="N116" s="367"/>
      <c r="P116" s="1142">
        <f>C113</f>
        <v>2.7</v>
      </c>
      <c r="Q116" s="1143"/>
      <c r="R116" s="1143"/>
      <c r="S116" s="1143"/>
      <c r="T116" s="1143"/>
      <c r="U116" s="1144"/>
    </row>
    <row r="117" spans="2:30" ht="17" outlineLevel="1" thickBot="1">
      <c r="B117" s="738" t="s">
        <v>1041</v>
      </c>
      <c r="C117" s="758">
        <v>15</v>
      </c>
      <c r="D117" s="758">
        <v>15</v>
      </c>
      <c r="E117" s="758">
        <v>15</v>
      </c>
      <c r="F117" s="758">
        <v>15</v>
      </c>
      <c r="G117" s="758">
        <v>15</v>
      </c>
      <c r="H117" s="758"/>
      <c r="I117" s="758"/>
      <c r="J117" s="758"/>
      <c r="K117" s="765"/>
      <c r="L117" s="758" t="s">
        <v>374</v>
      </c>
      <c r="M117" s="739"/>
      <c r="N117" s="363"/>
      <c r="P117" s="1134">
        <f>C114</f>
        <v>50</v>
      </c>
      <c r="Q117" s="1135"/>
      <c r="R117" s="1135"/>
      <c r="S117" s="1135"/>
      <c r="T117" s="1135"/>
      <c r="U117" s="1136"/>
    </row>
    <row r="118" spans="2:30" outlineLevel="1">
      <c r="B118" s="738" t="s">
        <v>1042</v>
      </c>
      <c r="C118" s="758">
        <v>15</v>
      </c>
      <c r="D118" s="758">
        <v>15</v>
      </c>
      <c r="E118" s="758">
        <v>15</v>
      </c>
      <c r="F118" s="758">
        <v>15</v>
      </c>
      <c r="G118" s="758">
        <v>15</v>
      </c>
      <c r="H118" s="758"/>
      <c r="I118" s="758"/>
      <c r="J118" s="758"/>
      <c r="K118" s="766"/>
      <c r="L118" s="257"/>
      <c r="M118" s="739"/>
      <c r="N118" s="363"/>
      <c r="P118" s="53" t="s">
        <v>357</v>
      </c>
    </row>
    <row r="119" spans="2:30" ht="30" outlineLevel="1">
      <c r="B119" s="747" t="s">
        <v>1043</v>
      </c>
      <c r="C119" s="761">
        <f>C113*0.03</f>
        <v>8.1000000000000003E-2</v>
      </c>
      <c r="D119" s="761">
        <f>D113*0.03</f>
        <v>7.4999999999999997E-2</v>
      </c>
      <c r="E119" s="761">
        <f>E113*0.03</f>
        <v>6.8999999999999992E-2</v>
      </c>
      <c r="F119" s="761">
        <f>F113*0.03</f>
        <v>0.06</v>
      </c>
      <c r="G119" s="761">
        <f>G113*0.03</f>
        <v>4.8000000000000001E-2</v>
      </c>
      <c r="H119" s="761">
        <f t="shared" ref="H119:K119" si="20">H113*0.03</f>
        <v>6.6000000000000003E-2</v>
      </c>
      <c r="I119" s="761">
        <f t="shared" si="20"/>
        <v>0.111</v>
      </c>
      <c r="J119" s="761">
        <f t="shared" si="20"/>
        <v>3.5999999999999997E-2</v>
      </c>
      <c r="K119" s="761">
        <f t="shared" si="20"/>
        <v>6.6000000000000003E-2</v>
      </c>
      <c r="L119" s="758" t="s">
        <v>886</v>
      </c>
      <c r="M119" s="745"/>
      <c r="N119" s="363"/>
      <c r="P119" s="46" t="s">
        <v>335</v>
      </c>
      <c r="Q119" s="46" t="s">
        <v>336</v>
      </c>
      <c r="R119" s="47" t="s">
        <v>337</v>
      </c>
      <c r="S119" s="47" t="s">
        <v>338</v>
      </c>
      <c r="T119" s="47" t="s">
        <v>339</v>
      </c>
      <c r="U119" s="48" t="s">
        <v>340</v>
      </c>
      <c r="V119" s="49" t="s">
        <v>341</v>
      </c>
      <c r="W119" s="49" t="s">
        <v>342</v>
      </c>
      <c r="X119" s="49" t="s">
        <v>343</v>
      </c>
      <c r="Y119" s="49" t="s">
        <v>344</v>
      </c>
      <c r="Z119" s="49" t="s">
        <v>345</v>
      </c>
      <c r="AA119" s="49" t="s">
        <v>346</v>
      </c>
      <c r="AB119" s="49" t="s">
        <v>347</v>
      </c>
      <c r="AC119" s="49" t="s">
        <v>348</v>
      </c>
      <c r="AD119" s="49" t="s">
        <v>349</v>
      </c>
    </row>
    <row r="120" spans="2:30" ht="14.5" customHeight="1" outlineLevel="1" thickBot="1">
      <c r="B120" s="742" t="s">
        <v>1044</v>
      </c>
      <c r="C120" s="758">
        <v>2.5</v>
      </c>
      <c r="D120" s="758">
        <v>2.5</v>
      </c>
      <c r="E120" s="758">
        <v>2.5</v>
      </c>
      <c r="F120" s="758">
        <v>2.5</v>
      </c>
      <c r="G120" s="758">
        <v>2.5</v>
      </c>
      <c r="H120" s="761">
        <v>1.5</v>
      </c>
      <c r="I120" s="761">
        <v>3.5</v>
      </c>
      <c r="J120" s="761">
        <v>1.5</v>
      </c>
      <c r="K120" s="761">
        <v>3.5</v>
      </c>
      <c r="L120" s="257"/>
      <c r="M120" s="739"/>
      <c r="N120" s="363"/>
      <c r="P120" s="50"/>
      <c r="Q120" s="50"/>
      <c r="R120" s="51"/>
      <c r="S120" s="51"/>
      <c r="T120" s="51"/>
      <c r="U120" s="51" t="s">
        <v>760</v>
      </c>
      <c r="V120" s="50" t="s">
        <v>761</v>
      </c>
      <c r="W120" s="50"/>
      <c r="X120" s="50"/>
      <c r="Y120" s="50"/>
      <c r="Z120" s="50"/>
      <c r="AA120" s="50"/>
      <c r="AB120" s="50"/>
      <c r="AC120" s="50"/>
      <c r="AD120" s="50"/>
    </row>
    <row r="121" spans="2:30" ht="32" outlineLevel="1">
      <c r="B121" s="746" t="s">
        <v>1045</v>
      </c>
      <c r="C121" s="758">
        <v>25</v>
      </c>
      <c r="D121" s="758">
        <v>25</v>
      </c>
      <c r="E121" s="758">
        <v>25</v>
      </c>
      <c r="F121" s="758">
        <v>25</v>
      </c>
      <c r="G121" s="758">
        <v>25</v>
      </c>
      <c r="H121" s="758"/>
      <c r="I121" s="758"/>
      <c r="J121" s="758"/>
      <c r="K121" s="765"/>
      <c r="L121" s="257"/>
      <c r="M121" s="739"/>
      <c r="N121" s="363"/>
      <c r="O121" s="461" t="s">
        <v>732</v>
      </c>
      <c r="P121" s="56"/>
      <c r="Q121" s="56"/>
      <c r="R121" s="57"/>
      <c r="S121" s="57"/>
      <c r="T121" s="57"/>
      <c r="U121" s="56" t="s">
        <v>350</v>
      </c>
      <c r="V121" s="56" t="s">
        <v>326</v>
      </c>
      <c r="W121" s="56" t="s">
        <v>327</v>
      </c>
      <c r="X121" s="56" t="s">
        <v>351</v>
      </c>
      <c r="Y121" s="56" t="s">
        <v>351</v>
      </c>
      <c r="Z121" s="56" t="s">
        <v>352</v>
      </c>
      <c r="AA121" s="56" t="s">
        <v>352</v>
      </c>
      <c r="AB121" s="56" t="s">
        <v>352</v>
      </c>
      <c r="AC121" s="56" t="s">
        <v>352</v>
      </c>
      <c r="AD121" s="56" t="s">
        <v>352</v>
      </c>
    </row>
    <row r="122" spans="2:30" ht="14.5" customHeight="1" outlineLevel="1">
      <c r="B122" s="737" t="s">
        <v>1046</v>
      </c>
      <c r="C122" s="756"/>
      <c r="D122" s="756"/>
      <c r="E122" s="756"/>
      <c r="F122" s="756"/>
      <c r="G122" s="756"/>
      <c r="H122" s="756"/>
      <c r="I122" s="756"/>
      <c r="J122" s="756"/>
      <c r="K122" s="756"/>
      <c r="L122" s="756"/>
      <c r="M122" s="750"/>
      <c r="N122" s="363"/>
      <c r="O122" s="465">
        <f>C92</f>
        <v>0</v>
      </c>
      <c r="P122" s="466">
        <f>C88</f>
        <v>2020</v>
      </c>
      <c r="Q122" s="58">
        <f>P122</f>
        <v>2020</v>
      </c>
      <c r="R122" s="466">
        <f>O122/100</f>
        <v>0</v>
      </c>
      <c r="S122" s="58"/>
      <c r="T122" s="466">
        <f>C96</f>
        <v>0.83299999999999996</v>
      </c>
      <c r="U122" s="467">
        <f>C127</f>
        <v>24147.659063625455</v>
      </c>
      <c r="V122" s="467">
        <f>C129</f>
        <v>724.42977190876354</v>
      </c>
      <c r="W122" s="467">
        <f>C130</f>
        <v>6.2108176603974927</v>
      </c>
      <c r="X122" s="58"/>
      <c r="Y122" s="58"/>
      <c r="Z122" s="466">
        <f>C103</f>
        <v>90</v>
      </c>
      <c r="AA122" s="468">
        <f>C105</f>
        <v>60</v>
      </c>
      <c r="AB122" s="468">
        <f>C106</f>
        <v>0</v>
      </c>
      <c r="AC122" s="468">
        <f>C107</f>
        <v>0</v>
      </c>
      <c r="AD122" s="468">
        <f>C104</f>
        <v>0.83299999999999996</v>
      </c>
    </row>
    <row r="123" spans="2:30" ht="16" outlineLevel="1">
      <c r="B123" s="742" t="s">
        <v>1047</v>
      </c>
      <c r="C123" s="767">
        <v>0.1</v>
      </c>
      <c r="D123" s="767">
        <v>0.1</v>
      </c>
      <c r="E123" s="758">
        <v>8.5000000000000006E-2</v>
      </c>
      <c r="F123" s="758">
        <v>7.4999999999999997E-2</v>
      </c>
      <c r="G123" s="758">
        <v>7.4999999999999997E-2</v>
      </c>
      <c r="H123" s="758">
        <v>0.09</v>
      </c>
      <c r="I123" s="758">
        <v>0.11</v>
      </c>
      <c r="J123" s="758">
        <v>7.0000000000000007E-2</v>
      </c>
      <c r="K123" s="760">
        <v>0.09</v>
      </c>
      <c r="L123" s="758" t="s">
        <v>887</v>
      </c>
      <c r="M123" s="739"/>
      <c r="N123" s="367"/>
      <c r="O123" s="465">
        <f>D92</f>
        <v>0</v>
      </c>
      <c r="P123" s="466">
        <f>D88</f>
        <v>2025</v>
      </c>
      <c r="Q123" s="58"/>
      <c r="R123" s="466">
        <f>O123/100</f>
        <v>0</v>
      </c>
      <c r="S123" s="58"/>
      <c r="T123" s="466">
        <f>D96</f>
        <v>0.83299999999999996</v>
      </c>
      <c r="U123" s="467">
        <f>D127</f>
        <v>22358.943577430975</v>
      </c>
      <c r="V123" s="467">
        <f>D129</f>
        <v>670.7683073229291</v>
      </c>
      <c r="W123" s="467">
        <f>D130</f>
        <v>6.2108176603974927</v>
      </c>
      <c r="X123" s="58"/>
      <c r="Y123" s="58"/>
      <c r="Z123" s="466">
        <f>D103</f>
        <v>90</v>
      </c>
      <c r="AA123" s="468">
        <f>D105</f>
        <v>60</v>
      </c>
      <c r="AB123" s="468">
        <f>D106</f>
        <v>0</v>
      </c>
      <c r="AC123" s="468">
        <f>D107</f>
        <v>0</v>
      </c>
      <c r="AD123" s="468">
        <f>D104</f>
        <v>0.83299999999999996</v>
      </c>
    </row>
    <row r="124" spans="2:30" ht="16" outlineLevel="1">
      <c r="B124" s="742" t="s">
        <v>1048</v>
      </c>
      <c r="C124" s="758">
        <v>0.16</v>
      </c>
      <c r="D124" s="758">
        <v>0.16</v>
      </c>
      <c r="E124" s="758">
        <v>0.14000000000000001</v>
      </c>
      <c r="F124" s="758">
        <v>0.13</v>
      </c>
      <c r="G124" s="758">
        <v>0.13</v>
      </c>
      <c r="H124" s="758">
        <v>0.14000000000000001</v>
      </c>
      <c r="I124" s="758">
        <v>0.18</v>
      </c>
      <c r="J124" s="758">
        <v>0.12</v>
      </c>
      <c r="K124" s="760">
        <v>0.15</v>
      </c>
      <c r="L124" s="758" t="s">
        <v>887</v>
      </c>
      <c r="M124" s="739"/>
      <c r="N124" s="363"/>
      <c r="O124" s="465">
        <f>E92</f>
        <v>0</v>
      </c>
      <c r="P124" s="466">
        <f>E88</f>
        <v>2030</v>
      </c>
      <c r="Q124" s="58"/>
      <c r="R124" s="466">
        <f>O124/100</f>
        <v>0</v>
      </c>
      <c r="S124" s="58"/>
      <c r="T124" s="466">
        <f>E96</f>
        <v>0.72</v>
      </c>
      <c r="U124" s="467">
        <f>E127</f>
        <v>23798.611111111109</v>
      </c>
      <c r="V124" s="467">
        <f>E129</f>
        <v>713.95833333333337</v>
      </c>
      <c r="W124" s="467">
        <f>E130</f>
        <v>7.1855709876543212</v>
      </c>
      <c r="X124" s="58"/>
      <c r="Y124" s="58"/>
      <c r="Z124" s="466">
        <f>E103</f>
        <v>90</v>
      </c>
      <c r="AA124" s="468">
        <f>E105</f>
        <v>60</v>
      </c>
      <c r="AB124" s="468">
        <f>E106</f>
        <v>0</v>
      </c>
      <c r="AC124" s="468">
        <f>E107</f>
        <v>0</v>
      </c>
      <c r="AD124" s="468">
        <f>E104</f>
        <v>0.72</v>
      </c>
    </row>
    <row r="125" spans="2:30" outlineLevel="1">
      <c r="B125" s="742"/>
      <c r="C125" s="758"/>
      <c r="D125" s="758"/>
      <c r="E125" s="758"/>
      <c r="F125" s="758"/>
      <c r="G125" s="758"/>
      <c r="H125" s="758"/>
      <c r="I125" s="758"/>
      <c r="J125" s="758"/>
      <c r="K125" s="765"/>
      <c r="L125" s="758"/>
      <c r="M125" s="739"/>
      <c r="N125" s="363"/>
      <c r="O125" s="465">
        <f>F92</f>
        <v>0</v>
      </c>
      <c r="P125" s="466">
        <f>F88</f>
        <v>2040</v>
      </c>
      <c r="Q125" s="58"/>
      <c r="R125" s="466">
        <f>O125/100</f>
        <v>0</v>
      </c>
      <c r="S125" s="58"/>
      <c r="T125" s="466">
        <f>F96</f>
        <v>0.66</v>
      </c>
      <c r="U125" s="467">
        <f>F127</f>
        <v>22575.757575757576</v>
      </c>
      <c r="V125" s="467">
        <f>F129</f>
        <v>677.27272727272725</v>
      </c>
      <c r="W125" s="467">
        <f>F130</f>
        <v>7.8388047138047137</v>
      </c>
      <c r="X125" s="58"/>
      <c r="Y125" s="58"/>
      <c r="Z125" s="466">
        <f>F103</f>
        <v>95</v>
      </c>
      <c r="AA125" s="468">
        <f>F105</f>
        <v>70</v>
      </c>
      <c r="AB125" s="468">
        <f>F106</f>
        <v>0</v>
      </c>
      <c r="AC125" s="468">
        <f>F107</f>
        <v>0</v>
      </c>
      <c r="AD125" s="468">
        <f>F104</f>
        <v>0.66</v>
      </c>
    </row>
    <row r="126" spans="2:30" outlineLevel="1">
      <c r="B126" s="738"/>
      <c r="C126" s="758"/>
      <c r="D126" s="758"/>
      <c r="E126" s="758"/>
      <c r="F126" s="758"/>
      <c r="G126" s="766"/>
      <c r="H126" s="758"/>
      <c r="I126" s="758"/>
      <c r="J126" s="758"/>
      <c r="K126" s="766"/>
      <c r="L126" s="758"/>
      <c r="M126" s="739"/>
      <c r="N126" s="363"/>
      <c r="O126" s="465">
        <f>E94</f>
        <v>17</v>
      </c>
      <c r="P126" s="466">
        <f>G88</f>
        <v>2050</v>
      </c>
      <c r="Q126" s="58"/>
      <c r="R126" s="466">
        <f>O126/100</f>
        <v>0.17</v>
      </c>
      <c r="S126" s="58"/>
      <c r="T126" s="466">
        <f>E98</f>
        <v>0.2</v>
      </c>
      <c r="U126" s="467">
        <f>E129</f>
        <v>713.95833333333337</v>
      </c>
      <c r="V126" s="467">
        <f>E131</f>
        <v>0</v>
      </c>
      <c r="W126" s="467">
        <f>E132</f>
        <v>0</v>
      </c>
      <c r="X126" s="58"/>
      <c r="Y126" s="58"/>
      <c r="Z126" s="466">
        <f>E105</f>
        <v>60</v>
      </c>
      <c r="AA126" s="468">
        <f>E107</f>
        <v>0</v>
      </c>
      <c r="AB126" s="468">
        <f>E108</f>
        <v>3</v>
      </c>
      <c r="AC126" s="468">
        <f>E109</f>
        <v>3</v>
      </c>
      <c r="AD126" s="468">
        <f>E106</f>
        <v>0</v>
      </c>
    </row>
    <row r="127" spans="2:30" ht="64" outlineLevel="1">
      <c r="B127" s="461" t="s">
        <v>769</v>
      </c>
      <c r="C127" s="483">
        <f>C113*$F$4*1/C96*1000</f>
        <v>24147.659063625455</v>
      </c>
      <c r="D127" s="483">
        <f t="shared" ref="D127:G127" si="21">D113*$F$4*1/D96*1000</f>
        <v>22358.943577430975</v>
      </c>
      <c r="E127" s="483">
        <f t="shared" si="21"/>
        <v>23798.611111111109</v>
      </c>
      <c r="F127" s="483">
        <f t="shared" si="21"/>
        <v>22575.757575757576</v>
      </c>
      <c r="G127" s="483">
        <f t="shared" si="21"/>
        <v>18060.606060606064</v>
      </c>
      <c r="H127" s="484"/>
      <c r="I127" s="420" t="s">
        <v>332</v>
      </c>
      <c r="J127" s="420"/>
      <c r="K127" s="484"/>
      <c r="L127" s="484"/>
      <c r="N127" s="420"/>
    </row>
    <row r="128" spans="2:30" ht="14.5" customHeight="1" outlineLevel="1">
      <c r="B128" s="485" t="s">
        <v>770</v>
      </c>
      <c r="C128" s="486">
        <f>C127*$I128</f>
        <v>12073829.531812727</v>
      </c>
      <c r="D128" s="486">
        <f>D127*$I128</f>
        <v>11179471.788715487</v>
      </c>
      <c r="E128" s="486">
        <f>E127*$I128</f>
        <v>11899305.555555554</v>
      </c>
      <c r="F128" s="486">
        <f>F127*$I128</f>
        <v>11287878.787878787</v>
      </c>
      <c r="G128" s="486"/>
      <c r="H128" s="484"/>
      <c r="I128" s="71">
        <v>500</v>
      </c>
      <c r="J128" s="420" t="s">
        <v>330</v>
      </c>
      <c r="K128" s="484"/>
      <c r="L128" s="484"/>
      <c r="N128" s="420"/>
    </row>
    <row r="129" spans="2:14" ht="48" outlineLevel="1">
      <c r="B129" s="461" t="s">
        <v>1074</v>
      </c>
      <c r="C129" s="359">
        <f>C119*$F$4*1/C96*1000</f>
        <v>724.42977190876354</v>
      </c>
      <c r="D129" s="359">
        <f t="shared" ref="D129:G129" si="22">D119*$F$4*1/D96*1000</f>
        <v>670.7683073229291</v>
      </c>
      <c r="E129" s="359">
        <f t="shared" si="22"/>
        <v>713.95833333333337</v>
      </c>
      <c r="F129" s="359">
        <f t="shared" si="22"/>
        <v>677.27272727272725</v>
      </c>
      <c r="G129" s="359">
        <f t="shared" si="22"/>
        <v>541.81818181818187</v>
      </c>
      <c r="I129" s="420" t="s">
        <v>333</v>
      </c>
      <c r="J129" s="420"/>
      <c r="N129" s="420"/>
    </row>
    <row r="130" spans="2:14" ht="48" outlineLevel="1">
      <c r="B130" s="461" t="s">
        <v>846</v>
      </c>
      <c r="C130" s="487">
        <f>C120*$F$4*1/C104/3.6</f>
        <v>6.2108176603974927</v>
      </c>
      <c r="D130" s="487">
        <f t="shared" ref="D130:G130" si="23">D120*$F$4*1/D104/3.6</f>
        <v>6.2108176603974927</v>
      </c>
      <c r="E130" s="487">
        <f t="shared" si="23"/>
        <v>7.1855709876543212</v>
      </c>
      <c r="F130" s="487">
        <f t="shared" si="23"/>
        <v>7.8388047138047137</v>
      </c>
      <c r="G130" s="487">
        <f t="shared" si="23"/>
        <v>7.8388047138047137</v>
      </c>
      <c r="M130" s="420"/>
      <c r="N130" s="420"/>
    </row>
    <row r="131" spans="2:14" outlineLevel="1"/>
    <row r="132" spans="2:14" outlineLevel="1"/>
    <row r="133" spans="2:14" outlineLevel="1"/>
    <row r="134" spans="2:14" outlineLevel="1"/>
    <row r="135" spans="2:14" outlineLevel="1">
      <c r="E135" s="358"/>
      <c r="F135" s="358"/>
      <c r="G135" s="358"/>
      <c r="H135" s="358"/>
      <c r="I135" s="358"/>
      <c r="J135" s="358"/>
      <c r="K135" s="358"/>
      <c r="L135" s="358"/>
    </row>
    <row r="136" spans="2:14" outlineLevel="1">
      <c r="B136" s="797" t="s">
        <v>773</v>
      </c>
      <c r="C136" s="223"/>
      <c r="D136" s="798"/>
      <c r="E136" s="798"/>
      <c r="F136" s="798"/>
      <c r="G136" s="798"/>
      <c r="H136" s="798"/>
      <c r="I136" s="798"/>
      <c r="J136" s="798"/>
      <c r="K136" s="798"/>
      <c r="L136" s="799"/>
    </row>
    <row r="137" spans="2:14" outlineLevel="1">
      <c r="B137" s="223">
        <v>1</v>
      </c>
      <c r="C137" s="223"/>
      <c r="D137" s="223"/>
      <c r="E137" s="800"/>
      <c r="F137" s="223"/>
      <c r="G137" s="223"/>
      <c r="H137" s="223"/>
      <c r="I137" s="223"/>
      <c r="J137" s="223"/>
      <c r="K137" s="223"/>
      <c r="L137" s="223"/>
    </row>
    <row r="138" spans="2:14" outlineLevel="1">
      <c r="B138" s="223">
        <v>2</v>
      </c>
      <c r="C138" s="223"/>
      <c r="D138" s="223"/>
      <c r="E138" s="800"/>
      <c r="F138" s="223"/>
      <c r="G138" s="223"/>
      <c r="H138" s="223"/>
      <c r="I138" s="223"/>
      <c r="J138" s="223"/>
      <c r="K138" s="223"/>
      <c r="L138" s="223"/>
    </row>
    <row r="139" spans="2:14" outlineLevel="1">
      <c r="B139" s="223">
        <v>3</v>
      </c>
      <c r="C139" s="223"/>
      <c r="D139" s="223"/>
      <c r="E139" s="800"/>
      <c r="F139" s="223"/>
      <c r="G139" s="223"/>
      <c r="H139" s="223"/>
      <c r="I139" s="223"/>
      <c r="J139" s="223"/>
      <c r="K139" s="223"/>
      <c r="L139" s="223"/>
    </row>
    <row r="140" spans="2:14" outlineLevel="1">
      <c r="B140" s="223"/>
      <c r="C140" s="223"/>
      <c r="D140" s="223"/>
      <c r="E140" s="223"/>
      <c r="F140" s="223"/>
      <c r="G140" s="223"/>
      <c r="H140" s="223"/>
      <c r="I140" s="223"/>
      <c r="J140" s="223"/>
      <c r="K140" s="223"/>
      <c r="L140" s="223"/>
    </row>
    <row r="141" spans="2:14" outlineLevel="1">
      <c r="B141" s="223"/>
      <c r="C141" s="223"/>
      <c r="D141" s="223"/>
      <c r="E141" s="223"/>
      <c r="F141" s="223"/>
      <c r="G141" s="223"/>
      <c r="H141" s="223"/>
      <c r="I141" s="223"/>
      <c r="J141" s="223"/>
      <c r="K141" s="223"/>
      <c r="L141" s="223"/>
    </row>
    <row r="142" spans="2:14" outlineLevel="1">
      <c r="B142" s="801" t="s">
        <v>783</v>
      </c>
      <c r="C142" s="223"/>
      <c r="D142" s="223"/>
      <c r="E142" s="223"/>
      <c r="F142" s="223"/>
      <c r="G142" s="223"/>
      <c r="H142" s="223"/>
      <c r="I142" s="223"/>
      <c r="J142" s="223"/>
      <c r="K142" s="223"/>
      <c r="L142" s="223"/>
    </row>
    <row r="143" spans="2:14" outlineLevel="1">
      <c r="B143" s="802" t="s">
        <v>6</v>
      </c>
      <c r="C143" s="223" t="s">
        <v>1059</v>
      </c>
      <c r="D143" s="223"/>
      <c r="E143" s="223"/>
      <c r="F143" s="223"/>
      <c r="G143" s="223"/>
      <c r="H143" s="223"/>
      <c r="I143" s="223"/>
      <c r="J143" s="223"/>
      <c r="K143" s="223"/>
      <c r="L143" s="223"/>
    </row>
    <row r="144" spans="2:14" outlineLevel="1">
      <c r="B144" s="802" t="s">
        <v>59</v>
      </c>
      <c r="C144" s="223" t="s">
        <v>1060</v>
      </c>
      <c r="D144" s="223"/>
      <c r="E144" s="223"/>
      <c r="F144" s="223"/>
      <c r="G144" s="223"/>
      <c r="H144" s="223"/>
      <c r="I144" s="223"/>
      <c r="J144" s="223"/>
      <c r="K144" s="223"/>
      <c r="L144" s="223"/>
    </row>
    <row r="145" spans="2:12" outlineLevel="1">
      <c r="B145" s="802" t="s">
        <v>16</v>
      </c>
      <c r="C145" s="223" t="s">
        <v>1061</v>
      </c>
      <c r="D145" s="223"/>
      <c r="E145" s="223"/>
      <c r="F145" s="223"/>
      <c r="G145" s="223"/>
      <c r="H145" s="223"/>
      <c r="I145" s="223"/>
      <c r="J145" s="223"/>
      <c r="K145" s="223"/>
      <c r="L145" s="223"/>
    </row>
    <row r="146" spans="2:12" outlineLevel="1">
      <c r="B146" s="802" t="s">
        <v>20</v>
      </c>
      <c r="C146" s="223" t="s">
        <v>1062</v>
      </c>
      <c r="D146" s="223"/>
      <c r="E146" s="223"/>
      <c r="F146" s="223"/>
      <c r="G146" s="223"/>
      <c r="H146" s="223"/>
      <c r="I146" s="223"/>
      <c r="J146" s="223"/>
      <c r="K146" s="223"/>
      <c r="L146" s="223"/>
    </row>
    <row r="147" spans="2:12" outlineLevel="1">
      <c r="B147" s="802" t="s">
        <v>76</v>
      </c>
      <c r="C147" s="223" t="s">
        <v>1063</v>
      </c>
      <c r="D147" s="223"/>
      <c r="E147" s="223"/>
      <c r="F147" s="223"/>
      <c r="G147" s="223"/>
      <c r="H147" s="223"/>
      <c r="I147" s="223"/>
      <c r="J147" s="223"/>
      <c r="K147" s="223"/>
      <c r="L147" s="223"/>
    </row>
    <row r="148" spans="2:12" outlineLevel="1">
      <c r="B148" s="802" t="s">
        <v>25</v>
      </c>
      <c r="C148" s="223" t="s">
        <v>1064</v>
      </c>
      <c r="D148" s="223"/>
      <c r="E148" s="223"/>
      <c r="F148" s="223"/>
      <c r="G148" s="223"/>
      <c r="H148" s="223"/>
      <c r="I148" s="223"/>
      <c r="J148" s="223"/>
      <c r="K148" s="223"/>
      <c r="L148" s="223"/>
    </row>
    <row r="149" spans="2:12" outlineLevel="1">
      <c r="B149" s="802" t="s">
        <v>33</v>
      </c>
      <c r="C149" s="223" t="s">
        <v>1065</v>
      </c>
      <c r="D149" s="223"/>
      <c r="E149" s="223"/>
      <c r="F149" s="223"/>
      <c r="G149" s="223"/>
      <c r="H149" s="223"/>
      <c r="I149" s="223"/>
      <c r="J149" s="223"/>
      <c r="K149" s="223"/>
      <c r="L149" s="223"/>
    </row>
    <row r="150" spans="2:12" outlineLevel="1">
      <c r="B150" s="802" t="s">
        <v>51</v>
      </c>
      <c r="C150" s="223" t="s">
        <v>1066</v>
      </c>
      <c r="D150" s="223"/>
      <c r="E150" s="223"/>
      <c r="F150" s="223"/>
      <c r="G150" s="223"/>
      <c r="H150" s="223"/>
      <c r="I150" s="223"/>
      <c r="J150" s="223"/>
      <c r="K150" s="223"/>
      <c r="L150" s="223"/>
    </row>
    <row r="151" spans="2:12" outlineLevel="1">
      <c r="B151" s="802" t="s">
        <v>52</v>
      </c>
      <c r="C151" s="223" t="s">
        <v>1067</v>
      </c>
      <c r="D151" s="223"/>
      <c r="E151" s="223"/>
      <c r="F151" s="223"/>
      <c r="G151" s="223"/>
      <c r="H151" s="223"/>
      <c r="I151" s="223"/>
      <c r="J151" s="223"/>
      <c r="K151" s="223"/>
      <c r="L151" s="223"/>
    </row>
    <row r="152" spans="2:12" outlineLevel="1">
      <c r="B152" s="802" t="s">
        <v>55</v>
      </c>
      <c r="C152" s="223" t="s">
        <v>1068</v>
      </c>
      <c r="D152" s="223"/>
      <c r="E152" s="223"/>
      <c r="F152" s="223"/>
      <c r="G152" s="223"/>
      <c r="H152" s="223"/>
      <c r="I152" s="223"/>
      <c r="J152" s="223"/>
      <c r="K152" s="223"/>
      <c r="L152" s="223"/>
    </row>
    <row r="153" spans="2:12" outlineLevel="1">
      <c r="B153" s="802" t="s">
        <v>49</v>
      </c>
      <c r="C153" s="223" t="s">
        <v>1069</v>
      </c>
      <c r="D153" s="223"/>
      <c r="E153" s="223"/>
      <c r="F153" s="223"/>
      <c r="G153" s="223"/>
      <c r="H153" s="223"/>
      <c r="I153" s="223"/>
      <c r="J153" s="223"/>
      <c r="K153" s="223"/>
      <c r="L153" s="223"/>
    </row>
    <row r="154" spans="2:12" outlineLevel="1">
      <c r="B154" s="802" t="s">
        <v>374</v>
      </c>
      <c r="C154" s="223" t="s">
        <v>1070</v>
      </c>
      <c r="D154" s="223"/>
      <c r="E154" s="223"/>
      <c r="F154" s="223"/>
      <c r="G154" s="223"/>
      <c r="H154" s="223"/>
      <c r="I154" s="223"/>
      <c r="J154" s="223"/>
      <c r="K154" s="223"/>
      <c r="L154" s="223"/>
    </row>
    <row r="155" spans="2:12" outlineLevel="1">
      <c r="B155" s="802" t="s">
        <v>886</v>
      </c>
      <c r="C155" s="223" t="s">
        <v>1071</v>
      </c>
      <c r="D155" s="223"/>
      <c r="E155" s="223"/>
      <c r="F155" s="223"/>
      <c r="G155" s="223"/>
      <c r="H155" s="223"/>
      <c r="I155" s="223"/>
      <c r="J155" s="223"/>
      <c r="K155" s="223"/>
      <c r="L155" s="223"/>
    </row>
    <row r="156" spans="2:12" outlineLevel="1">
      <c r="B156" s="802" t="s">
        <v>887</v>
      </c>
      <c r="C156" s="223" t="s">
        <v>1072</v>
      </c>
      <c r="D156" s="223"/>
      <c r="E156" s="223"/>
      <c r="F156" s="223"/>
      <c r="G156" s="223"/>
      <c r="H156" s="223"/>
      <c r="I156" s="223"/>
      <c r="J156" s="223"/>
      <c r="K156" s="223"/>
      <c r="L156" s="223"/>
    </row>
    <row r="157" spans="2:12" outlineLevel="1">
      <c r="B157" s="496"/>
      <c r="C157" s="498"/>
      <c r="G157" s="358"/>
      <c r="H157" s="358"/>
      <c r="I157" s="358"/>
      <c r="J157" s="358"/>
      <c r="K157" s="358"/>
      <c r="L157" s="358"/>
    </row>
    <row r="158" spans="2:12" outlineLevel="1">
      <c r="B158" s="496"/>
      <c r="C158" s="489"/>
      <c r="G158" s="358"/>
      <c r="H158" s="358"/>
      <c r="I158" s="358"/>
      <c r="J158" s="358"/>
      <c r="K158" s="358"/>
      <c r="L158" s="358"/>
    </row>
    <row r="159" spans="2:12" outlineLevel="1">
      <c r="E159" s="490"/>
      <c r="F159" s="490"/>
    </row>
    <row r="160" spans="2:12" outlineLevel="1">
      <c r="B160" s="496"/>
      <c r="C160" s="489"/>
      <c r="E160" s="490"/>
      <c r="F160" s="490"/>
    </row>
    <row r="161" spans="1:44" outlineLevel="1">
      <c r="B161" s="496"/>
      <c r="C161" s="489"/>
      <c r="E161" s="490"/>
      <c r="F161" s="490"/>
    </row>
    <row r="162" spans="1:44" outlineLevel="1"/>
    <row r="163" spans="1:44" outlineLevel="1">
      <c r="M163" s="214"/>
    </row>
    <row r="164" spans="1:44" outlineLevel="1"/>
    <row r="167" spans="1:44">
      <c r="A167" s="360" t="s">
        <v>989</v>
      </c>
      <c r="B167" s="1207"/>
      <c r="C167" s="1143"/>
      <c r="D167" s="1143"/>
      <c r="E167" s="1143"/>
      <c r="F167" s="1143"/>
      <c r="G167" s="1143"/>
      <c r="H167" s="1143"/>
      <c r="I167" s="1143"/>
      <c r="J167" s="1143"/>
      <c r="K167" s="1143"/>
      <c r="L167" s="1143"/>
      <c r="M167" s="1143"/>
      <c r="N167" s="361"/>
    </row>
    <row r="168" spans="1:44" ht="16" outlineLevel="1" thickBot="1">
      <c r="B168" s="1207"/>
      <c r="C168" s="1143"/>
      <c r="D168" s="1143"/>
      <c r="E168" s="1143"/>
      <c r="F168" s="1143"/>
      <c r="G168" s="1143"/>
      <c r="H168" s="1143"/>
      <c r="I168" s="1143"/>
      <c r="J168" s="1143"/>
      <c r="K168" s="1143"/>
      <c r="L168" s="1143"/>
      <c r="M168" s="1143"/>
      <c r="N168" s="361"/>
    </row>
    <row r="169" spans="1:44" ht="20.5" customHeight="1" outlineLevel="1" thickBot="1">
      <c r="B169" s="362" t="s">
        <v>0</v>
      </c>
      <c r="C169" s="1204" t="s">
        <v>990</v>
      </c>
      <c r="D169" s="1205"/>
      <c r="E169" s="1205"/>
      <c r="F169" s="1205"/>
      <c r="G169" s="1205"/>
      <c r="H169" s="1205"/>
      <c r="I169" s="1205"/>
      <c r="J169" s="1205"/>
      <c r="K169" s="1205"/>
      <c r="L169" s="1206"/>
      <c r="M169" s="363"/>
      <c r="N169" s="363"/>
      <c r="AK169" s="1160" t="s">
        <v>716</v>
      </c>
      <c r="AL169" s="1161"/>
      <c r="AM169" s="1160" t="s">
        <v>717</v>
      </c>
      <c r="AN169" s="1161"/>
      <c r="AO169" s="1160" t="s">
        <v>718</v>
      </c>
      <c r="AP169" s="1161"/>
      <c r="AQ169" s="1170" t="s">
        <v>719</v>
      </c>
      <c r="AR169" s="1171"/>
    </row>
    <row r="170" spans="1:44" ht="15" customHeight="1" outlineLevel="1" thickBot="1">
      <c r="B170" s="1164" t="s">
        <v>4</v>
      </c>
      <c r="C170" s="1166">
        <v>2020</v>
      </c>
      <c r="D170" s="1166">
        <v>2030</v>
      </c>
      <c r="E170" s="1166">
        <v>2040</v>
      </c>
      <c r="F170" s="1166">
        <v>2050</v>
      </c>
      <c r="G170" s="1200" t="s">
        <v>721</v>
      </c>
      <c r="H170" s="1201"/>
      <c r="I170" s="1200" t="s">
        <v>648</v>
      </c>
      <c r="J170" s="1201"/>
      <c r="K170" s="1202" t="s">
        <v>2</v>
      </c>
      <c r="L170" s="1202" t="s">
        <v>3</v>
      </c>
      <c r="M170" s="367"/>
      <c r="N170" s="367"/>
      <c r="P170" s="1143"/>
      <c r="Q170" s="1143"/>
      <c r="R170" s="1143"/>
      <c r="S170" s="1143"/>
      <c r="T170" s="1143"/>
      <c r="U170" s="1143"/>
      <c r="AK170" s="1162"/>
      <c r="AL170" s="1163"/>
      <c r="AM170" s="1162"/>
      <c r="AN170" s="1163"/>
      <c r="AO170" s="1162"/>
      <c r="AP170" s="1163"/>
      <c r="AQ170" s="1172"/>
      <c r="AR170" s="1173"/>
    </row>
    <row r="171" spans="1:44" ht="15" customHeight="1" outlineLevel="1" thickBot="1">
      <c r="B171" s="1165"/>
      <c r="C171" s="1167"/>
      <c r="D171" s="1167"/>
      <c r="E171" s="1167"/>
      <c r="F171" s="1167"/>
      <c r="G171" s="499" t="s">
        <v>649</v>
      </c>
      <c r="H171" s="499" t="s">
        <v>650</v>
      </c>
      <c r="I171" s="499" t="s">
        <v>649</v>
      </c>
      <c r="J171" s="499" t="s">
        <v>650</v>
      </c>
      <c r="K171" s="1203"/>
      <c r="L171" s="1203"/>
      <c r="M171" s="370"/>
      <c r="N171" s="370"/>
      <c r="P171" s="1143"/>
      <c r="Q171" s="1143"/>
      <c r="R171" s="1143"/>
      <c r="S171" s="1143"/>
      <c r="T171" s="1143"/>
      <c r="U171" s="1143"/>
      <c r="AK171" s="1162"/>
      <c r="AL171" s="1163"/>
      <c r="AM171" s="1162"/>
      <c r="AN171" s="1163"/>
      <c r="AO171" s="1162"/>
      <c r="AP171" s="1163"/>
      <c r="AQ171" s="1174"/>
      <c r="AR171" s="1175"/>
    </row>
    <row r="172" spans="1:44" ht="33" outlineLevel="1" thickBot="1">
      <c r="B172" s="371" t="s">
        <v>651</v>
      </c>
      <c r="C172" s="372">
        <v>20</v>
      </c>
      <c r="D172" s="372">
        <v>20</v>
      </c>
      <c r="E172" s="372">
        <v>20</v>
      </c>
      <c r="F172" s="372">
        <v>20</v>
      </c>
      <c r="G172" s="372">
        <v>1</v>
      </c>
      <c r="H172" s="372">
        <v>50</v>
      </c>
      <c r="I172" s="372">
        <v>1</v>
      </c>
      <c r="J172" s="372">
        <v>50</v>
      </c>
      <c r="K172" s="372" t="s">
        <v>6</v>
      </c>
      <c r="L172" s="373" t="s">
        <v>725</v>
      </c>
      <c r="M172" s="370"/>
      <c r="N172" s="370"/>
      <c r="P172" s="364" t="s">
        <v>713</v>
      </c>
      <c r="Q172" s="365"/>
      <c r="R172" s="366"/>
      <c r="S172" s="1176" t="s">
        <v>714</v>
      </c>
      <c r="T172" s="1160" t="s">
        <v>715</v>
      </c>
      <c r="U172" s="1161"/>
      <c r="V172" s="1160" t="s">
        <v>716</v>
      </c>
      <c r="W172" s="1161"/>
      <c r="X172" s="1160" t="s">
        <v>717</v>
      </c>
      <c r="Y172" s="1161"/>
      <c r="Z172" s="1160" t="s">
        <v>718</v>
      </c>
      <c r="AA172" s="1161"/>
      <c r="AB172" s="1160" t="s">
        <v>719</v>
      </c>
      <c r="AC172" s="1161"/>
      <c r="AE172" s="364" t="s">
        <v>720</v>
      </c>
      <c r="AF172" s="365"/>
      <c r="AG172" s="366"/>
      <c r="AH172" s="1176" t="s">
        <v>714</v>
      </c>
      <c r="AI172" s="1160" t="s">
        <v>715</v>
      </c>
      <c r="AJ172" s="1161"/>
      <c r="AK172" s="374" t="s">
        <v>726</v>
      </c>
      <c r="AL172" s="375" t="s">
        <v>727</v>
      </c>
      <c r="AM172" s="374" t="s">
        <v>726</v>
      </c>
      <c r="AN172" s="375" t="s">
        <v>727</v>
      </c>
      <c r="AO172" s="374" t="s">
        <v>726</v>
      </c>
      <c r="AP172" s="375" t="s">
        <v>727</v>
      </c>
      <c r="AQ172" s="374" t="s">
        <v>726</v>
      </c>
      <c r="AR172" s="375" t="s">
        <v>727</v>
      </c>
    </row>
    <row r="173" spans="1:44" ht="14.5" customHeight="1" outlineLevel="1">
      <c r="B173" s="500" t="s">
        <v>728</v>
      </c>
      <c r="C173" s="501">
        <v>91</v>
      </c>
      <c r="D173" s="501">
        <v>91</v>
      </c>
      <c r="E173" s="502">
        <v>91</v>
      </c>
      <c r="F173" s="501">
        <v>92</v>
      </c>
      <c r="G173" s="501">
        <f>D173-1</f>
        <v>90</v>
      </c>
      <c r="H173" s="501">
        <f>D173+2</f>
        <v>93</v>
      </c>
      <c r="I173" s="501">
        <f>F173-1</f>
        <v>91</v>
      </c>
      <c r="J173" s="501">
        <f>F173+2</f>
        <v>94</v>
      </c>
      <c r="K173" s="503" t="s">
        <v>59</v>
      </c>
      <c r="L173" s="504" t="s">
        <v>729</v>
      </c>
      <c r="M173" s="370"/>
      <c r="N173" s="370"/>
      <c r="P173" s="1180" t="s">
        <v>0</v>
      </c>
      <c r="Q173" s="368"/>
      <c r="R173" s="368"/>
      <c r="S173" s="1177"/>
      <c r="T173" s="1162"/>
      <c r="U173" s="1163"/>
      <c r="V173" s="1162"/>
      <c r="W173" s="1163"/>
      <c r="X173" s="1162"/>
      <c r="Y173" s="1163"/>
      <c r="Z173" s="1162"/>
      <c r="AA173" s="1163"/>
      <c r="AB173" s="1162"/>
      <c r="AC173" s="1163"/>
      <c r="AE173" s="1180" t="s">
        <v>0</v>
      </c>
      <c r="AF173" s="368"/>
      <c r="AG173" s="368"/>
      <c r="AH173" s="1177"/>
      <c r="AI173" s="1162"/>
      <c r="AJ173" s="1163"/>
      <c r="AK173" s="1157">
        <v>0</v>
      </c>
      <c r="AL173" s="1151">
        <v>0</v>
      </c>
      <c r="AM173" s="1157">
        <v>0</v>
      </c>
      <c r="AN173" s="1151">
        <v>0</v>
      </c>
      <c r="AO173" s="1157">
        <v>0</v>
      </c>
      <c r="AP173" s="1151">
        <v>0</v>
      </c>
      <c r="AQ173" s="1157">
        <v>0</v>
      </c>
      <c r="AR173" s="1151">
        <v>0</v>
      </c>
    </row>
    <row r="174" spans="1:44" outlineLevel="1">
      <c r="B174" s="383" t="s">
        <v>732</v>
      </c>
      <c r="C174" s="384">
        <f t="shared" ref="C174:J174" si="24">C173-1</f>
        <v>90</v>
      </c>
      <c r="D174" s="384">
        <f t="shared" si="24"/>
        <v>90</v>
      </c>
      <c r="E174" s="384">
        <f t="shared" si="24"/>
        <v>90</v>
      </c>
      <c r="F174" s="384">
        <f t="shared" si="24"/>
        <v>91</v>
      </c>
      <c r="G174" s="505">
        <f t="shared" si="24"/>
        <v>89</v>
      </c>
      <c r="H174" s="505">
        <f t="shared" si="24"/>
        <v>92</v>
      </c>
      <c r="I174" s="505">
        <f t="shared" si="24"/>
        <v>90</v>
      </c>
      <c r="J174" s="505">
        <f t="shared" si="24"/>
        <v>93</v>
      </c>
      <c r="K174" s="372"/>
      <c r="L174" s="373" t="s">
        <v>729</v>
      </c>
      <c r="M174" s="370"/>
      <c r="N174" s="370"/>
      <c r="P174" s="1181"/>
      <c r="Q174" s="1183" t="s">
        <v>722</v>
      </c>
      <c r="R174" s="1184" t="s">
        <v>723</v>
      </c>
      <c r="S174" s="1178"/>
      <c r="T174" s="1162"/>
      <c r="U174" s="1163"/>
      <c r="V174" s="1162"/>
      <c r="W174" s="1163"/>
      <c r="X174" s="1162"/>
      <c r="Y174" s="1163"/>
      <c r="Z174" s="1162"/>
      <c r="AA174" s="1163"/>
      <c r="AB174" s="1162"/>
      <c r="AC174" s="1163"/>
      <c r="AE174" s="1181"/>
      <c r="AF174" s="1197" t="s">
        <v>722</v>
      </c>
      <c r="AG174" s="1184" t="s">
        <v>723</v>
      </c>
      <c r="AH174" s="1178"/>
      <c r="AI174" s="1162"/>
      <c r="AJ174" s="1163"/>
      <c r="AK174" s="1158"/>
      <c r="AL174" s="1152"/>
      <c r="AM174" s="1158"/>
      <c r="AN174" s="1152"/>
      <c r="AO174" s="1158"/>
      <c r="AP174" s="1152"/>
      <c r="AQ174" s="1158"/>
      <c r="AR174" s="1152"/>
    </row>
    <row r="175" spans="1:44" ht="33" outlineLevel="1" thickBot="1">
      <c r="B175" s="500" t="s">
        <v>734</v>
      </c>
      <c r="C175" s="506">
        <v>2.2999999999999998</v>
      </c>
      <c r="D175" s="507">
        <v>2.2999999999999998</v>
      </c>
      <c r="E175" s="507">
        <v>2.2999999999999998</v>
      </c>
      <c r="F175" s="508">
        <v>2.2999999999999998</v>
      </c>
      <c r="G175" s="507">
        <v>2.2000000000000002</v>
      </c>
      <c r="H175" s="507">
        <v>2.5</v>
      </c>
      <c r="I175" s="507">
        <v>1.8</v>
      </c>
      <c r="J175" s="507">
        <v>2.5</v>
      </c>
      <c r="K175" s="503" t="s">
        <v>16</v>
      </c>
      <c r="L175" s="504">
        <v>3</v>
      </c>
      <c r="M175" s="370"/>
      <c r="N175" s="370"/>
      <c r="O175" s="74"/>
      <c r="P175" s="1182"/>
      <c r="Q175" s="1179"/>
      <c r="R175" s="1185"/>
      <c r="S175" s="1179"/>
      <c r="T175" s="374" t="s">
        <v>726</v>
      </c>
      <c r="U175" s="375" t="s">
        <v>727</v>
      </c>
      <c r="V175" s="374" t="s">
        <v>726</v>
      </c>
      <c r="W175" s="375" t="s">
        <v>727</v>
      </c>
      <c r="X175" s="374" t="s">
        <v>726</v>
      </c>
      <c r="Y175" s="375" t="s">
        <v>727</v>
      </c>
      <c r="Z175" s="374" t="s">
        <v>726</v>
      </c>
      <c r="AA175" s="375" t="s">
        <v>727</v>
      </c>
      <c r="AB175" s="374" t="s">
        <v>726</v>
      </c>
      <c r="AC175" s="375" t="s">
        <v>727</v>
      </c>
      <c r="AE175" s="1182"/>
      <c r="AF175" s="1198"/>
      <c r="AG175" s="1185"/>
      <c r="AH175" s="1179"/>
      <c r="AI175" s="374" t="s">
        <v>726</v>
      </c>
      <c r="AJ175" s="375" t="s">
        <v>727</v>
      </c>
      <c r="AK175" s="1159"/>
      <c r="AL175" s="1153"/>
      <c r="AM175" s="1159"/>
      <c r="AN175" s="1153"/>
      <c r="AO175" s="1159"/>
      <c r="AP175" s="1153"/>
      <c r="AQ175" s="1159"/>
      <c r="AR175" s="1153"/>
    </row>
    <row r="176" spans="1:44" ht="14.5" customHeight="1" outlineLevel="1">
      <c r="B176" s="500" t="s">
        <v>657</v>
      </c>
      <c r="C176" s="687">
        <v>3</v>
      </c>
      <c r="D176" s="687">
        <v>3</v>
      </c>
      <c r="E176" s="687">
        <v>3</v>
      </c>
      <c r="F176" s="687">
        <v>3</v>
      </c>
      <c r="G176" s="687">
        <v>3</v>
      </c>
      <c r="H176" s="687">
        <v>3</v>
      </c>
      <c r="I176" s="687">
        <v>3</v>
      </c>
      <c r="J176" s="687">
        <v>3</v>
      </c>
      <c r="K176" s="503" t="s">
        <v>20</v>
      </c>
      <c r="L176" s="504">
        <v>3</v>
      </c>
      <c r="M176" s="370"/>
      <c r="N176" s="370"/>
      <c r="P176" s="1199" t="str">
        <f>C169</f>
        <v>Hot water boiler, Wood Chips</v>
      </c>
      <c r="Q176" s="1154" t="s">
        <v>730</v>
      </c>
      <c r="R176" s="381" t="s">
        <v>731</v>
      </c>
      <c r="S176" s="382"/>
      <c r="T176" s="1137">
        <v>0</v>
      </c>
      <c r="U176" s="1151">
        <v>0</v>
      </c>
      <c r="V176" s="1157">
        <v>0</v>
      </c>
      <c r="W176" s="1151">
        <v>0</v>
      </c>
      <c r="X176" s="1157">
        <v>0</v>
      </c>
      <c r="Y176" s="1151">
        <v>0</v>
      </c>
      <c r="Z176" s="1157">
        <v>0</v>
      </c>
      <c r="AA176" s="1151">
        <v>0</v>
      </c>
      <c r="AB176" s="1157">
        <v>0</v>
      </c>
      <c r="AC176" s="1151">
        <v>0</v>
      </c>
      <c r="AE176" s="1148" t="str">
        <f>P176</f>
        <v>Hot water boiler, Wood Chips</v>
      </c>
      <c r="AF176" s="1154" t="s">
        <v>730</v>
      </c>
      <c r="AG176" s="381" t="s">
        <v>731</v>
      </c>
      <c r="AH176" s="382"/>
      <c r="AI176" s="1137">
        <v>0</v>
      </c>
      <c r="AJ176" s="1151">
        <v>0</v>
      </c>
      <c r="AK176" s="1137">
        <v>0</v>
      </c>
      <c r="AL176" s="1137">
        <f>W179/4</f>
        <v>0.14249999999999999</v>
      </c>
      <c r="AM176" s="1137">
        <v>0</v>
      </c>
      <c r="AN176" s="1137">
        <f>Y179/4</f>
        <v>0.125</v>
      </c>
      <c r="AO176" s="1137">
        <v>0</v>
      </c>
      <c r="AP176" s="1137">
        <f>AA179/4</f>
        <v>0.1275</v>
      </c>
      <c r="AQ176" s="1137">
        <v>0</v>
      </c>
      <c r="AR176" s="1151">
        <f>AC179/4</f>
        <v>0.10249999999999999</v>
      </c>
    </row>
    <row r="177" spans="1:44" outlineLevel="1">
      <c r="B177" s="500" t="s">
        <v>658</v>
      </c>
      <c r="C177" s="506">
        <v>3</v>
      </c>
      <c r="D177" s="506">
        <v>3</v>
      </c>
      <c r="E177" s="506">
        <v>3</v>
      </c>
      <c r="F177" s="506">
        <v>3</v>
      </c>
      <c r="G177" s="506">
        <v>2.6</v>
      </c>
      <c r="H177" s="506">
        <v>3.5</v>
      </c>
      <c r="I177" s="506">
        <v>2.2999999999999998</v>
      </c>
      <c r="J177" s="506">
        <v>3.8</v>
      </c>
      <c r="K177" s="503" t="s">
        <v>20</v>
      </c>
      <c r="L177" s="504">
        <v>3</v>
      </c>
      <c r="M177" s="367"/>
      <c r="N177" s="367"/>
      <c r="O177" s="71"/>
      <c r="P177" s="1195"/>
      <c r="Q177" s="1155"/>
      <c r="R177" s="388" t="s">
        <v>733</v>
      </c>
      <c r="S177" s="389"/>
      <c r="T177" s="1140"/>
      <c r="U177" s="1152"/>
      <c r="V177" s="1158"/>
      <c r="W177" s="1152"/>
      <c r="X177" s="1158"/>
      <c r="Y177" s="1152"/>
      <c r="Z177" s="1158"/>
      <c r="AA177" s="1152"/>
      <c r="AB177" s="1158"/>
      <c r="AC177" s="1152"/>
      <c r="AE177" s="1195"/>
      <c r="AF177" s="1155"/>
      <c r="AG177" s="388" t="s">
        <v>733</v>
      </c>
      <c r="AH177" s="389"/>
      <c r="AI177" s="1140"/>
      <c r="AJ177" s="1152"/>
      <c r="AK177" s="1191"/>
      <c r="AL177" s="1191"/>
      <c r="AM177" s="1191"/>
      <c r="AN177" s="1191"/>
      <c r="AO177" s="1191"/>
      <c r="AP177" s="1191"/>
      <c r="AQ177" s="1191"/>
      <c r="AR177" s="1193"/>
    </row>
    <row r="178" spans="1:44" ht="16" outlineLevel="1" thickBot="1">
      <c r="B178" s="383" t="s">
        <v>11</v>
      </c>
      <c r="C178" s="397">
        <v>25</v>
      </c>
      <c r="D178" s="397">
        <v>25</v>
      </c>
      <c r="E178" s="397">
        <v>25</v>
      </c>
      <c r="F178" s="397">
        <v>25</v>
      </c>
      <c r="G178" s="399">
        <v>20</v>
      </c>
      <c r="H178" s="399">
        <v>35</v>
      </c>
      <c r="I178" s="399">
        <v>20</v>
      </c>
      <c r="J178" s="399">
        <v>35</v>
      </c>
      <c r="K178" s="372"/>
      <c r="L178" s="373" t="s">
        <v>740</v>
      </c>
      <c r="M178" s="363"/>
      <c r="N178" s="363"/>
      <c r="O178" s="71"/>
      <c r="P178" s="1195"/>
      <c r="Q178" s="1156"/>
      <c r="R178" s="393" t="s">
        <v>735</v>
      </c>
      <c r="S178" s="394"/>
      <c r="T178" s="1141"/>
      <c r="U178" s="1153"/>
      <c r="V178" s="1159"/>
      <c r="W178" s="1153"/>
      <c r="X178" s="1159"/>
      <c r="Y178" s="1153"/>
      <c r="Z178" s="1159"/>
      <c r="AA178" s="1153"/>
      <c r="AB178" s="1159"/>
      <c r="AC178" s="1153"/>
      <c r="AE178" s="1195"/>
      <c r="AF178" s="1156"/>
      <c r="AG178" s="393" t="s">
        <v>735</v>
      </c>
      <c r="AH178" s="394"/>
      <c r="AI178" s="1141"/>
      <c r="AJ178" s="1153"/>
      <c r="AK178" s="1191"/>
      <c r="AL178" s="1191"/>
      <c r="AM178" s="1191"/>
      <c r="AN178" s="1191"/>
      <c r="AO178" s="1191"/>
      <c r="AP178" s="1191"/>
      <c r="AQ178" s="1191"/>
      <c r="AR178" s="1193"/>
    </row>
    <row r="179" spans="1:44" ht="16" outlineLevel="1" thickBot="1">
      <c r="B179" s="500" t="s">
        <v>273</v>
      </c>
      <c r="C179" s="506">
        <v>1</v>
      </c>
      <c r="D179" s="506">
        <v>1</v>
      </c>
      <c r="E179" s="506">
        <v>1</v>
      </c>
      <c r="F179" s="506">
        <v>1</v>
      </c>
      <c r="G179" s="506">
        <v>0.5</v>
      </c>
      <c r="H179" s="506">
        <v>1.5</v>
      </c>
      <c r="I179" s="506">
        <v>0.5</v>
      </c>
      <c r="J179" s="506">
        <v>1.5</v>
      </c>
      <c r="K179" s="372"/>
      <c r="L179" s="400"/>
      <c r="M179" s="363"/>
      <c r="N179" s="363"/>
      <c r="O179" s="71"/>
      <c r="P179" s="1195"/>
      <c r="Q179" s="1154" t="s">
        <v>736</v>
      </c>
      <c r="R179" s="395" t="s">
        <v>737</v>
      </c>
      <c r="S179" s="396" t="s">
        <v>738</v>
      </c>
      <c r="T179" s="1137">
        <v>0</v>
      </c>
      <c r="U179" s="1137">
        <v>0.67</v>
      </c>
      <c r="V179" s="1137">
        <v>0</v>
      </c>
      <c r="W179" s="1137">
        <v>0.56999999999999995</v>
      </c>
      <c r="X179" s="1137">
        <v>0</v>
      </c>
      <c r="Y179" s="1137">
        <v>0.5</v>
      </c>
      <c r="Z179" s="1137">
        <v>0</v>
      </c>
      <c r="AA179" s="1137">
        <v>0.51</v>
      </c>
      <c r="AB179" s="1137">
        <v>0</v>
      </c>
      <c r="AC179" s="1151">
        <v>0.41</v>
      </c>
      <c r="AE179" s="1195"/>
      <c r="AF179" s="1154" t="s">
        <v>736</v>
      </c>
      <c r="AG179" s="395" t="s">
        <v>737</v>
      </c>
      <c r="AH179" s="396" t="s">
        <v>738</v>
      </c>
      <c r="AI179" s="1137">
        <v>0</v>
      </c>
      <c r="AJ179" s="1137">
        <f>U179/4</f>
        <v>0.16750000000000001</v>
      </c>
      <c r="AK179" s="1191"/>
      <c r="AL179" s="1191"/>
      <c r="AM179" s="1191"/>
      <c r="AN179" s="1191"/>
      <c r="AO179" s="1191"/>
      <c r="AP179" s="1191"/>
      <c r="AQ179" s="1191"/>
      <c r="AR179" s="1193"/>
    </row>
    <row r="180" spans="1:44" ht="16" outlineLevel="1" thickBot="1">
      <c r="B180" s="401" t="s">
        <v>743</v>
      </c>
      <c r="C180" s="402"/>
      <c r="D180" s="403"/>
      <c r="E180" s="404"/>
      <c r="F180" s="405"/>
      <c r="G180" s="406"/>
      <c r="H180" s="406"/>
      <c r="I180" s="406"/>
      <c r="J180" s="406"/>
      <c r="K180" s="407"/>
      <c r="L180" s="408"/>
      <c r="M180" s="363"/>
      <c r="N180" s="363"/>
      <c r="O180" s="71"/>
      <c r="P180" s="1195"/>
      <c r="Q180" s="1155"/>
      <c r="R180" s="395" t="s">
        <v>739</v>
      </c>
      <c r="S180" s="396" t="s">
        <v>738</v>
      </c>
      <c r="T180" s="1191"/>
      <c r="U180" s="1191"/>
      <c r="V180" s="1191"/>
      <c r="W180" s="1191"/>
      <c r="X180" s="1191"/>
      <c r="Y180" s="1191"/>
      <c r="Z180" s="1191"/>
      <c r="AA180" s="1191"/>
      <c r="AB180" s="1191"/>
      <c r="AC180" s="1193"/>
      <c r="AE180" s="1195"/>
      <c r="AF180" s="1155"/>
      <c r="AG180" s="395" t="s">
        <v>739</v>
      </c>
      <c r="AH180" s="396" t="s">
        <v>738</v>
      </c>
      <c r="AI180" s="1191"/>
      <c r="AJ180" s="1191"/>
      <c r="AK180" s="1192"/>
      <c r="AL180" s="1192"/>
      <c r="AM180" s="1192"/>
      <c r="AN180" s="1192"/>
      <c r="AO180" s="1192"/>
      <c r="AP180" s="1192"/>
      <c r="AQ180" s="1192"/>
      <c r="AR180" s="1194"/>
    </row>
    <row r="181" spans="1:44" ht="16" outlineLevel="1" thickBot="1">
      <c r="B181" s="500" t="s">
        <v>663</v>
      </c>
      <c r="C181" s="506">
        <v>20</v>
      </c>
      <c r="D181" s="506">
        <v>20</v>
      </c>
      <c r="E181" s="506">
        <v>20</v>
      </c>
      <c r="F181" s="506">
        <v>20</v>
      </c>
      <c r="G181" s="507"/>
      <c r="H181" s="507"/>
      <c r="I181" s="507"/>
      <c r="J181" s="507"/>
      <c r="K181" s="503"/>
      <c r="L181" s="504">
        <v>3</v>
      </c>
      <c r="M181" s="363"/>
      <c r="N181" s="363"/>
      <c r="P181" s="1195"/>
      <c r="Q181" s="1155"/>
      <c r="R181" s="395" t="s">
        <v>741</v>
      </c>
      <c r="S181" s="396"/>
      <c r="T181" s="1191"/>
      <c r="U181" s="1191"/>
      <c r="V181" s="1191"/>
      <c r="W181" s="1191"/>
      <c r="X181" s="1191"/>
      <c r="Y181" s="1191"/>
      <c r="Z181" s="1191"/>
      <c r="AA181" s="1191"/>
      <c r="AB181" s="1191"/>
      <c r="AC181" s="1193"/>
      <c r="AE181" s="1195"/>
      <c r="AF181" s="1155"/>
      <c r="AG181" s="395" t="s">
        <v>741</v>
      </c>
      <c r="AH181" s="629" t="s">
        <v>738</v>
      </c>
      <c r="AI181" s="1191"/>
      <c r="AJ181" s="1191"/>
      <c r="AK181" s="416">
        <v>1</v>
      </c>
      <c r="AL181" s="415">
        <v>1</v>
      </c>
      <c r="AM181" s="416">
        <v>1</v>
      </c>
      <c r="AN181" s="415">
        <v>1</v>
      </c>
      <c r="AO181" s="416">
        <v>1</v>
      </c>
      <c r="AP181" s="415">
        <v>1</v>
      </c>
      <c r="AQ181" s="416">
        <v>1</v>
      </c>
      <c r="AR181" s="417">
        <v>1</v>
      </c>
    </row>
    <row r="182" spans="1:44" outlineLevel="1">
      <c r="B182" s="500" t="s">
        <v>664</v>
      </c>
      <c r="C182" s="506">
        <v>0.3</v>
      </c>
      <c r="D182" s="506">
        <v>0.3</v>
      </c>
      <c r="E182" s="506">
        <v>0.3</v>
      </c>
      <c r="F182" s="506">
        <v>0.3</v>
      </c>
      <c r="G182" s="509"/>
      <c r="H182" s="509"/>
      <c r="I182" s="509"/>
      <c r="J182" s="509"/>
      <c r="K182" s="510"/>
      <c r="L182" s="504">
        <v>3</v>
      </c>
      <c r="M182" s="363"/>
      <c r="N182" s="363"/>
      <c r="P182" s="1195"/>
      <c r="Q182" s="1155"/>
      <c r="R182" s="395" t="s">
        <v>742</v>
      </c>
      <c r="S182" s="396" t="s">
        <v>738</v>
      </c>
      <c r="T182" s="1191"/>
      <c r="U182" s="1191"/>
      <c r="V182" s="1191"/>
      <c r="W182" s="1191"/>
      <c r="X182" s="1191"/>
      <c r="Y182" s="1191"/>
      <c r="Z182" s="1191"/>
      <c r="AA182" s="1191"/>
      <c r="AB182" s="1191"/>
      <c r="AC182" s="1193"/>
      <c r="AE182" s="1195"/>
      <c r="AF182" s="1155"/>
      <c r="AG182" s="395" t="s">
        <v>742</v>
      </c>
      <c r="AH182" s="396"/>
      <c r="AI182" s="1191"/>
      <c r="AJ182" s="1191"/>
    </row>
    <row r="183" spans="1:44" ht="16" outlineLevel="1" thickBot="1">
      <c r="B183" s="500" t="s">
        <v>666</v>
      </c>
      <c r="C183" s="506">
        <v>0.5</v>
      </c>
      <c r="D183" s="506">
        <v>0.5</v>
      </c>
      <c r="E183" s="506">
        <v>0.5</v>
      </c>
      <c r="F183" s="506">
        <v>0.5</v>
      </c>
      <c r="G183" s="509"/>
      <c r="H183" s="509"/>
      <c r="I183" s="509"/>
      <c r="J183" s="509"/>
      <c r="K183" s="510"/>
      <c r="L183" s="504">
        <v>3</v>
      </c>
      <c r="M183" s="420"/>
      <c r="N183" s="363"/>
      <c r="P183" s="1195"/>
      <c r="Q183" s="1156"/>
      <c r="R183" s="409" t="s">
        <v>863</v>
      </c>
      <c r="S183" s="410" t="s">
        <v>738</v>
      </c>
      <c r="T183" s="1192"/>
      <c r="U183" s="1192"/>
      <c r="V183" s="1192"/>
      <c r="W183" s="1192"/>
      <c r="X183" s="1192"/>
      <c r="Y183" s="1192"/>
      <c r="Z183" s="1192"/>
      <c r="AA183" s="1192"/>
      <c r="AB183" s="1192"/>
      <c r="AC183" s="1194"/>
      <c r="AE183" s="1195"/>
      <c r="AF183" s="1156"/>
      <c r="AG183" s="409" t="s">
        <v>863</v>
      </c>
      <c r="AH183" s="410" t="s">
        <v>738</v>
      </c>
      <c r="AI183" s="1192"/>
      <c r="AJ183" s="1192"/>
    </row>
    <row r="184" spans="1:44" ht="33" outlineLevel="1" thickBot="1">
      <c r="B184" s="421" t="s">
        <v>12</v>
      </c>
      <c r="C184" s="399"/>
      <c r="D184" s="399"/>
      <c r="E184" s="399"/>
      <c r="F184" s="399"/>
      <c r="G184" s="422"/>
      <c r="H184" s="422"/>
      <c r="I184" s="422"/>
      <c r="J184" s="422"/>
      <c r="K184" s="423"/>
      <c r="L184" s="424"/>
      <c r="M184" s="420"/>
      <c r="N184" s="420"/>
      <c r="P184" s="1196"/>
      <c r="Q184" s="411" t="s">
        <v>745</v>
      </c>
      <c r="R184" s="412" t="s">
        <v>746</v>
      </c>
      <c r="S184" s="630" t="s">
        <v>738</v>
      </c>
      <c r="T184" s="416">
        <v>1</v>
      </c>
      <c r="U184" s="415">
        <v>1</v>
      </c>
      <c r="V184" s="416">
        <v>1</v>
      </c>
      <c r="W184" s="415">
        <v>1</v>
      </c>
      <c r="X184" s="416">
        <v>1</v>
      </c>
      <c r="Y184" s="415">
        <v>1</v>
      </c>
      <c r="Z184" s="416">
        <v>1</v>
      </c>
      <c r="AA184" s="415">
        <v>1</v>
      </c>
      <c r="AB184" s="416">
        <v>1</v>
      </c>
      <c r="AC184" s="417">
        <v>1</v>
      </c>
      <c r="AE184" s="1196"/>
      <c r="AF184" s="411" t="s">
        <v>745</v>
      </c>
      <c r="AG184" s="631" t="s">
        <v>746</v>
      </c>
      <c r="AH184" s="632" t="s">
        <v>738</v>
      </c>
      <c r="AI184" s="416">
        <v>1</v>
      </c>
      <c r="AJ184" s="415">
        <v>1</v>
      </c>
    </row>
    <row r="185" spans="1:44" outlineLevel="1">
      <c r="B185" s="383" t="s">
        <v>843</v>
      </c>
      <c r="C185" s="397">
        <v>11</v>
      </c>
      <c r="D185" s="397">
        <v>11</v>
      </c>
      <c r="E185" s="397">
        <v>11</v>
      </c>
      <c r="F185" s="397">
        <v>11</v>
      </c>
      <c r="G185" s="422"/>
      <c r="H185" s="425"/>
      <c r="I185" s="425"/>
      <c r="J185" s="425"/>
      <c r="K185" s="426" t="s">
        <v>76</v>
      </c>
      <c r="L185" s="427" t="s">
        <v>748</v>
      </c>
      <c r="M185" s="428"/>
      <c r="N185" s="428"/>
    </row>
    <row r="186" spans="1:44" outlineLevel="1">
      <c r="B186" s="383" t="s">
        <v>749</v>
      </c>
      <c r="C186" s="397">
        <v>10</v>
      </c>
      <c r="D186" s="397">
        <v>10</v>
      </c>
      <c r="E186" s="397">
        <v>10</v>
      </c>
      <c r="F186" s="397">
        <v>10</v>
      </c>
      <c r="G186" s="425"/>
      <c r="H186" s="425"/>
      <c r="I186" s="425"/>
      <c r="J186" s="425"/>
      <c r="K186" s="423"/>
      <c r="L186" s="427">
        <v>9</v>
      </c>
      <c r="M186" s="428"/>
      <c r="N186" s="428"/>
    </row>
    <row r="187" spans="1:44" outlineLevel="1">
      <c r="B187" s="383" t="s">
        <v>844</v>
      </c>
      <c r="C187" s="397">
        <v>63</v>
      </c>
      <c r="D187" s="397">
        <v>49</v>
      </c>
      <c r="E187" s="397">
        <v>46</v>
      </c>
      <c r="F187" s="397">
        <v>41</v>
      </c>
      <c r="G187" s="425"/>
      <c r="H187" s="425"/>
      <c r="I187" s="425"/>
      <c r="J187" s="425"/>
      <c r="K187" s="423"/>
      <c r="L187" s="427" t="s">
        <v>748</v>
      </c>
      <c r="M187" s="428"/>
      <c r="N187" s="428"/>
    </row>
    <row r="188" spans="1:44" outlineLevel="1">
      <c r="B188" s="383" t="s">
        <v>366</v>
      </c>
      <c r="C188" s="397">
        <v>11</v>
      </c>
      <c r="D188" s="397">
        <v>8</v>
      </c>
      <c r="E188" s="397">
        <v>6</v>
      </c>
      <c r="F188" s="397">
        <v>4</v>
      </c>
      <c r="G188" s="425"/>
      <c r="H188" s="425"/>
      <c r="I188" s="425"/>
      <c r="J188" s="425"/>
      <c r="K188" s="423"/>
      <c r="L188" s="427" t="s">
        <v>748</v>
      </c>
      <c r="M188" s="428"/>
      <c r="N188" s="428"/>
    </row>
    <row r="189" spans="1:44" ht="16" outlineLevel="1" thickBot="1">
      <c r="B189" s="429" t="s">
        <v>367</v>
      </c>
      <c r="C189" s="626">
        <v>3</v>
      </c>
      <c r="D189" s="626">
        <v>3</v>
      </c>
      <c r="E189" s="626">
        <v>1</v>
      </c>
      <c r="F189" s="626">
        <v>1</v>
      </c>
      <c r="G189" s="425"/>
      <c r="H189" s="425"/>
      <c r="I189" s="425"/>
      <c r="J189" s="425"/>
      <c r="K189" s="423"/>
      <c r="L189" s="427" t="s">
        <v>748</v>
      </c>
      <c r="M189" s="428"/>
      <c r="N189" s="428"/>
    </row>
    <row r="190" spans="1:44" ht="16" outlineLevel="1" thickBot="1">
      <c r="B190" s="431" t="s">
        <v>674</v>
      </c>
      <c r="C190" s="432"/>
      <c r="D190" s="403"/>
      <c r="E190" s="403"/>
      <c r="F190" s="433"/>
      <c r="G190" s="434"/>
      <c r="H190" s="406"/>
      <c r="I190" s="406"/>
      <c r="J190" s="406"/>
      <c r="K190" s="407"/>
      <c r="L190" s="408"/>
      <c r="M190" s="428"/>
      <c r="N190" s="428"/>
    </row>
    <row r="191" spans="1:44" outlineLevel="1">
      <c r="A191" s="435"/>
      <c r="B191" s="436" t="s">
        <v>910</v>
      </c>
      <c r="C191" s="551">
        <f>0.618181818181818</f>
        <v>0.61818181818181805</v>
      </c>
      <c r="D191" s="647">
        <f>0.590909090909091</f>
        <v>0.59090909090909105</v>
      </c>
      <c r="E191" s="647">
        <f>(F191+D191)/2</f>
        <v>0.56363636363636349</v>
      </c>
      <c r="F191" s="648">
        <f>0.536363636363636</f>
        <v>0.53636363636363604</v>
      </c>
      <c r="G191" s="425"/>
      <c r="H191" s="425"/>
      <c r="I191" s="425"/>
      <c r="J191" s="425"/>
      <c r="K191" s="426" t="s">
        <v>752</v>
      </c>
      <c r="L191" s="440" t="s">
        <v>753</v>
      </c>
      <c r="M191" s="420"/>
      <c r="N191" s="420"/>
    </row>
    <row r="192" spans="1:44" outlineLevel="1">
      <c r="B192" s="441" t="s">
        <v>839</v>
      </c>
      <c r="C192" s="442">
        <v>60</v>
      </c>
      <c r="D192" s="442">
        <v>60</v>
      </c>
      <c r="E192" s="442">
        <v>60</v>
      </c>
      <c r="F192" s="442">
        <v>60</v>
      </c>
      <c r="G192" s="425"/>
      <c r="H192" s="425"/>
      <c r="I192" s="425"/>
      <c r="J192" s="425"/>
      <c r="K192" s="444"/>
      <c r="L192" s="373">
        <v>3</v>
      </c>
      <c r="M192" s="71"/>
      <c r="N192" s="420"/>
    </row>
    <row r="193" spans="2:30" outlineLevel="1">
      <c r="B193" s="441" t="s">
        <v>840</v>
      </c>
      <c r="C193" s="442">
        <f>100-C192</f>
        <v>40</v>
      </c>
      <c r="D193" s="442">
        <f>100-D192</f>
        <v>40</v>
      </c>
      <c r="E193" s="442">
        <f>100-E192</f>
        <v>40</v>
      </c>
      <c r="F193" s="442">
        <f>100-F192</f>
        <v>40</v>
      </c>
      <c r="G193" s="425"/>
      <c r="H193" s="425"/>
      <c r="I193" s="425"/>
      <c r="J193" s="425"/>
      <c r="K193" s="444"/>
      <c r="L193" s="373">
        <v>3</v>
      </c>
      <c r="M193" s="420"/>
      <c r="N193" s="420"/>
    </row>
    <row r="194" spans="2:30" outlineLevel="1">
      <c r="B194" s="383" t="s">
        <v>841</v>
      </c>
      <c r="C194" s="602">
        <v>33700</v>
      </c>
      <c r="D194" s="603">
        <v>35900</v>
      </c>
      <c r="E194" s="603">
        <f>(F194+D194)/2</f>
        <v>34800</v>
      </c>
      <c r="F194" s="604">
        <v>33700</v>
      </c>
      <c r="G194" s="425"/>
      <c r="H194" s="425"/>
      <c r="I194" s="425"/>
      <c r="J194" s="425"/>
      <c r="K194" s="448" t="s">
        <v>51</v>
      </c>
      <c r="L194" s="373">
        <v>3</v>
      </c>
      <c r="M194" s="420"/>
      <c r="N194" s="420"/>
    </row>
    <row r="195" spans="2:30" outlineLevel="1">
      <c r="B195" s="383" t="s">
        <v>679</v>
      </c>
      <c r="C195" s="449">
        <f>C196+C197</f>
        <v>2.7789999999999999</v>
      </c>
      <c r="D195" s="449">
        <f t="shared" ref="D195:F195" si="25">D196+D197</f>
        <v>2.8250000000000002</v>
      </c>
      <c r="E195" s="449">
        <f t="shared" si="25"/>
        <v>2.8479999999999999</v>
      </c>
      <c r="F195" s="449">
        <f t="shared" si="25"/>
        <v>2.8479999999999999</v>
      </c>
      <c r="G195" s="425"/>
      <c r="H195" s="425"/>
      <c r="I195" s="425"/>
      <c r="J195" s="425"/>
      <c r="K195" s="448"/>
      <c r="L195" s="373">
        <v>3</v>
      </c>
      <c r="M195" s="450"/>
      <c r="N195" s="361"/>
    </row>
    <row r="196" spans="2:30" outlineLevel="1">
      <c r="B196" s="500" t="s">
        <v>758</v>
      </c>
      <c r="C196" s="514">
        <f>C175/100*73</f>
        <v>1.679</v>
      </c>
      <c r="D196" s="514">
        <f>D175/100*75</f>
        <v>1.7249999999999999</v>
      </c>
      <c r="E196" s="514">
        <f>E175/100*76</f>
        <v>1.748</v>
      </c>
      <c r="F196" s="514">
        <f>F175/100*76</f>
        <v>1.748</v>
      </c>
      <c r="G196" s="515"/>
      <c r="H196" s="515"/>
      <c r="I196" s="515"/>
      <c r="J196" s="515"/>
      <c r="K196" s="503" t="s">
        <v>52</v>
      </c>
      <c r="L196" s="504">
        <v>3</v>
      </c>
      <c r="M196" s="450"/>
      <c r="N196" s="361"/>
    </row>
    <row r="197" spans="2:30" outlineLevel="1">
      <c r="B197" s="500" t="s">
        <v>759</v>
      </c>
      <c r="C197" s="516">
        <v>1.1000000000000001</v>
      </c>
      <c r="D197" s="516">
        <v>1.1000000000000001</v>
      </c>
      <c r="E197" s="516">
        <v>1.1000000000000001</v>
      </c>
      <c r="F197" s="516">
        <v>1.1000000000000001</v>
      </c>
      <c r="G197" s="515"/>
      <c r="H197" s="515"/>
      <c r="I197" s="515"/>
      <c r="J197" s="515"/>
      <c r="K197" s="517"/>
      <c r="L197" s="504">
        <v>3</v>
      </c>
      <c r="M197" s="363"/>
      <c r="N197" s="363"/>
    </row>
    <row r="198" spans="2:30" outlineLevel="1">
      <c r="B198" s="441"/>
      <c r="C198" s="681"/>
      <c r="D198" s="681"/>
      <c r="E198" s="681"/>
      <c r="F198" s="681"/>
      <c r="G198" s="425"/>
      <c r="H198" s="425"/>
      <c r="I198" s="425"/>
      <c r="J198" s="425"/>
      <c r="K198" s="444"/>
      <c r="L198" s="424"/>
      <c r="M198" s="367"/>
      <c r="N198" s="367"/>
      <c r="P198" s="1142">
        <f>C195</f>
        <v>2.7789999999999999</v>
      </c>
      <c r="Q198" s="1143"/>
      <c r="R198" s="1143"/>
      <c r="S198" s="1143"/>
      <c r="T198" s="1143"/>
      <c r="U198" s="1144"/>
    </row>
    <row r="199" spans="2:30" ht="16" outlineLevel="1" thickBot="1">
      <c r="B199" s="519"/>
      <c r="C199" s="442"/>
      <c r="D199" s="520"/>
      <c r="E199" s="520"/>
      <c r="F199" s="521"/>
      <c r="G199" s="425"/>
      <c r="H199" s="425"/>
      <c r="I199" s="425"/>
      <c r="J199" s="425"/>
      <c r="K199" s="448"/>
      <c r="L199" s="424"/>
      <c r="M199" s="363"/>
      <c r="N199" s="363"/>
      <c r="P199" s="1134">
        <f>C196</f>
        <v>1.679</v>
      </c>
      <c r="Q199" s="1135"/>
      <c r="R199" s="1135"/>
      <c r="S199" s="1135"/>
      <c r="T199" s="1135"/>
      <c r="U199" s="1136"/>
    </row>
    <row r="200" spans="2:30" ht="16" outlineLevel="1" thickBot="1">
      <c r="B200" s="401" t="s">
        <v>682</v>
      </c>
      <c r="C200" s="402"/>
      <c r="D200" s="403"/>
      <c r="E200" s="404"/>
      <c r="F200" s="405"/>
      <c r="G200" s="406"/>
      <c r="H200" s="406"/>
      <c r="I200" s="406"/>
      <c r="J200" s="406"/>
      <c r="K200" s="459"/>
      <c r="L200" s="460"/>
      <c r="M200" s="363"/>
      <c r="N200" s="363"/>
      <c r="P200" s="53" t="s">
        <v>357</v>
      </c>
    </row>
    <row r="201" spans="2:30" ht="30" outlineLevel="1">
      <c r="B201" s="522" t="s">
        <v>762</v>
      </c>
      <c r="C201" s="670">
        <v>3.5000000000000003E-2</v>
      </c>
      <c r="D201" s="670">
        <v>0.03</v>
      </c>
      <c r="E201" s="670">
        <v>0.03</v>
      </c>
      <c r="F201" s="670">
        <v>0.03</v>
      </c>
      <c r="G201" s="524"/>
      <c r="H201" s="524"/>
      <c r="I201" s="524"/>
      <c r="J201" s="524"/>
      <c r="K201" s="524" t="s">
        <v>55</v>
      </c>
      <c r="L201" s="525"/>
      <c r="M201" s="363"/>
      <c r="N201" s="363"/>
      <c r="P201" s="46" t="s">
        <v>335</v>
      </c>
      <c r="Q201" s="46" t="s">
        <v>336</v>
      </c>
      <c r="R201" s="47" t="s">
        <v>337</v>
      </c>
      <c r="S201" s="47" t="s">
        <v>338</v>
      </c>
      <c r="T201" s="47" t="s">
        <v>339</v>
      </c>
      <c r="U201" s="48" t="s">
        <v>340</v>
      </c>
      <c r="V201" s="49" t="s">
        <v>341</v>
      </c>
      <c r="W201" s="49" t="s">
        <v>342</v>
      </c>
      <c r="X201" s="49" t="s">
        <v>343</v>
      </c>
      <c r="Y201" s="49" t="s">
        <v>344</v>
      </c>
      <c r="Z201" s="49" t="s">
        <v>345</v>
      </c>
      <c r="AA201" s="49" t="s">
        <v>346</v>
      </c>
      <c r="AB201" s="49" t="s">
        <v>347</v>
      </c>
      <c r="AC201" s="49" t="s">
        <v>348</v>
      </c>
      <c r="AD201" s="49" t="s">
        <v>349</v>
      </c>
    </row>
    <row r="202" spans="2:30" ht="16" outlineLevel="1" thickBot="1">
      <c r="B202" s="500" t="s">
        <v>763</v>
      </c>
      <c r="C202" s="526" t="s">
        <v>36</v>
      </c>
      <c r="D202" s="527" t="s">
        <v>36</v>
      </c>
      <c r="E202" s="527" t="s">
        <v>36</v>
      </c>
      <c r="F202" s="528" t="s">
        <v>36</v>
      </c>
      <c r="G202" s="528"/>
      <c r="H202" s="528"/>
      <c r="I202" s="528"/>
      <c r="J202" s="528"/>
      <c r="K202" s="529" t="s">
        <v>49</v>
      </c>
      <c r="L202" s="525"/>
      <c r="M202" s="363"/>
      <c r="N202" s="363"/>
      <c r="P202" s="50"/>
      <c r="Q202" s="50"/>
      <c r="R202" s="51"/>
      <c r="S202" s="51"/>
      <c r="T202" s="51"/>
      <c r="U202" s="51" t="s">
        <v>760</v>
      </c>
      <c r="V202" s="50" t="s">
        <v>761</v>
      </c>
      <c r="W202" s="50"/>
      <c r="X202" s="50"/>
      <c r="Y202" s="50"/>
      <c r="Z202" s="50"/>
      <c r="AA202" s="50"/>
      <c r="AB202" s="50"/>
      <c r="AC202" s="50"/>
      <c r="AD202" s="50"/>
    </row>
    <row r="203" spans="2:30" ht="32" outlineLevel="1">
      <c r="B203" s="500" t="s">
        <v>764</v>
      </c>
      <c r="C203" s="526" t="s">
        <v>36</v>
      </c>
      <c r="D203" s="527" t="s">
        <v>36</v>
      </c>
      <c r="E203" s="527" t="s">
        <v>36</v>
      </c>
      <c r="F203" s="528" t="s">
        <v>36</v>
      </c>
      <c r="G203" s="515"/>
      <c r="H203" s="515"/>
      <c r="I203" s="515"/>
      <c r="J203" s="515"/>
      <c r="K203" s="515"/>
      <c r="L203" s="504"/>
      <c r="M203" s="363"/>
      <c r="N203" s="363"/>
      <c r="O203" s="461" t="s">
        <v>732</v>
      </c>
      <c r="P203" s="56"/>
      <c r="Q203" s="56"/>
      <c r="R203" s="57"/>
      <c r="S203" s="57"/>
      <c r="T203" s="57"/>
      <c r="U203" s="56" t="s">
        <v>350</v>
      </c>
      <c r="V203" s="56" t="s">
        <v>326</v>
      </c>
      <c r="W203" s="56" t="s">
        <v>327</v>
      </c>
      <c r="X203" s="56" t="s">
        <v>351</v>
      </c>
      <c r="Y203" s="56" t="s">
        <v>351</v>
      </c>
      <c r="Z203" s="56" t="s">
        <v>352</v>
      </c>
      <c r="AA203" s="56" t="s">
        <v>352</v>
      </c>
      <c r="AB203" s="56" t="s">
        <v>352</v>
      </c>
      <c r="AC203" s="56" t="s">
        <v>352</v>
      </c>
      <c r="AD203" s="56" t="s">
        <v>352</v>
      </c>
    </row>
    <row r="204" spans="2:30" outlineLevel="1">
      <c r="B204" s="500" t="s">
        <v>765</v>
      </c>
      <c r="C204" s="685">
        <v>90</v>
      </c>
      <c r="D204" s="530">
        <v>90</v>
      </c>
      <c r="E204" s="530">
        <v>90</v>
      </c>
      <c r="F204" s="530">
        <v>90</v>
      </c>
      <c r="G204" s="531"/>
      <c r="H204" s="531"/>
      <c r="I204" s="531"/>
      <c r="J204" s="531"/>
      <c r="K204" s="531"/>
      <c r="L204" s="504">
        <v>3</v>
      </c>
      <c r="M204" s="363"/>
      <c r="N204" s="363"/>
      <c r="O204" s="465">
        <f>C174</f>
        <v>90</v>
      </c>
      <c r="P204" s="466">
        <f>C170</f>
        <v>2020</v>
      </c>
      <c r="Q204" s="58">
        <f>P204</f>
        <v>2020</v>
      </c>
      <c r="R204" s="466">
        <f>O204/100</f>
        <v>0.9</v>
      </c>
      <c r="S204" s="58"/>
      <c r="T204" s="466">
        <f>C178</f>
        <v>25</v>
      </c>
      <c r="U204" s="467">
        <f>C208</f>
        <v>4605.4545454545441</v>
      </c>
      <c r="V204" s="467">
        <f>C210</f>
        <v>251.065</v>
      </c>
      <c r="W204" s="467">
        <f>C211</f>
        <v>5.7509861111111107</v>
      </c>
      <c r="X204" s="58"/>
      <c r="Y204" s="58"/>
      <c r="Z204" s="466">
        <f>C185</f>
        <v>11</v>
      </c>
      <c r="AA204" s="468">
        <f>C187</f>
        <v>63</v>
      </c>
      <c r="AB204" s="468">
        <f>C188</f>
        <v>11</v>
      </c>
      <c r="AC204" s="468">
        <f>C189</f>
        <v>3</v>
      </c>
      <c r="AD204" s="468">
        <f>C186</f>
        <v>10</v>
      </c>
    </row>
    <row r="205" spans="2:30" outlineLevel="1">
      <c r="B205" s="532" t="s">
        <v>766</v>
      </c>
      <c r="C205" s="526"/>
      <c r="D205" s="527"/>
      <c r="E205" s="527"/>
      <c r="F205" s="528"/>
      <c r="G205" s="531"/>
      <c r="H205" s="531"/>
      <c r="I205" s="531"/>
      <c r="J205" s="531"/>
      <c r="K205" s="531"/>
      <c r="L205" s="533"/>
      <c r="M205" s="367"/>
      <c r="N205" s="367"/>
      <c r="O205" s="465">
        <f>D174</f>
        <v>90</v>
      </c>
      <c r="P205" s="466">
        <f>D170</f>
        <v>2030</v>
      </c>
      <c r="Q205" s="58"/>
      <c r="R205" s="466">
        <f>O205/100</f>
        <v>0.9</v>
      </c>
      <c r="S205" s="58"/>
      <c r="T205" s="466">
        <f>D178</f>
        <v>25</v>
      </c>
      <c r="U205" s="467">
        <f>D208</f>
        <v>4402.2727272727279</v>
      </c>
      <c r="V205" s="467">
        <f>D210</f>
        <v>267.45499999999998</v>
      </c>
      <c r="W205" s="467">
        <f>D211</f>
        <v>5.8461805555555557</v>
      </c>
      <c r="X205" s="58"/>
      <c r="Y205" s="58"/>
      <c r="Z205" s="466">
        <f>D185</f>
        <v>11</v>
      </c>
      <c r="AA205" s="468">
        <f>D187</f>
        <v>49</v>
      </c>
      <c r="AB205" s="468">
        <f>D188</f>
        <v>8</v>
      </c>
      <c r="AC205" s="468">
        <f>D189</f>
        <v>3</v>
      </c>
      <c r="AD205" s="468">
        <f>D186</f>
        <v>10</v>
      </c>
    </row>
    <row r="206" spans="2:30" outlineLevel="1">
      <c r="B206" s="532" t="s">
        <v>767</v>
      </c>
      <c r="C206" s="526"/>
      <c r="D206" s="527"/>
      <c r="E206" s="527"/>
      <c r="F206" s="528"/>
      <c r="G206" s="531"/>
      <c r="H206" s="531"/>
      <c r="I206" s="531"/>
      <c r="J206" s="531"/>
      <c r="K206" s="531"/>
      <c r="L206" s="533"/>
      <c r="M206" s="363"/>
      <c r="N206" s="363"/>
      <c r="O206" s="465">
        <f>E174</f>
        <v>90</v>
      </c>
      <c r="P206" s="466">
        <f>E170</f>
        <v>2040</v>
      </c>
      <c r="Q206" s="58"/>
      <c r="R206" s="466">
        <f>O206/100</f>
        <v>0.9</v>
      </c>
      <c r="S206" s="58"/>
      <c r="T206" s="466">
        <f>E178</f>
        <v>25</v>
      </c>
      <c r="U206" s="467">
        <f>E208</f>
        <v>4199.0909090909081</v>
      </c>
      <c r="V206" s="467">
        <f>E210</f>
        <v>259.26</v>
      </c>
      <c r="W206" s="467">
        <f>E211</f>
        <v>5.8937777777777782</v>
      </c>
      <c r="X206" s="58"/>
      <c r="Y206" s="58"/>
      <c r="Z206" s="466">
        <f>E185</f>
        <v>11</v>
      </c>
      <c r="AA206" s="468">
        <f>E187</f>
        <v>46</v>
      </c>
      <c r="AB206" s="468">
        <f>E188</f>
        <v>6</v>
      </c>
      <c r="AC206" s="468">
        <f>E189</f>
        <v>1</v>
      </c>
      <c r="AD206" s="468">
        <f>E186</f>
        <v>10</v>
      </c>
    </row>
    <row r="207" spans="2:30" ht="16" outlineLevel="1" thickBot="1">
      <c r="B207" s="534" t="s">
        <v>768</v>
      </c>
      <c r="C207" s="535"/>
      <c r="D207" s="536"/>
      <c r="E207" s="536"/>
      <c r="F207" s="537"/>
      <c r="G207" s="538"/>
      <c r="H207" s="538"/>
      <c r="I207" s="538"/>
      <c r="J207" s="538"/>
      <c r="K207" s="538"/>
      <c r="L207" s="539"/>
      <c r="M207" s="363"/>
      <c r="N207" s="363"/>
      <c r="O207" s="465">
        <f>F174</f>
        <v>91</v>
      </c>
      <c r="P207" s="466">
        <f>F170</f>
        <v>2050</v>
      </c>
      <c r="Q207" s="58"/>
      <c r="R207" s="466">
        <f>O207/100</f>
        <v>0.91</v>
      </c>
      <c r="S207" s="58"/>
      <c r="T207" s="466">
        <f>F178</f>
        <v>25</v>
      </c>
      <c r="U207" s="467">
        <f>F208</f>
        <v>3995.9090909090883</v>
      </c>
      <c r="V207" s="467">
        <f>F210</f>
        <v>251.065</v>
      </c>
      <c r="W207" s="467">
        <f>F211</f>
        <v>5.8937777777777782</v>
      </c>
      <c r="X207" s="58"/>
      <c r="Y207" s="58"/>
      <c r="Z207" s="466">
        <f>F185</f>
        <v>11</v>
      </c>
      <c r="AA207" s="468">
        <f>F187</f>
        <v>41</v>
      </c>
      <c r="AB207" s="468">
        <f>F188</f>
        <v>4</v>
      </c>
      <c r="AC207" s="468">
        <f>F189</f>
        <v>1</v>
      </c>
      <c r="AD207" s="468">
        <f>F186</f>
        <v>10</v>
      </c>
    </row>
    <row r="208" spans="2:30" ht="64" outlineLevel="1">
      <c r="B208" s="461" t="s">
        <v>769</v>
      </c>
      <c r="C208" s="483">
        <f>C191*$F$4*1000</f>
        <v>4605.4545454545441</v>
      </c>
      <c r="D208" s="483">
        <f t="shared" ref="D208:F208" si="26">D191*$F$4*1000</f>
        <v>4402.2727272727279</v>
      </c>
      <c r="E208" s="483">
        <f t="shared" si="26"/>
        <v>4199.0909090909081</v>
      </c>
      <c r="F208" s="483">
        <f t="shared" si="26"/>
        <v>3995.9090909090883</v>
      </c>
      <c r="G208" s="483"/>
      <c r="H208" s="484"/>
      <c r="I208" s="420" t="s">
        <v>332</v>
      </c>
      <c r="J208" s="420"/>
      <c r="K208" s="484"/>
      <c r="L208" s="484"/>
      <c r="N208" s="420"/>
    </row>
    <row r="209" spans="1:16" outlineLevel="1">
      <c r="B209" s="485" t="s">
        <v>770</v>
      </c>
      <c r="C209" s="486">
        <f>C208*$I209</f>
        <v>2302727.272727272</v>
      </c>
      <c r="D209" s="486">
        <f>D208*$I209</f>
        <v>2201136.3636363638</v>
      </c>
      <c r="E209" s="486">
        <f>E208*$I209</f>
        <v>2099545.4545454541</v>
      </c>
      <c r="F209" s="486">
        <f>F208*$I209</f>
        <v>1997954.545454544</v>
      </c>
      <c r="G209" s="486"/>
      <c r="H209" s="484"/>
      <c r="I209" s="71">
        <v>500</v>
      </c>
      <c r="J209" s="420" t="s">
        <v>330</v>
      </c>
      <c r="K209" s="484"/>
      <c r="L209" s="484"/>
      <c r="N209" s="420"/>
    </row>
    <row r="210" spans="1:16" ht="48" outlineLevel="1">
      <c r="B210" s="461" t="s">
        <v>845</v>
      </c>
      <c r="C210" s="359">
        <f>C194*$F$4/1000</f>
        <v>251.065</v>
      </c>
      <c r="D210" s="359">
        <f t="shared" ref="D210:F210" si="27">D194*$F$4/1000</f>
        <v>267.45499999999998</v>
      </c>
      <c r="E210" s="359">
        <f t="shared" si="27"/>
        <v>259.26</v>
      </c>
      <c r="F210" s="359">
        <f t="shared" si="27"/>
        <v>251.065</v>
      </c>
      <c r="G210" s="359"/>
      <c r="I210" s="420" t="s">
        <v>333</v>
      </c>
      <c r="J210" s="420"/>
      <c r="N210" s="420"/>
    </row>
    <row r="211" spans="1:16" ht="48" outlineLevel="1">
      <c r="B211" s="461" t="s">
        <v>846</v>
      </c>
      <c r="C211" s="487">
        <f>C195*$F$4/3.6</f>
        <v>5.7509861111111107</v>
      </c>
      <c r="D211" s="487">
        <f t="shared" ref="D211:F211" si="28">D195*$F$4/3.6</f>
        <v>5.8461805555555557</v>
      </c>
      <c r="E211" s="487">
        <f t="shared" si="28"/>
        <v>5.8937777777777782</v>
      </c>
      <c r="F211" s="487">
        <f t="shared" si="28"/>
        <v>5.8937777777777782</v>
      </c>
      <c r="G211" s="359"/>
      <c r="M211" s="420"/>
      <c r="N211" s="420"/>
    </row>
    <row r="212" spans="1:16" outlineLevel="1"/>
    <row r="213" spans="1:16" outlineLevel="1">
      <c r="A213" s="488"/>
      <c r="B213" s="489"/>
      <c r="D213" s="490"/>
      <c r="E213" s="490"/>
      <c r="F213" s="490"/>
      <c r="G213" s="358"/>
      <c r="H213" s="358"/>
      <c r="I213" s="358"/>
      <c r="J213" s="358"/>
      <c r="K213" s="358"/>
      <c r="L213" s="358"/>
      <c r="N213" s="570"/>
    </row>
    <row r="214" spans="1:16" outlineLevel="1">
      <c r="A214" s="491"/>
      <c r="B214" s="492"/>
      <c r="D214" s="490"/>
      <c r="E214" s="490"/>
      <c r="F214" s="490"/>
      <c r="G214" s="358"/>
      <c r="H214" s="358"/>
      <c r="I214" s="358"/>
      <c r="J214" s="358"/>
      <c r="K214" s="358"/>
      <c r="L214" s="358"/>
      <c r="N214" s="570"/>
    </row>
    <row r="215" spans="1:16" outlineLevel="1">
      <c r="A215" s="491"/>
      <c r="B215" s="493"/>
      <c r="D215" s="490"/>
      <c r="E215" s="490"/>
      <c r="F215" s="490"/>
      <c r="G215" s="358"/>
      <c r="H215" s="358"/>
      <c r="I215" s="358"/>
      <c r="J215" s="358"/>
      <c r="K215" s="358"/>
      <c r="L215" s="358"/>
      <c r="N215" s="570"/>
    </row>
    <row r="216" spans="1:16" outlineLevel="1">
      <c r="A216" s="491"/>
      <c r="B216" s="488" t="s">
        <v>773</v>
      </c>
      <c r="C216" s="489"/>
      <c r="E216" s="358"/>
      <c r="F216" s="490"/>
      <c r="G216" s="358"/>
      <c r="H216" s="358"/>
      <c r="I216" s="358"/>
      <c r="J216" s="358"/>
      <c r="K216" s="358"/>
      <c r="L216" s="358"/>
      <c r="N216" s="570"/>
      <c r="O216" s="489"/>
      <c r="P216" s="490"/>
    </row>
    <row r="217" spans="1:16" outlineLevel="1">
      <c r="A217" s="491"/>
      <c r="B217" s="491">
        <v>1</v>
      </c>
      <c r="C217" s="492" t="s">
        <v>774</v>
      </c>
      <c r="E217" s="358"/>
      <c r="F217" s="490"/>
      <c r="G217" s="358"/>
      <c r="H217" s="358"/>
      <c r="I217" s="358"/>
      <c r="J217" s="358"/>
      <c r="K217" s="358"/>
      <c r="L217" s="358"/>
      <c r="N217" s="570"/>
      <c r="O217" s="489"/>
      <c r="P217" s="490"/>
    </row>
    <row r="218" spans="1:16" outlineLevel="1">
      <c r="A218" s="358"/>
      <c r="B218" s="491">
        <v>2</v>
      </c>
      <c r="C218" s="493" t="s">
        <v>775</v>
      </c>
      <c r="E218" s="358"/>
      <c r="F218" s="490"/>
      <c r="G218" s="358"/>
      <c r="H218" s="358"/>
      <c r="I218" s="358"/>
      <c r="J218" s="358"/>
      <c r="K218" s="358"/>
      <c r="L218" s="358"/>
      <c r="O218" s="489"/>
      <c r="P218" s="490"/>
    </row>
    <row r="219" spans="1:16" outlineLevel="1">
      <c r="A219" s="358"/>
      <c r="B219" s="491">
        <v>3</v>
      </c>
      <c r="C219" s="493" t="s">
        <v>776</v>
      </c>
      <c r="E219" s="358"/>
      <c r="F219" s="490"/>
      <c r="G219" s="358"/>
      <c r="H219" s="358"/>
      <c r="I219" s="358"/>
      <c r="J219" s="358"/>
      <c r="K219" s="358"/>
      <c r="L219" s="358"/>
      <c r="O219" s="489"/>
      <c r="P219" s="490"/>
    </row>
    <row r="220" spans="1:16" outlineLevel="1">
      <c r="A220" s="358"/>
      <c r="B220" s="491">
        <v>4</v>
      </c>
      <c r="C220" s="493" t="s">
        <v>777</v>
      </c>
      <c r="E220" s="358"/>
      <c r="F220" s="490"/>
      <c r="G220" s="358"/>
      <c r="H220" s="358"/>
      <c r="I220" s="358"/>
      <c r="J220" s="358"/>
      <c r="K220" s="358"/>
      <c r="L220" s="358"/>
      <c r="O220" s="489"/>
      <c r="P220" s="490"/>
    </row>
    <row r="221" spans="1:16" outlineLevel="1">
      <c r="A221" s="358"/>
      <c r="B221" s="358">
        <v>5</v>
      </c>
      <c r="C221" s="494" t="s">
        <v>778</v>
      </c>
      <c r="F221" s="490"/>
      <c r="G221" s="358"/>
      <c r="H221" s="358"/>
      <c r="I221" s="358"/>
      <c r="J221" s="358"/>
      <c r="K221" s="358"/>
      <c r="L221" s="358"/>
    </row>
    <row r="222" spans="1:16" outlineLevel="1">
      <c r="A222" s="358"/>
      <c r="B222" s="358">
        <v>6</v>
      </c>
      <c r="C222" s="492" t="s">
        <v>779</v>
      </c>
      <c r="F222" s="490"/>
      <c r="G222" s="358"/>
      <c r="H222" s="358"/>
      <c r="I222" s="358"/>
      <c r="J222" s="358"/>
      <c r="K222" s="358"/>
      <c r="L222" s="358"/>
    </row>
    <row r="223" spans="1:16" outlineLevel="1">
      <c r="A223" s="358"/>
      <c r="B223" s="358">
        <v>7</v>
      </c>
      <c r="C223" s="495" t="s">
        <v>774</v>
      </c>
      <c r="F223" s="490"/>
      <c r="G223" s="358"/>
      <c r="H223" s="358"/>
      <c r="I223" s="358"/>
      <c r="J223" s="358"/>
      <c r="K223" s="358"/>
      <c r="L223" s="358"/>
    </row>
    <row r="224" spans="1:16" outlineLevel="1">
      <c r="A224" s="488"/>
      <c r="B224" s="358">
        <v>8</v>
      </c>
      <c r="C224" s="495" t="s">
        <v>780</v>
      </c>
      <c r="F224" s="490"/>
      <c r="G224" s="358"/>
      <c r="H224" s="358"/>
      <c r="I224" s="358"/>
      <c r="J224" s="358"/>
      <c r="K224" s="358"/>
      <c r="L224" s="358"/>
    </row>
    <row r="225" spans="1:16" outlineLevel="1">
      <c r="A225" s="496"/>
      <c r="B225" s="358">
        <v>9</v>
      </c>
      <c r="C225" s="489" t="s">
        <v>781</v>
      </c>
      <c r="F225" s="490"/>
      <c r="G225" s="358"/>
      <c r="H225" s="358"/>
      <c r="I225" s="358"/>
      <c r="J225" s="358"/>
      <c r="K225" s="358"/>
      <c r="L225" s="358"/>
      <c r="N225" s="570"/>
    </row>
    <row r="226" spans="1:16" outlineLevel="1">
      <c r="A226" s="496"/>
      <c r="B226" s="358">
        <v>10</v>
      </c>
      <c r="C226" s="490" t="s">
        <v>782</v>
      </c>
      <c r="F226" s="490"/>
      <c r="G226" s="358"/>
      <c r="H226" s="358"/>
      <c r="I226" s="358"/>
      <c r="J226" s="358"/>
      <c r="K226" s="358"/>
      <c r="L226" s="358"/>
      <c r="N226" s="570"/>
    </row>
    <row r="227" spans="1:16" outlineLevel="1">
      <c r="A227" s="496"/>
      <c r="B227" s="488" t="s">
        <v>783</v>
      </c>
      <c r="C227" s="489"/>
      <c r="F227" s="490"/>
      <c r="G227" s="358"/>
      <c r="H227" s="358"/>
      <c r="I227" s="358"/>
      <c r="J227" s="358"/>
      <c r="K227" s="358"/>
      <c r="L227" s="358"/>
      <c r="N227" s="570"/>
    </row>
    <row r="228" spans="1:16" outlineLevel="1">
      <c r="A228" s="496"/>
      <c r="B228" s="496" t="s">
        <v>6</v>
      </c>
      <c r="C228" s="497" t="s">
        <v>975</v>
      </c>
      <c r="D228" s="489"/>
      <c r="F228" s="490"/>
      <c r="G228" s="358"/>
      <c r="H228" s="358"/>
      <c r="I228" s="358"/>
      <c r="J228" s="358"/>
      <c r="K228" s="358"/>
      <c r="L228" s="358"/>
      <c r="N228" s="570"/>
      <c r="O228" s="489"/>
      <c r="P228" s="490"/>
    </row>
    <row r="229" spans="1:16" outlineLevel="1">
      <c r="A229" s="496"/>
      <c r="B229" s="496" t="s">
        <v>59</v>
      </c>
      <c r="C229" s="489" t="s">
        <v>785</v>
      </c>
      <c r="D229" s="489"/>
      <c r="F229" s="490"/>
      <c r="G229" s="358"/>
      <c r="H229" s="358"/>
      <c r="I229" s="358"/>
      <c r="J229" s="358"/>
      <c r="K229" s="358"/>
      <c r="L229" s="358"/>
      <c r="N229" s="570"/>
      <c r="O229" s="489"/>
      <c r="P229" s="490"/>
    </row>
    <row r="230" spans="1:16" outlineLevel="1">
      <c r="A230" s="496"/>
      <c r="B230" s="496" t="s">
        <v>16</v>
      </c>
      <c r="C230" s="489" t="s">
        <v>976</v>
      </c>
      <c r="D230" s="489"/>
      <c r="F230" s="490"/>
      <c r="G230" s="358"/>
      <c r="H230" s="358"/>
      <c r="I230" s="358"/>
      <c r="J230" s="358"/>
      <c r="K230" s="358"/>
      <c r="L230" s="358"/>
      <c r="N230" s="570"/>
      <c r="O230" s="489"/>
      <c r="P230" s="490"/>
    </row>
    <row r="231" spans="1:16" outlineLevel="1">
      <c r="A231" s="496"/>
      <c r="B231" s="496" t="s">
        <v>20</v>
      </c>
      <c r="C231" s="489" t="s">
        <v>977</v>
      </c>
      <c r="D231" s="489"/>
      <c r="F231" s="490"/>
      <c r="G231" s="358"/>
      <c r="H231" s="358"/>
      <c r="I231" s="358"/>
      <c r="J231" s="358"/>
      <c r="K231" s="358"/>
      <c r="L231" s="358"/>
      <c r="N231" s="570"/>
      <c r="O231" s="489"/>
      <c r="P231" s="490"/>
    </row>
    <row r="232" spans="1:16" outlineLevel="1">
      <c r="A232" s="496"/>
      <c r="B232" s="496" t="s">
        <v>76</v>
      </c>
      <c r="C232" s="489" t="s">
        <v>786</v>
      </c>
      <c r="D232" s="489"/>
      <c r="F232" s="490"/>
      <c r="G232" s="358"/>
      <c r="H232" s="358"/>
      <c r="I232" s="358"/>
      <c r="J232" s="358"/>
      <c r="K232" s="358"/>
      <c r="L232" s="358"/>
      <c r="N232" s="570"/>
      <c r="O232" s="489"/>
      <c r="P232" s="490"/>
    </row>
    <row r="233" spans="1:16" outlineLevel="1">
      <c r="A233" s="496"/>
      <c r="B233" s="496" t="s">
        <v>25</v>
      </c>
      <c r="C233" s="489" t="s">
        <v>978</v>
      </c>
      <c r="D233" s="489"/>
      <c r="F233" s="490"/>
      <c r="G233" s="358"/>
      <c r="H233" s="358"/>
      <c r="I233" s="358"/>
      <c r="J233" s="358"/>
      <c r="K233" s="358"/>
      <c r="L233" s="358"/>
      <c r="N233" s="570"/>
      <c r="O233" s="489"/>
      <c r="P233" s="490"/>
    </row>
    <row r="234" spans="1:16" outlineLevel="1">
      <c r="A234" s="496"/>
      <c r="B234" s="496" t="s">
        <v>33</v>
      </c>
      <c r="C234" s="489" t="s">
        <v>979</v>
      </c>
      <c r="D234" s="489"/>
      <c r="F234" s="490"/>
      <c r="G234" s="358"/>
      <c r="H234" s="358"/>
      <c r="I234" s="358"/>
      <c r="J234" s="358"/>
      <c r="K234" s="358"/>
      <c r="L234" s="358"/>
      <c r="N234" s="570"/>
      <c r="O234" s="489"/>
      <c r="P234" s="490"/>
    </row>
    <row r="235" spans="1:16" outlineLevel="1">
      <c r="A235" s="496"/>
      <c r="B235" s="496" t="s">
        <v>51</v>
      </c>
      <c r="C235" s="489" t="s">
        <v>980</v>
      </c>
      <c r="D235" s="489"/>
      <c r="F235" s="490"/>
      <c r="G235" s="358"/>
      <c r="H235" s="358"/>
      <c r="I235" s="358"/>
      <c r="J235" s="358"/>
      <c r="K235" s="358"/>
      <c r="L235" s="358"/>
      <c r="N235" s="570"/>
      <c r="O235" s="489"/>
      <c r="P235" s="490"/>
    </row>
    <row r="236" spans="1:16" outlineLevel="1">
      <c r="A236" s="496"/>
      <c r="B236" s="496" t="s">
        <v>52</v>
      </c>
      <c r="C236" s="498" t="s">
        <v>788</v>
      </c>
      <c r="D236" s="489"/>
      <c r="F236" s="490"/>
      <c r="G236" s="358"/>
      <c r="H236" s="358"/>
      <c r="I236" s="358"/>
      <c r="J236" s="358"/>
      <c r="K236" s="358"/>
      <c r="L236" s="358"/>
      <c r="N236" s="570"/>
      <c r="O236" s="489"/>
      <c r="P236" s="490"/>
    </row>
    <row r="237" spans="1:16" outlineLevel="1">
      <c r="A237" s="496"/>
      <c r="B237" s="496" t="s">
        <v>55</v>
      </c>
      <c r="C237" s="489" t="s">
        <v>804</v>
      </c>
      <c r="D237" s="489"/>
      <c r="F237" s="490"/>
      <c r="G237" s="358"/>
      <c r="H237" s="358"/>
      <c r="I237" s="358"/>
      <c r="J237" s="358"/>
      <c r="K237" s="358"/>
      <c r="L237" s="358"/>
      <c r="N237" s="571"/>
      <c r="O237" s="489"/>
      <c r="P237" s="490"/>
    </row>
    <row r="238" spans="1:16" outlineLevel="1">
      <c r="A238" s="496"/>
      <c r="B238" s="496" t="s">
        <v>49</v>
      </c>
      <c r="C238" s="489" t="s">
        <v>789</v>
      </c>
      <c r="D238" s="489"/>
      <c r="F238" s="490"/>
      <c r="G238" s="358"/>
      <c r="H238" s="358"/>
      <c r="I238" s="358"/>
      <c r="J238" s="358"/>
      <c r="K238" s="358"/>
      <c r="L238" s="358"/>
      <c r="N238" s="572"/>
      <c r="O238" s="489"/>
      <c r="P238" s="490"/>
    </row>
    <row r="239" spans="1:16" outlineLevel="1">
      <c r="A239" s="496"/>
      <c r="F239" s="490"/>
      <c r="G239" s="358"/>
      <c r="H239" s="358"/>
      <c r="I239" s="358"/>
      <c r="J239" s="358"/>
      <c r="K239" s="358"/>
      <c r="L239" s="358"/>
      <c r="N239" s="573"/>
      <c r="O239" s="489"/>
      <c r="P239" s="490"/>
    </row>
    <row r="240" spans="1:16" outlineLevel="1">
      <c r="A240" s="496"/>
      <c r="B240" s="498"/>
      <c r="C240" s="490"/>
      <c r="D240" s="490"/>
      <c r="E240" s="490"/>
      <c r="F240" s="490"/>
      <c r="G240" s="358"/>
      <c r="H240" s="358"/>
      <c r="I240" s="358"/>
      <c r="J240" s="358"/>
      <c r="K240" s="358"/>
      <c r="L240" s="358"/>
      <c r="N240" s="573"/>
      <c r="O240" s="489"/>
      <c r="P240" s="490"/>
    </row>
    <row r="241" spans="1:44" outlineLevel="1">
      <c r="A241" s="496"/>
      <c r="B241" s="489"/>
      <c r="C241" s="490"/>
      <c r="D241" s="490"/>
      <c r="E241" s="490"/>
      <c r="F241" s="490"/>
      <c r="G241" s="358"/>
      <c r="H241" s="358"/>
      <c r="I241" s="358"/>
      <c r="J241" s="358"/>
      <c r="K241" s="358"/>
      <c r="L241" s="358"/>
      <c r="N241" s="489"/>
      <c r="O241" s="489"/>
      <c r="P241" s="490"/>
    </row>
    <row r="242" spans="1:44" outlineLevel="1">
      <c r="A242" s="496"/>
      <c r="B242" s="489"/>
      <c r="C242" s="490"/>
      <c r="D242" s="490"/>
      <c r="E242" s="490"/>
      <c r="F242" s="490"/>
      <c r="G242" s="358"/>
      <c r="H242" s="358"/>
      <c r="I242" s="358"/>
      <c r="J242" s="358"/>
      <c r="K242" s="358"/>
      <c r="L242" s="358"/>
      <c r="N242" s="490"/>
      <c r="O242" s="489"/>
      <c r="P242" s="490"/>
    </row>
    <row r="243" spans="1:44" outlineLevel="1">
      <c r="O243" s="490"/>
      <c r="P243" s="490"/>
    </row>
    <row r="244" spans="1:44" outlineLevel="1">
      <c r="O244" s="490"/>
      <c r="P244" s="490"/>
    </row>
    <row r="245" spans="1:44">
      <c r="O245" s="490"/>
      <c r="P245" s="490"/>
    </row>
    <row r="246" spans="1:44">
      <c r="A246" s="360" t="s">
        <v>995</v>
      </c>
      <c r="B246" s="1207"/>
      <c r="C246" s="1143"/>
      <c r="D246" s="1143"/>
      <c r="E246" s="1143"/>
      <c r="F246" s="1143"/>
      <c r="G246" s="1143"/>
      <c r="H246" s="1143"/>
      <c r="I246" s="1143"/>
      <c r="J246" s="1143"/>
      <c r="K246" s="1143"/>
      <c r="L246" s="1143"/>
      <c r="M246" s="1143"/>
      <c r="N246" s="361"/>
    </row>
    <row r="247" spans="1:44" ht="20.5" customHeight="1" outlineLevel="1" thickBot="1">
      <c r="B247" s="1207"/>
      <c r="C247" s="1143"/>
      <c r="D247" s="1143"/>
      <c r="E247" s="1143"/>
      <c r="F247" s="1143"/>
      <c r="G247" s="1143"/>
      <c r="H247" s="1143"/>
      <c r="I247" s="1143"/>
      <c r="J247" s="1143"/>
      <c r="K247" s="1143"/>
      <c r="L247" s="1143"/>
      <c r="M247" s="1143"/>
      <c r="N247" s="361"/>
    </row>
    <row r="248" spans="1:44" ht="15" customHeight="1" outlineLevel="1" thickBot="1">
      <c r="B248" s="362" t="s">
        <v>0</v>
      </c>
      <c r="C248" s="1204" t="s">
        <v>991</v>
      </c>
      <c r="D248" s="1205"/>
      <c r="E248" s="1205"/>
      <c r="F248" s="1205"/>
      <c r="G248" s="1205"/>
      <c r="H248" s="1205"/>
      <c r="I248" s="1205"/>
      <c r="J248" s="1205"/>
      <c r="K248" s="1205"/>
      <c r="L248" s="1206"/>
      <c r="M248" s="363"/>
      <c r="N248" s="363"/>
      <c r="AK248" s="1160" t="s">
        <v>716</v>
      </c>
      <c r="AL248" s="1161"/>
      <c r="AM248" s="1160" t="s">
        <v>717</v>
      </c>
      <c r="AN248" s="1161"/>
      <c r="AO248" s="1160" t="s">
        <v>718</v>
      </c>
      <c r="AP248" s="1161"/>
      <c r="AQ248" s="1170" t="s">
        <v>719</v>
      </c>
      <c r="AR248" s="1171"/>
    </row>
    <row r="249" spans="1:44" ht="15" customHeight="1" outlineLevel="1" thickBot="1">
      <c r="B249" s="1164" t="s">
        <v>4</v>
      </c>
      <c r="C249" s="1166">
        <v>2020</v>
      </c>
      <c r="D249" s="1166">
        <v>2030</v>
      </c>
      <c r="E249" s="1166">
        <v>2040</v>
      </c>
      <c r="F249" s="1166">
        <v>2050</v>
      </c>
      <c r="G249" s="1200" t="s">
        <v>721</v>
      </c>
      <c r="H249" s="1201"/>
      <c r="I249" s="1200" t="s">
        <v>648</v>
      </c>
      <c r="J249" s="1201"/>
      <c r="K249" s="1202" t="s">
        <v>2</v>
      </c>
      <c r="L249" s="1202" t="s">
        <v>3</v>
      </c>
      <c r="M249" s="367"/>
      <c r="N249" s="367"/>
      <c r="P249" s="1143"/>
      <c r="Q249" s="1143"/>
      <c r="R249" s="1143"/>
      <c r="S249" s="1143"/>
      <c r="T249" s="1143"/>
      <c r="U249" s="1143"/>
      <c r="AK249" s="1162"/>
      <c r="AL249" s="1163"/>
      <c r="AM249" s="1162"/>
      <c r="AN249" s="1163"/>
      <c r="AO249" s="1162"/>
      <c r="AP249" s="1163"/>
      <c r="AQ249" s="1172"/>
      <c r="AR249" s="1173"/>
    </row>
    <row r="250" spans="1:44" ht="16" outlineLevel="1" thickBot="1">
      <c r="B250" s="1165"/>
      <c r="C250" s="1167"/>
      <c r="D250" s="1167"/>
      <c r="E250" s="1167"/>
      <c r="F250" s="1167"/>
      <c r="G250" s="499" t="s">
        <v>649</v>
      </c>
      <c r="H250" s="499" t="s">
        <v>650</v>
      </c>
      <c r="I250" s="499" t="s">
        <v>649</v>
      </c>
      <c r="J250" s="499" t="s">
        <v>650</v>
      </c>
      <c r="K250" s="1203"/>
      <c r="L250" s="1203"/>
      <c r="M250" s="370"/>
      <c r="N250" s="370"/>
      <c r="P250" s="1143"/>
      <c r="Q250" s="1143"/>
      <c r="R250" s="1143"/>
      <c r="S250" s="1143"/>
      <c r="T250" s="1143"/>
      <c r="U250" s="1143"/>
      <c r="AK250" s="1162"/>
      <c r="AL250" s="1163"/>
      <c r="AM250" s="1162"/>
      <c r="AN250" s="1163"/>
      <c r="AO250" s="1162"/>
      <c r="AP250" s="1163"/>
      <c r="AQ250" s="1174"/>
      <c r="AR250" s="1175"/>
    </row>
    <row r="251" spans="1:44" ht="14.5" customHeight="1" outlineLevel="1" thickBot="1">
      <c r="B251" s="371" t="s">
        <v>651</v>
      </c>
      <c r="C251" s="372">
        <v>20</v>
      </c>
      <c r="D251" s="372">
        <v>20</v>
      </c>
      <c r="E251" s="372">
        <v>20</v>
      </c>
      <c r="F251" s="372">
        <v>20</v>
      </c>
      <c r="G251" s="372">
        <v>1</v>
      </c>
      <c r="H251" s="372">
        <v>50</v>
      </c>
      <c r="I251" s="372">
        <v>1</v>
      </c>
      <c r="J251" s="372">
        <v>50</v>
      </c>
      <c r="K251" s="372" t="s">
        <v>6</v>
      </c>
      <c r="L251" s="373" t="s">
        <v>725</v>
      </c>
      <c r="M251" s="370"/>
      <c r="N251" s="370"/>
      <c r="P251" s="364" t="s">
        <v>713</v>
      </c>
      <c r="Q251" s="365"/>
      <c r="R251" s="366"/>
      <c r="S251" s="1176" t="s">
        <v>714</v>
      </c>
      <c r="T251" s="1160" t="s">
        <v>715</v>
      </c>
      <c r="U251" s="1161"/>
      <c r="V251" s="1160" t="s">
        <v>716</v>
      </c>
      <c r="W251" s="1161"/>
      <c r="X251" s="1160" t="s">
        <v>717</v>
      </c>
      <c r="Y251" s="1161"/>
      <c r="Z251" s="1160" t="s">
        <v>718</v>
      </c>
      <c r="AA251" s="1161"/>
      <c r="AB251" s="1160" t="s">
        <v>719</v>
      </c>
      <c r="AC251" s="1161"/>
      <c r="AE251" s="364" t="s">
        <v>720</v>
      </c>
      <c r="AF251" s="365"/>
      <c r="AG251" s="366"/>
      <c r="AH251" s="1176" t="s">
        <v>714</v>
      </c>
      <c r="AI251" s="1160" t="s">
        <v>715</v>
      </c>
      <c r="AJ251" s="1161"/>
      <c r="AK251" s="374" t="s">
        <v>726</v>
      </c>
      <c r="AL251" s="375" t="s">
        <v>727</v>
      </c>
      <c r="AM251" s="374" t="s">
        <v>726</v>
      </c>
      <c r="AN251" s="375" t="s">
        <v>727</v>
      </c>
      <c r="AO251" s="374" t="s">
        <v>726</v>
      </c>
      <c r="AP251" s="375" t="s">
        <v>727</v>
      </c>
      <c r="AQ251" s="374" t="s">
        <v>726</v>
      </c>
      <c r="AR251" s="375" t="s">
        <v>727</v>
      </c>
    </row>
    <row r="252" spans="1:44" outlineLevel="1">
      <c r="B252" s="500" t="s">
        <v>728</v>
      </c>
      <c r="C252" s="668">
        <v>116.18960947726835</v>
      </c>
      <c r="D252" s="668">
        <v>116.18960947726835</v>
      </c>
      <c r="E252" s="669">
        <v>116.18960947726835</v>
      </c>
      <c r="F252" s="668">
        <v>116.18960947726835</v>
      </c>
      <c r="G252" s="501">
        <v>88</v>
      </c>
      <c r="H252" s="501">
        <v>117</v>
      </c>
      <c r="I252" s="501">
        <v>88</v>
      </c>
      <c r="J252" s="501">
        <v>117</v>
      </c>
      <c r="K252" s="503" t="s">
        <v>982</v>
      </c>
      <c r="L252" s="504">
        <v>11</v>
      </c>
      <c r="M252" s="370"/>
      <c r="N252" s="370"/>
      <c r="P252" s="1180" t="s">
        <v>0</v>
      </c>
      <c r="Q252" s="368"/>
      <c r="R252" s="368"/>
      <c r="S252" s="1177"/>
      <c r="T252" s="1162"/>
      <c r="U252" s="1163"/>
      <c r="V252" s="1162"/>
      <c r="W252" s="1163"/>
      <c r="X252" s="1162"/>
      <c r="Y252" s="1163"/>
      <c r="Z252" s="1162"/>
      <c r="AA252" s="1163"/>
      <c r="AB252" s="1162"/>
      <c r="AC252" s="1163"/>
      <c r="AE252" s="1180" t="s">
        <v>0</v>
      </c>
      <c r="AF252" s="368"/>
      <c r="AG252" s="368"/>
      <c r="AH252" s="1177"/>
      <c r="AI252" s="1162"/>
      <c r="AJ252" s="1163"/>
      <c r="AK252" s="1157">
        <v>0</v>
      </c>
      <c r="AL252" s="1151">
        <v>0</v>
      </c>
      <c r="AM252" s="1157">
        <v>0</v>
      </c>
      <c r="AN252" s="1151">
        <v>0</v>
      </c>
      <c r="AO252" s="1157">
        <v>0</v>
      </c>
      <c r="AP252" s="1151">
        <v>0</v>
      </c>
      <c r="AQ252" s="1157">
        <v>0</v>
      </c>
      <c r="AR252" s="1151">
        <v>0</v>
      </c>
    </row>
    <row r="253" spans="1:44" outlineLevel="1">
      <c r="B253" s="383" t="s">
        <v>732</v>
      </c>
      <c r="C253" s="577">
        <v>116.18960947726835</v>
      </c>
      <c r="D253" s="577">
        <v>116.18960947726835</v>
      </c>
      <c r="E253" s="577">
        <v>116.18960947726835</v>
      </c>
      <c r="F253" s="577">
        <v>116.18960947726835</v>
      </c>
      <c r="G253" s="505">
        <v>88</v>
      </c>
      <c r="H253" s="505">
        <v>117</v>
      </c>
      <c r="I253" s="505">
        <v>88</v>
      </c>
      <c r="J253" s="505">
        <v>117</v>
      </c>
      <c r="K253" s="372" t="s">
        <v>982</v>
      </c>
      <c r="L253" s="373">
        <v>11</v>
      </c>
      <c r="M253" s="370"/>
      <c r="N253" s="370"/>
      <c r="P253" s="1181"/>
      <c r="Q253" s="1183" t="s">
        <v>722</v>
      </c>
      <c r="R253" s="1184" t="s">
        <v>723</v>
      </c>
      <c r="S253" s="1178"/>
      <c r="T253" s="1162"/>
      <c r="U253" s="1163"/>
      <c r="V253" s="1162"/>
      <c r="W253" s="1163"/>
      <c r="X253" s="1162"/>
      <c r="Y253" s="1163"/>
      <c r="Z253" s="1162"/>
      <c r="AA253" s="1163"/>
      <c r="AB253" s="1162"/>
      <c r="AC253" s="1163"/>
      <c r="AE253" s="1181"/>
      <c r="AF253" s="1197" t="s">
        <v>722</v>
      </c>
      <c r="AG253" s="1184" t="s">
        <v>723</v>
      </c>
      <c r="AH253" s="1178"/>
      <c r="AI253" s="1162"/>
      <c r="AJ253" s="1163"/>
      <c r="AK253" s="1158"/>
      <c r="AL253" s="1152"/>
      <c r="AM253" s="1158"/>
      <c r="AN253" s="1152"/>
      <c r="AO253" s="1158"/>
      <c r="AP253" s="1152"/>
      <c r="AQ253" s="1158"/>
      <c r="AR253" s="1152"/>
    </row>
    <row r="254" spans="1:44" ht="14.5" customHeight="1" outlineLevel="1" thickBot="1">
      <c r="B254" s="500" t="s">
        <v>734</v>
      </c>
      <c r="C254" s="506">
        <v>2.2999999999999998</v>
      </c>
      <c r="D254" s="507">
        <v>2.2999999999999998</v>
      </c>
      <c r="E254" s="507">
        <v>2.2999999999999998</v>
      </c>
      <c r="F254" s="508">
        <v>2.2999999999999998</v>
      </c>
      <c r="G254" s="507">
        <v>2.2000000000000002</v>
      </c>
      <c r="H254" s="507">
        <v>2.5</v>
      </c>
      <c r="I254" s="507">
        <v>1.8</v>
      </c>
      <c r="J254" s="507">
        <v>2.5</v>
      </c>
      <c r="K254" s="503" t="s">
        <v>59</v>
      </c>
      <c r="L254" s="504">
        <v>3</v>
      </c>
      <c r="M254" s="370"/>
      <c r="N254" s="370"/>
      <c r="O254" s="74"/>
      <c r="P254" s="1182"/>
      <c r="Q254" s="1179"/>
      <c r="R254" s="1185"/>
      <c r="S254" s="1179"/>
      <c r="T254" s="374" t="s">
        <v>726</v>
      </c>
      <c r="U254" s="375" t="s">
        <v>727</v>
      </c>
      <c r="V254" s="374" t="s">
        <v>726</v>
      </c>
      <c r="W254" s="375" t="s">
        <v>727</v>
      </c>
      <c r="X254" s="374" t="s">
        <v>726</v>
      </c>
      <c r="Y254" s="375" t="s">
        <v>727</v>
      </c>
      <c r="Z254" s="374" t="s">
        <v>726</v>
      </c>
      <c r="AA254" s="375" t="s">
        <v>727</v>
      </c>
      <c r="AB254" s="374" t="s">
        <v>726</v>
      </c>
      <c r="AC254" s="375" t="s">
        <v>727</v>
      </c>
      <c r="AE254" s="1182"/>
      <c r="AF254" s="1198"/>
      <c r="AG254" s="1185"/>
      <c r="AH254" s="1179"/>
      <c r="AI254" s="374" t="s">
        <v>726</v>
      </c>
      <c r="AJ254" s="375" t="s">
        <v>727</v>
      </c>
      <c r="AK254" s="1159"/>
      <c r="AL254" s="1153"/>
      <c r="AM254" s="1159"/>
      <c r="AN254" s="1153"/>
      <c r="AO254" s="1159"/>
      <c r="AP254" s="1153"/>
      <c r="AQ254" s="1159"/>
      <c r="AR254" s="1153"/>
    </row>
    <row r="255" spans="1:44" outlineLevel="1">
      <c r="B255" s="500" t="s">
        <v>657</v>
      </c>
      <c r="C255" s="687">
        <v>3</v>
      </c>
      <c r="D255" s="687">
        <v>3</v>
      </c>
      <c r="E255" s="687">
        <v>3</v>
      </c>
      <c r="F255" s="687">
        <v>3</v>
      </c>
      <c r="G255" s="687">
        <v>3</v>
      </c>
      <c r="H255" s="687">
        <v>3</v>
      </c>
      <c r="I255" s="687">
        <v>3</v>
      </c>
      <c r="J255" s="687">
        <v>3</v>
      </c>
      <c r="K255" s="503" t="s">
        <v>16</v>
      </c>
      <c r="L255" s="504">
        <v>3</v>
      </c>
      <c r="M255" s="370"/>
      <c r="N255" s="370"/>
      <c r="P255" s="1199" t="str">
        <f>C248</f>
        <v>Hot water boiler, Wood chips (Condensing)</v>
      </c>
      <c r="Q255" s="1154" t="s">
        <v>730</v>
      </c>
      <c r="R255" s="381" t="s">
        <v>731</v>
      </c>
      <c r="S255" s="382"/>
      <c r="T255" s="1137">
        <v>0</v>
      </c>
      <c r="U255" s="1151">
        <v>0</v>
      </c>
      <c r="V255" s="1157">
        <v>0</v>
      </c>
      <c r="W255" s="1151">
        <v>0</v>
      </c>
      <c r="X255" s="1157">
        <v>0</v>
      </c>
      <c r="Y255" s="1151">
        <v>0</v>
      </c>
      <c r="Z255" s="1157">
        <v>0</v>
      </c>
      <c r="AA255" s="1151">
        <v>0</v>
      </c>
      <c r="AB255" s="1157">
        <v>0</v>
      </c>
      <c r="AC255" s="1151">
        <v>0</v>
      </c>
      <c r="AE255" s="1148" t="str">
        <f>P255</f>
        <v>Hot water boiler, Wood chips (Condensing)</v>
      </c>
      <c r="AF255" s="1154" t="s">
        <v>730</v>
      </c>
      <c r="AG255" s="381" t="s">
        <v>731</v>
      </c>
      <c r="AH255" s="382"/>
      <c r="AI255" s="1137">
        <v>0</v>
      </c>
      <c r="AJ255" s="1151">
        <v>0</v>
      </c>
      <c r="AK255" s="1137">
        <v>0</v>
      </c>
      <c r="AL255" s="1137">
        <f>W258/4</f>
        <v>0</v>
      </c>
      <c r="AM255" s="1137">
        <v>0</v>
      </c>
      <c r="AN255" s="1137">
        <f>Y258/4</f>
        <v>0</v>
      </c>
      <c r="AO255" s="1137">
        <v>0</v>
      </c>
      <c r="AP255" s="1137">
        <f>AA258/4</f>
        <v>1.4999999999999999E-2</v>
      </c>
      <c r="AQ255" s="1137">
        <v>0</v>
      </c>
      <c r="AR255" s="1151">
        <f>AC258/4</f>
        <v>0</v>
      </c>
    </row>
    <row r="256" spans="1:44" outlineLevel="1">
      <c r="B256" s="500" t="s">
        <v>658</v>
      </c>
      <c r="C256" s="506">
        <v>3</v>
      </c>
      <c r="D256" s="506">
        <v>3</v>
      </c>
      <c r="E256" s="506">
        <v>3</v>
      </c>
      <c r="F256" s="506">
        <v>3</v>
      </c>
      <c r="G256" s="506">
        <v>2.6</v>
      </c>
      <c r="H256" s="506">
        <v>3.5</v>
      </c>
      <c r="I256" s="506">
        <v>2.2999999999999998</v>
      </c>
      <c r="J256" s="506">
        <v>3.8</v>
      </c>
      <c r="K256" s="503" t="s">
        <v>16</v>
      </c>
      <c r="L256" s="504">
        <v>3</v>
      </c>
      <c r="M256" s="367"/>
      <c r="N256" s="367"/>
      <c r="O256" s="71"/>
      <c r="P256" s="1195"/>
      <c r="Q256" s="1155"/>
      <c r="R256" s="388" t="s">
        <v>733</v>
      </c>
      <c r="S256" s="389"/>
      <c r="T256" s="1140"/>
      <c r="U256" s="1152"/>
      <c r="V256" s="1158"/>
      <c r="W256" s="1152"/>
      <c r="X256" s="1158"/>
      <c r="Y256" s="1152"/>
      <c r="Z256" s="1158"/>
      <c r="AA256" s="1152"/>
      <c r="AB256" s="1158"/>
      <c r="AC256" s="1152"/>
      <c r="AE256" s="1195"/>
      <c r="AF256" s="1155"/>
      <c r="AG256" s="388" t="s">
        <v>733</v>
      </c>
      <c r="AH256" s="389"/>
      <c r="AI256" s="1140"/>
      <c r="AJ256" s="1152"/>
      <c r="AK256" s="1191"/>
      <c r="AL256" s="1191"/>
      <c r="AM256" s="1191"/>
      <c r="AN256" s="1191"/>
      <c r="AO256" s="1191"/>
      <c r="AP256" s="1191"/>
      <c r="AQ256" s="1191"/>
      <c r="AR256" s="1193"/>
    </row>
    <row r="257" spans="1:44" ht="16" outlineLevel="1" thickBot="1">
      <c r="B257" s="383" t="s">
        <v>11</v>
      </c>
      <c r="C257" s="397">
        <v>25</v>
      </c>
      <c r="D257" s="397">
        <v>25</v>
      </c>
      <c r="E257" s="397">
        <v>25</v>
      </c>
      <c r="F257" s="397">
        <v>25</v>
      </c>
      <c r="G257" s="399">
        <v>20</v>
      </c>
      <c r="H257" s="399">
        <v>35</v>
      </c>
      <c r="I257" s="399">
        <v>20</v>
      </c>
      <c r="J257" s="399">
        <v>35</v>
      </c>
      <c r="K257" s="372"/>
      <c r="L257" s="373" t="s">
        <v>740</v>
      </c>
      <c r="M257" s="363"/>
      <c r="N257" s="363"/>
      <c r="O257" s="71"/>
      <c r="P257" s="1195"/>
      <c r="Q257" s="1156"/>
      <c r="R257" s="393" t="s">
        <v>735</v>
      </c>
      <c r="S257" s="394"/>
      <c r="T257" s="1141"/>
      <c r="U257" s="1153"/>
      <c r="V257" s="1159"/>
      <c r="W257" s="1153"/>
      <c r="X257" s="1159"/>
      <c r="Y257" s="1153"/>
      <c r="Z257" s="1159"/>
      <c r="AA257" s="1153"/>
      <c r="AB257" s="1159"/>
      <c r="AC257" s="1153"/>
      <c r="AE257" s="1195"/>
      <c r="AF257" s="1156"/>
      <c r="AG257" s="393" t="s">
        <v>735</v>
      </c>
      <c r="AH257" s="394"/>
      <c r="AI257" s="1141"/>
      <c r="AJ257" s="1153"/>
      <c r="AK257" s="1191"/>
      <c r="AL257" s="1191"/>
      <c r="AM257" s="1191"/>
      <c r="AN257" s="1191"/>
      <c r="AO257" s="1191"/>
      <c r="AP257" s="1191"/>
      <c r="AQ257" s="1191"/>
      <c r="AR257" s="1193"/>
    </row>
    <row r="258" spans="1:44" ht="16" outlineLevel="1" thickBot="1">
      <c r="B258" s="500" t="s">
        <v>273</v>
      </c>
      <c r="C258" s="506">
        <v>1</v>
      </c>
      <c r="D258" s="506">
        <v>1</v>
      </c>
      <c r="E258" s="506">
        <v>1</v>
      </c>
      <c r="F258" s="506">
        <v>1</v>
      </c>
      <c r="G258" s="506">
        <v>0.5</v>
      </c>
      <c r="H258" s="506">
        <v>1.5</v>
      </c>
      <c r="I258" s="506">
        <v>0.5</v>
      </c>
      <c r="J258" s="506">
        <v>1.5</v>
      </c>
      <c r="K258" s="372"/>
      <c r="L258" s="400"/>
      <c r="M258" s="363"/>
      <c r="N258" s="363"/>
      <c r="O258" s="71"/>
      <c r="P258" s="1195"/>
      <c r="Q258" s="1154" t="s">
        <v>736</v>
      </c>
      <c r="R258" s="395" t="s">
        <v>737</v>
      </c>
      <c r="S258" s="396" t="s">
        <v>738</v>
      </c>
      <c r="T258" s="1137">
        <v>0</v>
      </c>
      <c r="U258" s="1137">
        <v>0.17</v>
      </c>
      <c r="V258" s="1137">
        <v>0</v>
      </c>
      <c r="W258" s="1137">
        <v>0</v>
      </c>
      <c r="X258" s="1137">
        <v>0</v>
      </c>
      <c r="Y258" s="1137">
        <v>0</v>
      </c>
      <c r="Z258" s="1137">
        <v>0</v>
      </c>
      <c r="AA258" s="1137">
        <v>0.06</v>
      </c>
      <c r="AB258" s="1137">
        <v>0</v>
      </c>
      <c r="AC258" s="1151">
        <v>0</v>
      </c>
      <c r="AE258" s="1195"/>
      <c r="AF258" s="1154" t="s">
        <v>736</v>
      </c>
      <c r="AG258" s="395" t="s">
        <v>737</v>
      </c>
      <c r="AH258" s="396" t="s">
        <v>738</v>
      </c>
      <c r="AI258" s="1137">
        <v>0</v>
      </c>
      <c r="AJ258" s="1137">
        <f>U258/4</f>
        <v>4.2500000000000003E-2</v>
      </c>
      <c r="AK258" s="1191"/>
      <c r="AL258" s="1191"/>
      <c r="AM258" s="1191"/>
      <c r="AN258" s="1191"/>
      <c r="AO258" s="1191"/>
      <c r="AP258" s="1191"/>
      <c r="AQ258" s="1191"/>
      <c r="AR258" s="1193"/>
    </row>
    <row r="259" spans="1:44" ht="16" outlineLevel="1" thickBot="1">
      <c r="B259" s="401" t="s">
        <v>743</v>
      </c>
      <c r="C259" s="402"/>
      <c r="D259" s="403"/>
      <c r="E259" s="404"/>
      <c r="F259" s="405"/>
      <c r="G259" s="406"/>
      <c r="H259" s="406"/>
      <c r="I259" s="406"/>
      <c r="J259" s="406"/>
      <c r="K259" s="407"/>
      <c r="L259" s="408"/>
      <c r="M259" s="363"/>
      <c r="N259" s="363"/>
      <c r="O259" s="71"/>
      <c r="P259" s="1195"/>
      <c r="Q259" s="1155"/>
      <c r="R259" s="395" t="s">
        <v>739</v>
      </c>
      <c r="S259" s="396" t="s">
        <v>738</v>
      </c>
      <c r="T259" s="1191"/>
      <c r="U259" s="1191"/>
      <c r="V259" s="1191"/>
      <c r="W259" s="1191"/>
      <c r="X259" s="1191"/>
      <c r="Y259" s="1191"/>
      <c r="Z259" s="1191"/>
      <c r="AA259" s="1191"/>
      <c r="AB259" s="1191"/>
      <c r="AC259" s="1193"/>
      <c r="AE259" s="1195"/>
      <c r="AF259" s="1155"/>
      <c r="AG259" s="395" t="s">
        <v>739</v>
      </c>
      <c r="AH259" s="396" t="s">
        <v>738</v>
      </c>
      <c r="AI259" s="1191"/>
      <c r="AJ259" s="1191"/>
      <c r="AK259" s="1192"/>
      <c r="AL259" s="1192"/>
      <c r="AM259" s="1192"/>
      <c r="AN259" s="1192"/>
      <c r="AO259" s="1192"/>
      <c r="AP259" s="1192"/>
      <c r="AQ259" s="1192"/>
      <c r="AR259" s="1194"/>
    </row>
    <row r="260" spans="1:44" ht="16" outlineLevel="1" thickBot="1">
      <c r="B260" s="500" t="s">
        <v>663</v>
      </c>
      <c r="C260" s="506">
        <v>20</v>
      </c>
      <c r="D260" s="506">
        <v>20</v>
      </c>
      <c r="E260" s="506">
        <v>20</v>
      </c>
      <c r="F260" s="506">
        <v>20</v>
      </c>
      <c r="G260" s="507"/>
      <c r="H260" s="507"/>
      <c r="I260" s="507"/>
      <c r="J260" s="507"/>
      <c r="K260" s="503"/>
      <c r="L260" s="504">
        <v>3</v>
      </c>
      <c r="M260" s="363"/>
      <c r="N260" s="363"/>
      <c r="P260" s="1195"/>
      <c r="Q260" s="1155"/>
      <c r="R260" s="395" t="s">
        <v>741</v>
      </c>
      <c r="S260" s="396"/>
      <c r="T260" s="1191"/>
      <c r="U260" s="1191"/>
      <c r="V260" s="1191"/>
      <c r="W260" s="1191"/>
      <c r="X260" s="1191"/>
      <c r="Y260" s="1191"/>
      <c r="Z260" s="1191"/>
      <c r="AA260" s="1191"/>
      <c r="AB260" s="1191"/>
      <c r="AC260" s="1193"/>
      <c r="AE260" s="1195"/>
      <c r="AF260" s="1155"/>
      <c r="AG260" s="395" t="s">
        <v>741</v>
      </c>
      <c r="AH260" s="629" t="s">
        <v>738</v>
      </c>
      <c r="AI260" s="1191"/>
      <c r="AJ260" s="1191"/>
      <c r="AK260" s="416">
        <v>0</v>
      </c>
      <c r="AL260" s="415">
        <v>0</v>
      </c>
      <c r="AM260" s="416">
        <v>0</v>
      </c>
      <c r="AN260" s="415">
        <v>0</v>
      </c>
      <c r="AO260" s="416">
        <v>1</v>
      </c>
      <c r="AP260" s="415">
        <v>1</v>
      </c>
      <c r="AQ260" s="416">
        <v>0</v>
      </c>
      <c r="AR260" s="417">
        <v>0</v>
      </c>
    </row>
    <row r="261" spans="1:44" outlineLevel="1">
      <c r="B261" s="500" t="s">
        <v>664</v>
      </c>
      <c r="C261" s="506">
        <v>0.3</v>
      </c>
      <c r="D261" s="506">
        <v>0.3</v>
      </c>
      <c r="E261" s="506">
        <v>0.3</v>
      </c>
      <c r="F261" s="506">
        <v>0.3</v>
      </c>
      <c r="G261" s="509"/>
      <c r="H261" s="509"/>
      <c r="I261" s="509"/>
      <c r="J261" s="509"/>
      <c r="K261" s="510"/>
      <c r="L261" s="504">
        <v>3</v>
      </c>
      <c r="M261" s="363"/>
      <c r="N261" s="363"/>
      <c r="P261" s="1195"/>
      <c r="Q261" s="1155"/>
      <c r="R261" s="395" t="s">
        <v>742</v>
      </c>
      <c r="S261" s="396" t="s">
        <v>738</v>
      </c>
      <c r="T261" s="1191"/>
      <c r="U261" s="1191"/>
      <c r="V261" s="1191"/>
      <c r="W261" s="1191"/>
      <c r="X261" s="1191"/>
      <c r="Y261" s="1191"/>
      <c r="Z261" s="1191"/>
      <c r="AA261" s="1191"/>
      <c r="AB261" s="1191"/>
      <c r="AC261" s="1193"/>
      <c r="AE261" s="1195"/>
      <c r="AF261" s="1155"/>
      <c r="AG261" s="395" t="s">
        <v>742</v>
      </c>
      <c r="AH261" s="396"/>
      <c r="AI261" s="1191"/>
      <c r="AJ261" s="1191"/>
    </row>
    <row r="262" spans="1:44" ht="16" outlineLevel="1" thickBot="1">
      <c r="B262" s="500" t="s">
        <v>666</v>
      </c>
      <c r="C262" s="506">
        <v>0.5</v>
      </c>
      <c r="D262" s="506">
        <v>0.5</v>
      </c>
      <c r="E262" s="506">
        <v>0.5</v>
      </c>
      <c r="F262" s="506">
        <v>0.5</v>
      </c>
      <c r="G262" s="509"/>
      <c r="H262" s="509"/>
      <c r="I262" s="509"/>
      <c r="J262" s="509"/>
      <c r="K262" s="510"/>
      <c r="L262" s="504">
        <v>3</v>
      </c>
      <c r="M262" s="420"/>
      <c r="N262" s="363"/>
      <c r="P262" s="1195"/>
      <c r="Q262" s="1156"/>
      <c r="R262" s="409" t="s">
        <v>863</v>
      </c>
      <c r="S262" s="410" t="s">
        <v>738</v>
      </c>
      <c r="T262" s="1192"/>
      <c r="U262" s="1192"/>
      <c r="V262" s="1192"/>
      <c r="W262" s="1192"/>
      <c r="X262" s="1192"/>
      <c r="Y262" s="1192"/>
      <c r="Z262" s="1192"/>
      <c r="AA262" s="1192"/>
      <c r="AB262" s="1192"/>
      <c r="AC262" s="1194"/>
      <c r="AE262" s="1195"/>
      <c r="AF262" s="1156"/>
      <c r="AG262" s="409" t="s">
        <v>863</v>
      </c>
      <c r="AH262" s="410" t="s">
        <v>738</v>
      </c>
      <c r="AI262" s="1192"/>
      <c r="AJ262" s="1192"/>
    </row>
    <row r="263" spans="1:44" ht="33" outlineLevel="1" thickBot="1">
      <c r="B263" s="421" t="s">
        <v>12</v>
      </c>
      <c r="C263" s="399"/>
      <c r="D263" s="399"/>
      <c r="E263" s="399"/>
      <c r="F263" s="399"/>
      <c r="G263" s="422"/>
      <c r="H263" s="422"/>
      <c r="I263" s="422"/>
      <c r="J263" s="422"/>
      <c r="K263" s="423"/>
      <c r="L263" s="424"/>
      <c r="M263" s="420"/>
      <c r="N263" s="420"/>
      <c r="P263" s="1196"/>
      <c r="Q263" s="411" t="s">
        <v>745</v>
      </c>
      <c r="R263" s="412" t="s">
        <v>746</v>
      </c>
      <c r="S263" s="630" t="s">
        <v>738</v>
      </c>
      <c r="T263" s="416">
        <v>1</v>
      </c>
      <c r="U263" s="415">
        <v>1</v>
      </c>
      <c r="V263" s="416">
        <v>0</v>
      </c>
      <c r="W263" s="415">
        <v>0</v>
      </c>
      <c r="X263" s="416">
        <v>0</v>
      </c>
      <c r="Y263" s="415">
        <v>0</v>
      </c>
      <c r="Z263" s="416">
        <v>1</v>
      </c>
      <c r="AA263" s="415">
        <v>1</v>
      </c>
      <c r="AB263" s="416">
        <v>0</v>
      </c>
      <c r="AC263" s="417">
        <v>0</v>
      </c>
      <c r="AE263" s="1196"/>
      <c r="AF263" s="411" t="s">
        <v>745</v>
      </c>
      <c r="AG263" s="631" t="s">
        <v>746</v>
      </c>
      <c r="AH263" s="632" t="s">
        <v>738</v>
      </c>
      <c r="AI263" s="416">
        <v>1</v>
      </c>
      <c r="AJ263" s="415">
        <v>1</v>
      </c>
    </row>
    <row r="264" spans="1:44" outlineLevel="1">
      <c r="B264" s="383" t="s">
        <v>843</v>
      </c>
      <c r="C264" s="397">
        <v>11</v>
      </c>
      <c r="D264" s="397">
        <v>11</v>
      </c>
      <c r="E264" s="397">
        <v>11</v>
      </c>
      <c r="F264" s="397">
        <v>11</v>
      </c>
      <c r="G264" s="422"/>
      <c r="H264" s="425"/>
      <c r="I264" s="425"/>
      <c r="J264" s="425"/>
      <c r="K264" s="426" t="s">
        <v>20</v>
      </c>
      <c r="L264" s="427" t="s">
        <v>748</v>
      </c>
      <c r="M264" s="428"/>
      <c r="N264" s="428"/>
    </row>
    <row r="265" spans="1:44" outlineLevel="1">
      <c r="B265" s="383" t="s">
        <v>749</v>
      </c>
      <c r="C265" s="397">
        <v>10</v>
      </c>
      <c r="D265" s="397">
        <v>10</v>
      </c>
      <c r="E265" s="397">
        <v>10</v>
      </c>
      <c r="F265" s="397">
        <v>10</v>
      </c>
      <c r="G265" s="425"/>
      <c r="H265" s="425"/>
      <c r="I265" s="425"/>
      <c r="J265" s="425"/>
      <c r="K265" s="423"/>
      <c r="L265" s="427">
        <v>9</v>
      </c>
      <c r="M265" s="428"/>
      <c r="N265" s="428"/>
    </row>
    <row r="266" spans="1:44" outlineLevel="1">
      <c r="B266" s="383" t="s">
        <v>844</v>
      </c>
      <c r="C266" s="397">
        <v>63</v>
      </c>
      <c r="D266" s="397">
        <v>49</v>
      </c>
      <c r="E266" s="397">
        <v>46</v>
      </c>
      <c r="F266" s="397">
        <v>41</v>
      </c>
      <c r="G266" s="425"/>
      <c r="H266" s="425"/>
      <c r="I266" s="425"/>
      <c r="J266" s="425"/>
      <c r="K266" s="423"/>
      <c r="L266" s="427" t="s">
        <v>748</v>
      </c>
      <c r="M266" s="428"/>
      <c r="N266" s="428"/>
    </row>
    <row r="267" spans="1:44" outlineLevel="1">
      <c r="B267" s="383" t="s">
        <v>366</v>
      </c>
      <c r="C267" s="397">
        <v>11</v>
      </c>
      <c r="D267" s="397">
        <v>8</v>
      </c>
      <c r="E267" s="397">
        <v>6</v>
      </c>
      <c r="F267" s="397">
        <v>4</v>
      </c>
      <c r="G267" s="425"/>
      <c r="H267" s="425"/>
      <c r="I267" s="425"/>
      <c r="J267" s="425"/>
      <c r="K267" s="423"/>
      <c r="L267" s="427" t="s">
        <v>748</v>
      </c>
      <c r="M267" s="428"/>
      <c r="N267" s="428"/>
    </row>
    <row r="268" spans="1:44" ht="16" outlineLevel="1" thickBot="1">
      <c r="B268" s="429" t="s">
        <v>367</v>
      </c>
      <c r="C268" s="626">
        <v>3</v>
      </c>
      <c r="D268" s="626">
        <v>3</v>
      </c>
      <c r="E268" s="626">
        <v>1</v>
      </c>
      <c r="F268" s="626">
        <v>1</v>
      </c>
      <c r="G268" s="425"/>
      <c r="H268" s="425"/>
      <c r="I268" s="425"/>
      <c r="J268" s="425"/>
      <c r="K268" s="423"/>
      <c r="L268" s="427" t="s">
        <v>748</v>
      </c>
      <c r="M268" s="428"/>
      <c r="N268" s="428"/>
    </row>
    <row r="269" spans="1:44" ht="16" outlineLevel="1" thickBot="1">
      <c r="B269" s="431" t="s">
        <v>674</v>
      </c>
      <c r="C269" s="432"/>
      <c r="D269" s="403"/>
      <c r="E269" s="403"/>
      <c r="F269" s="433"/>
      <c r="G269" s="434"/>
      <c r="H269" s="406"/>
      <c r="I269" s="406"/>
      <c r="J269" s="406"/>
      <c r="K269" s="407"/>
      <c r="L269" s="408"/>
      <c r="M269" s="428"/>
      <c r="N269" s="428"/>
    </row>
    <row r="270" spans="1:44" outlineLevel="1">
      <c r="A270" s="435"/>
      <c r="B270" s="436" t="s">
        <v>910</v>
      </c>
      <c r="C270" s="551">
        <f>0.68</f>
        <v>0.68</v>
      </c>
      <c r="D270" s="647">
        <f>0.65</f>
        <v>0.65</v>
      </c>
      <c r="E270" s="647">
        <f>0.62</f>
        <v>0.62</v>
      </c>
      <c r="F270" s="648">
        <f>0.59</f>
        <v>0.59</v>
      </c>
      <c r="G270" s="425"/>
      <c r="H270" s="425"/>
      <c r="I270" s="425"/>
      <c r="J270" s="425"/>
      <c r="K270" s="426" t="s">
        <v>992</v>
      </c>
      <c r="L270" s="440" t="s">
        <v>753</v>
      </c>
      <c r="M270" s="420"/>
      <c r="N270" s="420"/>
    </row>
    <row r="271" spans="1:44" outlineLevel="1">
      <c r="B271" s="441" t="s">
        <v>839</v>
      </c>
      <c r="C271" s="442">
        <v>65</v>
      </c>
      <c r="D271" s="442">
        <v>65</v>
      </c>
      <c r="E271" s="442">
        <v>65</v>
      </c>
      <c r="F271" s="442">
        <v>65</v>
      </c>
      <c r="G271" s="425"/>
      <c r="H271" s="425"/>
      <c r="I271" s="425"/>
      <c r="J271" s="425"/>
      <c r="K271" s="444"/>
      <c r="L271" s="373">
        <v>3</v>
      </c>
      <c r="M271" s="71"/>
      <c r="N271" s="420"/>
    </row>
    <row r="272" spans="1:44" outlineLevel="1">
      <c r="B272" s="441" t="s">
        <v>840</v>
      </c>
      <c r="C272" s="442">
        <f>100-C271</f>
        <v>35</v>
      </c>
      <c r="D272" s="442">
        <f>100-D271</f>
        <v>35</v>
      </c>
      <c r="E272" s="442">
        <f>100-E271</f>
        <v>35</v>
      </c>
      <c r="F272" s="442">
        <f>100-F271</f>
        <v>35</v>
      </c>
      <c r="G272" s="425"/>
      <c r="H272" s="425"/>
      <c r="I272" s="425"/>
      <c r="J272" s="425"/>
      <c r="K272" s="444"/>
      <c r="L272" s="373">
        <v>3</v>
      </c>
      <c r="M272" s="420"/>
      <c r="N272" s="420"/>
    </row>
    <row r="273" spans="2:30" outlineLevel="1">
      <c r="B273" s="383" t="s">
        <v>841</v>
      </c>
      <c r="C273" s="445">
        <v>37000</v>
      </c>
      <c r="D273" s="446">
        <v>35900</v>
      </c>
      <c r="E273" s="446">
        <f>(F273+D273)/2</f>
        <v>34800</v>
      </c>
      <c r="F273" s="447">
        <v>33700</v>
      </c>
      <c r="G273" s="425"/>
      <c r="H273" s="425"/>
      <c r="I273" s="425"/>
      <c r="J273" s="425"/>
      <c r="K273" s="448" t="s">
        <v>33</v>
      </c>
      <c r="L273" s="373">
        <v>3</v>
      </c>
      <c r="M273" s="420"/>
      <c r="N273" s="420"/>
    </row>
    <row r="274" spans="2:30" outlineLevel="1">
      <c r="B274" s="383" t="s">
        <v>679</v>
      </c>
      <c r="C274" s="449">
        <f>C275+C276</f>
        <v>2.7789999999999999</v>
      </c>
      <c r="D274" s="449">
        <f t="shared" ref="D274:F274" si="29">D275+D276</f>
        <v>2.8250000000000002</v>
      </c>
      <c r="E274" s="449">
        <f t="shared" si="29"/>
        <v>2.8479999999999999</v>
      </c>
      <c r="F274" s="449">
        <f t="shared" si="29"/>
        <v>2.8479999999999999</v>
      </c>
      <c r="G274" s="425"/>
      <c r="H274" s="425"/>
      <c r="I274" s="425"/>
      <c r="J274" s="425"/>
      <c r="K274" s="448"/>
      <c r="L274" s="373">
        <v>3</v>
      </c>
      <c r="M274" s="450"/>
      <c r="N274" s="361"/>
    </row>
    <row r="275" spans="2:30" outlineLevel="1">
      <c r="B275" s="500" t="s">
        <v>758</v>
      </c>
      <c r="C275" s="514">
        <f>C254/100*73</f>
        <v>1.679</v>
      </c>
      <c r="D275" s="514">
        <f>D254/100*75</f>
        <v>1.7249999999999999</v>
      </c>
      <c r="E275" s="514">
        <f>E254/100*76</f>
        <v>1.748</v>
      </c>
      <c r="F275" s="514">
        <f>F254/100*76</f>
        <v>1.748</v>
      </c>
      <c r="G275" s="515"/>
      <c r="H275" s="515"/>
      <c r="I275" s="515"/>
      <c r="J275" s="515"/>
      <c r="K275" s="503" t="s">
        <v>51</v>
      </c>
      <c r="L275" s="504">
        <v>3</v>
      </c>
      <c r="M275" s="450"/>
      <c r="N275" s="361"/>
    </row>
    <row r="276" spans="2:30" outlineLevel="1">
      <c r="B276" s="500" t="s">
        <v>759</v>
      </c>
      <c r="C276" s="516">
        <v>1.1000000000000001</v>
      </c>
      <c r="D276" s="516">
        <v>1.1000000000000001</v>
      </c>
      <c r="E276" s="516">
        <v>1.1000000000000001</v>
      </c>
      <c r="F276" s="516">
        <v>1.1000000000000001</v>
      </c>
      <c r="G276" s="515"/>
      <c r="H276" s="515"/>
      <c r="I276" s="515"/>
      <c r="J276" s="515"/>
      <c r="K276" s="517"/>
      <c r="L276" s="504">
        <v>3</v>
      </c>
      <c r="M276" s="363"/>
      <c r="N276" s="363"/>
    </row>
    <row r="277" spans="2:30" outlineLevel="1">
      <c r="B277" s="441"/>
      <c r="C277" s="681"/>
      <c r="D277" s="681"/>
      <c r="E277" s="681"/>
      <c r="F277" s="681"/>
      <c r="G277" s="425"/>
      <c r="H277" s="425"/>
      <c r="I277" s="425"/>
      <c r="J277" s="425"/>
      <c r="K277" s="444"/>
      <c r="L277" s="424"/>
      <c r="M277" s="367"/>
      <c r="N277" s="367"/>
      <c r="P277" s="1142">
        <f>C274</f>
        <v>2.7789999999999999</v>
      </c>
      <c r="Q277" s="1143"/>
      <c r="R277" s="1143"/>
      <c r="S277" s="1143"/>
      <c r="T277" s="1143"/>
      <c r="U277" s="1144"/>
    </row>
    <row r="278" spans="2:30" ht="16" outlineLevel="1" thickBot="1">
      <c r="B278" s="519"/>
      <c r="C278" s="442"/>
      <c r="D278" s="520"/>
      <c r="E278" s="520"/>
      <c r="F278" s="521"/>
      <c r="G278" s="425"/>
      <c r="H278" s="425"/>
      <c r="I278" s="425"/>
      <c r="J278" s="425"/>
      <c r="K278" s="448"/>
      <c r="L278" s="424"/>
      <c r="M278" s="363"/>
      <c r="N278" s="363"/>
      <c r="P278" s="1134">
        <f>C275</f>
        <v>1.679</v>
      </c>
      <c r="Q278" s="1135"/>
      <c r="R278" s="1135"/>
      <c r="S278" s="1135"/>
      <c r="T278" s="1135"/>
      <c r="U278" s="1136"/>
    </row>
    <row r="279" spans="2:30" ht="16" outlineLevel="1" thickBot="1">
      <c r="B279" s="401" t="s">
        <v>682</v>
      </c>
      <c r="C279" s="402"/>
      <c r="D279" s="403"/>
      <c r="E279" s="404"/>
      <c r="F279" s="405"/>
      <c r="G279" s="406"/>
      <c r="H279" s="406"/>
      <c r="I279" s="406"/>
      <c r="J279" s="406"/>
      <c r="K279" s="459"/>
      <c r="L279" s="460"/>
      <c r="M279" s="363"/>
      <c r="N279" s="363"/>
      <c r="P279" s="53" t="s">
        <v>357</v>
      </c>
    </row>
    <row r="280" spans="2:30" ht="30" outlineLevel="1">
      <c r="B280" s="522" t="s">
        <v>762</v>
      </c>
      <c r="C280" s="670">
        <v>3.5000000000000003E-2</v>
      </c>
      <c r="D280" s="670">
        <v>0.03</v>
      </c>
      <c r="E280" s="670">
        <v>0.03</v>
      </c>
      <c r="F280" s="670">
        <v>0.03</v>
      </c>
      <c r="G280" s="524"/>
      <c r="H280" s="524"/>
      <c r="I280" s="524"/>
      <c r="J280" s="524"/>
      <c r="K280" s="524" t="s">
        <v>52</v>
      </c>
      <c r="L280" s="525"/>
      <c r="M280" s="363"/>
      <c r="N280" s="363"/>
      <c r="P280" s="46" t="s">
        <v>335</v>
      </c>
      <c r="Q280" s="46" t="s">
        <v>336</v>
      </c>
      <c r="R280" s="47" t="s">
        <v>337</v>
      </c>
      <c r="S280" s="47" t="s">
        <v>338</v>
      </c>
      <c r="T280" s="47" t="s">
        <v>339</v>
      </c>
      <c r="U280" s="48" t="s">
        <v>340</v>
      </c>
      <c r="V280" s="49" t="s">
        <v>341</v>
      </c>
      <c r="W280" s="49" t="s">
        <v>342</v>
      </c>
      <c r="X280" s="49" t="s">
        <v>343</v>
      </c>
      <c r="Y280" s="49" t="s">
        <v>344</v>
      </c>
      <c r="Z280" s="49" t="s">
        <v>345</v>
      </c>
      <c r="AA280" s="49" t="s">
        <v>346</v>
      </c>
      <c r="AB280" s="49" t="s">
        <v>347</v>
      </c>
      <c r="AC280" s="49" t="s">
        <v>348</v>
      </c>
      <c r="AD280" s="49" t="s">
        <v>349</v>
      </c>
    </row>
    <row r="281" spans="2:30" ht="16" outlineLevel="1" thickBot="1">
      <c r="B281" s="500" t="s">
        <v>763</v>
      </c>
      <c r="C281" s="526" t="s">
        <v>36</v>
      </c>
      <c r="D281" s="527" t="s">
        <v>36</v>
      </c>
      <c r="E281" s="527" t="s">
        <v>36</v>
      </c>
      <c r="F281" s="528" t="s">
        <v>36</v>
      </c>
      <c r="G281" s="528"/>
      <c r="H281" s="528"/>
      <c r="I281" s="528"/>
      <c r="J281" s="528"/>
      <c r="K281" s="529" t="s">
        <v>55</v>
      </c>
      <c r="L281" s="525"/>
      <c r="M281" s="363"/>
      <c r="N281" s="363"/>
      <c r="P281" s="50"/>
      <c r="Q281" s="50"/>
      <c r="R281" s="51"/>
      <c r="S281" s="51"/>
      <c r="T281" s="51"/>
      <c r="U281" s="51" t="s">
        <v>760</v>
      </c>
      <c r="V281" s="50" t="s">
        <v>761</v>
      </c>
      <c r="W281" s="50"/>
      <c r="X281" s="50"/>
      <c r="Y281" s="50"/>
      <c r="Z281" s="50"/>
      <c r="AA281" s="50"/>
      <c r="AB281" s="50"/>
      <c r="AC281" s="50"/>
      <c r="AD281" s="50"/>
    </row>
    <row r="282" spans="2:30" ht="32" outlineLevel="1">
      <c r="B282" s="500" t="s">
        <v>764</v>
      </c>
      <c r="C282" s="526" t="s">
        <v>36</v>
      </c>
      <c r="D282" s="527" t="s">
        <v>36</v>
      </c>
      <c r="E282" s="527" t="s">
        <v>36</v>
      </c>
      <c r="F282" s="528" t="s">
        <v>36</v>
      </c>
      <c r="G282" s="515"/>
      <c r="H282" s="515"/>
      <c r="I282" s="515"/>
      <c r="J282" s="515"/>
      <c r="K282" s="515"/>
      <c r="L282" s="504"/>
      <c r="M282" s="363"/>
      <c r="N282" s="363"/>
      <c r="O282" s="461" t="s">
        <v>732</v>
      </c>
      <c r="P282" s="56"/>
      <c r="Q282" s="56"/>
      <c r="R282" s="57"/>
      <c r="S282" s="57"/>
      <c r="T282" s="57"/>
      <c r="U282" s="56" t="s">
        <v>350</v>
      </c>
      <c r="V282" s="56" t="s">
        <v>326</v>
      </c>
      <c r="W282" s="56" t="s">
        <v>327</v>
      </c>
      <c r="X282" s="56" t="s">
        <v>351</v>
      </c>
      <c r="Y282" s="56" t="s">
        <v>351</v>
      </c>
      <c r="Z282" s="56" t="s">
        <v>352</v>
      </c>
      <c r="AA282" s="56" t="s">
        <v>352</v>
      </c>
      <c r="AB282" s="56" t="s">
        <v>352</v>
      </c>
      <c r="AC282" s="56" t="s">
        <v>352</v>
      </c>
      <c r="AD282" s="56" t="s">
        <v>352</v>
      </c>
    </row>
    <row r="283" spans="2:30" outlineLevel="1">
      <c r="B283" s="500" t="s">
        <v>765</v>
      </c>
      <c r="C283" s="685">
        <v>90</v>
      </c>
      <c r="D283" s="530">
        <v>90</v>
      </c>
      <c r="E283" s="530">
        <v>90</v>
      </c>
      <c r="F283" s="530">
        <v>90</v>
      </c>
      <c r="G283" s="531"/>
      <c r="H283" s="531"/>
      <c r="I283" s="531"/>
      <c r="J283" s="531"/>
      <c r="K283" s="531"/>
      <c r="L283" s="504">
        <v>3</v>
      </c>
      <c r="M283" s="363"/>
      <c r="N283" s="363"/>
      <c r="O283" s="465">
        <f>C253</f>
        <v>116.18960947726835</v>
      </c>
      <c r="P283" s="466">
        <f>C249</f>
        <v>2020</v>
      </c>
      <c r="Q283" s="58">
        <f>P283</f>
        <v>2020</v>
      </c>
      <c r="R283" s="466">
        <f>O283/100</f>
        <v>1.1618960947726835</v>
      </c>
      <c r="S283" s="58"/>
      <c r="T283" s="466">
        <f>C257</f>
        <v>25</v>
      </c>
      <c r="U283" s="467">
        <f>C287</f>
        <v>5066.0000000000009</v>
      </c>
      <c r="V283" s="467">
        <f>C289</f>
        <v>275.64999999999998</v>
      </c>
      <c r="W283" s="467">
        <f>C290</f>
        <v>5.7509861111111107</v>
      </c>
      <c r="X283" s="58"/>
      <c r="Y283" s="58"/>
      <c r="Z283" s="466">
        <f>C264</f>
        <v>11</v>
      </c>
      <c r="AA283" s="468">
        <f>C266</f>
        <v>63</v>
      </c>
      <c r="AB283" s="468">
        <f>C267</f>
        <v>11</v>
      </c>
      <c r="AC283" s="468">
        <f>C268</f>
        <v>3</v>
      </c>
      <c r="AD283" s="468">
        <f>C265</f>
        <v>10</v>
      </c>
    </row>
    <row r="284" spans="2:30" outlineLevel="1">
      <c r="B284" s="532" t="s">
        <v>766</v>
      </c>
      <c r="C284" s="526"/>
      <c r="D284" s="527"/>
      <c r="E284" s="527"/>
      <c r="F284" s="528"/>
      <c r="G284" s="531"/>
      <c r="H284" s="531"/>
      <c r="I284" s="531"/>
      <c r="J284" s="531"/>
      <c r="K284" s="531"/>
      <c r="L284" s="533"/>
      <c r="M284" s="367"/>
      <c r="N284" s="367"/>
      <c r="O284" s="465">
        <f>D253</f>
        <v>116.18960947726835</v>
      </c>
      <c r="P284" s="466">
        <f>D249</f>
        <v>2030</v>
      </c>
      <c r="Q284" s="58"/>
      <c r="R284" s="466">
        <f>O284/100</f>
        <v>1.1618960947726835</v>
      </c>
      <c r="S284" s="58"/>
      <c r="T284" s="466">
        <f>D257</f>
        <v>25</v>
      </c>
      <c r="U284" s="467">
        <f>D287</f>
        <v>4842.5</v>
      </c>
      <c r="V284" s="467">
        <f>D289</f>
        <v>267.45499999999998</v>
      </c>
      <c r="W284" s="467">
        <f>D290</f>
        <v>5.8461805555555557</v>
      </c>
      <c r="X284" s="58"/>
      <c r="Y284" s="58"/>
      <c r="Z284" s="466">
        <f>D264</f>
        <v>11</v>
      </c>
      <c r="AA284" s="468">
        <f>D266</f>
        <v>49</v>
      </c>
      <c r="AB284" s="468">
        <f>D267</f>
        <v>8</v>
      </c>
      <c r="AC284" s="468">
        <f>D268</f>
        <v>3</v>
      </c>
      <c r="AD284" s="468">
        <f>D265</f>
        <v>10</v>
      </c>
    </row>
    <row r="285" spans="2:30" outlineLevel="1">
      <c r="B285" s="532" t="s">
        <v>767</v>
      </c>
      <c r="C285" s="526"/>
      <c r="D285" s="527"/>
      <c r="E285" s="527"/>
      <c r="F285" s="528"/>
      <c r="G285" s="531"/>
      <c r="H285" s="531"/>
      <c r="I285" s="531"/>
      <c r="J285" s="531"/>
      <c r="K285" s="531"/>
      <c r="L285" s="533"/>
      <c r="M285" s="363"/>
      <c r="N285" s="363"/>
      <c r="O285" s="465">
        <f>E253</f>
        <v>116.18960947726835</v>
      </c>
      <c r="P285" s="466">
        <f>E249</f>
        <v>2040</v>
      </c>
      <c r="Q285" s="58"/>
      <c r="R285" s="466">
        <f>O285/100</f>
        <v>1.1618960947726835</v>
      </c>
      <c r="S285" s="58"/>
      <c r="T285" s="466">
        <f>E257</f>
        <v>25</v>
      </c>
      <c r="U285" s="467">
        <f>E287</f>
        <v>4619</v>
      </c>
      <c r="V285" s="467">
        <f>E289</f>
        <v>259.26</v>
      </c>
      <c r="W285" s="467">
        <f>E290</f>
        <v>5.8937777777777782</v>
      </c>
      <c r="X285" s="58"/>
      <c r="Y285" s="58"/>
      <c r="Z285" s="466">
        <f>E264</f>
        <v>11</v>
      </c>
      <c r="AA285" s="468">
        <f>E266</f>
        <v>46</v>
      </c>
      <c r="AB285" s="468">
        <f>E267</f>
        <v>6</v>
      </c>
      <c r="AC285" s="468">
        <f>E268</f>
        <v>1</v>
      </c>
      <c r="AD285" s="468">
        <f>E265</f>
        <v>10</v>
      </c>
    </row>
    <row r="286" spans="2:30" ht="16" outlineLevel="1" thickBot="1">
      <c r="B286" s="534" t="s">
        <v>768</v>
      </c>
      <c r="C286" s="535"/>
      <c r="D286" s="536"/>
      <c r="E286" s="536"/>
      <c r="F286" s="537"/>
      <c r="G286" s="538"/>
      <c r="H286" s="538"/>
      <c r="I286" s="538"/>
      <c r="J286" s="538"/>
      <c r="K286" s="538"/>
      <c r="L286" s="539"/>
      <c r="M286" s="363"/>
      <c r="N286" s="363"/>
      <c r="O286" s="465">
        <f>F253</f>
        <v>116.18960947726835</v>
      </c>
      <c r="P286" s="466">
        <f>F249</f>
        <v>2050</v>
      </c>
      <c r="Q286" s="58"/>
      <c r="R286" s="466">
        <f>O286/100</f>
        <v>1.1618960947726835</v>
      </c>
      <c r="S286" s="58"/>
      <c r="T286" s="466">
        <f>F257</f>
        <v>25</v>
      </c>
      <c r="U286" s="467">
        <f>F287</f>
        <v>4395.5</v>
      </c>
      <c r="V286" s="467">
        <f>F289</f>
        <v>251.065</v>
      </c>
      <c r="W286" s="467">
        <f>F290</f>
        <v>5.8937777777777782</v>
      </c>
      <c r="X286" s="58"/>
      <c r="Y286" s="58"/>
      <c r="Z286" s="466">
        <f>F264</f>
        <v>11</v>
      </c>
      <c r="AA286" s="468">
        <f>F266</f>
        <v>41</v>
      </c>
      <c r="AB286" s="468">
        <f>F267</f>
        <v>4</v>
      </c>
      <c r="AC286" s="468">
        <f>F268</f>
        <v>1</v>
      </c>
      <c r="AD286" s="468">
        <f>F265</f>
        <v>10</v>
      </c>
    </row>
    <row r="287" spans="2:30" ht="64" outlineLevel="1">
      <c r="B287" s="461" t="s">
        <v>769</v>
      </c>
      <c r="C287" s="483">
        <f>C270*$F$4*1000</f>
        <v>5066.0000000000009</v>
      </c>
      <c r="D287" s="483">
        <f t="shared" ref="D287:F287" si="30">D270*$F$4*1000</f>
        <v>4842.5</v>
      </c>
      <c r="E287" s="483">
        <f t="shared" si="30"/>
        <v>4619</v>
      </c>
      <c r="F287" s="483">
        <f t="shared" si="30"/>
        <v>4395.5</v>
      </c>
      <c r="G287" s="483"/>
      <c r="H287" s="484"/>
      <c r="I287" s="420" t="s">
        <v>332</v>
      </c>
      <c r="J287" s="420"/>
      <c r="K287" s="484"/>
      <c r="L287" s="484"/>
      <c r="N287" s="420"/>
    </row>
    <row r="288" spans="2:30" outlineLevel="1">
      <c r="B288" s="485" t="s">
        <v>770</v>
      </c>
      <c r="C288" s="486">
        <f>C287*$I288</f>
        <v>2533000.0000000005</v>
      </c>
      <c r="D288" s="486">
        <f>D287*$I288</f>
        <v>2421250</v>
      </c>
      <c r="E288" s="486">
        <f>E287*$I288</f>
        <v>2309500</v>
      </c>
      <c r="F288" s="486">
        <f>F287*$I288</f>
        <v>2197750</v>
      </c>
      <c r="G288" s="486"/>
      <c r="H288" s="484"/>
      <c r="I288" s="71">
        <v>500</v>
      </c>
      <c r="J288" s="420" t="s">
        <v>330</v>
      </c>
      <c r="K288" s="484"/>
      <c r="L288" s="484"/>
      <c r="N288" s="420"/>
    </row>
    <row r="289" spans="1:15" ht="48" outlineLevel="1">
      <c r="B289" s="461" t="s">
        <v>845</v>
      </c>
      <c r="C289" s="359">
        <f>C273*$F$4/1000</f>
        <v>275.64999999999998</v>
      </c>
      <c r="D289" s="359">
        <f t="shared" ref="D289:F289" si="31">D273*$F$4/1000</f>
        <v>267.45499999999998</v>
      </c>
      <c r="E289" s="359">
        <f t="shared" si="31"/>
        <v>259.26</v>
      </c>
      <c r="F289" s="359">
        <f t="shared" si="31"/>
        <v>251.065</v>
      </c>
      <c r="G289" s="359"/>
      <c r="I289" s="420" t="s">
        <v>333</v>
      </c>
      <c r="J289" s="420"/>
      <c r="N289" s="420"/>
    </row>
    <row r="290" spans="1:15" ht="48" outlineLevel="1">
      <c r="B290" s="461" t="s">
        <v>846</v>
      </c>
      <c r="C290" s="487">
        <f>C274*$F$4/3.6</f>
        <v>5.7509861111111107</v>
      </c>
      <c r="D290" s="487">
        <f t="shared" ref="D290:F290" si="32">D274*$F$4/3.6</f>
        <v>5.8461805555555557</v>
      </c>
      <c r="E290" s="487">
        <f t="shared" si="32"/>
        <v>5.8937777777777782</v>
      </c>
      <c r="F290" s="487">
        <f t="shared" si="32"/>
        <v>5.8937777777777782</v>
      </c>
      <c r="G290" s="359"/>
      <c r="M290" s="420"/>
      <c r="N290" s="420"/>
    </row>
    <row r="291" spans="1:15" outlineLevel="1">
      <c r="A291" s="488"/>
      <c r="B291" s="489"/>
      <c r="D291" s="490"/>
      <c r="E291" s="490"/>
      <c r="F291" s="490"/>
      <c r="G291" s="358"/>
      <c r="H291" s="358"/>
      <c r="I291" s="358"/>
      <c r="J291" s="358"/>
      <c r="K291" s="358"/>
      <c r="L291" s="358"/>
    </row>
    <row r="292" spans="1:15" outlineLevel="1">
      <c r="A292" s="491"/>
      <c r="B292" s="492"/>
      <c r="D292" s="490"/>
      <c r="E292" s="490"/>
      <c r="F292" s="490"/>
      <c r="G292" s="358"/>
      <c r="H292" s="358"/>
      <c r="I292" s="358"/>
      <c r="J292" s="358"/>
      <c r="K292" s="358"/>
      <c r="L292" s="358"/>
    </row>
    <row r="293" spans="1:15" outlineLevel="1">
      <c r="A293" s="491"/>
      <c r="B293" s="493"/>
      <c r="D293" s="490"/>
      <c r="E293" s="490"/>
      <c r="F293" s="490"/>
      <c r="G293" s="358"/>
      <c r="H293" s="358"/>
      <c r="I293" s="358"/>
      <c r="J293" s="358"/>
      <c r="K293" s="358"/>
      <c r="L293" s="358"/>
    </row>
    <row r="294" spans="1:15" outlineLevel="1">
      <c r="A294" s="491"/>
      <c r="B294" s="488" t="s">
        <v>773</v>
      </c>
      <c r="C294" s="489"/>
      <c r="E294" s="358"/>
      <c r="F294" s="490"/>
      <c r="G294" s="358"/>
      <c r="H294" s="358"/>
      <c r="I294" s="358"/>
      <c r="J294" s="358"/>
      <c r="K294" s="358"/>
      <c r="L294" s="358"/>
    </row>
    <row r="295" spans="1:15" outlineLevel="1">
      <c r="A295" s="491"/>
      <c r="B295" s="491">
        <v>1</v>
      </c>
      <c r="C295" s="492" t="s">
        <v>774</v>
      </c>
      <c r="E295" s="358"/>
      <c r="F295" s="490"/>
      <c r="G295" s="358"/>
      <c r="H295" s="358"/>
      <c r="I295" s="358"/>
      <c r="J295" s="358"/>
      <c r="K295" s="358"/>
      <c r="L295" s="358"/>
    </row>
    <row r="296" spans="1:15" outlineLevel="1">
      <c r="A296" s="358"/>
      <c r="B296" s="491">
        <v>2</v>
      </c>
      <c r="C296" s="493" t="s">
        <v>775</v>
      </c>
      <c r="E296" s="358"/>
      <c r="F296" s="490"/>
      <c r="G296" s="358"/>
      <c r="H296" s="358"/>
      <c r="I296" s="358"/>
      <c r="J296" s="358"/>
      <c r="K296" s="358"/>
      <c r="L296" s="358"/>
      <c r="M296" s="570"/>
      <c r="N296" s="489"/>
    </row>
    <row r="297" spans="1:15" outlineLevel="1">
      <c r="A297" s="358"/>
      <c r="B297" s="491">
        <v>3</v>
      </c>
      <c r="C297" s="493" t="s">
        <v>776</v>
      </c>
      <c r="E297" s="358"/>
      <c r="F297" s="490"/>
      <c r="G297" s="358"/>
      <c r="H297" s="358"/>
      <c r="I297" s="358"/>
      <c r="J297" s="358"/>
      <c r="K297" s="358"/>
      <c r="L297" s="358"/>
    </row>
    <row r="298" spans="1:15" outlineLevel="1">
      <c r="A298" s="358"/>
      <c r="B298" s="491">
        <v>4</v>
      </c>
      <c r="C298" s="493" t="s">
        <v>777</v>
      </c>
      <c r="E298" s="358"/>
      <c r="F298" s="490"/>
      <c r="G298" s="358"/>
      <c r="H298" s="358"/>
      <c r="I298" s="358"/>
      <c r="J298" s="358"/>
      <c r="K298" s="358"/>
      <c r="L298" s="358"/>
    </row>
    <row r="299" spans="1:15" outlineLevel="1">
      <c r="A299" s="358"/>
      <c r="B299" s="358">
        <v>5</v>
      </c>
      <c r="C299" s="494" t="s">
        <v>778</v>
      </c>
      <c r="F299" s="490"/>
      <c r="G299" s="358"/>
      <c r="H299" s="358"/>
      <c r="I299" s="358"/>
      <c r="J299" s="358"/>
      <c r="K299" s="358"/>
      <c r="L299" s="358"/>
      <c r="O299" s="490"/>
    </row>
    <row r="300" spans="1:15" outlineLevel="1">
      <c r="A300" s="358"/>
      <c r="B300" s="358">
        <v>6</v>
      </c>
      <c r="C300" s="492" t="s">
        <v>779</v>
      </c>
      <c r="F300" s="490"/>
      <c r="G300" s="358"/>
      <c r="H300" s="358"/>
      <c r="I300" s="358"/>
      <c r="J300" s="358"/>
      <c r="K300" s="358"/>
      <c r="L300" s="358"/>
      <c r="O300" s="490"/>
    </row>
    <row r="301" spans="1:15" outlineLevel="1">
      <c r="A301" s="358"/>
      <c r="B301" s="358">
        <v>7</v>
      </c>
      <c r="C301" s="495" t="s">
        <v>774</v>
      </c>
      <c r="F301" s="490"/>
      <c r="G301" s="358"/>
      <c r="H301" s="358"/>
      <c r="I301" s="358"/>
      <c r="J301" s="358"/>
      <c r="K301" s="358"/>
      <c r="L301" s="358"/>
      <c r="O301" s="490"/>
    </row>
    <row r="302" spans="1:15" outlineLevel="1">
      <c r="A302" s="488"/>
      <c r="B302" s="358">
        <v>8</v>
      </c>
      <c r="C302" s="495" t="s">
        <v>780</v>
      </c>
      <c r="F302" s="490"/>
      <c r="G302" s="358"/>
      <c r="H302" s="358"/>
      <c r="I302" s="358"/>
      <c r="J302" s="358"/>
      <c r="K302" s="358"/>
      <c r="L302" s="358"/>
      <c r="O302" s="490"/>
    </row>
    <row r="303" spans="1:15" outlineLevel="1">
      <c r="A303" s="488"/>
      <c r="B303" s="358">
        <v>9</v>
      </c>
      <c r="C303" s="489" t="s">
        <v>781</v>
      </c>
      <c r="F303" s="490"/>
      <c r="G303" s="358"/>
      <c r="H303" s="358"/>
      <c r="I303" s="358"/>
      <c r="J303" s="358"/>
      <c r="K303" s="358"/>
      <c r="L303" s="358"/>
      <c r="O303" s="490"/>
    </row>
    <row r="304" spans="1:15" outlineLevel="1">
      <c r="A304" s="488"/>
      <c r="B304" s="358">
        <v>10</v>
      </c>
      <c r="C304" s="490" t="s">
        <v>782</v>
      </c>
      <c r="F304" s="490"/>
      <c r="G304" s="358"/>
      <c r="H304" s="358"/>
      <c r="I304" s="358"/>
      <c r="J304" s="358"/>
      <c r="K304" s="358"/>
      <c r="L304" s="358"/>
      <c r="O304" s="490"/>
    </row>
    <row r="305" spans="1:15" outlineLevel="1">
      <c r="A305" s="488"/>
      <c r="B305" s="488" t="s">
        <v>783</v>
      </c>
      <c r="C305" s="489"/>
      <c r="F305" s="490"/>
      <c r="G305" s="358"/>
      <c r="H305" s="358"/>
      <c r="I305" s="358"/>
      <c r="J305" s="358"/>
      <c r="K305" s="358"/>
      <c r="L305" s="358"/>
      <c r="O305" s="490"/>
    </row>
    <row r="306" spans="1:15" outlineLevel="1">
      <c r="A306" s="488"/>
      <c r="B306" s="496" t="s">
        <v>6</v>
      </c>
      <c r="C306" s="497" t="s">
        <v>975</v>
      </c>
      <c r="D306" s="489"/>
      <c r="F306" s="490"/>
      <c r="G306" s="358"/>
      <c r="H306" s="358"/>
      <c r="I306" s="358"/>
      <c r="J306" s="358"/>
      <c r="K306" s="358"/>
      <c r="L306" s="358"/>
      <c r="O306" s="490"/>
    </row>
    <row r="307" spans="1:15" outlineLevel="1">
      <c r="A307" s="488"/>
      <c r="B307" s="496" t="s">
        <v>59</v>
      </c>
      <c r="C307" s="489" t="s">
        <v>785</v>
      </c>
      <c r="D307" s="489"/>
      <c r="F307" s="490"/>
      <c r="G307" s="358"/>
      <c r="H307" s="358"/>
      <c r="I307" s="358"/>
      <c r="J307" s="358"/>
      <c r="K307" s="358"/>
      <c r="L307" s="358"/>
      <c r="O307" s="490"/>
    </row>
    <row r="308" spans="1:15" outlineLevel="1">
      <c r="A308" s="488"/>
      <c r="B308" s="496" t="s">
        <v>16</v>
      </c>
      <c r="C308" s="489" t="s">
        <v>976</v>
      </c>
      <c r="D308" s="489"/>
      <c r="F308" s="490"/>
      <c r="G308" s="358"/>
      <c r="H308" s="358"/>
      <c r="I308" s="358"/>
      <c r="J308" s="358"/>
      <c r="K308" s="358"/>
      <c r="L308" s="358"/>
      <c r="O308" s="490"/>
    </row>
    <row r="309" spans="1:15" outlineLevel="1">
      <c r="A309" s="488"/>
      <c r="B309" s="496" t="s">
        <v>20</v>
      </c>
      <c r="C309" s="489" t="s">
        <v>977</v>
      </c>
      <c r="D309" s="489"/>
      <c r="F309" s="490"/>
      <c r="G309" s="358"/>
      <c r="H309" s="358"/>
      <c r="I309" s="358"/>
      <c r="J309" s="358"/>
      <c r="K309" s="358"/>
      <c r="L309" s="358"/>
      <c r="O309" s="490"/>
    </row>
    <row r="310" spans="1:15" outlineLevel="1">
      <c r="A310" s="488"/>
      <c r="B310" s="496" t="s">
        <v>76</v>
      </c>
      <c r="C310" s="489" t="s">
        <v>786</v>
      </c>
      <c r="D310" s="489"/>
      <c r="F310" s="490"/>
      <c r="G310" s="358"/>
      <c r="H310" s="358"/>
      <c r="I310" s="358"/>
      <c r="J310" s="358"/>
      <c r="K310" s="358"/>
      <c r="L310" s="358"/>
      <c r="O310" s="490"/>
    </row>
    <row r="311" spans="1:15" outlineLevel="1">
      <c r="A311" s="488"/>
      <c r="B311" s="496" t="s">
        <v>25</v>
      </c>
      <c r="C311" s="489" t="s">
        <v>978</v>
      </c>
      <c r="D311" s="489"/>
      <c r="F311" s="490"/>
      <c r="G311" s="358"/>
      <c r="H311" s="358"/>
      <c r="I311" s="358"/>
      <c r="J311" s="358"/>
      <c r="K311" s="358"/>
      <c r="L311" s="358"/>
      <c r="O311" s="490"/>
    </row>
    <row r="312" spans="1:15" outlineLevel="1">
      <c r="A312" s="488"/>
      <c r="B312" s="496" t="s">
        <v>33</v>
      </c>
      <c r="C312" s="489" t="s">
        <v>979</v>
      </c>
      <c r="D312" s="489"/>
      <c r="F312" s="490"/>
      <c r="G312" s="358"/>
      <c r="H312" s="358"/>
      <c r="I312" s="358"/>
      <c r="J312" s="358"/>
      <c r="K312" s="358"/>
      <c r="L312" s="358"/>
      <c r="O312" s="490"/>
    </row>
    <row r="313" spans="1:15" outlineLevel="1">
      <c r="A313" s="488"/>
      <c r="B313" s="496" t="s">
        <v>51</v>
      </c>
      <c r="C313" s="489" t="s">
        <v>980</v>
      </c>
      <c r="D313" s="489"/>
      <c r="F313" s="490"/>
      <c r="G313" s="358"/>
      <c r="H313" s="358"/>
      <c r="I313" s="358"/>
      <c r="J313" s="358"/>
      <c r="K313" s="358"/>
      <c r="L313" s="358"/>
      <c r="O313" s="490"/>
    </row>
    <row r="314" spans="1:15" outlineLevel="1">
      <c r="A314" s="488"/>
      <c r="B314" s="496" t="s">
        <v>52</v>
      </c>
      <c r="C314" s="498" t="s">
        <v>788</v>
      </c>
      <c r="D314" s="489"/>
      <c r="F314" s="490"/>
      <c r="G314" s="358"/>
      <c r="H314" s="358"/>
      <c r="I314" s="358"/>
      <c r="J314" s="358"/>
      <c r="K314" s="358"/>
      <c r="L314" s="358"/>
      <c r="O314" s="490"/>
    </row>
    <row r="315" spans="1:15" outlineLevel="1">
      <c r="A315" s="488"/>
      <c r="B315" s="496" t="s">
        <v>55</v>
      </c>
      <c r="C315" s="489" t="s">
        <v>804</v>
      </c>
      <c r="D315" s="489"/>
      <c r="F315" s="490"/>
      <c r="G315" s="358"/>
      <c r="H315" s="358"/>
      <c r="I315" s="358"/>
      <c r="J315" s="358"/>
      <c r="K315" s="358"/>
      <c r="L315" s="358"/>
      <c r="O315" s="490"/>
    </row>
    <row r="316" spans="1:15" outlineLevel="1">
      <c r="A316" s="496"/>
      <c r="B316" s="496" t="s">
        <v>49</v>
      </c>
      <c r="C316" s="489" t="s">
        <v>789</v>
      </c>
      <c r="D316" s="489"/>
      <c r="F316" s="490"/>
      <c r="G316" s="358"/>
      <c r="H316" s="358"/>
      <c r="I316" s="358"/>
      <c r="J316" s="358"/>
      <c r="K316" s="358"/>
      <c r="L316" s="358"/>
      <c r="M316" s="570"/>
      <c r="N316" s="489"/>
      <c r="O316" s="490"/>
    </row>
    <row r="317" spans="1:15" outlineLevel="1">
      <c r="A317" s="496"/>
      <c r="F317" s="490"/>
      <c r="G317" s="358"/>
      <c r="H317" s="358"/>
      <c r="I317" s="358"/>
      <c r="J317" s="358"/>
      <c r="K317" s="358"/>
      <c r="L317" s="358"/>
      <c r="M317" s="571"/>
      <c r="N317" s="489"/>
      <c r="O317" s="490"/>
    </row>
    <row r="318" spans="1:15" outlineLevel="1">
      <c r="A318" s="496"/>
      <c r="B318" s="489"/>
      <c r="D318" s="490"/>
      <c r="E318" s="490"/>
      <c r="F318" s="490"/>
      <c r="G318" s="358"/>
      <c r="H318" s="358"/>
      <c r="I318" s="358"/>
      <c r="J318" s="358"/>
      <c r="K318" s="358"/>
      <c r="L318" s="358"/>
      <c r="M318" s="572"/>
      <c r="N318" s="489"/>
      <c r="O318" s="490"/>
    </row>
    <row r="319" spans="1:15" outlineLevel="1">
      <c r="A319" s="496"/>
      <c r="B319" s="498"/>
      <c r="D319" s="490"/>
      <c r="E319" s="490"/>
      <c r="F319" s="490"/>
      <c r="G319" s="358"/>
      <c r="H319" s="358"/>
      <c r="I319" s="358"/>
      <c r="J319" s="358"/>
      <c r="K319" s="358"/>
      <c r="L319" s="358"/>
      <c r="M319" s="573"/>
      <c r="N319" s="489"/>
      <c r="O319" s="490"/>
    </row>
    <row r="320" spans="1:15" outlineLevel="1">
      <c r="A320" s="496"/>
      <c r="B320" s="489"/>
      <c r="D320" s="490"/>
      <c r="E320" s="490"/>
      <c r="F320" s="490"/>
      <c r="G320" s="358"/>
      <c r="H320" s="358"/>
      <c r="I320" s="358"/>
      <c r="J320" s="358"/>
      <c r="K320" s="358"/>
      <c r="L320" s="358"/>
      <c r="M320" s="573"/>
      <c r="N320" s="490"/>
      <c r="O320" s="490"/>
    </row>
    <row r="321" spans="1:44" outlineLevel="1">
      <c r="A321" s="496"/>
      <c r="B321" s="489"/>
      <c r="D321" s="490"/>
      <c r="E321" s="490"/>
      <c r="F321" s="490"/>
      <c r="G321" s="358"/>
      <c r="H321" s="358"/>
      <c r="I321" s="358"/>
      <c r="J321" s="358"/>
      <c r="K321" s="358"/>
      <c r="L321" s="358"/>
      <c r="M321" s="489"/>
      <c r="N321" s="490"/>
      <c r="O321" s="490"/>
    </row>
    <row r="322" spans="1:44" outlineLevel="1">
      <c r="O322" s="490"/>
    </row>
    <row r="323" spans="1:44">
      <c r="O323" s="490"/>
    </row>
    <row r="324" spans="1:44">
      <c r="O324" s="490"/>
    </row>
    <row r="325" spans="1:44" ht="16" thickBot="1">
      <c r="A325" s="360"/>
    </row>
    <row r="326" spans="1:44" ht="20.5" customHeight="1" thickBot="1">
      <c r="B326" s="362"/>
      <c r="C326" s="1186"/>
      <c r="D326" s="1187"/>
      <c r="E326" s="1187"/>
      <c r="F326" s="1187"/>
      <c r="G326" s="1187"/>
      <c r="H326" s="1187"/>
      <c r="I326" s="1187"/>
      <c r="J326" s="1187"/>
      <c r="K326" s="1187"/>
      <c r="L326" s="1188"/>
      <c r="M326" s="363"/>
      <c r="N326" s="363"/>
      <c r="AK326" s="1160"/>
      <c r="AL326" s="1161"/>
      <c r="AM326" s="1160"/>
      <c r="AN326" s="1161"/>
      <c r="AO326" s="1160"/>
      <c r="AP326" s="1161"/>
      <c r="AQ326" s="1170"/>
      <c r="AR326" s="1171"/>
    </row>
    <row r="327" spans="1:44" ht="15" customHeight="1" thickBot="1">
      <c r="B327" s="1164"/>
      <c r="C327" s="1166"/>
      <c r="D327" s="1166"/>
      <c r="E327" s="1166"/>
      <c r="F327" s="1166"/>
      <c r="G327" s="1168"/>
      <c r="H327" s="1169"/>
      <c r="I327" s="1168"/>
      <c r="J327" s="1169"/>
      <c r="K327" s="1189"/>
      <c r="L327" s="1189"/>
      <c r="M327" s="367"/>
      <c r="N327" s="367"/>
      <c r="AK327" s="1162"/>
      <c r="AL327" s="1163"/>
      <c r="AM327" s="1162"/>
      <c r="AN327" s="1163"/>
      <c r="AO327" s="1162"/>
      <c r="AP327" s="1163"/>
      <c r="AQ327" s="1172"/>
      <c r="AR327" s="1173"/>
    </row>
    <row r="328" spans="1:44" ht="15" customHeight="1" thickBot="1">
      <c r="B328" s="1165"/>
      <c r="C328" s="1167"/>
      <c r="D328" s="1167"/>
      <c r="E328" s="1167"/>
      <c r="F328" s="1167"/>
      <c r="G328" s="406"/>
      <c r="H328" s="406"/>
      <c r="I328" s="406"/>
      <c r="J328" s="406"/>
      <c r="K328" s="1190"/>
      <c r="L328" s="1190"/>
      <c r="M328" s="370"/>
      <c r="N328" s="370"/>
      <c r="AK328" s="1162"/>
      <c r="AL328" s="1163"/>
      <c r="AM328" s="1162"/>
      <c r="AN328" s="1163"/>
      <c r="AO328" s="1162"/>
      <c r="AP328" s="1163"/>
      <c r="AQ328" s="1174"/>
      <c r="AR328" s="1175"/>
    </row>
    <row r="329" spans="1:44" ht="21" thickBot="1">
      <c r="B329" s="371"/>
      <c r="C329" s="372"/>
      <c r="D329" s="372"/>
      <c r="E329" s="372"/>
      <c r="F329" s="372"/>
      <c r="G329" s="372"/>
      <c r="H329" s="372"/>
      <c r="I329" s="372"/>
      <c r="J329" s="372"/>
      <c r="K329" s="372"/>
      <c r="L329" s="373"/>
      <c r="M329" s="370"/>
      <c r="N329" s="370"/>
      <c r="P329" s="364"/>
      <c r="Q329" s="365"/>
      <c r="R329" s="366"/>
      <c r="S329" s="1176"/>
      <c r="T329" s="1160"/>
      <c r="U329" s="1161"/>
      <c r="V329" s="1160"/>
      <c r="W329" s="1161"/>
      <c r="X329" s="1160"/>
      <c r="Y329" s="1161"/>
      <c r="Z329" s="1160"/>
      <c r="AA329" s="1161"/>
      <c r="AB329" s="1160"/>
      <c r="AC329" s="1161"/>
      <c r="AE329" s="364"/>
      <c r="AF329" s="365"/>
      <c r="AG329" s="366"/>
      <c r="AH329" s="1176"/>
      <c r="AI329" s="1160"/>
      <c r="AJ329" s="1161"/>
      <c r="AK329" s="374"/>
      <c r="AL329" s="375"/>
      <c r="AM329" s="374"/>
      <c r="AN329" s="375"/>
      <c r="AO329" s="374"/>
      <c r="AP329" s="375"/>
      <c r="AQ329" s="374"/>
      <c r="AR329" s="375"/>
    </row>
    <row r="330" spans="1:44" ht="14.5" customHeight="1">
      <c r="B330" s="574"/>
      <c r="C330" s="575"/>
      <c r="D330" s="575"/>
      <c r="E330" s="575"/>
      <c r="F330" s="575"/>
      <c r="G330" s="576"/>
      <c r="H330" s="576"/>
      <c r="I330" s="576"/>
      <c r="J330" s="576"/>
      <c r="K330" s="372"/>
      <c r="L330" s="373"/>
      <c r="M330" s="370"/>
      <c r="N330" s="370"/>
      <c r="P330" s="1180"/>
      <c r="Q330" s="368"/>
      <c r="R330" s="368"/>
      <c r="S330" s="1177"/>
      <c r="T330" s="1162"/>
      <c r="U330" s="1163"/>
      <c r="V330" s="1162"/>
      <c r="W330" s="1163"/>
      <c r="X330" s="1162"/>
      <c r="Y330" s="1163"/>
      <c r="Z330" s="1162"/>
      <c r="AA330" s="1163"/>
      <c r="AB330" s="1162"/>
      <c r="AC330" s="1163"/>
      <c r="AE330" s="1180"/>
      <c r="AF330" s="368"/>
      <c r="AG330" s="368"/>
      <c r="AH330" s="1177"/>
      <c r="AI330" s="1162"/>
      <c r="AJ330" s="1163"/>
      <c r="AK330" s="1137"/>
      <c r="AL330" s="1151"/>
      <c r="AM330" s="1137"/>
      <c r="AN330" s="1151"/>
      <c r="AO330" s="1137"/>
      <c r="AP330" s="1151"/>
      <c r="AQ330" s="1157"/>
      <c r="AR330" s="1151"/>
    </row>
    <row r="331" spans="1:44">
      <c r="B331" s="383"/>
      <c r="C331" s="577"/>
      <c r="D331" s="577"/>
      <c r="E331" s="577"/>
      <c r="F331" s="577"/>
      <c r="G331" s="576"/>
      <c r="H331" s="576"/>
      <c r="I331" s="576"/>
      <c r="J331" s="576"/>
      <c r="K331" s="372"/>
      <c r="L331" s="373"/>
      <c r="M331" s="370"/>
      <c r="N331" s="370"/>
      <c r="P331" s="1181"/>
      <c r="Q331" s="1183"/>
      <c r="R331" s="1184"/>
      <c r="S331" s="1178"/>
      <c r="T331" s="1162"/>
      <c r="U331" s="1163"/>
      <c r="V331" s="1162"/>
      <c r="W331" s="1163"/>
      <c r="X331" s="1162"/>
      <c r="Y331" s="1163"/>
      <c r="Z331" s="1162"/>
      <c r="AA331" s="1163"/>
      <c r="AB331" s="1162"/>
      <c r="AC331" s="1163"/>
      <c r="AE331" s="1181"/>
      <c r="AF331" s="1183"/>
      <c r="AG331" s="1184"/>
      <c r="AH331" s="1178"/>
      <c r="AI331" s="1162"/>
      <c r="AJ331" s="1163"/>
      <c r="AK331" s="1140"/>
      <c r="AL331" s="1152"/>
      <c r="AM331" s="1140"/>
      <c r="AN331" s="1152"/>
      <c r="AO331" s="1140"/>
      <c r="AP331" s="1152"/>
      <c r="AQ331" s="1158"/>
      <c r="AR331" s="1152"/>
    </row>
    <row r="332" spans="1:44" ht="16" thickBot="1">
      <c r="B332" s="574"/>
      <c r="C332" s="578"/>
      <c r="D332" s="578"/>
      <c r="E332" s="578"/>
      <c r="F332" s="578"/>
      <c r="G332" s="578"/>
      <c r="H332" s="578"/>
      <c r="I332" s="578"/>
      <c r="J332" s="578"/>
      <c r="K332" s="579"/>
      <c r="L332" s="580"/>
      <c r="M332" s="370"/>
      <c r="N332" s="370"/>
      <c r="O332" s="74"/>
      <c r="P332" s="1182"/>
      <c r="Q332" s="1179"/>
      <c r="R332" s="1185"/>
      <c r="S332" s="1179"/>
      <c r="T332" s="374"/>
      <c r="U332" s="375"/>
      <c r="V332" s="374"/>
      <c r="W332" s="375"/>
      <c r="X332" s="374"/>
      <c r="Y332" s="375"/>
      <c r="Z332" s="374"/>
      <c r="AA332" s="375"/>
      <c r="AB332" s="374"/>
      <c r="AC332" s="375"/>
      <c r="AE332" s="1182"/>
      <c r="AF332" s="1179"/>
      <c r="AG332" s="1185"/>
      <c r="AH332" s="1179"/>
      <c r="AI332" s="374"/>
      <c r="AJ332" s="375"/>
      <c r="AK332" s="1141"/>
      <c r="AL332" s="1153"/>
      <c r="AM332" s="1141"/>
      <c r="AN332" s="1153"/>
      <c r="AO332" s="1141"/>
      <c r="AP332" s="1153"/>
      <c r="AQ332" s="1159"/>
      <c r="AR332" s="1153"/>
    </row>
    <row r="333" spans="1:44" ht="14.5" customHeight="1">
      <c r="B333" s="574"/>
      <c r="C333" s="581"/>
      <c r="D333" s="581"/>
      <c r="E333" s="581"/>
      <c r="F333" s="581"/>
      <c r="G333" s="581"/>
      <c r="H333" s="581"/>
      <c r="I333" s="581"/>
      <c r="J333" s="581"/>
      <c r="K333" s="579"/>
      <c r="L333" s="580"/>
      <c r="M333" s="370"/>
      <c r="N333" s="370"/>
      <c r="P333" s="1148"/>
      <c r="Q333" s="1154"/>
      <c r="R333" s="381"/>
      <c r="S333" s="382"/>
      <c r="T333" s="1137"/>
      <c r="U333" s="1151"/>
      <c r="V333" s="1137"/>
      <c r="W333" s="1151"/>
      <c r="X333" s="1137"/>
      <c r="Y333" s="1151"/>
      <c r="Z333" s="1137"/>
      <c r="AA333" s="1151"/>
      <c r="AB333" s="1157"/>
      <c r="AC333" s="1151"/>
      <c r="AE333" s="1148"/>
      <c r="AF333" s="1154"/>
      <c r="AG333" s="381"/>
      <c r="AH333" s="382"/>
      <c r="AI333" s="1137"/>
      <c r="AJ333" s="1151"/>
      <c r="AK333" s="1137"/>
      <c r="AL333" s="1137"/>
      <c r="AM333" s="1137"/>
      <c r="AN333" s="1137"/>
      <c r="AO333" s="1137"/>
      <c r="AP333" s="1137"/>
      <c r="AQ333" s="1137"/>
      <c r="AR333" s="1137"/>
    </row>
    <row r="334" spans="1:44">
      <c r="B334" s="574"/>
      <c r="C334" s="582"/>
      <c r="D334" s="582"/>
      <c r="E334" s="582"/>
      <c r="F334" s="582"/>
      <c r="G334" s="582"/>
      <c r="H334" s="582"/>
      <c r="I334" s="582"/>
      <c r="J334" s="582"/>
      <c r="K334" s="579"/>
      <c r="L334" s="580"/>
      <c r="M334" s="367"/>
      <c r="N334" s="367"/>
      <c r="O334" s="71"/>
      <c r="P334" s="1149"/>
      <c r="Q334" s="1155"/>
      <c r="R334" s="388"/>
      <c r="S334" s="389"/>
      <c r="T334" s="1140"/>
      <c r="U334" s="1152"/>
      <c r="V334" s="1140"/>
      <c r="W334" s="1152"/>
      <c r="X334" s="1140"/>
      <c r="Y334" s="1152"/>
      <c r="Z334" s="1140"/>
      <c r="AA334" s="1152"/>
      <c r="AB334" s="1158"/>
      <c r="AC334" s="1152"/>
      <c r="AE334" s="1149"/>
      <c r="AF334" s="1155"/>
      <c r="AG334" s="388"/>
      <c r="AH334" s="389"/>
      <c r="AI334" s="1140"/>
      <c r="AJ334" s="1152"/>
      <c r="AK334" s="1138"/>
      <c r="AL334" s="1138"/>
      <c r="AM334" s="1138"/>
      <c r="AN334" s="1138"/>
      <c r="AO334" s="1138"/>
      <c r="AP334" s="1138"/>
      <c r="AQ334" s="1140"/>
      <c r="AR334" s="1138"/>
    </row>
    <row r="335" spans="1:44" ht="16" thickBot="1">
      <c r="B335" s="383"/>
      <c r="C335" s="397"/>
      <c r="D335" s="397"/>
      <c r="E335" s="397"/>
      <c r="F335" s="397"/>
      <c r="G335" s="398"/>
      <c r="H335" s="398"/>
      <c r="I335" s="398"/>
      <c r="J335" s="398"/>
      <c r="K335" s="372"/>
      <c r="L335" s="373"/>
      <c r="M335" s="363"/>
      <c r="N335" s="363"/>
      <c r="O335" s="71"/>
      <c r="P335" s="1149"/>
      <c r="Q335" s="1156"/>
      <c r="R335" s="393"/>
      <c r="S335" s="394"/>
      <c r="T335" s="1141"/>
      <c r="U335" s="1153"/>
      <c r="V335" s="1141"/>
      <c r="W335" s="1153"/>
      <c r="X335" s="1141"/>
      <c r="Y335" s="1153"/>
      <c r="Z335" s="1141"/>
      <c r="AA335" s="1153"/>
      <c r="AB335" s="1159"/>
      <c r="AC335" s="1153"/>
      <c r="AE335" s="1149"/>
      <c r="AF335" s="1156"/>
      <c r="AG335" s="393"/>
      <c r="AH335" s="394"/>
      <c r="AI335" s="1141"/>
      <c r="AJ335" s="1153"/>
      <c r="AK335" s="1138"/>
      <c r="AL335" s="1138"/>
      <c r="AM335" s="1138"/>
      <c r="AN335" s="1138"/>
      <c r="AO335" s="1138"/>
      <c r="AP335" s="1138"/>
      <c r="AQ335" s="1140"/>
      <c r="AR335" s="1138"/>
    </row>
    <row r="336" spans="1:44" ht="16" thickBot="1">
      <c r="B336" s="574"/>
      <c r="C336" s="582"/>
      <c r="D336" s="582"/>
      <c r="E336" s="582"/>
      <c r="F336" s="582"/>
      <c r="G336" s="582"/>
      <c r="H336" s="582"/>
      <c r="I336" s="582"/>
      <c r="J336" s="582"/>
      <c r="K336" s="372"/>
      <c r="L336" s="373"/>
      <c r="M336" s="363"/>
      <c r="N336" s="363"/>
      <c r="O336" s="71"/>
      <c r="P336" s="1149"/>
      <c r="Q336" s="1145"/>
      <c r="R336" s="395"/>
      <c r="S336" s="396"/>
      <c r="T336" s="1137"/>
      <c r="U336" s="1137"/>
      <c r="V336" s="1137"/>
      <c r="W336" s="1137"/>
      <c r="X336" s="1137"/>
      <c r="Y336" s="1137"/>
      <c r="Z336" s="1137"/>
      <c r="AA336" s="1137"/>
      <c r="AB336" s="1137"/>
      <c r="AC336" s="1137"/>
      <c r="AE336" s="1149"/>
      <c r="AF336" s="1145"/>
      <c r="AG336" s="395"/>
      <c r="AH336" s="396"/>
      <c r="AI336" s="1137"/>
      <c r="AJ336" s="1137"/>
      <c r="AK336" s="1138"/>
      <c r="AL336" s="1138"/>
      <c r="AM336" s="1138"/>
      <c r="AN336" s="1138"/>
      <c r="AO336" s="1138"/>
      <c r="AP336" s="1138"/>
      <c r="AQ336" s="1140"/>
      <c r="AR336" s="1138"/>
    </row>
    <row r="337" spans="1:44" ht="16" thickBot="1">
      <c r="B337" s="401"/>
      <c r="C337" s="583"/>
      <c r="D337" s="584"/>
      <c r="E337" s="585"/>
      <c r="F337" s="586"/>
      <c r="G337" s="406"/>
      <c r="H337" s="406"/>
      <c r="I337" s="406"/>
      <c r="J337" s="406"/>
      <c r="K337" s="407"/>
      <c r="L337" s="587"/>
      <c r="M337" s="363"/>
      <c r="N337" s="363"/>
      <c r="O337" s="71"/>
      <c r="P337" s="1149"/>
      <c r="Q337" s="1146"/>
      <c r="R337" s="395"/>
      <c r="S337" s="396"/>
      <c r="T337" s="1138"/>
      <c r="U337" s="1138"/>
      <c r="V337" s="1138"/>
      <c r="W337" s="1138"/>
      <c r="X337" s="1138"/>
      <c r="Y337" s="1138"/>
      <c r="Z337" s="1138"/>
      <c r="AA337" s="1138"/>
      <c r="AB337" s="1140"/>
      <c r="AC337" s="1138"/>
      <c r="AE337" s="1149"/>
      <c r="AF337" s="1146"/>
      <c r="AG337" s="395"/>
      <c r="AH337" s="396"/>
      <c r="AI337" s="1138"/>
      <c r="AJ337" s="1138"/>
      <c r="AK337" s="1139"/>
      <c r="AL337" s="1139"/>
      <c r="AM337" s="1139"/>
      <c r="AN337" s="1139"/>
      <c r="AO337" s="1139"/>
      <c r="AP337" s="1139"/>
      <c r="AQ337" s="1141"/>
      <c r="AR337" s="1139"/>
    </row>
    <row r="338" spans="1:44" ht="16" thickBot="1">
      <c r="B338" s="574"/>
      <c r="C338" s="588"/>
      <c r="D338" s="588"/>
      <c r="E338" s="588"/>
      <c r="F338" s="588"/>
      <c r="G338" s="589"/>
      <c r="H338" s="589"/>
      <c r="I338" s="590"/>
      <c r="J338" s="590"/>
      <c r="K338" s="579"/>
      <c r="L338" s="580"/>
      <c r="M338" s="363"/>
      <c r="N338" s="363"/>
      <c r="P338" s="1149"/>
      <c r="Q338" s="1146"/>
      <c r="R338" s="395"/>
      <c r="S338" s="396"/>
      <c r="T338" s="1138"/>
      <c r="U338" s="1138"/>
      <c r="V338" s="1138"/>
      <c r="W338" s="1138"/>
      <c r="X338" s="1138"/>
      <c r="Y338" s="1138"/>
      <c r="Z338" s="1138"/>
      <c r="AA338" s="1138"/>
      <c r="AB338" s="1140"/>
      <c r="AC338" s="1138"/>
      <c r="AE338" s="1149"/>
      <c r="AF338" s="1146"/>
      <c r="AG338" s="395"/>
      <c r="AH338" s="396"/>
      <c r="AI338" s="1138"/>
      <c r="AJ338" s="1138"/>
      <c r="AK338" s="593"/>
      <c r="AL338" s="592"/>
      <c r="AM338" s="593"/>
      <c r="AN338" s="592"/>
      <c r="AO338" s="593"/>
      <c r="AP338" s="592"/>
      <c r="AQ338" s="593"/>
      <c r="AR338" s="594"/>
    </row>
    <row r="339" spans="1:44">
      <c r="B339" s="574"/>
      <c r="C339" s="582"/>
      <c r="D339" s="582"/>
      <c r="E339" s="582"/>
      <c r="F339" s="582"/>
      <c r="G339" s="595"/>
      <c r="H339" s="595"/>
      <c r="I339" s="595"/>
      <c r="J339" s="595"/>
      <c r="K339" s="596"/>
      <c r="L339" s="580"/>
      <c r="M339" s="363"/>
      <c r="N339" s="363"/>
      <c r="P339" s="1149"/>
      <c r="Q339" s="1146"/>
      <c r="R339" s="395"/>
      <c r="S339" s="396"/>
      <c r="T339" s="1138"/>
      <c r="U339" s="1138"/>
      <c r="V339" s="1138"/>
      <c r="W339" s="1138"/>
      <c r="X339" s="1138"/>
      <c r="Y339" s="1138"/>
      <c r="Z339" s="1138"/>
      <c r="AA339" s="1138"/>
      <c r="AB339" s="1140"/>
      <c r="AC339" s="1138"/>
      <c r="AE339" s="1149"/>
      <c r="AF339" s="1146"/>
      <c r="AG339" s="395"/>
      <c r="AH339" s="396"/>
      <c r="AI339" s="1138"/>
      <c r="AJ339" s="1138"/>
    </row>
    <row r="340" spans="1:44" ht="16" thickBot="1">
      <c r="B340" s="574"/>
      <c r="C340" s="582"/>
      <c r="D340" s="582"/>
      <c r="E340" s="582"/>
      <c r="F340" s="582"/>
      <c r="G340" s="595"/>
      <c r="H340" s="595"/>
      <c r="I340" s="595"/>
      <c r="J340" s="595"/>
      <c r="K340" s="596"/>
      <c r="L340" s="580"/>
      <c r="M340" s="420"/>
      <c r="N340" s="363"/>
      <c r="P340" s="1149"/>
      <c r="Q340" s="1147"/>
      <c r="R340" s="409"/>
      <c r="S340" s="410"/>
      <c r="T340" s="1139"/>
      <c r="U340" s="1139"/>
      <c r="V340" s="1139"/>
      <c r="W340" s="1139"/>
      <c r="X340" s="1139"/>
      <c r="Y340" s="1139"/>
      <c r="Z340" s="1139"/>
      <c r="AA340" s="1139"/>
      <c r="AB340" s="1141"/>
      <c r="AC340" s="1139"/>
      <c r="AE340" s="1149"/>
      <c r="AF340" s="1147"/>
      <c r="AG340" s="409"/>
      <c r="AH340" s="410"/>
      <c r="AI340" s="1139"/>
      <c r="AJ340" s="1139"/>
    </row>
    <row r="341" spans="1:44" ht="16" thickBot="1">
      <c r="B341" s="421"/>
      <c r="C341" s="399"/>
      <c r="D341" s="399"/>
      <c r="E341" s="399"/>
      <c r="F341" s="399"/>
      <c r="G341" s="422"/>
      <c r="H341" s="422"/>
      <c r="I341" s="422"/>
      <c r="J341" s="422"/>
      <c r="K341" s="423"/>
      <c r="L341" s="597"/>
      <c r="M341" s="420"/>
      <c r="N341" s="420"/>
      <c r="P341" s="1150"/>
      <c r="Q341" s="411"/>
      <c r="R341" s="412"/>
      <c r="S341" s="413"/>
      <c r="T341" s="591"/>
      <c r="U341" s="592"/>
      <c r="V341" s="593"/>
      <c r="W341" s="592"/>
      <c r="X341" s="593"/>
      <c r="Y341" s="592"/>
      <c r="Z341" s="593"/>
      <c r="AA341" s="592"/>
      <c r="AB341" s="593"/>
      <c r="AC341" s="594"/>
      <c r="AE341" s="1150"/>
      <c r="AF341" s="411"/>
      <c r="AG341" s="412"/>
      <c r="AH341" s="413"/>
      <c r="AI341" s="591"/>
      <c r="AJ341" s="592"/>
    </row>
    <row r="342" spans="1:44">
      <c r="B342" s="383"/>
      <c r="C342" s="397"/>
      <c r="D342" s="397"/>
      <c r="E342" s="397"/>
      <c r="F342" s="397"/>
      <c r="G342" s="422"/>
      <c r="H342" s="425"/>
      <c r="I342" s="425"/>
      <c r="J342" s="425"/>
      <c r="K342" s="426"/>
      <c r="L342" s="427"/>
      <c r="M342" s="428"/>
      <c r="N342" s="428"/>
    </row>
    <row r="343" spans="1:44">
      <c r="B343" s="383"/>
      <c r="C343" s="397"/>
      <c r="D343" s="397"/>
      <c r="E343" s="397"/>
      <c r="F343" s="397"/>
      <c r="G343" s="425"/>
      <c r="H343" s="425"/>
      <c r="I343" s="425"/>
      <c r="J343" s="425"/>
      <c r="K343" s="423"/>
      <c r="L343" s="427"/>
      <c r="M343" s="428"/>
      <c r="N343" s="428"/>
    </row>
    <row r="344" spans="1:44">
      <c r="B344" s="383"/>
      <c r="C344" s="397"/>
      <c r="D344" s="397"/>
      <c r="E344" s="397"/>
      <c r="F344" s="397"/>
      <c r="G344" s="425"/>
      <c r="H344" s="425"/>
      <c r="I344" s="425"/>
      <c r="J344" s="425"/>
      <c r="K344" s="423"/>
      <c r="L344" s="427"/>
      <c r="M344" s="428"/>
      <c r="N344" s="428"/>
    </row>
    <row r="345" spans="1:44">
      <c r="B345" s="383"/>
      <c r="C345" s="397"/>
      <c r="D345" s="397"/>
      <c r="E345" s="397"/>
      <c r="F345" s="397"/>
      <c r="G345" s="425"/>
      <c r="H345" s="425"/>
      <c r="I345" s="425"/>
      <c r="J345" s="425"/>
      <c r="K345" s="423"/>
      <c r="L345" s="427"/>
      <c r="M345" s="428"/>
      <c r="N345" s="428"/>
    </row>
    <row r="346" spans="1:44" ht="16" thickBot="1">
      <c r="B346" s="429"/>
      <c r="C346" s="397"/>
      <c r="D346" s="397"/>
      <c r="E346" s="397"/>
      <c r="F346" s="397"/>
      <c r="G346" s="425"/>
      <c r="H346" s="425"/>
      <c r="I346" s="425"/>
      <c r="J346" s="425"/>
      <c r="K346" s="423"/>
      <c r="L346" s="427"/>
      <c r="M346" s="428"/>
      <c r="N346" s="428"/>
    </row>
    <row r="347" spans="1:44" ht="16" thickBot="1">
      <c r="B347" s="431"/>
      <c r="C347" s="598"/>
      <c r="D347" s="584"/>
      <c r="E347" s="584"/>
      <c r="F347" s="599"/>
      <c r="G347" s="434"/>
      <c r="H347" s="406"/>
      <c r="I347" s="406"/>
      <c r="J347" s="406"/>
      <c r="K347" s="407"/>
      <c r="L347" s="587"/>
      <c r="M347" s="428"/>
      <c r="N347" s="428"/>
    </row>
    <row r="348" spans="1:44">
      <c r="A348" s="435"/>
      <c r="B348" s="436"/>
      <c r="C348" s="600"/>
      <c r="D348" s="600"/>
      <c r="E348" s="600"/>
      <c r="F348" s="600"/>
      <c r="G348" s="425"/>
      <c r="H348" s="425"/>
      <c r="I348" s="425"/>
      <c r="J348" s="425"/>
      <c r="K348" s="426"/>
      <c r="L348" s="440"/>
      <c r="M348" s="420"/>
      <c r="N348" s="420"/>
    </row>
    <row r="349" spans="1:44">
      <c r="B349" s="441"/>
      <c r="C349" s="601"/>
      <c r="D349" s="601"/>
      <c r="E349" s="601"/>
      <c r="F349" s="601"/>
      <c r="G349" s="425"/>
      <c r="H349" s="425"/>
      <c r="I349" s="425"/>
      <c r="J349" s="425"/>
      <c r="K349" s="444"/>
      <c r="L349" s="373"/>
      <c r="M349" s="71"/>
      <c r="N349" s="420"/>
    </row>
    <row r="350" spans="1:44">
      <c r="B350" s="441"/>
      <c r="C350" s="601"/>
      <c r="D350" s="601"/>
      <c r="E350" s="601"/>
      <c r="F350" s="601"/>
      <c r="G350" s="425"/>
      <c r="H350" s="425"/>
      <c r="I350" s="425"/>
      <c r="J350" s="425"/>
      <c r="K350" s="444"/>
      <c r="L350" s="373"/>
      <c r="M350" s="420"/>
      <c r="N350" s="420"/>
    </row>
    <row r="351" spans="1:44">
      <c r="B351" s="383"/>
      <c r="C351" s="602"/>
      <c r="D351" s="603"/>
      <c r="E351" s="603"/>
      <c r="F351" s="604"/>
      <c r="G351" s="425"/>
      <c r="H351" s="425"/>
      <c r="I351" s="425"/>
      <c r="J351" s="425"/>
      <c r="K351" s="444"/>
      <c r="L351" s="373"/>
      <c r="M351" s="420"/>
      <c r="N351" s="420"/>
    </row>
    <row r="352" spans="1:44">
      <c r="B352" s="383"/>
      <c r="C352" s="605"/>
      <c r="D352" s="605"/>
      <c r="E352" s="605"/>
      <c r="F352" s="605"/>
      <c r="G352" s="425"/>
      <c r="H352" s="425"/>
      <c r="I352" s="425"/>
      <c r="J352" s="425"/>
      <c r="K352" s="444"/>
      <c r="L352" s="373"/>
      <c r="M352" s="450"/>
      <c r="N352" s="361"/>
    </row>
    <row r="353" spans="2:30">
      <c r="B353" s="541"/>
      <c r="C353" s="552"/>
      <c r="D353" s="552"/>
      <c r="E353" s="552"/>
      <c r="F353" s="552"/>
      <c r="G353" s="553"/>
      <c r="H353" s="553"/>
      <c r="I353" s="553"/>
      <c r="J353" s="553"/>
      <c r="K353" s="547"/>
      <c r="L353" s="548"/>
      <c r="M353" s="450"/>
      <c r="N353" s="361"/>
    </row>
    <row r="354" spans="2:30">
      <c r="B354" s="541"/>
      <c r="C354" s="606"/>
      <c r="D354" s="606"/>
      <c r="E354" s="606"/>
      <c r="F354" s="606"/>
      <c r="G354" s="553"/>
      <c r="H354" s="553"/>
      <c r="I354" s="553"/>
      <c r="J354" s="553"/>
      <c r="K354" s="547"/>
      <c r="L354" s="548"/>
      <c r="M354" s="363"/>
      <c r="N354" s="363"/>
    </row>
    <row r="355" spans="2:30">
      <c r="B355" s="541"/>
      <c r="C355" s="607"/>
      <c r="D355" s="547"/>
      <c r="E355" s="547"/>
      <c r="F355" s="563"/>
      <c r="G355" s="550"/>
      <c r="H355" s="550"/>
      <c r="I355" s="550"/>
      <c r="J355" s="550"/>
      <c r="K355" s="547"/>
      <c r="L355" s="608"/>
      <c r="M355" s="367"/>
      <c r="N355" s="367"/>
      <c r="P355" s="1142"/>
      <c r="Q355" s="1143"/>
      <c r="R355" s="1143"/>
      <c r="S355" s="1143"/>
      <c r="T355" s="1143"/>
      <c r="U355" s="1144"/>
    </row>
    <row r="356" spans="2:30" ht="16" thickBot="1">
      <c r="B356" s="566"/>
      <c r="C356" s="607"/>
      <c r="D356" s="609"/>
      <c r="E356" s="609"/>
      <c r="F356" s="610"/>
      <c r="G356" s="550"/>
      <c r="H356" s="550"/>
      <c r="I356" s="550"/>
      <c r="J356" s="550"/>
      <c r="K356" s="547"/>
      <c r="L356" s="608"/>
      <c r="M356" s="363"/>
      <c r="N356" s="363"/>
      <c r="P356" s="1134"/>
      <c r="Q356" s="1135"/>
      <c r="R356" s="1135"/>
      <c r="S356" s="1135"/>
      <c r="T356" s="1135"/>
      <c r="U356" s="1136"/>
    </row>
    <row r="357" spans="2:30" ht="16" thickBot="1">
      <c r="B357" s="611"/>
      <c r="C357" s="612"/>
      <c r="D357" s="613"/>
      <c r="E357" s="614"/>
      <c r="F357" s="615"/>
      <c r="G357" s="540"/>
      <c r="H357" s="540"/>
      <c r="I357" s="540"/>
      <c r="J357" s="540"/>
      <c r="K357" s="616"/>
      <c r="L357" s="617"/>
      <c r="M357" s="363"/>
      <c r="N357" s="363"/>
      <c r="P357" s="53"/>
    </row>
    <row r="358" spans="2:30">
      <c r="B358" s="556"/>
      <c r="C358" s="618"/>
      <c r="D358" s="618"/>
      <c r="E358" s="618"/>
      <c r="F358" s="618"/>
      <c r="G358" s="618"/>
      <c r="H358" s="618"/>
      <c r="I358" s="618"/>
      <c r="J358" s="618"/>
      <c r="K358" s="618"/>
      <c r="L358" s="619"/>
      <c r="M358" s="363"/>
      <c r="N358" s="363"/>
      <c r="P358" s="46"/>
      <c r="Q358" s="46"/>
      <c r="R358" s="47"/>
      <c r="S358" s="47"/>
      <c r="T358" s="47"/>
      <c r="U358" s="48"/>
      <c r="V358" s="49"/>
      <c r="W358" s="49"/>
      <c r="X358" s="49"/>
      <c r="Y358" s="49"/>
      <c r="Z358" s="49"/>
      <c r="AA358" s="49"/>
      <c r="AB358" s="49"/>
      <c r="AC358" s="49"/>
      <c r="AD358" s="49"/>
    </row>
    <row r="359" spans="2:30" ht="16" thickBot="1">
      <c r="B359" s="541"/>
      <c r="C359" s="558"/>
      <c r="D359" s="558"/>
      <c r="E359" s="558"/>
      <c r="F359" s="558"/>
      <c r="G359" s="563"/>
      <c r="H359" s="563"/>
      <c r="I359" s="563"/>
      <c r="J359" s="563"/>
      <c r="K359" s="563"/>
      <c r="L359" s="548"/>
      <c r="M359" s="363"/>
      <c r="N359" s="363"/>
      <c r="O359" s="71"/>
      <c r="P359" s="50"/>
      <c r="Q359" s="50"/>
      <c r="R359" s="51"/>
      <c r="S359" s="51"/>
      <c r="T359" s="51"/>
      <c r="U359" s="51"/>
      <c r="V359" s="50"/>
      <c r="W359" s="50"/>
      <c r="X359" s="50"/>
      <c r="Y359" s="50"/>
      <c r="Z359" s="50"/>
      <c r="AA359" s="50"/>
      <c r="AB359" s="50"/>
      <c r="AC359" s="50"/>
      <c r="AD359" s="50"/>
    </row>
    <row r="360" spans="2:30">
      <c r="B360" s="541"/>
      <c r="C360" s="558"/>
      <c r="D360" s="558"/>
      <c r="E360" s="558"/>
      <c r="F360" s="558"/>
      <c r="G360" s="563"/>
      <c r="H360" s="563"/>
      <c r="I360" s="563"/>
      <c r="J360" s="563"/>
      <c r="K360" s="563"/>
      <c r="L360" s="548"/>
      <c r="M360" s="363"/>
      <c r="N360" s="363"/>
      <c r="O360" s="461"/>
      <c r="P360" s="56"/>
      <c r="Q360" s="56"/>
      <c r="R360" s="57"/>
      <c r="S360" s="57"/>
      <c r="T360" s="57"/>
      <c r="U360" s="56"/>
      <c r="V360" s="56"/>
      <c r="W360" s="56"/>
      <c r="X360" s="56"/>
      <c r="Y360" s="56"/>
      <c r="Z360" s="56"/>
      <c r="AA360" s="56"/>
      <c r="AB360" s="56"/>
      <c r="AC360" s="56"/>
      <c r="AD360" s="56"/>
    </row>
    <row r="361" spans="2:30">
      <c r="B361" s="541"/>
      <c r="C361" s="564"/>
      <c r="D361" s="564"/>
      <c r="E361" s="564"/>
      <c r="F361" s="564"/>
      <c r="G361" s="621"/>
      <c r="H361" s="621"/>
      <c r="I361" s="621"/>
      <c r="J361" s="621"/>
      <c r="K361" s="621"/>
      <c r="L361" s="548"/>
      <c r="M361" s="363"/>
      <c r="N361" s="363"/>
      <c r="O361" s="620"/>
      <c r="P361" s="466"/>
      <c r="Q361" s="58"/>
      <c r="R361" s="466"/>
      <c r="S361" s="58"/>
      <c r="T361" s="466"/>
      <c r="U361" s="467"/>
      <c r="V361" s="467"/>
      <c r="W361" s="467"/>
      <c r="X361" s="58"/>
      <c r="Y361" s="58"/>
      <c r="Z361" s="466"/>
      <c r="AA361" s="468"/>
      <c r="AB361" s="468"/>
      <c r="AC361" s="468"/>
      <c r="AD361" s="468"/>
    </row>
    <row r="362" spans="2:30">
      <c r="B362" s="566"/>
      <c r="C362" s="558"/>
      <c r="D362" s="558"/>
      <c r="E362" s="558"/>
      <c r="F362" s="558"/>
      <c r="G362" s="563"/>
      <c r="H362" s="563"/>
      <c r="I362" s="563"/>
      <c r="J362" s="563"/>
      <c r="K362" s="563"/>
      <c r="L362" s="548"/>
      <c r="M362" s="367"/>
      <c r="N362" s="367"/>
      <c r="O362" s="620"/>
      <c r="P362" s="466"/>
      <c r="Q362" s="58"/>
      <c r="R362" s="466"/>
      <c r="S362" s="58"/>
      <c r="T362" s="466"/>
      <c r="U362" s="467"/>
      <c r="V362" s="467"/>
      <c r="W362" s="467"/>
      <c r="X362" s="58"/>
      <c r="Y362" s="58"/>
      <c r="Z362" s="466"/>
      <c r="AA362" s="468"/>
      <c r="AB362" s="468"/>
      <c r="AC362" s="468"/>
      <c r="AD362" s="468"/>
    </row>
    <row r="363" spans="2:30">
      <c r="B363" s="566"/>
      <c r="C363" s="558"/>
      <c r="D363" s="558"/>
      <c r="E363" s="558"/>
      <c r="F363" s="558"/>
      <c r="G363" s="563"/>
      <c r="H363" s="563"/>
      <c r="I363" s="563"/>
      <c r="J363" s="563"/>
      <c r="K363" s="563"/>
      <c r="L363" s="548"/>
      <c r="M363" s="363"/>
      <c r="N363" s="363"/>
      <c r="O363" s="620"/>
      <c r="P363" s="466"/>
      <c r="Q363" s="58"/>
      <c r="R363" s="466"/>
      <c r="S363" s="58"/>
      <c r="T363" s="466"/>
      <c r="U363" s="467"/>
      <c r="V363" s="467"/>
      <c r="W363" s="467"/>
      <c r="X363" s="58"/>
      <c r="Y363" s="58"/>
      <c r="Z363" s="466"/>
      <c r="AA363" s="468"/>
      <c r="AB363" s="468"/>
      <c r="AC363" s="468"/>
      <c r="AD363" s="468"/>
    </row>
    <row r="364" spans="2:30" ht="16" thickBot="1">
      <c r="B364" s="567"/>
      <c r="C364" s="622"/>
      <c r="D364" s="622"/>
      <c r="E364" s="622"/>
      <c r="F364" s="622"/>
      <c r="G364" s="623"/>
      <c r="H364" s="623"/>
      <c r="I364" s="623"/>
      <c r="J364" s="623"/>
      <c r="K364" s="623"/>
      <c r="L364" s="624"/>
      <c r="M364" s="363"/>
      <c r="N364" s="363"/>
      <c r="O364" s="620"/>
      <c r="P364" s="466"/>
      <c r="Q364" s="58"/>
      <c r="R364" s="466"/>
      <c r="S364" s="58"/>
      <c r="T364" s="466"/>
      <c r="U364" s="467"/>
      <c r="V364" s="467"/>
      <c r="W364" s="467"/>
      <c r="X364" s="58"/>
      <c r="Y364" s="58"/>
      <c r="Z364" s="466"/>
      <c r="AA364" s="468"/>
      <c r="AB364" s="468"/>
      <c r="AC364" s="468"/>
      <c r="AD364" s="468"/>
    </row>
    <row r="365" spans="2:30">
      <c r="B365" s="461"/>
      <c r="C365" s="483"/>
      <c r="D365" s="483"/>
      <c r="E365" s="483"/>
      <c r="F365" s="483"/>
      <c r="G365" s="483"/>
      <c r="H365" s="484"/>
      <c r="I365" s="420"/>
      <c r="J365" s="420"/>
      <c r="K365" s="484"/>
      <c r="L365" s="484"/>
      <c r="N365" s="420"/>
    </row>
    <row r="366" spans="2:30">
      <c r="B366" s="485"/>
      <c r="C366" s="486"/>
      <c r="D366" s="486"/>
      <c r="E366" s="486"/>
      <c r="F366" s="486"/>
      <c r="G366" s="486"/>
      <c r="H366" s="484"/>
      <c r="I366" s="71"/>
      <c r="J366" s="420"/>
      <c r="K366" s="484"/>
      <c r="L366" s="484"/>
      <c r="N366" s="420"/>
    </row>
    <row r="367" spans="2:30">
      <c r="B367" s="461"/>
      <c r="C367" s="359"/>
      <c r="D367" s="359"/>
      <c r="E367" s="359"/>
      <c r="F367" s="359"/>
      <c r="G367" s="359"/>
      <c r="I367" s="420"/>
      <c r="J367" s="420"/>
      <c r="N367" s="420"/>
    </row>
    <row r="368" spans="2:30">
      <c r="B368" s="461"/>
      <c r="C368" s="487"/>
      <c r="D368" s="487"/>
      <c r="E368" s="487"/>
      <c r="F368" s="487"/>
      <c r="G368" s="359"/>
      <c r="M368" s="420"/>
      <c r="N368" s="420"/>
    </row>
    <row r="371" spans="1:11">
      <c r="A371" s="488"/>
      <c r="B371" s="489"/>
      <c r="D371" s="358"/>
      <c r="E371" s="358"/>
      <c r="F371" s="358"/>
      <c r="G371" s="358"/>
      <c r="H371" s="358"/>
      <c r="I371" s="358"/>
      <c r="J371" s="358"/>
      <c r="K371" s="358"/>
    </row>
    <row r="372" spans="1:11">
      <c r="A372" s="358"/>
      <c r="B372" s="490"/>
      <c r="E372" s="358"/>
      <c r="F372" s="358"/>
      <c r="G372" s="358"/>
      <c r="H372" s="358"/>
      <c r="I372" s="358"/>
      <c r="J372" s="358"/>
      <c r="K372" s="358"/>
    </row>
    <row r="373" spans="1:11">
      <c r="A373" s="358"/>
      <c r="B373" s="490"/>
      <c r="E373" s="358"/>
      <c r="F373" s="358"/>
      <c r="G373" s="358"/>
      <c r="H373" s="358"/>
      <c r="I373" s="358"/>
      <c r="J373" s="358"/>
      <c r="K373" s="358"/>
    </row>
    <row r="374" spans="1:11">
      <c r="A374" s="358"/>
      <c r="B374" s="490"/>
      <c r="E374" s="358"/>
      <c r="F374" s="358"/>
      <c r="G374" s="358"/>
      <c r="H374" s="358"/>
      <c r="I374" s="358"/>
      <c r="J374" s="358"/>
      <c r="K374" s="358"/>
    </row>
    <row r="375" spans="1:11">
      <c r="A375" s="358"/>
      <c r="B375" s="490"/>
      <c r="E375" s="358"/>
      <c r="F375" s="358"/>
      <c r="G375" s="358"/>
      <c r="H375" s="358"/>
      <c r="I375" s="358"/>
      <c r="J375" s="358"/>
      <c r="K375" s="358"/>
    </row>
    <row r="376" spans="1:11">
      <c r="A376" s="358"/>
      <c r="B376" s="490"/>
      <c r="E376" s="358"/>
      <c r="F376" s="358"/>
      <c r="G376" s="358"/>
      <c r="H376" s="358"/>
      <c r="I376" s="358"/>
      <c r="J376" s="358"/>
      <c r="K376" s="358"/>
    </row>
    <row r="377" spans="1:11">
      <c r="A377" s="358"/>
      <c r="B377" s="490"/>
      <c r="E377" s="358"/>
      <c r="F377" s="358"/>
      <c r="G377" s="358"/>
      <c r="H377" s="358"/>
      <c r="I377" s="358"/>
      <c r="J377" s="358"/>
      <c r="K377" s="358"/>
    </row>
    <row r="378" spans="1:11">
      <c r="A378" s="358"/>
      <c r="B378" s="490"/>
      <c r="E378" s="358"/>
      <c r="F378" s="358"/>
      <c r="G378" s="358"/>
      <c r="H378" s="358"/>
      <c r="I378" s="358"/>
      <c r="J378" s="358"/>
      <c r="K378" s="358"/>
    </row>
    <row r="379" spans="1:11">
      <c r="A379" s="358"/>
      <c r="B379" s="625"/>
      <c r="E379" s="358"/>
      <c r="F379" s="358"/>
      <c r="G379" s="358"/>
      <c r="H379" s="358"/>
      <c r="I379" s="358"/>
      <c r="J379" s="358"/>
      <c r="K379" s="358"/>
    </row>
    <row r="380" spans="1:11">
      <c r="A380" s="358"/>
      <c r="B380" s="490"/>
      <c r="E380" s="358"/>
      <c r="F380" s="358"/>
      <c r="G380" s="358"/>
      <c r="H380" s="358"/>
      <c r="I380" s="358"/>
      <c r="J380" s="358"/>
      <c r="K380" s="358"/>
    </row>
    <row r="381" spans="1:11">
      <c r="A381" s="488"/>
      <c r="B381" s="489"/>
      <c r="E381" s="358"/>
      <c r="F381" s="358"/>
      <c r="G381" s="358"/>
      <c r="H381" s="358"/>
      <c r="I381" s="358"/>
      <c r="J381" s="358"/>
      <c r="K381" s="358"/>
    </row>
    <row r="382" spans="1:11">
      <c r="A382" s="496"/>
      <c r="B382" s="490"/>
      <c r="C382" s="489"/>
      <c r="E382" s="358"/>
      <c r="F382" s="358"/>
      <c r="G382" s="358"/>
      <c r="H382" s="358"/>
      <c r="I382" s="358"/>
      <c r="J382" s="358"/>
      <c r="K382" s="358"/>
    </row>
    <row r="383" spans="1:11">
      <c r="A383" s="496"/>
      <c r="B383" s="490"/>
      <c r="C383" s="489"/>
      <c r="E383" s="358"/>
      <c r="F383" s="358"/>
      <c r="G383" s="358"/>
      <c r="H383" s="358"/>
      <c r="I383" s="358"/>
      <c r="J383" s="358"/>
      <c r="K383" s="358"/>
    </row>
    <row r="384" spans="1:11">
      <c r="A384" s="496"/>
      <c r="B384" s="490"/>
      <c r="C384" s="489"/>
      <c r="E384" s="358"/>
      <c r="F384" s="358"/>
      <c r="G384" s="358"/>
      <c r="H384" s="358"/>
      <c r="I384" s="358"/>
      <c r="J384" s="358"/>
      <c r="K384" s="358"/>
    </row>
    <row r="385" spans="1:11">
      <c r="A385" s="496"/>
      <c r="B385" s="490"/>
      <c r="C385" s="489"/>
      <c r="E385" s="358"/>
      <c r="F385" s="358"/>
      <c r="G385" s="358"/>
      <c r="H385" s="358"/>
      <c r="I385" s="358"/>
      <c r="J385" s="358"/>
      <c r="K385" s="358"/>
    </row>
    <row r="386" spans="1:11" ht="15.75" customHeight="1">
      <c r="A386" s="496"/>
      <c r="B386" s="490"/>
      <c r="C386" s="489"/>
      <c r="E386" s="358"/>
      <c r="F386" s="358"/>
      <c r="G386" s="358"/>
      <c r="H386" s="358"/>
      <c r="I386" s="358"/>
      <c r="J386" s="358"/>
      <c r="K386" s="358"/>
    </row>
    <row r="387" spans="1:11" ht="15.75" customHeight="1">
      <c r="A387" s="496"/>
      <c r="B387" s="490"/>
      <c r="C387" s="489"/>
      <c r="E387" s="358"/>
      <c r="F387" s="358"/>
      <c r="G387" s="358"/>
      <c r="H387" s="358"/>
      <c r="I387" s="358"/>
      <c r="J387" s="358"/>
      <c r="K387" s="358"/>
    </row>
  </sheetData>
  <mergeCells count="253">
    <mergeCell ref="B167:B168"/>
    <mergeCell ref="C167:M167"/>
    <mergeCell ref="P170:U170"/>
    <mergeCell ref="C168:M168"/>
    <mergeCell ref="P171:U171"/>
    <mergeCell ref="C87:M87"/>
    <mergeCell ref="H88:I88"/>
    <mergeCell ref="J88:K88"/>
    <mergeCell ref="B5:B6"/>
    <mergeCell ref="C5:M5"/>
    <mergeCell ref="C6:M6"/>
    <mergeCell ref="C7:M7"/>
    <mergeCell ref="H8:I8"/>
    <mergeCell ref="J8:K8"/>
    <mergeCell ref="B85:B86"/>
    <mergeCell ref="C85:M85"/>
    <mergeCell ref="P88:U88"/>
    <mergeCell ref="C86:M86"/>
    <mergeCell ref="S172:S175"/>
    <mergeCell ref="T172:U174"/>
    <mergeCell ref="V172:W174"/>
    <mergeCell ref="X172:Y174"/>
    <mergeCell ref="Z172:AA174"/>
    <mergeCell ref="P173:P175"/>
    <mergeCell ref="Q174:Q175"/>
    <mergeCell ref="R174:R175"/>
    <mergeCell ref="P116:U116"/>
    <mergeCell ref="P117:U117"/>
    <mergeCell ref="AQ169:AR171"/>
    <mergeCell ref="B170:B171"/>
    <mergeCell ref="C170:C171"/>
    <mergeCell ref="D170:D171"/>
    <mergeCell ref="E170:E171"/>
    <mergeCell ref="F170:F171"/>
    <mergeCell ref="G170:H170"/>
    <mergeCell ref="I170:J170"/>
    <mergeCell ref="K170:K171"/>
    <mergeCell ref="L170:L171"/>
    <mergeCell ref="AK169:AL171"/>
    <mergeCell ref="AM169:AN171"/>
    <mergeCell ref="AO169:AP171"/>
    <mergeCell ref="C169:L169"/>
    <mergeCell ref="AP173:AP175"/>
    <mergeCell ref="AQ173:AQ175"/>
    <mergeCell ref="AR173:AR175"/>
    <mergeCell ref="AE176:AE184"/>
    <mergeCell ref="AF176:AF178"/>
    <mergeCell ref="AI176:AI178"/>
    <mergeCell ref="AJ176:AJ178"/>
    <mergeCell ref="AK173:AK175"/>
    <mergeCell ref="AL173:AL175"/>
    <mergeCell ref="AP176:AP180"/>
    <mergeCell ref="AQ176:AQ180"/>
    <mergeCell ref="AR176:AR180"/>
    <mergeCell ref="AH172:AH175"/>
    <mergeCell ref="AI172:AJ174"/>
    <mergeCell ref="AE173:AE175"/>
    <mergeCell ref="AF174:AF175"/>
    <mergeCell ref="AG174:AG175"/>
    <mergeCell ref="AB179:AB183"/>
    <mergeCell ref="AM173:AM175"/>
    <mergeCell ref="AN173:AN175"/>
    <mergeCell ref="AO173:AO175"/>
    <mergeCell ref="X176:X178"/>
    <mergeCell ref="Y176:Y178"/>
    <mergeCell ref="Z176:Z178"/>
    <mergeCell ref="AA176:AA178"/>
    <mergeCell ref="AB176:AB178"/>
    <mergeCell ref="AC176:AC178"/>
    <mergeCell ref="AM176:AM180"/>
    <mergeCell ref="AN176:AN180"/>
    <mergeCell ref="AO176:AO180"/>
    <mergeCell ref="AC179:AC183"/>
    <mergeCell ref="AF179:AF183"/>
    <mergeCell ref="AI179:AI183"/>
    <mergeCell ref="AJ179:AJ183"/>
    <mergeCell ref="AK176:AK180"/>
    <mergeCell ref="AL176:AL180"/>
    <mergeCell ref="AB172:AC174"/>
    <mergeCell ref="B246:B247"/>
    <mergeCell ref="C246:M246"/>
    <mergeCell ref="P249:U249"/>
    <mergeCell ref="C247:M247"/>
    <mergeCell ref="P250:U250"/>
    <mergeCell ref="X179:X183"/>
    <mergeCell ref="Y179:Y183"/>
    <mergeCell ref="Z179:Z183"/>
    <mergeCell ref="AA179:AA183"/>
    <mergeCell ref="P176:P184"/>
    <mergeCell ref="Q176:Q178"/>
    <mergeCell ref="T176:T178"/>
    <mergeCell ref="U176:U178"/>
    <mergeCell ref="V176:V178"/>
    <mergeCell ref="W176:W178"/>
    <mergeCell ref="Q179:Q183"/>
    <mergeCell ref="T179:T183"/>
    <mergeCell ref="U179:U183"/>
    <mergeCell ref="V179:V183"/>
    <mergeCell ref="W179:W183"/>
    <mergeCell ref="S251:S254"/>
    <mergeCell ref="T251:U253"/>
    <mergeCell ref="V251:W253"/>
    <mergeCell ref="X251:Y253"/>
    <mergeCell ref="Z251:AA253"/>
    <mergeCell ref="P252:P254"/>
    <mergeCell ref="Q253:Q254"/>
    <mergeCell ref="R253:R254"/>
    <mergeCell ref="P198:U198"/>
    <mergeCell ref="P199:U199"/>
    <mergeCell ref="AQ248:AR250"/>
    <mergeCell ref="B249:B250"/>
    <mergeCell ref="C249:C250"/>
    <mergeCell ref="D249:D250"/>
    <mergeCell ref="E249:E250"/>
    <mergeCell ref="F249:F250"/>
    <mergeCell ref="G249:H249"/>
    <mergeCell ref="I249:J249"/>
    <mergeCell ref="K249:K250"/>
    <mergeCell ref="L249:L250"/>
    <mergeCell ref="AK248:AL250"/>
    <mergeCell ref="AM248:AN250"/>
    <mergeCell ref="AO248:AP250"/>
    <mergeCell ref="C248:L248"/>
    <mergeCell ref="P255:P263"/>
    <mergeCell ref="Q255:Q257"/>
    <mergeCell ref="T255:T257"/>
    <mergeCell ref="U255:U257"/>
    <mergeCell ref="V255:V257"/>
    <mergeCell ref="W255:W257"/>
    <mergeCell ref="Q258:Q262"/>
    <mergeCell ref="T258:T262"/>
    <mergeCell ref="U258:U262"/>
    <mergeCell ref="V258:V262"/>
    <mergeCell ref="W258:W262"/>
    <mergeCell ref="AP252:AP254"/>
    <mergeCell ref="AQ252:AQ254"/>
    <mergeCell ref="AR252:AR254"/>
    <mergeCell ref="AE255:AE263"/>
    <mergeCell ref="AF255:AF257"/>
    <mergeCell ref="AI255:AI257"/>
    <mergeCell ref="AJ255:AJ257"/>
    <mergeCell ref="AK252:AK254"/>
    <mergeCell ref="AL252:AL254"/>
    <mergeCell ref="AP255:AP259"/>
    <mergeCell ref="AQ255:AQ259"/>
    <mergeCell ref="AR255:AR259"/>
    <mergeCell ref="AH251:AH254"/>
    <mergeCell ref="AI251:AJ253"/>
    <mergeCell ref="AE252:AE254"/>
    <mergeCell ref="AF253:AF254"/>
    <mergeCell ref="AG253:AG254"/>
    <mergeCell ref="X258:X262"/>
    <mergeCell ref="Y258:Y262"/>
    <mergeCell ref="Z258:Z262"/>
    <mergeCell ref="AA258:AA262"/>
    <mergeCell ref="AB258:AB262"/>
    <mergeCell ref="AM252:AM254"/>
    <mergeCell ref="AN252:AN254"/>
    <mergeCell ref="AO252:AO254"/>
    <mergeCell ref="X255:X257"/>
    <mergeCell ref="Y255:Y257"/>
    <mergeCell ref="Z255:Z257"/>
    <mergeCell ref="AA255:AA257"/>
    <mergeCell ref="AB255:AB257"/>
    <mergeCell ref="AC255:AC257"/>
    <mergeCell ref="AM255:AM259"/>
    <mergeCell ref="AN255:AN259"/>
    <mergeCell ref="AO255:AO259"/>
    <mergeCell ref="AC258:AC262"/>
    <mergeCell ref="AF258:AF262"/>
    <mergeCell ref="AI258:AI262"/>
    <mergeCell ref="AJ258:AJ262"/>
    <mergeCell ref="AK255:AK259"/>
    <mergeCell ref="AL255:AL259"/>
    <mergeCell ref="AB251:AC253"/>
    <mergeCell ref="C326:L326"/>
    <mergeCell ref="S329:S332"/>
    <mergeCell ref="T329:U331"/>
    <mergeCell ref="V329:W331"/>
    <mergeCell ref="K327:K328"/>
    <mergeCell ref="L327:L328"/>
    <mergeCell ref="P330:P332"/>
    <mergeCell ref="Q331:Q332"/>
    <mergeCell ref="Z329:AA331"/>
    <mergeCell ref="R331:R332"/>
    <mergeCell ref="AQ330:AQ332"/>
    <mergeCell ref="AR330:AR332"/>
    <mergeCell ref="AL330:AL332"/>
    <mergeCell ref="AM330:AM332"/>
    <mergeCell ref="AQ326:AR328"/>
    <mergeCell ref="AN330:AN332"/>
    <mergeCell ref="AO330:AO332"/>
    <mergeCell ref="AP330:AP332"/>
    <mergeCell ref="P277:U277"/>
    <mergeCell ref="P278:U278"/>
    <mergeCell ref="AB329:AC331"/>
    <mergeCell ref="AH329:AH332"/>
    <mergeCell ref="AI329:AJ331"/>
    <mergeCell ref="AK326:AL328"/>
    <mergeCell ref="AE330:AE332"/>
    <mergeCell ref="AF331:AF332"/>
    <mergeCell ref="AG331:AG332"/>
    <mergeCell ref="AM326:AN328"/>
    <mergeCell ref="AO326:AP328"/>
    <mergeCell ref="Q333:Q335"/>
    <mergeCell ref="T333:T335"/>
    <mergeCell ref="U333:U335"/>
    <mergeCell ref="V333:V335"/>
    <mergeCell ref="X329:Y331"/>
    <mergeCell ref="B327:B328"/>
    <mergeCell ref="C327:C328"/>
    <mergeCell ref="D327:D328"/>
    <mergeCell ref="E327:E328"/>
    <mergeCell ref="F327:F328"/>
    <mergeCell ref="G327:H327"/>
    <mergeCell ref="I327:J327"/>
    <mergeCell ref="U336:U340"/>
    <mergeCell ref="V336:V340"/>
    <mergeCell ref="W336:W340"/>
    <mergeCell ref="AF333:AF335"/>
    <mergeCell ref="AI333:AI335"/>
    <mergeCell ref="AJ333:AJ335"/>
    <mergeCell ref="AK330:AK332"/>
    <mergeCell ref="Y333:Y335"/>
    <mergeCell ref="Z333:Z335"/>
    <mergeCell ref="AA333:AA335"/>
    <mergeCell ref="AB333:AB335"/>
    <mergeCell ref="AC333:AC335"/>
    <mergeCell ref="AE333:AE341"/>
    <mergeCell ref="P356:U356"/>
    <mergeCell ref="AN333:AN337"/>
    <mergeCell ref="AO333:AO337"/>
    <mergeCell ref="AP333:AP337"/>
    <mergeCell ref="AQ333:AQ337"/>
    <mergeCell ref="AR333:AR337"/>
    <mergeCell ref="P355:U355"/>
    <mergeCell ref="AF336:AF340"/>
    <mergeCell ref="AI336:AI340"/>
    <mergeCell ref="AJ336:AJ340"/>
    <mergeCell ref="AK333:AK337"/>
    <mergeCell ref="AL333:AL337"/>
    <mergeCell ref="AM333:AM337"/>
    <mergeCell ref="X336:X340"/>
    <mergeCell ref="Y336:Y340"/>
    <mergeCell ref="Z336:Z340"/>
    <mergeCell ref="AA336:AA340"/>
    <mergeCell ref="AB336:AB340"/>
    <mergeCell ref="AC336:AC340"/>
    <mergeCell ref="P333:P341"/>
    <mergeCell ref="W333:W335"/>
    <mergeCell ref="X333:X335"/>
    <mergeCell ref="Q336:Q340"/>
    <mergeCell ref="T336:T340"/>
  </mergeCells>
  <hyperlinks>
    <hyperlink ref="C7" location="INDEX" display="Post-combustion carbon capture retrofit - 100 MW(th) WtE or biomass CHP plant" xr:uid="{C8FC7AFC-2B29-4C66-AA6A-FE3684710BD7}"/>
    <hyperlink ref="C87" location="INDEX" display="Post-combustion carbon capture retrofit - 100 MW(th) WtE or biomass CHP plant" xr:uid="{3E3C9C98-0497-4384-A8FA-D8DDA3728336}"/>
  </hyperlinks>
  <pageMargins left="0.7" right="0.7" top="0.75" bottom="0.75" header="0.3" footer="0.3"/>
  <pageSetup paperSize="9" orientation="portrait"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9438B7-0FA7-41B8-8C5B-3CD7874F100E}">
  <sheetPr>
    <tabColor rgb="FFFFFF00"/>
  </sheetPr>
  <dimension ref="A2:AX264"/>
  <sheetViews>
    <sheetView workbookViewId="0">
      <pane xSplit="5" ySplit="12" topLeftCell="F217" activePane="bottomRight" state="frozen"/>
      <selection pane="topRight" activeCell="F1" sqref="F1"/>
      <selection pane="bottomLeft" activeCell="A13" sqref="A13"/>
      <selection pane="bottomRight" activeCell="AT228" sqref="AT228"/>
    </sheetView>
  </sheetViews>
  <sheetFormatPr baseColWidth="10" defaultColWidth="8.83203125" defaultRowHeight="15"/>
  <cols>
    <col min="1" max="6" width="8.83203125" style="224"/>
    <col min="7" max="9" width="8.83203125" style="224" hidden="1" customWidth="1"/>
    <col min="10" max="10" width="12" style="224" hidden="1" customWidth="1"/>
    <col min="11" max="12" width="12.1640625" style="224" hidden="1" customWidth="1"/>
    <col min="13" max="15" width="8.83203125" style="224" hidden="1" customWidth="1"/>
    <col min="16" max="16" width="8.1640625" style="224" hidden="1" customWidth="1"/>
    <col min="17" max="26" width="8.83203125" style="224" hidden="1" customWidth="1"/>
    <col min="27" max="27" width="8.83203125" style="224" customWidth="1"/>
    <col min="28" max="29" width="8.83203125" style="224" hidden="1" customWidth="1"/>
    <col min="30" max="30" width="8.83203125" style="224" customWidth="1"/>
    <col min="31" max="39" width="8.83203125" style="224" hidden="1" customWidth="1"/>
    <col min="40" max="41" width="8.83203125" style="224"/>
    <col min="42" max="44" width="8.83203125" style="1123"/>
    <col min="45" max="45" width="27.1640625" style="1123" customWidth="1"/>
    <col min="46" max="16384" width="8.83203125" style="224"/>
  </cols>
  <sheetData>
    <row r="2" spans="1:50">
      <c r="A2" s="224" t="s">
        <v>2063</v>
      </c>
    </row>
    <row r="4" spans="1:50">
      <c r="A4" s="224" t="s">
        <v>2002</v>
      </c>
      <c r="C4" s="224">
        <v>0.13175999999999999</v>
      </c>
      <c r="D4" s="224" t="s">
        <v>2066</v>
      </c>
      <c r="F4" s="224" t="s">
        <v>2068</v>
      </c>
    </row>
    <row r="5" spans="1:50">
      <c r="A5" s="224" t="s">
        <v>2003</v>
      </c>
    </row>
    <row r="6" spans="1:50">
      <c r="A6" s="224" t="s">
        <v>531</v>
      </c>
    </row>
    <row r="7" spans="1:50">
      <c r="A7" s="224" t="s">
        <v>2004</v>
      </c>
      <c r="B7" s="224" t="s">
        <v>2005</v>
      </c>
    </row>
    <row r="8" spans="1:50">
      <c r="A8" s="224" t="s">
        <v>2006</v>
      </c>
      <c r="B8" s="224" t="s">
        <v>2007</v>
      </c>
    </row>
    <row r="9" spans="1:50">
      <c r="A9" s="224" t="s">
        <v>2008</v>
      </c>
      <c r="B9" s="224" t="s">
        <v>2009</v>
      </c>
    </row>
    <row r="10" spans="1:50">
      <c r="A10" s="224" t="s">
        <v>2064</v>
      </c>
      <c r="B10" s="224" t="s">
        <v>2065</v>
      </c>
    </row>
    <row r="11" spans="1:50">
      <c r="G11" s="1215" t="s">
        <v>2010</v>
      </c>
      <c r="H11" s="1215"/>
      <c r="I11" s="1108"/>
      <c r="J11" s="1216" t="s">
        <v>2011</v>
      </c>
      <c r="K11" s="1216"/>
      <c r="L11" s="1216"/>
      <c r="M11" s="1216"/>
      <c r="N11" s="1216"/>
      <c r="O11" s="1216"/>
      <c r="P11" s="1216" t="s">
        <v>2012</v>
      </c>
      <c r="Q11" s="1216"/>
      <c r="R11" s="1216"/>
      <c r="S11" s="1216"/>
      <c r="T11" s="1216"/>
      <c r="U11" s="1216"/>
      <c r="V11" s="1215" t="s">
        <v>2013</v>
      </c>
      <c r="W11" s="1215"/>
      <c r="X11" s="1215"/>
      <c r="Y11" s="1215"/>
      <c r="Z11" s="1215"/>
      <c r="AA11" s="1215" t="s">
        <v>2014</v>
      </c>
      <c r="AB11" s="1215"/>
      <c r="AC11" s="1215"/>
      <c r="AD11" s="1108" t="s">
        <v>2015</v>
      </c>
      <c r="AE11" s="1215" t="s">
        <v>2016</v>
      </c>
      <c r="AF11" s="1215"/>
      <c r="AG11" s="1215"/>
      <c r="AH11" s="1215"/>
      <c r="AI11" s="1215"/>
      <c r="AJ11" s="1215"/>
      <c r="AK11" s="1215"/>
      <c r="AL11" s="1215"/>
      <c r="AM11" s="1215"/>
      <c r="AN11" s="1109" t="s">
        <v>2017</v>
      </c>
    </row>
    <row r="12" spans="1:50" ht="30">
      <c r="A12" s="1110" t="s">
        <v>1133</v>
      </c>
      <c r="B12" s="1111" t="s">
        <v>2018</v>
      </c>
      <c r="C12" s="1111" t="s">
        <v>2019</v>
      </c>
      <c r="D12" s="1111" t="s">
        <v>2020</v>
      </c>
      <c r="E12" s="1111" t="s">
        <v>2021</v>
      </c>
      <c r="F12" s="1111" t="s">
        <v>2022</v>
      </c>
      <c r="G12" s="1112" t="s">
        <v>2023</v>
      </c>
      <c r="H12" s="1112" t="s">
        <v>2024</v>
      </c>
      <c r="I12" s="1113" t="s">
        <v>2025</v>
      </c>
      <c r="J12" s="1114" t="s">
        <v>2026</v>
      </c>
      <c r="K12" s="1114" t="s">
        <v>2027</v>
      </c>
      <c r="L12" s="1114" t="s">
        <v>2028</v>
      </c>
      <c r="M12" s="1115" t="s">
        <v>2029</v>
      </c>
      <c r="N12" s="1115" t="s">
        <v>2030</v>
      </c>
      <c r="O12" s="1115" t="s">
        <v>2031</v>
      </c>
      <c r="P12" s="1112" t="s">
        <v>2032</v>
      </c>
      <c r="Q12" s="1112" t="s">
        <v>2033</v>
      </c>
      <c r="R12" s="1112" t="s">
        <v>2034</v>
      </c>
      <c r="S12" s="1112" t="s">
        <v>2035</v>
      </c>
      <c r="T12" s="1112" t="s">
        <v>2036</v>
      </c>
      <c r="U12" s="1112" t="s">
        <v>2037</v>
      </c>
      <c r="V12" s="1112" t="s">
        <v>2038</v>
      </c>
      <c r="W12" s="1112" t="s">
        <v>2039</v>
      </c>
      <c r="X12" s="1112" t="s">
        <v>2040</v>
      </c>
      <c r="Y12" s="1113" t="s">
        <v>2041</v>
      </c>
      <c r="Z12" s="1112" t="s">
        <v>2042</v>
      </c>
      <c r="AA12" s="1112" t="s">
        <v>2043</v>
      </c>
      <c r="AB12" s="1112" t="s">
        <v>2044</v>
      </c>
      <c r="AC12" s="1112" t="s">
        <v>2045</v>
      </c>
      <c r="AD12" s="1116" t="s">
        <v>2046</v>
      </c>
      <c r="AE12" s="1112" t="s">
        <v>2047</v>
      </c>
      <c r="AF12" s="1112" t="s">
        <v>2048</v>
      </c>
      <c r="AG12" s="1112" t="s">
        <v>2049</v>
      </c>
      <c r="AH12" s="1112" t="s">
        <v>2050</v>
      </c>
      <c r="AI12" s="1112" t="s">
        <v>2051</v>
      </c>
      <c r="AJ12" s="1112" t="s">
        <v>2052</v>
      </c>
      <c r="AK12" s="1112" t="s">
        <v>2053</v>
      </c>
      <c r="AL12" s="1112" t="s">
        <v>2054</v>
      </c>
      <c r="AM12" s="1112" t="s">
        <v>2055</v>
      </c>
      <c r="AN12" s="1117" t="s">
        <v>2056</v>
      </c>
      <c r="AO12" s="1122" t="s">
        <v>2067</v>
      </c>
      <c r="AP12" s="1124" t="s">
        <v>2074</v>
      </c>
      <c r="AQ12" s="1124" t="s">
        <v>2076</v>
      </c>
      <c r="AR12" s="1125" t="s">
        <v>339</v>
      </c>
      <c r="AS12" s="1123" t="s">
        <v>2075</v>
      </c>
      <c r="AT12" s="224" t="s">
        <v>2079</v>
      </c>
    </row>
    <row r="13" spans="1:50">
      <c r="A13" s="1118">
        <v>2017</v>
      </c>
      <c r="B13" s="1119"/>
      <c r="C13" s="1119"/>
      <c r="D13" s="1119" t="s">
        <v>2002</v>
      </c>
      <c r="E13" s="1119" t="s">
        <v>2057</v>
      </c>
      <c r="F13" s="1119"/>
      <c r="G13" s="224">
        <v>26408.122257943447</v>
      </c>
      <c r="H13" s="224">
        <v>14740.142857142857</v>
      </c>
      <c r="I13" s="224">
        <v>2.3759999999999999</v>
      </c>
      <c r="J13" s="224">
        <v>0.19797451388064591</v>
      </c>
      <c r="K13" s="224">
        <v>0.13507787674661281</v>
      </c>
      <c r="L13" s="224">
        <v>0.15733502692996645</v>
      </c>
      <c r="M13" s="224">
        <v>0</v>
      </c>
      <c r="N13" s="224">
        <v>0</v>
      </c>
      <c r="O13" s="224">
        <v>0</v>
      </c>
      <c r="P13" s="224">
        <v>0</v>
      </c>
      <c r="Q13" s="224">
        <v>0</v>
      </c>
      <c r="R13" s="224">
        <v>0</v>
      </c>
      <c r="S13" s="224">
        <v>0</v>
      </c>
      <c r="T13" s="224">
        <v>0</v>
      </c>
      <c r="U13" s="224">
        <v>0</v>
      </c>
      <c r="V13" s="224">
        <v>293.64053294285713</v>
      </c>
      <c r="W13" s="224">
        <v>0</v>
      </c>
      <c r="X13" s="224">
        <v>3.2632499999999989</v>
      </c>
      <c r="Y13" s="224">
        <v>2.3759999999999999</v>
      </c>
      <c r="Z13" s="224">
        <v>0</v>
      </c>
      <c r="AA13" s="224">
        <v>73.609182931698555</v>
      </c>
      <c r="AB13" s="224">
        <v>49.322425946787725</v>
      </c>
      <c r="AC13" s="224">
        <v>57.182761255902996</v>
      </c>
      <c r="AD13" s="1120">
        <v>10.02727521340155</v>
      </c>
      <c r="AE13" s="224">
        <v>29831.954199447344</v>
      </c>
      <c r="AF13" s="224">
        <v>0</v>
      </c>
      <c r="AG13" s="224">
        <v>261.59999999999997</v>
      </c>
      <c r="AH13" s="224">
        <v>12272.34363356928</v>
      </c>
      <c r="AI13" s="224">
        <v>78000</v>
      </c>
      <c r="AJ13" s="224">
        <v>0</v>
      </c>
      <c r="AK13" s="224">
        <v>791.37040000000002</v>
      </c>
      <c r="AL13" s="224">
        <v>0</v>
      </c>
      <c r="AM13" s="224">
        <v>436.00000000000006</v>
      </c>
      <c r="AN13" s="1120">
        <v>121593.26823301661</v>
      </c>
      <c r="AO13" s="224">
        <f>AD13*$C$4</f>
        <v>1.3211937821177882</v>
      </c>
      <c r="AP13" s="1123">
        <v>0.1</v>
      </c>
      <c r="AQ13" s="1123">
        <f>AA13*$C$4*365/1000*0.1</f>
        <v>0.35400422692244193</v>
      </c>
      <c r="AR13" s="1123">
        <v>20</v>
      </c>
      <c r="AS13" s="1123">
        <f>AO13/$AO$13</f>
        <v>1</v>
      </c>
      <c r="AT13" s="224">
        <f>AN13*AQ13</f>
        <v>43044.530919802164</v>
      </c>
      <c r="AW13" s="224">
        <f>AA13*$C$4</f>
        <v>9.6987459430806009</v>
      </c>
      <c r="AX13" s="224" t="s">
        <v>2072</v>
      </c>
    </row>
    <row r="14" spans="1:50">
      <c r="A14" s="1121">
        <v>2020</v>
      </c>
      <c r="B14" s="1107"/>
      <c r="C14" s="1107"/>
      <c r="D14" s="1107" t="s">
        <v>2002</v>
      </c>
      <c r="E14" s="1107" t="s">
        <v>2057</v>
      </c>
      <c r="F14" s="1107"/>
      <c r="G14" s="224">
        <v>26332.535627387872</v>
      </c>
      <c r="H14" s="224">
        <v>14788.638071428571</v>
      </c>
      <c r="I14" s="224">
        <v>2.3759999999999999</v>
      </c>
      <c r="J14" s="224">
        <v>0.18839736099100321</v>
      </c>
      <c r="K14" s="224">
        <v>0.12550666692171605</v>
      </c>
      <c r="L14" s="224">
        <v>0.14532221572453397</v>
      </c>
      <c r="M14" s="224">
        <v>0</v>
      </c>
      <c r="N14" s="224">
        <v>0</v>
      </c>
      <c r="O14" s="224">
        <v>0</v>
      </c>
      <c r="P14" s="224">
        <v>0</v>
      </c>
      <c r="Q14" s="224">
        <v>0</v>
      </c>
      <c r="R14" s="224">
        <v>0</v>
      </c>
      <c r="S14" s="224">
        <v>0</v>
      </c>
      <c r="T14" s="224">
        <v>0</v>
      </c>
      <c r="U14" s="224">
        <v>0</v>
      </c>
      <c r="V14" s="224">
        <v>287.78656302857138</v>
      </c>
      <c r="W14" s="224">
        <v>0</v>
      </c>
      <c r="X14" s="224">
        <v>3.2161153846153852</v>
      </c>
      <c r="Y14" s="224">
        <v>2.3759999999999999</v>
      </c>
      <c r="Z14" s="224">
        <v>0</v>
      </c>
      <c r="AA14" s="224">
        <v>69.908740104792571</v>
      </c>
      <c r="AB14" s="224">
        <v>45.751764098419187</v>
      </c>
      <c r="AC14" s="224">
        <v>52.715685388398406</v>
      </c>
      <c r="AD14" s="1120">
        <v>9.2806164525154138</v>
      </c>
      <c r="AE14" s="224">
        <v>29481.994606924036</v>
      </c>
      <c r="AF14" s="224">
        <v>0</v>
      </c>
      <c r="AG14" s="224">
        <v>261.59999999999997</v>
      </c>
      <c r="AH14" s="224">
        <v>12048.013477633367</v>
      </c>
      <c r="AI14" s="224">
        <v>78000</v>
      </c>
      <c r="AJ14" s="224">
        <v>1235.8047393673185</v>
      </c>
      <c r="AK14" s="224">
        <v>1631.3232079293696</v>
      </c>
      <c r="AL14" s="224">
        <v>0</v>
      </c>
      <c r="AM14" s="224">
        <v>436.00000000000006</v>
      </c>
      <c r="AN14" s="1120">
        <v>123094.73603185407</v>
      </c>
      <c r="AO14" s="224">
        <f t="shared" ref="AO14:AO77" si="0">AD14*$C$4</f>
        <v>1.2228140237834308</v>
      </c>
      <c r="AP14" s="1123">
        <v>0.1</v>
      </c>
      <c r="AQ14" s="1123">
        <f>AQ13</f>
        <v>0.35400422692244193</v>
      </c>
      <c r="AR14" s="1123">
        <v>20</v>
      </c>
      <c r="AS14" s="1123">
        <f t="shared" ref="AS14:AS48" si="1">AO14/$AO$13</f>
        <v>0.92553722272544992</v>
      </c>
      <c r="AT14" s="224">
        <f t="shared" ref="AT14:AT77" si="2">AN14*AQ14</f>
        <v>43576.056867178559</v>
      </c>
    </row>
    <row r="15" spans="1:50">
      <c r="A15" s="1118">
        <v>2025</v>
      </c>
      <c r="B15" s="1119"/>
      <c r="C15" s="1119"/>
      <c r="D15" s="1119" t="s">
        <v>2002</v>
      </c>
      <c r="E15" s="1119" t="s">
        <v>2057</v>
      </c>
      <c r="F15" s="1119"/>
      <c r="G15" s="224">
        <v>26195.292266285</v>
      </c>
      <c r="H15" s="224">
        <v>14867.142864285717</v>
      </c>
      <c r="I15" s="224">
        <v>2.3760000000000003</v>
      </c>
      <c r="J15" s="224">
        <v>0.17168153260518534</v>
      </c>
      <c r="K15" s="224">
        <v>0.10664540168303958</v>
      </c>
      <c r="L15" s="224">
        <v>0.12132105842633337</v>
      </c>
      <c r="M15" s="224">
        <v>0</v>
      </c>
      <c r="N15" s="224">
        <v>0</v>
      </c>
      <c r="O15" s="224">
        <v>0</v>
      </c>
      <c r="P15" s="224">
        <v>0</v>
      </c>
      <c r="Q15" s="224">
        <v>0</v>
      </c>
      <c r="R15" s="224">
        <v>0</v>
      </c>
      <c r="S15" s="224">
        <v>0</v>
      </c>
      <c r="T15" s="224">
        <v>0</v>
      </c>
      <c r="U15" s="224">
        <v>0</v>
      </c>
      <c r="V15" s="224">
        <v>281.7640115785714</v>
      </c>
      <c r="W15" s="224">
        <v>0</v>
      </c>
      <c r="X15" s="224">
        <v>3.2567207357859536</v>
      </c>
      <c r="Y15" s="224">
        <v>2.3760000000000003</v>
      </c>
      <c r="Z15" s="224">
        <v>0</v>
      </c>
      <c r="AA15" s="224">
        <v>63.826054707962932</v>
      </c>
      <c r="AB15" s="224">
        <v>38.955322779931315</v>
      </c>
      <c r="AC15" s="224">
        <v>44.085858181948602</v>
      </c>
      <c r="AD15" s="1120">
        <v>7.8306165260302167</v>
      </c>
      <c r="AE15" s="224">
        <v>29423.839794467323</v>
      </c>
      <c r="AF15" s="224">
        <v>0</v>
      </c>
      <c r="AG15" s="224">
        <v>211.19999999999996</v>
      </c>
      <c r="AH15" s="224">
        <v>11817.22310363203</v>
      </c>
      <c r="AI15" s="224">
        <v>78000</v>
      </c>
      <c r="AJ15" s="224">
        <v>3001.6221048198017</v>
      </c>
      <c r="AK15" s="224">
        <v>4684.2551232572232</v>
      </c>
      <c r="AL15" s="224">
        <v>0</v>
      </c>
      <c r="AM15" s="224">
        <v>352.00000000000006</v>
      </c>
      <c r="AN15" s="1120">
        <v>127490.1401261764</v>
      </c>
      <c r="AO15" s="224">
        <f t="shared" si="0"/>
        <v>1.0317620334697413</v>
      </c>
      <c r="AP15" s="1123">
        <v>0.1</v>
      </c>
      <c r="AQ15" s="1123">
        <f t="shared" ref="AQ15:AQ78" si="3">AQ14</f>
        <v>0.35400422692244193</v>
      </c>
      <c r="AR15" s="1123">
        <v>20</v>
      </c>
      <c r="AS15" s="1123">
        <f t="shared" si="1"/>
        <v>0.78093164487641886</v>
      </c>
      <c r="AT15" s="224">
        <f t="shared" si="2"/>
        <v>45132.048495600866</v>
      </c>
      <c r="AW15" s="224">
        <f>AW13*365</f>
        <v>3540.0422692244192</v>
      </c>
      <c r="AX15" s="224" t="s">
        <v>2073</v>
      </c>
    </row>
    <row r="16" spans="1:50">
      <c r="A16" s="1118">
        <v>2030</v>
      </c>
      <c r="B16" s="1107"/>
      <c r="C16" s="1107"/>
      <c r="D16" s="1107" t="s">
        <v>2002</v>
      </c>
      <c r="E16" s="1107" t="s">
        <v>2057</v>
      </c>
      <c r="F16" s="1107"/>
      <c r="G16" s="224">
        <v>26117.947076364519</v>
      </c>
      <c r="H16" s="224">
        <v>14946.571435714286</v>
      </c>
      <c r="I16" s="224">
        <v>2.3760000000000003</v>
      </c>
      <c r="J16" s="224">
        <v>0.15957393872617764</v>
      </c>
      <c r="K16" s="224">
        <v>9.7323618510881268E-2</v>
      </c>
      <c r="L16" s="224">
        <v>0.11048419632192973</v>
      </c>
      <c r="M16" s="224">
        <v>0</v>
      </c>
      <c r="N16" s="224">
        <v>0</v>
      </c>
      <c r="O16" s="224">
        <v>0</v>
      </c>
      <c r="P16" s="224">
        <v>0</v>
      </c>
      <c r="Q16" s="224">
        <v>0</v>
      </c>
      <c r="R16" s="224">
        <v>0</v>
      </c>
      <c r="S16" s="224">
        <v>0</v>
      </c>
      <c r="T16" s="224">
        <v>0</v>
      </c>
      <c r="U16" s="224">
        <v>0</v>
      </c>
      <c r="V16" s="224">
        <v>278.98241930000006</v>
      </c>
      <c r="W16" s="224">
        <v>0</v>
      </c>
      <c r="X16" s="224">
        <v>3.2973260869565215</v>
      </c>
      <c r="Y16" s="224">
        <v>2.3760000000000003</v>
      </c>
      <c r="Z16" s="224">
        <v>0</v>
      </c>
      <c r="AA16" s="224">
        <v>59.198506197950238</v>
      </c>
      <c r="AB16" s="224">
        <v>35.476576416898716</v>
      </c>
      <c r="AC16" s="224">
        <v>40.058437305236893</v>
      </c>
      <c r="AD16" s="1120">
        <v>7.1386366986433591</v>
      </c>
      <c r="AE16" s="224">
        <v>29691.188496201441</v>
      </c>
      <c r="AF16" s="224">
        <v>0</v>
      </c>
      <c r="AG16" s="224">
        <v>177.59999999999994</v>
      </c>
      <c r="AH16" s="224">
        <v>11710.629622842302</v>
      </c>
      <c r="AI16" s="224">
        <v>78000</v>
      </c>
      <c r="AJ16" s="224">
        <v>4652.3376046714302</v>
      </c>
      <c r="AK16" s="224">
        <v>6053.4260506112532</v>
      </c>
      <c r="AL16" s="224">
        <v>0</v>
      </c>
      <c r="AM16" s="224">
        <v>296</v>
      </c>
      <c r="AN16" s="1120">
        <v>130581.18177432647</v>
      </c>
      <c r="AO16" s="224">
        <f t="shared" si="0"/>
        <v>0.94058677141324887</v>
      </c>
      <c r="AP16" s="1123">
        <v>0.1</v>
      </c>
      <c r="AQ16" s="1123">
        <f t="shared" si="3"/>
        <v>0.35400422692244193</v>
      </c>
      <c r="AR16" s="1123">
        <v>20</v>
      </c>
      <c r="AS16" s="1123">
        <f t="shared" si="1"/>
        <v>0.71192188772304776</v>
      </c>
      <c r="AT16" s="224">
        <f t="shared" si="2"/>
        <v>46226.290304639304</v>
      </c>
    </row>
    <row r="17" spans="1:50">
      <c r="A17" s="1118">
        <v>2035</v>
      </c>
      <c r="B17" s="1119"/>
      <c r="C17" s="1119"/>
      <c r="D17" s="1119" t="s">
        <v>2002</v>
      </c>
      <c r="E17" s="1119" t="s">
        <v>2057</v>
      </c>
      <c r="F17" s="1119"/>
      <c r="G17" s="224">
        <v>26069.45064160672</v>
      </c>
      <c r="H17" s="224">
        <v>15014.842857142854</v>
      </c>
      <c r="I17" s="224">
        <v>2.3760000000000003</v>
      </c>
      <c r="J17" s="224">
        <v>0.15291445572180104</v>
      </c>
      <c r="K17" s="224">
        <v>9.2203225081430543E-2</v>
      </c>
      <c r="L17" s="224">
        <v>0.10449100066881481</v>
      </c>
      <c r="M17" s="224">
        <v>0</v>
      </c>
      <c r="N17" s="224">
        <v>0</v>
      </c>
      <c r="O17" s="224">
        <v>0</v>
      </c>
      <c r="P17" s="224">
        <v>0</v>
      </c>
      <c r="Q17" s="224">
        <v>0</v>
      </c>
      <c r="R17" s="224">
        <v>0</v>
      </c>
      <c r="S17" s="224">
        <v>0</v>
      </c>
      <c r="T17" s="224">
        <v>0</v>
      </c>
      <c r="U17" s="224">
        <v>0</v>
      </c>
      <c r="V17" s="224">
        <v>277.53540537142857</v>
      </c>
      <c r="W17" s="224">
        <v>0</v>
      </c>
      <c r="X17" s="224">
        <v>3.2973260869565215</v>
      </c>
      <c r="Y17" s="224">
        <v>2.3760000000000003</v>
      </c>
      <c r="Z17" s="224">
        <v>0</v>
      </c>
      <c r="AA17" s="224">
        <v>56.74412582077575</v>
      </c>
      <c r="AB17" s="224">
        <v>33.631101688178283</v>
      </c>
      <c r="AC17" s="224">
        <v>37.904508354029971</v>
      </c>
      <c r="AD17" s="1120">
        <v>6.7386069924535423</v>
      </c>
      <c r="AE17" s="224">
        <v>29942.241707242159</v>
      </c>
      <c r="AF17" s="224">
        <v>0</v>
      </c>
      <c r="AG17" s="224">
        <v>144</v>
      </c>
      <c r="AH17" s="224">
        <v>11655.178558865069</v>
      </c>
      <c r="AI17" s="224">
        <v>78000</v>
      </c>
      <c r="AJ17" s="224">
        <v>6198.9956242500029</v>
      </c>
      <c r="AK17" s="224">
        <v>7508.9546426144352</v>
      </c>
      <c r="AL17" s="224">
        <v>0</v>
      </c>
      <c r="AM17" s="224">
        <v>240</v>
      </c>
      <c r="AN17" s="1120">
        <v>133689.37053297169</v>
      </c>
      <c r="AO17" s="224">
        <f t="shared" si="0"/>
        <v>0.88787885732567862</v>
      </c>
      <c r="AP17" s="1123">
        <v>0.1</v>
      </c>
      <c r="AQ17" s="1123">
        <f t="shared" si="3"/>
        <v>0.35400422692244193</v>
      </c>
      <c r="AR17" s="1123">
        <v>20</v>
      </c>
      <c r="AS17" s="1123">
        <f t="shared" si="1"/>
        <v>0.67202772927258725</v>
      </c>
      <c r="AT17" s="224">
        <f t="shared" si="2"/>
        <v>47326.602263272529</v>
      </c>
    </row>
    <row r="18" spans="1:50">
      <c r="A18" s="1118">
        <v>2050</v>
      </c>
      <c r="B18" s="1107"/>
      <c r="C18" s="1107"/>
      <c r="D18" s="1107" t="s">
        <v>2002</v>
      </c>
      <c r="E18" s="1107" t="s">
        <v>2057</v>
      </c>
      <c r="F18" s="1107"/>
      <c r="G18" s="224">
        <v>25863.710394384048</v>
      </c>
      <c r="H18" s="224">
        <v>15132.571428571429</v>
      </c>
      <c r="I18" s="224">
        <v>2.3760000000000003</v>
      </c>
      <c r="J18" s="224">
        <v>0.14396819386129797</v>
      </c>
      <c r="K18" s="224">
        <v>8.5966418327038177E-2</v>
      </c>
      <c r="L18" s="224">
        <v>9.7330107363680668E-2</v>
      </c>
      <c r="M18" s="224">
        <v>0</v>
      </c>
      <c r="N18" s="224">
        <v>0</v>
      </c>
      <c r="O18" s="224">
        <v>0</v>
      </c>
      <c r="P18" s="224">
        <v>0</v>
      </c>
      <c r="Q18" s="224">
        <v>0</v>
      </c>
      <c r="R18" s="224">
        <v>0</v>
      </c>
      <c r="S18" s="224">
        <v>0</v>
      </c>
      <c r="T18" s="224">
        <v>0</v>
      </c>
      <c r="U18" s="224">
        <v>0</v>
      </c>
      <c r="V18" s="224">
        <v>273.7042530357142</v>
      </c>
      <c r="W18" s="224">
        <v>0</v>
      </c>
      <c r="X18" s="224">
        <v>3.2973260869565215</v>
      </c>
      <c r="Y18" s="224">
        <v>2.3760000000000003</v>
      </c>
      <c r="Z18" s="224">
        <v>0</v>
      </c>
      <c r="AA18" s="224">
        <v>53.506648598408908</v>
      </c>
      <c r="AB18" s="224">
        <v>31.458414224639274</v>
      </c>
      <c r="AC18" s="224">
        <v>35.4325252239639</v>
      </c>
      <c r="AD18" s="1120">
        <v>6.2334834458202755</v>
      </c>
      <c r="AE18" s="224">
        <v>30406.811189858428</v>
      </c>
      <c r="AF18" s="224">
        <v>0</v>
      </c>
      <c r="AG18" s="224">
        <v>144</v>
      </c>
      <c r="AH18" s="224">
        <v>11508.364855776552</v>
      </c>
      <c r="AI18" s="224">
        <v>78000</v>
      </c>
      <c r="AJ18" s="224">
        <v>8872.2189929999986</v>
      </c>
      <c r="AK18" s="224">
        <v>9328.7717626399844</v>
      </c>
      <c r="AL18" s="224">
        <v>0</v>
      </c>
      <c r="AM18" s="224">
        <v>240</v>
      </c>
      <c r="AN18" s="1120">
        <v>138500.16680127496</v>
      </c>
      <c r="AO18" s="224">
        <f t="shared" si="0"/>
        <v>0.82132377882127938</v>
      </c>
      <c r="AP18" s="1123">
        <v>0.1</v>
      </c>
      <c r="AQ18" s="1123">
        <f t="shared" si="3"/>
        <v>0.35400422692244193</v>
      </c>
      <c r="AR18" s="1123">
        <v>20</v>
      </c>
      <c r="AS18" s="1123">
        <f t="shared" si="1"/>
        <v>0.62165277337647662</v>
      </c>
      <c r="AT18" s="224">
        <f t="shared" si="2"/>
        <v>49029.644477114598</v>
      </c>
      <c r="AW18" s="224">
        <v>9.7627813729303412</v>
      </c>
      <c r="AX18" s="224" t="s">
        <v>2071</v>
      </c>
    </row>
    <row r="19" spans="1:50">
      <c r="A19" s="1118">
        <v>2017</v>
      </c>
      <c r="B19" s="1119"/>
      <c r="C19" s="1119"/>
      <c r="D19" s="1107" t="s">
        <v>2002</v>
      </c>
      <c r="E19" s="1119" t="s">
        <v>2058</v>
      </c>
      <c r="F19" s="1119"/>
      <c r="G19" s="224">
        <v>27064.634931718221</v>
      </c>
      <c r="H19" s="224">
        <v>15303</v>
      </c>
      <c r="I19" s="224">
        <v>0.48412446720000002</v>
      </c>
      <c r="J19" s="224">
        <v>0.1996787429222229</v>
      </c>
      <c r="K19" s="224">
        <v>0.13806601477218242</v>
      </c>
      <c r="L19" s="224">
        <v>0.16342551705769728</v>
      </c>
      <c r="M19" s="224">
        <v>0</v>
      </c>
      <c r="N19" s="224">
        <v>0</v>
      </c>
      <c r="O19" s="224">
        <v>0</v>
      </c>
      <c r="P19" s="224">
        <v>0</v>
      </c>
      <c r="Q19" s="224">
        <v>0</v>
      </c>
      <c r="R19" s="224">
        <v>0</v>
      </c>
      <c r="S19" s="224">
        <v>0</v>
      </c>
      <c r="T19" s="224">
        <v>0</v>
      </c>
      <c r="U19" s="224">
        <v>0</v>
      </c>
      <c r="V19" s="224">
        <v>299.68644853333331</v>
      </c>
      <c r="W19" s="224">
        <v>14</v>
      </c>
      <c r="X19" s="224">
        <v>14.215581550239234</v>
      </c>
      <c r="Y19" s="224">
        <v>0.48412446720000002</v>
      </c>
      <c r="Z19" s="224">
        <v>0</v>
      </c>
      <c r="AA19" s="224">
        <v>68.273245431470727</v>
      </c>
      <c r="AB19" s="224">
        <v>46.40919616719561</v>
      </c>
      <c r="AC19" s="224">
        <v>54.500515295319644</v>
      </c>
      <c r="AD19" s="1120">
        <v>9.9757543924584038</v>
      </c>
      <c r="AE19" s="224">
        <v>30568.311523208951</v>
      </c>
      <c r="AF19" s="224">
        <v>2238.6</v>
      </c>
      <c r="AG19" s="224">
        <v>657.03734372440192</v>
      </c>
      <c r="AH19" s="224">
        <v>12504.029345495663</v>
      </c>
      <c r="AI19" s="224">
        <v>77200</v>
      </c>
      <c r="AJ19" s="224">
        <v>0</v>
      </c>
      <c r="AK19" s="224">
        <v>791.37040000000013</v>
      </c>
      <c r="AL19" s="224">
        <v>0</v>
      </c>
      <c r="AM19" s="224">
        <v>436.00000000000006</v>
      </c>
      <c r="AN19" s="1120">
        <v>124395.34861242901</v>
      </c>
      <c r="AO19" s="224">
        <f t="shared" si="0"/>
        <v>1.3144053987503193</v>
      </c>
      <c r="AP19" s="1123">
        <v>0.1</v>
      </c>
      <c r="AQ19" s="1123">
        <f t="shared" si="3"/>
        <v>0.35400422692244193</v>
      </c>
      <c r="AR19" s="1123">
        <v>20</v>
      </c>
      <c r="AS19" s="1123">
        <f t="shared" si="1"/>
        <v>0.99486193209554197</v>
      </c>
      <c r="AT19" s="224">
        <f t="shared" si="2"/>
        <v>44036.479218290588</v>
      </c>
    </row>
    <row r="20" spans="1:50">
      <c r="A20" s="1121">
        <v>2020</v>
      </c>
      <c r="D20" s="1107" t="s">
        <v>2002</v>
      </c>
      <c r="E20" s="224" t="s">
        <v>2058</v>
      </c>
      <c r="G20" s="224">
        <v>26933.67908247991</v>
      </c>
      <c r="H20" s="224">
        <v>15351.977766666669</v>
      </c>
      <c r="I20" s="224">
        <v>0.41651681280000008</v>
      </c>
      <c r="J20" s="224">
        <v>0.18730253189038781</v>
      </c>
      <c r="K20" s="224">
        <v>0.12679058464843229</v>
      </c>
      <c r="L20" s="224">
        <v>0.148829156445658</v>
      </c>
      <c r="M20" s="224">
        <v>0</v>
      </c>
      <c r="N20" s="224">
        <v>0</v>
      </c>
      <c r="O20" s="224">
        <v>0</v>
      </c>
      <c r="P20" s="224">
        <v>0</v>
      </c>
      <c r="Q20" s="224">
        <v>0</v>
      </c>
      <c r="R20" s="224">
        <v>0</v>
      </c>
      <c r="S20" s="224">
        <v>0</v>
      </c>
      <c r="T20" s="224">
        <v>0</v>
      </c>
      <c r="U20" s="224">
        <v>0</v>
      </c>
      <c r="V20" s="224">
        <v>291.91944619999998</v>
      </c>
      <c r="W20" s="224">
        <v>12.117333333333335</v>
      </c>
      <c r="X20" s="224">
        <v>12.239094047846889</v>
      </c>
      <c r="Y20" s="224">
        <v>0.41651681280000008</v>
      </c>
      <c r="Z20" s="224">
        <v>0</v>
      </c>
      <c r="AA20" s="224">
        <v>63.867094268472336</v>
      </c>
      <c r="AB20" s="224">
        <v>42.53484647536893</v>
      </c>
      <c r="AC20" s="224">
        <v>49.560332426153757</v>
      </c>
      <c r="AD20" s="1120">
        <v>9.1263532909671898</v>
      </c>
      <c r="AE20" s="224">
        <v>29944.409095160761</v>
      </c>
      <c r="AF20" s="224">
        <v>1413.3756000000001</v>
      </c>
      <c r="AG20" s="224">
        <v>565.28252306985644</v>
      </c>
      <c r="AH20" s="224">
        <v>12206.389817089599</v>
      </c>
      <c r="AI20" s="224">
        <v>77200</v>
      </c>
      <c r="AJ20" s="224">
        <v>1248.1013039381367</v>
      </c>
      <c r="AK20" s="224">
        <v>1864.475097070389</v>
      </c>
      <c r="AL20" s="224">
        <v>0</v>
      </c>
      <c r="AM20" s="224">
        <v>436.00000000000006</v>
      </c>
      <c r="AN20" s="1120">
        <v>124878.03343632874</v>
      </c>
      <c r="AO20" s="224">
        <f t="shared" si="0"/>
        <v>1.2024883096178369</v>
      </c>
      <c r="AP20" s="1123">
        <v>0.1</v>
      </c>
      <c r="AQ20" s="1123">
        <f t="shared" si="3"/>
        <v>0.35400422692244193</v>
      </c>
      <c r="AR20" s="1123">
        <v>20</v>
      </c>
      <c r="AS20" s="1123">
        <f t="shared" si="1"/>
        <v>0.91015286772718984</v>
      </c>
      <c r="AT20" s="224">
        <f t="shared" si="2"/>
        <v>44207.351686222413</v>
      </c>
      <c r="AW20" s="224">
        <f>AW18*1000000/AW15</f>
        <v>2757.8149158849587</v>
      </c>
      <c r="AX20" s="224" t="s">
        <v>2069</v>
      </c>
    </row>
    <row r="21" spans="1:50">
      <c r="A21" s="1118">
        <v>2025</v>
      </c>
      <c r="D21" s="1107" t="s">
        <v>2002</v>
      </c>
      <c r="E21" s="224" t="s">
        <v>2058</v>
      </c>
      <c r="G21" s="224">
        <v>26751.233065459473</v>
      </c>
      <c r="H21" s="224">
        <v>15429.111116666667</v>
      </c>
      <c r="I21" s="224">
        <v>0.33284190720000001</v>
      </c>
      <c r="J21" s="224">
        <v>0.17238403550125492</v>
      </c>
      <c r="K21" s="224">
        <v>0.10778459570583571</v>
      </c>
      <c r="L21" s="224">
        <v>0.12400449076458737</v>
      </c>
      <c r="M21" s="224">
        <v>0</v>
      </c>
      <c r="N21" s="224">
        <v>0</v>
      </c>
      <c r="O21" s="224">
        <v>0</v>
      </c>
      <c r="P21" s="224">
        <v>0</v>
      </c>
      <c r="Q21" s="224">
        <v>0</v>
      </c>
      <c r="R21" s="224">
        <v>0</v>
      </c>
      <c r="S21" s="224">
        <v>0</v>
      </c>
      <c r="T21" s="224">
        <v>0</v>
      </c>
      <c r="U21" s="224">
        <v>0</v>
      </c>
      <c r="V21" s="224">
        <v>285.55183858333334</v>
      </c>
      <c r="W21" s="224">
        <v>9.6253333333333337</v>
      </c>
      <c r="X21" s="224">
        <v>9.1781984365108578</v>
      </c>
      <c r="Y21" s="224">
        <v>0.33284190720000001</v>
      </c>
      <c r="Z21" s="224">
        <v>0</v>
      </c>
      <c r="AA21" s="224">
        <v>58.950679135830207</v>
      </c>
      <c r="AB21" s="224">
        <v>36.392585050499342</v>
      </c>
      <c r="AC21" s="224">
        <v>41.653059360502169</v>
      </c>
      <c r="AD21" s="1120">
        <v>7.7095277276779193</v>
      </c>
      <c r="AE21" s="224">
        <v>29846.466359674709</v>
      </c>
      <c r="AF21" s="224">
        <v>689.96080000000018</v>
      </c>
      <c r="AG21" s="224">
        <v>307.2586829110931</v>
      </c>
      <c r="AH21" s="224">
        <v>11962.376535419047</v>
      </c>
      <c r="AI21" s="224">
        <v>77200</v>
      </c>
      <c r="AJ21" s="224">
        <v>2980.6412058654009</v>
      </c>
      <c r="AK21" s="224">
        <v>5016.6108153929827</v>
      </c>
      <c r="AL21" s="224">
        <v>0</v>
      </c>
      <c r="AM21" s="224">
        <v>352.00000000000006</v>
      </c>
      <c r="AN21" s="1120">
        <v>128355.31439926322</v>
      </c>
      <c r="AO21" s="224">
        <f t="shared" si="0"/>
        <v>1.0158073733988426</v>
      </c>
      <c r="AP21" s="1123">
        <v>0.1</v>
      </c>
      <c r="AQ21" s="1123">
        <f t="shared" si="3"/>
        <v>0.35400422692244193</v>
      </c>
      <c r="AR21" s="1123">
        <v>20</v>
      </c>
      <c r="AS21" s="1123">
        <f t="shared" si="1"/>
        <v>0.76885570243190904</v>
      </c>
      <c r="AT21" s="224">
        <f t="shared" si="2"/>
        <v>45438.32384529816</v>
      </c>
      <c r="AW21" s="224">
        <v>24123</v>
      </c>
      <c r="AX21" s="224" t="s">
        <v>2070</v>
      </c>
    </row>
    <row r="22" spans="1:50">
      <c r="A22" s="1118">
        <v>2030</v>
      </c>
      <c r="D22" s="1107" t="s">
        <v>2002</v>
      </c>
      <c r="E22" s="224" t="s">
        <v>2058</v>
      </c>
      <c r="G22" s="224">
        <v>26579.322414015111</v>
      </c>
      <c r="H22" s="224">
        <v>15509.111116666667</v>
      </c>
      <c r="I22" s="224">
        <v>0.27232888319999998</v>
      </c>
      <c r="J22" s="224">
        <v>0.15984744337042828</v>
      </c>
      <c r="K22" s="224">
        <v>9.8031943713811465E-2</v>
      </c>
      <c r="L22" s="224">
        <v>0.11229520588268865</v>
      </c>
      <c r="M22" s="224">
        <v>0</v>
      </c>
      <c r="N22" s="224">
        <v>0</v>
      </c>
      <c r="O22" s="224">
        <v>0</v>
      </c>
      <c r="P22" s="224">
        <v>0</v>
      </c>
      <c r="Q22" s="224">
        <v>0</v>
      </c>
      <c r="R22" s="224">
        <v>0</v>
      </c>
      <c r="S22" s="224">
        <v>0</v>
      </c>
      <c r="T22" s="224">
        <v>0</v>
      </c>
      <c r="U22" s="224">
        <v>0</v>
      </c>
      <c r="V22" s="224">
        <v>283.00400015000002</v>
      </c>
      <c r="W22" s="224">
        <v>7.8753333333333337</v>
      </c>
      <c r="X22" s="224">
        <v>6.174096946651602</v>
      </c>
      <c r="Y22" s="224">
        <v>0.27232888319999998</v>
      </c>
      <c r="Z22" s="224">
        <v>0</v>
      </c>
      <c r="AA22" s="224">
        <v>54.640994921058883</v>
      </c>
      <c r="AB22" s="224">
        <v>33.064758414850395</v>
      </c>
      <c r="AC22" s="224">
        <v>37.692864771707981</v>
      </c>
      <c r="AD22" s="1120">
        <v>6.9923396615588631</v>
      </c>
      <c r="AE22" s="224">
        <v>30170.945759665145</v>
      </c>
      <c r="AF22" s="224">
        <v>434.70764000000008</v>
      </c>
      <c r="AG22" s="224">
        <v>160.75132163888233</v>
      </c>
      <c r="AH22" s="224">
        <v>11864.740742714612</v>
      </c>
      <c r="AI22" s="224">
        <v>77200</v>
      </c>
      <c r="AJ22" s="224">
        <v>4645.2328152999999</v>
      </c>
      <c r="AK22" s="224">
        <v>6503.1130127197384</v>
      </c>
      <c r="AL22" s="224">
        <v>0</v>
      </c>
      <c r="AM22" s="224">
        <v>296</v>
      </c>
      <c r="AN22" s="1120">
        <v>131275.49129203838</v>
      </c>
      <c r="AO22" s="224">
        <f t="shared" si="0"/>
        <v>0.92131067380699572</v>
      </c>
      <c r="AP22" s="1123">
        <v>0.1</v>
      </c>
      <c r="AQ22" s="1123">
        <f t="shared" si="3"/>
        <v>0.35400422692244193</v>
      </c>
      <c r="AR22" s="1123">
        <v>20</v>
      </c>
      <c r="AS22" s="1123">
        <f t="shared" si="1"/>
        <v>0.69733197830388993</v>
      </c>
      <c r="AT22" s="224">
        <f t="shared" si="2"/>
        <v>46472.078808701801</v>
      </c>
    </row>
    <row r="23" spans="1:50">
      <c r="A23" s="1118">
        <v>2035</v>
      </c>
      <c r="D23" s="1107" t="s">
        <v>2002</v>
      </c>
      <c r="E23" s="224" t="s">
        <v>2058</v>
      </c>
      <c r="G23" s="224">
        <v>26428.452296018761</v>
      </c>
      <c r="H23" s="224">
        <v>15580.433333333334</v>
      </c>
      <c r="I23" s="224">
        <v>0.24206223360000004</v>
      </c>
      <c r="J23" s="224">
        <v>0.1531460094703587</v>
      </c>
      <c r="K23" s="224">
        <v>9.2556344439821039E-2</v>
      </c>
      <c r="L23" s="224">
        <v>0.10565727415765568</v>
      </c>
      <c r="M23" s="224">
        <v>0</v>
      </c>
      <c r="N23" s="224">
        <v>0</v>
      </c>
      <c r="O23" s="224">
        <v>0</v>
      </c>
      <c r="P23" s="224">
        <v>0</v>
      </c>
      <c r="Q23" s="224">
        <v>0</v>
      </c>
      <c r="R23" s="224">
        <v>0</v>
      </c>
      <c r="S23" s="224">
        <v>0</v>
      </c>
      <c r="T23" s="224">
        <v>0</v>
      </c>
      <c r="U23" s="224">
        <v>0</v>
      </c>
      <c r="V23" s="224">
        <v>281.05052640000002</v>
      </c>
      <c r="W23" s="224">
        <v>7</v>
      </c>
      <c r="X23" s="224">
        <v>4.5745021484716135</v>
      </c>
      <c r="Y23" s="224">
        <v>0.24206223360000004</v>
      </c>
      <c r="Z23" s="224">
        <v>0</v>
      </c>
      <c r="AA23" s="224">
        <v>52.401365769806553</v>
      </c>
      <c r="AB23" s="224">
        <v>31.249715520685324</v>
      </c>
      <c r="AC23" s="224">
        <v>35.508543825484701</v>
      </c>
      <c r="AD23" s="1120">
        <v>6.571796648484125</v>
      </c>
      <c r="AE23" s="224">
        <v>30355.09871399324</v>
      </c>
      <c r="AF23" s="224">
        <v>322.20479999999998</v>
      </c>
      <c r="AG23" s="224">
        <v>90.026186955458471</v>
      </c>
      <c r="AH23" s="224">
        <v>11789.881616793109</v>
      </c>
      <c r="AI23" s="224">
        <v>77200</v>
      </c>
      <c r="AJ23" s="224">
        <v>6260.6771727500018</v>
      </c>
      <c r="AK23" s="224">
        <v>8246.7711471673647</v>
      </c>
      <c r="AL23" s="224">
        <v>0</v>
      </c>
      <c r="AM23" s="224">
        <v>240</v>
      </c>
      <c r="AN23" s="1120">
        <v>134504.65963765918</v>
      </c>
      <c r="AO23" s="224">
        <f t="shared" si="0"/>
        <v>0.86589992640426827</v>
      </c>
      <c r="AP23" s="1123">
        <v>0.1</v>
      </c>
      <c r="AQ23" s="1123">
        <f t="shared" si="3"/>
        <v>0.35400422692244193</v>
      </c>
      <c r="AR23" s="1123">
        <v>20</v>
      </c>
      <c r="AS23" s="1123">
        <f t="shared" si="1"/>
        <v>0.65539206899406288</v>
      </c>
      <c r="AT23" s="224">
        <f t="shared" si="2"/>
        <v>47615.218052495715</v>
      </c>
    </row>
    <row r="24" spans="1:50">
      <c r="A24" s="1118">
        <v>2050</v>
      </c>
      <c r="D24" s="1107" t="s">
        <v>2002</v>
      </c>
      <c r="E24" s="224" t="s">
        <v>2058</v>
      </c>
      <c r="G24" s="224">
        <v>26174.90858593733</v>
      </c>
      <c r="H24" s="224">
        <v>15699.333333333334</v>
      </c>
      <c r="I24" s="224">
        <v>0.18154752000000005</v>
      </c>
      <c r="J24" s="224">
        <v>0.14475690294206744</v>
      </c>
      <c r="K24" s="224">
        <v>8.6241312804220316E-2</v>
      </c>
      <c r="L24" s="224">
        <v>9.8144165948491444E-2</v>
      </c>
      <c r="M24" s="224">
        <v>0</v>
      </c>
      <c r="N24" s="224">
        <v>0</v>
      </c>
      <c r="O24" s="224">
        <v>0</v>
      </c>
      <c r="P24" s="224">
        <v>0</v>
      </c>
      <c r="Q24" s="224">
        <v>0</v>
      </c>
      <c r="R24" s="224">
        <v>0</v>
      </c>
      <c r="S24" s="224">
        <v>0</v>
      </c>
      <c r="T24" s="224">
        <v>0</v>
      </c>
      <c r="U24" s="224">
        <v>0</v>
      </c>
      <c r="V24" s="224">
        <v>277.31043770000002</v>
      </c>
      <c r="W24" s="224">
        <v>5.25</v>
      </c>
      <c r="X24" s="224">
        <v>3.4308925764192129</v>
      </c>
      <c r="Y24" s="224">
        <v>0.18154752000000005</v>
      </c>
      <c r="Z24" s="224">
        <v>0</v>
      </c>
      <c r="AA24" s="224">
        <v>49.585186569049476</v>
      </c>
      <c r="AB24" s="224">
        <v>29.217265626344936</v>
      </c>
      <c r="AC24" s="224">
        <v>33.112056706393943</v>
      </c>
      <c r="AD24" s="1120">
        <v>6.0732321204434214</v>
      </c>
      <c r="AE24" s="224">
        <v>30813.759914632286</v>
      </c>
      <c r="AF24" s="224">
        <v>145.26</v>
      </c>
      <c r="AG24" s="224">
        <v>64.50072934847158</v>
      </c>
      <c r="AH24" s="224">
        <v>11646.557566008756</v>
      </c>
      <c r="AI24" s="224">
        <v>77200</v>
      </c>
      <c r="AJ24" s="224">
        <v>8960.4997789999998</v>
      </c>
      <c r="AK24" s="224">
        <v>10325.102059837716</v>
      </c>
      <c r="AL24" s="224">
        <v>0</v>
      </c>
      <c r="AM24" s="224">
        <v>240</v>
      </c>
      <c r="AN24" s="1120">
        <v>139395.68004882723</v>
      </c>
      <c r="AO24" s="224">
        <f t="shared" si="0"/>
        <v>0.80020906418962512</v>
      </c>
      <c r="AP24" s="1123">
        <v>0.1</v>
      </c>
      <c r="AQ24" s="1123">
        <f t="shared" si="3"/>
        <v>0.35400422692244193</v>
      </c>
      <c r="AR24" s="1123">
        <v>20</v>
      </c>
      <c r="AS24" s="1123">
        <f t="shared" si="1"/>
        <v>0.60567123083711594</v>
      </c>
      <c r="AT24" s="224">
        <f t="shared" si="2"/>
        <v>49346.659952013142</v>
      </c>
    </row>
    <row r="25" spans="1:50">
      <c r="A25" s="1118">
        <v>2017</v>
      </c>
      <c r="D25" s="1107" t="s">
        <v>2002</v>
      </c>
      <c r="E25" s="224" t="s">
        <v>2059</v>
      </c>
      <c r="G25" s="224">
        <v>27322.508461019064</v>
      </c>
      <c r="H25" s="224">
        <v>15303</v>
      </c>
      <c r="I25" s="224">
        <v>3.1046400000000003</v>
      </c>
      <c r="J25" s="224">
        <v>0.19623957929621064</v>
      </c>
      <c r="K25" s="224">
        <v>0.14131658301024555</v>
      </c>
      <c r="L25" s="224">
        <v>0.16005264821116735</v>
      </c>
      <c r="M25" s="224">
        <v>0</v>
      </c>
      <c r="N25" s="224">
        <v>0</v>
      </c>
      <c r="O25" s="224">
        <v>0</v>
      </c>
      <c r="P25" s="224">
        <v>0</v>
      </c>
      <c r="Q25" s="224">
        <v>0</v>
      </c>
      <c r="R25" s="224">
        <v>0</v>
      </c>
      <c r="S25" s="224">
        <v>0</v>
      </c>
      <c r="T25" s="224">
        <v>0</v>
      </c>
      <c r="U25" s="224">
        <v>0</v>
      </c>
      <c r="V25" s="224">
        <v>298.93931560000004</v>
      </c>
      <c r="W25" s="224">
        <v>74.0372737</v>
      </c>
      <c r="X25" s="224">
        <v>96.640191387559796</v>
      </c>
      <c r="Y25" s="224">
        <v>3.1046400000000003</v>
      </c>
      <c r="Z25" s="224">
        <v>0</v>
      </c>
      <c r="AA25" s="224">
        <v>67.106824171911384</v>
      </c>
      <c r="AB25" s="224">
        <v>47.534969912251704</v>
      </c>
      <c r="AC25" s="224">
        <v>53.842425871708741</v>
      </c>
      <c r="AD25" s="1120">
        <v>9.8245444546329725</v>
      </c>
      <c r="AE25" s="224">
        <v>30596.843031001426</v>
      </c>
      <c r="AF25" s="224">
        <v>4814.1990417300003</v>
      </c>
      <c r="AG25" s="224">
        <v>4213.512344497607</v>
      </c>
      <c r="AH25" s="224">
        <v>13705.966834241088</v>
      </c>
      <c r="AI25" s="224">
        <v>77200</v>
      </c>
      <c r="AJ25" s="224">
        <v>0</v>
      </c>
      <c r="AK25" s="224">
        <v>791.37040000000013</v>
      </c>
      <c r="AL25" s="224">
        <v>0</v>
      </c>
      <c r="AM25" s="224">
        <v>436.00000000000006</v>
      </c>
      <c r="AN25" s="1120">
        <v>131757.89165147013</v>
      </c>
      <c r="AO25" s="224">
        <f t="shared" si="0"/>
        <v>1.2944819773424403</v>
      </c>
      <c r="AP25" s="1123">
        <v>0.1</v>
      </c>
      <c r="AQ25" s="1123">
        <f t="shared" si="3"/>
        <v>0.35400422692244193</v>
      </c>
      <c r="AR25" s="1123">
        <v>20</v>
      </c>
      <c r="AS25" s="1123">
        <f t="shared" si="1"/>
        <v>0.97978206896150344</v>
      </c>
      <c r="AT25" s="224">
        <f t="shared" si="2"/>
        <v>46642.85057500955</v>
      </c>
    </row>
    <row r="26" spans="1:50">
      <c r="A26" s="1121">
        <v>2020</v>
      </c>
      <c r="D26" s="1107" t="s">
        <v>2002</v>
      </c>
      <c r="E26" s="224" t="s">
        <v>2059</v>
      </c>
      <c r="G26" s="224">
        <v>27213.060441985086</v>
      </c>
      <c r="H26" s="224">
        <v>15351.977766666669</v>
      </c>
      <c r="I26" s="224">
        <v>3.1468800000000008</v>
      </c>
      <c r="J26" s="224">
        <v>0.1833500943814986</v>
      </c>
      <c r="K26" s="224">
        <v>0.12996531502040404</v>
      </c>
      <c r="L26" s="224">
        <v>0.14761022126558498</v>
      </c>
      <c r="M26" s="224">
        <v>0</v>
      </c>
      <c r="N26" s="224">
        <v>0</v>
      </c>
      <c r="O26" s="224">
        <v>0</v>
      </c>
      <c r="P26" s="224">
        <v>0</v>
      </c>
      <c r="Q26" s="224">
        <v>0</v>
      </c>
      <c r="R26" s="224">
        <v>0</v>
      </c>
      <c r="S26" s="224">
        <v>0</v>
      </c>
      <c r="T26" s="224">
        <v>0</v>
      </c>
      <c r="U26" s="224">
        <v>0</v>
      </c>
      <c r="V26" s="224">
        <v>295.21398793333339</v>
      </c>
      <c r="W26" s="224">
        <v>75.205901233333336</v>
      </c>
      <c r="X26" s="224">
        <v>97.955023923444955</v>
      </c>
      <c r="Y26" s="224">
        <v>3.1468800000000008</v>
      </c>
      <c r="Z26" s="224">
        <v>0</v>
      </c>
      <c r="AA26" s="224">
        <v>62.4935100073915</v>
      </c>
      <c r="AB26" s="224">
        <v>43.624002541478553</v>
      </c>
      <c r="AC26" s="224">
        <v>49.5445642739002</v>
      </c>
      <c r="AD26" s="1120">
        <v>9.0616292788267572</v>
      </c>
      <c r="AE26" s="224">
        <v>30554.429963345901</v>
      </c>
      <c r="AF26" s="224">
        <v>3504.7616258849994</v>
      </c>
      <c r="AG26" s="224">
        <v>4270.8390430622003</v>
      </c>
      <c r="AH26" s="224">
        <v>13582.632118651369</v>
      </c>
      <c r="AI26" s="224">
        <v>77200</v>
      </c>
      <c r="AJ26" s="224">
        <v>1248.1013039381367</v>
      </c>
      <c r="AK26" s="224">
        <v>1864.475097070389</v>
      </c>
      <c r="AL26" s="224">
        <v>0</v>
      </c>
      <c r="AM26" s="224">
        <v>436.00000000000006</v>
      </c>
      <c r="AN26" s="1120">
        <v>132661.23915195299</v>
      </c>
      <c r="AO26" s="224">
        <f t="shared" si="0"/>
        <v>1.1939602737782133</v>
      </c>
      <c r="AP26" s="1123">
        <v>0.1</v>
      </c>
      <c r="AQ26" s="1123">
        <f t="shared" si="3"/>
        <v>0.35400422692244193</v>
      </c>
      <c r="AR26" s="1123">
        <v>20</v>
      </c>
      <c r="AS26" s="1123">
        <f t="shared" si="1"/>
        <v>0.90369807210594977</v>
      </c>
      <c r="AT26" s="224">
        <f t="shared" si="2"/>
        <v>46962.639408560302</v>
      </c>
    </row>
    <row r="27" spans="1:50">
      <c r="A27" s="1118">
        <v>2025</v>
      </c>
      <c r="D27" s="1107" t="s">
        <v>2002</v>
      </c>
      <c r="E27" s="224" t="s">
        <v>2059</v>
      </c>
      <c r="G27" s="224">
        <v>26898.752966467157</v>
      </c>
      <c r="H27" s="224">
        <v>15429.111116666667</v>
      </c>
      <c r="I27" s="224">
        <v>3.1891200000000004</v>
      </c>
      <c r="J27" s="224">
        <v>0.16272260250742993</v>
      </c>
      <c r="K27" s="224">
        <v>0.10863143297947618</v>
      </c>
      <c r="L27" s="224">
        <v>0.1238592451865513</v>
      </c>
      <c r="M27" s="224">
        <v>0</v>
      </c>
      <c r="N27" s="224">
        <v>0</v>
      </c>
      <c r="O27" s="224">
        <v>0</v>
      </c>
      <c r="P27" s="224">
        <v>0</v>
      </c>
      <c r="Q27" s="224">
        <v>0</v>
      </c>
      <c r="R27" s="224">
        <v>0</v>
      </c>
      <c r="S27" s="224">
        <v>0</v>
      </c>
      <c r="T27" s="224">
        <v>0</v>
      </c>
      <c r="U27" s="224">
        <v>0</v>
      </c>
      <c r="V27" s="224">
        <v>291.69065398333333</v>
      </c>
      <c r="W27" s="224">
        <v>76.288419266666665</v>
      </c>
      <c r="X27" s="224">
        <v>89.972561648877431</v>
      </c>
      <c r="Y27" s="224">
        <v>3.1891200000000004</v>
      </c>
      <c r="Z27" s="224">
        <v>0</v>
      </c>
      <c r="AA27" s="224">
        <v>55.715835339381137</v>
      </c>
      <c r="AB27" s="224">
        <v>36.648336966362656</v>
      </c>
      <c r="AC27" s="224">
        <v>41.80123464784262</v>
      </c>
      <c r="AD27" s="1120">
        <v>7.6197777898915087</v>
      </c>
      <c r="AE27" s="224">
        <v>30812.684549107758</v>
      </c>
      <c r="AF27" s="224">
        <v>1764.3396242524998</v>
      </c>
      <c r="AG27" s="224">
        <v>2874.957862348178</v>
      </c>
      <c r="AH27" s="224">
        <v>13465.606790282916</v>
      </c>
      <c r="AI27" s="224">
        <v>77200</v>
      </c>
      <c r="AJ27" s="224">
        <v>2980.6412058654009</v>
      </c>
      <c r="AK27" s="224">
        <v>5016.6108153929827</v>
      </c>
      <c r="AL27" s="224">
        <v>0</v>
      </c>
      <c r="AM27" s="224">
        <v>352.00000000000006</v>
      </c>
      <c r="AN27" s="1120">
        <v>134466.84084724972</v>
      </c>
      <c r="AO27" s="224">
        <f t="shared" si="0"/>
        <v>1.003981921596105</v>
      </c>
      <c r="AP27" s="1123">
        <v>0.1</v>
      </c>
      <c r="AQ27" s="1123">
        <f t="shared" si="3"/>
        <v>0.35400422692244193</v>
      </c>
      <c r="AR27" s="1123">
        <v>20</v>
      </c>
      <c r="AS27" s="1123">
        <f t="shared" si="1"/>
        <v>0.75990512155362022</v>
      </c>
      <c r="AT27" s="224">
        <f t="shared" si="2"/>
        <v>47601.830040833673</v>
      </c>
    </row>
    <row r="28" spans="1:50">
      <c r="A28" s="1118">
        <v>2030</v>
      </c>
      <c r="D28" s="1107" t="s">
        <v>2002</v>
      </c>
      <c r="E28" s="224" t="s">
        <v>2059</v>
      </c>
      <c r="G28" s="224">
        <v>26663.612170618999</v>
      </c>
      <c r="H28" s="224">
        <v>15509.111116666667</v>
      </c>
      <c r="I28" s="224">
        <v>3.3211200000000005</v>
      </c>
      <c r="J28" s="224">
        <v>0.14936364429732635</v>
      </c>
      <c r="K28" s="224">
        <v>9.8505082251563791E-2</v>
      </c>
      <c r="L28" s="224">
        <v>0.11269856671827649</v>
      </c>
      <c r="M28" s="224">
        <v>0</v>
      </c>
      <c r="N28" s="224">
        <v>0</v>
      </c>
      <c r="O28" s="224">
        <v>0</v>
      </c>
      <c r="P28" s="224">
        <v>0</v>
      </c>
      <c r="Q28" s="224">
        <v>0</v>
      </c>
      <c r="R28" s="224">
        <v>0</v>
      </c>
      <c r="S28" s="224">
        <v>0</v>
      </c>
      <c r="T28" s="224">
        <v>0</v>
      </c>
      <c r="U28" s="224">
        <v>0</v>
      </c>
      <c r="V28" s="224">
        <v>286.17211270000001</v>
      </c>
      <c r="W28" s="224">
        <v>79.393506049999999</v>
      </c>
      <c r="X28" s="224">
        <v>73.14237029346198</v>
      </c>
      <c r="Y28" s="224">
        <v>3.3211200000000005</v>
      </c>
      <c r="Z28" s="224">
        <v>0</v>
      </c>
      <c r="AA28" s="224">
        <v>51.079327733785199</v>
      </c>
      <c r="AB28" s="224">
        <v>33.218467537515899</v>
      </c>
      <c r="AC28" s="224">
        <v>37.935254385029417</v>
      </c>
      <c r="AD28" s="1120">
        <v>6.9253455630912129</v>
      </c>
      <c r="AE28" s="224">
        <v>30741.454462093574</v>
      </c>
      <c r="AF28" s="224">
        <v>1291.2973929766702</v>
      </c>
      <c r="AG28" s="224">
        <v>1863.0114177176536</v>
      </c>
      <c r="AH28" s="224">
        <v>13305.74003704224</v>
      </c>
      <c r="AI28" s="224">
        <v>77200</v>
      </c>
      <c r="AJ28" s="224">
        <v>4645.2328152999999</v>
      </c>
      <c r="AK28" s="224">
        <v>6503.1130127197384</v>
      </c>
      <c r="AL28" s="224">
        <v>0</v>
      </c>
      <c r="AM28" s="224">
        <v>296</v>
      </c>
      <c r="AN28" s="1120">
        <v>135845.84913784987</v>
      </c>
      <c r="AO28" s="224">
        <f t="shared" si="0"/>
        <v>0.91248353139289817</v>
      </c>
      <c r="AP28" s="1123">
        <v>0.1</v>
      </c>
      <c r="AQ28" s="1123">
        <f t="shared" si="3"/>
        <v>0.35400422692244193</v>
      </c>
      <c r="AR28" s="1123">
        <v>20</v>
      </c>
      <c r="AS28" s="1123">
        <f t="shared" si="1"/>
        <v>0.69065079153661024</v>
      </c>
      <c r="AT28" s="224">
        <f t="shared" si="2"/>
        <v>48090.004804667216</v>
      </c>
    </row>
    <row r="29" spans="1:50">
      <c r="A29" s="1118">
        <v>2035</v>
      </c>
      <c r="D29" s="1107" t="s">
        <v>2002</v>
      </c>
      <c r="E29" s="224" t="s">
        <v>2059</v>
      </c>
      <c r="G29" s="224">
        <v>26504.923463389732</v>
      </c>
      <c r="H29" s="224">
        <v>15580.433333333334</v>
      </c>
      <c r="I29" s="224">
        <v>3.5006400000000002</v>
      </c>
      <c r="J29" s="224">
        <v>0.14229817022046334</v>
      </c>
      <c r="K29" s="224">
        <v>9.2923596906542061E-2</v>
      </c>
      <c r="L29" s="224">
        <v>0.1061557444344783</v>
      </c>
      <c r="M29" s="224">
        <v>0</v>
      </c>
      <c r="N29" s="224">
        <v>0</v>
      </c>
      <c r="O29" s="224">
        <v>0</v>
      </c>
      <c r="P29" s="224">
        <v>0</v>
      </c>
      <c r="Q29" s="224">
        <v>0</v>
      </c>
      <c r="R29" s="224">
        <v>0</v>
      </c>
      <c r="S29" s="224">
        <v>0</v>
      </c>
      <c r="T29" s="224">
        <v>0</v>
      </c>
      <c r="U29" s="224">
        <v>0</v>
      </c>
      <c r="V29" s="224">
        <v>283.68277849999998</v>
      </c>
      <c r="W29" s="224">
        <v>83.505211233333341</v>
      </c>
      <c r="X29" s="224">
        <v>66.155240174672471</v>
      </c>
      <c r="Y29" s="224">
        <v>3.5006400000000002</v>
      </c>
      <c r="Z29" s="224">
        <v>0</v>
      </c>
      <c r="AA29" s="224">
        <v>48.717647954536432</v>
      </c>
      <c r="AB29" s="224">
        <v>31.36014938006171</v>
      </c>
      <c r="AC29" s="224">
        <v>35.828168124992438</v>
      </c>
      <c r="AD29" s="1120">
        <v>6.5062704399293603</v>
      </c>
      <c r="AE29" s="224">
        <v>30833.59497896647</v>
      </c>
      <c r="AF29" s="224">
        <v>1096.9642437552</v>
      </c>
      <c r="AG29" s="224">
        <v>1278.5622707423574</v>
      </c>
      <c r="AH29" s="224">
        <v>13278.686553544952</v>
      </c>
      <c r="AI29" s="224">
        <v>77200</v>
      </c>
      <c r="AJ29" s="224">
        <v>6260.6771727500018</v>
      </c>
      <c r="AK29" s="224">
        <v>8246.7711471673647</v>
      </c>
      <c r="AL29" s="224">
        <v>0</v>
      </c>
      <c r="AM29" s="224">
        <v>240</v>
      </c>
      <c r="AN29" s="1120">
        <v>138435.25636692633</v>
      </c>
      <c r="AO29" s="224">
        <f t="shared" si="0"/>
        <v>0.85726619316509245</v>
      </c>
      <c r="AP29" s="1123">
        <v>0.1</v>
      </c>
      <c r="AQ29" s="1123">
        <f t="shared" si="3"/>
        <v>0.35400422692244193</v>
      </c>
      <c r="AR29" s="1123">
        <v>20</v>
      </c>
      <c r="AS29" s="1123">
        <f t="shared" si="1"/>
        <v>0.64885727193701304</v>
      </c>
      <c r="AT29" s="224">
        <f t="shared" si="2"/>
        <v>49006.665908983814</v>
      </c>
    </row>
    <row r="30" spans="1:50">
      <c r="A30" s="1118">
        <v>2050</v>
      </c>
      <c r="D30" s="1107" t="s">
        <v>2002</v>
      </c>
      <c r="E30" s="224" t="s">
        <v>2059</v>
      </c>
      <c r="G30" s="224">
        <v>26262.403686468311</v>
      </c>
      <c r="H30" s="224">
        <v>15699.333333333334</v>
      </c>
      <c r="I30" s="224">
        <v>3.5877600000000007</v>
      </c>
      <c r="J30" s="224">
        <v>0.13365307244876218</v>
      </c>
      <c r="K30" s="224">
        <v>8.6428558402547317E-2</v>
      </c>
      <c r="L30" s="224">
        <v>9.9203193517960808E-2</v>
      </c>
      <c r="M30" s="224">
        <v>0</v>
      </c>
      <c r="N30" s="224">
        <v>0</v>
      </c>
      <c r="O30" s="224">
        <v>0</v>
      </c>
      <c r="P30" s="224">
        <v>0</v>
      </c>
      <c r="Q30" s="224">
        <v>0</v>
      </c>
      <c r="R30" s="224">
        <v>0</v>
      </c>
      <c r="S30" s="224">
        <v>0</v>
      </c>
      <c r="T30" s="224">
        <v>0</v>
      </c>
      <c r="U30" s="224">
        <v>0</v>
      </c>
      <c r="V30" s="224">
        <v>282.04188204999997</v>
      </c>
      <c r="W30" s="224">
        <v>85.621933599999991</v>
      </c>
      <c r="X30" s="224">
        <v>67.801637554585128</v>
      </c>
      <c r="Y30" s="224">
        <v>3.5877600000000007</v>
      </c>
      <c r="Z30" s="224">
        <v>0</v>
      </c>
      <c r="AA30" s="224">
        <v>45.800697353920413</v>
      </c>
      <c r="AB30" s="224">
        <v>29.242763814139909</v>
      </c>
      <c r="AC30" s="224">
        <v>33.555903314666573</v>
      </c>
      <c r="AD30" s="1120">
        <v>6.0116800741201901</v>
      </c>
      <c r="AE30" s="224">
        <v>31512.701897487994</v>
      </c>
      <c r="AF30" s="224">
        <v>648.36217284799989</v>
      </c>
      <c r="AG30" s="224">
        <v>1232.7624890829691</v>
      </c>
      <c r="AH30" s="224">
        <v>13250.987607349476</v>
      </c>
      <c r="AI30" s="224">
        <v>77200</v>
      </c>
      <c r="AJ30" s="224">
        <v>8960.4997789999998</v>
      </c>
      <c r="AK30" s="224">
        <v>10325.102059837716</v>
      </c>
      <c r="AL30" s="224">
        <v>0</v>
      </c>
      <c r="AM30" s="224">
        <v>240</v>
      </c>
      <c r="AN30" s="1120">
        <v>143370.41600560615</v>
      </c>
      <c r="AO30" s="224">
        <f t="shared" si="0"/>
        <v>0.79209896656607615</v>
      </c>
      <c r="AP30" s="1123">
        <v>0.1</v>
      </c>
      <c r="AQ30" s="1123">
        <f t="shared" si="3"/>
        <v>0.35400422692244193</v>
      </c>
      <c r="AR30" s="1123">
        <v>20</v>
      </c>
      <c r="AS30" s="1123">
        <f t="shared" si="1"/>
        <v>0.59953276899047525</v>
      </c>
      <c r="AT30" s="224">
        <f t="shared" si="2"/>
        <v>50753.733281613502</v>
      </c>
    </row>
    <row r="31" spans="1:50">
      <c r="A31" s="1118">
        <v>2017</v>
      </c>
      <c r="D31" s="1107" t="s">
        <v>2002</v>
      </c>
      <c r="E31" s="224" t="s">
        <v>2060</v>
      </c>
      <c r="G31" s="224">
        <v>30575.823562955575</v>
      </c>
      <c r="H31" s="224">
        <v>15303</v>
      </c>
      <c r="I31" s="224">
        <v>578.87762499999997</v>
      </c>
      <c r="J31" s="224">
        <v>0.21665880026170956</v>
      </c>
      <c r="K31" s="224">
        <v>0.18374052074637426</v>
      </c>
      <c r="L31" s="224">
        <v>0.21604480937980206</v>
      </c>
      <c r="M31" s="224">
        <v>8.1089661602502611E-2</v>
      </c>
      <c r="N31" s="224">
        <v>6.8565077066707142E-2</v>
      </c>
      <c r="O31" s="224">
        <v>8.1210005888080222E-2</v>
      </c>
      <c r="P31" s="224">
        <v>-13.116721767375227</v>
      </c>
      <c r="Q31" s="224">
        <v>-36.42871993012475</v>
      </c>
      <c r="R31" s="224">
        <v>-6.5333453255386162</v>
      </c>
      <c r="S31" s="224">
        <v>3053.5197015973167</v>
      </c>
      <c r="T31" s="224">
        <v>2581.8928026981325</v>
      </c>
      <c r="U31" s="224">
        <v>3058.0513970036586</v>
      </c>
      <c r="V31" s="224">
        <v>276.66666666666669</v>
      </c>
      <c r="W31" s="224">
        <v>520.87692240000013</v>
      </c>
      <c r="X31" s="224">
        <v>781.31538360000002</v>
      </c>
      <c r="Y31" s="224">
        <v>577.05712499999993</v>
      </c>
      <c r="Z31" s="224">
        <v>0</v>
      </c>
      <c r="AA31" s="224">
        <v>51.67246992449747</v>
      </c>
      <c r="AB31" s="224">
        <v>38.571392895752517</v>
      </c>
      <c r="AC31" s="224">
        <v>49.309951951892891</v>
      </c>
      <c r="AD31" s="1120">
        <v>4.800321368476113</v>
      </c>
      <c r="AE31" s="224">
        <v>27272.735238095236</v>
      </c>
      <c r="AF31" s="224">
        <v>23983.619970960001</v>
      </c>
      <c r="AG31" s="224">
        <v>328333.96298249997</v>
      </c>
      <c r="AH31" s="224">
        <v>0</v>
      </c>
      <c r="AI31" s="224">
        <v>77200</v>
      </c>
      <c r="AJ31" s="224">
        <v>0</v>
      </c>
      <c r="AK31" s="224">
        <v>791.37040000000013</v>
      </c>
      <c r="AL31" s="224">
        <v>0</v>
      </c>
      <c r="AM31" s="224">
        <v>436.00000000000006</v>
      </c>
      <c r="AN31" s="1120">
        <v>458017.68859155523</v>
      </c>
      <c r="AO31" s="224">
        <f t="shared" si="0"/>
        <v>0.63249034351041256</v>
      </c>
      <c r="AP31" s="1123">
        <v>0.1</v>
      </c>
      <c r="AQ31" s="1123">
        <f t="shared" si="3"/>
        <v>0.35400422692244193</v>
      </c>
      <c r="AR31" s="1123">
        <v>20</v>
      </c>
      <c r="AS31" s="1123">
        <f t="shared" si="1"/>
        <v>0.47872640037449427</v>
      </c>
      <c r="AT31" s="224">
        <f t="shared" si="2"/>
        <v>162140.19776665725</v>
      </c>
    </row>
    <row r="32" spans="1:50">
      <c r="A32" s="1121">
        <v>2020</v>
      </c>
      <c r="D32" s="1107" t="s">
        <v>2002</v>
      </c>
      <c r="E32" s="224" t="s">
        <v>2060</v>
      </c>
      <c r="G32" s="224">
        <v>30001.992007391102</v>
      </c>
      <c r="H32" s="224">
        <v>15351.977766666669</v>
      </c>
      <c r="I32" s="224">
        <v>539.94375000000002</v>
      </c>
      <c r="J32" s="224">
        <v>0.19696724219637154</v>
      </c>
      <c r="K32" s="224">
        <v>0.16472913703361422</v>
      </c>
      <c r="L32" s="224">
        <v>0.19386620586928263</v>
      </c>
      <c r="M32" s="224">
        <v>7.5858940230874874E-2</v>
      </c>
      <c r="N32" s="224">
        <v>6.3374698423764517E-2</v>
      </c>
      <c r="O32" s="224">
        <v>7.5014765319475693E-2</v>
      </c>
      <c r="P32" s="224">
        <v>-13.599413771419448</v>
      </c>
      <c r="Q32" s="224">
        <v>-28.370798914681998</v>
      </c>
      <c r="R32" s="224">
        <v>-3.8674094981537004</v>
      </c>
      <c r="S32" s="224">
        <v>2856.5511800103609</v>
      </c>
      <c r="T32" s="224">
        <v>2386.4434305862364</v>
      </c>
      <c r="U32" s="224">
        <v>2824.7628524651386</v>
      </c>
      <c r="V32" s="224">
        <v>260</v>
      </c>
      <c r="W32" s="224">
        <v>506.83495089999997</v>
      </c>
      <c r="X32" s="224">
        <v>760.25242634999995</v>
      </c>
      <c r="Y32" s="224">
        <v>538.70249999999999</v>
      </c>
      <c r="Z32" s="224">
        <v>0</v>
      </c>
      <c r="AA32" s="224">
        <v>47.140268604325108</v>
      </c>
      <c r="AB32" s="224">
        <v>34.641865587735403</v>
      </c>
      <c r="AC32" s="224">
        <v>44.271141520152163</v>
      </c>
      <c r="AD32" s="1120">
        <v>4.4292115007891386</v>
      </c>
      <c r="AE32" s="224">
        <v>25719.633897542855</v>
      </c>
      <c r="AF32" s="224">
        <v>17813.264622335002</v>
      </c>
      <c r="AG32" s="224">
        <v>285372.26235000003</v>
      </c>
      <c r="AH32" s="224">
        <v>0</v>
      </c>
      <c r="AI32" s="224">
        <v>77200</v>
      </c>
      <c r="AJ32" s="224">
        <v>1248.1013039381367</v>
      </c>
      <c r="AK32" s="224">
        <v>1864.475097070389</v>
      </c>
      <c r="AL32" s="224">
        <v>0</v>
      </c>
      <c r="AM32" s="224">
        <v>436.00000000000006</v>
      </c>
      <c r="AN32" s="1120">
        <v>409653.73727088637</v>
      </c>
      <c r="AO32" s="224">
        <f t="shared" si="0"/>
        <v>0.58359290734397684</v>
      </c>
      <c r="AP32" s="1123">
        <v>0.1</v>
      </c>
      <c r="AQ32" s="1123">
        <f t="shared" si="3"/>
        <v>0.35400422692244193</v>
      </c>
      <c r="AR32" s="1123">
        <v>20</v>
      </c>
      <c r="AS32" s="1123">
        <f t="shared" si="1"/>
        <v>0.44171635928267478</v>
      </c>
      <c r="AT32" s="224">
        <f t="shared" si="2"/>
        <v>145019.15456846927</v>
      </c>
    </row>
    <row r="33" spans="1:46">
      <c r="A33" s="1118">
        <v>2025</v>
      </c>
      <c r="D33" s="1107" t="s">
        <v>2002</v>
      </c>
      <c r="E33" s="224" t="s">
        <v>2060</v>
      </c>
      <c r="G33" s="224">
        <v>28796.6844623941</v>
      </c>
      <c r="H33" s="224">
        <v>15429.111116666667</v>
      </c>
      <c r="I33" s="224">
        <v>471.30262499999998</v>
      </c>
      <c r="J33" s="224">
        <v>0.16691751893204818</v>
      </c>
      <c r="K33" s="224">
        <v>0.13431647487873258</v>
      </c>
      <c r="L33" s="224">
        <v>0.15596394503616262</v>
      </c>
      <c r="M33" s="224">
        <v>6.7665902627079041E-2</v>
      </c>
      <c r="N33" s="224">
        <v>5.3923221282296541E-2</v>
      </c>
      <c r="O33" s="224">
        <v>6.339623172977922E-2</v>
      </c>
      <c r="P33" s="224">
        <v>-0.86161323711477278</v>
      </c>
      <c r="Q33" s="224">
        <v>-47.209629570481042</v>
      </c>
      <c r="R33" s="224">
        <v>0.5231098915522866</v>
      </c>
      <c r="S33" s="224">
        <v>2548.0334078959172</v>
      </c>
      <c r="T33" s="224">
        <v>2030.5377443331511</v>
      </c>
      <c r="U33" s="224">
        <v>2387.2542907237316</v>
      </c>
      <c r="V33" s="224">
        <v>221.66666666666666</v>
      </c>
      <c r="W33" s="224">
        <v>479.46367563333337</v>
      </c>
      <c r="X33" s="224">
        <v>719.19551345000002</v>
      </c>
      <c r="Y33" s="224">
        <v>469.70968750000003</v>
      </c>
      <c r="Z33" s="224">
        <v>0</v>
      </c>
      <c r="AA33" s="224">
        <v>40.98386206623357</v>
      </c>
      <c r="AB33" s="224">
        <v>28.499449878901149</v>
      </c>
      <c r="AC33" s="224">
        <v>35.999684078496792</v>
      </c>
      <c r="AD33" s="1120">
        <v>3.7530599655105807</v>
      </c>
      <c r="AE33" s="224">
        <v>22253.068008152379</v>
      </c>
      <c r="AF33" s="224">
        <v>8377.7801492825001</v>
      </c>
      <c r="AG33" s="224">
        <v>151607.41695000001</v>
      </c>
      <c r="AH33" s="224">
        <v>0</v>
      </c>
      <c r="AI33" s="224">
        <v>77200</v>
      </c>
      <c r="AJ33" s="224">
        <v>2980.6412058654009</v>
      </c>
      <c r="AK33" s="224">
        <v>5016.6108153929827</v>
      </c>
      <c r="AL33" s="224">
        <v>0</v>
      </c>
      <c r="AM33" s="224">
        <v>352.00000000000006</v>
      </c>
      <c r="AN33" s="1120">
        <v>267787.51712869323</v>
      </c>
      <c r="AO33" s="224">
        <f t="shared" si="0"/>
        <v>0.49450318105567409</v>
      </c>
      <c r="AP33" s="1123">
        <v>0.1</v>
      </c>
      <c r="AQ33" s="1123">
        <f t="shared" si="3"/>
        <v>0.35400422692244193</v>
      </c>
      <c r="AR33" s="1123">
        <v>20</v>
      </c>
      <c r="AS33" s="1123">
        <f t="shared" si="1"/>
        <v>0.37428512588290985</v>
      </c>
      <c r="AT33" s="224">
        <f t="shared" si="2"/>
        <v>94797.912980623223</v>
      </c>
    </row>
    <row r="34" spans="1:46">
      <c r="A34" s="1118">
        <v>2030</v>
      </c>
      <c r="D34" s="1107" t="s">
        <v>2002</v>
      </c>
      <c r="E34" s="224" t="s">
        <v>2060</v>
      </c>
      <c r="G34" s="224">
        <v>28144.848651930748</v>
      </c>
      <c r="H34" s="224">
        <v>15509.111116666667</v>
      </c>
      <c r="I34" s="224">
        <v>444.57437499999997</v>
      </c>
      <c r="J34" s="224">
        <v>0.1486601319949232</v>
      </c>
      <c r="K34" s="224">
        <v>0.11943786752816903</v>
      </c>
      <c r="L34" s="224">
        <v>0.13813965289209015</v>
      </c>
      <c r="M34" s="224">
        <v>6.3433364459049804E-2</v>
      </c>
      <c r="N34" s="224">
        <v>5.0256508893012558E-2</v>
      </c>
      <c r="O34" s="224">
        <v>5.907933064863314E-2</v>
      </c>
      <c r="P34" s="224">
        <v>-3.2686885569037263</v>
      </c>
      <c r="Q34" s="224">
        <v>-57.7031137485424</v>
      </c>
      <c r="R34" s="224">
        <v>3.4077469544694403</v>
      </c>
      <c r="S34" s="224">
        <v>2388.6525641677326</v>
      </c>
      <c r="T34" s="224">
        <v>1892.4636877949251</v>
      </c>
      <c r="U34" s="224">
        <v>2224.6966694360444</v>
      </c>
      <c r="V34" s="224">
        <v>206.66666666666666</v>
      </c>
      <c r="W34" s="224">
        <v>466.28631091666671</v>
      </c>
      <c r="X34" s="224">
        <v>699.42946637500006</v>
      </c>
      <c r="Y34" s="224">
        <v>442.44356250000004</v>
      </c>
      <c r="Z34" s="224">
        <v>0</v>
      </c>
      <c r="AA34" s="224">
        <v>36.850912578914851</v>
      </c>
      <c r="AB34" s="224">
        <v>25.614377704310829</v>
      </c>
      <c r="AC34" s="224">
        <v>32.194628890516277</v>
      </c>
      <c r="AD34" s="1120">
        <v>3.4830418119557311</v>
      </c>
      <c r="AE34" s="224">
        <v>21335.035990095243</v>
      </c>
      <c r="AF34" s="224">
        <v>6047.8529398496003</v>
      </c>
      <c r="AG34" s="224">
        <v>101443.60027125</v>
      </c>
      <c r="AH34" s="224">
        <v>0</v>
      </c>
      <c r="AI34" s="224">
        <v>77200</v>
      </c>
      <c r="AJ34" s="224">
        <v>4645.2328152999999</v>
      </c>
      <c r="AK34" s="224">
        <v>6503.1130127197384</v>
      </c>
      <c r="AL34" s="224">
        <v>0</v>
      </c>
      <c r="AM34" s="224">
        <v>296</v>
      </c>
      <c r="AN34" s="1120">
        <v>217470.83502921453</v>
      </c>
      <c r="AO34" s="224">
        <f t="shared" si="0"/>
        <v>0.45892558914328707</v>
      </c>
      <c r="AP34" s="1123">
        <v>0.1</v>
      </c>
      <c r="AQ34" s="1123">
        <f t="shared" si="3"/>
        <v>0.35400422692244193</v>
      </c>
      <c r="AR34" s="1123">
        <v>20</v>
      </c>
      <c r="AS34" s="1123">
        <f t="shared" si="1"/>
        <v>0.34735675822486772</v>
      </c>
      <c r="AT34" s="224">
        <f t="shared" si="2"/>
        <v>76985.594832695002</v>
      </c>
    </row>
    <row r="35" spans="1:46">
      <c r="A35" s="1118">
        <v>2035</v>
      </c>
      <c r="D35" s="1107" t="s">
        <v>2002</v>
      </c>
      <c r="E35" s="224" t="s">
        <v>2060</v>
      </c>
      <c r="G35" s="224">
        <v>27794.228155926743</v>
      </c>
      <c r="H35" s="224">
        <v>15580.433333333334</v>
      </c>
      <c r="I35" s="224">
        <v>406.86106249999995</v>
      </c>
      <c r="J35" s="224">
        <v>0.13834634475309543</v>
      </c>
      <c r="K35" s="224">
        <v>0.11077755566942137</v>
      </c>
      <c r="L35" s="224">
        <v>0.12747145655953954</v>
      </c>
      <c r="M35" s="224">
        <v>6.0572338063486407E-2</v>
      </c>
      <c r="N35" s="224">
        <v>4.772432215879327E-2</v>
      </c>
      <c r="O35" s="224">
        <v>5.6065497858030867E-2</v>
      </c>
      <c r="P35" s="224">
        <v>-0.95674776542134854</v>
      </c>
      <c r="Q35" s="224">
        <v>-64.05017823384226</v>
      </c>
      <c r="R35" s="224">
        <v>12.989282840428416</v>
      </c>
      <c r="S35" s="224">
        <v>2280.9174929762012</v>
      </c>
      <c r="T35" s="224">
        <v>1797.1114329173024</v>
      </c>
      <c r="U35" s="224">
        <v>2111.207506680184</v>
      </c>
      <c r="V35" s="224">
        <v>196.66666666666666</v>
      </c>
      <c r="W35" s="224">
        <v>458.83236468333331</v>
      </c>
      <c r="X35" s="224">
        <v>688.24854702499999</v>
      </c>
      <c r="Y35" s="224">
        <v>405.68187500000005</v>
      </c>
      <c r="Z35" s="224">
        <v>0</v>
      </c>
      <c r="AA35" s="224">
        <v>34.523044056890576</v>
      </c>
      <c r="AB35" s="224">
        <v>23.916806466259825</v>
      </c>
      <c r="AC35" s="224">
        <v>29.90248184435001</v>
      </c>
      <c r="AD35" s="1120">
        <v>3.292837434911609</v>
      </c>
      <c r="AE35" s="224">
        <v>20756.766185523804</v>
      </c>
      <c r="AF35" s="224">
        <v>4886.5019055295998</v>
      </c>
      <c r="AG35" s="224">
        <v>69756.460117499984</v>
      </c>
      <c r="AH35" s="224">
        <v>0</v>
      </c>
      <c r="AI35" s="224">
        <v>77200</v>
      </c>
      <c r="AJ35" s="224">
        <v>6260.6771727500018</v>
      </c>
      <c r="AK35" s="224">
        <v>8246.7711471673647</v>
      </c>
      <c r="AL35" s="224">
        <v>0</v>
      </c>
      <c r="AM35" s="224">
        <v>240</v>
      </c>
      <c r="AN35" s="1120">
        <v>187347.17652847079</v>
      </c>
      <c r="AO35" s="224">
        <f t="shared" si="0"/>
        <v>0.43386426042395354</v>
      </c>
      <c r="AP35" s="1123">
        <v>0.1</v>
      </c>
      <c r="AQ35" s="1123">
        <f t="shared" si="3"/>
        <v>0.35400422692244193</v>
      </c>
      <c r="AR35" s="1123">
        <v>20</v>
      </c>
      <c r="AS35" s="1123">
        <f t="shared" si="1"/>
        <v>0.3283880580549639</v>
      </c>
      <c r="AT35" s="224">
        <f t="shared" si="2"/>
        <v>66321.692393063568</v>
      </c>
    </row>
    <row r="36" spans="1:46">
      <c r="A36" s="1118">
        <v>2050</v>
      </c>
      <c r="D36" s="1107" t="s">
        <v>2002</v>
      </c>
      <c r="E36" s="224" t="s">
        <v>2060</v>
      </c>
      <c r="G36" s="224">
        <v>27301.989310802805</v>
      </c>
      <c r="H36" s="224">
        <v>15699.333333333334</v>
      </c>
      <c r="I36" s="224">
        <v>385.67706249999998</v>
      </c>
      <c r="J36" s="224">
        <v>0.12628160484956444</v>
      </c>
      <c r="K36" s="224">
        <v>0.10110086854374732</v>
      </c>
      <c r="L36" s="224">
        <v>0.11566445180084105</v>
      </c>
      <c r="M36" s="224">
        <v>5.6925926620870794E-2</v>
      </c>
      <c r="N36" s="224">
        <v>4.4737673708989234E-2</v>
      </c>
      <c r="O36" s="224">
        <v>5.2591800887985339E-2</v>
      </c>
      <c r="P36" s="224">
        <v>-1.249273662757292</v>
      </c>
      <c r="Q36" s="224">
        <v>-67.756653075856065</v>
      </c>
      <c r="R36" s="224">
        <v>27.701611421687005</v>
      </c>
      <c r="S36" s="224">
        <v>2143.607890739398</v>
      </c>
      <c r="T36" s="224">
        <v>1684.6459261807415</v>
      </c>
      <c r="U36" s="224">
        <v>1980.4016563930302</v>
      </c>
      <c r="V36" s="224">
        <v>183.33333333333334</v>
      </c>
      <c r="W36" s="224">
        <v>448.91448588333327</v>
      </c>
      <c r="X36" s="224">
        <v>673.37172882499999</v>
      </c>
      <c r="Y36" s="224">
        <v>384.95299999999997</v>
      </c>
      <c r="Z36" s="224">
        <v>0</v>
      </c>
      <c r="AA36" s="224">
        <v>31.755048554188051</v>
      </c>
      <c r="AB36" s="224">
        <v>22.020569182783522</v>
      </c>
      <c r="AC36" s="224">
        <v>27.463261866575319</v>
      </c>
      <c r="AD36" s="1120">
        <v>3.0644474224420066</v>
      </c>
      <c r="AE36" s="224">
        <v>20341.452280761903</v>
      </c>
      <c r="AF36" s="224">
        <v>2903.450148901999</v>
      </c>
      <c r="AG36" s="224">
        <v>55183.977083999991</v>
      </c>
      <c r="AH36" s="224">
        <v>0</v>
      </c>
      <c r="AI36" s="224">
        <v>77200</v>
      </c>
      <c r="AJ36" s="224">
        <v>8960.4997789999998</v>
      </c>
      <c r="AK36" s="224">
        <v>10325.102059837716</v>
      </c>
      <c r="AL36" s="224">
        <v>0</v>
      </c>
      <c r="AM36" s="224">
        <v>240</v>
      </c>
      <c r="AN36" s="1120">
        <v>175154.48135250164</v>
      </c>
      <c r="AO36" s="224">
        <f t="shared" si="0"/>
        <v>0.40377159238095878</v>
      </c>
      <c r="AP36" s="1123">
        <v>0.1</v>
      </c>
      <c r="AQ36" s="1123">
        <f t="shared" si="3"/>
        <v>0.35400422692244193</v>
      </c>
      <c r="AR36" s="1123">
        <v>20</v>
      </c>
      <c r="AS36" s="1123">
        <f t="shared" si="1"/>
        <v>0.30561118122561781</v>
      </c>
      <c r="AT36" s="224">
        <f t="shared" si="2"/>
        <v>62005.426763193616</v>
      </c>
    </row>
    <row r="37" spans="1:46">
      <c r="A37" s="1118">
        <v>2017</v>
      </c>
      <c r="D37" s="1107" t="s">
        <v>2002</v>
      </c>
      <c r="E37" s="224" t="s">
        <v>2061</v>
      </c>
      <c r="G37" s="224">
        <v>31740.695918731668</v>
      </c>
      <c r="H37" s="224">
        <v>15303</v>
      </c>
      <c r="I37" s="224">
        <v>1116.4216249999999</v>
      </c>
      <c r="J37" s="224">
        <v>0</v>
      </c>
      <c r="K37" s="224">
        <v>0</v>
      </c>
      <c r="L37" s="224">
        <v>0</v>
      </c>
      <c r="M37" s="224">
        <v>0</v>
      </c>
      <c r="N37" s="224">
        <v>0</v>
      </c>
      <c r="O37" s="224">
        <v>0</v>
      </c>
      <c r="P37" s="224">
        <v>0</v>
      </c>
      <c r="Q37" s="224">
        <v>0</v>
      </c>
      <c r="R37" s="224">
        <v>0</v>
      </c>
      <c r="S37" s="224">
        <v>3140.3915257783033</v>
      </c>
      <c r="T37" s="224">
        <v>2933.5871430858897</v>
      </c>
      <c r="U37" s="224">
        <v>3437.9269390074915</v>
      </c>
      <c r="V37" s="224">
        <v>0</v>
      </c>
      <c r="W37" s="224">
        <v>509.18100959999998</v>
      </c>
      <c r="X37" s="224">
        <v>763.7715144</v>
      </c>
      <c r="Y37" s="224">
        <v>1116.4216249999999</v>
      </c>
      <c r="Z37" s="224">
        <v>0</v>
      </c>
      <c r="AA37" s="224">
        <v>29.003492024807517</v>
      </c>
      <c r="AB37" s="224">
        <v>26.385878994642244</v>
      </c>
      <c r="AC37" s="224">
        <v>30.833411890675361</v>
      </c>
      <c r="AD37" s="1120">
        <v>5.3266949685643015</v>
      </c>
      <c r="AE37" s="224">
        <v>0</v>
      </c>
      <c r="AF37" s="224">
        <v>23481.865311839996</v>
      </c>
      <c r="AG37" s="224">
        <v>635221.57619249995</v>
      </c>
      <c r="AH37" s="224">
        <v>0</v>
      </c>
      <c r="AI37" s="224">
        <v>77200</v>
      </c>
      <c r="AJ37" s="224">
        <v>0</v>
      </c>
      <c r="AK37" s="224">
        <v>791.37040000000013</v>
      </c>
      <c r="AL37" s="224">
        <v>0</v>
      </c>
      <c r="AM37" s="224">
        <v>0</v>
      </c>
      <c r="AN37" s="1120">
        <v>736694.81190434005</v>
      </c>
      <c r="AO37" s="224">
        <f t="shared" si="0"/>
        <v>0.70184532905803232</v>
      </c>
      <c r="AP37" s="1123">
        <v>0.1</v>
      </c>
      <c r="AQ37" s="1123">
        <f t="shared" si="3"/>
        <v>0.35400422692244193</v>
      </c>
      <c r="AR37" s="1123">
        <v>20</v>
      </c>
      <c r="AS37" s="1123">
        <f t="shared" si="1"/>
        <v>0.53122058138437467</v>
      </c>
      <c r="AT37" s="224">
        <f t="shared" si="2"/>
        <v>260793.07736596969</v>
      </c>
    </row>
    <row r="38" spans="1:46">
      <c r="A38" s="1121">
        <v>2020</v>
      </c>
      <c r="D38" s="1107" t="s">
        <v>2002</v>
      </c>
      <c r="E38" s="224" t="s">
        <v>2061</v>
      </c>
      <c r="G38" s="224">
        <v>30892.368620434117</v>
      </c>
      <c r="H38" s="224">
        <v>15351.977766666669</v>
      </c>
      <c r="I38" s="224">
        <v>1044.9669999999999</v>
      </c>
      <c r="J38" s="224">
        <v>0</v>
      </c>
      <c r="K38" s="224">
        <v>0</v>
      </c>
      <c r="L38" s="224">
        <v>0</v>
      </c>
      <c r="M38" s="224">
        <v>0</v>
      </c>
      <c r="N38" s="224">
        <v>0</v>
      </c>
      <c r="O38" s="224">
        <v>0</v>
      </c>
      <c r="P38" s="224">
        <v>0</v>
      </c>
      <c r="Q38" s="224">
        <v>0</v>
      </c>
      <c r="R38" s="224">
        <v>0</v>
      </c>
      <c r="S38" s="224">
        <v>2916.3151107777235</v>
      </c>
      <c r="T38" s="224">
        <v>2706.7053918948595</v>
      </c>
      <c r="U38" s="224">
        <v>3168.5430091047388</v>
      </c>
      <c r="V38" s="224">
        <v>0</v>
      </c>
      <c r="W38" s="224">
        <v>491.32550093333339</v>
      </c>
      <c r="X38" s="224">
        <v>736.98825139999997</v>
      </c>
      <c r="Y38" s="224">
        <v>1044.9669999999999</v>
      </c>
      <c r="Z38" s="224">
        <v>0</v>
      </c>
      <c r="AA38" s="224">
        <v>26.857068670055664</v>
      </c>
      <c r="AB38" s="224">
        <v>24.285698491008802</v>
      </c>
      <c r="AC38" s="224">
        <v>28.370848003428943</v>
      </c>
      <c r="AD38" s="1120">
        <v>4.9000287969382477</v>
      </c>
      <c r="AE38" s="224">
        <v>0</v>
      </c>
      <c r="AF38" s="224">
        <v>17299.126355939996</v>
      </c>
      <c r="AG38" s="224">
        <v>553560.81858000008</v>
      </c>
      <c r="AH38" s="224">
        <v>0</v>
      </c>
      <c r="AI38" s="224">
        <v>77200</v>
      </c>
      <c r="AJ38" s="224">
        <v>1248.1013039381367</v>
      </c>
      <c r="AK38" s="224">
        <v>1864.475097070389</v>
      </c>
      <c r="AL38" s="224">
        <v>0</v>
      </c>
      <c r="AM38" s="224">
        <v>0</v>
      </c>
      <c r="AN38" s="1120">
        <v>651172.52133694838</v>
      </c>
      <c r="AO38" s="224">
        <f t="shared" si="0"/>
        <v>0.6456277942845835</v>
      </c>
      <c r="AP38" s="1123">
        <v>0.1</v>
      </c>
      <c r="AQ38" s="1123">
        <f t="shared" si="3"/>
        <v>0.35400422692244193</v>
      </c>
      <c r="AR38" s="1123">
        <v>20</v>
      </c>
      <c r="AS38" s="1123">
        <f t="shared" si="1"/>
        <v>0.48867002178112279</v>
      </c>
      <c r="AT38" s="224">
        <f t="shared" si="2"/>
        <v>230517.82500902374</v>
      </c>
    </row>
    <row r="39" spans="1:46">
      <c r="A39" s="1118">
        <v>2025</v>
      </c>
      <c r="D39" s="1107" t="s">
        <v>2002</v>
      </c>
      <c r="E39" s="224" t="s">
        <v>2061</v>
      </c>
      <c r="G39" s="224">
        <v>29047.424489399029</v>
      </c>
      <c r="H39" s="224">
        <v>15429.111116666667</v>
      </c>
      <c r="I39" s="224">
        <v>909.75349999999992</v>
      </c>
      <c r="J39" s="224">
        <v>0</v>
      </c>
      <c r="K39" s="224">
        <v>0</v>
      </c>
      <c r="L39" s="224">
        <v>0</v>
      </c>
      <c r="M39" s="224">
        <v>0</v>
      </c>
      <c r="N39" s="224">
        <v>0</v>
      </c>
      <c r="O39" s="224">
        <v>0</v>
      </c>
      <c r="P39" s="224">
        <v>0</v>
      </c>
      <c r="Q39" s="224">
        <v>0</v>
      </c>
      <c r="R39" s="224">
        <v>0</v>
      </c>
      <c r="S39" s="224">
        <v>2553.5812876138366</v>
      </c>
      <c r="T39" s="224">
        <v>2290.7388512383477</v>
      </c>
      <c r="U39" s="224">
        <v>2659.9200571018623</v>
      </c>
      <c r="V39" s="224">
        <v>0</v>
      </c>
      <c r="W39" s="224">
        <v>455.51349128333339</v>
      </c>
      <c r="X39" s="224">
        <v>683.27023692499995</v>
      </c>
      <c r="Y39" s="224">
        <v>909.75349999999992</v>
      </c>
      <c r="Z39" s="224">
        <v>0</v>
      </c>
      <c r="AA39" s="224">
        <v>23.507187347585642</v>
      </c>
      <c r="AB39" s="224">
        <v>20.60614328051086</v>
      </c>
      <c r="AC39" s="224">
        <v>23.921951389943512</v>
      </c>
      <c r="AD39" s="1120">
        <v>4.1175397532614779</v>
      </c>
      <c r="AE39" s="224">
        <v>0</v>
      </c>
      <c r="AF39" s="224">
        <v>7995.4231336800003</v>
      </c>
      <c r="AG39" s="224">
        <v>293600.4093</v>
      </c>
      <c r="AH39" s="224">
        <v>0</v>
      </c>
      <c r="AI39" s="224">
        <v>77200</v>
      </c>
      <c r="AJ39" s="224">
        <v>2980.6412058654009</v>
      </c>
      <c r="AK39" s="224">
        <v>5016.6108153929827</v>
      </c>
      <c r="AL39" s="224">
        <v>0</v>
      </c>
      <c r="AM39" s="224">
        <v>0</v>
      </c>
      <c r="AN39" s="1120">
        <v>386793.0844549383</v>
      </c>
      <c r="AO39" s="224">
        <f t="shared" si="0"/>
        <v>0.54252703788973233</v>
      </c>
      <c r="AP39" s="1123">
        <v>0.1</v>
      </c>
      <c r="AQ39" s="1123">
        <f t="shared" si="3"/>
        <v>0.35400422692244193</v>
      </c>
      <c r="AR39" s="1123">
        <v>20</v>
      </c>
      <c r="AS39" s="1123">
        <f t="shared" si="1"/>
        <v>0.41063396243062589</v>
      </c>
      <c r="AT39" s="224">
        <f t="shared" si="2"/>
        <v>136926.38684141723</v>
      </c>
    </row>
    <row r="40" spans="1:46">
      <c r="A40" s="1118">
        <v>2030</v>
      </c>
      <c r="D40" s="1107" t="s">
        <v>2002</v>
      </c>
      <c r="E40" s="224" t="s">
        <v>2061</v>
      </c>
      <c r="G40" s="224">
        <v>28093.865356359714</v>
      </c>
      <c r="H40" s="224">
        <v>15509.111116666667</v>
      </c>
      <c r="I40" s="224">
        <v>861.75850000000003</v>
      </c>
      <c r="J40" s="224">
        <v>0</v>
      </c>
      <c r="K40" s="224">
        <v>0</v>
      </c>
      <c r="L40" s="224">
        <v>0</v>
      </c>
      <c r="M40" s="224">
        <v>0</v>
      </c>
      <c r="N40" s="224">
        <v>0</v>
      </c>
      <c r="O40" s="224">
        <v>0</v>
      </c>
      <c r="P40" s="224">
        <v>0</v>
      </c>
      <c r="Q40" s="224">
        <v>0</v>
      </c>
      <c r="R40" s="224">
        <v>0</v>
      </c>
      <c r="S40" s="224">
        <v>2369.9295343463668</v>
      </c>
      <c r="T40" s="224">
        <v>2131.7521677691229</v>
      </c>
      <c r="U40" s="224">
        <v>2473.587674126627</v>
      </c>
      <c r="V40" s="224">
        <v>0</v>
      </c>
      <c r="W40" s="224">
        <v>434.90755173333338</v>
      </c>
      <c r="X40" s="224">
        <v>652.3613276000001</v>
      </c>
      <c r="Y40" s="224">
        <v>861.75850000000003</v>
      </c>
      <c r="Z40" s="224">
        <v>0</v>
      </c>
      <c r="AA40" s="224">
        <v>21.771174584447397</v>
      </c>
      <c r="AB40" s="224">
        <v>19.171553683959797</v>
      </c>
      <c r="AC40" s="224">
        <v>22.245824639785891</v>
      </c>
      <c r="AD40" s="1120">
        <v>3.809677629264105</v>
      </c>
      <c r="AE40" s="224">
        <v>0</v>
      </c>
      <c r="AF40" s="224">
        <v>5665.6365422714516</v>
      </c>
      <c r="AG40" s="224">
        <v>197784.01342125001</v>
      </c>
      <c r="AH40" s="224">
        <v>0</v>
      </c>
      <c r="AI40" s="224">
        <v>77200</v>
      </c>
      <c r="AJ40" s="224">
        <v>4645.2328152999999</v>
      </c>
      <c r="AK40" s="224">
        <v>6503.1130127197384</v>
      </c>
      <c r="AL40" s="224">
        <v>0</v>
      </c>
      <c r="AM40" s="224">
        <v>0</v>
      </c>
      <c r="AN40" s="1120">
        <v>291797.99579154112</v>
      </c>
      <c r="AO40" s="224">
        <f t="shared" si="0"/>
        <v>0.50196312443183844</v>
      </c>
      <c r="AP40" s="1123">
        <v>0.1</v>
      </c>
      <c r="AQ40" s="1123">
        <f t="shared" si="3"/>
        <v>0.35400422692244193</v>
      </c>
      <c r="AR40" s="1123">
        <v>20</v>
      </c>
      <c r="AS40" s="1123">
        <f t="shared" si="1"/>
        <v>0.37993149167506984</v>
      </c>
      <c r="AT40" s="224">
        <f t="shared" si="2"/>
        <v>103297.72391770247</v>
      </c>
    </row>
    <row r="41" spans="1:46">
      <c r="A41" s="1118">
        <v>2035</v>
      </c>
      <c r="D41" s="1107" t="s">
        <v>2002</v>
      </c>
      <c r="E41" s="224" t="s">
        <v>2061</v>
      </c>
      <c r="G41" s="224">
        <v>27627.349821655836</v>
      </c>
      <c r="H41" s="224">
        <v>15580.433333333334</v>
      </c>
      <c r="I41" s="224">
        <v>787.01456250000001</v>
      </c>
      <c r="J41" s="224">
        <v>0</v>
      </c>
      <c r="K41" s="224">
        <v>0</v>
      </c>
      <c r="L41" s="224">
        <v>0</v>
      </c>
      <c r="M41" s="224">
        <v>0</v>
      </c>
      <c r="N41" s="224">
        <v>0</v>
      </c>
      <c r="O41" s="224">
        <v>0</v>
      </c>
      <c r="P41" s="224">
        <v>0</v>
      </c>
      <c r="Q41" s="224">
        <v>0</v>
      </c>
      <c r="R41" s="224">
        <v>0</v>
      </c>
      <c r="S41" s="224">
        <v>2256.2192765000141</v>
      </c>
      <c r="T41" s="224">
        <v>2020.7821302498667</v>
      </c>
      <c r="U41" s="224">
        <v>2343.8948654255923</v>
      </c>
      <c r="V41" s="224">
        <v>0</v>
      </c>
      <c r="W41" s="224">
        <v>429.57914714999993</v>
      </c>
      <c r="X41" s="224">
        <v>644.36872072499989</v>
      </c>
      <c r="Y41" s="224">
        <v>787.01456250000001</v>
      </c>
      <c r="Z41" s="224">
        <v>0</v>
      </c>
      <c r="AA41" s="224">
        <v>20.732447063934035</v>
      </c>
      <c r="AB41" s="224">
        <v>18.163381754624908</v>
      </c>
      <c r="AC41" s="224">
        <v>21.076543826265006</v>
      </c>
      <c r="AD41" s="1120">
        <v>3.5953864064020595</v>
      </c>
      <c r="AE41" s="224">
        <v>0</v>
      </c>
      <c r="AF41" s="224">
        <v>4598.1649984927999</v>
      </c>
      <c r="AG41" s="224">
        <v>135318.36410999997</v>
      </c>
      <c r="AH41" s="224">
        <v>0</v>
      </c>
      <c r="AI41" s="224">
        <v>77200</v>
      </c>
      <c r="AJ41" s="224">
        <v>6260.6771727500018</v>
      </c>
      <c r="AK41" s="224">
        <v>8246.7711471673647</v>
      </c>
      <c r="AL41" s="224">
        <v>0</v>
      </c>
      <c r="AM41" s="224">
        <v>0</v>
      </c>
      <c r="AN41" s="1120">
        <v>231623.97742841011</v>
      </c>
      <c r="AO41" s="224">
        <f t="shared" si="0"/>
        <v>0.4737281129075353</v>
      </c>
      <c r="AP41" s="1123">
        <v>0.1</v>
      </c>
      <c r="AQ41" s="1123">
        <f t="shared" si="3"/>
        <v>0.35400422692244193</v>
      </c>
      <c r="AR41" s="1123">
        <v>20</v>
      </c>
      <c r="AS41" s="1123">
        <f t="shared" si="1"/>
        <v>0.35856065879161175</v>
      </c>
      <c r="AT41" s="224">
        <f t="shared" si="2"/>
        <v>81995.867066245468</v>
      </c>
    </row>
    <row r="42" spans="1:46">
      <c r="A42" s="1118">
        <v>2050</v>
      </c>
      <c r="D42" s="1107" t="s">
        <v>2002</v>
      </c>
      <c r="E42" s="224" t="s">
        <v>2061</v>
      </c>
      <c r="G42" s="224">
        <v>27017.25222165072</v>
      </c>
      <c r="H42" s="224">
        <v>15699.333333333334</v>
      </c>
      <c r="I42" s="224">
        <v>746.03262500000017</v>
      </c>
      <c r="J42" s="224">
        <v>0</v>
      </c>
      <c r="K42" s="224">
        <v>0</v>
      </c>
      <c r="L42" s="224">
        <v>0</v>
      </c>
      <c r="M42" s="224">
        <v>0</v>
      </c>
      <c r="N42" s="224">
        <v>0</v>
      </c>
      <c r="O42" s="224">
        <v>0</v>
      </c>
      <c r="P42" s="224">
        <v>0</v>
      </c>
      <c r="Q42" s="224">
        <v>0</v>
      </c>
      <c r="R42" s="224">
        <v>0</v>
      </c>
      <c r="S42" s="224">
        <v>2111.0252038044027</v>
      </c>
      <c r="T42" s="224">
        <v>1895.4423423046248</v>
      </c>
      <c r="U42" s="224">
        <v>2198.9251274266226</v>
      </c>
      <c r="V42" s="224">
        <v>0</v>
      </c>
      <c r="W42" s="224">
        <v>418.23349284999995</v>
      </c>
      <c r="X42" s="224">
        <v>627.35023927500004</v>
      </c>
      <c r="Y42" s="224">
        <v>746.03262500000017</v>
      </c>
      <c r="Z42" s="224">
        <v>0</v>
      </c>
      <c r="AA42" s="224">
        <v>19.405371423637693</v>
      </c>
      <c r="AB42" s="224">
        <v>17.065127603801326</v>
      </c>
      <c r="AC42" s="224">
        <v>19.816124814686706</v>
      </c>
      <c r="AD42" s="1120">
        <v>3.3446999401372377</v>
      </c>
      <c r="AE42" s="224">
        <v>0</v>
      </c>
      <c r="AF42" s="224">
        <v>2714.2952158399999</v>
      </c>
      <c r="AG42" s="224">
        <v>106913.18006399997</v>
      </c>
      <c r="AH42" s="224">
        <v>0</v>
      </c>
      <c r="AI42" s="224">
        <v>77200</v>
      </c>
      <c r="AJ42" s="224">
        <v>8960.4997789999998</v>
      </c>
      <c r="AK42" s="224">
        <v>10325.102059837716</v>
      </c>
      <c r="AL42" s="224">
        <v>0</v>
      </c>
      <c r="AM42" s="224">
        <v>0</v>
      </c>
      <c r="AN42" s="1120">
        <v>206113.0771186777</v>
      </c>
      <c r="AO42" s="224">
        <f t="shared" si="0"/>
        <v>0.4406976641124824</v>
      </c>
      <c r="AP42" s="1123">
        <v>0.1</v>
      </c>
      <c r="AQ42" s="1123">
        <f t="shared" si="3"/>
        <v>0.35400422692244193</v>
      </c>
      <c r="AR42" s="1123">
        <v>20</v>
      </c>
      <c r="AS42" s="1123">
        <f t="shared" si="1"/>
        <v>0.33356020144605325</v>
      </c>
      <c r="AT42" s="224">
        <f t="shared" si="2"/>
        <v>72964.900524003155</v>
      </c>
    </row>
    <row r="43" spans="1:46">
      <c r="A43" s="1118">
        <v>2017</v>
      </c>
      <c r="D43" s="1107" t="s">
        <v>2002</v>
      </c>
      <c r="E43" s="224" t="s">
        <v>2062</v>
      </c>
      <c r="G43" s="224">
        <v>31077.080827951599</v>
      </c>
      <c r="H43" s="224">
        <v>17273</v>
      </c>
      <c r="I43" s="224">
        <v>7.1992799999999999</v>
      </c>
      <c r="J43" s="224">
        <v>0.17092003045618401</v>
      </c>
      <c r="K43" s="224">
        <v>0.14078898612370816</v>
      </c>
      <c r="L43" s="224">
        <v>0.17113039874034502</v>
      </c>
      <c r="M43" s="224">
        <v>0</v>
      </c>
      <c r="N43" s="224">
        <v>0</v>
      </c>
      <c r="O43" s="224">
        <v>0</v>
      </c>
      <c r="P43" s="224">
        <v>0</v>
      </c>
      <c r="Q43" s="224">
        <v>0</v>
      </c>
      <c r="R43" s="224">
        <v>0</v>
      </c>
      <c r="S43" s="224">
        <v>0</v>
      </c>
      <c r="T43" s="224">
        <v>0</v>
      </c>
      <c r="U43" s="224">
        <v>0</v>
      </c>
      <c r="V43" s="224">
        <v>0</v>
      </c>
      <c r="W43" s="224">
        <v>549.54407450000008</v>
      </c>
      <c r="X43" s="224">
        <v>224.09677033492818</v>
      </c>
      <c r="Y43" s="224">
        <v>7.1992800000000008</v>
      </c>
      <c r="Z43" s="224">
        <v>359.2131584</v>
      </c>
      <c r="AA43" s="224">
        <v>64.584841972615763</v>
      </c>
      <c r="AB43" s="224">
        <v>52.300801445761856</v>
      </c>
      <c r="AC43" s="224">
        <v>63.233296010162675</v>
      </c>
      <c r="AD43" s="1120">
        <v>8.6761756496156472</v>
      </c>
      <c r="AE43" s="224">
        <v>0</v>
      </c>
      <c r="AF43" s="224">
        <v>25398.690796049996</v>
      </c>
      <c r="AG43" s="224">
        <v>9770.6191866028712</v>
      </c>
      <c r="AH43" s="224">
        <v>0</v>
      </c>
      <c r="AI43" s="224">
        <v>82200</v>
      </c>
      <c r="AJ43" s="224">
        <v>0</v>
      </c>
      <c r="AK43" s="224">
        <v>791.37040000000013</v>
      </c>
      <c r="AL43" s="224">
        <v>172278.86</v>
      </c>
      <c r="AM43" s="224">
        <v>65144.992756000014</v>
      </c>
      <c r="AN43" s="1120">
        <v>355584.53313865291</v>
      </c>
      <c r="AO43" s="224">
        <f t="shared" si="0"/>
        <v>1.1431729035933575</v>
      </c>
      <c r="AP43" s="1123">
        <v>0.1</v>
      </c>
      <c r="AQ43" s="1123">
        <f t="shared" si="3"/>
        <v>0.35400422692244193</v>
      </c>
      <c r="AR43" s="1123">
        <v>20</v>
      </c>
      <c r="AS43" s="1123">
        <f t="shared" si="1"/>
        <v>0.86525755651144931</v>
      </c>
      <c r="AT43" s="224">
        <f t="shared" si="2"/>
        <v>125878.42775932627</v>
      </c>
    </row>
    <row r="44" spans="1:46">
      <c r="A44" s="1121">
        <v>2020</v>
      </c>
      <c r="D44" s="1107" t="s">
        <v>2002</v>
      </c>
      <c r="E44" s="224" t="s">
        <v>2062</v>
      </c>
      <c r="G44" s="224">
        <v>30848.280250827975</v>
      </c>
      <c r="H44" s="224">
        <v>17326.2</v>
      </c>
      <c r="I44" s="224">
        <v>7.2943199999999999</v>
      </c>
      <c r="J44" s="224">
        <v>0.16174192361783329</v>
      </c>
      <c r="K44" s="224">
        <v>0.13081697851330126</v>
      </c>
      <c r="L44" s="224">
        <v>0.15807439951175559</v>
      </c>
      <c r="M44" s="224">
        <v>0</v>
      </c>
      <c r="N44" s="224">
        <v>0</v>
      </c>
      <c r="O44" s="224">
        <v>0</v>
      </c>
      <c r="P44" s="224">
        <v>0</v>
      </c>
      <c r="Q44" s="224">
        <v>0</v>
      </c>
      <c r="R44" s="224">
        <v>0</v>
      </c>
      <c r="S44" s="224">
        <v>0</v>
      </c>
      <c r="T44" s="224">
        <v>0</v>
      </c>
      <c r="U44" s="224">
        <v>0</v>
      </c>
      <c r="V44" s="224">
        <v>0</v>
      </c>
      <c r="W44" s="224">
        <v>543.27966934999995</v>
      </c>
      <c r="X44" s="224">
        <v>227.0551435406698</v>
      </c>
      <c r="Y44" s="224">
        <v>7.2943200000000008</v>
      </c>
      <c r="Z44" s="224">
        <v>354.58743770000001</v>
      </c>
      <c r="AA44" s="224">
        <v>60.995008282317912</v>
      </c>
      <c r="AB44" s="224">
        <v>48.52333394592744</v>
      </c>
      <c r="AC44" s="224">
        <v>58.365801165954352</v>
      </c>
      <c r="AD44" s="1120">
        <v>8.0195082308180901</v>
      </c>
      <c r="AE44" s="224">
        <v>0</v>
      </c>
      <c r="AF44" s="224">
        <v>19128.046038952496</v>
      </c>
      <c r="AG44" s="224">
        <v>9899.6042583732051</v>
      </c>
      <c r="AH44" s="224">
        <v>0</v>
      </c>
      <c r="AI44" s="224">
        <v>82200</v>
      </c>
      <c r="AJ44" s="224">
        <v>1355.6962439328033</v>
      </c>
      <c r="AK44" s="224">
        <v>2068.4830000687812</v>
      </c>
      <c r="AL44" s="224">
        <v>162032.85999999999</v>
      </c>
      <c r="AM44" s="224">
        <v>59427.412747692302</v>
      </c>
      <c r="AN44" s="1120">
        <v>336112.10228901962</v>
      </c>
      <c r="AO44" s="224">
        <f t="shared" si="0"/>
        <v>1.0566504044925915</v>
      </c>
      <c r="AP44" s="1123">
        <v>0.1</v>
      </c>
      <c r="AQ44" s="1123">
        <f t="shared" si="3"/>
        <v>0.35400422692244193</v>
      </c>
      <c r="AR44" s="1123">
        <v>20</v>
      </c>
      <c r="AS44" s="1123">
        <f t="shared" si="1"/>
        <v>0.79976943488096752</v>
      </c>
      <c r="AT44" s="224">
        <f t="shared" si="2"/>
        <v>118985.10493010112</v>
      </c>
    </row>
    <row r="45" spans="1:46">
      <c r="A45" s="1118">
        <v>2025</v>
      </c>
      <c r="D45" s="1107" t="s">
        <v>2002</v>
      </c>
      <c r="E45" s="224" t="s">
        <v>2062</v>
      </c>
      <c r="G45" s="224">
        <v>30069.955138762438</v>
      </c>
      <c r="H45" s="224">
        <v>17412.966675</v>
      </c>
      <c r="I45" s="224">
        <v>7.2547200000000007</v>
      </c>
      <c r="J45" s="224">
        <v>0.14658558646134701</v>
      </c>
      <c r="K45" s="224">
        <v>0.11247819535755534</v>
      </c>
      <c r="L45" s="224">
        <v>0.13388114457349407</v>
      </c>
      <c r="M45" s="224">
        <v>0</v>
      </c>
      <c r="N45" s="224">
        <v>0</v>
      </c>
      <c r="O45" s="224">
        <v>0</v>
      </c>
      <c r="P45" s="224">
        <v>0</v>
      </c>
      <c r="Q45" s="224">
        <v>0</v>
      </c>
      <c r="R45" s="224">
        <v>0</v>
      </c>
      <c r="S45" s="224">
        <v>0</v>
      </c>
      <c r="T45" s="224">
        <v>0</v>
      </c>
      <c r="U45" s="224">
        <v>0</v>
      </c>
      <c r="V45" s="224">
        <v>0</v>
      </c>
      <c r="W45" s="224">
        <v>525.56696205000003</v>
      </c>
      <c r="X45" s="224">
        <v>205.17436970923814</v>
      </c>
      <c r="Y45" s="224">
        <v>7.2547200000000007</v>
      </c>
      <c r="Z45" s="224">
        <v>342.40827820000004</v>
      </c>
      <c r="AA45" s="224">
        <v>55.457155362590314</v>
      </c>
      <c r="AB45" s="224">
        <v>41.93566431523589</v>
      </c>
      <c r="AC45" s="224">
        <v>49.77625419581711</v>
      </c>
      <c r="AD45" s="1120">
        <v>6.833751105169533</v>
      </c>
      <c r="AE45" s="224">
        <v>0</v>
      </c>
      <c r="AF45" s="224">
        <v>9169.7893652950006</v>
      </c>
      <c r="AG45" s="224">
        <v>6573.4731983805677</v>
      </c>
      <c r="AH45" s="224">
        <v>0</v>
      </c>
      <c r="AI45" s="224">
        <v>82200</v>
      </c>
      <c r="AJ45" s="224">
        <v>3308.0785849881008</v>
      </c>
      <c r="AK45" s="224">
        <v>5120.4589597967124</v>
      </c>
      <c r="AL45" s="224">
        <v>98523.04</v>
      </c>
      <c r="AM45" s="224">
        <v>37393.903766153853</v>
      </c>
      <c r="AN45" s="1120">
        <v>242288.74387461424</v>
      </c>
      <c r="AO45" s="224">
        <f t="shared" si="0"/>
        <v>0.90041504561713759</v>
      </c>
      <c r="AP45" s="1123">
        <v>0.1</v>
      </c>
      <c r="AQ45" s="1123">
        <f t="shared" si="3"/>
        <v>0.35400422692244193</v>
      </c>
      <c r="AR45" s="1123">
        <v>20</v>
      </c>
      <c r="AS45" s="1123">
        <f t="shared" si="1"/>
        <v>0.68151626037312296</v>
      </c>
      <c r="AT45" s="224">
        <f t="shared" si="2"/>
        <v>85771.239467342355</v>
      </c>
    </row>
    <row r="46" spans="1:46">
      <c r="A46" s="1118">
        <v>2030</v>
      </c>
      <c r="D46" s="1107" t="s">
        <v>2002</v>
      </c>
      <c r="E46" s="224" t="s">
        <v>2062</v>
      </c>
      <c r="G46" s="224">
        <v>29625.762175313204</v>
      </c>
      <c r="H46" s="224">
        <v>17500.166675</v>
      </c>
      <c r="I46" s="224">
        <v>7.3576800000000011</v>
      </c>
      <c r="J46" s="224">
        <v>0.13770344790337635</v>
      </c>
      <c r="K46" s="224">
        <v>0.10460951997158341</v>
      </c>
      <c r="L46" s="224">
        <v>0.12414995342603863</v>
      </c>
      <c r="M46" s="224">
        <v>0</v>
      </c>
      <c r="N46" s="224">
        <v>0</v>
      </c>
      <c r="O46" s="224">
        <v>0</v>
      </c>
      <c r="P46" s="224">
        <v>0</v>
      </c>
      <c r="Q46" s="224">
        <v>0</v>
      </c>
      <c r="R46" s="224">
        <v>0</v>
      </c>
      <c r="S46" s="224">
        <v>0</v>
      </c>
      <c r="T46" s="224">
        <v>0</v>
      </c>
      <c r="U46" s="224">
        <v>0</v>
      </c>
      <c r="V46" s="224">
        <v>0</v>
      </c>
      <c r="W46" s="224">
        <v>517.95809322499997</v>
      </c>
      <c r="X46" s="224">
        <v>163.53805653953032</v>
      </c>
      <c r="Y46" s="224">
        <v>7.3576800000000011</v>
      </c>
      <c r="Z46" s="224">
        <v>336.966672475</v>
      </c>
      <c r="AA46" s="224">
        <v>52.099536575940647</v>
      </c>
      <c r="AB46" s="224">
        <v>39.021115650347937</v>
      </c>
      <c r="AC46" s="224">
        <v>46.210021200880036</v>
      </c>
      <c r="AD46" s="1120">
        <v>6.3198501324656275</v>
      </c>
      <c r="AE46" s="224">
        <v>0</v>
      </c>
      <c r="AF46" s="224">
        <v>6691.286276569921</v>
      </c>
      <c r="AG46" s="224">
        <v>4195.0893027300208</v>
      </c>
      <c r="AH46" s="224">
        <v>0</v>
      </c>
      <c r="AI46" s="224">
        <v>82200</v>
      </c>
      <c r="AJ46" s="224">
        <v>5119.7028019500003</v>
      </c>
      <c r="AK46" s="224">
        <v>6626.5650117372134</v>
      </c>
      <c r="AL46" s="224">
        <v>63914.540000000008</v>
      </c>
      <c r="AM46" s="224">
        <v>27183.589200000002</v>
      </c>
      <c r="AN46" s="1120">
        <v>195930.77259298717</v>
      </c>
      <c r="AO46" s="224">
        <f t="shared" si="0"/>
        <v>0.83270345345367103</v>
      </c>
      <c r="AP46" s="1123">
        <v>0.1</v>
      </c>
      <c r="AQ46" s="1123">
        <f t="shared" si="3"/>
        <v>0.35400422692244193</v>
      </c>
      <c r="AR46" s="1123">
        <v>20</v>
      </c>
      <c r="AS46" s="1123">
        <f t="shared" si="1"/>
        <v>0.63026594941954783</v>
      </c>
      <c r="AT46" s="224">
        <f t="shared" si="2"/>
        <v>69360.321682097201</v>
      </c>
    </row>
    <row r="47" spans="1:46">
      <c r="A47" s="1118">
        <v>2035</v>
      </c>
      <c r="D47" s="1107" t="s">
        <v>2002</v>
      </c>
      <c r="E47" s="224" t="s">
        <v>2062</v>
      </c>
      <c r="G47" s="224">
        <v>29277.774661991123</v>
      </c>
      <c r="H47" s="224">
        <v>17574.349999999999</v>
      </c>
      <c r="I47" s="224">
        <v>7.4052000000000016</v>
      </c>
      <c r="J47" s="224">
        <v>0.12907920426693353</v>
      </c>
      <c r="K47" s="224">
        <v>9.7247906980452117E-2</v>
      </c>
      <c r="L47" s="224">
        <v>0.11508005178236913</v>
      </c>
      <c r="M47" s="224">
        <v>0</v>
      </c>
      <c r="N47" s="224">
        <v>0</v>
      </c>
      <c r="O47" s="224">
        <v>0</v>
      </c>
      <c r="P47" s="224">
        <v>0</v>
      </c>
      <c r="Q47" s="224">
        <v>0</v>
      </c>
      <c r="R47" s="224">
        <v>0</v>
      </c>
      <c r="S47" s="224">
        <v>0</v>
      </c>
      <c r="T47" s="224">
        <v>0</v>
      </c>
      <c r="U47" s="224">
        <v>0</v>
      </c>
      <c r="V47" s="224">
        <v>0</v>
      </c>
      <c r="W47" s="224">
        <v>511.25037105000001</v>
      </c>
      <c r="X47" s="224">
        <v>139.94377729257639</v>
      </c>
      <c r="Y47" s="224">
        <v>7.4052000000000016</v>
      </c>
      <c r="Z47" s="224">
        <v>332.37036072500001</v>
      </c>
      <c r="AA47" s="224">
        <v>48.84129924638043</v>
      </c>
      <c r="AB47" s="224">
        <v>36.300706198400896</v>
      </c>
      <c r="AC47" s="224">
        <v>42.865993136386386</v>
      </c>
      <c r="AD47" s="1120">
        <v>5.8457860465932248</v>
      </c>
      <c r="AE47" s="224">
        <v>0</v>
      </c>
      <c r="AF47" s="224">
        <v>5432.7450309287997</v>
      </c>
      <c r="AG47" s="224">
        <v>2691.2310917030554</v>
      </c>
      <c r="AH47" s="224">
        <v>0</v>
      </c>
      <c r="AI47" s="224">
        <v>82200</v>
      </c>
      <c r="AJ47" s="224">
        <v>6800.390722125002</v>
      </c>
      <c r="AK47" s="224">
        <v>8381.7279528533218</v>
      </c>
      <c r="AL47" s="224">
        <v>49594.2</v>
      </c>
      <c r="AM47" s="224">
        <v>20226.811754999999</v>
      </c>
      <c r="AN47" s="1120">
        <v>175327.10655261017</v>
      </c>
      <c r="AO47" s="224">
        <f t="shared" si="0"/>
        <v>0.77024076949912323</v>
      </c>
      <c r="AP47" s="1123">
        <v>0.1</v>
      </c>
      <c r="AQ47" s="1123">
        <f t="shared" si="3"/>
        <v>0.35400422692244193</v>
      </c>
      <c r="AR47" s="1123">
        <v>20</v>
      </c>
      <c r="AS47" s="1123">
        <f t="shared" si="1"/>
        <v>0.58298849110875861</v>
      </c>
      <c r="AT47" s="224">
        <f t="shared" si="2"/>
        <v>62066.536813705367</v>
      </c>
    </row>
    <row r="48" spans="1:46">
      <c r="A48" s="1118">
        <v>2050</v>
      </c>
      <c r="D48" s="1107" t="s">
        <v>2002</v>
      </c>
      <c r="E48" s="224" t="s">
        <v>2062</v>
      </c>
      <c r="G48" s="224">
        <v>28803.557637863691</v>
      </c>
      <c r="H48" s="224">
        <v>17703.5</v>
      </c>
      <c r="I48" s="224">
        <v>7.3563200000000011</v>
      </c>
      <c r="J48" s="224">
        <v>0.1173603442647627</v>
      </c>
      <c r="K48" s="224">
        <v>8.7081292184246872E-2</v>
      </c>
      <c r="L48" s="224">
        <v>0.10299942971992142</v>
      </c>
      <c r="M48" s="224">
        <v>0</v>
      </c>
      <c r="N48" s="224">
        <v>0</v>
      </c>
      <c r="O48" s="224">
        <v>0</v>
      </c>
      <c r="P48" s="224">
        <v>0</v>
      </c>
      <c r="Q48" s="224">
        <v>0</v>
      </c>
      <c r="R48" s="224">
        <v>0</v>
      </c>
      <c r="S48" s="224">
        <v>0</v>
      </c>
      <c r="T48" s="224">
        <v>0</v>
      </c>
      <c r="U48" s="224">
        <v>0</v>
      </c>
      <c r="V48" s="224">
        <v>0</v>
      </c>
      <c r="W48" s="224">
        <v>493.51753114999997</v>
      </c>
      <c r="X48" s="224">
        <v>118.11992358078601</v>
      </c>
      <c r="Y48" s="224">
        <v>6.2225200000000012</v>
      </c>
      <c r="Z48" s="224">
        <v>320.21511939999999</v>
      </c>
      <c r="AA48" s="224">
        <v>44.348058823579386</v>
      </c>
      <c r="AB48" s="224">
        <v>32.408915493817005</v>
      </c>
      <c r="AC48" s="224">
        <v>38.647156785270631</v>
      </c>
      <c r="AD48" s="1120">
        <v>5.1948040784098275</v>
      </c>
      <c r="AE48" s="224">
        <v>0</v>
      </c>
      <c r="AF48" s="224">
        <v>3205.504398174</v>
      </c>
      <c r="AG48" s="224">
        <v>2184.7393886462874</v>
      </c>
      <c r="AH48" s="224">
        <v>0</v>
      </c>
      <c r="AI48" s="224">
        <v>82200</v>
      </c>
      <c r="AJ48" s="224">
        <v>9732.9566565000005</v>
      </c>
      <c r="AK48" s="224">
        <v>10325.102059837716</v>
      </c>
      <c r="AL48" s="224">
        <v>43259.999999999993</v>
      </c>
      <c r="AM48" s="224">
        <v>17272.873800000001</v>
      </c>
      <c r="AN48" s="1120">
        <v>168181.24908685117</v>
      </c>
      <c r="AO48" s="224">
        <f t="shared" si="0"/>
        <v>0.68446738537127882</v>
      </c>
      <c r="AP48" s="1123">
        <v>0.1</v>
      </c>
      <c r="AQ48" s="1123">
        <f t="shared" si="3"/>
        <v>0.35400422692244193</v>
      </c>
      <c r="AR48" s="1123">
        <v>20</v>
      </c>
      <c r="AS48" s="1123">
        <f t="shared" si="1"/>
        <v>0.51806736803901843</v>
      </c>
      <c r="AT48" s="224">
        <f t="shared" si="2"/>
        <v>59536.873065841392</v>
      </c>
    </row>
    <row r="49" spans="1:46">
      <c r="A49" s="1118">
        <v>2017</v>
      </c>
      <c r="B49" s="1119"/>
      <c r="C49" s="1119"/>
      <c r="D49" s="1119" t="s">
        <v>2003</v>
      </c>
      <c r="E49" s="1119" t="s">
        <v>2057</v>
      </c>
      <c r="F49" s="1119"/>
      <c r="G49" s="224">
        <v>4053.7476382418367</v>
      </c>
      <c r="H49" s="224">
        <v>1644.5</v>
      </c>
      <c r="I49" s="224">
        <v>3.1680000000000001</v>
      </c>
      <c r="J49" s="224">
        <v>6.5906262051519532E-2</v>
      </c>
      <c r="K49" s="224">
        <v>5.6202373470164706E-2</v>
      </c>
      <c r="L49" s="224">
        <v>6.8640769823530248E-2</v>
      </c>
      <c r="M49" s="224">
        <v>0</v>
      </c>
      <c r="N49" s="224">
        <v>0</v>
      </c>
      <c r="O49" s="224">
        <v>0</v>
      </c>
      <c r="P49" s="224">
        <v>0</v>
      </c>
      <c r="Q49" s="224">
        <v>0</v>
      </c>
      <c r="R49" s="224">
        <v>0</v>
      </c>
      <c r="S49" s="224">
        <v>0</v>
      </c>
      <c r="T49" s="224">
        <v>0</v>
      </c>
      <c r="U49" s="224">
        <v>0</v>
      </c>
      <c r="V49" s="224">
        <v>162.90557410000002</v>
      </c>
      <c r="W49" s="224">
        <v>0</v>
      </c>
      <c r="X49" s="224">
        <v>4.3509999999999991</v>
      </c>
      <c r="Y49" s="224">
        <v>3.1680000000000001</v>
      </c>
      <c r="Z49" s="224">
        <v>0</v>
      </c>
      <c r="AA49" s="224">
        <v>13.181252410303909</v>
      </c>
      <c r="AB49" s="224">
        <v>11.24047469403294</v>
      </c>
      <c r="AC49" s="224">
        <v>13.728153964706051</v>
      </c>
      <c r="AD49" s="1120">
        <v>55.196820642492561</v>
      </c>
      <c r="AE49" s="224">
        <v>15143.902991442286</v>
      </c>
      <c r="AF49" s="224">
        <v>0</v>
      </c>
      <c r="AG49" s="224">
        <v>261.60000000000002</v>
      </c>
      <c r="AH49" s="224">
        <v>5573.2276677744831</v>
      </c>
      <c r="AI49" s="224">
        <v>18600</v>
      </c>
      <c r="AJ49" s="224">
        <v>0</v>
      </c>
      <c r="AK49" s="224">
        <v>745.98720000000003</v>
      </c>
      <c r="AL49" s="224">
        <v>0</v>
      </c>
      <c r="AM49" s="224">
        <v>436.00000000000006</v>
      </c>
      <c r="AN49" s="1120">
        <v>40760.717859216769</v>
      </c>
      <c r="AO49" s="224">
        <f t="shared" si="0"/>
        <v>7.2727330878548191</v>
      </c>
      <c r="AP49" s="1123">
        <v>0.1</v>
      </c>
      <c r="AQ49" s="1123">
        <f>AA49*$C$4*365/1000*0.1</f>
        <v>6.3391806341729959E-2</v>
      </c>
      <c r="AR49" s="1123">
        <v>20</v>
      </c>
      <c r="AS49" s="1123">
        <f>AO49/$AO$49</f>
        <v>1</v>
      </c>
      <c r="AT49" s="224">
        <f t="shared" si="2"/>
        <v>2583.8955328813631</v>
      </c>
    </row>
    <row r="50" spans="1:46">
      <c r="A50" s="1121">
        <v>2020</v>
      </c>
      <c r="B50" s="1107"/>
      <c r="C50" s="1107"/>
      <c r="D50" s="1107" t="s">
        <v>2003</v>
      </c>
      <c r="E50" s="1107" t="s">
        <v>2057</v>
      </c>
      <c r="F50" s="1107"/>
      <c r="G50" s="224" t="e">
        <v>#DIV/0!</v>
      </c>
      <c r="H50" s="224" t="e">
        <v>#DIV/0!</v>
      </c>
      <c r="I50" s="224" t="e">
        <v>#DIV/0!</v>
      </c>
      <c r="J50" s="224" t="e">
        <v>#DIV/0!</v>
      </c>
      <c r="K50" s="224" t="e">
        <v>#DIV/0!</v>
      </c>
      <c r="L50" s="224" t="e">
        <v>#DIV/0!</v>
      </c>
      <c r="M50" s="224" t="e">
        <v>#DIV/0!</v>
      </c>
      <c r="N50" s="224" t="e">
        <v>#DIV/0!</v>
      </c>
      <c r="O50" s="224" t="e">
        <v>#DIV/0!</v>
      </c>
      <c r="P50" s="224" t="e">
        <v>#DIV/0!</v>
      </c>
      <c r="Q50" s="224" t="e">
        <v>#DIV/0!</v>
      </c>
      <c r="R50" s="224" t="e">
        <v>#DIV/0!</v>
      </c>
      <c r="S50" s="224" t="e">
        <v>#DIV/0!</v>
      </c>
      <c r="T50" s="224" t="e">
        <v>#DIV/0!</v>
      </c>
      <c r="U50" s="224" t="e">
        <v>#DIV/0!</v>
      </c>
      <c r="V50" s="224" t="e">
        <v>#DIV/0!</v>
      </c>
      <c r="W50" s="224" t="e">
        <v>#DIV/0!</v>
      </c>
      <c r="X50" s="224" t="e">
        <v>#DIV/0!</v>
      </c>
      <c r="Y50" s="224" t="e">
        <v>#DIV/0!</v>
      </c>
      <c r="Z50" s="224" t="e">
        <v>#DIV/0!</v>
      </c>
      <c r="AA50" s="224" t="e">
        <v>#DIV/0!</v>
      </c>
      <c r="AB50" s="224" t="e">
        <v>#DIV/0!</v>
      </c>
      <c r="AC50" s="224" t="e">
        <v>#DIV/0!</v>
      </c>
      <c r="AD50" s="1120" t="e">
        <v>#DIV/0!</v>
      </c>
      <c r="AE50" s="224" t="e">
        <v>#DIV/0!</v>
      </c>
      <c r="AF50" s="224" t="e">
        <v>#DIV/0!</v>
      </c>
      <c r="AG50" s="224" t="e">
        <v>#DIV/0!</v>
      </c>
      <c r="AH50" s="224" t="e">
        <v>#DIV/0!</v>
      </c>
      <c r="AI50" s="224" t="e">
        <v>#DIV/0!</v>
      </c>
      <c r="AJ50" s="224" t="e">
        <v>#DIV/0!</v>
      </c>
      <c r="AK50" s="224" t="e">
        <v>#DIV/0!</v>
      </c>
      <c r="AL50" s="224" t="e">
        <v>#DIV/0!</v>
      </c>
      <c r="AM50" s="224" t="e">
        <v>#DIV/0!</v>
      </c>
      <c r="AN50" s="1120" t="e">
        <v>#DIV/0!</v>
      </c>
      <c r="AO50" s="224" t="e">
        <f t="shared" si="0"/>
        <v>#DIV/0!</v>
      </c>
      <c r="AP50" s="1123">
        <v>0.1</v>
      </c>
      <c r="AQ50" s="1123">
        <f t="shared" si="3"/>
        <v>6.3391806341729959E-2</v>
      </c>
      <c r="AR50" s="1123">
        <v>20</v>
      </c>
      <c r="AS50" s="1123" t="e">
        <f t="shared" ref="AS50:AS84" si="4">AO50/$AO$49</f>
        <v>#DIV/0!</v>
      </c>
      <c r="AT50" s="224" t="e">
        <f t="shared" si="2"/>
        <v>#DIV/0!</v>
      </c>
    </row>
    <row r="51" spans="1:46">
      <c r="A51" s="1118">
        <v>2025</v>
      </c>
      <c r="B51" s="1119"/>
      <c r="C51" s="1119"/>
      <c r="D51" s="1107" t="s">
        <v>2003</v>
      </c>
      <c r="E51" s="1119" t="s">
        <v>2057</v>
      </c>
      <c r="F51" s="1119"/>
      <c r="G51" s="224" t="e">
        <v>#DIV/0!</v>
      </c>
      <c r="H51" s="224" t="e">
        <v>#DIV/0!</v>
      </c>
      <c r="I51" s="224" t="e">
        <v>#DIV/0!</v>
      </c>
      <c r="J51" s="224" t="e">
        <v>#DIV/0!</v>
      </c>
      <c r="K51" s="224" t="e">
        <v>#DIV/0!</v>
      </c>
      <c r="L51" s="224" t="e">
        <v>#DIV/0!</v>
      </c>
      <c r="M51" s="224" t="e">
        <v>#DIV/0!</v>
      </c>
      <c r="N51" s="224" t="e">
        <v>#DIV/0!</v>
      </c>
      <c r="O51" s="224" t="e">
        <v>#DIV/0!</v>
      </c>
      <c r="P51" s="224" t="e">
        <v>#DIV/0!</v>
      </c>
      <c r="Q51" s="224" t="e">
        <v>#DIV/0!</v>
      </c>
      <c r="R51" s="224" t="e">
        <v>#DIV/0!</v>
      </c>
      <c r="S51" s="224" t="e">
        <v>#DIV/0!</v>
      </c>
      <c r="T51" s="224" t="e">
        <v>#DIV/0!</v>
      </c>
      <c r="U51" s="224" t="e">
        <v>#DIV/0!</v>
      </c>
      <c r="V51" s="224" t="e">
        <v>#DIV/0!</v>
      </c>
      <c r="W51" s="224" t="e">
        <v>#DIV/0!</v>
      </c>
      <c r="X51" s="224" t="e">
        <v>#DIV/0!</v>
      </c>
      <c r="Y51" s="224" t="e">
        <v>#DIV/0!</v>
      </c>
      <c r="Z51" s="224" t="e">
        <v>#DIV/0!</v>
      </c>
      <c r="AA51" s="224" t="e">
        <v>#DIV/0!</v>
      </c>
      <c r="AB51" s="224" t="e">
        <v>#DIV/0!</v>
      </c>
      <c r="AC51" s="224" t="e">
        <v>#DIV/0!</v>
      </c>
      <c r="AD51" s="1120" t="e">
        <v>#DIV/0!</v>
      </c>
      <c r="AE51" s="224" t="e">
        <v>#DIV/0!</v>
      </c>
      <c r="AF51" s="224" t="e">
        <v>#DIV/0!</v>
      </c>
      <c r="AG51" s="224" t="e">
        <v>#DIV/0!</v>
      </c>
      <c r="AH51" s="224" t="e">
        <v>#DIV/0!</v>
      </c>
      <c r="AI51" s="224" t="e">
        <v>#DIV/0!</v>
      </c>
      <c r="AJ51" s="224" t="e">
        <v>#DIV/0!</v>
      </c>
      <c r="AK51" s="224" t="e">
        <v>#DIV/0!</v>
      </c>
      <c r="AL51" s="224" t="e">
        <v>#DIV/0!</v>
      </c>
      <c r="AM51" s="224" t="e">
        <v>#DIV/0!</v>
      </c>
      <c r="AN51" s="1120" t="e">
        <v>#DIV/0!</v>
      </c>
      <c r="AO51" s="224" t="e">
        <f t="shared" si="0"/>
        <v>#DIV/0!</v>
      </c>
      <c r="AP51" s="1123">
        <v>0.1</v>
      </c>
      <c r="AQ51" s="1123">
        <f t="shared" si="3"/>
        <v>6.3391806341729959E-2</v>
      </c>
      <c r="AR51" s="1123">
        <v>20</v>
      </c>
      <c r="AS51" s="1123" t="e">
        <f t="shared" si="4"/>
        <v>#DIV/0!</v>
      </c>
      <c r="AT51" s="224" t="e">
        <f t="shared" si="2"/>
        <v>#DIV/0!</v>
      </c>
    </row>
    <row r="52" spans="1:46">
      <c r="A52" s="1118">
        <v>2030</v>
      </c>
      <c r="B52" s="1107"/>
      <c r="C52" s="1107"/>
      <c r="D52" s="1107" t="s">
        <v>2003</v>
      </c>
      <c r="E52" s="1107" t="s">
        <v>2057</v>
      </c>
      <c r="F52" s="1107"/>
      <c r="G52" s="224">
        <v>4187.8509903640024</v>
      </c>
      <c r="H52" s="224">
        <v>1679.5</v>
      </c>
      <c r="I52" s="224">
        <v>3.1680000000000001</v>
      </c>
      <c r="J52" s="224">
        <v>4.9049991627523312E-2</v>
      </c>
      <c r="K52" s="224">
        <v>3.5792453856287508E-2</v>
      </c>
      <c r="L52" s="224">
        <v>4.3136869286860627E-2</v>
      </c>
      <c r="M52" s="224">
        <v>0</v>
      </c>
      <c r="N52" s="224">
        <v>0</v>
      </c>
      <c r="O52" s="224">
        <v>0</v>
      </c>
      <c r="P52" s="224">
        <v>0</v>
      </c>
      <c r="Q52" s="224">
        <v>0</v>
      </c>
      <c r="R52" s="224">
        <v>0</v>
      </c>
      <c r="S52" s="224">
        <v>0</v>
      </c>
      <c r="T52" s="224">
        <v>0</v>
      </c>
      <c r="U52" s="224">
        <v>0</v>
      </c>
      <c r="V52" s="224">
        <v>164.2930159</v>
      </c>
      <c r="W52" s="224">
        <v>0</v>
      </c>
      <c r="X52" s="224">
        <v>4.3964347826086954</v>
      </c>
      <c r="Y52" s="224">
        <v>3.1680000000000001</v>
      </c>
      <c r="Z52" s="224">
        <v>0</v>
      </c>
      <c r="AA52" s="224">
        <v>9.8099983255046634</v>
      </c>
      <c r="AB52" s="224">
        <v>7.158490771257501</v>
      </c>
      <c r="AC52" s="224">
        <v>8.6273738573721239</v>
      </c>
      <c r="AD52" s="1120">
        <v>35.160573732855248</v>
      </c>
      <c r="AE52" s="224">
        <v>15379.952058614859</v>
      </c>
      <c r="AF52" s="224">
        <v>0</v>
      </c>
      <c r="AG52" s="224">
        <v>177.6</v>
      </c>
      <c r="AH52" s="224">
        <v>5612.0090582255179</v>
      </c>
      <c r="AI52" s="224">
        <v>18600</v>
      </c>
      <c r="AJ52" s="224">
        <v>619.42648860000008</v>
      </c>
      <c r="AK52" s="224">
        <v>5614.4184944067338</v>
      </c>
      <c r="AL52" s="224">
        <v>0</v>
      </c>
      <c r="AM52" s="224">
        <v>296</v>
      </c>
      <c r="AN52" s="1120">
        <v>46299.406099847103</v>
      </c>
      <c r="AO52" s="224">
        <f t="shared" si="0"/>
        <v>4.6327571950410071</v>
      </c>
      <c r="AP52" s="1123">
        <v>0.1</v>
      </c>
      <c r="AQ52" s="1123">
        <f t="shared" si="3"/>
        <v>6.3391806341729959E-2</v>
      </c>
      <c r="AR52" s="1123">
        <v>20</v>
      </c>
      <c r="AS52" s="1123">
        <f t="shared" si="4"/>
        <v>0.63700360498277209</v>
      </c>
      <c r="AT52" s="224">
        <f t="shared" si="2"/>
        <v>2935.0029852186185</v>
      </c>
    </row>
    <row r="53" spans="1:46">
      <c r="A53" s="1118">
        <v>2035</v>
      </c>
      <c r="B53" s="1119"/>
      <c r="C53" s="1119"/>
      <c r="D53" s="1107" t="s">
        <v>2003</v>
      </c>
      <c r="E53" s="1119" t="s">
        <v>2057</v>
      </c>
      <c r="F53" s="1119"/>
      <c r="G53" s="224" t="e">
        <v>#DIV/0!</v>
      </c>
      <c r="H53" s="224" t="e">
        <v>#DIV/0!</v>
      </c>
      <c r="I53" s="224" t="e">
        <v>#DIV/0!</v>
      </c>
      <c r="J53" s="224" t="e">
        <v>#DIV/0!</v>
      </c>
      <c r="K53" s="224" t="e">
        <v>#DIV/0!</v>
      </c>
      <c r="L53" s="224" t="e">
        <v>#DIV/0!</v>
      </c>
      <c r="M53" s="224" t="e">
        <v>#DIV/0!</v>
      </c>
      <c r="N53" s="224" t="e">
        <v>#DIV/0!</v>
      </c>
      <c r="O53" s="224" t="e">
        <v>#DIV/0!</v>
      </c>
      <c r="P53" s="224" t="e">
        <v>#DIV/0!</v>
      </c>
      <c r="Q53" s="224" t="e">
        <v>#DIV/0!</v>
      </c>
      <c r="R53" s="224" t="e">
        <v>#DIV/0!</v>
      </c>
      <c r="S53" s="224" t="e">
        <v>#DIV/0!</v>
      </c>
      <c r="T53" s="224" t="e">
        <v>#DIV/0!</v>
      </c>
      <c r="U53" s="224" t="e">
        <v>#DIV/0!</v>
      </c>
      <c r="V53" s="224" t="e">
        <v>#DIV/0!</v>
      </c>
      <c r="W53" s="224" t="e">
        <v>#DIV/0!</v>
      </c>
      <c r="X53" s="224" t="e">
        <v>#DIV/0!</v>
      </c>
      <c r="Y53" s="224" t="e">
        <v>#DIV/0!</v>
      </c>
      <c r="Z53" s="224" t="e">
        <v>#DIV/0!</v>
      </c>
      <c r="AA53" s="224" t="e">
        <v>#DIV/0!</v>
      </c>
      <c r="AB53" s="224" t="e">
        <v>#DIV/0!</v>
      </c>
      <c r="AC53" s="224" t="e">
        <v>#DIV/0!</v>
      </c>
      <c r="AD53" s="1120" t="e">
        <v>#DIV/0!</v>
      </c>
      <c r="AE53" s="224" t="e">
        <v>#DIV/0!</v>
      </c>
      <c r="AF53" s="224" t="e">
        <v>#DIV/0!</v>
      </c>
      <c r="AG53" s="224" t="e">
        <v>#DIV/0!</v>
      </c>
      <c r="AH53" s="224" t="e">
        <v>#DIV/0!</v>
      </c>
      <c r="AI53" s="224" t="e">
        <v>#DIV/0!</v>
      </c>
      <c r="AJ53" s="224" t="e">
        <v>#DIV/0!</v>
      </c>
      <c r="AK53" s="224" t="e">
        <v>#DIV/0!</v>
      </c>
      <c r="AL53" s="224" t="e">
        <v>#DIV/0!</v>
      </c>
      <c r="AM53" s="224" t="e">
        <v>#DIV/0!</v>
      </c>
      <c r="AN53" s="1120" t="e">
        <v>#DIV/0!</v>
      </c>
      <c r="AO53" s="224" t="e">
        <f t="shared" si="0"/>
        <v>#DIV/0!</v>
      </c>
      <c r="AP53" s="1123">
        <v>0.1</v>
      </c>
      <c r="AQ53" s="1123">
        <f t="shared" si="3"/>
        <v>6.3391806341729959E-2</v>
      </c>
      <c r="AR53" s="1123">
        <v>20</v>
      </c>
      <c r="AS53" s="1123" t="e">
        <f t="shared" si="4"/>
        <v>#DIV/0!</v>
      </c>
      <c r="AT53" s="224" t="e">
        <f t="shared" si="2"/>
        <v>#DIV/0!</v>
      </c>
    </row>
    <row r="54" spans="1:46">
      <c r="A54" s="1118">
        <v>2050</v>
      </c>
      <c r="B54" s="1107"/>
      <c r="C54" s="1107"/>
      <c r="D54" s="1107" t="s">
        <v>2003</v>
      </c>
      <c r="E54" s="1107" t="s">
        <v>2057</v>
      </c>
      <c r="F54" s="1107"/>
      <c r="G54" s="224">
        <v>4176.440580739185</v>
      </c>
      <c r="H54" s="224">
        <v>1762.5</v>
      </c>
      <c r="I54" s="224">
        <v>3.1680000000000001</v>
      </c>
      <c r="J54" s="224">
        <v>4.6207571249253801E-2</v>
      </c>
      <c r="K54" s="224">
        <v>3.3731579691021078E-2</v>
      </c>
      <c r="L54" s="224">
        <v>4.0817837443209035E-2</v>
      </c>
      <c r="M54" s="224">
        <v>0</v>
      </c>
      <c r="N54" s="224">
        <v>0</v>
      </c>
      <c r="O54" s="224">
        <v>0</v>
      </c>
      <c r="P54" s="224">
        <v>0</v>
      </c>
      <c r="Q54" s="224">
        <v>0</v>
      </c>
      <c r="R54" s="224">
        <v>0</v>
      </c>
      <c r="S54" s="224">
        <v>0</v>
      </c>
      <c r="T54" s="224">
        <v>0</v>
      </c>
      <c r="U54" s="224">
        <v>0</v>
      </c>
      <c r="V54" s="224">
        <v>161.15968530000001</v>
      </c>
      <c r="W54" s="224">
        <v>0</v>
      </c>
      <c r="X54" s="224">
        <v>4.3964347826086954</v>
      </c>
      <c r="Y54" s="224">
        <v>3.1680000000000001</v>
      </c>
      <c r="Z54" s="224">
        <v>0</v>
      </c>
      <c r="AA54" s="224">
        <v>9.2415142498507592</v>
      </c>
      <c r="AB54" s="224">
        <v>6.7463159382042157</v>
      </c>
      <c r="AC54" s="224">
        <v>8.1635674886418066</v>
      </c>
      <c r="AD54" s="1120">
        <v>29.642635265481175</v>
      </c>
      <c r="AE54" s="224">
        <v>15107.349068223997</v>
      </c>
      <c r="AF54" s="224">
        <v>0</v>
      </c>
      <c r="AG54" s="224">
        <v>144</v>
      </c>
      <c r="AH54" s="224">
        <v>5524.4270656613789</v>
      </c>
      <c r="AI54" s="224">
        <v>18600</v>
      </c>
      <c r="AJ54" s="224">
        <v>1463.2117487400001</v>
      </c>
      <c r="AK54" s="224">
        <v>6393.2965024452897</v>
      </c>
      <c r="AL54" s="224">
        <v>0</v>
      </c>
      <c r="AM54" s="224">
        <v>240</v>
      </c>
      <c r="AN54" s="1120">
        <v>47472.28438507067</v>
      </c>
      <c r="AO54" s="224">
        <f t="shared" si="0"/>
        <v>3.9057136225797993</v>
      </c>
      <c r="AP54" s="1123">
        <v>0.1</v>
      </c>
      <c r="AQ54" s="1123">
        <f t="shared" si="3"/>
        <v>6.3391806341729959E-2</v>
      </c>
      <c r="AR54" s="1123">
        <v>20</v>
      </c>
      <c r="AS54" s="1123">
        <f t="shared" si="4"/>
        <v>0.53703519370210206</v>
      </c>
      <c r="AT54" s="224">
        <f t="shared" si="2"/>
        <v>3009.3538583379309</v>
      </c>
    </row>
    <row r="55" spans="1:46">
      <c r="A55" s="1118">
        <v>2017</v>
      </c>
      <c r="B55" s="1119"/>
      <c r="C55" s="1119"/>
      <c r="D55" s="1107" t="s">
        <v>2003</v>
      </c>
      <c r="E55" s="1119" t="s">
        <v>2058</v>
      </c>
      <c r="F55" s="1119"/>
      <c r="G55" s="224">
        <v>3993.8355053458145</v>
      </c>
      <c r="H55" s="224">
        <v>1644.5</v>
      </c>
      <c r="I55" s="224">
        <v>0.21333565440000002</v>
      </c>
      <c r="J55" s="224">
        <v>6.4751080622256027E-2</v>
      </c>
      <c r="K55" s="224">
        <v>5.4092369722961803E-2</v>
      </c>
      <c r="L55" s="224">
        <v>6.6417858813371866E-2</v>
      </c>
      <c r="M55" s="224">
        <v>0</v>
      </c>
      <c r="N55" s="224">
        <v>0</v>
      </c>
      <c r="O55" s="224">
        <v>0</v>
      </c>
      <c r="P55" s="224">
        <v>0</v>
      </c>
      <c r="Q55" s="224">
        <v>0</v>
      </c>
      <c r="R55" s="224">
        <v>0</v>
      </c>
      <c r="S55" s="224">
        <v>0</v>
      </c>
      <c r="T55" s="224">
        <v>0</v>
      </c>
      <c r="U55" s="224">
        <v>0</v>
      </c>
      <c r="V55" s="224">
        <v>162.90557410000002</v>
      </c>
      <c r="W55" s="224">
        <v>4</v>
      </c>
      <c r="X55" s="224">
        <v>6</v>
      </c>
      <c r="Y55" s="224">
        <v>0.21333565440000002</v>
      </c>
      <c r="Z55" s="224">
        <v>0</v>
      </c>
      <c r="AA55" s="224">
        <v>12.950216124451204</v>
      </c>
      <c r="AB55" s="224">
        <v>10.818473944592359</v>
      </c>
      <c r="AC55" s="224">
        <v>13.283571762674374</v>
      </c>
      <c r="AD55" s="1120">
        <v>53.883584050093319</v>
      </c>
      <c r="AE55" s="224">
        <v>15143.902991442286</v>
      </c>
      <c r="AF55" s="224">
        <v>883.35</v>
      </c>
      <c r="AG55" s="224">
        <v>289.53193070239229</v>
      </c>
      <c r="AH55" s="224">
        <v>5573.2276677744831</v>
      </c>
      <c r="AI55" s="224">
        <v>18600</v>
      </c>
      <c r="AJ55" s="224">
        <v>0</v>
      </c>
      <c r="AK55" s="224">
        <v>745.98720000000003</v>
      </c>
      <c r="AL55" s="224">
        <v>0</v>
      </c>
      <c r="AM55" s="224">
        <v>436.00000000000006</v>
      </c>
      <c r="AN55" s="1120">
        <v>41671.999789919166</v>
      </c>
      <c r="AO55" s="224">
        <f t="shared" si="0"/>
        <v>7.0997010344402947</v>
      </c>
      <c r="AP55" s="1123">
        <v>0.1</v>
      </c>
      <c r="AQ55" s="1123">
        <f t="shared" si="3"/>
        <v>6.3391806341729959E-2</v>
      </c>
      <c r="AR55" s="1123">
        <v>20</v>
      </c>
      <c r="AS55" s="1123">
        <f t="shared" si="4"/>
        <v>0.97620811167902188</v>
      </c>
      <c r="AT55" s="224">
        <f t="shared" si="2"/>
        <v>2641.6633405551675</v>
      </c>
    </row>
    <row r="56" spans="1:46">
      <c r="A56" s="1121">
        <v>2020</v>
      </c>
      <c r="D56" s="1107" t="s">
        <v>2003</v>
      </c>
      <c r="E56" s="224" t="s">
        <v>2058</v>
      </c>
      <c r="G56" s="224" t="e">
        <v>#DIV/0!</v>
      </c>
      <c r="H56" s="224" t="e">
        <v>#DIV/0!</v>
      </c>
      <c r="I56" s="224" t="e">
        <v>#DIV/0!</v>
      </c>
      <c r="J56" s="224" t="e">
        <v>#DIV/0!</v>
      </c>
      <c r="K56" s="224" t="e">
        <v>#DIV/0!</v>
      </c>
      <c r="L56" s="224" t="e">
        <v>#DIV/0!</v>
      </c>
      <c r="M56" s="224" t="e">
        <v>#DIV/0!</v>
      </c>
      <c r="N56" s="224" t="e">
        <v>#DIV/0!</v>
      </c>
      <c r="O56" s="224" t="e">
        <v>#DIV/0!</v>
      </c>
      <c r="P56" s="224" t="e">
        <v>#DIV/0!</v>
      </c>
      <c r="Q56" s="224" t="e">
        <v>#DIV/0!</v>
      </c>
      <c r="R56" s="224" t="e">
        <v>#DIV/0!</v>
      </c>
      <c r="S56" s="224" t="e">
        <v>#DIV/0!</v>
      </c>
      <c r="T56" s="224" t="e">
        <v>#DIV/0!</v>
      </c>
      <c r="U56" s="224" t="e">
        <v>#DIV/0!</v>
      </c>
      <c r="V56" s="224" t="e">
        <v>#DIV/0!</v>
      </c>
      <c r="W56" s="224" t="e">
        <v>#DIV/0!</v>
      </c>
      <c r="X56" s="224" t="e">
        <v>#DIV/0!</v>
      </c>
      <c r="Y56" s="224" t="e">
        <v>#DIV/0!</v>
      </c>
      <c r="Z56" s="224" t="e">
        <v>#DIV/0!</v>
      </c>
      <c r="AA56" s="224" t="e">
        <v>#DIV/0!</v>
      </c>
      <c r="AB56" s="224" t="e">
        <v>#DIV/0!</v>
      </c>
      <c r="AC56" s="224" t="e">
        <v>#DIV/0!</v>
      </c>
      <c r="AD56" s="1120" t="e">
        <v>#DIV/0!</v>
      </c>
      <c r="AE56" s="224" t="e">
        <v>#DIV/0!</v>
      </c>
      <c r="AF56" s="224" t="e">
        <v>#DIV/0!</v>
      </c>
      <c r="AG56" s="224" t="e">
        <v>#DIV/0!</v>
      </c>
      <c r="AH56" s="224" t="e">
        <v>#DIV/0!</v>
      </c>
      <c r="AI56" s="224" t="e">
        <v>#DIV/0!</v>
      </c>
      <c r="AJ56" s="224" t="e">
        <v>#DIV/0!</v>
      </c>
      <c r="AK56" s="224" t="e">
        <v>#DIV/0!</v>
      </c>
      <c r="AL56" s="224" t="e">
        <v>#DIV/0!</v>
      </c>
      <c r="AM56" s="224" t="e">
        <v>#DIV/0!</v>
      </c>
      <c r="AN56" s="1120" t="e">
        <v>#DIV/0!</v>
      </c>
      <c r="AO56" s="224" t="e">
        <f t="shared" si="0"/>
        <v>#DIV/0!</v>
      </c>
      <c r="AP56" s="1123">
        <v>0.1</v>
      </c>
      <c r="AQ56" s="1123">
        <f t="shared" si="3"/>
        <v>6.3391806341729959E-2</v>
      </c>
      <c r="AR56" s="1123">
        <v>20</v>
      </c>
      <c r="AS56" s="1123" t="e">
        <f t="shared" si="4"/>
        <v>#DIV/0!</v>
      </c>
      <c r="AT56" s="224" t="e">
        <f t="shared" si="2"/>
        <v>#DIV/0!</v>
      </c>
    </row>
    <row r="57" spans="1:46">
      <c r="A57" s="1118">
        <v>2025</v>
      </c>
      <c r="D57" s="1107" t="s">
        <v>2003</v>
      </c>
      <c r="E57" s="224" t="s">
        <v>2058</v>
      </c>
      <c r="G57" s="224" t="e">
        <v>#DIV/0!</v>
      </c>
      <c r="H57" s="224" t="e">
        <v>#DIV/0!</v>
      </c>
      <c r="I57" s="224" t="e">
        <v>#DIV/0!</v>
      </c>
      <c r="J57" s="224" t="e">
        <v>#DIV/0!</v>
      </c>
      <c r="K57" s="224" t="e">
        <v>#DIV/0!</v>
      </c>
      <c r="L57" s="224" t="e">
        <v>#DIV/0!</v>
      </c>
      <c r="M57" s="224" t="e">
        <v>#DIV/0!</v>
      </c>
      <c r="N57" s="224" t="e">
        <v>#DIV/0!</v>
      </c>
      <c r="O57" s="224" t="e">
        <v>#DIV/0!</v>
      </c>
      <c r="P57" s="224" t="e">
        <v>#DIV/0!</v>
      </c>
      <c r="Q57" s="224" t="e">
        <v>#DIV/0!</v>
      </c>
      <c r="R57" s="224" t="e">
        <v>#DIV/0!</v>
      </c>
      <c r="S57" s="224" t="e">
        <v>#DIV/0!</v>
      </c>
      <c r="T57" s="224" t="e">
        <v>#DIV/0!</v>
      </c>
      <c r="U57" s="224" t="e">
        <v>#DIV/0!</v>
      </c>
      <c r="V57" s="224" t="e">
        <v>#DIV/0!</v>
      </c>
      <c r="W57" s="224" t="e">
        <v>#DIV/0!</v>
      </c>
      <c r="X57" s="224" t="e">
        <v>#DIV/0!</v>
      </c>
      <c r="Y57" s="224" t="e">
        <v>#DIV/0!</v>
      </c>
      <c r="Z57" s="224" t="e">
        <v>#DIV/0!</v>
      </c>
      <c r="AA57" s="224" t="e">
        <v>#DIV/0!</v>
      </c>
      <c r="AB57" s="224" t="e">
        <v>#DIV/0!</v>
      </c>
      <c r="AC57" s="224" t="e">
        <v>#DIV/0!</v>
      </c>
      <c r="AD57" s="1120" t="e">
        <v>#DIV/0!</v>
      </c>
      <c r="AE57" s="224" t="e">
        <v>#DIV/0!</v>
      </c>
      <c r="AF57" s="224" t="e">
        <v>#DIV/0!</v>
      </c>
      <c r="AG57" s="224" t="e">
        <v>#DIV/0!</v>
      </c>
      <c r="AH57" s="224" t="e">
        <v>#DIV/0!</v>
      </c>
      <c r="AI57" s="224" t="e">
        <v>#DIV/0!</v>
      </c>
      <c r="AJ57" s="224" t="e">
        <v>#DIV/0!</v>
      </c>
      <c r="AK57" s="224" t="e">
        <v>#DIV/0!</v>
      </c>
      <c r="AL57" s="224" t="e">
        <v>#DIV/0!</v>
      </c>
      <c r="AM57" s="224" t="e">
        <v>#DIV/0!</v>
      </c>
      <c r="AN57" s="1120" t="e">
        <v>#DIV/0!</v>
      </c>
      <c r="AO57" s="224" t="e">
        <f t="shared" si="0"/>
        <v>#DIV/0!</v>
      </c>
      <c r="AP57" s="1123">
        <v>0.1</v>
      </c>
      <c r="AQ57" s="1123">
        <f t="shared" si="3"/>
        <v>6.3391806341729959E-2</v>
      </c>
      <c r="AR57" s="1123">
        <v>20</v>
      </c>
      <c r="AS57" s="1123" t="e">
        <f t="shared" si="4"/>
        <v>#DIV/0!</v>
      </c>
      <c r="AT57" s="224" t="e">
        <f t="shared" si="2"/>
        <v>#DIV/0!</v>
      </c>
    </row>
    <row r="58" spans="1:46">
      <c r="A58" s="1118">
        <v>2030</v>
      </c>
      <c r="D58" s="1107" t="s">
        <v>2003</v>
      </c>
      <c r="E58" s="224" t="s">
        <v>2058</v>
      </c>
      <c r="G58" s="224" t="e">
        <v>#DIV/0!</v>
      </c>
      <c r="H58" s="224" t="e">
        <v>#DIV/0!</v>
      </c>
      <c r="I58" s="224" t="e">
        <v>#DIV/0!</v>
      </c>
      <c r="J58" s="224" t="e">
        <v>#DIV/0!</v>
      </c>
      <c r="K58" s="224" t="e">
        <v>#DIV/0!</v>
      </c>
      <c r="L58" s="224" t="e">
        <v>#DIV/0!</v>
      </c>
      <c r="M58" s="224" t="e">
        <v>#DIV/0!</v>
      </c>
      <c r="N58" s="224" t="e">
        <v>#DIV/0!</v>
      </c>
      <c r="O58" s="224" t="e">
        <v>#DIV/0!</v>
      </c>
      <c r="P58" s="224" t="e">
        <v>#DIV/0!</v>
      </c>
      <c r="Q58" s="224" t="e">
        <v>#DIV/0!</v>
      </c>
      <c r="R58" s="224" t="e">
        <v>#DIV/0!</v>
      </c>
      <c r="S58" s="224" t="e">
        <v>#DIV/0!</v>
      </c>
      <c r="T58" s="224" t="e">
        <v>#DIV/0!</v>
      </c>
      <c r="U58" s="224" t="e">
        <v>#DIV/0!</v>
      </c>
      <c r="V58" s="224" t="e">
        <v>#DIV/0!</v>
      </c>
      <c r="W58" s="224" t="e">
        <v>#DIV/0!</v>
      </c>
      <c r="X58" s="224" t="e">
        <v>#DIV/0!</v>
      </c>
      <c r="Y58" s="224" t="e">
        <v>#DIV/0!</v>
      </c>
      <c r="Z58" s="224" t="e">
        <v>#DIV/0!</v>
      </c>
      <c r="AA58" s="224" t="e">
        <v>#DIV/0!</v>
      </c>
      <c r="AB58" s="224" t="e">
        <v>#DIV/0!</v>
      </c>
      <c r="AC58" s="224" t="e">
        <v>#DIV/0!</v>
      </c>
      <c r="AD58" s="1120" t="e">
        <v>#DIV/0!</v>
      </c>
      <c r="AE58" s="224" t="e">
        <v>#DIV/0!</v>
      </c>
      <c r="AF58" s="224" t="e">
        <v>#DIV/0!</v>
      </c>
      <c r="AG58" s="224" t="e">
        <v>#DIV/0!</v>
      </c>
      <c r="AH58" s="224" t="e">
        <v>#DIV/0!</v>
      </c>
      <c r="AI58" s="224" t="e">
        <v>#DIV/0!</v>
      </c>
      <c r="AJ58" s="224" t="e">
        <v>#DIV/0!</v>
      </c>
      <c r="AK58" s="224" t="e">
        <v>#DIV/0!</v>
      </c>
      <c r="AL58" s="224" t="e">
        <v>#DIV/0!</v>
      </c>
      <c r="AM58" s="224" t="e">
        <v>#DIV/0!</v>
      </c>
      <c r="AN58" s="1120" t="e">
        <v>#DIV/0!</v>
      </c>
      <c r="AO58" s="224" t="e">
        <f t="shared" si="0"/>
        <v>#DIV/0!</v>
      </c>
      <c r="AP58" s="1123">
        <v>0.1</v>
      </c>
      <c r="AQ58" s="1123">
        <f t="shared" si="3"/>
        <v>6.3391806341729959E-2</v>
      </c>
      <c r="AR58" s="1123">
        <v>20</v>
      </c>
      <c r="AS58" s="1123" t="e">
        <f t="shared" si="4"/>
        <v>#DIV/0!</v>
      </c>
      <c r="AT58" s="224" t="e">
        <f t="shared" si="2"/>
        <v>#DIV/0!</v>
      </c>
    </row>
    <row r="59" spans="1:46">
      <c r="A59" s="1118">
        <v>2035</v>
      </c>
      <c r="D59" s="1107" t="s">
        <v>2003</v>
      </c>
      <c r="E59" s="224" t="s">
        <v>2058</v>
      </c>
      <c r="G59" s="224" t="e">
        <v>#DIV/0!</v>
      </c>
      <c r="H59" s="224" t="e">
        <v>#DIV/0!</v>
      </c>
      <c r="I59" s="224" t="e">
        <v>#DIV/0!</v>
      </c>
      <c r="J59" s="224" t="e">
        <v>#DIV/0!</v>
      </c>
      <c r="K59" s="224" t="e">
        <v>#DIV/0!</v>
      </c>
      <c r="L59" s="224" t="e">
        <v>#DIV/0!</v>
      </c>
      <c r="M59" s="224" t="e">
        <v>#DIV/0!</v>
      </c>
      <c r="N59" s="224" t="e">
        <v>#DIV/0!</v>
      </c>
      <c r="O59" s="224" t="e">
        <v>#DIV/0!</v>
      </c>
      <c r="P59" s="224" t="e">
        <v>#DIV/0!</v>
      </c>
      <c r="Q59" s="224" t="e">
        <v>#DIV/0!</v>
      </c>
      <c r="R59" s="224" t="e">
        <v>#DIV/0!</v>
      </c>
      <c r="S59" s="224" t="e">
        <v>#DIV/0!</v>
      </c>
      <c r="T59" s="224" t="e">
        <v>#DIV/0!</v>
      </c>
      <c r="U59" s="224" t="e">
        <v>#DIV/0!</v>
      </c>
      <c r="V59" s="224" t="e">
        <v>#DIV/0!</v>
      </c>
      <c r="W59" s="224" t="e">
        <v>#DIV/0!</v>
      </c>
      <c r="X59" s="224" t="e">
        <v>#DIV/0!</v>
      </c>
      <c r="Y59" s="224" t="e">
        <v>#DIV/0!</v>
      </c>
      <c r="Z59" s="224" t="e">
        <v>#DIV/0!</v>
      </c>
      <c r="AA59" s="224" t="e">
        <v>#DIV/0!</v>
      </c>
      <c r="AB59" s="224" t="e">
        <v>#DIV/0!</v>
      </c>
      <c r="AC59" s="224" t="e">
        <v>#DIV/0!</v>
      </c>
      <c r="AD59" s="1120" t="e">
        <v>#DIV/0!</v>
      </c>
      <c r="AE59" s="224" t="e">
        <v>#DIV/0!</v>
      </c>
      <c r="AF59" s="224" t="e">
        <v>#DIV/0!</v>
      </c>
      <c r="AG59" s="224" t="e">
        <v>#DIV/0!</v>
      </c>
      <c r="AH59" s="224" t="e">
        <v>#DIV/0!</v>
      </c>
      <c r="AI59" s="224" t="e">
        <v>#DIV/0!</v>
      </c>
      <c r="AJ59" s="224" t="e">
        <v>#DIV/0!</v>
      </c>
      <c r="AK59" s="224" t="e">
        <v>#DIV/0!</v>
      </c>
      <c r="AL59" s="224" t="e">
        <v>#DIV/0!</v>
      </c>
      <c r="AM59" s="224" t="e">
        <v>#DIV/0!</v>
      </c>
      <c r="AN59" s="1120" t="e">
        <v>#DIV/0!</v>
      </c>
      <c r="AO59" s="224" t="e">
        <f t="shared" si="0"/>
        <v>#DIV/0!</v>
      </c>
      <c r="AP59" s="1123">
        <v>0.1</v>
      </c>
      <c r="AQ59" s="1123">
        <f t="shared" si="3"/>
        <v>6.3391806341729959E-2</v>
      </c>
      <c r="AR59" s="1123">
        <v>20</v>
      </c>
      <c r="AS59" s="1123" t="e">
        <f t="shared" si="4"/>
        <v>#DIV/0!</v>
      </c>
      <c r="AT59" s="224" t="e">
        <f t="shared" si="2"/>
        <v>#DIV/0!</v>
      </c>
    </row>
    <row r="60" spans="1:46">
      <c r="A60" s="1118">
        <v>2050</v>
      </c>
      <c r="D60" s="1107" t="s">
        <v>2003</v>
      </c>
      <c r="E60" s="224" t="s">
        <v>2058</v>
      </c>
      <c r="G60" s="224" t="e">
        <v>#DIV/0!</v>
      </c>
      <c r="H60" s="224" t="e">
        <v>#DIV/0!</v>
      </c>
      <c r="I60" s="224" t="e">
        <v>#DIV/0!</v>
      </c>
      <c r="J60" s="224" t="e">
        <v>#DIV/0!</v>
      </c>
      <c r="K60" s="224" t="e">
        <v>#DIV/0!</v>
      </c>
      <c r="L60" s="224" t="e">
        <v>#DIV/0!</v>
      </c>
      <c r="M60" s="224" t="e">
        <v>#DIV/0!</v>
      </c>
      <c r="N60" s="224" t="e">
        <v>#DIV/0!</v>
      </c>
      <c r="O60" s="224" t="e">
        <v>#DIV/0!</v>
      </c>
      <c r="P60" s="224" t="e">
        <v>#DIV/0!</v>
      </c>
      <c r="Q60" s="224" t="e">
        <v>#DIV/0!</v>
      </c>
      <c r="R60" s="224" t="e">
        <v>#DIV/0!</v>
      </c>
      <c r="S60" s="224" t="e">
        <v>#DIV/0!</v>
      </c>
      <c r="T60" s="224" t="e">
        <v>#DIV/0!</v>
      </c>
      <c r="U60" s="224" t="e">
        <v>#DIV/0!</v>
      </c>
      <c r="V60" s="224" t="e">
        <v>#DIV/0!</v>
      </c>
      <c r="W60" s="224" t="e">
        <v>#DIV/0!</v>
      </c>
      <c r="X60" s="224" t="e">
        <v>#DIV/0!</v>
      </c>
      <c r="Y60" s="224" t="e">
        <v>#DIV/0!</v>
      </c>
      <c r="Z60" s="224" t="e">
        <v>#DIV/0!</v>
      </c>
      <c r="AA60" s="224" t="e">
        <v>#DIV/0!</v>
      </c>
      <c r="AB60" s="224" t="e">
        <v>#DIV/0!</v>
      </c>
      <c r="AC60" s="224" t="e">
        <v>#DIV/0!</v>
      </c>
      <c r="AD60" s="1120" t="e">
        <v>#DIV/0!</v>
      </c>
      <c r="AE60" s="224" t="e">
        <v>#DIV/0!</v>
      </c>
      <c r="AF60" s="224" t="e">
        <v>#DIV/0!</v>
      </c>
      <c r="AG60" s="224" t="e">
        <v>#DIV/0!</v>
      </c>
      <c r="AH60" s="224" t="e">
        <v>#DIV/0!</v>
      </c>
      <c r="AI60" s="224" t="e">
        <v>#DIV/0!</v>
      </c>
      <c r="AJ60" s="224" t="e">
        <v>#DIV/0!</v>
      </c>
      <c r="AK60" s="224" t="e">
        <v>#DIV/0!</v>
      </c>
      <c r="AL60" s="224" t="e">
        <v>#DIV/0!</v>
      </c>
      <c r="AM60" s="224" t="e">
        <v>#DIV/0!</v>
      </c>
      <c r="AN60" s="1120" t="e">
        <v>#DIV/0!</v>
      </c>
      <c r="AO60" s="224" t="e">
        <f t="shared" si="0"/>
        <v>#DIV/0!</v>
      </c>
      <c r="AP60" s="1123">
        <v>0.1</v>
      </c>
      <c r="AQ60" s="1123">
        <f t="shared" si="3"/>
        <v>6.3391806341729959E-2</v>
      </c>
      <c r="AR60" s="1123">
        <v>20</v>
      </c>
      <c r="AS60" s="1123" t="e">
        <f t="shared" si="4"/>
        <v>#DIV/0!</v>
      </c>
      <c r="AT60" s="224" t="e">
        <f t="shared" si="2"/>
        <v>#DIV/0!</v>
      </c>
    </row>
    <row r="61" spans="1:46">
      <c r="A61" s="1118">
        <v>2017</v>
      </c>
      <c r="D61" s="1107" t="s">
        <v>2003</v>
      </c>
      <c r="E61" s="224" t="s">
        <v>2059</v>
      </c>
      <c r="G61" s="224">
        <v>4099.1554302979039</v>
      </c>
      <c r="H61" s="224">
        <v>1644.5</v>
      </c>
      <c r="I61" s="224">
        <v>2.5027200000000001</v>
      </c>
      <c r="J61" s="224">
        <v>5.0344994435630008E-2</v>
      </c>
      <c r="K61" s="224">
        <v>5.2836574396871311E-2</v>
      </c>
      <c r="L61" s="224">
        <v>6.5596132222139614E-2</v>
      </c>
      <c r="M61" s="224">
        <v>0</v>
      </c>
      <c r="N61" s="224">
        <v>0</v>
      </c>
      <c r="O61" s="224">
        <v>0</v>
      </c>
      <c r="P61" s="224">
        <v>0</v>
      </c>
      <c r="Q61" s="224">
        <v>0</v>
      </c>
      <c r="R61" s="224">
        <v>0</v>
      </c>
      <c r="S61" s="224">
        <v>0</v>
      </c>
      <c r="T61" s="224">
        <v>0</v>
      </c>
      <c r="U61" s="224">
        <v>0</v>
      </c>
      <c r="V61" s="224">
        <v>129.05817984999999</v>
      </c>
      <c r="W61" s="224">
        <v>59.969975349999999</v>
      </c>
      <c r="X61" s="224">
        <v>77.903827751196161</v>
      </c>
      <c r="Y61" s="224">
        <v>2.5027200000000001</v>
      </c>
      <c r="Z61" s="224">
        <v>0</v>
      </c>
      <c r="AA61" s="224">
        <v>10.068998887126</v>
      </c>
      <c r="AB61" s="224">
        <v>10.567314879374262</v>
      </c>
      <c r="AC61" s="224">
        <v>13.119226444427923</v>
      </c>
      <c r="AD61" s="1120">
        <v>47.775085810073321</v>
      </c>
      <c r="AE61" s="224">
        <v>12122.235262687998</v>
      </c>
      <c r="AF61" s="224">
        <v>3284.4619425149999</v>
      </c>
      <c r="AG61" s="224">
        <v>3396.6068899521529</v>
      </c>
      <c r="AH61" s="224">
        <v>5623.8914427038753</v>
      </c>
      <c r="AI61" s="224">
        <v>18600</v>
      </c>
      <c r="AJ61" s="224">
        <v>0</v>
      </c>
      <c r="AK61" s="224">
        <v>745.98720000000003</v>
      </c>
      <c r="AL61" s="224">
        <v>0</v>
      </c>
      <c r="AM61" s="224">
        <v>436.00000000000006</v>
      </c>
      <c r="AN61" s="1120">
        <v>44209.182737859024</v>
      </c>
      <c r="AO61" s="224">
        <f t="shared" si="0"/>
        <v>6.2948453063352598</v>
      </c>
      <c r="AP61" s="1123">
        <v>0.1</v>
      </c>
      <c r="AQ61" s="1123">
        <f t="shared" si="3"/>
        <v>6.3391806341729959E-2</v>
      </c>
      <c r="AR61" s="1123">
        <v>20</v>
      </c>
      <c r="AS61" s="1123">
        <f t="shared" si="4"/>
        <v>0.86554053755216265</v>
      </c>
      <c r="AT61" s="224">
        <f t="shared" si="2"/>
        <v>2802.4999506445101</v>
      </c>
    </row>
    <row r="62" spans="1:46">
      <c r="A62" s="1121">
        <v>2020</v>
      </c>
      <c r="D62" s="1107" t="s">
        <v>2003</v>
      </c>
      <c r="E62" s="224" t="s">
        <v>2059</v>
      </c>
      <c r="G62" s="224" t="e">
        <v>#DIV/0!</v>
      </c>
      <c r="H62" s="224" t="e">
        <v>#DIV/0!</v>
      </c>
      <c r="I62" s="224" t="e">
        <v>#DIV/0!</v>
      </c>
      <c r="J62" s="224" t="e">
        <v>#DIV/0!</v>
      </c>
      <c r="K62" s="224" t="e">
        <v>#DIV/0!</v>
      </c>
      <c r="L62" s="224" t="e">
        <v>#DIV/0!</v>
      </c>
      <c r="M62" s="224" t="e">
        <v>#DIV/0!</v>
      </c>
      <c r="N62" s="224" t="e">
        <v>#DIV/0!</v>
      </c>
      <c r="O62" s="224" t="e">
        <v>#DIV/0!</v>
      </c>
      <c r="P62" s="224" t="e">
        <v>#DIV/0!</v>
      </c>
      <c r="Q62" s="224" t="e">
        <v>#DIV/0!</v>
      </c>
      <c r="R62" s="224" t="e">
        <v>#DIV/0!</v>
      </c>
      <c r="S62" s="224" t="e">
        <v>#DIV/0!</v>
      </c>
      <c r="T62" s="224" t="e">
        <v>#DIV/0!</v>
      </c>
      <c r="U62" s="224" t="e">
        <v>#DIV/0!</v>
      </c>
      <c r="V62" s="224" t="e">
        <v>#DIV/0!</v>
      </c>
      <c r="W62" s="224" t="e">
        <v>#DIV/0!</v>
      </c>
      <c r="X62" s="224" t="e">
        <v>#DIV/0!</v>
      </c>
      <c r="Y62" s="224" t="e">
        <v>#DIV/0!</v>
      </c>
      <c r="Z62" s="224" t="e">
        <v>#DIV/0!</v>
      </c>
      <c r="AA62" s="224" t="e">
        <v>#DIV/0!</v>
      </c>
      <c r="AB62" s="224" t="e">
        <v>#DIV/0!</v>
      </c>
      <c r="AC62" s="224" t="e">
        <v>#DIV/0!</v>
      </c>
      <c r="AD62" s="1120" t="e">
        <v>#DIV/0!</v>
      </c>
      <c r="AE62" s="224" t="e">
        <v>#DIV/0!</v>
      </c>
      <c r="AF62" s="224" t="e">
        <v>#DIV/0!</v>
      </c>
      <c r="AG62" s="224" t="e">
        <v>#DIV/0!</v>
      </c>
      <c r="AH62" s="224" t="e">
        <v>#DIV/0!</v>
      </c>
      <c r="AI62" s="224" t="e">
        <v>#DIV/0!</v>
      </c>
      <c r="AJ62" s="224" t="e">
        <v>#DIV/0!</v>
      </c>
      <c r="AK62" s="224" t="e">
        <v>#DIV/0!</v>
      </c>
      <c r="AL62" s="224" t="e">
        <v>#DIV/0!</v>
      </c>
      <c r="AM62" s="224" t="e">
        <v>#DIV/0!</v>
      </c>
      <c r="AN62" s="1120" t="e">
        <v>#DIV/0!</v>
      </c>
      <c r="AO62" s="224" t="e">
        <f t="shared" si="0"/>
        <v>#DIV/0!</v>
      </c>
      <c r="AP62" s="1123">
        <v>0.1</v>
      </c>
      <c r="AQ62" s="1123">
        <f t="shared" si="3"/>
        <v>6.3391806341729959E-2</v>
      </c>
      <c r="AR62" s="1123">
        <v>20</v>
      </c>
      <c r="AS62" s="1123" t="e">
        <f t="shared" si="4"/>
        <v>#DIV/0!</v>
      </c>
      <c r="AT62" s="224" t="e">
        <f t="shared" si="2"/>
        <v>#DIV/0!</v>
      </c>
    </row>
    <row r="63" spans="1:46">
      <c r="A63" s="1118">
        <v>2025</v>
      </c>
      <c r="D63" s="1107" t="s">
        <v>2003</v>
      </c>
      <c r="E63" s="224" t="s">
        <v>2059</v>
      </c>
      <c r="G63" s="224" t="e">
        <v>#DIV/0!</v>
      </c>
      <c r="H63" s="224" t="e">
        <v>#DIV/0!</v>
      </c>
      <c r="I63" s="224" t="e">
        <v>#DIV/0!</v>
      </c>
      <c r="J63" s="224" t="e">
        <v>#DIV/0!</v>
      </c>
      <c r="K63" s="224" t="e">
        <v>#DIV/0!</v>
      </c>
      <c r="L63" s="224" t="e">
        <v>#DIV/0!</v>
      </c>
      <c r="M63" s="224" t="e">
        <v>#DIV/0!</v>
      </c>
      <c r="N63" s="224" t="e">
        <v>#DIV/0!</v>
      </c>
      <c r="O63" s="224" t="e">
        <v>#DIV/0!</v>
      </c>
      <c r="P63" s="224" t="e">
        <v>#DIV/0!</v>
      </c>
      <c r="Q63" s="224" t="e">
        <v>#DIV/0!</v>
      </c>
      <c r="R63" s="224" t="e">
        <v>#DIV/0!</v>
      </c>
      <c r="S63" s="224" t="e">
        <v>#DIV/0!</v>
      </c>
      <c r="T63" s="224" t="e">
        <v>#DIV/0!</v>
      </c>
      <c r="U63" s="224" t="e">
        <v>#DIV/0!</v>
      </c>
      <c r="V63" s="224" t="e">
        <v>#DIV/0!</v>
      </c>
      <c r="W63" s="224" t="e">
        <v>#DIV/0!</v>
      </c>
      <c r="X63" s="224" t="e">
        <v>#DIV/0!</v>
      </c>
      <c r="Y63" s="224" t="e">
        <v>#DIV/0!</v>
      </c>
      <c r="Z63" s="224" t="e">
        <v>#DIV/0!</v>
      </c>
      <c r="AA63" s="224" t="e">
        <v>#DIV/0!</v>
      </c>
      <c r="AB63" s="224" t="e">
        <v>#DIV/0!</v>
      </c>
      <c r="AC63" s="224" t="e">
        <v>#DIV/0!</v>
      </c>
      <c r="AD63" s="1120" t="e">
        <v>#DIV/0!</v>
      </c>
      <c r="AE63" s="224" t="e">
        <v>#DIV/0!</v>
      </c>
      <c r="AF63" s="224" t="e">
        <v>#DIV/0!</v>
      </c>
      <c r="AG63" s="224" t="e">
        <v>#DIV/0!</v>
      </c>
      <c r="AH63" s="224" t="e">
        <v>#DIV/0!</v>
      </c>
      <c r="AI63" s="224" t="e">
        <v>#DIV/0!</v>
      </c>
      <c r="AJ63" s="224" t="e">
        <v>#DIV/0!</v>
      </c>
      <c r="AK63" s="224" t="e">
        <v>#DIV/0!</v>
      </c>
      <c r="AL63" s="224" t="e">
        <v>#DIV/0!</v>
      </c>
      <c r="AM63" s="224" t="e">
        <v>#DIV/0!</v>
      </c>
      <c r="AN63" s="1120" t="e">
        <v>#DIV/0!</v>
      </c>
      <c r="AO63" s="224" t="e">
        <f t="shared" si="0"/>
        <v>#DIV/0!</v>
      </c>
      <c r="AP63" s="1123">
        <v>0.1</v>
      </c>
      <c r="AQ63" s="1123">
        <f t="shared" si="3"/>
        <v>6.3391806341729959E-2</v>
      </c>
      <c r="AR63" s="1123">
        <v>20</v>
      </c>
      <c r="AS63" s="1123" t="e">
        <f t="shared" si="4"/>
        <v>#DIV/0!</v>
      </c>
      <c r="AT63" s="224" t="e">
        <f t="shared" si="2"/>
        <v>#DIV/0!</v>
      </c>
    </row>
    <row r="64" spans="1:46">
      <c r="A64" s="1118">
        <v>2030</v>
      </c>
      <c r="D64" s="1107" t="s">
        <v>2003</v>
      </c>
      <c r="E64" s="224" t="s">
        <v>2059</v>
      </c>
      <c r="G64" s="224" t="e">
        <v>#DIV/0!</v>
      </c>
      <c r="H64" s="224" t="e">
        <v>#DIV/0!</v>
      </c>
      <c r="I64" s="224" t="e">
        <v>#DIV/0!</v>
      </c>
      <c r="J64" s="224" t="e">
        <v>#DIV/0!</v>
      </c>
      <c r="K64" s="224" t="e">
        <v>#DIV/0!</v>
      </c>
      <c r="L64" s="224" t="e">
        <v>#DIV/0!</v>
      </c>
      <c r="M64" s="224" t="e">
        <v>#DIV/0!</v>
      </c>
      <c r="N64" s="224" t="e">
        <v>#DIV/0!</v>
      </c>
      <c r="O64" s="224" t="e">
        <v>#DIV/0!</v>
      </c>
      <c r="P64" s="224" t="e">
        <v>#DIV/0!</v>
      </c>
      <c r="Q64" s="224" t="e">
        <v>#DIV/0!</v>
      </c>
      <c r="R64" s="224" t="e">
        <v>#DIV/0!</v>
      </c>
      <c r="S64" s="224" t="e">
        <v>#DIV/0!</v>
      </c>
      <c r="T64" s="224" t="e">
        <v>#DIV/0!</v>
      </c>
      <c r="U64" s="224" t="e">
        <v>#DIV/0!</v>
      </c>
      <c r="V64" s="224" t="e">
        <v>#DIV/0!</v>
      </c>
      <c r="W64" s="224" t="e">
        <v>#DIV/0!</v>
      </c>
      <c r="X64" s="224" t="e">
        <v>#DIV/0!</v>
      </c>
      <c r="Y64" s="224" t="e">
        <v>#DIV/0!</v>
      </c>
      <c r="Z64" s="224" t="e">
        <v>#DIV/0!</v>
      </c>
      <c r="AA64" s="224" t="e">
        <v>#DIV/0!</v>
      </c>
      <c r="AB64" s="224" t="e">
        <v>#DIV/0!</v>
      </c>
      <c r="AC64" s="224" t="e">
        <v>#DIV/0!</v>
      </c>
      <c r="AD64" s="1120" t="e">
        <v>#DIV/0!</v>
      </c>
      <c r="AE64" s="224" t="e">
        <v>#DIV/0!</v>
      </c>
      <c r="AF64" s="224" t="e">
        <v>#DIV/0!</v>
      </c>
      <c r="AG64" s="224" t="e">
        <v>#DIV/0!</v>
      </c>
      <c r="AH64" s="224" t="e">
        <v>#DIV/0!</v>
      </c>
      <c r="AI64" s="224" t="e">
        <v>#DIV/0!</v>
      </c>
      <c r="AJ64" s="224" t="e">
        <v>#DIV/0!</v>
      </c>
      <c r="AK64" s="224" t="e">
        <v>#DIV/0!</v>
      </c>
      <c r="AL64" s="224" t="e">
        <v>#DIV/0!</v>
      </c>
      <c r="AM64" s="224" t="e">
        <v>#DIV/0!</v>
      </c>
      <c r="AN64" s="1120" t="e">
        <v>#DIV/0!</v>
      </c>
      <c r="AO64" s="224" t="e">
        <f t="shared" si="0"/>
        <v>#DIV/0!</v>
      </c>
      <c r="AP64" s="1123">
        <v>0.1</v>
      </c>
      <c r="AQ64" s="1123">
        <f t="shared" si="3"/>
        <v>6.3391806341729959E-2</v>
      </c>
      <c r="AR64" s="1123">
        <v>20</v>
      </c>
      <c r="AS64" s="1123" t="e">
        <f t="shared" si="4"/>
        <v>#DIV/0!</v>
      </c>
      <c r="AT64" s="224" t="e">
        <f t="shared" si="2"/>
        <v>#DIV/0!</v>
      </c>
    </row>
    <row r="65" spans="1:46">
      <c r="A65" s="1118">
        <v>2035</v>
      </c>
      <c r="D65" s="1107" t="s">
        <v>2003</v>
      </c>
      <c r="E65" s="224" t="s">
        <v>2059</v>
      </c>
      <c r="G65" s="224" t="e">
        <v>#DIV/0!</v>
      </c>
      <c r="H65" s="224" t="e">
        <v>#DIV/0!</v>
      </c>
      <c r="I65" s="224" t="e">
        <v>#DIV/0!</v>
      </c>
      <c r="J65" s="224" t="e">
        <v>#DIV/0!</v>
      </c>
      <c r="K65" s="224" t="e">
        <v>#DIV/0!</v>
      </c>
      <c r="L65" s="224" t="e">
        <v>#DIV/0!</v>
      </c>
      <c r="M65" s="224" t="e">
        <v>#DIV/0!</v>
      </c>
      <c r="N65" s="224" t="e">
        <v>#DIV/0!</v>
      </c>
      <c r="O65" s="224" t="e">
        <v>#DIV/0!</v>
      </c>
      <c r="P65" s="224" t="e">
        <v>#DIV/0!</v>
      </c>
      <c r="Q65" s="224" t="e">
        <v>#DIV/0!</v>
      </c>
      <c r="R65" s="224" t="e">
        <v>#DIV/0!</v>
      </c>
      <c r="S65" s="224" t="e">
        <v>#DIV/0!</v>
      </c>
      <c r="T65" s="224" t="e">
        <v>#DIV/0!</v>
      </c>
      <c r="U65" s="224" t="e">
        <v>#DIV/0!</v>
      </c>
      <c r="V65" s="224" t="e">
        <v>#DIV/0!</v>
      </c>
      <c r="W65" s="224" t="e">
        <v>#DIV/0!</v>
      </c>
      <c r="X65" s="224" t="e">
        <v>#DIV/0!</v>
      </c>
      <c r="Y65" s="224" t="e">
        <v>#DIV/0!</v>
      </c>
      <c r="Z65" s="224" t="e">
        <v>#DIV/0!</v>
      </c>
      <c r="AA65" s="224" t="e">
        <v>#DIV/0!</v>
      </c>
      <c r="AB65" s="224" t="e">
        <v>#DIV/0!</v>
      </c>
      <c r="AC65" s="224" t="e">
        <v>#DIV/0!</v>
      </c>
      <c r="AD65" s="1120" t="e">
        <v>#DIV/0!</v>
      </c>
      <c r="AE65" s="224" t="e">
        <v>#DIV/0!</v>
      </c>
      <c r="AF65" s="224" t="e">
        <v>#DIV/0!</v>
      </c>
      <c r="AG65" s="224" t="e">
        <v>#DIV/0!</v>
      </c>
      <c r="AH65" s="224" t="e">
        <v>#DIV/0!</v>
      </c>
      <c r="AI65" s="224" t="e">
        <v>#DIV/0!</v>
      </c>
      <c r="AJ65" s="224" t="e">
        <v>#DIV/0!</v>
      </c>
      <c r="AK65" s="224" t="e">
        <v>#DIV/0!</v>
      </c>
      <c r="AL65" s="224" t="e">
        <v>#DIV/0!</v>
      </c>
      <c r="AM65" s="224" t="e">
        <v>#DIV/0!</v>
      </c>
      <c r="AN65" s="1120" t="e">
        <v>#DIV/0!</v>
      </c>
      <c r="AO65" s="224" t="e">
        <f t="shared" si="0"/>
        <v>#DIV/0!</v>
      </c>
      <c r="AP65" s="1123">
        <v>0.1</v>
      </c>
      <c r="AQ65" s="1123">
        <f t="shared" si="3"/>
        <v>6.3391806341729959E-2</v>
      </c>
      <c r="AR65" s="1123">
        <v>20</v>
      </c>
      <c r="AS65" s="1123" t="e">
        <f t="shared" si="4"/>
        <v>#DIV/0!</v>
      </c>
      <c r="AT65" s="224" t="e">
        <f t="shared" si="2"/>
        <v>#DIV/0!</v>
      </c>
    </row>
    <row r="66" spans="1:46">
      <c r="A66" s="1118">
        <v>2050</v>
      </c>
      <c r="D66" s="1107" t="s">
        <v>2003</v>
      </c>
      <c r="E66" s="224" t="s">
        <v>2059</v>
      </c>
      <c r="G66" s="224" t="e">
        <v>#DIV/0!</v>
      </c>
      <c r="H66" s="224" t="e">
        <v>#DIV/0!</v>
      </c>
      <c r="I66" s="224" t="e">
        <v>#DIV/0!</v>
      </c>
      <c r="J66" s="224" t="e">
        <v>#DIV/0!</v>
      </c>
      <c r="K66" s="224" t="e">
        <v>#DIV/0!</v>
      </c>
      <c r="L66" s="224" t="e">
        <v>#DIV/0!</v>
      </c>
      <c r="M66" s="224" t="e">
        <v>#DIV/0!</v>
      </c>
      <c r="N66" s="224" t="e">
        <v>#DIV/0!</v>
      </c>
      <c r="O66" s="224" t="e">
        <v>#DIV/0!</v>
      </c>
      <c r="P66" s="224" t="e">
        <v>#DIV/0!</v>
      </c>
      <c r="Q66" s="224" t="e">
        <v>#DIV/0!</v>
      </c>
      <c r="R66" s="224" t="e">
        <v>#DIV/0!</v>
      </c>
      <c r="S66" s="224" t="e">
        <v>#DIV/0!</v>
      </c>
      <c r="T66" s="224" t="e">
        <v>#DIV/0!</v>
      </c>
      <c r="U66" s="224" t="e">
        <v>#DIV/0!</v>
      </c>
      <c r="V66" s="224" t="e">
        <v>#DIV/0!</v>
      </c>
      <c r="W66" s="224" t="e">
        <v>#DIV/0!</v>
      </c>
      <c r="X66" s="224" t="e">
        <v>#DIV/0!</v>
      </c>
      <c r="Y66" s="224" t="e">
        <v>#DIV/0!</v>
      </c>
      <c r="Z66" s="224" t="e">
        <v>#DIV/0!</v>
      </c>
      <c r="AA66" s="224" t="e">
        <v>#DIV/0!</v>
      </c>
      <c r="AB66" s="224" t="e">
        <v>#DIV/0!</v>
      </c>
      <c r="AC66" s="224" t="e">
        <v>#DIV/0!</v>
      </c>
      <c r="AD66" s="1120" t="e">
        <v>#DIV/0!</v>
      </c>
      <c r="AE66" s="224" t="e">
        <v>#DIV/0!</v>
      </c>
      <c r="AF66" s="224" t="e">
        <v>#DIV/0!</v>
      </c>
      <c r="AG66" s="224" t="e">
        <v>#DIV/0!</v>
      </c>
      <c r="AH66" s="224" t="e">
        <v>#DIV/0!</v>
      </c>
      <c r="AI66" s="224" t="e">
        <v>#DIV/0!</v>
      </c>
      <c r="AJ66" s="224" t="e">
        <v>#DIV/0!</v>
      </c>
      <c r="AK66" s="224" t="e">
        <v>#DIV/0!</v>
      </c>
      <c r="AL66" s="224" t="e">
        <v>#DIV/0!</v>
      </c>
      <c r="AM66" s="224" t="e">
        <v>#DIV/0!</v>
      </c>
      <c r="AN66" s="1120" t="e">
        <v>#DIV/0!</v>
      </c>
      <c r="AO66" s="224" t="e">
        <f t="shared" si="0"/>
        <v>#DIV/0!</v>
      </c>
      <c r="AP66" s="1123">
        <v>0.1</v>
      </c>
      <c r="AQ66" s="1123">
        <f t="shared" si="3"/>
        <v>6.3391806341729959E-2</v>
      </c>
      <c r="AR66" s="1123">
        <v>20</v>
      </c>
      <c r="AS66" s="1123" t="e">
        <f t="shared" si="4"/>
        <v>#DIV/0!</v>
      </c>
      <c r="AT66" s="224" t="e">
        <f t="shared" si="2"/>
        <v>#DIV/0!</v>
      </c>
    </row>
    <row r="67" spans="1:46">
      <c r="A67" s="1118">
        <v>2017</v>
      </c>
      <c r="D67" s="1107" t="s">
        <v>2003</v>
      </c>
      <c r="E67" s="224" t="s">
        <v>2060</v>
      </c>
      <c r="G67" s="224">
        <v>5089.9452426137404</v>
      </c>
      <c r="H67" s="224">
        <v>1644.5</v>
      </c>
      <c r="I67" s="224">
        <v>138.95793750000001</v>
      </c>
      <c r="J67" s="224">
        <v>5.0582418140320697E-2</v>
      </c>
      <c r="K67" s="224">
        <v>7.0158716260260073E-2</v>
      </c>
      <c r="L67" s="224">
        <v>8.7861968948538954E-2</v>
      </c>
      <c r="M67" s="224">
        <v>1.5459713726655805E-2</v>
      </c>
      <c r="N67" s="224">
        <v>2.2274093076443929E-2</v>
      </c>
      <c r="O67" s="224">
        <v>2.7943211698448909E-2</v>
      </c>
      <c r="P67" s="224">
        <v>-11.10626596361568</v>
      </c>
      <c r="Q67" s="224">
        <v>-4.3069097677977632</v>
      </c>
      <c r="R67" s="224">
        <v>-7.8609884967423742</v>
      </c>
      <c r="S67" s="224">
        <v>582.15239171673977</v>
      </c>
      <c r="T67" s="224">
        <v>838.75528273304383</v>
      </c>
      <c r="U67" s="224">
        <v>1052.2321312102383</v>
      </c>
      <c r="V67" s="224">
        <v>115</v>
      </c>
      <c r="W67" s="224">
        <v>189.70124829999997</v>
      </c>
      <c r="X67" s="224">
        <v>284.55187244999996</v>
      </c>
      <c r="Y67" s="224">
        <v>138.46143749999999</v>
      </c>
      <c r="Z67" s="224">
        <v>0</v>
      </c>
      <c r="AA67" s="224">
        <v>3.3098351593625495</v>
      </c>
      <c r="AB67" s="224">
        <v>6.9180279881862328</v>
      </c>
      <c r="AC67" s="224">
        <v>10.476944665084059</v>
      </c>
      <c r="AD67" s="1120">
        <v>16.903041896195628</v>
      </c>
      <c r="AE67" s="224">
        <v>11026.897142857142</v>
      </c>
      <c r="AF67" s="224">
        <v>8849.9335520699988</v>
      </c>
      <c r="AG67" s="224">
        <v>78781.788708750013</v>
      </c>
      <c r="AH67" s="224">
        <v>0</v>
      </c>
      <c r="AI67" s="224">
        <v>18600</v>
      </c>
      <c r="AJ67" s="224">
        <v>0</v>
      </c>
      <c r="AK67" s="224">
        <v>745.98720000000003</v>
      </c>
      <c r="AL67" s="224">
        <v>0</v>
      </c>
      <c r="AM67" s="224">
        <v>436.00000000000006</v>
      </c>
      <c r="AN67" s="1120">
        <v>118440.60660367715</v>
      </c>
      <c r="AO67" s="224">
        <f t="shared" si="0"/>
        <v>2.2271448002427356</v>
      </c>
      <c r="AP67" s="1123">
        <v>0.1</v>
      </c>
      <c r="AQ67" s="1123">
        <f t="shared" si="3"/>
        <v>6.3391806341729959E-2</v>
      </c>
      <c r="AR67" s="1123">
        <v>20</v>
      </c>
      <c r="AS67" s="1123">
        <f t="shared" si="4"/>
        <v>0.30623216517625002</v>
      </c>
      <c r="AT67" s="224">
        <f t="shared" si="2"/>
        <v>7508.1639968173249</v>
      </c>
    </row>
    <row r="68" spans="1:46">
      <c r="A68" s="1121">
        <v>2020</v>
      </c>
      <c r="D68" s="1107" t="s">
        <v>2003</v>
      </c>
      <c r="E68" s="224" t="s">
        <v>2060</v>
      </c>
      <c r="G68" s="224" t="e">
        <v>#DIV/0!</v>
      </c>
      <c r="H68" s="224" t="e">
        <v>#DIV/0!</v>
      </c>
      <c r="I68" s="224" t="e">
        <v>#DIV/0!</v>
      </c>
      <c r="J68" s="224" t="e">
        <v>#DIV/0!</v>
      </c>
      <c r="K68" s="224" t="e">
        <v>#DIV/0!</v>
      </c>
      <c r="L68" s="224" t="e">
        <v>#DIV/0!</v>
      </c>
      <c r="M68" s="224" t="e">
        <v>#DIV/0!</v>
      </c>
      <c r="N68" s="224" t="e">
        <v>#DIV/0!</v>
      </c>
      <c r="O68" s="224" t="e">
        <v>#DIV/0!</v>
      </c>
      <c r="P68" s="224" t="e">
        <v>#DIV/0!</v>
      </c>
      <c r="Q68" s="224" t="e">
        <v>#DIV/0!</v>
      </c>
      <c r="R68" s="224" t="e">
        <v>#DIV/0!</v>
      </c>
      <c r="S68" s="224" t="e">
        <v>#DIV/0!</v>
      </c>
      <c r="T68" s="224" t="e">
        <v>#DIV/0!</v>
      </c>
      <c r="U68" s="224" t="e">
        <v>#DIV/0!</v>
      </c>
      <c r="V68" s="224" t="e">
        <v>#DIV/0!</v>
      </c>
      <c r="W68" s="224" t="e">
        <v>#DIV/0!</v>
      </c>
      <c r="X68" s="224" t="e">
        <v>#DIV/0!</v>
      </c>
      <c r="Y68" s="224" t="e">
        <v>#DIV/0!</v>
      </c>
      <c r="Z68" s="224" t="e">
        <v>#DIV/0!</v>
      </c>
      <c r="AA68" s="224" t="e">
        <v>#DIV/0!</v>
      </c>
      <c r="AB68" s="224" t="e">
        <v>#DIV/0!</v>
      </c>
      <c r="AC68" s="224" t="e">
        <v>#DIV/0!</v>
      </c>
      <c r="AD68" s="1120" t="e">
        <v>#DIV/0!</v>
      </c>
      <c r="AE68" s="224" t="e">
        <v>#DIV/0!</v>
      </c>
      <c r="AF68" s="224" t="e">
        <v>#DIV/0!</v>
      </c>
      <c r="AG68" s="224" t="e">
        <v>#DIV/0!</v>
      </c>
      <c r="AH68" s="224" t="e">
        <v>#DIV/0!</v>
      </c>
      <c r="AI68" s="224" t="e">
        <v>#DIV/0!</v>
      </c>
      <c r="AJ68" s="224" t="e">
        <v>#DIV/0!</v>
      </c>
      <c r="AK68" s="224" t="e">
        <v>#DIV/0!</v>
      </c>
      <c r="AL68" s="224" t="e">
        <v>#DIV/0!</v>
      </c>
      <c r="AM68" s="224" t="e">
        <v>#DIV/0!</v>
      </c>
      <c r="AN68" s="1120" t="e">
        <v>#DIV/0!</v>
      </c>
      <c r="AO68" s="224" t="e">
        <f t="shared" si="0"/>
        <v>#DIV/0!</v>
      </c>
      <c r="AP68" s="1123">
        <v>0.1</v>
      </c>
      <c r="AQ68" s="1123">
        <f t="shared" si="3"/>
        <v>6.3391806341729959E-2</v>
      </c>
      <c r="AR68" s="1123">
        <v>20</v>
      </c>
      <c r="AS68" s="1123" t="e">
        <f t="shared" si="4"/>
        <v>#DIV/0!</v>
      </c>
      <c r="AT68" s="224" t="e">
        <f t="shared" si="2"/>
        <v>#DIV/0!</v>
      </c>
    </row>
    <row r="69" spans="1:46">
      <c r="A69" s="1118">
        <v>2025</v>
      </c>
      <c r="D69" s="1107" t="s">
        <v>2003</v>
      </c>
      <c r="E69" s="224" t="s">
        <v>2060</v>
      </c>
      <c r="G69" s="224" t="e">
        <v>#DIV/0!</v>
      </c>
      <c r="H69" s="224" t="e">
        <v>#DIV/0!</v>
      </c>
      <c r="I69" s="224" t="e">
        <v>#DIV/0!</v>
      </c>
      <c r="J69" s="224" t="e">
        <v>#DIV/0!</v>
      </c>
      <c r="K69" s="224" t="e">
        <v>#DIV/0!</v>
      </c>
      <c r="L69" s="224" t="e">
        <v>#DIV/0!</v>
      </c>
      <c r="M69" s="224" t="e">
        <v>#DIV/0!</v>
      </c>
      <c r="N69" s="224" t="e">
        <v>#DIV/0!</v>
      </c>
      <c r="O69" s="224" t="e">
        <v>#DIV/0!</v>
      </c>
      <c r="P69" s="224" t="e">
        <v>#DIV/0!</v>
      </c>
      <c r="Q69" s="224" t="e">
        <v>#DIV/0!</v>
      </c>
      <c r="R69" s="224" t="e">
        <v>#DIV/0!</v>
      </c>
      <c r="S69" s="224" t="e">
        <v>#DIV/0!</v>
      </c>
      <c r="T69" s="224" t="e">
        <v>#DIV/0!</v>
      </c>
      <c r="U69" s="224" t="e">
        <v>#DIV/0!</v>
      </c>
      <c r="V69" s="224" t="e">
        <v>#DIV/0!</v>
      </c>
      <c r="W69" s="224" t="e">
        <v>#DIV/0!</v>
      </c>
      <c r="X69" s="224" t="e">
        <v>#DIV/0!</v>
      </c>
      <c r="Y69" s="224" t="e">
        <v>#DIV/0!</v>
      </c>
      <c r="Z69" s="224" t="e">
        <v>#DIV/0!</v>
      </c>
      <c r="AA69" s="224" t="e">
        <v>#DIV/0!</v>
      </c>
      <c r="AB69" s="224" t="e">
        <v>#DIV/0!</v>
      </c>
      <c r="AC69" s="224" t="e">
        <v>#DIV/0!</v>
      </c>
      <c r="AD69" s="1120" t="e">
        <v>#DIV/0!</v>
      </c>
      <c r="AE69" s="224" t="e">
        <v>#DIV/0!</v>
      </c>
      <c r="AF69" s="224" t="e">
        <v>#DIV/0!</v>
      </c>
      <c r="AG69" s="224" t="e">
        <v>#DIV/0!</v>
      </c>
      <c r="AH69" s="224" t="e">
        <v>#DIV/0!</v>
      </c>
      <c r="AI69" s="224" t="e">
        <v>#DIV/0!</v>
      </c>
      <c r="AJ69" s="224" t="e">
        <v>#DIV/0!</v>
      </c>
      <c r="AK69" s="224" t="e">
        <v>#DIV/0!</v>
      </c>
      <c r="AL69" s="224" t="e">
        <v>#DIV/0!</v>
      </c>
      <c r="AM69" s="224" t="e">
        <v>#DIV/0!</v>
      </c>
      <c r="AN69" s="1120" t="e">
        <v>#DIV/0!</v>
      </c>
      <c r="AO69" s="224" t="e">
        <f t="shared" si="0"/>
        <v>#DIV/0!</v>
      </c>
      <c r="AP69" s="1123">
        <v>0.1</v>
      </c>
      <c r="AQ69" s="1123">
        <f t="shared" si="3"/>
        <v>6.3391806341729959E-2</v>
      </c>
      <c r="AR69" s="1123">
        <v>20</v>
      </c>
      <c r="AS69" s="1123" t="e">
        <f t="shared" si="4"/>
        <v>#DIV/0!</v>
      </c>
      <c r="AT69" s="224" t="e">
        <f t="shared" si="2"/>
        <v>#DIV/0!</v>
      </c>
    </row>
    <row r="70" spans="1:46">
      <c r="A70" s="1118">
        <v>2030</v>
      </c>
      <c r="D70" s="1107" t="s">
        <v>2003</v>
      </c>
      <c r="E70" s="224" t="s">
        <v>2060</v>
      </c>
      <c r="G70" s="224" t="e">
        <v>#DIV/0!</v>
      </c>
      <c r="H70" s="224" t="e">
        <v>#DIV/0!</v>
      </c>
      <c r="I70" s="224" t="e">
        <v>#DIV/0!</v>
      </c>
      <c r="J70" s="224" t="e">
        <v>#DIV/0!</v>
      </c>
      <c r="K70" s="224" t="e">
        <v>#DIV/0!</v>
      </c>
      <c r="L70" s="224" t="e">
        <v>#DIV/0!</v>
      </c>
      <c r="M70" s="224" t="e">
        <v>#DIV/0!</v>
      </c>
      <c r="N70" s="224" t="e">
        <v>#DIV/0!</v>
      </c>
      <c r="O70" s="224" t="e">
        <v>#DIV/0!</v>
      </c>
      <c r="P70" s="224" t="e">
        <v>#DIV/0!</v>
      </c>
      <c r="Q70" s="224" t="e">
        <v>#DIV/0!</v>
      </c>
      <c r="R70" s="224" t="e">
        <v>#DIV/0!</v>
      </c>
      <c r="S70" s="224" t="e">
        <v>#DIV/0!</v>
      </c>
      <c r="T70" s="224" t="e">
        <v>#DIV/0!</v>
      </c>
      <c r="U70" s="224" t="e">
        <v>#DIV/0!</v>
      </c>
      <c r="V70" s="224" t="e">
        <v>#DIV/0!</v>
      </c>
      <c r="W70" s="224" t="e">
        <v>#DIV/0!</v>
      </c>
      <c r="X70" s="224" t="e">
        <v>#DIV/0!</v>
      </c>
      <c r="Y70" s="224" t="e">
        <v>#DIV/0!</v>
      </c>
      <c r="Z70" s="224" t="e">
        <v>#DIV/0!</v>
      </c>
      <c r="AA70" s="224" t="e">
        <v>#DIV/0!</v>
      </c>
      <c r="AB70" s="224" t="e">
        <v>#DIV/0!</v>
      </c>
      <c r="AC70" s="224" t="e">
        <v>#DIV/0!</v>
      </c>
      <c r="AD70" s="1120" t="e">
        <v>#DIV/0!</v>
      </c>
      <c r="AE70" s="224" t="e">
        <v>#DIV/0!</v>
      </c>
      <c r="AF70" s="224" t="e">
        <v>#DIV/0!</v>
      </c>
      <c r="AG70" s="224" t="e">
        <v>#DIV/0!</v>
      </c>
      <c r="AH70" s="224" t="e">
        <v>#DIV/0!</v>
      </c>
      <c r="AI70" s="224" t="e">
        <v>#DIV/0!</v>
      </c>
      <c r="AJ70" s="224" t="e">
        <v>#DIV/0!</v>
      </c>
      <c r="AK70" s="224" t="e">
        <v>#DIV/0!</v>
      </c>
      <c r="AL70" s="224" t="e">
        <v>#DIV/0!</v>
      </c>
      <c r="AM70" s="224" t="e">
        <v>#DIV/0!</v>
      </c>
      <c r="AN70" s="1120" t="e">
        <v>#DIV/0!</v>
      </c>
      <c r="AO70" s="224" t="e">
        <f t="shared" si="0"/>
        <v>#DIV/0!</v>
      </c>
      <c r="AP70" s="1123">
        <v>0.1</v>
      </c>
      <c r="AQ70" s="1123">
        <f t="shared" si="3"/>
        <v>6.3391806341729959E-2</v>
      </c>
      <c r="AR70" s="1123">
        <v>20</v>
      </c>
      <c r="AS70" s="1123" t="e">
        <f t="shared" si="4"/>
        <v>#DIV/0!</v>
      </c>
      <c r="AT70" s="224" t="e">
        <f t="shared" si="2"/>
        <v>#DIV/0!</v>
      </c>
    </row>
    <row r="71" spans="1:46">
      <c r="A71" s="1118">
        <v>2035</v>
      </c>
      <c r="D71" s="1107" t="s">
        <v>2003</v>
      </c>
      <c r="E71" s="224" t="s">
        <v>2060</v>
      </c>
      <c r="G71" s="224" t="e">
        <v>#DIV/0!</v>
      </c>
      <c r="H71" s="224" t="e">
        <v>#DIV/0!</v>
      </c>
      <c r="I71" s="224" t="e">
        <v>#DIV/0!</v>
      </c>
      <c r="J71" s="224" t="e">
        <v>#DIV/0!</v>
      </c>
      <c r="K71" s="224" t="e">
        <v>#DIV/0!</v>
      </c>
      <c r="L71" s="224" t="e">
        <v>#DIV/0!</v>
      </c>
      <c r="M71" s="224" t="e">
        <v>#DIV/0!</v>
      </c>
      <c r="N71" s="224" t="e">
        <v>#DIV/0!</v>
      </c>
      <c r="O71" s="224" t="e">
        <v>#DIV/0!</v>
      </c>
      <c r="P71" s="224" t="e">
        <v>#DIV/0!</v>
      </c>
      <c r="Q71" s="224" t="e">
        <v>#DIV/0!</v>
      </c>
      <c r="R71" s="224" t="e">
        <v>#DIV/0!</v>
      </c>
      <c r="S71" s="224" t="e">
        <v>#DIV/0!</v>
      </c>
      <c r="T71" s="224" t="e">
        <v>#DIV/0!</v>
      </c>
      <c r="U71" s="224" t="e">
        <v>#DIV/0!</v>
      </c>
      <c r="V71" s="224" t="e">
        <v>#DIV/0!</v>
      </c>
      <c r="W71" s="224" t="e">
        <v>#DIV/0!</v>
      </c>
      <c r="X71" s="224" t="e">
        <v>#DIV/0!</v>
      </c>
      <c r="Y71" s="224" t="e">
        <v>#DIV/0!</v>
      </c>
      <c r="Z71" s="224" t="e">
        <v>#DIV/0!</v>
      </c>
      <c r="AA71" s="224" t="e">
        <v>#DIV/0!</v>
      </c>
      <c r="AB71" s="224" t="e">
        <v>#DIV/0!</v>
      </c>
      <c r="AC71" s="224" t="e">
        <v>#DIV/0!</v>
      </c>
      <c r="AD71" s="1120" t="e">
        <v>#DIV/0!</v>
      </c>
      <c r="AE71" s="224" t="e">
        <v>#DIV/0!</v>
      </c>
      <c r="AF71" s="224" t="e">
        <v>#DIV/0!</v>
      </c>
      <c r="AG71" s="224" t="e">
        <v>#DIV/0!</v>
      </c>
      <c r="AH71" s="224" t="e">
        <v>#DIV/0!</v>
      </c>
      <c r="AI71" s="224" t="e">
        <v>#DIV/0!</v>
      </c>
      <c r="AJ71" s="224" t="e">
        <v>#DIV/0!</v>
      </c>
      <c r="AK71" s="224" t="e">
        <v>#DIV/0!</v>
      </c>
      <c r="AL71" s="224" t="e">
        <v>#DIV/0!</v>
      </c>
      <c r="AM71" s="224" t="e">
        <v>#DIV/0!</v>
      </c>
      <c r="AN71" s="1120" t="e">
        <v>#DIV/0!</v>
      </c>
      <c r="AO71" s="224" t="e">
        <f t="shared" si="0"/>
        <v>#DIV/0!</v>
      </c>
      <c r="AP71" s="1123">
        <v>0.1</v>
      </c>
      <c r="AQ71" s="1123">
        <f t="shared" si="3"/>
        <v>6.3391806341729959E-2</v>
      </c>
      <c r="AR71" s="1123">
        <v>20</v>
      </c>
      <c r="AS71" s="1123" t="e">
        <f t="shared" si="4"/>
        <v>#DIV/0!</v>
      </c>
      <c r="AT71" s="224" t="e">
        <f t="shared" si="2"/>
        <v>#DIV/0!</v>
      </c>
    </row>
    <row r="72" spans="1:46">
      <c r="A72" s="1118">
        <v>2050</v>
      </c>
      <c r="D72" s="1107" t="s">
        <v>2003</v>
      </c>
      <c r="E72" s="224" t="s">
        <v>2060</v>
      </c>
      <c r="G72" s="224" t="e">
        <v>#DIV/0!</v>
      </c>
      <c r="H72" s="224" t="e">
        <v>#DIV/0!</v>
      </c>
      <c r="I72" s="224" t="e">
        <v>#DIV/0!</v>
      </c>
      <c r="J72" s="224" t="e">
        <v>#DIV/0!</v>
      </c>
      <c r="K72" s="224" t="e">
        <v>#DIV/0!</v>
      </c>
      <c r="L72" s="224" t="e">
        <v>#DIV/0!</v>
      </c>
      <c r="M72" s="224" t="e">
        <v>#DIV/0!</v>
      </c>
      <c r="N72" s="224" t="e">
        <v>#DIV/0!</v>
      </c>
      <c r="O72" s="224" t="e">
        <v>#DIV/0!</v>
      </c>
      <c r="P72" s="224" t="e">
        <v>#DIV/0!</v>
      </c>
      <c r="Q72" s="224" t="e">
        <v>#DIV/0!</v>
      </c>
      <c r="R72" s="224" t="e">
        <v>#DIV/0!</v>
      </c>
      <c r="S72" s="224" t="e">
        <v>#DIV/0!</v>
      </c>
      <c r="T72" s="224" t="e">
        <v>#DIV/0!</v>
      </c>
      <c r="U72" s="224" t="e">
        <v>#DIV/0!</v>
      </c>
      <c r="V72" s="224" t="e">
        <v>#DIV/0!</v>
      </c>
      <c r="W72" s="224" t="e">
        <v>#DIV/0!</v>
      </c>
      <c r="X72" s="224" t="e">
        <v>#DIV/0!</v>
      </c>
      <c r="Y72" s="224" t="e">
        <v>#DIV/0!</v>
      </c>
      <c r="Z72" s="224" t="e">
        <v>#DIV/0!</v>
      </c>
      <c r="AA72" s="224" t="e">
        <v>#DIV/0!</v>
      </c>
      <c r="AB72" s="224" t="e">
        <v>#DIV/0!</v>
      </c>
      <c r="AC72" s="224" t="e">
        <v>#DIV/0!</v>
      </c>
      <c r="AD72" s="1120" t="e">
        <v>#DIV/0!</v>
      </c>
      <c r="AE72" s="224" t="e">
        <v>#DIV/0!</v>
      </c>
      <c r="AF72" s="224" t="e">
        <v>#DIV/0!</v>
      </c>
      <c r="AG72" s="224" t="e">
        <v>#DIV/0!</v>
      </c>
      <c r="AH72" s="224" t="e">
        <v>#DIV/0!</v>
      </c>
      <c r="AI72" s="224" t="e">
        <v>#DIV/0!</v>
      </c>
      <c r="AJ72" s="224" t="e">
        <v>#DIV/0!</v>
      </c>
      <c r="AK72" s="224" t="e">
        <v>#DIV/0!</v>
      </c>
      <c r="AL72" s="224" t="e">
        <v>#DIV/0!</v>
      </c>
      <c r="AM72" s="224" t="e">
        <v>#DIV/0!</v>
      </c>
      <c r="AN72" s="1120" t="e">
        <v>#DIV/0!</v>
      </c>
      <c r="AO72" s="224" t="e">
        <f t="shared" si="0"/>
        <v>#DIV/0!</v>
      </c>
      <c r="AP72" s="1123">
        <v>0.1</v>
      </c>
      <c r="AQ72" s="1123">
        <f t="shared" si="3"/>
        <v>6.3391806341729959E-2</v>
      </c>
      <c r="AR72" s="1123">
        <v>20</v>
      </c>
      <c r="AS72" s="1123" t="e">
        <f t="shared" si="4"/>
        <v>#DIV/0!</v>
      </c>
      <c r="AT72" s="224" t="e">
        <f t="shared" si="2"/>
        <v>#DIV/0!</v>
      </c>
    </row>
    <row r="73" spans="1:46">
      <c r="A73" s="1118">
        <v>2017</v>
      </c>
      <c r="D73" s="1107" t="s">
        <v>2003</v>
      </c>
      <c r="E73" s="224" t="s">
        <v>2061</v>
      </c>
      <c r="G73" s="224">
        <v>4764.2062053375003</v>
      </c>
      <c r="H73" s="224">
        <v>1644.5</v>
      </c>
      <c r="I73" s="224">
        <v>258.36618750000002</v>
      </c>
      <c r="J73" s="224">
        <v>0</v>
      </c>
      <c r="K73" s="224">
        <v>0</v>
      </c>
      <c r="L73" s="224">
        <v>0</v>
      </c>
      <c r="M73" s="224">
        <v>0</v>
      </c>
      <c r="N73" s="224">
        <v>0</v>
      </c>
      <c r="O73" s="224">
        <v>0</v>
      </c>
      <c r="P73" s="224">
        <v>0</v>
      </c>
      <c r="Q73" s="224">
        <v>0</v>
      </c>
      <c r="R73" s="224">
        <v>0</v>
      </c>
      <c r="S73" s="224">
        <v>560.36800490323662</v>
      </c>
      <c r="T73" s="224">
        <v>897.68396136564468</v>
      </c>
      <c r="U73" s="224">
        <v>1110.8414818751887</v>
      </c>
      <c r="V73" s="224">
        <v>0</v>
      </c>
      <c r="W73" s="224">
        <v>162.33558619999999</v>
      </c>
      <c r="X73" s="224">
        <v>243.50337930000001</v>
      </c>
      <c r="Y73" s="224">
        <v>258.36618750000002</v>
      </c>
      <c r="Z73" s="224">
        <v>0</v>
      </c>
      <c r="AA73" s="224">
        <v>2.976722469605507</v>
      </c>
      <c r="AB73" s="224">
        <v>4.7685734999503033</v>
      </c>
      <c r="AC73" s="224">
        <v>5.9008843658708567</v>
      </c>
      <c r="AD73" s="1120">
        <v>17.255266768180615</v>
      </c>
      <c r="AE73" s="224">
        <v>0</v>
      </c>
      <c r="AF73" s="224">
        <v>7675.9466479799994</v>
      </c>
      <c r="AG73" s="224">
        <v>147005.19336375</v>
      </c>
      <c r="AH73" s="224">
        <v>0</v>
      </c>
      <c r="AI73" s="224">
        <v>18600</v>
      </c>
      <c r="AJ73" s="224">
        <v>0</v>
      </c>
      <c r="AK73" s="224">
        <v>745.98720000000003</v>
      </c>
      <c r="AL73" s="224">
        <v>0</v>
      </c>
      <c r="AM73" s="224">
        <v>0</v>
      </c>
      <c r="AN73" s="1120">
        <v>174027.12721173</v>
      </c>
      <c r="AO73" s="224">
        <f t="shared" si="0"/>
        <v>2.2735539493754775</v>
      </c>
      <c r="AP73" s="1123">
        <v>0.1</v>
      </c>
      <c r="AQ73" s="1123">
        <f t="shared" si="3"/>
        <v>6.3391806341729959E-2</v>
      </c>
      <c r="AR73" s="1123">
        <v>20</v>
      </c>
      <c r="AS73" s="1123">
        <f t="shared" si="4"/>
        <v>0.31261341807967957</v>
      </c>
      <c r="AT73" s="224">
        <f t="shared" si="2"/>
        <v>11031.893946413591</v>
      </c>
    </row>
    <row r="74" spans="1:46">
      <c r="A74" s="1121">
        <v>2020</v>
      </c>
      <c r="D74" s="1107" t="s">
        <v>2003</v>
      </c>
      <c r="E74" s="224" t="s">
        <v>2061</v>
      </c>
      <c r="G74" s="224" t="e">
        <v>#DIV/0!</v>
      </c>
      <c r="H74" s="224" t="e">
        <v>#DIV/0!</v>
      </c>
      <c r="I74" s="224" t="e">
        <v>#DIV/0!</v>
      </c>
      <c r="J74" s="224" t="e">
        <v>#DIV/0!</v>
      </c>
      <c r="K74" s="224" t="e">
        <v>#DIV/0!</v>
      </c>
      <c r="L74" s="224" t="e">
        <v>#DIV/0!</v>
      </c>
      <c r="M74" s="224" t="e">
        <v>#DIV/0!</v>
      </c>
      <c r="N74" s="224" t="e">
        <v>#DIV/0!</v>
      </c>
      <c r="O74" s="224" t="e">
        <v>#DIV/0!</v>
      </c>
      <c r="P74" s="224" t="e">
        <v>#DIV/0!</v>
      </c>
      <c r="Q74" s="224" t="e">
        <v>#DIV/0!</v>
      </c>
      <c r="R74" s="224" t="e">
        <v>#DIV/0!</v>
      </c>
      <c r="S74" s="224" t="e">
        <v>#DIV/0!</v>
      </c>
      <c r="T74" s="224" t="e">
        <v>#DIV/0!</v>
      </c>
      <c r="U74" s="224" t="e">
        <v>#DIV/0!</v>
      </c>
      <c r="V74" s="224" t="e">
        <v>#DIV/0!</v>
      </c>
      <c r="W74" s="224" t="e">
        <v>#DIV/0!</v>
      </c>
      <c r="X74" s="224" t="e">
        <v>#DIV/0!</v>
      </c>
      <c r="Y74" s="224" t="e">
        <v>#DIV/0!</v>
      </c>
      <c r="Z74" s="224" t="e">
        <v>#DIV/0!</v>
      </c>
      <c r="AA74" s="224" t="e">
        <v>#DIV/0!</v>
      </c>
      <c r="AB74" s="224" t="e">
        <v>#DIV/0!</v>
      </c>
      <c r="AC74" s="224" t="e">
        <v>#DIV/0!</v>
      </c>
      <c r="AD74" s="1120" t="e">
        <v>#DIV/0!</v>
      </c>
      <c r="AE74" s="224" t="e">
        <v>#DIV/0!</v>
      </c>
      <c r="AF74" s="224" t="e">
        <v>#DIV/0!</v>
      </c>
      <c r="AG74" s="224" t="e">
        <v>#DIV/0!</v>
      </c>
      <c r="AH74" s="224" t="e">
        <v>#DIV/0!</v>
      </c>
      <c r="AI74" s="224" t="e">
        <v>#DIV/0!</v>
      </c>
      <c r="AJ74" s="224" t="e">
        <v>#DIV/0!</v>
      </c>
      <c r="AK74" s="224" t="e">
        <v>#DIV/0!</v>
      </c>
      <c r="AL74" s="224" t="e">
        <v>#DIV/0!</v>
      </c>
      <c r="AM74" s="224" t="e">
        <v>#DIV/0!</v>
      </c>
      <c r="AN74" s="1120" t="e">
        <v>#DIV/0!</v>
      </c>
      <c r="AO74" s="224" t="e">
        <f t="shared" si="0"/>
        <v>#DIV/0!</v>
      </c>
      <c r="AP74" s="1123">
        <v>0.1</v>
      </c>
      <c r="AQ74" s="1123">
        <f t="shared" si="3"/>
        <v>6.3391806341729959E-2</v>
      </c>
      <c r="AR74" s="1123">
        <v>20</v>
      </c>
      <c r="AS74" s="1123" t="e">
        <f t="shared" si="4"/>
        <v>#DIV/0!</v>
      </c>
      <c r="AT74" s="224" t="e">
        <f t="shared" si="2"/>
        <v>#DIV/0!</v>
      </c>
    </row>
    <row r="75" spans="1:46">
      <c r="A75" s="1118">
        <v>2025</v>
      </c>
      <c r="D75" s="1107" t="s">
        <v>2003</v>
      </c>
      <c r="E75" s="224" t="s">
        <v>2061</v>
      </c>
      <c r="G75" s="224" t="e">
        <v>#DIV/0!</v>
      </c>
      <c r="H75" s="224" t="e">
        <v>#DIV/0!</v>
      </c>
      <c r="I75" s="224" t="e">
        <v>#DIV/0!</v>
      </c>
      <c r="J75" s="224" t="e">
        <v>#DIV/0!</v>
      </c>
      <c r="K75" s="224" t="e">
        <v>#DIV/0!</v>
      </c>
      <c r="L75" s="224" t="e">
        <v>#DIV/0!</v>
      </c>
      <c r="M75" s="224" t="e">
        <v>#DIV/0!</v>
      </c>
      <c r="N75" s="224" t="e">
        <v>#DIV/0!</v>
      </c>
      <c r="O75" s="224" t="e">
        <v>#DIV/0!</v>
      </c>
      <c r="P75" s="224" t="e">
        <v>#DIV/0!</v>
      </c>
      <c r="Q75" s="224" t="e">
        <v>#DIV/0!</v>
      </c>
      <c r="R75" s="224" t="e">
        <v>#DIV/0!</v>
      </c>
      <c r="S75" s="224" t="e">
        <v>#DIV/0!</v>
      </c>
      <c r="T75" s="224" t="e">
        <v>#DIV/0!</v>
      </c>
      <c r="U75" s="224" t="e">
        <v>#DIV/0!</v>
      </c>
      <c r="V75" s="224" t="e">
        <v>#DIV/0!</v>
      </c>
      <c r="W75" s="224" t="e">
        <v>#DIV/0!</v>
      </c>
      <c r="X75" s="224" t="e">
        <v>#DIV/0!</v>
      </c>
      <c r="Y75" s="224" t="e">
        <v>#DIV/0!</v>
      </c>
      <c r="Z75" s="224" t="e">
        <v>#DIV/0!</v>
      </c>
      <c r="AA75" s="224" t="e">
        <v>#DIV/0!</v>
      </c>
      <c r="AB75" s="224" t="e">
        <v>#DIV/0!</v>
      </c>
      <c r="AC75" s="224" t="e">
        <v>#DIV/0!</v>
      </c>
      <c r="AD75" s="1120" t="e">
        <v>#DIV/0!</v>
      </c>
      <c r="AE75" s="224" t="e">
        <v>#DIV/0!</v>
      </c>
      <c r="AF75" s="224" t="e">
        <v>#DIV/0!</v>
      </c>
      <c r="AG75" s="224" t="e">
        <v>#DIV/0!</v>
      </c>
      <c r="AH75" s="224" t="e">
        <v>#DIV/0!</v>
      </c>
      <c r="AI75" s="224" t="e">
        <v>#DIV/0!</v>
      </c>
      <c r="AJ75" s="224" t="e">
        <v>#DIV/0!</v>
      </c>
      <c r="AK75" s="224" t="e">
        <v>#DIV/0!</v>
      </c>
      <c r="AL75" s="224" t="e">
        <v>#DIV/0!</v>
      </c>
      <c r="AM75" s="224" t="e">
        <v>#DIV/0!</v>
      </c>
      <c r="AN75" s="1120" t="e">
        <v>#DIV/0!</v>
      </c>
      <c r="AO75" s="224" t="e">
        <f t="shared" si="0"/>
        <v>#DIV/0!</v>
      </c>
      <c r="AP75" s="1123">
        <v>0.1</v>
      </c>
      <c r="AQ75" s="1123">
        <f t="shared" si="3"/>
        <v>6.3391806341729959E-2</v>
      </c>
      <c r="AR75" s="1123">
        <v>20</v>
      </c>
      <c r="AS75" s="1123" t="e">
        <f t="shared" si="4"/>
        <v>#DIV/0!</v>
      </c>
      <c r="AT75" s="224" t="e">
        <f t="shared" si="2"/>
        <v>#DIV/0!</v>
      </c>
    </row>
    <row r="76" spans="1:46">
      <c r="A76" s="1118">
        <v>2030</v>
      </c>
      <c r="D76" s="1107" t="s">
        <v>2003</v>
      </c>
      <c r="E76" s="224" t="s">
        <v>2061</v>
      </c>
      <c r="G76" s="224" t="e">
        <v>#DIV/0!</v>
      </c>
      <c r="H76" s="224" t="e">
        <v>#DIV/0!</v>
      </c>
      <c r="I76" s="224" t="e">
        <v>#DIV/0!</v>
      </c>
      <c r="J76" s="224" t="e">
        <v>#DIV/0!</v>
      </c>
      <c r="K76" s="224" t="e">
        <v>#DIV/0!</v>
      </c>
      <c r="L76" s="224" t="e">
        <v>#DIV/0!</v>
      </c>
      <c r="M76" s="224" t="e">
        <v>#DIV/0!</v>
      </c>
      <c r="N76" s="224" t="e">
        <v>#DIV/0!</v>
      </c>
      <c r="O76" s="224" t="e">
        <v>#DIV/0!</v>
      </c>
      <c r="P76" s="224" t="e">
        <v>#DIV/0!</v>
      </c>
      <c r="Q76" s="224" t="e">
        <v>#DIV/0!</v>
      </c>
      <c r="R76" s="224" t="e">
        <v>#DIV/0!</v>
      </c>
      <c r="S76" s="224" t="e">
        <v>#DIV/0!</v>
      </c>
      <c r="T76" s="224" t="e">
        <v>#DIV/0!</v>
      </c>
      <c r="U76" s="224" t="e">
        <v>#DIV/0!</v>
      </c>
      <c r="V76" s="224" t="e">
        <v>#DIV/0!</v>
      </c>
      <c r="W76" s="224" t="e">
        <v>#DIV/0!</v>
      </c>
      <c r="X76" s="224" t="e">
        <v>#DIV/0!</v>
      </c>
      <c r="Y76" s="224" t="e">
        <v>#DIV/0!</v>
      </c>
      <c r="Z76" s="224" t="e">
        <v>#DIV/0!</v>
      </c>
      <c r="AA76" s="224" t="e">
        <v>#DIV/0!</v>
      </c>
      <c r="AB76" s="224" t="e">
        <v>#DIV/0!</v>
      </c>
      <c r="AC76" s="224" t="e">
        <v>#DIV/0!</v>
      </c>
      <c r="AD76" s="1120" t="e">
        <v>#DIV/0!</v>
      </c>
      <c r="AE76" s="224" t="e">
        <v>#DIV/0!</v>
      </c>
      <c r="AF76" s="224" t="e">
        <v>#DIV/0!</v>
      </c>
      <c r="AG76" s="224" t="e">
        <v>#DIV/0!</v>
      </c>
      <c r="AH76" s="224" t="e">
        <v>#DIV/0!</v>
      </c>
      <c r="AI76" s="224" t="e">
        <v>#DIV/0!</v>
      </c>
      <c r="AJ76" s="224" t="e">
        <v>#DIV/0!</v>
      </c>
      <c r="AK76" s="224" t="e">
        <v>#DIV/0!</v>
      </c>
      <c r="AL76" s="224" t="e">
        <v>#DIV/0!</v>
      </c>
      <c r="AM76" s="224" t="e">
        <v>#DIV/0!</v>
      </c>
      <c r="AN76" s="1120" t="e">
        <v>#DIV/0!</v>
      </c>
      <c r="AO76" s="224" t="e">
        <f t="shared" si="0"/>
        <v>#DIV/0!</v>
      </c>
      <c r="AP76" s="1123">
        <v>0.1</v>
      </c>
      <c r="AQ76" s="1123">
        <f t="shared" si="3"/>
        <v>6.3391806341729959E-2</v>
      </c>
      <c r="AR76" s="1123">
        <v>20</v>
      </c>
      <c r="AS76" s="1123" t="e">
        <f t="shared" si="4"/>
        <v>#DIV/0!</v>
      </c>
      <c r="AT76" s="224" t="e">
        <f t="shared" si="2"/>
        <v>#DIV/0!</v>
      </c>
    </row>
    <row r="77" spans="1:46">
      <c r="A77" s="1118">
        <v>2035</v>
      </c>
      <c r="D77" s="1107" t="s">
        <v>2003</v>
      </c>
      <c r="E77" s="224" t="s">
        <v>2061</v>
      </c>
      <c r="G77" s="224" t="e">
        <v>#DIV/0!</v>
      </c>
      <c r="H77" s="224" t="e">
        <v>#DIV/0!</v>
      </c>
      <c r="I77" s="224" t="e">
        <v>#DIV/0!</v>
      </c>
      <c r="J77" s="224" t="e">
        <v>#DIV/0!</v>
      </c>
      <c r="K77" s="224" t="e">
        <v>#DIV/0!</v>
      </c>
      <c r="L77" s="224" t="e">
        <v>#DIV/0!</v>
      </c>
      <c r="M77" s="224" t="e">
        <v>#DIV/0!</v>
      </c>
      <c r="N77" s="224" t="e">
        <v>#DIV/0!</v>
      </c>
      <c r="O77" s="224" t="e">
        <v>#DIV/0!</v>
      </c>
      <c r="P77" s="224" t="e">
        <v>#DIV/0!</v>
      </c>
      <c r="Q77" s="224" t="e">
        <v>#DIV/0!</v>
      </c>
      <c r="R77" s="224" t="e">
        <v>#DIV/0!</v>
      </c>
      <c r="S77" s="224" t="e">
        <v>#DIV/0!</v>
      </c>
      <c r="T77" s="224" t="e">
        <v>#DIV/0!</v>
      </c>
      <c r="U77" s="224" t="e">
        <v>#DIV/0!</v>
      </c>
      <c r="V77" s="224" t="e">
        <v>#DIV/0!</v>
      </c>
      <c r="W77" s="224" t="e">
        <v>#DIV/0!</v>
      </c>
      <c r="X77" s="224" t="e">
        <v>#DIV/0!</v>
      </c>
      <c r="Y77" s="224" t="e">
        <v>#DIV/0!</v>
      </c>
      <c r="Z77" s="224" t="e">
        <v>#DIV/0!</v>
      </c>
      <c r="AA77" s="224" t="e">
        <v>#DIV/0!</v>
      </c>
      <c r="AB77" s="224" t="e">
        <v>#DIV/0!</v>
      </c>
      <c r="AC77" s="224" t="e">
        <v>#DIV/0!</v>
      </c>
      <c r="AD77" s="1120" t="e">
        <v>#DIV/0!</v>
      </c>
      <c r="AE77" s="224" t="e">
        <v>#DIV/0!</v>
      </c>
      <c r="AF77" s="224" t="e">
        <v>#DIV/0!</v>
      </c>
      <c r="AG77" s="224" t="e">
        <v>#DIV/0!</v>
      </c>
      <c r="AH77" s="224" t="e">
        <v>#DIV/0!</v>
      </c>
      <c r="AI77" s="224" t="e">
        <v>#DIV/0!</v>
      </c>
      <c r="AJ77" s="224" t="e">
        <v>#DIV/0!</v>
      </c>
      <c r="AK77" s="224" t="e">
        <v>#DIV/0!</v>
      </c>
      <c r="AL77" s="224" t="e">
        <v>#DIV/0!</v>
      </c>
      <c r="AM77" s="224" t="e">
        <v>#DIV/0!</v>
      </c>
      <c r="AN77" s="1120" t="e">
        <v>#DIV/0!</v>
      </c>
      <c r="AO77" s="224" t="e">
        <f t="shared" si="0"/>
        <v>#DIV/0!</v>
      </c>
      <c r="AP77" s="1123">
        <v>0.1</v>
      </c>
      <c r="AQ77" s="1123">
        <f t="shared" si="3"/>
        <v>6.3391806341729959E-2</v>
      </c>
      <c r="AR77" s="1123">
        <v>20</v>
      </c>
      <c r="AS77" s="1123" t="e">
        <f t="shared" si="4"/>
        <v>#DIV/0!</v>
      </c>
      <c r="AT77" s="224" t="e">
        <f t="shared" si="2"/>
        <v>#DIV/0!</v>
      </c>
    </row>
    <row r="78" spans="1:46">
      <c r="A78" s="1118">
        <v>2050</v>
      </c>
      <c r="D78" s="1107" t="s">
        <v>2003</v>
      </c>
      <c r="E78" s="224" t="s">
        <v>2061</v>
      </c>
      <c r="G78" s="224" t="e">
        <v>#DIV/0!</v>
      </c>
      <c r="H78" s="224" t="e">
        <v>#DIV/0!</v>
      </c>
      <c r="I78" s="224" t="e">
        <v>#DIV/0!</v>
      </c>
      <c r="J78" s="224" t="e">
        <v>#DIV/0!</v>
      </c>
      <c r="K78" s="224" t="e">
        <v>#DIV/0!</v>
      </c>
      <c r="L78" s="224" t="e">
        <v>#DIV/0!</v>
      </c>
      <c r="M78" s="224" t="e">
        <v>#DIV/0!</v>
      </c>
      <c r="N78" s="224" t="e">
        <v>#DIV/0!</v>
      </c>
      <c r="O78" s="224" t="e">
        <v>#DIV/0!</v>
      </c>
      <c r="P78" s="224" t="e">
        <v>#DIV/0!</v>
      </c>
      <c r="Q78" s="224" t="e">
        <v>#DIV/0!</v>
      </c>
      <c r="R78" s="224" t="e">
        <v>#DIV/0!</v>
      </c>
      <c r="S78" s="224" t="e">
        <v>#DIV/0!</v>
      </c>
      <c r="T78" s="224" t="e">
        <v>#DIV/0!</v>
      </c>
      <c r="U78" s="224" t="e">
        <v>#DIV/0!</v>
      </c>
      <c r="V78" s="224" t="e">
        <v>#DIV/0!</v>
      </c>
      <c r="W78" s="224" t="e">
        <v>#DIV/0!</v>
      </c>
      <c r="X78" s="224" t="e">
        <v>#DIV/0!</v>
      </c>
      <c r="Y78" s="224" t="e">
        <v>#DIV/0!</v>
      </c>
      <c r="Z78" s="224" t="e">
        <v>#DIV/0!</v>
      </c>
      <c r="AA78" s="224" t="e">
        <v>#DIV/0!</v>
      </c>
      <c r="AB78" s="224" t="e">
        <v>#DIV/0!</v>
      </c>
      <c r="AC78" s="224" t="e">
        <v>#DIV/0!</v>
      </c>
      <c r="AD78" s="1120" t="e">
        <v>#DIV/0!</v>
      </c>
      <c r="AE78" s="224" t="e">
        <v>#DIV/0!</v>
      </c>
      <c r="AF78" s="224" t="e">
        <v>#DIV/0!</v>
      </c>
      <c r="AG78" s="224" t="e">
        <v>#DIV/0!</v>
      </c>
      <c r="AH78" s="224" t="e">
        <v>#DIV/0!</v>
      </c>
      <c r="AI78" s="224" t="e">
        <v>#DIV/0!</v>
      </c>
      <c r="AJ78" s="224" t="e">
        <v>#DIV/0!</v>
      </c>
      <c r="AK78" s="224" t="e">
        <v>#DIV/0!</v>
      </c>
      <c r="AL78" s="224" t="e">
        <v>#DIV/0!</v>
      </c>
      <c r="AM78" s="224" t="e">
        <v>#DIV/0!</v>
      </c>
      <c r="AN78" s="1120" t="e">
        <v>#DIV/0!</v>
      </c>
      <c r="AO78" s="224" t="e">
        <f t="shared" ref="AO78:AO141" si="5">AD78*$C$4</f>
        <v>#DIV/0!</v>
      </c>
      <c r="AP78" s="1123">
        <v>0.1</v>
      </c>
      <c r="AQ78" s="1123">
        <f t="shared" si="3"/>
        <v>6.3391806341729959E-2</v>
      </c>
      <c r="AR78" s="1123">
        <v>20</v>
      </c>
      <c r="AS78" s="1123" t="e">
        <f t="shared" si="4"/>
        <v>#DIV/0!</v>
      </c>
      <c r="AT78" s="224" t="e">
        <f t="shared" ref="AT78:AT141" si="6">AN78*AQ78</f>
        <v>#DIV/0!</v>
      </c>
    </row>
    <row r="79" spans="1:46">
      <c r="A79" s="1118">
        <v>2017</v>
      </c>
      <c r="D79" s="1107" t="s">
        <v>2003</v>
      </c>
      <c r="E79" s="224" t="s">
        <v>2062</v>
      </c>
      <c r="G79" s="224">
        <v>4011.4635405839831</v>
      </c>
      <c r="H79" s="224">
        <v>1644.5</v>
      </c>
      <c r="I79" s="224">
        <v>2.9304000000000001</v>
      </c>
      <c r="J79" s="224">
        <v>3.0378714739285759E-2</v>
      </c>
      <c r="K79" s="224">
        <v>4.0303916367529724E-2</v>
      </c>
      <c r="L79" s="224">
        <v>5.1443773103483373E-2</v>
      </c>
      <c r="M79" s="224">
        <v>0</v>
      </c>
      <c r="N79" s="224">
        <v>0</v>
      </c>
      <c r="O79" s="224">
        <v>0</v>
      </c>
      <c r="P79" s="224">
        <v>0</v>
      </c>
      <c r="Q79" s="224">
        <v>0</v>
      </c>
      <c r="R79" s="224">
        <v>0</v>
      </c>
      <c r="S79" s="224">
        <v>0</v>
      </c>
      <c r="T79" s="224">
        <v>0</v>
      </c>
      <c r="U79" s="224">
        <v>0</v>
      </c>
      <c r="V79" s="224">
        <v>0</v>
      </c>
      <c r="W79" s="224">
        <v>188.60309874999999</v>
      </c>
      <c r="X79" s="224">
        <v>91.216507177033492</v>
      </c>
      <c r="Y79" s="224">
        <v>2.9304000000000001</v>
      </c>
      <c r="Z79" s="224">
        <v>122.8892587</v>
      </c>
      <c r="AA79" s="224">
        <v>6.075742947857151</v>
      </c>
      <c r="AB79" s="224">
        <v>8.0607832735059457</v>
      </c>
      <c r="AC79" s="224">
        <v>10.288754620696675</v>
      </c>
      <c r="AD79" s="1120">
        <v>32.043098420878422</v>
      </c>
      <c r="AE79" s="224">
        <v>0</v>
      </c>
      <c r="AF79" s="224">
        <v>8802.8229363749997</v>
      </c>
      <c r="AG79" s="224">
        <v>3977.0397129186604</v>
      </c>
      <c r="AH79" s="224">
        <v>0</v>
      </c>
      <c r="AI79" s="224">
        <v>18600</v>
      </c>
      <c r="AJ79" s="224">
        <v>0</v>
      </c>
      <c r="AK79" s="224">
        <v>745.98720000000003</v>
      </c>
      <c r="AL79" s="224">
        <v>58937.390000000007</v>
      </c>
      <c r="AM79" s="224">
        <v>11987.604616000001</v>
      </c>
      <c r="AN79" s="1120">
        <v>103050.84446529366</v>
      </c>
      <c r="AO79" s="224">
        <f t="shared" si="5"/>
        <v>4.2219986479349405</v>
      </c>
      <c r="AP79" s="1123">
        <v>0.1</v>
      </c>
      <c r="AQ79" s="1123">
        <f t="shared" ref="AQ79:AQ142" si="7">AQ78</f>
        <v>6.3391806341729959E-2</v>
      </c>
      <c r="AR79" s="1123">
        <v>20</v>
      </c>
      <c r="AS79" s="1123">
        <f t="shared" si="4"/>
        <v>0.58052434991537272</v>
      </c>
      <c r="AT79" s="224">
        <f t="shared" si="6"/>
        <v>6532.5791756956305</v>
      </c>
    </row>
    <row r="80" spans="1:46">
      <c r="A80" s="1121">
        <v>2020</v>
      </c>
      <c r="D80" s="1107" t="s">
        <v>2003</v>
      </c>
      <c r="E80" s="224" t="s">
        <v>2062</v>
      </c>
      <c r="G80" s="224" t="e">
        <v>#DIV/0!</v>
      </c>
      <c r="H80" s="224" t="e">
        <v>#DIV/0!</v>
      </c>
      <c r="I80" s="224" t="e">
        <v>#DIV/0!</v>
      </c>
      <c r="J80" s="224" t="e">
        <v>#DIV/0!</v>
      </c>
      <c r="K80" s="224" t="e">
        <v>#DIV/0!</v>
      </c>
      <c r="L80" s="224" t="e">
        <v>#DIV/0!</v>
      </c>
      <c r="M80" s="224" t="e">
        <v>#DIV/0!</v>
      </c>
      <c r="N80" s="224" t="e">
        <v>#DIV/0!</v>
      </c>
      <c r="O80" s="224" t="e">
        <v>#DIV/0!</v>
      </c>
      <c r="P80" s="224" t="e">
        <v>#DIV/0!</v>
      </c>
      <c r="Q80" s="224" t="e">
        <v>#DIV/0!</v>
      </c>
      <c r="R80" s="224" t="e">
        <v>#DIV/0!</v>
      </c>
      <c r="S80" s="224" t="e">
        <v>#DIV/0!</v>
      </c>
      <c r="T80" s="224" t="e">
        <v>#DIV/0!</v>
      </c>
      <c r="U80" s="224" t="e">
        <v>#DIV/0!</v>
      </c>
      <c r="V80" s="224" t="e">
        <v>#DIV/0!</v>
      </c>
      <c r="W80" s="224" t="e">
        <v>#DIV/0!</v>
      </c>
      <c r="X80" s="224" t="e">
        <v>#DIV/0!</v>
      </c>
      <c r="Y80" s="224" t="e">
        <v>#DIV/0!</v>
      </c>
      <c r="Z80" s="224" t="e">
        <v>#DIV/0!</v>
      </c>
      <c r="AA80" s="224" t="e">
        <v>#DIV/0!</v>
      </c>
      <c r="AB80" s="224" t="e">
        <v>#DIV/0!</v>
      </c>
      <c r="AC80" s="224" t="e">
        <v>#DIV/0!</v>
      </c>
      <c r="AD80" s="1120" t="e">
        <v>#DIV/0!</v>
      </c>
      <c r="AE80" s="224" t="e">
        <v>#DIV/0!</v>
      </c>
      <c r="AF80" s="224" t="e">
        <v>#DIV/0!</v>
      </c>
      <c r="AG80" s="224" t="e">
        <v>#DIV/0!</v>
      </c>
      <c r="AH80" s="224" t="e">
        <v>#DIV/0!</v>
      </c>
      <c r="AI80" s="224" t="e">
        <v>#DIV/0!</v>
      </c>
      <c r="AJ80" s="224" t="e">
        <v>#DIV/0!</v>
      </c>
      <c r="AK80" s="224" t="e">
        <v>#DIV/0!</v>
      </c>
      <c r="AL80" s="224" t="e">
        <v>#DIV/0!</v>
      </c>
      <c r="AM80" s="224" t="e">
        <v>#DIV/0!</v>
      </c>
      <c r="AN80" s="1120" t="e">
        <v>#DIV/0!</v>
      </c>
      <c r="AO80" s="224" t="e">
        <f t="shared" si="5"/>
        <v>#DIV/0!</v>
      </c>
      <c r="AP80" s="1123">
        <v>0.1</v>
      </c>
      <c r="AQ80" s="1123">
        <f t="shared" si="7"/>
        <v>6.3391806341729959E-2</v>
      </c>
      <c r="AR80" s="1123">
        <v>20</v>
      </c>
      <c r="AS80" s="1123" t="e">
        <f t="shared" si="4"/>
        <v>#DIV/0!</v>
      </c>
      <c r="AT80" s="224" t="e">
        <f t="shared" si="6"/>
        <v>#DIV/0!</v>
      </c>
    </row>
    <row r="81" spans="1:46">
      <c r="A81" s="1118">
        <v>2025</v>
      </c>
      <c r="D81" s="1107" t="s">
        <v>2003</v>
      </c>
      <c r="E81" s="224" t="s">
        <v>2062</v>
      </c>
      <c r="G81" s="224" t="e">
        <v>#DIV/0!</v>
      </c>
      <c r="H81" s="224" t="e">
        <v>#DIV/0!</v>
      </c>
      <c r="I81" s="224" t="e">
        <v>#DIV/0!</v>
      </c>
      <c r="J81" s="224" t="e">
        <v>#DIV/0!</v>
      </c>
      <c r="K81" s="224" t="e">
        <v>#DIV/0!</v>
      </c>
      <c r="L81" s="224" t="e">
        <v>#DIV/0!</v>
      </c>
      <c r="M81" s="224" t="e">
        <v>#DIV/0!</v>
      </c>
      <c r="N81" s="224" t="e">
        <v>#DIV/0!</v>
      </c>
      <c r="O81" s="224" t="e">
        <v>#DIV/0!</v>
      </c>
      <c r="P81" s="224" t="e">
        <v>#DIV/0!</v>
      </c>
      <c r="Q81" s="224" t="e">
        <v>#DIV/0!</v>
      </c>
      <c r="R81" s="224" t="e">
        <v>#DIV/0!</v>
      </c>
      <c r="S81" s="224" t="e">
        <v>#DIV/0!</v>
      </c>
      <c r="T81" s="224" t="e">
        <v>#DIV/0!</v>
      </c>
      <c r="U81" s="224" t="e">
        <v>#DIV/0!</v>
      </c>
      <c r="V81" s="224" t="e">
        <v>#DIV/0!</v>
      </c>
      <c r="W81" s="224" t="e">
        <v>#DIV/0!</v>
      </c>
      <c r="X81" s="224" t="e">
        <v>#DIV/0!</v>
      </c>
      <c r="Y81" s="224" t="e">
        <v>#DIV/0!</v>
      </c>
      <c r="Z81" s="224" t="e">
        <v>#DIV/0!</v>
      </c>
      <c r="AA81" s="224" t="e">
        <v>#DIV/0!</v>
      </c>
      <c r="AB81" s="224" t="e">
        <v>#DIV/0!</v>
      </c>
      <c r="AC81" s="224" t="e">
        <v>#DIV/0!</v>
      </c>
      <c r="AD81" s="1120" t="e">
        <v>#DIV/0!</v>
      </c>
      <c r="AE81" s="224" t="e">
        <v>#DIV/0!</v>
      </c>
      <c r="AF81" s="224" t="e">
        <v>#DIV/0!</v>
      </c>
      <c r="AG81" s="224" t="e">
        <v>#DIV/0!</v>
      </c>
      <c r="AH81" s="224" t="e">
        <v>#DIV/0!</v>
      </c>
      <c r="AI81" s="224" t="e">
        <v>#DIV/0!</v>
      </c>
      <c r="AJ81" s="224" t="e">
        <v>#DIV/0!</v>
      </c>
      <c r="AK81" s="224" t="e">
        <v>#DIV/0!</v>
      </c>
      <c r="AL81" s="224" t="e">
        <v>#DIV/0!</v>
      </c>
      <c r="AM81" s="224" t="e">
        <v>#DIV/0!</v>
      </c>
      <c r="AN81" s="1120" t="e">
        <v>#DIV/0!</v>
      </c>
      <c r="AO81" s="224" t="e">
        <f t="shared" si="5"/>
        <v>#DIV/0!</v>
      </c>
      <c r="AP81" s="1123">
        <v>0.1</v>
      </c>
      <c r="AQ81" s="1123">
        <f t="shared" si="7"/>
        <v>6.3391806341729959E-2</v>
      </c>
      <c r="AR81" s="1123">
        <v>20</v>
      </c>
      <c r="AS81" s="1123" t="e">
        <f t="shared" si="4"/>
        <v>#DIV/0!</v>
      </c>
      <c r="AT81" s="224" t="e">
        <f t="shared" si="6"/>
        <v>#DIV/0!</v>
      </c>
    </row>
    <row r="82" spans="1:46">
      <c r="A82" s="1118">
        <v>2030</v>
      </c>
      <c r="D82" s="1107" t="s">
        <v>2003</v>
      </c>
      <c r="E82" s="224" t="s">
        <v>2062</v>
      </c>
      <c r="G82" s="224">
        <v>3533.8088048981808</v>
      </c>
      <c r="H82" s="224">
        <v>1679.5</v>
      </c>
      <c r="I82" s="224">
        <v>2.3443200000000002</v>
      </c>
      <c r="J82" s="224">
        <v>2.0152619915498694E-2</v>
      </c>
      <c r="K82" s="224">
        <v>2.5584682137724041E-2</v>
      </c>
      <c r="L82" s="224">
        <v>3.1895332620800326E-2</v>
      </c>
      <c r="M82" s="224">
        <v>0</v>
      </c>
      <c r="N82" s="224">
        <v>0</v>
      </c>
      <c r="O82" s="224">
        <v>0</v>
      </c>
      <c r="P82" s="224">
        <v>0</v>
      </c>
      <c r="Q82" s="224">
        <v>0</v>
      </c>
      <c r="R82" s="224">
        <v>0</v>
      </c>
      <c r="S82" s="224">
        <v>0</v>
      </c>
      <c r="T82" s="224">
        <v>0</v>
      </c>
      <c r="U82" s="224">
        <v>0</v>
      </c>
      <c r="V82" s="224">
        <v>0</v>
      </c>
      <c r="W82" s="224">
        <v>149.9532681</v>
      </c>
      <c r="X82" s="224">
        <v>44.303056768558939</v>
      </c>
      <c r="Y82" s="224">
        <v>2.3443200000000002</v>
      </c>
      <c r="Z82" s="224">
        <v>97.369036249999994</v>
      </c>
      <c r="AA82" s="224">
        <v>4.030523983099739</v>
      </c>
      <c r="AB82" s="224">
        <v>5.1169364275448084</v>
      </c>
      <c r="AC82" s="224">
        <v>6.3790665241600646</v>
      </c>
      <c r="AD82" s="1120">
        <v>19.303355955212709</v>
      </c>
      <c r="AE82" s="224">
        <v>0</v>
      </c>
      <c r="AF82" s="224">
        <v>1502.4417541128</v>
      </c>
      <c r="AG82" s="224">
        <v>983.52786026200829</v>
      </c>
      <c r="AH82" s="224">
        <v>0</v>
      </c>
      <c r="AI82" s="224">
        <v>18600</v>
      </c>
      <c r="AJ82" s="224">
        <v>619.42648860000008</v>
      </c>
      <c r="AK82" s="224">
        <v>5614.4184944067338</v>
      </c>
      <c r="AL82" s="224">
        <v>11528.46</v>
      </c>
      <c r="AM82" s="224">
        <v>3599.9297999999999</v>
      </c>
      <c r="AN82" s="1120">
        <v>42448.204397381545</v>
      </c>
      <c r="AO82" s="224">
        <f t="shared" si="5"/>
        <v>2.5434101806588263</v>
      </c>
      <c r="AP82" s="1123">
        <v>0.1</v>
      </c>
      <c r="AQ82" s="1123">
        <f t="shared" si="7"/>
        <v>6.3391806341729959E-2</v>
      </c>
      <c r="AR82" s="1123">
        <v>20</v>
      </c>
      <c r="AS82" s="1123">
        <f t="shared" si="4"/>
        <v>0.34971862021256112</v>
      </c>
      <c r="AT82" s="224">
        <f t="shared" si="6"/>
        <v>2690.868352712981</v>
      </c>
    </row>
    <row r="83" spans="1:46">
      <c r="A83" s="1118">
        <v>2035</v>
      </c>
      <c r="D83" s="1107" t="s">
        <v>2003</v>
      </c>
      <c r="E83" s="224" t="s">
        <v>2062</v>
      </c>
      <c r="G83" s="224" t="e">
        <v>#DIV/0!</v>
      </c>
      <c r="H83" s="224" t="e">
        <v>#DIV/0!</v>
      </c>
      <c r="I83" s="224" t="e">
        <v>#DIV/0!</v>
      </c>
      <c r="J83" s="224" t="e">
        <v>#DIV/0!</v>
      </c>
      <c r="K83" s="224" t="e">
        <v>#DIV/0!</v>
      </c>
      <c r="L83" s="224" t="e">
        <v>#DIV/0!</v>
      </c>
      <c r="M83" s="224" t="e">
        <v>#DIV/0!</v>
      </c>
      <c r="N83" s="224" t="e">
        <v>#DIV/0!</v>
      </c>
      <c r="O83" s="224" t="e">
        <v>#DIV/0!</v>
      </c>
      <c r="P83" s="224" t="e">
        <v>#DIV/0!</v>
      </c>
      <c r="Q83" s="224" t="e">
        <v>#DIV/0!</v>
      </c>
      <c r="R83" s="224" t="e">
        <v>#DIV/0!</v>
      </c>
      <c r="S83" s="224" t="e">
        <v>#DIV/0!</v>
      </c>
      <c r="T83" s="224" t="e">
        <v>#DIV/0!</v>
      </c>
      <c r="U83" s="224" t="e">
        <v>#DIV/0!</v>
      </c>
      <c r="V83" s="224" t="e">
        <v>#DIV/0!</v>
      </c>
      <c r="W83" s="224" t="e">
        <v>#DIV/0!</v>
      </c>
      <c r="X83" s="224" t="e">
        <v>#DIV/0!</v>
      </c>
      <c r="Y83" s="224" t="e">
        <v>#DIV/0!</v>
      </c>
      <c r="Z83" s="224" t="e">
        <v>#DIV/0!</v>
      </c>
      <c r="AA83" s="224" t="e">
        <v>#DIV/0!</v>
      </c>
      <c r="AB83" s="224" t="e">
        <v>#DIV/0!</v>
      </c>
      <c r="AC83" s="224" t="e">
        <v>#DIV/0!</v>
      </c>
      <c r="AD83" s="1120" t="e">
        <v>#DIV/0!</v>
      </c>
      <c r="AE83" s="224" t="e">
        <v>#DIV/0!</v>
      </c>
      <c r="AF83" s="224" t="e">
        <v>#DIV/0!</v>
      </c>
      <c r="AG83" s="224" t="e">
        <v>#DIV/0!</v>
      </c>
      <c r="AH83" s="224" t="e">
        <v>#DIV/0!</v>
      </c>
      <c r="AI83" s="224" t="e">
        <v>#DIV/0!</v>
      </c>
      <c r="AJ83" s="224" t="e">
        <v>#DIV/0!</v>
      </c>
      <c r="AK83" s="224" t="e">
        <v>#DIV/0!</v>
      </c>
      <c r="AL83" s="224" t="e">
        <v>#DIV/0!</v>
      </c>
      <c r="AM83" s="224" t="e">
        <v>#DIV/0!</v>
      </c>
      <c r="AN83" s="1120" t="e">
        <v>#DIV/0!</v>
      </c>
      <c r="AO83" s="224" t="e">
        <f t="shared" si="5"/>
        <v>#DIV/0!</v>
      </c>
      <c r="AP83" s="1123">
        <v>0.1</v>
      </c>
      <c r="AQ83" s="1123">
        <f t="shared" si="7"/>
        <v>6.3391806341729959E-2</v>
      </c>
      <c r="AR83" s="1123">
        <v>20</v>
      </c>
      <c r="AS83" s="1123" t="e">
        <f t="shared" si="4"/>
        <v>#DIV/0!</v>
      </c>
      <c r="AT83" s="224" t="e">
        <f t="shared" si="6"/>
        <v>#DIV/0!</v>
      </c>
    </row>
    <row r="84" spans="1:46">
      <c r="A84" s="1118">
        <v>2050</v>
      </c>
      <c r="D84" s="1107" t="s">
        <v>2003</v>
      </c>
      <c r="E84" s="224" t="s">
        <v>2062</v>
      </c>
      <c r="G84" s="224">
        <v>3213.1958107497685</v>
      </c>
      <c r="H84" s="224">
        <v>1762.5</v>
      </c>
      <c r="I84" s="224">
        <v>2.1146400000000001</v>
      </c>
      <c r="J84" s="224">
        <v>1.6091622779731279E-2</v>
      </c>
      <c r="K84" s="224">
        <v>2.1592041072090926E-2</v>
      </c>
      <c r="L84" s="224">
        <v>2.7233811708624812E-2</v>
      </c>
      <c r="M84" s="224">
        <v>0</v>
      </c>
      <c r="N84" s="224">
        <v>0</v>
      </c>
      <c r="O84" s="224">
        <v>0</v>
      </c>
      <c r="P84" s="224">
        <v>0</v>
      </c>
      <c r="Q84" s="224">
        <v>0</v>
      </c>
      <c r="R84" s="224">
        <v>0</v>
      </c>
      <c r="S84" s="224">
        <v>0</v>
      </c>
      <c r="T84" s="224">
        <v>0</v>
      </c>
      <c r="U84" s="224">
        <v>0</v>
      </c>
      <c r="V84" s="224">
        <v>0</v>
      </c>
      <c r="W84" s="224">
        <v>133.11707964999999</v>
      </c>
      <c r="X84" s="224">
        <v>39.962554585152823</v>
      </c>
      <c r="Y84" s="224">
        <v>2.1146400000000001</v>
      </c>
      <c r="Z84" s="224">
        <v>86.256103400000001</v>
      </c>
      <c r="AA84" s="224">
        <v>3.2183245559462561</v>
      </c>
      <c r="AB84" s="224">
        <v>4.3184082144181852</v>
      </c>
      <c r="AC84" s="224">
        <v>5.4467623417249627</v>
      </c>
      <c r="AD84" s="1120">
        <v>14.096532110677792</v>
      </c>
      <c r="AE84" s="224">
        <v>0</v>
      </c>
      <c r="AF84" s="224">
        <v>671.36198232000004</v>
      </c>
      <c r="AG84" s="224">
        <v>623.415851528384</v>
      </c>
      <c r="AH84" s="224">
        <v>0</v>
      </c>
      <c r="AI84" s="224">
        <v>18600</v>
      </c>
      <c r="AJ84" s="224">
        <v>1463.2117487400001</v>
      </c>
      <c r="AK84" s="224">
        <v>6393.2965024452897</v>
      </c>
      <c r="AL84" s="224">
        <v>6210.6</v>
      </c>
      <c r="AM84" s="224">
        <v>2210.8749600000001</v>
      </c>
      <c r="AN84" s="1120">
        <v>36172.761045033665</v>
      </c>
      <c r="AO84" s="224">
        <f t="shared" si="5"/>
        <v>1.8573590709029058</v>
      </c>
      <c r="AP84" s="1123">
        <v>0.1</v>
      </c>
      <c r="AQ84" s="1123">
        <f t="shared" si="7"/>
        <v>6.3391806341729959E-2</v>
      </c>
      <c r="AR84" s="1123">
        <v>20</v>
      </c>
      <c r="AS84" s="1123">
        <f t="shared" si="4"/>
        <v>0.25538666804706789</v>
      </c>
      <c r="AT84" s="224">
        <f t="shared" si="6"/>
        <v>2293.0566630124476</v>
      </c>
    </row>
    <row r="85" spans="1:46">
      <c r="A85" s="1118">
        <v>2017</v>
      </c>
      <c r="B85" s="1119"/>
      <c r="C85" s="1119"/>
      <c r="D85" s="1119" t="s">
        <v>531</v>
      </c>
      <c r="E85" s="1119" t="s">
        <v>2057</v>
      </c>
      <c r="F85" s="1119"/>
      <c r="G85" s="224">
        <v>11100.744038962512</v>
      </c>
      <c r="H85" s="224">
        <v>6467</v>
      </c>
      <c r="I85" s="224">
        <v>3.1680000000000001</v>
      </c>
      <c r="J85" s="224">
        <v>0.10405569828545599</v>
      </c>
      <c r="K85" s="224">
        <v>7.2810078080015786E-2</v>
      </c>
      <c r="L85" s="224">
        <v>8.5475492153009383E-2</v>
      </c>
      <c r="M85" s="224">
        <v>0</v>
      </c>
      <c r="N85" s="224">
        <v>0</v>
      </c>
      <c r="O85" s="224">
        <v>0</v>
      </c>
      <c r="P85" s="224">
        <v>0</v>
      </c>
      <c r="Q85" s="224">
        <v>0</v>
      </c>
      <c r="R85" s="224">
        <v>0</v>
      </c>
      <c r="S85" s="224">
        <v>0</v>
      </c>
      <c r="T85" s="224">
        <v>0</v>
      </c>
      <c r="U85" s="224">
        <v>0</v>
      </c>
      <c r="V85" s="224">
        <v>199.69452859999998</v>
      </c>
      <c r="W85" s="224">
        <v>0</v>
      </c>
      <c r="X85" s="224">
        <v>4.3509999999999991</v>
      </c>
      <c r="Y85" s="224">
        <v>3.1680000000000001</v>
      </c>
      <c r="Z85" s="224">
        <v>0</v>
      </c>
      <c r="AA85" s="224">
        <v>15.608354742818399</v>
      </c>
      <c r="AB85" s="224">
        <v>10.921511712002367</v>
      </c>
      <c r="AC85" s="224">
        <v>12.821323822951408</v>
      </c>
      <c r="AD85" s="1120">
        <v>13.014656704562958</v>
      </c>
      <c r="AE85" s="224">
        <v>18587.158587373709</v>
      </c>
      <c r="AF85" s="224">
        <v>0</v>
      </c>
      <c r="AG85" s="224">
        <v>261.60000000000002</v>
      </c>
      <c r="AH85" s="224">
        <v>6601.5423752813786</v>
      </c>
      <c r="AI85" s="224">
        <v>49200</v>
      </c>
      <c r="AJ85" s="224">
        <v>0</v>
      </c>
      <c r="AK85" s="224">
        <v>745.98720000000003</v>
      </c>
      <c r="AL85" s="224">
        <v>0</v>
      </c>
      <c r="AM85" s="224">
        <v>436.00000000000006</v>
      </c>
      <c r="AN85" s="1120">
        <v>75832.288162655095</v>
      </c>
      <c r="AO85" s="224">
        <f t="shared" si="5"/>
        <v>1.7148111673932152</v>
      </c>
      <c r="AP85" s="1123">
        <v>0.1</v>
      </c>
      <c r="AQ85" s="1123">
        <f>AA85*$C$4*365/1000*0.1</f>
        <v>7.5064323963351956E-2</v>
      </c>
      <c r="AR85" s="1123">
        <v>20</v>
      </c>
      <c r="AS85" s="1123">
        <f>AO85/$AO$85</f>
        <v>1</v>
      </c>
      <c r="AT85" s="224">
        <f t="shared" si="6"/>
        <v>5692.2994455238013</v>
      </c>
    </row>
    <row r="86" spans="1:46">
      <c r="A86" s="1121">
        <v>2020</v>
      </c>
      <c r="B86" s="1107"/>
      <c r="C86" s="1107"/>
      <c r="D86" s="1107" t="s">
        <v>531</v>
      </c>
      <c r="E86" s="1107" t="s">
        <v>2057</v>
      </c>
      <c r="F86" s="1107"/>
      <c r="G86" s="224" t="e">
        <v>#DIV/0!</v>
      </c>
      <c r="H86" s="224" t="e">
        <v>#DIV/0!</v>
      </c>
      <c r="I86" s="224" t="e">
        <v>#DIV/0!</v>
      </c>
      <c r="J86" s="224" t="e">
        <v>#DIV/0!</v>
      </c>
      <c r="K86" s="224" t="e">
        <v>#DIV/0!</v>
      </c>
      <c r="L86" s="224" t="e">
        <v>#DIV/0!</v>
      </c>
      <c r="M86" s="224" t="e">
        <v>#DIV/0!</v>
      </c>
      <c r="N86" s="224" t="e">
        <v>#DIV/0!</v>
      </c>
      <c r="O86" s="224" t="e">
        <v>#DIV/0!</v>
      </c>
      <c r="P86" s="224" t="e">
        <v>#DIV/0!</v>
      </c>
      <c r="Q86" s="224" t="e">
        <v>#DIV/0!</v>
      </c>
      <c r="R86" s="224" t="e">
        <v>#DIV/0!</v>
      </c>
      <c r="S86" s="224" t="e">
        <v>#DIV/0!</v>
      </c>
      <c r="T86" s="224" t="e">
        <v>#DIV/0!</v>
      </c>
      <c r="U86" s="224" t="e">
        <v>#DIV/0!</v>
      </c>
      <c r="V86" s="224" t="e">
        <v>#DIV/0!</v>
      </c>
      <c r="W86" s="224" t="e">
        <v>#DIV/0!</v>
      </c>
      <c r="X86" s="224" t="e">
        <v>#DIV/0!</v>
      </c>
      <c r="Y86" s="224" t="e">
        <v>#DIV/0!</v>
      </c>
      <c r="Z86" s="224" t="e">
        <v>#DIV/0!</v>
      </c>
      <c r="AA86" s="224" t="e">
        <v>#DIV/0!</v>
      </c>
      <c r="AB86" s="224" t="e">
        <v>#DIV/0!</v>
      </c>
      <c r="AC86" s="224" t="e">
        <v>#DIV/0!</v>
      </c>
      <c r="AD86" s="1120" t="e">
        <v>#DIV/0!</v>
      </c>
      <c r="AE86" s="224" t="e">
        <v>#DIV/0!</v>
      </c>
      <c r="AF86" s="224" t="e">
        <v>#DIV/0!</v>
      </c>
      <c r="AG86" s="224" t="e">
        <v>#DIV/0!</v>
      </c>
      <c r="AH86" s="224" t="e">
        <v>#DIV/0!</v>
      </c>
      <c r="AI86" s="224" t="e">
        <v>#DIV/0!</v>
      </c>
      <c r="AJ86" s="224" t="e">
        <v>#DIV/0!</v>
      </c>
      <c r="AK86" s="224" t="e">
        <v>#DIV/0!</v>
      </c>
      <c r="AL86" s="224" t="e">
        <v>#DIV/0!</v>
      </c>
      <c r="AM86" s="224" t="e">
        <v>#DIV/0!</v>
      </c>
      <c r="AN86" s="1120" t="e">
        <v>#DIV/0!</v>
      </c>
      <c r="AO86" s="224" t="e">
        <f t="shared" si="5"/>
        <v>#DIV/0!</v>
      </c>
      <c r="AP86" s="1123">
        <v>0.1</v>
      </c>
      <c r="AQ86" s="1123">
        <f t="shared" si="7"/>
        <v>7.5064323963351956E-2</v>
      </c>
      <c r="AR86" s="1123">
        <v>20</v>
      </c>
      <c r="AS86" s="1123" t="e">
        <f t="shared" ref="AS86:AS120" si="8">AO86/$AO$85</f>
        <v>#DIV/0!</v>
      </c>
      <c r="AT86" s="224" t="e">
        <f t="shared" si="6"/>
        <v>#DIV/0!</v>
      </c>
    </row>
    <row r="87" spans="1:46">
      <c r="A87" s="1118">
        <v>2025</v>
      </c>
      <c r="B87" s="1119"/>
      <c r="C87" s="1119"/>
      <c r="D87" s="1107" t="s">
        <v>531</v>
      </c>
      <c r="E87" s="1119" t="s">
        <v>2057</v>
      </c>
      <c r="F87" s="1119"/>
      <c r="G87" s="224" t="e">
        <v>#DIV/0!</v>
      </c>
      <c r="H87" s="224" t="e">
        <v>#DIV/0!</v>
      </c>
      <c r="I87" s="224" t="e">
        <v>#DIV/0!</v>
      </c>
      <c r="J87" s="224" t="e">
        <v>#DIV/0!</v>
      </c>
      <c r="K87" s="224" t="e">
        <v>#DIV/0!</v>
      </c>
      <c r="L87" s="224" t="e">
        <v>#DIV/0!</v>
      </c>
      <c r="M87" s="224" t="e">
        <v>#DIV/0!</v>
      </c>
      <c r="N87" s="224" t="e">
        <v>#DIV/0!</v>
      </c>
      <c r="O87" s="224" t="e">
        <v>#DIV/0!</v>
      </c>
      <c r="P87" s="224" t="e">
        <v>#DIV/0!</v>
      </c>
      <c r="Q87" s="224" t="e">
        <v>#DIV/0!</v>
      </c>
      <c r="R87" s="224" t="e">
        <v>#DIV/0!</v>
      </c>
      <c r="S87" s="224" t="e">
        <v>#DIV/0!</v>
      </c>
      <c r="T87" s="224" t="e">
        <v>#DIV/0!</v>
      </c>
      <c r="U87" s="224" t="e">
        <v>#DIV/0!</v>
      </c>
      <c r="V87" s="224" t="e">
        <v>#DIV/0!</v>
      </c>
      <c r="W87" s="224" t="e">
        <v>#DIV/0!</v>
      </c>
      <c r="X87" s="224" t="e">
        <v>#DIV/0!</v>
      </c>
      <c r="Y87" s="224" t="e">
        <v>#DIV/0!</v>
      </c>
      <c r="Z87" s="224" t="e">
        <v>#DIV/0!</v>
      </c>
      <c r="AA87" s="224" t="e">
        <v>#DIV/0!</v>
      </c>
      <c r="AB87" s="224" t="e">
        <v>#DIV/0!</v>
      </c>
      <c r="AC87" s="224" t="e">
        <v>#DIV/0!</v>
      </c>
      <c r="AD87" s="1120" t="e">
        <v>#DIV/0!</v>
      </c>
      <c r="AE87" s="224" t="e">
        <v>#DIV/0!</v>
      </c>
      <c r="AF87" s="224" t="e">
        <v>#DIV/0!</v>
      </c>
      <c r="AG87" s="224" t="e">
        <v>#DIV/0!</v>
      </c>
      <c r="AH87" s="224" t="e">
        <v>#DIV/0!</v>
      </c>
      <c r="AI87" s="224" t="e">
        <v>#DIV/0!</v>
      </c>
      <c r="AJ87" s="224" t="e">
        <v>#DIV/0!</v>
      </c>
      <c r="AK87" s="224" t="e">
        <v>#DIV/0!</v>
      </c>
      <c r="AL87" s="224" t="e">
        <v>#DIV/0!</v>
      </c>
      <c r="AM87" s="224" t="e">
        <v>#DIV/0!</v>
      </c>
      <c r="AN87" s="1120" t="e">
        <v>#DIV/0!</v>
      </c>
      <c r="AO87" s="224" t="e">
        <f t="shared" si="5"/>
        <v>#DIV/0!</v>
      </c>
      <c r="AP87" s="1123">
        <v>0.1</v>
      </c>
      <c r="AQ87" s="1123">
        <f t="shared" si="7"/>
        <v>7.5064323963351956E-2</v>
      </c>
      <c r="AR87" s="1123">
        <v>20</v>
      </c>
      <c r="AS87" s="1123" t="e">
        <f t="shared" si="8"/>
        <v>#DIV/0!</v>
      </c>
      <c r="AT87" s="224" t="e">
        <f t="shared" si="6"/>
        <v>#DIV/0!</v>
      </c>
    </row>
    <row r="88" spans="1:46">
      <c r="A88" s="1118">
        <v>2030</v>
      </c>
      <c r="B88" s="1107"/>
      <c r="C88" s="1107"/>
      <c r="D88" s="1107" t="s">
        <v>531</v>
      </c>
      <c r="E88" s="1107" t="s">
        <v>2057</v>
      </c>
      <c r="F88" s="1107"/>
      <c r="G88" s="224">
        <v>19983.69671034018</v>
      </c>
      <c r="H88" s="224">
        <v>10561.333333333334</v>
      </c>
      <c r="I88" s="224">
        <v>3.1680000000000006</v>
      </c>
      <c r="J88" s="224">
        <v>0.13569154063174957</v>
      </c>
      <c r="K88" s="224">
        <v>8.1071760632485723E-2</v>
      </c>
      <c r="L88" s="224">
        <v>9.0112530737374963E-2</v>
      </c>
      <c r="M88" s="224">
        <v>0</v>
      </c>
      <c r="N88" s="224">
        <v>0</v>
      </c>
      <c r="O88" s="224">
        <v>0</v>
      </c>
      <c r="P88" s="224">
        <v>0</v>
      </c>
      <c r="Q88" s="224">
        <v>0</v>
      </c>
      <c r="R88" s="224">
        <v>0</v>
      </c>
      <c r="S88" s="224">
        <v>0</v>
      </c>
      <c r="T88" s="224">
        <v>0</v>
      </c>
      <c r="U88" s="224">
        <v>0</v>
      </c>
      <c r="V88" s="224">
        <v>243.61868640000003</v>
      </c>
      <c r="W88" s="224">
        <v>0</v>
      </c>
      <c r="X88" s="224">
        <v>4.3964347826086954</v>
      </c>
      <c r="Y88" s="224">
        <v>3.1680000000000006</v>
      </c>
      <c r="Z88" s="224">
        <v>0</v>
      </c>
      <c r="AA88" s="224">
        <v>20.353731094762434</v>
      </c>
      <c r="AB88" s="224">
        <v>12.16076409487286</v>
      </c>
      <c r="AC88" s="224">
        <v>13.516879610606246</v>
      </c>
      <c r="AD88" s="1120">
        <v>10.668385630529594</v>
      </c>
      <c r="AE88" s="224">
        <v>23472.804954111998</v>
      </c>
      <c r="AF88" s="224">
        <v>0</v>
      </c>
      <c r="AG88" s="224">
        <v>177.6</v>
      </c>
      <c r="AH88" s="224">
        <v>7829.2983170979305</v>
      </c>
      <c r="AI88" s="224">
        <v>60400</v>
      </c>
      <c r="AJ88" s="224">
        <v>3142.5935149999991</v>
      </c>
      <c r="AK88" s="224">
        <v>4601.2931467233002</v>
      </c>
      <c r="AL88" s="224">
        <v>0</v>
      </c>
      <c r="AM88" s="224">
        <v>296</v>
      </c>
      <c r="AN88" s="1120">
        <v>99919.589932933231</v>
      </c>
      <c r="AO88" s="224">
        <f t="shared" si="5"/>
        <v>1.4056664906785792</v>
      </c>
      <c r="AP88" s="1123">
        <v>0.1</v>
      </c>
      <c r="AQ88" s="1123">
        <f t="shared" si="7"/>
        <v>7.5064323963351956E-2</v>
      </c>
      <c r="AR88" s="1123">
        <v>20</v>
      </c>
      <c r="AS88" s="1123">
        <f t="shared" si="8"/>
        <v>0.8197208633854508</v>
      </c>
      <c r="AT88" s="224">
        <f t="shared" si="6"/>
        <v>7500.3964690109806</v>
      </c>
    </row>
    <row r="89" spans="1:46">
      <c r="A89" s="1118">
        <v>2035</v>
      </c>
      <c r="B89" s="1119"/>
      <c r="C89" s="1119"/>
      <c r="D89" s="1107" t="s">
        <v>531</v>
      </c>
      <c r="E89" s="1119" t="s">
        <v>2057</v>
      </c>
      <c r="F89" s="1119"/>
      <c r="G89" s="224" t="e">
        <v>#DIV/0!</v>
      </c>
      <c r="H89" s="224" t="e">
        <v>#DIV/0!</v>
      </c>
      <c r="I89" s="224" t="e">
        <v>#DIV/0!</v>
      </c>
      <c r="J89" s="224" t="e">
        <v>#DIV/0!</v>
      </c>
      <c r="K89" s="224" t="e">
        <v>#DIV/0!</v>
      </c>
      <c r="L89" s="224" t="e">
        <v>#DIV/0!</v>
      </c>
      <c r="M89" s="224" t="e">
        <v>#DIV/0!</v>
      </c>
      <c r="N89" s="224" t="e">
        <v>#DIV/0!</v>
      </c>
      <c r="O89" s="224" t="e">
        <v>#DIV/0!</v>
      </c>
      <c r="P89" s="224" t="e">
        <v>#DIV/0!</v>
      </c>
      <c r="Q89" s="224" t="e">
        <v>#DIV/0!</v>
      </c>
      <c r="R89" s="224" t="e">
        <v>#DIV/0!</v>
      </c>
      <c r="S89" s="224" t="e">
        <v>#DIV/0!</v>
      </c>
      <c r="T89" s="224" t="e">
        <v>#DIV/0!</v>
      </c>
      <c r="U89" s="224" t="e">
        <v>#DIV/0!</v>
      </c>
      <c r="V89" s="224" t="e">
        <v>#DIV/0!</v>
      </c>
      <c r="W89" s="224" t="e">
        <v>#DIV/0!</v>
      </c>
      <c r="X89" s="224" t="e">
        <v>#DIV/0!</v>
      </c>
      <c r="Y89" s="224" t="e">
        <v>#DIV/0!</v>
      </c>
      <c r="Z89" s="224" t="e">
        <v>#DIV/0!</v>
      </c>
      <c r="AA89" s="224" t="e">
        <v>#DIV/0!</v>
      </c>
      <c r="AB89" s="224" t="e">
        <v>#DIV/0!</v>
      </c>
      <c r="AC89" s="224" t="e">
        <v>#DIV/0!</v>
      </c>
      <c r="AD89" s="1120" t="e">
        <v>#DIV/0!</v>
      </c>
      <c r="AE89" s="224" t="e">
        <v>#DIV/0!</v>
      </c>
      <c r="AF89" s="224" t="e">
        <v>#DIV/0!</v>
      </c>
      <c r="AG89" s="224" t="e">
        <v>#DIV/0!</v>
      </c>
      <c r="AH89" s="224" t="e">
        <v>#DIV/0!</v>
      </c>
      <c r="AI89" s="224" t="e">
        <v>#DIV/0!</v>
      </c>
      <c r="AJ89" s="224" t="e">
        <v>#DIV/0!</v>
      </c>
      <c r="AK89" s="224" t="e">
        <v>#DIV/0!</v>
      </c>
      <c r="AL89" s="224" t="e">
        <v>#DIV/0!</v>
      </c>
      <c r="AM89" s="224" t="e">
        <v>#DIV/0!</v>
      </c>
      <c r="AN89" s="1120" t="e">
        <v>#DIV/0!</v>
      </c>
      <c r="AO89" s="224" t="e">
        <f t="shared" si="5"/>
        <v>#DIV/0!</v>
      </c>
      <c r="AP89" s="1123">
        <v>0.1</v>
      </c>
      <c r="AQ89" s="1123">
        <f t="shared" si="7"/>
        <v>7.5064323963351956E-2</v>
      </c>
      <c r="AR89" s="1123">
        <v>20</v>
      </c>
      <c r="AS89" s="1123" t="e">
        <f t="shared" si="8"/>
        <v>#DIV/0!</v>
      </c>
      <c r="AT89" s="224" t="e">
        <f t="shared" si="6"/>
        <v>#DIV/0!</v>
      </c>
    </row>
    <row r="90" spans="1:46">
      <c r="A90" s="1118">
        <v>2050</v>
      </c>
      <c r="B90" s="1107"/>
      <c r="C90" s="1107"/>
      <c r="D90" s="1107" t="s">
        <v>531</v>
      </c>
      <c r="E90" s="1107" t="s">
        <v>2057</v>
      </c>
      <c r="F90" s="1107"/>
      <c r="G90" s="224">
        <v>19758.335932354355</v>
      </c>
      <c r="H90" s="224">
        <v>10972</v>
      </c>
      <c r="I90" s="224">
        <v>3.1680000000000006</v>
      </c>
      <c r="J90" s="224">
        <v>0.12434380992141593</v>
      </c>
      <c r="K90" s="224">
        <v>7.2348634610258963E-2</v>
      </c>
      <c r="L90" s="224">
        <v>8.1361650974030419E-2</v>
      </c>
      <c r="M90" s="224">
        <v>0</v>
      </c>
      <c r="N90" s="224">
        <v>0</v>
      </c>
      <c r="O90" s="224">
        <v>0</v>
      </c>
      <c r="P90" s="224">
        <v>0</v>
      </c>
      <c r="Q90" s="224">
        <v>0</v>
      </c>
      <c r="R90" s="224">
        <v>0</v>
      </c>
      <c r="S90" s="224">
        <v>0</v>
      </c>
      <c r="T90" s="224">
        <v>0</v>
      </c>
      <c r="U90" s="224">
        <v>0</v>
      </c>
      <c r="V90" s="224">
        <v>238.09564950000001</v>
      </c>
      <c r="W90" s="224">
        <v>0</v>
      </c>
      <c r="X90" s="224">
        <v>4.3964347826086954</v>
      </c>
      <c r="Y90" s="224">
        <v>3.1680000000000006</v>
      </c>
      <c r="Z90" s="224">
        <v>0</v>
      </c>
      <c r="AA90" s="224">
        <v>18.651571488212394</v>
      </c>
      <c r="AB90" s="224">
        <v>10.852295191538845</v>
      </c>
      <c r="AC90" s="224">
        <v>12.204247646104562</v>
      </c>
      <c r="AD90" s="1120">
        <v>9.4058561391212905</v>
      </c>
      <c r="AE90" s="224">
        <v>22859.168341531429</v>
      </c>
      <c r="AF90" s="224">
        <v>0</v>
      </c>
      <c r="AG90" s="224">
        <v>144</v>
      </c>
      <c r="AH90" s="224">
        <v>7674.9199132655167</v>
      </c>
      <c r="AI90" s="224">
        <v>60400</v>
      </c>
      <c r="AJ90" s="224">
        <v>7970.2159843600011</v>
      </c>
      <c r="AK90" s="224">
        <v>5802.3136575333883</v>
      </c>
      <c r="AL90" s="224">
        <v>0</v>
      </c>
      <c r="AM90" s="224">
        <v>240</v>
      </c>
      <c r="AN90" s="1120">
        <v>105090.61789669032</v>
      </c>
      <c r="AO90" s="224">
        <f t="shared" si="5"/>
        <v>1.2393156048906211</v>
      </c>
      <c r="AP90" s="1123">
        <v>0.1</v>
      </c>
      <c r="AQ90" s="1123">
        <f t="shared" si="7"/>
        <v>7.5064323963351956E-2</v>
      </c>
      <c r="AR90" s="1123">
        <v>20</v>
      </c>
      <c r="AS90" s="1123">
        <f t="shared" si="8"/>
        <v>0.72271258110277958</v>
      </c>
      <c r="AT90" s="224">
        <f t="shared" si="6"/>
        <v>7888.5561873059951</v>
      </c>
    </row>
    <row r="91" spans="1:46">
      <c r="A91" s="1118">
        <v>2017</v>
      </c>
      <c r="B91" s="1119"/>
      <c r="C91" s="1119"/>
      <c r="D91" s="1107" t="s">
        <v>531</v>
      </c>
      <c r="E91" s="1119" t="s">
        <v>2058</v>
      </c>
      <c r="F91" s="1119"/>
      <c r="G91" s="224">
        <v>11117.839939648044</v>
      </c>
      <c r="H91" s="224">
        <v>6467</v>
      </c>
      <c r="I91" s="224">
        <v>0.21333565440000002</v>
      </c>
      <c r="J91" s="224">
        <v>0.10601275547138236</v>
      </c>
      <c r="K91" s="224">
        <v>7.062027565247056E-2</v>
      </c>
      <c r="L91" s="224">
        <v>8.3137719405582497E-2</v>
      </c>
      <c r="M91" s="224">
        <v>0</v>
      </c>
      <c r="N91" s="224">
        <v>0</v>
      </c>
      <c r="O91" s="224">
        <v>0</v>
      </c>
      <c r="P91" s="224">
        <v>0</v>
      </c>
      <c r="Q91" s="224">
        <v>0</v>
      </c>
      <c r="R91" s="224">
        <v>0</v>
      </c>
      <c r="S91" s="224">
        <v>0</v>
      </c>
      <c r="T91" s="224">
        <v>0</v>
      </c>
      <c r="U91" s="224">
        <v>0</v>
      </c>
      <c r="V91" s="224">
        <v>199.69452859999998</v>
      </c>
      <c r="W91" s="224">
        <v>4</v>
      </c>
      <c r="X91" s="224">
        <v>6</v>
      </c>
      <c r="Y91" s="224">
        <v>0.21333565440000002</v>
      </c>
      <c r="Z91" s="224">
        <v>0</v>
      </c>
      <c r="AA91" s="224">
        <v>15.901913320707354</v>
      </c>
      <c r="AB91" s="224">
        <v>10.593041347870583</v>
      </c>
      <c r="AC91" s="224">
        <v>12.470657910837375</v>
      </c>
      <c r="AD91" s="1120">
        <v>13.019320237668857</v>
      </c>
      <c r="AE91" s="224">
        <v>18587.158587373709</v>
      </c>
      <c r="AF91" s="224">
        <v>883.35</v>
      </c>
      <c r="AG91" s="224">
        <v>289.53193070239229</v>
      </c>
      <c r="AH91" s="224">
        <v>6601.5423752813786</v>
      </c>
      <c r="AI91" s="224">
        <v>49200</v>
      </c>
      <c r="AJ91" s="224">
        <v>0</v>
      </c>
      <c r="AK91" s="224">
        <v>745.98720000000003</v>
      </c>
      <c r="AL91" s="224">
        <v>0</v>
      </c>
      <c r="AM91" s="224">
        <v>436.00000000000006</v>
      </c>
      <c r="AN91" s="1120">
        <v>76743.570093357499</v>
      </c>
      <c r="AO91" s="224">
        <f t="shared" si="5"/>
        <v>1.7154256345152485</v>
      </c>
      <c r="AP91" s="1123">
        <v>0.1</v>
      </c>
      <c r="AQ91" s="1123">
        <f t="shared" si="7"/>
        <v>7.5064323963351956E-2</v>
      </c>
      <c r="AR91" s="1123">
        <v>20</v>
      </c>
      <c r="AS91" s="1123">
        <f t="shared" si="8"/>
        <v>1.0003583293214537</v>
      </c>
      <c r="AT91" s="224">
        <f t="shared" si="6"/>
        <v>5760.7042075919962</v>
      </c>
    </row>
    <row r="92" spans="1:46">
      <c r="A92" s="1121">
        <v>2020</v>
      </c>
      <c r="D92" s="1107" t="s">
        <v>531</v>
      </c>
      <c r="E92" s="224" t="s">
        <v>2058</v>
      </c>
      <c r="G92" s="224" t="e">
        <v>#DIV/0!</v>
      </c>
      <c r="H92" s="224" t="e">
        <v>#DIV/0!</v>
      </c>
      <c r="I92" s="224" t="e">
        <v>#DIV/0!</v>
      </c>
      <c r="J92" s="224" t="e">
        <v>#DIV/0!</v>
      </c>
      <c r="K92" s="224" t="e">
        <v>#DIV/0!</v>
      </c>
      <c r="L92" s="224" t="e">
        <v>#DIV/0!</v>
      </c>
      <c r="M92" s="224" t="e">
        <v>#DIV/0!</v>
      </c>
      <c r="N92" s="224" t="e">
        <v>#DIV/0!</v>
      </c>
      <c r="O92" s="224" t="e">
        <v>#DIV/0!</v>
      </c>
      <c r="P92" s="224" t="e">
        <v>#DIV/0!</v>
      </c>
      <c r="Q92" s="224" t="e">
        <v>#DIV/0!</v>
      </c>
      <c r="R92" s="224" t="e">
        <v>#DIV/0!</v>
      </c>
      <c r="S92" s="224" t="e">
        <v>#DIV/0!</v>
      </c>
      <c r="T92" s="224" t="e">
        <v>#DIV/0!</v>
      </c>
      <c r="U92" s="224" t="e">
        <v>#DIV/0!</v>
      </c>
      <c r="V92" s="224" t="e">
        <v>#DIV/0!</v>
      </c>
      <c r="W92" s="224" t="e">
        <v>#DIV/0!</v>
      </c>
      <c r="X92" s="224" t="e">
        <v>#DIV/0!</v>
      </c>
      <c r="Y92" s="224" t="e">
        <v>#DIV/0!</v>
      </c>
      <c r="Z92" s="224" t="e">
        <v>#DIV/0!</v>
      </c>
      <c r="AA92" s="224" t="e">
        <v>#DIV/0!</v>
      </c>
      <c r="AB92" s="224" t="e">
        <v>#DIV/0!</v>
      </c>
      <c r="AC92" s="224" t="e">
        <v>#DIV/0!</v>
      </c>
      <c r="AD92" s="1120" t="e">
        <v>#DIV/0!</v>
      </c>
      <c r="AE92" s="224" t="e">
        <v>#DIV/0!</v>
      </c>
      <c r="AF92" s="224" t="e">
        <v>#DIV/0!</v>
      </c>
      <c r="AG92" s="224" t="e">
        <v>#DIV/0!</v>
      </c>
      <c r="AH92" s="224" t="e">
        <v>#DIV/0!</v>
      </c>
      <c r="AI92" s="224" t="e">
        <v>#DIV/0!</v>
      </c>
      <c r="AJ92" s="224" t="e">
        <v>#DIV/0!</v>
      </c>
      <c r="AK92" s="224" t="e">
        <v>#DIV/0!</v>
      </c>
      <c r="AL92" s="224" t="e">
        <v>#DIV/0!</v>
      </c>
      <c r="AM92" s="224" t="e">
        <v>#DIV/0!</v>
      </c>
      <c r="AN92" s="1120" t="e">
        <v>#DIV/0!</v>
      </c>
      <c r="AO92" s="224" t="e">
        <f t="shared" si="5"/>
        <v>#DIV/0!</v>
      </c>
      <c r="AP92" s="1123">
        <v>0.1</v>
      </c>
      <c r="AQ92" s="1123">
        <f t="shared" si="7"/>
        <v>7.5064323963351956E-2</v>
      </c>
      <c r="AR92" s="1123">
        <v>20</v>
      </c>
      <c r="AS92" s="1123" t="e">
        <f t="shared" si="8"/>
        <v>#DIV/0!</v>
      </c>
      <c r="AT92" s="224" t="e">
        <f t="shared" si="6"/>
        <v>#DIV/0!</v>
      </c>
    </row>
    <row r="93" spans="1:46">
      <c r="A93" s="1118">
        <v>2025</v>
      </c>
      <c r="D93" s="1107" t="s">
        <v>531</v>
      </c>
      <c r="E93" s="224" t="s">
        <v>2058</v>
      </c>
      <c r="G93" s="224" t="e">
        <v>#DIV/0!</v>
      </c>
      <c r="H93" s="224" t="e">
        <v>#DIV/0!</v>
      </c>
      <c r="I93" s="224" t="e">
        <v>#DIV/0!</v>
      </c>
      <c r="J93" s="224" t="e">
        <v>#DIV/0!</v>
      </c>
      <c r="K93" s="224" t="e">
        <v>#DIV/0!</v>
      </c>
      <c r="L93" s="224" t="e">
        <v>#DIV/0!</v>
      </c>
      <c r="M93" s="224" t="e">
        <v>#DIV/0!</v>
      </c>
      <c r="N93" s="224" t="e">
        <v>#DIV/0!</v>
      </c>
      <c r="O93" s="224" t="e">
        <v>#DIV/0!</v>
      </c>
      <c r="P93" s="224" t="e">
        <v>#DIV/0!</v>
      </c>
      <c r="Q93" s="224" t="e">
        <v>#DIV/0!</v>
      </c>
      <c r="R93" s="224" t="e">
        <v>#DIV/0!</v>
      </c>
      <c r="S93" s="224" t="e">
        <v>#DIV/0!</v>
      </c>
      <c r="T93" s="224" t="e">
        <v>#DIV/0!</v>
      </c>
      <c r="U93" s="224" t="e">
        <v>#DIV/0!</v>
      </c>
      <c r="V93" s="224" t="e">
        <v>#DIV/0!</v>
      </c>
      <c r="W93" s="224" t="e">
        <v>#DIV/0!</v>
      </c>
      <c r="X93" s="224" t="e">
        <v>#DIV/0!</v>
      </c>
      <c r="Y93" s="224" t="e">
        <v>#DIV/0!</v>
      </c>
      <c r="Z93" s="224" t="e">
        <v>#DIV/0!</v>
      </c>
      <c r="AA93" s="224" t="e">
        <v>#DIV/0!</v>
      </c>
      <c r="AB93" s="224" t="e">
        <v>#DIV/0!</v>
      </c>
      <c r="AC93" s="224" t="e">
        <v>#DIV/0!</v>
      </c>
      <c r="AD93" s="1120" t="e">
        <v>#DIV/0!</v>
      </c>
      <c r="AE93" s="224" t="e">
        <v>#DIV/0!</v>
      </c>
      <c r="AF93" s="224" t="e">
        <v>#DIV/0!</v>
      </c>
      <c r="AG93" s="224" t="e">
        <v>#DIV/0!</v>
      </c>
      <c r="AH93" s="224" t="e">
        <v>#DIV/0!</v>
      </c>
      <c r="AI93" s="224" t="e">
        <v>#DIV/0!</v>
      </c>
      <c r="AJ93" s="224" t="e">
        <v>#DIV/0!</v>
      </c>
      <c r="AK93" s="224" t="e">
        <v>#DIV/0!</v>
      </c>
      <c r="AL93" s="224" t="e">
        <v>#DIV/0!</v>
      </c>
      <c r="AM93" s="224" t="e">
        <v>#DIV/0!</v>
      </c>
      <c r="AN93" s="1120" t="e">
        <v>#DIV/0!</v>
      </c>
      <c r="AO93" s="224" t="e">
        <f t="shared" si="5"/>
        <v>#DIV/0!</v>
      </c>
      <c r="AP93" s="1123">
        <v>0.1</v>
      </c>
      <c r="AQ93" s="1123">
        <f t="shared" si="7"/>
        <v>7.5064323963351956E-2</v>
      </c>
      <c r="AR93" s="1123">
        <v>20</v>
      </c>
      <c r="AS93" s="1123" t="e">
        <f t="shared" si="8"/>
        <v>#DIV/0!</v>
      </c>
      <c r="AT93" s="224" t="e">
        <f t="shared" si="6"/>
        <v>#DIV/0!</v>
      </c>
    </row>
    <row r="94" spans="1:46">
      <c r="A94" s="1118">
        <v>2030</v>
      </c>
      <c r="D94" s="1107" t="s">
        <v>531</v>
      </c>
      <c r="E94" s="224" t="s">
        <v>2058</v>
      </c>
      <c r="G94" s="224" t="e">
        <v>#DIV/0!</v>
      </c>
      <c r="H94" s="224" t="e">
        <v>#DIV/0!</v>
      </c>
      <c r="I94" s="224" t="e">
        <v>#DIV/0!</v>
      </c>
      <c r="J94" s="224" t="e">
        <v>#DIV/0!</v>
      </c>
      <c r="K94" s="224" t="e">
        <v>#DIV/0!</v>
      </c>
      <c r="L94" s="224" t="e">
        <v>#DIV/0!</v>
      </c>
      <c r="M94" s="224" t="e">
        <v>#DIV/0!</v>
      </c>
      <c r="N94" s="224" t="e">
        <v>#DIV/0!</v>
      </c>
      <c r="O94" s="224" t="e">
        <v>#DIV/0!</v>
      </c>
      <c r="P94" s="224" t="e">
        <v>#DIV/0!</v>
      </c>
      <c r="Q94" s="224" t="e">
        <v>#DIV/0!</v>
      </c>
      <c r="R94" s="224" t="e">
        <v>#DIV/0!</v>
      </c>
      <c r="S94" s="224" t="e">
        <v>#DIV/0!</v>
      </c>
      <c r="T94" s="224" t="e">
        <v>#DIV/0!</v>
      </c>
      <c r="U94" s="224" t="e">
        <v>#DIV/0!</v>
      </c>
      <c r="V94" s="224" t="e">
        <v>#DIV/0!</v>
      </c>
      <c r="W94" s="224" t="e">
        <v>#DIV/0!</v>
      </c>
      <c r="X94" s="224" t="e">
        <v>#DIV/0!</v>
      </c>
      <c r="Y94" s="224" t="e">
        <v>#DIV/0!</v>
      </c>
      <c r="Z94" s="224" t="e">
        <v>#DIV/0!</v>
      </c>
      <c r="AA94" s="224" t="e">
        <v>#DIV/0!</v>
      </c>
      <c r="AB94" s="224" t="e">
        <v>#DIV/0!</v>
      </c>
      <c r="AC94" s="224" t="e">
        <v>#DIV/0!</v>
      </c>
      <c r="AD94" s="1120" t="e">
        <v>#DIV/0!</v>
      </c>
      <c r="AE94" s="224" t="e">
        <v>#DIV/0!</v>
      </c>
      <c r="AF94" s="224" t="e">
        <v>#DIV/0!</v>
      </c>
      <c r="AG94" s="224" t="e">
        <v>#DIV/0!</v>
      </c>
      <c r="AH94" s="224" t="e">
        <v>#DIV/0!</v>
      </c>
      <c r="AI94" s="224" t="e">
        <v>#DIV/0!</v>
      </c>
      <c r="AJ94" s="224" t="e">
        <v>#DIV/0!</v>
      </c>
      <c r="AK94" s="224" t="e">
        <v>#DIV/0!</v>
      </c>
      <c r="AL94" s="224" t="e">
        <v>#DIV/0!</v>
      </c>
      <c r="AM94" s="224" t="e">
        <v>#DIV/0!</v>
      </c>
      <c r="AN94" s="1120" t="e">
        <v>#DIV/0!</v>
      </c>
      <c r="AO94" s="224" t="e">
        <f t="shared" si="5"/>
        <v>#DIV/0!</v>
      </c>
      <c r="AP94" s="1123">
        <v>0.1</v>
      </c>
      <c r="AQ94" s="1123">
        <f t="shared" si="7"/>
        <v>7.5064323963351956E-2</v>
      </c>
      <c r="AR94" s="1123">
        <v>20</v>
      </c>
      <c r="AS94" s="1123" t="e">
        <f t="shared" si="8"/>
        <v>#DIV/0!</v>
      </c>
      <c r="AT94" s="224" t="e">
        <f t="shared" si="6"/>
        <v>#DIV/0!</v>
      </c>
    </row>
    <row r="95" spans="1:46">
      <c r="A95" s="1118">
        <v>2035</v>
      </c>
      <c r="D95" s="1107" t="s">
        <v>531</v>
      </c>
      <c r="E95" s="224" t="s">
        <v>2058</v>
      </c>
      <c r="G95" s="224" t="e">
        <v>#DIV/0!</v>
      </c>
      <c r="H95" s="224" t="e">
        <v>#DIV/0!</v>
      </c>
      <c r="I95" s="224" t="e">
        <v>#DIV/0!</v>
      </c>
      <c r="J95" s="224" t="e">
        <v>#DIV/0!</v>
      </c>
      <c r="K95" s="224" t="e">
        <v>#DIV/0!</v>
      </c>
      <c r="L95" s="224" t="e">
        <v>#DIV/0!</v>
      </c>
      <c r="M95" s="224" t="e">
        <v>#DIV/0!</v>
      </c>
      <c r="N95" s="224" t="e">
        <v>#DIV/0!</v>
      </c>
      <c r="O95" s="224" t="e">
        <v>#DIV/0!</v>
      </c>
      <c r="P95" s="224" t="e">
        <v>#DIV/0!</v>
      </c>
      <c r="Q95" s="224" t="e">
        <v>#DIV/0!</v>
      </c>
      <c r="R95" s="224" t="e">
        <v>#DIV/0!</v>
      </c>
      <c r="S95" s="224" t="e">
        <v>#DIV/0!</v>
      </c>
      <c r="T95" s="224" t="e">
        <v>#DIV/0!</v>
      </c>
      <c r="U95" s="224" t="e">
        <v>#DIV/0!</v>
      </c>
      <c r="V95" s="224" t="e">
        <v>#DIV/0!</v>
      </c>
      <c r="W95" s="224" t="e">
        <v>#DIV/0!</v>
      </c>
      <c r="X95" s="224" t="e">
        <v>#DIV/0!</v>
      </c>
      <c r="Y95" s="224" t="e">
        <v>#DIV/0!</v>
      </c>
      <c r="Z95" s="224" t="e">
        <v>#DIV/0!</v>
      </c>
      <c r="AA95" s="224" t="e">
        <v>#DIV/0!</v>
      </c>
      <c r="AB95" s="224" t="e">
        <v>#DIV/0!</v>
      </c>
      <c r="AC95" s="224" t="e">
        <v>#DIV/0!</v>
      </c>
      <c r="AD95" s="1120" t="e">
        <v>#DIV/0!</v>
      </c>
      <c r="AE95" s="224" t="e">
        <v>#DIV/0!</v>
      </c>
      <c r="AF95" s="224" t="e">
        <v>#DIV/0!</v>
      </c>
      <c r="AG95" s="224" t="e">
        <v>#DIV/0!</v>
      </c>
      <c r="AH95" s="224" t="e">
        <v>#DIV/0!</v>
      </c>
      <c r="AI95" s="224" t="e">
        <v>#DIV/0!</v>
      </c>
      <c r="AJ95" s="224" t="e">
        <v>#DIV/0!</v>
      </c>
      <c r="AK95" s="224" t="e">
        <v>#DIV/0!</v>
      </c>
      <c r="AL95" s="224" t="e">
        <v>#DIV/0!</v>
      </c>
      <c r="AM95" s="224" t="e">
        <v>#DIV/0!</v>
      </c>
      <c r="AN95" s="1120" t="e">
        <v>#DIV/0!</v>
      </c>
      <c r="AO95" s="224" t="e">
        <f t="shared" si="5"/>
        <v>#DIV/0!</v>
      </c>
      <c r="AP95" s="1123">
        <v>0.1</v>
      </c>
      <c r="AQ95" s="1123">
        <f t="shared" si="7"/>
        <v>7.5064323963351956E-2</v>
      </c>
      <c r="AR95" s="1123">
        <v>20</v>
      </c>
      <c r="AS95" s="1123" t="e">
        <f t="shared" si="8"/>
        <v>#DIV/0!</v>
      </c>
      <c r="AT95" s="224" t="e">
        <f t="shared" si="6"/>
        <v>#DIV/0!</v>
      </c>
    </row>
    <row r="96" spans="1:46">
      <c r="A96" s="1118">
        <v>2050</v>
      </c>
      <c r="D96" s="1107" t="s">
        <v>531</v>
      </c>
      <c r="E96" s="224" t="s">
        <v>2058</v>
      </c>
      <c r="G96" s="224" t="e">
        <v>#DIV/0!</v>
      </c>
      <c r="H96" s="224" t="e">
        <v>#DIV/0!</v>
      </c>
      <c r="I96" s="224" t="e">
        <v>#DIV/0!</v>
      </c>
      <c r="J96" s="224" t="e">
        <v>#DIV/0!</v>
      </c>
      <c r="K96" s="224" t="e">
        <v>#DIV/0!</v>
      </c>
      <c r="L96" s="224" t="e">
        <v>#DIV/0!</v>
      </c>
      <c r="M96" s="224" t="e">
        <v>#DIV/0!</v>
      </c>
      <c r="N96" s="224" t="e">
        <v>#DIV/0!</v>
      </c>
      <c r="O96" s="224" t="e">
        <v>#DIV/0!</v>
      </c>
      <c r="P96" s="224" t="e">
        <v>#DIV/0!</v>
      </c>
      <c r="Q96" s="224" t="e">
        <v>#DIV/0!</v>
      </c>
      <c r="R96" s="224" t="e">
        <v>#DIV/0!</v>
      </c>
      <c r="S96" s="224" t="e">
        <v>#DIV/0!</v>
      </c>
      <c r="T96" s="224" t="e">
        <v>#DIV/0!</v>
      </c>
      <c r="U96" s="224" t="e">
        <v>#DIV/0!</v>
      </c>
      <c r="V96" s="224" t="e">
        <v>#DIV/0!</v>
      </c>
      <c r="W96" s="224" t="e">
        <v>#DIV/0!</v>
      </c>
      <c r="X96" s="224" t="e">
        <v>#DIV/0!</v>
      </c>
      <c r="Y96" s="224" t="e">
        <v>#DIV/0!</v>
      </c>
      <c r="Z96" s="224" t="e">
        <v>#DIV/0!</v>
      </c>
      <c r="AA96" s="224" t="e">
        <v>#DIV/0!</v>
      </c>
      <c r="AB96" s="224" t="e">
        <v>#DIV/0!</v>
      </c>
      <c r="AC96" s="224" t="e">
        <v>#DIV/0!</v>
      </c>
      <c r="AD96" s="1120" t="e">
        <v>#DIV/0!</v>
      </c>
      <c r="AE96" s="224" t="e">
        <v>#DIV/0!</v>
      </c>
      <c r="AF96" s="224" t="e">
        <v>#DIV/0!</v>
      </c>
      <c r="AG96" s="224" t="e">
        <v>#DIV/0!</v>
      </c>
      <c r="AH96" s="224" t="e">
        <v>#DIV/0!</v>
      </c>
      <c r="AI96" s="224" t="e">
        <v>#DIV/0!</v>
      </c>
      <c r="AJ96" s="224" t="e">
        <v>#DIV/0!</v>
      </c>
      <c r="AK96" s="224" t="e">
        <v>#DIV/0!</v>
      </c>
      <c r="AL96" s="224" t="e">
        <v>#DIV/0!</v>
      </c>
      <c r="AM96" s="224" t="e">
        <v>#DIV/0!</v>
      </c>
      <c r="AN96" s="1120" t="e">
        <v>#DIV/0!</v>
      </c>
      <c r="AO96" s="224" t="e">
        <f t="shared" si="5"/>
        <v>#DIV/0!</v>
      </c>
      <c r="AP96" s="1123">
        <v>0.1</v>
      </c>
      <c r="AQ96" s="1123">
        <f t="shared" si="7"/>
        <v>7.5064323963351956E-2</v>
      </c>
      <c r="AR96" s="1123">
        <v>20</v>
      </c>
      <c r="AS96" s="1123" t="e">
        <f t="shared" si="8"/>
        <v>#DIV/0!</v>
      </c>
      <c r="AT96" s="224" t="e">
        <f t="shared" si="6"/>
        <v>#DIV/0!</v>
      </c>
    </row>
    <row r="97" spans="1:46">
      <c r="A97" s="1118">
        <v>2017</v>
      </c>
      <c r="D97" s="1107" t="s">
        <v>531</v>
      </c>
      <c r="E97" s="224" t="s">
        <v>2059</v>
      </c>
      <c r="G97" s="224">
        <v>11471.075730225295</v>
      </c>
      <c r="H97" s="224">
        <v>6467</v>
      </c>
      <c r="I97" s="224">
        <v>5.7024000000000008</v>
      </c>
      <c r="J97" s="224">
        <v>7.9321194288726846E-2</v>
      </c>
      <c r="K97" s="224">
        <v>6.9441908198748778E-2</v>
      </c>
      <c r="L97" s="224">
        <v>8.3069502211880822E-2</v>
      </c>
      <c r="M97" s="224">
        <v>0</v>
      </c>
      <c r="N97" s="224">
        <v>0</v>
      </c>
      <c r="O97" s="224">
        <v>0</v>
      </c>
      <c r="P97" s="224">
        <v>0</v>
      </c>
      <c r="Q97" s="224">
        <v>0</v>
      </c>
      <c r="R97" s="224">
        <v>0</v>
      </c>
      <c r="S97" s="224">
        <v>0</v>
      </c>
      <c r="T97" s="224">
        <v>0</v>
      </c>
      <c r="U97" s="224">
        <v>0</v>
      </c>
      <c r="V97" s="224">
        <v>150.43824429999998</v>
      </c>
      <c r="W97" s="224">
        <v>136.17875339999998</v>
      </c>
      <c r="X97" s="224">
        <v>177.50239234449759</v>
      </c>
      <c r="Y97" s="224">
        <v>5.7024000000000008</v>
      </c>
      <c r="Z97" s="224">
        <v>0</v>
      </c>
      <c r="AA97" s="224">
        <v>11.898179143309028</v>
      </c>
      <c r="AB97" s="224">
        <v>10.416286229812316</v>
      </c>
      <c r="AC97" s="224">
        <v>12.460425331782123</v>
      </c>
      <c r="AD97" s="1120">
        <v>10.843838828359436</v>
      </c>
      <c r="AE97" s="224">
        <v>13919.872726372572</v>
      </c>
      <c r="AF97" s="224">
        <v>6553.8185208599989</v>
      </c>
      <c r="AG97" s="224">
        <v>7739.1043062200952</v>
      </c>
      <c r="AH97" s="224">
        <v>7488.1619216837353</v>
      </c>
      <c r="AI97" s="224">
        <v>49200</v>
      </c>
      <c r="AJ97" s="224">
        <v>0</v>
      </c>
      <c r="AK97" s="224">
        <v>745.98720000000003</v>
      </c>
      <c r="AL97" s="224">
        <v>0</v>
      </c>
      <c r="AM97" s="224">
        <v>436.00000000000006</v>
      </c>
      <c r="AN97" s="1120">
        <v>86082.944675136416</v>
      </c>
      <c r="AO97" s="224">
        <f t="shared" si="5"/>
        <v>1.4287842040246392</v>
      </c>
      <c r="AP97" s="1123">
        <v>0.1</v>
      </c>
      <c r="AQ97" s="1123">
        <f t="shared" si="7"/>
        <v>7.5064323963351956E-2</v>
      </c>
      <c r="AR97" s="1123">
        <v>20</v>
      </c>
      <c r="AS97" s="1123">
        <f t="shared" si="8"/>
        <v>0.83320206398971486</v>
      </c>
      <c r="AT97" s="224">
        <f t="shared" si="6"/>
        <v>6461.758046813743</v>
      </c>
    </row>
    <row r="98" spans="1:46">
      <c r="A98" s="1121">
        <v>2020</v>
      </c>
      <c r="D98" s="1107" t="s">
        <v>531</v>
      </c>
      <c r="E98" s="224" t="s">
        <v>2059</v>
      </c>
      <c r="G98" s="224" t="e">
        <v>#DIV/0!</v>
      </c>
      <c r="H98" s="224" t="e">
        <v>#DIV/0!</v>
      </c>
      <c r="I98" s="224" t="e">
        <v>#DIV/0!</v>
      </c>
      <c r="J98" s="224" t="e">
        <v>#DIV/0!</v>
      </c>
      <c r="K98" s="224" t="e">
        <v>#DIV/0!</v>
      </c>
      <c r="L98" s="224" t="e">
        <v>#DIV/0!</v>
      </c>
      <c r="M98" s="224" t="e">
        <v>#DIV/0!</v>
      </c>
      <c r="N98" s="224" t="e">
        <v>#DIV/0!</v>
      </c>
      <c r="O98" s="224" t="e">
        <v>#DIV/0!</v>
      </c>
      <c r="P98" s="224" t="e">
        <v>#DIV/0!</v>
      </c>
      <c r="Q98" s="224" t="e">
        <v>#DIV/0!</v>
      </c>
      <c r="R98" s="224" t="e">
        <v>#DIV/0!</v>
      </c>
      <c r="S98" s="224" t="e">
        <v>#DIV/0!</v>
      </c>
      <c r="T98" s="224" t="e">
        <v>#DIV/0!</v>
      </c>
      <c r="U98" s="224" t="e">
        <v>#DIV/0!</v>
      </c>
      <c r="V98" s="224" t="e">
        <v>#DIV/0!</v>
      </c>
      <c r="W98" s="224" t="e">
        <v>#DIV/0!</v>
      </c>
      <c r="X98" s="224" t="e">
        <v>#DIV/0!</v>
      </c>
      <c r="Y98" s="224" t="e">
        <v>#DIV/0!</v>
      </c>
      <c r="Z98" s="224" t="e">
        <v>#DIV/0!</v>
      </c>
      <c r="AA98" s="224" t="e">
        <v>#DIV/0!</v>
      </c>
      <c r="AB98" s="224" t="e">
        <v>#DIV/0!</v>
      </c>
      <c r="AC98" s="224" t="e">
        <v>#DIV/0!</v>
      </c>
      <c r="AD98" s="1120" t="e">
        <v>#DIV/0!</v>
      </c>
      <c r="AE98" s="224" t="e">
        <v>#DIV/0!</v>
      </c>
      <c r="AF98" s="224" t="e">
        <v>#DIV/0!</v>
      </c>
      <c r="AG98" s="224" t="e">
        <v>#DIV/0!</v>
      </c>
      <c r="AH98" s="224" t="e">
        <v>#DIV/0!</v>
      </c>
      <c r="AI98" s="224" t="e">
        <v>#DIV/0!</v>
      </c>
      <c r="AJ98" s="224" t="e">
        <v>#DIV/0!</v>
      </c>
      <c r="AK98" s="224" t="e">
        <v>#DIV/0!</v>
      </c>
      <c r="AL98" s="224" t="e">
        <v>#DIV/0!</v>
      </c>
      <c r="AM98" s="224" t="e">
        <v>#DIV/0!</v>
      </c>
      <c r="AN98" s="1120" t="e">
        <v>#DIV/0!</v>
      </c>
      <c r="AO98" s="224" t="e">
        <f t="shared" si="5"/>
        <v>#DIV/0!</v>
      </c>
      <c r="AP98" s="1123">
        <v>0.1</v>
      </c>
      <c r="AQ98" s="1123">
        <f t="shared" si="7"/>
        <v>7.5064323963351956E-2</v>
      </c>
      <c r="AR98" s="1123">
        <v>20</v>
      </c>
      <c r="AS98" s="1123" t="e">
        <f t="shared" si="8"/>
        <v>#DIV/0!</v>
      </c>
      <c r="AT98" s="224" t="e">
        <f t="shared" si="6"/>
        <v>#DIV/0!</v>
      </c>
    </row>
    <row r="99" spans="1:46">
      <c r="A99" s="1118">
        <v>2025</v>
      </c>
      <c r="D99" s="1107" t="s">
        <v>531</v>
      </c>
      <c r="E99" s="224" t="s">
        <v>2059</v>
      </c>
      <c r="G99" s="224" t="e">
        <v>#DIV/0!</v>
      </c>
      <c r="H99" s="224" t="e">
        <v>#DIV/0!</v>
      </c>
      <c r="I99" s="224" t="e">
        <v>#DIV/0!</v>
      </c>
      <c r="J99" s="224" t="e">
        <v>#DIV/0!</v>
      </c>
      <c r="K99" s="224" t="e">
        <v>#DIV/0!</v>
      </c>
      <c r="L99" s="224" t="e">
        <v>#DIV/0!</v>
      </c>
      <c r="M99" s="224" t="e">
        <v>#DIV/0!</v>
      </c>
      <c r="N99" s="224" t="e">
        <v>#DIV/0!</v>
      </c>
      <c r="O99" s="224" t="e">
        <v>#DIV/0!</v>
      </c>
      <c r="P99" s="224" t="e">
        <v>#DIV/0!</v>
      </c>
      <c r="Q99" s="224" t="e">
        <v>#DIV/0!</v>
      </c>
      <c r="R99" s="224" t="e">
        <v>#DIV/0!</v>
      </c>
      <c r="S99" s="224" t="e">
        <v>#DIV/0!</v>
      </c>
      <c r="T99" s="224" t="e">
        <v>#DIV/0!</v>
      </c>
      <c r="U99" s="224" t="e">
        <v>#DIV/0!</v>
      </c>
      <c r="V99" s="224" t="e">
        <v>#DIV/0!</v>
      </c>
      <c r="W99" s="224" t="e">
        <v>#DIV/0!</v>
      </c>
      <c r="X99" s="224" t="e">
        <v>#DIV/0!</v>
      </c>
      <c r="Y99" s="224" t="e">
        <v>#DIV/0!</v>
      </c>
      <c r="Z99" s="224" t="e">
        <v>#DIV/0!</v>
      </c>
      <c r="AA99" s="224" t="e">
        <v>#DIV/0!</v>
      </c>
      <c r="AB99" s="224" t="e">
        <v>#DIV/0!</v>
      </c>
      <c r="AC99" s="224" t="e">
        <v>#DIV/0!</v>
      </c>
      <c r="AD99" s="1120" t="e">
        <v>#DIV/0!</v>
      </c>
      <c r="AE99" s="224" t="e">
        <v>#DIV/0!</v>
      </c>
      <c r="AF99" s="224" t="e">
        <v>#DIV/0!</v>
      </c>
      <c r="AG99" s="224" t="e">
        <v>#DIV/0!</v>
      </c>
      <c r="AH99" s="224" t="e">
        <v>#DIV/0!</v>
      </c>
      <c r="AI99" s="224" t="e">
        <v>#DIV/0!</v>
      </c>
      <c r="AJ99" s="224" t="e">
        <v>#DIV/0!</v>
      </c>
      <c r="AK99" s="224" t="e">
        <v>#DIV/0!</v>
      </c>
      <c r="AL99" s="224" t="e">
        <v>#DIV/0!</v>
      </c>
      <c r="AM99" s="224" t="e">
        <v>#DIV/0!</v>
      </c>
      <c r="AN99" s="1120" t="e">
        <v>#DIV/0!</v>
      </c>
      <c r="AO99" s="224" t="e">
        <f t="shared" si="5"/>
        <v>#DIV/0!</v>
      </c>
      <c r="AP99" s="1123">
        <v>0.1</v>
      </c>
      <c r="AQ99" s="1123">
        <f t="shared" si="7"/>
        <v>7.5064323963351956E-2</v>
      </c>
      <c r="AR99" s="1123">
        <v>20</v>
      </c>
      <c r="AS99" s="1123" t="e">
        <f t="shared" si="8"/>
        <v>#DIV/0!</v>
      </c>
      <c r="AT99" s="224" t="e">
        <f t="shared" si="6"/>
        <v>#DIV/0!</v>
      </c>
    </row>
    <row r="100" spans="1:46">
      <c r="A100" s="1118">
        <v>2030</v>
      </c>
      <c r="D100" s="1107" t="s">
        <v>531</v>
      </c>
      <c r="E100" s="224" t="s">
        <v>2059</v>
      </c>
      <c r="G100" s="224" t="e">
        <v>#DIV/0!</v>
      </c>
      <c r="H100" s="224" t="e">
        <v>#DIV/0!</v>
      </c>
      <c r="I100" s="224" t="e">
        <v>#DIV/0!</v>
      </c>
      <c r="J100" s="224" t="e">
        <v>#DIV/0!</v>
      </c>
      <c r="K100" s="224" t="e">
        <v>#DIV/0!</v>
      </c>
      <c r="L100" s="224" t="e">
        <v>#DIV/0!</v>
      </c>
      <c r="M100" s="224" t="e">
        <v>#DIV/0!</v>
      </c>
      <c r="N100" s="224" t="e">
        <v>#DIV/0!</v>
      </c>
      <c r="O100" s="224" t="e">
        <v>#DIV/0!</v>
      </c>
      <c r="P100" s="224" t="e">
        <v>#DIV/0!</v>
      </c>
      <c r="Q100" s="224" t="e">
        <v>#DIV/0!</v>
      </c>
      <c r="R100" s="224" t="e">
        <v>#DIV/0!</v>
      </c>
      <c r="S100" s="224" t="e">
        <v>#DIV/0!</v>
      </c>
      <c r="T100" s="224" t="e">
        <v>#DIV/0!</v>
      </c>
      <c r="U100" s="224" t="e">
        <v>#DIV/0!</v>
      </c>
      <c r="V100" s="224" t="e">
        <v>#DIV/0!</v>
      </c>
      <c r="W100" s="224" t="e">
        <v>#DIV/0!</v>
      </c>
      <c r="X100" s="224" t="e">
        <v>#DIV/0!</v>
      </c>
      <c r="Y100" s="224" t="e">
        <v>#DIV/0!</v>
      </c>
      <c r="Z100" s="224" t="e">
        <v>#DIV/0!</v>
      </c>
      <c r="AA100" s="224" t="e">
        <v>#DIV/0!</v>
      </c>
      <c r="AB100" s="224" t="e">
        <v>#DIV/0!</v>
      </c>
      <c r="AC100" s="224" t="e">
        <v>#DIV/0!</v>
      </c>
      <c r="AD100" s="1120" t="e">
        <v>#DIV/0!</v>
      </c>
      <c r="AE100" s="224" t="e">
        <v>#DIV/0!</v>
      </c>
      <c r="AF100" s="224" t="e">
        <v>#DIV/0!</v>
      </c>
      <c r="AG100" s="224" t="e">
        <v>#DIV/0!</v>
      </c>
      <c r="AH100" s="224" t="e">
        <v>#DIV/0!</v>
      </c>
      <c r="AI100" s="224" t="e">
        <v>#DIV/0!</v>
      </c>
      <c r="AJ100" s="224" t="e">
        <v>#DIV/0!</v>
      </c>
      <c r="AK100" s="224" t="e">
        <v>#DIV/0!</v>
      </c>
      <c r="AL100" s="224" t="e">
        <v>#DIV/0!</v>
      </c>
      <c r="AM100" s="224" t="e">
        <v>#DIV/0!</v>
      </c>
      <c r="AN100" s="1120" t="e">
        <v>#DIV/0!</v>
      </c>
      <c r="AO100" s="224" t="e">
        <f t="shared" si="5"/>
        <v>#DIV/0!</v>
      </c>
      <c r="AP100" s="1123">
        <v>0.1</v>
      </c>
      <c r="AQ100" s="1123">
        <f t="shared" si="7"/>
        <v>7.5064323963351956E-2</v>
      </c>
      <c r="AR100" s="1123">
        <v>20</v>
      </c>
      <c r="AS100" s="1123" t="e">
        <f t="shared" si="8"/>
        <v>#DIV/0!</v>
      </c>
      <c r="AT100" s="224" t="e">
        <f t="shared" si="6"/>
        <v>#DIV/0!</v>
      </c>
    </row>
    <row r="101" spans="1:46">
      <c r="A101" s="1118">
        <v>2035</v>
      </c>
      <c r="D101" s="1107" t="s">
        <v>531</v>
      </c>
      <c r="E101" s="224" t="s">
        <v>2059</v>
      </c>
      <c r="G101" s="224" t="e">
        <v>#DIV/0!</v>
      </c>
      <c r="H101" s="224" t="e">
        <v>#DIV/0!</v>
      </c>
      <c r="I101" s="224" t="e">
        <v>#DIV/0!</v>
      </c>
      <c r="J101" s="224" t="e">
        <v>#DIV/0!</v>
      </c>
      <c r="K101" s="224" t="e">
        <v>#DIV/0!</v>
      </c>
      <c r="L101" s="224" t="e">
        <v>#DIV/0!</v>
      </c>
      <c r="M101" s="224" t="e">
        <v>#DIV/0!</v>
      </c>
      <c r="N101" s="224" t="e">
        <v>#DIV/0!</v>
      </c>
      <c r="O101" s="224" t="e">
        <v>#DIV/0!</v>
      </c>
      <c r="P101" s="224" t="e">
        <v>#DIV/0!</v>
      </c>
      <c r="Q101" s="224" t="e">
        <v>#DIV/0!</v>
      </c>
      <c r="R101" s="224" t="e">
        <v>#DIV/0!</v>
      </c>
      <c r="S101" s="224" t="e">
        <v>#DIV/0!</v>
      </c>
      <c r="T101" s="224" t="e">
        <v>#DIV/0!</v>
      </c>
      <c r="U101" s="224" t="e">
        <v>#DIV/0!</v>
      </c>
      <c r="V101" s="224" t="e">
        <v>#DIV/0!</v>
      </c>
      <c r="W101" s="224" t="e">
        <v>#DIV/0!</v>
      </c>
      <c r="X101" s="224" t="e">
        <v>#DIV/0!</v>
      </c>
      <c r="Y101" s="224" t="e">
        <v>#DIV/0!</v>
      </c>
      <c r="Z101" s="224" t="e">
        <v>#DIV/0!</v>
      </c>
      <c r="AA101" s="224" t="e">
        <v>#DIV/0!</v>
      </c>
      <c r="AB101" s="224" t="e">
        <v>#DIV/0!</v>
      </c>
      <c r="AC101" s="224" t="e">
        <v>#DIV/0!</v>
      </c>
      <c r="AD101" s="1120" t="e">
        <v>#DIV/0!</v>
      </c>
      <c r="AE101" s="224" t="e">
        <v>#DIV/0!</v>
      </c>
      <c r="AF101" s="224" t="e">
        <v>#DIV/0!</v>
      </c>
      <c r="AG101" s="224" t="e">
        <v>#DIV/0!</v>
      </c>
      <c r="AH101" s="224" t="e">
        <v>#DIV/0!</v>
      </c>
      <c r="AI101" s="224" t="e">
        <v>#DIV/0!</v>
      </c>
      <c r="AJ101" s="224" t="e">
        <v>#DIV/0!</v>
      </c>
      <c r="AK101" s="224" t="e">
        <v>#DIV/0!</v>
      </c>
      <c r="AL101" s="224" t="e">
        <v>#DIV/0!</v>
      </c>
      <c r="AM101" s="224" t="e">
        <v>#DIV/0!</v>
      </c>
      <c r="AN101" s="1120" t="e">
        <v>#DIV/0!</v>
      </c>
      <c r="AO101" s="224" t="e">
        <f t="shared" si="5"/>
        <v>#DIV/0!</v>
      </c>
      <c r="AP101" s="1123">
        <v>0.1</v>
      </c>
      <c r="AQ101" s="1123">
        <f t="shared" si="7"/>
        <v>7.5064323963351956E-2</v>
      </c>
      <c r="AR101" s="1123">
        <v>20</v>
      </c>
      <c r="AS101" s="1123" t="e">
        <f t="shared" si="8"/>
        <v>#DIV/0!</v>
      </c>
      <c r="AT101" s="224" t="e">
        <f t="shared" si="6"/>
        <v>#DIV/0!</v>
      </c>
    </row>
    <row r="102" spans="1:46">
      <c r="A102" s="1118">
        <v>2050</v>
      </c>
      <c r="D102" s="1107" t="s">
        <v>531</v>
      </c>
      <c r="E102" s="224" t="s">
        <v>2059</v>
      </c>
      <c r="G102" s="224" t="e">
        <v>#DIV/0!</v>
      </c>
      <c r="H102" s="224" t="e">
        <v>#DIV/0!</v>
      </c>
      <c r="I102" s="224" t="e">
        <v>#DIV/0!</v>
      </c>
      <c r="J102" s="224" t="e">
        <v>#DIV/0!</v>
      </c>
      <c r="K102" s="224" t="e">
        <v>#DIV/0!</v>
      </c>
      <c r="L102" s="224" t="e">
        <v>#DIV/0!</v>
      </c>
      <c r="M102" s="224" t="e">
        <v>#DIV/0!</v>
      </c>
      <c r="N102" s="224" t="e">
        <v>#DIV/0!</v>
      </c>
      <c r="O102" s="224" t="e">
        <v>#DIV/0!</v>
      </c>
      <c r="P102" s="224" t="e">
        <v>#DIV/0!</v>
      </c>
      <c r="Q102" s="224" t="e">
        <v>#DIV/0!</v>
      </c>
      <c r="R102" s="224" t="e">
        <v>#DIV/0!</v>
      </c>
      <c r="S102" s="224" t="e">
        <v>#DIV/0!</v>
      </c>
      <c r="T102" s="224" t="e">
        <v>#DIV/0!</v>
      </c>
      <c r="U102" s="224" t="e">
        <v>#DIV/0!</v>
      </c>
      <c r="V102" s="224" t="e">
        <v>#DIV/0!</v>
      </c>
      <c r="W102" s="224" t="e">
        <v>#DIV/0!</v>
      </c>
      <c r="X102" s="224" t="e">
        <v>#DIV/0!</v>
      </c>
      <c r="Y102" s="224" t="e">
        <v>#DIV/0!</v>
      </c>
      <c r="Z102" s="224" t="e">
        <v>#DIV/0!</v>
      </c>
      <c r="AA102" s="224" t="e">
        <v>#DIV/0!</v>
      </c>
      <c r="AB102" s="224" t="e">
        <v>#DIV/0!</v>
      </c>
      <c r="AC102" s="224" t="e">
        <v>#DIV/0!</v>
      </c>
      <c r="AD102" s="1120" t="e">
        <v>#DIV/0!</v>
      </c>
      <c r="AE102" s="224" t="e">
        <v>#DIV/0!</v>
      </c>
      <c r="AF102" s="224" t="e">
        <v>#DIV/0!</v>
      </c>
      <c r="AG102" s="224" t="e">
        <v>#DIV/0!</v>
      </c>
      <c r="AH102" s="224" t="e">
        <v>#DIV/0!</v>
      </c>
      <c r="AI102" s="224" t="e">
        <v>#DIV/0!</v>
      </c>
      <c r="AJ102" s="224" t="e">
        <v>#DIV/0!</v>
      </c>
      <c r="AK102" s="224" t="e">
        <v>#DIV/0!</v>
      </c>
      <c r="AL102" s="224" t="e">
        <v>#DIV/0!</v>
      </c>
      <c r="AM102" s="224" t="e">
        <v>#DIV/0!</v>
      </c>
      <c r="AN102" s="1120" t="e">
        <v>#DIV/0!</v>
      </c>
      <c r="AO102" s="224" t="e">
        <f t="shared" si="5"/>
        <v>#DIV/0!</v>
      </c>
      <c r="AP102" s="1123">
        <v>0.1</v>
      </c>
      <c r="AQ102" s="1123">
        <f t="shared" si="7"/>
        <v>7.5064323963351956E-2</v>
      </c>
      <c r="AR102" s="1123">
        <v>20</v>
      </c>
      <c r="AS102" s="1123" t="e">
        <f t="shared" si="8"/>
        <v>#DIV/0!</v>
      </c>
      <c r="AT102" s="224" t="e">
        <f t="shared" si="6"/>
        <v>#DIV/0!</v>
      </c>
    </row>
    <row r="103" spans="1:46">
      <c r="A103" s="1118">
        <v>2017</v>
      </c>
      <c r="D103" s="1107" t="s">
        <v>531</v>
      </c>
      <c r="E103" s="224" t="s">
        <v>2060</v>
      </c>
      <c r="G103" s="224">
        <v>12136.886811206423</v>
      </c>
      <c r="H103" s="224">
        <v>6467</v>
      </c>
      <c r="I103" s="224">
        <v>130.33125000000001</v>
      </c>
      <c r="J103" s="224">
        <v>8.0740653958544142E-2</v>
      </c>
      <c r="K103" s="224">
        <v>8.698750505864862E-2</v>
      </c>
      <c r="L103" s="224">
        <v>0.1032815704359101</v>
      </c>
      <c r="M103" s="224">
        <v>2.7344512737575603E-2</v>
      </c>
      <c r="N103" s="224">
        <v>2.9532150215869652E-2</v>
      </c>
      <c r="O103" s="224">
        <v>3.4748586175006139E-2</v>
      </c>
      <c r="P103" s="224">
        <v>-15.898569795509976</v>
      </c>
      <c r="Q103" s="224">
        <v>-26.631251222353725</v>
      </c>
      <c r="R103" s="224">
        <v>-51.02235619069549</v>
      </c>
      <c r="S103" s="224">
        <v>1029.6874684724169</v>
      </c>
      <c r="T103" s="224">
        <v>1112.0653451081409</v>
      </c>
      <c r="U103" s="224">
        <v>1308.4959338979254</v>
      </c>
      <c r="V103" s="224">
        <v>120</v>
      </c>
      <c r="W103" s="224">
        <v>217.28667060000001</v>
      </c>
      <c r="X103" s="224">
        <v>325.93000589999997</v>
      </c>
      <c r="Y103" s="224">
        <v>130.20712499999999</v>
      </c>
      <c r="Z103" s="224">
        <v>0</v>
      </c>
      <c r="AA103" s="224">
        <v>6.0347069664040882</v>
      </c>
      <c r="AB103" s="224">
        <v>6.9941406824851295</v>
      </c>
      <c r="AC103" s="224">
        <v>9.3550550472690883</v>
      </c>
      <c r="AD103" s="1120">
        <v>4.154041672855513</v>
      </c>
      <c r="AE103" s="224">
        <v>11392.582857142856</v>
      </c>
      <c r="AF103" s="224">
        <v>10033.348168740002</v>
      </c>
      <c r="AG103" s="224">
        <v>74085.249982500012</v>
      </c>
      <c r="AH103" s="224">
        <v>0</v>
      </c>
      <c r="AI103" s="224">
        <v>49200</v>
      </c>
      <c r="AJ103" s="224">
        <v>0</v>
      </c>
      <c r="AK103" s="224">
        <v>745.98720000000003</v>
      </c>
      <c r="AL103" s="224">
        <v>0</v>
      </c>
      <c r="AM103" s="224">
        <v>436.00000000000006</v>
      </c>
      <c r="AN103" s="1120">
        <v>145893.16820838288</v>
      </c>
      <c r="AO103" s="224">
        <f t="shared" si="5"/>
        <v>0.54733653081544231</v>
      </c>
      <c r="AP103" s="1123">
        <v>0.1</v>
      </c>
      <c r="AQ103" s="1123">
        <f t="shared" si="7"/>
        <v>7.5064323963351956E-2</v>
      </c>
      <c r="AR103" s="1123">
        <v>20</v>
      </c>
      <c r="AS103" s="1123">
        <f t="shared" si="8"/>
        <v>0.31918180918280387</v>
      </c>
      <c r="AT103" s="224">
        <f t="shared" si="6"/>
        <v>10951.372042433853</v>
      </c>
    </row>
    <row r="104" spans="1:46">
      <c r="A104" s="1121">
        <v>2020</v>
      </c>
      <c r="D104" s="1107" t="s">
        <v>531</v>
      </c>
      <c r="E104" s="224" t="s">
        <v>2060</v>
      </c>
      <c r="G104" s="224" t="e">
        <v>#DIV/0!</v>
      </c>
      <c r="H104" s="224" t="e">
        <v>#DIV/0!</v>
      </c>
      <c r="I104" s="224" t="e">
        <v>#DIV/0!</v>
      </c>
      <c r="J104" s="224" t="e">
        <v>#DIV/0!</v>
      </c>
      <c r="K104" s="224" t="e">
        <v>#DIV/0!</v>
      </c>
      <c r="L104" s="224" t="e">
        <v>#DIV/0!</v>
      </c>
      <c r="M104" s="224" t="e">
        <v>#DIV/0!</v>
      </c>
      <c r="N104" s="224" t="e">
        <v>#DIV/0!</v>
      </c>
      <c r="O104" s="224" t="e">
        <v>#DIV/0!</v>
      </c>
      <c r="P104" s="224" t="e">
        <v>#DIV/0!</v>
      </c>
      <c r="Q104" s="224" t="e">
        <v>#DIV/0!</v>
      </c>
      <c r="R104" s="224" t="e">
        <v>#DIV/0!</v>
      </c>
      <c r="S104" s="224" t="e">
        <v>#DIV/0!</v>
      </c>
      <c r="T104" s="224" t="e">
        <v>#DIV/0!</v>
      </c>
      <c r="U104" s="224" t="e">
        <v>#DIV/0!</v>
      </c>
      <c r="V104" s="224" t="e">
        <v>#DIV/0!</v>
      </c>
      <c r="W104" s="224" t="e">
        <v>#DIV/0!</v>
      </c>
      <c r="X104" s="224" t="e">
        <v>#DIV/0!</v>
      </c>
      <c r="Y104" s="224" t="e">
        <v>#DIV/0!</v>
      </c>
      <c r="Z104" s="224" t="e">
        <v>#DIV/0!</v>
      </c>
      <c r="AA104" s="224" t="e">
        <v>#DIV/0!</v>
      </c>
      <c r="AB104" s="224" t="e">
        <v>#DIV/0!</v>
      </c>
      <c r="AC104" s="224" t="e">
        <v>#DIV/0!</v>
      </c>
      <c r="AD104" s="1120" t="e">
        <v>#DIV/0!</v>
      </c>
      <c r="AE104" s="224" t="e">
        <v>#DIV/0!</v>
      </c>
      <c r="AF104" s="224" t="e">
        <v>#DIV/0!</v>
      </c>
      <c r="AG104" s="224" t="e">
        <v>#DIV/0!</v>
      </c>
      <c r="AH104" s="224" t="e">
        <v>#DIV/0!</v>
      </c>
      <c r="AI104" s="224" t="e">
        <v>#DIV/0!</v>
      </c>
      <c r="AJ104" s="224" t="e">
        <v>#DIV/0!</v>
      </c>
      <c r="AK104" s="224" t="e">
        <v>#DIV/0!</v>
      </c>
      <c r="AL104" s="224" t="e">
        <v>#DIV/0!</v>
      </c>
      <c r="AM104" s="224" t="e">
        <v>#DIV/0!</v>
      </c>
      <c r="AN104" s="1120" t="e">
        <v>#DIV/0!</v>
      </c>
      <c r="AO104" s="224" t="e">
        <f t="shared" si="5"/>
        <v>#DIV/0!</v>
      </c>
      <c r="AP104" s="1123">
        <v>0.1</v>
      </c>
      <c r="AQ104" s="1123">
        <f t="shared" si="7"/>
        <v>7.5064323963351956E-2</v>
      </c>
      <c r="AR104" s="1123">
        <v>20</v>
      </c>
      <c r="AS104" s="1123" t="e">
        <f t="shared" si="8"/>
        <v>#DIV/0!</v>
      </c>
      <c r="AT104" s="224" t="e">
        <f t="shared" si="6"/>
        <v>#DIV/0!</v>
      </c>
    </row>
    <row r="105" spans="1:46">
      <c r="A105" s="1118">
        <v>2025</v>
      </c>
      <c r="D105" s="1107" t="s">
        <v>531</v>
      </c>
      <c r="E105" s="224" t="s">
        <v>2060</v>
      </c>
      <c r="G105" s="224" t="e">
        <v>#DIV/0!</v>
      </c>
      <c r="H105" s="224" t="e">
        <v>#DIV/0!</v>
      </c>
      <c r="I105" s="224" t="e">
        <v>#DIV/0!</v>
      </c>
      <c r="J105" s="224" t="e">
        <v>#DIV/0!</v>
      </c>
      <c r="K105" s="224" t="e">
        <v>#DIV/0!</v>
      </c>
      <c r="L105" s="224" t="e">
        <v>#DIV/0!</v>
      </c>
      <c r="M105" s="224" t="e">
        <v>#DIV/0!</v>
      </c>
      <c r="N105" s="224" t="e">
        <v>#DIV/0!</v>
      </c>
      <c r="O105" s="224" t="e">
        <v>#DIV/0!</v>
      </c>
      <c r="P105" s="224" t="e">
        <v>#DIV/0!</v>
      </c>
      <c r="Q105" s="224" t="e">
        <v>#DIV/0!</v>
      </c>
      <c r="R105" s="224" t="e">
        <v>#DIV/0!</v>
      </c>
      <c r="S105" s="224" t="e">
        <v>#DIV/0!</v>
      </c>
      <c r="T105" s="224" t="e">
        <v>#DIV/0!</v>
      </c>
      <c r="U105" s="224" t="e">
        <v>#DIV/0!</v>
      </c>
      <c r="V105" s="224" t="e">
        <v>#DIV/0!</v>
      </c>
      <c r="W105" s="224" t="e">
        <v>#DIV/0!</v>
      </c>
      <c r="X105" s="224" t="e">
        <v>#DIV/0!</v>
      </c>
      <c r="Y105" s="224" t="e">
        <v>#DIV/0!</v>
      </c>
      <c r="Z105" s="224" t="e">
        <v>#DIV/0!</v>
      </c>
      <c r="AA105" s="224" t="e">
        <v>#DIV/0!</v>
      </c>
      <c r="AB105" s="224" t="e">
        <v>#DIV/0!</v>
      </c>
      <c r="AC105" s="224" t="e">
        <v>#DIV/0!</v>
      </c>
      <c r="AD105" s="1120" t="e">
        <v>#DIV/0!</v>
      </c>
      <c r="AE105" s="224" t="e">
        <v>#DIV/0!</v>
      </c>
      <c r="AF105" s="224" t="e">
        <v>#DIV/0!</v>
      </c>
      <c r="AG105" s="224" t="e">
        <v>#DIV/0!</v>
      </c>
      <c r="AH105" s="224" t="e">
        <v>#DIV/0!</v>
      </c>
      <c r="AI105" s="224" t="e">
        <v>#DIV/0!</v>
      </c>
      <c r="AJ105" s="224" t="e">
        <v>#DIV/0!</v>
      </c>
      <c r="AK105" s="224" t="e">
        <v>#DIV/0!</v>
      </c>
      <c r="AL105" s="224" t="e">
        <v>#DIV/0!</v>
      </c>
      <c r="AM105" s="224" t="e">
        <v>#DIV/0!</v>
      </c>
      <c r="AN105" s="1120" t="e">
        <v>#DIV/0!</v>
      </c>
      <c r="AO105" s="224" t="e">
        <f t="shared" si="5"/>
        <v>#DIV/0!</v>
      </c>
      <c r="AP105" s="1123">
        <v>0.1</v>
      </c>
      <c r="AQ105" s="1123">
        <f t="shared" si="7"/>
        <v>7.5064323963351956E-2</v>
      </c>
      <c r="AR105" s="1123">
        <v>20</v>
      </c>
      <c r="AS105" s="1123" t="e">
        <f t="shared" si="8"/>
        <v>#DIV/0!</v>
      </c>
      <c r="AT105" s="224" t="e">
        <f t="shared" si="6"/>
        <v>#DIV/0!</v>
      </c>
    </row>
    <row r="106" spans="1:46">
      <c r="A106" s="1118">
        <v>2030</v>
      </c>
      <c r="D106" s="1107" t="s">
        <v>531</v>
      </c>
      <c r="E106" s="224" t="s">
        <v>2060</v>
      </c>
      <c r="G106" s="224" t="e">
        <v>#DIV/0!</v>
      </c>
      <c r="H106" s="224" t="e">
        <v>#DIV/0!</v>
      </c>
      <c r="I106" s="224" t="e">
        <v>#DIV/0!</v>
      </c>
      <c r="J106" s="224" t="e">
        <v>#DIV/0!</v>
      </c>
      <c r="K106" s="224" t="e">
        <v>#DIV/0!</v>
      </c>
      <c r="L106" s="224" t="e">
        <v>#DIV/0!</v>
      </c>
      <c r="M106" s="224" t="e">
        <v>#DIV/0!</v>
      </c>
      <c r="N106" s="224" t="e">
        <v>#DIV/0!</v>
      </c>
      <c r="O106" s="224" t="e">
        <v>#DIV/0!</v>
      </c>
      <c r="P106" s="224" t="e">
        <v>#DIV/0!</v>
      </c>
      <c r="Q106" s="224" t="e">
        <v>#DIV/0!</v>
      </c>
      <c r="R106" s="224" t="e">
        <v>#DIV/0!</v>
      </c>
      <c r="S106" s="224" t="e">
        <v>#DIV/0!</v>
      </c>
      <c r="T106" s="224" t="e">
        <v>#DIV/0!</v>
      </c>
      <c r="U106" s="224" t="e">
        <v>#DIV/0!</v>
      </c>
      <c r="V106" s="224" t="e">
        <v>#DIV/0!</v>
      </c>
      <c r="W106" s="224" t="e">
        <v>#DIV/0!</v>
      </c>
      <c r="X106" s="224" t="e">
        <v>#DIV/0!</v>
      </c>
      <c r="Y106" s="224" t="e">
        <v>#DIV/0!</v>
      </c>
      <c r="Z106" s="224" t="e">
        <v>#DIV/0!</v>
      </c>
      <c r="AA106" s="224" t="e">
        <v>#DIV/0!</v>
      </c>
      <c r="AB106" s="224" t="e">
        <v>#DIV/0!</v>
      </c>
      <c r="AC106" s="224" t="e">
        <v>#DIV/0!</v>
      </c>
      <c r="AD106" s="1120" t="e">
        <v>#DIV/0!</v>
      </c>
      <c r="AE106" s="224" t="e">
        <v>#DIV/0!</v>
      </c>
      <c r="AF106" s="224" t="e">
        <v>#DIV/0!</v>
      </c>
      <c r="AG106" s="224" t="e">
        <v>#DIV/0!</v>
      </c>
      <c r="AH106" s="224" t="e">
        <v>#DIV/0!</v>
      </c>
      <c r="AI106" s="224" t="e">
        <v>#DIV/0!</v>
      </c>
      <c r="AJ106" s="224" t="e">
        <v>#DIV/0!</v>
      </c>
      <c r="AK106" s="224" t="e">
        <v>#DIV/0!</v>
      </c>
      <c r="AL106" s="224" t="e">
        <v>#DIV/0!</v>
      </c>
      <c r="AM106" s="224" t="e">
        <v>#DIV/0!</v>
      </c>
      <c r="AN106" s="1120" t="e">
        <v>#DIV/0!</v>
      </c>
      <c r="AO106" s="224" t="e">
        <f t="shared" si="5"/>
        <v>#DIV/0!</v>
      </c>
      <c r="AP106" s="1123">
        <v>0.1</v>
      </c>
      <c r="AQ106" s="1123">
        <f t="shared" si="7"/>
        <v>7.5064323963351956E-2</v>
      </c>
      <c r="AR106" s="1123">
        <v>20</v>
      </c>
      <c r="AS106" s="1123" t="e">
        <f t="shared" si="8"/>
        <v>#DIV/0!</v>
      </c>
      <c r="AT106" s="224" t="e">
        <f t="shared" si="6"/>
        <v>#DIV/0!</v>
      </c>
    </row>
    <row r="107" spans="1:46">
      <c r="A107" s="1118">
        <v>2035</v>
      </c>
      <c r="D107" s="1107" t="s">
        <v>531</v>
      </c>
      <c r="E107" s="224" t="s">
        <v>2060</v>
      </c>
      <c r="G107" s="224" t="e">
        <v>#DIV/0!</v>
      </c>
      <c r="H107" s="224" t="e">
        <v>#DIV/0!</v>
      </c>
      <c r="I107" s="224" t="e">
        <v>#DIV/0!</v>
      </c>
      <c r="J107" s="224" t="e">
        <v>#DIV/0!</v>
      </c>
      <c r="K107" s="224" t="e">
        <v>#DIV/0!</v>
      </c>
      <c r="L107" s="224" t="e">
        <v>#DIV/0!</v>
      </c>
      <c r="M107" s="224" t="e">
        <v>#DIV/0!</v>
      </c>
      <c r="N107" s="224" t="e">
        <v>#DIV/0!</v>
      </c>
      <c r="O107" s="224" t="e">
        <v>#DIV/0!</v>
      </c>
      <c r="P107" s="224" t="e">
        <v>#DIV/0!</v>
      </c>
      <c r="Q107" s="224" t="e">
        <v>#DIV/0!</v>
      </c>
      <c r="R107" s="224" t="e">
        <v>#DIV/0!</v>
      </c>
      <c r="S107" s="224" t="e">
        <v>#DIV/0!</v>
      </c>
      <c r="T107" s="224" t="e">
        <v>#DIV/0!</v>
      </c>
      <c r="U107" s="224" t="e">
        <v>#DIV/0!</v>
      </c>
      <c r="V107" s="224" t="e">
        <v>#DIV/0!</v>
      </c>
      <c r="W107" s="224" t="e">
        <v>#DIV/0!</v>
      </c>
      <c r="X107" s="224" t="e">
        <v>#DIV/0!</v>
      </c>
      <c r="Y107" s="224" t="e">
        <v>#DIV/0!</v>
      </c>
      <c r="Z107" s="224" t="e">
        <v>#DIV/0!</v>
      </c>
      <c r="AA107" s="224" t="e">
        <v>#DIV/0!</v>
      </c>
      <c r="AB107" s="224" t="e">
        <v>#DIV/0!</v>
      </c>
      <c r="AC107" s="224" t="e">
        <v>#DIV/0!</v>
      </c>
      <c r="AD107" s="1120" t="e">
        <v>#DIV/0!</v>
      </c>
      <c r="AE107" s="224" t="e">
        <v>#DIV/0!</v>
      </c>
      <c r="AF107" s="224" t="e">
        <v>#DIV/0!</v>
      </c>
      <c r="AG107" s="224" t="e">
        <v>#DIV/0!</v>
      </c>
      <c r="AH107" s="224" t="e">
        <v>#DIV/0!</v>
      </c>
      <c r="AI107" s="224" t="e">
        <v>#DIV/0!</v>
      </c>
      <c r="AJ107" s="224" t="e">
        <v>#DIV/0!</v>
      </c>
      <c r="AK107" s="224" t="e">
        <v>#DIV/0!</v>
      </c>
      <c r="AL107" s="224" t="e">
        <v>#DIV/0!</v>
      </c>
      <c r="AM107" s="224" t="e">
        <v>#DIV/0!</v>
      </c>
      <c r="AN107" s="1120" t="e">
        <v>#DIV/0!</v>
      </c>
      <c r="AO107" s="224" t="e">
        <f t="shared" si="5"/>
        <v>#DIV/0!</v>
      </c>
      <c r="AP107" s="1123">
        <v>0.1</v>
      </c>
      <c r="AQ107" s="1123">
        <f t="shared" si="7"/>
        <v>7.5064323963351956E-2</v>
      </c>
      <c r="AR107" s="1123">
        <v>20</v>
      </c>
      <c r="AS107" s="1123" t="e">
        <f t="shared" si="8"/>
        <v>#DIV/0!</v>
      </c>
      <c r="AT107" s="224" t="e">
        <f t="shared" si="6"/>
        <v>#DIV/0!</v>
      </c>
    </row>
    <row r="108" spans="1:46">
      <c r="A108" s="1118">
        <v>2050</v>
      </c>
      <c r="D108" s="1107" t="s">
        <v>531</v>
      </c>
      <c r="E108" s="224" t="s">
        <v>2060</v>
      </c>
      <c r="G108" s="224" t="e">
        <v>#DIV/0!</v>
      </c>
      <c r="H108" s="224" t="e">
        <v>#DIV/0!</v>
      </c>
      <c r="I108" s="224" t="e">
        <v>#DIV/0!</v>
      </c>
      <c r="J108" s="224" t="e">
        <v>#DIV/0!</v>
      </c>
      <c r="K108" s="224" t="e">
        <v>#DIV/0!</v>
      </c>
      <c r="L108" s="224" t="e">
        <v>#DIV/0!</v>
      </c>
      <c r="M108" s="224" t="e">
        <v>#DIV/0!</v>
      </c>
      <c r="N108" s="224" t="e">
        <v>#DIV/0!</v>
      </c>
      <c r="O108" s="224" t="e">
        <v>#DIV/0!</v>
      </c>
      <c r="P108" s="224" t="e">
        <v>#DIV/0!</v>
      </c>
      <c r="Q108" s="224" t="e">
        <v>#DIV/0!</v>
      </c>
      <c r="R108" s="224" t="e">
        <v>#DIV/0!</v>
      </c>
      <c r="S108" s="224" t="e">
        <v>#DIV/0!</v>
      </c>
      <c r="T108" s="224" t="e">
        <v>#DIV/0!</v>
      </c>
      <c r="U108" s="224" t="e">
        <v>#DIV/0!</v>
      </c>
      <c r="V108" s="224" t="e">
        <v>#DIV/0!</v>
      </c>
      <c r="W108" s="224" t="e">
        <v>#DIV/0!</v>
      </c>
      <c r="X108" s="224" t="e">
        <v>#DIV/0!</v>
      </c>
      <c r="Y108" s="224" t="e">
        <v>#DIV/0!</v>
      </c>
      <c r="Z108" s="224" t="e">
        <v>#DIV/0!</v>
      </c>
      <c r="AA108" s="224" t="e">
        <v>#DIV/0!</v>
      </c>
      <c r="AB108" s="224" t="e">
        <v>#DIV/0!</v>
      </c>
      <c r="AC108" s="224" t="e">
        <v>#DIV/0!</v>
      </c>
      <c r="AD108" s="1120" t="e">
        <v>#DIV/0!</v>
      </c>
      <c r="AE108" s="224" t="e">
        <v>#DIV/0!</v>
      </c>
      <c r="AF108" s="224" t="e">
        <v>#DIV/0!</v>
      </c>
      <c r="AG108" s="224" t="e">
        <v>#DIV/0!</v>
      </c>
      <c r="AH108" s="224" t="e">
        <v>#DIV/0!</v>
      </c>
      <c r="AI108" s="224" t="e">
        <v>#DIV/0!</v>
      </c>
      <c r="AJ108" s="224" t="e">
        <v>#DIV/0!</v>
      </c>
      <c r="AK108" s="224" t="e">
        <v>#DIV/0!</v>
      </c>
      <c r="AL108" s="224" t="e">
        <v>#DIV/0!</v>
      </c>
      <c r="AM108" s="224" t="e">
        <v>#DIV/0!</v>
      </c>
      <c r="AN108" s="1120" t="e">
        <v>#DIV/0!</v>
      </c>
      <c r="AO108" s="224" t="e">
        <f t="shared" si="5"/>
        <v>#DIV/0!</v>
      </c>
      <c r="AP108" s="1123">
        <v>0.1</v>
      </c>
      <c r="AQ108" s="1123">
        <f t="shared" si="7"/>
        <v>7.5064323963351956E-2</v>
      </c>
      <c r="AR108" s="1123">
        <v>20</v>
      </c>
      <c r="AS108" s="1123" t="e">
        <f t="shared" si="8"/>
        <v>#DIV/0!</v>
      </c>
      <c r="AT108" s="224" t="e">
        <f t="shared" si="6"/>
        <v>#DIV/0!</v>
      </c>
    </row>
    <row r="109" spans="1:46">
      <c r="A109" s="1118">
        <v>2017</v>
      </c>
      <c r="D109" s="1107" t="s">
        <v>531</v>
      </c>
      <c r="E109" s="224" t="s">
        <v>2061</v>
      </c>
      <c r="G109" s="224">
        <v>11756.477403045001</v>
      </c>
      <c r="H109" s="224">
        <v>6467</v>
      </c>
      <c r="I109" s="224">
        <v>246.76050000000001</v>
      </c>
      <c r="J109" s="224">
        <v>0</v>
      </c>
      <c r="K109" s="224">
        <v>0</v>
      </c>
      <c r="L109" s="224">
        <v>0</v>
      </c>
      <c r="M109" s="224">
        <v>0</v>
      </c>
      <c r="N109" s="224">
        <v>0</v>
      </c>
      <c r="O109" s="224">
        <v>0</v>
      </c>
      <c r="P109" s="224">
        <v>0</v>
      </c>
      <c r="Q109" s="224">
        <v>0</v>
      </c>
      <c r="R109" s="224">
        <v>0</v>
      </c>
      <c r="S109" s="224">
        <v>997.18847575030054</v>
      </c>
      <c r="T109" s="224">
        <v>1214.0059118469787</v>
      </c>
      <c r="U109" s="224">
        <v>1424.5495672153872</v>
      </c>
      <c r="V109" s="224">
        <v>0</v>
      </c>
      <c r="W109" s="224">
        <v>182.69018549999998</v>
      </c>
      <c r="X109" s="224">
        <v>274.03527824999998</v>
      </c>
      <c r="Y109" s="224">
        <v>246.76050000000001</v>
      </c>
      <c r="Z109" s="224">
        <v>0</v>
      </c>
      <c r="AA109" s="224">
        <v>3.9728624531884487</v>
      </c>
      <c r="AB109" s="224">
        <v>4.8366769396293972</v>
      </c>
      <c r="AC109" s="224">
        <v>5.6754962837266421</v>
      </c>
      <c r="AD109" s="1120">
        <v>4.2757003381458514</v>
      </c>
      <c r="AE109" s="224">
        <v>0</v>
      </c>
      <c r="AF109" s="224">
        <v>8549.1589579499978</v>
      </c>
      <c r="AG109" s="224">
        <v>140401.78928999999</v>
      </c>
      <c r="AH109" s="224">
        <v>0</v>
      </c>
      <c r="AI109" s="224">
        <v>49200</v>
      </c>
      <c r="AJ109" s="224">
        <v>0</v>
      </c>
      <c r="AK109" s="224">
        <v>745.98720000000003</v>
      </c>
      <c r="AL109" s="224">
        <v>0</v>
      </c>
      <c r="AM109" s="224">
        <v>0</v>
      </c>
      <c r="AN109" s="1120">
        <v>198896.93544795</v>
      </c>
      <c r="AO109" s="224">
        <f t="shared" si="5"/>
        <v>0.56336627655409732</v>
      </c>
      <c r="AP109" s="1123">
        <v>0.1</v>
      </c>
      <c r="AQ109" s="1123">
        <f t="shared" si="7"/>
        <v>7.5064323963351956E-2</v>
      </c>
      <c r="AR109" s="1123">
        <v>20</v>
      </c>
      <c r="AS109" s="1123">
        <f t="shared" si="8"/>
        <v>0.32852962895646604</v>
      </c>
      <c r="AT109" s="224">
        <f t="shared" si="6"/>
        <v>14930.063997782821</v>
      </c>
    </row>
    <row r="110" spans="1:46">
      <c r="A110" s="1121">
        <v>2020</v>
      </c>
      <c r="D110" s="1107" t="s">
        <v>531</v>
      </c>
      <c r="E110" s="224" t="s">
        <v>2061</v>
      </c>
      <c r="G110" s="224" t="e">
        <v>#DIV/0!</v>
      </c>
      <c r="H110" s="224" t="e">
        <v>#DIV/0!</v>
      </c>
      <c r="I110" s="224" t="e">
        <v>#DIV/0!</v>
      </c>
      <c r="J110" s="224" t="e">
        <v>#DIV/0!</v>
      </c>
      <c r="K110" s="224" t="e">
        <v>#DIV/0!</v>
      </c>
      <c r="L110" s="224" t="e">
        <v>#DIV/0!</v>
      </c>
      <c r="M110" s="224" t="e">
        <v>#DIV/0!</v>
      </c>
      <c r="N110" s="224" t="e">
        <v>#DIV/0!</v>
      </c>
      <c r="O110" s="224" t="e">
        <v>#DIV/0!</v>
      </c>
      <c r="P110" s="224" t="e">
        <v>#DIV/0!</v>
      </c>
      <c r="Q110" s="224" t="e">
        <v>#DIV/0!</v>
      </c>
      <c r="R110" s="224" t="e">
        <v>#DIV/0!</v>
      </c>
      <c r="S110" s="224" t="e">
        <v>#DIV/0!</v>
      </c>
      <c r="T110" s="224" t="e">
        <v>#DIV/0!</v>
      </c>
      <c r="U110" s="224" t="e">
        <v>#DIV/0!</v>
      </c>
      <c r="V110" s="224" t="e">
        <v>#DIV/0!</v>
      </c>
      <c r="W110" s="224" t="e">
        <v>#DIV/0!</v>
      </c>
      <c r="X110" s="224" t="e">
        <v>#DIV/0!</v>
      </c>
      <c r="Y110" s="224" t="e">
        <v>#DIV/0!</v>
      </c>
      <c r="Z110" s="224" t="e">
        <v>#DIV/0!</v>
      </c>
      <c r="AA110" s="224" t="e">
        <v>#DIV/0!</v>
      </c>
      <c r="AB110" s="224" t="e">
        <v>#DIV/0!</v>
      </c>
      <c r="AC110" s="224" t="e">
        <v>#DIV/0!</v>
      </c>
      <c r="AD110" s="1120" t="e">
        <v>#DIV/0!</v>
      </c>
      <c r="AE110" s="224" t="e">
        <v>#DIV/0!</v>
      </c>
      <c r="AF110" s="224" t="e">
        <v>#DIV/0!</v>
      </c>
      <c r="AG110" s="224" t="e">
        <v>#DIV/0!</v>
      </c>
      <c r="AH110" s="224" t="e">
        <v>#DIV/0!</v>
      </c>
      <c r="AI110" s="224" t="e">
        <v>#DIV/0!</v>
      </c>
      <c r="AJ110" s="224" t="e">
        <v>#DIV/0!</v>
      </c>
      <c r="AK110" s="224" t="e">
        <v>#DIV/0!</v>
      </c>
      <c r="AL110" s="224" t="e">
        <v>#DIV/0!</v>
      </c>
      <c r="AM110" s="224" t="e">
        <v>#DIV/0!</v>
      </c>
      <c r="AN110" s="1120" t="e">
        <v>#DIV/0!</v>
      </c>
      <c r="AO110" s="224" t="e">
        <f t="shared" si="5"/>
        <v>#DIV/0!</v>
      </c>
      <c r="AP110" s="1123">
        <v>0.1</v>
      </c>
      <c r="AQ110" s="1123">
        <f t="shared" si="7"/>
        <v>7.5064323963351956E-2</v>
      </c>
      <c r="AR110" s="1123">
        <v>20</v>
      </c>
      <c r="AS110" s="1123" t="e">
        <f t="shared" ref="AS110:AS114" si="9">AO110/$AO$229</f>
        <v>#DIV/0!</v>
      </c>
      <c r="AT110" s="224" t="e">
        <f t="shared" si="6"/>
        <v>#DIV/0!</v>
      </c>
    </row>
    <row r="111" spans="1:46">
      <c r="A111" s="1118">
        <v>2025</v>
      </c>
      <c r="D111" s="1107" t="s">
        <v>531</v>
      </c>
      <c r="E111" s="224" t="s">
        <v>2061</v>
      </c>
      <c r="G111" s="224" t="e">
        <v>#DIV/0!</v>
      </c>
      <c r="H111" s="224" t="e">
        <v>#DIV/0!</v>
      </c>
      <c r="I111" s="224" t="e">
        <v>#DIV/0!</v>
      </c>
      <c r="J111" s="224" t="e">
        <v>#DIV/0!</v>
      </c>
      <c r="K111" s="224" t="e">
        <v>#DIV/0!</v>
      </c>
      <c r="L111" s="224" t="e">
        <v>#DIV/0!</v>
      </c>
      <c r="M111" s="224" t="e">
        <v>#DIV/0!</v>
      </c>
      <c r="N111" s="224" t="e">
        <v>#DIV/0!</v>
      </c>
      <c r="O111" s="224" t="e">
        <v>#DIV/0!</v>
      </c>
      <c r="P111" s="224" t="e">
        <v>#DIV/0!</v>
      </c>
      <c r="Q111" s="224" t="e">
        <v>#DIV/0!</v>
      </c>
      <c r="R111" s="224" t="e">
        <v>#DIV/0!</v>
      </c>
      <c r="S111" s="224" t="e">
        <v>#DIV/0!</v>
      </c>
      <c r="T111" s="224" t="e">
        <v>#DIV/0!</v>
      </c>
      <c r="U111" s="224" t="e">
        <v>#DIV/0!</v>
      </c>
      <c r="V111" s="224" t="e">
        <v>#DIV/0!</v>
      </c>
      <c r="W111" s="224" t="e">
        <v>#DIV/0!</v>
      </c>
      <c r="X111" s="224" t="e">
        <v>#DIV/0!</v>
      </c>
      <c r="Y111" s="224" t="e">
        <v>#DIV/0!</v>
      </c>
      <c r="Z111" s="224" t="e">
        <v>#DIV/0!</v>
      </c>
      <c r="AA111" s="224" t="e">
        <v>#DIV/0!</v>
      </c>
      <c r="AB111" s="224" t="e">
        <v>#DIV/0!</v>
      </c>
      <c r="AC111" s="224" t="e">
        <v>#DIV/0!</v>
      </c>
      <c r="AD111" s="1120" t="e">
        <v>#DIV/0!</v>
      </c>
      <c r="AE111" s="224" t="e">
        <v>#DIV/0!</v>
      </c>
      <c r="AF111" s="224" t="e">
        <v>#DIV/0!</v>
      </c>
      <c r="AG111" s="224" t="e">
        <v>#DIV/0!</v>
      </c>
      <c r="AH111" s="224" t="e">
        <v>#DIV/0!</v>
      </c>
      <c r="AI111" s="224" t="e">
        <v>#DIV/0!</v>
      </c>
      <c r="AJ111" s="224" t="e">
        <v>#DIV/0!</v>
      </c>
      <c r="AK111" s="224" t="e">
        <v>#DIV/0!</v>
      </c>
      <c r="AL111" s="224" t="e">
        <v>#DIV/0!</v>
      </c>
      <c r="AM111" s="224" t="e">
        <v>#DIV/0!</v>
      </c>
      <c r="AN111" s="1120" t="e">
        <v>#DIV/0!</v>
      </c>
      <c r="AO111" s="224" t="e">
        <f t="shared" si="5"/>
        <v>#DIV/0!</v>
      </c>
      <c r="AP111" s="1123">
        <v>0.1</v>
      </c>
      <c r="AQ111" s="1123">
        <f t="shared" si="7"/>
        <v>7.5064323963351956E-2</v>
      </c>
      <c r="AR111" s="1123">
        <v>20</v>
      </c>
      <c r="AS111" s="1123" t="e">
        <f t="shared" si="9"/>
        <v>#DIV/0!</v>
      </c>
      <c r="AT111" s="224" t="e">
        <f t="shared" si="6"/>
        <v>#DIV/0!</v>
      </c>
    </row>
    <row r="112" spans="1:46">
      <c r="A112" s="1118">
        <v>2030</v>
      </c>
      <c r="D112" s="1107" t="s">
        <v>531</v>
      </c>
      <c r="E112" s="224" t="s">
        <v>2061</v>
      </c>
      <c r="G112" s="224">
        <v>11756.477403045001</v>
      </c>
      <c r="H112" s="224">
        <v>6467</v>
      </c>
      <c r="I112" s="224">
        <v>246.76050000000001</v>
      </c>
      <c r="J112" s="224">
        <v>0</v>
      </c>
      <c r="K112" s="224">
        <v>0</v>
      </c>
      <c r="L112" s="224">
        <v>0</v>
      </c>
      <c r="M112" s="224">
        <v>0</v>
      </c>
      <c r="N112" s="224">
        <v>0</v>
      </c>
      <c r="O112" s="224">
        <v>0</v>
      </c>
      <c r="P112" s="224">
        <v>0</v>
      </c>
      <c r="Q112" s="224">
        <v>0</v>
      </c>
      <c r="R112" s="224">
        <v>0</v>
      </c>
      <c r="S112" s="224">
        <v>997.18847575030054</v>
      </c>
      <c r="T112" s="224">
        <v>1214.0059118469787</v>
      </c>
      <c r="U112" s="224">
        <v>1424.5495672153872</v>
      </c>
      <c r="V112" s="224">
        <v>0</v>
      </c>
      <c r="W112" s="224">
        <v>182.69018549999998</v>
      </c>
      <c r="X112" s="224">
        <v>274.03527824999998</v>
      </c>
      <c r="Y112" s="224">
        <v>246.76050000000001</v>
      </c>
      <c r="Z112" s="224">
        <v>0</v>
      </c>
      <c r="AA112" s="224">
        <v>3.9728624531884487</v>
      </c>
      <c r="AB112" s="224">
        <v>4.8366769396293972</v>
      </c>
      <c r="AC112" s="224">
        <v>5.6754962837266421</v>
      </c>
      <c r="AD112" s="224">
        <v>4.2757003381458514</v>
      </c>
      <c r="AE112" s="224">
        <v>0</v>
      </c>
      <c r="AF112" s="224">
        <v>1140.3468928799998</v>
      </c>
      <c r="AG112" s="224">
        <v>43715.815737476747</v>
      </c>
      <c r="AH112" s="224">
        <v>0</v>
      </c>
      <c r="AI112" s="224">
        <v>57600</v>
      </c>
      <c r="AJ112" s="224">
        <v>0</v>
      </c>
      <c r="AK112" s="224">
        <v>6130.1750326299316</v>
      </c>
      <c r="AL112" s="224">
        <v>0</v>
      </c>
      <c r="AM112" s="224">
        <v>0</v>
      </c>
      <c r="AN112" s="1120">
        <v>108586.33766298668</v>
      </c>
      <c r="AO112" s="224">
        <f t="shared" si="5"/>
        <v>0.56336627655409732</v>
      </c>
      <c r="AP112" s="1123">
        <v>0.1</v>
      </c>
      <c r="AQ112" s="1123">
        <f t="shared" si="7"/>
        <v>7.5064323963351956E-2</v>
      </c>
      <c r="AR112" s="1123">
        <v>20</v>
      </c>
      <c r="AS112" s="1123">
        <f t="shared" si="9"/>
        <v>0.2596817207332125</v>
      </c>
      <c r="AT112" s="224">
        <f t="shared" si="6"/>
        <v>8150.960028328358</v>
      </c>
    </row>
    <row r="113" spans="1:46">
      <c r="A113" s="1118">
        <v>2035</v>
      </c>
      <c r="D113" s="1107" t="s">
        <v>531</v>
      </c>
      <c r="E113" s="224" t="s">
        <v>2061</v>
      </c>
      <c r="G113" s="224" t="e">
        <v>#DIV/0!</v>
      </c>
      <c r="H113" s="224" t="e">
        <v>#DIV/0!</v>
      </c>
      <c r="I113" s="224" t="e">
        <v>#DIV/0!</v>
      </c>
      <c r="J113" s="224" t="e">
        <v>#DIV/0!</v>
      </c>
      <c r="K113" s="224" t="e">
        <v>#DIV/0!</v>
      </c>
      <c r="L113" s="224" t="e">
        <v>#DIV/0!</v>
      </c>
      <c r="M113" s="224" t="e">
        <v>#DIV/0!</v>
      </c>
      <c r="N113" s="224" t="e">
        <v>#DIV/0!</v>
      </c>
      <c r="O113" s="224" t="e">
        <v>#DIV/0!</v>
      </c>
      <c r="P113" s="224" t="e">
        <v>#DIV/0!</v>
      </c>
      <c r="Q113" s="224" t="e">
        <v>#DIV/0!</v>
      </c>
      <c r="R113" s="224" t="e">
        <v>#DIV/0!</v>
      </c>
      <c r="S113" s="224" t="e">
        <v>#DIV/0!</v>
      </c>
      <c r="T113" s="224" t="e">
        <v>#DIV/0!</v>
      </c>
      <c r="U113" s="224" t="e">
        <v>#DIV/0!</v>
      </c>
      <c r="V113" s="224" t="e">
        <v>#DIV/0!</v>
      </c>
      <c r="W113" s="224" t="e">
        <v>#DIV/0!</v>
      </c>
      <c r="X113" s="224" t="e">
        <v>#DIV/0!</v>
      </c>
      <c r="Y113" s="224" t="e">
        <v>#DIV/0!</v>
      </c>
      <c r="Z113" s="224" t="e">
        <v>#DIV/0!</v>
      </c>
      <c r="AA113" s="224" t="e">
        <v>#DIV/0!</v>
      </c>
      <c r="AB113" s="224" t="e">
        <v>#DIV/0!</v>
      </c>
      <c r="AC113" s="224" t="e">
        <v>#DIV/0!</v>
      </c>
      <c r="AD113" s="224" t="e">
        <v>#DIV/0!</v>
      </c>
      <c r="AE113" s="224" t="e">
        <v>#DIV/0!</v>
      </c>
      <c r="AF113" s="224" t="e">
        <v>#DIV/0!</v>
      </c>
      <c r="AG113" s="224" t="e">
        <v>#DIV/0!</v>
      </c>
      <c r="AH113" s="224" t="e">
        <v>#DIV/0!</v>
      </c>
      <c r="AI113" s="224" t="e">
        <v>#DIV/0!</v>
      </c>
      <c r="AJ113" s="224" t="e">
        <v>#DIV/0!</v>
      </c>
      <c r="AK113" s="224" t="e">
        <v>#DIV/0!</v>
      </c>
      <c r="AL113" s="224" t="e">
        <v>#DIV/0!</v>
      </c>
      <c r="AM113" s="224" t="e">
        <v>#DIV/0!</v>
      </c>
      <c r="AN113" s="1120" t="e">
        <v>#DIV/0!</v>
      </c>
      <c r="AO113" s="224" t="e">
        <f t="shared" si="5"/>
        <v>#DIV/0!</v>
      </c>
      <c r="AP113" s="1123">
        <v>0.1</v>
      </c>
      <c r="AQ113" s="1123">
        <f t="shared" si="7"/>
        <v>7.5064323963351956E-2</v>
      </c>
      <c r="AR113" s="1123">
        <v>20</v>
      </c>
      <c r="AS113" s="1123" t="e">
        <f t="shared" si="9"/>
        <v>#DIV/0!</v>
      </c>
      <c r="AT113" s="224" t="e">
        <f t="shared" si="6"/>
        <v>#DIV/0!</v>
      </c>
    </row>
    <row r="114" spans="1:46">
      <c r="A114" s="1118">
        <v>2050</v>
      </c>
      <c r="D114" s="1107" t="s">
        <v>531</v>
      </c>
      <c r="E114" s="224" t="s">
        <v>2061</v>
      </c>
      <c r="G114" s="224">
        <v>11756.477403045001</v>
      </c>
      <c r="H114" s="224">
        <v>6467</v>
      </c>
      <c r="I114" s="224">
        <v>246.76050000000001</v>
      </c>
      <c r="J114" s="224">
        <v>0</v>
      </c>
      <c r="K114" s="224">
        <v>0</v>
      </c>
      <c r="L114" s="224">
        <v>0</v>
      </c>
      <c r="M114" s="224">
        <v>0</v>
      </c>
      <c r="N114" s="224">
        <v>0</v>
      </c>
      <c r="O114" s="224">
        <v>0</v>
      </c>
      <c r="P114" s="224">
        <v>0</v>
      </c>
      <c r="Q114" s="224">
        <v>0</v>
      </c>
      <c r="R114" s="224">
        <v>0</v>
      </c>
      <c r="S114" s="224">
        <v>997.18847575030054</v>
      </c>
      <c r="T114" s="224">
        <v>1214.0059118469787</v>
      </c>
      <c r="U114" s="224">
        <v>1424.5495672153872</v>
      </c>
      <c r="V114" s="224">
        <v>0</v>
      </c>
      <c r="W114" s="224">
        <v>182.69018549999998</v>
      </c>
      <c r="X114" s="224">
        <v>274.03527824999998</v>
      </c>
      <c r="Y114" s="224">
        <v>246.76050000000001</v>
      </c>
      <c r="Z114" s="224">
        <v>0</v>
      </c>
      <c r="AA114" s="224">
        <v>3.9728624531884487</v>
      </c>
      <c r="AB114" s="224">
        <v>4.8366769396293972</v>
      </c>
      <c r="AC114" s="224">
        <v>5.6754962837266421</v>
      </c>
      <c r="AD114" s="224">
        <v>4.2757003381458514</v>
      </c>
      <c r="AE114" s="224">
        <v>0</v>
      </c>
      <c r="AF114" s="224">
        <v>988.2068971462412</v>
      </c>
      <c r="AG114" s="224">
        <v>23630.812211455206</v>
      </c>
      <c r="AH114" s="224">
        <v>0</v>
      </c>
      <c r="AI114" s="224">
        <v>57600</v>
      </c>
      <c r="AJ114" s="224">
        <v>0</v>
      </c>
      <c r="AK114" s="224">
        <v>9732.9821475917834</v>
      </c>
      <c r="AL114" s="224">
        <v>0</v>
      </c>
      <c r="AM114" s="224">
        <v>0</v>
      </c>
      <c r="AN114" s="1120">
        <v>91952.001256193224</v>
      </c>
      <c r="AO114" s="224">
        <f t="shared" si="5"/>
        <v>0.56336627655409732</v>
      </c>
      <c r="AP114" s="1123">
        <v>0.1</v>
      </c>
      <c r="AQ114" s="1123">
        <f t="shared" si="7"/>
        <v>7.5064323963351956E-2</v>
      </c>
      <c r="AR114" s="1123">
        <v>20</v>
      </c>
      <c r="AS114" s="1123">
        <f t="shared" si="9"/>
        <v>0.2596817207332125</v>
      </c>
      <c r="AT114" s="224">
        <f t="shared" si="6"/>
        <v>6902.3148113734342</v>
      </c>
    </row>
    <row r="115" spans="1:46">
      <c r="A115" s="1118">
        <v>2017</v>
      </c>
      <c r="D115" s="1107" t="s">
        <v>531</v>
      </c>
      <c r="E115" s="224" t="s">
        <v>2062</v>
      </c>
      <c r="G115" s="224">
        <v>11434.671917506445</v>
      </c>
      <c r="H115" s="224">
        <v>6467</v>
      </c>
      <c r="I115" s="224">
        <v>7.5398400000000008</v>
      </c>
      <c r="J115" s="224">
        <v>5.4084760276697438E-2</v>
      </c>
      <c r="K115" s="224">
        <v>5.785690340535847E-2</v>
      </c>
      <c r="L115" s="224">
        <v>7.2171923072217078E-2</v>
      </c>
      <c r="M115" s="224">
        <v>0</v>
      </c>
      <c r="N115" s="224">
        <v>0</v>
      </c>
      <c r="O115" s="224">
        <v>0</v>
      </c>
      <c r="P115" s="224">
        <v>0</v>
      </c>
      <c r="Q115" s="224">
        <v>0</v>
      </c>
      <c r="R115" s="224">
        <v>0</v>
      </c>
      <c r="S115" s="224">
        <v>0</v>
      </c>
      <c r="T115" s="224">
        <v>0</v>
      </c>
      <c r="U115" s="224">
        <v>0</v>
      </c>
      <c r="V115" s="224">
        <v>0</v>
      </c>
      <c r="W115" s="224">
        <v>195.38714780000001</v>
      </c>
      <c r="X115" s="224">
        <v>234.69760765550237</v>
      </c>
      <c r="Y115" s="224">
        <v>7.5398400000000008</v>
      </c>
      <c r="Z115" s="224">
        <v>127.2717193</v>
      </c>
      <c r="AA115" s="224">
        <v>8.1127140415046153</v>
      </c>
      <c r="AB115" s="224">
        <v>8.6785355108037709</v>
      </c>
      <c r="AC115" s="224">
        <v>10.825788460832563</v>
      </c>
      <c r="AD115" s="1120">
        <v>8.1240944812822207</v>
      </c>
      <c r="AE115" s="224">
        <v>0</v>
      </c>
      <c r="AF115" s="224">
        <v>9093.8586406200011</v>
      </c>
      <c r="AG115" s="224">
        <v>10232.815693779903</v>
      </c>
      <c r="AH115" s="224">
        <v>0</v>
      </c>
      <c r="AI115" s="224">
        <v>49200</v>
      </c>
      <c r="AJ115" s="224">
        <v>0</v>
      </c>
      <c r="AK115" s="224">
        <v>745.98720000000003</v>
      </c>
      <c r="AL115" s="224">
        <v>61040</v>
      </c>
      <c r="AM115" s="224">
        <v>11135.552487999999</v>
      </c>
      <c r="AN115" s="1120">
        <v>141448.21402239992</v>
      </c>
      <c r="AO115" s="224">
        <f t="shared" si="5"/>
        <v>1.0704306888537454</v>
      </c>
      <c r="AP115" s="1123">
        <v>0.1</v>
      </c>
      <c r="AQ115" s="1123">
        <f t="shared" si="7"/>
        <v>7.5064323963351956E-2</v>
      </c>
      <c r="AR115" s="1123">
        <v>20</v>
      </c>
      <c r="AS115" s="1123">
        <f>AO115/$AO$85</f>
        <v>0.62422656745405369</v>
      </c>
      <c r="AT115" s="224">
        <f t="shared" si="6"/>
        <v>10617.71456141497</v>
      </c>
    </row>
    <row r="116" spans="1:46">
      <c r="A116" s="1121">
        <v>2020</v>
      </c>
      <c r="D116" s="1107" t="s">
        <v>531</v>
      </c>
      <c r="E116" s="224" t="s">
        <v>2062</v>
      </c>
      <c r="G116" s="224" t="e">
        <v>#DIV/0!</v>
      </c>
      <c r="H116" s="224" t="e">
        <v>#DIV/0!</v>
      </c>
      <c r="I116" s="224" t="e">
        <v>#DIV/0!</v>
      </c>
      <c r="J116" s="224" t="e">
        <v>#DIV/0!</v>
      </c>
      <c r="K116" s="224" t="e">
        <v>#DIV/0!</v>
      </c>
      <c r="L116" s="224" t="e">
        <v>#DIV/0!</v>
      </c>
      <c r="M116" s="224" t="e">
        <v>#DIV/0!</v>
      </c>
      <c r="N116" s="224" t="e">
        <v>#DIV/0!</v>
      </c>
      <c r="O116" s="224" t="e">
        <v>#DIV/0!</v>
      </c>
      <c r="P116" s="224" t="e">
        <v>#DIV/0!</v>
      </c>
      <c r="Q116" s="224" t="e">
        <v>#DIV/0!</v>
      </c>
      <c r="R116" s="224" t="e">
        <v>#DIV/0!</v>
      </c>
      <c r="S116" s="224" t="e">
        <v>#DIV/0!</v>
      </c>
      <c r="T116" s="224" t="e">
        <v>#DIV/0!</v>
      </c>
      <c r="U116" s="224" t="e">
        <v>#DIV/0!</v>
      </c>
      <c r="V116" s="224" t="e">
        <v>#DIV/0!</v>
      </c>
      <c r="W116" s="224" t="e">
        <v>#DIV/0!</v>
      </c>
      <c r="X116" s="224" t="e">
        <v>#DIV/0!</v>
      </c>
      <c r="Y116" s="224" t="e">
        <v>#DIV/0!</v>
      </c>
      <c r="Z116" s="224" t="e">
        <v>#DIV/0!</v>
      </c>
      <c r="AA116" s="224" t="e">
        <v>#DIV/0!</v>
      </c>
      <c r="AB116" s="224" t="e">
        <v>#DIV/0!</v>
      </c>
      <c r="AC116" s="224" t="e">
        <v>#DIV/0!</v>
      </c>
      <c r="AD116" s="1120" t="e">
        <v>#DIV/0!</v>
      </c>
      <c r="AE116" s="224" t="e">
        <v>#DIV/0!</v>
      </c>
      <c r="AF116" s="224" t="e">
        <v>#DIV/0!</v>
      </c>
      <c r="AG116" s="224" t="e">
        <v>#DIV/0!</v>
      </c>
      <c r="AH116" s="224" t="e">
        <v>#DIV/0!</v>
      </c>
      <c r="AI116" s="224" t="e">
        <v>#DIV/0!</v>
      </c>
      <c r="AJ116" s="224" t="e">
        <v>#DIV/0!</v>
      </c>
      <c r="AK116" s="224" t="e">
        <v>#DIV/0!</v>
      </c>
      <c r="AL116" s="224" t="e">
        <v>#DIV/0!</v>
      </c>
      <c r="AM116" s="224" t="e">
        <v>#DIV/0!</v>
      </c>
      <c r="AN116" s="1120" t="e">
        <v>#DIV/0!</v>
      </c>
      <c r="AO116" s="224" t="e">
        <f t="shared" si="5"/>
        <v>#DIV/0!</v>
      </c>
      <c r="AP116" s="1123">
        <v>0.1</v>
      </c>
      <c r="AQ116" s="1123">
        <f t="shared" si="7"/>
        <v>7.5064323963351956E-2</v>
      </c>
      <c r="AR116" s="1123">
        <v>20</v>
      </c>
      <c r="AS116" s="1123" t="e">
        <f t="shared" si="8"/>
        <v>#DIV/0!</v>
      </c>
      <c r="AT116" s="224" t="e">
        <f t="shared" si="6"/>
        <v>#DIV/0!</v>
      </c>
    </row>
    <row r="117" spans="1:46">
      <c r="A117" s="1118">
        <v>2025</v>
      </c>
      <c r="D117" s="1107" t="s">
        <v>531</v>
      </c>
      <c r="E117" s="224" t="s">
        <v>2062</v>
      </c>
      <c r="G117" s="224" t="e">
        <v>#DIV/0!</v>
      </c>
      <c r="H117" s="224" t="e">
        <v>#DIV/0!</v>
      </c>
      <c r="I117" s="224" t="e">
        <v>#DIV/0!</v>
      </c>
      <c r="J117" s="224" t="e">
        <v>#DIV/0!</v>
      </c>
      <c r="K117" s="224" t="e">
        <v>#DIV/0!</v>
      </c>
      <c r="L117" s="224" t="e">
        <v>#DIV/0!</v>
      </c>
      <c r="M117" s="224" t="e">
        <v>#DIV/0!</v>
      </c>
      <c r="N117" s="224" t="e">
        <v>#DIV/0!</v>
      </c>
      <c r="O117" s="224" t="e">
        <v>#DIV/0!</v>
      </c>
      <c r="P117" s="224" t="e">
        <v>#DIV/0!</v>
      </c>
      <c r="Q117" s="224" t="e">
        <v>#DIV/0!</v>
      </c>
      <c r="R117" s="224" t="e">
        <v>#DIV/0!</v>
      </c>
      <c r="S117" s="224" t="e">
        <v>#DIV/0!</v>
      </c>
      <c r="T117" s="224" t="e">
        <v>#DIV/0!</v>
      </c>
      <c r="U117" s="224" t="e">
        <v>#DIV/0!</v>
      </c>
      <c r="V117" s="224" t="e">
        <v>#DIV/0!</v>
      </c>
      <c r="W117" s="224" t="e">
        <v>#DIV/0!</v>
      </c>
      <c r="X117" s="224" t="e">
        <v>#DIV/0!</v>
      </c>
      <c r="Y117" s="224" t="e">
        <v>#DIV/0!</v>
      </c>
      <c r="Z117" s="224" t="e">
        <v>#DIV/0!</v>
      </c>
      <c r="AA117" s="224" t="e">
        <v>#DIV/0!</v>
      </c>
      <c r="AB117" s="224" t="e">
        <v>#DIV/0!</v>
      </c>
      <c r="AC117" s="224" t="e">
        <v>#DIV/0!</v>
      </c>
      <c r="AD117" s="1120" t="e">
        <v>#DIV/0!</v>
      </c>
      <c r="AE117" s="224" t="e">
        <v>#DIV/0!</v>
      </c>
      <c r="AF117" s="224" t="e">
        <v>#DIV/0!</v>
      </c>
      <c r="AG117" s="224" t="e">
        <v>#DIV/0!</v>
      </c>
      <c r="AH117" s="224" t="e">
        <v>#DIV/0!</v>
      </c>
      <c r="AI117" s="224" t="e">
        <v>#DIV/0!</v>
      </c>
      <c r="AJ117" s="224" t="e">
        <v>#DIV/0!</v>
      </c>
      <c r="AK117" s="224" t="e">
        <v>#DIV/0!</v>
      </c>
      <c r="AL117" s="224" t="e">
        <v>#DIV/0!</v>
      </c>
      <c r="AM117" s="224" t="e">
        <v>#DIV/0!</v>
      </c>
      <c r="AN117" s="1120" t="e">
        <v>#DIV/0!</v>
      </c>
      <c r="AO117" s="224" t="e">
        <f t="shared" si="5"/>
        <v>#DIV/0!</v>
      </c>
      <c r="AP117" s="1123">
        <v>0.1</v>
      </c>
      <c r="AQ117" s="1123">
        <f t="shared" si="7"/>
        <v>7.5064323963351956E-2</v>
      </c>
      <c r="AR117" s="1123">
        <v>20</v>
      </c>
      <c r="AS117" s="1123" t="e">
        <f t="shared" si="8"/>
        <v>#DIV/0!</v>
      </c>
      <c r="AT117" s="224" t="e">
        <f t="shared" si="6"/>
        <v>#DIV/0!</v>
      </c>
    </row>
    <row r="118" spans="1:46">
      <c r="A118" s="1118">
        <v>2030</v>
      </c>
      <c r="D118" s="1107" t="s">
        <v>531</v>
      </c>
      <c r="E118" s="224" t="s">
        <v>2062</v>
      </c>
      <c r="G118" s="224">
        <v>17075.416404132378</v>
      </c>
      <c r="H118" s="224">
        <v>9627</v>
      </c>
      <c r="I118" s="224">
        <v>6.7240800000000007</v>
      </c>
      <c r="J118" s="224">
        <v>5.8786719646386099E-2</v>
      </c>
      <c r="K118" s="224">
        <v>6.0255813726998383E-2</v>
      </c>
      <c r="L118" s="224">
        <v>7.3342969598852462E-2</v>
      </c>
      <c r="M118" s="224">
        <v>0</v>
      </c>
      <c r="N118" s="224">
        <v>0</v>
      </c>
      <c r="O118" s="224">
        <v>0</v>
      </c>
      <c r="P118" s="224">
        <v>0</v>
      </c>
      <c r="Q118" s="224">
        <v>0</v>
      </c>
      <c r="R118" s="224">
        <v>0</v>
      </c>
      <c r="S118" s="224">
        <v>0</v>
      </c>
      <c r="T118" s="224">
        <v>0</v>
      </c>
      <c r="U118" s="224">
        <v>0</v>
      </c>
      <c r="V118" s="224">
        <v>0</v>
      </c>
      <c r="W118" s="224">
        <v>242.17620160000001</v>
      </c>
      <c r="X118" s="224">
        <v>127.071943231441</v>
      </c>
      <c r="Y118" s="224">
        <v>6.7240800000000007</v>
      </c>
      <c r="Z118" s="224">
        <v>156.94457464999999</v>
      </c>
      <c r="AA118" s="224">
        <v>8.8180079469579145</v>
      </c>
      <c r="AB118" s="224">
        <v>9.0383720590497578</v>
      </c>
      <c r="AC118" s="224">
        <v>11.001445439827869</v>
      </c>
      <c r="AD118" s="1120">
        <v>5.411192987119863</v>
      </c>
      <c r="AE118" s="224">
        <v>0</v>
      </c>
      <c r="AF118" s="224">
        <v>2359.0083604608003</v>
      </c>
      <c r="AG118" s="224">
        <v>2820.9971397379904</v>
      </c>
      <c r="AH118" s="224">
        <v>0</v>
      </c>
      <c r="AI118" s="224">
        <v>57600</v>
      </c>
      <c r="AJ118" s="224">
        <v>4342.7233634999993</v>
      </c>
      <c r="AK118" s="224">
        <v>5614.4184944067338</v>
      </c>
      <c r="AL118" s="224">
        <v>18582.88</v>
      </c>
      <c r="AM118" s="224">
        <v>5319.12</v>
      </c>
      <c r="AN118" s="1120">
        <v>96639.147358105518</v>
      </c>
      <c r="AO118" s="224">
        <f t="shared" si="5"/>
        <v>0.71297878798291303</v>
      </c>
      <c r="AP118" s="1123">
        <v>0.1</v>
      </c>
      <c r="AQ118" s="1123">
        <f t="shared" si="7"/>
        <v>7.5064323963351956E-2</v>
      </c>
      <c r="AR118" s="1123">
        <v>20</v>
      </c>
      <c r="AS118" s="1123">
        <f t="shared" si="8"/>
        <v>0.41577685143417503</v>
      </c>
      <c r="AT118" s="224">
        <f t="shared" si="6"/>
        <v>7254.152264830941</v>
      </c>
    </row>
    <row r="119" spans="1:46">
      <c r="A119" s="1118">
        <v>2035</v>
      </c>
      <c r="D119" s="1107" t="s">
        <v>531</v>
      </c>
      <c r="E119" s="224" t="s">
        <v>2062</v>
      </c>
      <c r="G119" s="224" t="e">
        <v>#DIV/0!</v>
      </c>
      <c r="H119" s="224" t="e">
        <v>#DIV/0!</v>
      </c>
      <c r="I119" s="224" t="e">
        <v>#DIV/0!</v>
      </c>
      <c r="J119" s="224" t="e">
        <v>#DIV/0!</v>
      </c>
      <c r="K119" s="224" t="e">
        <v>#DIV/0!</v>
      </c>
      <c r="L119" s="224" t="e">
        <v>#DIV/0!</v>
      </c>
      <c r="M119" s="224" t="e">
        <v>#DIV/0!</v>
      </c>
      <c r="N119" s="224" t="e">
        <v>#DIV/0!</v>
      </c>
      <c r="O119" s="224" t="e">
        <v>#DIV/0!</v>
      </c>
      <c r="P119" s="224" t="e">
        <v>#DIV/0!</v>
      </c>
      <c r="Q119" s="224" t="e">
        <v>#DIV/0!</v>
      </c>
      <c r="R119" s="224" t="e">
        <v>#DIV/0!</v>
      </c>
      <c r="S119" s="224" t="e">
        <v>#DIV/0!</v>
      </c>
      <c r="T119" s="224" t="e">
        <v>#DIV/0!</v>
      </c>
      <c r="U119" s="224" t="e">
        <v>#DIV/0!</v>
      </c>
      <c r="V119" s="224" t="e">
        <v>#DIV/0!</v>
      </c>
      <c r="W119" s="224" t="e">
        <v>#DIV/0!</v>
      </c>
      <c r="X119" s="224" t="e">
        <v>#DIV/0!</v>
      </c>
      <c r="Y119" s="224" t="e">
        <v>#DIV/0!</v>
      </c>
      <c r="Z119" s="224" t="e">
        <v>#DIV/0!</v>
      </c>
      <c r="AA119" s="224" t="e">
        <v>#DIV/0!</v>
      </c>
      <c r="AB119" s="224" t="e">
        <v>#DIV/0!</v>
      </c>
      <c r="AC119" s="224" t="e">
        <v>#DIV/0!</v>
      </c>
      <c r="AD119" s="1120" t="e">
        <v>#DIV/0!</v>
      </c>
      <c r="AE119" s="224" t="e">
        <v>#DIV/0!</v>
      </c>
      <c r="AF119" s="224" t="e">
        <v>#DIV/0!</v>
      </c>
      <c r="AG119" s="224" t="e">
        <v>#DIV/0!</v>
      </c>
      <c r="AH119" s="224" t="e">
        <v>#DIV/0!</v>
      </c>
      <c r="AI119" s="224" t="e">
        <v>#DIV/0!</v>
      </c>
      <c r="AJ119" s="224" t="e">
        <v>#DIV/0!</v>
      </c>
      <c r="AK119" s="224" t="e">
        <v>#DIV/0!</v>
      </c>
      <c r="AL119" s="224" t="e">
        <v>#DIV/0!</v>
      </c>
      <c r="AM119" s="224" t="e">
        <v>#DIV/0!</v>
      </c>
      <c r="AN119" s="1120" t="e">
        <v>#DIV/0!</v>
      </c>
      <c r="AO119" s="224" t="e">
        <f t="shared" si="5"/>
        <v>#DIV/0!</v>
      </c>
      <c r="AP119" s="1123">
        <v>0.1</v>
      </c>
      <c r="AQ119" s="1123">
        <f t="shared" si="7"/>
        <v>7.5064323963351956E-2</v>
      </c>
      <c r="AR119" s="1123">
        <v>20</v>
      </c>
      <c r="AS119" s="1123" t="e">
        <f t="shared" si="8"/>
        <v>#DIV/0!</v>
      </c>
      <c r="AT119" s="224" t="e">
        <f t="shared" si="6"/>
        <v>#DIV/0!</v>
      </c>
    </row>
    <row r="120" spans="1:46">
      <c r="A120" s="1118">
        <v>2050</v>
      </c>
      <c r="D120" s="1107" t="s">
        <v>531</v>
      </c>
      <c r="E120" s="224" t="s">
        <v>2062</v>
      </c>
      <c r="G120" s="224">
        <v>16371.348471566882</v>
      </c>
      <c r="H120" s="224">
        <v>9852</v>
      </c>
      <c r="I120" s="224">
        <v>6.5102400000000005</v>
      </c>
      <c r="J120" s="224">
        <v>4.9171183458573686E-2</v>
      </c>
      <c r="K120" s="224">
        <v>5.1320288613999662E-2</v>
      </c>
      <c r="L120" s="224">
        <v>6.2356861721108402E-2</v>
      </c>
      <c r="M120" s="224">
        <v>0</v>
      </c>
      <c r="N120" s="224">
        <v>0</v>
      </c>
      <c r="O120" s="224">
        <v>0</v>
      </c>
      <c r="P120" s="224">
        <v>0</v>
      </c>
      <c r="Q120" s="224">
        <v>0</v>
      </c>
      <c r="R120" s="224">
        <v>0</v>
      </c>
      <c r="S120" s="224">
        <v>0</v>
      </c>
      <c r="T120" s="224">
        <v>0</v>
      </c>
      <c r="U120" s="224">
        <v>0</v>
      </c>
      <c r="V120" s="224">
        <v>0</v>
      </c>
      <c r="W120" s="224">
        <v>230.82226935</v>
      </c>
      <c r="X120" s="224">
        <v>123.03078602620083</v>
      </c>
      <c r="Y120" s="224">
        <v>6.5102400000000005</v>
      </c>
      <c r="Z120" s="224">
        <v>149.37315104999999</v>
      </c>
      <c r="AA120" s="224">
        <v>7.3756775187860528</v>
      </c>
      <c r="AB120" s="224">
        <v>7.6980432920999498</v>
      </c>
      <c r="AC120" s="224">
        <v>9.3535292581662599</v>
      </c>
      <c r="AD120" s="1120">
        <v>4.3992666456769669</v>
      </c>
      <c r="AE120" s="224">
        <v>0</v>
      </c>
      <c r="AF120" s="224">
        <v>1140.3468928799998</v>
      </c>
      <c r="AG120" s="224">
        <v>1919.280262008733</v>
      </c>
      <c r="AH120" s="224">
        <v>0</v>
      </c>
      <c r="AI120" s="224">
        <v>57600</v>
      </c>
      <c r="AJ120" s="224">
        <v>8066.4150890400015</v>
      </c>
      <c r="AK120" s="224">
        <v>6393.2965024452897</v>
      </c>
      <c r="AL120" s="224">
        <v>10755</v>
      </c>
      <c r="AM120" s="224">
        <v>3244.6041599999999</v>
      </c>
      <c r="AN120" s="1120">
        <v>89118.94290637401</v>
      </c>
      <c r="AO120" s="224">
        <f t="shared" si="5"/>
        <v>0.57964737323439708</v>
      </c>
      <c r="AP120" s="1123">
        <v>0.1</v>
      </c>
      <c r="AQ120" s="1123">
        <f>AA120*$C$4*365/1000*0.1</f>
        <v>3.5471403350446636E-2</v>
      </c>
      <c r="AR120" s="1123">
        <v>20</v>
      </c>
      <c r="AS120" s="1123">
        <f t="shared" si="8"/>
        <v>0.33802402518497299</v>
      </c>
      <c r="AT120" s="224">
        <f t="shared" si="6"/>
        <v>3161.1739699974173</v>
      </c>
    </row>
    <row r="121" spans="1:46">
      <c r="A121" s="1118">
        <v>2017</v>
      </c>
      <c r="B121" s="1119"/>
      <c r="C121" s="1119"/>
      <c r="D121" s="1119" t="s">
        <v>2004</v>
      </c>
      <c r="E121" s="1119" t="s">
        <v>2057</v>
      </c>
      <c r="F121" s="1119"/>
      <c r="G121" s="224">
        <v>8126.318466190125</v>
      </c>
      <c r="H121" s="224">
        <v>3423.6666666666665</v>
      </c>
      <c r="I121" s="224">
        <v>3.1680000000000006</v>
      </c>
      <c r="J121" s="224">
        <v>9.3742814197221844E-2</v>
      </c>
      <c r="K121" s="224">
        <v>8.1886786104516829E-2</v>
      </c>
      <c r="L121" s="224">
        <v>0.10184108214187677</v>
      </c>
      <c r="M121" s="224">
        <v>0</v>
      </c>
      <c r="N121" s="224">
        <v>0</v>
      </c>
      <c r="O121" s="224">
        <v>0</v>
      </c>
      <c r="P121" s="224">
        <v>0</v>
      </c>
      <c r="Q121" s="224">
        <v>0</v>
      </c>
      <c r="R121" s="224">
        <v>0</v>
      </c>
      <c r="S121" s="224">
        <v>0</v>
      </c>
      <c r="T121" s="224">
        <v>0</v>
      </c>
      <c r="U121" s="224">
        <v>0</v>
      </c>
      <c r="V121" s="224">
        <v>171.46471469999997</v>
      </c>
      <c r="W121" s="224">
        <v>0</v>
      </c>
      <c r="X121" s="224">
        <v>4.3509999999999991</v>
      </c>
      <c r="Y121" s="224">
        <v>3.1680000000000006</v>
      </c>
      <c r="Z121" s="224">
        <v>0</v>
      </c>
      <c r="AA121" s="224">
        <v>14.061422129583276</v>
      </c>
      <c r="AB121" s="224">
        <v>12.283017915677524</v>
      </c>
      <c r="AC121" s="224">
        <v>15.276162321281518</v>
      </c>
      <c r="AD121" s="1120">
        <v>26.497357103453727</v>
      </c>
      <c r="AE121" s="224">
        <v>15836.106940918857</v>
      </c>
      <c r="AF121" s="224">
        <v>0</v>
      </c>
      <c r="AG121" s="224">
        <v>261.60000000000002</v>
      </c>
      <c r="AH121" s="224">
        <v>5812.4704046834486</v>
      </c>
      <c r="AI121" s="224">
        <v>33600</v>
      </c>
      <c r="AJ121" s="224">
        <v>0</v>
      </c>
      <c r="AK121" s="224">
        <v>745.98720000000003</v>
      </c>
      <c r="AL121" s="224">
        <v>0</v>
      </c>
      <c r="AM121" s="224">
        <v>436.00000000000006</v>
      </c>
      <c r="AN121" s="1120">
        <v>56692.164545602318</v>
      </c>
      <c r="AO121" s="224">
        <f t="shared" si="5"/>
        <v>3.4912917719510626</v>
      </c>
      <c r="AP121" s="1123">
        <v>0.1</v>
      </c>
      <c r="AQ121" s="1123">
        <f t="shared" si="7"/>
        <v>3.5471403350446636E-2</v>
      </c>
      <c r="AR121" s="1123">
        <v>20</v>
      </c>
      <c r="AS121" s="1123">
        <f>AO121/$AO$121</f>
        <v>1</v>
      </c>
      <c r="AT121" s="224">
        <f t="shared" si="6"/>
        <v>2010.9506354069499</v>
      </c>
    </row>
    <row r="122" spans="1:46">
      <c r="A122" s="1121">
        <v>2020</v>
      </c>
      <c r="B122" s="1107"/>
      <c r="C122" s="1107"/>
      <c r="D122" s="1107" t="s">
        <v>2004</v>
      </c>
      <c r="E122" s="1107" t="s">
        <v>2057</v>
      </c>
      <c r="F122" s="1107"/>
      <c r="G122" s="224">
        <v>8013.6269139799015</v>
      </c>
      <c r="H122" s="224">
        <v>3507.4902666666662</v>
      </c>
      <c r="I122" s="224">
        <v>3.1680000000000006</v>
      </c>
      <c r="J122" s="224">
        <v>8.9381175739435673E-2</v>
      </c>
      <c r="K122" s="224">
        <v>7.5677047963316604E-2</v>
      </c>
      <c r="L122" s="224">
        <v>9.3043623251365615E-2</v>
      </c>
      <c r="M122" s="224">
        <v>0</v>
      </c>
      <c r="N122" s="224">
        <v>0</v>
      </c>
      <c r="O122" s="224">
        <v>0</v>
      </c>
      <c r="P122" s="224">
        <v>0</v>
      </c>
      <c r="Q122" s="224">
        <v>0</v>
      </c>
      <c r="R122" s="224">
        <v>0</v>
      </c>
      <c r="S122" s="224">
        <v>0</v>
      </c>
      <c r="T122" s="224">
        <v>0</v>
      </c>
      <c r="U122" s="224">
        <v>0</v>
      </c>
      <c r="V122" s="224">
        <v>169.35779890000001</v>
      </c>
      <c r="W122" s="224">
        <v>0</v>
      </c>
      <c r="X122" s="224">
        <v>4.2881538461538478</v>
      </c>
      <c r="Y122" s="224">
        <v>3.1680000000000006</v>
      </c>
      <c r="Z122" s="224">
        <v>0</v>
      </c>
      <c r="AA122" s="224">
        <v>13.407176360915351</v>
      </c>
      <c r="AB122" s="224">
        <v>11.351557194497493</v>
      </c>
      <c r="AC122" s="224">
        <v>13.956543487704842</v>
      </c>
      <c r="AD122" s="1120">
        <v>23.902582271148258</v>
      </c>
      <c r="AE122" s="224">
        <v>16256.279769333531</v>
      </c>
      <c r="AF122" s="224">
        <v>0</v>
      </c>
      <c r="AG122" s="224">
        <v>261.60000000000002</v>
      </c>
      <c r="AH122" s="224">
        <v>5753.578475459999</v>
      </c>
      <c r="AI122" s="224">
        <v>33600</v>
      </c>
      <c r="AJ122" s="224">
        <v>1510.4126832356826</v>
      </c>
      <c r="AK122" s="224">
        <v>1214.2458237810094</v>
      </c>
      <c r="AL122" s="224">
        <v>0</v>
      </c>
      <c r="AM122" s="224">
        <v>436.00000000000006</v>
      </c>
      <c r="AN122" s="1120">
        <v>59032.116751810216</v>
      </c>
      <c r="AO122" s="224">
        <f t="shared" si="5"/>
        <v>3.1494042400464943</v>
      </c>
      <c r="AP122" s="1123">
        <v>0.1</v>
      </c>
      <c r="AQ122" s="1123">
        <f t="shared" si="7"/>
        <v>3.5471403350446636E-2</v>
      </c>
      <c r="AR122" s="1123">
        <v>20</v>
      </c>
      <c r="AS122" s="1123">
        <f t="shared" ref="AS122:AS156" si="10">AO122/$AO$121</f>
        <v>0.90207420226195856</v>
      </c>
      <c r="AT122" s="224">
        <f t="shared" si="6"/>
        <v>2093.9520239341177</v>
      </c>
    </row>
    <row r="123" spans="1:46">
      <c r="A123" s="1118">
        <v>2025</v>
      </c>
      <c r="B123" s="1119"/>
      <c r="C123" s="1119"/>
      <c r="D123" s="1107" t="s">
        <v>2004</v>
      </c>
      <c r="E123" s="1119" t="s">
        <v>2057</v>
      </c>
      <c r="F123" s="1119"/>
      <c r="G123" s="224">
        <v>7992.698734984825</v>
      </c>
      <c r="H123" s="224">
        <v>3536.8930166666669</v>
      </c>
      <c r="I123" s="224">
        <v>3.1679999999999997</v>
      </c>
      <c r="J123" s="224">
        <v>7.8911864657545405E-2</v>
      </c>
      <c r="K123" s="224">
        <v>6.258844834328639E-2</v>
      </c>
      <c r="L123" s="224">
        <v>7.6350753696471596E-2</v>
      </c>
      <c r="M123" s="224">
        <v>0</v>
      </c>
      <c r="N123" s="224">
        <v>0</v>
      </c>
      <c r="O123" s="224">
        <v>0</v>
      </c>
      <c r="P123" s="224">
        <v>0</v>
      </c>
      <c r="Q123" s="224">
        <v>0</v>
      </c>
      <c r="R123" s="224">
        <v>0</v>
      </c>
      <c r="S123" s="224">
        <v>0</v>
      </c>
      <c r="T123" s="224">
        <v>0</v>
      </c>
      <c r="U123" s="224">
        <v>0</v>
      </c>
      <c r="V123" s="224">
        <v>162.87437585000001</v>
      </c>
      <c r="W123" s="224">
        <v>0</v>
      </c>
      <c r="X123" s="224">
        <v>4.3422943143812711</v>
      </c>
      <c r="Y123" s="224">
        <v>3.1679999999999997</v>
      </c>
      <c r="Z123" s="224">
        <v>0</v>
      </c>
      <c r="AA123" s="224">
        <v>11.836779698631814</v>
      </c>
      <c r="AB123" s="224">
        <v>9.388267251492957</v>
      </c>
      <c r="AC123" s="224">
        <v>11.45261305447074</v>
      </c>
      <c r="AD123" s="1120">
        <v>20.340035890652047</v>
      </c>
      <c r="AE123" s="224">
        <v>16786.492045399053</v>
      </c>
      <c r="AF123" s="224">
        <v>0</v>
      </c>
      <c r="AG123" s="224">
        <v>211.20000000000002</v>
      </c>
      <c r="AH123" s="224">
        <v>5572.3556228968955</v>
      </c>
      <c r="AI123" s="224">
        <v>33600</v>
      </c>
      <c r="AJ123" s="224">
        <v>1891.4628123673938</v>
      </c>
      <c r="AK123" s="224">
        <v>2829.8971847014668</v>
      </c>
      <c r="AL123" s="224">
        <v>0</v>
      </c>
      <c r="AM123" s="224">
        <v>352.00000000000006</v>
      </c>
      <c r="AN123" s="1120">
        <v>61243.407665364815</v>
      </c>
      <c r="AO123" s="224">
        <f t="shared" si="5"/>
        <v>2.6800031289523134</v>
      </c>
      <c r="AP123" s="1123">
        <v>0.1</v>
      </c>
      <c r="AQ123" s="1123">
        <f t="shared" si="7"/>
        <v>3.5471403350446636E-2</v>
      </c>
      <c r="AR123" s="1123">
        <v>20</v>
      </c>
      <c r="AS123" s="1123">
        <f t="shared" si="10"/>
        <v>0.76762508091800896</v>
      </c>
      <c r="AT123" s="224">
        <f t="shared" si="6"/>
        <v>2172.3896158539906</v>
      </c>
    </row>
    <row r="124" spans="1:46">
      <c r="A124" s="1118">
        <v>2030</v>
      </c>
      <c r="B124" s="1107"/>
      <c r="C124" s="1107"/>
      <c r="D124" s="1107" t="s">
        <v>2004</v>
      </c>
      <c r="E124" s="1107" t="s">
        <v>2057</v>
      </c>
      <c r="F124" s="1107"/>
      <c r="G124" s="224">
        <v>8049.8665066520625</v>
      </c>
      <c r="H124" s="224">
        <v>3571.6254166666663</v>
      </c>
      <c r="I124" s="224">
        <v>3.1679999999999997</v>
      </c>
      <c r="J124" s="224">
        <v>7.504238591431342E-2</v>
      </c>
      <c r="K124" s="224">
        <v>5.8643333708983593E-2</v>
      </c>
      <c r="L124" s="224">
        <v>7.1287512370904707E-2</v>
      </c>
      <c r="M124" s="224">
        <v>0</v>
      </c>
      <c r="N124" s="224">
        <v>0</v>
      </c>
      <c r="O124" s="224">
        <v>0</v>
      </c>
      <c r="P124" s="224">
        <v>0</v>
      </c>
      <c r="Q124" s="224">
        <v>0</v>
      </c>
      <c r="R124" s="224">
        <v>0</v>
      </c>
      <c r="S124" s="224">
        <v>0</v>
      </c>
      <c r="T124" s="224">
        <v>0</v>
      </c>
      <c r="U124" s="224">
        <v>0</v>
      </c>
      <c r="V124" s="224">
        <v>162.8414055333333</v>
      </c>
      <c r="W124" s="224">
        <v>0</v>
      </c>
      <c r="X124" s="224">
        <v>4.3964347826086945</v>
      </c>
      <c r="Y124" s="224">
        <v>3.1679999999999997</v>
      </c>
      <c r="Z124" s="224">
        <v>0</v>
      </c>
      <c r="AA124" s="224">
        <v>11.256357887147013</v>
      </c>
      <c r="AB124" s="224">
        <v>8.79650005634754</v>
      </c>
      <c r="AC124" s="224">
        <v>10.693126855635706</v>
      </c>
      <c r="AD124" s="1120">
        <v>19.03440467307615</v>
      </c>
      <c r="AE124" s="224">
        <v>17111.41528673418</v>
      </c>
      <c r="AF124" s="224">
        <v>0</v>
      </c>
      <c r="AG124" s="224">
        <v>177.6</v>
      </c>
      <c r="AH124" s="224">
        <v>5571.4340457006883</v>
      </c>
      <c r="AI124" s="224">
        <v>33600</v>
      </c>
      <c r="AJ124" s="224">
        <v>2355.5883541473254</v>
      </c>
      <c r="AK124" s="224">
        <v>3508.029060192428</v>
      </c>
      <c r="AL124" s="224">
        <v>0</v>
      </c>
      <c r="AM124" s="224">
        <v>296</v>
      </c>
      <c r="AN124" s="1120">
        <v>62620.066746774617</v>
      </c>
      <c r="AO124" s="224">
        <f t="shared" si="5"/>
        <v>2.5079731597245134</v>
      </c>
      <c r="AP124" s="1123">
        <v>0.1</v>
      </c>
      <c r="AQ124" s="1123">
        <f t="shared" si="7"/>
        <v>3.5471403350446636E-2</v>
      </c>
      <c r="AR124" s="1123">
        <v>20</v>
      </c>
      <c r="AS124" s="1123">
        <f t="shared" si="10"/>
        <v>0.71835106417444039</v>
      </c>
      <c r="AT124" s="224">
        <f t="shared" si="6"/>
        <v>2221.2216454067329</v>
      </c>
    </row>
    <row r="125" spans="1:46">
      <c r="A125" s="1118">
        <v>2035</v>
      </c>
      <c r="B125" s="1119"/>
      <c r="C125" s="1119"/>
      <c r="D125" s="1107" t="s">
        <v>2004</v>
      </c>
      <c r="E125" s="1119" t="s">
        <v>2057</v>
      </c>
      <c r="F125" s="1119"/>
      <c r="G125" s="224">
        <v>8107.3213773054003</v>
      </c>
      <c r="H125" s="224">
        <v>3605.1661333333336</v>
      </c>
      <c r="I125" s="224">
        <v>3.1679999999999997</v>
      </c>
      <c r="J125" s="224">
        <v>7.3053728894190914E-2</v>
      </c>
      <c r="K125" s="224">
        <v>5.6680450942871163E-2</v>
      </c>
      <c r="L125" s="224">
        <v>6.8742202739152686E-2</v>
      </c>
      <c r="M125" s="224">
        <v>0</v>
      </c>
      <c r="N125" s="224">
        <v>0</v>
      </c>
      <c r="O125" s="224">
        <v>0</v>
      </c>
      <c r="P125" s="224">
        <v>0</v>
      </c>
      <c r="Q125" s="224">
        <v>0</v>
      </c>
      <c r="R125" s="224">
        <v>0</v>
      </c>
      <c r="S125" s="224">
        <v>0</v>
      </c>
      <c r="T125" s="224">
        <v>0</v>
      </c>
      <c r="U125" s="224">
        <v>0</v>
      </c>
      <c r="V125" s="224">
        <v>162.30004374999999</v>
      </c>
      <c r="W125" s="224">
        <v>0</v>
      </c>
      <c r="X125" s="224">
        <v>4.3964347826086945</v>
      </c>
      <c r="Y125" s="224">
        <v>3.1679999999999997</v>
      </c>
      <c r="Z125" s="224">
        <v>0</v>
      </c>
      <c r="AA125" s="224">
        <v>10.958059334128636</v>
      </c>
      <c r="AB125" s="224">
        <v>8.5020676414306742</v>
      </c>
      <c r="AC125" s="224">
        <v>10.311330410872904</v>
      </c>
      <c r="AD125" s="1120">
        <v>18.306387904663019</v>
      </c>
      <c r="AE125" s="224">
        <v>17439.532307304344</v>
      </c>
      <c r="AF125" s="224">
        <v>0</v>
      </c>
      <c r="AG125" s="224">
        <v>144</v>
      </c>
      <c r="AH125" s="224">
        <v>5556.3020504741371</v>
      </c>
      <c r="AI125" s="224">
        <v>33600</v>
      </c>
      <c r="AJ125" s="224">
        <v>2891.3252488602134</v>
      </c>
      <c r="AK125" s="224">
        <v>3935.8667708711309</v>
      </c>
      <c r="AL125" s="224">
        <v>0</v>
      </c>
      <c r="AM125" s="224">
        <v>240</v>
      </c>
      <c r="AN125" s="1120">
        <v>63807.026377509821</v>
      </c>
      <c r="AO125" s="224">
        <f t="shared" si="5"/>
        <v>2.4120496703183991</v>
      </c>
      <c r="AP125" s="1123">
        <v>0.1</v>
      </c>
      <c r="AQ125" s="1123">
        <f t="shared" si="7"/>
        <v>3.5471403350446636E-2</v>
      </c>
      <c r="AR125" s="1123">
        <v>20</v>
      </c>
      <c r="AS125" s="1123">
        <f t="shared" si="10"/>
        <v>0.69087599314864967</v>
      </c>
      <c r="AT125" s="224">
        <f t="shared" si="6"/>
        <v>2263.3247692292389</v>
      </c>
    </row>
    <row r="126" spans="1:46">
      <c r="A126" s="1118">
        <v>2050</v>
      </c>
      <c r="B126" s="1107"/>
      <c r="C126" s="1107"/>
      <c r="D126" s="1107" t="s">
        <v>2004</v>
      </c>
      <c r="E126" s="1107" t="s">
        <v>2057</v>
      </c>
      <c r="F126" s="1107"/>
      <c r="G126" s="224">
        <v>8074.6809317777033</v>
      </c>
      <c r="H126" s="224">
        <v>3650.5913833333339</v>
      </c>
      <c r="I126" s="224">
        <v>3.1679999999999997</v>
      </c>
      <c r="J126" s="224">
        <v>6.9391778632702308E-2</v>
      </c>
      <c r="K126" s="224">
        <v>5.3357589732972298E-2</v>
      </c>
      <c r="L126" s="224">
        <v>6.4660175815608845E-2</v>
      </c>
      <c r="M126" s="224">
        <v>0</v>
      </c>
      <c r="N126" s="224">
        <v>0</v>
      </c>
      <c r="O126" s="224">
        <v>0</v>
      </c>
      <c r="P126" s="224">
        <v>0</v>
      </c>
      <c r="Q126" s="224">
        <v>0</v>
      </c>
      <c r="R126" s="224">
        <v>0</v>
      </c>
      <c r="S126" s="224">
        <v>0</v>
      </c>
      <c r="T126" s="224">
        <v>0</v>
      </c>
      <c r="U126" s="224">
        <v>0</v>
      </c>
      <c r="V126" s="224">
        <v>160.57556886666666</v>
      </c>
      <c r="W126" s="224">
        <v>0</v>
      </c>
      <c r="X126" s="224">
        <v>4.3964347826086945</v>
      </c>
      <c r="Y126" s="224">
        <v>3.1679999999999997</v>
      </c>
      <c r="Z126" s="224">
        <v>0</v>
      </c>
      <c r="AA126" s="224">
        <v>10.408766794905345</v>
      </c>
      <c r="AB126" s="224">
        <v>8.0036384599458454</v>
      </c>
      <c r="AC126" s="224">
        <v>9.6990263723413292</v>
      </c>
      <c r="AD126" s="1120">
        <v>17.155048718914212</v>
      </c>
      <c r="AE126" s="224">
        <v>17838.366121622792</v>
      </c>
      <c r="AF126" s="224">
        <v>0</v>
      </c>
      <c r="AG126" s="224">
        <v>144</v>
      </c>
      <c r="AH126" s="224">
        <v>5508.1000042524138</v>
      </c>
      <c r="AI126" s="224">
        <v>33600</v>
      </c>
      <c r="AJ126" s="224">
        <v>3617.2934899153802</v>
      </c>
      <c r="AK126" s="224">
        <v>4842.5801991868502</v>
      </c>
      <c r="AL126" s="224">
        <v>0</v>
      </c>
      <c r="AM126" s="224">
        <v>240</v>
      </c>
      <c r="AN126" s="1120">
        <v>65790.339814977429</v>
      </c>
      <c r="AO126" s="224">
        <f t="shared" si="5"/>
        <v>2.2603492192041363</v>
      </c>
      <c r="AP126" s="1123">
        <v>0.1</v>
      </c>
      <c r="AQ126" s="1123">
        <f t="shared" si="7"/>
        <v>3.5471403350446636E-2</v>
      </c>
      <c r="AR126" s="1123">
        <v>20</v>
      </c>
      <c r="AS126" s="1123">
        <f t="shared" si="10"/>
        <v>0.64742489796003788</v>
      </c>
      <c r="AT126" s="224">
        <f t="shared" si="6"/>
        <v>2333.6756801400129</v>
      </c>
    </row>
    <row r="127" spans="1:46">
      <c r="A127" s="1118">
        <v>2017</v>
      </c>
      <c r="B127" s="1119"/>
      <c r="C127" s="1119"/>
      <c r="D127" s="1107" t="s">
        <v>2004</v>
      </c>
      <c r="E127" s="1119" t="s">
        <v>2058</v>
      </c>
      <c r="F127" s="1119"/>
      <c r="G127" s="224">
        <v>8511.8968082817519</v>
      </c>
      <c r="H127" s="224">
        <v>3840.5</v>
      </c>
      <c r="I127" s="224">
        <v>0.37666506240000003</v>
      </c>
      <c r="J127" s="224">
        <v>9.1101393971552119E-2</v>
      </c>
      <c r="K127" s="224">
        <v>8.2048901242951444E-2</v>
      </c>
      <c r="L127" s="224">
        <v>0.1016608439019627</v>
      </c>
      <c r="M127" s="224">
        <v>0</v>
      </c>
      <c r="N127" s="224">
        <v>0</v>
      </c>
      <c r="O127" s="224">
        <v>0</v>
      </c>
      <c r="P127" s="224">
        <v>0</v>
      </c>
      <c r="Q127" s="224">
        <v>0</v>
      </c>
      <c r="R127" s="224">
        <v>0</v>
      </c>
      <c r="S127" s="224">
        <v>0</v>
      </c>
      <c r="T127" s="224">
        <v>0</v>
      </c>
      <c r="U127" s="224">
        <v>0</v>
      </c>
      <c r="V127" s="224">
        <v>169.71553950000001</v>
      </c>
      <c r="W127" s="224">
        <v>5.6</v>
      </c>
      <c r="X127" s="224">
        <v>8.4</v>
      </c>
      <c r="Y127" s="224">
        <v>0.37666506240000003</v>
      </c>
      <c r="Z127" s="224">
        <v>0</v>
      </c>
      <c r="AA127" s="224">
        <v>13.665209095732816</v>
      </c>
      <c r="AB127" s="224">
        <v>12.307335186442717</v>
      </c>
      <c r="AC127" s="224">
        <v>15.249126585294405</v>
      </c>
      <c r="AD127" s="1120">
        <v>23.285173587757562</v>
      </c>
      <c r="AE127" s="224">
        <v>15673.484209874285</v>
      </c>
      <c r="AF127" s="224">
        <v>1100.19</v>
      </c>
      <c r="AG127" s="224">
        <v>511.19707604210521</v>
      </c>
      <c r="AH127" s="224">
        <v>5763.5779420241379</v>
      </c>
      <c r="AI127" s="224">
        <v>40800</v>
      </c>
      <c r="AJ127" s="224">
        <v>0</v>
      </c>
      <c r="AK127" s="224">
        <v>745.98720000000003</v>
      </c>
      <c r="AL127" s="224">
        <v>0</v>
      </c>
      <c r="AM127" s="224">
        <v>436.00000000000006</v>
      </c>
      <c r="AN127" s="1120">
        <v>65030.436427940542</v>
      </c>
      <c r="AO127" s="224">
        <f t="shared" si="5"/>
        <v>3.0680544719229359</v>
      </c>
      <c r="AP127" s="1123">
        <v>0.1</v>
      </c>
      <c r="AQ127" s="1123">
        <f t="shared" si="7"/>
        <v>3.5471403350446636E-2</v>
      </c>
      <c r="AR127" s="1123">
        <v>20</v>
      </c>
      <c r="AS127" s="1123">
        <f t="shared" si="10"/>
        <v>0.87877343754870252</v>
      </c>
      <c r="AT127" s="224">
        <f t="shared" si="6"/>
        <v>2306.7208405910569</v>
      </c>
    </row>
    <row r="128" spans="1:46">
      <c r="A128" s="1121">
        <v>2020</v>
      </c>
      <c r="D128" s="1107" t="s">
        <v>2004</v>
      </c>
      <c r="E128" s="224" t="s">
        <v>2058</v>
      </c>
      <c r="G128" s="224">
        <v>8282.3532898825288</v>
      </c>
      <c r="H128" s="224">
        <v>3950.4837499999999</v>
      </c>
      <c r="I128" s="224">
        <v>0.32972037120000003</v>
      </c>
      <c r="J128" s="224">
        <v>8.3877057169329777E-2</v>
      </c>
      <c r="K128" s="224">
        <v>7.3891427106439797E-2</v>
      </c>
      <c r="L128" s="224">
        <v>9.1416234068864136E-2</v>
      </c>
      <c r="M128" s="224">
        <v>0</v>
      </c>
      <c r="N128" s="224">
        <v>0</v>
      </c>
      <c r="O128" s="224">
        <v>0</v>
      </c>
      <c r="P128" s="224">
        <v>0</v>
      </c>
      <c r="Q128" s="224">
        <v>0</v>
      </c>
      <c r="R128" s="224">
        <v>0</v>
      </c>
      <c r="S128" s="224">
        <v>0</v>
      </c>
      <c r="T128" s="224">
        <v>0</v>
      </c>
      <c r="U128" s="224">
        <v>0</v>
      </c>
      <c r="V128" s="224">
        <v>165.11378815</v>
      </c>
      <c r="W128" s="224">
        <v>4.9019999999999992</v>
      </c>
      <c r="X128" s="224">
        <v>7.3529999999999998</v>
      </c>
      <c r="Y128" s="224">
        <v>0.32972037120000003</v>
      </c>
      <c r="Z128" s="224">
        <v>0</v>
      </c>
      <c r="AA128" s="224">
        <v>12.581558575399466</v>
      </c>
      <c r="AB128" s="224">
        <v>11.083714065965969</v>
      </c>
      <c r="AC128" s="224">
        <v>13.71243511032962</v>
      </c>
      <c r="AD128" s="1120">
        <v>20.231517586918883</v>
      </c>
      <c r="AE128" s="224">
        <v>15916.530409683673</v>
      </c>
      <c r="AF128" s="224">
        <v>716.91554999999994</v>
      </c>
      <c r="AG128" s="224">
        <v>447.48532979138758</v>
      </c>
      <c r="AH128" s="224">
        <v>5634.951057737585</v>
      </c>
      <c r="AI128" s="224">
        <v>40800</v>
      </c>
      <c r="AJ128" s="224">
        <v>1981.7906762525845</v>
      </c>
      <c r="AK128" s="224">
        <v>1214.2458237810094</v>
      </c>
      <c r="AL128" s="224">
        <v>0</v>
      </c>
      <c r="AM128" s="224">
        <v>436.00000000000006</v>
      </c>
      <c r="AN128" s="1120">
        <v>67147.918847246241</v>
      </c>
      <c r="AO128" s="224">
        <f t="shared" si="5"/>
        <v>2.6657047572524317</v>
      </c>
      <c r="AP128" s="1123">
        <v>0.1</v>
      </c>
      <c r="AQ128" s="1123">
        <f t="shared" si="7"/>
        <v>3.5471403350446636E-2</v>
      </c>
      <c r="AR128" s="1123">
        <v>20</v>
      </c>
      <c r="AS128" s="1123">
        <f t="shared" si="10"/>
        <v>0.76352964214238028</v>
      </c>
      <c r="AT128" s="224">
        <f t="shared" si="6"/>
        <v>2381.830913573729</v>
      </c>
    </row>
    <row r="129" spans="1:46">
      <c r="A129" s="1118">
        <v>2025</v>
      </c>
      <c r="D129" s="1107" t="s">
        <v>2004</v>
      </c>
      <c r="E129" s="224" t="s">
        <v>2058</v>
      </c>
      <c r="G129" s="224">
        <v>8208.7032176910234</v>
      </c>
      <c r="H129" s="224">
        <v>3981.9561999999996</v>
      </c>
      <c r="I129" s="224">
        <v>0.25902581759999999</v>
      </c>
      <c r="J129" s="224">
        <v>7.5309510458857698E-2</v>
      </c>
      <c r="K129" s="224">
        <v>6.1154466161957445E-2</v>
      </c>
      <c r="L129" s="224">
        <v>7.5125469466749556E-2</v>
      </c>
      <c r="M129" s="224">
        <v>0</v>
      </c>
      <c r="N129" s="224">
        <v>0</v>
      </c>
      <c r="O129" s="224">
        <v>0</v>
      </c>
      <c r="P129" s="224">
        <v>0</v>
      </c>
      <c r="Q129" s="224">
        <v>0</v>
      </c>
      <c r="R129" s="224">
        <v>0</v>
      </c>
      <c r="S129" s="224">
        <v>0</v>
      </c>
      <c r="T129" s="224">
        <v>0</v>
      </c>
      <c r="U129" s="224">
        <v>0</v>
      </c>
      <c r="V129" s="224">
        <v>160.334350675</v>
      </c>
      <c r="W129" s="224">
        <v>3.851</v>
      </c>
      <c r="X129" s="224">
        <v>5.6416302377622385</v>
      </c>
      <c r="Y129" s="224">
        <v>0.25902581759999999</v>
      </c>
      <c r="Z129" s="224">
        <v>0</v>
      </c>
      <c r="AA129" s="224">
        <v>11.296426568828654</v>
      </c>
      <c r="AB129" s="224">
        <v>9.1731699242936173</v>
      </c>
      <c r="AC129" s="224">
        <v>11.268820420012435</v>
      </c>
      <c r="AD129" s="1120">
        <v>17.461361033327691</v>
      </c>
      <c r="AE129" s="224">
        <v>16596.791967797166</v>
      </c>
      <c r="AF129" s="224">
        <v>345.77865000000003</v>
      </c>
      <c r="AG129" s="224">
        <v>239.10400698558703</v>
      </c>
      <c r="AH129" s="224">
        <v>5501.3575399018955</v>
      </c>
      <c r="AI129" s="224">
        <v>40800</v>
      </c>
      <c r="AJ129" s="224">
        <v>2363.0182694392256</v>
      </c>
      <c r="AK129" s="224">
        <v>2829.8971847014668</v>
      </c>
      <c r="AL129" s="224">
        <v>0</v>
      </c>
      <c r="AM129" s="224">
        <v>352.00000000000006</v>
      </c>
      <c r="AN129" s="1120">
        <v>69027.947618825347</v>
      </c>
      <c r="AO129" s="224">
        <f t="shared" si="5"/>
        <v>2.3007089297512562</v>
      </c>
      <c r="AP129" s="1123">
        <v>0.1</v>
      </c>
      <c r="AQ129" s="1123">
        <f t="shared" si="7"/>
        <v>3.5471403350446636E-2</v>
      </c>
      <c r="AR129" s="1123">
        <v>20</v>
      </c>
      <c r="AS129" s="1123">
        <f t="shared" si="10"/>
        <v>0.65898500613299793</v>
      </c>
      <c r="AT129" s="224">
        <f t="shared" si="6"/>
        <v>2448.5181724408562</v>
      </c>
    </row>
    <row r="130" spans="1:46">
      <c r="A130" s="1118">
        <v>2030</v>
      </c>
      <c r="D130" s="1107" t="s">
        <v>2004</v>
      </c>
      <c r="E130" s="224" t="s">
        <v>2058</v>
      </c>
      <c r="G130" s="224">
        <v>8131.4691827233955</v>
      </c>
      <c r="H130" s="224">
        <v>4019.5814499999997</v>
      </c>
      <c r="I130" s="224">
        <v>0.21194300160000001</v>
      </c>
      <c r="J130" s="224">
        <v>7.1037106108940998E-2</v>
      </c>
      <c r="K130" s="224">
        <v>5.6725236343352158E-2</v>
      </c>
      <c r="L130" s="224">
        <v>6.9494271795185664E-2</v>
      </c>
      <c r="M130" s="224">
        <v>0</v>
      </c>
      <c r="N130" s="224">
        <v>0</v>
      </c>
      <c r="O130" s="224">
        <v>0</v>
      </c>
      <c r="P130" s="224">
        <v>0</v>
      </c>
      <c r="Q130" s="224">
        <v>0</v>
      </c>
      <c r="R130" s="224">
        <v>0</v>
      </c>
      <c r="S130" s="224">
        <v>0</v>
      </c>
      <c r="T130" s="224">
        <v>0</v>
      </c>
      <c r="U130" s="224">
        <v>0</v>
      </c>
      <c r="V130" s="224">
        <v>159.86322979999997</v>
      </c>
      <c r="W130" s="224">
        <v>3.1510000000000002</v>
      </c>
      <c r="X130" s="224">
        <v>4.2354221857269367</v>
      </c>
      <c r="Y130" s="224">
        <v>0.21194300160000001</v>
      </c>
      <c r="Z130" s="224">
        <v>0</v>
      </c>
      <c r="AA130" s="224">
        <v>10.65556591634115</v>
      </c>
      <c r="AB130" s="224">
        <v>8.5087854515028223</v>
      </c>
      <c r="AC130" s="224">
        <v>10.424140769277848</v>
      </c>
      <c r="AD130" s="1120">
        <v>16.150669539587692</v>
      </c>
      <c r="AE130" s="224">
        <v>16930.996149864746</v>
      </c>
      <c r="AF130" s="224">
        <v>224.30287800000002</v>
      </c>
      <c r="AG130" s="224">
        <v>125.09563236610866</v>
      </c>
      <c r="AH130" s="224">
        <v>5488.1888991682745</v>
      </c>
      <c r="AI130" s="224">
        <v>40800</v>
      </c>
      <c r="AJ130" s="224">
        <v>2851.055440532888</v>
      </c>
      <c r="AK130" s="224">
        <v>3508.029060192428</v>
      </c>
      <c r="AL130" s="224">
        <v>0</v>
      </c>
      <c r="AM130" s="224">
        <v>296</v>
      </c>
      <c r="AN130" s="1120">
        <v>70223.66806012443</v>
      </c>
      <c r="AO130" s="224">
        <f t="shared" si="5"/>
        <v>2.1280122185360741</v>
      </c>
      <c r="AP130" s="1123">
        <v>0.1</v>
      </c>
      <c r="AQ130" s="1123">
        <f t="shared" si="7"/>
        <v>3.5471403350446636E-2</v>
      </c>
      <c r="AR130" s="1123">
        <v>20</v>
      </c>
      <c r="AS130" s="1123">
        <f t="shared" si="10"/>
        <v>0.60952001652582088</v>
      </c>
      <c r="AT130" s="224">
        <f t="shared" si="6"/>
        <v>2490.9320545085502</v>
      </c>
    </row>
    <row r="131" spans="1:46">
      <c r="A131" s="1118">
        <v>2035</v>
      </c>
      <c r="D131" s="1107" t="s">
        <v>2004</v>
      </c>
      <c r="E131" s="224" t="s">
        <v>2058</v>
      </c>
      <c r="G131" s="224">
        <v>8057.7439217320371</v>
      </c>
      <c r="H131" s="224">
        <v>4055.8958750000002</v>
      </c>
      <c r="I131" s="224">
        <v>0.18833379840000003</v>
      </c>
      <c r="J131" s="224">
        <v>6.8725537566871303E-2</v>
      </c>
      <c r="K131" s="224">
        <v>5.4518469504022782E-2</v>
      </c>
      <c r="L131" s="224">
        <v>6.6682404926218519E-2</v>
      </c>
      <c r="M131" s="224">
        <v>0</v>
      </c>
      <c r="N131" s="224">
        <v>0</v>
      </c>
      <c r="O131" s="224">
        <v>0</v>
      </c>
      <c r="P131" s="224">
        <v>0</v>
      </c>
      <c r="Q131" s="224">
        <v>0</v>
      </c>
      <c r="R131" s="224">
        <v>0</v>
      </c>
      <c r="S131" s="224">
        <v>0</v>
      </c>
      <c r="T131" s="224">
        <v>0</v>
      </c>
      <c r="U131" s="224">
        <v>0</v>
      </c>
      <c r="V131" s="224">
        <v>159.36753347499999</v>
      </c>
      <c r="W131" s="224">
        <v>2.8000000000000003</v>
      </c>
      <c r="X131" s="224">
        <v>3.4618597729257634</v>
      </c>
      <c r="Y131" s="224">
        <v>0.18833379840000003</v>
      </c>
      <c r="Z131" s="224">
        <v>0</v>
      </c>
      <c r="AA131" s="224">
        <v>10.308830635030693</v>
      </c>
      <c r="AB131" s="224">
        <v>8.177770425603418</v>
      </c>
      <c r="AC131" s="224">
        <v>10.002360738932779</v>
      </c>
      <c r="AD131" s="1120">
        <v>15.45014352582978</v>
      </c>
      <c r="AE131" s="224">
        <v>17292.520007703151</v>
      </c>
      <c r="AF131" s="224">
        <v>168.62592000000001</v>
      </c>
      <c r="AG131" s="224">
        <v>70.043851179039279</v>
      </c>
      <c r="AH131" s="224">
        <v>5474.3333322356893</v>
      </c>
      <c r="AI131" s="224">
        <v>40800</v>
      </c>
      <c r="AJ131" s="224">
        <v>3431.2796019510192</v>
      </c>
      <c r="AK131" s="224">
        <v>3935.8667708711309</v>
      </c>
      <c r="AL131" s="224">
        <v>0</v>
      </c>
      <c r="AM131" s="224">
        <v>240</v>
      </c>
      <c r="AN131" s="1120">
        <v>71412.66948394003</v>
      </c>
      <c r="AO131" s="224">
        <f t="shared" si="5"/>
        <v>2.0357109109633318</v>
      </c>
      <c r="AP131" s="1123">
        <v>0.1</v>
      </c>
      <c r="AQ131" s="1123">
        <f t="shared" si="7"/>
        <v>3.5471403350446636E-2</v>
      </c>
      <c r="AR131" s="1123">
        <v>20</v>
      </c>
      <c r="AS131" s="1123">
        <f t="shared" si="10"/>
        <v>0.58308243593909126</v>
      </c>
      <c r="AT131" s="224">
        <f t="shared" si="6"/>
        <v>2533.1076035969686</v>
      </c>
    </row>
    <row r="132" spans="1:46">
      <c r="A132" s="1118">
        <v>2050</v>
      </c>
      <c r="D132" s="1107" t="s">
        <v>2004</v>
      </c>
      <c r="E132" s="224" t="s">
        <v>2058</v>
      </c>
      <c r="G132" s="224">
        <v>7954.4117696296144</v>
      </c>
      <c r="H132" s="224">
        <v>4104.9930750000003</v>
      </c>
      <c r="I132" s="224">
        <v>0.1412509824</v>
      </c>
      <c r="J132" s="224">
        <v>6.5341037886137335E-2</v>
      </c>
      <c r="K132" s="224">
        <v>5.1154827792352559E-2</v>
      </c>
      <c r="L132" s="224">
        <v>6.2507944940178348E-2</v>
      </c>
      <c r="M132" s="224">
        <v>0</v>
      </c>
      <c r="N132" s="224">
        <v>0</v>
      </c>
      <c r="O132" s="224">
        <v>0</v>
      </c>
      <c r="P132" s="224">
        <v>0</v>
      </c>
      <c r="Q132" s="224">
        <v>0</v>
      </c>
      <c r="R132" s="224">
        <v>0</v>
      </c>
      <c r="S132" s="224">
        <v>0</v>
      </c>
      <c r="T132" s="224">
        <v>0</v>
      </c>
      <c r="U132" s="224">
        <v>0</v>
      </c>
      <c r="V132" s="224">
        <v>156.80546079999999</v>
      </c>
      <c r="W132" s="224">
        <v>2.1</v>
      </c>
      <c r="X132" s="224">
        <v>2.5963948296943227</v>
      </c>
      <c r="Y132" s="224">
        <v>0.1412509824</v>
      </c>
      <c r="Z132" s="224">
        <v>0</v>
      </c>
      <c r="AA132" s="224">
        <v>9.8011556829205997</v>
      </c>
      <c r="AB132" s="224">
        <v>7.6732241688528831</v>
      </c>
      <c r="AC132" s="224">
        <v>9.3761917410267532</v>
      </c>
      <c r="AD132" s="1120">
        <v>14.46478504308411</v>
      </c>
      <c r="AE132" s="224">
        <v>17602.808569574558</v>
      </c>
      <c r="AF132" s="224">
        <v>76.463999999999999</v>
      </c>
      <c r="AG132" s="224">
        <v>50.184060052401726</v>
      </c>
      <c r="AH132" s="224">
        <v>5402.7189836027583</v>
      </c>
      <c r="AI132" s="224">
        <v>40800</v>
      </c>
      <c r="AJ132" s="224">
        <v>4216.1246270287984</v>
      </c>
      <c r="AK132" s="224">
        <v>4842.5801991868502</v>
      </c>
      <c r="AL132" s="224">
        <v>0</v>
      </c>
      <c r="AM132" s="224">
        <v>240</v>
      </c>
      <c r="AN132" s="1120">
        <v>73230.880439445376</v>
      </c>
      <c r="AO132" s="224">
        <f t="shared" si="5"/>
        <v>1.9058800772767621</v>
      </c>
      <c r="AP132" s="1123">
        <v>0.1</v>
      </c>
      <c r="AQ132" s="1123">
        <f t="shared" si="7"/>
        <v>3.5471403350446636E-2</v>
      </c>
      <c r="AR132" s="1123">
        <v>20</v>
      </c>
      <c r="AS132" s="1123">
        <f t="shared" si="10"/>
        <v>0.5458953882309544</v>
      </c>
      <c r="AT132" s="224">
        <f t="shared" si="6"/>
        <v>2597.6020977758999</v>
      </c>
    </row>
    <row r="133" spans="1:46">
      <c r="A133" s="1118">
        <v>2017</v>
      </c>
      <c r="D133" s="1107" t="s">
        <v>2004</v>
      </c>
      <c r="E133" s="224" t="s">
        <v>2059</v>
      </c>
      <c r="G133" s="224">
        <v>8883.9599902395639</v>
      </c>
      <c r="H133" s="224">
        <v>3840.5</v>
      </c>
      <c r="I133" s="224">
        <v>4.7916000000000007</v>
      </c>
      <c r="J133" s="224">
        <v>7.7403173228406327E-2</v>
      </c>
      <c r="K133" s="224">
        <v>8.6402141538296839E-2</v>
      </c>
      <c r="L133" s="224">
        <v>0.10688099421831837</v>
      </c>
      <c r="M133" s="224">
        <v>0</v>
      </c>
      <c r="N133" s="224">
        <v>0</v>
      </c>
      <c r="O133" s="224">
        <v>0</v>
      </c>
      <c r="P133" s="224">
        <v>0</v>
      </c>
      <c r="Q133" s="224">
        <v>0</v>
      </c>
      <c r="R133" s="224">
        <v>0</v>
      </c>
      <c r="S133" s="224">
        <v>0</v>
      </c>
      <c r="T133" s="224">
        <v>0</v>
      </c>
      <c r="U133" s="224">
        <v>0</v>
      </c>
      <c r="V133" s="224">
        <v>173.34234975000001</v>
      </c>
      <c r="W133" s="224">
        <v>114.2786736</v>
      </c>
      <c r="X133" s="224">
        <v>149.15131578947364</v>
      </c>
      <c r="Y133" s="224">
        <v>4.7916000000000007</v>
      </c>
      <c r="Z133" s="224">
        <v>0</v>
      </c>
      <c r="AA133" s="224">
        <v>11.610475984260949</v>
      </c>
      <c r="AB133" s="224">
        <v>12.960321230744526</v>
      </c>
      <c r="AC133" s="224">
        <v>16.032149132747755</v>
      </c>
      <c r="AD133" s="1120">
        <v>21.689622626504793</v>
      </c>
      <c r="AE133" s="224">
        <v>16019.419254194287</v>
      </c>
      <c r="AF133" s="224">
        <v>5762.505097440001</v>
      </c>
      <c r="AG133" s="224">
        <v>6502.9973684210527</v>
      </c>
      <c r="AH133" s="224">
        <v>7764.371451110077</v>
      </c>
      <c r="AI133" s="224">
        <v>40800</v>
      </c>
      <c r="AJ133" s="224">
        <v>0</v>
      </c>
      <c r="AK133" s="224">
        <v>745.98720000000003</v>
      </c>
      <c r="AL133" s="224">
        <v>0</v>
      </c>
      <c r="AM133" s="224">
        <v>436.00000000000006</v>
      </c>
      <c r="AN133" s="1120">
        <v>78031.280371165427</v>
      </c>
      <c r="AO133" s="224">
        <f t="shared" si="5"/>
        <v>2.8578246772682712</v>
      </c>
      <c r="AP133" s="1123">
        <v>0.1</v>
      </c>
      <c r="AQ133" s="1123">
        <f t="shared" si="7"/>
        <v>3.5471403350446636E-2</v>
      </c>
      <c r="AR133" s="1123">
        <v>20</v>
      </c>
      <c r="AS133" s="1123">
        <f t="shared" si="10"/>
        <v>0.81855796190623542</v>
      </c>
      <c r="AT133" s="224">
        <f t="shared" si="6"/>
        <v>2767.8790199973982</v>
      </c>
    </row>
    <row r="134" spans="1:46">
      <c r="A134" s="1121">
        <v>2020</v>
      </c>
      <c r="D134" s="1107" t="s">
        <v>2004</v>
      </c>
      <c r="E134" s="224" t="s">
        <v>2059</v>
      </c>
      <c r="G134" s="224">
        <v>8639.3085272736189</v>
      </c>
      <c r="H134" s="224">
        <v>3950.4837499999999</v>
      </c>
      <c r="I134" s="224">
        <v>4.7124000000000006</v>
      </c>
      <c r="J134" s="224">
        <v>6.9512705014763171E-2</v>
      </c>
      <c r="K134" s="224">
        <v>7.7462408876326605E-2</v>
      </c>
      <c r="L134" s="224">
        <v>9.636438380256393E-2</v>
      </c>
      <c r="M134" s="224">
        <v>0</v>
      </c>
      <c r="N134" s="224">
        <v>0</v>
      </c>
      <c r="O134" s="224">
        <v>0</v>
      </c>
      <c r="P134" s="224">
        <v>0</v>
      </c>
      <c r="Q134" s="224">
        <v>0</v>
      </c>
      <c r="R134" s="224">
        <v>0</v>
      </c>
      <c r="S134" s="224">
        <v>0</v>
      </c>
      <c r="T134" s="224">
        <v>0</v>
      </c>
      <c r="U134" s="224">
        <v>0</v>
      </c>
      <c r="V134" s="224">
        <v>163.87392734999997</v>
      </c>
      <c r="W134" s="224">
        <v>112.8029995</v>
      </c>
      <c r="X134" s="224">
        <v>146.68600478468898</v>
      </c>
      <c r="Y134" s="224">
        <v>4.7124000000000006</v>
      </c>
      <c r="Z134" s="224">
        <v>0</v>
      </c>
      <c r="AA134" s="224">
        <v>10.426905752214473</v>
      </c>
      <c r="AB134" s="224">
        <v>11.619361331448992</v>
      </c>
      <c r="AC134" s="224">
        <v>14.45465757038459</v>
      </c>
      <c r="AD134" s="1120">
        <v>18.533552212055088</v>
      </c>
      <c r="AE134" s="224">
        <v>15809.571266991104</v>
      </c>
      <c r="AF134" s="224">
        <v>4293.8336834250003</v>
      </c>
      <c r="AG134" s="224">
        <v>6395.5098086124399</v>
      </c>
      <c r="AH134" s="224">
        <v>7475.1856432754685</v>
      </c>
      <c r="AI134" s="224">
        <v>40800</v>
      </c>
      <c r="AJ134" s="224">
        <v>1981.7906762525845</v>
      </c>
      <c r="AK134" s="224">
        <v>1214.2458237810094</v>
      </c>
      <c r="AL134" s="224">
        <v>0</v>
      </c>
      <c r="AM134" s="224">
        <v>436.00000000000006</v>
      </c>
      <c r="AN134" s="1120">
        <v>78406.136902337603</v>
      </c>
      <c r="AO134" s="224">
        <f t="shared" si="5"/>
        <v>2.4419808394603781</v>
      </c>
      <c r="AP134" s="1123">
        <v>0.1</v>
      </c>
      <c r="AQ134" s="1123">
        <f t="shared" si="7"/>
        <v>3.5471403350446636E-2</v>
      </c>
      <c r="AR134" s="1123">
        <v>20</v>
      </c>
      <c r="AS134" s="1123">
        <f t="shared" si="10"/>
        <v>0.69944908617468804</v>
      </c>
      <c r="AT134" s="224">
        <f t="shared" si="6"/>
        <v>2781.1757072131554</v>
      </c>
    </row>
    <row r="135" spans="1:46">
      <c r="A135" s="1118">
        <v>2025</v>
      </c>
      <c r="D135" s="1107" t="s">
        <v>2004</v>
      </c>
      <c r="E135" s="224" t="s">
        <v>2059</v>
      </c>
      <c r="G135" s="224">
        <v>8337.5202652810258</v>
      </c>
      <c r="H135" s="224">
        <v>3981.9561999999996</v>
      </c>
      <c r="I135" s="224">
        <v>4.6213200000000008</v>
      </c>
      <c r="J135" s="224">
        <v>5.8609311401376409E-2</v>
      </c>
      <c r="K135" s="224">
        <v>6.2351437171635431E-2</v>
      </c>
      <c r="L135" s="224">
        <v>7.7993167462590135E-2</v>
      </c>
      <c r="M135" s="224">
        <v>0</v>
      </c>
      <c r="N135" s="224">
        <v>0</v>
      </c>
      <c r="O135" s="224">
        <v>0</v>
      </c>
      <c r="P135" s="224">
        <v>0</v>
      </c>
      <c r="Q135" s="224">
        <v>0</v>
      </c>
      <c r="R135" s="224">
        <v>0</v>
      </c>
      <c r="S135" s="224">
        <v>0</v>
      </c>
      <c r="T135" s="224">
        <v>0</v>
      </c>
      <c r="U135" s="224">
        <v>0</v>
      </c>
      <c r="V135" s="224">
        <v>155.79770332499999</v>
      </c>
      <c r="W135" s="224">
        <v>110.37967212500001</v>
      </c>
      <c r="X135" s="224">
        <v>130.64964114832534</v>
      </c>
      <c r="Y135" s="224">
        <v>4.6213200000000008</v>
      </c>
      <c r="Z135" s="224">
        <v>0</v>
      </c>
      <c r="AA135" s="224">
        <v>8.7913967102064614</v>
      </c>
      <c r="AB135" s="224">
        <v>9.3527155757453144</v>
      </c>
      <c r="AC135" s="224">
        <v>11.698975119388521</v>
      </c>
      <c r="AD135" s="1120">
        <v>15.208044153868011</v>
      </c>
      <c r="AE135" s="224">
        <v>16204.807534137737</v>
      </c>
      <c r="AF135" s="224">
        <v>2076.5743628312503</v>
      </c>
      <c r="AG135" s="224">
        <v>4184.1473684210532</v>
      </c>
      <c r="AH135" s="224">
        <v>7209.1633009934994</v>
      </c>
      <c r="AI135" s="224">
        <v>40800</v>
      </c>
      <c r="AJ135" s="224">
        <v>2363.0182694392256</v>
      </c>
      <c r="AK135" s="224">
        <v>2829.8971847014668</v>
      </c>
      <c r="AL135" s="224">
        <v>0</v>
      </c>
      <c r="AM135" s="224">
        <v>352.00000000000006</v>
      </c>
      <c r="AN135" s="1120">
        <v>76019.608020524232</v>
      </c>
      <c r="AO135" s="224">
        <f t="shared" si="5"/>
        <v>2.003811897713649</v>
      </c>
      <c r="AP135" s="1123">
        <v>0.1</v>
      </c>
      <c r="AQ135" s="1123">
        <f t="shared" si="7"/>
        <v>3.5471403350446636E-2</v>
      </c>
      <c r="AR135" s="1123">
        <v>20</v>
      </c>
      <c r="AS135" s="1123">
        <f t="shared" si="10"/>
        <v>0.57394569935753181</v>
      </c>
      <c r="AT135" s="224">
        <f t="shared" si="6"/>
        <v>2696.5221786388634</v>
      </c>
    </row>
    <row r="136" spans="1:46">
      <c r="A136" s="1118">
        <v>2030</v>
      </c>
      <c r="D136" s="1107" t="s">
        <v>2004</v>
      </c>
      <c r="E136" s="224" t="s">
        <v>2059</v>
      </c>
      <c r="G136" s="224">
        <v>8168.4771848717528</v>
      </c>
      <c r="H136" s="224">
        <v>4019.5814499999997</v>
      </c>
      <c r="I136" s="224">
        <v>4.550040000000001</v>
      </c>
      <c r="J136" s="224">
        <v>5.3789831379861347E-2</v>
      </c>
      <c r="K136" s="224">
        <v>5.6777141700606278E-2</v>
      </c>
      <c r="L136" s="224">
        <v>7.1134620632623879E-2</v>
      </c>
      <c r="M136" s="224">
        <v>0</v>
      </c>
      <c r="N136" s="224">
        <v>0</v>
      </c>
      <c r="O136" s="224">
        <v>0</v>
      </c>
      <c r="P136" s="224">
        <v>0</v>
      </c>
      <c r="Q136" s="224">
        <v>0</v>
      </c>
      <c r="R136" s="224">
        <v>0</v>
      </c>
      <c r="S136" s="224">
        <v>0</v>
      </c>
      <c r="T136" s="224">
        <v>0</v>
      </c>
      <c r="U136" s="224">
        <v>0</v>
      </c>
      <c r="V136" s="224">
        <v>149.43881347500002</v>
      </c>
      <c r="W136" s="224">
        <v>108.54191707500001</v>
      </c>
      <c r="X136" s="224">
        <v>100.8063761565945</v>
      </c>
      <c r="Y136" s="224">
        <v>4.550040000000001</v>
      </c>
      <c r="Z136" s="224">
        <v>0</v>
      </c>
      <c r="AA136" s="224">
        <v>8.0684747069792007</v>
      </c>
      <c r="AB136" s="224">
        <v>8.5165712550909412</v>
      </c>
      <c r="AC136" s="224">
        <v>10.670193094893584</v>
      </c>
      <c r="AD136" s="1120">
        <v>13.686421388967844</v>
      </c>
      <c r="AE136" s="224">
        <v>16006.238656065889</v>
      </c>
      <c r="AF136" s="224">
        <v>1504.3106239468952</v>
      </c>
      <c r="AG136" s="224">
        <v>2579.4896905365376</v>
      </c>
      <c r="AH136" s="224">
        <v>7000.8761668322431</v>
      </c>
      <c r="AI136" s="224">
        <v>40800</v>
      </c>
      <c r="AJ136" s="224">
        <v>2851.055440532888</v>
      </c>
      <c r="AK136" s="224">
        <v>3508.029060192428</v>
      </c>
      <c r="AL136" s="224">
        <v>0</v>
      </c>
      <c r="AM136" s="224">
        <v>296</v>
      </c>
      <c r="AN136" s="1120">
        <v>74545.999638106878</v>
      </c>
      <c r="AO136" s="224">
        <f t="shared" si="5"/>
        <v>1.803322882210403</v>
      </c>
      <c r="AP136" s="1123">
        <v>0.1</v>
      </c>
      <c r="AQ136" s="1123">
        <f t="shared" si="7"/>
        <v>3.5471403350446636E-2</v>
      </c>
      <c r="AR136" s="1123">
        <v>20</v>
      </c>
      <c r="AS136" s="1123">
        <f t="shared" si="10"/>
        <v>0.51652024522792594</v>
      </c>
      <c r="AT136" s="224">
        <f t="shared" si="6"/>
        <v>2644.2512213255382</v>
      </c>
    </row>
    <row r="137" spans="1:46">
      <c r="A137" s="1118">
        <v>2035</v>
      </c>
      <c r="D137" s="1107" t="s">
        <v>2004</v>
      </c>
      <c r="E137" s="224" t="s">
        <v>2059</v>
      </c>
      <c r="G137" s="224">
        <v>8056.6915386154906</v>
      </c>
      <c r="H137" s="224">
        <v>4055.8958750000002</v>
      </c>
      <c r="I137" s="224">
        <v>4.51044</v>
      </c>
      <c r="J137" s="224">
        <v>5.0454922148804301E-2</v>
      </c>
      <c r="K137" s="224">
        <v>5.3379226077392539E-2</v>
      </c>
      <c r="L137" s="224">
        <v>6.7000739414086116E-2</v>
      </c>
      <c r="M137" s="224">
        <v>0</v>
      </c>
      <c r="N137" s="224">
        <v>0</v>
      </c>
      <c r="O137" s="224">
        <v>0</v>
      </c>
      <c r="P137" s="224">
        <v>0</v>
      </c>
      <c r="Q137" s="224">
        <v>0</v>
      </c>
      <c r="R137" s="224">
        <v>0</v>
      </c>
      <c r="S137" s="224">
        <v>0</v>
      </c>
      <c r="T137" s="224">
        <v>0</v>
      </c>
      <c r="U137" s="224">
        <v>0</v>
      </c>
      <c r="V137" s="224">
        <v>136.947208375</v>
      </c>
      <c r="W137" s="224">
        <v>107.78469377499999</v>
      </c>
      <c r="X137" s="224">
        <v>85.238482532751064</v>
      </c>
      <c r="Y137" s="224">
        <v>4.51044</v>
      </c>
      <c r="Z137" s="224">
        <v>0</v>
      </c>
      <c r="AA137" s="224">
        <v>7.5682383223206458</v>
      </c>
      <c r="AB137" s="224">
        <v>8.006883911608881</v>
      </c>
      <c r="AC137" s="224">
        <v>10.050110912112917</v>
      </c>
      <c r="AD137" s="1120">
        <v>12.659036135157805</v>
      </c>
      <c r="AE137" s="224">
        <v>15351.602458180867</v>
      </c>
      <c r="AF137" s="224">
        <v>1219.8626729088001</v>
      </c>
      <c r="AG137" s="224">
        <v>1636.0400436681214</v>
      </c>
      <c r="AH137" s="224">
        <v>6639.12851107592</v>
      </c>
      <c r="AI137" s="224">
        <v>40800</v>
      </c>
      <c r="AJ137" s="224">
        <v>3431.2796019510192</v>
      </c>
      <c r="AK137" s="224">
        <v>3935.8667708711309</v>
      </c>
      <c r="AL137" s="224">
        <v>0</v>
      </c>
      <c r="AM137" s="224">
        <v>240</v>
      </c>
      <c r="AN137" s="1120">
        <v>73253.780058655859</v>
      </c>
      <c r="AO137" s="224">
        <f t="shared" si="5"/>
        <v>1.6679546011683923</v>
      </c>
      <c r="AP137" s="1123">
        <v>0.1</v>
      </c>
      <c r="AQ137" s="1123">
        <f t="shared" si="7"/>
        <v>3.5471403350446636E-2</v>
      </c>
      <c r="AR137" s="1123">
        <v>20</v>
      </c>
      <c r="AS137" s="1123">
        <f t="shared" si="10"/>
        <v>0.47774712344831549</v>
      </c>
      <c r="AT137" s="224">
        <f t="shared" si="6"/>
        <v>2598.4143794054862</v>
      </c>
    </row>
    <row r="138" spans="1:46">
      <c r="A138" s="1118">
        <v>2050</v>
      </c>
      <c r="D138" s="1107" t="s">
        <v>2004</v>
      </c>
      <c r="E138" s="224" t="s">
        <v>2059</v>
      </c>
      <c r="G138" s="224">
        <v>7952.7604660087854</v>
      </c>
      <c r="H138" s="224">
        <v>4104.9930750000003</v>
      </c>
      <c r="I138" s="224">
        <v>4.5025200000000005</v>
      </c>
      <c r="J138" s="224">
        <v>4.7016940308620095E-2</v>
      </c>
      <c r="K138" s="224">
        <v>4.9639372204092584E-2</v>
      </c>
      <c r="L138" s="224">
        <v>6.2247967080612608E-2</v>
      </c>
      <c r="M138" s="224">
        <v>0</v>
      </c>
      <c r="N138" s="224">
        <v>0</v>
      </c>
      <c r="O138" s="224">
        <v>0</v>
      </c>
      <c r="P138" s="224">
        <v>0</v>
      </c>
      <c r="Q138" s="224">
        <v>0</v>
      </c>
      <c r="R138" s="224">
        <v>0</v>
      </c>
      <c r="S138" s="224">
        <v>0</v>
      </c>
      <c r="T138" s="224">
        <v>0</v>
      </c>
      <c r="U138" s="224">
        <v>0</v>
      </c>
      <c r="V138" s="224">
        <v>133.95213972499999</v>
      </c>
      <c r="W138" s="224">
        <v>107.43005837500002</v>
      </c>
      <c r="X138" s="224">
        <v>85.08881004366809</v>
      </c>
      <c r="Y138" s="224">
        <v>4.5025200000000005</v>
      </c>
      <c r="Z138" s="224">
        <v>0</v>
      </c>
      <c r="AA138" s="224">
        <v>7.0525410462930136</v>
      </c>
      <c r="AB138" s="224">
        <v>7.4459058306138877</v>
      </c>
      <c r="AC138" s="224">
        <v>9.337195062091892</v>
      </c>
      <c r="AD138" s="1120">
        <v>11.64275768427796</v>
      </c>
      <c r="AE138" s="224">
        <v>15639.325321467129</v>
      </c>
      <c r="AF138" s="224">
        <v>726.81345026700001</v>
      </c>
      <c r="AG138" s="224">
        <v>1532.4966157205231</v>
      </c>
      <c r="AH138" s="224">
        <v>6549.5168080050462</v>
      </c>
      <c r="AI138" s="224">
        <v>40800</v>
      </c>
      <c r="AJ138" s="224">
        <v>4216.1246270287984</v>
      </c>
      <c r="AK138" s="224">
        <v>4842.5801991868502</v>
      </c>
      <c r="AL138" s="224">
        <v>0</v>
      </c>
      <c r="AM138" s="224">
        <v>240</v>
      </c>
      <c r="AN138" s="1120">
        <v>74546.857021675358</v>
      </c>
      <c r="AO138" s="224">
        <f t="shared" si="5"/>
        <v>1.5340497524804639</v>
      </c>
      <c r="AP138" s="1123">
        <v>0.1</v>
      </c>
      <c r="AQ138" s="1123">
        <f t="shared" si="7"/>
        <v>3.5471403350446636E-2</v>
      </c>
      <c r="AR138" s="1123">
        <v>20</v>
      </c>
      <c r="AS138" s="1123">
        <f t="shared" si="10"/>
        <v>0.43939316811186491</v>
      </c>
      <c r="AT138" s="224">
        <f t="shared" si="6"/>
        <v>2644.2816339239216</v>
      </c>
    </row>
    <row r="139" spans="1:46">
      <c r="A139" s="1118">
        <v>2017</v>
      </c>
      <c r="D139" s="1107" t="s">
        <v>2004</v>
      </c>
      <c r="E139" s="224" t="s">
        <v>2060</v>
      </c>
      <c r="G139" s="224">
        <v>9963.9864677145597</v>
      </c>
      <c r="H139" s="224">
        <v>3840.5</v>
      </c>
      <c r="I139" s="224">
        <v>150.74981250000002</v>
      </c>
      <c r="J139" s="224">
        <v>8.4137088915472252E-2</v>
      </c>
      <c r="K139" s="224">
        <v>0.10042871987630464</v>
      </c>
      <c r="L139" s="224">
        <v>0.12385807486318451</v>
      </c>
      <c r="M139" s="224">
        <v>2.8703531113817505E-2</v>
      </c>
      <c r="N139" s="224">
        <v>3.4930946431634885E-2</v>
      </c>
      <c r="O139" s="224">
        <v>4.2985247683351505E-2</v>
      </c>
      <c r="P139" s="224">
        <v>-42.386338414795411</v>
      </c>
      <c r="Q139" s="224">
        <v>-11.72009291688979</v>
      </c>
      <c r="R139" s="224">
        <v>-22.275855225202825</v>
      </c>
      <c r="S139" s="224">
        <v>1080.8627885400911</v>
      </c>
      <c r="T139" s="224">
        <v>1315.3629083728445</v>
      </c>
      <c r="U139" s="224">
        <v>1618.6564117453827</v>
      </c>
      <c r="V139" s="224">
        <v>170</v>
      </c>
      <c r="W139" s="224">
        <v>234.79864429999998</v>
      </c>
      <c r="X139" s="224">
        <v>352.19796644999997</v>
      </c>
      <c r="Y139" s="224">
        <v>150.37743749999998</v>
      </c>
      <c r="Z139" s="224">
        <v>0</v>
      </c>
      <c r="AA139" s="224">
        <v>5.6538681218861919</v>
      </c>
      <c r="AB139" s="224">
        <v>8.3270863016276451</v>
      </c>
      <c r="AC139" s="224">
        <v>11.821438025500743</v>
      </c>
      <c r="AD139" s="1120">
        <v>8.356942104514161</v>
      </c>
      <c r="AE139" s="224">
        <v>15922.439999999999</v>
      </c>
      <c r="AF139" s="224">
        <v>10932.81184047</v>
      </c>
      <c r="AG139" s="224">
        <v>85561.754388749992</v>
      </c>
      <c r="AH139" s="224">
        <v>0</v>
      </c>
      <c r="AI139" s="224">
        <v>40800</v>
      </c>
      <c r="AJ139" s="224">
        <v>0</v>
      </c>
      <c r="AK139" s="224">
        <v>745.98720000000003</v>
      </c>
      <c r="AL139" s="224">
        <v>0</v>
      </c>
      <c r="AM139" s="224">
        <v>436.00000000000006</v>
      </c>
      <c r="AN139" s="1120">
        <v>154398.99342921999</v>
      </c>
      <c r="AO139" s="224">
        <f t="shared" si="5"/>
        <v>1.1011106916907858</v>
      </c>
      <c r="AP139" s="1123">
        <v>0.1</v>
      </c>
      <c r="AQ139" s="1123">
        <f t="shared" si="7"/>
        <v>3.5471403350446636E-2</v>
      </c>
      <c r="AR139" s="1123">
        <v>20</v>
      </c>
      <c r="AS139" s="1123">
        <f t="shared" si="10"/>
        <v>0.3153877600655085</v>
      </c>
      <c r="AT139" s="224">
        <f t="shared" si="6"/>
        <v>5476.7489728308219</v>
      </c>
    </row>
    <row r="140" spans="1:46">
      <c r="A140" s="1121">
        <v>2020</v>
      </c>
      <c r="D140" s="1107" t="s">
        <v>2004</v>
      </c>
      <c r="E140" s="224" t="s">
        <v>2060</v>
      </c>
      <c r="G140" s="224">
        <v>9577.7770919686445</v>
      </c>
      <c r="H140" s="224">
        <v>3950.4837499999999</v>
      </c>
      <c r="I140" s="224">
        <v>140.5095</v>
      </c>
      <c r="J140" s="224">
        <v>7.6499849278710966E-2</v>
      </c>
      <c r="K140" s="224">
        <v>9.0613676951541558E-2</v>
      </c>
      <c r="L140" s="224">
        <v>0.11160670285087357</v>
      </c>
      <c r="M140" s="224">
        <v>2.6453867162826945E-2</v>
      </c>
      <c r="N140" s="224">
        <v>3.2157039093303141E-2</v>
      </c>
      <c r="O140" s="224">
        <v>3.9535049183986599E-2</v>
      </c>
      <c r="P140" s="224">
        <v>-33.710690106614919</v>
      </c>
      <c r="Q140" s="224">
        <v>-12.579292568675275</v>
      </c>
      <c r="R140" s="224">
        <v>-21.868565293694552</v>
      </c>
      <c r="S140" s="224">
        <v>996.14923738487278</v>
      </c>
      <c r="T140" s="224">
        <v>1210.9084003552657</v>
      </c>
      <c r="U140" s="224">
        <v>1488.7354220158227</v>
      </c>
      <c r="V140" s="224">
        <v>160</v>
      </c>
      <c r="W140" s="224">
        <v>222.16069160000001</v>
      </c>
      <c r="X140" s="224">
        <v>333.24103740000004</v>
      </c>
      <c r="Y140" s="224">
        <v>140.32331250000001</v>
      </c>
      <c r="Z140" s="224">
        <v>0</v>
      </c>
      <c r="AA140" s="224">
        <v>5.1186579674094954</v>
      </c>
      <c r="AB140" s="224">
        <v>7.4965852657687044</v>
      </c>
      <c r="AC140" s="224">
        <v>10.628787634443164</v>
      </c>
      <c r="AD140" s="1120">
        <v>7.3708585742218737</v>
      </c>
      <c r="AE140" s="224">
        <v>15674.462296645957</v>
      </c>
      <c r="AF140" s="224">
        <v>7919.0411765399995</v>
      </c>
      <c r="AG140" s="224">
        <v>74334.871563749999</v>
      </c>
      <c r="AH140" s="224">
        <v>0</v>
      </c>
      <c r="AI140" s="224">
        <v>40800</v>
      </c>
      <c r="AJ140" s="224">
        <v>1981.7906762525845</v>
      </c>
      <c r="AK140" s="224">
        <v>1214.2458237810094</v>
      </c>
      <c r="AL140" s="224">
        <v>0</v>
      </c>
      <c r="AM140" s="224">
        <v>436.00000000000006</v>
      </c>
      <c r="AN140" s="1120">
        <v>142360.41153696954</v>
      </c>
      <c r="AO140" s="224">
        <f t="shared" si="5"/>
        <v>0.971184325739474</v>
      </c>
      <c r="AP140" s="1123">
        <v>0.1</v>
      </c>
      <c r="AQ140" s="1123">
        <f t="shared" si="7"/>
        <v>3.5471403350446636E-2</v>
      </c>
      <c r="AR140" s="1123">
        <v>20</v>
      </c>
      <c r="AS140" s="1123">
        <f t="shared" si="10"/>
        <v>0.27817334934362714</v>
      </c>
      <c r="AT140" s="224">
        <f t="shared" si="6"/>
        <v>5049.7235787634227</v>
      </c>
    </row>
    <row r="141" spans="1:46">
      <c r="A141" s="1118">
        <v>2025</v>
      </c>
      <c r="D141" s="1107" t="s">
        <v>2004</v>
      </c>
      <c r="E141" s="224" t="s">
        <v>2060</v>
      </c>
      <c r="G141" s="224">
        <v>9166.2201468744643</v>
      </c>
      <c r="H141" s="224">
        <v>3981.9561999999996</v>
      </c>
      <c r="I141" s="224">
        <v>124.09396875000002</v>
      </c>
      <c r="J141" s="224">
        <v>6.464416213746467E-2</v>
      </c>
      <c r="K141" s="224">
        <v>7.3417908809366592E-2</v>
      </c>
      <c r="L141" s="224">
        <v>9.1151521286492815E-2</v>
      </c>
      <c r="M141" s="224">
        <v>2.3488630239005485E-2</v>
      </c>
      <c r="N141" s="224">
        <v>2.7596497896195889E-2</v>
      </c>
      <c r="O141" s="224">
        <v>3.3795623142702409E-2</v>
      </c>
      <c r="P141" s="224">
        <v>-20.953287884257634</v>
      </c>
      <c r="Q141" s="224">
        <v>3.4671777686257004</v>
      </c>
      <c r="R141" s="224">
        <v>-28.400097396990915</v>
      </c>
      <c r="S141" s="224">
        <v>884.49000502579713</v>
      </c>
      <c r="T141" s="224">
        <v>1039.1762446141765</v>
      </c>
      <c r="U141" s="224">
        <v>1272.611070938483</v>
      </c>
      <c r="V141" s="224">
        <v>137.5</v>
      </c>
      <c r="W141" s="224">
        <v>202.82823310000001</v>
      </c>
      <c r="X141" s="224">
        <v>304.24234964999999</v>
      </c>
      <c r="Y141" s="224">
        <v>123.65953125</v>
      </c>
      <c r="Z141" s="224">
        <v>0</v>
      </c>
      <c r="AA141" s="224">
        <v>4.5369707988876664</v>
      </c>
      <c r="AB141" s="224">
        <v>6.103814317154117</v>
      </c>
      <c r="AC141" s="224">
        <v>8.6535431022283511</v>
      </c>
      <c r="AD141" s="1120">
        <v>6.3800894788882481</v>
      </c>
      <c r="AE141" s="224">
        <v>14759.705905664594</v>
      </c>
      <c r="AF141" s="224">
        <v>3628.3676139025001</v>
      </c>
      <c r="AG141" s="224">
        <v>39767.639175000004</v>
      </c>
      <c r="AH141" s="224">
        <v>0</v>
      </c>
      <c r="AI141" s="224">
        <v>40800</v>
      </c>
      <c r="AJ141" s="224">
        <v>2363.0182694392256</v>
      </c>
      <c r="AK141" s="224">
        <v>2829.8971847014668</v>
      </c>
      <c r="AL141" s="224">
        <v>0</v>
      </c>
      <c r="AM141" s="224">
        <v>352.00000000000006</v>
      </c>
      <c r="AN141" s="1120">
        <v>104500.62814870779</v>
      </c>
      <c r="AO141" s="224">
        <f t="shared" si="5"/>
        <v>0.84064058973831546</v>
      </c>
      <c r="AP141" s="1123">
        <v>0.1</v>
      </c>
      <c r="AQ141" s="1123">
        <f t="shared" si="7"/>
        <v>3.5471403350446636E-2</v>
      </c>
      <c r="AR141" s="1123">
        <v>20</v>
      </c>
      <c r="AS141" s="1123">
        <f t="shared" si="10"/>
        <v>0.24078210721086038</v>
      </c>
      <c r="AT141" s="224">
        <f t="shared" si="6"/>
        <v>3706.7839314378516</v>
      </c>
    </row>
    <row r="142" spans="1:46">
      <c r="A142" s="1118">
        <v>2030</v>
      </c>
      <c r="D142" s="1107" t="s">
        <v>2004</v>
      </c>
      <c r="E142" s="224" t="s">
        <v>2060</v>
      </c>
      <c r="G142" s="224">
        <v>8940.0632791102962</v>
      </c>
      <c r="H142" s="224">
        <v>4019.5814499999997</v>
      </c>
      <c r="I142" s="224">
        <v>117.4843125</v>
      </c>
      <c r="J142" s="224">
        <v>5.968703552774355E-2</v>
      </c>
      <c r="K142" s="224">
        <v>6.7736409333635977E-2</v>
      </c>
      <c r="L142" s="224">
        <v>8.4162392804370767E-2</v>
      </c>
      <c r="M142" s="224">
        <v>2.1943110540730084E-2</v>
      </c>
      <c r="N142" s="224">
        <v>2.5892047386024131E-2</v>
      </c>
      <c r="O142" s="224">
        <v>3.1690865018071446E-2</v>
      </c>
      <c r="P142" s="224">
        <v>-23.864214779971071</v>
      </c>
      <c r="Q142" s="224">
        <v>4.8653992976155021</v>
      </c>
      <c r="R142" s="224">
        <v>-29.430058531782358</v>
      </c>
      <c r="S142" s="224">
        <v>826.2917741462021</v>
      </c>
      <c r="T142" s="224">
        <v>974.99330056984672</v>
      </c>
      <c r="U142" s="224">
        <v>1193.3541068120066</v>
      </c>
      <c r="V142" s="224">
        <v>130</v>
      </c>
      <c r="W142" s="224">
        <v>197.12646230000001</v>
      </c>
      <c r="X142" s="224">
        <v>295.68969344999999</v>
      </c>
      <c r="Y142" s="224">
        <v>117.17400000000001</v>
      </c>
      <c r="Z142" s="224">
        <v>0</v>
      </c>
      <c r="AA142" s="224">
        <v>4.1671057890599332</v>
      </c>
      <c r="AB142" s="224">
        <v>5.6317991986471529</v>
      </c>
      <c r="AC142" s="224">
        <v>7.9814339490089719</v>
      </c>
      <c r="AD142" s="1120">
        <v>5.9143194253262852</v>
      </c>
      <c r="AE142" s="224">
        <v>14492.24544136646</v>
      </c>
      <c r="AF142" s="224">
        <v>2617.0740006834153</v>
      </c>
      <c r="AG142" s="224">
        <v>26651.301395625</v>
      </c>
      <c r="AH142" s="224">
        <v>0</v>
      </c>
      <c r="AI142" s="224">
        <v>40800</v>
      </c>
      <c r="AJ142" s="224">
        <v>2851.055440532888</v>
      </c>
      <c r="AK142" s="224">
        <v>3508.029060192428</v>
      </c>
      <c r="AL142" s="224">
        <v>0</v>
      </c>
      <c r="AM142" s="224">
        <v>296</v>
      </c>
      <c r="AN142" s="1120">
        <v>91215.705338400177</v>
      </c>
      <c r="AO142" s="224">
        <f t="shared" ref="AO142:AO205" si="11">AD142*$C$4</f>
        <v>0.77927072748099124</v>
      </c>
      <c r="AP142" s="1123">
        <v>0.1</v>
      </c>
      <c r="AQ142" s="1123">
        <f t="shared" si="7"/>
        <v>3.5471403350446636E-2</v>
      </c>
      <c r="AR142" s="1123">
        <v>20</v>
      </c>
      <c r="AS142" s="1123">
        <f t="shared" si="10"/>
        <v>0.22320412568827097</v>
      </c>
      <c r="AT142" s="224">
        <f t="shared" ref="AT142:AT205" si="12">AN142*AQ142</f>
        <v>3235.5490759538811</v>
      </c>
    </row>
    <row r="143" spans="1:46">
      <c r="A143" s="1118">
        <v>2035</v>
      </c>
      <c r="D143" s="1107" t="s">
        <v>2004</v>
      </c>
      <c r="E143" s="224" t="s">
        <v>2060</v>
      </c>
      <c r="G143" s="224">
        <v>8809.8491529906714</v>
      </c>
      <c r="H143" s="224">
        <v>4055.8958750000002</v>
      </c>
      <c r="I143" s="224">
        <v>109.105875</v>
      </c>
      <c r="J143" s="224">
        <v>5.6397683167089069E-2</v>
      </c>
      <c r="K143" s="224">
        <v>6.4433386754991676E-2</v>
      </c>
      <c r="L143" s="224">
        <v>8.0112675039168899E-2</v>
      </c>
      <c r="M143" s="224">
        <v>2.096566509834235E-2</v>
      </c>
      <c r="N143" s="224">
        <v>2.4915672805124356E-2</v>
      </c>
      <c r="O143" s="224">
        <v>3.0510089907083999E-2</v>
      </c>
      <c r="P143" s="224">
        <v>-24.35069647399342</v>
      </c>
      <c r="Q143" s="224">
        <v>5.0874354253391827</v>
      </c>
      <c r="R143" s="224">
        <v>-27.680290170041495</v>
      </c>
      <c r="S143" s="224">
        <v>789.48499931714878</v>
      </c>
      <c r="T143" s="224">
        <v>938.22685019876417</v>
      </c>
      <c r="U143" s="224">
        <v>1148.8907314161393</v>
      </c>
      <c r="V143" s="224">
        <v>127.5</v>
      </c>
      <c r="W143" s="224">
        <v>193.46780687500001</v>
      </c>
      <c r="X143" s="224">
        <v>290.20171031249998</v>
      </c>
      <c r="Y143" s="224">
        <v>108.6714375</v>
      </c>
      <c r="Z143" s="224">
        <v>0</v>
      </c>
      <c r="AA143" s="224">
        <v>3.9143247940582011</v>
      </c>
      <c r="AB143" s="224">
        <v>5.3575913330268179</v>
      </c>
      <c r="AC143" s="224">
        <v>7.5976793853362858</v>
      </c>
      <c r="AD143" s="1120">
        <v>5.6199360667755975</v>
      </c>
      <c r="AE143" s="224">
        <v>14708.304906832294</v>
      </c>
      <c r="AF143" s="224">
        <v>2105.4431583671999</v>
      </c>
      <c r="AG143" s="224">
        <v>18407.859142499998</v>
      </c>
      <c r="AH143" s="224">
        <v>0</v>
      </c>
      <c r="AI143" s="224">
        <v>40800</v>
      </c>
      <c r="AJ143" s="224">
        <v>3431.2796019510192</v>
      </c>
      <c r="AK143" s="224">
        <v>3935.8667708711309</v>
      </c>
      <c r="AL143" s="224">
        <v>0</v>
      </c>
      <c r="AM143" s="224">
        <v>240</v>
      </c>
      <c r="AN143" s="1120">
        <v>83628.753580521632</v>
      </c>
      <c r="AO143" s="224">
        <f t="shared" si="11"/>
        <v>0.74048277615835267</v>
      </c>
      <c r="AP143" s="1123">
        <v>0.1</v>
      </c>
      <c r="AQ143" s="1123">
        <f t="shared" ref="AQ143:AQ206" si="13">AQ142</f>
        <v>3.5471403350446636E-2</v>
      </c>
      <c r="AR143" s="1123">
        <v>20</v>
      </c>
      <c r="AS143" s="1123">
        <f t="shared" si="10"/>
        <v>0.21209421169189294</v>
      </c>
      <c r="AT143" s="224">
        <f t="shared" si="12"/>
        <v>2966.429249949791</v>
      </c>
    </row>
    <row r="144" spans="1:46">
      <c r="A144" s="1118">
        <v>2050</v>
      </c>
      <c r="D144" s="1107" t="s">
        <v>2004</v>
      </c>
      <c r="E144" s="224" t="s">
        <v>2060</v>
      </c>
      <c r="G144" s="224">
        <v>8637.6327131716334</v>
      </c>
      <c r="H144" s="224">
        <v>4104.9930750000003</v>
      </c>
      <c r="I144" s="224">
        <v>103.8305625</v>
      </c>
      <c r="J144" s="224">
        <v>5.1968003043274848E-2</v>
      </c>
      <c r="K144" s="224">
        <v>5.9799913945344396E-2</v>
      </c>
      <c r="L144" s="224">
        <v>7.4250424676182314E-2</v>
      </c>
      <c r="M144" s="224">
        <v>1.9592762843330669E-2</v>
      </c>
      <c r="N144" s="224">
        <v>2.3464840270074741E-2</v>
      </c>
      <c r="O144" s="224">
        <v>2.8749554526415456E-2</v>
      </c>
      <c r="P144" s="224">
        <v>-26.816324784001665</v>
      </c>
      <c r="Q144" s="224">
        <v>-0.94608017182925996</v>
      </c>
      <c r="R144" s="224">
        <v>-29.817580842408319</v>
      </c>
      <c r="S144" s="224">
        <v>737.78686664278371</v>
      </c>
      <c r="T144" s="224">
        <v>883.5941677834802</v>
      </c>
      <c r="U144" s="224">
        <v>1082.5958503672753</v>
      </c>
      <c r="V144" s="224">
        <v>122.5</v>
      </c>
      <c r="W144" s="224">
        <v>188.30649265</v>
      </c>
      <c r="X144" s="224">
        <v>282.45973897500005</v>
      </c>
      <c r="Y144" s="224">
        <v>103.42715625</v>
      </c>
      <c r="Z144" s="224">
        <v>0</v>
      </c>
      <c r="AA144" s="224">
        <v>3.5784015266947877</v>
      </c>
      <c r="AB144" s="224">
        <v>4.9647896966960401</v>
      </c>
      <c r="AC144" s="224">
        <v>7.03859291202129</v>
      </c>
      <c r="AD144" s="1120">
        <v>5.2116061980814212</v>
      </c>
      <c r="AE144" s="224">
        <v>14801.050236024845</v>
      </c>
      <c r="AF144" s="224">
        <v>1239.7742302859999</v>
      </c>
      <c r="AG144" s="224">
        <v>14519.978158499998</v>
      </c>
      <c r="AH144" s="224">
        <v>0</v>
      </c>
      <c r="AI144" s="224">
        <v>40800</v>
      </c>
      <c r="AJ144" s="224">
        <v>4216.1246270287984</v>
      </c>
      <c r="AK144" s="224">
        <v>4842.5801991868502</v>
      </c>
      <c r="AL144" s="224">
        <v>0</v>
      </c>
      <c r="AM144" s="224">
        <v>240</v>
      </c>
      <c r="AN144" s="1120">
        <v>80659.507451026482</v>
      </c>
      <c r="AO144" s="224">
        <f t="shared" si="11"/>
        <v>0.686681232659208</v>
      </c>
      <c r="AP144" s="1123">
        <v>0.1</v>
      </c>
      <c r="AQ144" s="1123">
        <f t="shared" si="13"/>
        <v>3.5471403350446636E-2</v>
      </c>
      <c r="AR144" s="1123">
        <v>20</v>
      </c>
      <c r="AS144" s="1123">
        <f t="shared" si="10"/>
        <v>0.19668400051121054</v>
      </c>
      <c r="AT144" s="224">
        <f t="shared" si="12"/>
        <v>2861.1059228437161</v>
      </c>
    </row>
    <row r="145" spans="1:46">
      <c r="A145" s="1118">
        <v>2017</v>
      </c>
      <c r="D145" s="1107" t="s">
        <v>2004</v>
      </c>
      <c r="E145" s="224" t="s">
        <v>2061</v>
      </c>
      <c r="G145" s="224">
        <v>9469.985274704999</v>
      </c>
      <c r="H145" s="224">
        <v>3840.5</v>
      </c>
      <c r="I145" s="224">
        <v>293.18324999999999</v>
      </c>
      <c r="J145" s="224">
        <v>0</v>
      </c>
      <c r="K145" s="224">
        <v>0</v>
      </c>
      <c r="L145" s="224">
        <v>0</v>
      </c>
      <c r="M145" s="224">
        <v>0</v>
      </c>
      <c r="N145" s="224">
        <v>0</v>
      </c>
      <c r="O145" s="224">
        <v>0</v>
      </c>
      <c r="P145" s="224">
        <v>0</v>
      </c>
      <c r="Q145" s="224">
        <v>0</v>
      </c>
      <c r="R145" s="224">
        <v>0</v>
      </c>
      <c r="S145" s="224">
        <v>964.74156206640964</v>
      </c>
      <c r="T145" s="224">
        <v>1428.4438270669507</v>
      </c>
      <c r="U145" s="224">
        <v>1767.5797310780486</v>
      </c>
      <c r="V145" s="224">
        <v>0</v>
      </c>
      <c r="W145" s="224">
        <v>208.55620490000001</v>
      </c>
      <c r="X145" s="224">
        <v>312.83430735000002</v>
      </c>
      <c r="Y145" s="224">
        <v>293.18324999999999</v>
      </c>
      <c r="Z145" s="224">
        <v>0</v>
      </c>
      <c r="AA145" s="224">
        <v>3.8435918807426681</v>
      </c>
      <c r="AB145" s="224">
        <v>5.6910112632149437</v>
      </c>
      <c r="AC145" s="224">
        <v>7.0421503230201132</v>
      </c>
      <c r="AD145" s="1120">
        <v>8.2182058522427379</v>
      </c>
      <c r="AE145" s="224">
        <v>0</v>
      </c>
      <c r="AF145" s="224">
        <v>9807.0111902099998</v>
      </c>
      <c r="AG145" s="224">
        <v>166815.405585</v>
      </c>
      <c r="AH145" s="224">
        <v>0</v>
      </c>
      <c r="AI145" s="224">
        <v>40800</v>
      </c>
      <c r="AJ145" s="224">
        <v>0</v>
      </c>
      <c r="AK145" s="224">
        <v>745.98720000000003</v>
      </c>
      <c r="AL145" s="224">
        <v>0</v>
      </c>
      <c r="AM145" s="224">
        <v>0</v>
      </c>
      <c r="AN145" s="1120">
        <v>218168.40397520998</v>
      </c>
      <c r="AO145" s="224">
        <f t="shared" si="11"/>
        <v>1.082830803091503</v>
      </c>
      <c r="AP145" s="1123">
        <v>0.1</v>
      </c>
      <c r="AQ145" s="1123">
        <f t="shared" si="13"/>
        <v>3.5471403350446636E-2</v>
      </c>
      <c r="AR145" s="1123">
        <v>20</v>
      </c>
      <c r="AS145" s="1123">
        <f t="shared" si="10"/>
        <v>0.31015190760936523</v>
      </c>
      <c r="AT145" s="224">
        <f t="shared" si="12"/>
        <v>7738.7394557278585</v>
      </c>
    </row>
    <row r="146" spans="1:46">
      <c r="A146" s="1121">
        <v>2020</v>
      </c>
      <c r="D146" s="1107" t="s">
        <v>2004</v>
      </c>
      <c r="E146" s="224" t="s">
        <v>2061</v>
      </c>
      <c r="G146" s="224">
        <v>9041.7268638538226</v>
      </c>
      <c r="H146" s="224">
        <v>3950.4837499999999</v>
      </c>
      <c r="I146" s="224">
        <v>272.57849999999996</v>
      </c>
      <c r="J146" s="224">
        <v>0</v>
      </c>
      <c r="K146" s="224">
        <v>0</v>
      </c>
      <c r="L146" s="224">
        <v>0</v>
      </c>
      <c r="M146" s="224">
        <v>0</v>
      </c>
      <c r="N146" s="224">
        <v>0</v>
      </c>
      <c r="O146" s="224">
        <v>0</v>
      </c>
      <c r="P146" s="224">
        <v>0</v>
      </c>
      <c r="Q146" s="224">
        <v>0</v>
      </c>
      <c r="R146" s="224">
        <v>0</v>
      </c>
      <c r="S146" s="224">
        <v>879.98075009588058</v>
      </c>
      <c r="T146" s="224">
        <v>1312.130382225329</v>
      </c>
      <c r="U146" s="224">
        <v>1622.7666661792407</v>
      </c>
      <c r="V146" s="224">
        <v>0</v>
      </c>
      <c r="W146" s="224">
        <v>193.9043605</v>
      </c>
      <c r="X146" s="224">
        <v>290.85654075000002</v>
      </c>
      <c r="Y146" s="224">
        <v>272.57849999999996</v>
      </c>
      <c r="Z146" s="224">
        <v>0</v>
      </c>
      <c r="AA146" s="224">
        <v>3.5058994027724326</v>
      </c>
      <c r="AB146" s="224">
        <v>5.2276110845630628</v>
      </c>
      <c r="AC146" s="224">
        <v>6.4652058413515565</v>
      </c>
      <c r="AD146" s="1120">
        <v>7.2138322178681999</v>
      </c>
      <c r="AE146" s="224">
        <v>0</v>
      </c>
      <c r="AF146" s="224">
        <v>6982.3438005749995</v>
      </c>
      <c r="AG146" s="224">
        <v>144395.73458999998</v>
      </c>
      <c r="AH146" s="224">
        <v>0</v>
      </c>
      <c r="AI146" s="224">
        <v>40800</v>
      </c>
      <c r="AJ146" s="224">
        <v>1981.7906762525845</v>
      </c>
      <c r="AK146" s="224">
        <v>1214.2458237810094</v>
      </c>
      <c r="AL146" s="224">
        <v>0</v>
      </c>
      <c r="AM146" s="224">
        <v>0</v>
      </c>
      <c r="AN146" s="1120">
        <v>195374.11489060859</v>
      </c>
      <c r="AO146" s="224">
        <f t="shared" si="11"/>
        <v>0.95049453302631393</v>
      </c>
      <c r="AP146" s="1123">
        <v>0.1</v>
      </c>
      <c r="AQ146" s="1123">
        <f t="shared" si="13"/>
        <v>3.5471403350446636E-2</v>
      </c>
      <c r="AR146" s="1123">
        <v>20</v>
      </c>
      <c r="AS146" s="1123">
        <f t="shared" si="10"/>
        <v>0.27224723543948964</v>
      </c>
      <c r="AT146" s="224">
        <f t="shared" si="12"/>
        <v>6930.1940335212794</v>
      </c>
    </row>
    <row r="147" spans="1:46">
      <c r="A147" s="1118">
        <v>2025</v>
      </c>
      <c r="D147" s="1107" t="s">
        <v>2004</v>
      </c>
      <c r="E147" s="224" t="s">
        <v>2061</v>
      </c>
      <c r="G147" s="224">
        <v>8538.6294830421739</v>
      </c>
      <c r="H147" s="224">
        <v>3981.9561999999996</v>
      </c>
      <c r="I147" s="224">
        <v>237.79246875000001</v>
      </c>
      <c r="J147" s="224">
        <v>0</v>
      </c>
      <c r="K147" s="224">
        <v>0</v>
      </c>
      <c r="L147" s="224">
        <v>0</v>
      </c>
      <c r="M147" s="224">
        <v>0</v>
      </c>
      <c r="N147" s="224">
        <v>0</v>
      </c>
      <c r="O147" s="224">
        <v>0</v>
      </c>
      <c r="P147" s="224">
        <v>0</v>
      </c>
      <c r="Q147" s="224">
        <v>0</v>
      </c>
      <c r="R147" s="224">
        <v>0</v>
      </c>
      <c r="S147" s="224">
        <v>762.53371004646806</v>
      </c>
      <c r="T147" s="224">
        <v>1125.7399144745923</v>
      </c>
      <c r="U147" s="224">
        <v>1383.2743272161597</v>
      </c>
      <c r="V147" s="224">
        <v>0</v>
      </c>
      <c r="W147" s="224">
        <v>179.6913103</v>
      </c>
      <c r="X147" s="224">
        <v>269.53696545000003</v>
      </c>
      <c r="Y147" s="224">
        <v>237.79246875000001</v>
      </c>
      <c r="Z147" s="224">
        <v>0</v>
      </c>
      <c r="AA147" s="224">
        <v>3.0379829085516654</v>
      </c>
      <c r="AB147" s="224">
        <v>4.4850195795800483</v>
      </c>
      <c r="AC147" s="224">
        <v>5.5110530964787241</v>
      </c>
      <c r="AD147" s="1120">
        <v>6.1435557777046377</v>
      </c>
      <c r="AE147" s="224">
        <v>0</v>
      </c>
      <c r="AF147" s="224">
        <v>3228.0904389950001</v>
      </c>
      <c r="AG147" s="224">
        <v>76618.018124999988</v>
      </c>
      <c r="AH147" s="224">
        <v>0</v>
      </c>
      <c r="AI147" s="224">
        <v>40800</v>
      </c>
      <c r="AJ147" s="224">
        <v>2363.0182694392256</v>
      </c>
      <c r="AK147" s="224">
        <v>2829.8971847014668</v>
      </c>
      <c r="AL147" s="224">
        <v>0</v>
      </c>
      <c r="AM147" s="224">
        <v>0</v>
      </c>
      <c r="AN147" s="1120">
        <v>125839.02401813568</v>
      </c>
      <c r="AO147" s="224">
        <f t="shared" si="11"/>
        <v>0.80947490927036303</v>
      </c>
      <c r="AP147" s="1123">
        <v>0.1</v>
      </c>
      <c r="AQ147" s="1123">
        <f t="shared" si="13"/>
        <v>3.5471403350446636E-2</v>
      </c>
      <c r="AR147" s="1123">
        <v>20</v>
      </c>
      <c r="AS147" s="1123">
        <f t="shared" si="10"/>
        <v>0.23185541689000647</v>
      </c>
      <c r="AT147" s="224">
        <f t="shared" si="12"/>
        <v>4463.6867781738329</v>
      </c>
    </row>
    <row r="148" spans="1:46">
      <c r="A148" s="1118">
        <v>2030</v>
      </c>
      <c r="D148" s="1107" t="s">
        <v>2004</v>
      </c>
      <c r="E148" s="224" t="s">
        <v>2061</v>
      </c>
      <c r="G148" s="224">
        <v>8250.504081768886</v>
      </c>
      <c r="H148" s="224">
        <v>4019.5814499999997</v>
      </c>
      <c r="I148" s="224">
        <v>224.35593749999998</v>
      </c>
      <c r="J148" s="224">
        <v>0</v>
      </c>
      <c r="K148" s="224">
        <v>0</v>
      </c>
      <c r="L148" s="224">
        <v>0</v>
      </c>
      <c r="M148" s="224">
        <v>0</v>
      </c>
      <c r="N148" s="224">
        <v>0</v>
      </c>
      <c r="O148" s="224">
        <v>0</v>
      </c>
      <c r="P148" s="224">
        <v>0</v>
      </c>
      <c r="Q148" s="224">
        <v>0</v>
      </c>
      <c r="R148" s="224">
        <v>0</v>
      </c>
      <c r="S148" s="224">
        <v>704.36406852220443</v>
      </c>
      <c r="T148" s="224">
        <v>1053.8232606769102</v>
      </c>
      <c r="U148" s="224">
        <v>1294.3930749774875</v>
      </c>
      <c r="V148" s="224">
        <v>0</v>
      </c>
      <c r="W148" s="224">
        <v>172.72639079999999</v>
      </c>
      <c r="X148" s="224">
        <v>259.08958619999999</v>
      </c>
      <c r="Y148" s="224">
        <v>224.35593749999998</v>
      </c>
      <c r="Z148" s="224">
        <v>0</v>
      </c>
      <c r="AA148" s="224">
        <v>2.806231348694042</v>
      </c>
      <c r="AB148" s="224">
        <v>4.1984990465215546</v>
      </c>
      <c r="AC148" s="224">
        <v>5.1569445218226591</v>
      </c>
      <c r="AD148" s="1120">
        <v>5.658938138213859</v>
      </c>
      <c r="AE148" s="224">
        <v>0</v>
      </c>
      <c r="AF148" s="224">
        <v>2304.1672973937002</v>
      </c>
      <c r="AG148" s="224">
        <v>51168.341064374996</v>
      </c>
      <c r="AH148" s="224">
        <v>0</v>
      </c>
      <c r="AI148" s="224">
        <v>40800</v>
      </c>
      <c r="AJ148" s="224">
        <v>2851.055440532888</v>
      </c>
      <c r="AK148" s="224">
        <v>3508.029060192428</v>
      </c>
      <c r="AL148" s="224">
        <v>0</v>
      </c>
      <c r="AM148" s="224">
        <v>0</v>
      </c>
      <c r="AN148" s="1120">
        <v>100631.592862494</v>
      </c>
      <c r="AO148" s="224">
        <f t="shared" si="11"/>
        <v>0.74562168909105797</v>
      </c>
      <c r="AP148" s="1123">
        <v>0.1</v>
      </c>
      <c r="AQ148" s="1123">
        <f t="shared" si="13"/>
        <v>3.5471403350446636E-2</v>
      </c>
      <c r="AR148" s="1123">
        <v>20</v>
      </c>
      <c r="AS148" s="1123">
        <f t="shared" si="10"/>
        <v>0.21356613477033376</v>
      </c>
      <c r="AT148" s="224">
        <f t="shared" si="12"/>
        <v>3569.5438202234513</v>
      </c>
    </row>
    <row r="149" spans="1:46">
      <c r="A149" s="1118">
        <v>2035</v>
      </c>
      <c r="D149" s="1107" t="s">
        <v>2004</v>
      </c>
      <c r="E149" s="224" t="s">
        <v>2061</v>
      </c>
      <c r="G149" s="224">
        <v>8102.7628021793735</v>
      </c>
      <c r="H149" s="224">
        <v>4055.8958750000002</v>
      </c>
      <c r="I149" s="224">
        <v>207.97143749999998</v>
      </c>
      <c r="J149" s="224">
        <v>0</v>
      </c>
      <c r="K149" s="224">
        <v>0</v>
      </c>
      <c r="L149" s="224">
        <v>0</v>
      </c>
      <c r="M149" s="224">
        <v>0</v>
      </c>
      <c r="N149" s="224">
        <v>0</v>
      </c>
      <c r="O149" s="224">
        <v>0</v>
      </c>
      <c r="P149" s="224">
        <v>0</v>
      </c>
      <c r="Q149" s="224">
        <v>0</v>
      </c>
      <c r="R149" s="224">
        <v>0</v>
      </c>
      <c r="S149" s="224">
        <v>668.45210786745827</v>
      </c>
      <c r="T149" s="224">
        <v>1013.9695206254034</v>
      </c>
      <c r="U149" s="224">
        <v>1245.8687942082888</v>
      </c>
      <c r="V149" s="224">
        <v>0</v>
      </c>
      <c r="W149" s="224">
        <v>169.18931774999999</v>
      </c>
      <c r="X149" s="224">
        <v>253.78397662499995</v>
      </c>
      <c r="Y149" s="224">
        <v>207.97143749999998</v>
      </c>
      <c r="Z149" s="224">
        <v>0</v>
      </c>
      <c r="AA149" s="224">
        <v>2.6631558082368856</v>
      </c>
      <c r="AB149" s="224">
        <v>4.0397192056788986</v>
      </c>
      <c r="AC149" s="224">
        <v>4.9636206940569281</v>
      </c>
      <c r="AD149" s="1120">
        <v>5.362542978801649</v>
      </c>
      <c r="AE149" s="224">
        <v>0</v>
      </c>
      <c r="AF149" s="224">
        <v>1849.6124367024001</v>
      </c>
      <c r="AG149" s="224">
        <v>35315.30397375</v>
      </c>
      <c r="AH149" s="224">
        <v>0</v>
      </c>
      <c r="AI149" s="224">
        <v>40800</v>
      </c>
      <c r="AJ149" s="224">
        <v>3431.2796019510192</v>
      </c>
      <c r="AK149" s="224">
        <v>3935.8667708711309</v>
      </c>
      <c r="AL149" s="224">
        <v>0</v>
      </c>
      <c r="AM149" s="224">
        <v>0</v>
      </c>
      <c r="AN149" s="1120">
        <v>85332.062783274552</v>
      </c>
      <c r="AO149" s="224">
        <f t="shared" si="11"/>
        <v>0.70656866288690523</v>
      </c>
      <c r="AP149" s="1123">
        <v>0.1</v>
      </c>
      <c r="AQ149" s="1123">
        <f t="shared" si="13"/>
        <v>3.5471403350446636E-2</v>
      </c>
      <c r="AR149" s="1123">
        <v>20</v>
      </c>
      <c r="AS149" s="1123">
        <f t="shared" si="10"/>
        <v>0.20238029618820674</v>
      </c>
      <c r="AT149" s="224">
        <f t="shared" si="12"/>
        <v>3026.8480177111678</v>
      </c>
    </row>
    <row r="150" spans="1:46">
      <c r="A150" s="1118">
        <v>2050</v>
      </c>
      <c r="D150" s="1107" t="s">
        <v>2004</v>
      </c>
      <c r="E150" s="224" t="s">
        <v>2061</v>
      </c>
      <c r="G150" s="224">
        <v>7906.9582163836603</v>
      </c>
      <c r="H150" s="224">
        <v>4104.9930750000003</v>
      </c>
      <c r="I150" s="224">
        <v>197.01740624999999</v>
      </c>
      <c r="J150" s="224">
        <v>0</v>
      </c>
      <c r="K150" s="224">
        <v>0</v>
      </c>
      <c r="L150" s="224">
        <v>0</v>
      </c>
      <c r="M150" s="224">
        <v>0</v>
      </c>
      <c r="N150" s="224">
        <v>0</v>
      </c>
      <c r="O150" s="224">
        <v>0</v>
      </c>
      <c r="P150" s="224">
        <v>0</v>
      </c>
      <c r="Q150" s="224">
        <v>0</v>
      </c>
      <c r="R150" s="224">
        <v>0</v>
      </c>
      <c r="S150" s="224">
        <v>617.75285642534482</v>
      </c>
      <c r="T150" s="224">
        <v>955.77370341717699</v>
      </c>
      <c r="U150" s="224">
        <v>1174.184450005363</v>
      </c>
      <c r="V150" s="224">
        <v>0</v>
      </c>
      <c r="W150" s="224">
        <v>164.75334622500003</v>
      </c>
      <c r="X150" s="224">
        <v>247.13001933750002</v>
      </c>
      <c r="Y150" s="224">
        <v>197.01740624999999</v>
      </c>
      <c r="Z150" s="224">
        <v>0</v>
      </c>
      <c r="AA150" s="224">
        <v>2.4611667586667121</v>
      </c>
      <c r="AB150" s="224">
        <v>3.8078633602277971</v>
      </c>
      <c r="AC150" s="224">
        <v>4.6780256972325214</v>
      </c>
      <c r="AD150" s="1120">
        <v>4.9478524735744722</v>
      </c>
      <c r="AE150" s="224">
        <v>0</v>
      </c>
      <c r="AF150" s="224">
        <v>1086.632659677</v>
      </c>
      <c r="AG150" s="224">
        <v>27706.752530999995</v>
      </c>
      <c r="AH150" s="224">
        <v>0</v>
      </c>
      <c r="AI150" s="224">
        <v>40800</v>
      </c>
      <c r="AJ150" s="224">
        <v>4216.1246270287984</v>
      </c>
      <c r="AK150" s="224">
        <v>4842.5801991868502</v>
      </c>
      <c r="AL150" s="224">
        <v>0</v>
      </c>
      <c r="AM150" s="224">
        <v>0</v>
      </c>
      <c r="AN150" s="1120">
        <v>78652.090016892646</v>
      </c>
      <c r="AO150" s="224">
        <f t="shared" si="11"/>
        <v>0.65192904191817236</v>
      </c>
      <c r="AP150" s="1123">
        <v>0.1</v>
      </c>
      <c r="AQ150" s="1123">
        <f t="shared" si="13"/>
        <v>3.5471403350446636E-2</v>
      </c>
      <c r="AR150" s="1123">
        <v>20</v>
      </c>
      <c r="AS150" s="1123">
        <f t="shared" si="10"/>
        <v>0.18673003704696109</v>
      </c>
      <c r="AT150" s="224">
        <f t="shared" si="12"/>
        <v>2789.9000093448362</v>
      </c>
    </row>
    <row r="151" spans="1:46">
      <c r="A151" s="1118">
        <v>2017</v>
      </c>
      <c r="D151" s="1107" t="s">
        <v>2004</v>
      </c>
      <c r="E151" s="224" t="s">
        <v>2062</v>
      </c>
      <c r="G151" s="224">
        <v>8902.4774964455046</v>
      </c>
      <c r="H151" s="224">
        <v>3840.5</v>
      </c>
      <c r="I151" s="224">
        <v>5.3380800000000006</v>
      </c>
      <c r="J151" s="224">
        <v>5.3319345351968875E-2</v>
      </c>
      <c r="K151" s="224">
        <v>6.6876228231675064E-2</v>
      </c>
      <c r="L151" s="224">
        <v>8.5631534134206266E-2</v>
      </c>
      <c r="M151" s="224">
        <v>0</v>
      </c>
      <c r="N151" s="224">
        <v>0</v>
      </c>
      <c r="O151" s="224">
        <v>0</v>
      </c>
      <c r="P151" s="224">
        <v>0</v>
      </c>
      <c r="Q151" s="224">
        <v>0</v>
      </c>
      <c r="R151" s="224">
        <v>0</v>
      </c>
      <c r="S151" s="224">
        <v>0</v>
      </c>
      <c r="T151" s="224">
        <v>0</v>
      </c>
      <c r="U151" s="224">
        <v>0</v>
      </c>
      <c r="V151" s="224">
        <v>0</v>
      </c>
      <c r="W151" s="224">
        <v>276.87397129999999</v>
      </c>
      <c r="X151" s="224">
        <v>166.161961722488</v>
      </c>
      <c r="Y151" s="224">
        <v>5.3380799999999997</v>
      </c>
      <c r="Z151" s="224">
        <v>180.33283879999999</v>
      </c>
      <c r="AA151" s="224">
        <v>7.9979018027953312</v>
      </c>
      <c r="AB151" s="224">
        <v>10.031434234751259</v>
      </c>
      <c r="AC151" s="224">
        <v>12.84473012013094</v>
      </c>
      <c r="AD151" s="1120">
        <v>15.484209728100451</v>
      </c>
      <c r="AE151" s="224">
        <v>0</v>
      </c>
      <c r="AF151" s="224">
        <v>12737.843368770002</v>
      </c>
      <c r="AG151" s="224">
        <v>7244.661531100478</v>
      </c>
      <c r="AH151" s="224">
        <v>0</v>
      </c>
      <c r="AI151" s="224">
        <v>40800</v>
      </c>
      <c r="AJ151" s="224">
        <v>0</v>
      </c>
      <c r="AK151" s="224">
        <v>745.98720000000003</v>
      </c>
      <c r="AL151" s="224">
        <v>86487.140000000014</v>
      </c>
      <c r="AM151" s="224">
        <v>15390.821364000001</v>
      </c>
      <c r="AN151" s="1120">
        <v>163406.45346387048</v>
      </c>
      <c r="AO151" s="224">
        <f t="shared" si="11"/>
        <v>2.040199473774515</v>
      </c>
      <c r="AP151" s="1123">
        <v>0.1</v>
      </c>
      <c r="AQ151" s="1123">
        <f t="shared" si="13"/>
        <v>3.5471403350446636E-2</v>
      </c>
      <c r="AR151" s="1123">
        <v>20</v>
      </c>
      <c r="AS151" s="1123">
        <f t="shared" si="10"/>
        <v>0.58436808122581407</v>
      </c>
      <c r="AT151" s="224">
        <f t="shared" si="12"/>
        <v>5796.2562208829377</v>
      </c>
    </row>
    <row r="152" spans="1:46">
      <c r="A152" s="1121">
        <v>2020</v>
      </c>
      <c r="D152" s="1107" t="s">
        <v>2004</v>
      </c>
      <c r="E152" s="224" t="s">
        <v>2062</v>
      </c>
      <c r="G152" s="224">
        <v>8595.5006812879838</v>
      </c>
      <c r="H152" s="224">
        <v>3950.4837499999999</v>
      </c>
      <c r="I152" s="224">
        <v>5.2826400000000007</v>
      </c>
      <c r="J152" s="224">
        <v>4.7489967529884596E-2</v>
      </c>
      <c r="K152" s="224">
        <v>6.0742118236288306E-2</v>
      </c>
      <c r="L152" s="224">
        <v>7.9649244837321859E-2</v>
      </c>
      <c r="M152" s="224">
        <v>0</v>
      </c>
      <c r="N152" s="224">
        <v>0</v>
      </c>
      <c r="O152" s="224">
        <v>0</v>
      </c>
      <c r="P152" s="224">
        <v>0</v>
      </c>
      <c r="Q152" s="224">
        <v>0</v>
      </c>
      <c r="R152" s="224">
        <v>0</v>
      </c>
      <c r="S152" s="224">
        <v>0</v>
      </c>
      <c r="T152" s="224">
        <v>0</v>
      </c>
      <c r="U152" s="224">
        <v>0</v>
      </c>
      <c r="V152" s="224">
        <v>0</v>
      </c>
      <c r="W152" s="224">
        <v>229.0009766</v>
      </c>
      <c r="X152" s="224">
        <v>164.43624401913871</v>
      </c>
      <c r="Y152" s="224">
        <v>5.2826400000000007</v>
      </c>
      <c r="Z152" s="224">
        <v>149.22344744999998</v>
      </c>
      <c r="AA152" s="224">
        <v>7.1234951294826896</v>
      </c>
      <c r="AB152" s="224">
        <v>9.1113177354432455</v>
      </c>
      <c r="AC152" s="224">
        <v>11.947386725598278</v>
      </c>
      <c r="AD152" s="1120">
        <v>13.447335832300459</v>
      </c>
      <c r="AE152" s="224">
        <v>0</v>
      </c>
      <c r="AF152" s="224">
        <v>8145.7966242899993</v>
      </c>
      <c r="AG152" s="224">
        <v>7169.4202392344487</v>
      </c>
      <c r="AH152" s="224">
        <v>0</v>
      </c>
      <c r="AI152" s="224">
        <v>40800</v>
      </c>
      <c r="AJ152" s="224">
        <v>1981.7906762525845</v>
      </c>
      <c r="AK152" s="224">
        <v>1214.2458237810094</v>
      </c>
      <c r="AL152" s="224">
        <v>68189.31</v>
      </c>
      <c r="AM152" s="224">
        <v>14098.589907692309</v>
      </c>
      <c r="AN152" s="1120">
        <v>141599.15327125034</v>
      </c>
      <c r="AO152" s="224">
        <f t="shared" si="11"/>
        <v>1.7718209692639082</v>
      </c>
      <c r="AP152" s="1123">
        <v>0.1</v>
      </c>
      <c r="AQ152" s="1123">
        <f t="shared" si="13"/>
        <v>3.5471403350446636E-2</v>
      </c>
      <c r="AR152" s="1123">
        <v>20</v>
      </c>
      <c r="AS152" s="1123">
        <f t="shared" si="10"/>
        <v>0.50749724886893355</v>
      </c>
      <c r="AT152" s="224">
        <f t="shared" si="12"/>
        <v>5022.7206797662357</v>
      </c>
    </row>
    <row r="153" spans="1:46">
      <c r="A153" s="1118">
        <v>2025</v>
      </c>
      <c r="D153" s="1107" t="s">
        <v>2004</v>
      </c>
      <c r="E153" s="224" t="s">
        <v>2062</v>
      </c>
      <c r="G153" s="224">
        <v>8190.7282374108563</v>
      </c>
      <c r="H153" s="224">
        <v>3981.9561999999996</v>
      </c>
      <c r="I153" s="224">
        <v>5.0292000000000003</v>
      </c>
      <c r="J153" s="224">
        <v>4.110701675609664E-2</v>
      </c>
      <c r="K153" s="224">
        <v>5.0942797646613393E-2</v>
      </c>
      <c r="L153" s="224">
        <v>6.5587483132194813E-2</v>
      </c>
      <c r="M153" s="224">
        <v>0</v>
      </c>
      <c r="N153" s="224">
        <v>0</v>
      </c>
      <c r="O153" s="224">
        <v>0</v>
      </c>
      <c r="P153" s="224">
        <v>0</v>
      </c>
      <c r="Q153" s="224">
        <v>0</v>
      </c>
      <c r="R153" s="224">
        <v>0</v>
      </c>
      <c r="S153" s="224">
        <v>0</v>
      </c>
      <c r="T153" s="224">
        <v>0</v>
      </c>
      <c r="U153" s="224">
        <v>0</v>
      </c>
      <c r="V153" s="224">
        <v>0</v>
      </c>
      <c r="W153" s="224">
        <v>212.61465544999999</v>
      </c>
      <c r="X153" s="224">
        <v>142.28537909458962</v>
      </c>
      <c r="Y153" s="224">
        <v>5.0292000000000003</v>
      </c>
      <c r="Z153" s="224">
        <v>138.36138970000002</v>
      </c>
      <c r="AA153" s="224">
        <v>6.1660525134144963</v>
      </c>
      <c r="AB153" s="224">
        <v>7.6414196469920093</v>
      </c>
      <c r="AC153" s="224">
        <v>9.8381224698292211</v>
      </c>
      <c r="AD153" s="1120">
        <v>11.259306497192123</v>
      </c>
      <c r="AE153" s="224">
        <v>0</v>
      </c>
      <c r="AF153" s="224">
        <v>3766.2086625425004</v>
      </c>
      <c r="AG153" s="224">
        <v>4560.4059595141698</v>
      </c>
      <c r="AH153" s="224">
        <v>0</v>
      </c>
      <c r="AI153" s="224">
        <v>40800</v>
      </c>
      <c r="AJ153" s="224">
        <v>2363.0182694392256</v>
      </c>
      <c r="AK153" s="224">
        <v>2829.8971847014668</v>
      </c>
      <c r="AL153" s="224">
        <v>39923.840000000004</v>
      </c>
      <c r="AM153" s="224">
        <v>8596.9190830769239</v>
      </c>
      <c r="AN153" s="1120">
        <v>102840.28915927428</v>
      </c>
      <c r="AO153" s="224">
        <f t="shared" si="11"/>
        <v>1.483526224070034</v>
      </c>
      <c r="AP153" s="1123">
        <v>0.1</v>
      </c>
      <c r="AQ153" s="1123">
        <f t="shared" si="13"/>
        <v>3.5471403350446636E-2</v>
      </c>
      <c r="AR153" s="1123">
        <v>20</v>
      </c>
      <c r="AS153" s="1123">
        <f t="shared" si="10"/>
        <v>0.42492186874458354</v>
      </c>
      <c r="AT153" s="224">
        <f t="shared" si="12"/>
        <v>3647.8893774451826</v>
      </c>
    </row>
    <row r="154" spans="1:46">
      <c r="A154" s="1118">
        <v>2030</v>
      </c>
      <c r="D154" s="1107" t="s">
        <v>2004</v>
      </c>
      <c r="E154" s="224" t="s">
        <v>2062</v>
      </c>
      <c r="G154" s="224">
        <v>7973.0488068125051</v>
      </c>
      <c r="H154" s="224">
        <v>4019.5814500000006</v>
      </c>
      <c r="I154" s="224">
        <v>4.8747600000000002</v>
      </c>
      <c r="J154" s="224">
        <v>3.7592858409827151E-2</v>
      </c>
      <c r="K154" s="224">
        <v>4.6696983748648592E-2</v>
      </c>
      <c r="L154" s="224">
        <v>5.9964449636131914E-2</v>
      </c>
      <c r="M154" s="224">
        <v>0</v>
      </c>
      <c r="N154" s="224">
        <v>0</v>
      </c>
      <c r="O154" s="224">
        <v>0</v>
      </c>
      <c r="P154" s="224">
        <v>0</v>
      </c>
      <c r="Q154" s="224">
        <v>0</v>
      </c>
      <c r="R154" s="224">
        <v>0</v>
      </c>
      <c r="S154" s="224">
        <v>0</v>
      </c>
      <c r="T154" s="224">
        <v>0</v>
      </c>
      <c r="U154" s="224">
        <v>0</v>
      </c>
      <c r="V154" s="224">
        <v>0</v>
      </c>
      <c r="W154" s="224">
        <v>202.41843415</v>
      </c>
      <c r="X154" s="224">
        <v>108.13264879225576</v>
      </c>
      <c r="Y154" s="224">
        <v>4.8747600000000002</v>
      </c>
      <c r="Z154" s="224">
        <v>131.59047290000001</v>
      </c>
      <c r="AA154" s="224">
        <v>5.6389287614740731</v>
      </c>
      <c r="AB154" s="224">
        <v>7.0045475622972884</v>
      </c>
      <c r="AC154" s="224">
        <v>8.9946674454197861</v>
      </c>
      <c r="AD154" s="1120">
        <v>10.18394786854423</v>
      </c>
      <c r="AE154" s="224">
        <v>0</v>
      </c>
      <c r="AF154" s="224">
        <v>2668.3623985763252</v>
      </c>
      <c r="AG154" s="224">
        <v>2769.5553766146513</v>
      </c>
      <c r="AH154" s="224">
        <v>0</v>
      </c>
      <c r="AI154" s="224">
        <v>40800</v>
      </c>
      <c r="AJ154" s="224">
        <v>2851.055440532888</v>
      </c>
      <c r="AK154" s="224">
        <v>3508.029060192428</v>
      </c>
      <c r="AL154" s="224">
        <v>25178.5</v>
      </c>
      <c r="AM154" s="224">
        <v>6060.8553000000011</v>
      </c>
      <c r="AN154" s="1120">
        <v>83836.357575916292</v>
      </c>
      <c r="AO154" s="224">
        <f t="shared" si="11"/>
        <v>1.3418369711593876</v>
      </c>
      <c r="AP154" s="1123">
        <v>0.1</v>
      </c>
      <c r="AQ154" s="1123">
        <f t="shared" si="13"/>
        <v>3.5471403350446636E-2</v>
      </c>
      <c r="AR154" s="1123">
        <v>20</v>
      </c>
      <c r="AS154" s="1123">
        <f t="shared" si="10"/>
        <v>0.3843382503690087</v>
      </c>
      <c r="AT154" s="224">
        <f t="shared" si="12"/>
        <v>2973.7932550075993</v>
      </c>
    </row>
    <row r="155" spans="1:46">
      <c r="A155" s="1118">
        <v>2035</v>
      </c>
      <c r="D155" s="1107" t="s">
        <v>2004</v>
      </c>
      <c r="E155" s="224" t="s">
        <v>2062</v>
      </c>
      <c r="G155" s="224">
        <v>7829.3634985016051</v>
      </c>
      <c r="H155" s="224">
        <v>4055.8958750000002</v>
      </c>
      <c r="I155" s="224">
        <v>4.8074400000000006</v>
      </c>
      <c r="J155" s="224">
        <v>3.4511922287984456E-2</v>
      </c>
      <c r="K155" s="224">
        <v>4.3190164144053564E-2</v>
      </c>
      <c r="L155" s="224">
        <v>5.5485135526410323E-2</v>
      </c>
      <c r="M155" s="224">
        <v>0</v>
      </c>
      <c r="N155" s="224">
        <v>0</v>
      </c>
      <c r="O155" s="224">
        <v>0</v>
      </c>
      <c r="P155" s="224">
        <v>0</v>
      </c>
      <c r="Q155" s="224">
        <v>0</v>
      </c>
      <c r="R155" s="224">
        <v>0</v>
      </c>
      <c r="S155" s="224">
        <v>0</v>
      </c>
      <c r="T155" s="224">
        <v>0</v>
      </c>
      <c r="U155" s="224">
        <v>0</v>
      </c>
      <c r="V155" s="224">
        <v>0</v>
      </c>
      <c r="W155" s="224">
        <v>194.75161574999998</v>
      </c>
      <c r="X155" s="224">
        <v>90.851200873362416</v>
      </c>
      <c r="Y155" s="224">
        <v>4.8074400000000006</v>
      </c>
      <c r="Z155" s="224">
        <v>126.54537942500001</v>
      </c>
      <c r="AA155" s="224">
        <v>5.1767883431976678</v>
      </c>
      <c r="AB155" s="224">
        <v>6.4785246216080346</v>
      </c>
      <c r="AC155" s="224">
        <v>8.3227703289615498</v>
      </c>
      <c r="AD155" s="1120">
        <v>9.2822875314681834</v>
      </c>
      <c r="AE155" s="224">
        <v>0</v>
      </c>
      <c r="AF155" s="224">
        <v>2108.0899048439996</v>
      </c>
      <c r="AG155" s="224">
        <v>1746.139126637554</v>
      </c>
      <c r="AH155" s="224">
        <v>0</v>
      </c>
      <c r="AI155" s="224">
        <v>40800</v>
      </c>
      <c r="AJ155" s="224">
        <v>3431.2796019510192</v>
      </c>
      <c r="AK155" s="224">
        <v>3935.8667708711309</v>
      </c>
      <c r="AL155" s="224">
        <v>18945.599999999999</v>
      </c>
      <c r="AM155" s="224">
        <v>4433.6135549999999</v>
      </c>
      <c r="AN155" s="1120">
        <v>75400.588959303699</v>
      </c>
      <c r="AO155" s="224">
        <f t="shared" si="11"/>
        <v>1.2230342051462477</v>
      </c>
      <c r="AP155" s="1123">
        <v>0.1</v>
      </c>
      <c r="AQ155" s="1123">
        <f t="shared" si="13"/>
        <v>3.5471403350446636E-2</v>
      </c>
      <c r="AR155" s="1123">
        <v>20</v>
      </c>
      <c r="AS155" s="1123">
        <f t="shared" si="10"/>
        <v>0.3503099382790259</v>
      </c>
      <c r="AT155" s="224">
        <f t="shared" si="12"/>
        <v>2674.5647038366947</v>
      </c>
    </row>
    <row r="156" spans="1:46">
      <c r="A156" s="1118">
        <v>2050</v>
      </c>
      <c r="D156" s="1107" t="s">
        <v>2004</v>
      </c>
      <c r="E156" s="224" t="s">
        <v>2062</v>
      </c>
      <c r="G156" s="224">
        <v>7658.3883738301492</v>
      </c>
      <c r="H156" s="224">
        <v>4104.9930750000003</v>
      </c>
      <c r="I156" s="224">
        <v>4.7282400000000004</v>
      </c>
      <c r="J156" s="224">
        <v>3.1110905010397143E-2</v>
      </c>
      <c r="K156" s="224">
        <v>3.9171141796625716E-2</v>
      </c>
      <c r="L156" s="224">
        <v>5.0235415482404011E-2</v>
      </c>
      <c r="M156" s="224">
        <v>0</v>
      </c>
      <c r="N156" s="224">
        <v>0</v>
      </c>
      <c r="O156" s="224">
        <v>0</v>
      </c>
      <c r="P156" s="224">
        <v>0</v>
      </c>
      <c r="Q156" s="224">
        <v>0</v>
      </c>
      <c r="R156" s="224">
        <v>0</v>
      </c>
      <c r="S156" s="224">
        <v>0</v>
      </c>
      <c r="T156" s="224">
        <v>0</v>
      </c>
      <c r="U156" s="224">
        <v>0</v>
      </c>
      <c r="V156" s="224">
        <v>0</v>
      </c>
      <c r="W156" s="224">
        <v>186.5456796</v>
      </c>
      <c r="X156" s="224">
        <v>89.354475982532719</v>
      </c>
      <c r="Y156" s="224">
        <v>4.7282400000000004</v>
      </c>
      <c r="Z156" s="224">
        <v>121.0601765</v>
      </c>
      <c r="AA156" s="224">
        <v>4.6666357515595713</v>
      </c>
      <c r="AB156" s="224">
        <v>5.8756712694938571</v>
      </c>
      <c r="AC156" s="224">
        <v>7.5353123223606016</v>
      </c>
      <c r="AD156" s="1120">
        <v>8.2622102802967508</v>
      </c>
      <c r="AE156" s="224">
        <v>0</v>
      </c>
      <c r="AF156" s="224">
        <v>1226.8751599319999</v>
      </c>
      <c r="AG156" s="224">
        <v>1613.7687772925758</v>
      </c>
      <c r="AH156" s="224">
        <v>0</v>
      </c>
      <c r="AI156" s="224">
        <v>40800</v>
      </c>
      <c r="AJ156" s="224">
        <v>4216.1246270287984</v>
      </c>
      <c r="AK156" s="224">
        <v>4842.5801991868502</v>
      </c>
      <c r="AL156" s="224">
        <v>16313.999999999998</v>
      </c>
      <c r="AM156" s="224">
        <v>3736.76838</v>
      </c>
      <c r="AN156" s="1120">
        <v>72750.11714344022</v>
      </c>
      <c r="AO156" s="224">
        <f t="shared" si="11"/>
        <v>1.0886288265318997</v>
      </c>
      <c r="AP156" s="1123">
        <v>0.1</v>
      </c>
      <c r="AQ156" s="1123">
        <f t="shared" si="13"/>
        <v>3.5471403350446636E-2</v>
      </c>
      <c r="AR156" s="1123">
        <v>20</v>
      </c>
      <c r="AS156" s="1123">
        <f t="shared" si="10"/>
        <v>0.31181261769008034</v>
      </c>
      <c r="AT156" s="224">
        <f t="shared" si="12"/>
        <v>2580.5487489872107</v>
      </c>
    </row>
    <row r="157" spans="1:46">
      <c r="A157" s="1118">
        <v>2017</v>
      </c>
      <c r="B157" s="1119"/>
      <c r="C157" s="1119"/>
      <c r="D157" s="1119" t="s">
        <v>2006</v>
      </c>
      <c r="E157" s="1119" t="s">
        <v>2057</v>
      </c>
      <c r="F157" s="1119"/>
      <c r="G157" s="224">
        <v>16750.959743508531</v>
      </c>
      <c r="H157" s="224">
        <v>5954.45</v>
      </c>
      <c r="I157" s="224">
        <v>3.1680000000000001</v>
      </c>
      <c r="J157" s="224">
        <v>0.14339198294881172</v>
      </c>
      <c r="K157" s="224">
        <v>0.1185719913993335</v>
      </c>
      <c r="L157" s="224">
        <v>0.14076365912149619</v>
      </c>
      <c r="M157" s="224">
        <v>0</v>
      </c>
      <c r="N157" s="224">
        <v>0</v>
      </c>
      <c r="O157" s="224">
        <v>0</v>
      </c>
      <c r="P157" s="224">
        <v>0</v>
      </c>
      <c r="Q157" s="224">
        <v>0</v>
      </c>
      <c r="R157" s="224">
        <v>0</v>
      </c>
      <c r="S157" s="224">
        <v>0</v>
      </c>
      <c r="T157" s="224">
        <v>0</v>
      </c>
      <c r="U157" s="224">
        <v>0</v>
      </c>
      <c r="V157" s="224">
        <v>200.8402384</v>
      </c>
      <c r="W157" s="224">
        <v>0</v>
      </c>
      <c r="X157" s="224">
        <v>4.3509999999999991</v>
      </c>
      <c r="Y157" s="224">
        <v>3.1680000000000001</v>
      </c>
      <c r="Z157" s="224">
        <v>0</v>
      </c>
      <c r="AA157" s="224">
        <v>28.678396589762343</v>
      </c>
      <c r="AB157" s="224">
        <v>23.7143982798667</v>
      </c>
      <c r="AC157" s="224">
        <v>28.152731824299238</v>
      </c>
      <c r="AD157" s="1120">
        <v>21.448463328243193</v>
      </c>
      <c r="AE157" s="224">
        <v>18737.146477129143</v>
      </c>
      <c r="AF157" s="224">
        <v>0</v>
      </c>
      <c r="AG157" s="224">
        <v>261.60000000000002</v>
      </c>
      <c r="AH157" s="224">
        <v>6633.566939553104</v>
      </c>
      <c r="AI157" s="224">
        <v>66600</v>
      </c>
      <c r="AJ157" s="224">
        <v>0</v>
      </c>
      <c r="AK157" s="224">
        <v>745.98720000000003</v>
      </c>
      <c r="AL157" s="224">
        <v>0</v>
      </c>
      <c r="AM157" s="224">
        <v>436.00000000000006</v>
      </c>
      <c r="AN157" s="1120">
        <v>93414.300616682245</v>
      </c>
      <c r="AO157" s="224">
        <f t="shared" si="11"/>
        <v>2.8260495281293228</v>
      </c>
      <c r="AP157" s="1123">
        <v>0.1</v>
      </c>
      <c r="AQ157" s="1123">
        <f>AA157*$C$4*365/1000*0.1</f>
        <v>0.13792129201534861</v>
      </c>
      <c r="AR157" s="1123">
        <v>20</v>
      </c>
      <c r="AS157" s="1123">
        <f>AO157/$AO$157</f>
        <v>1</v>
      </c>
      <c r="AT157" s="224">
        <f t="shared" si="12"/>
        <v>12883.821033762992</v>
      </c>
    </row>
    <row r="158" spans="1:46">
      <c r="A158" s="1121">
        <v>2020</v>
      </c>
      <c r="B158" s="1107"/>
      <c r="C158" s="1107"/>
      <c r="D158" s="1107" t="s">
        <v>2006</v>
      </c>
      <c r="E158" s="1107" t="s">
        <v>2057</v>
      </c>
      <c r="F158" s="1107"/>
      <c r="G158" s="224">
        <v>16740.761161290822</v>
      </c>
      <c r="H158" s="224">
        <v>6002.5833000000002</v>
      </c>
      <c r="I158" s="224">
        <v>3.1680000000000001</v>
      </c>
      <c r="J158" s="224">
        <v>0.13865556768885756</v>
      </c>
      <c r="K158" s="224">
        <v>0.11073040198973361</v>
      </c>
      <c r="L158" s="224">
        <v>0.13180970201570488</v>
      </c>
      <c r="M158" s="224">
        <v>0</v>
      </c>
      <c r="N158" s="224">
        <v>0</v>
      </c>
      <c r="O158" s="224">
        <v>0</v>
      </c>
      <c r="P158" s="224">
        <v>0</v>
      </c>
      <c r="Q158" s="224">
        <v>0</v>
      </c>
      <c r="R158" s="224">
        <v>0</v>
      </c>
      <c r="S158" s="224">
        <v>0</v>
      </c>
      <c r="T158" s="224">
        <v>0</v>
      </c>
      <c r="U158" s="224">
        <v>0</v>
      </c>
      <c r="V158" s="224">
        <v>205.94425634999999</v>
      </c>
      <c r="W158" s="224">
        <v>0</v>
      </c>
      <c r="X158" s="224">
        <v>4.2881538461538478</v>
      </c>
      <c r="Y158" s="224">
        <v>3.1680000000000001</v>
      </c>
      <c r="Z158" s="224">
        <v>0</v>
      </c>
      <c r="AA158" s="224">
        <v>27.731113537771513</v>
      </c>
      <c r="AB158" s="224">
        <v>22.146080397946722</v>
      </c>
      <c r="AC158" s="224">
        <v>26.361940403140977</v>
      </c>
      <c r="AD158" s="1120">
        <v>20.227002953318696</v>
      </c>
      <c r="AE158" s="224">
        <v>19816.039265041538</v>
      </c>
      <c r="AF158" s="224">
        <v>0</v>
      </c>
      <c r="AG158" s="224">
        <v>261.60000000000002</v>
      </c>
      <c r="AH158" s="224">
        <v>6776.2330412865513</v>
      </c>
      <c r="AI158" s="224">
        <v>66600</v>
      </c>
      <c r="AJ158" s="224">
        <v>1226.5823159392048</v>
      </c>
      <c r="AK158" s="224">
        <v>1214.2458237810094</v>
      </c>
      <c r="AL158" s="224">
        <v>0</v>
      </c>
      <c r="AM158" s="224">
        <v>436.00000000000006</v>
      </c>
      <c r="AN158" s="1120">
        <v>96330.700446048286</v>
      </c>
      <c r="AO158" s="224">
        <f t="shared" si="11"/>
        <v>2.6651099091292711</v>
      </c>
      <c r="AP158" s="1123">
        <v>0.1</v>
      </c>
      <c r="AQ158" s="1123">
        <f t="shared" si="13"/>
        <v>0.13792129201534861</v>
      </c>
      <c r="AR158" s="1123">
        <v>20</v>
      </c>
      <c r="AS158" s="1123">
        <f t="shared" ref="AS158:AS192" si="14">AO158/$AO$157</f>
        <v>0.94305138059396143</v>
      </c>
      <c r="AT158" s="224">
        <f t="shared" si="12"/>
        <v>13286.054666262498</v>
      </c>
    </row>
    <row r="159" spans="1:46">
      <c r="A159" s="1118">
        <v>2025</v>
      </c>
      <c r="B159" s="1119"/>
      <c r="C159" s="1119"/>
      <c r="D159" s="1107" t="s">
        <v>2006</v>
      </c>
      <c r="E159" s="1119" t="s">
        <v>2057</v>
      </c>
      <c r="F159" s="1119"/>
      <c r="G159" s="224">
        <v>16679.197097341719</v>
      </c>
      <c r="H159" s="224">
        <v>6071.2999999999993</v>
      </c>
      <c r="I159" s="224">
        <v>3.1680000000000001</v>
      </c>
      <c r="J159" s="224">
        <v>0.12633223564676163</v>
      </c>
      <c r="K159" s="224">
        <v>9.3697408317021169E-2</v>
      </c>
      <c r="L159" s="224">
        <v>0.11019422829619994</v>
      </c>
      <c r="M159" s="224">
        <v>0</v>
      </c>
      <c r="N159" s="224">
        <v>0</v>
      </c>
      <c r="O159" s="224">
        <v>0</v>
      </c>
      <c r="P159" s="224">
        <v>0</v>
      </c>
      <c r="Q159" s="224">
        <v>0</v>
      </c>
      <c r="R159" s="224">
        <v>0</v>
      </c>
      <c r="S159" s="224">
        <v>0</v>
      </c>
      <c r="T159" s="224">
        <v>0</v>
      </c>
      <c r="U159" s="224">
        <v>0</v>
      </c>
      <c r="V159" s="224">
        <v>207.56771660000004</v>
      </c>
      <c r="W159" s="224">
        <v>0</v>
      </c>
      <c r="X159" s="224">
        <v>4.342294314381272</v>
      </c>
      <c r="Y159" s="224">
        <v>3.1680000000000001</v>
      </c>
      <c r="Z159" s="224">
        <v>0</v>
      </c>
      <c r="AA159" s="224">
        <v>25.266447129352322</v>
      </c>
      <c r="AB159" s="224">
        <v>18.739481663404234</v>
      </c>
      <c r="AC159" s="224">
        <v>22.038845659239989</v>
      </c>
      <c r="AD159" s="1120">
        <v>17.847189007633272</v>
      </c>
      <c r="AE159" s="224">
        <v>20960.494815896942</v>
      </c>
      <c r="AF159" s="224">
        <v>0</v>
      </c>
      <c r="AG159" s="224">
        <v>211.2</v>
      </c>
      <c r="AH159" s="224">
        <v>6821.611554343448</v>
      </c>
      <c r="AI159" s="224">
        <v>66600</v>
      </c>
      <c r="AJ159" s="224">
        <v>2761.8476565487535</v>
      </c>
      <c r="AK159" s="224">
        <v>2829.8971847014668</v>
      </c>
      <c r="AL159" s="224">
        <v>0</v>
      </c>
      <c r="AM159" s="224">
        <v>352.00000000000006</v>
      </c>
      <c r="AN159" s="1120">
        <v>100537.0512114906</v>
      </c>
      <c r="AO159" s="224">
        <f t="shared" si="11"/>
        <v>2.3515456236457597</v>
      </c>
      <c r="AP159" s="1123">
        <v>0.1</v>
      </c>
      <c r="AQ159" s="1123">
        <f t="shared" si="13"/>
        <v>0.13792129201534861</v>
      </c>
      <c r="AR159" s="1123">
        <v>20</v>
      </c>
      <c r="AS159" s="1123">
        <f t="shared" si="14"/>
        <v>0.83209639471617591</v>
      </c>
      <c r="AT159" s="224">
        <f t="shared" si="12"/>
        <v>13866.199998502054</v>
      </c>
    </row>
    <row r="160" spans="1:46">
      <c r="A160" s="1118">
        <v>2030</v>
      </c>
      <c r="B160" s="1107"/>
      <c r="C160" s="1107"/>
      <c r="D160" s="1107" t="s">
        <v>2006</v>
      </c>
      <c r="E160" s="1107" t="s">
        <v>2057</v>
      </c>
      <c r="F160" s="1107"/>
      <c r="G160" s="224">
        <v>16641.531928954882</v>
      </c>
      <c r="H160" s="224">
        <v>6149.2</v>
      </c>
      <c r="I160" s="224">
        <v>3.1680000000000001</v>
      </c>
      <c r="J160" s="224">
        <v>0.11918449447638098</v>
      </c>
      <c r="K160" s="224">
        <v>8.6852205726672363E-2</v>
      </c>
      <c r="L160" s="224">
        <v>0.10187250299508779</v>
      </c>
      <c r="M160" s="224">
        <v>0</v>
      </c>
      <c r="N160" s="224">
        <v>0</v>
      </c>
      <c r="O160" s="224">
        <v>0</v>
      </c>
      <c r="P160" s="224">
        <v>0</v>
      </c>
      <c r="Q160" s="224">
        <v>0</v>
      </c>
      <c r="R160" s="224">
        <v>0</v>
      </c>
      <c r="S160" s="224">
        <v>0</v>
      </c>
      <c r="T160" s="224">
        <v>0</v>
      </c>
      <c r="U160" s="224">
        <v>0</v>
      </c>
      <c r="V160" s="224">
        <v>205.24579465000002</v>
      </c>
      <c r="W160" s="224">
        <v>0</v>
      </c>
      <c r="X160" s="224">
        <v>4.3964347826086954</v>
      </c>
      <c r="Y160" s="224">
        <v>3.1680000000000001</v>
      </c>
      <c r="Z160" s="224">
        <v>0</v>
      </c>
      <c r="AA160" s="224">
        <v>23.8368988952762</v>
      </c>
      <c r="AB160" s="224">
        <v>17.370441145334471</v>
      </c>
      <c r="AC160" s="224">
        <v>20.374500599017558</v>
      </c>
      <c r="AD160" s="1120">
        <v>16.560246770487524</v>
      </c>
      <c r="AE160" s="224">
        <v>21185.281365700572</v>
      </c>
      <c r="AF160" s="224">
        <v>0</v>
      </c>
      <c r="AG160" s="224">
        <v>177.6</v>
      </c>
      <c r="AH160" s="224">
        <v>6756.7098325272409</v>
      </c>
      <c r="AI160" s="224">
        <v>66600</v>
      </c>
      <c r="AJ160" s="224">
        <v>4389.3477498749999</v>
      </c>
      <c r="AK160" s="224">
        <v>3508.029060192428</v>
      </c>
      <c r="AL160" s="224">
        <v>0</v>
      </c>
      <c r="AM160" s="224">
        <v>296</v>
      </c>
      <c r="AN160" s="1120">
        <v>102912.96800829525</v>
      </c>
      <c r="AO160" s="224">
        <f t="shared" si="11"/>
        <v>2.1819781144794361</v>
      </c>
      <c r="AP160" s="1123">
        <v>0.1</v>
      </c>
      <c r="AQ160" s="1123">
        <f t="shared" si="13"/>
        <v>0.13792129201534861</v>
      </c>
      <c r="AR160" s="1123">
        <v>20</v>
      </c>
      <c r="AS160" s="1123">
        <f t="shared" si="14"/>
        <v>0.77209478912557361</v>
      </c>
      <c r="AT160" s="224">
        <f t="shared" si="12"/>
        <v>14193.889512838319</v>
      </c>
    </row>
    <row r="161" spans="1:46">
      <c r="A161" s="1118">
        <v>2035</v>
      </c>
      <c r="B161" s="1119"/>
      <c r="C161" s="1119"/>
      <c r="D161" s="1107" t="s">
        <v>2006</v>
      </c>
      <c r="E161" s="1119" t="s">
        <v>2057</v>
      </c>
      <c r="F161" s="1119"/>
      <c r="G161" s="224">
        <v>16611.464463209824</v>
      </c>
      <c r="H161" s="224">
        <v>6227.1</v>
      </c>
      <c r="I161" s="224">
        <v>3.1680000000000001</v>
      </c>
      <c r="J161" s="224">
        <v>0.11513533369433264</v>
      </c>
      <c r="K161" s="224">
        <v>8.3150417501406601E-2</v>
      </c>
      <c r="L161" s="224">
        <v>9.6608756042704441E-2</v>
      </c>
      <c r="M161" s="224">
        <v>0</v>
      </c>
      <c r="N161" s="224">
        <v>0</v>
      </c>
      <c r="O161" s="224">
        <v>0</v>
      </c>
      <c r="P161" s="224">
        <v>0</v>
      </c>
      <c r="Q161" s="224">
        <v>0</v>
      </c>
      <c r="R161" s="224">
        <v>0</v>
      </c>
      <c r="S161" s="224">
        <v>0</v>
      </c>
      <c r="T161" s="224">
        <v>0</v>
      </c>
      <c r="U161" s="224">
        <v>0</v>
      </c>
      <c r="V161" s="224">
        <v>205.27754425000001</v>
      </c>
      <c r="W161" s="224">
        <v>0</v>
      </c>
      <c r="X161" s="224">
        <v>4.3964347826086954</v>
      </c>
      <c r="Y161" s="224">
        <v>3.1680000000000001</v>
      </c>
      <c r="Z161" s="224">
        <v>0</v>
      </c>
      <c r="AA161" s="224">
        <v>23.02706673886653</v>
      </c>
      <c r="AB161" s="224">
        <v>16.630083500281319</v>
      </c>
      <c r="AC161" s="224">
        <v>19.321751208540888</v>
      </c>
      <c r="AD161" s="1120">
        <v>15.772193188021884</v>
      </c>
      <c r="AE161" s="224">
        <v>21697.930634567951</v>
      </c>
      <c r="AF161" s="224">
        <v>0</v>
      </c>
      <c r="AG161" s="224">
        <v>144</v>
      </c>
      <c r="AH161" s="224">
        <v>6757.597288587931</v>
      </c>
      <c r="AI161" s="224">
        <v>66600</v>
      </c>
      <c r="AJ161" s="224">
        <v>6152.7344628750025</v>
      </c>
      <c r="AK161" s="224">
        <v>3935.8667708711309</v>
      </c>
      <c r="AL161" s="224">
        <v>0</v>
      </c>
      <c r="AM161" s="224">
        <v>240</v>
      </c>
      <c r="AN161" s="1120">
        <v>105528.12915690201</v>
      </c>
      <c r="AO161" s="224">
        <f t="shared" si="11"/>
        <v>2.0781441744537634</v>
      </c>
      <c r="AP161" s="1123">
        <v>0.1</v>
      </c>
      <c r="AQ161" s="1123">
        <f t="shared" si="13"/>
        <v>0.13792129201534861</v>
      </c>
      <c r="AR161" s="1123">
        <v>20</v>
      </c>
      <c r="AS161" s="1123">
        <f t="shared" si="14"/>
        <v>0.73535306220530805</v>
      </c>
      <c r="AT161" s="224">
        <f t="shared" si="12"/>
        <v>14554.575917282506</v>
      </c>
    </row>
    <row r="162" spans="1:46">
      <c r="A162" s="1118">
        <v>2050</v>
      </c>
      <c r="B162" s="1107"/>
      <c r="C162" s="1107"/>
      <c r="D162" s="1107" t="s">
        <v>2006</v>
      </c>
      <c r="E162" s="1107" t="s">
        <v>2057</v>
      </c>
      <c r="F162" s="1107"/>
      <c r="G162" s="224">
        <v>16426.520500564577</v>
      </c>
      <c r="H162" s="224">
        <v>6343.95</v>
      </c>
      <c r="I162" s="224">
        <v>3.1680000000000001</v>
      </c>
      <c r="J162" s="224">
        <v>0.10879481704785139</v>
      </c>
      <c r="K162" s="224">
        <v>7.7602427385699252E-2</v>
      </c>
      <c r="L162" s="224">
        <v>9.0566726577127887E-2</v>
      </c>
      <c r="M162" s="224">
        <v>0</v>
      </c>
      <c r="N162" s="224">
        <v>0</v>
      </c>
      <c r="O162" s="224">
        <v>0</v>
      </c>
      <c r="P162" s="224">
        <v>0</v>
      </c>
      <c r="Q162" s="224">
        <v>0</v>
      </c>
      <c r="R162" s="224">
        <v>0</v>
      </c>
      <c r="S162" s="224">
        <v>0</v>
      </c>
      <c r="T162" s="224">
        <v>0</v>
      </c>
      <c r="U162" s="224">
        <v>0</v>
      </c>
      <c r="V162" s="224">
        <v>201.11886957500002</v>
      </c>
      <c r="W162" s="224">
        <v>0</v>
      </c>
      <c r="X162" s="224">
        <v>4.3964347826086954</v>
      </c>
      <c r="Y162" s="224">
        <v>3.1680000000000001</v>
      </c>
      <c r="Z162" s="224">
        <v>0</v>
      </c>
      <c r="AA162" s="224">
        <v>21.758963409570278</v>
      </c>
      <c r="AB162" s="224">
        <v>15.52048547713985</v>
      </c>
      <c r="AC162" s="224">
        <v>18.11334531542558</v>
      </c>
      <c r="AD162" s="1120">
        <v>14.619561193940985</v>
      </c>
      <c r="AE162" s="224">
        <v>22029.768129670658</v>
      </c>
      <c r="AF162" s="224">
        <v>0</v>
      </c>
      <c r="AG162" s="224">
        <v>144</v>
      </c>
      <c r="AH162" s="224">
        <v>6641.3551612929305</v>
      </c>
      <c r="AI162" s="224">
        <v>66600</v>
      </c>
      <c r="AJ162" s="224">
        <v>8806.0084035</v>
      </c>
      <c r="AK162" s="224">
        <v>4842.5801991868502</v>
      </c>
      <c r="AL162" s="224">
        <v>0</v>
      </c>
      <c r="AM162" s="224">
        <v>240</v>
      </c>
      <c r="AN162" s="1120">
        <v>109303.71189365044</v>
      </c>
      <c r="AO162" s="224">
        <f t="shared" si="11"/>
        <v>1.926273382913664</v>
      </c>
      <c r="AP162" s="1123">
        <v>0.1</v>
      </c>
      <c r="AQ162" s="1123">
        <f t="shared" si="13"/>
        <v>0.13792129201534861</v>
      </c>
      <c r="AR162" s="1123">
        <v>20</v>
      </c>
      <c r="AS162" s="1123">
        <f t="shared" si="14"/>
        <v>0.68161345501568149</v>
      </c>
      <c r="AT162" s="224">
        <f t="shared" si="12"/>
        <v>15075.309166445695</v>
      </c>
    </row>
    <row r="163" spans="1:46">
      <c r="A163" s="1118">
        <v>2017</v>
      </c>
      <c r="B163" s="1119"/>
      <c r="C163" s="1119"/>
      <c r="D163" s="1107" t="s">
        <v>2006</v>
      </c>
      <c r="E163" s="1119" t="s">
        <v>2058</v>
      </c>
      <c r="F163" s="1119"/>
      <c r="G163" s="224">
        <v>18798.384696059831</v>
      </c>
      <c r="H163" s="224">
        <v>6818</v>
      </c>
      <c r="I163" s="224">
        <v>0.44999792640000003</v>
      </c>
      <c r="J163" s="224">
        <v>0.14742535318381755</v>
      </c>
      <c r="K163" s="224">
        <v>0.12437965984541513</v>
      </c>
      <c r="L163" s="224">
        <v>0.14916420188565793</v>
      </c>
      <c r="M163" s="224">
        <v>0</v>
      </c>
      <c r="N163" s="224">
        <v>0</v>
      </c>
      <c r="O163" s="224">
        <v>0</v>
      </c>
      <c r="P163" s="224">
        <v>0</v>
      </c>
      <c r="Q163" s="224">
        <v>0</v>
      </c>
      <c r="R163" s="224">
        <v>0</v>
      </c>
      <c r="S163" s="224">
        <v>0</v>
      </c>
      <c r="T163" s="224">
        <v>0</v>
      </c>
      <c r="U163" s="224">
        <v>0</v>
      </c>
      <c r="V163" s="224">
        <v>213.72181430000001</v>
      </c>
      <c r="W163" s="224">
        <v>5.4</v>
      </c>
      <c r="X163" s="224">
        <v>8.1</v>
      </c>
      <c r="Y163" s="224">
        <v>0.44999792640000003</v>
      </c>
      <c r="Z163" s="224">
        <v>0</v>
      </c>
      <c r="AA163" s="224">
        <v>29.48507063676351</v>
      </c>
      <c r="AB163" s="224">
        <v>24.875931969083027</v>
      </c>
      <c r="AC163" s="224">
        <v>29.832840377131586</v>
      </c>
      <c r="AD163" s="1120">
        <v>19.369342197683892</v>
      </c>
      <c r="AE163" s="224">
        <v>20050.849871972572</v>
      </c>
      <c r="AF163" s="224">
        <v>1073.0849999999998</v>
      </c>
      <c r="AG163" s="224">
        <v>610.72195742009569</v>
      </c>
      <c r="AH163" s="224">
        <v>6993.6291955717243</v>
      </c>
      <c r="AI163" s="224">
        <v>66000</v>
      </c>
      <c r="AJ163" s="224">
        <v>0</v>
      </c>
      <c r="AK163" s="224">
        <v>745.98720000000003</v>
      </c>
      <c r="AL163" s="224">
        <v>0</v>
      </c>
      <c r="AM163" s="224">
        <v>436.00000000000006</v>
      </c>
      <c r="AN163" s="1120">
        <v>95910.273224964403</v>
      </c>
      <c r="AO163" s="224">
        <f t="shared" si="11"/>
        <v>2.5521045279668293</v>
      </c>
      <c r="AP163" s="1123">
        <v>0.1</v>
      </c>
      <c r="AQ163" s="1123">
        <f t="shared" si="13"/>
        <v>0.13792129201534861</v>
      </c>
      <c r="AR163" s="1123">
        <v>20</v>
      </c>
      <c r="AS163" s="1123">
        <f t="shared" si="14"/>
        <v>0.90306433152152543</v>
      </c>
      <c r="AT163" s="224">
        <f t="shared" si="12"/>
        <v>13228.068800732186</v>
      </c>
    </row>
    <row r="164" spans="1:46">
      <c r="A164" s="1121">
        <v>2020</v>
      </c>
      <c r="D164" s="1107" t="s">
        <v>2006</v>
      </c>
      <c r="E164" s="224" t="s">
        <v>2058</v>
      </c>
      <c r="G164" s="224">
        <v>18687.478629358859</v>
      </c>
      <c r="H164" s="224">
        <v>6873.7332999999999</v>
      </c>
      <c r="I164" s="224">
        <v>0.39366835200000005</v>
      </c>
      <c r="J164" s="224">
        <v>0.14173352720124627</v>
      </c>
      <c r="K164" s="224">
        <v>0.11671386345831801</v>
      </c>
      <c r="L164" s="224">
        <v>0.1397340471792278</v>
      </c>
      <c r="M164" s="224">
        <v>0</v>
      </c>
      <c r="N164" s="224">
        <v>0</v>
      </c>
      <c r="O164" s="224">
        <v>0</v>
      </c>
      <c r="P164" s="224">
        <v>0</v>
      </c>
      <c r="Q164" s="224">
        <v>0</v>
      </c>
      <c r="R164" s="224">
        <v>0</v>
      </c>
      <c r="S164" s="224">
        <v>0</v>
      </c>
      <c r="T164" s="224">
        <v>0</v>
      </c>
      <c r="U164" s="224">
        <v>0</v>
      </c>
      <c r="V164" s="224">
        <v>214.5652584</v>
      </c>
      <c r="W164" s="224">
        <v>4.7240000000000002</v>
      </c>
      <c r="X164" s="224">
        <v>7.0860000000000003</v>
      </c>
      <c r="Y164" s="224">
        <v>0.39366835200000005</v>
      </c>
      <c r="Z164" s="224">
        <v>0</v>
      </c>
      <c r="AA164" s="224">
        <v>28.346705440249252</v>
      </c>
      <c r="AB164" s="224">
        <v>23.342772691663601</v>
      </c>
      <c r="AC164" s="224">
        <v>27.946809435845559</v>
      </c>
      <c r="AD164" s="1120">
        <v>18.434119738506393</v>
      </c>
      <c r="AE164" s="224">
        <v>20422.502622786284</v>
      </c>
      <c r="AF164" s="224">
        <v>699.73410000000001</v>
      </c>
      <c r="AG164" s="224">
        <v>534.27336528229648</v>
      </c>
      <c r="AH164" s="224">
        <v>7017.2049123806892</v>
      </c>
      <c r="AI164" s="224">
        <v>66000</v>
      </c>
      <c r="AJ164" s="224">
        <v>1420.2532079296063</v>
      </c>
      <c r="AK164" s="224">
        <v>1214.2458237810094</v>
      </c>
      <c r="AL164" s="224">
        <v>0</v>
      </c>
      <c r="AM164" s="224">
        <v>436.00000000000006</v>
      </c>
      <c r="AN164" s="1120">
        <v>97744.214032159871</v>
      </c>
      <c r="AO164" s="224">
        <f t="shared" si="11"/>
        <v>2.4288796167456019</v>
      </c>
      <c r="AP164" s="1123">
        <v>0.1</v>
      </c>
      <c r="AQ164" s="1123">
        <f t="shared" si="13"/>
        <v>0.13792129201534861</v>
      </c>
      <c r="AR164" s="1123">
        <v>20</v>
      </c>
      <c r="AS164" s="1123">
        <f t="shared" si="14"/>
        <v>0.85946109315124997</v>
      </c>
      <c r="AT164" s="224">
        <f t="shared" si="12"/>
        <v>13481.008286340257</v>
      </c>
    </row>
    <row r="165" spans="1:46">
      <c r="A165" s="1118">
        <v>2025</v>
      </c>
      <c r="D165" s="1107" t="s">
        <v>2006</v>
      </c>
      <c r="E165" s="224" t="s">
        <v>2058</v>
      </c>
      <c r="G165" s="224">
        <v>18516.29256177185</v>
      </c>
      <c r="H165" s="224">
        <v>6953.2999999999993</v>
      </c>
      <c r="I165" s="224">
        <v>0.30950092800000006</v>
      </c>
      <c r="J165" s="224">
        <v>0.1279743898012109</v>
      </c>
      <c r="K165" s="224">
        <v>9.8700262022000496E-2</v>
      </c>
      <c r="L165" s="224">
        <v>0.11688874250184333</v>
      </c>
      <c r="M165" s="224">
        <v>0</v>
      </c>
      <c r="N165" s="224">
        <v>0</v>
      </c>
      <c r="O165" s="224">
        <v>0</v>
      </c>
      <c r="P165" s="224">
        <v>0</v>
      </c>
      <c r="Q165" s="224">
        <v>0</v>
      </c>
      <c r="R165" s="224">
        <v>0</v>
      </c>
      <c r="S165" s="224">
        <v>0</v>
      </c>
      <c r="T165" s="224">
        <v>0</v>
      </c>
      <c r="U165" s="224">
        <v>0</v>
      </c>
      <c r="V165" s="224">
        <v>209.22387565000002</v>
      </c>
      <c r="W165" s="224">
        <v>3.7139999999999995</v>
      </c>
      <c r="X165" s="224">
        <v>5.5709999999999997</v>
      </c>
      <c r="Y165" s="224">
        <v>0.30950092800000006</v>
      </c>
      <c r="Z165" s="224">
        <v>0</v>
      </c>
      <c r="AA165" s="224">
        <v>25.594877960242179</v>
      </c>
      <c r="AB165" s="224">
        <v>19.7400524044001</v>
      </c>
      <c r="AC165" s="224">
        <v>23.377748500368668</v>
      </c>
      <c r="AD165" s="1120">
        <v>16.372604112162687</v>
      </c>
      <c r="AE165" s="224">
        <v>20755.157169494854</v>
      </c>
      <c r="AF165" s="224">
        <v>337.6241</v>
      </c>
      <c r="AG165" s="224">
        <v>285.71973567740895</v>
      </c>
      <c r="AH165" s="224">
        <v>6867.9040552375855</v>
      </c>
      <c r="AI165" s="224">
        <v>66000</v>
      </c>
      <c r="AJ165" s="224">
        <v>3197.9288654775046</v>
      </c>
      <c r="AK165" s="224">
        <v>2829.8971847014668</v>
      </c>
      <c r="AL165" s="224">
        <v>0</v>
      </c>
      <c r="AM165" s="224">
        <v>352.00000000000006</v>
      </c>
      <c r="AN165" s="1120">
        <v>100626.23111058879</v>
      </c>
      <c r="AO165" s="224">
        <f t="shared" si="11"/>
        <v>2.1572543178185555</v>
      </c>
      <c r="AP165" s="1123">
        <v>0.1</v>
      </c>
      <c r="AQ165" s="1123">
        <f t="shared" si="13"/>
        <v>0.13792129201534861</v>
      </c>
      <c r="AR165" s="1123">
        <v>20</v>
      </c>
      <c r="AS165" s="1123">
        <f t="shared" si="14"/>
        <v>0.76334625290397151</v>
      </c>
      <c r="AT165" s="224">
        <f t="shared" si="12"/>
        <v>13878.499805407475</v>
      </c>
    </row>
    <row r="166" spans="1:46">
      <c r="A166" s="1118">
        <v>2030</v>
      </c>
      <c r="D166" s="1107" t="s">
        <v>2006</v>
      </c>
      <c r="E166" s="224" t="s">
        <v>2058</v>
      </c>
      <c r="G166" s="224">
        <v>18328.833560944367</v>
      </c>
      <c r="H166" s="224">
        <v>7043.5</v>
      </c>
      <c r="I166" s="224">
        <v>0.25316628480000003</v>
      </c>
      <c r="J166" s="224">
        <v>0.12056233930744834</v>
      </c>
      <c r="K166" s="224">
        <v>9.1333109798253875E-2</v>
      </c>
      <c r="L166" s="224">
        <v>0.10697537755951439</v>
      </c>
      <c r="M166" s="224">
        <v>0</v>
      </c>
      <c r="N166" s="224">
        <v>0</v>
      </c>
      <c r="O166" s="224">
        <v>0</v>
      </c>
      <c r="P166" s="224">
        <v>0</v>
      </c>
      <c r="Q166" s="224">
        <v>0</v>
      </c>
      <c r="R166" s="224">
        <v>0</v>
      </c>
      <c r="S166" s="224">
        <v>0</v>
      </c>
      <c r="T166" s="224">
        <v>0</v>
      </c>
      <c r="U166" s="224">
        <v>0</v>
      </c>
      <c r="V166" s="224">
        <v>206.16662495000003</v>
      </c>
      <c r="W166" s="224">
        <v>3.0380000000000003</v>
      </c>
      <c r="X166" s="224">
        <v>4.5570000000000004</v>
      </c>
      <c r="Y166" s="224">
        <v>0.25316628480000003</v>
      </c>
      <c r="Z166" s="224">
        <v>0</v>
      </c>
      <c r="AA166" s="224">
        <v>24.112467861489666</v>
      </c>
      <c r="AB166" s="224">
        <v>18.266621959650777</v>
      </c>
      <c r="AC166" s="224">
        <v>21.395075511902874</v>
      </c>
      <c r="AD166" s="1120">
        <v>15.211225419764613</v>
      </c>
      <c r="AE166" s="224">
        <v>20908.000049238857</v>
      </c>
      <c r="AF166" s="224">
        <v>219.28627440000002</v>
      </c>
      <c r="AG166" s="224">
        <v>149.45854097639233</v>
      </c>
      <c r="AH166" s="224">
        <v>6782.4486270506895</v>
      </c>
      <c r="AI166" s="224">
        <v>66000</v>
      </c>
      <c r="AJ166" s="224">
        <v>5082.4026577499999</v>
      </c>
      <c r="AK166" s="224">
        <v>3508.029060192428</v>
      </c>
      <c r="AL166" s="224">
        <v>0</v>
      </c>
      <c r="AM166" s="224">
        <v>296</v>
      </c>
      <c r="AN166" s="1120">
        <v>102945.62520960838</v>
      </c>
      <c r="AO166" s="224">
        <f t="shared" si="11"/>
        <v>2.0042310613081851</v>
      </c>
      <c r="AP166" s="1123">
        <v>0.1</v>
      </c>
      <c r="AQ166" s="1123">
        <f t="shared" si="13"/>
        <v>0.13792129201534861</v>
      </c>
      <c r="AR166" s="1123">
        <v>20</v>
      </c>
      <c r="AS166" s="1123">
        <f t="shared" si="14"/>
        <v>0.70919884501630348</v>
      </c>
      <c r="AT166" s="224">
        <f t="shared" si="12"/>
        <v>14198.393636237031</v>
      </c>
    </row>
    <row r="167" spans="1:46">
      <c r="A167" s="1118">
        <v>2035</v>
      </c>
      <c r="D167" s="1107" t="s">
        <v>2006</v>
      </c>
      <c r="E167" s="224" t="s">
        <v>2058</v>
      </c>
      <c r="G167" s="224">
        <v>18149.439140349226</v>
      </c>
      <c r="H167" s="224">
        <v>7133.7000000000007</v>
      </c>
      <c r="I167" s="224">
        <v>0.22499896320000001</v>
      </c>
      <c r="J167" s="224">
        <v>0.11560965311445159</v>
      </c>
      <c r="K167" s="224">
        <v>8.686905423637778E-2</v>
      </c>
      <c r="L167" s="224">
        <v>0.10211400314267557</v>
      </c>
      <c r="M167" s="224">
        <v>0</v>
      </c>
      <c r="N167" s="224">
        <v>0</v>
      </c>
      <c r="O167" s="224">
        <v>0</v>
      </c>
      <c r="P167" s="224">
        <v>0</v>
      </c>
      <c r="Q167" s="224">
        <v>0</v>
      </c>
      <c r="R167" s="224">
        <v>0</v>
      </c>
      <c r="S167" s="224">
        <v>0</v>
      </c>
      <c r="T167" s="224">
        <v>0</v>
      </c>
      <c r="U167" s="224">
        <v>0</v>
      </c>
      <c r="V167" s="224">
        <v>206.7935162</v>
      </c>
      <c r="W167" s="224">
        <v>2.7</v>
      </c>
      <c r="X167" s="224">
        <v>4.0500000000000007</v>
      </c>
      <c r="Y167" s="224">
        <v>0.22499896320000001</v>
      </c>
      <c r="Z167" s="224">
        <v>0</v>
      </c>
      <c r="AA167" s="224">
        <v>23.121930622890318</v>
      </c>
      <c r="AB167" s="224">
        <v>17.373810847275557</v>
      </c>
      <c r="AC167" s="224">
        <v>20.422800628535114</v>
      </c>
      <c r="AD167" s="1120">
        <v>14.397020938376512</v>
      </c>
      <c r="AE167" s="224">
        <v>21433.494232895999</v>
      </c>
      <c r="AF167" s="224">
        <v>164.96928000000003</v>
      </c>
      <c r="AG167" s="224">
        <v>83.680188366812203</v>
      </c>
      <c r="AH167" s="224">
        <v>6799.9713183351732</v>
      </c>
      <c r="AI167" s="224">
        <v>66000</v>
      </c>
      <c r="AJ167" s="224">
        <v>7124.2188517500035</v>
      </c>
      <c r="AK167" s="224">
        <v>3935.8667708711309</v>
      </c>
      <c r="AL167" s="224">
        <v>0</v>
      </c>
      <c r="AM167" s="224">
        <v>240</v>
      </c>
      <c r="AN167" s="1120">
        <v>105782.2006422191</v>
      </c>
      <c r="AO167" s="224">
        <f t="shared" si="11"/>
        <v>1.8969514788404891</v>
      </c>
      <c r="AP167" s="1123">
        <v>0.1</v>
      </c>
      <c r="AQ167" s="1123">
        <f t="shared" si="13"/>
        <v>0.13792129201534861</v>
      </c>
      <c r="AR167" s="1123">
        <v>20</v>
      </c>
      <c r="AS167" s="1123">
        <f t="shared" si="14"/>
        <v>0.67123787462286921</v>
      </c>
      <c r="AT167" s="224">
        <f t="shared" si="12"/>
        <v>14589.617784801698</v>
      </c>
    </row>
    <row r="168" spans="1:46">
      <c r="A168" s="1118">
        <v>2050</v>
      </c>
      <c r="D168" s="1107" t="s">
        <v>2006</v>
      </c>
      <c r="E168" s="224" t="s">
        <v>2058</v>
      </c>
      <c r="G168" s="224">
        <v>17868.022161462686</v>
      </c>
      <c r="H168" s="224">
        <v>7269</v>
      </c>
      <c r="I168" s="224">
        <v>0.16883159040000001</v>
      </c>
      <c r="J168" s="224">
        <v>0.1083178412446518</v>
      </c>
      <c r="K168" s="224">
        <v>8.0186186170206064E-2</v>
      </c>
      <c r="L168" s="224">
        <v>9.4798361155768757E-2</v>
      </c>
      <c r="M168" s="224">
        <v>0</v>
      </c>
      <c r="N168" s="224">
        <v>0</v>
      </c>
      <c r="O168" s="224">
        <v>0</v>
      </c>
      <c r="P168" s="224">
        <v>0</v>
      </c>
      <c r="Q168" s="224">
        <v>0</v>
      </c>
      <c r="R168" s="224">
        <v>0</v>
      </c>
      <c r="S168" s="224">
        <v>0</v>
      </c>
      <c r="T168" s="224">
        <v>0</v>
      </c>
      <c r="U168" s="224">
        <v>0</v>
      </c>
      <c r="V168" s="224">
        <v>201.24281819999999</v>
      </c>
      <c r="W168" s="224">
        <v>2.0260000000000002</v>
      </c>
      <c r="X168" s="224">
        <v>3.0389999999999997</v>
      </c>
      <c r="Y168" s="224">
        <v>0.16883159040000001</v>
      </c>
      <c r="Z168" s="224">
        <v>0</v>
      </c>
      <c r="AA168" s="224">
        <v>21.66356824893036</v>
      </c>
      <c r="AB168" s="224">
        <v>16.037237234041214</v>
      </c>
      <c r="AC168" s="224">
        <v>18.959672231153753</v>
      </c>
      <c r="AD168" s="1120">
        <v>13.227412093934699</v>
      </c>
      <c r="AE168" s="224">
        <v>21896.590475913144</v>
      </c>
      <c r="AF168" s="224">
        <v>74.8416</v>
      </c>
      <c r="AG168" s="224">
        <v>59.978043416593863</v>
      </c>
      <c r="AH168" s="224">
        <v>6644.8197390662062</v>
      </c>
      <c r="AI168" s="224">
        <v>66000</v>
      </c>
      <c r="AJ168" s="224">
        <v>10196.430783</v>
      </c>
      <c r="AK168" s="224">
        <v>4842.5801991868502</v>
      </c>
      <c r="AL168" s="224">
        <v>0</v>
      </c>
      <c r="AM168" s="224">
        <v>240</v>
      </c>
      <c r="AN168" s="1120">
        <v>109955.24084058279</v>
      </c>
      <c r="AO168" s="224">
        <f t="shared" si="11"/>
        <v>1.7428438174968359</v>
      </c>
      <c r="AP168" s="1123">
        <v>0.1</v>
      </c>
      <c r="AQ168" s="1123">
        <f t="shared" si="13"/>
        <v>0.13792129201534861</v>
      </c>
      <c r="AR168" s="1123">
        <v>20</v>
      </c>
      <c r="AS168" s="1123">
        <f t="shared" si="14"/>
        <v>0.61670674917381763</v>
      </c>
      <c r="AT168" s="224">
        <f t="shared" si="12"/>
        <v>15165.168880592004</v>
      </c>
    </row>
    <row r="169" spans="1:46">
      <c r="A169" s="1118">
        <v>2017</v>
      </c>
      <c r="D169" s="1107" t="s">
        <v>2006</v>
      </c>
      <c r="E169" s="224" t="s">
        <v>2059</v>
      </c>
      <c r="G169" s="224">
        <v>19239.994338219658</v>
      </c>
      <c r="H169" s="224">
        <v>6818</v>
      </c>
      <c r="I169" s="224">
        <v>5.8449600000000013</v>
      </c>
      <c r="J169" s="224">
        <v>0.130834617875104</v>
      </c>
      <c r="K169" s="224">
        <v>0.13331150225488958</v>
      </c>
      <c r="L169" s="224">
        <v>0.15612812984352584</v>
      </c>
      <c r="M169" s="224">
        <v>0</v>
      </c>
      <c r="N169" s="224">
        <v>0</v>
      </c>
      <c r="O169" s="224">
        <v>0</v>
      </c>
      <c r="P169" s="224">
        <v>0</v>
      </c>
      <c r="Q169" s="224">
        <v>0</v>
      </c>
      <c r="R169" s="224">
        <v>0</v>
      </c>
      <c r="S169" s="224">
        <v>0</v>
      </c>
      <c r="T169" s="224">
        <v>0</v>
      </c>
      <c r="U169" s="224">
        <v>0</v>
      </c>
      <c r="V169" s="224">
        <v>206.32542040000001</v>
      </c>
      <c r="W169" s="224">
        <v>139.50473639999998</v>
      </c>
      <c r="X169" s="224">
        <v>181.93995215311</v>
      </c>
      <c r="Y169" s="224">
        <v>5.8449600000000013</v>
      </c>
      <c r="Z169" s="224">
        <v>0</v>
      </c>
      <c r="AA169" s="224">
        <v>26.1669235750208</v>
      </c>
      <c r="AB169" s="224">
        <v>26.662300450977916</v>
      </c>
      <c r="AC169" s="224">
        <v>31.225625968705167</v>
      </c>
      <c r="AD169" s="1120">
        <v>17.36446839445874</v>
      </c>
      <c r="AE169" s="224">
        <v>19265.990516260568</v>
      </c>
      <c r="AF169" s="224">
        <v>6826.1781915599995</v>
      </c>
      <c r="AG169" s="224">
        <v>7932.581913875596</v>
      </c>
      <c r="AH169" s="224">
        <v>9105.5857836882042</v>
      </c>
      <c r="AI169" s="224">
        <v>66000</v>
      </c>
      <c r="AJ169" s="224">
        <v>0</v>
      </c>
      <c r="AK169" s="224">
        <v>745.98720000000003</v>
      </c>
      <c r="AL169" s="224">
        <v>0</v>
      </c>
      <c r="AM169" s="224">
        <v>436.00000000000006</v>
      </c>
      <c r="AN169" s="1120">
        <v>110312.32360538437</v>
      </c>
      <c r="AO169" s="224">
        <f t="shared" si="11"/>
        <v>2.2879423556538834</v>
      </c>
      <c r="AP169" s="1123">
        <v>0.1</v>
      </c>
      <c r="AQ169" s="1123">
        <f t="shared" si="13"/>
        <v>0.13792129201534861</v>
      </c>
      <c r="AR169" s="1123">
        <v>20</v>
      </c>
      <c r="AS169" s="1123">
        <f t="shared" si="14"/>
        <v>0.80959032489723048</v>
      </c>
      <c r="AT169" s="224">
        <f t="shared" si="12"/>
        <v>15214.418196869852</v>
      </c>
    </row>
    <row r="170" spans="1:46">
      <c r="A170" s="1121">
        <v>2020</v>
      </c>
      <c r="D170" s="1107" t="s">
        <v>2006</v>
      </c>
      <c r="E170" s="224" t="s">
        <v>2059</v>
      </c>
      <c r="G170" s="224">
        <v>19123.793092296313</v>
      </c>
      <c r="H170" s="224">
        <v>6873.7332999999999</v>
      </c>
      <c r="I170" s="224">
        <v>5.8449600000000013</v>
      </c>
      <c r="J170" s="224">
        <v>0.12390509814611782</v>
      </c>
      <c r="K170" s="224">
        <v>0.12266001754903105</v>
      </c>
      <c r="L170" s="224">
        <v>0.13156565056574965</v>
      </c>
      <c r="M170" s="224">
        <v>0</v>
      </c>
      <c r="N170" s="224">
        <v>0</v>
      </c>
      <c r="O170" s="224">
        <v>0</v>
      </c>
      <c r="P170" s="224">
        <v>0</v>
      </c>
      <c r="Q170" s="224">
        <v>0</v>
      </c>
      <c r="R170" s="224">
        <v>0</v>
      </c>
      <c r="S170" s="224">
        <v>0</v>
      </c>
      <c r="T170" s="224">
        <v>0</v>
      </c>
      <c r="U170" s="224">
        <v>0</v>
      </c>
      <c r="V170" s="224">
        <v>203.8227172</v>
      </c>
      <c r="W170" s="224">
        <v>139.46305280000001</v>
      </c>
      <c r="X170" s="224">
        <v>181.93995215311</v>
      </c>
      <c r="Y170" s="224">
        <v>5.8449600000000013</v>
      </c>
      <c r="Z170" s="224">
        <v>0</v>
      </c>
      <c r="AA170" s="224">
        <v>24.781019629223564</v>
      </c>
      <c r="AB170" s="224">
        <v>24.532003509806209</v>
      </c>
      <c r="AC170" s="224">
        <v>26.313130113149931</v>
      </c>
      <c r="AD170" s="1120">
        <v>16.272771978128755</v>
      </c>
      <c r="AE170" s="224">
        <v>19315.58450303314</v>
      </c>
      <c r="AF170" s="224">
        <v>5166.3337003200013</v>
      </c>
      <c r="AG170" s="224">
        <v>7932.581913875596</v>
      </c>
      <c r="AH170" s="224">
        <v>9034.9380940175542</v>
      </c>
      <c r="AI170" s="224">
        <v>66000</v>
      </c>
      <c r="AJ170" s="224">
        <v>1420.2532079296063</v>
      </c>
      <c r="AK170" s="224">
        <v>1214.2458237810094</v>
      </c>
      <c r="AL170" s="224">
        <v>0</v>
      </c>
      <c r="AM170" s="224">
        <v>436.00000000000006</v>
      </c>
      <c r="AN170" s="1120">
        <v>110519.93724295689</v>
      </c>
      <c r="AO170" s="224">
        <f t="shared" si="11"/>
        <v>2.1441004358382445</v>
      </c>
      <c r="AP170" s="1123">
        <v>0.1</v>
      </c>
      <c r="AQ170" s="1123">
        <f t="shared" si="13"/>
        <v>0.13792129201534861</v>
      </c>
      <c r="AR170" s="1123">
        <v>20</v>
      </c>
      <c r="AS170" s="1123">
        <f t="shared" si="14"/>
        <v>0.75869174071323231</v>
      </c>
      <c r="AT170" s="224">
        <f t="shared" si="12"/>
        <v>15243.05253800386</v>
      </c>
    </row>
    <row r="171" spans="1:46">
      <c r="A171" s="1118">
        <v>2025</v>
      </c>
      <c r="D171" s="1107" t="s">
        <v>2006</v>
      </c>
      <c r="E171" s="224" t="s">
        <v>2059</v>
      </c>
      <c r="G171" s="224">
        <v>18678.148789960869</v>
      </c>
      <c r="H171" s="224">
        <v>6953.2999999999993</v>
      </c>
      <c r="I171" s="224">
        <v>5.8449600000000013</v>
      </c>
      <c r="J171" s="224">
        <v>0.10870407218882905</v>
      </c>
      <c r="K171" s="224">
        <v>0.10473349290397796</v>
      </c>
      <c r="L171" s="224">
        <v>0.11377958105629912</v>
      </c>
      <c r="M171" s="224">
        <v>0</v>
      </c>
      <c r="N171" s="224">
        <v>0</v>
      </c>
      <c r="O171" s="224">
        <v>0</v>
      </c>
      <c r="P171" s="224">
        <v>0</v>
      </c>
      <c r="Q171" s="224">
        <v>0</v>
      </c>
      <c r="R171" s="224">
        <v>0</v>
      </c>
      <c r="S171" s="224">
        <v>0</v>
      </c>
      <c r="T171" s="224">
        <v>0</v>
      </c>
      <c r="U171" s="224">
        <v>0</v>
      </c>
      <c r="V171" s="224">
        <v>196.47936924999999</v>
      </c>
      <c r="W171" s="224">
        <v>139.49817490000001</v>
      </c>
      <c r="X171" s="224">
        <v>165.28605999263891</v>
      </c>
      <c r="Y171" s="224">
        <v>5.8449600000000013</v>
      </c>
      <c r="Z171" s="224">
        <v>0</v>
      </c>
      <c r="AA171" s="224">
        <v>21.74081443776581</v>
      </c>
      <c r="AB171" s="224">
        <v>20.946698580795591</v>
      </c>
      <c r="AC171" s="224">
        <v>22.755916211259823</v>
      </c>
      <c r="AD171" s="1120">
        <v>14.055339851068783</v>
      </c>
      <c r="AE171" s="224">
        <v>19453.323618354283</v>
      </c>
      <c r="AF171" s="224">
        <v>2546.0345018975004</v>
      </c>
      <c r="AG171" s="224">
        <v>5294.8840809716594</v>
      </c>
      <c r="AH171" s="224">
        <v>8830.2626198589423</v>
      </c>
      <c r="AI171" s="224">
        <v>66000</v>
      </c>
      <c r="AJ171" s="224">
        <v>3197.9288654775046</v>
      </c>
      <c r="AK171" s="224">
        <v>2829.8971847014668</v>
      </c>
      <c r="AL171" s="224">
        <v>0</v>
      </c>
      <c r="AM171" s="224">
        <v>352.00000000000006</v>
      </c>
      <c r="AN171" s="1120">
        <v>108504.33087126134</v>
      </c>
      <c r="AO171" s="224">
        <f t="shared" si="11"/>
        <v>1.8519315787768227</v>
      </c>
      <c r="AP171" s="1123">
        <v>0.1</v>
      </c>
      <c r="AQ171" s="1123">
        <f t="shared" si="13"/>
        <v>0.13792129201534861</v>
      </c>
      <c r="AR171" s="1123">
        <v>20</v>
      </c>
      <c r="AS171" s="1123">
        <f t="shared" si="14"/>
        <v>0.65530754515922851</v>
      </c>
      <c r="AT171" s="224">
        <f t="shared" si="12"/>
        <v>14965.05750302524</v>
      </c>
    </row>
    <row r="172" spans="1:46">
      <c r="A172" s="1118">
        <v>2030</v>
      </c>
      <c r="D172" s="1107" t="s">
        <v>2006</v>
      </c>
      <c r="E172" s="224" t="s">
        <v>2059</v>
      </c>
      <c r="G172" s="224">
        <v>18393.494691689535</v>
      </c>
      <c r="H172" s="224">
        <v>7043.5</v>
      </c>
      <c r="I172" s="224">
        <v>6.2251200000000004</v>
      </c>
      <c r="J172" s="224">
        <v>0.1022295342490158</v>
      </c>
      <c r="K172" s="224">
        <v>9.770895050543521E-2</v>
      </c>
      <c r="L172" s="224">
        <v>0.10963510101563058</v>
      </c>
      <c r="M172" s="224">
        <v>0</v>
      </c>
      <c r="N172" s="224">
        <v>0</v>
      </c>
      <c r="O172" s="224">
        <v>0</v>
      </c>
      <c r="P172" s="224">
        <v>0</v>
      </c>
      <c r="Q172" s="224">
        <v>0</v>
      </c>
      <c r="R172" s="224">
        <v>0</v>
      </c>
      <c r="S172" s="224">
        <v>0</v>
      </c>
      <c r="T172" s="224">
        <v>0</v>
      </c>
      <c r="U172" s="224">
        <v>0</v>
      </c>
      <c r="V172" s="224">
        <v>191.71381680000002</v>
      </c>
      <c r="W172" s="224">
        <v>148.53042765000001</v>
      </c>
      <c r="X172" s="224">
        <v>136.72951186368215</v>
      </c>
      <c r="Y172" s="224">
        <v>6.2251200000000004</v>
      </c>
      <c r="Z172" s="224">
        <v>0</v>
      </c>
      <c r="AA172" s="224">
        <v>20.445906849803162</v>
      </c>
      <c r="AB172" s="224">
        <v>19.541790101087045</v>
      </c>
      <c r="AC172" s="224">
        <v>21.927020203126116</v>
      </c>
      <c r="AD172" s="1120">
        <v>12.970124572013233</v>
      </c>
      <c r="AE172" s="224">
        <v>19444.399540315429</v>
      </c>
      <c r="AF172" s="224">
        <v>1961.6124810250803</v>
      </c>
      <c r="AG172" s="224">
        <v>3475.3463801569605</v>
      </c>
      <c r="AH172" s="224">
        <v>8847.1816590457711</v>
      </c>
      <c r="AI172" s="224">
        <v>66000</v>
      </c>
      <c r="AJ172" s="224">
        <v>5082.4026577499999</v>
      </c>
      <c r="AK172" s="224">
        <v>3508.029060192428</v>
      </c>
      <c r="AL172" s="224">
        <v>0</v>
      </c>
      <c r="AM172" s="224">
        <v>296</v>
      </c>
      <c r="AN172" s="1120">
        <v>108614.97177848569</v>
      </c>
      <c r="AO172" s="224">
        <f t="shared" si="11"/>
        <v>1.7089436136084635</v>
      </c>
      <c r="AP172" s="1123">
        <v>0.1</v>
      </c>
      <c r="AQ172" s="1123">
        <f t="shared" si="13"/>
        <v>0.13792129201534861</v>
      </c>
      <c r="AR172" s="1123">
        <v>20</v>
      </c>
      <c r="AS172" s="1123">
        <f t="shared" si="14"/>
        <v>0.60471113354467032</v>
      </c>
      <c r="AT172" s="224">
        <f t="shared" si="12"/>
        <v>14980.317239899374</v>
      </c>
    </row>
    <row r="173" spans="1:46">
      <c r="A173" s="1118">
        <v>2035</v>
      </c>
      <c r="D173" s="1107" t="s">
        <v>2006</v>
      </c>
      <c r="E173" s="224" t="s">
        <v>2059</v>
      </c>
      <c r="G173" s="224">
        <v>18183.655990274128</v>
      </c>
      <c r="H173" s="224">
        <v>7133.7000000000007</v>
      </c>
      <c r="I173" s="224">
        <v>6.2251200000000004</v>
      </c>
      <c r="J173" s="224">
        <v>9.7909987415554248E-2</v>
      </c>
      <c r="K173" s="224">
        <v>9.3117149129384694E-2</v>
      </c>
      <c r="L173" s="224">
        <v>0.10586697305375084</v>
      </c>
      <c r="M173" s="224">
        <v>0</v>
      </c>
      <c r="N173" s="224">
        <v>0</v>
      </c>
      <c r="O173" s="224">
        <v>0</v>
      </c>
      <c r="P173" s="224">
        <v>0</v>
      </c>
      <c r="Q173" s="224">
        <v>0</v>
      </c>
      <c r="R173" s="224">
        <v>0</v>
      </c>
      <c r="S173" s="224">
        <v>0</v>
      </c>
      <c r="T173" s="224">
        <v>0</v>
      </c>
      <c r="U173" s="224">
        <v>0</v>
      </c>
      <c r="V173" s="224">
        <v>186.2290146</v>
      </c>
      <c r="W173" s="224">
        <v>148.60063474999998</v>
      </c>
      <c r="X173" s="224">
        <v>117.64257641921392</v>
      </c>
      <c r="Y173" s="224">
        <v>6.2251200000000004</v>
      </c>
      <c r="Z173" s="224">
        <v>0</v>
      </c>
      <c r="AA173" s="224">
        <v>19.581997483110847</v>
      </c>
      <c r="AB173" s="224">
        <v>18.62342982587694</v>
      </c>
      <c r="AC173" s="224">
        <v>21.173394610750169</v>
      </c>
      <c r="AD173" s="1120">
        <v>12.246972540634651</v>
      </c>
      <c r="AE173" s="224">
        <v>19364.932325110858</v>
      </c>
      <c r="AF173" s="224">
        <v>1605.9969413808001</v>
      </c>
      <c r="AG173" s="224">
        <v>2241.4951965065493</v>
      </c>
      <c r="AH173" s="224">
        <v>8695.0388883409832</v>
      </c>
      <c r="AI173" s="224">
        <v>66000</v>
      </c>
      <c r="AJ173" s="224">
        <v>7124.2188517500035</v>
      </c>
      <c r="AK173" s="224">
        <v>3935.8667708711309</v>
      </c>
      <c r="AL173" s="224">
        <v>0</v>
      </c>
      <c r="AM173" s="224">
        <v>240</v>
      </c>
      <c r="AN173" s="1120">
        <v>109207.54897396032</v>
      </c>
      <c r="AO173" s="224">
        <f t="shared" si="11"/>
        <v>1.6136611019540215</v>
      </c>
      <c r="AP173" s="1123">
        <v>0.1</v>
      </c>
      <c r="AQ173" s="1123">
        <f t="shared" si="13"/>
        <v>0.13792129201534861</v>
      </c>
      <c r="AR173" s="1123">
        <v>20</v>
      </c>
      <c r="AS173" s="1123">
        <f t="shared" si="14"/>
        <v>0.57099533673854941</v>
      </c>
      <c r="AT173" s="224">
        <f t="shared" si="12"/>
        <v>15062.046252318067</v>
      </c>
    </row>
    <row r="174" spans="1:46">
      <c r="A174" s="1118">
        <v>2050</v>
      </c>
      <c r="D174" s="1107" t="s">
        <v>2006</v>
      </c>
      <c r="E174" s="224" t="s">
        <v>2059</v>
      </c>
      <c r="G174" s="224">
        <v>17906.372617120549</v>
      </c>
      <c r="H174" s="224">
        <v>7269</v>
      </c>
      <c r="I174" s="224">
        <v>6.2251200000000004</v>
      </c>
      <c r="J174" s="224">
        <v>9.0558889208858032E-2</v>
      </c>
      <c r="K174" s="224">
        <v>8.5413645410935157E-2</v>
      </c>
      <c r="L174" s="224">
        <v>9.733575861349561E-2</v>
      </c>
      <c r="M174" s="224">
        <v>0</v>
      </c>
      <c r="N174" s="224">
        <v>0</v>
      </c>
      <c r="O174" s="224">
        <v>0</v>
      </c>
      <c r="P174" s="224">
        <v>0</v>
      </c>
      <c r="Q174" s="224">
        <v>0</v>
      </c>
      <c r="R174" s="224">
        <v>0</v>
      </c>
      <c r="S174" s="224">
        <v>0</v>
      </c>
      <c r="T174" s="224">
        <v>0</v>
      </c>
      <c r="U174" s="224">
        <v>0</v>
      </c>
      <c r="V174" s="224">
        <v>182.69435214999999</v>
      </c>
      <c r="W174" s="224">
        <v>148.56446505</v>
      </c>
      <c r="X174" s="224">
        <v>117.64257641921392</v>
      </c>
      <c r="Y174" s="224">
        <v>6.2251200000000004</v>
      </c>
      <c r="Z174" s="224">
        <v>0</v>
      </c>
      <c r="AA174" s="224">
        <v>18.111777841771605</v>
      </c>
      <c r="AB174" s="224">
        <v>17.082729082187029</v>
      </c>
      <c r="AC174" s="224">
        <v>19.467151722699121</v>
      </c>
      <c r="AD174" s="1120">
        <v>11.121875505781333</v>
      </c>
      <c r="AE174" s="224">
        <v>20059.238592443431</v>
      </c>
      <c r="AF174" s="224">
        <v>966.99292966199982</v>
      </c>
      <c r="AG174" s="224">
        <v>2100.3241048034929</v>
      </c>
      <c r="AH174" s="224">
        <v>8595.6378045422935</v>
      </c>
      <c r="AI174" s="224">
        <v>66000</v>
      </c>
      <c r="AJ174" s="224">
        <v>10196.430783</v>
      </c>
      <c r="AK174" s="224">
        <v>4842.5801991868502</v>
      </c>
      <c r="AL174" s="224">
        <v>0</v>
      </c>
      <c r="AM174" s="224">
        <v>240</v>
      </c>
      <c r="AN174" s="1120">
        <v>113001.20441363807</v>
      </c>
      <c r="AO174" s="224">
        <f t="shared" si="11"/>
        <v>1.4654183166417483</v>
      </c>
      <c r="AP174" s="1123">
        <v>0.1</v>
      </c>
      <c r="AQ174" s="1123">
        <f t="shared" si="13"/>
        <v>0.13792129201534861</v>
      </c>
      <c r="AR174" s="1123">
        <v>20</v>
      </c>
      <c r="AS174" s="1123">
        <f t="shared" si="14"/>
        <v>0.51853950260092163</v>
      </c>
      <c r="AT174" s="224">
        <f t="shared" si="12"/>
        <v>15585.272112019476</v>
      </c>
    </row>
    <row r="175" spans="1:46">
      <c r="A175" s="1118">
        <v>2017</v>
      </c>
      <c r="D175" s="1107" t="s">
        <v>2006</v>
      </c>
      <c r="E175" s="224" t="s">
        <v>2060</v>
      </c>
      <c r="G175" s="224">
        <v>21442.798532908047</v>
      </c>
      <c r="H175" s="224">
        <v>6818</v>
      </c>
      <c r="I175" s="224">
        <v>328.43475000000001</v>
      </c>
      <c r="J175" s="224">
        <v>0.13637680898780222</v>
      </c>
      <c r="K175" s="224">
        <v>0.16605844745726939</v>
      </c>
      <c r="L175" s="224">
        <v>0.19476127514474026</v>
      </c>
      <c r="M175" s="224">
        <v>5.0162437631331457E-2</v>
      </c>
      <c r="N175" s="224">
        <v>6.1851535894817566E-2</v>
      </c>
      <c r="O175" s="224">
        <v>7.5124617980359035E-2</v>
      </c>
      <c r="P175" s="224">
        <v>-56.235883975474685</v>
      </c>
      <c r="Q175" s="224">
        <v>-28.283745137283045</v>
      </c>
      <c r="R175" s="224">
        <v>123.99796400420324</v>
      </c>
      <c r="S175" s="224">
        <v>1888.9213317754179</v>
      </c>
      <c r="T175" s="224">
        <v>2329.0870833163058</v>
      </c>
      <c r="U175" s="224">
        <v>2828.899474294004</v>
      </c>
      <c r="V175" s="224">
        <v>230</v>
      </c>
      <c r="W175" s="224">
        <v>318.18448959999995</v>
      </c>
      <c r="X175" s="224">
        <v>477.27673439999995</v>
      </c>
      <c r="Y175" s="224">
        <v>327.44175000000001</v>
      </c>
      <c r="Z175" s="224">
        <v>0</v>
      </c>
      <c r="AA175" s="224">
        <v>13.826006298510123</v>
      </c>
      <c r="AB175" s="224">
        <v>20.027736272506395</v>
      </c>
      <c r="AC175" s="224">
        <v>26.49050046990784</v>
      </c>
      <c r="AD175" s="1120">
        <v>9.0836261979655113</v>
      </c>
      <c r="AE175" s="224">
        <v>21795.66857142857</v>
      </c>
      <c r="AF175" s="224">
        <v>14491.539603839999</v>
      </c>
      <c r="AG175" s="224">
        <v>186307.80691500002</v>
      </c>
      <c r="AH175" s="224">
        <v>0</v>
      </c>
      <c r="AI175" s="224">
        <v>66000</v>
      </c>
      <c r="AJ175" s="224">
        <v>0</v>
      </c>
      <c r="AK175" s="224">
        <v>745.98720000000003</v>
      </c>
      <c r="AL175" s="224">
        <v>0</v>
      </c>
      <c r="AM175" s="224">
        <v>436.00000000000006</v>
      </c>
      <c r="AN175" s="1120">
        <v>289777.0022902686</v>
      </c>
      <c r="AO175" s="224">
        <f t="shared" si="11"/>
        <v>1.1968585878439357</v>
      </c>
      <c r="AP175" s="1123">
        <v>0.1</v>
      </c>
      <c r="AQ175" s="1123">
        <f t="shared" si="13"/>
        <v>0.13792129201534861</v>
      </c>
      <c r="AR175" s="1123">
        <v>20</v>
      </c>
      <c r="AS175" s="1123">
        <f t="shared" si="14"/>
        <v>0.42350941691959132</v>
      </c>
      <c r="AT175" s="224">
        <f t="shared" si="12"/>
        <v>39966.418552208481</v>
      </c>
    </row>
    <row r="176" spans="1:46">
      <c r="A176" s="1121">
        <v>2020</v>
      </c>
      <c r="D176" s="1107" t="s">
        <v>2006</v>
      </c>
      <c r="E176" s="224" t="s">
        <v>2060</v>
      </c>
      <c r="G176" s="224">
        <v>21024.851143642729</v>
      </c>
      <c r="H176" s="224">
        <v>6873.7332999999999</v>
      </c>
      <c r="I176" s="224">
        <v>308.07825000000003</v>
      </c>
      <c r="J176" s="224">
        <v>0.12536652208676966</v>
      </c>
      <c r="K176" s="224">
        <v>0.15224669562628959</v>
      </c>
      <c r="L176" s="224">
        <v>0.17641779748226225</v>
      </c>
      <c r="M176" s="224">
        <v>4.6934046996331413E-2</v>
      </c>
      <c r="N176" s="224">
        <v>5.7620571094789907E-2</v>
      </c>
      <c r="O176" s="224">
        <v>6.9821384989158131E-2</v>
      </c>
      <c r="P176" s="224">
        <v>-55.247268621647677</v>
      </c>
      <c r="Q176" s="224">
        <v>-33.476898404361172</v>
      </c>
      <c r="R176" s="224">
        <v>149.29632089541943</v>
      </c>
      <c r="S176" s="224">
        <v>1767.3527592396481</v>
      </c>
      <c r="T176" s="224">
        <v>2169.7654864772526</v>
      </c>
      <c r="U176" s="224">
        <v>2629.2004485393682</v>
      </c>
      <c r="V176" s="224">
        <v>210</v>
      </c>
      <c r="W176" s="224">
        <v>311.01074610000001</v>
      </c>
      <c r="X176" s="224">
        <v>466.51611915000001</v>
      </c>
      <c r="Y176" s="224">
        <v>307.45762500000001</v>
      </c>
      <c r="Z176" s="224">
        <v>0</v>
      </c>
      <c r="AA176" s="224">
        <v>12.794434238316633</v>
      </c>
      <c r="AB176" s="224">
        <v>18.382785513245757</v>
      </c>
      <c r="AC176" s="224">
        <v>24.06594158997526</v>
      </c>
      <c r="AD176" s="1120">
        <v>8.3848377639502285</v>
      </c>
      <c r="AE176" s="224">
        <v>19948.919155485713</v>
      </c>
      <c r="AF176" s="224">
        <v>10853.139733214999</v>
      </c>
      <c r="AG176" s="224">
        <v>162872.60226750001</v>
      </c>
      <c r="AH176" s="224">
        <v>0</v>
      </c>
      <c r="AI176" s="224">
        <v>66000</v>
      </c>
      <c r="AJ176" s="224">
        <v>1420.2532079296063</v>
      </c>
      <c r="AK176" s="224">
        <v>1214.2458237810094</v>
      </c>
      <c r="AL176" s="224">
        <v>0</v>
      </c>
      <c r="AM176" s="224">
        <v>436.00000000000006</v>
      </c>
      <c r="AN176" s="1120">
        <v>262745.16018791136</v>
      </c>
      <c r="AO176" s="224">
        <f t="shared" si="11"/>
        <v>1.1047862237780821</v>
      </c>
      <c r="AP176" s="1123">
        <v>0.1</v>
      </c>
      <c r="AQ176" s="1123">
        <f t="shared" si="13"/>
        <v>0.13792129201534861</v>
      </c>
      <c r="AR176" s="1123">
        <v>20</v>
      </c>
      <c r="AS176" s="1123">
        <f t="shared" si="14"/>
        <v>0.39092953353488646</v>
      </c>
      <c r="AT176" s="224">
        <f t="shared" si="12"/>
        <v>36238.151963896467</v>
      </c>
    </row>
    <row r="177" spans="1:46">
      <c r="A177" s="1118">
        <v>2025</v>
      </c>
      <c r="D177" s="1107" t="s">
        <v>2006</v>
      </c>
      <c r="E177" s="224" t="s">
        <v>2060</v>
      </c>
      <c r="G177" s="224">
        <v>20221.865903274273</v>
      </c>
      <c r="H177" s="224">
        <v>6953.2999999999993</v>
      </c>
      <c r="I177" s="224">
        <v>271.70962500000002</v>
      </c>
      <c r="J177" s="224">
        <v>0.10464956373575834</v>
      </c>
      <c r="K177" s="224">
        <v>0.12567957629639384</v>
      </c>
      <c r="L177" s="224">
        <v>0.14013583660349763</v>
      </c>
      <c r="M177" s="224">
        <v>4.1718351737718817E-2</v>
      </c>
      <c r="N177" s="224">
        <v>4.9945745208648154E-2</v>
      </c>
      <c r="O177" s="224">
        <v>6.0125784985443534E-2</v>
      </c>
      <c r="P177" s="224">
        <v>-27.156857320125081</v>
      </c>
      <c r="Q177" s="224">
        <v>-52.935421447141294</v>
      </c>
      <c r="R177" s="224">
        <v>224.46288268560232</v>
      </c>
      <c r="S177" s="224">
        <v>1570.9500623364245</v>
      </c>
      <c r="T177" s="224">
        <v>1880.7615421206801</v>
      </c>
      <c r="U177" s="224">
        <v>2264.1020494946765</v>
      </c>
      <c r="V177" s="224">
        <v>175</v>
      </c>
      <c r="W177" s="224">
        <v>295.60341964999998</v>
      </c>
      <c r="X177" s="224">
        <v>443.40512947499997</v>
      </c>
      <c r="Y177" s="224">
        <v>271.58550000000002</v>
      </c>
      <c r="Z177" s="224">
        <v>0</v>
      </c>
      <c r="AA177" s="224">
        <v>11.132848340260427</v>
      </c>
      <c r="AB177" s="224">
        <v>15.29847749310669</v>
      </c>
      <c r="AC177" s="224">
        <v>19.398823659405156</v>
      </c>
      <c r="AD177" s="1120">
        <v>7.1798969628866747</v>
      </c>
      <c r="AE177" s="224">
        <v>17383.606995885712</v>
      </c>
      <c r="AF177" s="224">
        <v>5110.832482759999</v>
      </c>
      <c r="AG177" s="224">
        <v>87326.108099999998</v>
      </c>
      <c r="AH177" s="224">
        <v>0</v>
      </c>
      <c r="AI177" s="224">
        <v>66000</v>
      </c>
      <c r="AJ177" s="224">
        <v>3197.9288654775046</v>
      </c>
      <c r="AK177" s="224">
        <v>2829.8971847014668</v>
      </c>
      <c r="AL177" s="224">
        <v>0</v>
      </c>
      <c r="AM177" s="224">
        <v>352.00000000000006</v>
      </c>
      <c r="AN177" s="1120">
        <v>182200.37362882466</v>
      </c>
      <c r="AO177" s="224">
        <f t="shared" si="11"/>
        <v>0.94602322382994819</v>
      </c>
      <c r="AP177" s="1123">
        <v>0.1</v>
      </c>
      <c r="AQ177" s="1123">
        <f t="shared" si="13"/>
        <v>0.13792129201534861</v>
      </c>
      <c r="AR177" s="1123">
        <v>20</v>
      </c>
      <c r="AS177" s="1123">
        <f t="shared" si="14"/>
        <v>0.33475111260918328</v>
      </c>
      <c r="AT177" s="224">
        <f t="shared" si="12"/>
        <v>25129.310936566748</v>
      </c>
    </row>
    <row r="178" spans="1:46">
      <c r="A178" s="1118">
        <v>2030</v>
      </c>
      <c r="D178" s="1107" t="s">
        <v>2006</v>
      </c>
      <c r="E178" s="224" t="s">
        <v>2060</v>
      </c>
      <c r="G178" s="224">
        <v>19777.551534303493</v>
      </c>
      <c r="H178" s="224">
        <v>7043.5</v>
      </c>
      <c r="I178" s="224">
        <v>258.49031250000002</v>
      </c>
      <c r="J178" s="224">
        <v>9.5338918321506608E-2</v>
      </c>
      <c r="K178" s="224">
        <v>0.11407672086662826</v>
      </c>
      <c r="L178" s="224">
        <v>0.12911587157488816</v>
      </c>
      <c r="M178" s="224">
        <v>3.9133252573242724E-2</v>
      </c>
      <c r="N178" s="224">
        <v>4.7016277568690895E-2</v>
      </c>
      <c r="O178" s="224">
        <v>5.6524164462443419E-2</v>
      </c>
      <c r="P178" s="224">
        <v>-42.034688657105107</v>
      </c>
      <c r="Q178" s="224">
        <v>-50.776778139309727</v>
      </c>
      <c r="R178" s="224">
        <v>157.40748617459889</v>
      </c>
      <c r="S178" s="224">
        <v>1473.6053321536206</v>
      </c>
      <c r="T178" s="224">
        <v>1770.4492411808865</v>
      </c>
      <c r="U178" s="224">
        <v>2128.479098216771</v>
      </c>
      <c r="V178" s="224">
        <v>170</v>
      </c>
      <c r="W178" s="224">
        <v>287.56546094999999</v>
      </c>
      <c r="X178" s="224">
        <v>431.34819142499998</v>
      </c>
      <c r="Y178" s="224">
        <v>257.80762499999997</v>
      </c>
      <c r="Z178" s="224">
        <v>0</v>
      </c>
      <c r="AA178" s="224">
        <v>10.217282453883607</v>
      </c>
      <c r="AB178" s="224">
        <v>14.035678030554454</v>
      </c>
      <c r="AC178" s="224">
        <v>17.919118854186291</v>
      </c>
      <c r="AD178" s="1120">
        <v>6.6641501394333371</v>
      </c>
      <c r="AE178" s="224">
        <v>17369.774255999997</v>
      </c>
      <c r="AF178" s="224">
        <v>3699.9210460214099</v>
      </c>
      <c r="AG178" s="224">
        <v>58631.747062499999</v>
      </c>
      <c r="AH178" s="224">
        <v>0</v>
      </c>
      <c r="AI178" s="224">
        <v>66000</v>
      </c>
      <c r="AJ178" s="224">
        <v>5082.4026577499999</v>
      </c>
      <c r="AK178" s="224">
        <v>3508.029060192428</v>
      </c>
      <c r="AL178" s="224">
        <v>0</v>
      </c>
      <c r="AM178" s="224">
        <v>296</v>
      </c>
      <c r="AN178" s="1120">
        <v>154587.87408246385</v>
      </c>
      <c r="AO178" s="224">
        <f t="shared" si="11"/>
        <v>0.87806842237173643</v>
      </c>
      <c r="AP178" s="1123">
        <v>0.1</v>
      </c>
      <c r="AQ178" s="1123">
        <f t="shared" si="13"/>
        <v>0.13792129201534861</v>
      </c>
      <c r="AR178" s="1123">
        <v>20</v>
      </c>
      <c r="AS178" s="1123">
        <f t="shared" si="14"/>
        <v>0.31070524901697871</v>
      </c>
      <c r="AT178" s="224">
        <f t="shared" si="12"/>
        <v>21320.959323359439</v>
      </c>
    </row>
    <row r="179" spans="1:46">
      <c r="A179" s="1118">
        <v>2035</v>
      </c>
      <c r="D179" s="1107" t="s">
        <v>2006</v>
      </c>
      <c r="E179" s="224" t="s">
        <v>2060</v>
      </c>
      <c r="G179" s="224">
        <v>19465.594620876189</v>
      </c>
      <c r="H179" s="224">
        <v>7133.7000000000007</v>
      </c>
      <c r="I179" s="224">
        <v>239.74743749999999</v>
      </c>
      <c r="J179" s="224">
        <v>8.8308525555869655E-2</v>
      </c>
      <c r="K179" s="224">
        <v>0.10712670483970141</v>
      </c>
      <c r="L179" s="224">
        <v>0.11946695709840469</v>
      </c>
      <c r="M179" s="224">
        <v>3.7272136092448185E-2</v>
      </c>
      <c r="N179" s="224">
        <v>4.5240549162070195E-2</v>
      </c>
      <c r="O179" s="224">
        <v>5.4399065929141059E-2</v>
      </c>
      <c r="P179" s="224">
        <v>-38.060981126421197</v>
      </c>
      <c r="Q179" s="224">
        <v>-58.648593441615176</v>
      </c>
      <c r="R179" s="224">
        <v>197.63645134433062</v>
      </c>
      <c r="S179" s="224">
        <v>1403.5229600143562</v>
      </c>
      <c r="T179" s="224">
        <v>1703.5822501594939</v>
      </c>
      <c r="U179" s="224">
        <v>2048.4561938040824</v>
      </c>
      <c r="V179" s="224">
        <v>160</v>
      </c>
      <c r="W179" s="224">
        <v>283.15475255000001</v>
      </c>
      <c r="X179" s="224">
        <v>424.73212882500002</v>
      </c>
      <c r="Y179" s="224">
        <v>239.06475</v>
      </c>
      <c r="Z179" s="224">
        <v>0</v>
      </c>
      <c r="AA179" s="224">
        <v>9.4930248789490186</v>
      </c>
      <c r="AB179" s="224">
        <v>13.27173941647168</v>
      </c>
      <c r="AC179" s="224">
        <v>16.765196624075237</v>
      </c>
      <c r="AD179" s="1120">
        <v>6.3241250987439521</v>
      </c>
      <c r="AE179" s="224">
        <v>16907.771699428566</v>
      </c>
      <c r="AF179" s="224">
        <v>2993.7781017312</v>
      </c>
      <c r="AG179" s="224">
        <v>40503.310672500003</v>
      </c>
      <c r="AH179" s="224">
        <v>0</v>
      </c>
      <c r="AI179" s="224">
        <v>66000</v>
      </c>
      <c r="AJ179" s="224">
        <v>7124.2188517500035</v>
      </c>
      <c r="AK179" s="224">
        <v>3935.8667708711309</v>
      </c>
      <c r="AL179" s="224">
        <v>0</v>
      </c>
      <c r="AM179" s="224">
        <v>240</v>
      </c>
      <c r="AN179" s="1120">
        <v>137704.94609628088</v>
      </c>
      <c r="AO179" s="224">
        <f t="shared" si="11"/>
        <v>0.83326672301050309</v>
      </c>
      <c r="AP179" s="1123">
        <v>0.1</v>
      </c>
      <c r="AQ179" s="1123">
        <f t="shared" si="13"/>
        <v>0.13792129201534861</v>
      </c>
      <c r="AR179" s="1123">
        <v>20</v>
      </c>
      <c r="AS179" s="1123">
        <f t="shared" si="14"/>
        <v>0.29485213005522809</v>
      </c>
      <c r="AT179" s="224">
        <f t="shared" si="12"/>
        <v>18992.444082502996</v>
      </c>
    </row>
    <row r="180" spans="1:46">
      <c r="A180" s="1118">
        <v>2050</v>
      </c>
      <c r="D180" s="1107" t="s">
        <v>2006</v>
      </c>
      <c r="E180" s="224" t="s">
        <v>2060</v>
      </c>
      <c r="G180" s="224">
        <v>19061.456711624814</v>
      </c>
      <c r="H180" s="224">
        <v>7269</v>
      </c>
      <c r="I180" s="224">
        <v>228.82443749999999</v>
      </c>
      <c r="J180" s="224">
        <v>7.9536628329220233E-2</v>
      </c>
      <c r="K180" s="224">
        <v>9.7337920317146595E-2</v>
      </c>
      <c r="L180" s="224">
        <v>0.10983229970123273</v>
      </c>
      <c r="M180" s="224">
        <v>3.4814357174466966E-2</v>
      </c>
      <c r="N180" s="224">
        <v>4.2659554786354983E-2</v>
      </c>
      <c r="O180" s="224">
        <v>5.1290514298042843E-2</v>
      </c>
      <c r="P180" s="224">
        <v>-35.2867312737784</v>
      </c>
      <c r="Q180" s="224">
        <v>-56.286502957404828</v>
      </c>
      <c r="R180" s="224">
        <v>150.81087351635719</v>
      </c>
      <c r="S180" s="224">
        <v>1310.9726126591693</v>
      </c>
      <c r="T180" s="224">
        <v>1606.3920902770774</v>
      </c>
      <c r="U180" s="224">
        <v>1931.4002897417336</v>
      </c>
      <c r="V180" s="224">
        <v>155</v>
      </c>
      <c r="W180" s="224">
        <v>276.80785404999995</v>
      </c>
      <c r="X180" s="224">
        <v>415.21178107500003</v>
      </c>
      <c r="Y180" s="224">
        <v>227.45906250000002</v>
      </c>
      <c r="Z180" s="224">
        <v>0</v>
      </c>
      <c r="AA180" s="224">
        <v>8.6233804781861565</v>
      </c>
      <c r="AB180" s="224">
        <v>12.198074412433025</v>
      </c>
      <c r="AC180" s="224">
        <v>15.491691903803796</v>
      </c>
      <c r="AD180" s="1120">
        <v>5.8448202265105103</v>
      </c>
      <c r="AE180" s="224">
        <v>17490.397985142859</v>
      </c>
      <c r="AF180" s="224">
        <v>1779.6565801319998</v>
      </c>
      <c r="AG180" s="224">
        <v>31964.967899999996</v>
      </c>
      <c r="AH180" s="224">
        <v>0</v>
      </c>
      <c r="AI180" s="224">
        <v>66000</v>
      </c>
      <c r="AJ180" s="224">
        <v>10196.430783</v>
      </c>
      <c r="AK180" s="224">
        <v>4842.5801991868502</v>
      </c>
      <c r="AL180" s="224">
        <v>0</v>
      </c>
      <c r="AM180" s="224">
        <v>240</v>
      </c>
      <c r="AN180" s="1120">
        <v>132514.0334474617</v>
      </c>
      <c r="AO180" s="224">
        <f t="shared" si="11"/>
        <v>0.77011351304502473</v>
      </c>
      <c r="AP180" s="1123">
        <v>0.1</v>
      </c>
      <c r="AQ180" s="1123">
        <f t="shared" si="13"/>
        <v>0.13792129201534861</v>
      </c>
      <c r="AR180" s="1123">
        <v>20</v>
      </c>
      <c r="AS180" s="1123">
        <f t="shared" si="14"/>
        <v>0.27250531364706626</v>
      </c>
      <c r="AT180" s="224">
        <f t="shared" si="12"/>
        <v>18276.506703239036</v>
      </c>
    </row>
    <row r="181" spans="1:46">
      <c r="A181" s="1118">
        <v>2017</v>
      </c>
      <c r="D181" s="1107" t="s">
        <v>2006</v>
      </c>
      <c r="E181" s="224" t="s">
        <v>2061</v>
      </c>
      <c r="G181" s="224">
        <v>21557.102694159999</v>
      </c>
      <c r="H181" s="224">
        <v>6818</v>
      </c>
      <c r="I181" s="224">
        <v>625.59</v>
      </c>
      <c r="J181" s="224">
        <v>0</v>
      </c>
      <c r="K181" s="224">
        <v>0</v>
      </c>
      <c r="L181" s="224">
        <v>0</v>
      </c>
      <c r="M181" s="224">
        <v>0</v>
      </c>
      <c r="N181" s="224">
        <v>0</v>
      </c>
      <c r="O181" s="224">
        <v>0</v>
      </c>
      <c r="P181" s="224">
        <v>0</v>
      </c>
      <c r="Q181" s="224">
        <v>0</v>
      </c>
      <c r="R181" s="224">
        <v>0</v>
      </c>
      <c r="S181" s="224">
        <v>1896.0745460713624</v>
      </c>
      <c r="T181" s="224">
        <v>2572.126009487029</v>
      </c>
      <c r="U181" s="224">
        <v>3119.4761552366012</v>
      </c>
      <c r="V181" s="224">
        <v>0</v>
      </c>
      <c r="W181" s="224">
        <v>307.41920959999999</v>
      </c>
      <c r="X181" s="224">
        <v>461.12881440000001</v>
      </c>
      <c r="Y181" s="224">
        <v>625.59</v>
      </c>
      <c r="Z181" s="224">
        <v>0</v>
      </c>
      <c r="AA181" s="224">
        <v>10.072109142477357</v>
      </c>
      <c r="AB181" s="224">
        <v>13.663351976026714</v>
      </c>
      <c r="AC181" s="224">
        <v>16.57092247137637</v>
      </c>
      <c r="AD181" s="1120">
        <v>6.9532161209092616</v>
      </c>
      <c r="AE181" s="224">
        <v>0</v>
      </c>
      <c r="AF181" s="224">
        <v>14029.709091839999</v>
      </c>
      <c r="AG181" s="224">
        <v>355948.19820000004</v>
      </c>
      <c r="AH181" s="224">
        <v>0</v>
      </c>
      <c r="AI181" s="224">
        <v>66000</v>
      </c>
      <c r="AJ181" s="224">
        <v>0</v>
      </c>
      <c r="AK181" s="224">
        <v>745.98720000000003</v>
      </c>
      <c r="AL181" s="224">
        <v>0</v>
      </c>
      <c r="AM181" s="224">
        <v>0</v>
      </c>
      <c r="AN181" s="1120">
        <v>436723.89449184004</v>
      </c>
      <c r="AO181" s="224">
        <f t="shared" si="11"/>
        <v>0.91615575609100419</v>
      </c>
      <c r="AP181" s="1123">
        <v>0.1</v>
      </c>
      <c r="AQ181" s="1123">
        <f t="shared" si="13"/>
        <v>0.13792129201534861</v>
      </c>
      <c r="AR181" s="1123">
        <v>20</v>
      </c>
      <c r="AS181" s="1123">
        <f t="shared" si="14"/>
        <v>0.32418248405485128</v>
      </c>
      <c r="AT181" s="224">
        <f t="shared" si="12"/>
        <v>60233.523782289369</v>
      </c>
    </row>
    <row r="182" spans="1:46">
      <c r="A182" s="1121">
        <v>2020</v>
      </c>
      <c r="D182" s="1107" t="s">
        <v>2006</v>
      </c>
      <c r="E182" s="224" t="s">
        <v>2061</v>
      </c>
      <c r="G182" s="224">
        <v>21048.047906506472</v>
      </c>
      <c r="H182" s="224">
        <v>6873.7332999999999</v>
      </c>
      <c r="I182" s="224">
        <v>589.84199999999998</v>
      </c>
      <c r="J182" s="224">
        <v>0</v>
      </c>
      <c r="K182" s="224">
        <v>0</v>
      </c>
      <c r="L182" s="224">
        <v>0</v>
      </c>
      <c r="M182" s="224">
        <v>0</v>
      </c>
      <c r="N182" s="224">
        <v>0</v>
      </c>
      <c r="O182" s="224">
        <v>0</v>
      </c>
      <c r="P182" s="224">
        <v>0</v>
      </c>
      <c r="Q182" s="224">
        <v>0</v>
      </c>
      <c r="R182" s="224">
        <v>0</v>
      </c>
      <c r="S182" s="224">
        <v>1767.1124528685141</v>
      </c>
      <c r="T182" s="224">
        <v>2397.2389648208778</v>
      </c>
      <c r="U182" s="224">
        <v>2901.6882594579884</v>
      </c>
      <c r="V182" s="224">
        <v>0</v>
      </c>
      <c r="W182" s="224">
        <v>298.50401740000001</v>
      </c>
      <c r="X182" s="224">
        <v>447.75602610000004</v>
      </c>
      <c r="Y182" s="224">
        <v>589.84199999999998</v>
      </c>
      <c r="Z182" s="224">
        <v>0</v>
      </c>
      <c r="AA182" s="224">
        <v>9.3870515424622276</v>
      </c>
      <c r="AB182" s="224">
        <v>12.734337130522592</v>
      </c>
      <c r="AC182" s="224">
        <v>15.41401465847537</v>
      </c>
      <c r="AD182" s="1120">
        <v>6.4277677634517305</v>
      </c>
      <c r="AE182" s="224">
        <v>0</v>
      </c>
      <c r="AF182" s="224">
        <v>10438.54167681</v>
      </c>
      <c r="AG182" s="224">
        <v>312462.90107999998</v>
      </c>
      <c r="AH182" s="224">
        <v>0</v>
      </c>
      <c r="AI182" s="224">
        <v>66000</v>
      </c>
      <c r="AJ182" s="224">
        <v>1420.2532079296063</v>
      </c>
      <c r="AK182" s="224">
        <v>1214.2458237810094</v>
      </c>
      <c r="AL182" s="224">
        <v>0</v>
      </c>
      <c r="AM182" s="224">
        <v>0</v>
      </c>
      <c r="AN182" s="1120">
        <v>391535.94178852061</v>
      </c>
      <c r="AO182" s="224">
        <f t="shared" si="11"/>
        <v>0.84692268051239994</v>
      </c>
      <c r="AP182" s="1123">
        <v>0.1</v>
      </c>
      <c r="AQ182" s="1123">
        <f t="shared" si="13"/>
        <v>0.13792129201534861</v>
      </c>
      <c r="AR182" s="1123">
        <v>20</v>
      </c>
      <c r="AS182" s="1123">
        <f t="shared" si="14"/>
        <v>0.29968430209112878</v>
      </c>
      <c r="AT182" s="224">
        <f t="shared" si="12"/>
        <v>54001.142961919089</v>
      </c>
    </row>
    <row r="183" spans="1:46">
      <c r="A183" s="1118">
        <v>2025</v>
      </c>
      <c r="D183" s="1107" t="s">
        <v>2006</v>
      </c>
      <c r="E183" s="224" t="s">
        <v>2061</v>
      </c>
      <c r="G183" s="224">
        <v>19960.276358228042</v>
      </c>
      <c r="H183" s="224">
        <v>6953.2999999999993</v>
      </c>
      <c r="I183" s="224">
        <v>520.14581250000003</v>
      </c>
      <c r="J183" s="224">
        <v>0</v>
      </c>
      <c r="K183" s="224">
        <v>0</v>
      </c>
      <c r="L183" s="224">
        <v>0</v>
      </c>
      <c r="M183" s="224">
        <v>0</v>
      </c>
      <c r="N183" s="224">
        <v>0</v>
      </c>
      <c r="O183" s="224">
        <v>0</v>
      </c>
      <c r="P183" s="224">
        <v>0</v>
      </c>
      <c r="Q183" s="224">
        <v>0</v>
      </c>
      <c r="R183" s="224">
        <v>0</v>
      </c>
      <c r="S183" s="224">
        <v>1551.1638914094738</v>
      </c>
      <c r="T183" s="224">
        <v>2075.0177327809529</v>
      </c>
      <c r="U183" s="224">
        <v>2498.7971249475668</v>
      </c>
      <c r="V183" s="224">
        <v>0</v>
      </c>
      <c r="W183" s="224">
        <v>279.94560230000002</v>
      </c>
      <c r="X183" s="224">
        <v>419.91840345000003</v>
      </c>
      <c r="Y183" s="224">
        <v>520.14581250000003</v>
      </c>
      <c r="Z183" s="224">
        <v>0</v>
      </c>
      <c r="AA183" s="224">
        <v>8.2399144297980023</v>
      </c>
      <c r="AB183" s="224">
        <v>11.022670559261369</v>
      </c>
      <c r="AC183" s="224">
        <v>13.273822708884815</v>
      </c>
      <c r="AD183" s="1120">
        <v>5.5690096494678469</v>
      </c>
      <c r="AE183" s="224">
        <v>0</v>
      </c>
      <c r="AF183" s="224">
        <v>4858.4300010200004</v>
      </c>
      <c r="AG183" s="224">
        <v>167166.13814999998</v>
      </c>
      <c r="AH183" s="224">
        <v>0</v>
      </c>
      <c r="AI183" s="224">
        <v>66000</v>
      </c>
      <c r="AJ183" s="224">
        <v>3197.9288654775046</v>
      </c>
      <c r="AK183" s="224">
        <v>2829.8971847014668</v>
      </c>
      <c r="AL183" s="224">
        <v>0</v>
      </c>
      <c r="AM183" s="224">
        <v>0</v>
      </c>
      <c r="AN183" s="1120">
        <v>244052.39420119894</v>
      </c>
      <c r="AO183" s="224">
        <f t="shared" si="11"/>
        <v>0.73377271141388345</v>
      </c>
      <c r="AP183" s="1123">
        <v>0.1</v>
      </c>
      <c r="AQ183" s="1123">
        <f t="shared" si="13"/>
        <v>0.13792129201534861</v>
      </c>
      <c r="AR183" s="1123">
        <v>20</v>
      </c>
      <c r="AS183" s="1123">
        <f t="shared" si="14"/>
        <v>0.25964609045602871</v>
      </c>
      <c r="AT183" s="224">
        <f t="shared" si="12"/>
        <v>33660.021527668534</v>
      </c>
    </row>
    <row r="184" spans="1:46">
      <c r="A184" s="1118">
        <v>2030</v>
      </c>
      <c r="D184" s="1107" t="s">
        <v>2006</v>
      </c>
      <c r="E184" s="224" t="s">
        <v>2061</v>
      </c>
      <c r="G184" s="224">
        <v>19328.480411014512</v>
      </c>
      <c r="H184" s="224">
        <v>7043.5</v>
      </c>
      <c r="I184" s="224">
        <v>494.94843749999995</v>
      </c>
      <c r="J184" s="224">
        <v>0</v>
      </c>
      <c r="K184" s="224">
        <v>0</v>
      </c>
      <c r="L184" s="224">
        <v>0</v>
      </c>
      <c r="M184" s="224">
        <v>0</v>
      </c>
      <c r="N184" s="224">
        <v>0</v>
      </c>
      <c r="O184" s="224">
        <v>0</v>
      </c>
      <c r="P184" s="224">
        <v>0</v>
      </c>
      <c r="Q184" s="224">
        <v>0</v>
      </c>
      <c r="R184" s="224">
        <v>0</v>
      </c>
      <c r="S184" s="224">
        <v>1443.3868076820445</v>
      </c>
      <c r="T184" s="224">
        <v>1947.8869517511803</v>
      </c>
      <c r="U184" s="224">
        <v>2344.6235409211113</v>
      </c>
      <c r="V184" s="224">
        <v>0</v>
      </c>
      <c r="W184" s="224">
        <v>270.22816384999999</v>
      </c>
      <c r="X184" s="224">
        <v>405.34224577500004</v>
      </c>
      <c r="Y184" s="224">
        <v>494.94843749999995</v>
      </c>
      <c r="Z184" s="224">
        <v>0</v>
      </c>
      <c r="AA184" s="224">
        <v>7.6673934007014317</v>
      </c>
      <c r="AB184" s="224">
        <v>10.347341045158991</v>
      </c>
      <c r="AC184" s="224">
        <v>12.454839526805372</v>
      </c>
      <c r="AD184" s="1120">
        <v>5.1228741011479508</v>
      </c>
      <c r="AE184" s="224">
        <v>0</v>
      </c>
      <c r="AF184" s="224">
        <v>3493.5508413023408</v>
      </c>
      <c r="AG184" s="224">
        <v>112495.66048125</v>
      </c>
      <c r="AH184" s="224">
        <v>0</v>
      </c>
      <c r="AI184" s="224">
        <v>66000</v>
      </c>
      <c r="AJ184" s="224">
        <v>5082.4026577499999</v>
      </c>
      <c r="AK184" s="224">
        <v>3508.029060192428</v>
      </c>
      <c r="AL184" s="224">
        <v>0</v>
      </c>
      <c r="AM184" s="224">
        <v>0</v>
      </c>
      <c r="AN184" s="1120">
        <v>190579.64304049476</v>
      </c>
      <c r="AO184" s="224">
        <f t="shared" si="11"/>
        <v>0.67498989156725397</v>
      </c>
      <c r="AP184" s="1123">
        <v>0.1</v>
      </c>
      <c r="AQ184" s="1123">
        <f t="shared" si="13"/>
        <v>0.13792129201534861</v>
      </c>
      <c r="AR184" s="1123">
        <v>20</v>
      </c>
      <c r="AS184" s="1123">
        <f t="shared" si="14"/>
        <v>0.23884574026346145</v>
      </c>
      <c r="AT184" s="224">
        <f t="shared" si="12"/>
        <v>26284.99059996898</v>
      </c>
    </row>
    <row r="185" spans="1:46">
      <c r="A185" s="1118">
        <v>2035</v>
      </c>
      <c r="D185" s="1107" t="s">
        <v>2006</v>
      </c>
      <c r="E185" s="224" t="s">
        <v>2061</v>
      </c>
      <c r="G185" s="224">
        <v>18984.288476120004</v>
      </c>
      <c r="H185" s="224">
        <v>7133.7000000000007</v>
      </c>
      <c r="I185" s="224">
        <v>458.76600000000002</v>
      </c>
      <c r="J185" s="224">
        <v>0</v>
      </c>
      <c r="K185" s="224">
        <v>0</v>
      </c>
      <c r="L185" s="224">
        <v>0</v>
      </c>
      <c r="M185" s="224">
        <v>0</v>
      </c>
      <c r="N185" s="224">
        <v>0</v>
      </c>
      <c r="O185" s="224">
        <v>0</v>
      </c>
      <c r="P185" s="224">
        <v>0</v>
      </c>
      <c r="Q185" s="224">
        <v>0</v>
      </c>
      <c r="R185" s="224">
        <v>0</v>
      </c>
      <c r="S185" s="224">
        <v>1371.6439903096771</v>
      </c>
      <c r="T185" s="224">
        <v>1874.6624470550896</v>
      </c>
      <c r="U185" s="224">
        <v>2257.5537767339065</v>
      </c>
      <c r="V185" s="224">
        <v>0</v>
      </c>
      <c r="W185" s="224">
        <v>264.96900599999998</v>
      </c>
      <c r="X185" s="224">
        <v>397.453509</v>
      </c>
      <c r="Y185" s="224">
        <v>458.76600000000002</v>
      </c>
      <c r="Z185" s="224">
        <v>0</v>
      </c>
      <c r="AA185" s="224">
        <v>7.2862894571563199</v>
      </c>
      <c r="AB185" s="224">
        <v>9.9583662526166776</v>
      </c>
      <c r="AC185" s="224">
        <v>11.992317539091136</v>
      </c>
      <c r="AD185" s="1120">
        <v>4.8156706385010022</v>
      </c>
      <c r="AE185" s="224">
        <v>0</v>
      </c>
      <c r="AF185" s="224">
        <v>2813.7681087743995</v>
      </c>
      <c r="AG185" s="224">
        <v>77740.818119999996</v>
      </c>
      <c r="AH185" s="224">
        <v>0</v>
      </c>
      <c r="AI185" s="224">
        <v>66000</v>
      </c>
      <c r="AJ185" s="224">
        <v>7124.2188517500035</v>
      </c>
      <c r="AK185" s="224">
        <v>3935.8667708711309</v>
      </c>
      <c r="AL185" s="224">
        <v>0</v>
      </c>
      <c r="AM185" s="224">
        <v>0</v>
      </c>
      <c r="AN185" s="1120">
        <v>157614.67185139551</v>
      </c>
      <c r="AO185" s="224">
        <f t="shared" si="11"/>
        <v>0.63451276332889195</v>
      </c>
      <c r="AP185" s="1123">
        <v>0.1</v>
      </c>
      <c r="AQ185" s="1123">
        <f t="shared" si="13"/>
        <v>0.13792129201534861</v>
      </c>
      <c r="AR185" s="1123">
        <v>20</v>
      </c>
      <c r="AS185" s="1123">
        <f t="shared" si="14"/>
        <v>0.22452287442708119</v>
      </c>
      <c r="AT185" s="224">
        <f t="shared" si="12"/>
        <v>21738.419182319667</v>
      </c>
    </row>
    <row r="186" spans="1:46">
      <c r="A186" s="1118">
        <v>2050</v>
      </c>
      <c r="D186" s="1107" t="s">
        <v>2006</v>
      </c>
      <c r="E186" s="224" t="s">
        <v>2061</v>
      </c>
      <c r="G186" s="224">
        <v>18506.068513950715</v>
      </c>
      <c r="H186" s="224">
        <v>7269</v>
      </c>
      <c r="I186" s="224">
        <v>436.54762499999998</v>
      </c>
      <c r="J186" s="224">
        <v>0</v>
      </c>
      <c r="K186" s="224">
        <v>0</v>
      </c>
      <c r="L186" s="224">
        <v>0</v>
      </c>
      <c r="M186" s="224">
        <v>0</v>
      </c>
      <c r="N186" s="224">
        <v>0</v>
      </c>
      <c r="O186" s="224">
        <v>0</v>
      </c>
      <c r="P186" s="224">
        <v>0</v>
      </c>
      <c r="Q186" s="224">
        <v>0</v>
      </c>
      <c r="R186" s="224">
        <v>0</v>
      </c>
      <c r="S186" s="224">
        <v>1276.4702971527481</v>
      </c>
      <c r="T186" s="224">
        <v>1767.7825760397509</v>
      </c>
      <c r="U186" s="224">
        <v>2129.6935555471237</v>
      </c>
      <c r="V186" s="224">
        <v>0</v>
      </c>
      <c r="W186" s="224">
        <v>257.35262130000001</v>
      </c>
      <c r="X186" s="224">
        <v>386.02893195000001</v>
      </c>
      <c r="Y186" s="224">
        <v>436.54762499999998</v>
      </c>
      <c r="Z186" s="224">
        <v>0</v>
      </c>
      <c r="AA186" s="224">
        <v>6.7807187099747583</v>
      </c>
      <c r="AB186" s="224">
        <v>9.3906112937038557</v>
      </c>
      <c r="AC186" s="224">
        <v>11.313113176877151</v>
      </c>
      <c r="AD186" s="1120">
        <v>4.4068989916320103</v>
      </c>
      <c r="AE186" s="224">
        <v>0</v>
      </c>
      <c r="AF186" s="224">
        <v>1660.6092705239998</v>
      </c>
      <c r="AG186" s="224">
        <v>61369.098029999994</v>
      </c>
      <c r="AH186" s="224">
        <v>0</v>
      </c>
      <c r="AI186" s="224">
        <v>66000</v>
      </c>
      <c r="AJ186" s="224">
        <v>10196.430783</v>
      </c>
      <c r="AK186" s="224">
        <v>4842.5801991868502</v>
      </c>
      <c r="AL186" s="224">
        <v>0</v>
      </c>
      <c r="AM186" s="224">
        <v>0</v>
      </c>
      <c r="AN186" s="1120">
        <v>144068.71828271082</v>
      </c>
      <c r="AO186" s="224">
        <f t="shared" si="11"/>
        <v>0.58065301113743362</v>
      </c>
      <c r="AP186" s="1123">
        <v>0.1</v>
      </c>
      <c r="AQ186" s="1123">
        <f t="shared" si="13"/>
        <v>0.13792129201534861</v>
      </c>
      <c r="AR186" s="1123">
        <v>20</v>
      </c>
      <c r="AS186" s="1123">
        <f t="shared" si="14"/>
        <v>0.20546455586070053</v>
      </c>
      <c r="AT186" s="224">
        <f t="shared" si="12"/>
        <v>19870.143764546752</v>
      </c>
    </row>
    <row r="187" spans="1:46">
      <c r="A187" s="1118">
        <v>2017</v>
      </c>
      <c r="D187" s="1107" t="s">
        <v>2006</v>
      </c>
      <c r="E187" s="224" t="s">
        <v>2062</v>
      </c>
      <c r="G187" s="224">
        <v>19606.978433003693</v>
      </c>
      <c r="H187" s="224">
        <v>6818</v>
      </c>
      <c r="I187" s="224">
        <v>6.6528000000000009</v>
      </c>
      <c r="J187" s="224">
        <v>9.4657873641763493E-2</v>
      </c>
      <c r="K187" s="224">
        <v>0.12316018085685555</v>
      </c>
      <c r="L187" s="224">
        <v>0.15649256157745464</v>
      </c>
      <c r="M187" s="224">
        <v>0</v>
      </c>
      <c r="N187" s="224">
        <v>0</v>
      </c>
      <c r="O187" s="224">
        <v>0</v>
      </c>
      <c r="P187" s="224">
        <v>0</v>
      </c>
      <c r="Q187" s="224">
        <v>0</v>
      </c>
      <c r="R187" s="224">
        <v>0</v>
      </c>
      <c r="S187" s="224">
        <v>0</v>
      </c>
      <c r="T187" s="224">
        <v>0</v>
      </c>
      <c r="U187" s="224">
        <v>0</v>
      </c>
      <c r="V187" s="224">
        <v>0</v>
      </c>
      <c r="W187" s="224">
        <v>305.79246330000001</v>
      </c>
      <c r="X187" s="224">
        <v>207.08612440191385</v>
      </c>
      <c r="Y187" s="224">
        <v>6.6528000000000009</v>
      </c>
      <c r="Z187" s="224">
        <v>198.96140359999998</v>
      </c>
      <c r="AA187" s="224">
        <v>18.9315747283527</v>
      </c>
      <c r="AB187" s="224">
        <v>24.632036171371112</v>
      </c>
      <c r="AC187" s="224">
        <v>31.298512315490928</v>
      </c>
      <c r="AD187" s="1120">
        <v>12.583208593833213</v>
      </c>
      <c r="AE187" s="224">
        <v>0</v>
      </c>
      <c r="AF187" s="224">
        <v>13959.921675569998</v>
      </c>
      <c r="AG187" s="224">
        <v>9028.9550239234432</v>
      </c>
      <c r="AH187" s="224">
        <v>0</v>
      </c>
      <c r="AI187" s="224">
        <v>66000</v>
      </c>
      <c r="AJ187" s="224">
        <v>0</v>
      </c>
      <c r="AK187" s="224">
        <v>745.98720000000003</v>
      </c>
      <c r="AL187" s="224">
        <v>95422.96</v>
      </c>
      <c r="AM187" s="224">
        <v>29542.285695999999</v>
      </c>
      <c r="AN187" s="1120">
        <v>214700.10959549344</v>
      </c>
      <c r="AO187" s="224">
        <f t="shared" si="11"/>
        <v>1.657963564323464</v>
      </c>
      <c r="AP187" s="1123">
        <v>0.1</v>
      </c>
      <c r="AQ187" s="1123">
        <f t="shared" si="13"/>
        <v>0.13792129201534861</v>
      </c>
      <c r="AR187" s="1123">
        <v>20</v>
      </c>
      <c r="AS187" s="1123">
        <f t="shared" si="14"/>
        <v>0.58667180027129162</v>
      </c>
      <c r="AT187" s="224">
        <f t="shared" si="12"/>
        <v>29611.716511247403</v>
      </c>
    </row>
    <row r="188" spans="1:46">
      <c r="A188" s="1121">
        <v>2020</v>
      </c>
      <c r="D188" s="1107" t="s">
        <v>2006</v>
      </c>
      <c r="E188" s="224" t="s">
        <v>2062</v>
      </c>
      <c r="G188" s="224">
        <v>19460.294094325123</v>
      </c>
      <c r="H188" s="224">
        <v>6873.7332999999999</v>
      </c>
      <c r="I188" s="224">
        <v>6.7003199999999996</v>
      </c>
      <c r="J188" s="224">
        <v>8.8491829313362427E-2</v>
      </c>
      <c r="K188" s="224">
        <v>0.11300521430044612</v>
      </c>
      <c r="L188" s="224">
        <v>0.14641634791690061</v>
      </c>
      <c r="M188" s="224">
        <v>0</v>
      </c>
      <c r="N188" s="224">
        <v>0</v>
      </c>
      <c r="O188" s="224">
        <v>0</v>
      </c>
      <c r="P188" s="224">
        <v>0</v>
      </c>
      <c r="Q188" s="224">
        <v>0</v>
      </c>
      <c r="R188" s="224">
        <v>0</v>
      </c>
      <c r="S188" s="224">
        <v>0</v>
      </c>
      <c r="T188" s="224">
        <v>0</v>
      </c>
      <c r="U188" s="224">
        <v>0</v>
      </c>
      <c r="V188" s="224">
        <v>0</v>
      </c>
      <c r="W188" s="224">
        <v>298.94341989999998</v>
      </c>
      <c r="X188" s="224">
        <v>208.56531100478466</v>
      </c>
      <c r="Y188" s="224">
        <v>6.7003200000000005</v>
      </c>
      <c r="Z188" s="224">
        <v>194.35906219999998</v>
      </c>
      <c r="AA188" s="224">
        <v>17.698365862672485</v>
      </c>
      <c r="AB188" s="224">
        <v>22.601042860089223</v>
      </c>
      <c r="AC188" s="224">
        <v>29.283269583380122</v>
      </c>
      <c r="AD188" s="1120">
        <v>11.604297333809688</v>
      </c>
      <c r="AE188" s="224">
        <v>0</v>
      </c>
      <c r="AF188" s="224">
        <v>10453.107869684998</v>
      </c>
      <c r="AG188" s="224">
        <v>9093.4475598086101</v>
      </c>
      <c r="AH188" s="224">
        <v>0</v>
      </c>
      <c r="AI188" s="224">
        <v>66000</v>
      </c>
      <c r="AJ188" s="224">
        <v>1420.2532079296063</v>
      </c>
      <c r="AK188" s="224">
        <v>1214.2458237810094</v>
      </c>
      <c r="AL188" s="224">
        <v>88815.380000000019</v>
      </c>
      <c r="AM188" s="224">
        <v>27893.557464615387</v>
      </c>
      <c r="AN188" s="1120">
        <v>204889.99192581963</v>
      </c>
      <c r="AO188" s="224">
        <f t="shared" si="11"/>
        <v>1.5289822167027645</v>
      </c>
      <c r="AP188" s="1123">
        <v>0.1</v>
      </c>
      <c r="AQ188" s="1123">
        <f t="shared" si="13"/>
        <v>0.13792129201534861</v>
      </c>
      <c r="AR188" s="1123">
        <v>20</v>
      </c>
      <c r="AS188" s="1123">
        <f t="shared" si="14"/>
        <v>0.54103164204445486</v>
      </c>
      <c r="AT188" s="224">
        <f t="shared" si="12"/>
        <v>28258.69240742339</v>
      </c>
    </row>
    <row r="189" spans="1:46">
      <c r="A189" s="1118">
        <v>2025</v>
      </c>
      <c r="D189" s="1107" t="s">
        <v>2006</v>
      </c>
      <c r="E189" s="224" t="s">
        <v>2062</v>
      </c>
      <c r="G189" s="224">
        <v>18850.552920461443</v>
      </c>
      <c r="H189" s="224">
        <v>6953.2999999999993</v>
      </c>
      <c r="I189" s="224">
        <v>6.6765600000000003</v>
      </c>
      <c r="J189" s="224">
        <v>7.8087984536286431E-2</v>
      </c>
      <c r="K189" s="224">
        <v>9.5598029759206032E-2</v>
      </c>
      <c r="L189" s="224">
        <v>0.12573737143357708</v>
      </c>
      <c r="M189" s="224">
        <v>0</v>
      </c>
      <c r="N189" s="224">
        <v>0</v>
      </c>
      <c r="O189" s="224">
        <v>0</v>
      </c>
      <c r="P189" s="224">
        <v>0</v>
      </c>
      <c r="Q189" s="224">
        <v>0</v>
      </c>
      <c r="R189" s="224">
        <v>0</v>
      </c>
      <c r="S189" s="224">
        <v>0</v>
      </c>
      <c r="T189" s="224">
        <v>0</v>
      </c>
      <c r="U189" s="224">
        <v>0</v>
      </c>
      <c r="V189" s="224">
        <v>0</v>
      </c>
      <c r="W189" s="224">
        <v>284.51656609999998</v>
      </c>
      <c r="X189" s="224">
        <v>188.73467059256532</v>
      </c>
      <c r="Y189" s="224">
        <v>6.6765600000000003</v>
      </c>
      <c r="Z189" s="224">
        <v>184.77359974999999</v>
      </c>
      <c r="AA189" s="224">
        <v>15.617596907257287</v>
      </c>
      <c r="AB189" s="224">
        <v>19.119605951841205</v>
      </c>
      <c r="AC189" s="224">
        <v>25.147474286715415</v>
      </c>
      <c r="AD189" s="1120">
        <v>10.018771362154025</v>
      </c>
      <c r="AE189" s="224">
        <v>0</v>
      </c>
      <c r="AF189" s="224">
        <v>4922.9781415774996</v>
      </c>
      <c r="AG189" s="224">
        <v>6043.7114817813763</v>
      </c>
      <c r="AH189" s="224">
        <v>0</v>
      </c>
      <c r="AI189" s="224">
        <v>66000</v>
      </c>
      <c r="AJ189" s="224">
        <v>3197.9288654775046</v>
      </c>
      <c r="AK189" s="224">
        <v>2829.8971847014668</v>
      </c>
      <c r="AL189" s="224">
        <v>53180.160000000003</v>
      </c>
      <c r="AM189" s="224">
        <v>17372.183840000002</v>
      </c>
      <c r="AN189" s="1120">
        <v>153546.85951353784</v>
      </c>
      <c r="AO189" s="224">
        <f t="shared" si="11"/>
        <v>1.3200733146774142</v>
      </c>
      <c r="AP189" s="1123">
        <v>0.1</v>
      </c>
      <c r="AQ189" s="1123">
        <f t="shared" si="13"/>
        <v>0.13792129201534861</v>
      </c>
      <c r="AR189" s="1123">
        <v>20</v>
      </c>
      <c r="AS189" s="1123">
        <f t="shared" si="14"/>
        <v>0.46710905153570487</v>
      </c>
      <c r="AT189" s="224">
        <f t="shared" si="12"/>
        <v>21177.381249006361</v>
      </c>
    </row>
    <row r="190" spans="1:46">
      <c r="A190" s="1118">
        <v>2030</v>
      </c>
      <c r="D190" s="1107" t="s">
        <v>2006</v>
      </c>
      <c r="E190" s="224" t="s">
        <v>2062</v>
      </c>
      <c r="G190" s="224">
        <v>18465.928973242753</v>
      </c>
      <c r="H190" s="224">
        <v>7043.5</v>
      </c>
      <c r="I190" s="224">
        <v>6.6528000000000009</v>
      </c>
      <c r="J190" s="224">
        <v>7.2212141542293759E-2</v>
      </c>
      <c r="K190" s="224">
        <v>8.8007012750989266E-2</v>
      </c>
      <c r="L190" s="224">
        <v>0.11614075246722463</v>
      </c>
      <c r="M190" s="224">
        <v>0</v>
      </c>
      <c r="N190" s="224">
        <v>0</v>
      </c>
      <c r="O190" s="224">
        <v>0</v>
      </c>
      <c r="P190" s="224">
        <v>0</v>
      </c>
      <c r="Q190" s="224">
        <v>0</v>
      </c>
      <c r="R190" s="224">
        <v>0</v>
      </c>
      <c r="S190" s="224">
        <v>0</v>
      </c>
      <c r="T190" s="224">
        <v>0</v>
      </c>
      <c r="U190" s="224">
        <v>0</v>
      </c>
      <c r="V190" s="224">
        <v>0</v>
      </c>
      <c r="W190" s="224">
        <v>277.27313500000002</v>
      </c>
      <c r="X190" s="224">
        <v>147.44985800225973</v>
      </c>
      <c r="Y190" s="224">
        <v>6.6528000000000009</v>
      </c>
      <c r="Z190" s="224">
        <v>179.91648594999998</v>
      </c>
      <c r="AA190" s="224">
        <v>14.442428308458751</v>
      </c>
      <c r="AB190" s="224">
        <v>17.601402550197854</v>
      </c>
      <c r="AC190" s="224">
        <v>23.228150493444929</v>
      </c>
      <c r="AD190" s="1120">
        <v>9.1161890039719342</v>
      </c>
      <c r="AE190" s="224">
        <v>0</v>
      </c>
      <c r="AF190" s="224">
        <v>3561.3534865881002</v>
      </c>
      <c r="AG190" s="224">
        <v>3774.1443301676486</v>
      </c>
      <c r="AH190" s="224">
        <v>0</v>
      </c>
      <c r="AI190" s="224">
        <v>66000</v>
      </c>
      <c r="AJ190" s="224">
        <v>5082.4026577499999</v>
      </c>
      <c r="AK190" s="224">
        <v>3508.029060192428</v>
      </c>
      <c r="AL190" s="224">
        <v>34077</v>
      </c>
      <c r="AM190" s="224">
        <v>12297.904600000002</v>
      </c>
      <c r="AN190" s="1120">
        <v>128300.83413469818</v>
      </c>
      <c r="AO190" s="224">
        <f t="shared" si="11"/>
        <v>1.2011490631633419</v>
      </c>
      <c r="AP190" s="1123">
        <v>0.1</v>
      </c>
      <c r="AQ190" s="1123">
        <f t="shared" si="13"/>
        <v>0.13792129201534861</v>
      </c>
      <c r="AR190" s="1123">
        <v>20</v>
      </c>
      <c r="AS190" s="1123">
        <f t="shared" si="14"/>
        <v>0.42502760521625799</v>
      </c>
      <c r="AT190" s="224">
        <f t="shared" si="12"/>
        <v>17695.416810504514</v>
      </c>
    </row>
    <row r="191" spans="1:46">
      <c r="A191" s="1118">
        <v>2035</v>
      </c>
      <c r="D191" s="1107" t="s">
        <v>2006</v>
      </c>
      <c r="E191" s="224" t="s">
        <v>2062</v>
      </c>
      <c r="G191" s="224">
        <v>18176.405880584774</v>
      </c>
      <c r="H191" s="224">
        <v>7133.7000000000007</v>
      </c>
      <c r="I191" s="224">
        <v>6.6528000000000009</v>
      </c>
      <c r="J191" s="224">
        <v>6.6717317489780867E-2</v>
      </c>
      <c r="K191" s="224">
        <v>8.1474665309264407E-2</v>
      </c>
      <c r="L191" s="224">
        <v>0.10751723488398779</v>
      </c>
      <c r="M191" s="224">
        <v>0</v>
      </c>
      <c r="N191" s="224">
        <v>0</v>
      </c>
      <c r="O191" s="224">
        <v>0</v>
      </c>
      <c r="P191" s="224">
        <v>0</v>
      </c>
      <c r="Q191" s="224">
        <v>0</v>
      </c>
      <c r="R191" s="224">
        <v>0</v>
      </c>
      <c r="S191" s="224">
        <v>0</v>
      </c>
      <c r="T191" s="224">
        <v>0</v>
      </c>
      <c r="U191" s="224">
        <v>0</v>
      </c>
      <c r="V191" s="224">
        <v>0</v>
      </c>
      <c r="W191" s="224">
        <v>274.08423310000001</v>
      </c>
      <c r="X191" s="224">
        <v>125.72489082969429</v>
      </c>
      <c r="Y191" s="224">
        <v>6.6528000000000009</v>
      </c>
      <c r="Z191" s="224">
        <v>177.76752440000001</v>
      </c>
      <c r="AA191" s="224">
        <v>13.343463497956174</v>
      </c>
      <c r="AB191" s="224">
        <v>16.29493306185288</v>
      </c>
      <c r="AC191" s="224">
        <v>21.503446976797555</v>
      </c>
      <c r="AD191" s="1120">
        <v>8.2880594513037753</v>
      </c>
      <c r="AE191" s="224">
        <v>0</v>
      </c>
      <c r="AF191" s="224">
        <v>2901.0652419648</v>
      </c>
      <c r="AG191" s="224">
        <v>2413.9179039301303</v>
      </c>
      <c r="AH191" s="224">
        <v>0</v>
      </c>
      <c r="AI191" s="224">
        <v>66000</v>
      </c>
      <c r="AJ191" s="224">
        <v>7124.2188517500035</v>
      </c>
      <c r="AK191" s="224">
        <v>3935.8667708711309</v>
      </c>
      <c r="AL191" s="224">
        <v>26508.6</v>
      </c>
      <c r="AM191" s="224">
        <v>8996.9115299999994</v>
      </c>
      <c r="AN191" s="1120">
        <v>117880.58029851606</v>
      </c>
      <c r="AO191" s="224">
        <f t="shared" si="11"/>
        <v>1.0920347133037853</v>
      </c>
      <c r="AP191" s="1123">
        <v>0.1</v>
      </c>
      <c r="AQ191" s="1123">
        <f t="shared" si="13"/>
        <v>0.13792129201534861</v>
      </c>
      <c r="AR191" s="1123">
        <v>20</v>
      </c>
      <c r="AS191" s="1123">
        <f t="shared" si="14"/>
        <v>0.38641740083962633</v>
      </c>
      <c r="AT191" s="224">
        <f t="shared" si="12"/>
        <v>16258.241938290383</v>
      </c>
    </row>
    <row r="192" spans="1:46">
      <c r="A192" s="1118">
        <v>2050</v>
      </c>
      <c r="D192" s="1107" t="s">
        <v>2006</v>
      </c>
      <c r="E192" s="224" t="s">
        <v>2062</v>
      </c>
      <c r="G192" s="224">
        <v>17776.715214781463</v>
      </c>
      <c r="H192" s="224">
        <v>7269</v>
      </c>
      <c r="I192" s="224">
        <v>6.6290400000000007</v>
      </c>
      <c r="J192" s="224">
        <v>6.0643449174750085E-2</v>
      </c>
      <c r="K192" s="224">
        <v>7.3935172392706056E-2</v>
      </c>
      <c r="L192" s="224">
        <v>9.7049659858491247E-2</v>
      </c>
      <c r="M192" s="224">
        <v>0</v>
      </c>
      <c r="N192" s="224">
        <v>0</v>
      </c>
      <c r="O192" s="224">
        <v>0</v>
      </c>
      <c r="P192" s="224">
        <v>0</v>
      </c>
      <c r="Q192" s="224">
        <v>0</v>
      </c>
      <c r="R192" s="224">
        <v>0</v>
      </c>
      <c r="S192" s="224">
        <v>0</v>
      </c>
      <c r="T192" s="224">
        <v>0</v>
      </c>
      <c r="U192" s="224">
        <v>0</v>
      </c>
      <c r="V192" s="224">
        <v>0</v>
      </c>
      <c r="W192" s="224">
        <v>266.16780510000001</v>
      </c>
      <c r="X192" s="224">
        <v>125.27587336244537</v>
      </c>
      <c r="Y192" s="224">
        <v>6.6290400000000007</v>
      </c>
      <c r="Z192" s="224">
        <v>172.47618445000001</v>
      </c>
      <c r="AA192" s="224">
        <v>12.128689834950016</v>
      </c>
      <c r="AB192" s="224">
        <v>14.787034478541209</v>
      </c>
      <c r="AC192" s="224">
        <v>19.409931971698249</v>
      </c>
      <c r="AD192" s="1120">
        <v>7.3556439557929512</v>
      </c>
      <c r="AE192" s="224">
        <v>0</v>
      </c>
      <c r="AF192" s="224">
        <v>1715.7119713739999</v>
      </c>
      <c r="AG192" s="224">
        <v>2256.043362445414</v>
      </c>
      <c r="AH192" s="224">
        <v>0</v>
      </c>
      <c r="AI192" s="224">
        <v>66000</v>
      </c>
      <c r="AJ192" s="224">
        <v>10196.430783</v>
      </c>
      <c r="AK192" s="224">
        <v>4842.5801991868502</v>
      </c>
      <c r="AL192" s="224">
        <v>23041.799999999996</v>
      </c>
      <c r="AM192" s="224">
        <v>7577.2243199999994</v>
      </c>
      <c r="AN192" s="1120">
        <v>115629.79063600626</v>
      </c>
      <c r="AO192" s="224">
        <f t="shared" si="11"/>
        <v>0.96917964761527919</v>
      </c>
      <c r="AP192" s="1123">
        <v>0.1</v>
      </c>
      <c r="AQ192" s="1123">
        <f t="shared" si="13"/>
        <v>0.13792129201534861</v>
      </c>
      <c r="AR192" s="1123">
        <v>20</v>
      </c>
      <c r="AS192" s="1123">
        <f t="shared" si="14"/>
        <v>0.34294503262185172</v>
      </c>
      <c r="AT192" s="224">
        <f t="shared" si="12"/>
        <v>15947.810119982243</v>
      </c>
    </row>
    <row r="193" spans="1:46">
      <c r="A193" s="1118">
        <v>2017</v>
      </c>
      <c r="B193" s="1119"/>
      <c r="C193" s="1119"/>
      <c r="D193" s="1119" t="s">
        <v>2008</v>
      </c>
      <c r="E193" s="1119" t="s">
        <v>2057</v>
      </c>
      <c r="F193" s="1119"/>
      <c r="G193" s="224">
        <v>24989.884255070989</v>
      </c>
      <c r="H193" s="224">
        <v>9364</v>
      </c>
      <c r="I193" s="224">
        <v>2.3759999999999999</v>
      </c>
      <c r="J193" s="224">
        <v>0.16950749573681748</v>
      </c>
      <c r="K193" s="224">
        <v>0.10886097846829028</v>
      </c>
      <c r="L193" s="224">
        <v>0.12220511235236636</v>
      </c>
      <c r="M193" s="224">
        <v>0</v>
      </c>
      <c r="N193" s="224">
        <v>0</v>
      </c>
      <c r="O193" s="224">
        <v>0</v>
      </c>
      <c r="P193" s="224">
        <v>0</v>
      </c>
      <c r="Q193" s="224">
        <v>0</v>
      </c>
      <c r="R193" s="224">
        <v>0</v>
      </c>
      <c r="S193" s="224">
        <v>0</v>
      </c>
      <c r="T193" s="224">
        <v>0</v>
      </c>
      <c r="U193" s="224">
        <v>0</v>
      </c>
      <c r="V193" s="224">
        <v>304.51632640000003</v>
      </c>
      <c r="W193" s="224">
        <v>0</v>
      </c>
      <c r="X193" s="224">
        <v>3.2632499999999989</v>
      </c>
      <c r="Y193" s="224">
        <v>2.3759999999999999</v>
      </c>
      <c r="Z193" s="224">
        <v>0</v>
      </c>
      <c r="AA193" s="224">
        <v>84.753747868408738</v>
      </c>
      <c r="AB193" s="224">
        <v>54.430489234145142</v>
      </c>
      <c r="AC193" s="224">
        <v>61.102556176183178</v>
      </c>
      <c r="AD193" s="1120">
        <v>11.975722271073153</v>
      </c>
      <c r="AE193" s="224">
        <v>30789.827542454852</v>
      </c>
      <c r="AF193" s="224">
        <v>0</v>
      </c>
      <c r="AG193" s="224">
        <v>261.60000000000002</v>
      </c>
      <c r="AH193" s="224">
        <v>12689.115239486457</v>
      </c>
      <c r="AI193" s="224">
        <v>90000</v>
      </c>
      <c r="AJ193" s="224">
        <v>0</v>
      </c>
      <c r="AK193" s="224">
        <v>745.98720000000003</v>
      </c>
      <c r="AL193" s="224">
        <v>0</v>
      </c>
      <c r="AM193" s="224">
        <v>436.00000000000006</v>
      </c>
      <c r="AN193" s="1120">
        <v>134922.5299819413</v>
      </c>
      <c r="AO193" s="224">
        <f t="shared" si="11"/>
        <v>1.5779211664365984</v>
      </c>
      <c r="AP193" s="1123">
        <v>0.1</v>
      </c>
      <c r="AQ193" s="1123">
        <f>AA193*$C$4*365/1000*0.1</f>
        <v>0.40760111439866603</v>
      </c>
      <c r="AR193" s="1123">
        <v>20</v>
      </c>
      <c r="AS193" s="1123">
        <f>AO193/$AO$193</f>
        <v>1</v>
      </c>
      <c r="AT193" s="224">
        <f t="shared" si="12"/>
        <v>54994.573578126707</v>
      </c>
    </row>
    <row r="194" spans="1:46">
      <c r="A194" s="1121">
        <v>2020</v>
      </c>
      <c r="B194" s="1107"/>
      <c r="C194" s="1107"/>
      <c r="D194" s="1107" t="s">
        <v>2008</v>
      </c>
      <c r="E194" s="1107" t="s">
        <v>2057</v>
      </c>
      <c r="F194" s="1107"/>
      <c r="G194" s="224" t="e">
        <v>#DIV/0!</v>
      </c>
      <c r="H194" s="224" t="e">
        <v>#DIV/0!</v>
      </c>
      <c r="I194" s="224" t="e">
        <v>#DIV/0!</v>
      </c>
      <c r="J194" s="224" t="e">
        <v>#DIV/0!</v>
      </c>
      <c r="K194" s="224" t="e">
        <v>#DIV/0!</v>
      </c>
      <c r="L194" s="224" t="e">
        <v>#DIV/0!</v>
      </c>
      <c r="M194" s="224" t="e">
        <v>#DIV/0!</v>
      </c>
      <c r="N194" s="224" t="e">
        <v>#DIV/0!</v>
      </c>
      <c r="O194" s="224" t="e">
        <v>#DIV/0!</v>
      </c>
      <c r="P194" s="224" t="e">
        <v>#DIV/0!</v>
      </c>
      <c r="Q194" s="224" t="e">
        <v>#DIV/0!</v>
      </c>
      <c r="R194" s="224" t="e">
        <v>#DIV/0!</v>
      </c>
      <c r="S194" s="224" t="e">
        <v>#DIV/0!</v>
      </c>
      <c r="T194" s="224" t="e">
        <v>#DIV/0!</v>
      </c>
      <c r="U194" s="224" t="e">
        <v>#DIV/0!</v>
      </c>
      <c r="V194" s="224" t="e">
        <v>#DIV/0!</v>
      </c>
      <c r="W194" s="224" t="e">
        <v>#DIV/0!</v>
      </c>
      <c r="X194" s="224" t="e">
        <v>#DIV/0!</v>
      </c>
      <c r="Y194" s="224" t="e">
        <v>#DIV/0!</v>
      </c>
      <c r="Z194" s="224" t="e">
        <v>#DIV/0!</v>
      </c>
      <c r="AA194" s="224" t="e">
        <v>#DIV/0!</v>
      </c>
      <c r="AB194" s="224" t="e">
        <v>#DIV/0!</v>
      </c>
      <c r="AC194" s="224" t="e">
        <v>#DIV/0!</v>
      </c>
      <c r="AD194" s="1120" t="e">
        <v>#DIV/0!</v>
      </c>
      <c r="AE194" s="224" t="e">
        <v>#DIV/0!</v>
      </c>
      <c r="AF194" s="224" t="e">
        <v>#DIV/0!</v>
      </c>
      <c r="AG194" s="224" t="e">
        <v>#DIV/0!</v>
      </c>
      <c r="AH194" s="224" t="e">
        <v>#DIV/0!</v>
      </c>
      <c r="AI194" s="224" t="e">
        <v>#DIV/0!</v>
      </c>
      <c r="AJ194" s="224" t="e">
        <v>#DIV/0!</v>
      </c>
      <c r="AK194" s="224" t="e">
        <v>#DIV/0!</v>
      </c>
      <c r="AL194" s="224" t="e">
        <v>#DIV/0!</v>
      </c>
      <c r="AM194" s="224" t="e">
        <v>#DIV/0!</v>
      </c>
      <c r="AN194" s="1120" t="e">
        <v>#DIV/0!</v>
      </c>
      <c r="AO194" s="224" t="e">
        <f t="shared" si="11"/>
        <v>#DIV/0!</v>
      </c>
      <c r="AP194" s="1123">
        <v>0.1</v>
      </c>
      <c r="AQ194" s="1123">
        <f t="shared" si="13"/>
        <v>0.40760111439866603</v>
      </c>
      <c r="AR194" s="1123">
        <v>20</v>
      </c>
      <c r="AS194" s="1123" t="e">
        <f t="shared" ref="AS194:AS228" si="15">AO194/$AO$193</f>
        <v>#DIV/0!</v>
      </c>
      <c r="AT194" s="224" t="e">
        <f t="shared" si="12"/>
        <v>#DIV/0!</v>
      </c>
    </row>
    <row r="195" spans="1:46">
      <c r="A195" s="1118">
        <v>2025</v>
      </c>
      <c r="B195" s="1119"/>
      <c r="C195" s="1119"/>
      <c r="D195" s="1107" t="s">
        <v>2008</v>
      </c>
      <c r="E195" s="1119" t="s">
        <v>2057</v>
      </c>
      <c r="F195" s="1119"/>
      <c r="G195" s="224" t="e">
        <v>#DIV/0!</v>
      </c>
      <c r="H195" s="224" t="e">
        <v>#DIV/0!</v>
      </c>
      <c r="I195" s="224" t="e">
        <v>#DIV/0!</v>
      </c>
      <c r="J195" s="224" t="e">
        <v>#DIV/0!</v>
      </c>
      <c r="K195" s="224" t="e">
        <v>#DIV/0!</v>
      </c>
      <c r="L195" s="224" t="e">
        <v>#DIV/0!</v>
      </c>
      <c r="M195" s="224" t="e">
        <v>#DIV/0!</v>
      </c>
      <c r="N195" s="224" t="e">
        <v>#DIV/0!</v>
      </c>
      <c r="O195" s="224" t="e">
        <v>#DIV/0!</v>
      </c>
      <c r="P195" s="224" t="e">
        <v>#DIV/0!</v>
      </c>
      <c r="Q195" s="224" t="e">
        <v>#DIV/0!</v>
      </c>
      <c r="R195" s="224" t="e">
        <v>#DIV/0!</v>
      </c>
      <c r="S195" s="224" t="e">
        <v>#DIV/0!</v>
      </c>
      <c r="T195" s="224" t="e">
        <v>#DIV/0!</v>
      </c>
      <c r="U195" s="224" t="e">
        <v>#DIV/0!</v>
      </c>
      <c r="V195" s="224" t="e">
        <v>#DIV/0!</v>
      </c>
      <c r="W195" s="224" t="e">
        <v>#DIV/0!</v>
      </c>
      <c r="X195" s="224" t="e">
        <v>#DIV/0!</v>
      </c>
      <c r="Y195" s="224" t="e">
        <v>#DIV/0!</v>
      </c>
      <c r="Z195" s="224" t="e">
        <v>#DIV/0!</v>
      </c>
      <c r="AA195" s="224" t="e">
        <v>#DIV/0!</v>
      </c>
      <c r="AB195" s="224" t="e">
        <v>#DIV/0!</v>
      </c>
      <c r="AC195" s="224" t="e">
        <v>#DIV/0!</v>
      </c>
      <c r="AD195" s="1120" t="e">
        <v>#DIV/0!</v>
      </c>
      <c r="AE195" s="224" t="e">
        <v>#DIV/0!</v>
      </c>
      <c r="AF195" s="224" t="e">
        <v>#DIV/0!</v>
      </c>
      <c r="AG195" s="224" t="e">
        <v>#DIV/0!</v>
      </c>
      <c r="AH195" s="224" t="e">
        <v>#DIV/0!</v>
      </c>
      <c r="AI195" s="224" t="e">
        <v>#DIV/0!</v>
      </c>
      <c r="AJ195" s="224" t="e">
        <v>#DIV/0!</v>
      </c>
      <c r="AK195" s="224" t="e">
        <v>#DIV/0!</v>
      </c>
      <c r="AL195" s="224" t="e">
        <v>#DIV/0!</v>
      </c>
      <c r="AM195" s="224" t="e">
        <v>#DIV/0!</v>
      </c>
      <c r="AN195" s="1120" t="e">
        <v>#DIV/0!</v>
      </c>
      <c r="AO195" s="224" t="e">
        <f t="shared" si="11"/>
        <v>#DIV/0!</v>
      </c>
      <c r="AP195" s="1123">
        <v>0.1</v>
      </c>
      <c r="AQ195" s="1123">
        <f t="shared" si="13"/>
        <v>0.40760111439866603</v>
      </c>
      <c r="AR195" s="1123">
        <v>20</v>
      </c>
      <c r="AS195" s="1123" t="e">
        <f t="shared" si="15"/>
        <v>#DIV/0!</v>
      </c>
      <c r="AT195" s="224" t="e">
        <f t="shared" si="12"/>
        <v>#DIV/0!</v>
      </c>
    </row>
    <row r="196" spans="1:46">
      <c r="A196" s="1118">
        <v>2030</v>
      </c>
      <c r="B196" s="1107"/>
      <c r="C196" s="1107"/>
      <c r="D196" s="1107" t="s">
        <v>2008</v>
      </c>
      <c r="E196" s="1107" t="s">
        <v>2057</v>
      </c>
      <c r="F196" s="1107"/>
      <c r="G196" s="224">
        <v>22576.914856884745</v>
      </c>
      <c r="H196" s="224">
        <v>9364</v>
      </c>
      <c r="I196" s="224">
        <v>2.3759999999999999</v>
      </c>
      <c r="J196" s="224">
        <v>0.12715167281672726</v>
      </c>
      <c r="K196" s="224">
        <v>7.6144552277835051E-2</v>
      </c>
      <c r="L196" s="224">
        <v>8.3863058368518345E-2</v>
      </c>
      <c r="M196" s="224">
        <v>0</v>
      </c>
      <c r="N196" s="224">
        <v>0</v>
      </c>
      <c r="O196" s="224">
        <v>0</v>
      </c>
      <c r="P196" s="224">
        <v>0</v>
      </c>
      <c r="Q196" s="224">
        <v>0</v>
      </c>
      <c r="R196" s="224">
        <v>0</v>
      </c>
      <c r="S196" s="224">
        <v>0</v>
      </c>
      <c r="T196" s="224">
        <v>0</v>
      </c>
      <c r="U196" s="224">
        <v>0</v>
      </c>
      <c r="V196" s="224">
        <v>267.6789569</v>
      </c>
      <c r="W196" s="224">
        <v>0</v>
      </c>
      <c r="X196" s="224">
        <v>3.2973260869565211</v>
      </c>
      <c r="Y196" s="224">
        <v>2.3759999999999999</v>
      </c>
      <c r="Z196" s="224">
        <v>0</v>
      </c>
      <c r="AA196" s="224">
        <v>63.575836408363628</v>
      </c>
      <c r="AB196" s="224">
        <v>38.072276138917523</v>
      </c>
      <c r="AC196" s="224">
        <v>41.931529184259169</v>
      </c>
      <c r="AD196" s="1120">
        <v>8.2797608146575641</v>
      </c>
      <c r="AE196" s="224">
        <v>26148.558274751998</v>
      </c>
      <c r="AF196" s="224">
        <v>0</v>
      </c>
      <c r="AG196" s="224">
        <v>177.6</v>
      </c>
      <c r="AH196" s="224">
        <v>11277.469302591977</v>
      </c>
      <c r="AI196" s="224">
        <v>90000</v>
      </c>
      <c r="AJ196" s="224">
        <v>0</v>
      </c>
      <c r="AK196" s="224">
        <v>658.22399999999993</v>
      </c>
      <c r="AL196" s="224">
        <v>0</v>
      </c>
      <c r="AM196" s="224">
        <v>296</v>
      </c>
      <c r="AN196" s="1120">
        <v>128557.85157734397</v>
      </c>
      <c r="AO196" s="224">
        <f t="shared" si="11"/>
        <v>1.0909412849392806</v>
      </c>
      <c r="AP196" s="1123">
        <v>0.1</v>
      </c>
      <c r="AQ196" s="1123">
        <f t="shared" si="13"/>
        <v>0.40760111439866603</v>
      </c>
      <c r="AR196" s="1123">
        <v>20</v>
      </c>
      <c r="AS196" s="1123">
        <f t="shared" si="15"/>
        <v>0.69137882686683327</v>
      </c>
      <c r="AT196" s="224">
        <f t="shared" si="12"/>
        <v>52400.323567623709</v>
      </c>
    </row>
    <row r="197" spans="1:46">
      <c r="A197" s="1118">
        <v>2035</v>
      </c>
      <c r="B197" s="1119"/>
      <c r="C197" s="1119"/>
      <c r="D197" s="1107" t="s">
        <v>2008</v>
      </c>
      <c r="E197" s="1119" t="s">
        <v>2057</v>
      </c>
      <c r="F197" s="1119"/>
      <c r="G197" s="224" t="e">
        <v>#DIV/0!</v>
      </c>
      <c r="H197" s="224" t="e">
        <v>#DIV/0!</v>
      </c>
      <c r="I197" s="224" t="e">
        <v>#DIV/0!</v>
      </c>
      <c r="J197" s="224" t="e">
        <v>#DIV/0!</v>
      </c>
      <c r="K197" s="224" t="e">
        <v>#DIV/0!</v>
      </c>
      <c r="L197" s="224" t="e">
        <v>#DIV/0!</v>
      </c>
      <c r="M197" s="224" t="e">
        <v>#DIV/0!</v>
      </c>
      <c r="N197" s="224" t="e">
        <v>#DIV/0!</v>
      </c>
      <c r="O197" s="224" t="e">
        <v>#DIV/0!</v>
      </c>
      <c r="P197" s="224" t="e">
        <v>#DIV/0!</v>
      </c>
      <c r="Q197" s="224" t="e">
        <v>#DIV/0!</v>
      </c>
      <c r="R197" s="224" t="e">
        <v>#DIV/0!</v>
      </c>
      <c r="S197" s="224" t="e">
        <v>#DIV/0!</v>
      </c>
      <c r="T197" s="224" t="e">
        <v>#DIV/0!</v>
      </c>
      <c r="U197" s="224" t="e">
        <v>#DIV/0!</v>
      </c>
      <c r="V197" s="224" t="e">
        <v>#DIV/0!</v>
      </c>
      <c r="W197" s="224" t="e">
        <v>#DIV/0!</v>
      </c>
      <c r="X197" s="224" t="e">
        <v>#DIV/0!</v>
      </c>
      <c r="Y197" s="224" t="e">
        <v>#DIV/0!</v>
      </c>
      <c r="Z197" s="224" t="e">
        <v>#DIV/0!</v>
      </c>
      <c r="AA197" s="224" t="e">
        <v>#DIV/0!</v>
      </c>
      <c r="AB197" s="224" t="e">
        <v>#DIV/0!</v>
      </c>
      <c r="AC197" s="224" t="e">
        <v>#DIV/0!</v>
      </c>
      <c r="AD197" s="1120" t="e">
        <v>#DIV/0!</v>
      </c>
      <c r="AE197" s="224" t="e">
        <v>#DIV/0!</v>
      </c>
      <c r="AF197" s="224" t="e">
        <v>#DIV/0!</v>
      </c>
      <c r="AG197" s="224" t="e">
        <v>#DIV/0!</v>
      </c>
      <c r="AH197" s="224" t="e">
        <v>#DIV/0!</v>
      </c>
      <c r="AI197" s="224" t="e">
        <v>#DIV/0!</v>
      </c>
      <c r="AJ197" s="224" t="e">
        <v>#DIV/0!</v>
      </c>
      <c r="AK197" s="224" t="e">
        <v>#DIV/0!</v>
      </c>
      <c r="AL197" s="224" t="e">
        <v>#DIV/0!</v>
      </c>
      <c r="AM197" s="224" t="e">
        <v>#DIV/0!</v>
      </c>
      <c r="AN197" s="1120" t="e">
        <v>#DIV/0!</v>
      </c>
      <c r="AO197" s="224" t="e">
        <f t="shared" si="11"/>
        <v>#DIV/0!</v>
      </c>
      <c r="AP197" s="1123">
        <v>0.1</v>
      </c>
      <c r="AQ197" s="1123">
        <f t="shared" si="13"/>
        <v>0.40760111439866603</v>
      </c>
      <c r="AR197" s="1123">
        <v>20</v>
      </c>
      <c r="AS197" s="1123" t="e">
        <f t="shared" si="15"/>
        <v>#DIV/0!</v>
      </c>
      <c r="AT197" s="224" t="e">
        <f t="shared" si="12"/>
        <v>#DIV/0!</v>
      </c>
    </row>
    <row r="198" spans="1:46">
      <c r="A198" s="1118">
        <v>2050</v>
      </c>
      <c r="B198" s="1107"/>
      <c r="C198" s="1107"/>
      <c r="D198" s="1107" t="s">
        <v>2008</v>
      </c>
      <c r="E198" s="1107" t="s">
        <v>2057</v>
      </c>
      <c r="F198" s="1107"/>
      <c r="G198" s="224">
        <v>21132.204102031774</v>
      </c>
      <c r="H198" s="224">
        <v>9364</v>
      </c>
      <c r="I198" s="224">
        <v>2.3759999999999999</v>
      </c>
      <c r="J198" s="224">
        <v>0.10816003000012898</v>
      </c>
      <c r="K198" s="224">
        <v>6.3423850478708479E-2</v>
      </c>
      <c r="L198" s="224">
        <v>7.0027103434465304E-2</v>
      </c>
      <c r="M198" s="224">
        <v>0</v>
      </c>
      <c r="N198" s="224">
        <v>0</v>
      </c>
      <c r="O198" s="224">
        <v>0</v>
      </c>
      <c r="P198" s="224">
        <v>0</v>
      </c>
      <c r="Q198" s="224">
        <v>0</v>
      </c>
      <c r="R198" s="224">
        <v>0</v>
      </c>
      <c r="S198" s="224">
        <v>0</v>
      </c>
      <c r="T198" s="224">
        <v>0</v>
      </c>
      <c r="U198" s="224">
        <v>0</v>
      </c>
      <c r="V198" s="224">
        <v>246.38190019999999</v>
      </c>
      <c r="W198" s="224">
        <v>0</v>
      </c>
      <c r="X198" s="224">
        <v>3.2973260869565211</v>
      </c>
      <c r="Y198" s="224">
        <v>2.3759999999999999</v>
      </c>
      <c r="Z198" s="224">
        <v>0</v>
      </c>
      <c r="AA198" s="224">
        <v>54.080015000064492</v>
      </c>
      <c r="AB198" s="224">
        <v>31.71192523935424</v>
      </c>
      <c r="AC198" s="224">
        <v>35.013551717232652</v>
      </c>
      <c r="AD198" s="1120">
        <v>6.9224005701607405</v>
      </c>
      <c r="AE198" s="224">
        <v>23650.658756187426</v>
      </c>
      <c r="AF198" s="224">
        <v>0</v>
      </c>
      <c r="AG198" s="224">
        <v>144</v>
      </c>
      <c r="AH198" s="224">
        <v>10461.344156675514</v>
      </c>
      <c r="AI198" s="224">
        <v>90000</v>
      </c>
      <c r="AJ198" s="224">
        <v>0</v>
      </c>
      <c r="AK198" s="224">
        <v>658.22399999999993</v>
      </c>
      <c r="AL198" s="224">
        <v>0</v>
      </c>
      <c r="AM198" s="224">
        <v>240</v>
      </c>
      <c r="AN198" s="1120">
        <v>125154.22691286294</v>
      </c>
      <c r="AO198" s="224">
        <f t="shared" si="11"/>
        <v>0.91209549912437904</v>
      </c>
      <c r="AP198" s="1123">
        <v>0.1</v>
      </c>
      <c r="AQ198" s="1123">
        <f t="shared" si="13"/>
        <v>0.40760111439866603</v>
      </c>
      <c r="AR198" s="1123">
        <v>20</v>
      </c>
      <c r="AS198" s="1123">
        <f t="shared" si="15"/>
        <v>0.5780361646229476</v>
      </c>
      <c r="AT198" s="224">
        <f t="shared" si="12"/>
        <v>51013.002361386454</v>
      </c>
    </row>
    <row r="199" spans="1:46">
      <c r="A199" s="1118">
        <v>2017</v>
      </c>
      <c r="B199" s="1119"/>
      <c r="C199" s="1119"/>
      <c r="D199" s="1107" t="s">
        <v>2008</v>
      </c>
      <c r="E199" s="1119" t="s">
        <v>2058</v>
      </c>
      <c r="F199" s="1119"/>
      <c r="G199" s="224">
        <v>24972.322295949962</v>
      </c>
      <c r="H199" s="224">
        <v>9364</v>
      </c>
      <c r="I199" s="224">
        <v>0.10666782720000001</v>
      </c>
      <c r="J199" s="224">
        <v>0.17221090405746176</v>
      </c>
      <c r="K199" s="224">
        <v>0.10782294043001833</v>
      </c>
      <c r="L199" s="224">
        <v>0.12295243011306108</v>
      </c>
      <c r="M199" s="224">
        <v>0</v>
      </c>
      <c r="N199" s="224">
        <v>0</v>
      </c>
      <c r="O199" s="224">
        <v>0</v>
      </c>
      <c r="P199" s="224">
        <v>0</v>
      </c>
      <c r="Q199" s="224">
        <v>0</v>
      </c>
      <c r="R199" s="224">
        <v>0</v>
      </c>
      <c r="S199" s="224">
        <v>0</v>
      </c>
      <c r="T199" s="224">
        <v>0</v>
      </c>
      <c r="U199" s="224">
        <v>0</v>
      </c>
      <c r="V199" s="224">
        <v>304.51632640000003</v>
      </c>
      <c r="W199" s="224">
        <v>2</v>
      </c>
      <c r="X199" s="224">
        <v>3</v>
      </c>
      <c r="Y199" s="224">
        <v>0.10666782720000001</v>
      </c>
      <c r="Z199" s="224">
        <v>0</v>
      </c>
      <c r="AA199" s="224">
        <v>86.10545202873088</v>
      </c>
      <c r="AB199" s="224">
        <v>53.911470215009167</v>
      </c>
      <c r="AC199" s="224">
        <v>61.476215056530535</v>
      </c>
      <c r="AD199" s="1120">
        <v>12.041723372227729</v>
      </c>
      <c r="AE199" s="224">
        <v>30789.827542454852</v>
      </c>
      <c r="AF199" s="224">
        <v>612.29999999999995</v>
      </c>
      <c r="AG199" s="224">
        <v>144.76596535119614</v>
      </c>
      <c r="AH199" s="224">
        <v>12689.115239486457</v>
      </c>
      <c r="AI199" s="224">
        <v>90000</v>
      </c>
      <c r="AJ199" s="224">
        <v>0</v>
      </c>
      <c r="AK199" s="224">
        <v>745.98720000000003</v>
      </c>
      <c r="AL199" s="224">
        <v>0</v>
      </c>
      <c r="AM199" s="224">
        <v>436.00000000000006</v>
      </c>
      <c r="AN199" s="1120">
        <v>135417.99594729248</v>
      </c>
      <c r="AO199" s="224">
        <f t="shared" si="11"/>
        <v>1.5866174715247254</v>
      </c>
      <c r="AP199" s="1123">
        <v>0.1</v>
      </c>
      <c r="AQ199" s="1123">
        <f t="shared" si="13"/>
        <v>0.40760111439866603</v>
      </c>
      <c r="AR199" s="1123">
        <v>20</v>
      </c>
      <c r="AS199" s="1123">
        <f t="shared" si="15"/>
        <v>1.0055112417990855</v>
      </c>
      <c r="AT199" s="224">
        <f t="shared" si="12"/>
        <v>55196.52605775046</v>
      </c>
    </row>
    <row r="200" spans="1:46">
      <c r="A200" s="1121">
        <v>2020</v>
      </c>
      <c r="D200" s="1107" t="s">
        <v>2008</v>
      </c>
      <c r="E200" s="224" t="s">
        <v>2058</v>
      </c>
      <c r="G200" s="224" t="e">
        <v>#DIV/0!</v>
      </c>
      <c r="H200" s="224" t="e">
        <v>#DIV/0!</v>
      </c>
      <c r="I200" s="224" t="e">
        <v>#DIV/0!</v>
      </c>
      <c r="J200" s="224" t="e">
        <v>#DIV/0!</v>
      </c>
      <c r="K200" s="224" t="e">
        <v>#DIV/0!</v>
      </c>
      <c r="L200" s="224" t="e">
        <v>#DIV/0!</v>
      </c>
      <c r="M200" s="224" t="e">
        <v>#DIV/0!</v>
      </c>
      <c r="N200" s="224" t="e">
        <v>#DIV/0!</v>
      </c>
      <c r="O200" s="224" t="e">
        <v>#DIV/0!</v>
      </c>
      <c r="P200" s="224" t="e">
        <v>#DIV/0!</v>
      </c>
      <c r="Q200" s="224" t="e">
        <v>#DIV/0!</v>
      </c>
      <c r="R200" s="224" t="e">
        <v>#DIV/0!</v>
      </c>
      <c r="S200" s="224" t="e">
        <v>#DIV/0!</v>
      </c>
      <c r="T200" s="224" t="e">
        <v>#DIV/0!</v>
      </c>
      <c r="U200" s="224" t="e">
        <v>#DIV/0!</v>
      </c>
      <c r="V200" s="224" t="e">
        <v>#DIV/0!</v>
      </c>
      <c r="W200" s="224" t="e">
        <v>#DIV/0!</v>
      </c>
      <c r="X200" s="224" t="e">
        <v>#DIV/0!</v>
      </c>
      <c r="Y200" s="224" t="e">
        <v>#DIV/0!</v>
      </c>
      <c r="Z200" s="224" t="e">
        <v>#DIV/0!</v>
      </c>
      <c r="AA200" s="224" t="e">
        <v>#DIV/0!</v>
      </c>
      <c r="AB200" s="224" t="e">
        <v>#DIV/0!</v>
      </c>
      <c r="AC200" s="224" t="e">
        <v>#DIV/0!</v>
      </c>
      <c r="AD200" s="1120" t="e">
        <v>#DIV/0!</v>
      </c>
      <c r="AE200" s="224" t="e">
        <v>#DIV/0!</v>
      </c>
      <c r="AF200" s="224" t="e">
        <v>#DIV/0!</v>
      </c>
      <c r="AG200" s="224" t="e">
        <v>#DIV/0!</v>
      </c>
      <c r="AH200" s="224" t="e">
        <v>#DIV/0!</v>
      </c>
      <c r="AI200" s="224" t="e">
        <v>#DIV/0!</v>
      </c>
      <c r="AJ200" s="224" t="e">
        <v>#DIV/0!</v>
      </c>
      <c r="AK200" s="224" t="e">
        <v>#DIV/0!</v>
      </c>
      <c r="AL200" s="224" t="e">
        <v>#DIV/0!</v>
      </c>
      <c r="AM200" s="224" t="e">
        <v>#DIV/0!</v>
      </c>
      <c r="AN200" s="1120" t="e">
        <v>#DIV/0!</v>
      </c>
      <c r="AO200" s="224" t="e">
        <f t="shared" si="11"/>
        <v>#DIV/0!</v>
      </c>
      <c r="AP200" s="1123">
        <v>0.1</v>
      </c>
      <c r="AQ200" s="1123">
        <f t="shared" si="13"/>
        <v>0.40760111439866603</v>
      </c>
      <c r="AR200" s="1123">
        <v>20</v>
      </c>
      <c r="AS200" s="1123" t="e">
        <f t="shared" si="15"/>
        <v>#DIV/0!</v>
      </c>
      <c r="AT200" s="224" t="e">
        <f t="shared" si="12"/>
        <v>#DIV/0!</v>
      </c>
    </row>
    <row r="201" spans="1:46">
      <c r="A201" s="1118">
        <v>2025</v>
      </c>
      <c r="D201" s="1107" t="s">
        <v>2008</v>
      </c>
      <c r="E201" s="224" t="s">
        <v>2058</v>
      </c>
      <c r="G201" s="224" t="e">
        <v>#DIV/0!</v>
      </c>
      <c r="H201" s="224" t="e">
        <v>#DIV/0!</v>
      </c>
      <c r="I201" s="224" t="e">
        <v>#DIV/0!</v>
      </c>
      <c r="J201" s="224" t="e">
        <v>#DIV/0!</v>
      </c>
      <c r="K201" s="224" t="e">
        <v>#DIV/0!</v>
      </c>
      <c r="L201" s="224" t="e">
        <v>#DIV/0!</v>
      </c>
      <c r="M201" s="224" t="e">
        <v>#DIV/0!</v>
      </c>
      <c r="N201" s="224" t="e">
        <v>#DIV/0!</v>
      </c>
      <c r="O201" s="224" t="e">
        <v>#DIV/0!</v>
      </c>
      <c r="P201" s="224" t="e">
        <v>#DIV/0!</v>
      </c>
      <c r="Q201" s="224" t="e">
        <v>#DIV/0!</v>
      </c>
      <c r="R201" s="224" t="e">
        <v>#DIV/0!</v>
      </c>
      <c r="S201" s="224" t="e">
        <v>#DIV/0!</v>
      </c>
      <c r="T201" s="224" t="e">
        <v>#DIV/0!</v>
      </c>
      <c r="U201" s="224" t="e">
        <v>#DIV/0!</v>
      </c>
      <c r="V201" s="224" t="e">
        <v>#DIV/0!</v>
      </c>
      <c r="W201" s="224" t="e">
        <v>#DIV/0!</v>
      </c>
      <c r="X201" s="224" t="e">
        <v>#DIV/0!</v>
      </c>
      <c r="Y201" s="224" t="e">
        <v>#DIV/0!</v>
      </c>
      <c r="Z201" s="224" t="e">
        <v>#DIV/0!</v>
      </c>
      <c r="AA201" s="224" t="e">
        <v>#DIV/0!</v>
      </c>
      <c r="AB201" s="224" t="e">
        <v>#DIV/0!</v>
      </c>
      <c r="AC201" s="224" t="e">
        <v>#DIV/0!</v>
      </c>
      <c r="AD201" s="1120" t="e">
        <v>#DIV/0!</v>
      </c>
      <c r="AE201" s="224" t="e">
        <v>#DIV/0!</v>
      </c>
      <c r="AF201" s="224" t="e">
        <v>#DIV/0!</v>
      </c>
      <c r="AG201" s="224" t="e">
        <v>#DIV/0!</v>
      </c>
      <c r="AH201" s="224" t="e">
        <v>#DIV/0!</v>
      </c>
      <c r="AI201" s="224" t="e">
        <v>#DIV/0!</v>
      </c>
      <c r="AJ201" s="224" t="e">
        <v>#DIV/0!</v>
      </c>
      <c r="AK201" s="224" t="e">
        <v>#DIV/0!</v>
      </c>
      <c r="AL201" s="224" t="e">
        <v>#DIV/0!</v>
      </c>
      <c r="AM201" s="224" t="e">
        <v>#DIV/0!</v>
      </c>
      <c r="AN201" s="1120" t="e">
        <v>#DIV/0!</v>
      </c>
      <c r="AO201" s="224" t="e">
        <f t="shared" si="11"/>
        <v>#DIV/0!</v>
      </c>
      <c r="AP201" s="1123">
        <v>0.1</v>
      </c>
      <c r="AQ201" s="1123">
        <f t="shared" si="13"/>
        <v>0.40760111439866603</v>
      </c>
      <c r="AR201" s="1123">
        <v>20</v>
      </c>
      <c r="AS201" s="1123" t="e">
        <f t="shared" si="15"/>
        <v>#DIV/0!</v>
      </c>
      <c r="AT201" s="224" t="e">
        <f t="shared" si="12"/>
        <v>#DIV/0!</v>
      </c>
    </row>
    <row r="202" spans="1:46">
      <c r="A202" s="1118">
        <v>2030</v>
      </c>
      <c r="D202" s="1107" t="s">
        <v>2008</v>
      </c>
      <c r="E202" s="224" t="s">
        <v>2058</v>
      </c>
      <c r="G202" s="224" t="e">
        <v>#DIV/0!</v>
      </c>
      <c r="H202" s="224" t="e">
        <v>#DIV/0!</v>
      </c>
      <c r="I202" s="224" t="e">
        <v>#DIV/0!</v>
      </c>
      <c r="J202" s="224" t="e">
        <v>#DIV/0!</v>
      </c>
      <c r="K202" s="224" t="e">
        <v>#DIV/0!</v>
      </c>
      <c r="L202" s="224" t="e">
        <v>#DIV/0!</v>
      </c>
      <c r="M202" s="224" t="e">
        <v>#DIV/0!</v>
      </c>
      <c r="N202" s="224" t="e">
        <v>#DIV/0!</v>
      </c>
      <c r="O202" s="224" t="e">
        <v>#DIV/0!</v>
      </c>
      <c r="P202" s="224" t="e">
        <v>#DIV/0!</v>
      </c>
      <c r="Q202" s="224" t="e">
        <v>#DIV/0!</v>
      </c>
      <c r="R202" s="224" t="e">
        <v>#DIV/0!</v>
      </c>
      <c r="S202" s="224" t="e">
        <v>#DIV/0!</v>
      </c>
      <c r="T202" s="224" t="e">
        <v>#DIV/0!</v>
      </c>
      <c r="U202" s="224" t="e">
        <v>#DIV/0!</v>
      </c>
      <c r="V202" s="224" t="e">
        <v>#DIV/0!</v>
      </c>
      <c r="W202" s="224" t="e">
        <v>#DIV/0!</v>
      </c>
      <c r="X202" s="224" t="e">
        <v>#DIV/0!</v>
      </c>
      <c r="Y202" s="224" t="e">
        <v>#DIV/0!</v>
      </c>
      <c r="Z202" s="224" t="e">
        <v>#DIV/0!</v>
      </c>
      <c r="AA202" s="224" t="e">
        <v>#DIV/0!</v>
      </c>
      <c r="AB202" s="224" t="e">
        <v>#DIV/0!</v>
      </c>
      <c r="AC202" s="224" t="e">
        <v>#DIV/0!</v>
      </c>
      <c r="AD202" s="1120" t="e">
        <v>#DIV/0!</v>
      </c>
      <c r="AE202" s="224" t="e">
        <v>#DIV/0!</v>
      </c>
      <c r="AF202" s="224" t="e">
        <v>#DIV/0!</v>
      </c>
      <c r="AG202" s="224" t="e">
        <v>#DIV/0!</v>
      </c>
      <c r="AH202" s="224" t="e">
        <v>#DIV/0!</v>
      </c>
      <c r="AI202" s="224" t="e">
        <v>#DIV/0!</v>
      </c>
      <c r="AJ202" s="224" t="e">
        <v>#DIV/0!</v>
      </c>
      <c r="AK202" s="224" t="e">
        <v>#DIV/0!</v>
      </c>
      <c r="AL202" s="224" t="e">
        <v>#DIV/0!</v>
      </c>
      <c r="AM202" s="224" t="e">
        <v>#DIV/0!</v>
      </c>
      <c r="AN202" s="1120" t="e">
        <v>#DIV/0!</v>
      </c>
      <c r="AO202" s="224" t="e">
        <f t="shared" si="11"/>
        <v>#DIV/0!</v>
      </c>
      <c r="AP202" s="1123">
        <v>0.1</v>
      </c>
      <c r="AQ202" s="1123">
        <f t="shared" si="13"/>
        <v>0.40760111439866603</v>
      </c>
      <c r="AR202" s="1123">
        <v>20</v>
      </c>
      <c r="AS202" s="1123" t="e">
        <f t="shared" si="15"/>
        <v>#DIV/0!</v>
      </c>
      <c r="AT202" s="224" t="e">
        <f t="shared" si="12"/>
        <v>#DIV/0!</v>
      </c>
    </row>
    <row r="203" spans="1:46">
      <c r="A203" s="1118">
        <v>2035</v>
      </c>
      <c r="D203" s="1107" t="s">
        <v>2008</v>
      </c>
      <c r="E203" s="224" t="s">
        <v>2058</v>
      </c>
      <c r="G203" s="224" t="e">
        <v>#DIV/0!</v>
      </c>
      <c r="H203" s="224" t="e">
        <v>#DIV/0!</v>
      </c>
      <c r="I203" s="224" t="e">
        <v>#DIV/0!</v>
      </c>
      <c r="J203" s="224" t="e">
        <v>#DIV/0!</v>
      </c>
      <c r="K203" s="224" t="e">
        <v>#DIV/0!</v>
      </c>
      <c r="L203" s="224" t="e">
        <v>#DIV/0!</v>
      </c>
      <c r="M203" s="224" t="e">
        <v>#DIV/0!</v>
      </c>
      <c r="N203" s="224" t="e">
        <v>#DIV/0!</v>
      </c>
      <c r="O203" s="224" t="e">
        <v>#DIV/0!</v>
      </c>
      <c r="P203" s="224" t="e">
        <v>#DIV/0!</v>
      </c>
      <c r="Q203" s="224" t="e">
        <v>#DIV/0!</v>
      </c>
      <c r="R203" s="224" t="e">
        <v>#DIV/0!</v>
      </c>
      <c r="S203" s="224" t="e">
        <v>#DIV/0!</v>
      </c>
      <c r="T203" s="224" t="e">
        <v>#DIV/0!</v>
      </c>
      <c r="U203" s="224" t="e">
        <v>#DIV/0!</v>
      </c>
      <c r="V203" s="224" t="e">
        <v>#DIV/0!</v>
      </c>
      <c r="W203" s="224" t="e">
        <v>#DIV/0!</v>
      </c>
      <c r="X203" s="224" t="e">
        <v>#DIV/0!</v>
      </c>
      <c r="Y203" s="224" t="e">
        <v>#DIV/0!</v>
      </c>
      <c r="Z203" s="224" t="e">
        <v>#DIV/0!</v>
      </c>
      <c r="AA203" s="224" t="e">
        <v>#DIV/0!</v>
      </c>
      <c r="AB203" s="224" t="e">
        <v>#DIV/0!</v>
      </c>
      <c r="AC203" s="224" t="e">
        <v>#DIV/0!</v>
      </c>
      <c r="AD203" s="1120" t="e">
        <v>#DIV/0!</v>
      </c>
      <c r="AE203" s="224" t="e">
        <v>#DIV/0!</v>
      </c>
      <c r="AF203" s="224" t="e">
        <v>#DIV/0!</v>
      </c>
      <c r="AG203" s="224" t="e">
        <v>#DIV/0!</v>
      </c>
      <c r="AH203" s="224" t="e">
        <v>#DIV/0!</v>
      </c>
      <c r="AI203" s="224" t="e">
        <v>#DIV/0!</v>
      </c>
      <c r="AJ203" s="224" t="e">
        <v>#DIV/0!</v>
      </c>
      <c r="AK203" s="224" t="e">
        <v>#DIV/0!</v>
      </c>
      <c r="AL203" s="224" t="e">
        <v>#DIV/0!</v>
      </c>
      <c r="AM203" s="224" t="e">
        <v>#DIV/0!</v>
      </c>
      <c r="AN203" s="1120" t="e">
        <v>#DIV/0!</v>
      </c>
      <c r="AO203" s="224" t="e">
        <f t="shared" si="11"/>
        <v>#DIV/0!</v>
      </c>
      <c r="AP203" s="1123">
        <v>0.1</v>
      </c>
      <c r="AQ203" s="1123">
        <f t="shared" si="13"/>
        <v>0.40760111439866603</v>
      </c>
      <c r="AR203" s="1123">
        <v>20</v>
      </c>
      <c r="AS203" s="1123" t="e">
        <f t="shared" si="15"/>
        <v>#DIV/0!</v>
      </c>
      <c r="AT203" s="224" t="e">
        <f t="shared" si="12"/>
        <v>#DIV/0!</v>
      </c>
    </row>
    <row r="204" spans="1:46">
      <c r="A204" s="1118">
        <v>2050</v>
      </c>
      <c r="D204" s="1107" t="s">
        <v>2008</v>
      </c>
      <c r="E204" s="224" t="s">
        <v>2058</v>
      </c>
      <c r="G204" s="224" t="e">
        <v>#DIV/0!</v>
      </c>
      <c r="H204" s="224" t="e">
        <v>#DIV/0!</v>
      </c>
      <c r="I204" s="224" t="e">
        <v>#DIV/0!</v>
      </c>
      <c r="J204" s="224" t="e">
        <v>#DIV/0!</v>
      </c>
      <c r="K204" s="224" t="e">
        <v>#DIV/0!</v>
      </c>
      <c r="L204" s="224" t="e">
        <v>#DIV/0!</v>
      </c>
      <c r="M204" s="224" t="e">
        <v>#DIV/0!</v>
      </c>
      <c r="N204" s="224" t="e">
        <v>#DIV/0!</v>
      </c>
      <c r="O204" s="224" t="e">
        <v>#DIV/0!</v>
      </c>
      <c r="P204" s="224" t="e">
        <v>#DIV/0!</v>
      </c>
      <c r="Q204" s="224" t="e">
        <v>#DIV/0!</v>
      </c>
      <c r="R204" s="224" t="e">
        <v>#DIV/0!</v>
      </c>
      <c r="S204" s="224" t="e">
        <v>#DIV/0!</v>
      </c>
      <c r="T204" s="224" t="e">
        <v>#DIV/0!</v>
      </c>
      <c r="U204" s="224" t="e">
        <v>#DIV/0!</v>
      </c>
      <c r="V204" s="224" t="e">
        <v>#DIV/0!</v>
      </c>
      <c r="W204" s="224" t="e">
        <v>#DIV/0!</v>
      </c>
      <c r="X204" s="224" t="e">
        <v>#DIV/0!</v>
      </c>
      <c r="Y204" s="224" t="e">
        <v>#DIV/0!</v>
      </c>
      <c r="Z204" s="224" t="e">
        <v>#DIV/0!</v>
      </c>
      <c r="AA204" s="224" t="e">
        <v>#DIV/0!</v>
      </c>
      <c r="AB204" s="224" t="e">
        <v>#DIV/0!</v>
      </c>
      <c r="AC204" s="224" t="e">
        <v>#DIV/0!</v>
      </c>
      <c r="AD204" s="1120" t="e">
        <v>#DIV/0!</v>
      </c>
      <c r="AE204" s="224" t="e">
        <v>#DIV/0!</v>
      </c>
      <c r="AF204" s="224" t="e">
        <v>#DIV/0!</v>
      </c>
      <c r="AG204" s="224" t="e">
        <v>#DIV/0!</v>
      </c>
      <c r="AH204" s="224" t="e">
        <v>#DIV/0!</v>
      </c>
      <c r="AI204" s="224" t="e">
        <v>#DIV/0!</v>
      </c>
      <c r="AJ204" s="224" t="e">
        <v>#DIV/0!</v>
      </c>
      <c r="AK204" s="224" t="e">
        <v>#DIV/0!</v>
      </c>
      <c r="AL204" s="224" t="e">
        <v>#DIV/0!</v>
      </c>
      <c r="AM204" s="224" t="e">
        <v>#DIV/0!</v>
      </c>
      <c r="AN204" s="1120" t="e">
        <v>#DIV/0!</v>
      </c>
      <c r="AO204" s="224" t="e">
        <f t="shared" si="11"/>
        <v>#DIV/0!</v>
      </c>
      <c r="AP204" s="1123">
        <v>0.1</v>
      </c>
      <c r="AQ204" s="1123">
        <f t="shared" si="13"/>
        <v>0.40760111439866603</v>
      </c>
      <c r="AR204" s="1123">
        <v>20</v>
      </c>
      <c r="AS204" s="1123" t="e">
        <f t="shared" si="15"/>
        <v>#DIV/0!</v>
      </c>
      <c r="AT204" s="224" t="e">
        <f t="shared" si="12"/>
        <v>#DIV/0!</v>
      </c>
    </row>
    <row r="205" spans="1:46">
      <c r="A205" s="1118">
        <v>2017</v>
      </c>
      <c r="D205" s="1107" t="s">
        <v>2008</v>
      </c>
      <c r="E205" s="224" t="s">
        <v>2059</v>
      </c>
      <c r="G205" s="224">
        <v>25089.675453402142</v>
      </c>
      <c r="H205" s="224">
        <v>9364</v>
      </c>
      <c r="I205" s="224">
        <v>3.1046400000000003</v>
      </c>
      <c r="J205" s="224">
        <v>0.15153580584049722</v>
      </c>
      <c r="K205" s="224">
        <v>0.10467547106226353</v>
      </c>
      <c r="L205" s="224">
        <v>0.12482378882670668</v>
      </c>
      <c r="M205" s="224">
        <v>0</v>
      </c>
      <c r="N205" s="224">
        <v>0</v>
      </c>
      <c r="O205" s="224">
        <v>0</v>
      </c>
      <c r="P205" s="224">
        <v>0</v>
      </c>
      <c r="Q205" s="224">
        <v>0</v>
      </c>
      <c r="R205" s="224">
        <v>0</v>
      </c>
      <c r="S205" s="224">
        <v>0</v>
      </c>
      <c r="T205" s="224">
        <v>0</v>
      </c>
      <c r="U205" s="224">
        <v>0</v>
      </c>
      <c r="V205" s="224">
        <v>267.71743819999995</v>
      </c>
      <c r="W205" s="224">
        <v>74.079214399999998</v>
      </c>
      <c r="X205" s="224">
        <v>96.640191387559796</v>
      </c>
      <c r="Y205" s="224">
        <v>3.1046400000000003</v>
      </c>
      <c r="Z205" s="224">
        <v>0</v>
      </c>
      <c r="AA205" s="224">
        <v>75.767902920248616</v>
      </c>
      <c r="AB205" s="224">
        <v>52.33773553113177</v>
      </c>
      <c r="AC205" s="224">
        <v>62.411894413353338</v>
      </c>
      <c r="AD205" s="1120">
        <v>12.004259970206405</v>
      </c>
      <c r="AE205" s="224">
        <v>26149.363963227428</v>
      </c>
      <c r="AF205" s="224">
        <v>3704.4982977599998</v>
      </c>
      <c r="AG205" s="224">
        <v>4213.512344497608</v>
      </c>
      <c r="AH205" s="224">
        <v>12510.209431304665</v>
      </c>
      <c r="AI205" s="224">
        <v>90000</v>
      </c>
      <c r="AJ205" s="224">
        <v>0</v>
      </c>
      <c r="AK205" s="224">
        <v>745.98720000000003</v>
      </c>
      <c r="AL205" s="224">
        <v>0</v>
      </c>
      <c r="AM205" s="224">
        <v>436.00000000000006</v>
      </c>
      <c r="AN205" s="1120">
        <v>137759.57123678969</v>
      </c>
      <c r="AO205" s="224">
        <f t="shared" si="11"/>
        <v>1.5816812936743958</v>
      </c>
      <c r="AP205" s="1123">
        <v>0.1</v>
      </c>
      <c r="AQ205" s="1123">
        <f t="shared" si="13"/>
        <v>0.40760111439866603</v>
      </c>
      <c r="AR205" s="1123">
        <v>20</v>
      </c>
      <c r="AS205" s="1123">
        <f t="shared" si="15"/>
        <v>1.0023829626712524</v>
      </c>
      <c r="AT205" s="224">
        <f t="shared" si="12"/>
        <v>56150.954755197898</v>
      </c>
    </row>
    <row r="206" spans="1:46">
      <c r="A206" s="1121">
        <v>2020</v>
      </c>
      <c r="D206" s="1107" t="s">
        <v>2008</v>
      </c>
      <c r="E206" s="224" t="s">
        <v>2059</v>
      </c>
      <c r="G206" s="224" t="e">
        <v>#DIV/0!</v>
      </c>
      <c r="H206" s="224" t="e">
        <v>#DIV/0!</v>
      </c>
      <c r="I206" s="224" t="e">
        <v>#DIV/0!</v>
      </c>
      <c r="J206" s="224" t="e">
        <v>#DIV/0!</v>
      </c>
      <c r="K206" s="224" t="e">
        <v>#DIV/0!</v>
      </c>
      <c r="L206" s="224" t="e">
        <v>#DIV/0!</v>
      </c>
      <c r="M206" s="224" t="e">
        <v>#DIV/0!</v>
      </c>
      <c r="N206" s="224" t="e">
        <v>#DIV/0!</v>
      </c>
      <c r="O206" s="224" t="e">
        <v>#DIV/0!</v>
      </c>
      <c r="P206" s="224" t="e">
        <v>#DIV/0!</v>
      </c>
      <c r="Q206" s="224" t="e">
        <v>#DIV/0!</v>
      </c>
      <c r="R206" s="224" t="e">
        <v>#DIV/0!</v>
      </c>
      <c r="S206" s="224" t="e">
        <v>#DIV/0!</v>
      </c>
      <c r="T206" s="224" t="e">
        <v>#DIV/0!</v>
      </c>
      <c r="U206" s="224" t="e">
        <v>#DIV/0!</v>
      </c>
      <c r="V206" s="224" t="e">
        <v>#DIV/0!</v>
      </c>
      <c r="W206" s="224" t="e">
        <v>#DIV/0!</v>
      </c>
      <c r="X206" s="224" t="e">
        <v>#DIV/0!</v>
      </c>
      <c r="Y206" s="224" t="e">
        <v>#DIV/0!</v>
      </c>
      <c r="Z206" s="224" t="e">
        <v>#DIV/0!</v>
      </c>
      <c r="AA206" s="224" t="e">
        <v>#DIV/0!</v>
      </c>
      <c r="AB206" s="224" t="e">
        <v>#DIV/0!</v>
      </c>
      <c r="AC206" s="224" t="e">
        <v>#DIV/0!</v>
      </c>
      <c r="AD206" s="1120" t="e">
        <v>#DIV/0!</v>
      </c>
      <c r="AE206" s="224" t="e">
        <v>#DIV/0!</v>
      </c>
      <c r="AF206" s="224" t="e">
        <v>#DIV/0!</v>
      </c>
      <c r="AG206" s="224" t="e">
        <v>#DIV/0!</v>
      </c>
      <c r="AH206" s="224" t="e">
        <v>#DIV/0!</v>
      </c>
      <c r="AI206" s="224" t="e">
        <v>#DIV/0!</v>
      </c>
      <c r="AJ206" s="224" t="e">
        <v>#DIV/0!</v>
      </c>
      <c r="AK206" s="224" t="e">
        <v>#DIV/0!</v>
      </c>
      <c r="AL206" s="224" t="e">
        <v>#DIV/0!</v>
      </c>
      <c r="AM206" s="224" t="e">
        <v>#DIV/0!</v>
      </c>
      <c r="AN206" s="1120" t="e">
        <v>#DIV/0!</v>
      </c>
      <c r="AO206" s="224" t="e">
        <f t="shared" ref="AO206:AO264" si="16">AD206*$C$4</f>
        <v>#DIV/0!</v>
      </c>
      <c r="AP206" s="1123">
        <v>0.1</v>
      </c>
      <c r="AQ206" s="1123">
        <f t="shared" si="13"/>
        <v>0.40760111439866603</v>
      </c>
      <c r="AR206" s="1123">
        <v>20</v>
      </c>
      <c r="AS206" s="1123" t="e">
        <f t="shared" si="15"/>
        <v>#DIV/0!</v>
      </c>
      <c r="AT206" s="224" t="e">
        <f t="shared" ref="AT206:AT264" si="17">AN206*AQ206</f>
        <v>#DIV/0!</v>
      </c>
    </row>
    <row r="207" spans="1:46">
      <c r="A207" s="1118">
        <v>2025</v>
      </c>
      <c r="D207" s="1107" t="s">
        <v>2008</v>
      </c>
      <c r="E207" s="224" t="s">
        <v>2059</v>
      </c>
      <c r="G207" s="224" t="e">
        <v>#DIV/0!</v>
      </c>
      <c r="H207" s="224" t="e">
        <v>#DIV/0!</v>
      </c>
      <c r="I207" s="224" t="e">
        <v>#DIV/0!</v>
      </c>
      <c r="J207" s="224" t="e">
        <v>#DIV/0!</v>
      </c>
      <c r="K207" s="224" t="e">
        <v>#DIV/0!</v>
      </c>
      <c r="L207" s="224" t="e">
        <v>#DIV/0!</v>
      </c>
      <c r="M207" s="224" t="e">
        <v>#DIV/0!</v>
      </c>
      <c r="N207" s="224" t="e">
        <v>#DIV/0!</v>
      </c>
      <c r="O207" s="224" t="e">
        <v>#DIV/0!</v>
      </c>
      <c r="P207" s="224" t="e">
        <v>#DIV/0!</v>
      </c>
      <c r="Q207" s="224" t="e">
        <v>#DIV/0!</v>
      </c>
      <c r="R207" s="224" t="e">
        <v>#DIV/0!</v>
      </c>
      <c r="S207" s="224" t="e">
        <v>#DIV/0!</v>
      </c>
      <c r="T207" s="224" t="e">
        <v>#DIV/0!</v>
      </c>
      <c r="U207" s="224" t="e">
        <v>#DIV/0!</v>
      </c>
      <c r="V207" s="224" t="e">
        <v>#DIV/0!</v>
      </c>
      <c r="W207" s="224" t="e">
        <v>#DIV/0!</v>
      </c>
      <c r="X207" s="224" t="e">
        <v>#DIV/0!</v>
      </c>
      <c r="Y207" s="224" t="e">
        <v>#DIV/0!</v>
      </c>
      <c r="Z207" s="224" t="e">
        <v>#DIV/0!</v>
      </c>
      <c r="AA207" s="224" t="e">
        <v>#DIV/0!</v>
      </c>
      <c r="AB207" s="224" t="e">
        <v>#DIV/0!</v>
      </c>
      <c r="AC207" s="224" t="e">
        <v>#DIV/0!</v>
      </c>
      <c r="AD207" s="1120" t="e">
        <v>#DIV/0!</v>
      </c>
      <c r="AE207" s="224" t="e">
        <v>#DIV/0!</v>
      </c>
      <c r="AF207" s="224" t="e">
        <v>#DIV/0!</v>
      </c>
      <c r="AG207" s="224" t="e">
        <v>#DIV/0!</v>
      </c>
      <c r="AH207" s="224" t="e">
        <v>#DIV/0!</v>
      </c>
      <c r="AI207" s="224" t="e">
        <v>#DIV/0!</v>
      </c>
      <c r="AJ207" s="224" t="e">
        <v>#DIV/0!</v>
      </c>
      <c r="AK207" s="224" t="e">
        <v>#DIV/0!</v>
      </c>
      <c r="AL207" s="224" t="e">
        <v>#DIV/0!</v>
      </c>
      <c r="AM207" s="224" t="e">
        <v>#DIV/0!</v>
      </c>
      <c r="AN207" s="1120" t="e">
        <v>#DIV/0!</v>
      </c>
      <c r="AO207" s="224" t="e">
        <f t="shared" si="16"/>
        <v>#DIV/0!</v>
      </c>
      <c r="AP207" s="1123">
        <v>0.1</v>
      </c>
      <c r="AQ207" s="1123">
        <f t="shared" ref="AQ207:AQ264" si="18">AQ206</f>
        <v>0.40760111439866603</v>
      </c>
      <c r="AR207" s="1123">
        <v>20</v>
      </c>
      <c r="AS207" s="1123" t="e">
        <f t="shared" si="15"/>
        <v>#DIV/0!</v>
      </c>
      <c r="AT207" s="224" t="e">
        <f t="shared" si="17"/>
        <v>#DIV/0!</v>
      </c>
    </row>
    <row r="208" spans="1:46">
      <c r="A208" s="1118">
        <v>2030</v>
      </c>
      <c r="D208" s="1107" t="s">
        <v>2008</v>
      </c>
      <c r="E208" s="224" t="s">
        <v>2059</v>
      </c>
      <c r="G208" s="224" t="e">
        <v>#DIV/0!</v>
      </c>
      <c r="H208" s="224" t="e">
        <v>#DIV/0!</v>
      </c>
      <c r="I208" s="224" t="e">
        <v>#DIV/0!</v>
      </c>
      <c r="J208" s="224" t="e">
        <v>#DIV/0!</v>
      </c>
      <c r="K208" s="224" t="e">
        <v>#DIV/0!</v>
      </c>
      <c r="L208" s="224" t="e">
        <v>#DIV/0!</v>
      </c>
      <c r="M208" s="224" t="e">
        <v>#DIV/0!</v>
      </c>
      <c r="N208" s="224" t="e">
        <v>#DIV/0!</v>
      </c>
      <c r="O208" s="224" t="e">
        <v>#DIV/0!</v>
      </c>
      <c r="P208" s="224" t="e">
        <v>#DIV/0!</v>
      </c>
      <c r="Q208" s="224" t="e">
        <v>#DIV/0!</v>
      </c>
      <c r="R208" s="224" t="e">
        <v>#DIV/0!</v>
      </c>
      <c r="S208" s="224" t="e">
        <v>#DIV/0!</v>
      </c>
      <c r="T208" s="224" t="e">
        <v>#DIV/0!</v>
      </c>
      <c r="U208" s="224" t="e">
        <v>#DIV/0!</v>
      </c>
      <c r="V208" s="224" t="e">
        <v>#DIV/0!</v>
      </c>
      <c r="W208" s="224" t="e">
        <v>#DIV/0!</v>
      </c>
      <c r="X208" s="224" t="e">
        <v>#DIV/0!</v>
      </c>
      <c r="Y208" s="224" t="e">
        <v>#DIV/0!</v>
      </c>
      <c r="Z208" s="224" t="e">
        <v>#DIV/0!</v>
      </c>
      <c r="AA208" s="224" t="e">
        <v>#DIV/0!</v>
      </c>
      <c r="AB208" s="224" t="e">
        <v>#DIV/0!</v>
      </c>
      <c r="AC208" s="224" t="e">
        <v>#DIV/0!</v>
      </c>
      <c r="AD208" s="1120" t="e">
        <v>#DIV/0!</v>
      </c>
      <c r="AE208" s="224" t="e">
        <v>#DIV/0!</v>
      </c>
      <c r="AF208" s="224" t="e">
        <v>#DIV/0!</v>
      </c>
      <c r="AG208" s="224" t="e">
        <v>#DIV/0!</v>
      </c>
      <c r="AH208" s="224" t="e">
        <v>#DIV/0!</v>
      </c>
      <c r="AI208" s="224" t="e">
        <v>#DIV/0!</v>
      </c>
      <c r="AJ208" s="224" t="e">
        <v>#DIV/0!</v>
      </c>
      <c r="AK208" s="224" t="e">
        <v>#DIV/0!</v>
      </c>
      <c r="AL208" s="224" t="e">
        <v>#DIV/0!</v>
      </c>
      <c r="AM208" s="224" t="e">
        <v>#DIV/0!</v>
      </c>
      <c r="AN208" s="1120" t="e">
        <v>#DIV/0!</v>
      </c>
      <c r="AO208" s="224" t="e">
        <f t="shared" si="16"/>
        <v>#DIV/0!</v>
      </c>
      <c r="AP208" s="1123">
        <v>0.1</v>
      </c>
      <c r="AQ208" s="1123">
        <f t="shared" si="18"/>
        <v>0.40760111439866603</v>
      </c>
      <c r="AR208" s="1123">
        <v>20</v>
      </c>
      <c r="AS208" s="1123" t="e">
        <f t="shared" si="15"/>
        <v>#DIV/0!</v>
      </c>
      <c r="AT208" s="224" t="e">
        <f t="shared" si="17"/>
        <v>#DIV/0!</v>
      </c>
    </row>
    <row r="209" spans="1:46">
      <c r="A209" s="1118">
        <v>2035</v>
      </c>
      <c r="D209" s="1107" t="s">
        <v>2008</v>
      </c>
      <c r="E209" s="224" t="s">
        <v>2059</v>
      </c>
      <c r="G209" s="224" t="e">
        <v>#DIV/0!</v>
      </c>
      <c r="H209" s="224" t="e">
        <v>#DIV/0!</v>
      </c>
      <c r="I209" s="224" t="e">
        <v>#DIV/0!</v>
      </c>
      <c r="J209" s="224" t="e">
        <v>#DIV/0!</v>
      </c>
      <c r="K209" s="224" t="e">
        <v>#DIV/0!</v>
      </c>
      <c r="L209" s="224" t="e">
        <v>#DIV/0!</v>
      </c>
      <c r="M209" s="224" t="e">
        <v>#DIV/0!</v>
      </c>
      <c r="N209" s="224" t="e">
        <v>#DIV/0!</v>
      </c>
      <c r="O209" s="224" t="e">
        <v>#DIV/0!</v>
      </c>
      <c r="P209" s="224" t="e">
        <v>#DIV/0!</v>
      </c>
      <c r="Q209" s="224" t="e">
        <v>#DIV/0!</v>
      </c>
      <c r="R209" s="224" t="e">
        <v>#DIV/0!</v>
      </c>
      <c r="S209" s="224" t="e">
        <v>#DIV/0!</v>
      </c>
      <c r="T209" s="224" t="e">
        <v>#DIV/0!</v>
      </c>
      <c r="U209" s="224" t="e">
        <v>#DIV/0!</v>
      </c>
      <c r="V209" s="224" t="e">
        <v>#DIV/0!</v>
      </c>
      <c r="W209" s="224" t="e">
        <v>#DIV/0!</v>
      </c>
      <c r="X209" s="224" t="e">
        <v>#DIV/0!</v>
      </c>
      <c r="Y209" s="224" t="e">
        <v>#DIV/0!</v>
      </c>
      <c r="Z209" s="224" t="e">
        <v>#DIV/0!</v>
      </c>
      <c r="AA209" s="224" t="e">
        <v>#DIV/0!</v>
      </c>
      <c r="AB209" s="224" t="e">
        <v>#DIV/0!</v>
      </c>
      <c r="AC209" s="224" t="e">
        <v>#DIV/0!</v>
      </c>
      <c r="AD209" s="1120" t="e">
        <v>#DIV/0!</v>
      </c>
      <c r="AE209" s="224" t="e">
        <v>#DIV/0!</v>
      </c>
      <c r="AF209" s="224" t="e">
        <v>#DIV/0!</v>
      </c>
      <c r="AG209" s="224" t="e">
        <v>#DIV/0!</v>
      </c>
      <c r="AH209" s="224" t="e">
        <v>#DIV/0!</v>
      </c>
      <c r="AI209" s="224" t="e">
        <v>#DIV/0!</v>
      </c>
      <c r="AJ209" s="224" t="e">
        <v>#DIV/0!</v>
      </c>
      <c r="AK209" s="224" t="e">
        <v>#DIV/0!</v>
      </c>
      <c r="AL209" s="224" t="e">
        <v>#DIV/0!</v>
      </c>
      <c r="AM209" s="224" t="e">
        <v>#DIV/0!</v>
      </c>
      <c r="AN209" s="1120" t="e">
        <v>#DIV/0!</v>
      </c>
      <c r="AO209" s="224" t="e">
        <f t="shared" si="16"/>
        <v>#DIV/0!</v>
      </c>
      <c r="AP209" s="1123">
        <v>0.1</v>
      </c>
      <c r="AQ209" s="1123">
        <f t="shared" si="18"/>
        <v>0.40760111439866603</v>
      </c>
      <c r="AR209" s="1123">
        <v>20</v>
      </c>
      <c r="AS209" s="1123" t="e">
        <f t="shared" si="15"/>
        <v>#DIV/0!</v>
      </c>
      <c r="AT209" s="224" t="e">
        <f t="shared" si="17"/>
        <v>#DIV/0!</v>
      </c>
    </row>
    <row r="210" spans="1:46">
      <c r="A210" s="1118">
        <v>2050</v>
      </c>
      <c r="D210" s="1107" t="s">
        <v>2008</v>
      </c>
      <c r="E210" s="224" t="s">
        <v>2059</v>
      </c>
      <c r="G210" s="224" t="e">
        <v>#DIV/0!</v>
      </c>
      <c r="H210" s="224" t="e">
        <v>#DIV/0!</v>
      </c>
      <c r="I210" s="224" t="e">
        <v>#DIV/0!</v>
      </c>
      <c r="J210" s="224" t="e">
        <v>#DIV/0!</v>
      </c>
      <c r="K210" s="224" t="e">
        <v>#DIV/0!</v>
      </c>
      <c r="L210" s="224" t="e">
        <v>#DIV/0!</v>
      </c>
      <c r="M210" s="224" t="e">
        <v>#DIV/0!</v>
      </c>
      <c r="N210" s="224" t="e">
        <v>#DIV/0!</v>
      </c>
      <c r="O210" s="224" t="e">
        <v>#DIV/0!</v>
      </c>
      <c r="P210" s="224" t="e">
        <v>#DIV/0!</v>
      </c>
      <c r="Q210" s="224" t="e">
        <v>#DIV/0!</v>
      </c>
      <c r="R210" s="224" t="e">
        <v>#DIV/0!</v>
      </c>
      <c r="S210" s="224" t="e">
        <v>#DIV/0!</v>
      </c>
      <c r="T210" s="224" t="e">
        <v>#DIV/0!</v>
      </c>
      <c r="U210" s="224" t="e">
        <v>#DIV/0!</v>
      </c>
      <c r="V210" s="224" t="e">
        <v>#DIV/0!</v>
      </c>
      <c r="W210" s="224" t="e">
        <v>#DIV/0!</v>
      </c>
      <c r="X210" s="224" t="e">
        <v>#DIV/0!</v>
      </c>
      <c r="Y210" s="224" t="e">
        <v>#DIV/0!</v>
      </c>
      <c r="Z210" s="224" t="e">
        <v>#DIV/0!</v>
      </c>
      <c r="AA210" s="224" t="e">
        <v>#DIV/0!</v>
      </c>
      <c r="AB210" s="224" t="e">
        <v>#DIV/0!</v>
      </c>
      <c r="AC210" s="224" t="e">
        <v>#DIV/0!</v>
      </c>
      <c r="AD210" s="1120" t="e">
        <v>#DIV/0!</v>
      </c>
      <c r="AE210" s="224" t="e">
        <v>#DIV/0!</v>
      </c>
      <c r="AF210" s="224" t="e">
        <v>#DIV/0!</v>
      </c>
      <c r="AG210" s="224" t="e">
        <v>#DIV/0!</v>
      </c>
      <c r="AH210" s="224" t="e">
        <v>#DIV/0!</v>
      </c>
      <c r="AI210" s="224" t="e">
        <v>#DIV/0!</v>
      </c>
      <c r="AJ210" s="224" t="e">
        <v>#DIV/0!</v>
      </c>
      <c r="AK210" s="224" t="e">
        <v>#DIV/0!</v>
      </c>
      <c r="AL210" s="224" t="e">
        <v>#DIV/0!</v>
      </c>
      <c r="AM210" s="224" t="e">
        <v>#DIV/0!</v>
      </c>
      <c r="AN210" s="1120" t="e">
        <v>#DIV/0!</v>
      </c>
      <c r="AO210" s="224" t="e">
        <f t="shared" si="16"/>
        <v>#DIV/0!</v>
      </c>
      <c r="AP210" s="1123">
        <v>0.1</v>
      </c>
      <c r="AQ210" s="1123">
        <f t="shared" si="18"/>
        <v>0.40760111439866603</v>
      </c>
      <c r="AR210" s="1123">
        <v>20</v>
      </c>
      <c r="AS210" s="1123" t="e">
        <f t="shared" si="15"/>
        <v>#DIV/0!</v>
      </c>
      <c r="AT210" s="224" t="e">
        <f t="shared" si="17"/>
        <v>#DIV/0!</v>
      </c>
    </row>
    <row r="211" spans="1:46">
      <c r="A211" s="1118">
        <v>2017</v>
      </c>
      <c r="D211" s="1107" t="s">
        <v>2008</v>
      </c>
      <c r="E211" s="224" t="s">
        <v>2060</v>
      </c>
      <c r="G211" s="224">
        <v>28578.54367849847</v>
      </c>
      <c r="H211" s="224">
        <v>9364</v>
      </c>
      <c r="I211" s="224">
        <v>679.21199999999999</v>
      </c>
      <c r="J211" s="224">
        <v>0.16809308825632943</v>
      </c>
      <c r="K211" s="224">
        <v>0.1447217683375126</v>
      </c>
      <c r="L211" s="224">
        <v>0.14620730438261273</v>
      </c>
      <c r="M211" s="224">
        <v>6.3612026016272569E-2</v>
      </c>
      <c r="N211" s="224">
        <v>5.2831206270658723E-2</v>
      </c>
      <c r="O211" s="224">
        <v>6.1322905704347903E-2</v>
      </c>
      <c r="P211" s="224">
        <v>25.697652058729066</v>
      </c>
      <c r="Q211" s="224">
        <v>-102.39553130684378</v>
      </c>
      <c r="R211" s="224">
        <v>375.86090135473563</v>
      </c>
      <c r="S211" s="224">
        <v>2395.3802600800918</v>
      </c>
      <c r="T211" s="224">
        <v>1989.4167273430744</v>
      </c>
      <c r="U211" s="224">
        <v>2309.1809365947806</v>
      </c>
      <c r="V211" s="224">
        <v>180</v>
      </c>
      <c r="W211" s="224">
        <v>457.05737329999999</v>
      </c>
      <c r="X211" s="224">
        <v>685.58605994999994</v>
      </c>
      <c r="Y211" s="224">
        <v>678.83962499999996</v>
      </c>
      <c r="Z211" s="224">
        <v>0</v>
      </c>
      <c r="AA211" s="224">
        <v>57.400666677169426</v>
      </c>
      <c r="AB211" s="224">
        <v>44.143650270790715</v>
      </c>
      <c r="AC211" s="224">
        <v>50.64783604622086</v>
      </c>
      <c r="AD211" s="1120">
        <v>5.8903643325416581</v>
      </c>
      <c r="AE211" s="224">
        <v>16644.811428571425</v>
      </c>
      <c r="AF211" s="224">
        <v>20134.261314570002</v>
      </c>
      <c r="AG211" s="224">
        <v>386246.16983250005</v>
      </c>
      <c r="AH211" s="224">
        <v>0</v>
      </c>
      <c r="AI211" s="224">
        <v>90000</v>
      </c>
      <c r="AJ211" s="224">
        <v>0</v>
      </c>
      <c r="AK211" s="224">
        <v>745.98720000000003</v>
      </c>
      <c r="AL211" s="224">
        <v>0</v>
      </c>
      <c r="AM211" s="224">
        <v>436.00000000000006</v>
      </c>
      <c r="AN211" s="1120">
        <v>514207.22977564146</v>
      </c>
      <c r="AO211" s="224">
        <f t="shared" si="16"/>
        <v>0.7761144044556888</v>
      </c>
      <c r="AP211" s="1123">
        <v>0.1</v>
      </c>
      <c r="AQ211" s="1123">
        <f t="shared" si="18"/>
        <v>0.40760111439866603</v>
      </c>
      <c r="AR211" s="1123">
        <v>20</v>
      </c>
      <c r="AS211" s="1123">
        <f t="shared" si="15"/>
        <v>0.49185879558760165</v>
      </c>
      <c r="AT211" s="224">
        <f t="shared" si="17"/>
        <v>209591.43988840238</v>
      </c>
    </row>
    <row r="212" spans="1:46">
      <c r="A212" s="1121">
        <v>2020</v>
      </c>
      <c r="D212" s="1107" t="s">
        <v>2008</v>
      </c>
      <c r="E212" s="224" t="s">
        <v>2060</v>
      </c>
      <c r="G212" s="224" t="e">
        <v>#DIV/0!</v>
      </c>
      <c r="H212" s="224" t="e">
        <v>#DIV/0!</v>
      </c>
      <c r="I212" s="224" t="e">
        <v>#DIV/0!</v>
      </c>
      <c r="J212" s="224" t="e">
        <v>#DIV/0!</v>
      </c>
      <c r="K212" s="224" t="e">
        <v>#DIV/0!</v>
      </c>
      <c r="L212" s="224" t="e">
        <v>#DIV/0!</v>
      </c>
      <c r="M212" s="224" t="e">
        <v>#DIV/0!</v>
      </c>
      <c r="N212" s="224" t="e">
        <v>#DIV/0!</v>
      </c>
      <c r="O212" s="224" t="e">
        <v>#DIV/0!</v>
      </c>
      <c r="P212" s="224" t="e">
        <v>#DIV/0!</v>
      </c>
      <c r="Q212" s="224" t="e">
        <v>#DIV/0!</v>
      </c>
      <c r="R212" s="224" t="e">
        <v>#DIV/0!</v>
      </c>
      <c r="S212" s="224" t="e">
        <v>#DIV/0!</v>
      </c>
      <c r="T212" s="224" t="e">
        <v>#DIV/0!</v>
      </c>
      <c r="U212" s="224" t="e">
        <v>#DIV/0!</v>
      </c>
      <c r="V212" s="224" t="e">
        <v>#DIV/0!</v>
      </c>
      <c r="W212" s="224" t="e">
        <v>#DIV/0!</v>
      </c>
      <c r="X212" s="224" t="e">
        <v>#DIV/0!</v>
      </c>
      <c r="Y212" s="224" t="e">
        <v>#DIV/0!</v>
      </c>
      <c r="Z212" s="224" t="e">
        <v>#DIV/0!</v>
      </c>
      <c r="AA212" s="224" t="e">
        <v>#DIV/0!</v>
      </c>
      <c r="AB212" s="224" t="e">
        <v>#DIV/0!</v>
      </c>
      <c r="AC212" s="224" t="e">
        <v>#DIV/0!</v>
      </c>
      <c r="AD212" s="1120" t="e">
        <v>#DIV/0!</v>
      </c>
      <c r="AE212" s="224" t="e">
        <v>#DIV/0!</v>
      </c>
      <c r="AF212" s="224" t="e">
        <v>#DIV/0!</v>
      </c>
      <c r="AG212" s="224" t="e">
        <v>#DIV/0!</v>
      </c>
      <c r="AH212" s="224" t="e">
        <v>#DIV/0!</v>
      </c>
      <c r="AI212" s="224" t="e">
        <v>#DIV/0!</v>
      </c>
      <c r="AJ212" s="224" t="e">
        <v>#DIV/0!</v>
      </c>
      <c r="AK212" s="224" t="e">
        <v>#DIV/0!</v>
      </c>
      <c r="AL212" s="224" t="e">
        <v>#DIV/0!</v>
      </c>
      <c r="AM212" s="224" t="e">
        <v>#DIV/0!</v>
      </c>
      <c r="AN212" s="1120" t="e">
        <v>#DIV/0!</v>
      </c>
      <c r="AO212" s="224" t="e">
        <f t="shared" si="16"/>
        <v>#DIV/0!</v>
      </c>
      <c r="AP212" s="1123">
        <v>0.1</v>
      </c>
      <c r="AQ212" s="1123">
        <f t="shared" si="18"/>
        <v>0.40760111439866603</v>
      </c>
      <c r="AR212" s="1123">
        <v>20</v>
      </c>
      <c r="AS212" s="1123" t="e">
        <f t="shared" si="15"/>
        <v>#DIV/0!</v>
      </c>
      <c r="AT212" s="224" t="e">
        <f t="shared" si="17"/>
        <v>#DIV/0!</v>
      </c>
    </row>
    <row r="213" spans="1:46">
      <c r="A213" s="1118">
        <v>2025</v>
      </c>
      <c r="D213" s="1107" t="s">
        <v>2008</v>
      </c>
      <c r="E213" s="224" t="s">
        <v>2060</v>
      </c>
      <c r="G213" s="224" t="e">
        <v>#DIV/0!</v>
      </c>
      <c r="H213" s="224" t="e">
        <v>#DIV/0!</v>
      </c>
      <c r="I213" s="224" t="e">
        <v>#DIV/0!</v>
      </c>
      <c r="J213" s="224" t="e">
        <v>#DIV/0!</v>
      </c>
      <c r="K213" s="224" t="e">
        <v>#DIV/0!</v>
      </c>
      <c r="L213" s="224" t="e">
        <v>#DIV/0!</v>
      </c>
      <c r="M213" s="224" t="e">
        <v>#DIV/0!</v>
      </c>
      <c r="N213" s="224" t="e">
        <v>#DIV/0!</v>
      </c>
      <c r="O213" s="224" t="e">
        <v>#DIV/0!</v>
      </c>
      <c r="P213" s="224" t="e">
        <v>#DIV/0!</v>
      </c>
      <c r="Q213" s="224" t="e">
        <v>#DIV/0!</v>
      </c>
      <c r="R213" s="224" t="e">
        <v>#DIV/0!</v>
      </c>
      <c r="S213" s="224" t="e">
        <v>#DIV/0!</v>
      </c>
      <c r="T213" s="224" t="e">
        <v>#DIV/0!</v>
      </c>
      <c r="U213" s="224" t="e">
        <v>#DIV/0!</v>
      </c>
      <c r="V213" s="224" t="e">
        <v>#DIV/0!</v>
      </c>
      <c r="W213" s="224" t="e">
        <v>#DIV/0!</v>
      </c>
      <c r="X213" s="224" t="e">
        <v>#DIV/0!</v>
      </c>
      <c r="Y213" s="224" t="e">
        <v>#DIV/0!</v>
      </c>
      <c r="Z213" s="224" t="e">
        <v>#DIV/0!</v>
      </c>
      <c r="AA213" s="224" t="e">
        <v>#DIV/0!</v>
      </c>
      <c r="AB213" s="224" t="e">
        <v>#DIV/0!</v>
      </c>
      <c r="AC213" s="224" t="e">
        <v>#DIV/0!</v>
      </c>
      <c r="AD213" s="1120" t="e">
        <v>#DIV/0!</v>
      </c>
      <c r="AE213" s="224" t="e">
        <v>#DIV/0!</v>
      </c>
      <c r="AF213" s="224" t="e">
        <v>#DIV/0!</v>
      </c>
      <c r="AG213" s="224" t="e">
        <v>#DIV/0!</v>
      </c>
      <c r="AH213" s="224" t="e">
        <v>#DIV/0!</v>
      </c>
      <c r="AI213" s="224" t="e">
        <v>#DIV/0!</v>
      </c>
      <c r="AJ213" s="224" t="e">
        <v>#DIV/0!</v>
      </c>
      <c r="AK213" s="224" t="e">
        <v>#DIV/0!</v>
      </c>
      <c r="AL213" s="224" t="e">
        <v>#DIV/0!</v>
      </c>
      <c r="AM213" s="224" t="e">
        <v>#DIV/0!</v>
      </c>
      <c r="AN213" s="1120" t="e">
        <v>#DIV/0!</v>
      </c>
      <c r="AO213" s="224" t="e">
        <f t="shared" si="16"/>
        <v>#DIV/0!</v>
      </c>
      <c r="AP213" s="1123">
        <v>0.1</v>
      </c>
      <c r="AQ213" s="1123">
        <f t="shared" si="18"/>
        <v>0.40760111439866603</v>
      </c>
      <c r="AR213" s="1123">
        <v>20</v>
      </c>
      <c r="AS213" s="1123" t="e">
        <f t="shared" si="15"/>
        <v>#DIV/0!</v>
      </c>
      <c r="AT213" s="224" t="e">
        <f t="shared" si="17"/>
        <v>#DIV/0!</v>
      </c>
    </row>
    <row r="214" spans="1:46">
      <c r="A214" s="1118">
        <v>2030</v>
      </c>
      <c r="D214" s="1107" t="s">
        <v>2008</v>
      </c>
      <c r="E214" s="224" t="s">
        <v>2060</v>
      </c>
      <c r="G214" s="224" t="e">
        <v>#DIV/0!</v>
      </c>
      <c r="H214" s="224" t="e">
        <v>#DIV/0!</v>
      </c>
      <c r="I214" s="224" t="e">
        <v>#DIV/0!</v>
      </c>
      <c r="J214" s="224" t="e">
        <v>#DIV/0!</v>
      </c>
      <c r="K214" s="224" t="e">
        <v>#DIV/0!</v>
      </c>
      <c r="L214" s="224" t="e">
        <v>#DIV/0!</v>
      </c>
      <c r="M214" s="224" t="e">
        <v>#DIV/0!</v>
      </c>
      <c r="N214" s="224" t="e">
        <v>#DIV/0!</v>
      </c>
      <c r="O214" s="224" t="e">
        <v>#DIV/0!</v>
      </c>
      <c r="P214" s="224" t="e">
        <v>#DIV/0!</v>
      </c>
      <c r="Q214" s="224" t="e">
        <v>#DIV/0!</v>
      </c>
      <c r="R214" s="224" t="e">
        <v>#DIV/0!</v>
      </c>
      <c r="S214" s="224" t="e">
        <v>#DIV/0!</v>
      </c>
      <c r="T214" s="224" t="e">
        <v>#DIV/0!</v>
      </c>
      <c r="U214" s="224" t="e">
        <v>#DIV/0!</v>
      </c>
      <c r="V214" s="224" t="e">
        <v>#DIV/0!</v>
      </c>
      <c r="W214" s="224" t="e">
        <v>#DIV/0!</v>
      </c>
      <c r="X214" s="224" t="e">
        <v>#DIV/0!</v>
      </c>
      <c r="Y214" s="224" t="e">
        <v>#DIV/0!</v>
      </c>
      <c r="Z214" s="224" t="e">
        <v>#DIV/0!</v>
      </c>
      <c r="AA214" s="224" t="e">
        <v>#DIV/0!</v>
      </c>
      <c r="AB214" s="224" t="e">
        <v>#DIV/0!</v>
      </c>
      <c r="AC214" s="224" t="e">
        <v>#DIV/0!</v>
      </c>
      <c r="AD214" s="1120" t="e">
        <v>#DIV/0!</v>
      </c>
      <c r="AE214" s="224" t="e">
        <v>#DIV/0!</v>
      </c>
      <c r="AF214" s="224" t="e">
        <v>#DIV/0!</v>
      </c>
      <c r="AG214" s="224" t="e">
        <v>#DIV/0!</v>
      </c>
      <c r="AH214" s="224" t="e">
        <v>#DIV/0!</v>
      </c>
      <c r="AI214" s="224" t="e">
        <v>#DIV/0!</v>
      </c>
      <c r="AJ214" s="224" t="e">
        <v>#DIV/0!</v>
      </c>
      <c r="AK214" s="224" t="e">
        <v>#DIV/0!</v>
      </c>
      <c r="AL214" s="224" t="e">
        <v>#DIV/0!</v>
      </c>
      <c r="AM214" s="224" t="e">
        <v>#DIV/0!</v>
      </c>
      <c r="AN214" s="1120" t="e">
        <v>#DIV/0!</v>
      </c>
      <c r="AO214" s="224" t="e">
        <f t="shared" si="16"/>
        <v>#DIV/0!</v>
      </c>
      <c r="AP214" s="1123">
        <v>0.1</v>
      </c>
      <c r="AQ214" s="1123">
        <f t="shared" si="18"/>
        <v>0.40760111439866603</v>
      </c>
      <c r="AR214" s="1123">
        <v>20</v>
      </c>
      <c r="AS214" s="1123" t="e">
        <f t="shared" si="15"/>
        <v>#DIV/0!</v>
      </c>
      <c r="AT214" s="224" t="e">
        <f t="shared" si="17"/>
        <v>#DIV/0!</v>
      </c>
    </row>
    <row r="215" spans="1:46">
      <c r="A215" s="1118">
        <v>2035</v>
      </c>
      <c r="D215" s="1107" t="s">
        <v>2008</v>
      </c>
      <c r="E215" s="224" t="s">
        <v>2060</v>
      </c>
      <c r="G215" s="224" t="e">
        <v>#DIV/0!</v>
      </c>
      <c r="H215" s="224" t="e">
        <v>#DIV/0!</v>
      </c>
      <c r="I215" s="224" t="e">
        <v>#DIV/0!</v>
      </c>
      <c r="J215" s="224" t="e">
        <v>#DIV/0!</v>
      </c>
      <c r="K215" s="224" t="e">
        <v>#DIV/0!</v>
      </c>
      <c r="L215" s="224" t="e">
        <v>#DIV/0!</v>
      </c>
      <c r="M215" s="224" t="e">
        <v>#DIV/0!</v>
      </c>
      <c r="N215" s="224" t="e">
        <v>#DIV/0!</v>
      </c>
      <c r="O215" s="224" t="e">
        <v>#DIV/0!</v>
      </c>
      <c r="P215" s="224" t="e">
        <v>#DIV/0!</v>
      </c>
      <c r="Q215" s="224" t="e">
        <v>#DIV/0!</v>
      </c>
      <c r="R215" s="224" t="e">
        <v>#DIV/0!</v>
      </c>
      <c r="S215" s="224" t="e">
        <v>#DIV/0!</v>
      </c>
      <c r="T215" s="224" t="e">
        <v>#DIV/0!</v>
      </c>
      <c r="U215" s="224" t="e">
        <v>#DIV/0!</v>
      </c>
      <c r="V215" s="224" t="e">
        <v>#DIV/0!</v>
      </c>
      <c r="W215" s="224" t="e">
        <v>#DIV/0!</v>
      </c>
      <c r="X215" s="224" t="e">
        <v>#DIV/0!</v>
      </c>
      <c r="Y215" s="224" t="e">
        <v>#DIV/0!</v>
      </c>
      <c r="Z215" s="224" t="e">
        <v>#DIV/0!</v>
      </c>
      <c r="AA215" s="224" t="e">
        <v>#DIV/0!</v>
      </c>
      <c r="AB215" s="224" t="e">
        <v>#DIV/0!</v>
      </c>
      <c r="AC215" s="224" t="e">
        <v>#DIV/0!</v>
      </c>
      <c r="AD215" s="1120" t="e">
        <v>#DIV/0!</v>
      </c>
      <c r="AE215" s="224" t="e">
        <v>#DIV/0!</v>
      </c>
      <c r="AF215" s="224" t="e">
        <v>#DIV/0!</v>
      </c>
      <c r="AG215" s="224" t="e">
        <v>#DIV/0!</v>
      </c>
      <c r="AH215" s="224" t="e">
        <v>#DIV/0!</v>
      </c>
      <c r="AI215" s="224" t="e">
        <v>#DIV/0!</v>
      </c>
      <c r="AJ215" s="224" t="e">
        <v>#DIV/0!</v>
      </c>
      <c r="AK215" s="224" t="e">
        <v>#DIV/0!</v>
      </c>
      <c r="AL215" s="224" t="e">
        <v>#DIV/0!</v>
      </c>
      <c r="AM215" s="224" t="e">
        <v>#DIV/0!</v>
      </c>
      <c r="AN215" s="1120" t="e">
        <v>#DIV/0!</v>
      </c>
      <c r="AO215" s="224" t="e">
        <f t="shared" si="16"/>
        <v>#DIV/0!</v>
      </c>
      <c r="AP215" s="1123">
        <v>0.1</v>
      </c>
      <c r="AQ215" s="1123">
        <f t="shared" si="18"/>
        <v>0.40760111439866603</v>
      </c>
      <c r="AR215" s="1123">
        <v>20</v>
      </c>
      <c r="AS215" s="1123" t="e">
        <f t="shared" si="15"/>
        <v>#DIV/0!</v>
      </c>
      <c r="AT215" s="224" t="e">
        <f t="shared" si="17"/>
        <v>#DIV/0!</v>
      </c>
    </row>
    <row r="216" spans="1:46">
      <c r="A216" s="1118">
        <v>2050</v>
      </c>
      <c r="D216" s="1107" t="s">
        <v>2008</v>
      </c>
      <c r="E216" s="224" t="s">
        <v>2060</v>
      </c>
      <c r="G216" s="224" t="e">
        <v>#DIV/0!</v>
      </c>
      <c r="H216" s="224" t="e">
        <v>#DIV/0!</v>
      </c>
      <c r="I216" s="224" t="e">
        <v>#DIV/0!</v>
      </c>
      <c r="J216" s="224" t="e">
        <v>#DIV/0!</v>
      </c>
      <c r="K216" s="224" t="e">
        <v>#DIV/0!</v>
      </c>
      <c r="L216" s="224" t="e">
        <v>#DIV/0!</v>
      </c>
      <c r="M216" s="224" t="e">
        <v>#DIV/0!</v>
      </c>
      <c r="N216" s="224" t="e">
        <v>#DIV/0!</v>
      </c>
      <c r="O216" s="224" t="e">
        <v>#DIV/0!</v>
      </c>
      <c r="P216" s="224" t="e">
        <v>#DIV/0!</v>
      </c>
      <c r="Q216" s="224" t="e">
        <v>#DIV/0!</v>
      </c>
      <c r="R216" s="224" t="e">
        <v>#DIV/0!</v>
      </c>
      <c r="S216" s="224" t="e">
        <v>#DIV/0!</v>
      </c>
      <c r="T216" s="224" t="e">
        <v>#DIV/0!</v>
      </c>
      <c r="U216" s="224" t="e">
        <v>#DIV/0!</v>
      </c>
      <c r="V216" s="224" t="e">
        <v>#DIV/0!</v>
      </c>
      <c r="W216" s="224" t="e">
        <v>#DIV/0!</v>
      </c>
      <c r="X216" s="224" t="e">
        <v>#DIV/0!</v>
      </c>
      <c r="Y216" s="224" t="e">
        <v>#DIV/0!</v>
      </c>
      <c r="Z216" s="224" t="e">
        <v>#DIV/0!</v>
      </c>
      <c r="AA216" s="224" t="e">
        <v>#DIV/0!</v>
      </c>
      <c r="AB216" s="224" t="e">
        <v>#DIV/0!</v>
      </c>
      <c r="AC216" s="224" t="e">
        <v>#DIV/0!</v>
      </c>
      <c r="AD216" s="1120" t="e">
        <v>#DIV/0!</v>
      </c>
      <c r="AE216" s="224" t="e">
        <v>#DIV/0!</v>
      </c>
      <c r="AF216" s="224" t="e">
        <v>#DIV/0!</v>
      </c>
      <c r="AG216" s="224" t="e">
        <v>#DIV/0!</v>
      </c>
      <c r="AH216" s="224" t="e">
        <v>#DIV/0!</v>
      </c>
      <c r="AI216" s="224" t="e">
        <v>#DIV/0!</v>
      </c>
      <c r="AJ216" s="224" t="e">
        <v>#DIV/0!</v>
      </c>
      <c r="AK216" s="224" t="e">
        <v>#DIV/0!</v>
      </c>
      <c r="AL216" s="224" t="e">
        <v>#DIV/0!</v>
      </c>
      <c r="AM216" s="224" t="e">
        <v>#DIV/0!</v>
      </c>
      <c r="AN216" s="1120" t="e">
        <v>#DIV/0!</v>
      </c>
      <c r="AO216" s="224" t="e">
        <f t="shared" si="16"/>
        <v>#DIV/0!</v>
      </c>
      <c r="AP216" s="1123">
        <v>0.1</v>
      </c>
      <c r="AQ216" s="1123">
        <f t="shared" si="18"/>
        <v>0.40760111439866603</v>
      </c>
      <c r="AR216" s="1123">
        <v>20</v>
      </c>
      <c r="AS216" s="1123" t="e">
        <f t="shared" si="15"/>
        <v>#DIV/0!</v>
      </c>
      <c r="AT216" s="224" t="e">
        <f t="shared" si="17"/>
        <v>#DIV/0!</v>
      </c>
    </row>
    <row r="217" spans="1:46">
      <c r="A217" s="1118">
        <v>2017</v>
      </c>
      <c r="D217" s="1107" t="s">
        <v>2008</v>
      </c>
      <c r="E217" s="224" t="s">
        <v>2061</v>
      </c>
      <c r="G217" s="224">
        <v>30691.178976530005</v>
      </c>
      <c r="H217" s="224">
        <v>9364</v>
      </c>
      <c r="I217" s="224">
        <v>1304.8019999999999</v>
      </c>
      <c r="J217" s="224">
        <v>0</v>
      </c>
      <c r="K217" s="224">
        <v>0</v>
      </c>
      <c r="L217" s="224">
        <v>0</v>
      </c>
      <c r="M217" s="224">
        <v>0</v>
      </c>
      <c r="N217" s="224">
        <v>0</v>
      </c>
      <c r="O217" s="224">
        <v>0</v>
      </c>
      <c r="P217" s="224">
        <v>0</v>
      </c>
      <c r="Q217" s="224">
        <v>0</v>
      </c>
      <c r="R217" s="224">
        <v>0</v>
      </c>
      <c r="S217" s="224">
        <v>2553.601292560098</v>
      </c>
      <c r="T217" s="224">
        <v>2328.6629084223073</v>
      </c>
      <c r="U217" s="224">
        <v>2663.2837217045339</v>
      </c>
      <c r="V217" s="224">
        <v>0</v>
      </c>
      <c r="W217" s="224">
        <v>485.91511020000002</v>
      </c>
      <c r="X217" s="224">
        <v>728.87266529999999</v>
      </c>
      <c r="Y217" s="224">
        <v>1304.8019999999999</v>
      </c>
      <c r="Z217" s="224">
        <v>0</v>
      </c>
      <c r="AA217" s="224">
        <v>33.912367763082315</v>
      </c>
      <c r="AB217" s="224">
        <v>30.925138226059854</v>
      </c>
      <c r="AC217" s="224">
        <v>35.368973727815856</v>
      </c>
      <c r="AD217" s="1120">
        <v>6.7746016405599576</v>
      </c>
      <c r="AE217" s="224">
        <v>0</v>
      </c>
      <c r="AF217" s="224">
        <v>21372.258227579998</v>
      </c>
      <c r="AG217" s="224">
        <v>742406.2419599999</v>
      </c>
      <c r="AH217" s="224">
        <v>0</v>
      </c>
      <c r="AI217" s="224">
        <v>90000</v>
      </c>
      <c r="AJ217" s="224">
        <v>0</v>
      </c>
      <c r="AK217" s="224">
        <v>745.98720000000003</v>
      </c>
      <c r="AL217" s="224">
        <v>0</v>
      </c>
      <c r="AM217" s="224">
        <v>0</v>
      </c>
      <c r="AN217" s="1120">
        <v>854524.48738757998</v>
      </c>
      <c r="AO217" s="224">
        <f t="shared" si="16"/>
        <v>0.89262151216017993</v>
      </c>
      <c r="AP217" s="1123">
        <v>0.1</v>
      </c>
      <c r="AQ217" s="1123">
        <f t="shared" si="18"/>
        <v>0.40760111439866603</v>
      </c>
      <c r="AR217" s="1123">
        <v>20</v>
      </c>
      <c r="AS217" s="1123">
        <f t="shared" si="15"/>
        <v>0.56569461843013169</v>
      </c>
      <c r="AT217" s="224">
        <f t="shared" si="17"/>
        <v>348305.13334012643</v>
      </c>
    </row>
    <row r="218" spans="1:46">
      <c r="A218" s="1121">
        <v>2020</v>
      </c>
      <c r="D218" s="1107" t="s">
        <v>2008</v>
      </c>
      <c r="E218" s="224" t="s">
        <v>2061</v>
      </c>
      <c r="G218" s="224" t="e">
        <v>#DIV/0!</v>
      </c>
      <c r="H218" s="224" t="e">
        <v>#DIV/0!</v>
      </c>
      <c r="I218" s="224" t="e">
        <v>#DIV/0!</v>
      </c>
      <c r="J218" s="224" t="e">
        <v>#DIV/0!</v>
      </c>
      <c r="K218" s="224" t="e">
        <v>#DIV/0!</v>
      </c>
      <c r="L218" s="224" t="e">
        <v>#DIV/0!</v>
      </c>
      <c r="M218" s="224" t="e">
        <v>#DIV/0!</v>
      </c>
      <c r="N218" s="224" t="e">
        <v>#DIV/0!</v>
      </c>
      <c r="O218" s="224" t="e">
        <v>#DIV/0!</v>
      </c>
      <c r="P218" s="224" t="e">
        <v>#DIV/0!</v>
      </c>
      <c r="Q218" s="224" t="e">
        <v>#DIV/0!</v>
      </c>
      <c r="R218" s="224" t="e">
        <v>#DIV/0!</v>
      </c>
      <c r="S218" s="224" t="e">
        <v>#DIV/0!</v>
      </c>
      <c r="T218" s="224" t="e">
        <v>#DIV/0!</v>
      </c>
      <c r="U218" s="224" t="e">
        <v>#DIV/0!</v>
      </c>
      <c r="V218" s="224" t="e">
        <v>#DIV/0!</v>
      </c>
      <c r="W218" s="224" t="e">
        <v>#DIV/0!</v>
      </c>
      <c r="X218" s="224" t="e">
        <v>#DIV/0!</v>
      </c>
      <c r="Y218" s="224" t="e">
        <v>#DIV/0!</v>
      </c>
      <c r="Z218" s="224" t="e">
        <v>#DIV/0!</v>
      </c>
      <c r="AA218" s="224" t="e">
        <v>#DIV/0!</v>
      </c>
      <c r="AB218" s="224" t="e">
        <v>#DIV/0!</v>
      </c>
      <c r="AC218" s="224" t="e">
        <v>#DIV/0!</v>
      </c>
      <c r="AD218" s="1120" t="e">
        <v>#DIV/0!</v>
      </c>
      <c r="AE218" s="224" t="e">
        <v>#DIV/0!</v>
      </c>
      <c r="AF218" s="224" t="e">
        <v>#DIV/0!</v>
      </c>
      <c r="AG218" s="224" t="e">
        <v>#DIV/0!</v>
      </c>
      <c r="AH218" s="224" t="e">
        <v>#DIV/0!</v>
      </c>
      <c r="AI218" s="224" t="e">
        <v>#DIV/0!</v>
      </c>
      <c r="AJ218" s="224" t="e">
        <v>#DIV/0!</v>
      </c>
      <c r="AK218" s="224" t="e">
        <v>#DIV/0!</v>
      </c>
      <c r="AL218" s="224" t="e">
        <v>#DIV/0!</v>
      </c>
      <c r="AM218" s="224" t="e">
        <v>#DIV/0!</v>
      </c>
      <c r="AN218" s="1120" t="e">
        <v>#DIV/0!</v>
      </c>
      <c r="AO218" s="224" t="e">
        <f t="shared" si="16"/>
        <v>#DIV/0!</v>
      </c>
      <c r="AP218" s="1123">
        <v>0.1</v>
      </c>
      <c r="AQ218" s="1123">
        <f t="shared" si="18"/>
        <v>0.40760111439866603</v>
      </c>
      <c r="AR218" s="1123">
        <v>20</v>
      </c>
      <c r="AS218" s="1123" t="e">
        <f t="shared" si="15"/>
        <v>#DIV/0!</v>
      </c>
      <c r="AT218" s="224" t="e">
        <f t="shared" si="17"/>
        <v>#DIV/0!</v>
      </c>
    </row>
    <row r="219" spans="1:46">
      <c r="A219" s="1118">
        <v>2025</v>
      </c>
      <c r="D219" s="1107" t="s">
        <v>2008</v>
      </c>
      <c r="E219" s="224" t="s">
        <v>2061</v>
      </c>
      <c r="G219" s="224" t="e">
        <v>#DIV/0!</v>
      </c>
      <c r="H219" s="224" t="e">
        <v>#DIV/0!</v>
      </c>
      <c r="I219" s="224" t="e">
        <v>#DIV/0!</v>
      </c>
      <c r="J219" s="224" t="e">
        <v>#DIV/0!</v>
      </c>
      <c r="K219" s="224" t="e">
        <v>#DIV/0!</v>
      </c>
      <c r="L219" s="224" t="e">
        <v>#DIV/0!</v>
      </c>
      <c r="M219" s="224" t="e">
        <v>#DIV/0!</v>
      </c>
      <c r="N219" s="224" t="e">
        <v>#DIV/0!</v>
      </c>
      <c r="O219" s="224" t="e">
        <v>#DIV/0!</v>
      </c>
      <c r="P219" s="224" t="e">
        <v>#DIV/0!</v>
      </c>
      <c r="Q219" s="224" t="e">
        <v>#DIV/0!</v>
      </c>
      <c r="R219" s="224" t="e">
        <v>#DIV/0!</v>
      </c>
      <c r="S219" s="224" t="e">
        <v>#DIV/0!</v>
      </c>
      <c r="T219" s="224" t="e">
        <v>#DIV/0!</v>
      </c>
      <c r="U219" s="224" t="e">
        <v>#DIV/0!</v>
      </c>
      <c r="V219" s="224" t="e">
        <v>#DIV/0!</v>
      </c>
      <c r="W219" s="224" t="e">
        <v>#DIV/0!</v>
      </c>
      <c r="X219" s="224" t="e">
        <v>#DIV/0!</v>
      </c>
      <c r="Y219" s="224" t="e">
        <v>#DIV/0!</v>
      </c>
      <c r="Z219" s="224" t="e">
        <v>#DIV/0!</v>
      </c>
      <c r="AA219" s="224" t="e">
        <v>#DIV/0!</v>
      </c>
      <c r="AB219" s="224" t="e">
        <v>#DIV/0!</v>
      </c>
      <c r="AC219" s="224" t="e">
        <v>#DIV/0!</v>
      </c>
      <c r="AD219" s="1120" t="e">
        <v>#DIV/0!</v>
      </c>
      <c r="AE219" s="224" t="e">
        <v>#DIV/0!</v>
      </c>
      <c r="AF219" s="224" t="e">
        <v>#DIV/0!</v>
      </c>
      <c r="AG219" s="224" t="e">
        <v>#DIV/0!</v>
      </c>
      <c r="AH219" s="224" t="e">
        <v>#DIV/0!</v>
      </c>
      <c r="AI219" s="224" t="e">
        <v>#DIV/0!</v>
      </c>
      <c r="AJ219" s="224" t="e">
        <v>#DIV/0!</v>
      </c>
      <c r="AK219" s="224" t="e">
        <v>#DIV/0!</v>
      </c>
      <c r="AL219" s="224" t="e">
        <v>#DIV/0!</v>
      </c>
      <c r="AM219" s="224" t="e">
        <v>#DIV/0!</v>
      </c>
      <c r="AN219" s="1120" t="e">
        <v>#DIV/0!</v>
      </c>
      <c r="AO219" s="224" t="e">
        <f t="shared" si="16"/>
        <v>#DIV/0!</v>
      </c>
      <c r="AP219" s="1123">
        <v>0.1</v>
      </c>
      <c r="AQ219" s="1123">
        <f t="shared" si="18"/>
        <v>0.40760111439866603</v>
      </c>
      <c r="AR219" s="1123">
        <v>20</v>
      </c>
      <c r="AS219" s="1123" t="e">
        <f t="shared" si="15"/>
        <v>#DIV/0!</v>
      </c>
      <c r="AT219" s="224" t="e">
        <f t="shared" si="17"/>
        <v>#DIV/0!</v>
      </c>
    </row>
    <row r="220" spans="1:46">
      <c r="A220" s="1118">
        <v>2030</v>
      </c>
      <c r="D220" s="1107" t="s">
        <v>2008</v>
      </c>
      <c r="E220" s="224" t="s">
        <v>2061</v>
      </c>
      <c r="G220" s="224" t="e">
        <v>#DIV/0!</v>
      </c>
      <c r="H220" s="224" t="e">
        <v>#DIV/0!</v>
      </c>
      <c r="I220" s="224" t="e">
        <v>#DIV/0!</v>
      </c>
      <c r="J220" s="224" t="e">
        <v>#DIV/0!</v>
      </c>
      <c r="K220" s="224" t="e">
        <v>#DIV/0!</v>
      </c>
      <c r="L220" s="224" t="e">
        <v>#DIV/0!</v>
      </c>
      <c r="M220" s="224" t="e">
        <v>#DIV/0!</v>
      </c>
      <c r="N220" s="224" t="e">
        <v>#DIV/0!</v>
      </c>
      <c r="O220" s="224" t="e">
        <v>#DIV/0!</v>
      </c>
      <c r="P220" s="224" t="e">
        <v>#DIV/0!</v>
      </c>
      <c r="Q220" s="224" t="e">
        <v>#DIV/0!</v>
      </c>
      <c r="R220" s="224" t="e">
        <v>#DIV/0!</v>
      </c>
      <c r="S220" s="224" t="e">
        <v>#DIV/0!</v>
      </c>
      <c r="T220" s="224" t="e">
        <v>#DIV/0!</v>
      </c>
      <c r="U220" s="224" t="e">
        <v>#DIV/0!</v>
      </c>
      <c r="V220" s="224" t="e">
        <v>#DIV/0!</v>
      </c>
      <c r="W220" s="224" t="e">
        <v>#DIV/0!</v>
      </c>
      <c r="X220" s="224" t="e">
        <v>#DIV/0!</v>
      </c>
      <c r="Y220" s="224" t="e">
        <v>#DIV/0!</v>
      </c>
      <c r="Z220" s="224" t="e">
        <v>#DIV/0!</v>
      </c>
      <c r="AA220" s="224" t="e">
        <v>#DIV/0!</v>
      </c>
      <c r="AB220" s="224" t="e">
        <v>#DIV/0!</v>
      </c>
      <c r="AC220" s="224" t="e">
        <v>#DIV/0!</v>
      </c>
      <c r="AD220" s="1120" t="e">
        <v>#DIV/0!</v>
      </c>
      <c r="AE220" s="224" t="e">
        <v>#DIV/0!</v>
      </c>
      <c r="AF220" s="224" t="e">
        <v>#DIV/0!</v>
      </c>
      <c r="AG220" s="224" t="e">
        <v>#DIV/0!</v>
      </c>
      <c r="AH220" s="224" t="e">
        <v>#DIV/0!</v>
      </c>
      <c r="AI220" s="224" t="e">
        <v>#DIV/0!</v>
      </c>
      <c r="AJ220" s="224" t="e">
        <v>#DIV/0!</v>
      </c>
      <c r="AK220" s="224" t="e">
        <v>#DIV/0!</v>
      </c>
      <c r="AL220" s="224" t="e">
        <v>#DIV/0!</v>
      </c>
      <c r="AM220" s="224" t="e">
        <v>#DIV/0!</v>
      </c>
      <c r="AN220" s="1120" t="e">
        <v>#DIV/0!</v>
      </c>
      <c r="AO220" s="224" t="e">
        <f t="shared" si="16"/>
        <v>#DIV/0!</v>
      </c>
      <c r="AP220" s="1123">
        <v>0.1</v>
      </c>
      <c r="AQ220" s="1123">
        <f t="shared" si="18"/>
        <v>0.40760111439866603</v>
      </c>
      <c r="AR220" s="1123">
        <v>20</v>
      </c>
      <c r="AS220" s="1123" t="e">
        <f t="shared" si="15"/>
        <v>#DIV/0!</v>
      </c>
      <c r="AT220" s="224" t="e">
        <f t="shared" si="17"/>
        <v>#DIV/0!</v>
      </c>
    </row>
    <row r="221" spans="1:46">
      <c r="A221" s="1118">
        <v>2035</v>
      </c>
      <c r="D221" s="1107" t="s">
        <v>2008</v>
      </c>
      <c r="E221" s="224" t="s">
        <v>2061</v>
      </c>
      <c r="G221" s="224" t="e">
        <v>#DIV/0!</v>
      </c>
      <c r="H221" s="224" t="e">
        <v>#DIV/0!</v>
      </c>
      <c r="I221" s="224" t="e">
        <v>#DIV/0!</v>
      </c>
      <c r="J221" s="224" t="e">
        <v>#DIV/0!</v>
      </c>
      <c r="K221" s="224" t="e">
        <v>#DIV/0!</v>
      </c>
      <c r="L221" s="224" t="e">
        <v>#DIV/0!</v>
      </c>
      <c r="M221" s="224" t="e">
        <v>#DIV/0!</v>
      </c>
      <c r="N221" s="224" t="e">
        <v>#DIV/0!</v>
      </c>
      <c r="O221" s="224" t="e">
        <v>#DIV/0!</v>
      </c>
      <c r="P221" s="224" t="e">
        <v>#DIV/0!</v>
      </c>
      <c r="Q221" s="224" t="e">
        <v>#DIV/0!</v>
      </c>
      <c r="R221" s="224" t="e">
        <v>#DIV/0!</v>
      </c>
      <c r="S221" s="224" t="e">
        <v>#DIV/0!</v>
      </c>
      <c r="T221" s="224" t="e">
        <v>#DIV/0!</v>
      </c>
      <c r="U221" s="224" t="e">
        <v>#DIV/0!</v>
      </c>
      <c r="V221" s="224" t="e">
        <v>#DIV/0!</v>
      </c>
      <c r="W221" s="224" t="e">
        <v>#DIV/0!</v>
      </c>
      <c r="X221" s="224" t="e">
        <v>#DIV/0!</v>
      </c>
      <c r="Y221" s="224" t="e">
        <v>#DIV/0!</v>
      </c>
      <c r="Z221" s="224" t="e">
        <v>#DIV/0!</v>
      </c>
      <c r="AA221" s="224" t="e">
        <v>#DIV/0!</v>
      </c>
      <c r="AB221" s="224" t="e">
        <v>#DIV/0!</v>
      </c>
      <c r="AC221" s="224" t="e">
        <v>#DIV/0!</v>
      </c>
      <c r="AD221" s="1120" t="e">
        <v>#DIV/0!</v>
      </c>
      <c r="AE221" s="224" t="e">
        <v>#DIV/0!</v>
      </c>
      <c r="AF221" s="224" t="e">
        <v>#DIV/0!</v>
      </c>
      <c r="AG221" s="224" t="e">
        <v>#DIV/0!</v>
      </c>
      <c r="AH221" s="224" t="e">
        <v>#DIV/0!</v>
      </c>
      <c r="AI221" s="224" t="e">
        <v>#DIV/0!</v>
      </c>
      <c r="AJ221" s="224" t="e">
        <v>#DIV/0!</v>
      </c>
      <c r="AK221" s="224" t="e">
        <v>#DIV/0!</v>
      </c>
      <c r="AL221" s="224" t="e">
        <v>#DIV/0!</v>
      </c>
      <c r="AM221" s="224" t="e">
        <v>#DIV/0!</v>
      </c>
      <c r="AN221" s="1120" t="e">
        <v>#DIV/0!</v>
      </c>
      <c r="AO221" s="224" t="e">
        <f t="shared" si="16"/>
        <v>#DIV/0!</v>
      </c>
      <c r="AP221" s="1123">
        <v>0.1</v>
      </c>
      <c r="AQ221" s="1123">
        <f t="shared" si="18"/>
        <v>0.40760111439866603</v>
      </c>
      <c r="AR221" s="1123">
        <v>20</v>
      </c>
      <c r="AS221" s="1123" t="e">
        <f t="shared" si="15"/>
        <v>#DIV/0!</v>
      </c>
      <c r="AT221" s="224" t="e">
        <f t="shared" si="17"/>
        <v>#DIV/0!</v>
      </c>
    </row>
    <row r="222" spans="1:46">
      <c r="A222" s="1118">
        <v>2050</v>
      </c>
      <c r="D222" s="1107" t="s">
        <v>2008</v>
      </c>
      <c r="E222" s="224" t="s">
        <v>2061</v>
      </c>
      <c r="G222" s="224" t="e">
        <v>#DIV/0!</v>
      </c>
      <c r="H222" s="224" t="e">
        <v>#DIV/0!</v>
      </c>
      <c r="I222" s="224" t="e">
        <v>#DIV/0!</v>
      </c>
      <c r="J222" s="224" t="e">
        <v>#DIV/0!</v>
      </c>
      <c r="K222" s="224" t="e">
        <v>#DIV/0!</v>
      </c>
      <c r="L222" s="224" t="e">
        <v>#DIV/0!</v>
      </c>
      <c r="M222" s="224" t="e">
        <v>#DIV/0!</v>
      </c>
      <c r="N222" s="224" t="e">
        <v>#DIV/0!</v>
      </c>
      <c r="O222" s="224" t="e">
        <v>#DIV/0!</v>
      </c>
      <c r="P222" s="224" t="e">
        <v>#DIV/0!</v>
      </c>
      <c r="Q222" s="224" t="e">
        <v>#DIV/0!</v>
      </c>
      <c r="R222" s="224" t="e">
        <v>#DIV/0!</v>
      </c>
      <c r="S222" s="224" t="e">
        <v>#DIV/0!</v>
      </c>
      <c r="T222" s="224" t="e">
        <v>#DIV/0!</v>
      </c>
      <c r="U222" s="224" t="e">
        <v>#DIV/0!</v>
      </c>
      <c r="V222" s="224" t="e">
        <v>#DIV/0!</v>
      </c>
      <c r="W222" s="224" t="e">
        <v>#DIV/0!</v>
      </c>
      <c r="X222" s="224" t="e">
        <v>#DIV/0!</v>
      </c>
      <c r="Y222" s="224" t="e">
        <v>#DIV/0!</v>
      </c>
      <c r="Z222" s="224" t="e">
        <v>#DIV/0!</v>
      </c>
      <c r="AA222" s="224" t="e">
        <v>#DIV/0!</v>
      </c>
      <c r="AB222" s="224" t="e">
        <v>#DIV/0!</v>
      </c>
      <c r="AC222" s="224" t="e">
        <v>#DIV/0!</v>
      </c>
      <c r="AD222" s="1120" t="e">
        <v>#DIV/0!</v>
      </c>
      <c r="AE222" s="224" t="e">
        <v>#DIV/0!</v>
      </c>
      <c r="AF222" s="224" t="e">
        <v>#DIV/0!</v>
      </c>
      <c r="AG222" s="224" t="e">
        <v>#DIV/0!</v>
      </c>
      <c r="AH222" s="224" t="e">
        <v>#DIV/0!</v>
      </c>
      <c r="AI222" s="224" t="e">
        <v>#DIV/0!</v>
      </c>
      <c r="AJ222" s="224" t="e">
        <v>#DIV/0!</v>
      </c>
      <c r="AK222" s="224" t="e">
        <v>#DIV/0!</v>
      </c>
      <c r="AL222" s="224" t="e">
        <v>#DIV/0!</v>
      </c>
      <c r="AM222" s="224" t="e">
        <v>#DIV/0!</v>
      </c>
      <c r="AN222" s="1120" t="e">
        <v>#DIV/0!</v>
      </c>
      <c r="AO222" s="224" t="e">
        <f t="shared" si="16"/>
        <v>#DIV/0!</v>
      </c>
      <c r="AP222" s="1123">
        <v>0.1</v>
      </c>
      <c r="AQ222" s="1123">
        <f t="shared" si="18"/>
        <v>0.40760111439866603</v>
      </c>
      <c r="AR222" s="1123">
        <v>20</v>
      </c>
      <c r="AS222" s="1123" t="e">
        <f t="shared" si="15"/>
        <v>#DIV/0!</v>
      </c>
      <c r="AT222" s="224" t="e">
        <f t="shared" si="17"/>
        <v>#DIV/0!</v>
      </c>
    </row>
    <row r="223" spans="1:46">
      <c r="A223" s="1118">
        <v>2017</v>
      </c>
      <c r="D223" s="1107" t="s">
        <v>2008</v>
      </c>
      <c r="E223" s="224" t="s">
        <v>2062</v>
      </c>
      <c r="G223" s="224">
        <v>25534.86775654148</v>
      </c>
      <c r="H223" s="224">
        <v>9364</v>
      </c>
      <c r="I223" s="224">
        <v>2.5660800000000004</v>
      </c>
      <c r="J223" s="224">
        <v>0.1302780109415648</v>
      </c>
      <c r="K223" s="224">
        <v>9.9214558371791869E-2</v>
      </c>
      <c r="L223" s="224">
        <v>0.11887603990438811</v>
      </c>
      <c r="M223" s="224">
        <v>0</v>
      </c>
      <c r="N223" s="224">
        <v>0</v>
      </c>
      <c r="O223" s="224">
        <v>0</v>
      </c>
      <c r="P223" s="224">
        <v>0</v>
      </c>
      <c r="Q223" s="224">
        <v>0</v>
      </c>
      <c r="R223" s="224">
        <v>0</v>
      </c>
      <c r="S223" s="224">
        <v>0</v>
      </c>
      <c r="T223" s="224">
        <v>0</v>
      </c>
      <c r="U223" s="224">
        <v>0</v>
      </c>
      <c r="V223" s="224">
        <v>0</v>
      </c>
      <c r="W223" s="224">
        <v>475.59541869999998</v>
      </c>
      <c r="X223" s="224">
        <v>79.876076555023914</v>
      </c>
      <c r="Y223" s="224">
        <v>2.5660800000000004</v>
      </c>
      <c r="Z223" s="224">
        <v>307.75849840000001</v>
      </c>
      <c r="AA223" s="224">
        <v>65.139005470782394</v>
      </c>
      <c r="AB223" s="224">
        <v>49.607279185895933</v>
      </c>
      <c r="AC223" s="224">
        <v>59.438019952194054</v>
      </c>
      <c r="AD223" s="1120">
        <v>11.352815462075323</v>
      </c>
      <c r="AE223" s="224">
        <v>0</v>
      </c>
      <c r="AF223" s="224">
        <v>20929.543462230002</v>
      </c>
      <c r="AG223" s="224">
        <v>3482.5969377990432</v>
      </c>
      <c r="AH223" s="224">
        <v>0</v>
      </c>
      <c r="AI223" s="224">
        <v>90000</v>
      </c>
      <c r="AJ223" s="224">
        <v>0</v>
      </c>
      <c r="AK223" s="224">
        <v>745.98720000000003</v>
      </c>
      <c r="AL223" s="224">
        <v>147601.26</v>
      </c>
      <c r="AM223" s="224">
        <v>58917.277320000001</v>
      </c>
      <c r="AN223" s="1120">
        <v>321676.66492002906</v>
      </c>
      <c r="AO223" s="224">
        <f t="shared" si="16"/>
        <v>1.4958469652830444</v>
      </c>
      <c r="AP223" s="1123">
        <v>0.1</v>
      </c>
      <c r="AQ223" s="1123">
        <f t="shared" si="18"/>
        <v>0.40760111439866603</v>
      </c>
      <c r="AR223" s="1123">
        <v>20</v>
      </c>
      <c r="AS223" s="1123">
        <f t="shared" si="15"/>
        <v>0.94798586716540389</v>
      </c>
      <c r="AT223" s="224">
        <f t="shared" si="17"/>
        <v>131115.76709745012</v>
      </c>
    </row>
    <row r="224" spans="1:46">
      <c r="A224" s="1121">
        <v>2020</v>
      </c>
      <c r="D224" s="1107" t="s">
        <v>2008</v>
      </c>
      <c r="E224" s="224" t="s">
        <v>2062</v>
      </c>
      <c r="G224" s="224" t="e">
        <v>#DIV/0!</v>
      </c>
      <c r="H224" s="224" t="e">
        <v>#DIV/0!</v>
      </c>
      <c r="I224" s="224" t="e">
        <v>#DIV/0!</v>
      </c>
      <c r="J224" s="224" t="e">
        <v>#DIV/0!</v>
      </c>
      <c r="K224" s="224" t="e">
        <v>#DIV/0!</v>
      </c>
      <c r="L224" s="224" t="e">
        <v>#DIV/0!</v>
      </c>
      <c r="M224" s="224" t="e">
        <v>#DIV/0!</v>
      </c>
      <c r="N224" s="224" t="e">
        <v>#DIV/0!</v>
      </c>
      <c r="O224" s="224" t="e">
        <v>#DIV/0!</v>
      </c>
      <c r="P224" s="224" t="e">
        <v>#DIV/0!</v>
      </c>
      <c r="Q224" s="224" t="e">
        <v>#DIV/0!</v>
      </c>
      <c r="R224" s="224" t="e">
        <v>#DIV/0!</v>
      </c>
      <c r="S224" s="224" t="e">
        <v>#DIV/0!</v>
      </c>
      <c r="T224" s="224" t="e">
        <v>#DIV/0!</v>
      </c>
      <c r="U224" s="224" t="e">
        <v>#DIV/0!</v>
      </c>
      <c r="V224" s="224" t="e">
        <v>#DIV/0!</v>
      </c>
      <c r="W224" s="224" t="e">
        <v>#DIV/0!</v>
      </c>
      <c r="X224" s="224" t="e">
        <v>#DIV/0!</v>
      </c>
      <c r="Y224" s="224" t="e">
        <v>#DIV/0!</v>
      </c>
      <c r="Z224" s="224" t="e">
        <v>#DIV/0!</v>
      </c>
      <c r="AA224" s="224" t="e">
        <v>#DIV/0!</v>
      </c>
      <c r="AB224" s="224" t="e">
        <v>#DIV/0!</v>
      </c>
      <c r="AC224" s="224" t="e">
        <v>#DIV/0!</v>
      </c>
      <c r="AD224" s="1120" t="e">
        <v>#DIV/0!</v>
      </c>
      <c r="AE224" s="224" t="e">
        <v>#DIV/0!</v>
      </c>
      <c r="AF224" s="224" t="e">
        <v>#DIV/0!</v>
      </c>
      <c r="AG224" s="224" t="e">
        <v>#DIV/0!</v>
      </c>
      <c r="AH224" s="224" t="e">
        <v>#DIV/0!</v>
      </c>
      <c r="AI224" s="224" t="e">
        <v>#DIV/0!</v>
      </c>
      <c r="AJ224" s="224" t="e">
        <v>#DIV/0!</v>
      </c>
      <c r="AK224" s="224" t="e">
        <v>#DIV/0!</v>
      </c>
      <c r="AL224" s="224" t="e">
        <v>#DIV/0!</v>
      </c>
      <c r="AM224" s="224" t="e">
        <v>#DIV/0!</v>
      </c>
      <c r="AN224" s="1120" t="e">
        <v>#DIV/0!</v>
      </c>
      <c r="AO224" s="224" t="e">
        <f t="shared" si="16"/>
        <v>#DIV/0!</v>
      </c>
      <c r="AP224" s="1123">
        <v>0.1</v>
      </c>
      <c r="AQ224" s="1123">
        <f t="shared" si="18"/>
        <v>0.40760111439866603</v>
      </c>
      <c r="AR224" s="1123">
        <v>20</v>
      </c>
      <c r="AS224" s="1123" t="e">
        <f t="shared" si="15"/>
        <v>#DIV/0!</v>
      </c>
      <c r="AT224" s="224" t="e">
        <f t="shared" si="17"/>
        <v>#DIV/0!</v>
      </c>
    </row>
    <row r="225" spans="1:46">
      <c r="A225" s="1118">
        <v>2025</v>
      </c>
      <c r="D225" s="1107" t="s">
        <v>2008</v>
      </c>
      <c r="E225" s="224" t="s">
        <v>2062</v>
      </c>
      <c r="G225" s="224" t="e">
        <v>#DIV/0!</v>
      </c>
      <c r="H225" s="224" t="e">
        <v>#DIV/0!</v>
      </c>
      <c r="I225" s="224" t="e">
        <v>#DIV/0!</v>
      </c>
      <c r="J225" s="224" t="e">
        <v>#DIV/0!</v>
      </c>
      <c r="K225" s="224" t="e">
        <v>#DIV/0!</v>
      </c>
      <c r="L225" s="224" t="e">
        <v>#DIV/0!</v>
      </c>
      <c r="M225" s="224" t="e">
        <v>#DIV/0!</v>
      </c>
      <c r="N225" s="224" t="e">
        <v>#DIV/0!</v>
      </c>
      <c r="O225" s="224" t="e">
        <v>#DIV/0!</v>
      </c>
      <c r="P225" s="224" t="e">
        <v>#DIV/0!</v>
      </c>
      <c r="Q225" s="224" t="e">
        <v>#DIV/0!</v>
      </c>
      <c r="R225" s="224" t="e">
        <v>#DIV/0!</v>
      </c>
      <c r="S225" s="224" t="e">
        <v>#DIV/0!</v>
      </c>
      <c r="T225" s="224" t="e">
        <v>#DIV/0!</v>
      </c>
      <c r="U225" s="224" t="e">
        <v>#DIV/0!</v>
      </c>
      <c r="V225" s="224" t="e">
        <v>#DIV/0!</v>
      </c>
      <c r="W225" s="224" t="e">
        <v>#DIV/0!</v>
      </c>
      <c r="X225" s="224" t="e">
        <v>#DIV/0!</v>
      </c>
      <c r="Y225" s="224" t="e">
        <v>#DIV/0!</v>
      </c>
      <c r="Z225" s="224" t="e">
        <v>#DIV/0!</v>
      </c>
      <c r="AA225" s="224" t="e">
        <v>#DIV/0!</v>
      </c>
      <c r="AB225" s="224" t="e">
        <v>#DIV/0!</v>
      </c>
      <c r="AC225" s="224" t="e">
        <v>#DIV/0!</v>
      </c>
      <c r="AD225" s="1120" t="e">
        <v>#DIV/0!</v>
      </c>
      <c r="AE225" s="224" t="e">
        <v>#DIV/0!</v>
      </c>
      <c r="AF225" s="224" t="e">
        <v>#DIV/0!</v>
      </c>
      <c r="AG225" s="224" t="e">
        <v>#DIV/0!</v>
      </c>
      <c r="AH225" s="224" t="e">
        <v>#DIV/0!</v>
      </c>
      <c r="AI225" s="224" t="e">
        <v>#DIV/0!</v>
      </c>
      <c r="AJ225" s="224" t="e">
        <v>#DIV/0!</v>
      </c>
      <c r="AK225" s="224" t="e">
        <v>#DIV/0!</v>
      </c>
      <c r="AL225" s="224" t="e">
        <v>#DIV/0!</v>
      </c>
      <c r="AM225" s="224" t="e">
        <v>#DIV/0!</v>
      </c>
      <c r="AN225" s="1120" t="e">
        <v>#DIV/0!</v>
      </c>
      <c r="AO225" s="224" t="e">
        <f t="shared" si="16"/>
        <v>#DIV/0!</v>
      </c>
      <c r="AP225" s="1123">
        <v>0.1</v>
      </c>
      <c r="AQ225" s="1123">
        <f t="shared" si="18"/>
        <v>0.40760111439866603</v>
      </c>
      <c r="AR225" s="1123">
        <v>20</v>
      </c>
      <c r="AS225" s="1123" t="e">
        <f t="shared" si="15"/>
        <v>#DIV/0!</v>
      </c>
      <c r="AT225" s="224" t="e">
        <f t="shared" si="17"/>
        <v>#DIV/0!</v>
      </c>
    </row>
    <row r="226" spans="1:46">
      <c r="A226" s="1118">
        <v>2030</v>
      </c>
      <c r="D226" s="1107" t="s">
        <v>2008</v>
      </c>
      <c r="E226" s="224" t="s">
        <v>2062</v>
      </c>
      <c r="G226" s="224">
        <v>22352.31373488313</v>
      </c>
      <c r="H226" s="224">
        <v>9364</v>
      </c>
      <c r="I226" s="224">
        <v>5.8924800000000017</v>
      </c>
      <c r="J226" s="224">
        <v>9.3763641137222992E-2</v>
      </c>
      <c r="K226" s="224">
        <v>7.2331496825707303E-2</v>
      </c>
      <c r="L226" s="224">
        <v>8.5505412702411368E-2</v>
      </c>
      <c r="M226" s="224">
        <v>0</v>
      </c>
      <c r="N226" s="224">
        <v>0</v>
      </c>
      <c r="O226" s="224">
        <v>0</v>
      </c>
      <c r="P226" s="224">
        <v>0</v>
      </c>
      <c r="Q226" s="224">
        <v>0</v>
      </c>
      <c r="R226" s="224">
        <v>0</v>
      </c>
      <c r="S226" s="224">
        <v>0</v>
      </c>
      <c r="T226" s="224">
        <v>0</v>
      </c>
      <c r="U226" s="224">
        <v>0</v>
      </c>
      <c r="V226" s="224">
        <v>0</v>
      </c>
      <c r="W226" s="224">
        <v>418.3983715</v>
      </c>
      <c r="X226" s="224">
        <v>111.35633187772922</v>
      </c>
      <c r="Y226" s="224">
        <v>5.8924800000000008</v>
      </c>
      <c r="Z226" s="224">
        <v>270.70423839999995</v>
      </c>
      <c r="AA226" s="224">
        <v>46.881820568611495</v>
      </c>
      <c r="AB226" s="224">
        <v>36.165748412853652</v>
      </c>
      <c r="AC226" s="224">
        <v>42.752706351205681</v>
      </c>
      <c r="AD226" s="1120">
        <v>8.1772957224046934</v>
      </c>
      <c r="AE226" s="224">
        <v>0</v>
      </c>
      <c r="AF226" s="224">
        <v>3987.323274492001</v>
      </c>
      <c r="AG226" s="224">
        <v>2472.1105676855886</v>
      </c>
      <c r="AH226" s="224">
        <v>0</v>
      </c>
      <c r="AI226" s="224">
        <v>90000</v>
      </c>
      <c r="AJ226" s="224">
        <v>0</v>
      </c>
      <c r="AK226" s="224">
        <v>658.22399999999993</v>
      </c>
      <c r="AL226" s="224">
        <v>32050.880000000001</v>
      </c>
      <c r="AM226" s="224">
        <v>21032.679599999999</v>
      </c>
      <c r="AN226" s="1120">
        <v>150201.21744217759</v>
      </c>
      <c r="AO226" s="224">
        <f t="shared" si="16"/>
        <v>1.0774404843840424</v>
      </c>
      <c r="AP226" s="1123">
        <v>0.1</v>
      </c>
      <c r="AQ226" s="1123">
        <f t="shared" si="18"/>
        <v>0.40760111439866603</v>
      </c>
      <c r="AR226" s="1123">
        <v>20</v>
      </c>
      <c r="AS226" s="1123">
        <f t="shared" si="15"/>
        <v>0.68282275902110756</v>
      </c>
      <c r="AT226" s="224">
        <f t="shared" si="17"/>
        <v>61222.18361346794</v>
      </c>
    </row>
    <row r="227" spans="1:46">
      <c r="A227" s="1118">
        <v>2035</v>
      </c>
      <c r="D227" s="1107" t="s">
        <v>2008</v>
      </c>
      <c r="E227" s="224" t="s">
        <v>2062</v>
      </c>
      <c r="G227" s="224" t="e">
        <v>#DIV/0!</v>
      </c>
      <c r="H227" s="224" t="e">
        <v>#DIV/0!</v>
      </c>
      <c r="I227" s="224" t="e">
        <v>#DIV/0!</v>
      </c>
      <c r="J227" s="224" t="e">
        <v>#DIV/0!</v>
      </c>
      <c r="K227" s="224" t="e">
        <v>#DIV/0!</v>
      </c>
      <c r="L227" s="224" t="e">
        <v>#DIV/0!</v>
      </c>
      <c r="M227" s="224" t="e">
        <v>#DIV/0!</v>
      </c>
      <c r="N227" s="224" t="e">
        <v>#DIV/0!</v>
      </c>
      <c r="O227" s="224" t="e">
        <v>#DIV/0!</v>
      </c>
      <c r="P227" s="224" t="e">
        <v>#DIV/0!</v>
      </c>
      <c r="Q227" s="224" t="e">
        <v>#DIV/0!</v>
      </c>
      <c r="R227" s="224" t="e">
        <v>#DIV/0!</v>
      </c>
      <c r="S227" s="224" t="e">
        <v>#DIV/0!</v>
      </c>
      <c r="T227" s="224" t="e">
        <v>#DIV/0!</v>
      </c>
      <c r="U227" s="224" t="e">
        <v>#DIV/0!</v>
      </c>
      <c r="V227" s="224" t="e">
        <v>#DIV/0!</v>
      </c>
      <c r="W227" s="224" t="e">
        <v>#DIV/0!</v>
      </c>
      <c r="X227" s="224" t="e">
        <v>#DIV/0!</v>
      </c>
      <c r="Y227" s="224" t="e">
        <v>#DIV/0!</v>
      </c>
      <c r="Z227" s="224" t="e">
        <v>#DIV/0!</v>
      </c>
      <c r="AA227" s="224" t="e">
        <v>#DIV/0!</v>
      </c>
      <c r="AB227" s="224" t="e">
        <v>#DIV/0!</v>
      </c>
      <c r="AC227" s="224" t="e">
        <v>#DIV/0!</v>
      </c>
      <c r="AD227" s="1120" t="e">
        <v>#DIV/0!</v>
      </c>
      <c r="AE227" s="224" t="e">
        <v>#DIV/0!</v>
      </c>
      <c r="AF227" s="224" t="e">
        <v>#DIV/0!</v>
      </c>
      <c r="AG227" s="224" t="e">
        <v>#DIV/0!</v>
      </c>
      <c r="AH227" s="224" t="e">
        <v>#DIV/0!</v>
      </c>
      <c r="AI227" s="224" t="e">
        <v>#DIV/0!</v>
      </c>
      <c r="AJ227" s="224" t="e">
        <v>#DIV/0!</v>
      </c>
      <c r="AK227" s="224" t="e">
        <v>#DIV/0!</v>
      </c>
      <c r="AL227" s="224" t="e">
        <v>#DIV/0!</v>
      </c>
      <c r="AM227" s="224" t="e">
        <v>#DIV/0!</v>
      </c>
      <c r="AN227" s="1120" t="e">
        <v>#DIV/0!</v>
      </c>
      <c r="AO227" s="224" t="e">
        <f t="shared" si="16"/>
        <v>#DIV/0!</v>
      </c>
      <c r="AP227" s="1123">
        <v>0.1</v>
      </c>
      <c r="AQ227" s="1123">
        <f t="shared" si="18"/>
        <v>0.40760111439866603</v>
      </c>
      <c r="AR227" s="1123">
        <v>20</v>
      </c>
      <c r="AS227" s="1123" t="e">
        <f t="shared" si="15"/>
        <v>#DIV/0!</v>
      </c>
      <c r="AT227" s="224" t="e">
        <f t="shared" si="17"/>
        <v>#DIV/0!</v>
      </c>
    </row>
    <row r="228" spans="1:46">
      <c r="A228" s="1118">
        <v>2050</v>
      </c>
      <c r="D228" s="1107" t="s">
        <v>2008</v>
      </c>
      <c r="E228" s="224" t="s">
        <v>2062</v>
      </c>
      <c r="G228" s="224">
        <v>20226.52146037616</v>
      </c>
      <c r="H228" s="224">
        <v>9364</v>
      </c>
      <c r="I228" s="224">
        <v>6.3201600000000004</v>
      </c>
      <c r="J228" s="224">
        <v>7.5378415413228386E-2</v>
      </c>
      <c r="K228" s="224">
        <v>5.8415325261279738E-2</v>
      </c>
      <c r="L228" s="224">
        <v>6.9533082861795742E-2</v>
      </c>
      <c r="M228" s="224">
        <v>0</v>
      </c>
      <c r="N228" s="224">
        <v>0</v>
      </c>
      <c r="O228" s="224">
        <v>0</v>
      </c>
      <c r="P228" s="224">
        <v>0</v>
      </c>
      <c r="Q228" s="224">
        <v>0</v>
      </c>
      <c r="R228" s="224">
        <v>0</v>
      </c>
      <c r="S228" s="224">
        <v>0</v>
      </c>
      <c r="T228" s="224">
        <v>0</v>
      </c>
      <c r="U228" s="224">
        <v>0</v>
      </c>
      <c r="V228" s="224">
        <v>0</v>
      </c>
      <c r="W228" s="224">
        <v>371.73317680000002</v>
      </c>
      <c r="X228" s="224">
        <v>119.43864628820957</v>
      </c>
      <c r="Y228" s="224">
        <v>6.3201600000000004</v>
      </c>
      <c r="Z228" s="224">
        <v>240.45350060000001</v>
      </c>
      <c r="AA228" s="224">
        <v>37.689207706614191</v>
      </c>
      <c r="AB228" s="224">
        <v>29.20766263063987</v>
      </c>
      <c r="AC228" s="224">
        <v>34.766541430897874</v>
      </c>
      <c r="AD228" s="1120">
        <v>6.6411223724235882</v>
      </c>
      <c r="AE228" s="224">
        <v>0</v>
      </c>
      <c r="AF228" s="224">
        <v>1818.87924864</v>
      </c>
      <c r="AG228" s="224">
        <v>1863.242882096069</v>
      </c>
      <c r="AH228" s="224">
        <v>0</v>
      </c>
      <c r="AI228" s="224">
        <v>90000</v>
      </c>
      <c r="AJ228" s="224">
        <v>0</v>
      </c>
      <c r="AK228" s="224">
        <v>658.22399999999993</v>
      </c>
      <c r="AL228" s="224">
        <v>17312.399999999998</v>
      </c>
      <c r="AM228" s="224">
        <v>12378.86328</v>
      </c>
      <c r="AN228" s="1120">
        <v>124031.60941073607</v>
      </c>
      <c r="AO228" s="224">
        <f t="shared" si="16"/>
        <v>0.87503428379053194</v>
      </c>
      <c r="AP228" s="1123">
        <v>0.1</v>
      </c>
      <c r="AQ228" s="1123">
        <f t="shared" si="18"/>
        <v>0.40760111439866603</v>
      </c>
      <c r="AR228" s="1123">
        <v>20</v>
      </c>
      <c r="AS228" s="1123">
        <f t="shared" si="15"/>
        <v>0.55454879648177358</v>
      </c>
      <c r="AT228" s="224">
        <f t="shared" si="17"/>
        <v>50555.422216476094</v>
      </c>
    </row>
    <row r="229" spans="1:46">
      <c r="A229" s="1118">
        <v>2017</v>
      </c>
      <c r="B229" s="1119"/>
      <c r="C229" s="1119"/>
      <c r="D229" s="1119" t="s">
        <v>2064</v>
      </c>
      <c r="E229" s="1119" t="s">
        <v>2057</v>
      </c>
      <c r="F229" s="1119"/>
      <c r="G229" s="224">
        <v>7715.1847696842215</v>
      </c>
      <c r="H229" s="224">
        <v>4500</v>
      </c>
      <c r="I229" s="224">
        <v>3.1680000000000001</v>
      </c>
      <c r="J229" s="224">
        <v>9.1708277887815326E-2</v>
      </c>
      <c r="K229" s="224">
        <v>6.3074259889277465E-2</v>
      </c>
      <c r="L229" s="224">
        <v>7.603189212238233E-2</v>
      </c>
      <c r="M229" s="224">
        <v>0</v>
      </c>
      <c r="N229" s="224">
        <v>0</v>
      </c>
      <c r="O229" s="224">
        <v>0</v>
      </c>
      <c r="P229" s="224">
        <v>0</v>
      </c>
      <c r="Q229" s="224">
        <v>0</v>
      </c>
      <c r="R229" s="224">
        <v>0</v>
      </c>
      <c r="S229" s="224">
        <v>0</v>
      </c>
      <c r="T229" s="224">
        <v>0</v>
      </c>
      <c r="U229" s="224">
        <v>0</v>
      </c>
      <c r="V229" s="224">
        <v>231.5721681</v>
      </c>
      <c r="W229" s="224">
        <v>0</v>
      </c>
      <c r="X229" s="224">
        <v>4.3509999999999991</v>
      </c>
      <c r="Y229" s="224">
        <v>3.1680000000000001</v>
      </c>
      <c r="Z229" s="224">
        <v>0</v>
      </c>
      <c r="AA229" s="224">
        <v>13.756241683172298</v>
      </c>
      <c r="AB229" s="224">
        <v>9.4611389833916189</v>
      </c>
      <c r="AC229" s="224">
        <v>11.40478381835735</v>
      </c>
      <c r="AD229" s="1120">
        <v>16.465157139568362</v>
      </c>
      <c r="AE229" s="224">
        <v>21972.585279533716</v>
      </c>
      <c r="AF229" s="224">
        <v>0</v>
      </c>
      <c r="AG229" s="224">
        <v>261.60000000000002</v>
      </c>
      <c r="AH229" s="224">
        <v>7492.577360753794</v>
      </c>
      <c r="AI229" s="224">
        <v>40800</v>
      </c>
      <c r="AJ229" s="224">
        <v>0</v>
      </c>
      <c r="AK229" s="224">
        <v>745.98720000000003</v>
      </c>
      <c r="AL229" s="224">
        <v>0</v>
      </c>
      <c r="AM229" s="224">
        <v>436.00000000000006</v>
      </c>
      <c r="AN229" s="1120">
        <v>71708.749840287506</v>
      </c>
      <c r="AO229" s="224">
        <f t="shared" si="16"/>
        <v>2.169449104709527</v>
      </c>
      <c r="AP229" s="1123">
        <v>0.1</v>
      </c>
      <c r="AQ229" s="1123">
        <f>AA229*$C$4*365/1000*0.1</f>
        <v>6.6157067752379534E-2</v>
      </c>
      <c r="AR229" s="1123">
        <v>20</v>
      </c>
      <c r="AS229" s="1123">
        <f>AO229/$AO$229</f>
        <v>1</v>
      </c>
      <c r="AT229" s="224">
        <f t="shared" si="17"/>
        <v>4744.0406216223355</v>
      </c>
    </row>
    <row r="230" spans="1:46">
      <c r="A230" s="1121">
        <v>2020</v>
      </c>
      <c r="B230" s="1107"/>
      <c r="C230" s="1107"/>
      <c r="D230" s="1107" t="s">
        <v>2064</v>
      </c>
      <c r="E230" s="1107" t="s">
        <v>2057</v>
      </c>
      <c r="F230" s="1107"/>
      <c r="G230" s="224" t="e">
        <v>#DIV/0!</v>
      </c>
      <c r="H230" s="224" t="e">
        <v>#DIV/0!</v>
      </c>
      <c r="I230" s="224" t="e">
        <v>#DIV/0!</v>
      </c>
      <c r="J230" s="224" t="e">
        <v>#DIV/0!</v>
      </c>
      <c r="K230" s="224" t="e">
        <v>#DIV/0!</v>
      </c>
      <c r="L230" s="224" t="e">
        <v>#DIV/0!</v>
      </c>
      <c r="M230" s="224" t="e">
        <v>#DIV/0!</v>
      </c>
      <c r="N230" s="224" t="e">
        <v>#DIV/0!</v>
      </c>
      <c r="O230" s="224" t="e">
        <v>#DIV/0!</v>
      </c>
      <c r="P230" s="224" t="e">
        <v>#DIV/0!</v>
      </c>
      <c r="Q230" s="224" t="e">
        <v>#DIV/0!</v>
      </c>
      <c r="R230" s="224" t="e">
        <v>#DIV/0!</v>
      </c>
      <c r="S230" s="224" t="e">
        <v>#DIV/0!</v>
      </c>
      <c r="T230" s="224" t="e">
        <v>#DIV/0!</v>
      </c>
      <c r="U230" s="224" t="e">
        <v>#DIV/0!</v>
      </c>
      <c r="V230" s="224" t="e">
        <v>#DIV/0!</v>
      </c>
      <c r="W230" s="224" t="e">
        <v>#DIV/0!</v>
      </c>
      <c r="X230" s="224" t="e">
        <v>#DIV/0!</v>
      </c>
      <c r="Y230" s="224" t="e">
        <v>#DIV/0!</v>
      </c>
      <c r="Z230" s="224" t="e">
        <v>#DIV/0!</v>
      </c>
      <c r="AA230" s="224" t="e">
        <v>#DIV/0!</v>
      </c>
      <c r="AB230" s="224" t="e">
        <v>#DIV/0!</v>
      </c>
      <c r="AC230" s="224" t="e">
        <v>#DIV/0!</v>
      </c>
      <c r="AD230" s="1120" t="e">
        <v>#DIV/0!</v>
      </c>
      <c r="AE230" s="224" t="e">
        <v>#DIV/0!</v>
      </c>
      <c r="AF230" s="224" t="e">
        <v>#DIV/0!</v>
      </c>
      <c r="AG230" s="224" t="e">
        <v>#DIV/0!</v>
      </c>
      <c r="AH230" s="224" t="e">
        <v>#DIV/0!</v>
      </c>
      <c r="AI230" s="224" t="e">
        <v>#DIV/0!</v>
      </c>
      <c r="AJ230" s="224" t="e">
        <v>#DIV/0!</v>
      </c>
      <c r="AK230" s="224" t="e">
        <v>#DIV/0!</v>
      </c>
      <c r="AL230" s="224" t="e">
        <v>#DIV/0!</v>
      </c>
      <c r="AM230" s="224" t="e">
        <v>#DIV/0!</v>
      </c>
      <c r="AN230" s="1120" t="e">
        <v>#DIV/0!</v>
      </c>
      <c r="AO230" s="224" t="e">
        <f t="shared" si="16"/>
        <v>#DIV/0!</v>
      </c>
      <c r="AP230" s="1123">
        <v>0.1</v>
      </c>
      <c r="AQ230" s="1123">
        <f t="shared" si="18"/>
        <v>6.6157067752379534E-2</v>
      </c>
      <c r="AR230" s="1123">
        <v>20</v>
      </c>
      <c r="AS230" s="1123" t="e">
        <f t="shared" ref="AS230:AS264" si="19">AO230/$AO$229</f>
        <v>#DIV/0!</v>
      </c>
      <c r="AT230" s="224" t="e">
        <f t="shared" si="17"/>
        <v>#DIV/0!</v>
      </c>
    </row>
    <row r="231" spans="1:46">
      <c r="A231" s="1118">
        <v>2025</v>
      </c>
      <c r="B231" s="1119"/>
      <c r="C231" s="1119"/>
      <c r="D231" s="1107" t="s">
        <v>2064</v>
      </c>
      <c r="E231" s="1119" t="s">
        <v>2057</v>
      </c>
      <c r="F231" s="1119"/>
      <c r="G231" s="224" t="e">
        <v>#DIV/0!</v>
      </c>
      <c r="H231" s="224" t="e">
        <v>#DIV/0!</v>
      </c>
      <c r="I231" s="224" t="e">
        <v>#DIV/0!</v>
      </c>
      <c r="J231" s="224" t="e">
        <v>#DIV/0!</v>
      </c>
      <c r="K231" s="224" t="e">
        <v>#DIV/0!</v>
      </c>
      <c r="L231" s="224" t="e">
        <v>#DIV/0!</v>
      </c>
      <c r="M231" s="224" t="e">
        <v>#DIV/0!</v>
      </c>
      <c r="N231" s="224" t="e">
        <v>#DIV/0!</v>
      </c>
      <c r="O231" s="224" t="e">
        <v>#DIV/0!</v>
      </c>
      <c r="P231" s="224" t="e">
        <v>#DIV/0!</v>
      </c>
      <c r="Q231" s="224" t="e">
        <v>#DIV/0!</v>
      </c>
      <c r="R231" s="224" t="e">
        <v>#DIV/0!</v>
      </c>
      <c r="S231" s="224" t="e">
        <v>#DIV/0!</v>
      </c>
      <c r="T231" s="224" t="e">
        <v>#DIV/0!</v>
      </c>
      <c r="U231" s="224" t="e">
        <v>#DIV/0!</v>
      </c>
      <c r="V231" s="224" t="e">
        <v>#DIV/0!</v>
      </c>
      <c r="W231" s="224" t="e">
        <v>#DIV/0!</v>
      </c>
      <c r="X231" s="224" t="e">
        <v>#DIV/0!</v>
      </c>
      <c r="Y231" s="224" t="e">
        <v>#DIV/0!</v>
      </c>
      <c r="Z231" s="224" t="e">
        <v>#DIV/0!</v>
      </c>
      <c r="AA231" s="224" t="e">
        <v>#DIV/0!</v>
      </c>
      <c r="AB231" s="224" t="e">
        <v>#DIV/0!</v>
      </c>
      <c r="AC231" s="224" t="e">
        <v>#DIV/0!</v>
      </c>
      <c r="AD231" s="1120" t="e">
        <v>#DIV/0!</v>
      </c>
      <c r="AE231" s="224" t="e">
        <v>#DIV/0!</v>
      </c>
      <c r="AF231" s="224" t="e">
        <v>#DIV/0!</v>
      </c>
      <c r="AG231" s="224" t="e">
        <v>#DIV/0!</v>
      </c>
      <c r="AH231" s="224" t="e">
        <v>#DIV/0!</v>
      </c>
      <c r="AI231" s="224" t="e">
        <v>#DIV/0!</v>
      </c>
      <c r="AJ231" s="224" t="e">
        <v>#DIV/0!</v>
      </c>
      <c r="AK231" s="224" t="e">
        <v>#DIV/0!</v>
      </c>
      <c r="AL231" s="224" t="e">
        <v>#DIV/0!</v>
      </c>
      <c r="AM231" s="224" t="e">
        <v>#DIV/0!</v>
      </c>
      <c r="AN231" s="1120" t="e">
        <v>#DIV/0!</v>
      </c>
      <c r="AO231" s="224" t="e">
        <f t="shared" si="16"/>
        <v>#DIV/0!</v>
      </c>
      <c r="AP231" s="1123">
        <v>0.1</v>
      </c>
      <c r="AQ231" s="1123">
        <f t="shared" si="18"/>
        <v>6.6157067752379534E-2</v>
      </c>
      <c r="AR231" s="1123">
        <v>20</v>
      </c>
      <c r="AS231" s="1123" t="e">
        <f t="shared" si="19"/>
        <v>#DIV/0!</v>
      </c>
      <c r="AT231" s="224" t="e">
        <f t="shared" si="17"/>
        <v>#DIV/0!</v>
      </c>
    </row>
    <row r="232" spans="1:46">
      <c r="A232" s="1118">
        <v>2030</v>
      </c>
      <c r="B232" s="1107"/>
      <c r="C232" s="1107"/>
      <c r="D232" s="1107" t="s">
        <v>2064</v>
      </c>
      <c r="E232" s="1107" t="s">
        <v>2057</v>
      </c>
      <c r="F232" s="1107"/>
      <c r="G232" s="224">
        <v>7769.0109925377456</v>
      </c>
      <c r="H232" s="224">
        <v>4581</v>
      </c>
      <c r="I232" s="224">
        <v>3.1680000000000001</v>
      </c>
      <c r="J232" s="224">
        <v>6.6869126036282547E-2</v>
      </c>
      <c r="K232" s="224">
        <v>4.1798887165477104E-2</v>
      </c>
      <c r="L232" s="224">
        <v>4.9869941621400779E-2</v>
      </c>
      <c r="M232" s="224">
        <v>0</v>
      </c>
      <c r="N232" s="224">
        <v>0</v>
      </c>
      <c r="O232" s="224">
        <v>0</v>
      </c>
      <c r="P232" s="224">
        <v>0</v>
      </c>
      <c r="Q232" s="224">
        <v>0</v>
      </c>
      <c r="R232" s="224">
        <v>0</v>
      </c>
      <c r="S232" s="224">
        <v>0</v>
      </c>
      <c r="T232" s="224">
        <v>0</v>
      </c>
      <c r="U232" s="224">
        <v>0</v>
      </c>
      <c r="V232" s="224">
        <v>203.2395961</v>
      </c>
      <c r="W232" s="224">
        <v>0</v>
      </c>
      <c r="X232" s="224">
        <v>4.3964347826086954</v>
      </c>
      <c r="Y232" s="224">
        <v>3.1680000000000001</v>
      </c>
      <c r="Z232" s="224">
        <v>0</v>
      </c>
      <c r="AA232" s="224">
        <v>10.030368905442382</v>
      </c>
      <c r="AB232" s="224">
        <v>6.269833074821566</v>
      </c>
      <c r="AC232" s="224">
        <v>7.4804912432101167</v>
      </c>
      <c r="AD232" s="1120">
        <v>11.293667743221315</v>
      </c>
      <c r="AE232" s="224">
        <v>18949.382172059428</v>
      </c>
      <c r="AF232" s="224">
        <v>0</v>
      </c>
      <c r="AG232" s="224">
        <v>177.6</v>
      </c>
      <c r="AH232" s="224">
        <v>6700.6331240917234</v>
      </c>
      <c r="AI232" s="224">
        <v>40800</v>
      </c>
      <c r="AJ232" s="224">
        <v>1426.4912628</v>
      </c>
      <c r="AK232" s="224">
        <v>5614.4184944067338</v>
      </c>
      <c r="AL232" s="224">
        <v>0</v>
      </c>
      <c r="AM232" s="224">
        <v>296</v>
      </c>
      <c r="AN232" s="1120">
        <v>73964.52505335788</v>
      </c>
      <c r="AO232" s="224">
        <f t="shared" si="16"/>
        <v>1.4880536618468403</v>
      </c>
      <c r="AP232" s="1123">
        <v>0.1</v>
      </c>
      <c r="AQ232" s="1123">
        <f t="shared" si="18"/>
        <v>6.6157067752379534E-2</v>
      </c>
      <c r="AR232" s="1123">
        <v>20</v>
      </c>
      <c r="AS232" s="1123">
        <f t="shared" si="19"/>
        <v>0.68591314662165326</v>
      </c>
      <c r="AT232" s="224">
        <f t="shared" si="17"/>
        <v>4893.2760952275703</v>
      </c>
    </row>
    <row r="233" spans="1:46">
      <c r="A233" s="1118">
        <v>2035</v>
      </c>
      <c r="B233" s="1119"/>
      <c r="C233" s="1119"/>
      <c r="D233" s="1107" t="s">
        <v>2064</v>
      </c>
      <c r="E233" s="1119" t="s">
        <v>2057</v>
      </c>
      <c r="F233" s="1119"/>
      <c r="G233" s="224" t="e">
        <v>#DIV/0!</v>
      </c>
      <c r="H233" s="224" t="e">
        <v>#DIV/0!</v>
      </c>
      <c r="I233" s="224" t="e">
        <v>#DIV/0!</v>
      </c>
      <c r="J233" s="224" t="e">
        <v>#DIV/0!</v>
      </c>
      <c r="K233" s="224" t="e">
        <v>#DIV/0!</v>
      </c>
      <c r="L233" s="224" t="e">
        <v>#DIV/0!</v>
      </c>
      <c r="M233" s="224" t="e">
        <v>#DIV/0!</v>
      </c>
      <c r="N233" s="224" t="e">
        <v>#DIV/0!</v>
      </c>
      <c r="O233" s="224" t="e">
        <v>#DIV/0!</v>
      </c>
      <c r="P233" s="224" t="e">
        <v>#DIV/0!</v>
      </c>
      <c r="Q233" s="224" t="e">
        <v>#DIV/0!</v>
      </c>
      <c r="R233" s="224" t="e">
        <v>#DIV/0!</v>
      </c>
      <c r="S233" s="224" t="e">
        <v>#DIV/0!</v>
      </c>
      <c r="T233" s="224" t="e">
        <v>#DIV/0!</v>
      </c>
      <c r="U233" s="224" t="e">
        <v>#DIV/0!</v>
      </c>
      <c r="V233" s="224" t="e">
        <v>#DIV/0!</v>
      </c>
      <c r="W233" s="224" t="e">
        <v>#DIV/0!</v>
      </c>
      <c r="X233" s="224" t="e">
        <v>#DIV/0!</v>
      </c>
      <c r="Y233" s="224" t="e">
        <v>#DIV/0!</v>
      </c>
      <c r="Z233" s="224" t="e">
        <v>#DIV/0!</v>
      </c>
      <c r="AA233" s="224" t="e">
        <v>#DIV/0!</v>
      </c>
      <c r="AB233" s="224" t="e">
        <v>#DIV/0!</v>
      </c>
      <c r="AC233" s="224" t="e">
        <v>#DIV/0!</v>
      </c>
      <c r="AD233" s="1120" t="e">
        <v>#DIV/0!</v>
      </c>
      <c r="AE233" s="224" t="e">
        <v>#DIV/0!</v>
      </c>
      <c r="AF233" s="224" t="e">
        <v>#DIV/0!</v>
      </c>
      <c r="AG233" s="224" t="e">
        <v>#DIV/0!</v>
      </c>
      <c r="AH233" s="224" t="e">
        <v>#DIV/0!</v>
      </c>
      <c r="AI233" s="224" t="e">
        <v>#DIV/0!</v>
      </c>
      <c r="AJ233" s="224" t="e">
        <v>#DIV/0!</v>
      </c>
      <c r="AK233" s="224" t="e">
        <v>#DIV/0!</v>
      </c>
      <c r="AL233" s="224" t="e">
        <v>#DIV/0!</v>
      </c>
      <c r="AM233" s="224" t="e">
        <v>#DIV/0!</v>
      </c>
      <c r="AN233" s="1120" t="e">
        <v>#DIV/0!</v>
      </c>
      <c r="AO233" s="224" t="e">
        <f t="shared" si="16"/>
        <v>#DIV/0!</v>
      </c>
      <c r="AP233" s="1123">
        <v>0.1</v>
      </c>
      <c r="AQ233" s="1123">
        <f t="shared" si="18"/>
        <v>6.6157067752379534E-2</v>
      </c>
      <c r="AR233" s="1123">
        <v>20</v>
      </c>
      <c r="AS233" s="1123" t="e">
        <f t="shared" si="19"/>
        <v>#DIV/0!</v>
      </c>
      <c r="AT233" s="224" t="e">
        <f t="shared" si="17"/>
        <v>#DIV/0!</v>
      </c>
    </row>
    <row r="234" spans="1:46">
      <c r="A234" s="1118">
        <v>2050</v>
      </c>
      <c r="B234" s="1107"/>
      <c r="C234" s="1107"/>
      <c r="D234" s="1107" t="s">
        <v>2064</v>
      </c>
      <c r="E234" s="1107" t="s">
        <v>2057</v>
      </c>
      <c r="F234" s="1107"/>
      <c r="G234" s="224">
        <v>7672.0810096492369</v>
      </c>
      <c r="H234" s="224">
        <v>4699</v>
      </c>
      <c r="I234" s="224">
        <v>3.1680000000000001</v>
      </c>
      <c r="J234" s="224">
        <v>6.1814367038089298E-2</v>
      </c>
      <c r="K234" s="224">
        <v>3.8686455628347965E-2</v>
      </c>
      <c r="L234" s="224">
        <v>4.6348312829270107E-2</v>
      </c>
      <c r="M234" s="224">
        <v>0</v>
      </c>
      <c r="N234" s="224">
        <v>0</v>
      </c>
      <c r="O234" s="224">
        <v>0</v>
      </c>
      <c r="P234" s="224">
        <v>0</v>
      </c>
      <c r="Q234" s="224">
        <v>0</v>
      </c>
      <c r="R234" s="224">
        <v>0</v>
      </c>
      <c r="S234" s="224">
        <v>0</v>
      </c>
      <c r="T234" s="224">
        <v>0</v>
      </c>
      <c r="U234" s="224">
        <v>0</v>
      </c>
      <c r="V234" s="224">
        <v>199.208101</v>
      </c>
      <c r="W234" s="224">
        <v>0</v>
      </c>
      <c r="X234" s="224">
        <v>4.3964347826086954</v>
      </c>
      <c r="Y234" s="224">
        <v>3.1680000000000001</v>
      </c>
      <c r="Z234" s="224">
        <v>0</v>
      </c>
      <c r="AA234" s="224">
        <v>9.2721550557133945</v>
      </c>
      <c r="AB234" s="224">
        <v>5.8029683442521947</v>
      </c>
      <c r="AC234" s="224">
        <v>6.9522469243905158</v>
      </c>
      <c r="AD234" s="1120">
        <v>10.212914723832165</v>
      </c>
      <c r="AE234" s="224">
        <v>18540.974183222857</v>
      </c>
      <c r="AF234" s="224">
        <v>0</v>
      </c>
      <c r="AG234" s="224">
        <v>144</v>
      </c>
      <c r="AH234" s="224">
        <v>6587.945885193104</v>
      </c>
      <c r="AI234" s="224">
        <v>40800</v>
      </c>
      <c r="AJ234" s="224">
        <v>2092.7190328799998</v>
      </c>
      <c r="AK234" s="224">
        <v>6393.2965024452897</v>
      </c>
      <c r="AL234" s="224">
        <v>0</v>
      </c>
      <c r="AM234" s="224">
        <v>240</v>
      </c>
      <c r="AN234" s="1120">
        <v>74798.935603741251</v>
      </c>
      <c r="AO234" s="224">
        <f t="shared" si="16"/>
        <v>1.3456536440121261</v>
      </c>
      <c r="AP234" s="1123">
        <v>0.1</v>
      </c>
      <c r="AQ234" s="1123">
        <f t="shared" si="18"/>
        <v>6.6157067752379534E-2</v>
      </c>
      <c r="AR234" s="1123">
        <v>20</v>
      </c>
      <c r="AS234" s="1123">
        <f t="shared" si="19"/>
        <v>0.62027435494611383</v>
      </c>
      <c r="AT234" s="224">
        <f t="shared" si="17"/>
        <v>4948.4782505425837</v>
      </c>
    </row>
    <row r="235" spans="1:46">
      <c r="A235" s="1118">
        <v>2017</v>
      </c>
      <c r="B235" s="1119"/>
      <c r="C235" s="1119"/>
      <c r="D235" s="1107" t="s">
        <v>2064</v>
      </c>
      <c r="E235" s="1119" t="s">
        <v>2058</v>
      </c>
      <c r="F235" s="1119"/>
      <c r="G235" s="224">
        <v>7711.0655516680272</v>
      </c>
      <c r="H235" s="224">
        <v>4500</v>
      </c>
      <c r="I235" s="224">
        <v>0.21333565440000002</v>
      </c>
      <c r="J235" s="224">
        <v>8.7146044233268702E-2</v>
      </c>
      <c r="K235" s="224">
        <v>6.072652113568186E-2</v>
      </c>
      <c r="L235" s="224">
        <v>7.3609250049487374E-2</v>
      </c>
      <c r="M235" s="224">
        <v>0</v>
      </c>
      <c r="N235" s="224">
        <v>0</v>
      </c>
      <c r="O235" s="224">
        <v>0</v>
      </c>
      <c r="P235" s="224">
        <v>0</v>
      </c>
      <c r="Q235" s="224">
        <v>0</v>
      </c>
      <c r="R235" s="224">
        <v>0</v>
      </c>
      <c r="S235" s="224">
        <v>0</v>
      </c>
      <c r="T235" s="224">
        <v>0</v>
      </c>
      <c r="U235" s="224">
        <v>0</v>
      </c>
      <c r="V235" s="224">
        <v>231.5721681</v>
      </c>
      <c r="W235" s="224">
        <v>4</v>
      </c>
      <c r="X235" s="224">
        <v>6</v>
      </c>
      <c r="Y235" s="224">
        <v>0.21333565440000002</v>
      </c>
      <c r="Z235" s="224">
        <v>0</v>
      </c>
      <c r="AA235" s="224">
        <v>13.071906634990306</v>
      </c>
      <c r="AB235" s="224">
        <v>9.1089781703522785</v>
      </c>
      <c r="AC235" s="224">
        <v>11.041387507423106</v>
      </c>
      <c r="AD235" s="1120">
        <v>15.743322897722262</v>
      </c>
      <c r="AE235" s="224">
        <v>21972.585279533716</v>
      </c>
      <c r="AF235" s="224">
        <v>883.35</v>
      </c>
      <c r="AG235" s="224">
        <v>289.53193070239229</v>
      </c>
      <c r="AH235" s="224">
        <v>7492.577360753794</v>
      </c>
      <c r="AI235" s="224">
        <v>40800</v>
      </c>
      <c r="AJ235" s="224">
        <v>0</v>
      </c>
      <c r="AK235" s="224">
        <v>745.98720000000003</v>
      </c>
      <c r="AL235" s="224">
        <v>0</v>
      </c>
      <c r="AM235" s="224">
        <v>436.00000000000006</v>
      </c>
      <c r="AN235" s="1120">
        <v>72620.03177098991</v>
      </c>
      <c r="AO235" s="224">
        <f t="shared" si="16"/>
        <v>2.0743402250038852</v>
      </c>
      <c r="AP235" s="1123">
        <v>0.1</v>
      </c>
      <c r="AQ235" s="1123">
        <f t="shared" si="18"/>
        <v>6.6157067752379534E-2</v>
      </c>
      <c r="AR235" s="1123">
        <v>20</v>
      </c>
      <c r="AS235" s="1123">
        <f t="shared" si="19"/>
        <v>0.95615989354201691</v>
      </c>
      <c r="AT235" s="224">
        <f t="shared" si="17"/>
        <v>4804.3283620533339</v>
      </c>
    </row>
    <row r="236" spans="1:46">
      <c r="A236" s="1121">
        <v>2020</v>
      </c>
      <c r="D236" s="1107" t="s">
        <v>2064</v>
      </c>
      <c r="E236" s="224" t="s">
        <v>2058</v>
      </c>
      <c r="G236" s="224" t="e">
        <v>#DIV/0!</v>
      </c>
      <c r="H236" s="224" t="e">
        <v>#DIV/0!</v>
      </c>
      <c r="I236" s="224" t="e">
        <v>#DIV/0!</v>
      </c>
      <c r="J236" s="224" t="e">
        <v>#DIV/0!</v>
      </c>
      <c r="K236" s="224" t="e">
        <v>#DIV/0!</v>
      </c>
      <c r="L236" s="224" t="e">
        <v>#DIV/0!</v>
      </c>
      <c r="M236" s="224" t="e">
        <v>#DIV/0!</v>
      </c>
      <c r="N236" s="224" t="e">
        <v>#DIV/0!</v>
      </c>
      <c r="O236" s="224" t="e">
        <v>#DIV/0!</v>
      </c>
      <c r="P236" s="224" t="e">
        <v>#DIV/0!</v>
      </c>
      <c r="Q236" s="224" t="e">
        <v>#DIV/0!</v>
      </c>
      <c r="R236" s="224" t="e">
        <v>#DIV/0!</v>
      </c>
      <c r="S236" s="224" t="e">
        <v>#DIV/0!</v>
      </c>
      <c r="T236" s="224" t="e">
        <v>#DIV/0!</v>
      </c>
      <c r="U236" s="224" t="e">
        <v>#DIV/0!</v>
      </c>
      <c r="V236" s="224" t="e">
        <v>#DIV/0!</v>
      </c>
      <c r="W236" s="224" t="e">
        <v>#DIV/0!</v>
      </c>
      <c r="X236" s="224" t="e">
        <v>#DIV/0!</v>
      </c>
      <c r="Y236" s="224" t="e">
        <v>#DIV/0!</v>
      </c>
      <c r="Z236" s="224" t="e">
        <v>#DIV/0!</v>
      </c>
      <c r="AA236" s="224" t="e">
        <v>#DIV/0!</v>
      </c>
      <c r="AB236" s="224" t="e">
        <v>#DIV/0!</v>
      </c>
      <c r="AC236" s="224" t="e">
        <v>#DIV/0!</v>
      </c>
      <c r="AD236" s="1120" t="e">
        <v>#DIV/0!</v>
      </c>
      <c r="AE236" s="224" t="e">
        <v>#DIV/0!</v>
      </c>
      <c r="AF236" s="224" t="e">
        <v>#DIV/0!</v>
      </c>
      <c r="AG236" s="224" t="e">
        <v>#DIV/0!</v>
      </c>
      <c r="AH236" s="224" t="e">
        <v>#DIV/0!</v>
      </c>
      <c r="AI236" s="224" t="e">
        <v>#DIV/0!</v>
      </c>
      <c r="AJ236" s="224" t="e">
        <v>#DIV/0!</v>
      </c>
      <c r="AK236" s="224" t="e">
        <v>#DIV/0!</v>
      </c>
      <c r="AL236" s="224" t="e">
        <v>#DIV/0!</v>
      </c>
      <c r="AM236" s="224" t="e">
        <v>#DIV/0!</v>
      </c>
      <c r="AN236" s="1120" t="e">
        <v>#DIV/0!</v>
      </c>
      <c r="AO236" s="224" t="e">
        <f t="shared" si="16"/>
        <v>#DIV/0!</v>
      </c>
      <c r="AP236" s="1123">
        <v>0.1</v>
      </c>
      <c r="AQ236" s="1123">
        <f t="shared" si="18"/>
        <v>6.6157067752379534E-2</v>
      </c>
      <c r="AR236" s="1123">
        <v>20</v>
      </c>
      <c r="AS236" s="1123" t="e">
        <f t="shared" si="19"/>
        <v>#DIV/0!</v>
      </c>
      <c r="AT236" s="224" t="e">
        <f t="shared" si="17"/>
        <v>#DIV/0!</v>
      </c>
    </row>
    <row r="237" spans="1:46">
      <c r="A237" s="1118">
        <v>2025</v>
      </c>
      <c r="D237" s="1107" t="s">
        <v>2064</v>
      </c>
      <c r="E237" s="224" t="s">
        <v>2058</v>
      </c>
      <c r="G237" s="224" t="e">
        <v>#DIV/0!</v>
      </c>
      <c r="H237" s="224" t="e">
        <v>#DIV/0!</v>
      </c>
      <c r="I237" s="224" t="e">
        <v>#DIV/0!</v>
      </c>
      <c r="J237" s="224" t="e">
        <v>#DIV/0!</v>
      </c>
      <c r="K237" s="224" t="e">
        <v>#DIV/0!</v>
      </c>
      <c r="L237" s="224" t="e">
        <v>#DIV/0!</v>
      </c>
      <c r="M237" s="224" t="e">
        <v>#DIV/0!</v>
      </c>
      <c r="N237" s="224" t="e">
        <v>#DIV/0!</v>
      </c>
      <c r="O237" s="224" t="e">
        <v>#DIV/0!</v>
      </c>
      <c r="P237" s="224" t="e">
        <v>#DIV/0!</v>
      </c>
      <c r="Q237" s="224" t="e">
        <v>#DIV/0!</v>
      </c>
      <c r="R237" s="224" t="e">
        <v>#DIV/0!</v>
      </c>
      <c r="S237" s="224" t="e">
        <v>#DIV/0!</v>
      </c>
      <c r="T237" s="224" t="e">
        <v>#DIV/0!</v>
      </c>
      <c r="U237" s="224" t="e">
        <v>#DIV/0!</v>
      </c>
      <c r="V237" s="224" t="e">
        <v>#DIV/0!</v>
      </c>
      <c r="W237" s="224" t="e">
        <v>#DIV/0!</v>
      </c>
      <c r="X237" s="224" t="e">
        <v>#DIV/0!</v>
      </c>
      <c r="Y237" s="224" t="e">
        <v>#DIV/0!</v>
      </c>
      <c r="Z237" s="224" t="e">
        <v>#DIV/0!</v>
      </c>
      <c r="AA237" s="224" t="e">
        <v>#DIV/0!</v>
      </c>
      <c r="AB237" s="224" t="e">
        <v>#DIV/0!</v>
      </c>
      <c r="AC237" s="224" t="e">
        <v>#DIV/0!</v>
      </c>
      <c r="AD237" s="1120" t="e">
        <v>#DIV/0!</v>
      </c>
      <c r="AE237" s="224" t="e">
        <v>#DIV/0!</v>
      </c>
      <c r="AF237" s="224" t="e">
        <v>#DIV/0!</v>
      </c>
      <c r="AG237" s="224" t="e">
        <v>#DIV/0!</v>
      </c>
      <c r="AH237" s="224" t="e">
        <v>#DIV/0!</v>
      </c>
      <c r="AI237" s="224" t="e">
        <v>#DIV/0!</v>
      </c>
      <c r="AJ237" s="224" t="e">
        <v>#DIV/0!</v>
      </c>
      <c r="AK237" s="224" t="e">
        <v>#DIV/0!</v>
      </c>
      <c r="AL237" s="224" t="e">
        <v>#DIV/0!</v>
      </c>
      <c r="AM237" s="224" t="e">
        <v>#DIV/0!</v>
      </c>
      <c r="AN237" s="1120" t="e">
        <v>#DIV/0!</v>
      </c>
      <c r="AO237" s="224" t="e">
        <f t="shared" si="16"/>
        <v>#DIV/0!</v>
      </c>
      <c r="AP237" s="1123">
        <v>0.1</v>
      </c>
      <c r="AQ237" s="1123">
        <f t="shared" si="18"/>
        <v>6.6157067752379534E-2</v>
      </c>
      <c r="AR237" s="1123">
        <v>20</v>
      </c>
      <c r="AS237" s="1123" t="e">
        <f t="shared" si="19"/>
        <v>#DIV/0!</v>
      </c>
      <c r="AT237" s="224" t="e">
        <f t="shared" si="17"/>
        <v>#DIV/0!</v>
      </c>
    </row>
    <row r="238" spans="1:46">
      <c r="A238" s="1118">
        <v>2030</v>
      </c>
      <c r="D238" s="1107" t="s">
        <v>2064</v>
      </c>
      <c r="E238" s="224" t="s">
        <v>2058</v>
      </c>
      <c r="G238" s="224" t="e">
        <v>#DIV/0!</v>
      </c>
      <c r="H238" s="224" t="e">
        <v>#DIV/0!</v>
      </c>
      <c r="I238" s="224" t="e">
        <v>#DIV/0!</v>
      </c>
      <c r="J238" s="224" t="e">
        <v>#DIV/0!</v>
      </c>
      <c r="K238" s="224" t="e">
        <v>#DIV/0!</v>
      </c>
      <c r="L238" s="224" t="e">
        <v>#DIV/0!</v>
      </c>
      <c r="M238" s="224" t="e">
        <v>#DIV/0!</v>
      </c>
      <c r="N238" s="224" t="e">
        <v>#DIV/0!</v>
      </c>
      <c r="O238" s="224" t="e">
        <v>#DIV/0!</v>
      </c>
      <c r="P238" s="224" t="e">
        <v>#DIV/0!</v>
      </c>
      <c r="Q238" s="224" t="e">
        <v>#DIV/0!</v>
      </c>
      <c r="R238" s="224" t="e">
        <v>#DIV/0!</v>
      </c>
      <c r="S238" s="224" t="e">
        <v>#DIV/0!</v>
      </c>
      <c r="T238" s="224" t="e">
        <v>#DIV/0!</v>
      </c>
      <c r="U238" s="224" t="e">
        <v>#DIV/0!</v>
      </c>
      <c r="V238" s="224" t="e">
        <v>#DIV/0!</v>
      </c>
      <c r="W238" s="224" t="e">
        <v>#DIV/0!</v>
      </c>
      <c r="X238" s="224" t="e">
        <v>#DIV/0!</v>
      </c>
      <c r="Y238" s="224" t="e">
        <v>#DIV/0!</v>
      </c>
      <c r="Z238" s="224" t="e">
        <v>#DIV/0!</v>
      </c>
      <c r="AA238" s="224" t="e">
        <v>#DIV/0!</v>
      </c>
      <c r="AB238" s="224" t="e">
        <v>#DIV/0!</v>
      </c>
      <c r="AC238" s="224" t="e">
        <v>#DIV/0!</v>
      </c>
      <c r="AD238" s="1120" t="e">
        <v>#DIV/0!</v>
      </c>
      <c r="AE238" s="224" t="e">
        <v>#DIV/0!</v>
      </c>
      <c r="AF238" s="224" t="e">
        <v>#DIV/0!</v>
      </c>
      <c r="AG238" s="224" t="e">
        <v>#DIV/0!</v>
      </c>
      <c r="AH238" s="224" t="e">
        <v>#DIV/0!</v>
      </c>
      <c r="AI238" s="224" t="e">
        <v>#DIV/0!</v>
      </c>
      <c r="AJ238" s="224" t="e">
        <v>#DIV/0!</v>
      </c>
      <c r="AK238" s="224" t="e">
        <v>#DIV/0!</v>
      </c>
      <c r="AL238" s="224" t="e">
        <v>#DIV/0!</v>
      </c>
      <c r="AM238" s="224" t="e">
        <v>#DIV/0!</v>
      </c>
      <c r="AN238" s="1120" t="e">
        <v>#DIV/0!</v>
      </c>
      <c r="AO238" s="224" t="e">
        <f t="shared" si="16"/>
        <v>#DIV/0!</v>
      </c>
      <c r="AP238" s="1123">
        <v>0.1</v>
      </c>
      <c r="AQ238" s="1123">
        <f t="shared" si="18"/>
        <v>6.6157067752379534E-2</v>
      </c>
      <c r="AR238" s="1123">
        <v>20</v>
      </c>
      <c r="AS238" s="1123" t="e">
        <f t="shared" si="19"/>
        <v>#DIV/0!</v>
      </c>
      <c r="AT238" s="224" t="e">
        <f t="shared" si="17"/>
        <v>#DIV/0!</v>
      </c>
    </row>
    <row r="239" spans="1:46">
      <c r="A239" s="1118">
        <v>2035</v>
      </c>
      <c r="D239" s="1107" t="s">
        <v>2064</v>
      </c>
      <c r="E239" s="224" t="s">
        <v>2058</v>
      </c>
      <c r="G239" s="224" t="e">
        <v>#DIV/0!</v>
      </c>
      <c r="H239" s="224" t="e">
        <v>#DIV/0!</v>
      </c>
      <c r="I239" s="224" t="e">
        <v>#DIV/0!</v>
      </c>
      <c r="J239" s="224" t="e">
        <v>#DIV/0!</v>
      </c>
      <c r="K239" s="224" t="e">
        <v>#DIV/0!</v>
      </c>
      <c r="L239" s="224" t="e">
        <v>#DIV/0!</v>
      </c>
      <c r="M239" s="224" t="e">
        <v>#DIV/0!</v>
      </c>
      <c r="N239" s="224" t="e">
        <v>#DIV/0!</v>
      </c>
      <c r="O239" s="224" t="e">
        <v>#DIV/0!</v>
      </c>
      <c r="P239" s="224" t="e">
        <v>#DIV/0!</v>
      </c>
      <c r="Q239" s="224" t="e">
        <v>#DIV/0!</v>
      </c>
      <c r="R239" s="224" t="e">
        <v>#DIV/0!</v>
      </c>
      <c r="S239" s="224" t="e">
        <v>#DIV/0!</v>
      </c>
      <c r="T239" s="224" t="e">
        <v>#DIV/0!</v>
      </c>
      <c r="U239" s="224" t="e">
        <v>#DIV/0!</v>
      </c>
      <c r="V239" s="224" t="e">
        <v>#DIV/0!</v>
      </c>
      <c r="W239" s="224" t="e">
        <v>#DIV/0!</v>
      </c>
      <c r="X239" s="224" t="e">
        <v>#DIV/0!</v>
      </c>
      <c r="Y239" s="224" t="e">
        <v>#DIV/0!</v>
      </c>
      <c r="Z239" s="224" t="e">
        <v>#DIV/0!</v>
      </c>
      <c r="AA239" s="224" t="e">
        <v>#DIV/0!</v>
      </c>
      <c r="AB239" s="224" t="e">
        <v>#DIV/0!</v>
      </c>
      <c r="AC239" s="224" t="e">
        <v>#DIV/0!</v>
      </c>
      <c r="AD239" s="1120" t="e">
        <v>#DIV/0!</v>
      </c>
      <c r="AE239" s="224" t="e">
        <v>#DIV/0!</v>
      </c>
      <c r="AF239" s="224" t="e">
        <v>#DIV/0!</v>
      </c>
      <c r="AG239" s="224" t="e">
        <v>#DIV/0!</v>
      </c>
      <c r="AH239" s="224" t="e">
        <v>#DIV/0!</v>
      </c>
      <c r="AI239" s="224" t="e">
        <v>#DIV/0!</v>
      </c>
      <c r="AJ239" s="224" t="e">
        <v>#DIV/0!</v>
      </c>
      <c r="AK239" s="224" t="e">
        <v>#DIV/0!</v>
      </c>
      <c r="AL239" s="224" t="e">
        <v>#DIV/0!</v>
      </c>
      <c r="AM239" s="224" t="e">
        <v>#DIV/0!</v>
      </c>
      <c r="AN239" s="1120" t="e">
        <v>#DIV/0!</v>
      </c>
      <c r="AO239" s="224" t="e">
        <f t="shared" si="16"/>
        <v>#DIV/0!</v>
      </c>
      <c r="AP239" s="1123">
        <v>0.1</v>
      </c>
      <c r="AQ239" s="1123">
        <f t="shared" si="18"/>
        <v>6.6157067752379534E-2</v>
      </c>
      <c r="AR239" s="1123">
        <v>20</v>
      </c>
      <c r="AS239" s="1123" t="e">
        <f t="shared" si="19"/>
        <v>#DIV/0!</v>
      </c>
      <c r="AT239" s="224" t="e">
        <f t="shared" si="17"/>
        <v>#DIV/0!</v>
      </c>
    </row>
    <row r="240" spans="1:46">
      <c r="A240" s="1118">
        <v>2050</v>
      </c>
      <c r="D240" s="1107" t="s">
        <v>2064</v>
      </c>
      <c r="E240" s="224" t="s">
        <v>2058</v>
      </c>
      <c r="G240" s="224" t="e">
        <v>#DIV/0!</v>
      </c>
      <c r="H240" s="224" t="e">
        <v>#DIV/0!</v>
      </c>
      <c r="I240" s="224" t="e">
        <v>#DIV/0!</v>
      </c>
      <c r="J240" s="224" t="e">
        <v>#DIV/0!</v>
      </c>
      <c r="K240" s="224" t="e">
        <v>#DIV/0!</v>
      </c>
      <c r="L240" s="224" t="e">
        <v>#DIV/0!</v>
      </c>
      <c r="M240" s="224" t="e">
        <v>#DIV/0!</v>
      </c>
      <c r="N240" s="224" t="e">
        <v>#DIV/0!</v>
      </c>
      <c r="O240" s="224" t="e">
        <v>#DIV/0!</v>
      </c>
      <c r="P240" s="224" t="e">
        <v>#DIV/0!</v>
      </c>
      <c r="Q240" s="224" t="e">
        <v>#DIV/0!</v>
      </c>
      <c r="R240" s="224" t="e">
        <v>#DIV/0!</v>
      </c>
      <c r="S240" s="224" t="e">
        <v>#DIV/0!</v>
      </c>
      <c r="T240" s="224" t="e">
        <v>#DIV/0!</v>
      </c>
      <c r="U240" s="224" t="e">
        <v>#DIV/0!</v>
      </c>
      <c r="V240" s="224" t="e">
        <v>#DIV/0!</v>
      </c>
      <c r="W240" s="224" t="e">
        <v>#DIV/0!</v>
      </c>
      <c r="X240" s="224" t="e">
        <v>#DIV/0!</v>
      </c>
      <c r="Y240" s="224" t="e">
        <v>#DIV/0!</v>
      </c>
      <c r="Z240" s="224" t="e">
        <v>#DIV/0!</v>
      </c>
      <c r="AA240" s="224" t="e">
        <v>#DIV/0!</v>
      </c>
      <c r="AB240" s="224" t="e">
        <v>#DIV/0!</v>
      </c>
      <c r="AC240" s="224" t="e">
        <v>#DIV/0!</v>
      </c>
      <c r="AD240" s="1120" t="e">
        <v>#DIV/0!</v>
      </c>
      <c r="AE240" s="224" t="e">
        <v>#DIV/0!</v>
      </c>
      <c r="AF240" s="224" t="e">
        <v>#DIV/0!</v>
      </c>
      <c r="AG240" s="224" t="e">
        <v>#DIV/0!</v>
      </c>
      <c r="AH240" s="224" t="e">
        <v>#DIV/0!</v>
      </c>
      <c r="AI240" s="224" t="e">
        <v>#DIV/0!</v>
      </c>
      <c r="AJ240" s="224" t="e">
        <v>#DIV/0!</v>
      </c>
      <c r="AK240" s="224" t="e">
        <v>#DIV/0!</v>
      </c>
      <c r="AL240" s="224" t="e">
        <v>#DIV/0!</v>
      </c>
      <c r="AM240" s="224" t="e">
        <v>#DIV/0!</v>
      </c>
      <c r="AN240" s="1120" t="e">
        <v>#DIV/0!</v>
      </c>
      <c r="AO240" s="224" t="e">
        <f t="shared" si="16"/>
        <v>#DIV/0!</v>
      </c>
      <c r="AP240" s="1123">
        <v>0.1</v>
      </c>
      <c r="AQ240" s="1123">
        <f t="shared" si="18"/>
        <v>6.6157067752379534E-2</v>
      </c>
      <c r="AR240" s="1123">
        <v>20</v>
      </c>
      <c r="AS240" s="1123" t="e">
        <f t="shared" si="19"/>
        <v>#DIV/0!</v>
      </c>
      <c r="AT240" s="224" t="e">
        <f t="shared" si="17"/>
        <v>#DIV/0!</v>
      </c>
    </row>
    <row r="241" spans="1:46">
      <c r="A241" s="1118">
        <v>2017</v>
      </c>
      <c r="D241" s="1107" t="s">
        <v>2064</v>
      </c>
      <c r="E241" s="224" t="s">
        <v>2059</v>
      </c>
      <c r="G241" s="224">
        <v>8074.9597203803824</v>
      </c>
      <c r="H241" s="224">
        <v>4500</v>
      </c>
      <c r="I241" s="224">
        <v>4.7520000000000007</v>
      </c>
      <c r="J241" s="224">
        <v>6.7710210487715347E-2</v>
      </c>
      <c r="K241" s="224">
        <v>6.0540850222056991E-2</v>
      </c>
      <c r="L241" s="224">
        <v>7.3822967772974077E-2</v>
      </c>
      <c r="M241" s="224">
        <v>0</v>
      </c>
      <c r="N241" s="224">
        <v>0</v>
      </c>
      <c r="O241" s="224">
        <v>0</v>
      </c>
      <c r="P241" s="224">
        <v>0</v>
      </c>
      <c r="Q241" s="224">
        <v>0</v>
      </c>
      <c r="R241" s="224">
        <v>0</v>
      </c>
      <c r="S241" s="224">
        <v>0</v>
      </c>
      <c r="T241" s="224">
        <v>0</v>
      </c>
      <c r="U241" s="224">
        <v>0</v>
      </c>
      <c r="V241" s="224">
        <v>231.5059072</v>
      </c>
      <c r="W241" s="224">
        <v>113.6112368</v>
      </c>
      <c r="X241" s="224">
        <v>147.91866028708131</v>
      </c>
      <c r="Y241" s="224">
        <v>4.7520000000000007</v>
      </c>
      <c r="Z241" s="224">
        <v>0</v>
      </c>
      <c r="AA241" s="224">
        <v>10.156531573157302</v>
      </c>
      <c r="AB241" s="224">
        <v>9.0811275333085479</v>
      </c>
      <c r="AC241" s="224">
        <v>11.073445165946112</v>
      </c>
      <c r="AD241" s="1120">
        <v>13.536109626683087</v>
      </c>
      <c r="AE241" s="224">
        <v>21971.19796560457</v>
      </c>
      <c r="AF241" s="224">
        <v>5585.6720587199998</v>
      </c>
      <c r="AG241" s="224">
        <v>6449.2535885167463</v>
      </c>
      <c r="AH241" s="224">
        <v>9379.0497430624619</v>
      </c>
      <c r="AI241" s="224">
        <v>40800</v>
      </c>
      <c r="AJ241" s="224">
        <v>0</v>
      </c>
      <c r="AK241" s="224">
        <v>745.98720000000003</v>
      </c>
      <c r="AL241" s="224">
        <v>0</v>
      </c>
      <c r="AM241" s="224">
        <v>436.00000000000006</v>
      </c>
      <c r="AN241" s="1120">
        <v>85367.160555903785</v>
      </c>
      <c r="AO241" s="224">
        <f t="shared" si="16"/>
        <v>1.7835178044117634</v>
      </c>
      <c r="AP241" s="1123">
        <v>0.1</v>
      </c>
      <c r="AQ241" s="1123">
        <f t="shared" si="18"/>
        <v>6.6157067752379534E-2</v>
      </c>
      <c r="AR241" s="1123">
        <v>20</v>
      </c>
      <c r="AS241" s="1123">
        <f t="shared" si="19"/>
        <v>0.8221063128607311</v>
      </c>
      <c r="AT241" s="224">
        <f t="shared" si="17"/>
        <v>5647.6410247251888</v>
      </c>
    </row>
    <row r="242" spans="1:46">
      <c r="A242" s="1121">
        <v>2020</v>
      </c>
      <c r="D242" s="1107" t="s">
        <v>2064</v>
      </c>
      <c r="E242" s="224" t="s">
        <v>2059</v>
      </c>
      <c r="G242" s="224" t="e">
        <v>#DIV/0!</v>
      </c>
      <c r="H242" s="224" t="e">
        <v>#DIV/0!</v>
      </c>
      <c r="I242" s="224" t="e">
        <v>#DIV/0!</v>
      </c>
      <c r="J242" s="224" t="e">
        <v>#DIV/0!</v>
      </c>
      <c r="K242" s="224" t="e">
        <v>#DIV/0!</v>
      </c>
      <c r="L242" s="224" t="e">
        <v>#DIV/0!</v>
      </c>
      <c r="M242" s="224" t="e">
        <v>#DIV/0!</v>
      </c>
      <c r="N242" s="224" t="e">
        <v>#DIV/0!</v>
      </c>
      <c r="O242" s="224" t="e">
        <v>#DIV/0!</v>
      </c>
      <c r="P242" s="224" t="e">
        <v>#DIV/0!</v>
      </c>
      <c r="Q242" s="224" t="e">
        <v>#DIV/0!</v>
      </c>
      <c r="R242" s="224" t="e">
        <v>#DIV/0!</v>
      </c>
      <c r="S242" s="224" t="e">
        <v>#DIV/0!</v>
      </c>
      <c r="T242" s="224" t="e">
        <v>#DIV/0!</v>
      </c>
      <c r="U242" s="224" t="e">
        <v>#DIV/0!</v>
      </c>
      <c r="V242" s="224" t="e">
        <v>#DIV/0!</v>
      </c>
      <c r="W242" s="224" t="e">
        <v>#DIV/0!</v>
      </c>
      <c r="X242" s="224" t="e">
        <v>#DIV/0!</v>
      </c>
      <c r="Y242" s="224" t="e">
        <v>#DIV/0!</v>
      </c>
      <c r="Z242" s="224" t="e">
        <v>#DIV/0!</v>
      </c>
      <c r="AA242" s="224" t="e">
        <v>#DIV/0!</v>
      </c>
      <c r="AB242" s="224" t="e">
        <v>#DIV/0!</v>
      </c>
      <c r="AC242" s="224" t="e">
        <v>#DIV/0!</v>
      </c>
      <c r="AD242" s="1120" t="e">
        <v>#DIV/0!</v>
      </c>
      <c r="AE242" s="224" t="e">
        <v>#DIV/0!</v>
      </c>
      <c r="AF242" s="224" t="e">
        <v>#DIV/0!</v>
      </c>
      <c r="AG242" s="224" t="e">
        <v>#DIV/0!</v>
      </c>
      <c r="AH242" s="224" t="e">
        <v>#DIV/0!</v>
      </c>
      <c r="AI242" s="224" t="e">
        <v>#DIV/0!</v>
      </c>
      <c r="AJ242" s="224" t="e">
        <v>#DIV/0!</v>
      </c>
      <c r="AK242" s="224" t="e">
        <v>#DIV/0!</v>
      </c>
      <c r="AL242" s="224" t="e">
        <v>#DIV/0!</v>
      </c>
      <c r="AM242" s="224" t="e">
        <v>#DIV/0!</v>
      </c>
      <c r="AN242" s="1120" t="e">
        <v>#DIV/0!</v>
      </c>
      <c r="AO242" s="224" t="e">
        <f t="shared" si="16"/>
        <v>#DIV/0!</v>
      </c>
      <c r="AP242" s="1123">
        <v>0.1</v>
      </c>
      <c r="AQ242" s="1123">
        <f t="shared" si="18"/>
        <v>6.6157067752379534E-2</v>
      </c>
      <c r="AR242" s="1123">
        <v>20</v>
      </c>
      <c r="AS242" s="1123" t="e">
        <f t="shared" si="19"/>
        <v>#DIV/0!</v>
      </c>
      <c r="AT242" s="224" t="e">
        <f t="shared" si="17"/>
        <v>#DIV/0!</v>
      </c>
    </row>
    <row r="243" spans="1:46">
      <c r="A243" s="1118">
        <v>2025</v>
      </c>
      <c r="D243" s="1107" t="s">
        <v>2064</v>
      </c>
      <c r="E243" s="224" t="s">
        <v>2059</v>
      </c>
      <c r="G243" s="224" t="e">
        <v>#DIV/0!</v>
      </c>
      <c r="H243" s="224" t="e">
        <v>#DIV/0!</v>
      </c>
      <c r="I243" s="224" t="e">
        <v>#DIV/0!</v>
      </c>
      <c r="J243" s="224" t="e">
        <v>#DIV/0!</v>
      </c>
      <c r="K243" s="224" t="e">
        <v>#DIV/0!</v>
      </c>
      <c r="L243" s="224" t="e">
        <v>#DIV/0!</v>
      </c>
      <c r="M243" s="224" t="e">
        <v>#DIV/0!</v>
      </c>
      <c r="N243" s="224" t="e">
        <v>#DIV/0!</v>
      </c>
      <c r="O243" s="224" t="e">
        <v>#DIV/0!</v>
      </c>
      <c r="P243" s="224" t="e">
        <v>#DIV/0!</v>
      </c>
      <c r="Q243" s="224" t="e">
        <v>#DIV/0!</v>
      </c>
      <c r="R243" s="224" t="e">
        <v>#DIV/0!</v>
      </c>
      <c r="S243" s="224" t="e">
        <v>#DIV/0!</v>
      </c>
      <c r="T243" s="224" t="e">
        <v>#DIV/0!</v>
      </c>
      <c r="U243" s="224" t="e">
        <v>#DIV/0!</v>
      </c>
      <c r="V243" s="224" t="e">
        <v>#DIV/0!</v>
      </c>
      <c r="W243" s="224" t="e">
        <v>#DIV/0!</v>
      </c>
      <c r="X243" s="224" t="e">
        <v>#DIV/0!</v>
      </c>
      <c r="Y243" s="224" t="e">
        <v>#DIV/0!</v>
      </c>
      <c r="Z243" s="224" t="e">
        <v>#DIV/0!</v>
      </c>
      <c r="AA243" s="224" t="e">
        <v>#DIV/0!</v>
      </c>
      <c r="AB243" s="224" t="e">
        <v>#DIV/0!</v>
      </c>
      <c r="AC243" s="224" t="e">
        <v>#DIV/0!</v>
      </c>
      <c r="AD243" s="1120" t="e">
        <v>#DIV/0!</v>
      </c>
      <c r="AE243" s="224" t="e">
        <v>#DIV/0!</v>
      </c>
      <c r="AF243" s="224" t="e">
        <v>#DIV/0!</v>
      </c>
      <c r="AG243" s="224" t="e">
        <v>#DIV/0!</v>
      </c>
      <c r="AH243" s="224" t="e">
        <v>#DIV/0!</v>
      </c>
      <c r="AI243" s="224" t="e">
        <v>#DIV/0!</v>
      </c>
      <c r="AJ243" s="224" t="e">
        <v>#DIV/0!</v>
      </c>
      <c r="AK243" s="224" t="e">
        <v>#DIV/0!</v>
      </c>
      <c r="AL243" s="224" t="e">
        <v>#DIV/0!</v>
      </c>
      <c r="AM243" s="224" t="e">
        <v>#DIV/0!</v>
      </c>
      <c r="AN243" s="1120" t="e">
        <v>#DIV/0!</v>
      </c>
      <c r="AO243" s="224" t="e">
        <f t="shared" si="16"/>
        <v>#DIV/0!</v>
      </c>
      <c r="AP243" s="1123">
        <v>0.1</v>
      </c>
      <c r="AQ243" s="1123">
        <f t="shared" si="18"/>
        <v>6.6157067752379534E-2</v>
      </c>
      <c r="AR243" s="1123">
        <v>20</v>
      </c>
      <c r="AS243" s="1123" t="e">
        <f t="shared" si="19"/>
        <v>#DIV/0!</v>
      </c>
      <c r="AT243" s="224" t="e">
        <f t="shared" si="17"/>
        <v>#DIV/0!</v>
      </c>
    </row>
    <row r="244" spans="1:46">
      <c r="A244" s="1118">
        <v>2030</v>
      </c>
      <c r="D244" s="1107" t="s">
        <v>2064</v>
      </c>
      <c r="E244" s="71" t="s">
        <v>2059</v>
      </c>
      <c r="G244" s="224">
        <v>8074.9597203803824</v>
      </c>
      <c r="H244" s="224">
        <v>4500</v>
      </c>
      <c r="I244" s="224">
        <v>4.7520000000000007</v>
      </c>
      <c r="J244" s="224">
        <v>6.7710210487715347E-2</v>
      </c>
      <c r="K244" s="224">
        <v>6.0540850222056991E-2</v>
      </c>
      <c r="L244" s="224">
        <v>7.3822967772974077E-2</v>
      </c>
      <c r="M244" s="224">
        <v>0</v>
      </c>
      <c r="N244" s="224">
        <v>0</v>
      </c>
      <c r="O244" s="224">
        <v>0</v>
      </c>
      <c r="P244" s="224">
        <v>0</v>
      </c>
      <c r="Q244" s="224">
        <v>0</v>
      </c>
      <c r="R244" s="224">
        <v>0</v>
      </c>
      <c r="S244" s="224">
        <v>0</v>
      </c>
      <c r="T244" s="224">
        <v>0</v>
      </c>
      <c r="U244" s="224">
        <v>0</v>
      </c>
      <c r="V244" s="224">
        <v>231.5059072</v>
      </c>
      <c r="W244" s="224">
        <v>113.6112368</v>
      </c>
      <c r="X244" s="224">
        <v>147.91866028708131</v>
      </c>
      <c r="Y244" s="224">
        <v>4.7520000000000007</v>
      </c>
      <c r="Z244" s="224">
        <v>0</v>
      </c>
      <c r="AA244" s="224">
        <v>10.156531573157302</v>
      </c>
      <c r="AB244" s="224">
        <v>9.0811275333085479</v>
      </c>
      <c r="AC244" s="224">
        <v>11.073445165946112</v>
      </c>
      <c r="AD244" s="224">
        <v>13.536109626683087</v>
      </c>
      <c r="AE244" s="224">
        <v>22174.658046364562</v>
      </c>
      <c r="AF244" s="224">
        <v>1605.1330214094808</v>
      </c>
      <c r="AG244" s="224">
        <v>2825.484861916229</v>
      </c>
      <c r="AH244" s="224">
        <v>9112.8850836535621</v>
      </c>
      <c r="AI244" s="224">
        <v>40800</v>
      </c>
      <c r="AJ244" s="224">
        <v>0</v>
      </c>
      <c r="AK244" s="224">
        <v>3508.0290601924276</v>
      </c>
      <c r="AL244" s="224">
        <v>0</v>
      </c>
      <c r="AM244" s="224">
        <v>296</v>
      </c>
      <c r="AN244" s="1120">
        <v>80322.190073536258</v>
      </c>
      <c r="AO244" s="224">
        <f t="shared" si="16"/>
        <v>1.7835178044117634</v>
      </c>
      <c r="AP244" s="1123">
        <v>0.1</v>
      </c>
      <c r="AQ244" s="1123">
        <f t="shared" si="18"/>
        <v>6.6157067752379534E-2</v>
      </c>
      <c r="AR244" s="1123">
        <v>20</v>
      </c>
      <c r="AS244" s="1123">
        <f t="shared" si="19"/>
        <v>0.8221063128607311</v>
      </c>
      <c r="AT244" s="224">
        <f t="shared" si="17"/>
        <v>5313.8805707144447</v>
      </c>
    </row>
    <row r="245" spans="1:46">
      <c r="A245" s="1118">
        <v>2035</v>
      </c>
      <c r="D245" s="1107" t="s">
        <v>2064</v>
      </c>
      <c r="E245" s="224" t="s">
        <v>2059</v>
      </c>
      <c r="G245" s="224" t="e">
        <v>#DIV/0!</v>
      </c>
      <c r="H245" s="224" t="e">
        <v>#DIV/0!</v>
      </c>
      <c r="I245" s="224" t="e">
        <v>#DIV/0!</v>
      </c>
      <c r="J245" s="224" t="e">
        <v>#DIV/0!</v>
      </c>
      <c r="K245" s="224" t="e">
        <v>#DIV/0!</v>
      </c>
      <c r="L245" s="224" t="e">
        <v>#DIV/0!</v>
      </c>
      <c r="M245" s="224" t="e">
        <v>#DIV/0!</v>
      </c>
      <c r="N245" s="224" t="e">
        <v>#DIV/0!</v>
      </c>
      <c r="O245" s="224" t="e">
        <v>#DIV/0!</v>
      </c>
      <c r="P245" s="224" t="e">
        <v>#DIV/0!</v>
      </c>
      <c r="Q245" s="224" t="e">
        <v>#DIV/0!</v>
      </c>
      <c r="R245" s="224" t="e">
        <v>#DIV/0!</v>
      </c>
      <c r="S245" s="224" t="e">
        <v>#DIV/0!</v>
      </c>
      <c r="T245" s="224" t="e">
        <v>#DIV/0!</v>
      </c>
      <c r="U245" s="224" t="e">
        <v>#DIV/0!</v>
      </c>
      <c r="V245" s="224" t="e">
        <v>#DIV/0!</v>
      </c>
      <c r="W245" s="224" t="e">
        <v>#DIV/0!</v>
      </c>
      <c r="X245" s="224" t="e">
        <v>#DIV/0!</v>
      </c>
      <c r="Y245" s="224" t="e">
        <v>#DIV/0!</v>
      </c>
      <c r="Z245" s="224" t="e">
        <v>#DIV/0!</v>
      </c>
      <c r="AA245" s="224" t="e">
        <v>#DIV/0!</v>
      </c>
      <c r="AB245" s="224" t="e">
        <v>#DIV/0!</v>
      </c>
      <c r="AC245" s="224" t="e">
        <v>#DIV/0!</v>
      </c>
      <c r="AD245" s="224" t="e">
        <v>#DIV/0!</v>
      </c>
      <c r="AE245" s="224" t="e">
        <v>#DIV/0!</v>
      </c>
      <c r="AF245" s="224" t="e">
        <v>#DIV/0!</v>
      </c>
      <c r="AG245" s="224" t="e">
        <v>#DIV/0!</v>
      </c>
      <c r="AH245" s="224" t="e">
        <v>#DIV/0!</v>
      </c>
      <c r="AI245" s="224" t="e">
        <v>#DIV/0!</v>
      </c>
      <c r="AJ245" s="224" t="e">
        <v>#DIV/0!</v>
      </c>
      <c r="AK245" s="224" t="e">
        <v>#DIV/0!</v>
      </c>
      <c r="AL245" s="224" t="e">
        <v>#DIV/0!</v>
      </c>
      <c r="AM245" s="224" t="e">
        <v>#DIV/0!</v>
      </c>
      <c r="AN245" s="1120" t="e">
        <v>#DIV/0!</v>
      </c>
      <c r="AO245" s="224" t="e">
        <f t="shared" si="16"/>
        <v>#DIV/0!</v>
      </c>
      <c r="AP245" s="1123">
        <v>0.1</v>
      </c>
      <c r="AQ245" s="1123">
        <f t="shared" si="18"/>
        <v>6.6157067752379534E-2</v>
      </c>
      <c r="AR245" s="1123">
        <v>20</v>
      </c>
      <c r="AS245" s="1123" t="e">
        <f t="shared" si="19"/>
        <v>#DIV/0!</v>
      </c>
      <c r="AT245" s="224" t="e">
        <f t="shared" si="17"/>
        <v>#DIV/0!</v>
      </c>
    </row>
    <row r="246" spans="1:46">
      <c r="A246" s="1118">
        <v>2050</v>
      </c>
      <c r="D246" s="1107" t="s">
        <v>2064</v>
      </c>
      <c r="E246" s="71" t="s">
        <v>2059</v>
      </c>
      <c r="G246" s="224">
        <v>8074.9597203803824</v>
      </c>
      <c r="H246" s="224">
        <v>4500</v>
      </c>
      <c r="I246" s="224">
        <v>4.7520000000000007</v>
      </c>
      <c r="J246" s="224">
        <v>6.7710210487715347E-2</v>
      </c>
      <c r="K246" s="224">
        <v>6.0540850222056991E-2</v>
      </c>
      <c r="L246" s="224">
        <v>7.3822967772974077E-2</v>
      </c>
      <c r="M246" s="224">
        <v>0</v>
      </c>
      <c r="N246" s="224">
        <v>0</v>
      </c>
      <c r="O246" s="224">
        <v>0</v>
      </c>
      <c r="P246" s="224">
        <v>0</v>
      </c>
      <c r="Q246" s="224">
        <v>0</v>
      </c>
      <c r="R246" s="224">
        <v>0</v>
      </c>
      <c r="S246" s="224">
        <v>0</v>
      </c>
      <c r="T246" s="224">
        <v>0</v>
      </c>
      <c r="U246" s="224">
        <v>0</v>
      </c>
      <c r="V246" s="224">
        <v>231.5059072</v>
      </c>
      <c r="W246" s="224">
        <v>113.6112368</v>
      </c>
      <c r="X246" s="224">
        <v>147.91866028708131</v>
      </c>
      <c r="Y246" s="224">
        <v>4.7520000000000007</v>
      </c>
      <c r="Z246" s="224">
        <v>0</v>
      </c>
      <c r="AA246" s="224">
        <v>10.156531573157302</v>
      </c>
      <c r="AB246" s="224">
        <v>9.0811275333085479</v>
      </c>
      <c r="AC246" s="224">
        <v>11.073445165946112</v>
      </c>
      <c r="AD246" s="224">
        <v>13.536109626683087</v>
      </c>
      <c r="AE246" s="224">
        <v>22875.828874819377</v>
      </c>
      <c r="AF246" s="224">
        <v>791.26346201613819</v>
      </c>
      <c r="AG246" s="224">
        <v>1707.5805730109701</v>
      </c>
      <c r="AH246" s="224">
        <v>8853.7867257888593</v>
      </c>
      <c r="AI246" s="224">
        <v>40800</v>
      </c>
      <c r="AJ246" s="224">
        <v>0</v>
      </c>
      <c r="AK246" s="224">
        <v>4842.5801991868502</v>
      </c>
      <c r="AL246" s="224">
        <v>0</v>
      </c>
      <c r="AM246" s="224">
        <v>240</v>
      </c>
      <c r="AN246" s="1120">
        <v>80111.039834822193</v>
      </c>
      <c r="AO246" s="224">
        <f t="shared" si="16"/>
        <v>1.7835178044117634</v>
      </c>
      <c r="AP246" s="1123">
        <v>0.1</v>
      </c>
      <c r="AQ246" s="1123">
        <f t="shared" si="18"/>
        <v>6.6157067752379534E-2</v>
      </c>
      <c r="AR246" s="1123">
        <v>20</v>
      </c>
      <c r="AS246" s="1123">
        <f t="shared" si="19"/>
        <v>0.8221063128607311</v>
      </c>
      <c r="AT246" s="224">
        <f t="shared" si="17"/>
        <v>5299.9114900659079</v>
      </c>
    </row>
    <row r="247" spans="1:46">
      <c r="A247" s="1118">
        <v>2017</v>
      </c>
      <c r="D247" s="1107" t="s">
        <v>2064</v>
      </c>
      <c r="E247" s="224" t="s">
        <v>2060</v>
      </c>
      <c r="G247" s="224">
        <v>8535.8837748748629</v>
      </c>
      <c r="H247" s="224">
        <v>4500</v>
      </c>
      <c r="I247" s="224">
        <v>107.98875</v>
      </c>
      <c r="J247" s="224">
        <v>6.25136907746566E-2</v>
      </c>
      <c r="K247" s="224">
        <v>7.2210247963338511E-2</v>
      </c>
      <c r="L247" s="224">
        <v>8.7750578230701426E-2</v>
      </c>
      <c r="M247" s="224">
        <v>2.0976099809536165E-2</v>
      </c>
      <c r="N247" s="224">
        <v>2.4864927210847324E-2</v>
      </c>
      <c r="O247" s="224">
        <v>2.9333478491419988E-2</v>
      </c>
      <c r="P247" s="224">
        <v>-15.910871775069657</v>
      </c>
      <c r="Q247" s="224">
        <v>-7.1516626140394446E-2</v>
      </c>
      <c r="R247" s="224">
        <v>-54.104516016274395</v>
      </c>
      <c r="S247" s="224">
        <v>789.87792975465629</v>
      </c>
      <c r="T247" s="224">
        <v>936.3159694670901</v>
      </c>
      <c r="U247" s="224">
        <v>1104.5841445115577</v>
      </c>
      <c r="V247" s="224">
        <v>110</v>
      </c>
      <c r="W247" s="224">
        <v>280.08470490000002</v>
      </c>
      <c r="X247" s="224">
        <v>420.12705735000003</v>
      </c>
      <c r="Y247" s="224">
        <v>107.36812500000001</v>
      </c>
      <c r="Z247" s="224">
        <v>0</v>
      </c>
      <c r="AA247" s="224">
        <v>4.2958836702726426</v>
      </c>
      <c r="AB247" s="224">
        <v>5.9457380606827392</v>
      </c>
      <c r="AC247" s="224">
        <v>8.0525528312865138</v>
      </c>
      <c r="AD247" s="1120">
        <v>4.8066115573072752</v>
      </c>
      <c r="AE247" s="224">
        <v>10607.211428571429</v>
      </c>
      <c r="AF247" s="224">
        <v>12727.383840209999</v>
      </c>
      <c r="AG247" s="224">
        <v>61090.315762499988</v>
      </c>
      <c r="AH247" s="224">
        <v>0</v>
      </c>
      <c r="AI247" s="224">
        <v>40800</v>
      </c>
      <c r="AJ247" s="224">
        <v>0</v>
      </c>
      <c r="AK247" s="224">
        <v>745.98720000000003</v>
      </c>
      <c r="AL247" s="224">
        <v>0</v>
      </c>
      <c r="AM247" s="224">
        <v>436.00000000000006</v>
      </c>
      <c r="AN247" s="1120">
        <v>126406.89823128143</v>
      </c>
      <c r="AO247" s="224">
        <f t="shared" si="16"/>
        <v>0.63331913879080648</v>
      </c>
      <c r="AP247" s="1123">
        <v>0.1</v>
      </c>
      <c r="AQ247" s="1123">
        <f t="shared" si="18"/>
        <v>6.6157067752379534E-2</v>
      </c>
      <c r="AR247" s="1123">
        <v>20</v>
      </c>
      <c r="AS247" s="1123">
        <f t="shared" si="19"/>
        <v>0.29192624865730749</v>
      </c>
      <c r="AT247" s="224">
        <f t="shared" si="17"/>
        <v>8362.7097306550313</v>
      </c>
    </row>
    <row r="248" spans="1:46">
      <c r="A248" s="1121">
        <v>2020</v>
      </c>
      <c r="D248" s="1107" t="s">
        <v>2064</v>
      </c>
      <c r="E248" s="224" t="s">
        <v>2060</v>
      </c>
      <c r="G248" s="224" t="e">
        <v>#DIV/0!</v>
      </c>
      <c r="H248" s="224" t="e">
        <v>#DIV/0!</v>
      </c>
      <c r="I248" s="224" t="e">
        <v>#DIV/0!</v>
      </c>
      <c r="J248" s="224" t="e">
        <v>#DIV/0!</v>
      </c>
      <c r="K248" s="224" t="e">
        <v>#DIV/0!</v>
      </c>
      <c r="L248" s="224" t="e">
        <v>#DIV/0!</v>
      </c>
      <c r="M248" s="224" t="e">
        <v>#DIV/0!</v>
      </c>
      <c r="N248" s="224" t="e">
        <v>#DIV/0!</v>
      </c>
      <c r="O248" s="224" t="e">
        <v>#DIV/0!</v>
      </c>
      <c r="P248" s="224" t="e">
        <v>#DIV/0!</v>
      </c>
      <c r="Q248" s="224" t="e">
        <v>#DIV/0!</v>
      </c>
      <c r="R248" s="224" t="e">
        <v>#DIV/0!</v>
      </c>
      <c r="S248" s="224" t="e">
        <v>#DIV/0!</v>
      </c>
      <c r="T248" s="224" t="e">
        <v>#DIV/0!</v>
      </c>
      <c r="U248" s="224" t="e">
        <v>#DIV/0!</v>
      </c>
      <c r="V248" s="224" t="e">
        <v>#DIV/0!</v>
      </c>
      <c r="W248" s="224" t="e">
        <v>#DIV/0!</v>
      </c>
      <c r="X248" s="224" t="e">
        <v>#DIV/0!</v>
      </c>
      <c r="Y248" s="224" t="e">
        <v>#DIV/0!</v>
      </c>
      <c r="Z248" s="224" t="e">
        <v>#DIV/0!</v>
      </c>
      <c r="AA248" s="224" t="e">
        <v>#DIV/0!</v>
      </c>
      <c r="AB248" s="224" t="e">
        <v>#DIV/0!</v>
      </c>
      <c r="AC248" s="224" t="e">
        <v>#DIV/0!</v>
      </c>
      <c r="AD248" s="1120" t="e">
        <v>#DIV/0!</v>
      </c>
      <c r="AE248" s="224" t="e">
        <v>#DIV/0!</v>
      </c>
      <c r="AF248" s="224" t="e">
        <v>#DIV/0!</v>
      </c>
      <c r="AG248" s="224" t="e">
        <v>#DIV/0!</v>
      </c>
      <c r="AH248" s="224" t="e">
        <v>#DIV/0!</v>
      </c>
      <c r="AI248" s="224" t="e">
        <v>#DIV/0!</v>
      </c>
      <c r="AJ248" s="224" t="e">
        <v>#DIV/0!</v>
      </c>
      <c r="AK248" s="224" t="e">
        <v>#DIV/0!</v>
      </c>
      <c r="AL248" s="224" t="e">
        <v>#DIV/0!</v>
      </c>
      <c r="AM248" s="224" t="e">
        <v>#DIV/0!</v>
      </c>
      <c r="AN248" s="1120" t="e">
        <v>#DIV/0!</v>
      </c>
      <c r="AO248" s="224" t="e">
        <f t="shared" si="16"/>
        <v>#DIV/0!</v>
      </c>
      <c r="AP248" s="1123">
        <v>0.1</v>
      </c>
      <c r="AQ248" s="1123">
        <f t="shared" si="18"/>
        <v>6.6157067752379534E-2</v>
      </c>
      <c r="AR248" s="1123">
        <v>20</v>
      </c>
      <c r="AS248" s="1123" t="e">
        <f t="shared" si="19"/>
        <v>#DIV/0!</v>
      </c>
      <c r="AT248" s="224" t="e">
        <f t="shared" si="17"/>
        <v>#DIV/0!</v>
      </c>
    </row>
    <row r="249" spans="1:46">
      <c r="A249" s="1118">
        <v>2025</v>
      </c>
      <c r="D249" s="1107" t="s">
        <v>2064</v>
      </c>
      <c r="E249" s="224" t="s">
        <v>2060</v>
      </c>
      <c r="G249" s="224" t="e">
        <v>#DIV/0!</v>
      </c>
      <c r="H249" s="224" t="e">
        <v>#DIV/0!</v>
      </c>
      <c r="I249" s="224" t="e">
        <v>#DIV/0!</v>
      </c>
      <c r="J249" s="224" t="e">
        <v>#DIV/0!</v>
      </c>
      <c r="K249" s="224" t="e">
        <v>#DIV/0!</v>
      </c>
      <c r="L249" s="224" t="e">
        <v>#DIV/0!</v>
      </c>
      <c r="M249" s="224" t="e">
        <v>#DIV/0!</v>
      </c>
      <c r="N249" s="224" t="e">
        <v>#DIV/0!</v>
      </c>
      <c r="O249" s="224" t="e">
        <v>#DIV/0!</v>
      </c>
      <c r="P249" s="224" t="e">
        <v>#DIV/0!</v>
      </c>
      <c r="Q249" s="224" t="e">
        <v>#DIV/0!</v>
      </c>
      <c r="R249" s="224" t="e">
        <v>#DIV/0!</v>
      </c>
      <c r="S249" s="224" t="e">
        <v>#DIV/0!</v>
      </c>
      <c r="T249" s="224" t="e">
        <v>#DIV/0!</v>
      </c>
      <c r="U249" s="224" t="e">
        <v>#DIV/0!</v>
      </c>
      <c r="V249" s="224" t="e">
        <v>#DIV/0!</v>
      </c>
      <c r="W249" s="224" t="e">
        <v>#DIV/0!</v>
      </c>
      <c r="X249" s="224" t="e">
        <v>#DIV/0!</v>
      </c>
      <c r="Y249" s="224" t="e">
        <v>#DIV/0!</v>
      </c>
      <c r="Z249" s="224" t="e">
        <v>#DIV/0!</v>
      </c>
      <c r="AA249" s="224" t="e">
        <v>#DIV/0!</v>
      </c>
      <c r="AB249" s="224" t="e">
        <v>#DIV/0!</v>
      </c>
      <c r="AC249" s="224" t="e">
        <v>#DIV/0!</v>
      </c>
      <c r="AD249" s="1120" t="e">
        <v>#DIV/0!</v>
      </c>
      <c r="AE249" s="224" t="e">
        <v>#DIV/0!</v>
      </c>
      <c r="AF249" s="224" t="e">
        <v>#DIV/0!</v>
      </c>
      <c r="AG249" s="224" t="e">
        <v>#DIV/0!</v>
      </c>
      <c r="AH249" s="224" t="e">
        <v>#DIV/0!</v>
      </c>
      <c r="AI249" s="224" t="e">
        <v>#DIV/0!</v>
      </c>
      <c r="AJ249" s="224" t="e">
        <v>#DIV/0!</v>
      </c>
      <c r="AK249" s="224" t="e">
        <v>#DIV/0!</v>
      </c>
      <c r="AL249" s="224" t="e">
        <v>#DIV/0!</v>
      </c>
      <c r="AM249" s="224" t="e">
        <v>#DIV/0!</v>
      </c>
      <c r="AN249" s="1120" t="e">
        <v>#DIV/0!</v>
      </c>
      <c r="AO249" s="224" t="e">
        <f t="shared" si="16"/>
        <v>#DIV/0!</v>
      </c>
      <c r="AP249" s="1123">
        <v>0.1</v>
      </c>
      <c r="AQ249" s="1123">
        <f t="shared" si="18"/>
        <v>6.6157067752379534E-2</v>
      </c>
      <c r="AR249" s="1123">
        <v>20</v>
      </c>
      <c r="AS249" s="1123" t="e">
        <f t="shared" si="19"/>
        <v>#DIV/0!</v>
      </c>
      <c r="AT249" s="224" t="e">
        <f t="shared" si="17"/>
        <v>#DIV/0!</v>
      </c>
    </row>
    <row r="250" spans="1:46">
      <c r="A250" s="1118">
        <v>2030</v>
      </c>
      <c r="D250" s="1107" t="s">
        <v>2064</v>
      </c>
      <c r="E250" s="71" t="s">
        <v>2060</v>
      </c>
      <c r="G250" s="224">
        <v>8535.8837748748629</v>
      </c>
      <c r="H250" s="224">
        <v>4500</v>
      </c>
      <c r="I250" s="224">
        <v>107.98875</v>
      </c>
      <c r="J250" s="224">
        <v>6.25136907746566E-2</v>
      </c>
      <c r="K250" s="224">
        <v>7.2210247963338511E-2</v>
      </c>
      <c r="L250" s="224">
        <v>8.7750578230701426E-2</v>
      </c>
      <c r="M250" s="224">
        <v>2.0976099809536165E-2</v>
      </c>
      <c r="N250" s="224">
        <v>2.4864927210847324E-2</v>
      </c>
      <c r="O250" s="224">
        <v>2.9333478491419988E-2</v>
      </c>
      <c r="P250" s="224">
        <v>-15.910871775069657</v>
      </c>
      <c r="Q250" s="224">
        <v>-7.1516626140394446E-2</v>
      </c>
      <c r="R250" s="224">
        <v>-54.104516016274395</v>
      </c>
      <c r="S250" s="224">
        <v>789.87792975465629</v>
      </c>
      <c r="T250" s="224">
        <v>936.3159694670901</v>
      </c>
      <c r="U250" s="224">
        <v>1104.5841445115577</v>
      </c>
      <c r="V250" s="224">
        <v>110</v>
      </c>
      <c r="W250" s="224">
        <v>280.08470490000002</v>
      </c>
      <c r="X250" s="224">
        <v>420.12705735000003</v>
      </c>
      <c r="Y250" s="224">
        <v>107.36812500000001</v>
      </c>
      <c r="Z250" s="224">
        <v>0</v>
      </c>
      <c r="AA250" s="224">
        <v>4.2958836702726426</v>
      </c>
      <c r="AB250" s="224">
        <v>5.9457380606827392</v>
      </c>
      <c r="AC250" s="224">
        <v>8.0525528312865138</v>
      </c>
      <c r="AD250" s="224">
        <v>4.8066115573072752</v>
      </c>
      <c r="AE250" s="224">
        <v>8453.2790263415554</v>
      </c>
      <c r="AF250" s="224">
        <v>3249.5039601387612</v>
      </c>
      <c r="AG250" s="224">
        <v>19225.345416627173</v>
      </c>
      <c r="AH250" s="224">
        <v>0</v>
      </c>
      <c r="AI250" s="224">
        <v>40800</v>
      </c>
      <c r="AJ250" s="224">
        <v>0</v>
      </c>
      <c r="AK250" s="224">
        <v>3508.0290601924276</v>
      </c>
      <c r="AL250" s="224">
        <v>0</v>
      </c>
      <c r="AM250" s="224">
        <v>296</v>
      </c>
      <c r="AN250" s="1120">
        <v>75532.157463299911</v>
      </c>
      <c r="AO250" s="224">
        <f t="shared" si="16"/>
        <v>0.63331913879080648</v>
      </c>
      <c r="AP250" s="1123">
        <v>0.1</v>
      </c>
      <c r="AQ250" s="1123">
        <f t="shared" si="18"/>
        <v>6.6157067752379534E-2</v>
      </c>
      <c r="AR250" s="1123">
        <v>20</v>
      </c>
      <c r="AS250" s="1123">
        <f t="shared" si="19"/>
        <v>0.29192624865730749</v>
      </c>
      <c r="AT250" s="224">
        <f t="shared" si="17"/>
        <v>4996.9860587829317</v>
      </c>
    </row>
    <row r="251" spans="1:46">
      <c r="A251" s="1118">
        <v>2035</v>
      </c>
      <c r="D251" s="1107" t="s">
        <v>2064</v>
      </c>
      <c r="E251" s="224" t="s">
        <v>2060</v>
      </c>
      <c r="G251" s="224" t="e">
        <v>#DIV/0!</v>
      </c>
      <c r="H251" s="224" t="e">
        <v>#DIV/0!</v>
      </c>
      <c r="I251" s="224" t="e">
        <v>#DIV/0!</v>
      </c>
      <c r="J251" s="224" t="e">
        <v>#DIV/0!</v>
      </c>
      <c r="K251" s="224" t="e">
        <v>#DIV/0!</v>
      </c>
      <c r="L251" s="224" t="e">
        <v>#DIV/0!</v>
      </c>
      <c r="M251" s="224" t="e">
        <v>#DIV/0!</v>
      </c>
      <c r="N251" s="224" t="e">
        <v>#DIV/0!</v>
      </c>
      <c r="O251" s="224" t="e">
        <v>#DIV/0!</v>
      </c>
      <c r="P251" s="224" t="e">
        <v>#DIV/0!</v>
      </c>
      <c r="Q251" s="224" t="e">
        <v>#DIV/0!</v>
      </c>
      <c r="R251" s="224" t="e">
        <v>#DIV/0!</v>
      </c>
      <c r="S251" s="224" t="e">
        <v>#DIV/0!</v>
      </c>
      <c r="T251" s="224" t="e">
        <v>#DIV/0!</v>
      </c>
      <c r="U251" s="224" t="e">
        <v>#DIV/0!</v>
      </c>
      <c r="V251" s="224" t="e">
        <v>#DIV/0!</v>
      </c>
      <c r="W251" s="224" t="e">
        <v>#DIV/0!</v>
      </c>
      <c r="X251" s="224" t="e">
        <v>#DIV/0!</v>
      </c>
      <c r="Y251" s="224" t="e">
        <v>#DIV/0!</v>
      </c>
      <c r="Z251" s="224" t="e">
        <v>#DIV/0!</v>
      </c>
      <c r="AA251" s="224" t="e">
        <v>#DIV/0!</v>
      </c>
      <c r="AB251" s="224" t="e">
        <v>#DIV/0!</v>
      </c>
      <c r="AC251" s="224" t="e">
        <v>#DIV/0!</v>
      </c>
      <c r="AD251" s="224" t="e">
        <v>#DIV/0!</v>
      </c>
      <c r="AE251" s="224" t="e">
        <v>#DIV/0!</v>
      </c>
      <c r="AF251" s="224" t="e">
        <v>#DIV/0!</v>
      </c>
      <c r="AG251" s="224" t="e">
        <v>#DIV/0!</v>
      </c>
      <c r="AH251" s="224" t="e">
        <v>#DIV/0!</v>
      </c>
      <c r="AI251" s="224" t="e">
        <v>#DIV/0!</v>
      </c>
      <c r="AJ251" s="224" t="e">
        <v>#DIV/0!</v>
      </c>
      <c r="AK251" s="224" t="e">
        <v>#DIV/0!</v>
      </c>
      <c r="AL251" s="224" t="e">
        <v>#DIV/0!</v>
      </c>
      <c r="AM251" s="224" t="e">
        <v>#DIV/0!</v>
      </c>
      <c r="AN251" s="1120" t="e">
        <v>#DIV/0!</v>
      </c>
      <c r="AO251" s="224" t="e">
        <f t="shared" si="16"/>
        <v>#DIV/0!</v>
      </c>
      <c r="AP251" s="1123">
        <v>0.1</v>
      </c>
      <c r="AQ251" s="1123">
        <f t="shared" si="18"/>
        <v>6.6157067752379534E-2</v>
      </c>
      <c r="AR251" s="1123">
        <v>20</v>
      </c>
      <c r="AS251" s="1123" t="e">
        <f t="shared" si="19"/>
        <v>#DIV/0!</v>
      </c>
      <c r="AT251" s="224" t="e">
        <f t="shared" si="17"/>
        <v>#DIV/0!</v>
      </c>
    </row>
    <row r="252" spans="1:46">
      <c r="A252" s="1118">
        <v>2050</v>
      </c>
      <c r="D252" s="1107" t="s">
        <v>2064</v>
      </c>
      <c r="E252" s="71" t="s">
        <v>2060</v>
      </c>
      <c r="G252" s="224">
        <v>8535.8837748748629</v>
      </c>
      <c r="H252" s="224">
        <v>4500</v>
      </c>
      <c r="I252" s="224">
        <v>107.98875</v>
      </c>
      <c r="J252" s="224">
        <v>6.25136907746566E-2</v>
      </c>
      <c r="K252" s="224">
        <v>7.2210247963338511E-2</v>
      </c>
      <c r="L252" s="224">
        <v>8.7750578230701426E-2</v>
      </c>
      <c r="M252" s="224">
        <v>2.0976099809536165E-2</v>
      </c>
      <c r="N252" s="224">
        <v>2.4864927210847324E-2</v>
      </c>
      <c r="O252" s="224">
        <v>2.9333478491419988E-2</v>
      </c>
      <c r="P252" s="224">
        <v>-15.910871775069657</v>
      </c>
      <c r="Q252" s="224">
        <v>-7.1516626140394446E-2</v>
      </c>
      <c r="R252" s="224">
        <v>-54.104516016274395</v>
      </c>
      <c r="S252" s="224">
        <v>789.87792975465629</v>
      </c>
      <c r="T252" s="224">
        <v>936.3159694670901</v>
      </c>
      <c r="U252" s="224">
        <v>1104.5841445115577</v>
      </c>
      <c r="V252" s="224">
        <v>110</v>
      </c>
      <c r="W252" s="224">
        <v>280.08470490000002</v>
      </c>
      <c r="X252" s="224">
        <v>420.12705735000003</v>
      </c>
      <c r="Y252" s="224">
        <v>107.36812500000001</v>
      </c>
      <c r="Z252" s="224">
        <v>0</v>
      </c>
      <c r="AA252" s="224">
        <v>4.2958836702726426</v>
      </c>
      <c r="AB252" s="224">
        <v>5.9457380606827392</v>
      </c>
      <c r="AC252" s="224">
        <v>8.0525528312865138</v>
      </c>
      <c r="AD252" s="224">
        <v>4.8066115573072752</v>
      </c>
      <c r="AE252" s="224">
        <v>8511.9824973604864</v>
      </c>
      <c r="AF252" s="224">
        <v>1563.0066244371621</v>
      </c>
      <c r="AG252" s="224">
        <v>10481.31055098559</v>
      </c>
      <c r="AH252" s="224">
        <v>0</v>
      </c>
      <c r="AI252" s="224">
        <v>40800</v>
      </c>
      <c r="AJ252" s="224">
        <v>0</v>
      </c>
      <c r="AK252" s="224">
        <v>4842.5801991868502</v>
      </c>
      <c r="AL252" s="224">
        <v>0</v>
      </c>
      <c r="AM252" s="224">
        <v>240</v>
      </c>
      <c r="AN252" s="1120">
        <v>66438.879871970086</v>
      </c>
      <c r="AO252" s="224">
        <f t="shared" si="16"/>
        <v>0.63331913879080648</v>
      </c>
      <c r="AP252" s="1123">
        <v>0.1</v>
      </c>
      <c r="AQ252" s="1123">
        <f t="shared" si="18"/>
        <v>6.6157067752379534E-2</v>
      </c>
      <c r="AR252" s="1123">
        <v>20</v>
      </c>
      <c r="AS252" s="1123">
        <f t="shared" si="19"/>
        <v>0.29192624865730749</v>
      </c>
      <c r="AT252" s="224">
        <f t="shared" si="17"/>
        <v>4395.4014770821295</v>
      </c>
    </row>
    <row r="253" spans="1:46">
      <c r="A253" s="1118">
        <v>2017</v>
      </c>
      <c r="D253" s="1107" t="s">
        <v>2064</v>
      </c>
      <c r="E253" s="224" t="s">
        <v>2061</v>
      </c>
      <c r="G253" s="224">
        <v>8046.2394769900002</v>
      </c>
      <c r="H253" s="224">
        <v>4500</v>
      </c>
      <c r="I253" s="224">
        <v>200.71012500000001</v>
      </c>
      <c r="J253" s="224">
        <v>0</v>
      </c>
      <c r="K253" s="224">
        <v>0</v>
      </c>
      <c r="L253" s="224">
        <v>0</v>
      </c>
      <c r="M253" s="224">
        <v>0</v>
      </c>
      <c r="N253" s="224">
        <v>0</v>
      </c>
      <c r="O253" s="224">
        <v>0</v>
      </c>
      <c r="P253" s="224">
        <v>0</v>
      </c>
      <c r="Q253" s="224">
        <v>0</v>
      </c>
      <c r="R253" s="224">
        <v>0</v>
      </c>
      <c r="S253" s="224">
        <v>776.86862174944338</v>
      </c>
      <c r="T253" s="224">
        <v>1031.7341707930466</v>
      </c>
      <c r="U253" s="224">
        <v>1188.8652973642702</v>
      </c>
      <c r="V253" s="224">
        <v>0</v>
      </c>
      <c r="W253" s="224">
        <v>287.99307429999999</v>
      </c>
      <c r="X253" s="224">
        <v>431.98961144999998</v>
      </c>
      <c r="Y253" s="224">
        <v>200.71012500000001</v>
      </c>
      <c r="Z253" s="224">
        <v>0</v>
      </c>
      <c r="AA253" s="224">
        <v>3.0950941105555514</v>
      </c>
      <c r="AB253" s="224">
        <v>4.1104947043547675</v>
      </c>
      <c r="AC253" s="224">
        <v>4.7365151289413161</v>
      </c>
      <c r="AD253" s="1120">
        <v>4.9906580019543947</v>
      </c>
      <c r="AE253" s="224">
        <v>0</v>
      </c>
      <c r="AF253" s="224">
        <v>13066.65288747</v>
      </c>
      <c r="AG253" s="224">
        <v>114200.0469225</v>
      </c>
      <c r="AH253" s="224">
        <v>0</v>
      </c>
      <c r="AI253" s="224">
        <v>40800</v>
      </c>
      <c r="AJ253" s="224">
        <v>0</v>
      </c>
      <c r="AK253" s="224">
        <v>745.98720000000003</v>
      </c>
      <c r="AL253" s="224">
        <v>0</v>
      </c>
      <c r="AM253" s="224">
        <v>0</v>
      </c>
      <c r="AN253" s="1120">
        <v>168812.68700997002</v>
      </c>
      <c r="AO253" s="224">
        <f t="shared" si="16"/>
        <v>0.65756909833751098</v>
      </c>
      <c r="AP253" s="1123">
        <v>0.1</v>
      </c>
      <c r="AQ253" s="1123">
        <f t="shared" si="18"/>
        <v>6.6157067752379534E-2</v>
      </c>
      <c r="AR253" s="1123">
        <v>20</v>
      </c>
      <c r="AS253" s="1123">
        <f t="shared" si="19"/>
        <v>0.30310418295134633</v>
      </c>
      <c r="AT253" s="224">
        <f t="shared" si="17"/>
        <v>11168.152371979826</v>
      </c>
    </row>
    <row r="254" spans="1:46">
      <c r="A254" s="1121">
        <v>2020</v>
      </c>
      <c r="D254" s="1107" t="s">
        <v>2064</v>
      </c>
      <c r="E254" s="224" t="s">
        <v>2061</v>
      </c>
      <c r="G254" s="224" t="e">
        <v>#DIV/0!</v>
      </c>
      <c r="H254" s="224" t="e">
        <v>#DIV/0!</v>
      </c>
      <c r="I254" s="224" t="e">
        <v>#DIV/0!</v>
      </c>
      <c r="J254" s="224" t="e">
        <v>#DIV/0!</v>
      </c>
      <c r="K254" s="224" t="e">
        <v>#DIV/0!</v>
      </c>
      <c r="L254" s="224" t="e">
        <v>#DIV/0!</v>
      </c>
      <c r="M254" s="224" t="e">
        <v>#DIV/0!</v>
      </c>
      <c r="N254" s="224" t="e">
        <v>#DIV/0!</v>
      </c>
      <c r="O254" s="224" t="e">
        <v>#DIV/0!</v>
      </c>
      <c r="P254" s="224" t="e">
        <v>#DIV/0!</v>
      </c>
      <c r="Q254" s="224" t="e">
        <v>#DIV/0!</v>
      </c>
      <c r="R254" s="224" t="e">
        <v>#DIV/0!</v>
      </c>
      <c r="S254" s="224" t="e">
        <v>#DIV/0!</v>
      </c>
      <c r="T254" s="224" t="e">
        <v>#DIV/0!</v>
      </c>
      <c r="U254" s="224" t="e">
        <v>#DIV/0!</v>
      </c>
      <c r="V254" s="224" t="e">
        <v>#DIV/0!</v>
      </c>
      <c r="W254" s="224" t="e">
        <v>#DIV/0!</v>
      </c>
      <c r="X254" s="224" t="e">
        <v>#DIV/0!</v>
      </c>
      <c r="Y254" s="224" t="e">
        <v>#DIV/0!</v>
      </c>
      <c r="Z254" s="224" t="e">
        <v>#DIV/0!</v>
      </c>
      <c r="AA254" s="224" t="e">
        <v>#DIV/0!</v>
      </c>
      <c r="AB254" s="224" t="e">
        <v>#DIV/0!</v>
      </c>
      <c r="AC254" s="224" t="e">
        <v>#DIV/0!</v>
      </c>
      <c r="AD254" s="1120" t="e">
        <v>#DIV/0!</v>
      </c>
      <c r="AE254" s="224" t="e">
        <v>#DIV/0!</v>
      </c>
      <c r="AF254" s="224" t="e">
        <v>#DIV/0!</v>
      </c>
      <c r="AG254" s="224" t="e">
        <v>#DIV/0!</v>
      </c>
      <c r="AH254" s="224" t="e">
        <v>#DIV/0!</v>
      </c>
      <c r="AI254" s="224" t="e">
        <v>#DIV/0!</v>
      </c>
      <c r="AJ254" s="224" t="e">
        <v>#DIV/0!</v>
      </c>
      <c r="AK254" s="224" t="e">
        <v>#DIV/0!</v>
      </c>
      <c r="AL254" s="224" t="e">
        <v>#DIV/0!</v>
      </c>
      <c r="AM254" s="224" t="e">
        <v>#DIV/0!</v>
      </c>
      <c r="AN254" s="1120" t="e">
        <v>#DIV/0!</v>
      </c>
      <c r="AO254" s="224" t="e">
        <f t="shared" si="16"/>
        <v>#DIV/0!</v>
      </c>
      <c r="AP254" s="1123">
        <v>0.1</v>
      </c>
      <c r="AQ254" s="1123">
        <f t="shared" si="18"/>
        <v>6.6157067752379534E-2</v>
      </c>
      <c r="AR254" s="1123">
        <v>20</v>
      </c>
      <c r="AS254" s="1123" t="e">
        <f t="shared" si="19"/>
        <v>#DIV/0!</v>
      </c>
      <c r="AT254" s="224" t="e">
        <f t="shared" si="17"/>
        <v>#DIV/0!</v>
      </c>
    </row>
    <row r="255" spans="1:46">
      <c r="A255" s="1118">
        <v>2025</v>
      </c>
      <c r="D255" s="1107" t="s">
        <v>2064</v>
      </c>
      <c r="E255" s="224" t="s">
        <v>2061</v>
      </c>
      <c r="G255" s="224" t="e">
        <v>#DIV/0!</v>
      </c>
      <c r="H255" s="224" t="e">
        <v>#DIV/0!</v>
      </c>
      <c r="I255" s="224" t="e">
        <v>#DIV/0!</v>
      </c>
      <c r="J255" s="224" t="e">
        <v>#DIV/0!</v>
      </c>
      <c r="K255" s="224" t="e">
        <v>#DIV/0!</v>
      </c>
      <c r="L255" s="224" t="e">
        <v>#DIV/0!</v>
      </c>
      <c r="M255" s="224" t="e">
        <v>#DIV/0!</v>
      </c>
      <c r="N255" s="224" t="e">
        <v>#DIV/0!</v>
      </c>
      <c r="O255" s="224" t="e">
        <v>#DIV/0!</v>
      </c>
      <c r="P255" s="224" t="e">
        <v>#DIV/0!</v>
      </c>
      <c r="Q255" s="224" t="e">
        <v>#DIV/0!</v>
      </c>
      <c r="R255" s="224" t="e">
        <v>#DIV/0!</v>
      </c>
      <c r="S255" s="224" t="e">
        <v>#DIV/0!</v>
      </c>
      <c r="T255" s="224" t="e">
        <v>#DIV/0!</v>
      </c>
      <c r="U255" s="224" t="e">
        <v>#DIV/0!</v>
      </c>
      <c r="V255" s="224" t="e">
        <v>#DIV/0!</v>
      </c>
      <c r="W255" s="224" t="e">
        <v>#DIV/0!</v>
      </c>
      <c r="X255" s="224" t="e">
        <v>#DIV/0!</v>
      </c>
      <c r="Y255" s="224" t="e">
        <v>#DIV/0!</v>
      </c>
      <c r="Z255" s="224" t="e">
        <v>#DIV/0!</v>
      </c>
      <c r="AA255" s="224" t="e">
        <v>#DIV/0!</v>
      </c>
      <c r="AB255" s="224" t="e">
        <v>#DIV/0!</v>
      </c>
      <c r="AC255" s="224" t="e">
        <v>#DIV/0!</v>
      </c>
      <c r="AD255" s="1120" t="e">
        <v>#DIV/0!</v>
      </c>
      <c r="AE255" s="224" t="e">
        <v>#DIV/0!</v>
      </c>
      <c r="AF255" s="224" t="e">
        <v>#DIV/0!</v>
      </c>
      <c r="AG255" s="224" t="e">
        <v>#DIV/0!</v>
      </c>
      <c r="AH255" s="224" t="e">
        <v>#DIV/0!</v>
      </c>
      <c r="AI255" s="224" t="e">
        <v>#DIV/0!</v>
      </c>
      <c r="AJ255" s="224" t="e">
        <v>#DIV/0!</v>
      </c>
      <c r="AK255" s="224" t="e">
        <v>#DIV/0!</v>
      </c>
      <c r="AL255" s="224" t="e">
        <v>#DIV/0!</v>
      </c>
      <c r="AM255" s="224" t="e">
        <v>#DIV/0!</v>
      </c>
      <c r="AN255" s="1120" t="e">
        <v>#DIV/0!</v>
      </c>
      <c r="AO255" s="224" t="e">
        <f t="shared" si="16"/>
        <v>#DIV/0!</v>
      </c>
      <c r="AP255" s="1123">
        <v>0.1</v>
      </c>
      <c r="AQ255" s="1123">
        <f t="shared" si="18"/>
        <v>6.6157067752379534E-2</v>
      </c>
      <c r="AR255" s="1123">
        <v>20</v>
      </c>
      <c r="AS255" s="1123" t="e">
        <f t="shared" si="19"/>
        <v>#DIV/0!</v>
      </c>
      <c r="AT255" s="224" t="e">
        <f t="shared" si="17"/>
        <v>#DIV/0!</v>
      </c>
    </row>
    <row r="256" spans="1:46">
      <c r="A256" s="1118">
        <v>2030</v>
      </c>
      <c r="D256" s="1107" t="s">
        <v>2064</v>
      </c>
      <c r="E256" s="71" t="s">
        <v>2061</v>
      </c>
      <c r="G256" s="224">
        <v>8046.2394769900002</v>
      </c>
      <c r="H256" s="224">
        <v>4500</v>
      </c>
      <c r="I256" s="224">
        <v>200.71012500000001</v>
      </c>
      <c r="J256" s="224">
        <v>0</v>
      </c>
      <c r="K256" s="224">
        <v>0</v>
      </c>
      <c r="L256" s="224">
        <v>0</v>
      </c>
      <c r="M256" s="224">
        <v>0</v>
      </c>
      <c r="N256" s="224">
        <v>0</v>
      </c>
      <c r="O256" s="224">
        <v>0</v>
      </c>
      <c r="P256" s="224">
        <v>0</v>
      </c>
      <c r="Q256" s="224">
        <v>0</v>
      </c>
      <c r="R256" s="224">
        <v>0</v>
      </c>
      <c r="S256" s="224">
        <v>776.86862174944338</v>
      </c>
      <c r="T256" s="224">
        <v>1031.7341707930466</v>
      </c>
      <c r="U256" s="224">
        <v>1188.8652973642702</v>
      </c>
      <c r="V256" s="224">
        <v>0</v>
      </c>
      <c r="W256" s="224">
        <v>287.99307429999999</v>
      </c>
      <c r="X256" s="224">
        <v>431.98961144999998</v>
      </c>
      <c r="Y256" s="224">
        <v>200.71012500000001</v>
      </c>
      <c r="Z256" s="224">
        <v>0</v>
      </c>
      <c r="AA256" s="224">
        <v>3.0950941105555514</v>
      </c>
      <c r="AB256" s="224">
        <v>4.1104947043547675</v>
      </c>
      <c r="AC256" s="224">
        <v>4.7365151289413161</v>
      </c>
      <c r="AD256" s="224">
        <v>4.9906580019543947</v>
      </c>
      <c r="AE256" s="224">
        <v>0</v>
      </c>
      <c r="AF256" s="224">
        <v>3253.7393248286949</v>
      </c>
      <c r="AG256" s="224">
        <v>36092.357737734375</v>
      </c>
      <c r="AH256" s="224">
        <v>0</v>
      </c>
      <c r="AI256" s="224">
        <v>40800</v>
      </c>
      <c r="AJ256" s="224">
        <v>0</v>
      </c>
      <c r="AK256" s="224">
        <v>3508.0290601924276</v>
      </c>
      <c r="AL256" s="224">
        <v>0</v>
      </c>
      <c r="AM256" s="224">
        <v>0</v>
      </c>
      <c r="AN256" s="1120">
        <v>83654.126122755493</v>
      </c>
      <c r="AO256" s="224">
        <f t="shared" si="16"/>
        <v>0.65756909833751098</v>
      </c>
      <c r="AP256" s="1123">
        <v>0.1</v>
      </c>
      <c r="AQ256" s="1123">
        <f t="shared" si="18"/>
        <v>6.6157067752379534E-2</v>
      </c>
      <c r="AR256" s="1123">
        <v>20</v>
      </c>
      <c r="AS256" s="1123">
        <f t="shared" si="19"/>
        <v>0.30310418295134633</v>
      </c>
      <c r="AT256" s="224">
        <f t="shared" si="17"/>
        <v>5534.3116896692381</v>
      </c>
    </row>
    <row r="257" spans="1:46">
      <c r="A257" s="1118">
        <v>2035</v>
      </c>
      <c r="D257" s="1107" t="s">
        <v>2064</v>
      </c>
      <c r="E257" s="224" t="s">
        <v>2061</v>
      </c>
      <c r="G257" s="224" t="e">
        <v>#DIV/0!</v>
      </c>
      <c r="H257" s="224" t="e">
        <v>#DIV/0!</v>
      </c>
      <c r="I257" s="224" t="e">
        <v>#DIV/0!</v>
      </c>
      <c r="J257" s="224" t="e">
        <v>#DIV/0!</v>
      </c>
      <c r="K257" s="224" t="e">
        <v>#DIV/0!</v>
      </c>
      <c r="L257" s="224" t="e">
        <v>#DIV/0!</v>
      </c>
      <c r="M257" s="224" t="e">
        <v>#DIV/0!</v>
      </c>
      <c r="N257" s="224" t="e">
        <v>#DIV/0!</v>
      </c>
      <c r="O257" s="224" t="e">
        <v>#DIV/0!</v>
      </c>
      <c r="P257" s="224" t="e">
        <v>#DIV/0!</v>
      </c>
      <c r="Q257" s="224" t="e">
        <v>#DIV/0!</v>
      </c>
      <c r="R257" s="224" t="e">
        <v>#DIV/0!</v>
      </c>
      <c r="S257" s="224" t="e">
        <v>#DIV/0!</v>
      </c>
      <c r="T257" s="224" t="e">
        <v>#DIV/0!</v>
      </c>
      <c r="U257" s="224" t="e">
        <v>#DIV/0!</v>
      </c>
      <c r="V257" s="224" t="e">
        <v>#DIV/0!</v>
      </c>
      <c r="W257" s="224" t="e">
        <v>#DIV/0!</v>
      </c>
      <c r="X257" s="224" t="e">
        <v>#DIV/0!</v>
      </c>
      <c r="Y257" s="224" t="e">
        <v>#DIV/0!</v>
      </c>
      <c r="Z257" s="224" t="e">
        <v>#DIV/0!</v>
      </c>
      <c r="AA257" s="224" t="e">
        <v>#DIV/0!</v>
      </c>
      <c r="AB257" s="224" t="e">
        <v>#DIV/0!</v>
      </c>
      <c r="AC257" s="224" t="e">
        <v>#DIV/0!</v>
      </c>
      <c r="AD257" s="224" t="e">
        <v>#DIV/0!</v>
      </c>
      <c r="AE257" s="224" t="e">
        <v>#DIV/0!</v>
      </c>
      <c r="AF257" s="224" t="e">
        <v>#DIV/0!</v>
      </c>
      <c r="AG257" s="224" t="e">
        <v>#DIV/0!</v>
      </c>
      <c r="AH257" s="224" t="e">
        <v>#DIV/0!</v>
      </c>
      <c r="AI257" s="224" t="e">
        <v>#DIV/0!</v>
      </c>
      <c r="AJ257" s="224" t="e">
        <v>#DIV/0!</v>
      </c>
      <c r="AK257" s="224" t="e">
        <v>#DIV/0!</v>
      </c>
      <c r="AL257" s="224" t="e">
        <v>#DIV/0!</v>
      </c>
      <c r="AM257" s="224" t="e">
        <v>#DIV/0!</v>
      </c>
      <c r="AN257" s="1120" t="e">
        <v>#DIV/0!</v>
      </c>
      <c r="AO257" s="224" t="e">
        <f t="shared" si="16"/>
        <v>#DIV/0!</v>
      </c>
      <c r="AP257" s="1123">
        <v>0.1</v>
      </c>
      <c r="AQ257" s="1123">
        <f t="shared" si="18"/>
        <v>6.6157067752379534E-2</v>
      </c>
      <c r="AR257" s="1123">
        <v>20</v>
      </c>
      <c r="AS257" s="1123" t="e">
        <f t="shared" si="19"/>
        <v>#DIV/0!</v>
      </c>
      <c r="AT257" s="224" t="e">
        <f t="shared" si="17"/>
        <v>#DIV/0!</v>
      </c>
    </row>
    <row r="258" spans="1:46">
      <c r="A258" s="1118">
        <v>2050</v>
      </c>
      <c r="D258" s="1107" t="s">
        <v>2064</v>
      </c>
      <c r="E258" s="71" t="s">
        <v>2061</v>
      </c>
      <c r="G258" s="224">
        <v>8046.2394769900002</v>
      </c>
      <c r="H258" s="224">
        <v>4500</v>
      </c>
      <c r="I258" s="224">
        <v>200.71012500000001</v>
      </c>
      <c r="J258" s="224">
        <v>0</v>
      </c>
      <c r="K258" s="224">
        <v>0</v>
      </c>
      <c r="L258" s="224">
        <v>0</v>
      </c>
      <c r="M258" s="224">
        <v>0</v>
      </c>
      <c r="N258" s="224">
        <v>0</v>
      </c>
      <c r="O258" s="224">
        <v>0</v>
      </c>
      <c r="P258" s="224">
        <v>0</v>
      </c>
      <c r="Q258" s="224">
        <v>0</v>
      </c>
      <c r="R258" s="224">
        <v>0</v>
      </c>
      <c r="S258" s="224">
        <v>776.86862174944338</v>
      </c>
      <c r="T258" s="224">
        <v>1031.7341707930466</v>
      </c>
      <c r="U258" s="224">
        <v>1188.8652973642702</v>
      </c>
      <c r="V258" s="224">
        <v>0</v>
      </c>
      <c r="W258" s="224">
        <v>287.99307429999999</v>
      </c>
      <c r="X258" s="224">
        <v>431.98961144999998</v>
      </c>
      <c r="Y258" s="224">
        <v>200.71012500000001</v>
      </c>
      <c r="Z258" s="224">
        <v>0</v>
      </c>
      <c r="AA258" s="224">
        <v>3.0950941105555514</v>
      </c>
      <c r="AB258" s="224">
        <v>4.1104947043547675</v>
      </c>
      <c r="AC258" s="224">
        <v>4.7365151289413161</v>
      </c>
      <c r="AD258" s="224">
        <v>4.9906580019543947</v>
      </c>
      <c r="AE258" s="224">
        <v>0</v>
      </c>
      <c r="AF258" s="224">
        <v>1546.6183067382544</v>
      </c>
      <c r="AG258" s="224">
        <v>19689.252284624996</v>
      </c>
      <c r="AH258" s="224">
        <v>0</v>
      </c>
      <c r="AI258" s="224">
        <v>40800</v>
      </c>
      <c r="AJ258" s="224">
        <v>0</v>
      </c>
      <c r="AK258" s="224">
        <v>4842.5801991868502</v>
      </c>
      <c r="AL258" s="224">
        <v>0</v>
      </c>
      <c r="AM258" s="224">
        <v>0</v>
      </c>
      <c r="AN258" s="1120">
        <v>66878.450790550094</v>
      </c>
      <c r="AO258" s="224">
        <f t="shared" si="16"/>
        <v>0.65756909833751098</v>
      </c>
      <c r="AP258" s="1123">
        <v>0.1</v>
      </c>
      <c r="AQ258" s="1123">
        <f t="shared" si="18"/>
        <v>6.6157067752379534E-2</v>
      </c>
      <c r="AR258" s="1123">
        <v>20</v>
      </c>
      <c r="AS258" s="1123">
        <f t="shared" si="19"/>
        <v>0.30310418295134633</v>
      </c>
      <c r="AT258" s="224">
        <f t="shared" si="17"/>
        <v>4424.482200124603</v>
      </c>
    </row>
    <row r="259" spans="1:46">
      <c r="A259" s="1118">
        <v>2017</v>
      </c>
      <c r="D259" s="1107" t="s">
        <v>2064</v>
      </c>
      <c r="E259" s="224" t="s">
        <v>2062</v>
      </c>
      <c r="G259" s="224">
        <v>7952.1925725600022</v>
      </c>
      <c r="H259" s="224">
        <v>4500</v>
      </c>
      <c r="I259" s="224">
        <v>5.3697600000000003</v>
      </c>
      <c r="J259" s="224">
        <v>4.9205156496759085E-2</v>
      </c>
      <c r="K259" s="224">
        <v>4.9492795596186377E-2</v>
      </c>
      <c r="L259" s="224">
        <v>5.738214250235537E-2</v>
      </c>
      <c r="M259" s="224">
        <v>0</v>
      </c>
      <c r="N259" s="224">
        <v>0</v>
      </c>
      <c r="O259" s="224">
        <v>0</v>
      </c>
      <c r="P259" s="224">
        <v>0</v>
      </c>
      <c r="Q259" s="224">
        <v>0</v>
      </c>
      <c r="R259" s="224">
        <v>0</v>
      </c>
      <c r="S259" s="224">
        <v>0</v>
      </c>
      <c r="T259" s="224">
        <v>0</v>
      </c>
      <c r="U259" s="224">
        <v>0</v>
      </c>
      <c r="V259" s="224">
        <v>0</v>
      </c>
      <c r="W259" s="224">
        <v>370.01442309999999</v>
      </c>
      <c r="X259" s="224">
        <v>167.14808612440189</v>
      </c>
      <c r="Y259" s="224">
        <v>5.3697600000000003</v>
      </c>
      <c r="Z259" s="224">
        <v>240.08003669999999</v>
      </c>
      <c r="AA259" s="224">
        <v>7.3807734745138625</v>
      </c>
      <c r="AB259" s="224">
        <v>7.4239193394279566</v>
      </c>
      <c r="AC259" s="224">
        <v>8.6073213753533047</v>
      </c>
      <c r="AD259" s="1120">
        <v>10.162476287272719</v>
      </c>
      <c r="AE259" s="224">
        <v>0</v>
      </c>
      <c r="AF259" s="224">
        <v>16585.368750989997</v>
      </c>
      <c r="AG259" s="224">
        <v>7287.6565550239238</v>
      </c>
      <c r="AH259" s="224">
        <v>0</v>
      </c>
      <c r="AI259" s="224">
        <v>40800</v>
      </c>
      <c r="AJ259" s="224">
        <v>0</v>
      </c>
      <c r="AK259" s="224">
        <v>745.98720000000003</v>
      </c>
      <c r="AL259" s="224">
        <v>115143.24</v>
      </c>
      <c r="AM259" s="224">
        <v>9755.5863280000012</v>
      </c>
      <c r="AN259" s="1120">
        <v>190317.83883401394</v>
      </c>
      <c r="AO259" s="224">
        <f t="shared" si="16"/>
        <v>1.3390078756110533</v>
      </c>
      <c r="AP259" s="1123">
        <v>0.1</v>
      </c>
      <c r="AQ259" s="1123">
        <f t="shared" si="18"/>
        <v>6.6157067752379534E-2</v>
      </c>
      <c r="AR259" s="1123">
        <v>20</v>
      </c>
      <c r="AS259" s="1123">
        <f t="shared" si="19"/>
        <v>0.61721101117527088</v>
      </c>
      <c r="AT259" s="224">
        <f t="shared" si="17"/>
        <v>12590.870158228308</v>
      </c>
    </row>
    <row r="260" spans="1:46">
      <c r="A260" s="1121">
        <v>2020</v>
      </c>
      <c r="D260" s="1107" t="s">
        <v>2064</v>
      </c>
      <c r="E260" s="224" t="s">
        <v>2062</v>
      </c>
      <c r="G260" s="224" t="e">
        <v>#DIV/0!</v>
      </c>
      <c r="H260" s="224" t="e">
        <v>#DIV/0!</v>
      </c>
      <c r="I260" s="224" t="e">
        <v>#DIV/0!</v>
      </c>
      <c r="J260" s="224" t="e">
        <v>#DIV/0!</v>
      </c>
      <c r="K260" s="224" t="e">
        <v>#DIV/0!</v>
      </c>
      <c r="L260" s="224" t="e">
        <v>#DIV/0!</v>
      </c>
      <c r="M260" s="224" t="e">
        <v>#DIV/0!</v>
      </c>
      <c r="N260" s="224" t="e">
        <v>#DIV/0!</v>
      </c>
      <c r="O260" s="224" t="e">
        <v>#DIV/0!</v>
      </c>
      <c r="P260" s="224" t="e">
        <v>#DIV/0!</v>
      </c>
      <c r="Q260" s="224" t="e">
        <v>#DIV/0!</v>
      </c>
      <c r="R260" s="224" t="e">
        <v>#DIV/0!</v>
      </c>
      <c r="S260" s="224" t="e">
        <v>#DIV/0!</v>
      </c>
      <c r="T260" s="224" t="e">
        <v>#DIV/0!</v>
      </c>
      <c r="U260" s="224" t="e">
        <v>#DIV/0!</v>
      </c>
      <c r="V260" s="224" t="e">
        <v>#DIV/0!</v>
      </c>
      <c r="W260" s="224" t="e">
        <v>#DIV/0!</v>
      </c>
      <c r="X260" s="224" t="e">
        <v>#DIV/0!</v>
      </c>
      <c r="Y260" s="224" t="e">
        <v>#DIV/0!</v>
      </c>
      <c r="Z260" s="224" t="e">
        <v>#DIV/0!</v>
      </c>
      <c r="AA260" s="224" t="e">
        <v>#DIV/0!</v>
      </c>
      <c r="AB260" s="224" t="e">
        <v>#DIV/0!</v>
      </c>
      <c r="AC260" s="224" t="e">
        <v>#DIV/0!</v>
      </c>
      <c r="AD260" s="1120" t="e">
        <v>#DIV/0!</v>
      </c>
      <c r="AE260" s="224" t="e">
        <v>#DIV/0!</v>
      </c>
      <c r="AF260" s="224" t="e">
        <v>#DIV/0!</v>
      </c>
      <c r="AG260" s="224" t="e">
        <v>#DIV/0!</v>
      </c>
      <c r="AH260" s="224" t="e">
        <v>#DIV/0!</v>
      </c>
      <c r="AI260" s="224" t="e">
        <v>#DIV/0!</v>
      </c>
      <c r="AJ260" s="224" t="e">
        <v>#DIV/0!</v>
      </c>
      <c r="AK260" s="224" t="e">
        <v>#DIV/0!</v>
      </c>
      <c r="AL260" s="224" t="e">
        <v>#DIV/0!</v>
      </c>
      <c r="AM260" s="224" t="e">
        <v>#DIV/0!</v>
      </c>
      <c r="AN260" s="1120" t="e">
        <v>#DIV/0!</v>
      </c>
      <c r="AO260" s="224" t="e">
        <f t="shared" si="16"/>
        <v>#DIV/0!</v>
      </c>
      <c r="AP260" s="1123">
        <v>0.1</v>
      </c>
      <c r="AQ260" s="1123">
        <f t="shared" si="18"/>
        <v>6.6157067752379534E-2</v>
      </c>
      <c r="AR260" s="1123">
        <v>20</v>
      </c>
      <c r="AS260" s="1123" t="e">
        <f t="shared" si="19"/>
        <v>#DIV/0!</v>
      </c>
      <c r="AT260" s="224" t="e">
        <f t="shared" si="17"/>
        <v>#DIV/0!</v>
      </c>
    </row>
    <row r="261" spans="1:46">
      <c r="A261" s="1118">
        <v>2025</v>
      </c>
      <c r="D261" s="1107" t="s">
        <v>2064</v>
      </c>
      <c r="E261" s="224" t="s">
        <v>2062</v>
      </c>
      <c r="G261" s="224" t="e">
        <v>#DIV/0!</v>
      </c>
      <c r="H261" s="224" t="e">
        <v>#DIV/0!</v>
      </c>
      <c r="I261" s="224" t="e">
        <v>#DIV/0!</v>
      </c>
      <c r="J261" s="224" t="e">
        <v>#DIV/0!</v>
      </c>
      <c r="K261" s="224" t="e">
        <v>#DIV/0!</v>
      </c>
      <c r="L261" s="224" t="e">
        <v>#DIV/0!</v>
      </c>
      <c r="M261" s="224" t="e">
        <v>#DIV/0!</v>
      </c>
      <c r="N261" s="224" t="e">
        <v>#DIV/0!</v>
      </c>
      <c r="O261" s="224" t="e">
        <v>#DIV/0!</v>
      </c>
      <c r="P261" s="224" t="e">
        <v>#DIV/0!</v>
      </c>
      <c r="Q261" s="224" t="e">
        <v>#DIV/0!</v>
      </c>
      <c r="R261" s="224" t="e">
        <v>#DIV/0!</v>
      </c>
      <c r="S261" s="224" t="e">
        <v>#DIV/0!</v>
      </c>
      <c r="T261" s="224" t="e">
        <v>#DIV/0!</v>
      </c>
      <c r="U261" s="224" t="e">
        <v>#DIV/0!</v>
      </c>
      <c r="V261" s="224" t="e">
        <v>#DIV/0!</v>
      </c>
      <c r="W261" s="224" t="e">
        <v>#DIV/0!</v>
      </c>
      <c r="X261" s="224" t="e">
        <v>#DIV/0!</v>
      </c>
      <c r="Y261" s="224" t="e">
        <v>#DIV/0!</v>
      </c>
      <c r="Z261" s="224" t="e">
        <v>#DIV/0!</v>
      </c>
      <c r="AA261" s="224" t="e">
        <v>#DIV/0!</v>
      </c>
      <c r="AB261" s="224" t="e">
        <v>#DIV/0!</v>
      </c>
      <c r="AC261" s="224" t="e">
        <v>#DIV/0!</v>
      </c>
      <c r="AD261" s="1120" t="e">
        <v>#DIV/0!</v>
      </c>
      <c r="AE261" s="224" t="e">
        <v>#DIV/0!</v>
      </c>
      <c r="AF261" s="224" t="e">
        <v>#DIV/0!</v>
      </c>
      <c r="AG261" s="224" t="e">
        <v>#DIV/0!</v>
      </c>
      <c r="AH261" s="224" t="e">
        <v>#DIV/0!</v>
      </c>
      <c r="AI261" s="224" t="e">
        <v>#DIV/0!</v>
      </c>
      <c r="AJ261" s="224" t="e">
        <v>#DIV/0!</v>
      </c>
      <c r="AK261" s="224" t="e">
        <v>#DIV/0!</v>
      </c>
      <c r="AL261" s="224" t="e">
        <v>#DIV/0!</v>
      </c>
      <c r="AM261" s="224" t="e">
        <v>#DIV/0!</v>
      </c>
      <c r="AN261" s="1120" t="e">
        <v>#DIV/0!</v>
      </c>
      <c r="AO261" s="224" t="e">
        <f t="shared" si="16"/>
        <v>#DIV/0!</v>
      </c>
      <c r="AP261" s="1123">
        <v>0.1</v>
      </c>
      <c r="AQ261" s="1123">
        <f t="shared" si="18"/>
        <v>6.6157067752379534E-2</v>
      </c>
      <c r="AR261" s="1123">
        <v>20</v>
      </c>
      <c r="AS261" s="1123" t="e">
        <f t="shared" si="19"/>
        <v>#DIV/0!</v>
      </c>
      <c r="AT261" s="224" t="e">
        <f t="shared" si="17"/>
        <v>#DIV/0!</v>
      </c>
    </row>
    <row r="262" spans="1:46">
      <c r="A262" s="1118">
        <v>2030</v>
      </c>
      <c r="D262" s="1107" t="s">
        <v>2064</v>
      </c>
      <c r="E262" s="224" t="s">
        <v>2062</v>
      </c>
      <c r="G262" s="224">
        <v>7191.931798060773</v>
      </c>
      <c r="H262" s="224">
        <v>4581</v>
      </c>
      <c r="I262" s="224">
        <v>4.7044800000000002</v>
      </c>
      <c r="J262" s="224">
        <v>3.474182465266723E-2</v>
      </c>
      <c r="K262" s="224">
        <v>3.3233851318587519E-2</v>
      </c>
      <c r="L262" s="224">
        <v>3.8292804914657884E-2</v>
      </c>
      <c r="M262" s="224">
        <v>0</v>
      </c>
      <c r="N262" s="224">
        <v>0</v>
      </c>
      <c r="O262" s="224">
        <v>0</v>
      </c>
      <c r="P262" s="224">
        <v>0</v>
      </c>
      <c r="Q262" s="224">
        <v>0</v>
      </c>
      <c r="R262" s="224">
        <v>0</v>
      </c>
      <c r="S262" s="224">
        <v>0</v>
      </c>
      <c r="T262" s="224">
        <v>0</v>
      </c>
      <c r="U262" s="224">
        <v>0</v>
      </c>
      <c r="V262" s="224">
        <v>0</v>
      </c>
      <c r="W262" s="224">
        <v>309.03279420000001</v>
      </c>
      <c r="X262" s="224">
        <v>88.905458515283811</v>
      </c>
      <c r="Y262" s="224">
        <v>4.7044800000000002</v>
      </c>
      <c r="Z262" s="224">
        <v>200.13358799999997</v>
      </c>
      <c r="AA262" s="224">
        <v>5.2112736979000847</v>
      </c>
      <c r="AB262" s="224">
        <v>4.9850776977881281</v>
      </c>
      <c r="AC262" s="224">
        <v>5.7439207371986827</v>
      </c>
      <c r="AD262" s="1120">
        <v>6.8196278650938442</v>
      </c>
      <c r="AE262" s="224">
        <v>0</v>
      </c>
      <c r="AF262" s="224">
        <v>2979.9723925296003</v>
      </c>
      <c r="AG262" s="224">
        <v>1973.7011790393003</v>
      </c>
      <c r="AH262" s="224">
        <v>0</v>
      </c>
      <c r="AI262" s="224">
        <v>40800</v>
      </c>
      <c r="AJ262" s="224">
        <v>1426.4912628</v>
      </c>
      <c r="AK262" s="224">
        <v>5614.4184944067338</v>
      </c>
      <c r="AL262" s="224">
        <v>23696.280000000002</v>
      </c>
      <c r="AM262" s="224">
        <v>3163.9884000000002</v>
      </c>
      <c r="AN262" s="1120">
        <v>79654.85172877564</v>
      </c>
      <c r="AO262" s="224">
        <f t="shared" si="16"/>
        <v>0.8985541675047648</v>
      </c>
      <c r="AP262" s="1123">
        <v>0.1</v>
      </c>
      <c r="AQ262" s="1123">
        <f t="shared" si="18"/>
        <v>6.6157067752379534E-2</v>
      </c>
      <c r="AR262" s="1123">
        <v>20</v>
      </c>
      <c r="AS262" s="1123">
        <f t="shared" si="19"/>
        <v>0.41418541027496214</v>
      </c>
      <c r="AT262" s="224">
        <f t="shared" si="17"/>
        <v>5269.7314226263561</v>
      </c>
    </row>
    <row r="263" spans="1:46">
      <c r="A263" s="1118">
        <v>2035</v>
      </c>
      <c r="D263" s="1107" t="s">
        <v>2064</v>
      </c>
      <c r="E263" s="224" t="s">
        <v>2062</v>
      </c>
      <c r="G263" s="224" t="e">
        <v>#DIV/0!</v>
      </c>
      <c r="H263" s="224" t="e">
        <v>#DIV/0!</v>
      </c>
      <c r="I263" s="224" t="e">
        <v>#DIV/0!</v>
      </c>
      <c r="J263" s="224" t="e">
        <v>#DIV/0!</v>
      </c>
      <c r="K263" s="224" t="e">
        <v>#DIV/0!</v>
      </c>
      <c r="L263" s="224" t="e">
        <v>#DIV/0!</v>
      </c>
      <c r="M263" s="224" t="e">
        <v>#DIV/0!</v>
      </c>
      <c r="N263" s="224" t="e">
        <v>#DIV/0!</v>
      </c>
      <c r="O263" s="224" t="e">
        <v>#DIV/0!</v>
      </c>
      <c r="P263" s="224" t="e">
        <v>#DIV/0!</v>
      </c>
      <c r="Q263" s="224" t="e">
        <v>#DIV/0!</v>
      </c>
      <c r="R263" s="224" t="e">
        <v>#DIV/0!</v>
      </c>
      <c r="S263" s="224" t="e">
        <v>#DIV/0!</v>
      </c>
      <c r="T263" s="224" t="e">
        <v>#DIV/0!</v>
      </c>
      <c r="U263" s="224" t="e">
        <v>#DIV/0!</v>
      </c>
      <c r="V263" s="224" t="e">
        <v>#DIV/0!</v>
      </c>
      <c r="W263" s="224" t="e">
        <v>#DIV/0!</v>
      </c>
      <c r="X263" s="224" t="e">
        <v>#DIV/0!</v>
      </c>
      <c r="Y263" s="224" t="e">
        <v>#DIV/0!</v>
      </c>
      <c r="Z263" s="224" t="e">
        <v>#DIV/0!</v>
      </c>
      <c r="AA263" s="224" t="e">
        <v>#DIV/0!</v>
      </c>
      <c r="AB263" s="224" t="e">
        <v>#DIV/0!</v>
      </c>
      <c r="AC263" s="224" t="e">
        <v>#DIV/0!</v>
      </c>
      <c r="AD263" s="1120" t="e">
        <v>#DIV/0!</v>
      </c>
      <c r="AE263" s="224" t="e">
        <v>#DIV/0!</v>
      </c>
      <c r="AF263" s="224" t="e">
        <v>#DIV/0!</v>
      </c>
      <c r="AG263" s="224" t="e">
        <v>#DIV/0!</v>
      </c>
      <c r="AH263" s="224" t="e">
        <v>#DIV/0!</v>
      </c>
      <c r="AI263" s="224" t="e">
        <v>#DIV/0!</v>
      </c>
      <c r="AJ263" s="224" t="e">
        <v>#DIV/0!</v>
      </c>
      <c r="AK263" s="224" t="e">
        <v>#DIV/0!</v>
      </c>
      <c r="AL263" s="224" t="e">
        <v>#DIV/0!</v>
      </c>
      <c r="AM263" s="224" t="e">
        <v>#DIV/0!</v>
      </c>
      <c r="AN263" s="1120" t="e">
        <v>#DIV/0!</v>
      </c>
      <c r="AO263" s="224" t="e">
        <f t="shared" si="16"/>
        <v>#DIV/0!</v>
      </c>
      <c r="AP263" s="1123">
        <v>0.1</v>
      </c>
      <c r="AQ263" s="1123">
        <f t="shared" si="18"/>
        <v>6.6157067752379534E-2</v>
      </c>
      <c r="AR263" s="1123">
        <v>20</v>
      </c>
      <c r="AS263" s="1123" t="e">
        <f t="shared" si="19"/>
        <v>#DIV/0!</v>
      </c>
      <c r="AT263" s="224" t="e">
        <f t="shared" si="17"/>
        <v>#DIV/0!</v>
      </c>
    </row>
    <row r="264" spans="1:46">
      <c r="A264" s="1118">
        <v>2050</v>
      </c>
      <c r="D264" s="1107" t="s">
        <v>2064</v>
      </c>
      <c r="E264" s="224" t="s">
        <v>2062</v>
      </c>
      <c r="G264" s="224">
        <v>6760.045691076979</v>
      </c>
      <c r="H264" s="224">
        <v>4699</v>
      </c>
      <c r="I264" s="224">
        <v>4.4035200000000003</v>
      </c>
      <c r="J264" s="224">
        <v>2.8349511023532413E-2</v>
      </c>
      <c r="K264" s="224">
        <v>2.8033731496655046E-2</v>
      </c>
      <c r="L264" s="224">
        <v>3.2465985586443084E-2</v>
      </c>
      <c r="M264" s="224">
        <v>0</v>
      </c>
      <c r="N264" s="224">
        <v>0</v>
      </c>
      <c r="O264" s="224">
        <v>0</v>
      </c>
      <c r="P264" s="224">
        <v>0</v>
      </c>
      <c r="Q264" s="224">
        <v>0</v>
      </c>
      <c r="R264" s="224">
        <v>0</v>
      </c>
      <c r="S264" s="224">
        <v>0</v>
      </c>
      <c r="T264" s="224">
        <v>0</v>
      </c>
      <c r="U264" s="224">
        <v>0</v>
      </c>
      <c r="V264" s="224">
        <v>0</v>
      </c>
      <c r="W264" s="224">
        <v>280.85784690000003</v>
      </c>
      <c r="X264" s="224">
        <v>83.217903930130973</v>
      </c>
      <c r="Y264" s="224">
        <v>4.4035200000000003</v>
      </c>
      <c r="Z264" s="224">
        <v>181.6958755</v>
      </c>
      <c r="AA264" s="224">
        <v>4.252426653529862</v>
      </c>
      <c r="AB264" s="224">
        <v>4.2050597244982573</v>
      </c>
      <c r="AC264" s="224">
        <v>4.8698978379664624</v>
      </c>
      <c r="AD264" s="1120">
        <v>5.4963813903230774</v>
      </c>
      <c r="AE264" s="224">
        <v>0</v>
      </c>
      <c r="AF264" s="224">
        <v>1380.5176651200002</v>
      </c>
      <c r="AG264" s="224">
        <v>1298.1993013100432</v>
      </c>
      <c r="AH264" s="224">
        <v>0</v>
      </c>
      <c r="AI264" s="224">
        <v>40800</v>
      </c>
      <c r="AJ264" s="224">
        <v>2092.7190328799998</v>
      </c>
      <c r="AK264" s="224">
        <v>6393.2965024452897</v>
      </c>
      <c r="AL264" s="224">
        <v>13082.4</v>
      </c>
      <c r="AM264" s="224">
        <v>1927.1699999999998</v>
      </c>
      <c r="AN264" s="1120">
        <v>66974.30250175533</v>
      </c>
      <c r="AO264" s="224">
        <f t="shared" si="16"/>
        <v>0.72420321198896864</v>
      </c>
      <c r="AP264" s="1123">
        <v>0.1</v>
      </c>
      <c r="AQ264" s="1123">
        <f t="shared" si="18"/>
        <v>6.6157067752379534E-2</v>
      </c>
      <c r="AR264" s="1123">
        <v>20</v>
      </c>
      <c r="AS264" s="1123">
        <f t="shared" si="19"/>
        <v>0.33381894528746459</v>
      </c>
      <c r="AT264" s="224">
        <f t="shared" si="17"/>
        <v>4430.8234682769898</v>
      </c>
    </row>
  </sheetData>
  <mergeCells count="6">
    <mergeCell ref="AE11:AM11"/>
    <mergeCell ref="G11:H11"/>
    <mergeCell ref="J11:O11"/>
    <mergeCell ref="P11:U11"/>
    <mergeCell ref="V11:Z11"/>
    <mergeCell ref="AA11:AC11"/>
  </mergeCells>
  <conditionalFormatting sqref="AD13:AD109 AN13:AN109 AN115:AN228 AD115:AD228">
    <cfRule type="cellIs" dxfId="5" priority="5" operator="notBetween">
      <formula>0.01</formula>
      <formula>99999999</formula>
    </cfRule>
    <cfRule type="cellIs" dxfId="4" priority="6" operator="greaterThan">
      <formula>0</formula>
    </cfRule>
  </conditionalFormatting>
  <conditionalFormatting sqref="AD229:AD243 AD259:AD264 AD253:AD255 AD247:AD249 AN229:AN264">
    <cfRule type="cellIs" dxfId="3" priority="3" operator="notBetween">
      <formula>0.01</formula>
      <formula>99999999</formula>
    </cfRule>
    <cfRule type="cellIs" dxfId="2" priority="4" operator="greaterThan">
      <formula>0</formula>
    </cfRule>
  </conditionalFormatting>
  <conditionalFormatting sqref="AD110:AD111 AN110:AN114">
    <cfRule type="cellIs" dxfId="1" priority="1" operator="notBetween">
      <formula>0.01</formula>
      <formula>99999999</formula>
    </cfRule>
    <cfRule type="cellIs" dxfId="0" priority="2" operator="greaterThan">
      <formula>0</formula>
    </cfRule>
  </conditionalFormatting>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ADAD7-1139-4BEF-BAF6-9FFB3FDEC562}">
  <sheetPr>
    <tabColor theme="3"/>
  </sheetPr>
  <dimension ref="A2:AR352"/>
  <sheetViews>
    <sheetView topLeftCell="B17" zoomScale="55" zoomScaleNormal="55" workbookViewId="0">
      <selection activeCell="C25" sqref="C25"/>
    </sheetView>
  </sheetViews>
  <sheetFormatPr baseColWidth="10" defaultColWidth="8.83203125" defaultRowHeight="15" outlineLevelRow="1"/>
  <cols>
    <col min="1" max="1" width="20.5" style="224" customWidth="1"/>
    <col min="2" max="2" width="63.5" style="224" bestFit="1" customWidth="1"/>
    <col min="3" max="6" width="11" style="224" bestFit="1" customWidth="1"/>
    <col min="7" max="12" width="11" style="224" customWidth="1"/>
    <col min="13" max="13" width="8.83203125" style="224"/>
    <col min="14" max="14" width="4.5" style="224" customWidth="1"/>
    <col min="15" max="15" width="15.83203125" style="224" customWidth="1"/>
    <col min="16" max="16384" width="8.83203125" style="224"/>
  </cols>
  <sheetData>
    <row r="2" spans="1:44">
      <c r="B2" s="8" t="s">
        <v>710</v>
      </c>
    </row>
    <row r="4" spans="1:44" ht="25" customHeight="1">
      <c r="E4" s="224" t="s">
        <v>358</v>
      </c>
      <c r="F4" s="359">
        <v>7.45</v>
      </c>
      <c r="G4" s="359" t="s">
        <v>328</v>
      </c>
      <c r="T4" s="224" t="s">
        <v>715</v>
      </c>
      <c r="U4" s="224" t="s">
        <v>716</v>
      </c>
      <c r="V4" s="224" t="s">
        <v>717</v>
      </c>
      <c r="W4" s="224" t="s">
        <v>718</v>
      </c>
      <c r="X4" s="224" t="s">
        <v>719</v>
      </c>
    </row>
    <row r="5" spans="1:44" ht="15" customHeight="1">
      <c r="A5" s="360" t="s">
        <v>711</v>
      </c>
      <c r="B5" s="1207"/>
      <c r="C5" s="1143"/>
      <c r="D5" s="1143"/>
      <c r="E5" s="1143"/>
      <c r="F5" s="1143"/>
      <c r="G5" s="1143"/>
      <c r="H5" s="1143"/>
      <c r="I5" s="1143"/>
      <c r="J5" s="1143"/>
      <c r="K5" s="1143"/>
      <c r="L5" s="1143"/>
      <c r="M5" s="1143"/>
      <c r="N5" s="361"/>
      <c r="P5" s="1143"/>
      <c r="Q5" s="1143"/>
      <c r="R5" s="1143"/>
      <c r="S5" s="1143"/>
      <c r="T5" s="1143"/>
      <c r="U5" s="1143"/>
    </row>
    <row r="6" spans="1:44" ht="15.75" customHeight="1" outlineLevel="1" thickBot="1">
      <c r="B6" s="1207"/>
      <c r="C6" s="1143"/>
      <c r="D6" s="1143"/>
      <c r="E6" s="1143"/>
      <c r="F6" s="1143"/>
      <c r="G6" s="1143"/>
      <c r="H6" s="1143"/>
      <c r="I6" s="1143"/>
      <c r="J6" s="1143"/>
      <c r="K6" s="1143"/>
      <c r="L6" s="1143"/>
      <c r="M6" s="1143"/>
      <c r="N6" s="361"/>
      <c r="P6" s="692">
        <v>1</v>
      </c>
      <c r="Q6" s="692">
        <v>2</v>
      </c>
      <c r="R6" s="692">
        <v>3</v>
      </c>
      <c r="S6" s="692">
        <v>4</v>
      </c>
      <c r="T6" s="692">
        <v>5</v>
      </c>
      <c r="U6" s="692">
        <v>6</v>
      </c>
      <c r="V6" s="692">
        <v>7</v>
      </c>
      <c r="W6" s="692">
        <v>8</v>
      </c>
      <c r="X6" s="692">
        <v>9</v>
      </c>
      <c r="Y6" s="692">
        <v>10</v>
      </c>
      <c r="Z6" s="692">
        <v>11</v>
      </c>
      <c r="AA6" s="692">
        <v>12</v>
      </c>
      <c r="AB6" s="692">
        <v>13</v>
      </c>
      <c r="AC6" s="692">
        <v>14</v>
      </c>
    </row>
    <row r="7" spans="1:44" ht="20.25" customHeight="1" outlineLevel="1" thickBot="1">
      <c r="B7" s="362" t="s">
        <v>0</v>
      </c>
      <c r="C7" s="1186" t="s">
        <v>712</v>
      </c>
      <c r="D7" s="1205"/>
      <c r="E7" s="1205"/>
      <c r="F7" s="1205"/>
      <c r="G7" s="1205"/>
      <c r="H7" s="1205"/>
      <c r="I7" s="1205"/>
      <c r="J7" s="1205"/>
      <c r="K7" s="1205"/>
      <c r="L7" s="1206"/>
      <c r="M7" s="363"/>
      <c r="N7" s="363"/>
      <c r="P7" s="364" t="s">
        <v>713</v>
      </c>
      <c r="Q7" s="365"/>
      <c r="R7" s="366"/>
      <c r="S7" s="1176" t="s">
        <v>714</v>
      </c>
      <c r="T7" s="1160" t="s">
        <v>715</v>
      </c>
      <c r="U7" s="1161"/>
      <c r="V7" s="1160" t="s">
        <v>716</v>
      </c>
      <c r="W7" s="1161"/>
      <c r="X7" s="1160" t="s">
        <v>717</v>
      </c>
      <c r="Y7" s="1161"/>
      <c r="Z7" s="1160" t="s">
        <v>718</v>
      </c>
      <c r="AA7" s="1161"/>
      <c r="AB7" s="1160" t="s">
        <v>719</v>
      </c>
      <c r="AC7" s="1161"/>
      <c r="AE7" s="364" t="s">
        <v>720</v>
      </c>
      <c r="AF7" s="365"/>
      <c r="AG7" s="366"/>
      <c r="AH7" s="1176" t="s">
        <v>714</v>
      </c>
      <c r="AI7" s="1160" t="s">
        <v>715</v>
      </c>
      <c r="AJ7" s="1161"/>
      <c r="AK7" s="1160" t="s">
        <v>716</v>
      </c>
      <c r="AL7" s="1161"/>
      <c r="AM7" s="1160" t="s">
        <v>717</v>
      </c>
      <c r="AN7" s="1161"/>
      <c r="AO7" s="1160" t="s">
        <v>718</v>
      </c>
      <c r="AP7" s="1161"/>
      <c r="AQ7" s="1160" t="s">
        <v>719</v>
      </c>
      <c r="AR7" s="1161"/>
    </row>
    <row r="8" spans="1:44" ht="16" outlineLevel="1" thickBot="1">
      <c r="B8" s="1164" t="s">
        <v>4</v>
      </c>
      <c r="C8" s="1166">
        <v>2020</v>
      </c>
      <c r="D8" s="1166">
        <v>2030</v>
      </c>
      <c r="E8" s="1166">
        <v>2040</v>
      </c>
      <c r="F8" s="1166">
        <v>2050</v>
      </c>
      <c r="G8" s="1217" t="s">
        <v>721</v>
      </c>
      <c r="H8" s="1218"/>
      <c r="I8" s="1217" t="s">
        <v>648</v>
      </c>
      <c r="J8" s="1218"/>
      <c r="K8" s="1219" t="s">
        <v>2</v>
      </c>
      <c r="L8" s="1219" t="s">
        <v>3</v>
      </c>
      <c r="M8" s="367"/>
      <c r="N8" s="367"/>
      <c r="P8" s="1180" t="s">
        <v>0</v>
      </c>
      <c r="Q8" s="368"/>
      <c r="R8" s="368"/>
      <c r="S8" s="1177"/>
      <c r="T8" s="1162"/>
      <c r="U8" s="1163"/>
      <c r="V8" s="1162"/>
      <c r="W8" s="1163"/>
      <c r="X8" s="1162"/>
      <c r="Y8" s="1163"/>
      <c r="Z8" s="1162"/>
      <c r="AA8" s="1163"/>
      <c r="AB8" s="1162"/>
      <c r="AC8" s="1163"/>
      <c r="AE8" s="1180" t="s">
        <v>0</v>
      </c>
      <c r="AF8" s="368"/>
      <c r="AG8" s="368"/>
      <c r="AH8" s="1177"/>
      <c r="AI8" s="1162"/>
      <c r="AJ8" s="1163"/>
      <c r="AK8" s="1162"/>
      <c r="AL8" s="1163"/>
      <c r="AM8" s="1162"/>
      <c r="AN8" s="1163"/>
      <c r="AO8" s="1162"/>
      <c r="AP8" s="1163"/>
      <c r="AQ8" s="1162"/>
      <c r="AR8" s="1163"/>
    </row>
    <row r="9" spans="1:44" ht="30" customHeight="1" outlineLevel="1" thickBot="1">
      <c r="B9" s="1165"/>
      <c r="C9" s="1167"/>
      <c r="D9" s="1167"/>
      <c r="E9" s="1167"/>
      <c r="F9" s="1167"/>
      <c r="G9" s="369" t="s">
        <v>649</v>
      </c>
      <c r="H9" s="369" t="s">
        <v>650</v>
      </c>
      <c r="I9" s="369" t="s">
        <v>649</v>
      </c>
      <c r="J9" s="369" t="s">
        <v>650</v>
      </c>
      <c r="K9" s="1220"/>
      <c r="L9" s="1220"/>
      <c r="M9" s="370"/>
      <c r="N9" s="370"/>
      <c r="P9" s="1181"/>
      <c r="Q9" s="1183" t="s">
        <v>722</v>
      </c>
      <c r="R9" s="1184" t="s">
        <v>723</v>
      </c>
      <c r="S9" s="1178"/>
      <c r="T9" s="1162"/>
      <c r="U9" s="1163"/>
      <c r="V9" s="1162"/>
      <c r="W9" s="1163"/>
      <c r="X9" s="1162"/>
      <c r="Y9" s="1163"/>
      <c r="Z9" s="1162"/>
      <c r="AA9" s="1163"/>
      <c r="AB9" s="1162"/>
      <c r="AC9" s="1163"/>
      <c r="AE9" s="1181"/>
      <c r="AF9" s="1197" t="s">
        <v>722</v>
      </c>
      <c r="AG9" s="1184" t="s">
        <v>723</v>
      </c>
      <c r="AH9" s="1178"/>
      <c r="AI9" s="1162"/>
      <c r="AJ9" s="1163"/>
      <c r="AK9" s="1162"/>
      <c r="AL9" s="1163"/>
      <c r="AM9" s="1162"/>
      <c r="AN9" s="1163"/>
      <c r="AO9" s="1162"/>
      <c r="AP9" s="1163"/>
      <c r="AQ9" s="1162"/>
      <c r="AR9" s="1163"/>
    </row>
    <row r="10" spans="1:44" ht="54.5" customHeight="1" outlineLevel="1" thickBot="1">
      <c r="B10" s="371" t="s">
        <v>724</v>
      </c>
      <c r="C10" s="372">
        <v>20000</v>
      </c>
      <c r="D10" s="372">
        <v>20000</v>
      </c>
      <c r="E10" s="372">
        <v>20000</v>
      </c>
      <c r="F10" s="372">
        <v>20000</v>
      </c>
      <c r="G10" s="372">
        <v>1000</v>
      </c>
      <c r="H10" s="372">
        <v>50000</v>
      </c>
      <c r="I10" s="372">
        <v>1000</v>
      </c>
      <c r="J10" s="372">
        <v>50000</v>
      </c>
      <c r="K10" s="372" t="s">
        <v>6</v>
      </c>
      <c r="L10" s="373" t="s">
        <v>725</v>
      </c>
      <c r="M10" s="370"/>
      <c r="N10" s="370"/>
      <c r="O10" s="74"/>
      <c r="P10" s="1182"/>
      <c r="Q10" s="1179"/>
      <c r="R10" s="1185"/>
      <c r="S10" s="1179"/>
      <c r="T10" s="374" t="s">
        <v>726</v>
      </c>
      <c r="U10" s="375" t="s">
        <v>727</v>
      </c>
      <c r="V10" s="374" t="s">
        <v>726</v>
      </c>
      <c r="W10" s="375" t="s">
        <v>727</v>
      </c>
      <c r="X10" s="374" t="s">
        <v>726</v>
      </c>
      <c r="Y10" s="375" t="s">
        <v>727</v>
      </c>
      <c r="Z10" s="374" t="s">
        <v>726</v>
      </c>
      <c r="AA10" s="375" t="s">
        <v>727</v>
      </c>
      <c r="AB10" s="374" t="s">
        <v>726</v>
      </c>
      <c r="AC10" s="375" t="s">
        <v>727</v>
      </c>
      <c r="AE10" s="1182"/>
      <c r="AF10" s="1198"/>
      <c r="AG10" s="1185"/>
      <c r="AH10" s="1179"/>
      <c r="AI10" s="374" t="s">
        <v>726</v>
      </c>
      <c r="AJ10" s="375" t="s">
        <v>727</v>
      </c>
      <c r="AK10" s="374" t="s">
        <v>726</v>
      </c>
      <c r="AL10" s="375" t="s">
        <v>727</v>
      </c>
      <c r="AM10" s="374" t="s">
        <v>726</v>
      </c>
      <c r="AN10" s="375" t="s">
        <v>727</v>
      </c>
      <c r="AO10" s="374" t="s">
        <v>726</v>
      </c>
      <c r="AP10" s="375" t="s">
        <v>727</v>
      </c>
      <c r="AQ10" s="374" t="s">
        <v>726</v>
      </c>
      <c r="AR10" s="375" t="s">
        <v>727</v>
      </c>
    </row>
    <row r="11" spans="1:44" ht="24.5" customHeight="1" outlineLevel="1">
      <c r="B11" s="376" t="s">
        <v>728</v>
      </c>
      <c r="C11" s="377">
        <v>95</v>
      </c>
      <c r="D11" s="377">
        <v>96</v>
      </c>
      <c r="E11" s="378">
        <v>97</v>
      </c>
      <c r="F11" s="377">
        <v>97</v>
      </c>
      <c r="G11" s="377">
        <v>90</v>
      </c>
      <c r="H11" s="377">
        <v>98</v>
      </c>
      <c r="I11" s="377">
        <v>90</v>
      </c>
      <c r="J11" s="377">
        <v>98</v>
      </c>
      <c r="K11" s="379" t="s">
        <v>59</v>
      </c>
      <c r="L11" s="380" t="s">
        <v>729</v>
      </c>
      <c r="M11" s="370"/>
      <c r="N11" s="370"/>
      <c r="P11" s="1199" t="str">
        <f>C7</f>
        <v>Steam boiler, Oil</v>
      </c>
      <c r="Q11" s="1154" t="s">
        <v>730</v>
      </c>
      <c r="R11" s="381" t="s">
        <v>731</v>
      </c>
      <c r="S11" s="382"/>
      <c r="T11" s="1137">
        <v>0</v>
      </c>
      <c r="U11" s="1151">
        <v>1</v>
      </c>
      <c r="V11" s="1137">
        <v>0</v>
      </c>
      <c r="W11" s="1151">
        <v>1</v>
      </c>
      <c r="X11" s="1137">
        <v>0</v>
      </c>
      <c r="Y11" s="1151">
        <v>1</v>
      </c>
      <c r="Z11" s="1137">
        <v>0</v>
      </c>
      <c r="AA11" s="1151">
        <v>1</v>
      </c>
      <c r="AB11" s="1137">
        <v>0</v>
      </c>
      <c r="AC11" s="1151">
        <v>1</v>
      </c>
      <c r="AE11" s="1148" t="str">
        <f>P11</f>
        <v>Steam boiler, Oil</v>
      </c>
      <c r="AF11" s="1154" t="s">
        <v>730</v>
      </c>
      <c r="AG11" s="381" t="s">
        <v>731</v>
      </c>
      <c r="AH11" s="382"/>
      <c r="AI11" s="1137">
        <v>0</v>
      </c>
      <c r="AJ11" s="1151">
        <v>1</v>
      </c>
      <c r="AK11" s="1137">
        <v>0</v>
      </c>
      <c r="AL11" s="1151">
        <v>1</v>
      </c>
      <c r="AM11" s="1137">
        <v>0</v>
      </c>
      <c r="AN11" s="1151">
        <v>1</v>
      </c>
      <c r="AO11" s="1137">
        <v>0</v>
      </c>
      <c r="AP11" s="1151">
        <v>1</v>
      </c>
      <c r="AQ11" s="1137">
        <v>0</v>
      </c>
      <c r="AR11" s="1151">
        <v>1</v>
      </c>
    </row>
    <row r="12" spans="1:44" ht="32.5" customHeight="1" outlineLevel="1">
      <c r="B12" s="383" t="s">
        <v>732</v>
      </c>
      <c r="C12" s="384">
        <v>94</v>
      </c>
      <c r="D12" s="384">
        <v>95</v>
      </c>
      <c r="E12" s="384">
        <v>96</v>
      </c>
      <c r="F12" s="384">
        <v>96</v>
      </c>
      <c r="G12" s="385">
        <v>89</v>
      </c>
      <c r="H12" s="385">
        <v>97</v>
      </c>
      <c r="I12" s="385">
        <v>89</v>
      </c>
      <c r="J12" s="385">
        <v>97</v>
      </c>
      <c r="K12" s="386"/>
      <c r="L12" s="387" t="s">
        <v>729</v>
      </c>
      <c r="M12" s="370"/>
      <c r="N12" s="370"/>
      <c r="O12" s="71"/>
      <c r="P12" s="1195"/>
      <c r="Q12" s="1155"/>
      <c r="R12" s="388" t="s">
        <v>733</v>
      </c>
      <c r="S12" s="389"/>
      <c r="T12" s="1140"/>
      <c r="U12" s="1152"/>
      <c r="V12" s="1140"/>
      <c r="W12" s="1152"/>
      <c r="X12" s="1140"/>
      <c r="Y12" s="1152"/>
      <c r="Z12" s="1140"/>
      <c r="AA12" s="1152"/>
      <c r="AB12" s="1140"/>
      <c r="AC12" s="1152"/>
      <c r="AE12" s="1195"/>
      <c r="AF12" s="1155"/>
      <c r="AG12" s="388" t="s">
        <v>733</v>
      </c>
      <c r="AH12" s="389"/>
      <c r="AI12" s="1140"/>
      <c r="AJ12" s="1152"/>
      <c r="AK12" s="1140"/>
      <c r="AL12" s="1152"/>
      <c r="AM12" s="1140"/>
      <c r="AN12" s="1152"/>
      <c r="AO12" s="1140"/>
      <c r="AP12" s="1152"/>
      <c r="AQ12" s="1140"/>
      <c r="AR12" s="1152"/>
    </row>
    <row r="13" spans="1:44" ht="16" outlineLevel="1" thickBot="1">
      <c r="B13" s="376" t="s">
        <v>734</v>
      </c>
      <c r="C13" s="390">
        <v>0.14000000000000001</v>
      </c>
      <c r="D13" s="391">
        <v>0.12</v>
      </c>
      <c r="E13" s="391">
        <v>0.11</v>
      </c>
      <c r="F13" s="392">
        <v>0.1</v>
      </c>
      <c r="G13" s="391">
        <v>0.1</v>
      </c>
      <c r="H13" s="391">
        <v>0.14000000000000001</v>
      </c>
      <c r="I13" s="391">
        <v>0.08</v>
      </c>
      <c r="J13" s="391">
        <v>0.12</v>
      </c>
      <c r="K13" s="379" t="s">
        <v>16</v>
      </c>
      <c r="L13" s="380">
        <v>3</v>
      </c>
      <c r="M13" s="370"/>
      <c r="N13" s="370"/>
      <c r="O13" s="71"/>
      <c r="P13" s="1195"/>
      <c r="Q13" s="1156"/>
      <c r="R13" s="393" t="s">
        <v>735</v>
      </c>
      <c r="S13" s="394"/>
      <c r="T13" s="1141"/>
      <c r="U13" s="1153"/>
      <c r="V13" s="1141"/>
      <c r="W13" s="1153"/>
      <c r="X13" s="1141"/>
      <c r="Y13" s="1153"/>
      <c r="Z13" s="1141"/>
      <c r="AA13" s="1153"/>
      <c r="AB13" s="1141"/>
      <c r="AC13" s="1153"/>
      <c r="AE13" s="1195"/>
      <c r="AF13" s="1156"/>
      <c r="AG13" s="393" t="s">
        <v>735</v>
      </c>
      <c r="AH13" s="394"/>
      <c r="AI13" s="1141"/>
      <c r="AJ13" s="1153"/>
      <c r="AK13" s="1141"/>
      <c r="AL13" s="1153"/>
      <c r="AM13" s="1141"/>
      <c r="AN13" s="1153"/>
      <c r="AO13" s="1141"/>
      <c r="AP13" s="1153"/>
      <c r="AQ13" s="1141"/>
      <c r="AR13" s="1153"/>
    </row>
    <row r="14" spans="1:44" ht="15" customHeight="1" outlineLevel="1">
      <c r="B14" s="376" t="s">
        <v>657</v>
      </c>
      <c r="C14" s="390">
        <v>1.1000000000000001</v>
      </c>
      <c r="D14" s="390">
        <v>1.1000000000000001</v>
      </c>
      <c r="E14" s="390">
        <v>1.1000000000000001</v>
      </c>
      <c r="F14" s="390">
        <v>1.1000000000000001</v>
      </c>
      <c r="G14" s="390">
        <v>0.09</v>
      </c>
      <c r="H14" s="390">
        <v>2.1</v>
      </c>
      <c r="I14" s="390">
        <v>0.09</v>
      </c>
      <c r="J14" s="390">
        <v>2.1</v>
      </c>
      <c r="K14" s="379" t="s">
        <v>20</v>
      </c>
      <c r="L14" s="380">
        <v>3</v>
      </c>
      <c r="M14" s="370"/>
      <c r="N14" s="370"/>
      <c r="O14" s="71"/>
      <c r="P14" s="1195"/>
      <c r="Q14" s="1154" t="s">
        <v>736</v>
      </c>
      <c r="R14" s="395" t="s">
        <v>737</v>
      </c>
      <c r="S14" s="396" t="s">
        <v>738</v>
      </c>
      <c r="T14" s="1137">
        <v>0</v>
      </c>
      <c r="U14" s="1137">
        <v>1</v>
      </c>
      <c r="V14" s="1137">
        <v>0</v>
      </c>
      <c r="W14" s="1137">
        <v>1</v>
      </c>
      <c r="X14" s="1137">
        <v>0</v>
      </c>
      <c r="Y14" s="1137">
        <v>0.97</v>
      </c>
      <c r="Z14" s="1137">
        <v>0</v>
      </c>
      <c r="AA14" s="1137">
        <v>1</v>
      </c>
      <c r="AB14" s="1137">
        <v>0</v>
      </c>
      <c r="AC14" s="1137">
        <v>1</v>
      </c>
      <c r="AE14" s="1195"/>
      <c r="AF14" s="1154" t="s">
        <v>736</v>
      </c>
      <c r="AG14" s="395" t="s">
        <v>737</v>
      </c>
      <c r="AH14" s="396" t="s">
        <v>738</v>
      </c>
      <c r="AI14" s="1137">
        <v>0</v>
      </c>
      <c r="AJ14" s="1137">
        <v>1</v>
      </c>
      <c r="AK14" s="1137">
        <v>0</v>
      </c>
      <c r="AL14" s="1137">
        <v>1</v>
      </c>
      <c r="AM14" s="1137">
        <v>0</v>
      </c>
      <c r="AN14" s="1137">
        <v>0.97</v>
      </c>
      <c r="AO14" s="1137">
        <v>0</v>
      </c>
      <c r="AP14" s="1137">
        <v>1</v>
      </c>
      <c r="AQ14" s="1137">
        <v>0</v>
      </c>
      <c r="AR14" s="1137">
        <v>1</v>
      </c>
    </row>
    <row r="15" spans="1:44" outlineLevel="1">
      <c r="B15" s="376" t="s">
        <v>658</v>
      </c>
      <c r="C15" s="390">
        <v>0.60000000000000009</v>
      </c>
      <c r="D15" s="390">
        <v>0.60000000000000009</v>
      </c>
      <c r="E15" s="390">
        <v>0.60000000000000009</v>
      </c>
      <c r="F15" s="390">
        <v>0.60000000000000009</v>
      </c>
      <c r="G15" s="390">
        <v>0.5</v>
      </c>
      <c r="H15" s="390">
        <v>0.8</v>
      </c>
      <c r="I15" s="390">
        <v>0.5</v>
      </c>
      <c r="J15" s="390">
        <v>0.8</v>
      </c>
      <c r="K15" s="379" t="s">
        <v>20</v>
      </c>
      <c r="L15" s="380">
        <v>3</v>
      </c>
      <c r="M15" s="367"/>
      <c r="N15" s="367"/>
      <c r="O15" s="71"/>
      <c r="P15" s="1195"/>
      <c r="Q15" s="1155"/>
      <c r="R15" s="395" t="s">
        <v>739</v>
      </c>
      <c r="S15" s="396" t="s">
        <v>738</v>
      </c>
      <c r="T15" s="1138"/>
      <c r="U15" s="1138"/>
      <c r="V15" s="1138"/>
      <c r="W15" s="1138"/>
      <c r="X15" s="1138"/>
      <c r="Y15" s="1138"/>
      <c r="Z15" s="1138"/>
      <c r="AA15" s="1138"/>
      <c r="AB15" s="1138"/>
      <c r="AC15" s="1138"/>
      <c r="AE15" s="1195"/>
      <c r="AF15" s="1155"/>
      <c r="AG15" s="395" t="s">
        <v>739</v>
      </c>
      <c r="AH15" s="396" t="s">
        <v>738</v>
      </c>
      <c r="AI15" s="1138"/>
      <c r="AJ15" s="1138"/>
      <c r="AK15" s="1138"/>
      <c r="AL15" s="1138"/>
      <c r="AM15" s="1138"/>
      <c r="AN15" s="1138"/>
      <c r="AO15" s="1138"/>
      <c r="AP15" s="1138"/>
      <c r="AQ15" s="1138"/>
      <c r="AR15" s="1138"/>
    </row>
    <row r="16" spans="1:44" outlineLevel="1">
      <c r="B16" s="383" t="s">
        <v>11</v>
      </c>
      <c r="C16" s="397">
        <v>25</v>
      </c>
      <c r="D16" s="397">
        <v>25</v>
      </c>
      <c r="E16" s="397">
        <v>25</v>
      </c>
      <c r="F16" s="397">
        <v>25</v>
      </c>
      <c r="G16" s="398">
        <v>20</v>
      </c>
      <c r="H16" s="398">
        <v>30</v>
      </c>
      <c r="I16" s="398">
        <v>20</v>
      </c>
      <c r="J16" s="398">
        <v>30</v>
      </c>
      <c r="K16" s="372"/>
      <c r="L16" s="373" t="s">
        <v>740</v>
      </c>
      <c r="M16" s="363"/>
      <c r="N16" s="363"/>
      <c r="P16" s="1195"/>
      <c r="Q16" s="1155"/>
      <c r="R16" s="395" t="s">
        <v>741</v>
      </c>
      <c r="S16" s="396" t="s">
        <v>738</v>
      </c>
      <c r="T16" s="1138"/>
      <c r="U16" s="1138"/>
      <c r="V16" s="1138"/>
      <c r="W16" s="1138"/>
      <c r="X16" s="1138"/>
      <c r="Y16" s="1138"/>
      <c r="Z16" s="1138"/>
      <c r="AA16" s="1138"/>
      <c r="AB16" s="1138"/>
      <c r="AC16" s="1138"/>
      <c r="AE16" s="1195"/>
      <c r="AF16" s="1155"/>
      <c r="AG16" s="395" t="s">
        <v>741</v>
      </c>
      <c r="AH16" s="396" t="s">
        <v>738</v>
      </c>
      <c r="AI16" s="1138"/>
      <c r="AJ16" s="1138"/>
      <c r="AK16" s="1138"/>
      <c r="AL16" s="1138"/>
      <c r="AM16" s="1138"/>
      <c r="AN16" s="1138"/>
      <c r="AO16" s="1138"/>
      <c r="AP16" s="1138"/>
      <c r="AQ16" s="1138"/>
      <c r="AR16" s="1138"/>
    </row>
    <row r="17" spans="1:44" ht="16" outlineLevel="1" thickBot="1">
      <c r="B17" s="376" t="s">
        <v>273</v>
      </c>
      <c r="C17" s="399">
        <v>0.5</v>
      </c>
      <c r="D17" s="399">
        <v>0.5</v>
      </c>
      <c r="E17" s="399">
        <v>0.5</v>
      </c>
      <c r="F17" s="399">
        <v>0.5</v>
      </c>
      <c r="G17" s="399">
        <v>0.2</v>
      </c>
      <c r="H17" s="399">
        <v>0.7</v>
      </c>
      <c r="I17" s="399">
        <v>0.2</v>
      </c>
      <c r="J17" s="399">
        <v>0.7</v>
      </c>
      <c r="K17" s="372"/>
      <c r="L17" s="400"/>
      <c r="M17" s="363"/>
      <c r="N17" s="363"/>
      <c r="P17" s="1195"/>
      <c r="Q17" s="1155"/>
      <c r="R17" s="395" t="s">
        <v>742</v>
      </c>
      <c r="S17" s="396" t="s">
        <v>738</v>
      </c>
      <c r="T17" s="1138"/>
      <c r="U17" s="1138"/>
      <c r="V17" s="1138"/>
      <c r="W17" s="1138"/>
      <c r="X17" s="1138"/>
      <c r="Y17" s="1138"/>
      <c r="Z17" s="1138"/>
      <c r="AA17" s="1138"/>
      <c r="AB17" s="1138"/>
      <c r="AC17" s="1138"/>
      <c r="AE17" s="1195"/>
      <c r="AF17" s="1155"/>
      <c r="AG17" s="395" t="s">
        <v>742</v>
      </c>
      <c r="AH17" s="396" t="s">
        <v>738</v>
      </c>
      <c r="AI17" s="1138"/>
      <c r="AJ17" s="1138"/>
      <c r="AK17" s="1138"/>
      <c r="AL17" s="1138"/>
      <c r="AM17" s="1138"/>
      <c r="AN17" s="1138"/>
      <c r="AO17" s="1138"/>
      <c r="AP17" s="1138"/>
      <c r="AQ17" s="1138"/>
      <c r="AR17" s="1138"/>
    </row>
    <row r="18" spans="1:44" ht="16" outlineLevel="1" thickBot="1">
      <c r="B18" s="401" t="s">
        <v>743</v>
      </c>
      <c r="C18" s="402"/>
      <c r="D18" s="403"/>
      <c r="E18" s="404"/>
      <c r="F18" s="405"/>
      <c r="G18" s="406"/>
      <c r="H18" s="406"/>
      <c r="I18" s="406"/>
      <c r="J18" s="406"/>
      <c r="K18" s="407"/>
      <c r="L18" s="408"/>
      <c r="M18" s="363"/>
      <c r="N18" s="363"/>
      <c r="P18" s="1195"/>
      <c r="Q18" s="1155"/>
      <c r="R18" s="409" t="s">
        <v>744</v>
      </c>
      <c r="S18" s="410" t="s">
        <v>738</v>
      </c>
      <c r="T18" s="1139"/>
      <c r="U18" s="1139"/>
      <c r="V18" s="1139"/>
      <c r="W18" s="1139"/>
      <c r="X18" s="1139"/>
      <c r="Y18" s="1139"/>
      <c r="Z18" s="1139"/>
      <c r="AA18" s="1139"/>
      <c r="AB18" s="1139"/>
      <c r="AC18" s="1139"/>
      <c r="AE18" s="1195"/>
      <c r="AF18" s="1155"/>
      <c r="AG18" s="409" t="s">
        <v>744</v>
      </c>
      <c r="AH18" s="410" t="s">
        <v>738</v>
      </c>
      <c r="AI18" s="1139"/>
      <c r="AJ18" s="1139"/>
      <c r="AK18" s="1139"/>
      <c r="AL18" s="1139"/>
      <c r="AM18" s="1139"/>
      <c r="AN18" s="1139"/>
      <c r="AO18" s="1139"/>
      <c r="AP18" s="1139"/>
      <c r="AQ18" s="1139"/>
      <c r="AR18" s="1139"/>
    </row>
    <row r="19" spans="1:44" ht="33" outlineLevel="1" thickBot="1">
      <c r="B19" s="376" t="s">
        <v>663</v>
      </c>
      <c r="C19" s="390">
        <v>15</v>
      </c>
      <c r="D19" s="390">
        <v>15</v>
      </c>
      <c r="E19" s="390">
        <v>15</v>
      </c>
      <c r="F19" s="390">
        <v>15</v>
      </c>
      <c r="G19" s="391"/>
      <c r="H19" s="391"/>
      <c r="I19" s="391"/>
      <c r="J19" s="391"/>
      <c r="K19" s="379"/>
      <c r="L19" s="380">
        <v>3</v>
      </c>
      <c r="M19" s="363"/>
      <c r="N19" s="363"/>
      <c r="P19" s="1196"/>
      <c r="Q19" s="411" t="s">
        <v>745</v>
      </c>
      <c r="R19" s="412" t="s">
        <v>746</v>
      </c>
      <c r="S19" s="413" t="s">
        <v>738</v>
      </c>
      <c r="T19" s="414">
        <v>1</v>
      </c>
      <c r="U19" s="415">
        <v>1</v>
      </c>
      <c r="V19" s="416">
        <v>1</v>
      </c>
      <c r="W19" s="415">
        <v>1</v>
      </c>
      <c r="X19" s="416">
        <v>1</v>
      </c>
      <c r="Y19" s="415">
        <v>1</v>
      </c>
      <c r="Z19" s="416">
        <v>1</v>
      </c>
      <c r="AA19" s="415">
        <v>1</v>
      </c>
      <c r="AB19" s="416">
        <v>1</v>
      </c>
      <c r="AC19" s="417">
        <v>1</v>
      </c>
      <c r="AE19" s="1196"/>
      <c r="AF19" s="411" t="s">
        <v>745</v>
      </c>
      <c r="AG19" s="412" t="s">
        <v>746</v>
      </c>
      <c r="AH19" s="413" t="s">
        <v>738</v>
      </c>
      <c r="AI19" s="414">
        <v>1</v>
      </c>
      <c r="AJ19" s="415">
        <v>1</v>
      </c>
      <c r="AK19" s="416">
        <v>1</v>
      </c>
      <c r="AL19" s="415">
        <v>1</v>
      </c>
      <c r="AM19" s="416">
        <v>1</v>
      </c>
      <c r="AN19" s="415">
        <v>1</v>
      </c>
      <c r="AO19" s="416">
        <v>1</v>
      </c>
      <c r="AP19" s="415">
        <v>1</v>
      </c>
      <c r="AQ19" s="416">
        <v>1</v>
      </c>
      <c r="AR19" s="417">
        <v>1</v>
      </c>
    </row>
    <row r="20" spans="1:44" outlineLevel="1">
      <c r="B20" s="376" t="s">
        <v>664</v>
      </c>
      <c r="C20" s="390">
        <v>0.1</v>
      </c>
      <c r="D20" s="390">
        <v>0.1</v>
      </c>
      <c r="E20" s="390">
        <v>0.1</v>
      </c>
      <c r="F20" s="390">
        <v>0.1</v>
      </c>
      <c r="G20" s="418"/>
      <c r="H20" s="418"/>
      <c r="I20" s="418"/>
      <c r="J20" s="418"/>
      <c r="K20" s="419"/>
      <c r="L20" s="380">
        <v>3</v>
      </c>
      <c r="M20" s="363"/>
      <c r="N20" s="363"/>
    </row>
    <row r="21" spans="1:44" outlineLevel="1">
      <c r="B21" s="376" t="s">
        <v>666</v>
      </c>
      <c r="C21" s="390">
        <v>0.4</v>
      </c>
      <c r="D21" s="390">
        <v>0.4</v>
      </c>
      <c r="E21" s="390">
        <v>0.4</v>
      </c>
      <c r="F21" s="390">
        <v>0.4</v>
      </c>
      <c r="G21" s="418"/>
      <c r="H21" s="418"/>
      <c r="I21" s="418"/>
      <c r="J21" s="418"/>
      <c r="K21" s="419"/>
      <c r="L21" s="380">
        <v>3</v>
      </c>
      <c r="M21" s="420"/>
      <c r="N21" s="363"/>
    </row>
    <row r="22" spans="1:44" outlineLevel="1">
      <c r="B22" s="421" t="s">
        <v>12</v>
      </c>
      <c r="C22" s="399"/>
      <c r="D22" s="399"/>
      <c r="E22" s="399"/>
      <c r="F22" s="399"/>
      <c r="G22" s="422"/>
      <c r="H22" s="422"/>
      <c r="I22" s="422"/>
      <c r="J22" s="422"/>
      <c r="K22" s="423"/>
      <c r="L22" s="424"/>
      <c r="M22" s="420"/>
      <c r="N22" s="420"/>
    </row>
    <row r="23" spans="1:44" ht="16" outlineLevel="1">
      <c r="B23" s="383" t="s">
        <v>747</v>
      </c>
      <c r="C23" s="397">
        <v>0.5</v>
      </c>
      <c r="D23" s="397">
        <v>0.5</v>
      </c>
      <c r="E23" s="397">
        <v>0.5</v>
      </c>
      <c r="F23" s="397">
        <v>0.5</v>
      </c>
      <c r="G23" s="422"/>
      <c r="H23" s="425"/>
      <c r="I23" s="425"/>
      <c r="J23" s="425"/>
      <c r="K23" s="426" t="s">
        <v>76</v>
      </c>
      <c r="L23" s="427" t="s">
        <v>748</v>
      </c>
      <c r="M23" s="428"/>
      <c r="N23" s="428"/>
    </row>
    <row r="24" spans="1:44" outlineLevel="1">
      <c r="B24" s="383" t="s">
        <v>749</v>
      </c>
      <c r="C24" s="397">
        <v>0.1</v>
      </c>
      <c r="D24" s="397">
        <v>0.1</v>
      </c>
      <c r="E24" s="397">
        <v>0.1</v>
      </c>
      <c r="F24" s="397">
        <v>0.1</v>
      </c>
      <c r="G24" s="425"/>
      <c r="H24" s="425"/>
      <c r="I24" s="425"/>
      <c r="J24" s="425"/>
      <c r="K24" s="423"/>
      <c r="L24" s="427">
        <v>9</v>
      </c>
      <c r="M24" s="428"/>
      <c r="N24" s="428"/>
    </row>
    <row r="25" spans="1:44" ht="16" outlineLevel="1">
      <c r="B25" s="383" t="s">
        <v>750</v>
      </c>
      <c r="C25" s="397">
        <v>25</v>
      </c>
      <c r="D25" s="397">
        <v>20</v>
      </c>
      <c r="E25" s="397">
        <v>18</v>
      </c>
      <c r="F25" s="397">
        <v>15</v>
      </c>
      <c r="G25" s="425"/>
      <c r="H25" s="425"/>
      <c r="I25" s="425"/>
      <c r="J25" s="425"/>
      <c r="K25" s="423"/>
      <c r="L25" s="427" t="s">
        <v>748</v>
      </c>
      <c r="M25" s="428"/>
      <c r="N25" s="428"/>
      <c r="T25" s="224">
        <f>C$23</f>
        <v>0.5</v>
      </c>
      <c r="U25" s="224">
        <f t="shared" ref="U25:V25" si="0">D$23</f>
        <v>0.5</v>
      </c>
      <c r="V25" s="224">
        <f t="shared" si="0"/>
        <v>0.5</v>
      </c>
    </row>
    <row r="26" spans="1:44" outlineLevel="1">
      <c r="B26" s="383" t="s">
        <v>366</v>
      </c>
      <c r="C26" s="397">
        <v>0</v>
      </c>
      <c r="D26" s="397">
        <v>0</v>
      </c>
      <c r="E26" s="397">
        <v>0</v>
      </c>
      <c r="F26" s="397">
        <v>0</v>
      </c>
      <c r="G26" s="425"/>
      <c r="H26" s="425"/>
      <c r="I26" s="425"/>
      <c r="J26" s="425"/>
      <c r="K26" s="423"/>
      <c r="L26" s="427" t="s">
        <v>748</v>
      </c>
      <c r="M26" s="428"/>
      <c r="N26" s="428"/>
    </row>
    <row r="27" spans="1:44" ht="16" outlineLevel="1" thickBot="1">
      <c r="B27" s="429" t="s">
        <v>367</v>
      </c>
      <c r="C27" s="430">
        <v>0</v>
      </c>
      <c r="D27" s="430">
        <v>0</v>
      </c>
      <c r="E27" s="430">
        <v>0</v>
      </c>
      <c r="F27" s="430">
        <v>0</v>
      </c>
      <c r="G27" s="425"/>
      <c r="H27" s="425"/>
      <c r="I27" s="425"/>
      <c r="J27" s="425"/>
      <c r="K27" s="423"/>
      <c r="L27" s="427" t="s">
        <v>748</v>
      </c>
      <c r="M27" s="428"/>
      <c r="N27" s="428"/>
    </row>
    <row r="28" spans="1:44" ht="16" outlineLevel="1" thickBot="1">
      <c r="B28" s="431" t="s">
        <v>674</v>
      </c>
      <c r="C28" s="432"/>
      <c r="D28" s="403"/>
      <c r="E28" s="403"/>
      <c r="F28" s="433"/>
      <c r="G28" s="434"/>
      <c r="H28" s="406"/>
      <c r="I28" s="406"/>
      <c r="J28" s="406"/>
      <c r="K28" s="407"/>
      <c r="L28" s="408"/>
      <c r="M28" s="428"/>
      <c r="N28" s="428"/>
    </row>
    <row r="29" spans="1:44" ht="52" customHeight="1" outlineLevel="1">
      <c r="A29" s="435"/>
      <c r="B29" s="436" t="s">
        <v>751</v>
      </c>
      <c r="C29" s="437">
        <v>5.5E-2</v>
      </c>
      <c r="D29" s="438">
        <v>4.6576380486507002E-2</v>
      </c>
      <c r="E29" s="438">
        <v>4.4600000000000001E-2</v>
      </c>
      <c r="F29" s="439">
        <v>4.4045618468049198E-2</v>
      </c>
      <c r="G29" s="425"/>
      <c r="H29" s="425"/>
      <c r="I29" s="425"/>
      <c r="J29" s="425"/>
      <c r="K29" s="426" t="s">
        <v>752</v>
      </c>
      <c r="L29" s="440" t="s">
        <v>753</v>
      </c>
      <c r="M29" s="420"/>
      <c r="N29" s="420"/>
    </row>
    <row r="30" spans="1:44" outlineLevel="1">
      <c r="B30" s="441" t="s">
        <v>754</v>
      </c>
      <c r="C30" s="442">
        <v>60</v>
      </c>
      <c r="D30" s="443">
        <v>60</v>
      </c>
      <c r="E30" s="443">
        <v>60</v>
      </c>
      <c r="F30" s="443">
        <v>60</v>
      </c>
      <c r="G30" s="425"/>
      <c r="H30" s="425"/>
      <c r="I30" s="425"/>
      <c r="J30" s="425"/>
      <c r="K30" s="444"/>
      <c r="L30" s="373">
        <v>3</v>
      </c>
      <c r="M30" s="71"/>
      <c r="N30" s="420"/>
    </row>
    <row r="31" spans="1:44" outlineLevel="1">
      <c r="B31" s="441" t="s">
        <v>755</v>
      </c>
      <c r="C31" s="442">
        <v>40</v>
      </c>
      <c r="D31" s="442">
        <v>40</v>
      </c>
      <c r="E31" s="442">
        <v>40</v>
      </c>
      <c r="F31" s="442">
        <v>40</v>
      </c>
      <c r="G31" s="425"/>
      <c r="H31" s="425"/>
      <c r="I31" s="425"/>
      <c r="J31" s="425"/>
      <c r="K31" s="444"/>
      <c r="L31" s="373">
        <v>3</v>
      </c>
      <c r="M31" s="420"/>
      <c r="N31" s="420"/>
    </row>
    <row r="32" spans="1:44" outlineLevel="1">
      <c r="B32" s="383" t="s">
        <v>756</v>
      </c>
      <c r="C32" s="445">
        <v>1.8</v>
      </c>
      <c r="D32" s="446">
        <v>1.7</v>
      </c>
      <c r="E32" s="446">
        <v>1.6</v>
      </c>
      <c r="F32" s="447">
        <v>1.5</v>
      </c>
      <c r="G32" s="425"/>
      <c r="H32" s="425"/>
      <c r="I32" s="425"/>
      <c r="J32" s="425"/>
      <c r="K32" s="448"/>
      <c r="L32" s="373">
        <v>3</v>
      </c>
      <c r="M32" s="420"/>
      <c r="N32" s="420"/>
    </row>
    <row r="33" spans="1:30" ht="37" customHeight="1" outlineLevel="1" thickBot="1">
      <c r="B33" s="383" t="s">
        <v>757</v>
      </c>
      <c r="C33" s="449">
        <f>1/3.6</f>
        <v>0.27777777777777779</v>
      </c>
      <c r="D33" s="449">
        <f>0.9/3.6</f>
        <v>0.25</v>
      </c>
      <c r="E33" s="449">
        <f>0.9/3.6</f>
        <v>0.25</v>
      </c>
      <c r="F33" s="449">
        <f>0.9/3.6</f>
        <v>0.25</v>
      </c>
      <c r="G33" s="425"/>
      <c r="H33" s="425"/>
      <c r="I33" s="425"/>
      <c r="J33" s="425"/>
      <c r="K33" s="448"/>
      <c r="L33" s="373">
        <v>3</v>
      </c>
      <c r="M33" s="450"/>
      <c r="N33" s="361"/>
      <c r="P33" s="1142">
        <f>C33</f>
        <v>0.27777777777777779</v>
      </c>
      <c r="Q33" s="1143"/>
      <c r="R33" s="1143"/>
      <c r="S33" s="1143"/>
      <c r="T33" s="1143"/>
      <c r="U33" s="1144"/>
    </row>
    <row r="34" spans="1:30" ht="15.75" customHeight="1" outlineLevel="1" thickBot="1">
      <c r="A34" s="224" t="s">
        <v>996</v>
      </c>
      <c r="B34" s="451" t="s">
        <v>758</v>
      </c>
      <c r="C34" s="452">
        <v>0.10220000000000001</v>
      </c>
      <c r="D34" s="452">
        <v>0.09</v>
      </c>
      <c r="E34" s="452">
        <v>8.3600000000000008E-2</v>
      </c>
      <c r="F34" s="452">
        <v>7.5999999999999998E-2</v>
      </c>
      <c r="G34" s="453"/>
      <c r="H34" s="453"/>
      <c r="I34" s="453"/>
      <c r="J34" s="453"/>
      <c r="K34" s="379" t="s">
        <v>52</v>
      </c>
      <c r="L34" s="380">
        <v>3</v>
      </c>
      <c r="M34" s="450"/>
      <c r="N34" s="361"/>
      <c r="P34" s="1134">
        <f>C34</f>
        <v>0.10220000000000001</v>
      </c>
      <c r="Q34" s="1135"/>
      <c r="R34" s="1135"/>
      <c r="S34" s="1135"/>
      <c r="T34" s="1135"/>
      <c r="U34" s="1136"/>
    </row>
    <row r="35" spans="1:30" outlineLevel="1">
      <c r="B35" s="451" t="s">
        <v>759</v>
      </c>
      <c r="C35" s="454">
        <v>0.89779999999999993</v>
      </c>
      <c r="D35" s="454">
        <v>0.81</v>
      </c>
      <c r="E35" s="454">
        <v>0.81640000000000001</v>
      </c>
      <c r="F35" s="454">
        <v>0.82400000000000007</v>
      </c>
      <c r="G35" s="453"/>
      <c r="H35" s="453"/>
      <c r="I35" s="453"/>
      <c r="J35" s="453"/>
      <c r="K35" s="455"/>
      <c r="L35" s="380">
        <v>3</v>
      </c>
      <c r="M35" s="363"/>
      <c r="N35" s="363"/>
      <c r="P35" s="53" t="s">
        <v>357</v>
      </c>
    </row>
    <row r="36" spans="1:30" ht="30" outlineLevel="1">
      <c r="B36" s="441"/>
      <c r="C36" s="456"/>
      <c r="D36" s="456"/>
      <c r="E36" s="456"/>
      <c r="F36" s="456"/>
      <c r="G36" s="425"/>
      <c r="H36" s="425"/>
      <c r="I36" s="425"/>
      <c r="J36" s="425"/>
      <c r="K36" s="444"/>
      <c r="L36" s="424"/>
      <c r="M36" s="367"/>
      <c r="N36" s="367"/>
      <c r="P36" s="46" t="s">
        <v>335</v>
      </c>
      <c r="Q36" s="46" t="s">
        <v>336</v>
      </c>
      <c r="R36" s="47" t="s">
        <v>337</v>
      </c>
      <c r="S36" s="47" t="s">
        <v>338</v>
      </c>
      <c r="T36" s="47" t="s">
        <v>339</v>
      </c>
      <c r="U36" s="48" t="s">
        <v>340</v>
      </c>
      <c r="V36" s="49" t="s">
        <v>341</v>
      </c>
      <c r="W36" s="49" t="s">
        <v>342</v>
      </c>
      <c r="X36" s="49" t="s">
        <v>343</v>
      </c>
      <c r="Y36" s="49" t="s">
        <v>344</v>
      </c>
      <c r="Z36" s="49" t="s">
        <v>345</v>
      </c>
      <c r="AA36" s="49" t="s">
        <v>346</v>
      </c>
      <c r="AB36" s="49" t="s">
        <v>347</v>
      </c>
      <c r="AC36" s="49" t="s">
        <v>348</v>
      </c>
      <c r="AD36" s="49" t="s">
        <v>349</v>
      </c>
    </row>
    <row r="37" spans="1:30" ht="35" customHeight="1" outlineLevel="1" thickBot="1">
      <c r="B37" s="441"/>
      <c r="C37" s="442"/>
      <c r="D37" s="457"/>
      <c r="E37" s="457"/>
      <c r="F37" s="458"/>
      <c r="G37" s="425"/>
      <c r="H37" s="425"/>
      <c r="I37" s="425"/>
      <c r="J37" s="425"/>
      <c r="K37" s="448"/>
      <c r="L37" s="424"/>
      <c r="M37" s="363"/>
      <c r="N37" s="363"/>
      <c r="P37" s="50"/>
      <c r="Q37" s="50"/>
      <c r="R37" s="51"/>
      <c r="S37" s="51"/>
      <c r="T37" s="51"/>
      <c r="U37" s="51" t="s">
        <v>760</v>
      </c>
      <c r="V37" s="50" t="s">
        <v>761</v>
      </c>
      <c r="W37" s="50"/>
      <c r="X37" s="50"/>
      <c r="Y37" s="50"/>
      <c r="Z37" s="50"/>
      <c r="AA37" s="50"/>
      <c r="AB37" s="50"/>
      <c r="AC37" s="50"/>
      <c r="AD37" s="50"/>
    </row>
    <row r="38" spans="1:30" ht="73" customHeight="1" outlineLevel="1" thickBot="1">
      <c r="B38" s="401" t="s">
        <v>682</v>
      </c>
      <c r="C38" s="402"/>
      <c r="D38" s="403"/>
      <c r="E38" s="404"/>
      <c r="F38" s="405"/>
      <c r="G38" s="406"/>
      <c r="H38" s="406"/>
      <c r="I38" s="406"/>
      <c r="J38" s="406"/>
      <c r="K38" s="459"/>
      <c r="L38" s="460"/>
      <c r="M38" s="363"/>
      <c r="N38" s="363"/>
      <c r="O38" s="461" t="s">
        <v>732</v>
      </c>
      <c r="P38" s="56"/>
      <c r="Q38" s="56"/>
      <c r="R38" s="57"/>
      <c r="S38" s="57"/>
      <c r="T38" s="57"/>
      <c r="U38" s="56" t="s">
        <v>350</v>
      </c>
      <c r="V38" s="56" t="s">
        <v>326</v>
      </c>
      <c r="W38" s="56" t="s">
        <v>327</v>
      </c>
      <c r="X38" s="56" t="s">
        <v>351</v>
      </c>
      <c r="Y38" s="56" t="s">
        <v>351</v>
      </c>
      <c r="Z38" s="56" t="s">
        <v>352</v>
      </c>
      <c r="AA38" s="56" t="s">
        <v>352</v>
      </c>
      <c r="AB38" s="56" t="s">
        <v>352</v>
      </c>
      <c r="AC38" s="56" t="s">
        <v>352</v>
      </c>
      <c r="AD38" s="56" t="s">
        <v>352</v>
      </c>
    </row>
    <row r="39" spans="1:30" outlineLevel="1">
      <c r="B39" s="451" t="s">
        <v>762</v>
      </c>
      <c r="C39" s="462" t="s">
        <v>36</v>
      </c>
      <c r="D39" s="462" t="s">
        <v>36</v>
      </c>
      <c r="E39" s="462" t="s">
        <v>36</v>
      </c>
      <c r="F39" s="462" t="s">
        <v>36</v>
      </c>
      <c r="G39" s="463"/>
      <c r="H39" s="463"/>
      <c r="I39" s="463"/>
      <c r="J39" s="463"/>
      <c r="K39" s="463" t="s">
        <v>55</v>
      </c>
      <c r="L39" s="464"/>
      <c r="M39" s="363"/>
      <c r="N39" s="363"/>
      <c r="O39" s="465">
        <f>C12</f>
        <v>94</v>
      </c>
      <c r="P39" s="466">
        <f>C8</f>
        <v>2020</v>
      </c>
      <c r="Q39" s="58">
        <f>P39</f>
        <v>2020</v>
      </c>
      <c r="R39" s="466">
        <f>O39/100</f>
        <v>0.94</v>
      </c>
      <c r="S39" s="58"/>
      <c r="T39" s="466">
        <f>C16</f>
        <v>25</v>
      </c>
      <c r="U39" s="467">
        <f>C46</f>
        <v>409.75</v>
      </c>
      <c r="V39" s="467">
        <f>C48</f>
        <v>13.41</v>
      </c>
      <c r="W39" s="467">
        <f>C49</f>
        <v>2.0694444444444446</v>
      </c>
      <c r="X39" s="58"/>
      <c r="Y39" s="58"/>
      <c r="Z39" s="466">
        <f>C23</f>
        <v>0.5</v>
      </c>
      <c r="AA39" s="468">
        <f>C25</f>
        <v>25</v>
      </c>
      <c r="AB39" s="468">
        <f>C26</f>
        <v>0</v>
      </c>
      <c r="AC39" s="468">
        <f>C27</f>
        <v>0</v>
      </c>
      <c r="AD39" s="468">
        <f>C24</f>
        <v>0.1</v>
      </c>
    </row>
    <row r="40" spans="1:30" ht="14.5" customHeight="1" outlineLevel="1">
      <c r="B40" s="376" t="s">
        <v>763</v>
      </c>
      <c r="C40" s="469" t="s">
        <v>36</v>
      </c>
      <c r="D40" s="470" t="s">
        <v>36</v>
      </c>
      <c r="E40" s="470" t="s">
        <v>36</v>
      </c>
      <c r="F40" s="471" t="s">
        <v>36</v>
      </c>
      <c r="G40" s="471"/>
      <c r="H40" s="471"/>
      <c r="I40" s="471"/>
      <c r="J40" s="471"/>
      <c r="K40" s="472" t="s">
        <v>55</v>
      </c>
      <c r="L40" s="464"/>
      <c r="M40" s="363"/>
      <c r="N40" s="363"/>
      <c r="O40" s="465">
        <f>D12</f>
        <v>95</v>
      </c>
      <c r="P40" s="466">
        <f>D8</f>
        <v>2030</v>
      </c>
      <c r="Q40" s="58"/>
      <c r="R40" s="466">
        <f>O40/100</f>
        <v>0.95</v>
      </c>
      <c r="S40" s="58"/>
      <c r="T40" s="466">
        <f>D16</f>
        <v>25</v>
      </c>
      <c r="U40" s="467">
        <f>D46</f>
        <v>346.99403462447719</v>
      </c>
      <c r="V40" s="467">
        <f>D48</f>
        <v>12.664999999999999</v>
      </c>
      <c r="W40" s="467">
        <f>D49</f>
        <v>1.8625</v>
      </c>
      <c r="X40" s="58"/>
      <c r="Y40" s="58"/>
      <c r="Z40" s="466">
        <f>D23</f>
        <v>0.5</v>
      </c>
      <c r="AA40" s="468">
        <f>D25</f>
        <v>20</v>
      </c>
      <c r="AB40" s="468">
        <f>D26</f>
        <v>0</v>
      </c>
      <c r="AC40" s="468">
        <f>D27</f>
        <v>0</v>
      </c>
      <c r="AD40" s="468">
        <f>D24</f>
        <v>0.1</v>
      </c>
    </row>
    <row r="41" spans="1:30" outlineLevel="1">
      <c r="B41" s="376" t="s">
        <v>764</v>
      </c>
      <c r="C41" s="469" t="s">
        <v>36</v>
      </c>
      <c r="D41" s="470" t="s">
        <v>36</v>
      </c>
      <c r="E41" s="470" t="s">
        <v>36</v>
      </c>
      <c r="F41" s="471" t="s">
        <v>36</v>
      </c>
      <c r="G41" s="453"/>
      <c r="H41" s="453"/>
      <c r="I41" s="453"/>
      <c r="J41" s="453"/>
      <c r="K41" s="453"/>
      <c r="L41" s="380"/>
      <c r="M41" s="363"/>
      <c r="N41" s="363"/>
      <c r="O41" s="465">
        <f>E12</f>
        <v>96</v>
      </c>
      <c r="P41" s="466">
        <f>E8</f>
        <v>2040</v>
      </c>
      <c r="Q41" s="58"/>
      <c r="R41" s="466">
        <f>O41/100</f>
        <v>0.96</v>
      </c>
      <c r="S41" s="58"/>
      <c r="T41" s="466">
        <f>E16</f>
        <v>25</v>
      </c>
      <c r="U41" s="467">
        <f>E46</f>
        <v>332.27</v>
      </c>
      <c r="V41" s="467">
        <f>E48</f>
        <v>11.920000000000002</v>
      </c>
      <c r="W41" s="467">
        <f>E49</f>
        <v>1.8625</v>
      </c>
      <c r="X41" s="58"/>
      <c r="Y41" s="58"/>
      <c r="Z41" s="466">
        <f>E23</f>
        <v>0.5</v>
      </c>
      <c r="AA41" s="468">
        <f>E25</f>
        <v>18</v>
      </c>
      <c r="AB41" s="468">
        <f>E26</f>
        <v>0</v>
      </c>
      <c r="AC41" s="468">
        <f>E27</f>
        <v>0</v>
      </c>
      <c r="AD41" s="468">
        <f>E24</f>
        <v>0.1</v>
      </c>
    </row>
    <row r="42" spans="1:30" outlineLevel="1">
      <c r="B42" s="376" t="s">
        <v>765</v>
      </c>
      <c r="C42" s="473">
        <v>90</v>
      </c>
      <c r="D42" s="473">
        <v>90</v>
      </c>
      <c r="E42" s="473">
        <v>90</v>
      </c>
      <c r="F42" s="473">
        <v>90</v>
      </c>
      <c r="G42" s="474"/>
      <c r="H42" s="474"/>
      <c r="I42" s="474"/>
      <c r="J42" s="474"/>
      <c r="K42" s="474"/>
      <c r="L42" s="380">
        <v>3</v>
      </c>
      <c r="M42" s="363"/>
      <c r="N42" s="363"/>
      <c r="O42" s="465">
        <f>F12</f>
        <v>96</v>
      </c>
      <c r="P42" s="466">
        <f>F8</f>
        <v>2050</v>
      </c>
      <c r="Q42" s="58"/>
      <c r="R42" s="466">
        <f>O42/100</f>
        <v>0.96</v>
      </c>
      <c r="S42" s="58"/>
      <c r="T42" s="466">
        <f>F16</f>
        <v>25</v>
      </c>
      <c r="U42" s="467">
        <f>F46</f>
        <v>328.13985758696651</v>
      </c>
      <c r="V42" s="467">
        <f>F48</f>
        <v>11.175000000000001</v>
      </c>
      <c r="W42" s="467">
        <f>F49</f>
        <v>1.8625</v>
      </c>
      <c r="X42" s="58"/>
      <c r="Y42" s="58"/>
      <c r="Z42" s="466">
        <f>F23</f>
        <v>0.5</v>
      </c>
      <c r="AA42" s="468">
        <f>F25</f>
        <v>15</v>
      </c>
      <c r="AB42" s="468">
        <f>F26</f>
        <v>0</v>
      </c>
      <c r="AC42" s="468">
        <f>F27</f>
        <v>0</v>
      </c>
      <c r="AD42" s="468">
        <f>F24</f>
        <v>0.1</v>
      </c>
    </row>
    <row r="43" spans="1:30" outlineLevel="1">
      <c r="B43" s="475" t="s">
        <v>766</v>
      </c>
      <c r="C43" s="469" t="s">
        <v>36</v>
      </c>
      <c r="D43" s="470" t="s">
        <v>36</v>
      </c>
      <c r="E43" s="470" t="s">
        <v>36</v>
      </c>
      <c r="F43" s="471" t="s">
        <v>36</v>
      </c>
      <c r="G43" s="474"/>
      <c r="H43" s="474"/>
      <c r="I43" s="474"/>
      <c r="J43" s="474"/>
      <c r="K43" s="474"/>
      <c r="L43" s="476"/>
      <c r="M43" s="367"/>
      <c r="N43" s="367"/>
    </row>
    <row r="44" spans="1:30" outlineLevel="1">
      <c r="B44" s="475" t="s">
        <v>767</v>
      </c>
      <c r="C44" s="469" t="s">
        <v>36</v>
      </c>
      <c r="D44" s="470" t="s">
        <v>36</v>
      </c>
      <c r="E44" s="470" t="s">
        <v>36</v>
      </c>
      <c r="F44" s="471" t="s">
        <v>36</v>
      </c>
      <c r="G44" s="474"/>
      <c r="H44" s="474"/>
      <c r="I44" s="474"/>
      <c r="J44" s="474"/>
      <c r="K44" s="474"/>
      <c r="L44" s="476"/>
      <c r="M44" s="363"/>
      <c r="N44" s="363"/>
    </row>
    <row r="45" spans="1:30" ht="16" outlineLevel="1" thickBot="1">
      <c r="B45" s="477" t="s">
        <v>768</v>
      </c>
      <c r="C45" s="478" t="s">
        <v>36</v>
      </c>
      <c r="D45" s="479" t="s">
        <v>36</v>
      </c>
      <c r="E45" s="479" t="s">
        <v>36</v>
      </c>
      <c r="F45" s="480" t="s">
        <v>36</v>
      </c>
      <c r="G45" s="481"/>
      <c r="H45" s="481"/>
      <c r="I45" s="481"/>
      <c r="J45" s="481"/>
      <c r="K45" s="481"/>
      <c r="L45" s="482"/>
      <c r="M45" s="363"/>
      <c r="N45" s="363"/>
    </row>
    <row r="46" spans="1:30" ht="64" outlineLevel="1">
      <c r="B46" s="461" t="s">
        <v>769</v>
      </c>
      <c r="C46" s="483">
        <f>C29*$F$4*1000</f>
        <v>409.75</v>
      </c>
      <c r="D46" s="483">
        <f t="shared" ref="D46:F46" si="1">D29*$F$4*1000</f>
        <v>346.99403462447719</v>
      </c>
      <c r="E46" s="483">
        <f t="shared" si="1"/>
        <v>332.27</v>
      </c>
      <c r="F46" s="483">
        <f t="shared" si="1"/>
        <v>328.13985758696651</v>
      </c>
      <c r="G46" s="483"/>
      <c r="H46" s="484"/>
      <c r="I46" s="420" t="s">
        <v>332</v>
      </c>
      <c r="J46" s="420"/>
      <c r="K46" s="484"/>
      <c r="L46" s="484"/>
      <c r="N46" s="420"/>
    </row>
    <row r="47" spans="1:30" outlineLevel="1">
      <c r="B47" s="485" t="s">
        <v>770</v>
      </c>
      <c r="C47" s="486">
        <f>C46*$I47</f>
        <v>204875</v>
      </c>
      <c r="D47" s="486">
        <f>D46*$I47</f>
        <v>173497.0173122386</v>
      </c>
      <c r="E47" s="486">
        <f>E46*$I47</f>
        <v>166135</v>
      </c>
      <c r="F47" s="486">
        <f>F46*$I47</f>
        <v>164069.92879348327</v>
      </c>
      <c r="G47" s="486"/>
      <c r="H47" s="484"/>
      <c r="I47" s="71">
        <v>500</v>
      </c>
      <c r="J47" s="420" t="s">
        <v>330</v>
      </c>
      <c r="K47" s="484"/>
      <c r="L47" s="484"/>
      <c r="N47" s="420"/>
    </row>
    <row r="48" spans="1:30" ht="48" outlineLevel="1">
      <c r="B48" s="461" t="s">
        <v>771</v>
      </c>
      <c r="C48" s="359">
        <f>C32*$F$4</f>
        <v>13.41</v>
      </c>
      <c r="D48" s="359">
        <f t="shared" ref="D48:F49" si="2">D32*$F$4</f>
        <v>12.664999999999999</v>
      </c>
      <c r="E48" s="359">
        <f t="shared" si="2"/>
        <v>11.920000000000002</v>
      </c>
      <c r="F48" s="359">
        <f t="shared" si="2"/>
        <v>11.175000000000001</v>
      </c>
      <c r="G48" s="359"/>
      <c r="I48" s="420" t="s">
        <v>333</v>
      </c>
      <c r="J48" s="420"/>
      <c r="N48" s="420"/>
    </row>
    <row r="49" spans="2:14" ht="48" outlineLevel="1">
      <c r="B49" s="461" t="s">
        <v>772</v>
      </c>
      <c r="C49" s="487">
        <f>C33*$F$4</f>
        <v>2.0694444444444446</v>
      </c>
      <c r="D49" s="487">
        <f t="shared" si="2"/>
        <v>1.8625</v>
      </c>
      <c r="E49" s="487">
        <f t="shared" si="2"/>
        <v>1.8625</v>
      </c>
      <c r="F49" s="487">
        <f t="shared" si="2"/>
        <v>1.8625</v>
      </c>
      <c r="G49" s="359"/>
      <c r="M49" s="420"/>
      <c r="N49" s="420"/>
    </row>
    <row r="50" spans="2:14" outlineLevel="1"/>
    <row r="51" spans="2:14" outlineLevel="1"/>
    <row r="52" spans="2:14" outlineLevel="1"/>
    <row r="53" spans="2:14" outlineLevel="1"/>
    <row r="54" spans="2:14" outlineLevel="1">
      <c r="B54" s="488" t="s">
        <v>773</v>
      </c>
      <c r="C54" s="489"/>
      <c r="D54" s="490"/>
      <c r="E54" s="490"/>
      <c r="F54" s="490"/>
    </row>
    <row r="55" spans="2:14" outlineLevel="1">
      <c r="B55" s="491">
        <v>1</v>
      </c>
      <c r="C55" s="492" t="s">
        <v>774</v>
      </c>
      <c r="E55" s="490"/>
      <c r="F55" s="490"/>
    </row>
    <row r="56" spans="2:14" outlineLevel="1">
      <c r="B56" s="491">
        <v>2</v>
      </c>
      <c r="C56" s="493" t="s">
        <v>775</v>
      </c>
      <c r="E56" s="490"/>
      <c r="F56" s="490"/>
    </row>
    <row r="57" spans="2:14" outlineLevel="1">
      <c r="B57" s="491">
        <v>3</v>
      </c>
      <c r="C57" s="493" t="s">
        <v>776</v>
      </c>
      <c r="E57" s="490"/>
      <c r="F57" s="490"/>
    </row>
    <row r="58" spans="2:14" outlineLevel="1">
      <c r="B58" s="491">
        <v>4</v>
      </c>
      <c r="C58" s="493" t="s">
        <v>777</v>
      </c>
      <c r="E58" s="490"/>
      <c r="F58" s="490"/>
    </row>
    <row r="59" spans="2:14" outlineLevel="1">
      <c r="B59" s="358">
        <v>5</v>
      </c>
      <c r="C59" s="494" t="s">
        <v>778</v>
      </c>
      <c r="D59" s="490"/>
      <c r="E59" s="490"/>
      <c r="F59" s="490"/>
    </row>
    <row r="60" spans="2:14" outlineLevel="1">
      <c r="B60" s="358">
        <v>6</v>
      </c>
      <c r="C60" s="492" t="s">
        <v>779</v>
      </c>
      <c r="D60" s="490"/>
      <c r="E60" s="490"/>
      <c r="F60" s="490"/>
    </row>
    <row r="61" spans="2:14" outlineLevel="1">
      <c r="B61" s="358">
        <v>7</v>
      </c>
      <c r="C61" s="495" t="s">
        <v>774</v>
      </c>
      <c r="D61" s="490"/>
      <c r="E61" s="490"/>
      <c r="F61" s="490"/>
    </row>
    <row r="62" spans="2:14" outlineLevel="1">
      <c r="B62" s="358">
        <v>8</v>
      </c>
      <c r="C62" s="495" t="s">
        <v>780</v>
      </c>
      <c r="D62" s="490"/>
      <c r="E62" s="490"/>
      <c r="F62" s="490"/>
    </row>
    <row r="63" spans="2:14" outlineLevel="1">
      <c r="B63" s="358">
        <v>9</v>
      </c>
      <c r="C63" s="489" t="s">
        <v>781</v>
      </c>
      <c r="D63" s="490"/>
      <c r="E63" s="490"/>
      <c r="F63" s="490"/>
    </row>
    <row r="64" spans="2:14" outlineLevel="1">
      <c r="B64" s="358">
        <v>10</v>
      </c>
      <c r="C64" s="490" t="s">
        <v>782</v>
      </c>
      <c r="D64" s="490"/>
      <c r="E64" s="490"/>
      <c r="F64" s="490"/>
    </row>
    <row r="65" spans="2:6" outlineLevel="1">
      <c r="B65" s="488" t="s">
        <v>783</v>
      </c>
      <c r="C65" s="489"/>
      <c r="D65" s="490"/>
      <c r="E65" s="490"/>
      <c r="F65" s="490"/>
    </row>
    <row r="66" spans="2:6" outlineLevel="1">
      <c r="B66" s="496" t="s">
        <v>6</v>
      </c>
      <c r="C66" s="497" t="s">
        <v>784</v>
      </c>
      <c r="E66" s="490"/>
      <c r="F66" s="490"/>
    </row>
    <row r="67" spans="2:6" outlineLevel="1">
      <c r="B67" s="496" t="s">
        <v>59</v>
      </c>
      <c r="C67" s="489" t="s">
        <v>785</v>
      </c>
      <c r="E67" s="490"/>
      <c r="F67" s="490"/>
    </row>
    <row r="68" spans="2:6" outlineLevel="1">
      <c r="B68" s="496" t="s">
        <v>16</v>
      </c>
      <c r="C68" s="489" t="s">
        <v>786</v>
      </c>
      <c r="E68" s="490"/>
      <c r="F68" s="490"/>
    </row>
    <row r="69" spans="2:6" outlineLevel="1">
      <c r="B69" s="496" t="s">
        <v>20</v>
      </c>
      <c r="C69" s="489" t="s">
        <v>787</v>
      </c>
      <c r="E69" s="490"/>
      <c r="F69" s="490"/>
    </row>
    <row r="70" spans="2:6" outlineLevel="1">
      <c r="B70" s="496" t="s">
        <v>76</v>
      </c>
      <c r="C70" s="498" t="s">
        <v>788</v>
      </c>
      <c r="E70" s="490"/>
      <c r="F70" s="490"/>
    </row>
    <row r="71" spans="2:6" outlineLevel="1">
      <c r="B71" s="496" t="s">
        <v>25</v>
      </c>
      <c r="C71" s="489" t="s">
        <v>789</v>
      </c>
      <c r="E71" s="490"/>
      <c r="F71" s="490"/>
    </row>
    <row r="72" spans="2:6" outlineLevel="1"/>
    <row r="73" spans="2:6" outlineLevel="1"/>
    <row r="74" spans="2:6" outlineLevel="1"/>
    <row r="75" spans="2:6" outlineLevel="1"/>
    <row r="76" spans="2:6" outlineLevel="1"/>
    <row r="77" spans="2:6" outlineLevel="1"/>
    <row r="78" spans="2:6" outlineLevel="1"/>
    <row r="79" spans="2:6" outlineLevel="1"/>
    <row r="80" spans="2:6" outlineLevel="1"/>
    <row r="81" spans="1:44" outlineLevel="1"/>
    <row r="84" spans="1:44">
      <c r="A84" s="360" t="s">
        <v>790</v>
      </c>
      <c r="B84" s="1207"/>
      <c r="C84" s="1143"/>
      <c r="D84" s="1143"/>
      <c r="E84" s="1143"/>
      <c r="F84" s="1143"/>
      <c r="G84" s="1143"/>
      <c r="H84" s="1143"/>
      <c r="I84" s="1143"/>
      <c r="J84" s="1143"/>
      <c r="K84" s="1143"/>
      <c r="L84" s="1143"/>
      <c r="M84" s="1143"/>
      <c r="N84" s="361"/>
      <c r="P84" s="1143"/>
      <c r="Q84" s="1143"/>
      <c r="R84" s="1143"/>
      <c r="S84" s="1143"/>
      <c r="T84" s="1143"/>
      <c r="U84" s="1143"/>
    </row>
    <row r="85" spans="1:44" ht="16" outlineLevel="1" thickBot="1">
      <c r="B85" s="1207"/>
      <c r="C85" s="1143"/>
      <c r="D85" s="1143"/>
      <c r="E85" s="1143"/>
      <c r="F85" s="1143"/>
      <c r="G85" s="1143"/>
      <c r="H85" s="1143"/>
      <c r="I85" s="1143"/>
      <c r="J85" s="1143"/>
      <c r="K85" s="1143"/>
      <c r="L85" s="1143"/>
      <c r="M85" s="1143"/>
      <c r="N85" s="361"/>
      <c r="P85" s="692">
        <v>1</v>
      </c>
      <c r="Q85" s="692">
        <v>2</v>
      </c>
      <c r="R85" s="692">
        <v>3</v>
      </c>
      <c r="S85" s="692">
        <v>4</v>
      </c>
      <c r="T85" s="692">
        <v>5</v>
      </c>
      <c r="U85" s="692">
        <v>6</v>
      </c>
      <c r="V85" s="692">
        <v>7</v>
      </c>
      <c r="W85" s="692">
        <v>8</v>
      </c>
      <c r="X85" s="692">
        <v>9</v>
      </c>
      <c r="Y85" s="692">
        <v>10</v>
      </c>
      <c r="Z85" s="692">
        <v>11</v>
      </c>
      <c r="AA85" s="692">
        <v>12</v>
      </c>
      <c r="AB85" s="692">
        <v>13</v>
      </c>
      <c r="AC85" s="692">
        <v>14</v>
      </c>
    </row>
    <row r="86" spans="1:44" ht="20.5" customHeight="1" outlineLevel="1" thickBot="1">
      <c r="B86" s="362" t="s">
        <v>0</v>
      </c>
      <c r="C86" s="1186" t="s">
        <v>791</v>
      </c>
      <c r="D86" s="1205"/>
      <c r="E86" s="1205"/>
      <c r="F86" s="1205"/>
      <c r="G86" s="1205"/>
      <c r="H86" s="1205"/>
      <c r="I86" s="1205"/>
      <c r="J86" s="1205"/>
      <c r="K86" s="1205"/>
      <c r="L86" s="1206"/>
      <c r="M86" s="363"/>
      <c r="N86" s="363"/>
      <c r="P86" s="364" t="s">
        <v>713</v>
      </c>
      <c r="Q86" s="365"/>
      <c r="R86" s="366"/>
      <c r="S86" s="1176" t="s">
        <v>714</v>
      </c>
      <c r="T86" s="1160" t="s">
        <v>715</v>
      </c>
      <c r="U86" s="1161"/>
      <c r="V86" s="1160" t="s">
        <v>716</v>
      </c>
      <c r="W86" s="1161"/>
      <c r="X86" s="1160" t="s">
        <v>717</v>
      </c>
      <c r="Y86" s="1161"/>
      <c r="Z86" s="1160" t="s">
        <v>718</v>
      </c>
      <c r="AA86" s="1161"/>
      <c r="AB86" s="1160" t="s">
        <v>719</v>
      </c>
      <c r="AC86" s="1161"/>
      <c r="AE86" s="364" t="s">
        <v>720</v>
      </c>
      <c r="AF86" s="365"/>
      <c r="AG86" s="366"/>
      <c r="AH86" s="1176" t="s">
        <v>714</v>
      </c>
      <c r="AI86" s="1160" t="s">
        <v>715</v>
      </c>
      <c r="AJ86" s="1161"/>
      <c r="AK86" s="1160" t="s">
        <v>716</v>
      </c>
      <c r="AL86" s="1161"/>
      <c r="AM86" s="1160" t="s">
        <v>717</v>
      </c>
      <c r="AN86" s="1161"/>
      <c r="AO86" s="1160" t="s">
        <v>718</v>
      </c>
      <c r="AP86" s="1161"/>
      <c r="AQ86" s="1160" t="s">
        <v>719</v>
      </c>
      <c r="AR86" s="1161"/>
    </row>
    <row r="87" spans="1:44" ht="15" customHeight="1" outlineLevel="1" thickBot="1">
      <c r="B87" s="1164" t="s">
        <v>4</v>
      </c>
      <c r="C87" s="1166">
        <v>2020</v>
      </c>
      <c r="D87" s="1166">
        <v>2030</v>
      </c>
      <c r="E87" s="1166">
        <v>2040</v>
      </c>
      <c r="F87" s="1166">
        <v>2050</v>
      </c>
      <c r="G87" s="1200" t="s">
        <v>721</v>
      </c>
      <c r="H87" s="1201"/>
      <c r="I87" s="1200" t="s">
        <v>648</v>
      </c>
      <c r="J87" s="1201"/>
      <c r="K87" s="1202" t="s">
        <v>2</v>
      </c>
      <c r="L87" s="1202" t="s">
        <v>3</v>
      </c>
      <c r="M87" s="367"/>
      <c r="N87" s="367"/>
      <c r="P87" s="1180" t="s">
        <v>0</v>
      </c>
      <c r="Q87" s="368"/>
      <c r="R87" s="368"/>
      <c r="S87" s="1177"/>
      <c r="T87" s="1162"/>
      <c r="U87" s="1163"/>
      <c r="V87" s="1162"/>
      <c r="W87" s="1163"/>
      <c r="X87" s="1162"/>
      <c r="Y87" s="1163"/>
      <c r="Z87" s="1162"/>
      <c r="AA87" s="1163"/>
      <c r="AB87" s="1162"/>
      <c r="AC87" s="1163"/>
      <c r="AE87" s="1180" t="s">
        <v>0</v>
      </c>
      <c r="AF87" s="368"/>
      <c r="AG87" s="368"/>
      <c r="AH87" s="1177"/>
      <c r="AI87" s="1162"/>
      <c r="AJ87" s="1163"/>
      <c r="AK87" s="1162"/>
      <c r="AL87" s="1163"/>
      <c r="AM87" s="1162"/>
      <c r="AN87" s="1163"/>
      <c r="AO87" s="1162"/>
      <c r="AP87" s="1163"/>
      <c r="AQ87" s="1162"/>
      <c r="AR87" s="1163"/>
    </row>
    <row r="88" spans="1:44" ht="15" customHeight="1" outlineLevel="1" thickBot="1">
      <c r="B88" s="1165"/>
      <c r="C88" s="1167"/>
      <c r="D88" s="1167"/>
      <c r="E88" s="1167"/>
      <c r="F88" s="1167"/>
      <c r="G88" s="499" t="s">
        <v>649</v>
      </c>
      <c r="H88" s="499" t="s">
        <v>650</v>
      </c>
      <c r="I88" s="499" t="s">
        <v>649</v>
      </c>
      <c r="J88" s="499" t="s">
        <v>650</v>
      </c>
      <c r="K88" s="1203"/>
      <c r="L88" s="1203"/>
      <c r="M88" s="370"/>
      <c r="N88" s="370"/>
      <c r="P88" s="1181"/>
      <c r="Q88" s="1183" t="s">
        <v>722</v>
      </c>
      <c r="R88" s="1184" t="s">
        <v>723</v>
      </c>
      <c r="S88" s="1178"/>
      <c r="T88" s="1162"/>
      <c r="U88" s="1163"/>
      <c r="V88" s="1162"/>
      <c r="W88" s="1163"/>
      <c r="X88" s="1162"/>
      <c r="Y88" s="1163"/>
      <c r="Z88" s="1162"/>
      <c r="AA88" s="1163"/>
      <c r="AB88" s="1162"/>
      <c r="AC88" s="1163"/>
      <c r="AE88" s="1181"/>
      <c r="AF88" s="1197" t="s">
        <v>722</v>
      </c>
      <c r="AG88" s="1184" t="s">
        <v>723</v>
      </c>
      <c r="AH88" s="1178"/>
      <c r="AI88" s="1162"/>
      <c r="AJ88" s="1163"/>
      <c r="AK88" s="1162"/>
      <c r="AL88" s="1163"/>
      <c r="AM88" s="1162"/>
      <c r="AN88" s="1163"/>
      <c r="AO88" s="1162"/>
      <c r="AP88" s="1163"/>
      <c r="AQ88" s="1162"/>
      <c r="AR88" s="1163"/>
    </row>
    <row r="89" spans="1:44" ht="33" outlineLevel="1" thickBot="1">
      <c r="B89" s="371" t="s">
        <v>651</v>
      </c>
      <c r="C89" s="372">
        <v>20000</v>
      </c>
      <c r="D89" s="372">
        <v>20000</v>
      </c>
      <c r="E89" s="372">
        <v>20000</v>
      </c>
      <c r="F89" s="372">
        <v>20000</v>
      </c>
      <c r="G89" s="372">
        <v>1000</v>
      </c>
      <c r="H89" s="372">
        <v>50000</v>
      </c>
      <c r="I89" s="372">
        <v>1000</v>
      </c>
      <c r="J89" s="372">
        <v>50000</v>
      </c>
      <c r="K89" s="372" t="s">
        <v>6</v>
      </c>
      <c r="L89" s="373" t="s">
        <v>725</v>
      </c>
      <c r="M89" s="370"/>
      <c r="N89" s="370"/>
      <c r="O89" s="74"/>
      <c r="P89" s="1182"/>
      <c r="Q89" s="1179"/>
      <c r="R89" s="1185"/>
      <c r="S89" s="1179"/>
      <c r="T89" s="374" t="s">
        <v>726</v>
      </c>
      <c r="U89" s="375" t="s">
        <v>727</v>
      </c>
      <c r="V89" s="374" t="s">
        <v>726</v>
      </c>
      <c r="W89" s="375" t="s">
        <v>727</v>
      </c>
      <c r="X89" s="374" t="s">
        <v>726</v>
      </c>
      <c r="Y89" s="375" t="s">
        <v>727</v>
      </c>
      <c r="Z89" s="374" t="s">
        <v>726</v>
      </c>
      <c r="AA89" s="375" t="s">
        <v>727</v>
      </c>
      <c r="AB89" s="374" t="s">
        <v>726</v>
      </c>
      <c r="AC89" s="375" t="s">
        <v>727</v>
      </c>
      <c r="AE89" s="1182"/>
      <c r="AF89" s="1198"/>
      <c r="AG89" s="1185"/>
      <c r="AH89" s="1179"/>
      <c r="AI89" s="374" t="s">
        <v>726</v>
      </c>
      <c r="AJ89" s="375" t="s">
        <v>727</v>
      </c>
      <c r="AK89" s="374" t="s">
        <v>726</v>
      </c>
      <c r="AL89" s="375" t="s">
        <v>727</v>
      </c>
      <c r="AM89" s="374" t="s">
        <v>726</v>
      </c>
      <c r="AN89" s="375" t="s">
        <v>727</v>
      </c>
      <c r="AO89" s="374" t="s">
        <v>726</v>
      </c>
      <c r="AP89" s="375" t="s">
        <v>727</v>
      </c>
      <c r="AQ89" s="374" t="s">
        <v>726</v>
      </c>
      <c r="AR89" s="375" t="s">
        <v>727</v>
      </c>
    </row>
    <row r="90" spans="1:44" ht="15" customHeight="1" outlineLevel="1">
      <c r="B90" s="500" t="s">
        <v>728</v>
      </c>
      <c r="C90" s="501">
        <v>96</v>
      </c>
      <c r="D90" s="501">
        <v>97</v>
      </c>
      <c r="E90" s="502">
        <v>98</v>
      </c>
      <c r="F90" s="501">
        <v>98</v>
      </c>
      <c r="G90" s="501">
        <v>90</v>
      </c>
      <c r="H90" s="501">
        <v>98</v>
      </c>
      <c r="I90" s="501">
        <v>90</v>
      </c>
      <c r="J90" s="501">
        <v>98</v>
      </c>
      <c r="K90" s="503" t="s">
        <v>59</v>
      </c>
      <c r="L90" s="504" t="s">
        <v>729</v>
      </c>
      <c r="M90" s="370"/>
      <c r="N90" s="370"/>
      <c r="P90" s="1199" t="str">
        <f>C86</f>
        <v>Hot water boiler, Oil</v>
      </c>
      <c r="Q90" s="1154" t="s">
        <v>730</v>
      </c>
      <c r="R90" s="381" t="s">
        <v>731</v>
      </c>
      <c r="S90" s="382"/>
      <c r="T90" s="1137">
        <v>0</v>
      </c>
      <c r="U90" s="1151">
        <v>0</v>
      </c>
      <c r="V90" s="1137">
        <v>0</v>
      </c>
      <c r="W90" s="1151">
        <v>0</v>
      </c>
      <c r="X90" s="1137">
        <v>0</v>
      </c>
      <c r="Y90" s="1151">
        <v>0</v>
      </c>
      <c r="Z90" s="1137">
        <v>0</v>
      </c>
      <c r="AA90" s="1151">
        <v>0</v>
      </c>
      <c r="AB90" s="1137">
        <v>0</v>
      </c>
      <c r="AC90" s="1151">
        <v>0</v>
      </c>
      <c r="AE90" s="1148" t="str">
        <f>P90</f>
        <v>Hot water boiler, Oil</v>
      </c>
      <c r="AF90" s="1154" t="s">
        <v>730</v>
      </c>
      <c r="AG90" s="381" t="s">
        <v>731</v>
      </c>
      <c r="AH90" s="382"/>
      <c r="AI90" s="1137">
        <v>0</v>
      </c>
      <c r="AJ90" s="1151">
        <v>0</v>
      </c>
      <c r="AK90" s="1137">
        <v>0</v>
      </c>
      <c r="AL90" s="1151">
        <v>0</v>
      </c>
      <c r="AM90" s="1137">
        <v>0</v>
      </c>
      <c r="AN90" s="1151">
        <v>0</v>
      </c>
      <c r="AO90" s="1137">
        <v>0</v>
      </c>
      <c r="AP90" s="1151">
        <v>0</v>
      </c>
      <c r="AQ90" s="1137">
        <v>0</v>
      </c>
      <c r="AR90" s="1151">
        <v>0</v>
      </c>
    </row>
    <row r="91" spans="1:44" outlineLevel="1">
      <c r="B91" s="383" t="s">
        <v>732</v>
      </c>
      <c r="C91" s="384">
        <v>95</v>
      </c>
      <c r="D91" s="384">
        <v>96</v>
      </c>
      <c r="E91" s="384">
        <v>97</v>
      </c>
      <c r="F91" s="384">
        <v>97</v>
      </c>
      <c r="G91" s="505">
        <v>89</v>
      </c>
      <c r="H91" s="505">
        <v>97</v>
      </c>
      <c r="I91" s="505">
        <v>89</v>
      </c>
      <c r="J91" s="505">
        <v>97</v>
      </c>
      <c r="K91" s="372"/>
      <c r="L91" s="373" t="s">
        <v>729</v>
      </c>
      <c r="M91" s="370"/>
      <c r="N91" s="370"/>
      <c r="O91" s="71"/>
      <c r="P91" s="1195"/>
      <c r="Q91" s="1155"/>
      <c r="R91" s="388" t="s">
        <v>733</v>
      </c>
      <c r="S91" s="389"/>
      <c r="T91" s="1140"/>
      <c r="U91" s="1152"/>
      <c r="V91" s="1140"/>
      <c r="W91" s="1152"/>
      <c r="X91" s="1140"/>
      <c r="Y91" s="1152"/>
      <c r="Z91" s="1140"/>
      <c r="AA91" s="1152"/>
      <c r="AB91" s="1140"/>
      <c r="AC91" s="1152"/>
      <c r="AE91" s="1195"/>
      <c r="AF91" s="1155"/>
      <c r="AG91" s="388" t="s">
        <v>733</v>
      </c>
      <c r="AH91" s="389"/>
      <c r="AI91" s="1140"/>
      <c r="AJ91" s="1152"/>
      <c r="AK91" s="1140"/>
      <c r="AL91" s="1152"/>
      <c r="AM91" s="1140"/>
      <c r="AN91" s="1152"/>
      <c r="AO91" s="1140"/>
      <c r="AP91" s="1152"/>
      <c r="AQ91" s="1140"/>
      <c r="AR91" s="1152"/>
    </row>
    <row r="92" spans="1:44" ht="16" outlineLevel="1" thickBot="1">
      <c r="B92" s="500" t="s">
        <v>734</v>
      </c>
      <c r="C92" s="506">
        <v>0.14000000000000001</v>
      </c>
      <c r="D92" s="507">
        <v>0.12</v>
      </c>
      <c r="E92" s="507">
        <v>0.11</v>
      </c>
      <c r="F92" s="508">
        <v>0.1</v>
      </c>
      <c r="G92" s="507">
        <v>0.1</v>
      </c>
      <c r="H92" s="507">
        <v>0.14000000000000001</v>
      </c>
      <c r="I92" s="507">
        <v>0.08</v>
      </c>
      <c r="J92" s="507">
        <v>0.12</v>
      </c>
      <c r="K92" s="503" t="s">
        <v>16</v>
      </c>
      <c r="L92" s="504">
        <v>3</v>
      </c>
      <c r="M92" s="370"/>
      <c r="N92" s="370"/>
      <c r="O92" s="71"/>
      <c r="P92" s="1195"/>
      <c r="Q92" s="1156"/>
      <c r="R92" s="393" t="s">
        <v>735</v>
      </c>
      <c r="S92" s="394"/>
      <c r="T92" s="1141"/>
      <c r="U92" s="1153"/>
      <c r="V92" s="1141"/>
      <c r="W92" s="1153"/>
      <c r="X92" s="1141"/>
      <c r="Y92" s="1153"/>
      <c r="Z92" s="1141"/>
      <c r="AA92" s="1153"/>
      <c r="AB92" s="1141"/>
      <c r="AC92" s="1153"/>
      <c r="AE92" s="1195"/>
      <c r="AF92" s="1156"/>
      <c r="AG92" s="393" t="s">
        <v>735</v>
      </c>
      <c r="AH92" s="394"/>
      <c r="AI92" s="1141"/>
      <c r="AJ92" s="1153"/>
      <c r="AK92" s="1141"/>
      <c r="AL92" s="1153"/>
      <c r="AM92" s="1141"/>
      <c r="AN92" s="1153"/>
      <c r="AO92" s="1141"/>
      <c r="AP92" s="1153"/>
      <c r="AQ92" s="1141"/>
      <c r="AR92" s="1153"/>
    </row>
    <row r="93" spans="1:44" ht="15" customHeight="1" outlineLevel="1">
      <c r="B93" s="500" t="s">
        <v>657</v>
      </c>
      <c r="C93" s="506">
        <v>1.1000000000000001</v>
      </c>
      <c r="D93" s="506">
        <v>1.1000000000000001</v>
      </c>
      <c r="E93" s="506">
        <v>1.1000000000000001</v>
      </c>
      <c r="F93" s="506">
        <v>1.1000000000000001</v>
      </c>
      <c r="G93" s="506">
        <v>0.09</v>
      </c>
      <c r="H93" s="506">
        <v>2.1</v>
      </c>
      <c r="I93" s="506">
        <v>0.09</v>
      </c>
      <c r="J93" s="506">
        <v>2.1</v>
      </c>
      <c r="K93" s="503" t="s">
        <v>20</v>
      </c>
      <c r="L93" s="504">
        <v>3</v>
      </c>
      <c r="M93" s="370"/>
      <c r="N93" s="370"/>
      <c r="O93" s="71"/>
      <c r="P93" s="1195"/>
      <c r="Q93" s="1154" t="s">
        <v>736</v>
      </c>
      <c r="R93" s="395" t="s">
        <v>737</v>
      </c>
      <c r="S93" s="396" t="s">
        <v>738</v>
      </c>
      <c r="T93" s="1137">
        <v>0</v>
      </c>
      <c r="U93" s="1137">
        <v>0.67</v>
      </c>
      <c r="V93" s="1137">
        <v>0</v>
      </c>
      <c r="W93" s="1137">
        <v>0.56999999999999995</v>
      </c>
      <c r="X93" s="1137">
        <v>0</v>
      </c>
      <c r="Y93" s="1137">
        <v>0.5</v>
      </c>
      <c r="Z93" s="1137">
        <v>0</v>
      </c>
      <c r="AA93" s="1137">
        <v>0.51</v>
      </c>
      <c r="AB93" s="1137">
        <v>0</v>
      </c>
      <c r="AC93" s="1137">
        <v>0.41</v>
      </c>
      <c r="AE93" s="1195"/>
      <c r="AF93" s="1154" t="s">
        <v>736</v>
      </c>
      <c r="AG93" s="395" t="s">
        <v>737</v>
      </c>
      <c r="AH93" s="396" t="s">
        <v>738</v>
      </c>
      <c r="AI93" s="1137">
        <v>0</v>
      </c>
      <c r="AJ93" s="1137">
        <v>0.16750000000000001</v>
      </c>
      <c r="AK93" s="1137">
        <v>0</v>
      </c>
      <c r="AL93" s="1137">
        <v>0.14249999999999999</v>
      </c>
      <c r="AM93" s="1137">
        <v>0</v>
      </c>
      <c r="AN93" s="1137">
        <v>0.125</v>
      </c>
      <c r="AO93" s="1137">
        <v>0</v>
      </c>
      <c r="AP93" s="1137">
        <v>0.1275</v>
      </c>
      <c r="AQ93" s="1137">
        <v>0</v>
      </c>
      <c r="AR93" s="1137">
        <v>0.10249999999999999</v>
      </c>
    </row>
    <row r="94" spans="1:44" outlineLevel="1">
      <c r="B94" s="500" t="s">
        <v>658</v>
      </c>
      <c r="C94" s="506">
        <v>0.60000000000000009</v>
      </c>
      <c r="D94" s="506">
        <v>0.60000000000000009</v>
      </c>
      <c r="E94" s="506">
        <v>0.60000000000000009</v>
      </c>
      <c r="F94" s="506">
        <v>0.60000000000000009</v>
      </c>
      <c r="G94" s="506">
        <v>0.5</v>
      </c>
      <c r="H94" s="506">
        <v>0.8</v>
      </c>
      <c r="I94" s="506">
        <v>0.5</v>
      </c>
      <c r="J94" s="506">
        <v>0.8</v>
      </c>
      <c r="K94" s="503" t="s">
        <v>20</v>
      </c>
      <c r="L94" s="504">
        <v>3</v>
      </c>
      <c r="M94" s="367"/>
      <c r="N94" s="367"/>
      <c r="O94" s="71"/>
      <c r="P94" s="1195"/>
      <c r="Q94" s="1155"/>
      <c r="R94" s="395" t="s">
        <v>739</v>
      </c>
      <c r="S94" s="396" t="s">
        <v>738</v>
      </c>
      <c r="T94" s="1138"/>
      <c r="U94" s="1138"/>
      <c r="V94" s="1138"/>
      <c r="W94" s="1138"/>
      <c r="X94" s="1138"/>
      <c r="Y94" s="1138"/>
      <c r="Z94" s="1138"/>
      <c r="AA94" s="1138"/>
      <c r="AB94" s="1138"/>
      <c r="AC94" s="1138"/>
      <c r="AE94" s="1195"/>
      <c r="AF94" s="1155"/>
      <c r="AG94" s="395" t="s">
        <v>739</v>
      </c>
      <c r="AH94" s="396" t="s">
        <v>738</v>
      </c>
      <c r="AI94" s="1138"/>
      <c r="AJ94" s="1138"/>
      <c r="AK94" s="1138"/>
      <c r="AL94" s="1138"/>
      <c r="AM94" s="1138"/>
      <c r="AN94" s="1138"/>
      <c r="AO94" s="1138"/>
      <c r="AP94" s="1138"/>
      <c r="AQ94" s="1138"/>
      <c r="AR94" s="1138"/>
    </row>
    <row r="95" spans="1:44" outlineLevel="1">
      <c r="B95" s="383" t="s">
        <v>11</v>
      </c>
      <c r="C95" s="397">
        <v>25</v>
      </c>
      <c r="D95" s="397">
        <v>25</v>
      </c>
      <c r="E95" s="397">
        <v>25</v>
      </c>
      <c r="F95" s="397">
        <v>25</v>
      </c>
      <c r="G95" s="399">
        <v>20</v>
      </c>
      <c r="H95" s="399">
        <v>30</v>
      </c>
      <c r="I95" s="399">
        <v>20</v>
      </c>
      <c r="J95" s="399">
        <v>30</v>
      </c>
      <c r="K95" s="372"/>
      <c r="L95" s="373" t="s">
        <v>740</v>
      </c>
      <c r="M95" s="363"/>
      <c r="N95" s="363"/>
      <c r="P95" s="1195"/>
      <c r="Q95" s="1155"/>
      <c r="R95" s="395" t="s">
        <v>741</v>
      </c>
      <c r="S95" s="396"/>
      <c r="T95" s="1138"/>
      <c r="U95" s="1138"/>
      <c r="V95" s="1138"/>
      <c r="W95" s="1138"/>
      <c r="X95" s="1138"/>
      <c r="Y95" s="1138"/>
      <c r="Z95" s="1138"/>
      <c r="AA95" s="1138"/>
      <c r="AB95" s="1138"/>
      <c r="AC95" s="1138"/>
      <c r="AE95" s="1195"/>
      <c r="AF95" s="1155"/>
      <c r="AG95" s="395" t="s">
        <v>741</v>
      </c>
      <c r="AH95" s="396" t="s">
        <v>738</v>
      </c>
      <c r="AI95" s="1138"/>
      <c r="AJ95" s="1138"/>
      <c r="AK95" s="1138"/>
      <c r="AL95" s="1138"/>
      <c r="AM95" s="1138"/>
      <c r="AN95" s="1138"/>
      <c r="AO95" s="1138"/>
      <c r="AP95" s="1138"/>
      <c r="AQ95" s="1138"/>
      <c r="AR95" s="1138"/>
    </row>
    <row r="96" spans="1:44" ht="16" outlineLevel="1" thickBot="1">
      <c r="B96" s="500" t="s">
        <v>273</v>
      </c>
      <c r="C96" s="506">
        <v>0.5</v>
      </c>
      <c r="D96" s="506">
        <v>0.5</v>
      </c>
      <c r="E96" s="506">
        <v>0.5</v>
      </c>
      <c r="F96" s="506">
        <v>0.5</v>
      </c>
      <c r="G96" s="506">
        <v>0.2</v>
      </c>
      <c r="H96" s="506">
        <v>0.7</v>
      </c>
      <c r="I96" s="506">
        <v>0.2</v>
      </c>
      <c r="J96" s="506">
        <v>0.7</v>
      </c>
      <c r="K96" s="372"/>
      <c r="L96" s="400"/>
      <c r="M96" s="363"/>
      <c r="N96" s="363"/>
      <c r="P96" s="1195"/>
      <c r="Q96" s="1155"/>
      <c r="R96" s="395" t="s">
        <v>742</v>
      </c>
      <c r="S96" s="396" t="s">
        <v>738</v>
      </c>
      <c r="T96" s="1138"/>
      <c r="U96" s="1138"/>
      <c r="V96" s="1138"/>
      <c r="W96" s="1138"/>
      <c r="X96" s="1138"/>
      <c r="Y96" s="1138"/>
      <c r="Z96" s="1138"/>
      <c r="AA96" s="1138"/>
      <c r="AB96" s="1138"/>
      <c r="AC96" s="1138"/>
      <c r="AE96" s="1195"/>
      <c r="AF96" s="1155"/>
      <c r="AG96" s="395" t="s">
        <v>742</v>
      </c>
      <c r="AH96" s="396" t="s">
        <v>738</v>
      </c>
      <c r="AI96" s="1138"/>
      <c r="AJ96" s="1138"/>
      <c r="AK96" s="1138"/>
      <c r="AL96" s="1138"/>
      <c r="AM96" s="1138"/>
      <c r="AN96" s="1138"/>
      <c r="AO96" s="1138"/>
      <c r="AP96" s="1138"/>
      <c r="AQ96" s="1138"/>
      <c r="AR96" s="1138"/>
    </row>
    <row r="97" spans="1:44" ht="16" outlineLevel="1" thickBot="1">
      <c r="B97" s="401" t="s">
        <v>743</v>
      </c>
      <c r="C97" s="402"/>
      <c r="D97" s="403"/>
      <c r="E97" s="404"/>
      <c r="F97" s="405"/>
      <c r="G97" s="406"/>
      <c r="H97" s="406"/>
      <c r="I97" s="406"/>
      <c r="J97" s="406"/>
      <c r="K97" s="407"/>
      <c r="L97" s="408"/>
      <c r="M97" s="363"/>
      <c r="N97" s="363"/>
      <c r="P97" s="1195"/>
      <c r="Q97" s="1155"/>
      <c r="R97" s="409" t="s">
        <v>744</v>
      </c>
      <c r="S97" s="410" t="s">
        <v>738</v>
      </c>
      <c r="T97" s="1139"/>
      <c r="U97" s="1139"/>
      <c r="V97" s="1139"/>
      <c r="W97" s="1139"/>
      <c r="X97" s="1139"/>
      <c r="Y97" s="1139"/>
      <c r="Z97" s="1139"/>
      <c r="AA97" s="1139"/>
      <c r="AB97" s="1139"/>
      <c r="AC97" s="1139"/>
      <c r="AE97" s="1195"/>
      <c r="AF97" s="1155"/>
      <c r="AG97" s="409" t="s">
        <v>744</v>
      </c>
      <c r="AH97" s="410" t="s">
        <v>738</v>
      </c>
      <c r="AI97" s="1139"/>
      <c r="AJ97" s="1139"/>
      <c r="AK97" s="1139"/>
      <c r="AL97" s="1139"/>
      <c r="AM97" s="1139"/>
      <c r="AN97" s="1139"/>
      <c r="AO97" s="1139"/>
      <c r="AP97" s="1139"/>
      <c r="AQ97" s="1139"/>
      <c r="AR97" s="1139"/>
    </row>
    <row r="98" spans="1:44" ht="33" outlineLevel="1" thickBot="1">
      <c r="B98" s="500" t="s">
        <v>663</v>
      </c>
      <c r="C98" s="506">
        <v>15</v>
      </c>
      <c r="D98" s="506">
        <v>15</v>
      </c>
      <c r="E98" s="506">
        <v>15</v>
      </c>
      <c r="F98" s="506">
        <v>15</v>
      </c>
      <c r="G98" s="507"/>
      <c r="H98" s="507"/>
      <c r="I98" s="507"/>
      <c r="J98" s="507"/>
      <c r="K98" s="503"/>
      <c r="L98" s="504">
        <v>3</v>
      </c>
      <c r="M98" s="363"/>
      <c r="N98" s="363"/>
      <c r="P98" s="1196"/>
      <c r="Q98" s="411" t="s">
        <v>745</v>
      </c>
      <c r="R98" s="412" t="s">
        <v>746</v>
      </c>
      <c r="S98" s="413" t="s">
        <v>738</v>
      </c>
      <c r="T98" s="414">
        <v>1</v>
      </c>
      <c r="U98" s="415">
        <v>1</v>
      </c>
      <c r="V98" s="416">
        <v>1</v>
      </c>
      <c r="W98" s="415">
        <v>1</v>
      </c>
      <c r="X98" s="416">
        <v>1</v>
      </c>
      <c r="Y98" s="415">
        <v>1</v>
      </c>
      <c r="Z98" s="416">
        <v>1</v>
      </c>
      <c r="AA98" s="415">
        <v>1</v>
      </c>
      <c r="AB98" s="416">
        <v>1</v>
      </c>
      <c r="AC98" s="417">
        <v>1</v>
      </c>
      <c r="AE98" s="1196"/>
      <c r="AF98" s="411" t="s">
        <v>745</v>
      </c>
      <c r="AG98" s="412" t="s">
        <v>746</v>
      </c>
      <c r="AH98" s="413" t="s">
        <v>738</v>
      </c>
      <c r="AI98" s="414">
        <v>1</v>
      </c>
      <c r="AJ98" s="415">
        <v>1</v>
      </c>
      <c r="AK98" s="414">
        <v>1</v>
      </c>
      <c r="AL98" s="415">
        <v>1</v>
      </c>
      <c r="AM98" s="414">
        <v>1</v>
      </c>
      <c r="AN98" s="415">
        <v>1</v>
      </c>
      <c r="AO98" s="414">
        <v>1</v>
      </c>
      <c r="AP98" s="415">
        <v>1</v>
      </c>
      <c r="AQ98" s="414">
        <v>1</v>
      </c>
      <c r="AR98" s="417">
        <v>1</v>
      </c>
    </row>
    <row r="99" spans="1:44" outlineLevel="1">
      <c r="B99" s="500" t="s">
        <v>664</v>
      </c>
      <c r="C99" s="506">
        <v>0.1</v>
      </c>
      <c r="D99" s="506">
        <v>0.1</v>
      </c>
      <c r="E99" s="506">
        <v>0.1</v>
      </c>
      <c r="F99" s="506">
        <v>0.1</v>
      </c>
      <c r="G99" s="509"/>
      <c r="H99" s="509"/>
      <c r="I99" s="509"/>
      <c r="J99" s="509"/>
      <c r="K99" s="510"/>
      <c r="L99" s="504">
        <v>3</v>
      </c>
      <c r="M99" s="363"/>
      <c r="N99" s="363"/>
    </row>
    <row r="100" spans="1:44" outlineLevel="1">
      <c r="B100" s="500" t="s">
        <v>666</v>
      </c>
      <c r="C100" s="506">
        <v>0.4</v>
      </c>
      <c r="D100" s="506">
        <v>0.4</v>
      </c>
      <c r="E100" s="506">
        <v>0.4</v>
      </c>
      <c r="F100" s="506">
        <v>0.4</v>
      </c>
      <c r="G100" s="509"/>
      <c r="H100" s="509"/>
      <c r="I100" s="509"/>
      <c r="J100" s="509"/>
      <c r="K100" s="510"/>
      <c r="L100" s="504">
        <v>3</v>
      </c>
      <c r="M100" s="420"/>
      <c r="N100" s="363"/>
    </row>
    <row r="101" spans="1:44" outlineLevel="1">
      <c r="B101" s="421" t="s">
        <v>12</v>
      </c>
      <c r="C101" s="399"/>
      <c r="D101" s="399"/>
      <c r="E101" s="399"/>
      <c r="F101" s="399"/>
      <c r="G101" s="422"/>
      <c r="H101" s="422"/>
      <c r="I101" s="422"/>
      <c r="J101" s="422"/>
      <c r="K101" s="423"/>
      <c r="L101" s="424"/>
      <c r="M101" s="420"/>
      <c r="N101" s="420"/>
    </row>
    <row r="102" spans="1:44" ht="16" outlineLevel="1">
      <c r="B102" s="383" t="s">
        <v>747</v>
      </c>
      <c r="C102" s="397">
        <v>0.5</v>
      </c>
      <c r="D102" s="397">
        <v>0.5</v>
      </c>
      <c r="E102" s="397">
        <v>0.5</v>
      </c>
      <c r="F102" s="397">
        <v>0.5</v>
      </c>
      <c r="G102" s="422"/>
      <c r="H102" s="425"/>
      <c r="I102" s="425"/>
      <c r="J102" s="425"/>
      <c r="K102" s="426" t="s">
        <v>76</v>
      </c>
      <c r="L102" s="427" t="s">
        <v>748</v>
      </c>
      <c r="M102" s="428"/>
      <c r="N102" s="428"/>
    </row>
    <row r="103" spans="1:44" outlineLevel="1">
      <c r="B103" s="383" t="s">
        <v>749</v>
      </c>
      <c r="C103" s="397">
        <v>0.1</v>
      </c>
      <c r="D103" s="397">
        <v>0.1</v>
      </c>
      <c r="E103" s="397">
        <v>0.1</v>
      </c>
      <c r="F103" s="397">
        <v>0.1</v>
      </c>
      <c r="G103" s="425"/>
      <c r="H103" s="425"/>
      <c r="I103" s="425"/>
      <c r="J103" s="425"/>
      <c r="K103" s="423"/>
      <c r="L103" s="427">
        <v>9</v>
      </c>
      <c r="M103" s="428"/>
      <c r="N103" s="428"/>
    </row>
    <row r="104" spans="1:44" ht="16" outlineLevel="1">
      <c r="B104" s="383" t="s">
        <v>750</v>
      </c>
      <c r="C104" s="397">
        <v>25</v>
      </c>
      <c r="D104" s="397">
        <v>20</v>
      </c>
      <c r="E104" s="397">
        <v>18</v>
      </c>
      <c r="F104" s="397">
        <v>15</v>
      </c>
      <c r="G104" s="425"/>
      <c r="H104" s="425"/>
      <c r="I104" s="425"/>
      <c r="J104" s="425"/>
      <c r="K104" s="423"/>
      <c r="L104" s="427" t="s">
        <v>748</v>
      </c>
      <c r="M104" s="428"/>
      <c r="N104" s="428"/>
    </row>
    <row r="105" spans="1:44" outlineLevel="1">
      <c r="B105" s="383" t="s">
        <v>366</v>
      </c>
      <c r="C105" s="397">
        <v>0</v>
      </c>
      <c r="D105" s="397">
        <v>0</v>
      </c>
      <c r="E105" s="397">
        <v>0</v>
      </c>
      <c r="F105" s="397">
        <v>0</v>
      </c>
      <c r="G105" s="425"/>
      <c r="H105" s="425"/>
      <c r="I105" s="425"/>
      <c r="J105" s="425"/>
      <c r="K105" s="423"/>
      <c r="L105" s="427" t="s">
        <v>748</v>
      </c>
      <c r="M105" s="428"/>
      <c r="N105" s="428"/>
    </row>
    <row r="106" spans="1:44" ht="16" outlineLevel="1" thickBot="1">
      <c r="B106" s="429" t="s">
        <v>367</v>
      </c>
      <c r="C106" s="430">
        <v>0</v>
      </c>
      <c r="D106" s="430">
        <v>0</v>
      </c>
      <c r="E106" s="430">
        <v>0</v>
      </c>
      <c r="F106" s="430">
        <v>0</v>
      </c>
      <c r="G106" s="425"/>
      <c r="H106" s="425"/>
      <c r="I106" s="425"/>
      <c r="J106" s="425"/>
      <c r="K106" s="423"/>
      <c r="L106" s="427" t="s">
        <v>748</v>
      </c>
      <c r="M106" s="428"/>
      <c r="N106" s="428"/>
    </row>
    <row r="107" spans="1:44" ht="16" outlineLevel="1" thickBot="1">
      <c r="B107" s="431" t="s">
        <v>674</v>
      </c>
      <c r="C107" s="432"/>
      <c r="D107" s="403"/>
      <c r="E107" s="403"/>
      <c r="F107" s="433"/>
      <c r="G107" s="434"/>
      <c r="H107" s="406"/>
      <c r="I107" s="406"/>
      <c r="J107" s="406"/>
      <c r="K107" s="407"/>
      <c r="L107" s="408"/>
      <c r="M107" s="428"/>
      <c r="N107" s="428"/>
    </row>
    <row r="108" spans="1:44" outlineLevel="1">
      <c r="A108" s="435"/>
      <c r="B108" s="436" t="s">
        <v>792</v>
      </c>
      <c r="C108" s="511">
        <v>4.4000000000000004E-2</v>
      </c>
      <c r="D108" s="512">
        <v>3.7261104389205602E-2</v>
      </c>
      <c r="E108" s="512">
        <v>3.5680000000000003E-2</v>
      </c>
      <c r="F108" s="513">
        <v>3.523649477443936E-2</v>
      </c>
      <c r="G108" s="425"/>
      <c r="H108" s="425"/>
      <c r="I108" s="425"/>
      <c r="J108" s="425"/>
      <c r="K108" s="426" t="s">
        <v>752</v>
      </c>
      <c r="L108" s="440" t="s">
        <v>753</v>
      </c>
      <c r="M108" s="420"/>
      <c r="N108" s="420"/>
    </row>
    <row r="109" spans="1:44" outlineLevel="1">
      <c r="B109" s="441" t="s">
        <v>754</v>
      </c>
      <c r="C109" s="442">
        <v>60</v>
      </c>
      <c r="D109" s="442">
        <v>60</v>
      </c>
      <c r="E109" s="442">
        <v>60</v>
      </c>
      <c r="F109" s="442">
        <v>60</v>
      </c>
      <c r="G109" s="425"/>
      <c r="H109" s="425"/>
      <c r="I109" s="425"/>
      <c r="J109" s="425"/>
      <c r="K109" s="444"/>
      <c r="L109" s="373">
        <v>3</v>
      </c>
      <c r="M109" s="71"/>
      <c r="N109" s="420"/>
    </row>
    <row r="110" spans="1:44" outlineLevel="1">
      <c r="B110" s="441" t="s">
        <v>755</v>
      </c>
      <c r="C110" s="442">
        <v>40</v>
      </c>
      <c r="D110" s="442">
        <v>40</v>
      </c>
      <c r="E110" s="442">
        <v>40</v>
      </c>
      <c r="F110" s="442">
        <v>40</v>
      </c>
      <c r="G110" s="425"/>
      <c r="H110" s="425"/>
      <c r="I110" s="425"/>
      <c r="J110" s="425"/>
      <c r="K110" s="444"/>
      <c r="L110" s="373">
        <v>3</v>
      </c>
      <c r="M110" s="420"/>
      <c r="N110" s="420"/>
    </row>
    <row r="111" spans="1:44" outlineLevel="1">
      <c r="B111" s="383" t="s">
        <v>793</v>
      </c>
      <c r="C111" s="445">
        <f>1800/1000</f>
        <v>1.8</v>
      </c>
      <c r="D111" s="446">
        <v>1.7</v>
      </c>
      <c r="E111" s="446">
        <v>1.6</v>
      </c>
      <c r="F111" s="447">
        <v>1.5</v>
      </c>
      <c r="G111" s="425"/>
      <c r="H111" s="425"/>
      <c r="I111" s="425"/>
      <c r="J111" s="425"/>
      <c r="K111" s="448"/>
      <c r="L111" s="373">
        <v>3</v>
      </c>
      <c r="M111" s="420"/>
      <c r="N111" s="420"/>
    </row>
    <row r="112" spans="1:44" outlineLevel="1">
      <c r="B112" s="383" t="s">
        <v>794</v>
      </c>
      <c r="C112" s="449">
        <f>1/3.6</f>
        <v>0.27777777777777779</v>
      </c>
      <c r="D112" s="449">
        <f>0.9/3.6</f>
        <v>0.25</v>
      </c>
      <c r="E112" s="449">
        <f>0.9/3.6</f>
        <v>0.25</v>
      </c>
      <c r="F112" s="449">
        <f>0.9/3.6</f>
        <v>0.25</v>
      </c>
      <c r="G112" s="425"/>
      <c r="H112" s="425"/>
      <c r="I112" s="425"/>
      <c r="J112" s="425"/>
      <c r="K112" s="448"/>
      <c r="L112" s="373">
        <v>3</v>
      </c>
      <c r="M112" s="450"/>
      <c r="N112" s="361"/>
      <c r="P112" s="1142">
        <f>C112</f>
        <v>0.27777777777777779</v>
      </c>
      <c r="Q112" s="1143"/>
      <c r="R112" s="1143"/>
      <c r="S112" s="1143"/>
      <c r="T112" s="1143"/>
      <c r="U112" s="1144"/>
    </row>
    <row r="113" spans="2:30" ht="16" outlineLevel="1" thickBot="1">
      <c r="B113" s="500" t="s">
        <v>758</v>
      </c>
      <c r="C113" s="514">
        <v>0.10220000000000001</v>
      </c>
      <c r="D113" s="514">
        <v>0.09</v>
      </c>
      <c r="E113" s="514">
        <v>8.3600000000000008E-2</v>
      </c>
      <c r="F113" s="514">
        <v>7.5999999999999998E-2</v>
      </c>
      <c r="G113" s="515"/>
      <c r="H113" s="515"/>
      <c r="I113" s="515"/>
      <c r="J113" s="515"/>
      <c r="K113" s="503" t="s">
        <v>52</v>
      </c>
      <c r="L113" s="504">
        <v>3</v>
      </c>
      <c r="M113" s="450"/>
      <c r="N113" s="361"/>
      <c r="P113" s="1134">
        <f>C113</f>
        <v>0.10220000000000001</v>
      </c>
      <c r="Q113" s="1135"/>
      <c r="R113" s="1135"/>
      <c r="S113" s="1135"/>
      <c r="T113" s="1135"/>
      <c r="U113" s="1136"/>
    </row>
    <row r="114" spans="2:30" outlineLevel="1">
      <c r="B114" s="500" t="s">
        <v>759</v>
      </c>
      <c r="C114" s="516">
        <v>0.89779999999999993</v>
      </c>
      <c r="D114" s="516">
        <v>0.81</v>
      </c>
      <c r="E114" s="516">
        <v>0.81640000000000001</v>
      </c>
      <c r="F114" s="516">
        <v>0.82400000000000007</v>
      </c>
      <c r="G114" s="515"/>
      <c r="H114" s="515"/>
      <c r="I114" s="515"/>
      <c r="J114" s="515"/>
      <c r="K114" s="517"/>
      <c r="L114" s="504">
        <v>3</v>
      </c>
      <c r="M114" s="363"/>
      <c r="N114" s="363"/>
      <c r="P114" s="53" t="s">
        <v>357</v>
      </c>
    </row>
    <row r="115" spans="2:30" ht="30" outlineLevel="1">
      <c r="B115" s="441"/>
      <c r="C115" s="518"/>
      <c r="D115" s="518"/>
      <c r="E115" s="518"/>
      <c r="F115" s="518"/>
      <c r="G115" s="425"/>
      <c r="H115" s="425"/>
      <c r="I115" s="425"/>
      <c r="J115" s="425"/>
      <c r="K115" s="444"/>
      <c r="L115" s="424"/>
      <c r="M115" s="367"/>
      <c r="N115" s="367"/>
      <c r="P115" s="46" t="s">
        <v>335</v>
      </c>
      <c r="Q115" s="46" t="s">
        <v>336</v>
      </c>
      <c r="R115" s="47" t="s">
        <v>337</v>
      </c>
      <c r="S115" s="47" t="s">
        <v>338</v>
      </c>
      <c r="T115" s="47" t="s">
        <v>339</v>
      </c>
      <c r="U115" s="48" t="s">
        <v>340</v>
      </c>
      <c r="V115" s="49" t="s">
        <v>341</v>
      </c>
      <c r="W115" s="49" t="s">
        <v>342</v>
      </c>
      <c r="X115" s="49" t="s">
        <v>343</v>
      </c>
      <c r="Y115" s="49" t="s">
        <v>344</v>
      </c>
      <c r="Z115" s="49" t="s">
        <v>345</v>
      </c>
      <c r="AA115" s="49" t="s">
        <v>346</v>
      </c>
      <c r="AB115" s="49" t="s">
        <v>347</v>
      </c>
      <c r="AC115" s="49" t="s">
        <v>348</v>
      </c>
      <c r="AD115" s="49" t="s">
        <v>349</v>
      </c>
    </row>
    <row r="116" spans="2:30" ht="27" outlineLevel="1" thickBot="1">
      <c r="B116" s="519"/>
      <c r="C116" s="442"/>
      <c r="D116" s="520"/>
      <c r="E116" s="520"/>
      <c r="F116" s="521"/>
      <c r="G116" s="425"/>
      <c r="H116" s="425"/>
      <c r="I116" s="425"/>
      <c r="J116" s="425"/>
      <c r="K116" s="448"/>
      <c r="L116" s="424"/>
      <c r="M116" s="363"/>
      <c r="N116" s="363"/>
      <c r="P116" s="50"/>
      <c r="Q116" s="50"/>
      <c r="R116" s="51"/>
      <c r="S116" s="51"/>
      <c r="T116" s="51"/>
      <c r="U116" s="51" t="s">
        <v>760</v>
      </c>
      <c r="V116" s="50" t="s">
        <v>761</v>
      </c>
      <c r="W116" s="50"/>
      <c r="X116" s="50"/>
      <c r="Y116" s="50"/>
      <c r="Z116" s="50"/>
      <c r="AA116" s="50"/>
      <c r="AB116" s="50"/>
      <c r="AC116" s="50"/>
      <c r="AD116" s="50"/>
    </row>
    <row r="117" spans="2:30" ht="33" outlineLevel="1" thickBot="1">
      <c r="B117" s="401" t="s">
        <v>682</v>
      </c>
      <c r="C117" s="402"/>
      <c r="D117" s="403"/>
      <c r="E117" s="404"/>
      <c r="F117" s="405"/>
      <c r="G117" s="406"/>
      <c r="H117" s="406"/>
      <c r="I117" s="406"/>
      <c r="J117" s="406"/>
      <c r="K117" s="459"/>
      <c r="L117" s="460"/>
      <c r="M117" s="363"/>
      <c r="N117" s="363"/>
      <c r="O117" s="461" t="s">
        <v>732</v>
      </c>
      <c r="P117" s="56"/>
      <c r="Q117" s="56"/>
      <c r="R117" s="57"/>
      <c r="S117" s="57"/>
      <c r="T117" s="57"/>
      <c r="U117" s="56" t="s">
        <v>350</v>
      </c>
      <c r="V117" s="56" t="s">
        <v>326</v>
      </c>
      <c r="W117" s="56" t="s">
        <v>327</v>
      </c>
      <c r="X117" s="56" t="s">
        <v>351</v>
      </c>
      <c r="Y117" s="56" t="s">
        <v>351</v>
      </c>
      <c r="Z117" s="56" t="s">
        <v>352</v>
      </c>
      <c r="AA117" s="56" t="s">
        <v>352</v>
      </c>
      <c r="AB117" s="56" t="s">
        <v>352</v>
      </c>
      <c r="AC117" s="56" t="s">
        <v>352</v>
      </c>
      <c r="AD117" s="56" t="s">
        <v>352</v>
      </c>
    </row>
    <row r="118" spans="2:30" outlineLevel="1">
      <c r="B118" s="522" t="s">
        <v>762</v>
      </c>
      <c r="C118" s="523">
        <v>3.5000000000000003E-2</v>
      </c>
      <c r="D118" s="523">
        <v>0.03</v>
      </c>
      <c r="E118" s="523">
        <v>0.03</v>
      </c>
      <c r="F118" s="523">
        <v>0.03</v>
      </c>
      <c r="G118" s="524"/>
      <c r="H118" s="524"/>
      <c r="I118" s="524"/>
      <c r="J118" s="524"/>
      <c r="K118" s="524" t="s">
        <v>55</v>
      </c>
      <c r="L118" s="525"/>
      <c r="M118" s="363"/>
      <c r="N118" s="363"/>
      <c r="O118" s="465">
        <f>C91</f>
        <v>95</v>
      </c>
      <c r="P118" s="466">
        <f>C87</f>
        <v>2020</v>
      </c>
      <c r="Q118" s="58">
        <f>P118</f>
        <v>2020</v>
      </c>
      <c r="R118" s="466">
        <f>O118/100</f>
        <v>0.95</v>
      </c>
      <c r="S118" s="58"/>
      <c r="T118" s="466">
        <f>C95</f>
        <v>25</v>
      </c>
      <c r="U118" s="467">
        <f>C125</f>
        <v>327.8</v>
      </c>
      <c r="V118" s="467">
        <f>C127</f>
        <v>13.41</v>
      </c>
      <c r="W118" s="467">
        <f>C128</f>
        <v>2.0694444444444446</v>
      </c>
      <c r="X118" s="58"/>
      <c r="Y118" s="58"/>
      <c r="Z118" s="466">
        <f>C102</f>
        <v>0.5</v>
      </c>
      <c r="AA118" s="468">
        <f>C104</f>
        <v>25</v>
      </c>
      <c r="AB118" s="468">
        <f>C105</f>
        <v>0</v>
      </c>
      <c r="AC118" s="468">
        <f>C106</f>
        <v>0</v>
      </c>
      <c r="AD118" s="468">
        <f>C103</f>
        <v>0.1</v>
      </c>
    </row>
    <row r="119" spans="2:30" outlineLevel="1">
      <c r="B119" s="500" t="s">
        <v>763</v>
      </c>
      <c r="C119" s="526" t="s">
        <v>36</v>
      </c>
      <c r="D119" s="527" t="s">
        <v>36</v>
      </c>
      <c r="E119" s="527" t="s">
        <v>36</v>
      </c>
      <c r="F119" s="528" t="s">
        <v>36</v>
      </c>
      <c r="G119" s="528"/>
      <c r="H119" s="528"/>
      <c r="I119" s="528"/>
      <c r="J119" s="528"/>
      <c r="K119" s="529" t="s">
        <v>49</v>
      </c>
      <c r="L119" s="525"/>
      <c r="M119" s="363"/>
      <c r="N119" s="363"/>
      <c r="O119" s="465">
        <f>D91</f>
        <v>96</v>
      </c>
      <c r="P119" s="466">
        <f>D87</f>
        <v>2030</v>
      </c>
      <c r="Q119" s="58"/>
      <c r="R119" s="466">
        <f>O119/100</f>
        <v>0.96</v>
      </c>
      <c r="S119" s="58"/>
      <c r="T119" s="466">
        <f>D95</f>
        <v>25</v>
      </c>
      <c r="U119" s="467">
        <f>D125</f>
        <v>277.5952276995817</v>
      </c>
      <c r="V119" s="467">
        <f>D127</f>
        <v>12.664999999999999</v>
      </c>
      <c r="W119" s="467">
        <f>D128</f>
        <v>1.8625</v>
      </c>
      <c r="X119" s="58"/>
      <c r="Y119" s="58"/>
      <c r="Z119" s="466">
        <f>D102</f>
        <v>0.5</v>
      </c>
      <c r="AA119" s="468">
        <f>D104</f>
        <v>20</v>
      </c>
      <c r="AB119" s="468">
        <f>D105</f>
        <v>0</v>
      </c>
      <c r="AC119" s="468">
        <f>D106</f>
        <v>0</v>
      </c>
      <c r="AD119" s="468">
        <f>D103</f>
        <v>0.1</v>
      </c>
    </row>
    <row r="120" spans="2:30" outlineLevel="1">
      <c r="B120" s="500" t="s">
        <v>764</v>
      </c>
      <c r="C120" s="526" t="s">
        <v>36</v>
      </c>
      <c r="D120" s="527" t="s">
        <v>36</v>
      </c>
      <c r="E120" s="527" t="s">
        <v>36</v>
      </c>
      <c r="F120" s="528" t="s">
        <v>36</v>
      </c>
      <c r="G120" s="515"/>
      <c r="H120" s="515"/>
      <c r="I120" s="515"/>
      <c r="J120" s="515"/>
      <c r="K120" s="515"/>
      <c r="L120" s="504"/>
      <c r="M120" s="363"/>
      <c r="N120" s="363"/>
      <c r="O120" s="465">
        <f>E91</f>
        <v>97</v>
      </c>
      <c r="P120" s="466">
        <f>E87</f>
        <v>2040</v>
      </c>
      <c r="Q120" s="58"/>
      <c r="R120" s="466">
        <f>O120/100</f>
        <v>0.97</v>
      </c>
      <c r="S120" s="58"/>
      <c r="T120" s="466">
        <f>E95</f>
        <v>25</v>
      </c>
      <c r="U120" s="467">
        <f>E125</f>
        <v>265.81600000000003</v>
      </c>
      <c r="V120" s="467">
        <f>E127</f>
        <v>11.920000000000002</v>
      </c>
      <c r="W120" s="467">
        <f>E128</f>
        <v>1.8625</v>
      </c>
      <c r="X120" s="58"/>
      <c r="Y120" s="58"/>
      <c r="Z120" s="466">
        <f>E102</f>
        <v>0.5</v>
      </c>
      <c r="AA120" s="468">
        <f>E104</f>
        <v>18</v>
      </c>
      <c r="AB120" s="468">
        <f>E105</f>
        <v>0</v>
      </c>
      <c r="AC120" s="468">
        <f>E106</f>
        <v>0</v>
      </c>
      <c r="AD120" s="468">
        <f>E103</f>
        <v>0.1</v>
      </c>
    </row>
    <row r="121" spans="2:30" outlineLevel="1">
      <c r="B121" s="500" t="s">
        <v>765</v>
      </c>
      <c r="C121" s="530">
        <v>90</v>
      </c>
      <c r="D121" s="530">
        <v>90</v>
      </c>
      <c r="E121" s="530">
        <v>90</v>
      </c>
      <c r="F121" s="530">
        <v>90</v>
      </c>
      <c r="G121" s="531"/>
      <c r="H121" s="531"/>
      <c r="I121" s="531"/>
      <c r="J121" s="531"/>
      <c r="K121" s="531"/>
      <c r="L121" s="504">
        <v>3</v>
      </c>
      <c r="M121" s="363"/>
      <c r="N121" s="363"/>
      <c r="O121" s="465">
        <f>F91</f>
        <v>97</v>
      </c>
      <c r="P121" s="466">
        <f>F87</f>
        <v>2050</v>
      </c>
      <c r="Q121" s="58"/>
      <c r="R121" s="466">
        <f>O121/100</f>
        <v>0.97</v>
      </c>
      <c r="S121" s="58"/>
      <c r="T121" s="466">
        <f>F95</f>
        <v>25</v>
      </c>
      <c r="U121" s="467">
        <f>F125</f>
        <v>262.51188606957328</v>
      </c>
      <c r="V121" s="467">
        <f>F127</f>
        <v>11.175000000000001</v>
      </c>
      <c r="W121" s="467">
        <f>F128</f>
        <v>1.8625</v>
      </c>
      <c r="X121" s="58"/>
      <c r="Y121" s="58"/>
      <c r="Z121" s="466">
        <f>F102</f>
        <v>0.5</v>
      </c>
      <c r="AA121" s="468">
        <f>F104</f>
        <v>15</v>
      </c>
      <c r="AB121" s="468">
        <f>F105</f>
        <v>0</v>
      </c>
      <c r="AC121" s="468">
        <f>F106</f>
        <v>0</v>
      </c>
      <c r="AD121" s="468">
        <f>F103</f>
        <v>0.1</v>
      </c>
    </row>
    <row r="122" spans="2:30" outlineLevel="1">
      <c r="B122" s="532" t="s">
        <v>766</v>
      </c>
      <c r="C122" s="526"/>
      <c r="D122" s="527"/>
      <c r="E122" s="527"/>
      <c r="F122" s="528"/>
      <c r="G122" s="531"/>
      <c r="H122" s="531"/>
      <c r="I122" s="531"/>
      <c r="J122" s="531"/>
      <c r="K122" s="531"/>
      <c r="L122" s="533"/>
      <c r="M122" s="367"/>
      <c r="N122" s="367"/>
    </row>
    <row r="123" spans="2:30" outlineLevel="1">
      <c r="B123" s="532" t="s">
        <v>767</v>
      </c>
      <c r="C123" s="526"/>
      <c r="D123" s="527"/>
      <c r="E123" s="527"/>
      <c r="F123" s="528"/>
      <c r="G123" s="531"/>
      <c r="H123" s="531"/>
      <c r="I123" s="531"/>
      <c r="J123" s="531"/>
      <c r="K123" s="531"/>
      <c r="L123" s="533"/>
      <c r="M123" s="363"/>
      <c r="N123" s="363"/>
    </row>
    <row r="124" spans="2:30" ht="16" outlineLevel="1" thickBot="1">
      <c r="B124" s="534" t="s">
        <v>768</v>
      </c>
      <c r="C124" s="535"/>
      <c r="D124" s="536"/>
      <c r="E124" s="536"/>
      <c r="F124" s="537"/>
      <c r="G124" s="538"/>
      <c r="H124" s="538"/>
      <c r="I124" s="538"/>
      <c r="J124" s="538"/>
      <c r="K124" s="538"/>
      <c r="L124" s="539"/>
      <c r="M124" s="363"/>
      <c r="N124" s="363"/>
    </row>
    <row r="125" spans="2:30" ht="64" outlineLevel="1">
      <c r="B125" s="461" t="s">
        <v>769</v>
      </c>
      <c r="C125" s="483">
        <f>C108*$F$4*1000</f>
        <v>327.8</v>
      </c>
      <c r="D125" s="483">
        <f t="shared" ref="D125:F125" si="3">D108*$F$4*1000</f>
        <v>277.5952276995817</v>
      </c>
      <c r="E125" s="483">
        <f t="shared" si="3"/>
        <v>265.81600000000003</v>
      </c>
      <c r="F125" s="483">
        <f t="shared" si="3"/>
        <v>262.51188606957328</v>
      </c>
      <c r="G125" s="483"/>
      <c r="H125" s="484"/>
      <c r="I125" s="420" t="s">
        <v>332</v>
      </c>
      <c r="J125" s="420"/>
      <c r="K125" s="484"/>
      <c r="L125" s="484"/>
      <c r="N125" s="420"/>
    </row>
    <row r="126" spans="2:30" outlineLevel="1">
      <c r="B126" s="485" t="s">
        <v>770</v>
      </c>
      <c r="C126" s="486">
        <f>C125*$I126</f>
        <v>163900</v>
      </c>
      <c r="D126" s="486">
        <f>D125*$I126</f>
        <v>138797.61384979085</v>
      </c>
      <c r="E126" s="486">
        <f>E125*$I126</f>
        <v>132908.00000000003</v>
      </c>
      <c r="F126" s="486">
        <f>F125*$I126</f>
        <v>131255.94303478664</v>
      </c>
      <c r="G126" s="486"/>
      <c r="H126" s="484"/>
      <c r="I126" s="71">
        <v>500</v>
      </c>
      <c r="J126" s="420" t="s">
        <v>330</v>
      </c>
      <c r="K126" s="484"/>
      <c r="L126" s="484"/>
      <c r="N126" s="420"/>
    </row>
    <row r="127" spans="2:30" ht="48" outlineLevel="1">
      <c r="B127" s="461" t="s">
        <v>771</v>
      </c>
      <c r="C127" s="359">
        <f>C111*$F$4</f>
        <v>13.41</v>
      </c>
      <c r="D127" s="359">
        <f t="shared" ref="D127:F128" si="4">D111*$F$4</f>
        <v>12.664999999999999</v>
      </c>
      <c r="E127" s="359">
        <f t="shared" si="4"/>
        <v>11.920000000000002</v>
      </c>
      <c r="F127" s="359">
        <f t="shared" si="4"/>
        <v>11.175000000000001</v>
      </c>
      <c r="G127" s="359"/>
      <c r="I127" s="420" t="s">
        <v>333</v>
      </c>
      <c r="J127" s="420"/>
      <c r="N127" s="420"/>
    </row>
    <row r="128" spans="2:30" ht="48" outlineLevel="1">
      <c r="B128" s="461" t="s">
        <v>772</v>
      </c>
      <c r="C128" s="487">
        <f>C112*$F$4</f>
        <v>2.0694444444444446</v>
      </c>
      <c r="D128" s="487">
        <f t="shared" si="4"/>
        <v>1.8625</v>
      </c>
      <c r="E128" s="487">
        <f t="shared" si="4"/>
        <v>1.8625</v>
      </c>
      <c r="F128" s="487">
        <f t="shared" si="4"/>
        <v>1.8625</v>
      </c>
      <c r="G128" s="359"/>
      <c r="M128" s="420"/>
      <c r="N128" s="420"/>
    </row>
    <row r="129" spans="2:6" outlineLevel="1"/>
    <row r="130" spans="2:6" outlineLevel="1"/>
    <row r="131" spans="2:6" outlineLevel="1"/>
    <row r="132" spans="2:6" outlineLevel="1"/>
    <row r="133" spans="2:6" outlineLevel="1">
      <c r="B133" s="488" t="s">
        <v>773</v>
      </c>
      <c r="C133" s="489"/>
      <c r="D133" s="490"/>
      <c r="E133" s="490"/>
      <c r="F133" s="490"/>
    </row>
    <row r="134" spans="2:6" outlineLevel="1">
      <c r="B134" s="491">
        <v>1</v>
      </c>
      <c r="C134" s="492" t="s">
        <v>774</v>
      </c>
      <c r="E134" s="490"/>
      <c r="F134" s="490"/>
    </row>
    <row r="135" spans="2:6" outlineLevel="1">
      <c r="B135" s="491">
        <v>2</v>
      </c>
      <c r="C135" s="493" t="s">
        <v>775</v>
      </c>
      <c r="E135" s="490"/>
      <c r="F135" s="490"/>
    </row>
    <row r="136" spans="2:6" outlineLevel="1">
      <c r="B136" s="491">
        <v>3</v>
      </c>
      <c r="C136" s="493" t="s">
        <v>776</v>
      </c>
      <c r="E136" s="490"/>
      <c r="F136" s="490"/>
    </row>
    <row r="137" spans="2:6" outlineLevel="1">
      <c r="B137" s="491">
        <v>4</v>
      </c>
      <c r="C137" s="493" t="s">
        <v>777</v>
      </c>
      <c r="E137" s="490"/>
      <c r="F137" s="490"/>
    </row>
    <row r="138" spans="2:6" outlineLevel="1">
      <c r="B138" s="358">
        <v>5</v>
      </c>
      <c r="C138" s="494" t="s">
        <v>778</v>
      </c>
      <c r="D138" s="490"/>
      <c r="E138" s="490"/>
      <c r="F138" s="490"/>
    </row>
    <row r="139" spans="2:6" outlineLevel="1">
      <c r="B139" s="358">
        <v>6</v>
      </c>
      <c r="C139" s="492" t="s">
        <v>779</v>
      </c>
      <c r="D139" s="490"/>
      <c r="E139" s="490"/>
      <c r="F139" s="490"/>
    </row>
    <row r="140" spans="2:6" outlineLevel="1">
      <c r="B140" s="358">
        <v>7</v>
      </c>
      <c r="C140" s="495" t="s">
        <v>774</v>
      </c>
      <c r="D140" s="490"/>
      <c r="E140" s="490"/>
      <c r="F140" s="490"/>
    </row>
    <row r="141" spans="2:6" outlineLevel="1">
      <c r="B141" s="358">
        <v>8</v>
      </c>
      <c r="C141" s="495" t="s">
        <v>780</v>
      </c>
      <c r="D141" s="490"/>
      <c r="E141" s="490"/>
      <c r="F141" s="490"/>
    </row>
    <row r="142" spans="2:6" outlineLevel="1">
      <c r="B142" s="358">
        <v>9</v>
      </c>
      <c r="C142" s="489" t="s">
        <v>781</v>
      </c>
      <c r="D142" s="490"/>
      <c r="E142" s="490"/>
      <c r="F142" s="490"/>
    </row>
    <row r="143" spans="2:6" outlineLevel="1">
      <c r="B143" s="358">
        <v>10</v>
      </c>
      <c r="C143" s="490" t="s">
        <v>782</v>
      </c>
      <c r="D143" s="490"/>
      <c r="E143" s="490"/>
      <c r="F143" s="490"/>
    </row>
    <row r="144" spans="2:6" outlineLevel="1">
      <c r="B144" s="488" t="s">
        <v>783</v>
      </c>
      <c r="C144" s="489"/>
      <c r="D144" s="490"/>
      <c r="E144" s="490"/>
      <c r="F144" s="490"/>
    </row>
    <row r="145" spans="1:44" outlineLevel="1">
      <c r="B145" s="496" t="s">
        <v>6</v>
      </c>
      <c r="C145" s="497" t="s">
        <v>784</v>
      </c>
      <c r="E145" s="490"/>
      <c r="F145" s="490"/>
    </row>
    <row r="146" spans="1:44" outlineLevel="1">
      <c r="B146" s="496" t="s">
        <v>59</v>
      </c>
      <c r="C146" s="489" t="s">
        <v>785</v>
      </c>
      <c r="E146" s="490"/>
      <c r="F146" s="490"/>
    </row>
    <row r="147" spans="1:44" outlineLevel="1">
      <c r="B147" s="496" t="s">
        <v>16</v>
      </c>
      <c r="C147" s="489" t="s">
        <v>786</v>
      </c>
      <c r="E147" s="490"/>
      <c r="F147" s="490"/>
    </row>
    <row r="148" spans="1:44" outlineLevel="1">
      <c r="B148" s="496" t="s">
        <v>20</v>
      </c>
      <c r="C148" s="489" t="s">
        <v>787</v>
      </c>
      <c r="E148" s="490"/>
      <c r="F148" s="490"/>
    </row>
    <row r="149" spans="1:44" outlineLevel="1">
      <c r="B149" s="496" t="s">
        <v>76</v>
      </c>
      <c r="C149" s="498" t="s">
        <v>788</v>
      </c>
      <c r="E149" s="490"/>
      <c r="F149" s="490"/>
    </row>
    <row r="150" spans="1:44" outlineLevel="1">
      <c r="B150" s="496" t="s">
        <v>25</v>
      </c>
      <c r="C150" s="489" t="s">
        <v>789</v>
      </c>
      <c r="E150" s="490"/>
      <c r="F150" s="490"/>
    </row>
    <row r="151" spans="1:44" outlineLevel="1"/>
    <row r="152" spans="1:44" outlineLevel="1">
      <c r="M152" s="214"/>
    </row>
    <row r="153" spans="1:44" outlineLevel="1"/>
    <row r="156" spans="1:44">
      <c r="A156" s="360"/>
      <c r="B156" s="1207"/>
      <c r="C156" s="1143"/>
      <c r="D156" s="1143"/>
      <c r="E156" s="1143"/>
      <c r="F156" s="1143"/>
      <c r="G156" s="1143"/>
      <c r="H156" s="1143"/>
      <c r="I156" s="1143"/>
      <c r="J156" s="1143"/>
      <c r="K156" s="1143"/>
      <c r="L156" s="1143"/>
      <c r="M156" s="1143"/>
      <c r="N156" s="361"/>
      <c r="P156" s="1143"/>
      <c r="Q156" s="1143"/>
      <c r="R156" s="1143"/>
      <c r="S156" s="1143"/>
      <c r="T156" s="1143"/>
      <c r="U156" s="1143"/>
    </row>
    <row r="157" spans="1:44" ht="16" outlineLevel="1" thickBot="1">
      <c r="B157" s="1207"/>
      <c r="C157" s="1143"/>
      <c r="D157" s="1143"/>
      <c r="E157" s="1143"/>
      <c r="F157" s="1143"/>
      <c r="G157" s="1143"/>
      <c r="H157" s="1143"/>
      <c r="I157" s="1143"/>
      <c r="J157" s="1143"/>
      <c r="K157" s="1143"/>
      <c r="L157" s="1143"/>
      <c r="M157" s="1143"/>
      <c r="N157" s="361"/>
      <c r="P157" s="1143"/>
      <c r="Q157" s="1143"/>
      <c r="R157" s="1143"/>
      <c r="S157" s="1143"/>
      <c r="T157" s="1143"/>
      <c r="U157" s="1143"/>
    </row>
    <row r="158" spans="1:44" ht="20.5" customHeight="1" outlineLevel="1" thickBot="1">
      <c r="B158" s="362"/>
      <c r="C158" s="1186"/>
      <c r="D158" s="1205"/>
      <c r="E158" s="1205"/>
      <c r="F158" s="1205"/>
      <c r="G158" s="1205"/>
      <c r="H158" s="1205"/>
      <c r="I158" s="1205"/>
      <c r="J158" s="1205"/>
      <c r="K158" s="1205"/>
      <c r="L158" s="1206"/>
      <c r="M158" s="363"/>
      <c r="N158" s="363"/>
      <c r="P158" s="364"/>
      <c r="Q158" s="365"/>
      <c r="R158" s="366"/>
      <c r="S158" s="1176"/>
      <c r="T158" s="1160"/>
      <c r="U158" s="1161"/>
      <c r="V158" s="1160"/>
      <c r="W158" s="1161"/>
      <c r="X158" s="1160"/>
      <c r="Y158" s="1161"/>
      <c r="Z158" s="1160"/>
      <c r="AA158" s="1161"/>
      <c r="AB158" s="1160"/>
      <c r="AC158" s="1161"/>
      <c r="AE158" s="364"/>
      <c r="AF158" s="365"/>
      <c r="AG158" s="366"/>
      <c r="AH158" s="1176"/>
      <c r="AI158" s="1160"/>
      <c r="AJ158" s="1161"/>
      <c r="AK158" s="1160"/>
      <c r="AL158" s="1161"/>
      <c r="AM158" s="1160"/>
      <c r="AN158" s="1161"/>
      <c r="AO158" s="1160"/>
      <c r="AP158" s="1161"/>
      <c r="AQ158" s="1160"/>
      <c r="AR158" s="1161"/>
    </row>
    <row r="159" spans="1:44" ht="15" customHeight="1" outlineLevel="1" thickBot="1">
      <c r="B159" s="1164"/>
      <c r="C159" s="1166"/>
      <c r="D159" s="1166"/>
      <c r="E159" s="1166"/>
      <c r="F159" s="1166"/>
      <c r="G159" s="1221"/>
      <c r="H159" s="1222"/>
      <c r="I159" s="1221"/>
      <c r="J159" s="1222"/>
      <c r="K159" s="1189"/>
      <c r="L159" s="1189"/>
      <c r="M159" s="367"/>
      <c r="N159" s="367"/>
      <c r="P159" s="1180"/>
      <c r="Q159" s="368"/>
      <c r="R159" s="368"/>
      <c r="S159" s="1177"/>
      <c r="T159" s="1162"/>
      <c r="U159" s="1163"/>
      <c r="V159" s="1162"/>
      <c r="W159" s="1163"/>
      <c r="X159" s="1162"/>
      <c r="Y159" s="1163"/>
      <c r="Z159" s="1162"/>
      <c r="AA159" s="1163"/>
      <c r="AB159" s="1162"/>
      <c r="AC159" s="1163"/>
      <c r="AE159" s="1180"/>
      <c r="AF159" s="368"/>
      <c r="AG159" s="368"/>
      <c r="AH159" s="1177"/>
      <c r="AI159" s="1162"/>
      <c r="AJ159" s="1163"/>
      <c r="AK159" s="1162"/>
      <c r="AL159" s="1163"/>
      <c r="AM159" s="1162"/>
      <c r="AN159" s="1163"/>
      <c r="AO159" s="1162"/>
      <c r="AP159" s="1163"/>
      <c r="AQ159" s="1162"/>
      <c r="AR159" s="1163"/>
    </row>
    <row r="160" spans="1:44" ht="15" customHeight="1" outlineLevel="1" thickBot="1">
      <c r="B160" s="1165"/>
      <c r="C160" s="1167"/>
      <c r="D160" s="1167"/>
      <c r="E160" s="1167"/>
      <c r="F160" s="1167"/>
      <c r="G160" s="540"/>
      <c r="H160" s="540"/>
      <c r="I160" s="540"/>
      <c r="J160" s="540"/>
      <c r="K160" s="1190"/>
      <c r="L160" s="1190"/>
      <c r="M160" s="370"/>
      <c r="N160" s="370"/>
      <c r="P160" s="1181"/>
      <c r="Q160" s="1183"/>
      <c r="R160" s="1184"/>
      <c r="S160" s="1178"/>
      <c r="T160" s="1162"/>
      <c r="U160" s="1163"/>
      <c r="V160" s="1162"/>
      <c r="W160" s="1163"/>
      <c r="X160" s="1162"/>
      <c r="Y160" s="1163"/>
      <c r="Z160" s="1162"/>
      <c r="AA160" s="1163"/>
      <c r="AB160" s="1162"/>
      <c r="AC160" s="1163"/>
      <c r="AE160" s="1181"/>
      <c r="AF160" s="1197"/>
      <c r="AG160" s="1184"/>
      <c r="AH160" s="1178"/>
      <c r="AI160" s="1162"/>
      <c r="AJ160" s="1163"/>
      <c r="AK160" s="1162"/>
      <c r="AL160" s="1163"/>
      <c r="AM160" s="1162"/>
      <c r="AN160" s="1163"/>
      <c r="AO160" s="1162"/>
      <c r="AP160" s="1163"/>
      <c r="AQ160" s="1162"/>
      <c r="AR160" s="1163"/>
    </row>
    <row r="161" spans="2:44" ht="16" outlineLevel="1" thickBot="1">
      <c r="B161" s="371"/>
      <c r="C161" s="372"/>
      <c r="D161" s="372"/>
      <c r="E161" s="372"/>
      <c r="F161" s="372"/>
      <c r="G161" s="372"/>
      <c r="H161" s="372"/>
      <c r="I161" s="372"/>
      <c r="J161" s="372"/>
      <c r="K161" s="372"/>
      <c r="L161" s="373"/>
      <c r="M161" s="370"/>
      <c r="N161" s="370"/>
      <c r="O161" s="74"/>
      <c r="P161" s="1182"/>
      <c r="Q161" s="1179"/>
      <c r="R161" s="1185"/>
      <c r="S161" s="1179"/>
      <c r="T161" s="374"/>
      <c r="U161" s="375"/>
      <c r="V161" s="374"/>
      <c r="W161" s="375"/>
      <c r="X161" s="374"/>
      <c r="Y161" s="375"/>
      <c r="Z161" s="374"/>
      <c r="AA161" s="375"/>
      <c r="AB161" s="374"/>
      <c r="AC161" s="375"/>
      <c r="AE161" s="1182"/>
      <c r="AF161" s="1198"/>
      <c r="AG161" s="1185"/>
      <c r="AH161" s="1179"/>
      <c r="AI161" s="374"/>
      <c r="AJ161" s="375"/>
      <c r="AK161" s="374"/>
      <c r="AL161" s="375"/>
      <c r="AM161" s="374"/>
      <c r="AN161" s="375"/>
      <c r="AO161" s="374"/>
      <c r="AP161" s="375"/>
      <c r="AQ161" s="374"/>
      <c r="AR161" s="375"/>
    </row>
    <row r="162" spans="2:44" ht="14.5" customHeight="1" outlineLevel="1">
      <c r="B162" s="541"/>
      <c r="C162" s="542"/>
      <c r="D162" s="542"/>
      <c r="E162" s="543"/>
      <c r="F162" s="542"/>
      <c r="G162" s="542"/>
      <c r="H162" s="542"/>
      <c r="I162" s="542"/>
      <c r="J162" s="542"/>
      <c r="K162" s="372"/>
      <c r="L162" s="373"/>
      <c r="M162" s="370"/>
      <c r="N162" s="370"/>
      <c r="P162" s="1148"/>
      <c r="Q162" s="1154"/>
      <c r="R162" s="381"/>
      <c r="S162" s="382"/>
      <c r="T162" s="1137"/>
      <c r="U162" s="1151"/>
      <c r="V162" s="1137"/>
      <c r="W162" s="1151"/>
      <c r="X162" s="1137"/>
      <c r="Y162" s="1151"/>
      <c r="Z162" s="1137"/>
      <c r="AA162" s="1151"/>
      <c r="AB162" s="1137"/>
      <c r="AC162" s="1151"/>
      <c r="AE162" s="1148"/>
      <c r="AF162" s="1154"/>
      <c r="AG162" s="381"/>
      <c r="AH162" s="382"/>
      <c r="AI162" s="1137"/>
      <c r="AJ162" s="1151"/>
      <c r="AK162" s="1137"/>
      <c r="AL162" s="1151"/>
      <c r="AM162" s="1137"/>
      <c r="AN162" s="1151"/>
      <c r="AO162" s="1137"/>
      <c r="AP162" s="1151"/>
      <c r="AQ162" s="1137"/>
      <c r="AR162" s="1151"/>
    </row>
    <row r="163" spans="2:44" outlineLevel="1">
      <c r="B163" s="383"/>
      <c r="C163" s="384"/>
      <c r="D163" s="384"/>
      <c r="E163" s="384"/>
      <c r="F163" s="384"/>
      <c r="G163" s="505"/>
      <c r="H163" s="505"/>
      <c r="I163" s="505"/>
      <c r="J163" s="505"/>
      <c r="K163" s="372"/>
      <c r="L163" s="373"/>
      <c r="M163" s="370"/>
      <c r="N163" s="370"/>
      <c r="O163" s="71"/>
      <c r="P163" s="1195"/>
      <c r="Q163" s="1155"/>
      <c r="R163" s="388"/>
      <c r="S163" s="389"/>
      <c r="T163" s="1140"/>
      <c r="U163" s="1152"/>
      <c r="V163" s="1140"/>
      <c r="W163" s="1152"/>
      <c r="X163" s="1140"/>
      <c r="Y163" s="1152"/>
      <c r="Z163" s="1140"/>
      <c r="AA163" s="1152"/>
      <c r="AB163" s="1140"/>
      <c r="AC163" s="1152"/>
      <c r="AE163" s="1195"/>
      <c r="AF163" s="1155"/>
      <c r="AG163" s="388"/>
      <c r="AH163" s="389"/>
      <c r="AI163" s="1140"/>
      <c r="AJ163" s="1152"/>
      <c r="AK163" s="1140"/>
      <c r="AL163" s="1152"/>
      <c r="AM163" s="1140"/>
      <c r="AN163" s="1152"/>
      <c r="AO163" s="1140"/>
      <c r="AP163" s="1152"/>
      <c r="AQ163" s="1140"/>
      <c r="AR163" s="1152"/>
    </row>
    <row r="164" spans="2:44" ht="16" outlineLevel="1" thickBot="1">
      <c r="B164" s="541"/>
      <c r="C164" s="544"/>
      <c r="D164" s="545"/>
      <c r="E164" s="545"/>
      <c r="F164" s="546"/>
      <c r="G164" s="545"/>
      <c r="H164" s="545"/>
      <c r="I164" s="545"/>
      <c r="J164" s="545"/>
      <c r="K164" s="547"/>
      <c r="L164" s="548"/>
      <c r="M164" s="370"/>
      <c r="N164" s="370"/>
      <c r="O164" s="71"/>
      <c r="P164" s="1195"/>
      <c r="Q164" s="1156"/>
      <c r="R164" s="393"/>
      <c r="S164" s="394"/>
      <c r="T164" s="1141"/>
      <c r="U164" s="1153"/>
      <c r="V164" s="1141"/>
      <c r="W164" s="1153"/>
      <c r="X164" s="1141"/>
      <c r="Y164" s="1153"/>
      <c r="Z164" s="1141"/>
      <c r="AA164" s="1153"/>
      <c r="AB164" s="1141"/>
      <c r="AC164" s="1153"/>
      <c r="AE164" s="1195"/>
      <c r="AF164" s="1156"/>
      <c r="AG164" s="393"/>
      <c r="AH164" s="394"/>
      <c r="AI164" s="1141"/>
      <c r="AJ164" s="1153"/>
      <c r="AK164" s="1141"/>
      <c r="AL164" s="1153"/>
      <c r="AM164" s="1141"/>
      <c r="AN164" s="1153"/>
      <c r="AO164" s="1141"/>
      <c r="AP164" s="1153"/>
      <c r="AQ164" s="1141"/>
      <c r="AR164" s="1153"/>
    </row>
    <row r="165" spans="2:44" ht="14.5" customHeight="1" outlineLevel="1">
      <c r="B165" s="541"/>
      <c r="C165" s="544"/>
      <c r="D165" s="544"/>
      <c r="E165" s="544"/>
      <c r="F165" s="544"/>
      <c r="G165" s="544"/>
      <c r="H165" s="544"/>
      <c r="I165" s="544"/>
      <c r="J165" s="544"/>
      <c r="K165" s="547"/>
      <c r="L165" s="548"/>
      <c r="M165" s="370"/>
      <c r="N165" s="370"/>
      <c r="O165" s="71"/>
      <c r="P165" s="1195"/>
      <c r="Q165" s="1154"/>
      <c r="R165" s="395"/>
      <c r="S165" s="396"/>
      <c r="T165" s="1137"/>
      <c r="U165" s="1137"/>
      <c r="V165" s="1137"/>
      <c r="W165" s="1137"/>
      <c r="X165" s="1137"/>
      <c r="Y165" s="1137"/>
      <c r="Z165" s="1137"/>
      <c r="AA165" s="1137"/>
      <c r="AB165" s="1137"/>
      <c r="AC165" s="1137"/>
      <c r="AE165" s="1195"/>
      <c r="AF165" s="1154"/>
      <c r="AG165" s="395"/>
      <c r="AH165" s="396"/>
      <c r="AI165" s="1137"/>
      <c r="AJ165" s="1137"/>
      <c r="AK165" s="1137"/>
      <c r="AL165" s="1137"/>
      <c r="AM165" s="1137"/>
      <c r="AN165" s="1137"/>
      <c r="AO165" s="1137"/>
      <c r="AP165" s="1137"/>
      <c r="AQ165" s="1137"/>
      <c r="AR165" s="1137"/>
    </row>
    <row r="166" spans="2:44" outlineLevel="1">
      <c r="B166" s="541"/>
      <c r="C166" s="544"/>
      <c r="D166" s="544"/>
      <c r="E166" s="544"/>
      <c r="F166" s="544"/>
      <c r="G166" s="544"/>
      <c r="H166" s="544"/>
      <c r="I166" s="544"/>
      <c r="J166" s="544"/>
      <c r="K166" s="547"/>
      <c r="L166" s="548"/>
      <c r="M166" s="367"/>
      <c r="N166" s="367"/>
      <c r="O166" s="71"/>
      <c r="P166" s="1195"/>
      <c r="Q166" s="1155"/>
      <c r="R166" s="395"/>
      <c r="S166" s="396"/>
      <c r="T166" s="1138"/>
      <c r="U166" s="1138"/>
      <c r="V166" s="1138"/>
      <c r="W166" s="1138"/>
      <c r="X166" s="1138"/>
      <c r="Y166" s="1138"/>
      <c r="Z166" s="1138"/>
      <c r="AA166" s="1138"/>
      <c r="AB166" s="1138"/>
      <c r="AC166" s="1138"/>
      <c r="AE166" s="1195"/>
      <c r="AF166" s="1155"/>
      <c r="AG166" s="395"/>
      <c r="AH166" s="396"/>
      <c r="AI166" s="1138"/>
      <c r="AJ166" s="1138"/>
      <c r="AK166" s="1138"/>
      <c r="AL166" s="1138"/>
      <c r="AM166" s="1138"/>
      <c r="AN166" s="1138"/>
      <c r="AO166" s="1138"/>
      <c r="AP166" s="1138"/>
      <c r="AQ166" s="1138"/>
      <c r="AR166" s="1138"/>
    </row>
    <row r="167" spans="2:44" outlineLevel="1">
      <c r="B167" s="383"/>
      <c r="C167" s="397"/>
      <c r="D167" s="397"/>
      <c r="E167" s="397"/>
      <c r="F167" s="399"/>
      <c r="G167" s="399"/>
      <c r="H167" s="399"/>
      <c r="I167" s="399"/>
      <c r="J167" s="399"/>
      <c r="K167" s="372"/>
      <c r="L167" s="373"/>
      <c r="M167" s="363"/>
      <c r="N167" s="363"/>
      <c r="P167" s="1195"/>
      <c r="Q167" s="1155"/>
      <c r="R167" s="395"/>
      <c r="S167" s="396"/>
      <c r="T167" s="1138"/>
      <c r="U167" s="1138"/>
      <c r="V167" s="1138"/>
      <c r="W167" s="1138"/>
      <c r="X167" s="1138"/>
      <c r="Y167" s="1138"/>
      <c r="Z167" s="1138"/>
      <c r="AA167" s="1138"/>
      <c r="AB167" s="1138"/>
      <c r="AC167" s="1138"/>
      <c r="AE167" s="1195"/>
      <c r="AF167" s="1155"/>
      <c r="AG167" s="395"/>
      <c r="AH167" s="396"/>
      <c r="AI167" s="1138"/>
      <c r="AJ167" s="1138"/>
      <c r="AK167" s="1138"/>
      <c r="AL167" s="1138"/>
      <c r="AM167" s="1138"/>
      <c r="AN167" s="1138"/>
      <c r="AO167" s="1138"/>
      <c r="AP167" s="1138"/>
      <c r="AQ167" s="1138"/>
      <c r="AR167" s="1138"/>
    </row>
    <row r="168" spans="2:44" ht="16" outlineLevel="1" thickBot="1">
      <c r="B168" s="541"/>
      <c r="C168" s="544"/>
      <c r="D168" s="544"/>
      <c r="E168" s="544"/>
      <c r="F168" s="544"/>
      <c r="G168" s="544"/>
      <c r="H168" s="544"/>
      <c r="I168" s="544"/>
      <c r="J168" s="544"/>
      <c r="K168" s="372"/>
      <c r="L168" s="400"/>
      <c r="M168" s="363"/>
      <c r="N168" s="363"/>
      <c r="P168" s="1195"/>
      <c r="Q168" s="1155"/>
      <c r="R168" s="395"/>
      <c r="S168" s="396"/>
      <c r="T168" s="1138"/>
      <c r="U168" s="1138"/>
      <c r="V168" s="1138"/>
      <c r="W168" s="1138"/>
      <c r="X168" s="1138"/>
      <c r="Y168" s="1138"/>
      <c r="Z168" s="1138"/>
      <c r="AA168" s="1138"/>
      <c r="AB168" s="1138"/>
      <c r="AC168" s="1138"/>
      <c r="AE168" s="1195"/>
      <c r="AF168" s="1155"/>
      <c r="AG168" s="395"/>
      <c r="AH168" s="396"/>
      <c r="AI168" s="1138"/>
      <c r="AJ168" s="1138"/>
      <c r="AK168" s="1138"/>
      <c r="AL168" s="1138"/>
      <c r="AM168" s="1138"/>
      <c r="AN168" s="1138"/>
      <c r="AO168" s="1138"/>
      <c r="AP168" s="1138"/>
      <c r="AQ168" s="1138"/>
      <c r="AR168" s="1138"/>
    </row>
    <row r="169" spans="2:44" ht="16" outlineLevel="1" thickBot="1">
      <c r="B169" s="401"/>
      <c r="C169" s="402"/>
      <c r="D169" s="403"/>
      <c r="E169" s="404"/>
      <c r="F169" s="405"/>
      <c r="G169" s="406"/>
      <c r="H169" s="406"/>
      <c r="I169" s="406"/>
      <c r="J169" s="406"/>
      <c r="K169" s="407"/>
      <c r="L169" s="408"/>
      <c r="M169" s="363"/>
      <c r="N169" s="363"/>
      <c r="P169" s="1195"/>
      <c r="Q169" s="1155"/>
      <c r="R169" s="409"/>
      <c r="S169" s="410"/>
      <c r="T169" s="1139"/>
      <c r="U169" s="1139"/>
      <c r="V169" s="1139"/>
      <c r="W169" s="1139"/>
      <c r="X169" s="1139"/>
      <c r="Y169" s="1139"/>
      <c r="Z169" s="1139"/>
      <c r="AA169" s="1139"/>
      <c r="AB169" s="1139"/>
      <c r="AC169" s="1139"/>
      <c r="AE169" s="1195"/>
      <c r="AF169" s="1155"/>
      <c r="AG169" s="409"/>
      <c r="AH169" s="410"/>
      <c r="AI169" s="1139"/>
      <c r="AJ169" s="1139"/>
      <c r="AK169" s="1139"/>
      <c r="AL169" s="1139"/>
      <c r="AM169" s="1139"/>
      <c r="AN169" s="1139"/>
      <c r="AO169" s="1139"/>
      <c r="AP169" s="1139"/>
      <c r="AQ169" s="1139"/>
      <c r="AR169" s="1139"/>
    </row>
    <row r="170" spans="2:44" ht="16" outlineLevel="1" thickBot="1">
      <c r="B170" s="541"/>
      <c r="C170" s="544"/>
      <c r="D170" s="544"/>
      <c r="E170" s="544"/>
      <c r="F170" s="544"/>
      <c r="G170" s="545"/>
      <c r="H170" s="545"/>
      <c r="I170" s="545"/>
      <c r="J170" s="545"/>
      <c r="K170" s="547"/>
      <c r="L170" s="548"/>
      <c r="M170" s="363"/>
      <c r="N170" s="363"/>
      <c r="P170" s="1196"/>
      <c r="Q170" s="411"/>
      <c r="R170" s="412"/>
      <c r="S170" s="413"/>
      <c r="T170" s="414"/>
      <c r="U170" s="415"/>
      <c r="V170" s="416"/>
      <c r="W170" s="415"/>
      <c r="X170" s="416"/>
      <c r="Y170" s="415"/>
      <c r="Z170" s="416"/>
      <c r="AA170" s="415"/>
      <c r="AB170" s="416"/>
      <c r="AC170" s="417"/>
      <c r="AE170" s="1196"/>
      <c r="AF170" s="411"/>
      <c r="AG170" s="412"/>
      <c r="AH170" s="413"/>
      <c r="AI170" s="414"/>
      <c r="AJ170" s="415"/>
      <c r="AK170" s="416"/>
      <c r="AL170" s="415"/>
      <c r="AM170" s="416"/>
      <c r="AN170" s="415"/>
      <c r="AO170" s="416"/>
      <c r="AP170" s="415"/>
      <c r="AQ170" s="416"/>
      <c r="AR170" s="417"/>
    </row>
    <row r="171" spans="2:44" outlineLevel="1">
      <c r="B171" s="541"/>
      <c r="C171" s="544"/>
      <c r="D171" s="544"/>
      <c r="E171" s="544"/>
      <c r="F171" s="544"/>
      <c r="G171" s="549"/>
      <c r="H171" s="549"/>
      <c r="I171" s="549"/>
      <c r="J171" s="549"/>
      <c r="K171" s="550"/>
      <c r="L171" s="548"/>
      <c r="M171" s="363"/>
      <c r="N171" s="363"/>
    </row>
    <row r="172" spans="2:44" outlineLevel="1">
      <c r="B172" s="541"/>
      <c r="C172" s="544"/>
      <c r="D172" s="544"/>
      <c r="E172" s="544"/>
      <c r="F172" s="544"/>
      <c r="G172" s="549"/>
      <c r="H172" s="549"/>
      <c r="I172" s="549"/>
      <c r="J172" s="549"/>
      <c r="K172" s="550"/>
      <c r="L172" s="548"/>
      <c r="M172" s="420"/>
      <c r="N172" s="363"/>
    </row>
    <row r="173" spans="2:44" outlineLevel="1">
      <c r="B173" s="421"/>
      <c r="C173" s="399"/>
      <c r="D173" s="399"/>
      <c r="E173" s="399"/>
      <c r="F173" s="399"/>
      <c r="G173" s="422"/>
      <c r="H173" s="422"/>
      <c r="I173" s="422"/>
      <c r="J173" s="422"/>
      <c r="K173" s="423"/>
      <c r="L173" s="424"/>
      <c r="M173" s="420"/>
      <c r="N173" s="420"/>
    </row>
    <row r="174" spans="2:44" outlineLevel="1">
      <c r="B174" s="383"/>
      <c r="C174" s="397"/>
      <c r="D174" s="397"/>
      <c r="E174" s="397"/>
      <c r="F174" s="397"/>
      <c r="G174" s="422"/>
      <c r="H174" s="425"/>
      <c r="I174" s="425"/>
      <c r="J174" s="425"/>
      <c r="K174" s="426"/>
      <c r="L174" s="427"/>
      <c r="M174" s="428"/>
      <c r="N174" s="428"/>
    </row>
    <row r="175" spans="2:44" outlineLevel="1">
      <c r="B175" s="383"/>
      <c r="C175" s="397"/>
      <c r="D175" s="397"/>
      <c r="E175" s="397"/>
      <c r="F175" s="397"/>
      <c r="G175" s="425"/>
      <c r="H175" s="425"/>
      <c r="I175" s="425"/>
      <c r="J175" s="425"/>
      <c r="K175" s="423"/>
      <c r="L175" s="427"/>
      <c r="M175" s="428"/>
      <c r="N175" s="428"/>
    </row>
    <row r="176" spans="2:44" outlineLevel="1">
      <c r="B176" s="383"/>
      <c r="C176" s="397"/>
      <c r="D176" s="397"/>
      <c r="E176" s="397"/>
      <c r="F176" s="397"/>
      <c r="G176" s="425"/>
      <c r="H176" s="425"/>
      <c r="I176" s="425"/>
      <c r="J176" s="425"/>
      <c r="K176" s="423"/>
      <c r="L176" s="427"/>
      <c r="M176" s="428"/>
      <c r="N176" s="428"/>
    </row>
    <row r="177" spans="1:30" outlineLevel="1">
      <c r="B177" s="383"/>
      <c r="C177" s="397"/>
      <c r="D177" s="397"/>
      <c r="E177" s="397"/>
      <c r="F177" s="397"/>
      <c r="G177" s="425"/>
      <c r="H177" s="425"/>
      <c r="I177" s="425"/>
      <c r="J177" s="425"/>
      <c r="K177" s="423"/>
      <c r="L177" s="427"/>
      <c r="M177" s="428"/>
      <c r="N177" s="428"/>
    </row>
    <row r="178" spans="1:30" ht="16" outlineLevel="1" thickBot="1">
      <c r="B178" s="429"/>
      <c r="C178" s="430"/>
      <c r="D178" s="430"/>
      <c r="E178" s="430"/>
      <c r="F178" s="430"/>
      <c r="G178" s="425"/>
      <c r="H178" s="425"/>
      <c r="I178" s="425"/>
      <c r="J178" s="425"/>
      <c r="K178" s="423"/>
      <c r="L178" s="427"/>
      <c r="M178" s="428"/>
      <c r="N178" s="428"/>
    </row>
    <row r="179" spans="1:30" ht="16" outlineLevel="1" thickBot="1">
      <c r="B179" s="431"/>
      <c r="C179" s="432"/>
      <c r="D179" s="403"/>
      <c r="E179" s="403"/>
      <c r="F179" s="433"/>
      <c r="G179" s="434"/>
      <c r="H179" s="406"/>
      <c r="I179" s="406"/>
      <c r="J179" s="406"/>
      <c r="K179" s="407"/>
      <c r="L179" s="408"/>
      <c r="M179" s="428"/>
      <c r="N179" s="428"/>
    </row>
    <row r="180" spans="1:30" outlineLevel="1">
      <c r="A180" s="435"/>
      <c r="B180" s="436"/>
      <c r="C180" s="551"/>
      <c r="D180" s="438"/>
      <c r="E180" s="438"/>
      <c r="F180" s="439"/>
      <c r="G180" s="425"/>
      <c r="H180" s="425"/>
      <c r="I180" s="425"/>
      <c r="J180" s="425"/>
      <c r="K180" s="426"/>
      <c r="L180" s="440"/>
      <c r="M180" s="420"/>
      <c r="N180" s="420"/>
    </row>
    <row r="181" spans="1:30" outlineLevel="1">
      <c r="B181" s="441"/>
      <c r="C181" s="442"/>
      <c r="D181" s="443"/>
      <c r="E181" s="443"/>
      <c r="F181" s="443"/>
      <c r="G181" s="425"/>
      <c r="H181" s="425"/>
      <c r="I181" s="425"/>
      <c r="J181" s="425"/>
      <c r="K181" s="444"/>
      <c r="L181" s="373"/>
      <c r="M181" s="71"/>
      <c r="N181" s="420"/>
    </row>
    <row r="182" spans="1:30" outlineLevel="1">
      <c r="B182" s="441"/>
      <c r="C182" s="442"/>
      <c r="D182" s="442"/>
      <c r="E182" s="442"/>
      <c r="F182" s="442"/>
      <c r="G182" s="425"/>
      <c r="H182" s="425"/>
      <c r="I182" s="425"/>
      <c r="J182" s="425"/>
      <c r="K182" s="444"/>
      <c r="L182" s="373"/>
      <c r="M182" s="420"/>
      <c r="N182" s="420"/>
    </row>
    <row r="183" spans="1:30" outlineLevel="1">
      <c r="B183" s="383"/>
      <c r="C183" s="445"/>
      <c r="D183" s="446"/>
      <c r="E183" s="446"/>
      <c r="F183" s="447"/>
      <c r="G183" s="425"/>
      <c r="H183" s="425"/>
      <c r="I183" s="425"/>
      <c r="J183" s="425"/>
      <c r="K183" s="448"/>
      <c r="L183" s="373"/>
      <c r="M183" s="420"/>
      <c r="N183" s="420"/>
    </row>
    <row r="184" spans="1:30" outlineLevel="1">
      <c r="B184" s="383"/>
      <c r="C184" s="449"/>
      <c r="D184" s="449"/>
      <c r="E184" s="449"/>
      <c r="F184" s="449"/>
      <c r="G184" s="425"/>
      <c r="H184" s="425"/>
      <c r="I184" s="425"/>
      <c r="J184" s="425"/>
      <c r="K184" s="448"/>
      <c r="L184" s="373"/>
      <c r="M184" s="450"/>
      <c r="N184" s="361"/>
      <c r="P184" s="1142"/>
      <c r="Q184" s="1143"/>
      <c r="R184" s="1143"/>
      <c r="S184" s="1143"/>
      <c r="T184" s="1143"/>
      <c r="U184" s="1144"/>
    </row>
    <row r="185" spans="1:30" ht="16" outlineLevel="1" thickBot="1">
      <c r="B185" s="541"/>
      <c r="C185" s="552"/>
      <c r="D185" s="552"/>
      <c r="E185" s="552"/>
      <c r="F185" s="552"/>
      <c r="G185" s="553"/>
      <c r="H185" s="553"/>
      <c r="I185" s="553"/>
      <c r="J185" s="553"/>
      <c r="K185" s="547"/>
      <c r="L185" s="548"/>
      <c r="M185" s="450"/>
      <c r="N185" s="361"/>
      <c r="P185" s="1134"/>
      <c r="Q185" s="1135"/>
      <c r="R185" s="1135"/>
      <c r="S185" s="1135"/>
      <c r="T185" s="1135"/>
      <c r="U185" s="1136"/>
    </row>
    <row r="186" spans="1:30" outlineLevel="1">
      <c r="B186" s="541"/>
      <c r="C186" s="554"/>
      <c r="D186" s="554"/>
      <c r="E186" s="554"/>
      <c r="F186" s="554"/>
      <c r="G186" s="553"/>
      <c r="H186" s="553"/>
      <c r="I186" s="553"/>
      <c r="J186" s="553"/>
      <c r="K186" s="555"/>
      <c r="L186" s="548"/>
      <c r="M186" s="363"/>
      <c r="N186" s="363"/>
      <c r="P186" s="53"/>
    </row>
    <row r="187" spans="1:30" outlineLevel="1">
      <c r="B187" s="441"/>
      <c r="C187" s="456"/>
      <c r="D187" s="456"/>
      <c r="E187" s="456"/>
      <c r="F187" s="456"/>
      <c r="G187" s="425"/>
      <c r="H187" s="425"/>
      <c r="I187" s="425"/>
      <c r="J187" s="425"/>
      <c r="K187" s="444"/>
      <c r="L187" s="424"/>
      <c r="M187" s="367"/>
      <c r="N187" s="367"/>
      <c r="P187" s="46"/>
      <c r="Q187" s="46"/>
      <c r="R187" s="47"/>
      <c r="S187" s="47"/>
      <c r="T187" s="47"/>
      <c r="U187" s="48"/>
      <c r="V187" s="49"/>
      <c r="W187" s="49"/>
      <c r="X187" s="49"/>
      <c r="Y187" s="49"/>
      <c r="Z187" s="49"/>
      <c r="AA187" s="49"/>
      <c r="AB187" s="49"/>
      <c r="AC187" s="49"/>
      <c r="AD187" s="49"/>
    </row>
    <row r="188" spans="1:30" ht="16" outlineLevel="1" thickBot="1">
      <c r="B188" s="441"/>
      <c r="C188" s="442"/>
      <c r="D188" s="457"/>
      <c r="E188" s="457"/>
      <c r="F188" s="458"/>
      <c r="G188" s="425"/>
      <c r="H188" s="425"/>
      <c r="I188" s="425"/>
      <c r="J188" s="425"/>
      <c r="K188" s="448"/>
      <c r="L188" s="424"/>
      <c r="M188" s="363"/>
      <c r="N188" s="363"/>
      <c r="P188" s="50"/>
      <c r="Q188" s="50"/>
      <c r="R188" s="51"/>
      <c r="S188" s="51"/>
      <c r="T188" s="51"/>
      <c r="U188" s="51"/>
      <c r="V188" s="50"/>
      <c r="W188" s="50"/>
      <c r="X188" s="50"/>
      <c r="Y188" s="50"/>
      <c r="Z188" s="50"/>
      <c r="AA188" s="50"/>
      <c r="AB188" s="50"/>
      <c r="AC188" s="50"/>
      <c r="AD188" s="50"/>
    </row>
    <row r="189" spans="1:30" ht="16" outlineLevel="1" thickBot="1">
      <c r="B189" s="401"/>
      <c r="C189" s="402"/>
      <c r="D189" s="403"/>
      <c r="E189" s="404"/>
      <c r="F189" s="405"/>
      <c r="G189" s="406"/>
      <c r="H189" s="406"/>
      <c r="I189" s="406"/>
      <c r="J189" s="406"/>
      <c r="K189" s="459"/>
      <c r="L189" s="460"/>
      <c r="M189" s="363"/>
      <c r="N189" s="363"/>
      <c r="O189" s="461"/>
      <c r="P189" s="56"/>
      <c r="Q189" s="56"/>
      <c r="R189" s="57"/>
      <c r="S189" s="57"/>
      <c r="T189" s="57"/>
      <c r="U189" s="56"/>
      <c r="V189" s="56"/>
      <c r="W189" s="56"/>
      <c r="X189" s="56"/>
      <c r="Y189" s="56"/>
      <c r="Z189" s="56"/>
      <c r="AA189" s="56"/>
      <c r="AB189" s="56"/>
      <c r="AC189" s="56"/>
      <c r="AD189" s="56"/>
    </row>
    <row r="190" spans="1:30" outlineLevel="1">
      <c r="B190" s="556"/>
      <c r="C190" s="557"/>
      <c r="D190" s="557"/>
      <c r="E190" s="557"/>
      <c r="F190" s="557"/>
      <c r="G190" s="558"/>
      <c r="H190" s="558"/>
      <c r="I190" s="558"/>
      <c r="J190" s="558"/>
      <c r="K190" s="558"/>
      <c r="L190" s="559"/>
      <c r="M190" s="363"/>
      <c r="N190" s="363"/>
      <c r="O190" s="465"/>
      <c r="P190" s="466"/>
      <c r="Q190" s="58"/>
      <c r="R190" s="466"/>
      <c r="S190" s="58"/>
      <c r="T190" s="466"/>
      <c r="U190" s="467"/>
      <c r="V190" s="467"/>
      <c r="W190" s="467"/>
      <c r="X190" s="58"/>
      <c r="Y190" s="58"/>
      <c r="Z190" s="466"/>
      <c r="AA190" s="468"/>
      <c r="AB190" s="468"/>
      <c r="AC190" s="468"/>
      <c r="AD190" s="468"/>
    </row>
    <row r="191" spans="1:30" outlineLevel="1">
      <c r="B191" s="541"/>
      <c r="C191" s="560"/>
      <c r="D191" s="561"/>
      <c r="E191" s="561"/>
      <c r="F191" s="562"/>
      <c r="G191" s="562"/>
      <c r="H191" s="562"/>
      <c r="I191" s="562"/>
      <c r="J191" s="562"/>
      <c r="K191" s="563"/>
      <c r="L191" s="559"/>
      <c r="M191" s="363"/>
      <c r="N191" s="363"/>
      <c r="O191" s="465"/>
      <c r="P191" s="466"/>
      <c r="Q191" s="58"/>
      <c r="R191" s="466"/>
      <c r="S191" s="58"/>
      <c r="T191" s="466"/>
      <c r="U191" s="467"/>
      <c r="V191" s="467"/>
      <c r="W191" s="467"/>
      <c r="X191" s="58"/>
      <c r="Y191" s="58"/>
      <c r="Z191" s="466"/>
      <c r="AA191" s="468"/>
      <c r="AB191" s="468"/>
      <c r="AC191" s="468"/>
      <c r="AD191" s="468"/>
    </row>
    <row r="192" spans="1:30" outlineLevel="1">
      <c r="B192" s="541"/>
      <c r="C192" s="560"/>
      <c r="D192" s="561"/>
      <c r="E192" s="561"/>
      <c r="F192" s="562"/>
      <c r="G192" s="562"/>
      <c r="H192" s="562"/>
      <c r="I192" s="562"/>
      <c r="J192" s="562"/>
      <c r="K192" s="563"/>
      <c r="L192" s="559"/>
      <c r="M192" s="363"/>
      <c r="N192" s="363"/>
      <c r="O192" s="465"/>
      <c r="P192" s="466"/>
      <c r="Q192" s="58"/>
      <c r="R192" s="466"/>
      <c r="S192" s="58"/>
      <c r="T192" s="466"/>
      <c r="U192" s="467"/>
      <c r="V192" s="467"/>
      <c r="W192" s="467"/>
      <c r="X192" s="58"/>
      <c r="Y192" s="58"/>
      <c r="Z192" s="466"/>
      <c r="AA192" s="468"/>
      <c r="AB192" s="468"/>
      <c r="AC192" s="468"/>
      <c r="AD192" s="468"/>
    </row>
    <row r="193" spans="1:30" outlineLevel="1">
      <c r="B193" s="541"/>
      <c r="C193" s="564"/>
      <c r="D193" s="564"/>
      <c r="E193" s="564"/>
      <c r="F193" s="564"/>
      <c r="G193" s="565"/>
      <c r="H193" s="565"/>
      <c r="I193" s="565"/>
      <c r="J193" s="565"/>
      <c r="K193" s="565"/>
      <c r="L193" s="548"/>
      <c r="M193" s="363"/>
      <c r="N193" s="363"/>
      <c r="O193" s="465"/>
      <c r="P193" s="466"/>
      <c r="Q193" s="58"/>
      <c r="R193" s="466"/>
      <c r="S193" s="58"/>
      <c r="T193" s="466"/>
      <c r="U193" s="467"/>
      <c r="V193" s="467"/>
      <c r="W193" s="467"/>
      <c r="X193" s="58"/>
      <c r="Y193" s="58"/>
      <c r="Z193" s="466"/>
      <c r="AA193" s="468"/>
      <c r="AB193" s="468"/>
      <c r="AC193" s="468"/>
      <c r="AD193" s="468"/>
    </row>
    <row r="194" spans="1:30" outlineLevel="1">
      <c r="B194" s="566"/>
      <c r="C194" s="560"/>
      <c r="D194" s="561"/>
      <c r="E194" s="561"/>
      <c r="F194" s="562"/>
      <c r="G194" s="562"/>
      <c r="H194" s="562"/>
      <c r="I194" s="562"/>
      <c r="J194" s="562"/>
      <c r="K194" s="563"/>
      <c r="L194" s="559"/>
      <c r="M194" s="367"/>
      <c r="N194" s="367"/>
    </row>
    <row r="195" spans="1:30" outlineLevel="1">
      <c r="B195" s="566"/>
      <c r="C195" s="560"/>
      <c r="D195" s="561"/>
      <c r="E195" s="561"/>
      <c r="F195" s="562"/>
      <c r="G195" s="562"/>
      <c r="H195" s="562"/>
      <c r="I195" s="562"/>
      <c r="J195" s="562"/>
      <c r="K195" s="563"/>
      <c r="L195" s="559"/>
      <c r="M195" s="363"/>
      <c r="N195" s="363"/>
    </row>
    <row r="196" spans="1:30" ht="16" outlineLevel="1" thickBot="1">
      <c r="B196" s="567"/>
      <c r="C196" s="568"/>
      <c r="D196" s="568"/>
      <c r="E196" s="568"/>
      <c r="F196" s="568"/>
      <c r="G196" s="568"/>
      <c r="H196" s="568"/>
      <c r="I196" s="568"/>
      <c r="J196" s="568"/>
      <c r="K196" s="568"/>
      <c r="L196" s="569"/>
      <c r="M196" s="363"/>
      <c r="N196" s="363"/>
    </row>
    <row r="197" spans="1:30" outlineLevel="1">
      <c r="B197" s="461"/>
      <c r="C197" s="483"/>
      <c r="D197" s="483"/>
      <c r="E197" s="483"/>
      <c r="F197" s="483"/>
      <c r="G197" s="483"/>
      <c r="H197" s="484"/>
      <c r="I197" s="420"/>
      <c r="J197" s="420"/>
      <c r="K197" s="484"/>
      <c r="L197" s="484"/>
      <c r="N197" s="420"/>
    </row>
    <row r="198" spans="1:30" outlineLevel="1">
      <c r="B198" s="485"/>
      <c r="C198" s="486"/>
      <c r="D198" s="486"/>
      <c r="E198" s="486"/>
      <c r="F198" s="486"/>
      <c r="G198" s="486"/>
      <c r="H198" s="484"/>
      <c r="I198" s="71"/>
      <c r="J198" s="420"/>
      <c r="K198" s="484"/>
      <c r="L198" s="484"/>
      <c r="N198" s="420"/>
    </row>
    <row r="199" spans="1:30" outlineLevel="1">
      <c r="B199" s="461"/>
      <c r="C199" s="359"/>
      <c r="D199" s="359"/>
      <c r="E199" s="359"/>
      <c r="F199" s="359"/>
      <c r="G199" s="359"/>
      <c r="I199" s="420"/>
      <c r="J199" s="420"/>
      <c r="N199" s="420"/>
    </row>
    <row r="200" spans="1:30" outlineLevel="1">
      <c r="B200" s="461"/>
      <c r="C200" s="487"/>
      <c r="D200" s="487"/>
      <c r="E200" s="487"/>
      <c r="F200" s="487"/>
      <c r="G200" s="359"/>
      <c r="M200" s="420"/>
      <c r="N200" s="420"/>
    </row>
    <row r="201" spans="1:30" outlineLevel="1"/>
    <row r="202" spans="1:30" outlineLevel="1">
      <c r="A202" s="488"/>
      <c r="B202" s="489"/>
      <c r="D202" s="490"/>
      <c r="E202" s="490"/>
      <c r="F202" s="490"/>
      <c r="G202" s="358"/>
      <c r="H202" s="358"/>
      <c r="I202" s="358"/>
      <c r="J202" s="358"/>
      <c r="K202" s="358"/>
      <c r="L202" s="358"/>
      <c r="N202" s="570"/>
      <c r="O202" s="489"/>
      <c r="P202" s="490"/>
    </row>
    <row r="203" spans="1:30" outlineLevel="1">
      <c r="A203" s="491"/>
      <c r="B203" s="492"/>
      <c r="D203" s="490"/>
      <c r="E203" s="490"/>
      <c r="F203" s="490"/>
      <c r="G203" s="358"/>
      <c r="H203" s="358"/>
      <c r="I203" s="358"/>
      <c r="J203" s="358"/>
      <c r="K203" s="358"/>
      <c r="L203" s="358"/>
      <c r="N203" s="570"/>
      <c r="O203" s="489"/>
      <c r="P203" s="490"/>
    </row>
    <row r="204" spans="1:30" outlineLevel="1">
      <c r="A204" s="491"/>
      <c r="B204" s="493"/>
      <c r="D204" s="490"/>
      <c r="E204" s="490"/>
      <c r="F204" s="490"/>
      <c r="G204" s="358"/>
      <c r="H204" s="358"/>
      <c r="I204" s="358"/>
      <c r="J204" s="358"/>
      <c r="K204" s="358"/>
      <c r="L204" s="358"/>
      <c r="N204" s="570"/>
      <c r="O204" s="489"/>
      <c r="P204" s="490"/>
    </row>
    <row r="205" spans="1:30" outlineLevel="1">
      <c r="A205" s="491"/>
      <c r="B205" s="493"/>
      <c r="D205" s="490"/>
      <c r="E205" s="490"/>
      <c r="F205" s="490"/>
      <c r="G205" s="358"/>
      <c r="H205" s="358"/>
      <c r="I205" s="358"/>
      <c r="J205" s="358"/>
      <c r="K205" s="358"/>
      <c r="L205" s="358"/>
      <c r="N205" s="570"/>
      <c r="O205" s="489"/>
      <c r="P205" s="490"/>
    </row>
    <row r="206" spans="1:30" outlineLevel="1">
      <c r="A206" s="491"/>
      <c r="B206" s="493"/>
      <c r="D206" s="490"/>
      <c r="E206" s="490"/>
      <c r="F206" s="490"/>
      <c r="G206" s="358"/>
      <c r="H206" s="358"/>
      <c r="I206" s="358"/>
      <c r="J206" s="358"/>
      <c r="K206" s="358"/>
      <c r="L206" s="358"/>
      <c r="N206" s="570"/>
      <c r="O206" s="489"/>
      <c r="P206" s="490"/>
    </row>
    <row r="207" spans="1:30" outlineLevel="1">
      <c r="A207" s="358"/>
      <c r="B207" s="494"/>
      <c r="D207" s="490"/>
      <c r="E207" s="490"/>
      <c r="F207" s="490"/>
      <c r="G207" s="358"/>
      <c r="H207" s="358"/>
      <c r="I207" s="358"/>
      <c r="J207" s="358"/>
      <c r="K207" s="358"/>
      <c r="L207" s="358"/>
    </row>
    <row r="208" spans="1:30" outlineLevel="1">
      <c r="A208" s="358"/>
      <c r="B208" s="492"/>
      <c r="D208" s="490"/>
      <c r="E208" s="490"/>
      <c r="F208" s="490"/>
      <c r="G208" s="358"/>
      <c r="H208" s="358"/>
      <c r="I208" s="358"/>
      <c r="J208" s="358"/>
      <c r="K208" s="358"/>
      <c r="L208" s="358"/>
    </row>
    <row r="209" spans="1:16" outlineLevel="1">
      <c r="A209" s="358"/>
      <c r="B209" s="495"/>
      <c r="D209" s="490"/>
      <c r="E209" s="490"/>
      <c r="F209" s="490"/>
      <c r="G209" s="358"/>
      <c r="H209" s="358"/>
      <c r="I209" s="358"/>
      <c r="J209" s="358"/>
      <c r="K209" s="358"/>
      <c r="L209" s="358"/>
    </row>
    <row r="210" spans="1:16" outlineLevel="1">
      <c r="A210" s="358"/>
      <c r="B210" s="495"/>
      <c r="D210" s="490"/>
      <c r="E210" s="490"/>
      <c r="F210" s="490"/>
      <c r="G210" s="358"/>
      <c r="H210" s="358"/>
      <c r="I210" s="358"/>
      <c r="J210" s="358"/>
      <c r="K210" s="358"/>
      <c r="L210" s="358"/>
    </row>
    <row r="211" spans="1:16" outlineLevel="1">
      <c r="A211" s="358"/>
      <c r="B211" s="489"/>
      <c r="D211" s="490"/>
      <c r="E211" s="490"/>
      <c r="F211" s="490"/>
      <c r="G211" s="358"/>
      <c r="H211" s="358"/>
      <c r="I211" s="358"/>
      <c r="J211" s="358"/>
      <c r="K211" s="358"/>
      <c r="L211" s="358"/>
    </row>
    <row r="212" spans="1:16" outlineLevel="1">
      <c r="A212" s="358"/>
      <c r="B212" s="490"/>
      <c r="D212" s="490"/>
      <c r="E212" s="490"/>
      <c r="F212" s="490"/>
      <c r="G212" s="358"/>
      <c r="H212" s="358"/>
      <c r="I212" s="358"/>
      <c r="J212" s="358"/>
      <c r="K212" s="358"/>
      <c r="L212" s="358"/>
    </row>
    <row r="213" spans="1:16" outlineLevel="1">
      <c r="A213" s="488"/>
      <c r="B213" s="489"/>
      <c r="D213" s="490"/>
      <c r="E213" s="490"/>
      <c r="F213" s="490"/>
      <c r="G213" s="358"/>
      <c r="H213" s="358"/>
      <c r="I213" s="358"/>
      <c r="J213" s="358"/>
      <c r="K213" s="358"/>
      <c r="L213" s="358"/>
    </row>
    <row r="214" spans="1:16" outlineLevel="1">
      <c r="A214" s="496"/>
      <c r="B214" s="497"/>
      <c r="C214" s="490"/>
      <c r="D214" s="490"/>
      <c r="E214" s="490"/>
      <c r="F214" s="490"/>
      <c r="G214" s="358"/>
      <c r="H214" s="358"/>
      <c r="I214" s="358"/>
      <c r="J214" s="358"/>
      <c r="K214" s="358"/>
      <c r="L214" s="358"/>
      <c r="N214" s="570"/>
      <c r="O214" s="489"/>
      <c r="P214" s="490"/>
    </row>
    <row r="215" spans="1:16" outlineLevel="1">
      <c r="A215" s="496"/>
      <c r="B215" s="489"/>
      <c r="C215" s="490"/>
      <c r="D215" s="490"/>
      <c r="E215" s="490"/>
      <c r="F215" s="490"/>
      <c r="G215" s="358"/>
      <c r="H215" s="358"/>
      <c r="I215" s="358"/>
      <c r="J215" s="358"/>
      <c r="K215" s="358"/>
      <c r="L215" s="358"/>
      <c r="N215" s="571"/>
      <c r="O215" s="489"/>
      <c r="P215" s="490"/>
    </row>
    <row r="216" spans="1:16" outlineLevel="1">
      <c r="A216" s="496"/>
      <c r="B216" s="489"/>
      <c r="C216" s="490"/>
      <c r="D216" s="490"/>
      <c r="E216" s="490"/>
      <c r="F216" s="490"/>
      <c r="G216" s="358"/>
      <c r="H216" s="358"/>
      <c r="I216" s="358"/>
      <c r="J216" s="358"/>
      <c r="K216" s="358"/>
      <c r="L216" s="358"/>
      <c r="N216" s="572"/>
      <c r="O216" s="489"/>
      <c r="P216" s="490"/>
    </row>
    <row r="217" spans="1:16" outlineLevel="1">
      <c r="A217" s="496"/>
      <c r="B217" s="489"/>
      <c r="C217" s="490"/>
      <c r="D217" s="490"/>
      <c r="E217" s="490"/>
      <c r="F217" s="490"/>
      <c r="G217" s="358"/>
      <c r="H217" s="358"/>
      <c r="I217" s="358"/>
      <c r="J217" s="358"/>
      <c r="K217" s="358"/>
      <c r="L217" s="358"/>
      <c r="N217" s="573"/>
      <c r="O217" s="489"/>
      <c r="P217" s="490"/>
    </row>
    <row r="218" spans="1:16" outlineLevel="1">
      <c r="A218" s="496"/>
      <c r="B218" s="498"/>
      <c r="C218" s="490"/>
      <c r="D218" s="490"/>
      <c r="E218" s="490"/>
      <c r="F218" s="490"/>
      <c r="G218" s="358"/>
      <c r="H218" s="358"/>
      <c r="I218" s="358"/>
      <c r="J218" s="358"/>
      <c r="K218" s="358"/>
      <c r="L218" s="358"/>
      <c r="N218" s="573"/>
      <c r="O218" s="490"/>
      <c r="P218" s="490"/>
    </row>
    <row r="219" spans="1:16" outlineLevel="1">
      <c r="A219" s="496"/>
      <c r="B219" s="489"/>
      <c r="C219" s="490"/>
      <c r="D219" s="490"/>
      <c r="E219" s="490"/>
      <c r="F219" s="490"/>
      <c r="G219" s="358"/>
      <c r="H219" s="358"/>
      <c r="I219" s="358"/>
      <c r="J219" s="358"/>
      <c r="K219" s="358"/>
      <c r="L219" s="358"/>
      <c r="N219" s="489"/>
      <c r="O219" s="490"/>
      <c r="P219" s="490"/>
    </row>
    <row r="220" spans="1:16" outlineLevel="1">
      <c r="A220" s="496"/>
      <c r="B220" s="489"/>
      <c r="C220" s="490"/>
      <c r="D220" s="490"/>
      <c r="E220" s="490"/>
      <c r="F220" s="490"/>
      <c r="G220" s="358"/>
      <c r="H220" s="358"/>
      <c r="I220" s="358"/>
      <c r="J220" s="358"/>
      <c r="K220" s="358"/>
      <c r="L220" s="358"/>
      <c r="N220" s="490"/>
      <c r="O220" s="490"/>
      <c r="P220" s="490"/>
    </row>
    <row r="221" spans="1:16" outlineLevel="1"/>
    <row r="222" spans="1:16" outlineLevel="1"/>
    <row r="224" spans="1:16" ht="16" thickBot="1">
      <c r="A224" s="360"/>
    </row>
    <row r="225" spans="2:44" ht="20.5" customHeight="1" outlineLevel="1" thickBot="1">
      <c r="B225" s="362"/>
      <c r="C225" s="1186"/>
      <c r="D225" s="1205"/>
      <c r="E225" s="1205"/>
      <c r="F225" s="1205"/>
      <c r="G225" s="1205"/>
      <c r="H225" s="1205"/>
      <c r="I225" s="1205"/>
      <c r="J225" s="1205"/>
      <c r="K225" s="1205"/>
      <c r="L225" s="1206"/>
      <c r="M225" s="363"/>
      <c r="N225" s="363"/>
      <c r="P225" s="364"/>
      <c r="Q225" s="365"/>
      <c r="R225" s="366"/>
      <c r="S225" s="1176"/>
      <c r="T225" s="1160"/>
      <c r="U225" s="1161"/>
      <c r="V225" s="1160"/>
      <c r="W225" s="1161"/>
      <c r="X225" s="1160"/>
      <c r="Y225" s="1161"/>
      <c r="Z225" s="1160"/>
      <c r="AA225" s="1161"/>
      <c r="AB225" s="1160"/>
      <c r="AC225" s="1161"/>
      <c r="AE225" s="364"/>
      <c r="AF225" s="365"/>
      <c r="AG225" s="366"/>
      <c r="AH225" s="1176"/>
      <c r="AI225" s="1160"/>
      <c r="AJ225" s="1161"/>
      <c r="AK225" s="1160"/>
      <c r="AL225" s="1161"/>
      <c r="AM225" s="1160"/>
      <c r="AN225" s="1161"/>
      <c r="AO225" s="1160"/>
      <c r="AP225" s="1161"/>
      <c r="AQ225" s="1160"/>
      <c r="AR225" s="1161"/>
    </row>
    <row r="226" spans="2:44" ht="15" customHeight="1" outlineLevel="1" thickBot="1">
      <c r="B226" s="1164"/>
      <c r="C226" s="1166"/>
      <c r="D226" s="1166"/>
      <c r="E226" s="1166"/>
      <c r="F226" s="1166"/>
      <c r="G226" s="1168"/>
      <c r="H226" s="1169"/>
      <c r="I226" s="1168"/>
      <c r="J226" s="1169"/>
      <c r="K226" s="1189"/>
      <c r="L226" s="1189"/>
      <c r="M226" s="367"/>
      <c r="N226" s="367"/>
      <c r="P226" s="1180"/>
      <c r="Q226" s="368"/>
      <c r="R226" s="368"/>
      <c r="S226" s="1177"/>
      <c r="T226" s="1162"/>
      <c r="U226" s="1163"/>
      <c r="V226" s="1162"/>
      <c r="W226" s="1163"/>
      <c r="X226" s="1162"/>
      <c r="Y226" s="1163"/>
      <c r="Z226" s="1162"/>
      <c r="AA226" s="1163"/>
      <c r="AB226" s="1162"/>
      <c r="AC226" s="1163"/>
      <c r="AE226" s="1180"/>
      <c r="AF226" s="368"/>
      <c r="AG226" s="368"/>
      <c r="AH226" s="1177"/>
      <c r="AI226" s="1162"/>
      <c r="AJ226" s="1163"/>
      <c r="AK226" s="1162"/>
      <c r="AL226" s="1163"/>
      <c r="AM226" s="1162"/>
      <c r="AN226" s="1163"/>
      <c r="AO226" s="1162"/>
      <c r="AP226" s="1163"/>
      <c r="AQ226" s="1162"/>
      <c r="AR226" s="1163"/>
    </row>
    <row r="227" spans="2:44" ht="15" customHeight="1" outlineLevel="1" thickBot="1">
      <c r="B227" s="1165"/>
      <c r="C227" s="1167"/>
      <c r="D227" s="1167"/>
      <c r="E227" s="1167"/>
      <c r="F227" s="1167"/>
      <c r="G227" s="406"/>
      <c r="H227" s="406"/>
      <c r="I227" s="406"/>
      <c r="J227" s="406"/>
      <c r="K227" s="1190"/>
      <c r="L227" s="1190"/>
      <c r="M227" s="370"/>
      <c r="N227" s="370"/>
      <c r="P227" s="1181"/>
      <c r="Q227" s="1183"/>
      <c r="R227" s="1184"/>
      <c r="S227" s="1178"/>
      <c r="T227" s="1162"/>
      <c r="U227" s="1163"/>
      <c r="V227" s="1162"/>
      <c r="W227" s="1163"/>
      <c r="X227" s="1162"/>
      <c r="Y227" s="1163"/>
      <c r="Z227" s="1162"/>
      <c r="AA227" s="1163"/>
      <c r="AB227" s="1162"/>
      <c r="AC227" s="1163"/>
      <c r="AE227" s="1181"/>
      <c r="AF227" s="1197"/>
      <c r="AG227" s="1184"/>
      <c r="AH227" s="1178"/>
      <c r="AI227" s="1162"/>
      <c r="AJ227" s="1163"/>
      <c r="AK227" s="1162"/>
      <c r="AL227" s="1163"/>
      <c r="AM227" s="1162"/>
      <c r="AN227" s="1163"/>
      <c r="AO227" s="1162"/>
      <c r="AP227" s="1163"/>
      <c r="AQ227" s="1162"/>
      <c r="AR227" s="1163"/>
    </row>
    <row r="228" spans="2:44" ht="16" outlineLevel="1" thickBot="1">
      <c r="B228" s="371"/>
      <c r="C228" s="372"/>
      <c r="D228" s="372"/>
      <c r="E228" s="372"/>
      <c r="F228" s="372"/>
      <c r="G228" s="372"/>
      <c r="H228" s="372"/>
      <c r="I228" s="372"/>
      <c r="J228" s="372"/>
      <c r="K228" s="372"/>
      <c r="L228" s="373"/>
      <c r="M228" s="370"/>
      <c r="N228" s="370"/>
      <c r="O228" s="74"/>
      <c r="P228" s="1182"/>
      <c r="Q228" s="1179"/>
      <c r="R228" s="1185"/>
      <c r="S228" s="1179"/>
      <c r="T228" s="374"/>
      <c r="U228" s="375"/>
      <c r="V228" s="374"/>
      <c r="W228" s="375"/>
      <c r="X228" s="374"/>
      <c r="Y228" s="375"/>
      <c r="Z228" s="374"/>
      <c r="AA228" s="375"/>
      <c r="AB228" s="374"/>
      <c r="AC228" s="375"/>
      <c r="AE228" s="1182"/>
      <c r="AF228" s="1198"/>
      <c r="AG228" s="1185"/>
      <c r="AH228" s="1179"/>
      <c r="AI228" s="374"/>
      <c r="AJ228" s="375"/>
      <c r="AK228" s="374"/>
      <c r="AL228" s="375"/>
      <c r="AM228" s="374"/>
      <c r="AN228" s="375"/>
      <c r="AO228" s="374"/>
      <c r="AP228" s="375"/>
      <c r="AQ228" s="374"/>
      <c r="AR228" s="375"/>
    </row>
    <row r="229" spans="2:44" ht="14.5" customHeight="1" outlineLevel="1">
      <c r="B229" s="541"/>
      <c r="C229" s="542"/>
      <c r="D229" s="542"/>
      <c r="E229" s="543"/>
      <c r="F229" s="542"/>
      <c r="G229" s="542"/>
      <c r="H229" s="542"/>
      <c r="I229" s="542"/>
      <c r="J229" s="542"/>
      <c r="K229" s="547"/>
      <c r="L229" s="548"/>
      <c r="M229" s="370"/>
      <c r="N229" s="370"/>
      <c r="P229" s="1148"/>
      <c r="Q229" s="1154"/>
      <c r="R229" s="381"/>
      <c r="S229" s="382"/>
      <c r="T229" s="1137"/>
      <c r="U229" s="1151"/>
      <c r="V229" s="1137"/>
      <c r="W229" s="1151"/>
      <c r="X229" s="1137"/>
      <c r="Y229" s="1151"/>
      <c r="Z229" s="1137"/>
      <c r="AA229" s="1151"/>
      <c r="AB229" s="1137"/>
      <c r="AC229" s="1151"/>
      <c r="AE229" s="1148"/>
      <c r="AF229" s="1154"/>
      <c r="AG229" s="381"/>
      <c r="AH229" s="382"/>
      <c r="AI229" s="1137"/>
      <c r="AJ229" s="1151"/>
      <c r="AK229" s="1137"/>
      <c r="AL229" s="1151"/>
      <c r="AM229" s="1137"/>
      <c r="AN229" s="1151"/>
      <c r="AO229" s="1137"/>
      <c r="AP229" s="1151"/>
      <c r="AQ229" s="1137"/>
      <c r="AR229" s="1151"/>
    </row>
    <row r="230" spans="2:44" outlineLevel="1">
      <c r="B230" s="383"/>
      <c r="C230" s="384"/>
      <c r="D230" s="384"/>
      <c r="E230" s="384"/>
      <c r="F230" s="384"/>
      <c r="G230" s="505"/>
      <c r="H230" s="505"/>
      <c r="I230" s="505"/>
      <c r="J230" s="505"/>
      <c r="K230" s="372"/>
      <c r="L230" s="373"/>
      <c r="M230" s="370"/>
      <c r="N230" s="370"/>
      <c r="O230" s="71"/>
      <c r="P230" s="1195"/>
      <c r="Q230" s="1155"/>
      <c r="R230" s="388"/>
      <c r="S230" s="389"/>
      <c r="T230" s="1140"/>
      <c r="U230" s="1152"/>
      <c r="V230" s="1140"/>
      <c r="W230" s="1152"/>
      <c r="X230" s="1140"/>
      <c r="Y230" s="1152"/>
      <c r="Z230" s="1140"/>
      <c r="AA230" s="1152"/>
      <c r="AB230" s="1140"/>
      <c r="AC230" s="1152"/>
      <c r="AE230" s="1195"/>
      <c r="AF230" s="1155"/>
      <c r="AG230" s="388"/>
      <c r="AH230" s="389"/>
      <c r="AI230" s="1140"/>
      <c r="AJ230" s="1152"/>
      <c r="AK230" s="1140"/>
      <c r="AL230" s="1152"/>
      <c r="AM230" s="1140"/>
      <c r="AN230" s="1152"/>
      <c r="AO230" s="1140"/>
      <c r="AP230" s="1152"/>
      <c r="AQ230" s="1140"/>
      <c r="AR230" s="1152"/>
    </row>
    <row r="231" spans="2:44" ht="16" outlineLevel="1" thickBot="1">
      <c r="B231" s="541"/>
      <c r="C231" s="544"/>
      <c r="D231" s="545"/>
      <c r="E231" s="545"/>
      <c r="F231" s="546"/>
      <c r="G231" s="545"/>
      <c r="H231" s="545"/>
      <c r="I231" s="545"/>
      <c r="J231" s="545"/>
      <c r="K231" s="547"/>
      <c r="L231" s="548"/>
      <c r="M231" s="370"/>
      <c r="N231" s="370"/>
      <c r="O231" s="71"/>
      <c r="P231" s="1195"/>
      <c r="Q231" s="1156"/>
      <c r="R231" s="393"/>
      <c r="S231" s="394"/>
      <c r="T231" s="1141"/>
      <c r="U231" s="1153"/>
      <c r="V231" s="1141"/>
      <c r="W231" s="1153"/>
      <c r="X231" s="1141"/>
      <c r="Y231" s="1153"/>
      <c r="Z231" s="1141"/>
      <c r="AA231" s="1153"/>
      <c r="AB231" s="1141"/>
      <c r="AC231" s="1153"/>
      <c r="AE231" s="1195"/>
      <c r="AF231" s="1156"/>
      <c r="AG231" s="393"/>
      <c r="AH231" s="394"/>
      <c r="AI231" s="1141"/>
      <c r="AJ231" s="1153"/>
      <c r="AK231" s="1141"/>
      <c r="AL231" s="1153"/>
      <c r="AM231" s="1141"/>
      <c r="AN231" s="1153"/>
      <c r="AO231" s="1141"/>
      <c r="AP231" s="1153"/>
      <c r="AQ231" s="1141"/>
      <c r="AR231" s="1153"/>
    </row>
    <row r="232" spans="2:44" ht="14.5" customHeight="1" outlineLevel="1">
      <c r="B232" s="541"/>
      <c r="C232" s="544"/>
      <c r="D232" s="544"/>
      <c r="E232" s="544"/>
      <c r="F232" s="544"/>
      <c r="G232" s="544"/>
      <c r="H232" s="544"/>
      <c r="I232" s="544"/>
      <c r="J232" s="544"/>
      <c r="K232" s="547"/>
      <c r="L232" s="548"/>
      <c r="M232" s="370"/>
      <c r="N232" s="370"/>
      <c r="O232" s="71"/>
      <c r="P232" s="1195"/>
      <c r="Q232" s="1154"/>
      <c r="R232" s="395"/>
      <c r="S232" s="396"/>
      <c r="T232" s="1137"/>
      <c r="U232" s="1137"/>
      <c r="V232" s="1137"/>
      <c r="W232" s="1137"/>
      <c r="X232" s="1137"/>
      <c r="Y232" s="1137"/>
      <c r="Z232" s="1137"/>
      <c r="AA232" s="1137"/>
      <c r="AB232" s="1137"/>
      <c r="AC232" s="1137"/>
      <c r="AE232" s="1195"/>
      <c r="AF232" s="1154"/>
      <c r="AG232" s="395"/>
      <c r="AH232" s="396"/>
      <c r="AI232" s="1137"/>
      <c r="AJ232" s="1137"/>
      <c r="AK232" s="1137"/>
      <c r="AL232" s="1137"/>
      <c r="AM232" s="1137"/>
      <c r="AN232" s="1137"/>
      <c r="AO232" s="1137"/>
      <c r="AP232" s="1137"/>
      <c r="AQ232" s="1137"/>
      <c r="AR232" s="1137"/>
    </row>
    <row r="233" spans="2:44" outlineLevel="1">
      <c r="B233" s="541"/>
      <c r="C233" s="544"/>
      <c r="D233" s="544"/>
      <c r="E233" s="544"/>
      <c r="F233" s="544"/>
      <c r="G233" s="544"/>
      <c r="H233" s="544"/>
      <c r="I233" s="544"/>
      <c r="J233" s="544"/>
      <c r="K233" s="547"/>
      <c r="L233" s="548"/>
      <c r="M233" s="367"/>
      <c r="N233" s="367"/>
      <c r="O233" s="71"/>
      <c r="P233" s="1195"/>
      <c r="Q233" s="1155"/>
      <c r="R233" s="395"/>
      <c r="S233" s="396"/>
      <c r="T233" s="1138"/>
      <c r="U233" s="1138"/>
      <c r="V233" s="1138"/>
      <c r="W233" s="1138"/>
      <c r="X233" s="1138"/>
      <c r="Y233" s="1138"/>
      <c r="Z233" s="1138"/>
      <c r="AA233" s="1138"/>
      <c r="AB233" s="1138"/>
      <c r="AC233" s="1138"/>
      <c r="AE233" s="1195"/>
      <c r="AF233" s="1155"/>
      <c r="AG233" s="395"/>
      <c r="AH233" s="396"/>
      <c r="AI233" s="1138"/>
      <c r="AJ233" s="1138"/>
      <c r="AK233" s="1138"/>
      <c r="AL233" s="1138"/>
      <c r="AM233" s="1138"/>
      <c r="AN233" s="1138"/>
      <c r="AO233" s="1138"/>
      <c r="AP233" s="1138"/>
      <c r="AQ233" s="1138"/>
      <c r="AR233" s="1138"/>
    </row>
    <row r="234" spans="2:44" outlineLevel="1">
      <c r="B234" s="383"/>
      <c r="C234" s="397"/>
      <c r="D234" s="397"/>
      <c r="E234" s="397"/>
      <c r="F234" s="397"/>
      <c r="G234" s="399"/>
      <c r="H234" s="399"/>
      <c r="I234" s="399"/>
      <c r="J234" s="399"/>
      <c r="K234" s="372"/>
      <c r="L234" s="373"/>
      <c r="M234" s="363"/>
      <c r="N234" s="363"/>
      <c r="P234" s="1195"/>
      <c r="Q234" s="1155"/>
      <c r="R234" s="395"/>
      <c r="S234" s="396"/>
      <c r="T234" s="1138"/>
      <c r="U234" s="1138"/>
      <c r="V234" s="1138"/>
      <c r="W234" s="1138"/>
      <c r="X234" s="1138"/>
      <c r="Y234" s="1138"/>
      <c r="Z234" s="1138"/>
      <c r="AA234" s="1138"/>
      <c r="AB234" s="1138"/>
      <c r="AC234" s="1138"/>
      <c r="AE234" s="1195"/>
      <c r="AF234" s="1155"/>
      <c r="AG234" s="395"/>
      <c r="AH234" s="396"/>
      <c r="AI234" s="1138"/>
      <c r="AJ234" s="1138"/>
      <c r="AK234" s="1138"/>
      <c r="AL234" s="1138"/>
      <c r="AM234" s="1138"/>
      <c r="AN234" s="1138"/>
      <c r="AO234" s="1138"/>
      <c r="AP234" s="1138"/>
      <c r="AQ234" s="1138"/>
      <c r="AR234" s="1138"/>
    </row>
    <row r="235" spans="2:44" ht="16" outlineLevel="1" thickBot="1">
      <c r="B235" s="541"/>
      <c r="C235" s="544"/>
      <c r="D235" s="544"/>
      <c r="E235" s="544"/>
      <c r="F235" s="544"/>
      <c r="G235" s="544"/>
      <c r="H235" s="544"/>
      <c r="I235" s="544"/>
      <c r="J235" s="544"/>
      <c r="K235" s="547"/>
      <c r="L235" s="559"/>
      <c r="M235" s="363"/>
      <c r="N235" s="363"/>
      <c r="P235" s="1195"/>
      <c r="Q235" s="1155"/>
      <c r="R235" s="395"/>
      <c r="S235" s="396"/>
      <c r="T235" s="1138"/>
      <c r="U235" s="1138"/>
      <c r="V235" s="1138"/>
      <c r="W235" s="1138"/>
      <c r="X235" s="1138"/>
      <c r="Y235" s="1138"/>
      <c r="Z235" s="1138"/>
      <c r="AA235" s="1138"/>
      <c r="AB235" s="1138"/>
      <c r="AC235" s="1138"/>
      <c r="AE235" s="1195"/>
      <c r="AF235" s="1155"/>
      <c r="AG235" s="395"/>
      <c r="AH235" s="396"/>
      <c r="AI235" s="1138"/>
      <c r="AJ235" s="1138"/>
      <c r="AK235" s="1138"/>
      <c r="AL235" s="1138"/>
      <c r="AM235" s="1138"/>
      <c r="AN235" s="1138"/>
      <c r="AO235" s="1138"/>
      <c r="AP235" s="1138"/>
      <c r="AQ235" s="1138"/>
      <c r="AR235" s="1138"/>
    </row>
    <row r="236" spans="2:44" ht="16" outlineLevel="1" thickBot="1">
      <c r="B236" s="401"/>
      <c r="C236" s="402"/>
      <c r="D236" s="403"/>
      <c r="E236" s="404"/>
      <c r="F236" s="405"/>
      <c r="G236" s="406"/>
      <c r="H236" s="406"/>
      <c r="I236" s="406"/>
      <c r="J236" s="406"/>
      <c r="K236" s="407"/>
      <c r="L236" s="408"/>
      <c r="M236" s="363"/>
      <c r="N236" s="363"/>
      <c r="P236" s="1195"/>
      <c r="Q236" s="1155"/>
      <c r="R236" s="409"/>
      <c r="S236" s="410"/>
      <c r="T236" s="1139"/>
      <c r="U236" s="1139"/>
      <c r="V236" s="1139"/>
      <c r="W236" s="1139"/>
      <c r="X236" s="1139"/>
      <c r="Y236" s="1139"/>
      <c r="Z236" s="1139"/>
      <c r="AA236" s="1139"/>
      <c r="AB236" s="1139"/>
      <c r="AC236" s="1139"/>
      <c r="AE236" s="1195"/>
      <c r="AF236" s="1155"/>
      <c r="AG236" s="409"/>
      <c r="AH236" s="410"/>
      <c r="AI236" s="1139"/>
      <c r="AJ236" s="1139"/>
      <c r="AK236" s="1139"/>
      <c r="AL236" s="1139"/>
      <c r="AM236" s="1139"/>
      <c r="AN236" s="1139"/>
      <c r="AO236" s="1139"/>
      <c r="AP236" s="1139"/>
      <c r="AQ236" s="1139"/>
      <c r="AR236" s="1139"/>
    </row>
    <row r="237" spans="2:44" ht="16" outlineLevel="1" thickBot="1">
      <c r="B237" s="541"/>
      <c r="C237" s="544"/>
      <c r="D237" s="544"/>
      <c r="E237" s="544"/>
      <c r="F237" s="544"/>
      <c r="G237" s="545"/>
      <c r="H237" s="545"/>
      <c r="I237" s="545"/>
      <c r="J237" s="545"/>
      <c r="K237" s="547"/>
      <c r="L237" s="548"/>
      <c r="M237" s="363"/>
      <c r="N237" s="363"/>
      <c r="P237" s="1196"/>
      <c r="Q237" s="411"/>
      <c r="R237" s="412"/>
      <c r="S237" s="413"/>
      <c r="T237" s="414"/>
      <c r="U237" s="415"/>
      <c r="V237" s="414"/>
      <c r="W237" s="415"/>
      <c r="X237" s="414"/>
      <c r="Y237" s="415"/>
      <c r="Z237" s="414"/>
      <c r="AA237" s="415"/>
      <c r="AB237" s="414"/>
      <c r="AC237" s="417"/>
      <c r="AE237" s="1196"/>
      <c r="AF237" s="411"/>
      <c r="AG237" s="412"/>
      <c r="AH237" s="413"/>
      <c r="AI237" s="414"/>
      <c r="AJ237" s="415"/>
      <c r="AK237" s="414"/>
      <c r="AL237" s="415"/>
      <c r="AM237" s="414"/>
      <c r="AN237" s="415"/>
      <c r="AO237" s="414"/>
      <c r="AP237" s="415"/>
      <c r="AQ237" s="414"/>
      <c r="AR237" s="417"/>
    </row>
    <row r="238" spans="2:44" outlineLevel="1">
      <c r="B238" s="541"/>
      <c r="C238" s="544"/>
      <c r="D238" s="544"/>
      <c r="E238" s="544"/>
      <c r="F238" s="544"/>
      <c r="G238" s="549"/>
      <c r="H238" s="549"/>
      <c r="I238" s="549"/>
      <c r="J238" s="549"/>
      <c r="K238" s="550"/>
      <c r="L238" s="548"/>
      <c r="M238" s="363"/>
      <c r="N238" s="363"/>
    </row>
    <row r="239" spans="2:44" outlineLevel="1">
      <c r="B239" s="541"/>
      <c r="C239" s="544"/>
      <c r="D239" s="544"/>
      <c r="E239" s="544"/>
      <c r="F239" s="544"/>
      <c r="G239" s="549"/>
      <c r="H239" s="549"/>
      <c r="I239" s="549"/>
      <c r="J239" s="549"/>
      <c r="K239" s="550"/>
      <c r="L239" s="548"/>
      <c r="M239" s="420"/>
      <c r="N239" s="363"/>
    </row>
    <row r="240" spans="2:44" outlineLevel="1">
      <c r="B240" s="421"/>
      <c r="C240" s="399"/>
      <c r="D240" s="399"/>
      <c r="E240" s="399"/>
      <c r="F240" s="399"/>
      <c r="G240" s="422"/>
      <c r="H240" s="422"/>
      <c r="I240" s="422"/>
      <c r="J240" s="422"/>
      <c r="K240" s="423"/>
      <c r="L240" s="424"/>
      <c r="M240" s="420"/>
      <c r="N240" s="420"/>
    </row>
    <row r="241" spans="1:30" outlineLevel="1">
      <c r="B241" s="383"/>
      <c r="C241" s="397"/>
      <c r="D241" s="397"/>
      <c r="E241" s="397"/>
      <c r="F241" s="397"/>
      <c r="G241" s="422"/>
      <c r="H241" s="425"/>
      <c r="I241" s="425"/>
      <c r="J241" s="425"/>
      <c r="K241" s="426"/>
      <c r="L241" s="427"/>
      <c r="M241" s="428"/>
      <c r="N241" s="428"/>
    </row>
    <row r="242" spans="1:30" outlineLevel="1">
      <c r="B242" s="383"/>
      <c r="C242" s="397"/>
      <c r="D242" s="397"/>
      <c r="E242" s="397"/>
      <c r="F242" s="397"/>
      <c r="G242" s="425"/>
      <c r="H242" s="425"/>
      <c r="I242" s="425"/>
      <c r="J242" s="425"/>
      <c r="K242" s="423"/>
      <c r="L242" s="427"/>
      <c r="M242" s="428"/>
      <c r="N242" s="428"/>
    </row>
    <row r="243" spans="1:30" outlineLevel="1">
      <c r="B243" s="383"/>
      <c r="C243" s="397"/>
      <c r="D243" s="397"/>
      <c r="E243" s="397"/>
      <c r="F243" s="397"/>
      <c r="G243" s="425"/>
      <c r="H243" s="425"/>
      <c r="I243" s="425"/>
      <c r="J243" s="425"/>
      <c r="K243" s="423"/>
      <c r="L243" s="427"/>
      <c r="M243" s="428"/>
      <c r="N243" s="428"/>
    </row>
    <row r="244" spans="1:30" outlineLevel="1">
      <c r="B244" s="383"/>
      <c r="C244" s="397"/>
      <c r="D244" s="397"/>
      <c r="E244" s="397"/>
      <c r="F244" s="397"/>
      <c r="G244" s="425"/>
      <c r="H244" s="425"/>
      <c r="I244" s="425"/>
      <c r="J244" s="425"/>
      <c r="K244" s="423"/>
      <c r="L244" s="427"/>
      <c r="M244" s="428"/>
      <c r="N244" s="428"/>
    </row>
    <row r="245" spans="1:30" ht="16" outlineLevel="1" thickBot="1">
      <c r="B245" s="429"/>
      <c r="C245" s="430"/>
      <c r="D245" s="430"/>
      <c r="E245" s="430"/>
      <c r="F245" s="430"/>
      <c r="G245" s="425"/>
      <c r="H245" s="425"/>
      <c r="I245" s="425"/>
      <c r="J245" s="425"/>
      <c r="K245" s="423"/>
      <c r="L245" s="427"/>
      <c r="M245" s="428"/>
      <c r="N245" s="428"/>
    </row>
    <row r="246" spans="1:30" ht="16" outlineLevel="1" thickBot="1">
      <c r="B246" s="431"/>
      <c r="C246" s="432"/>
      <c r="D246" s="403"/>
      <c r="E246" s="403"/>
      <c r="F246" s="433"/>
      <c r="G246" s="434"/>
      <c r="H246" s="406"/>
      <c r="I246" s="406"/>
      <c r="J246" s="406"/>
      <c r="K246" s="407"/>
      <c r="L246" s="408"/>
      <c r="M246" s="428"/>
      <c r="N246" s="428"/>
    </row>
    <row r="247" spans="1:30" outlineLevel="1">
      <c r="A247" s="435"/>
      <c r="B247" s="436"/>
      <c r="C247" s="551"/>
      <c r="D247" s="512"/>
      <c r="E247" s="512"/>
      <c r="F247" s="513"/>
      <c r="G247" s="425"/>
      <c r="H247" s="425"/>
      <c r="I247" s="425"/>
      <c r="J247" s="425"/>
      <c r="K247" s="426"/>
      <c r="L247" s="440"/>
      <c r="M247" s="420"/>
      <c r="N247" s="420"/>
    </row>
    <row r="248" spans="1:30" outlineLevel="1">
      <c r="B248" s="441"/>
      <c r="C248" s="443"/>
      <c r="D248" s="442"/>
      <c r="E248" s="442"/>
      <c r="F248" s="442"/>
      <c r="G248" s="425"/>
      <c r="H248" s="425"/>
      <c r="I248" s="425"/>
      <c r="J248" s="425"/>
      <c r="K248" s="444"/>
      <c r="L248" s="373"/>
      <c r="M248" s="71"/>
      <c r="N248" s="420"/>
    </row>
    <row r="249" spans="1:30" outlineLevel="1">
      <c r="B249" s="441"/>
      <c r="C249" s="443"/>
      <c r="D249" s="443"/>
      <c r="E249" s="443"/>
      <c r="F249" s="443"/>
      <c r="G249" s="425"/>
      <c r="H249" s="425"/>
      <c r="I249" s="425"/>
      <c r="J249" s="425"/>
      <c r="K249" s="444"/>
      <c r="L249" s="373"/>
      <c r="M249" s="420"/>
      <c r="N249" s="420"/>
    </row>
    <row r="250" spans="1:30" outlineLevel="1">
      <c r="B250" s="383"/>
      <c r="C250" s="445"/>
      <c r="D250" s="446"/>
      <c r="E250" s="446"/>
      <c r="F250" s="447"/>
      <c r="G250" s="425"/>
      <c r="H250" s="425"/>
      <c r="I250" s="425"/>
      <c r="J250" s="425"/>
      <c r="K250" s="448"/>
      <c r="L250" s="373"/>
      <c r="M250" s="420"/>
      <c r="N250" s="420"/>
    </row>
    <row r="251" spans="1:30" outlineLevel="1">
      <c r="B251" s="383"/>
      <c r="C251" s="449"/>
      <c r="D251" s="449"/>
      <c r="E251" s="449"/>
      <c r="F251" s="449"/>
      <c r="G251" s="425"/>
      <c r="H251" s="425"/>
      <c r="I251" s="425"/>
      <c r="J251" s="425"/>
      <c r="K251" s="448"/>
      <c r="L251" s="373"/>
      <c r="M251" s="450"/>
      <c r="N251" s="361"/>
      <c r="P251" s="1142"/>
      <c r="Q251" s="1143"/>
      <c r="R251" s="1143"/>
      <c r="S251" s="1143"/>
      <c r="T251" s="1143"/>
      <c r="U251" s="1144"/>
    </row>
    <row r="252" spans="1:30" ht="16" outlineLevel="1" thickBot="1">
      <c r="B252" s="541"/>
      <c r="C252" s="552"/>
      <c r="D252" s="552"/>
      <c r="E252" s="552"/>
      <c r="F252" s="552"/>
      <c r="G252" s="425"/>
      <c r="H252" s="425"/>
      <c r="I252" s="425"/>
      <c r="J252" s="425"/>
      <c r="K252" s="444"/>
      <c r="L252" s="373"/>
      <c r="M252" s="450"/>
      <c r="N252" s="361"/>
      <c r="P252" s="1134"/>
      <c r="Q252" s="1135"/>
      <c r="R252" s="1135"/>
      <c r="S252" s="1135"/>
      <c r="T252" s="1135"/>
      <c r="U252" s="1136"/>
    </row>
    <row r="253" spans="1:30" outlineLevel="1">
      <c r="B253" s="541"/>
      <c r="C253" s="554"/>
      <c r="D253" s="554"/>
      <c r="E253" s="554"/>
      <c r="F253" s="554"/>
      <c r="G253" s="425"/>
      <c r="H253" s="425"/>
      <c r="I253" s="425"/>
      <c r="J253" s="425"/>
      <c r="K253" s="448"/>
      <c r="L253" s="373"/>
      <c r="M253" s="363"/>
      <c r="N253" s="363"/>
      <c r="P253" s="53"/>
    </row>
    <row r="254" spans="1:30" outlineLevel="1">
      <c r="B254" s="441"/>
      <c r="C254" s="518"/>
      <c r="D254" s="518"/>
      <c r="E254" s="518"/>
      <c r="F254" s="518"/>
      <c r="G254" s="425"/>
      <c r="H254" s="425"/>
      <c r="I254" s="425"/>
      <c r="J254" s="425"/>
      <c r="K254" s="444"/>
      <c r="L254" s="424"/>
      <c r="M254" s="367"/>
      <c r="N254" s="367"/>
      <c r="P254" s="46"/>
      <c r="Q254" s="46"/>
      <c r="R254" s="47"/>
      <c r="S254" s="47"/>
      <c r="T254" s="47"/>
      <c r="U254" s="48"/>
      <c r="V254" s="49"/>
      <c r="W254" s="49"/>
      <c r="X254" s="49"/>
      <c r="Y254" s="49"/>
      <c r="Z254" s="49"/>
      <c r="AA254" s="49"/>
      <c r="AB254" s="49"/>
      <c r="AC254" s="49"/>
      <c r="AD254" s="49"/>
    </row>
    <row r="255" spans="1:30" ht="16" outlineLevel="1" thickBot="1">
      <c r="B255" s="519"/>
      <c r="C255" s="442"/>
      <c r="D255" s="520"/>
      <c r="E255" s="520"/>
      <c r="F255" s="521"/>
      <c r="G255" s="425"/>
      <c r="H255" s="425"/>
      <c r="I255" s="425"/>
      <c r="J255" s="425"/>
      <c r="K255" s="448"/>
      <c r="L255" s="424"/>
      <c r="M255" s="363"/>
      <c r="N255" s="363"/>
      <c r="P255" s="50"/>
      <c r="Q255" s="50"/>
      <c r="R255" s="51"/>
      <c r="S255" s="51"/>
      <c r="T255" s="51"/>
      <c r="U255" s="51"/>
      <c r="V255" s="50"/>
      <c r="W255" s="50"/>
      <c r="X255" s="50"/>
      <c r="Y255" s="50"/>
      <c r="Z255" s="50"/>
      <c r="AA255" s="50"/>
      <c r="AB255" s="50"/>
      <c r="AC255" s="50"/>
      <c r="AD255" s="50"/>
    </row>
    <row r="256" spans="1:30" ht="16" outlineLevel="1" thickBot="1">
      <c r="B256" s="401"/>
      <c r="C256" s="402"/>
      <c r="D256" s="403"/>
      <c r="E256" s="404"/>
      <c r="F256" s="405"/>
      <c r="G256" s="406"/>
      <c r="H256" s="406"/>
      <c r="I256" s="406"/>
      <c r="J256" s="406"/>
      <c r="K256" s="459"/>
      <c r="L256" s="460"/>
      <c r="M256" s="363"/>
      <c r="N256" s="363"/>
      <c r="O256" s="461"/>
      <c r="P256" s="56"/>
      <c r="Q256" s="56"/>
      <c r="R256" s="57"/>
      <c r="S256" s="57"/>
      <c r="T256" s="57"/>
      <c r="U256" s="56"/>
      <c r="V256" s="56"/>
      <c r="W256" s="56"/>
      <c r="X256" s="56"/>
      <c r="Y256" s="56"/>
      <c r="Z256" s="56"/>
      <c r="AA256" s="56"/>
      <c r="AB256" s="56"/>
      <c r="AC256" s="56"/>
      <c r="AD256" s="56"/>
    </row>
    <row r="257" spans="1:30" outlineLevel="1">
      <c r="B257" s="556"/>
      <c r="C257" s="557"/>
      <c r="D257" s="557"/>
      <c r="E257" s="557"/>
      <c r="F257" s="557"/>
      <c r="G257" s="558"/>
      <c r="H257" s="558"/>
      <c r="I257" s="558"/>
      <c r="J257" s="558"/>
      <c r="K257" s="558"/>
      <c r="L257" s="559"/>
      <c r="M257" s="363"/>
      <c r="N257" s="363"/>
      <c r="O257" s="465"/>
      <c r="P257" s="466"/>
      <c r="Q257" s="58"/>
      <c r="R257" s="466"/>
      <c r="S257" s="58"/>
      <c r="T257" s="466"/>
      <c r="U257" s="467"/>
      <c r="V257" s="467"/>
      <c r="W257" s="467"/>
      <c r="X257" s="58"/>
      <c r="Y257" s="58"/>
      <c r="Z257" s="466"/>
      <c r="AA257" s="468"/>
      <c r="AB257" s="468"/>
      <c r="AC257" s="468"/>
      <c r="AD257" s="468"/>
    </row>
    <row r="258" spans="1:30" outlineLevel="1">
      <c r="B258" s="541"/>
      <c r="C258" s="560"/>
      <c r="D258" s="561"/>
      <c r="E258" s="561"/>
      <c r="F258" s="562"/>
      <c r="G258" s="562"/>
      <c r="H258" s="562"/>
      <c r="I258" s="562"/>
      <c r="J258" s="562"/>
      <c r="K258" s="563"/>
      <c r="L258" s="559"/>
      <c r="M258" s="363"/>
      <c r="N258" s="363"/>
      <c r="O258" s="465"/>
      <c r="P258" s="466"/>
      <c r="Q258" s="58"/>
      <c r="R258" s="466"/>
      <c r="S258" s="58"/>
      <c r="T258" s="466"/>
      <c r="U258" s="467"/>
      <c r="V258" s="467"/>
      <c r="W258" s="467"/>
      <c r="X258" s="58"/>
      <c r="Y258" s="58"/>
      <c r="Z258" s="466"/>
      <c r="AA258" s="468"/>
      <c r="AB258" s="468"/>
      <c r="AC258" s="468"/>
      <c r="AD258" s="468"/>
    </row>
    <row r="259" spans="1:30" outlineLevel="1">
      <c r="B259" s="541"/>
      <c r="C259" s="560"/>
      <c r="D259" s="561"/>
      <c r="E259" s="561"/>
      <c r="F259" s="562"/>
      <c r="G259" s="562"/>
      <c r="H259" s="562"/>
      <c r="I259" s="562"/>
      <c r="J259" s="562"/>
      <c r="K259" s="563"/>
      <c r="L259" s="559"/>
      <c r="M259" s="363"/>
      <c r="N259" s="363"/>
      <c r="O259" s="465"/>
      <c r="P259" s="466"/>
      <c r="Q259" s="58"/>
      <c r="R259" s="466"/>
      <c r="S259" s="58"/>
      <c r="T259" s="466"/>
      <c r="U259" s="467"/>
      <c r="V259" s="467"/>
      <c r="W259" s="467"/>
      <c r="X259" s="58"/>
      <c r="Y259" s="58"/>
      <c r="Z259" s="466"/>
      <c r="AA259" s="468"/>
      <c r="AB259" s="468"/>
      <c r="AC259" s="468"/>
      <c r="AD259" s="468"/>
    </row>
    <row r="260" spans="1:30" outlineLevel="1">
      <c r="B260" s="541"/>
      <c r="C260" s="564"/>
      <c r="D260" s="564"/>
      <c r="E260" s="564"/>
      <c r="F260" s="564"/>
      <c r="G260" s="565"/>
      <c r="H260" s="565"/>
      <c r="I260" s="565"/>
      <c r="J260" s="565"/>
      <c r="K260" s="565"/>
      <c r="L260" s="548"/>
      <c r="M260" s="363"/>
      <c r="N260" s="363"/>
      <c r="O260" s="465"/>
      <c r="P260" s="466"/>
      <c r="Q260" s="58"/>
      <c r="R260" s="466"/>
      <c r="S260" s="58"/>
      <c r="T260" s="466"/>
      <c r="U260" s="467"/>
      <c r="V260" s="467"/>
      <c r="W260" s="467"/>
      <c r="X260" s="58"/>
      <c r="Y260" s="58"/>
      <c r="Z260" s="466"/>
      <c r="AA260" s="468"/>
      <c r="AB260" s="468"/>
      <c r="AC260" s="468"/>
      <c r="AD260" s="468"/>
    </row>
    <row r="261" spans="1:30" outlineLevel="1">
      <c r="B261" s="566"/>
      <c r="C261" s="560"/>
      <c r="D261" s="561"/>
      <c r="E261" s="561"/>
      <c r="F261" s="562"/>
      <c r="G261" s="562"/>
      <c r="H261" s="562"/>
      <c r="I261" s="562"/>
      <c r="J261" s="562"/>
      <c r="K261" s="563"/>
      <c r="L261" s="559"/>
      <c r="M261" s="367"/>
      <c r="N261" s="367"/>
    </row>
    <row r="262" spans="1:30" outlineLevel="1">
      <c r="B262" s="566"/>
      <c r="C262" s="560"/>
      <c r="D262" s="561"/>
      <c r="E262" s="561"/>
      <c r="F262" s="562"/>
      <c r="G262" s="562"/>
      <c r="H262" s="562"/>
      <c r="I262" s="562"/>
      <c r="J262" s="562"/>
      <c r="K262" s="563"/>
      <c r="L262" s="559"/>
      <c r="M262" s="363"/>
      <c r="N262" s="363"/>
    </row>
    <row r="263" spans="1:30" ht="16" outlineLevel="1" thickBot="1">
      <c r="B263" s="567"/>
      <c r="C263" s="568"/>
      <c r="D263" s="568"/>
      <c r="E263" s="568"/>
      <c r="F263" s="568"/>
      <c r="G263" s="568"/>
      <c r="H263" s="568"/>
      <c r="I263" s="568"/>
      <c r="J263" s="568"/>
      <c r="K263" s="568"/>
      <c r="L263" s="569"/>
      <c r="M263" s="363"/>
      <c r="N263" s="363"/>
    </row>
    <row r="264" spans="1:30" outlineLevel="1">
      <c r="B264" s="461"/>
      <c r="C264" s="483"/>
      <c r="D264" s="483"/>
      <c r="E264" s="483"/>
      <c r="F264" s="483"/>
      <c r="G264" s="483"/>
      <c r="H264" s="484"/>
      <c r="I264" s="420"/>
      <c r="J264" s="420"/>
      <c r="K264" s="484"/>
      <c r="L264" s="484"/>
      <c r="N264" s="420"/>
    </row>
    <row r="265" spans="1:30" outlineLevel="1">
      <c r="B265" s="485"/>
      <c r="C265" s="486"/>
      <c r="D265" s="486"/>
      <c r="E265" s="486"/>
      <c r="F265" s="486"/>
      <c r="G265" s="486"/>
      <c r="H265" s="484"/>
      <c r="I265" s="71"/>
      <c r="J265" s="420"/>
      <c r="K265" s="484"/>
      <c r="L265" s="484"/>
      <c r="N265" s="420"/>
    </row>
    <row r="266" spans="1:30" outlineLevel="1">
      <c r="B266" s="461"/>
      <c r="C266" s="359"/>
      <c r="D266" s="359"/>
      <c r="E266" s="359"/>
      <c r="F266" s="359"/>
      <c r="G266" s="359"/>
      <c r="I266" s="420"/>
      <c r="J266" s="420"/>
      <c r="N266" s="420"/>
    </row>
    <row r="267" spans="1:30" outlineLevel="1">
      <c r="B267" s="461"/>
      <c r="C267" s="487"/>
      <c r="D267" s="487"/>
      <c r="E267" s="487"/>
      <c r="F267" s="487"/>
      <c r="G267" s="359"/>
      <c r="M267" s="420"/>
      <c r="N267" s="420"/>
    </row>
    <row r="268" spans="1:30" outlineLevel="1"/>
    <row r="269" spans="1:30" outlineLevel="1">
      <c r="A269" s="488"/>
      <c r="B269" s="489"/>
      <c r="D269" s="490"/>
      <c r="E269" s="490"/>
      <c r="F269" s="490"/>
      <c r="G269" s="358"/>
      <c r="H269" s="358"/>
      <c r="I269" s="358"/>
      <c r="J269" s="358"/>
      <c r="K269" s="358"/>
      <c r="L269" s="358"/>
    </row>
    <row r="270" spans="1:30" outlineLevel="1">
      <c r="A270" s="491"/>
      <c r="B270" s="492"/>
      <c r="D270" s="490"/>
      <c r="E270" s="490"/>
      <c r="F270" s="490"/>
      <c r="G270" s="358"/>
      <c r="H270" s="358"/>
      <c r="I270" s="358"/>
      <c r="J270" s="358"/>
      <c r="K270" s="358"/>
      <c r="L270" s="358"/>
    </row>
    <row r="271" spans="1:30" outlineLevel="1">
      <c r="A271" s="491"/>
      <c r="B271" s="493"/>
      <c r="D271" s="490"/>
      <c r="E271" s="490"/>
      <c r="F271" s="490"/>
      <c r="G271" s="358"/>
      <c r="H271" s="358"/>
      <c r="I271" s="358"/>
      <c r="J271" s="358"/>
      <c r="K271" s="358"/>
      <c r="L271" s="358"/>
    </row>
    <row r="272" spans="1:30" outlineLevel="1">
      <c r="A272" s="491"/>
      <c r="B272" s="493"/>
      <c r="D272" s="490"/>
      <c r="E272" s="490"/>
      <c r="F272" s="490"/>
      <c r="G272" s="358"/>
      <c r="H272" s="358"/>
      <c r="I272" s="358"/>
      <c r="J272" s="358"/>
      <c r="K272" s="358"/>
      <c r="L272" s="358"/>
    </row>
    <row r="273" spans="1:15" outlineLevel="1">
      <c r="A273" s="491"/>
      <c r="B273" s="493"/>
      <c r="D273" s="490"/>
      <c r="E273" s="490"/>
      <c r="F273" s="490"/>
      <c r="G273" s="358"/>
      <c r="H273" s="358"/>
      <c r="I273" s="358"/>
      <c r="J273" s="358"/>
      <c r="K273" s="358"/>
      <c r="L273" s="358"/>
    </row>
    <row r="274" spans="1:15" outlineLevel="1">
      <c r="A274" s="358"/>
      <c r="B274" s="494"/>
      <c r="D274" s="490"/>
      <c r="E274" s="490"/>
      <c r="F274" s="490"/>
      <c r="G274" s="358"/>
      <c r="H274" s="358"/>
      <c r="I274" s="358"/>
      <c r="J274" s="358"/>
      <c r="K274" s="358"/>
      <c r="L274" s="358"/>
      <c r="M274" s="570"/>
      <c r="N274" s="489"/>
      <c r="O274" s="490"/>
    </row>
    <row r="275" spans="1:15" outlineLevel="1">
      <c r="A275" s="358"/>
      <c r="B275" s="492"/>
      <c r="D275" s="490"/>
      <c r="E275" s="490"/>
      <c r="F275" s="490"/>
      <c r="G275" s="358"/>
      <c r="H275" s="358"/>
      <c r="I275" s="358"/>
      <c r="J275" s="358"/>
      <c r="K275" s="358"/>
      <c r="L275" s="358"/>
      <c r="O275" s="490"/>
    </row>
    <row r="276" spans="1:15" outlineLevel="1">
      <c r="A276" s="358"/>
      <c r="B276" s="495"/>
      <c r="D276" s="490"/>
      <c r="E276" s="490"/>
      <c r="F276" s="490"/>
      <c r="G276" s="358"/>
      <c r="H276" s="358"/>
      <c r="I276" s="358"/>
      <c r="J276" s="358"/>
      <c r="K276" s="358"/>
      <c r="L276" s="358"/>
      <c r="O276" s="490"/>
    </row>
    <row r="277" spans="1:15" outlineLevel="1">
      <c r="A277" s="358"/>
      <c r="B277" s="495"/>
      <c r="D277" s="490"/>
      <c r="E277" s="490"/>
      <c r="F277" s="490"/>
      <c r="G277" s="358"/>
      <c r="H277" s="358"/>
      <c r="I277" s="358"/>
      <c r="J277" s="358"/>
      <c r="K277" s="358"/>
      <c r="L277" s="358"/>
      <c r="O277" s="490"/>
    </row>
    <row r="278" spans="1:15" outlineLevel="1">
      <c r="A278" s="358"/>
      <c r="B278" s="489"/>
      <c r="D278" s="490"/>
      <c r="E278" s="490"/>
      <c r="F278" s="490"/>
      <c r="G278" s="358"/>
      <c r="H278" s="358"/>
      <c r="I278" s="358"/>
      <c r="J278" s="358"/>
      <c r="K278" s="358"/>
      <c r="L278" s="358"/>
      <c r="O278" s="490"/>
    </row>
    <row r="279" spans="1:15" outlineLevel="1">
      <c r="A279" s="358"/>
      <c r="B279" s="490"/>
      <c r="D279" s="490"/>
      <c r="E279" s="490"/>
      <c r="F279" s="490"/>
      <c r="G279" s="358"/>
      <c r="H279" s="358"/>
      <c r="I279" s="358"/>
      <c r="J279" s="358"/>
      <c r="K279" s="358"/>
      <c r="L279" s="358"/>
      <c r="O279" s="490"/>
    </row>
    <row r="280" spans="1:15" outlineLevel="1">
      <c r="A280" s="488"/>
      <c r="B280" s="489"/>
      <c r="D280" s="490"/>
      <c r="E280" s="490"/>
      <c r="F280" s="490"/>
      <c r="G280" s="358"/>
      <c r="H280" s="358"/>
      <c r="I280" s="358"/>
      <c r="J280" s="358"/>
      <c r="K280" s="358"/>
      <c r="L280" s="358"/>
      <c r="O280" s="490"/>
    </row>
    <row r="281" spans="1:15" outlineLevel="1">
      <c r="A281" s="496"/>
      <c r="B281" s="497"/>
      <c r="D281" s="490"/>
      <c r="E281" s="490"/>
      <c r="F281" s="490"/>
      <c r="G281" s="358"/>
      <c r="H281" s="358"/>
      <c r="I281" s="358"/>
      <c r="J281" s="358"/>
      <c r="K281" s="358"/>
      <c r="L281" s="358"/>
      <c r="M281" s="570"/>
      <c r="N281" s="489"/>
      <c r="O281" s="490"/>
    </row>
    <row r="282" spans="1:15" outlineLevel="1">
      <c r="A282" s="496"/>
      <c r="B282" s="489"/>
      <c r="D282" s="490"/>
      <c r="E282" s="490"/>
      <c r="F282" s="490"/>
      <c r="G282" s="358"/>
      <c r="H282" s="358"/>
      <c r="I282" s="358"/>
      <c r="J282" s="358"/>
      <c r="K282" s="358"/>
      <c r="L282" s="358"/>
      <c r="M282" s="571"/>
      <c r="N282" s="489"/>
      <c r="O282" s="490"/>
    </row>
    <row r="283" spans="1:15" outlineLevel="1">
      <c r="A283" s="496"/>
      <c r="B283" s="489"/>
      <c r="D283" s="490"/>
      <c r="E283" s="490"/>
      <c r="F283" s="490"/>
      <c r="G283" s="358"/>
      <c r="H283" s="358"/>
      <c r="I283" s="358"/>
      <c r="J283" s="358"/>
      <c r="K283" s="358"/>
      <c r="L283" s="358"/>
      <c r="M283" s="572"/>
      <c r="N283" s="489"/>
      <c r="O283" s="490"/>
    </row>
    <row r="284" spans="1:15" outlineLevel="1">
      <c r="A284" s="496"/>
      <c r="B284" s="498"/>
      <c r="D284" s="490"/>
      <c r="E284" s="490"/>
      <c r="F284" s="490"/>
      <c r="G284" s="358"/>
      <c r="H284" s="358"/>
      <c r="I284" s="358"/>
      <c r="J284" s="358"/>
      <c r="K284" s="358"/>
      <c r="L284" s="358"/>
      <c r="M284" s="573"/>
      <c r="N284" s="489"/>
      <c r="O284" s="490"/>
    </row>
    <row r="285" spans="1:15" outlineLevel="1">
      <c r="A285" s="496"/>
      <c r="B285" s="489"/>
      <c r="D285" s="490"/>
      <c r="E285" s="490"/>
      <c r="F285" s="490"/>
      <c r="G285" s="358"/>
      <c r="H285" s="358"/>
      <c r="I285" s="358"/>
      <c r="J285" s="358"/>
      <c r="K285" s="358"/>
      <c r="L285" s="358"/>
      <c r="M285" s="573"/>
      <c r="N285" s="490"/>
      <c r="O285" s="490"/>
    </row>
    <row r="286" spans="1:15" outlineLevel="1">
      <c r="A286" s="496"/>
      <c r="B286" s="489"/>
      <c r="D286" s="490"/>
      <c r="E286" s="490"/>
      <c r="F286" s="490"/>
      <c r="G286" s="358"/>
      <c r="H286" s="358"/>
      <c r="I286" s="358"/>
      <c r="J286" s="358"/>
      <c r="K286" s="358"/>
      <c r="L286" s="358"/>
      <c r="M286" s="489"/>
      <c r="N286" s="490"/>
      <c r="O286" s="490"/>
    </row>
    <row r="287" spans="1:15" outlineLevel="1"/>
    <row r="290" spans="1:44" ht="16" thickBot="1">
      <c r="A290" s="360"/>
    </row>
    <row r="291" spans="1:44" ht="20.5" customHeight="1" thickBot="1">
      <c r="B291" s="362"/>
      <c r="C291" s="1186"/>
      <c r="D291" s="1187"/>
      <c r="E291" s="1187"/>
      <c r="F291" s="1187"/>
      <c r="G291" s="1187"/>
      <c r="H291" s="1187"/>
      <c r="I291" s="1187"/>
      <c r="J291" s="1187"/>
      <c r="K291" s="1187"/>
      <c r="L291" s="1188"/>
      <c r="M291" s="363"/>
      <c r="N291" s="363"/>
      <c r="P291" s="364"/>
      <c r="Q291" s="365"/>
      <c r="R291" s="366"/>
      <c r="S291" s="1176"/>
      <c r="T291" s="1160"/>
      <c r="U291" s="1161"/>
      <c r="V291" s="1160"/>
      <c r="W291" s="1161"/>
      <c r="X291" s="1160"/>
      <c r="Y291" s="1161"/>
      <c r="Z291" s="1160"/>
      <c r="AA291" s="1161"/>
      <c r="AB291" s="1160"/>
      <c r="AC291" s="1161"/>
      <c r="AE291" s="364"/>
      <c r="AF291" s="365"/>
      <c r="AG291" s="366"/>
      <c r="AH291" s="1176"/>
      <c r="AI291" s="1160"/>
      <c r="AJ291" s="1161"/>
      <c r="AK291" s="1160"/>
      <c r="AL291" s="1161"/>
      <c r="AM291" s="1160"/>
      <c r="AN291" s="1161"/>
      <c r="AO291" s="1160"/>
      <c r="AP291" s="1161"/>
      <c r="AQ291" s="1160"/>
      <c r="AR291" s="1161"/>
    </row>
    <row r="292" spans="1:44" ht="15" customHeight="1" thickBot="1">
      <c r="B292" s="1164"/>
      <c r="C292" s="1166"/>
      <c r="D292" s="1166"/>
      <c r="E292" s="1166"/>
      <c r="F292" s="1166"/>
      <c r="G292" s="1168"/>
      <c r="H292" s="1169"/>
      <c r="I292" s="1168"/>
      <c r="J292" s="1169"/>
      <c r="K292" s="1189"/>
      <c r="L292" s="1189"/>
      <c r="M292" s="367"/>
      <c r="N292" s="367"/>
      <c r="P292" s="1180"/>
      <c r="Q292" s="368"/>
      <c r="R292" s="368"/>
      <c r="S292" s="1177"/>
      <c r="T292" s="1162"/>
      <c r="U292" s="1163"/>
      <c r="V292" s="1162"/>
      <c r="W292" s="1163"/>
      <c r="X292" s="1162"/>
      <c r="Y292" s="1163"/>
      <c r="Z292" s="1162"/>
      <c r="AA292" s="1163"/>
      <c r="AB292" s="1162"/>
      <c r="AC292" s="1163"/>
      <c r="AE292" s="1180"/>
      <c r="AF292" s="368"/>
      <c r="AG292" s="368"/>
      <c r="AH292" s="1177"/>
      <c r="AI292" s="1162"/>
      <c r="AJ292" s="1163"/>
      <c r="AK292" s="1162"/>
      <c r="AL292" s="1163"/>
      <c r="AM292" s="1162"/>
      <c r="AN292" s="1163"/>
      <c r="AO292" s="1162"/>
      <c r="AP292" s="1163"/>
      <c r="AQ292" s="1162"/>
      <c r="AR292" s="1163"/>
    </row>
    <row r="293" spans="1:44" ht="15" customHeight="1" thickBot="1">
      <c r="B293" s="1165"/>
      <c r="C293" s="1167"/>
      <c r="D293" s="1167"/>
      <c r="E293" s="1167"/>
      <c r="F293" s="1167"/>
      <c r="G293" s="406"/>
      <c r="H293" s="406"/>
      <c r="I293" s="406"/>
      <c r="J293" s="406"/>
      <c r="K293" s="1190"/>
      <c r="L293" s="1190"/>
      <c r="M293" s="370"/>
      <c r="N293" s="370"/>
      <c r="P293" s="1181"/>
      <c r="Q293" s="1183"/>
      <c r="R293" s="1184"/>
      <c r="S293" s="1178"/>
      <c r="T293" s="1162"/>
      <c r="U293" s="1163"/>
      <c r="V293" s="1162"/>
      <c r="W293" s="1163"/>
      <c r="X293" s="1162"/>
      <c r="Y293" s="1163"/>
      <c r="Z293" s="1162"/>
      <c r="AA293" s="1163"/>
      <c r="AB293" s="1162"/>
      <c r="AC293" s="1163"/>
      <c r="AE293" s="1181"/>
      <c r="AF293" s="1183"/>
      <c r="AG293" s="1184"/>
      <c r="AH293" s="1178"/>
      <c r="AI293" s="1162"/>
      <c r="AJ293" s="1163"/>
      <c r="AK293" s="1162"/>
      <c r="AL293" s="1163"/>
      <c r="AM293" s="1162"/>
      <c r="AN293" s="1163"/>
      <c r="AO293" s="1162"/>
      <c r="AP293" s="1163"/>
      <c r="AQ293" s="1162"/>
      <c r="AR293" s="1163"/>
    </row>
    <row r="294" spans="1:44" ht="16" thickBot="1">
      <c r="B294" s="371"/>
      <c r="C294" s="372"/>
      <c r="D294" s="372"/>
      <c r="E294" s="372"/>
      <c r="F294" s="372"/>
      <c r="G294" s="372"/>
      <c r="H294" s="372"/>
      <c r="I294" s="372"/>
      <c r="J294" s="372"/>
      <c r="K294" s="372"/>
      <c r="L294" s="373"/>
      <c r="M294" s="370"/>
      <c r="N294" s="370"/>
      <c r="O294" s="74"/>
      <c r="P294" s="1182"/>
      <c r="Q294" s="1179"/>
      <c r="R294" s="1185"/>
      <c r="S294" s="1179"/>
      <c r="T294" s="374"/>
      <c r="U294" s="375"/>
      <c r="V294" s="374"/>
      <c r="W294" s="375"/>
      <c r="X294" s="374"/>
      <c r="Y294" s="375"/>
      <c r="Z294" s="374"/>
      <c r="AA294" s="375"/>
      <c r="AB294" s="374"/>
      <c r="AC294" s="375"/>
      <c r="AE294" s="1182"/>
      <c r="AF294" s="1179"/>
      <c r="AG294" s="1185"/>
      <c r="AH294" s="1179"/>
      <c r="AI294" s="374"/>
      <c r="AJ294" s="375"/>
      <c r="AK294" s="374"/>
      <c r="AL294" s="375"/>
      <c r="AM294" s="374"/>
      <c r="AN294" s="375"/>
      <c r="AO294" s="374"/>
      <c r="AP294" s="375"/>
      <c r="AQ294" s="374"/>
      <c r="AR294" s="375"/>
    </row>
    <row r="295" spans="1:44" ht="14.5" customHeight="1">
      <c r="B295" s="574"/>
      <c r="C295" s="575"/>
      <c r="D295" s="575"/>
      <c r="E295" s="575"/>
      <c r="F295" s="575"/>
      <c r="G295" s="576"/>
      <c r="H295" s="576"/>
      <c r="I295" s="576"/>
      <c r="J295" s="576"/>
      <c r="K295" s="372"/>
      <c r="L295" s="373"/>
      <c r="M295" s="370"/>
      <c r="N295" s="370"/>
      <c r="P295" s="1148"/>
      <c r="Q295" s="1154"/>
      <c r="R295" s="381"/>
      <c r="S295" s="382"/>
      <c r="T295" s="1137"/>
      <c r="U295" s="1151"/>
      <c r="V295" s="1137"/>
      <c r="W295" s="1151"/>
      <c r="X295" s="1137"/>
      <c r="Y295" s="1151"/>
      <c r="Z295" s="1137"/>
      <c r="AA295" s="1151"/>
      <c r="AB295" s="1157"/>
      <c r="AC295" s="1151"/>
      <c r="AE295" s="1148"/>
      <c r="AF295" s="1154"/>
      <c r="AG295" s="381"/>
      <c r="AH295" s="382"/>
      <c r="AI295" s="1137"/>
      <c r="AJ295" s="1151"/>
      <c r="AK295" s="1137"/>
      <c r="AL295" s="1151"/>
      <c r="AM295" s="1137"/>
      <c r="AN295" s="1151"/>
      <c r="AO295" s="1137"/>
      <c r="AP295" s="1151"/>
      <c r="AQ295" s="1157"/>
      <c r="AR295" s="1151"/>
    </row>
    <row r="296" spans="1:44">
      <c r="B296" s="383"/>
      <c r="C296" s="577"/>
      <c r="D296" s="577"/>
      <c r="E296" s="577"/>
      <c r="F296" s="577"/>
      <c r="G296" s="576"/>
      <c r="H296" s="576"/>
      <c r="I296" s="576"/>
      <c r="J296" s="576"/>
      <c r="K296" s="372"/>
      <c r="L296" s="373"/>
      <c r="M296" s="370"/>
      <c r="N296" s="370"/>
      <c r="O296" s="71"/>
      <c r="P296" s="1149"/>
      <c r="Q296" s="1155"/>
      <c r="R296" s="388"/>
      <c r="S296" s="389"/>
      <c r="T296" s="1140"/>
      <c r="U296" s="1152"/>
      <c r="V296" s="1140"/>
      <c r="W296" s="1152"/>
      <c r="X296" s="1140"/>
      <c r="Y296" s="1152"/>
      <c r="Z296" s="1140"/>
      <c r="AA296" s="1152"/>
      <c r="AB296" s="1158"/>
      <c r="AC296" s="1152"/>
      <c r="AE296" s="1149"/>
      <c r="AF296" s="1155"/>
      <c r="AG296" s="388"/>
      <c r="AH296" s="389"/>
      <c r="AI296" s="1140"/>
      <c r="AJ296" s="1152"/>
      <c r="AK296" s="1140"/>
      <c r="AL296" s="1152"/>
      <c r="AM296" s="1140"/>
      <c r="AN296" s="1152"/>
      <c r="AO296" s="1140"/>
      <c r="AP296" s="1152"/>
      <c r="AQ296" s="1158"/>
      <c r="AR296" s="1152"/>
    </row>
    <row r="297" spans="1:44" ht="16" thickBot="1">
      <c r="B297" s="574"/>
      <c r="C297" s="578"/>
      <c r="D297" s="578"/>
      <c r="E297" s="578"/>
      <c r="F297" s="578"/>
      <c r="G297" s="578"/>
      <c r="H297" s="578"/>
      <c r="I297" s="578"/>
      <c r="J297" s="578"/>
      <c r="K297" s="579"/>
      <c r="L297" s="580"/>
      <c r="M297" s="370"/>
      <c r="N297" s="370"/>
      <c r="O297" s="71"/>
      <c r="P297" s="1149"/>
      <c r="Q297" s="1156"/>
      <c r="R297" s="393"/>
      <c r="S297" s="394"/>
      <c r="T297" s="1141"/>
      <c r="U297" s="1153"/>
      <c r="V297" s="1141"/>
      <c r="W297" s="1153"/>
      <c r="X297" s="1141"/>
      <c r="Y297" s="1153"/>
      <c r="Z297" s="1141"/>
      <c r="AA297" s="1153"/>
      <c r="AB297" s="1159"/>
      <c r="AC297" s="1153"/>
      <c r="AE297" s="1149"/>
      <c r="AF297" s="1156"/>
      <c r="AG297" s="393"/>
      <c r="AH297" s="394"/>
      <c r="AI297" s="1141"/>
      <c r="AJ297" s="1153"/>
      <c r="AK297" s="1141"/>
      <c r="AL297" s="1153"/>
      <c r="AM297" s="1141"/>
      <c r="AN297" s="1153"/>
      <c r="AO297" s="1141"/>
      <c r="AP297" s="1153"/>
      <c r="AQ297" s="1159"/>
      <c r="AR297" s="1153"/>
    </row>
    <row r="298" spans="1:44" ht="14.5" customHeight="1">
      <c r="B298" s="574"/>
      <c r="C298" s="581"/>
      <c r="D298" s="581"/>
      <c r="E298" s="581"/>
      <c r="F298" s="581"/>
      <c r="G298" s="581"/>
      <c r="H298" s="581"/>
      <c r="I298" s="581"/>
      <c r="J298" s="581"/>
      <c r="K298" s="579"/>
      <c r="L298" s="580"/>
      <c r="M298" s="370"/>
      <c r="N298" s="370"/>
      <c r="O298" s="71"/>
      <c r="P298" s="1149"/>
      <c r="Q298" s="1145"/>
      <c r="R298" s="395"/>
      <c r="S298" s="396"/>
      <c r="T298" s="1137"/>
      <c r="U298" s="1137"/>
      <c r="V298" s="1137"/>
      <c r="W298" s="1137"/>
      <c r="X298" s="1137"/>
      <c r="Y298" s="1137"/>
      <c r="Z298" s="1137"/>
      <c r="AA298" s="1137"/>
      <c r="AB298" s="1137"/>
      <c r="AC298" s="1137"/>
      <c r="AE298" s="1149"/>
      <c r="AF298" s="1145"/>
      <c r="AG298" s="395"/>
      <c r="AH298" s="396"/>
      <c r="AI298" s="1137"/>
      <c r="AJ298" s="1137"/>
      <c r="AK298" s="1137"/>
      <c r="AL298" s="1137"/>
      <c r="AM298" s="1137"/>
      <c r="AN298" s="1137"/>
      <c r="AO298" s="1137"/>
      <c r="AP298" s="1137"/>
      <c r="AQ298" s="1137"/>
      <c r="AR298" s="1137"/>
    </row>
    <row r="299" spans="1:44">
      <c r="B299" s="574"/>
      <c r="C299" s="582"/>
      <c r="D299" s="582"/>
      <c r="E299" s="582"/>
      <c r="F299" s="582"/>
      <c r="G299" s="582"/>
      <c r="H299" s="582"/>
      <c r="I299" s="582"/>
      <c r="J299" s="582"/>
      <c r="K299" s="579"/>
      <c r="L299" s="580"/>
      <c r="M299" s="367"/>
      <c r="N299" s="367"/>
      <c r="O299" s="71"/>
      <c r="P299" s="1149"/>
      <c r="Q299" s="1146"/>
      <c r="R299" s="395"/>
      <c r="S299" s="396"/>
      <c r="T299" s="1138"/>
      <c r="U299" s="1138"/>
      <c r="V299" s="1138"/>
      <c r="W299" s="1138"/>
      <c r="X299" s="1138"/>
      <c r="Y299" s="1138"/>
      <c r="Z299" s="1138"/>
      <c r="AA299" s="1138"/>
      <c r="AB299" s="1140"/>
      <c r="AC299" s="1138"/>
      <c r="AE299" s="1149"/>
      <c r="AF299" s="1146"/>
      <c r="AG299" s="395"/>
      <c r="AH299" s="396"/>
      <c r="AI299" s="1138"/>
      <c r="AJ299" s="1138"/>
      <c r="AK299" s="1138"/>
      <c r="AL299" s="1138"/>
      <c r="AM299" s="1138"/>
      <c r="AN299" s="1138"/>
      <c r="AO299" s="1138"/>
      <c r="AP299" s="1138"/>
      <c r="AQ299" s="1140"/>
      <c r="AR299" s="1138"/>
    </row>
    <row r="300" spans="1:44">
      <c r="B300" s="383"/>
      <c r="C300" s="397"/>
      <c r="D300" s="397"/>
      <c r="E300" s="397"/>
      <c r="F300" s="397"/>
      <c r="G300" s="398"/>
      <c r="H300" s="398"/>
      <c r="I300" s="398"/>
      <c r="J300" s="398"/>
      <c r="K300" s="372"/>
      <c r="L300" s="373"/>
      <c r="M300" s="363"/>
      <c r="N300" s="363"/>
      <c r="P300" s="1149"/>
      <c r="Q300" s="1146"/>
      <c r="R300" s="395"/>
      <c r="S300" s="396"/>
      <c r="T300" s="1138"/>
      <c r="U300" s="1138"/>
      <c r="V300" s="1138"/>
      <c r="W300" s="1138"/>
      <c r="X300" s="1138"/>
      <c r="Y300" s="1138"/>
      <c r="Z300" s="1138"/>
      <c r="AA300" s="1138"/>
      <c r="AB300" s="1140"/>
      <c r="AC300" s="1138"/>
      <c r="AE300" s="1149"/>
      <c r="AF300" s="1146"/>
      <c r="AG300" s="395"/>
      <c r="AH300" s="396"/>
      <c r="AI300" s="1138"/>
      <c r="AJ300" s="1138"/>
      <c r="AK300" s="1138"/>
      <c r="AL300" s="1138"/>
      <c r="AM300" s="1138"/>
      <c r="AN300" s="1138"/>
      <c r="AO300" s="1138"/>
      <c r="AP300" s="1138"/>
      <c r="AQ300" s="1140"/>
      <c r="AR300" s="1138"/>
    </row>
    <row r="301" spans="1:44" ht="16" thickBot="1">
      <c r="B301" s="574"/>
      <c r="C301" s="582"/>
      <c r="D301" s="582"/>
      <c r="E301" s="582"/>
      <c r="F301" s="582"/>
      <c r="G301" s="582"/>
      <c r="H301" s="582"/>
      <c r="I301" s="582"/>
      <c r="J301" s="582"/>
      <c r="K301" s="372"/>
      <c r="L301" s="373"/>
      <c r="M301" s="363"/>
      <c r="N301" s="363"/>
      <c r="P301" s="1149"/>
      <c r="Q301" s="1146"/>
      <c r="R301" s="395"/>
      <c r="S301" s="396"/>
      <c r="T301" s="1138"/>
      <c r="U301" s="1138"/>
      <c r="V301" s="1138"/>
      <c r="W301" s="1138"/>
      <c r="X301" s="1138"/>
      <c r="Y301" s="1138"/>
      <c r="Z301" s="1138"/>
      <c r="AA301" s="1138"/>
      <c r="AB301" s="1140"/>
      <c r="AC301" s="1138"/>
      <c r="AE301" s="1149"/>
      <c r="AF301" s="1146"/>
      <c r="AG301" s="395"/>
      <c r="AH301" s="396"/>
      <c r="AI301" s="1138"/>
      <c r="AJ301" s="1138"/>
      <c r="AK301" s="1138"/>
      <c r="AL301" s="1138"/>
      <c r="AM301" s="1138"/>
      <c r="AN301" s="1138"/>
      <c r="AO301" s="1138"/>
      <c r="AP301" s="1138"/>
      <c r="AQ301" s="1140"/>
      <c r="AR301" s="1138"/>
    </row>
    <row r="302" spans="1:44" ht="16" thickBot="1">
      <c r="B302" s="401"/>
      <c r="C302" s="583"/>
      <c r="D302" s="584"/>
      <c r="E302" s="585"/>
      <c r="F302" s="586"/>
      <c r="G302" s="406"/>
      <c r="H302" s="406"/>
      <c r="I302" s="406"/>
      <c r="J302" s="406"/>
      <c r="K302" s="407"/>
      <c r="L302" s="587"/>
      <c r="M302" s="363"/>
      <c r="N302" s="363"/>
      <c r="P302" s="1149"/>
      <c r="Q302" s="1147"/>
      <c r="R302" s="409"/>
      <c r="S302" s="410"/>
      <c r="T302" s="1139"/>
      <c r="U302" s="1139"/>
      <c r="V302" s="1139"/>
      <c r="W302" s="1139"/>
      <c r="X302" s="1139"/>
      <c r="Y302" s="1139"/>
      <c r="Z302" s="1139"/>
      <c r="AA302" s="1139"/>
      <c r="AB302" s="1141"/>
      <c r="AC302" s="1139"/>
      <c r="AE302" s="1149"/>
      <c r="AF302" s="1147"/>
      <c r="AG302" s="409"/>
      <c r="AH302" s="410"/>
      <c r="AI302" s="1139"/>
      <c r="AJ302" s="1139"/>
      <c r="AK302" s="1139"/>
      <c r="AL302" s="1139"/>
      <c r="AM302" s="1139"/>
      <c r="AN302" s="1139"/>
      <c r="AO302" s="1139"/>
      <c r="AP302" s="1139"/>
      <c r="AQ302" s="1141"/>
      <c r="AR302" s="1139"/>
    </row>
    <row r="303" spans="1:44" ht="16" thickBot="1">
      <c r="B303" s="574"/>
      <c r="C303" s="588"/>
      <c r="D303" s="588"/>
      <c r="E303" s="588"/>
      <c r="F303" s="588"/>
      <c r="G303" s="589"/>
      <c r="H303" s="589"/>
      <c r="I303" s="590"/>
      <c r="J303" s="590"/>
      <c r="K303" s="579"/>
      <c r="L303" s="580"/>
      <c r="M303" s="363"/>
      <c r="N303" s="363"/>
      <c r="P303" s="1150"/>
      <c r="Q303" s="411"/>
      <c r="R303" s="412"/>
      <c r="S303" s="413"/>
      <c r="T303" s="591"/>
      <c r="U303" s="592"/>
      <c r="V303" s="593"/>
      <c r="W303" s="592"/>
      <c r="X303" s="593"/>
      <c r="Y303" s="592"/>
      <c r="Z303" s="593"/>
      <c r="AA303" s="592"/>
      <c r="AB303" s="593"/>
      <c r="AC303" s="594"/>
      <c r="AE303" s="1150"/>
      <c r="AF303" s="411"/>
      <c r="AG303" s="412"/>
      <c r="AH303" s="413"/>
      <c r="AI303" s="591"/>
      <c r="AJ303" s="592"/>
      <c r="AK303" s="593"/>
      <c r="AL303" s="592"/>
      <c r="AM303" s="593"/>
      <c r="AN303" s="592"/>
      <c r="AO303" s="593"/>
      <c r="AP303" s="592"/>
      <c r="AQ303" s="593"/>
      <c r="AR303" s="594"/>
    </row>
    <row r="304" spans="1:44">
      <c r="B304" s="574"/>
      <c r="C304" s="582"/>
      <c r="D304" s="582"/>
      <c r="E304" s="582"/>
      <c r="F304" s="582"/>
      <c r="G304" s="595"/>
      <c r="H304" s="595"/>
      <c r="I304" s="595"/>
      <c r="J304" s="595"/>
      <c r="K304" s="596"/>
      <c r="L304" s="580"/>
      <c r="M304" s="363"/>
      <c r="N304" s="363"/>
    </row>
    <row r="305" spans="1:30">
      <c r="B305" s="574"/>
      <c r="C305" s="582"/>
      <c r="D305" s="582"/>
      <c r="E305" s="582"/>
      <c r="F305" s="582"/>
      <c r="G305" s="595"/>
      <c r="H305" s="595"/>
      <c r="I305" s="595"/>
      <c r="J305" s="595"/>
      <c r="K305" s="596"/>
      <c r="L305" s="580"/>
      <c r="M305" s="420"/>
      <c r="N305" s="363"/>
    </row>
    <row r="306" spans="1:30">
      <c r="B306" s="421"/>
      <c r="C306" s="399"/>
      <c r="D306" s="399"/>
      <c r="E306" s="399"/>
      <c r="F306" s="399"/>
      <c r="G306" s="422"/>
      <c r="H306" s="422"/>
      <c r="I306" s="422"/>
      <c r="J306" s="422"/>
      <c r="K306" s="423"/>
      <c r="L306" s="597"/>
      <c r="M306" s="420"/>
      <c r="N306" s="420"/>
    </row>
    <row r="307" spans="1:30">
      <c r="B307" s="383"/>
      <c r="C307" s="397"/>
      <c r="D307" s="397"/>
      <c r="E307" s="397"/>
      <c r="F307" s="397"/>
      <c r="G307" s="422"/>
      <c r="H307" s="425"/>
      <c r="I307" s="425"/>
      <c r="J307" s="425"/>
      <c r="K307" s="426"/>
      <c r="L307" s="427"/>
      <c r="M307" s="428"/>
      <c r="N307" s="428"/>
    </row>
    <row r="308" spans="1:30">
      <c r="B308" s="383"/>
      <c r="C308" s="397"/>
      <c r="D308" s="397"/>
      <c r="E308" s="397"/>
      <c r="F308" s="397"/>
      <c r="G308" s="425"/>
      <c r="H308" s="425"/>
      <c r="I308" s="425"/>
      <c r="J308" s="425"/>
      <c r="K308" s="423"/>
      <c r="L308" s="427"/>
      <c r="M308" s="428"/>
      <c r="N308" s="428"/>
    </row>
    <row r="309" spans="1:30">
      <c r="B309" s="383"/>
      <c r="C309" s="397"/>
      <c r="D309" s="397"/>
      <c r="E309" s="397"/>
      <c r="F309" s="397"/>
      <c r="G309" s="425"/>
      <c r="H309" s="425"/>
      <c r="I309" s="425"/>
      <c r="J309" s="425"/>
      <c r="K309" s="423"/>
      <c r="L309" s="427"/>
      <c r="M309" s="428"/>
      <c r="N309" s="428"/>
    </row>
    <row r="310" spans="1:30">
      <c r="B310" s="383"/>
      <c r="C310" s="397"/>
      <c r="D310" s="397"/>
      <c r="E310" s="397"/>
      <c r="F310" s="397"/>
      <c r="G310" s="425"/>
      <c r="H310" s="425"/>
      <c r="I310" s="425"/>
      <c r="J310" s="425"/>
      <c r="K310" s="423"/>
      <c r="L310" s="427"/>
      <c r="M310" s="428"/>
      <c r="N310" s="428"/>
    </row>
    <row r="311" spans="1:30" ht="16" thickBot="1">
      <c r="B311" s="429"/>
      <c r="C311" s="397"/>
      <c r="D311" s="397"/>
      <c r="E311" s="397"/>
      <c r="F311" s="397"/>
      <c r="G311" s="425"/>
      <c r="H311" s="425"/>
      <c r="I311" s="425"/>
      <c r="J311" s="425"/>
      <c r="K311" s="423"/>
      <c r="L311" s="427"/>
      <c r="M311" s="428"/>
      <c r="N311" s="428"/>
    </row>
    <row r="312" spans="1:30" ht="16" thickBot="1">
      <c r="B312" s="431"/>
      <c r="C312" s="598"/>
      <c r="D312" s="584"/>
      <c r="E312" s="584"/>
      <c r="F312" s="599"/>
      <c r="G312" s="434"/>
      <c r="H312" s="406"/>
      <c r="I312" s="406"/>
      <c r="J312" s="406"/>
      <c r="K312" s="407"/>
      <c r="L312" s="587"/>
      <c r="M312" s="428"/>
      <c r="N312" s="428"/>
    </row>
    <row r="313" spans="1:30">
      <c r="A313" s="435"/>
      <c r="B313" s="436"/>
      <c r="C313" s="600"/>
      <c r="D313" s="600"/>
      <c r="E313" s="600"/>
      <c r="F313" s="600"/>
      <c r="G313" s="425"/>
      <c r="H313" s="425"/>
      <c r="I313" s="425"/>
      <c r="J313" s="425"/>
      <c r="K313" s="426"/>
      <c r="L313" s="440"/>
      <c r="M313" s="420"/>
      <c r="N313" s="420"/>
    </row>
    <row r="314" spans="1:30">
      <c r="B314" s="441"/>
      <c r="C314" s="601"/>
      <c r="D314" s="601"/>
      <c r="E314" s="601"/>
      <c r="F314" s="601"/>
      <c r="G314" s="425"/>
      <c r="H314" s="425"/>
      <c r="I314" s="425"/>
      <c r="J314" s="425"/>
      <c r="K314" s="444"/>
      <c r="L314" s="373"/>
      <c r="M314" s="71"/>
      <c r="N314" s="420"/>
    </row>
    <row r="315" spans="1:30">
      <c r="B315" s="441"/>
      <c r="C315" s="601"/>
      <c r="D315" s="601"/>
      <c r="E315" s="601"/>
      <c r="F315" s="601"/>
      <c r="G315" s="425"/>
      <c r="H315" s="425"/>
      <c r="I315" s="425"/>
      <c r="J315" s="425"/>
      <c r="K315" s="444"/>
      <c r="L315" s="373"/>
      <c r="M315" s="420"/>
      <c r="N315" s="420"/>
    </row>
    <row r="316" spans="1:30">
      <c r="B316" s="383"/>
      <c r="C316" s="602"/>
      <c r="D316" s="603"/>
      <c r="E316" s="603"/>
      <c r="F316" s="604"/>
      <c r="G316" s="425"/>
      <c r="H316" s="425"/>
      <c r="I316" s="425"/>
      <c r="J316" s="425"/>
      <c r="K316" s="444"/>
      <c r="L316" s="373"/>
      <c r="M316" s="420"/>
      <c r="N316" s="420"/>
    </row>
    <row r="317" spans="1:30">
      <c r="B317" s="383"/>
      <c r="C317" s="605"/>
      <c r="D317" s="605"/>
      <c r="E317" s="605"/>
      <c r="F317" s="605"/>
      <c r="G317" s="425"/>
      <c r="H317" s="425"/>
      <c r="I317" s="425"/>
      <c r="J317" s="425"/>
      <c r="K317" s="444"/>
      <c r="L317" s="373"/>
      <c r="M317" s="450"/>
      <c r="N317" s="361"/>
      <c r="P317" s="1142"/>
      <c r="Q317" s="1143"/>
      <c r="R317" s="1143"/>
      <c r="S317" s="1143"/>
      <c r="T317" s="1143"/>
      <c r="U317" s="1144"/>
    </row>
    <row r="318" spans="1:30" ht="16" thickBot="1">
      <c r="B318" s="541"/>
      <c r="C318" s="552"/>
      <c r="D318" s="552"/>
      <c r="E318" s="552"/>
      <c r="F318" s="552"/>
      <c r="G318" s="553"/>
      <c r="H318" s="553"/>
      <c r="I318" s="553"/>
      <c r="J318" s="553"/>
      <c r="K318" s="547"/>
      <c r="L318" s="548"/>
      <c r="M318" s="450"/>
      <c r="N318" s="361"/>
      <c r="P318" s="1134"/>
      <c r="Q318" s="1135"/>
      <c r="R318" s="1135"/>
      <c r="S318" s="1135"/>
      <c r="T318" s="1135"/>
      <c r="U318" s="1136"/>
    </row>
    <row r="319" spans="1:30">
      <c r="B319" s="541"/>
      <c r="C319" s="606"/>
      <c r="D319" s="606"/>
      <c r="E319" s="606"/>
      <c r="F319" s="606"/>
      <c r="G319" s="553"/>
      <c r="H319" s="553"/>
      <c r="I319" s="553"/>
      <c r="J319" s="553"/>
      <c r="K319" s="547"/>
      <c r="L319" s="548"/>
      <c r="M319" s="363"/>
      <c r="N319" s="363"/>
      <c r="P319" s="53"/>
    </row>
    <row r="320" spans="1:30">
      <c r="B320" s="541"/>
      <c r="C320" s="607"/>
      <c r="D320" s="547"/>
      <c r="E320" s="547"/>
      <c r="F320" s="563"/>
      <c r="G320" s="550"/>
      <c r="H320" s="550"/>
      <c r="I320" s="550"/>
      <c r="J320" s="550"/>
      <c r="K320" s="547"/>
      <c r="L320" s="608"/>
      <c r="M320" s="367"/>
      <c r="N320" s="367"/>
      <c r="P320" s="46"/>
      <c r="Q320" s="46"/>
      <c r="R320" s="47"/>
      <c r="S320" s="47"/>
      <c r="T320" s="47"/>
      <c r="U320" s="48"/>
      <c r="V320" s="49"/>
      <c r="W320" s="49"/>
      <c r="X320" s="49"/>
      <c r="Y320" s="49"/>
      <c r="Z320" s="49"/>
      <c r="AA320" s="49"/>
      <c r="AB320" s="49"/>
      <c r="AC320" s="49"/>
      <c r="AD320" s="49"/>
    </row>
    <row r="321" spans="1:30" ht="16" thickBot="1">
      <c r="B321" s="566"/>
      <c r="C321" s="607"/>
      <c r="D321" s="609"/>
      <c r="E321" s="609"/>
      <c r="F321" s="610"/>
      <c r="G321" s="550"/>
      <c r="H321" s="550"/>
      <c r="I321" s="550"/>
      <c r="J321" s="550"/>
      <c r="K321" s="547"/>
      <c r="L321" s="608"/>
      <c r="M321" s="363"/>
      <c r="N321" s="363"/>
      <c r="O321" s="71"/>
      <c r="P321" s="50"/>
      <c r="Q321" s="50"/>
      <c r="R321" s="51"/>
      <c r="S321" s="51"/>
      <c r="T321" s="51"/>
      <c r="U321" s="51"/>
      <c r="V321" s="50"/>
      <c r="W321" s="50"/>
      <c r="X321" s="50"/>
      <c r="Y321" s="50"/>
      <c r="Z321" s="50"/>
      <c r="AA321" s="50"/>
      <c r="AB321" s="50"/>
      <c r="AC321" s="50"/>
      <c r="AD321" s="50"/>
    </row>
    <row r="322" spans="1:30" ht="16" thickBot="1">
      <c r="B322" s="611"/>
      <c r="C322" s="612"/>
      <c r="D322" s="613"/>
      <c r="E322" s="614"/>
      <c r="F322" s="615"/>
      <c r="G322" s="540"/>
      <c r="H322" s="540"/>
      <c r="I322" s="540"/>
      <c r="J322" s="540"/>
      <c r="K322" s="616"/>
      <c r="L322" s="617"/>
      <c r="M322" s="363"/>
      <c r="N322" s="363"/>
      <c r="O322" s="461"/>
      <c r="P322" s="56"/>
      <c r="Q322" s="56"/>
      <c r="R322" s="57"/>
      <c r="S322" s="57"/>
      <c r="T322" s="57"/>
      <c r="U322" s="56"/>
      <c r="V322" s="56"/>
      <c r="W322" s="56"/>
      <c r="X322" s="56"/>
      <c r="Y322" s="56"/>
      <c r="Z322" s="56"/>
      <c r="AA322" s="56"/>
      <c r="AB322" s="56"/>
      <c r="AC322" s="56"/>
      <c r="AD322" s="56"/>
    </row>
    <row r="323" spans="1:30">
      <c r="B323" s="556"/>
      <c r="C323" s="618"/>
      <c r="D323" s="618"/>
      <c r="E323" s="618"/>
      <c r="F323" s="618"/>
      <c r="G323" s="618"/>
      <c r="H323" s="618"/>
      <c r="I323" s="618"/>
      <c r="J323" s="618"/>
      <c r="K323" s="618"/>
      <c r="L323" s="619"/>
      <c r="M323" s="363"/>
      <c r="N323" s="363"/>
      <c r="O323" s="620"/>
      <c r="P323" s="466"/>
      <c r="Q323" s="58"/>
      <c r="R323" s="466"/>
      <c r="S323" s="58"/>
      <c r="T323" s="466"/>
      <c r="U323" s="467"/>
      <c r="V323" s="467"/>
      <c r="W323" s="467"/>
      <c r="X323" s="58"/>
      <c r="Y323" s="58"/>
      <c r="Z323" s="466"/>
      <c r="AA323" s="468"/>
      <c r="AB323" s="468"/>
      <c r="AC323" s="468"/>
      <c r="AD323" s="468"/>
    </row>
    <row r="324" spans="1:30">
      <c r="B324" s="541"/>
      <c r="C324" s="558"/>
      <c r="D324" s="558"/>
      <c r="E324" s="558"/>
      <c r="F324" s="558"/>
      <c r="G324" s="563"/>
      <c r="H324" s="563"/>
      <c r="I324" s="563"/>
      <c r="J324" s="563"/>
      <c r="K324" s="563"/>
      <c r="L324" s="548"/>
      <c r="M324" s="363"/>
      <c r="N324" s="363"/>
      <c r="O324" s="620"/>
      <c r="P324" s="466"/>
      <c r="Q324" s="58"/>
      <c r="R324" s="466"/>
      <c r="S324" s="58"/>
      <c r="T324" s="466"/>
      <c r="U324" s="467"/>
      <c r="V324" s="467"/>
      <c r="W324" s="467"/>
      <c r="X324" s="58"/>
      <c r="Y324" s="58"/>
      <c r="Z324" s="466"/>
      <c r="AA324" s="468"/>
      <c r="AB324" s="468"/>
      <c r="AC324" s="468"/>
      <c r="AD324" s="468"/>
    </row>
    <row r="325" spans="1:30">
      <c r="B325" s="541"/>
      <c r="C325" s="558"/>
      <c r="D325" s="558"/>
      <c r="E325" s="558"/>
      <c r="F325" s="558"/>
      <c r="G325" s="563"/>
      <c r="H325" s="563"/>
      <c r="I325" s="563"/>
      <c r="J325" s="563"/>
      <c r="K325" s="563"/>
      <c r="L325" s="548"/>
      <c r="M325" s="363"/>
      <c r="N325" s="363"/>
      <c r="O325" s="620"/>
      <c r="P325" s="466"/>
      <c r="Q325" s="58"/>
      <c r="R325" s="466"/>
      <c r="S325" s="58"/>
      <c r="T325" s="466"/>
      <c r="U325" s="467"/>
      <c r="V325" s="467"/>
      <c r="W325" s="467"/>
      <c r="X325" s="58"/>
      <c r="Y325" s="58"/>
      <c r="Z325" s="466"/>
      <c r="AA325" s="468"/>
      <c r="AB325" s="468"/>
      <c r="AC325" s="468"/>
      <c r="AD325" s="468"/>
    </row>
    <row r="326" spans="1:30">
      <c r="B326" s="541"/>
      <c r="C326" s="564"/>
      <c r="D326" s="564"/>
      <c r="E326" s="564"/>
      <c r="F326" s="564"/>
      <c r="G326" s="621"/>
      <c r="H326" s="621"/>
      <c r="I326" s="621"/>
      <c r="J326" s="621"/>
      <c r="K326" s="621"/>
      <c r="L326" s="548"/>
      <c r="M326" s="363"/>
      <c r="N326" s="363"/>
      <c r="O326" s="620"/>
      <c r="P326" s="466"/>
      <c r="Q326" s="58"/>
      <c r="R326" s="466"/>
      <c r="S326" s="58"/>
      <c r="T326" s="466"/>
      <c r="U326" s="467"/>
      <c r="V326" s="467"/>
      <c r="W326" s="467"/>
      <c r="X326" s="58"/>
      <c r="Y326" s="58"/>
      <c r="Z326" s="466"/>
      <c r="AA326" s="468"/>
      <c r="AB326" s="468"/>
      <c r="AC326" s="468"/>
      <c r="AD326" s="468"/>
    </row>
    <row r="327" spans="1:30">
      <c r="B327" s="566"/>
      <c r="C327" s="558"/>
      <c r="D327" s="558"/>
      <c r="E327" s="558"/>
      <c r="F327" s="558"/>
      <c r="G327" s="563"/>
      <c r="H327" s="563"/>
      <c r="I327" s="563"/>
      <c r="J327" s="563"/>
      <c r="K327" s="563"/>
      <c r="L327" s="548"/>
      <c r="M327" s="367"/>
      <c r="N327" s="367"/>
    </row>
    <row r="328" spans="1:30">
      <c r="B328" s="566"/>
      <c r="C328" s="558"/>
      <c r="D328" s="558"/>
      <c r="E328" s="558"/>
      <c r="F328" s="558"/>
      <c r="G328" s="563"/>
      <c r="H328" s="563"/>
      <c r="I328" s="563"/>
      <c r="J328" s="563"/>
      <c r="K328" s="563"/>
      <c r="L328" s="548"/>
      <c r="M328" s="363"/>
      <c r="N328" s="363"/>
    </row>
    <row r="329" spans="1:30" ht="16" thickBot="1">
      <c r="B329" s="567"/>
      <c r="C329" s="622"/>
      <c r="D329" s="622"/>
      <c r="E329" s="622"/>
      <c r="F329" s="622"/>
      <c r="G329" s="623"/>
      <c r="H329" s="623"/>
      <c r="I329" s="623"/>
      <c r="J329" s="623"/>
      <c r="K329" s="623"/>
      <c r="L329" s="624"/>
      <c r="M329" s="363"/>
      <c r="N329" s="363"/>
    </row>
    <row r="330" spans="1:30">
      <c r="B330" s="461"/>
      <c r="C330" s="483"/>
      <c r="D330" s="483"/>
      <c r="E330" s="483"/>
      <c r="F330" s="483"/>
      <c r="G330" s="483"/>
      <c r="H330" s="484"/>
      <c r="I330" s="420"/>
      <c r="J330" s="420"/>
      <c r="K330" s="484"/>
      <c r="L330" s="484"/>
      <c r="N330" s="420"/>
    </row>
    <row r="331" spans="1:30">
      <c r="B331" s="485"/>
      <c r="C331" s="486"/>
      <c r="D331" s="486"/>
      <c r="E331" s="486"/>
      <c r="F331" s="486"/>
      <c r="G331" s="486"/>
      <c r="H331" s="484"/>
      <c r="I331" s="71"/>
      <c r="J331" s="420"/>
      <c r="K331" s="484"/>
      <c r="L331" s="484"/>
      <c r="N331" s="420"/>
    </row>
    <row r="332" spans="1:30">
      <c r="B332" s="461"/>
      <c r="C332" s="359"/>
      <c r="D332" s="359"/>
      <c r="E332" s="359"/>
      <c r="F332" s="359"/>
      <c r="G332" s="359"/>
      <c r="I332" s="420"/>
      <c r="J332" s="420"/>
      <c r="N332" s="420"/>
    </row>
    <row r="333" spans="1:30">
      <c r="B333" s="461"/>
      <c r="C333" s="487"/>
      <c r="D333" s="487"/>
      <c r="E333" s="487"/>
      <c r="F333" s="487"/>
      <c r="G333" s="359"/>
      <c r="M333" s="420"/>
      <c r="N333" s="420"/>
    </row>
    <row r="336" spans="1:30">
      <c r="A336" s="488"/>
      <c r="B336" s="489"/>
      <c r="D336" s="358"/>
      <c r="E336" s="358"/>
      <c r="F336" s="358"/>
      <c r="G336" s="358"/>
      <c r="H336" s="358"/>
      <c r="I336" s="358"/>
      <c r="J336" s="358"/>
      <c r="K336" s="358"/>
    </row>
    <row r="337" spans="1:11">
      <c r="A337" s="358"/>
      <c r="B337" s="490"/>
      <c r="E337" s="358"/>
      <c r="F337" s="358"/>
      <c r="G337" s="358"/>
      <c r="H337" s="358"/>
      <c r="I337" s="358"/>
      <c r="J337" s="358"/>
      <c r="K337" s="358"/>
    </row>
    <row r="338" spans="1:11">
      <c r="A338" s="358"/>
      <c r="B338" s="490"/>
      <c r="E338" s="358"/>
      <c r="F338" s="358"/>
      <c r="G338" s="358"/>
      <c r="H338" s="358"/>
      <c r="I338" s="358"/>
      <c r="J338" s="358"/>
      <c r="K338" s="358"/>
    </row>
    <row r="339" spans="1:11">
      <c r="A339" s="358"/>
      <c r="B339" s="490"/>
      <c r="E339" s="358"/>
      <c r="F339" s="358"/>
      <c r="G339" s="358"/>
      <c r="H339" s="358"/>
      <c r="I339" s="358"/>
      <c r="J339" s="358"/>
      <c r="K339" s="358"/>
    </row>
    <row r="340" spans="1:11">
      <c r="A340" s="358"/>
      <c r="B340" s="490"/>
      <c r="E340" s="358"/>
      <c r="F340" s="358"/>
      <c r="G340" s="358"/>
      <c r="H340" s="358"/>
      <c r="I340" s="358"/>
      <c r="J340" s="358"/>
      <c r="K340" s="358"/>
    </row>
    <row r="341" spans="1:11">
      <c r="A341" s="358"/>
      <c r="B341" s="490"/>
      <c r="E341" s="358"/>
      <c r="F341" s="358"/>
      <c r="G341" s="358"/>
      <c r="H341" s="358"/>
      <c r="I341" s="358"/>
      <c r="J341" s="358"/>
      <c r="K341" s="358"/>
    </row>
    <row r="342" spans="1:11">
      <c r="A342" s="358"/>
      <c r="B342" s="490"/>
      <c r="E342" s="358"/>
      <c r="F342" s="358"/>
      <c r="G342" s="358"/>
      <c r="H342" s="358"/>
      <c r="I342" s="358"/>
      <c r="J342" s="358"/>
      <c r="K342" s="358"/>
    </row>
    <row r="343" spans="1:11">
      <c r="A343" s="358"/>
      <c r="B343" s="490"/>
      <c r="E343" s="358"/>
      <c r="F343" s="358"/>
      <c r="G343" s="358"/>
      <c r="H343" s="358"/>
      <c r="I343" s="358"/>
      <c r="J343" s="358"/>
      <c r="K343" s="358"/>
    </row>
    <row r="344" spans="1:11">
      <c r="A344" s="358"/>
      <c r="B344" s="625"/>
      <c r="E344" s="358"/>
      <c r="F344" s="358"/>
      <c r="G344" s="358"/>
      <c r="H344" s="358"/>
      <c r="I344" s="358"/>
      <c r="J344" s="358"/>
      <c r="K344" s="358"/>
    </row>
    <row r="345" spans="1:11">
      <c r="A345" s="358"/>
      <c r="B345" s="490"/>
      <c r="E345" s="358"/>
      <c r="F345" s="358"/>
      <c r="G345" s="358"/>
      <c r="H345" s="358"/>
      <c r="I345" s="358"/>
      <c r="J345" s="358"/>
      <c r="K345" s="358"/>
    </row>
    <row r="346" spans="1:11">
      <c r="A346" s="488"/>
      <c r="B346" s="489"/>
      <c r="E346" s="358"/>
      <c r="F346" s="358"/>
      <c r="G346" s="358"/>
      <c r="H346" s="358"/>
      <c r="I346" s="358"/>
      <c r="J346" s="358"/>
      <c r="K346" s="358"/>
    </row>
    <row r="347" spans="1:11">
      <c r="A347" s="496"/>
      <c r="B347" s="490"/>
      <c r="C347" s="489"/>
      <c r="E347" s="358"/>
      <c r="F347" s="358"/>
      <c r="G347" s="358"/>
      <c r="H347" s="358"/>
      <c r="I347" s="358"/>
      <c r="J347" s="358"/>
      <c r="K347" s="358"/>
    </row>
    <row r="348" spans="1:11">
      <c r="A348" s="496"/>
      <c r="B348" s="490"/>
      <c r="C348" s="489"/>
      <c r="E348" s="358"/>
      <c r="F348" s="358"/>
      <c r="G348" s="358"/>
      <c r="H348" s="358"/>
      <c r="I348" s="358"/>
      <c r="J348" s="358"/>
      <c r="K348" s="358"/>
    </row>
    <row r="349" spans="1:11">
      <c r="A349" s="496"/>
      <c r="B349" s="490"/>
      <c r="C349" s="489"/>
      <c r="E349" s="358"/>
      <c r="F349" s="358"/>
      <c r="G349" s="358"/>
      <c r="H349" s="358"/>
      <c r="I349" s="358"/>
      <c r="J349" s="358"/>
      <c r="K349" s="358"/>
    </row>
    <row r="350" spans="1:11">
      <c r="A350" s="496"/>
      <c r="B350" s="490"/>
      <c r="C350" s="489"/>
      <c r="E350" s="358"/>
      <c r="F350" s="358"/>
      <c r="G350" s="358"/>
      <c r="H350" s="358"/>
      <c r="I350" s="358"/>
      <c r="J350" s="358"/>
      <c r="K350" s="358"/>
    </row>
    <row r="351" spans="1:11" ht="15.75" customHeight="1">
      <c r="A351" s="496"/>
      <c r="B351" s="490"/>
      <c r="C351" s="489"/>
      <c r="E351" s="358"/>
      <c r="F351" s="358"/>
      <c r="G351" s="358"/>
      <c r="H351" s="358"/>
      <c r="I351" s="358"/>
      <c r="J351" s="358"/>
      <c r="K351" s="358"/>
    </row>
    <row r="352" spans="1:11" ht="15.75" customHeight="1">
      <c r="A352" s="496"/>
      <c r="B352" s="490"/>
      <c r="C352" s="489"/>
      <c r="E352" s="358"/>
      <c r="F352" s="358"/>
      <c r="G352" s="358"/>
      <c r="H352" s="358"/>
      <c r="I352" s="358"/>
      <c r="J352" s="358"/>
      <c r="K352" s="358"/>
    </row>
  </sheetData>
  <mergeCells count="393">
    <mergeCell ref="P317:U317"/>
    <mergeCell ref="P318:U318"/>
    <mergeCell ref="AM298:AM302"/>
    <mergeCell ref="AN298:AN302"/>
    <mergeCell ref="AO298:AO302"/>
    <mergeCell ref="AP298:AP302"/>
    <mergeCell ref="AQ298:AQ302"/>
    <mergeCell ref="AR298:AR302"/>
    <mergeCell ref="AC298:AC302"/>
    <mergeCell ref="AF298:AF302"/>
    <mergeCell ref="AI298:AI302"/>
    <mergeCell ref="AJ298:AJ302"/>
    <mergeCell ref="AK298:AK302"/>
    <mergeCell ref="AL298:AL302"/>
    <mergeCell ref="W298:W302"/>
    <mergeCell ref="X298:X302"/>
    <mergeCell ref="Y298:Y302"/>
    <mergeCell ref="Z298:Z302"/>
    <mergeCell ref="AA298:AA302"/>
    <mergeCell ref="AB298:AB302"/>
    <mergeCell ref="AM295:AM297"/>
    <mergeCell ref="AN295:AN297"/>
    <mergeCell ref="AO295:AO297"/>
    <mergeCell ref="AP295:AP297"/>
    <mergeCell ref="AQ295:AQ297"/>
    <mergeCell ref="AR295:AR297"/>
    <mergeCell ref="AE295:AE303"/>
    <mergeCell ref="AF295:AF297"/>
    <mergeCell ref="AI295:AI297"/>
    <mergeCell ref="AJ295:AJ297"/>
    <mergeCell ref="AK295:AK297"/>
    <mergeCell ref="AL295:AL297"/>
    <mergeCell ref="X295:X297"/>
    <mergeCell ref="Y295:Y297"/>
    <mergeCell ref="Z295:Z297"/>
    <mergeCell ref="AA295:AA297"/>
    <mergeCell ref="AB295:AB297"/>
    <mergeCell ref="AC295:AC297"/>
    <mergeCell ref="P295:P303"/>
    <mergeCell ref="Q295:Q297"/>
    <mergeCell ref="T295:T297"/>
    <mergeCell ref="U295:U297"/>
    <mergeCell ref="V295:V297"/>
    <mergeCell ref="W295:W297"/>
    <mergeCell ref="Q298:Q302"/>
    <mergeCell ref="T298:T302"/>
    <mergeCell ref="U298:U302"/>
    <mergeCell ref="V298:V302"/>
    <mergeCell ref="AQ291:AR293"/>
    <mergeCell ref="B292:B293"/>
    <mergeCell ref="C292:C293"/>
    <mergeCell ref="D292:D293"/>
    <mergeCell ref="E292:E293"/>
    <mergeCell ref="F292:F293"/>
    <mergeCell ref="G292:H292"/>
    <mergeCell ref="I292:J292"/>
    <mergeCell ref="K292:K293"/>
    <mergeCell ref="Z291:AA293"/>
    <mergeCell ref="AB291:AC293"/>
    <mergeCell ref="AH291:AH294"/>
    <mergeCell ref="AI291:AJ293"/>
    <mergeCell ref="AK291:AL293"/>
    <mergeCell ref="AM291:AN293"/>
    <mergeCell ref="AE292:AE294"/>
    <mergeCell ref="AF293:AF294"/>
    <mergeCell ref="AG293:AG294"/>
    <mergeCell ref="AN229:AN231"/>
    <mergeCell ref="AO229:AO231"/>
    <mergeCell ref="AP229:AP231"/>
    <mergeCell ref="P252:U252"/>
    <mergeCell ref="C291:L291"/>
    <mergeCell ref="S291:S294"/>
    <mergeCell ref="T291:U293"/>
    <mergeCell ref="V291:W293"/>
    <mergeCell ref="X291:Y293"/>
    <mergeCell ref="L292:L293"/>
    <mergeCell ref="P292:P294"/>
    <mergeCell ref="Q293:Q294"/>
    <mergeCell ref="R293:R294"/>
    <mergeCell ref="AO291:AP293"/>
    <mergeCell ref="P251:U251"/>
    <mergeCell ref="AF232:AF236"/>
    <mergeCell ref="AI232:AI236"/>
    <mergeCell ref="AJ232:AJ236"/>
    <mergeCell ref="AK232:AK236"/>
    <mergeCell ref="AL232:AL236"/>
    <mergeCell ref="AM232:AM236"/>
    <mergeCell ref="X232:X236"/>
    <mergeCell ref="Y232:Y236"/>
    <mergeCell ref="Z232:Z236"/>
    <mergeCell ref="AA232:AA236"/>
    <mergeCell ref="AB232:AB236"/>
    <mergeCell ref="AC232:AC236"/>
    <mergeCell ref="P229:P237"/>
    <mergeCell ref="Q229:Q231"/>
    <mergeCell ref="T229:T231"/>
    <mergeCell ref="U229:U231"/>
    <mergeCell ref="V229:V231"/>
    <mergeCell ref="W229:W231"/>
    <mergeCell ref="X229:X231"/>
    <mergeCell ref="AQ229:AQ231"/>
    <mergeCell ref="AR229:AR231"/>
    <mergeCell ref="Q232:Q236"/>
    <mergeCell ref="T232:T236"/>
    <mergeCell ref="U232:U236"/>
    <mergeCell ref="V232:V236"/>
    <mergeCell ref="W232:W236"/>
    <mergeCell ref="AF229:AF231"/>
    <mergeCell ref="AI229:AI231"/>
    <mergeCell ref="AJ229:AJ231"/>
    <mergeCell ref="AK229:AK231"/>
    <mergeCell ref="AL229:AL231"/>
    <mergeCell ref="AM229:AM231"/>
    <mergeCell ref="Y229:Y231"/>
    <mergeCell ref="Z229:Z231"/>
    <mergeCell ref="AA229:AA231"/>
    <mergeCell ref="AB229:AB231"/>
    <mergeCell ref="AC229:AC231"/>
    <mergeCell ref="AE229:AE237"/>
    <mergeCell ref="AN232:AN236"/>
    <mergeCell ref="AO232:AO236"/>
    <mergeCell ref="AP232:AP236"/>
    <mergeCell ref="AQ232:AQ236"/>
    <mergeCell ref="AR232:AR236"/>
    <mergeCell ref="AM225:AN227"/>
    <mergeCell ref="AO225:AP227"/>
    <mergeCell ref="AQ225:AR227"/>
    <mergeCell ref="B226:B227"/>
    <mergeCell ref="C226:C227"/>
    <mergeCell ref="D226:D227"/>
    <mergeCell ref="E226:E227"/>
    <mergeCell ref="F226:F227"/>
    <mergeCell ref="G226:H226"/>
    <mergeCell ref="I226:J226"/>
    <mergeCell ref="X225:Y227"/>
    <mergeCell ref="Z225:AA227"/>
    <mergeCell ref="AB225:AC227"/>
    <mergeCell ref="AH225:AH228"/>
    <mergeCell ref="AI225:AJ227"/>
    <mergeCell ref="AK225:AL227"/>
    <mergeCell ref="AE226:AE228"/>
    <mergeCell ref="R227:R228"/>
    <mergeCell ref="AF227:AF228"/>
    <mergeCell ref="AG227:AG228"/>
    <mergeCell ref="P184:U184"/>
    <mergeCell ref="P185:U185"/>
    <mergeCell ref="C225:L225"/>
    <mergeCell ref="S225:S228"/>
    <mergeCell ref="T225:U227"/>
    <mergeCell ref="V225:W227"/>
    <mergeCell ref="K226:K227"/>
    <mergeCell ref="L226:L227"/>
    <mergeCell ref="P226:P228"/>
    <mergeCell ref="Q227:Q228"/>
    <mergeCell ref="X165:X169"/>
    <mergeCell ref="Y165:Y169"/>
    <mergeCell ref="Z165:Z169"/>
    <mergeCell ref="AA165:AA169"/>
    <mergeCell ref="AB165:AB169"/>
    <mergeCell ref="AM162:AM164"/>
    <mergeCell ref="AN162:AN164"/>
    <mergeCell ref="AO162:AO164"/>
    <mergeCell ref="X162:X164"/>
    <mergeCell ref="Y162:Y164"/>
    <mergeCell ref="Z162:Z164"/>
    <mergeCell ref="AA162:AA164"/>
    <mergeCell ref="AB162:AB164"/>
    <mergeCell ref="AC162:AC164"/>
    <mergeCell ref="AM165:AM169"/>
    <mergeCell ref="AN165:AN169"/>
    <mergeCell ref="AO165:AO169"/>
    <mergeCell ref="AC165:AC169"/>
    <mergeCell ref="AF165:AF169"/>
    <mergeCell ref="AI165:AI169"/>
    <mergeCell ref="AJ165:AJ169"/>
    <mergeCell ref="AK165:AK169"/>
    <mergeCell ref="AL165:AL169"/>
    <mergeCell ref="AP162:AP164"/>
    <mergeCell ref="AQ162:AQ164"/>
    <mergeCell ref="AR162:AR164"/>
    <mergeCell ref="AE162:AE170"/>
    <mergeCell ref="AF162:AF164"/>
    <mergeCell ref="AI162:AI164"/>
    <mergeCell ref="AJ162:AJ164"/>
    <mergeCell ref="AK162:AK164"/>
    <mergeCell ref="AL162:AL164"/>
    <mergeCell ref="AP165:AP169"/>
    <mergeCell ref="AQ165:AQ169"/>
    <mergeCell ref="AR165:AR169"/>
    <mergeCell ref="P162:P170"/>
    <mergeCell ref="Q162:Q164"/>
    <mergeCell ref="T162:T164"/>
    <mergeCell ref="U162:U164"/>
    <mergeCell ref="V162:V164"/>
    <mergeCell ref="W162:W164"/>
    <mergeCell ref="Q165:Q169"/>
    <mergeCell ref="T165:T169"/>
    <mergeCell ref="U165:U169"/>
    <mergeCell ref="V165:V169"/>
    <mergeCell ref="W165:W169"/>
    <mergeCell ref="AQ158:AR160"/>
    <mergeCell ref="B159:B160"/>
    <mergeCell ref="C159:C160"/>
    <mergeCell ref="D159:D160"/>
    <mergeCell ref="E159:E160"/>
    <mergeCell ref="F159:F160"/>
    <mergeCell ref="G159:H159"/>
    <mergeCell ref="I159:J159"/>
    <mergeCell ref="K159:K160"/>
    <mergeCell ref="L159:L160"/>
    <mergeCell ref="AB158:AC160"/>
    <mergeCell ref="AH158:AH161"/>
    <mergeCell ref="AI158:AJ160"/>
    <mergeCell ref="AK158:AL160"/>
    <mergeCell ref="AM158:AN160"/>
    <mergeCell ref="AO158:AP160"/>
    <mergeCell ref="AE159:AE161"/>
    <mergeCell ref="AF160:AF161"/>
    <mergeCell ref="AG160:AG161"/>
    <mergeCell ref="C158:L158"/>
    <mergeCell ref="S158:S161"/>
    <mergeCell ref="T158:U160"/>
    <mergeCell ref="V158:W160"/>
    <mergeCell ref="X158:Y160"/>
    <mergeCell ref="Z158:AA160"/>
    <mergeCell ref="P159:P161"/>
    <mergeCell ref="Q160:Q161"/>
    <mergeCell ref="R160:R161"/>
    <mergeCell ref="P112:U112"/>
    <mergeCell ref="P113:U113"/>
    <mergeCell ref="B156:B157"/>
    <mergeCell ref="C156:M156"/>
    <mergeCell ref="P156:U156"/>
    <mergeCell ref="C157:M157"/>
    <mergeCell ref="P157:U157"/>
    <mergeCell ref="X93:X97"/>
    <mergeCell ref="Y93:Y97"/>
    <mergeCell ref="Z93:Z97"/>
    <mergeCell ref="AA93:AA97"/>
    <mergeCell ref="AB93:AB97"/>
    <mergeCell ref="AM90:AM92"/>
    <mergeCell ref="AN90:AN92"/>
    <mergeCell ref="AO90:AO92"/>
    <mergeCell ref="X90:X92"/>
    <mergeCell ref="Y90:Y92"/>
    <mergeCell ref="Z90:Z92"/>
    <mergeCell ref="AA90:AA92"/>
    <mergeCell ref="AB90:AB92"/>
    <mergeCell ref="AC90:AC92"/>
    <mergeCell ref="AM93:AM97"/>
    <mergeCell ref="AN93:AN97"/>
    <mergeCell ref="AO93:AO97"/>
    <mergeCell ref="AC93:AC97"/>
    <mergeCell ref="AF93:AF97"/>
    <mergeCell ref="AI93:AI97"/>
    <mergeCell ref="AJ93:AJ97"/>
    <mergeCell ref="AK93:AK97"/>
    <mergeCell ref="AL93:AL97"/>
    <mergeCell ref="AP90:AP92"/>
    <mergeCell ref="AQ90:AQ92"/>
    <mergeCell ref="AR90:AR92"/>
    <mergeCell ref="AE90:AE98"/>
    <mergeCell ref="AF90:AF92"/>
    <mergeCell ref="AI90:AI92"/>
    <mergeCell ref="AJ90:AJ92"/>
    <mergeCell ref="AK90:AK92"/>
    <mergeCell ref="AL90:AL92"/>
    <mergeCell ref="AP93:AP97"/>
    <mergeCell ref="AQ93:AQ97"/>
    <mergeCell ref="AR93:AR97"/>
    <mergeCell ref="P90:P98"/>
    <mergeCell ref="Q90:Q92"/>
    <mergeCell ref="T90:T92"/>
    <mergeCell ref="U90:U92"/>
    <mergeCell ref="V90:V92"/>
    <mergeCell ref="W90:W92"/>
    <mergeCell ref="Q93:Q97"/>
    <mergeCell ref="T93:T97"/>
    <mergeCell ref="U93:U97"/>
    <mergeCell ref="V93:V97"/>
    <mergeCell ref="W93:W97"/>
    <mergeCell ref="AQ86:AR88"/>
    <mergeCell ref="B87:B88"/>
    <mergeCell ref="C87:C88"/>
    <mergeCell ref="D87:D88"/>
    <mergeCell ref="E87:E88"/>
    <mergeCell ref="F87:F88"/>
    <mergeCell ref="G87:H87"/>
    <mergeCell ref="I87:J87"/>
    <mergeCell ref="K87:K88"/>
    <mergeCell ref="L87:L88"/>
    <mergeCell ref="AB86:AC88"/>
    <mergeCell ref="AH86:AH89"/>
    <mergeCell ref="AI86:AJ88"/>
    <mergeCell ref="AK86:AL88"/>
    <mergeCell ref="AM86:AN88"/>
    <mergeCell ref="AO86:AP88"/>
    <mergeCell ref="AE87:AE89"/>
    <mergeCell ref="AF88:AF89"/>
    <mergeCell ref="AG88:AG89"/>
    <mergeCell ref="C86:L86"/>
    <mergeCell ref="S86:S89"/>
    <mergeCell ref="T86:U88"/>
    <mergeCell ref="V86:W88"/>
    <mergeCell ref="X86:Y88"/>
    <mergeCell ref="Z86:AA88"/>
    <mergeCell ref="P87:P89"/>
    <mergeCell ref="Q88:Q89"/>
    <mergeCell ref="R88:R89"/>
    <mergeCell ref="P33:U33"/>
    <mergeCell ref="P34:U34"/>
    <mergeCell ref="B84:B85"/>
    <mergeCell ref="C84:M84"/>
    <mergeCell ref="P84:U84"/>
    <mergeCell ref="C85:M85"/>
    <mergeCell ref="X14:X18"/>
    <mergeCell ref="Y14:Y18"/>
    <mergeCell ref="Z14:Z18"/>
    <mergeCell ref="AA14:AA18"/>
    <mergeCell ref="AB14:AB18"/>
    <mergeCell ref="AM11:AM13"/>
    <mergeCell ref="AN11:AN13"/>
    <mergeCell ref="AO11:AO13"/>
    <mergeCell ref="X11:X13"/>
    <mergeCell ref="Y11:Y13"/>
    <mergeCell ref="Z11:Z13"/>
    <mergeCell ref="AA11:AA13"/>
    <mergeCell ref="AB11:AB13"/>
    <mergeCell ref="AC11:AC13"/>
    <mergeCell ref="AM14:AM18"/>
    <mergeCell ref="AN14:AN18"/>
    <mergeCell ref="AO14:AO18"/>
    <mergeCell ref="AC14:AC18"/>
    <mergeCell ref="AF14:AF18"/>
    <mergeCell ref="AI14:AI18"/>
    <mergeCell ref="AJ14:AJ18"/>
    <mergeCell ref="AK14:AK18"/>
    <mergeCell ref="AL14:AL18"/>
    <mergeCell ref="AP11:AP13"/>
    <mergeCell ref="AQ11:AQ13"/>
    <mergeCell ref="AR11:AR13"/>
    <mergeCell ref="AE11:AE19"/>
    <mergeCell ref="AF11:AF13"/>
    <mergeCell ref="AI11:AI13"/>
    <mergeCell ref="AJ11:AJ13"/>
    <mergeCell ref="AK11:AK13"/>
    <mergeCell ref="AL11:AL13"/>
    <mergeCell ref="AP14:AP18"/>
    <mergeCell ref="AQ14:AQ18"/>
    <mergeCell ref="AR14:AR18"/>
    <mergeCell ref="P11:P19"/>
    <mergeCell ref="Q11:Q13"/>
    <mergeCell ref="T11:T13"/>
    <mergeCell ref="U11:U13"/>
    <mergeCell ref="V11:V13"/>
    <mergeCell ref="W11:W13"/>
    <mergeCell ref="Q14:Q18"/>
    <mergeCell ref="T14:T18"/>
    <mergeCell ref="U14:U18"/>
    <mergeCell ref="V14:V18"/>
    <mergeCell ref="W14:W18"/>
    <mergeCell ref="AQ7:AR9"/>
    <mergeCell ref="B8:B9"/>
    <mergeCell ref="C8:C9"/>
    <mergeCell ref="D8:D9"/>
    <mergeCell ref="E8:E9"/>
    <mergeCell ref="F8:F9"/>
    <mergeCell ref="G8:H8"/>
    <mergeCell ref="V7:W9"/>
    <mergeCell ref="X7:Y9"/>
    <mergeCell ref="Z7:AA9"/>
    <mergeCell ref="AB7:AC9"/>
    <mergeCell ref="AH7:AH10"/>
    <mergeCell ref="AI7:AJ9"/>
    <mergeCell ref="AG9:AG10"/>
    <mergeCell ref="L8:L9"/>
    <mergeCell ref="P8:P10"/>
    <mergeCell ref="AE8:AE10"/>
    <mergeCell ref="Q9:Q10"/>
    <mergeCell ref="R9:R10"/>
    <mergeCell ref="AF9:AF10"/>
    <mergeCell ref="AK7:AL9"/>
    <mergeCell ref="AM7:AN9"/>
    <mergeCell ref="AO7:AP9"/>
    <mergeCell ref="B5:B6"/>
    <mergeCell ref="C5:M5"/>
    <mergeCell ref="P5:U5"/>
    <mergeCell ref="C6:M6"/>
    <mergeCell ref="C7:L7"/>
    <mergeCell ref="S7:S10"/>
    <mergeCell ref="T7:U9"/>
    <mergeCell ref="I8:J8"/>
    <mergeCell ref="K8:K9"/>
  </mergeCells>
  <hyperlinks>
    <hyperlink ref="C86" location="INDEX" display="Hot water boiler, Oil" xr:uid="{D26382D3-0D40-4E40-9DC0-E5D60ECCEBED}"/>
    <hyperlink ref="C7" location="INDEX" display="Steam boiler, Oil" xr:uid="{09DB974D-A2E6-4242-946A-0A9DBB0EEA15}"/>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F1A0B0-6287-4C28-9ABD-44CA871A0883}">
  <sheetPr>
    <tabColor theme="3"/>
  </sheetPr>
  <dimension ref="A2:AR374"/>
  <sheetViews>
    <sheetView topLeftCell="B3" zoomScale="55" zoomScaleNormal="55" workbookViewId="0">
      <selection activeCell="B26" sqref="B26"/>
    </sheetView>
  </sheetViews>
  <sheetFormatPr baseColWidth="10" defaultColWidth="8.83203125" defaultRowHeight="15" outlineLevelRow="1"/>
  <cols>
    <col min="1" max="1" width="20.5" style="224" customWidth="1"/>
    <col min="2" max="2" width="63.5" style="224" bestFit="1" customWidth="1"/>
    <col min="3" max="6" width="11" style="224" bestFit="1" customWidth="1"/>
    <col min="7" max="12" width="11" style="224" customWidth="1"/>
    <col min="13" max="13" width="8.83203125" style="224"/>
    <col min="14" max="14" width="4.5" style="224" customWidth="1"/>
    <col min="15" max="15" width="15.83203125" style="224" customWidth="1"/>
    <col min="16" max="16384" width="8.83203125" style="224"/>
  </cols>
  <sheetData>
    <row r="2" spans="1:44">
      <c r="B2" s="8" t="s">
        <v>308</v>
      </c>
    </row>
    <row r="4" spans="1:44" ht="25" customHeight="1">
      <c r="E4" s="224" t="s">
        <v>358</v>
      </c>
      <c r="F4" s="359">
        <v>7.45</v>
      </c>
      <c r="G4" s="359" t="s">
        <v>328</v>
      </c>
    </row>
    <row r="5" spans="1:44" ht="15" customHeight="1">
      <c r="A5" s="360" t="s">
        <v>795</v>
      </c>
      <c r="B5" s="1207"/>
      <c r="C5" s="1143"/>
      <c r="D5" s="1143"/>
      <c r="E5" s="1143"/>
      <c r="F5" s="1143"/>
      <c r="G5" s="1143"/>
      <c r="H5" s="1143"/>
      <c r="I5" s="1143"/>
      <c r="J5" s="1143"/>
      <c r="K5" s="1143"/>
      <c r="L5" s="1143"/>
      <c r="M5" s="1143"/>
      <c r="N5" s="361"/>
      <c r="P5" s="1143"/>
      <c r="Q5" s="1143"/>
      <c r="R5" s="1143"/>
      <c r="S5" s="1143"/>
      <c r="T5" s="1143"/>
      <c r="U5" s="1143"/>
    </row>
    <row r="6" spans="1:44" ht="15.75" customHeight="1" outlineLevel="1" thickBot="1">
      <c r="B6" s="1207"/>
      <c r="C6" s="1143"/>
      <c r="D6" s="1143"/>
      <c r="E6" s="1143"/>
      <c r="F6" s="1143"/>
      <c r="G6" s="1143"/>
      <c r="H6" s="1143"/>
      <c r="I6" s="1143"/>
      <c r="J6" s="1143"/>
      <c r="K6" s="1143"/>
      <c r="L6" s="1143"/>
      <c r="M6" s="1143"/>
      <c r="N6" s="361"/>
      <c r="P6" s="692">
        <v>1</v>
      </c>
      <c r="Q6" s="692">
        <v>2</v>
      </c>
      <c r="R6" s="692">
        <v>3</v>
      </c>
      <c r="S6" s="692">
        <v>4</v>
      </c>
      <c r="T6" s="692">
        <v>5</v>
      </c>
      <c r="U6" s="692">
        <v>6</v>
      </c>
      <c r="V6" s="692">
        <v>7</v>
      </c>
      <c r="W6" s="692">
        <v>8</v>
      </c>
      <c r="X6" s="692">
        <v>9</v>
      </c>
      <c r="Y6" s="692">
        <v>10</v>
      </c>
      <c r="Z6" s="692">
        <v>11</v>
      </c>
      <c r="AA6" s="692">
        <v>12</v>
      </c>
      <c r="AB6" s="692">
        <v>13</v>
      </c>
      <c r="AC6" s="692">
        <v>14</v>
      </c>
    </row>
    <row r="7" spans="1:44" ht="21" outlineLevel="1" thickBot="1">
      <c r="B7" s="362" t="s">
        <v>0</v>
      </c>
      <c r="C7" s="1186" t="s">
        <v>796</v>
      </c>
      <c r="D7" s="1205"/>
      <c r="E7" s="1205"/>
      <c r="F7" s="1205"/>
      <c r="G7" s="1205"/>
      <c r="H7" s="1205"/>
      <c r="I7" s="1205"/>
      <c r="J7" s="1205"/>
      <c r="K7" s="1205"/>
      <c r="L7" s="1206"/>
      <c r="M7" s="363"/>
      <c r="N7" s="363"/>
      <c r="P7" s="364" t="s">
        <v>713</v>
      </c>
      <c r="Q7" s="365"/>
      <c r="R7" s="366"/>
      <c r="S7" s="1176" t="s">
        <v>714</v>
      </c>
      <c r="T7" s="1160" t="s">
        <v>715</v>
      </c>
      <c r="U7" s="1161"/>
      <c r="V7" s="1160" t="s">
        <v>716</v>
      </c>
      <c r="W7" s="1161"/>
      <c r="X7" s="1160" t="s">
        <v>717</v>
      </c>
      <c r="Y7" s="1161"/>
      <c r="Z7" s="1160" t="s">
        <v>718</v>
      </c>
      <c r="AA7" s="1161"/>
      <c r="AB7" s="1160" t="s">
        <v>719</v>
      </c>
      <c r="AC7" s="1161"/>
      <c r="AE7" s="364" t="s">
        <v>720</v>
      </c>
      <c r="AF7" s="365"/>
      <c r="AG7" s="366"/>
      <c r="AH7" s="1176" t="s">
        <v>714</v>
      </c>
      <c r="AI7" s="1160" t="s">
        <v>715</v>
      </c>
      <c r="AJ7" s="1161"/>
      <c r="AK7" s="1160" t="s">
        <v>716</v>
      </c>
      <c r="AL7" s="1161"/>
      <c r="AM7" s="1160" t="s">
        <v>717</v>
      </c>
      <c r="AN7" s="1161"/>
      <c r="AO7" s="1160" t="s">
        <v>718</v>
      </c>
      <c r="AP7" s="1161"/>
      <c r="AQ7" s="1160" t="s">
        <v>719</v>
      </c>
      <c r="AR7" s="1161"/>
    </row>
    <row r="8" spans="1:44" ht="16" outlineLevel="1" thickBot="1">
      <c r="B8" s="1164" t="s">
        <v>4</v>
      </c>
      <c r="C8" s="1166">
        <v>2020</v>
      </c>
      <c r="D8" s="1166">
        <v>2030</v>
      </c>
      <c r="E8" s="1166">
        <v>2040</v>
      </c>
      <c r="F8" s="1166">
        <v>2050</v>
      </c>
      <c r="G8" s="1217" t="s">
        <v>721</v>
      </c>
      <c r="H8" s="1218"/>
      <c r="I8" s="1217" t="s">
        <v>648</v>
      </c>
      <c r="J8" s="1218"/>
      <c r="K8" s="1219" t="s">
        <v>2</v>
      </c>
      <c r="L8" s="1219" t="s">
        <v>3</v>
      </c>
      <c r="M8" s="367"/>
      <c r="N8" s="367"/>
      <c r="P8" s="1180" t="s">
        <v>0</v>
      </c>
      <c r="Q8" s="368"/>
      <c r="R8" s="368"/>
      <c r="S8" s="1177"/>
      <c r="T8" s="1162"/>
      <c r="U8" s="1163"/>
      <c r="V8" s="1162"/>
      <c r="W8" s="1163"/>
      <c r="X8" s="1162"/>
      <c r="Y8" s="1163"/>
      <c r="Z8" s="1162"/>
      <c r="AA8" s="1163"/>
      <c r="AB8" s="1162"/>
      <c r="AC8" s="1163"/>
      <c r="AE8" s="1180" t="s">
        <v>0</v>
      </c>
      <c r="AF8" s="368"/>
      <c r="AG8" s="368"/>
      <c r="AH8" s="1177"/>
      <c r="AI8" s="1162"/>
      <c r="AJ8" s="1163"/>
      <c r="AK8" s="1162"/>
      <c r="AL8" s="1163"/>
      <c r="AM8" s="1162"/>
      <c r="AN8" s="1163"/>
      <c r="AO8" s="1162"/>
      <c r="AP8" s="1163"/>
      <c r="AQ8" s="1162"/>
      <c r="AR8" s="1163"/>
    </row>
    <row r="9" spans="1:44" ht="16" outlineLevel="1" thickBot="1">
      <c r="B9" s="1165"/>
      <c r="C9" s="1167"/>
      <c r="D9" s="1167"/>
      <c r="E9" s="1167"/>
      <c r="F9" s="1167"/>
      <c r="G9" s="369" t="s">
        <v>649</v>
      </c>
      <c r="H9" s="369" t="s">
        <v>650</v>
      </c>
      <c r="I9" s="369" t="s">
        <v>649</v>
      </c>
      <c r="J9" s="369" t="s">
        <v>650</v>
      </c>
      <c r="K9" s="1220"/>
      <c r="L9" s="1220"/>
      <c r="M9" s="370"/>
      <c r="N9" s="370"/>
      <c r="P9" s="1181"/>
      <c r="Q9" s="1183" t="s">
        <v>722</v>
      </c>
      <c r="R9" s="1184" t="s">
        <v>723</v>
      </c>
      <c r="S9" s="1178"/>
      <c r="T9" s="1162"/>
      <c r="U9" s="1163"/>
      <c r="V9" s="1162"/>
      <c r="W9" s="1163"/>
      <c r="X9" s="1162"/>
      <c r="Y9" s="1163"/>
      <c r="Z9" s="1162"/>
      <c r="AA9" s="1163"/>
      <c r="AB9" s="1162"/>
      <c r="AC9" s="1163"/>
      <c r="AE9" s="1181"/>
      <c r="AF9" s="1197" t="s">
        <v>722</v>
      </c>
      <c r="AG9" s="1184" t="s">
        <v>723</v>
      </c>
      <c r="AH9" s="1178"/>
      <c r="AI9" s="1162"/>
      <c r="AJ9" s="1163"/>
      <c r="AK9" s="1162"/>
      <c r="AL9" s="1163"/>
      <c r="AM9" s="1162"/>
      <c r="AN9" s="1163"/>
      <c r="AO9" s="1162"/>
      <c r="AP9" s="1163"/>
      <c r="AQ9" s="1162"/>
      <c r="AR9" s="1163"/>
    </row>
    <row r="10" spans="1:44" ht="54.5" customHeight="1" outlineLevel="1" thickBot="1">
      <c r="B10" s="371" t="s">
        <v>724</v>
      </c>
      <c r="C10" s="372">
        <f>20*1000</f>
        <v>20000</v>
      </c>
      <c r="D10" s="372">
        <f>20*1000</f>
        <v>20000</v>
      </c>
      <c r="E10" s="372">
        <f>20*1000</f>
        <v>20000</v>
      </c>
      <c r="F10" s="372">
        <f>20*1000</f>
        <v>20000</v>
      </c>
      <c r="G10" s="372">
        <f>1*1000</f>
        <v>1000</v>
      </c>
      <c r="H10" s="372">
        <f>50*1000</f>
        <v>50000</v>
      </c>
      <c r="I10" s="372">
        <f>1*1000</f>
        <v>1000</v>
      </c>
      <c r="J10" s="372">
        <f>50*1000</f>
        <v>50000</v>
      </c>
      <c r="K10" s="372" t="s">
        <v>6</v>
      </c>
      <c r="L10" s="373" t="s">
        <v>725</v>
      </c>
      <c r="M10" s="370"/>
      <c r="N10" s="370"/>
      <c r="O10" s="74"/>
      <c r="P10" s="1182"/>
      <c r="Q10" s="1179"/>
      <c r="R10" s="1185"/>
      <c r="S10" s="1179"/>
      <c r="T10" s="374" t="s">
        <v>726</v>
      </c>
      <c r="U10" s="375" t="s">
        <v>727</v>
      </c>
      <c r="V10" s="374" t="s">
        <v>726</v>
      </c>
      <c r="W10" s="375" t="s">
        <v>727</v>
      </c>
      <c r="X10" s="374" t="s">
        <v>726</v>
      </c>
      <c r="Y10" s="375" t="s">
        <v>727</v>
      </c>
      <c r="Z10" s="374" t="s">
        <v>726</v>
      </c>
      <c r="AA10" s="375" t="s">
        <v>727</v>
      </c>
      <c r="AB10" s="374" t="s">
        <v>726</v>
      </c>
      <c r="AC10" s="375" t="s">
        <v>727</v>
      </c>
      <c r="AE10" s="1182"/>
      <c r="AF10" s="1198"/>
      <c r="AG10" s="1185"/>
      <c r="AH10" s="1179"/>
      <c r="AI10" s="374" t="s">
        <v>726</v>
      </c>
      <c r="AJ10" s="375" t="s">
        <v>727</v>
      </c>
      <c r="AK10" s="374" t="s">
        <v>726</v>
      </c>
      <c r="AL10" s="375" t="s">
        <v>727</v>
      </c>
      <c r="AM10" s="374" t="s">
        <v>726</v>
      </c>
      <c r="AN10" s="375" t="s">
        <v>727</v>
      </c>
      <c r="AO10" s="374" t="s">
        <v>726</v>
      </c>
      <c r="AP10" s="375" t="s">
        <v>727</v>
      </c>
      <c r="AQ10" s="374" t="s">
        <v>726</v>
      </c>
      <c r="AR10" s="375" t="s">
        <v>727</v>
      </c>
    </row>
    <row r="11" spans="1:44" ht="24.5" customHeight="1" outlineLevel="1">
      <c r="B11" s="376" t="s">
        <v>728</v>
      </c>
      <c r="C11" s="377">
        <v>93</v>
      </c>
      <c r="D11" s="377">
        <f>C11+1</f>
        <v>94</v>
      </c>
      <c r="E11" s="378">
        <f>D11</f>
        <v>94</v>
      </c>
      <c r="F11" s="377">
        <f>D11+1</f>
        <v>95</v>
      </c>
      <c r="G11" s="377">
        <v>90</v>
      </c>
      <c r="H11" s="377">
        <v>96</v>
      </c>
      <c r="I11" s="377">
        <v>90</v>
      </c>
      <c r="J11" s="377">
        <v>97</v>
      </c>
      <c r="K11" s="379" t="s">
        <v>59</v>
      </c>
      <c r="L11" s="380" t="s">
        <v>729</v>
      </c>
      <c r="M11" s="370"/>
      <c r="N11" s="370"/>
      <c r="P11" s="1199" t="str">
        <f>C7</f>
        <v>Steam boiler, Natural gas or biogas</v>
      </c>
      <c r="Q11" s="1154" t="s">
        <v>730</v>
      </c>
      <c r="R11" s="381" t="s">
        <v>731</v>
      </c>
      <c r="S11" s="382"/>
      <c r="T11" s="1137">
        <v>0</v>
      </c>
      <c r="U11" s="1151">
        <v>1</v>
      </c>
      <c r="V11" s="1137">
        <v>0</v>
      </c>
      <c r="W11" s="1151">
        <v>1</v>
      </c>
      <c r="X11" s="1137">
        <v>0</v>
      </c>
      <c r="Y11" s="1151">
        <v>1</v>
      </c>
      <c r="Z11" s="1137">
        <v>0</v>
      </c>
      <c r="AA11" s="1151">
        <v>1</v>
      </c>
      <c r="AB11" s="1137">
        <v>0</v>
      </c>
      <c r="AC11" s="1151">
        <v>1</v>
      </c>
      <c r="AE11" s="1148" t="str">
        <f>P11</f>
        <v>Steam boiler, Natural gas or biogas</v>
      </c>
      <c r="AF11" s="1154" t="s">
        <v>730</v>
      </c>
      <c r="AG11" s="381" t="s">
        <v>731</v>
      </c>
      <c r="AH11" s="382"/>
      <c r="AI11" s="1137">
        <v>0</v>
      </c>
      <c r="AJ11" s="1151">
        <v>1</v>
      </c>
      <c r="AK11" s="1137">
        <v>0</v>
      </c>
      <c r="AL11" s="1151">
        <v>1</v>
      </c>
      <c r="AM11" s="1137">
        <v>0</v>
      </c>
      <c r="AN11" s="1151">
        <v>1</v>
      </c>
      <c r="AO11" s="1137">
        <v>0</v>
      </c>
      <c r="AP11" s="1151">
        <v>1</v>
      </c>
      <c r="AQ11" s="1137">
        <v>0</v>
      </c>
      <c r="AR11" s="1151">
        <v>1</v>
      </c>
    </row>
    <row r="12" spans="1:44" ht="32.5" customHeight="1" outlineLevel="1">
      <c r="B12" s="383" t="s">
        <v>732</v>
      </c>
      <c r="C12" s="384">
        <f t="shared" ref="C12:J12" si="0">C11-1</f>
        <v>92</v>
      </c>
      <c r="D12" s="384">
        <f t="shared" si="0"/>
        <v>93</v>
      </c>
      <c r="E12" s="384">
        <f t="shared" si="0"/>
        <v>93</v>
      </c>
      <c r="F12" s="384">
        <f t="shared" si="0"/>
        <v>94</v>
      </c>
      <c r="G12" s="385">
        <f t="shared" si="0"/>
        <v>89</v>
      </c>
      <c r="H12" s="385">
        <f t="shared" si="0"/>
        <v>95</v>
      </c>
      <c r="I12" s="385">
        <f t="shared" si="0"/>
        <v>89</v>
      </c>
      <c r="J12" s="385">
        <f t="shared" si="0"/>
        <v>96</v>
      </c>
      <c r="K12" s="386"/>
      <c r="L12" s="387" t="s">
        <v>729</v>
      </c>
      <c r="M12" s="370"/>
      <c r="N12" s="370"/>
      <c r="O12" s="71"/>
      <c r="P12" s="1195"/>
      <c r="Q12" s="1155"/>
      <c r="R12" s="388" t="s">
        <v>733</v>
      </c>
      <c r="S12" s="389"/>
      <c r="T12" s="1140"/>
      <c r="U12" s="1152"/>
      <c r="V12" s="1140"/>
      <c r="W12" s="1152"/>
      <c r="X12" s="1140"/>
      <c r="Y12" s="1152"/>
      <c r="Z12" s="1140"/>
      <c r="AA12" s="1152"/>
      <c r="AB12" s="1140"/>
      <c r="AC12" s="1152"/>
      <c r="AE12" s="1195"/>
      <c r="AF12" s="1155"/>
      <c r="AG12" s="388" t="s">
        <v>733</v>
      </c>
      <c r="AH12" s="389"/>
      <c r="AI12" s="1140"/>
      <c r="AJ12" s="1152"/>
      <c r="AK12" s="1140"/>
      <c r="AL12" s="1152"/>
      <c r="AM12" s="1140"/>
      <c r="AN12" s="1152"/>
      <c r="AO12" s="1140"/>
      <c r="AP12" s="1152"/>
      <c r="AQ12" s="1140"/>
      <c r="AR12" s="1152"/>
    </row>
    <row r="13" spans="1:44" ht="16" outlineLevel="1" thickBot="1">
      <c r="B13" s="376" t="s">
        <v>734</v>
      </c>
      <c r="C13" s="390">
        <v>0.14000000000000001</v>
      </c>
      <c r="D13" s="391">
        <v>0.12</v>
      </c>
      <c r="E13" s="391">
        <v>0.11</v>
      </c>
      <c r="F13" s="392">
        <v>0.1</v>
      </c>
      <c r="G13" s="391">
        <v>0.1</v>
      </c>
      <c r="H13" s="391">
        <v>0.14000000000000001</v>
      </c>
      <c r="I13" s="391">
        <v>0.08</v>
      </c>
      <c r="J13" s="391">
        <v>0.12</v>
      </c>
      <c r="K13" s="379"/>
      <c r="L13" s="380">
        <v>3</v>
      </c>
      <c r="M13" s="370"/>
      <c r="N13" s="370"/>
      <c r="O13" s="71"/>
      <c r="P13" s="1195"/>
      <c r="Q13" s="1156"/>
      <c r="R13" s="393" t="s">
        <v>735</v>
      </c>
      <c r="S13" s="394"/>
      <c r="T13" s="1141"/>
      <c r="U13" s="1153"/>
      <c r="V13" s="1141"/>
      <c r="W13" s="1153"/>
      <c r="X13" s="1141"/>
      <c r="Y13" s="1153"/>
      <c r="Z13" s="1141"/>
      <c r="AA13" s="1153"/>
      <c r="AB13" s="1141"/>
      <c r="AC13" s="1153"/>
      <c r="AE13" s="1195"/>
      <c r="AF13" s="1156"/>
      <c r="AG13" s="393" t="s">
        <v>735</v>
      </c>
      <c r="AH13" s="394"/>
      <c r="AI13" s="1141"/>
      <c r="AJ13" s="1153"/>
      <c r="AK13" s="1141"/>
      <c r="AL13" s="1153"/>
      <c r="AM13" s="1141"/>
      <c r="AN13" s="1153"/>
      <c r="AO13" s="1141"/>
      <c r="AP13" s="1153"/>
      <c r="AQ13" s="1141"/>
      <c r="AR13" s="1153"/>
    </row>
    <row r="14" spans="1:44" outlineLevel="1">
      <c r="B14" s="376" t="s">
        <v>657</v>
      </c>
      <c r="C14" s="390">
        <v>1</v>
      </c>
      <c r="D14" s="390">
        <v>1</v>
      </c>
      <c r="E14" s="390">
        <v>1</v>
      </c>
      <c r="F14" s="390">
        <v>1</v>
      </c>
      <c r="G14" s="390">
        <v>0.08</v>
      </c>
      <c r="H14" s="390">
        <v>2</v>
      </c>
      <c r="I14" s="390">
        <v>0.08</v>
      </c>
      <c r="J14" s="390">
        <v>2</v>
      </c>
      <c r="K14" s="379"/>
      <c r="L14" s="380">
        <v>3</v>
      </c>
      <c r="M14" s="370"/>
      <c r="N14" s="370"/>
      <c r="O14" s="71"/>
      <c r="P14" s="1195"/>
      <c r="Q14" s="1154" t="s">
        <v>736</v>
      </c>
      <c r="R14" s="395" t="s">
        <v>737</v>
      </c>
      <c r="S14" s="396" t="s">
        <v>738</v>
      </c>
      <c r="T14" s="1137">
        <v>0</v>
      </c>
      <c r="U14" s="1137">
        <v>1</v>
      </c>
      <c r="V14" s="1137">
        <v>0</v>
      </c>
      <c r="W14" s="1137">
        <v>1</v>
      </c>
      <c r="X14" s="1137">
        <v>0</v>
      </c>
      <c r="Y14" s="1137">
        <v>0.97</v>
      </c>
      <c r="Z14" s="1137">
        <v>0</v>
      </c>
      <c r="AA14" s="1137">
        <v>1</v>
      </c>
      <c r="AB14" s="1137">
        <v>0</v>
      </c>
      <c r="AC14" s="1137">
        <v>1</v>
      </c>
      <c r="AE14" s="1195"/>
      <c r="AF14" s="1154" t="s">
        <v>736</v>
      </c>
      <c r="AG14" s="395" t="s">
        <v>737</v>
      </c>
      <c r="AH14" s="396" t="s">
        <v>738</v>
      </c>
      <c r="AI14" s="1137">
        <v>0</v>
      </c>
      <c r="AJ14" s="1137">
        <v>1</v>
      </c>
      <c r="AK14" s="1137">
        <v>0</v>
      </c>
      <c r="AL14" s="1137">
        <v>1</v>
      </c>
      <c r="AM14" s="1137">
        <v>0</v>
      </c>
      <c r="AN14" s="1137">
        <v>0.97</v>
      </c>
      <c r="AO14" s="1137">
        <v>0</v>
      </c>
      <c r="AP14" s="1137">
        <v>1</v>
      </c>
      <c r="AQ14" s="1137">
        <v>0</v>
      </c>
      <c r="AR14" s="1137">
        <v>1</v>
      </c>
    </row>
    <row r="15" spans="1:44" outlineLevel="1">
      <c r="B15" s="376" t="s">
        <v>658</v>
      </c>
      <c r="C15" s="390">
        <v>0.4</v>
      </c>
      <c r="D15" s="390">
        <v>0.4</v>
      </c>
      <c r="E15" s="390">
        <v>0.4</v>
      </c>
      <c r="F15" s="390">
        <v>0.4</v>
      </c>
      <c r="G15" s="390">
        <v>0.3</v>
      </c>
      <c r="H15" s="390">
        <v>0.6</v>
      </c>
      <c r="I15" s="390">
        <v>0.3</v>
      </c>
      <c r="J15" s="390">
        <v>0.6</v>
      </c>
      <c r="K15" s="379"/>
      <c r="L15" s="380">
        <v>3</v>
      </c>
      <c r="M15" s="367"/>
      <c r="N15" s="367"/>
      <c r="O15" s="71"/>
      <c r="P15" s="1195"/>
      <c r="Q15" s="1155"/>
      <c r="R15" s="395" t="s">
        <v>739</v>
      </c>
      <c r="S15" s="396" t="s">
        <v>738</v>
      </c>
      <c r="T15" s="1138"/>
      <c r="U15" s="1138"/>
      <c r="V15" s="1138"/>
      <c r="W15" s="1138"/>
      <c r="X15" s="1138"/>
      <c r="Y15" s="1138"/>
      <c r="Z15" s="1138"/>
      <c r="AA15" s="1138"/>
      <c r="AB15" s="1138"/>
      <c r="AC15" s="1138"/>
      <c r="AE15" s="1195"/>
      <c r="AF15" s="1155"/>
      <c r="AG15" s="395" t="s">
        <v>739</v>
      </c>
      <c r="AH15" s="396" t="s">
        <v>738</v>
      </c>
      <c r="AI15" s="1138"/>
      <c r="AJ15" s="1138"/>
      <c r="AK15" s="1138"/>
      <c r="AL15" s="1138"/>
      <c r="AM15" s="1138"/>
      <c r="AN15" s="1138"/>
      <c r="AO15" s="1138"/>
      <c r="AP15" s="1138"/>
      <c r="AQ15" s="1138"/>
      <c r="AR15" s="1138"/>
    </row>
    <row r="16" spans="1:44" outlineLevel="1">
      <c r="B16" s="383" t="s">
        <v>11</v>
      </c>
      <c r="C16" s="397">
        <v>25</v>
      </c>
      <c r="D16" s="397">
        <v>25</v>
      </c>
      <c r="E16" s="397">
        <v>25</v>
      </c>
      <c r="F16" s="397">
        <v>25</v>
      </c>
      <c r="G16" s="398">
        <v>25</v>
      </c>
      <c r="H16" s="398">
        <v>30</v>
      </c>
      <c r="I16" s="398">
        <v>25</v>
      </c>
      <c r="J16" s="398">
        <v>30</v>
      </c>
      <c r="K16" s="372"/>
      <c r="L16" s="373" t="s">
        <v>740</v>
      </c>
      <c r="M16" s="363"/>
      <c r="N16" s="363"/>
      <c r="P16" s="1195"/>
      <c r="Q16" s="1155"/>
      <c r="R16" s="395" t="s">
        <v>741</v>
      </c>
      <c r="S16" s="396" t="s">
        <v>738</v>
      </c>
      <c r="T16" s="1138"/>
      <c r="U16" s="1138"/>
      <c r="V16" s="1138"/>
      <c r="W16" s="1138"/>
      <c r="X16" s="1138"/>
      <c r="Y16" s="1138"/>
      <c r="Z16" s="1138"/>
      <c r="AA16" s="1138"/>
      <c r="AB16" s="1138"/>
      <c r="AC16" s="1138"/>
      <c r="AE16" s="1195"/>
      <c r="AF16" s="1155"/>
      <c r="AG16" s="395" t="s">
        <v>741</v>
      </c>
      <c r="AH16" s="396" t="s">
        <v>738</v>
      </c>
      <c r="AI16" s="1138"/>
      <c r="AJ16" s="1138"/>
      <c r="AK16" s="1138"/>
      <c r="AL16" s="1138"/>
      <c r="AM16" s="1138"/>
      <c r="AN16" s="1138"/>
      <c r="AO16" s="1138"/>
      <c r="AP16" s="1138"/>
      <c r="AQ16" s="1138"/>
      <c r="AR16" s="1138"/>
    </row>
    <row r="17" spans="1:44" ht="16" outlineLevel="1" thickBot="1">
      <c r="B17" s="376" t="s">
        <v>273</v>
      </c>
      <c r="C17" s="399">
        <v>0.5</v>
      </c>
      <c r="D17" s="399">
        <v>0.5</v>
      </c>
      <c r="E17" s="399">
        <v>0.5</v>
      </c>
      <c r="F17" s="399">
        <v>0.5</v>
      </c>
      <c r="G17" s="399">
        <v>0.2</v>
      </c>
      <c r="H17" s="399">
        <v>0.7</v>
      </c>
      <c r="I17" s="399">
        <v>0.2</v>
      </c>
      <c r="J17" s="399">
        <v>0.7</v>
      </c>
      <c r="K17" s="372"/>
      <c r="L17" s="400"/>
      <c r="M17" s="363"/>
      <c r="N17" s="363"/>
      <c r="P17" s="1195"/>
      <c r="Q17" s="1155"/>
      <c r="R17" s="395" t="s">
        <v>742</v>
      </c>
      <c r="S17" s="396" t="s">
        <v>738</v>
      </c>
      <c r="T17" s="1138"/>
      <c r="U17" s="1138"/>
      <c r="V17" s="1138"/>
      <c r="W17" s="1138"/>
      <c r="X17" s="1138"/>
      <c r="Y17" s="1138"/>
      <c r="Z17" s="1138"/>
      <c r="AA17" s="1138"/>
      <c r="AB17" s="1138"/>
      <c r="AC17" s="1138"/>
      <c r="AE17" s="1195"/>
      <c r="AF17" s="1155"/>
      <c r="AG17" s="395" t="s">
        <v>742</v>
      </c>
      <c r="AH17" s="396" t="s">
        <v>738</v>
      </c>
      <c r="AI17" s="1138"/>
      <c r="AJ17" s="1138"/>
      <c r="AK17" s="1138"/>
      <c r="AL17" s="1138"/>
      <c r="AM17" s="1138"/>
      <c r="AN17" s="1138"/>
      <c r="AO17" s="1138"/>
      <c r="AP17" s="1138"/>
      <c r="AQ17" s="1138"/>
      <c r="AR17" s="1138"/>
    </row>
    <row r="18" spans="1:44" ht="16" outlineLevel="1" thickBot="1">
      <c r="B18" s="401" t="s">
        <v>743</v>
      </c>
      <c r="C18" s="402"/>
      <c r="D18" s="403"/>
      <c r="E18" s="404"/>
      <c r="F18" s="405"/>
      <c r="G18" s="406"/>
      <c r="H18" s="406"/>
      <c r="I18" s="406"/>
      <c r="J18" s="406"/>
      <c r="K18" s="407"/>
      <c r="L18" s="408"/>
      <c r="M18" s="363"/>
      <c r="N18" s="363"/>
      <c r="P18" s="1195"/>
      <c r="Q18" s="1155"/>
      <c r="R18" s="409" t="s">
        <v>744</v>
      </c>
      <c r="S18" s="410" t="s">
        <v>738</v>
      </c>
      <c r="T18" s="1139"/>
      <c r="U18" s="1139"/>
      <c r="V18" s="1139"/>
      <c r="W18" s="1139"/>
      <c r="X18" s="1139"/>
      <c r="Y18" s="1139"/>
      <c r="Z18" s="1139"/>
      <c r="AA18" s="1139"/>
      <c r="AB18" s="1139"/>
      <c r="AC18" s="1139"/>
      <c r="AE18" s="1195"/>
      <c r="AF18" s="1155"/>
      <c r="AG18" s="409" t="s">
        <v>744</v>
      </c>
      <c r="AH18" s="410" t="s">
        <v>738</v>
      </c>
      <c r="AI18" s="1139"/>
      <c r="AJ18" s="1139"/>
      <c r="AK18" s="1139"/>
      <c r="AL18" s="1139"/>
      <c r="AM18" s="1139"/>
      <c r="AN18" s="1139"/>
      <c r="AO18" s="1139"/>
      <c r="AP18" s="1139"/>
      <c r="AQ18" s="1139"/>
      <c r="AR18" s="1139"/>
    </row>
    <row r="19" spans="1:44" ht="33" outlineLevel="1" thickBot="1">
      <c r="B19" s="376" t="s">
        <v>663</v>
      </c>
      <c r="C19" s="390">
        <v>15</v>
      </c>
      <c r="D19" s="390">
        <v>15</v>
      </c>
      <c r="E19" s="390">
        <v>15</v>
      </c>
      <c r="F19" s="390">
        <v>15</v>
      </c>
      <c r="G19" s="391"/>
      <c r="H19" s="391"/>
      <c r="I19" s="391"/>
      <c r="J19" s="391"/>
      <c r="K19" s="379"/>
      <c r="L19" s="380">
        <v>3</v>
      </c>
      <c r="M19" s="363"/>
      <c r="N19" s="363"/>
      <c r="P19" s="1196"/>
      <c r="Q19" s="411" t="s">
        <v>745</v>
      </c>
      <c r="R19" s="412" t="s">
        <v>746</v>
      </c>
      <c r="S19" s="413" t="s">
        <v>738</v>
      </c>
      <c r="T19" s="414">
        <v>1</v>
      </c>
      <c r="U19" s="415">
        <v>1</v>
      </c>
      <c r="V19" s="416">
        <v>1</v>
      </c>
      <c r="W19" s="415">
        <v>1</v>
      </c>
      <c r="X19" s="416">
        <v>1</v>
      </c>
      <c r="Y19" s="415">
        <v>1</v>
      </c>
      <c r="Z19" s="416">
        <v>1</v>
      </c>
      <c r="AA19" s="415">
        <v>1</v>
      </c>
      <c r="AB19" s="416">
        <v>1</v>
      </c>
      <c r="AC19" s="417">
        <v>1</v>
      </c>
      <c r="AE19" s="1196"/>
      <c r="AF19" s="411" t="s">
        <v>745</v>
      </c>
      <c r="AG19" s="412" t="s">
        <v>746</v>
      </c>
      <c r="AH19" s="413" t="s">
        <v>738</v>
      </c>
      <c r="AI19" s="414">
        <v>1</v>
      </c>
      <c r="AJ19" s="415">
        <v>1</v>
      </c>
      <c r="AK19" s="416">
        <v>1</v>
      </c>
      <c r="AL19" s="415">
        <v>1</v>
      </c>
      <c r="AM19" s="416">
        <v>1</v>
      </c>
      <c r="AN19" s="415">
        <v>1</v>
      </c>
      <c r="AO19" s="416">
        <v>1</v>
      </c>
      <c r="AP19" s="415">
        <v>1</v>
      </c>
      <c r="AQ19" s="416">
        <v>1</v>
      </c>
      <c r="AR19" s="417">
        <v>1</v>
      </c>
    </row>
    <row r="20" spans="1:44" outlineLevel="1">
      <c r="B20" s="376" t="s">
        <v>664</v>
      </c>
      <c r="C20" s="390">
        <v>0.1</v>
      </c>
      <c r="D20" s="390">
        <v>0.1</v>
      </c>
      <c r="E20" s="390">
        <v>0.1</v>
      </c>
      <c r="F20" s="390">
        <v>0.1</v>
      </c>
      <c r="G20" s="418"/>
      <c r="H20" s="418"/>
      <c r="I20" s="418"/>
      <c r="J20" s="418"/>
      <c r="K20" s="419"/>
      <c r="L20" s="380">
        <v>3</v>
      </c>
      <c r="M20" s="363"/>
      <c r="N20" s="363"/>
    </row>
    <row r="21" spans="1:44" outlineLevel="1">
      <c r="B21" s="376" t="s">
        <v>666</v>
      </c>
      <c r="C21" s="390">
        <v>0.4</v>
      </c>
      <c r="D21" s="390">
        <v>0.4</v>
      </c>
      <c r="E21" s="390">
        <v>0.4</v>
      </c>
      <c r="F21" s="390">
        <v>0.4</v>
      </c>
      <c r="G21" s="418"/>
      <c r="H21" s="418"/>
      <c r="I21" s="418"/>
      <c r="J21" s="418"/>
      <c r="K21" s="419"/>
      <c r="L21" s="380">
        <v>3</v>
      </c>
      <c r="M21" s="420"/>
      <c r="N21" s="363"/>
    </row>
    <row r="22" spans="1:44" outlineLevel="1">
      <c r="B22" s="421" t="s">
        <v>12</v>
      </c>
      <c r="C22" s="399"/>
      <c r="D22" s="399"/>
      <c r="E22" s="399"/>
      <c r="F22" s="399"/>
      <c r="G22" s="422"/>
      <c r="H22" s="422"/>
      <c r="I22" s="422"/>
      <c r="J22" s="422"/>
      <c r="K22" s="423"/>
      <c r="L22" s="424"/>
      <c r="M22" s="420"/>
      <c r="N22" s="420"/>
    </row>
    <row r="23" spans="1:44" ht="16" outlineLevel="1">
      <c r="B23" s="383" t="s">
        <v>747</v>
      </c>
      <c r="C23" s="397">
        <v>0.3</v>
      </c>
      <c r="D23" s="397">
        <v>0.3</v>
      </c>
      <c r="E23" s="397">
        <v>0.3</v>
      </c>
      <c r="F23" s="397">
        <v>0.3</v>
      </c>
      <c r="G23" s="422"/>
      <c r="H23" s="425"/>
      <c r="I23" s="425"/>
      <c r="J23" s="425"/>
      <c r="K23" s="426" t="s">
        <v>16</v>
      </c>
      <c r="L23" s="427" t="s">
        <v>748</v>
      </c>
      <c r="M23" s="428"/>
      <c r="N23" s="428"/>
    </row>
    <row r="24" spans="1:44" outlineLevel="1">
      <c r="B24" s="383" t="s">
        <v>749</v>
      </c>
      <c r="C24" s="397">
        <v>0.1</v>
      </c>
      <c r="D24" s="397">
        <v>0.1</v>
      </c>
      <c r="E24" s="397">
        <v>0.1</v>
      </c>
      <c r="F24" s="397">
        <v>0.1</v>
      </c>
      <c r="G24" s="425"/>
      <c r="H24" s="425"/>
      <c r="I24" s="425"/>
      <c r="J24" s="425"/>
      <c r="K24" s="423"/>
      <c r="L24" s="427">
        <v>9</v>
      </c>
      <c r="M24" s="428"/>
      <c r="N24" s="428"/>
    </row>
    <row r="25" spans="1:44" ht="16" outlineLevel="1">
      <c r="B25" s="383" t="s">
        <v>750</v>
      </c>
      <c r="C25" s="397">
        <v>9</v>
      </c>
      <c r="D25" s="397">
        <v>7</v>
      </c>
      <c r="E25" s="397">
        <v>6</v>
      </c>
      <c r="F25" s="397">
        <v>6</v>
      </c>
      <c r="G25" s="425"/>
      <c r="H25" s="425"/>
      <c r="I25" s="425"/>
      <c r="J25" s="425"/>
      <c r="K25" s="423"/>
      <c r="L25" s="427" t="s">
        <v>748</v>
      </c>
      <c r="M25" s="428"/>
      <c r="N25" s="428"/>
      <c r="T25" s="224">
        <f>C$23</f>
        <v>0.3</v>
      </c>
      <c r="U25" s="224">
        <f t="shared" ref="U25:V25" si="1">D$23</f>
        <v>0.3</v>
      </c>
      <c r="V25" s="224">
        <f t="shared" si="1"/>
        <v>0.3</v>
      </c>
    </row>
    <row r="26" spans="1:44" outlineLevel="1">
      <c r="B26" s="383" t="s">
        <v>366</v>
      </c>
      <c r="C26" s="397">
        <v>3</v>
      </c>
      <c r="D26" s="397">
        <v>2</v>
      </c>
      <c r="E26" s="397">
        <v>2</v>
      </c>
      <c r="F26" s="397">
        <v>2</v>
      </c>
      <c r="G26" s="425"/>
      <c r="H26" s="425"/>
      <c r="I26" s="425"/>
      <c r="J26" s="425"/>
      <c r="K26" s="423"/>
      <c r="L26" s="427" t="s">
        <v>748</v>
      </c>
      <c r="M26" s="428"/>
      <c r="N26" s="428"/>
    </row>
    <row r="27" spans="1:44" ht="16" outlineLevel="1" thickBot="1">
      <c r="B27" s="429" t="s">
        <v>367</v>
      </c>
      <c r="C27" s="430">
        <v>1</v>
      </c>
      <c r="D27" s="430">
        <v>1</v>
      </c>
      <c r="E27" s="430">
        <v>1</v>
      </c>
      <c r="F27" s="430">
        <v>1</v>
      </c>
      <c r="G27" s="425"/>
      <c r="H27" s="425"/>
      <c r="I27" s="425"/>
      <c r="J27" s="425"/>
      <c r="K27" s="423"/>
      <c r="L27" s="427" t="s">
        <v>748</v>
      </c>
      <c r="M27" s="428"/>
      <c r="N27" s="428"/>
    </row>
    <row r="28" spans="1:44" ht="16" outlineLevel="1" thickBot="1">
      <c r="B28" s="431" t="s">
        <v>674</v>
      </c>
      <c r="C28" s="432"/>
      <c r="D28" s="403"/>
      <c r="E28" s="403"/>
      <c r="F28" s="433"/>
      <c r="G28" s="434"/>
      <c r="H28" s="406"/>
      <c r="I28" s="406"/>
      <c r="J28" s="406"/>
      <c r="K28" s="407"/>
      <c r="L28" s="408"/>
      <c r="M28" s="428"/>
      <c r="N28" s="428"/>
    </row>
    <row r="29" spans="1:44" ht="52" customHeight="1" outlineLevel="1">
      <c r="A29" s="435" t="s">
        <v>797</v>
      </c>
      <c r="B29" s="436" t="s">
        <v>751</v>
      </c>
      <c r="C29" s="437">
        <f>0.06/1.1</f>
        <v>5.4545454545454536E-2</v>
      </c>
      <c r="D29" s="438">
        <f>0.05/1.1</f>
        <v>4.5454545454545456E-2</v>
      </c>
      <c r="E29" s="438">
        <f>0.05/1.1</f>
        <v>4.5454545454545456E-2</v>
      </c>
      <c r="F29" s="439">
        <f>0.05/1.1</f>
        <v>4.5454545454545456E-2</v>
      </c>
      <c r="G29" s="425"/>
      <c r="H29" s="425"/>
      <c r="I29" s="425"/>
      <c r="J29" s="425"/>
      <c r="K29" s="426" t="s">
        <v>20</v>
      </c>
      <c r="L29" s="440" t="s">
        <v>753</v>
      </c>
      <c r="M29" s="420"/>
      <c r="N29" s="420"/>
    </row>
    <row r="30" spans="1:44" outlineLevel="1">
      <c r="B30" s="441" t="s">
        <v>754</v>
      </c>
      <c r="C30" s="442">
        <v>60</v>
      </c>
      <c r="D30" s="443">
        <v>60</v>
      </c>
      <c r="E30" s="443">
        <v>60</v>
      </c>
      <c r="F30" s="443">
        <v>60</v>
      </c>
      <c r="G30" s="425"/>
      <c r="H30" s="425"/>
      <c r="I30" s="425"/>
      <c r="J30" s="425"/>
      <c r="K30" s="444"/>
      <c r="L30" s="373">
        <v>3</v>
      </c>
      <c r="M30" s="71"/>
      <c r="N30" s="420"/>
    </row>
    <row r="31" spans="1:44" outlineLevel="1">
      <c r="B31" s="441" t="s">
        <v>755</v>
      </c>
      <c r="C31" s="442">
        <f>100-C30</f>
        <v>40</v>
      </c>
      <c r="D31" s="442">
        <f>100-D30</f>
        <v>40</v>
      </c>
      <c r="E31" s="442">
        <f>100-E30</f>
        <v>40</v>
      </c>
      <c r="F31" s="442">
        <f>100-F30</f>
        <v>40</v>
      </c>
      <c r="G31" s="425"/>
      <c r="H31" s="425"/>
      <c r="I31" s="425"/>
      <c r="J31" s="425"/>
      <c r="K31" s="444"/>
      <c r="L31" s="373">
        <v>3</v>
      </c>
      <c r="M31" s="420"/>
      <c r="N31" s="420"/>
    </row>
    <row r="32" spans="1:44" outlineLevel="1">
      <c r="B32" s="383" t="s">
        <v>756</v>
      </c>
      <c r="C32" s="445">
        <f>2000/1000</f>
        <v>2</v>
      </c>
      <c r="D32" s="446">
        <f>1900/1000</f>
        <v>1.9</v>
      </c>
      <c r="E32" s="446">
        <f>1800/1000</f>
        <v>1.8</v>
      </c>
      <c r="F32" s="447">
        <f>1700/1000</f>
        <v>1.7</v>
      </c>
      <c r="G32" s="425"/>
      <c r="H32" s="425"/>
      <c r="I32" s="425"/>
      <c r="J32" s="425"/>
      <c r="K32" s="448"/>
      <c r="L32" s="373">
        <v>3</v>
      </c>
      <c r="M32" s="420"/>
      <c r="N32" s="420"/>
    </row>
    <row r="33" spans="2:30" ht="37" customHeight="1" outlineLevel="1" thickBot="1">
      <c r="B33" s="383" t="s">
        <v>757</v>
      </c>
      <c r="C33" s="449">
        <f>1.1/3.6</f>
        <v>0.30555555555555558</v>
      </c>
      <c r="D33" s="449">
        <f>1/3.6</f>
        <v>0.27777777777777779</v>
      </c>
      <c r="E33" s="449">
        <f>1/3.6</f>
        <v>0.27777777777777779</v>
      </c>
      <c r="F33" s="449">
        <f>1/3.6</f>
        <v>0.27777777777777779</v>
      </c>
      <c r="G33" s="425"/>
      <c r="H33" s="425"/>
      <c r="I33" s="425"/>
      <c r="J33" s="425"/>
      <c r="K33" s="448"/>
      <c r="L33" s="373">
        <v>3</v>
      </c>
      <c r="M33" s="450"/>
      <c r="N33" s="361"/>
      <c r="P33" s="1142">
        <f>C33</f>
        <v>0.30555555555555558</v>
      </c>
      <c r="Q33" s="1143"/>
      <c r="R33" s="1143"/>
      <c r="S33" s="1143"/>
      <c r="T33" s="1143"/>
      <c r="U33" s="1144"/>
    </row>
    <row r="34" spans="2:30" ht="15.75" customHeight="1" outlineLevel="1" thickBot="1">
      <c r="B34" s="451" t="s">
        <v>758</v>
      </c>
      <c r="C34" s="452">
        <f>C13/100*73</f>
        <v>0.10220000000000001</v>
      </c>
      <c r="D34" s="452">
        <f>D13/100*75</f>
        <v>0.09</v>
      </c>
      <c r="E34" s="452">
        <f>E13/100*76</f>
        <v>8.3600000000000008E-2</v>
      </c>
      <c r="F34" s="452">
        <f>F13/100*76</f>
        <v>7.5999999999999998E-2</v>
      </c>
      <c r="G34" s="453"/>
      <c r="H34" s="453"/>
      <c r="I34" s="453"/>
      <c r="J34" s="453"/>
      <c r="K34" s="379" t="s">
        <v>76</v>
      </c>
      <c r="L34" s="380">
        <v>3</v>
      </c>
      <c r="M34" s="450"/>
      <c r="N34" s="361"/>
      <c r="P34" s="1134">
        <f>C34</f>
        <v>0.10220000000000001</v>
      </c>
      <c r="Q34" s="1135"/>
      <c r="R34" s="1135"/>
      <c r="S34" s="1135"/>
      <c r="T34" s="1135"/>
      <c r="U34" s="1136"/>
    </row>
    <row r="35" spans="2:30" outlineLevel="1">
      <c r="B35" s="451" t="s">
        <v>759</v>
      </c>
      <c r="C35" s="454">
        <f>C33-C34</f>
        <v>0.20335555555555557</v>
      </c>
      <c r="D35" s="454">
        <f>D33-D34</f>
        <v>0.18777777777777779</v>
      </c>
      <c r="E35" s="454">
        <f>E33-E34</f>
        <v>0.19417777777777778</v>
      </c>
      <c r="F35" s="454">
        <f>F33-F34</f>
        <v>0.20177777777777778</v>
      </c>
      <c r="G35" s="453"/>
      <c r="H35" s="453"/>
      <c r="I35" s="453"/>
      <c r="J35" s="453"/>
      <c r="K35" s="455"/>
      <c r="L35" s="380">
        <v>3</v>
      </c>
      <c r="M35" s="363"/>
      <c r="N35" s="363"/>
      <c r="P35" s="53" t="s">
        <v>357</v>
      </c>
    </row>
    <row r="36" spans="2:30" ht="30" outlineLevel="1">
      <c r="B36" s="441"/>
      <c r="C36" s="456"/>
      <c r="D36" s="456"/>
      <c r="E36" s="456"/>
      <c r="F36" s="456"/>
      <c r="G36" s="425"/>
      <c r="H36" s="425"/>
      <c r="I36" s="425"/>
      <c r="J36" s="425"/>
      <c r="K36" s="444"/>
      <c r="L36" s="424"/>
      <c r="M36" s="367"/>
      <c r="N36" s="367"/>
      <c r="P36" s="46" t="s">
        <v>335</v>
      </c>
      <c r="Q36" s="46" t="s">
        <v>336</v>
      </c>
      <c r="R36" s="47" t="s">
        <v>337</v>
      </c>
      <c r="S36" s="47" t="s">
        <v>338</v>
      </c>
      <c r="T36" s="47" t="s">
        <v>339</v>
      </c>
      <c r="U36" s="48" t="s">
        <v>340</v>
      </c>
      <c r="V36" s="49" t="s">
        <v>341</v>
      </c>
      <c r="W36" s="49" t="s">
        <v>342</v>
      </c>
      <c r="X36" s="49" t="s">
        <v>343</v>
      </c>
      <c r="Y36" s="49" t="s">
        <v>344</v>
      </c>
      <c r="Z36" s="49" t="s">
        <v>345</v>
      </c>
      <c r="AA36" s="49" t="s">
        <v>346</v>
      </c>
      <c r="AB36" s="49" t="s">
        <v>347</v>
      </c>
      <c r="AC36" s="49" t="s">
        <v>348</v>
      </c>
      <c r="AD36" s="49" t="s">
        <v>349</v>
      </c>
    </row>
    <row r="37" spans="2:30" ht="35" customHeight="1" outlineLevel="1" thickBot="1">
      <c r="B37" s="441"/>
      <c r="C37" s="442"/>
      <c r="D37" s="457"/>
      <c r="E37" s="457"/>
      <c r="F37" s="458"/>
      <c r="G37" s="425"/>
      <c r="H37" s="425"/>
      <c r="I37" s="425"/>
      <c r="J37" s="425"/>
      <c r="K37" s="448"/>
      <c r="L37" s="424"/>
      <c r="M37" s="363"/>
      <c r="N37" s="363"/>
      <c r="P37" s="50"/>
      <c r="Q37" s="50"/>
      <c r="R37" s="51"/>
      <c r="S37" s="51"/>
      <c r="T37" s="51"/>
      <c r="U37" s="51" t="s">
        <v>760</v>
      </c>
      <c r="V37" s="50" t="s">
        <v>761</v>
      </c>
      <c r="W37" s="50"/>
      <c r="X37" s="50"/>
      <c r="Y37" s="50"/>
      <c r="Z37" s="50"/>
      <c r="AA37" s="50"/>
      <c r="AB37" s="50"/>
      <c r="AC37" s="50"/>
      <c r="AD37" s="50"/>
    </row>
    <row r="38" spans="2:30" ht="73" customHeight="1" outlineLevel="1" thickBot="1">
      <c r="B38" s="401" t="s">
        <v>682</v>
      </c>
      <c r="C38" s="402"/>
      <c r="D38" s="403"/>
      <c r="E38" s="404"/>
      <c r="F38" s="405"/>
      <c r="G38" s="406"/>
      <c r="H38" s="406"/>
      <c r="I38" s="406"/>
      <c r="J38" s="406"/>
      <c r="K38" s="459"/>
      <c r="L38" s="460"/>
      <c r="M38" s="363"/>
      <c r="N38" s="363"/>
      <c r="O38" s="461" t="s">
        <v>732</v>
      </c>
      <c r="P38" s="56"/>
      <c r="Q38" s="56"/>
      <c r="R38" s="57"/>
      <c r="S38" s="57"/>
      <c r="T38" s="57"/>
      <c r="U38" s="56" t="s">
        <v>350</v>
      </c>
      <c r="V38" s="56" t="s">
        <v>326</v>
      </c>
      <c r="W38" s="56" t="s">
        <v>327</v>
      </c>
      <c r="X38" s="56" t="s">
        <v>351</v>
      </c>
      <c r="Y38" s="56" t="s">
        <v>351</v>
      </c>
      <c r="Z38" s="56" t="s">
        <v>352</v>
      </c>
      <c r="AA38" s="56" t="s">
        <v>352</v>
      </c>
      <c r="AB38" s="56" t="s">
        <v>352</v>
      </c>
      <c r="AC38" s="56" t="s">
        <v>352</v>
      </c>
      <c r="AD38" s="56" t="s">
        <v>352</v>
      </c>
    </row>
    <row r="39" spans="2:30" outlineLevel="1">
      <c r="B39" s="451" t="s">
        <v>762</v>
      </c>
      <c r="C39" s="462" t="s">
        <v>36</v>
      </c>
      <c r="D39" s="462" t="s">
        <v>36</v>
      </c>
      <c r="E39" s="462" t="s">
        <v>36</v>
      </c>
      <c r="F39" s="462" t="s">
        <v>36</v>
      </c>
      <c r="G39" s="463"/>
      <c r="H39" s="463"/>
      <c r="I39" s="463"/>
      <c r="J39" s="463"/>
      <c r="K39" s="463" t="s">
        <v>25</v>
      </c>
      <c r="L39" s="464"/>
      <c r="M39" s="363"/>
      <c r="N39" s="363"/>
      <c r="O39" s="465">
        <f>C12</f>
        <v>92</v>
      </c>
      <c r="P39" s="466">
        <f>C8</f>
        <v>2020</v>
      </c>
      <c r="Q39" s="58">
        <f>P39</f>
        <v>2020</v>
      </c>
      <c r="R39" s="466">
        <f>O39/100</f>
        <v>0.92</v>
      </c>
      <c r="S39" s="58"/>
      <c r="T39" s="466">
        <f>C16</f>
        <v>25</v>
      </c>
      <c r="U39" s="467">
        <f>C46</f>
        <v>406.36363636363632</v>
      </c>
      <c r="V39" s="467">
        <f>C48</f>
        <v>14.9</v>
      </c>
      <c r="W39" s="467">
        <f>C49</f>
        <v>2.276388888888889</v>
      </c>
      <c r="X39" s="58"/>
      <c r="Y39" s="58"/>
      <c r="Z39" s="466">
        <f>C23</f>
        <v>0.3</v>
      </c>
      <c r="AA39" s="468">
        <f>C25</f>
        <v>9</v>
      </c>
      <c r="AB39" s="468">
        <f>C26</f>
        <v>3</v>
      </c>
      <c r="AC39" s="468">
        <f>C27</f>
        <v>1</v>
      </c>
      <c r="AD39" s="468">
        <f>C24</f>
        <v>0.1</v>
      </c>
    </row>
    <row r="40" spans="2:30" ht="14.5" customHeight="1" outlineLevel="1">
      <c r="B40" s="376" t="s">
        <v>763</v>
      </c>
      <c r="C40" s="469" t="s">
        <v>36</v>
      </c>
      <c r="D40" s="470" t="s">
        <v>36</v>
      </c>
      <c r="E40" s="470" t="s">
        <v>36</v>
      </c>
      <c r="F40" s="471" t="s">
        <v>36</v>
      </c>
      <c r="G40" s="471"/>
      <c r="H40" s="471"/>
      <c r="I40" s="471"/>
      <c r="J40" s="471"/>
      <c r="K40" s="472" t="s">
        <v>25</v>
      </c>
      <c r="L40" s="464"/>
      <c r="M40" s="363"/>
      <c r="N40" s="363"/>
      <c r="O40" s="465">
        <f>D12</f>
        <v>93</v>
      </c>
      <c r="P40" s="466">
        <f>D8</f>
        <v>2030</v>
      </c>
      <c r="Q40" s="58"/>
      <c r="R40" s="466">
        <f>O40/100</f>
        <v>0.93</v>
      </c>
      <c r="S40" s="58"/>
      <c r="T40" s="466">
        <f>D16</f>
        <v>25</v>
      </c>
      <c r="U40" s="467">
        <f>D46</f>
        <v>338.63636363636368</v>
      </c>
      <c r="V40" s="467">
        <f>D48</f>
        <v>14.154999999999999</v>
      </c>
      <c r="W40" s="467">
        <f>D49</f>
        <v>2.0694444444444446</v>
      </c>
      <c r="X40" s="58"/>
      <c r="Y40" s="58"/>
      <c r="Z40" s="466">
        <f>D23</f>
        <v>0.3</v>
      </c>
      <c r="AA40" s="468">
        <f>D25</f>
        <v>7</v>
      </c>
      <c r="AB40" s="468">
        <f>D26</f>
        <v>2</v>
      </c>
      <c r="AC40" s="468">
        <f>D27</f>
        <v>1</v>
      </c>
      <c r="AD40" s="468">
        <f>D24</f>
        <v>0.1</v>
      </c>
    </row>
    <row r="41" spans="2:30" outlineLevel="1">
      <c r="B41" s="376" t="s">
        <v>764</v>
      </c>
      <c r="C41" s="469" t="s">
        <v>36</v>
      </c>
      <c r="D41" s="470" t="s">
        <v>36</v>
      </c>
      <c r="E41" s="470" t="s">
        <v>36</v>
      </c>
      <c r="F41" s="471" t="s">
        <v>36</v>
      </c>
      <c r="G41" s="453"/>
      <c r="H41" s="453"/>
      <c r="I41" s="453"/>
      <c r="J41" s="453"/>
      <c r="K41" s="453"/>
      <c r="L41" s="380"/>
      <c r="M41" s="363"/>
      <c r="N41" s="363"/>
      <c r="O41" s="465">
        <f>E12</f>
        <v>93</v>
      </c>
      <c r="P41" s="466">
        <f>E8</f>
        <v>2040</v>
      </c>
      <c r="Q41" s="58"/>
      <c r="R41" s="466">
        <f>O41/100</f>
        <v>0.93</v>
      </c>
      <c r="S41" s="58"/>
      <c r="T41" s="466">
        <f>E16</f>
        <v>25</v>
      </c>
      <c r="U41" s="467">
        <f>E46</f>
        <v>338.63636363636368</v>
      </c>
      <c r="V41" s="467">
        <f>E48</f>
        <v>13.41</v>
      </c>
      <c r="W41" s="467">
        <f>E49</f>
        <v>2.0694444444444446</v>
      </c>
      <c r="X41" s="58"/>
      <c r="Y41" s="58"/>
      <c r="Z41" s="466">
        <f>E23</f>
        <v>0.3</v>
      </c>
      <c r="AA41" s="468">
        <f>E25</f>
        <v>6</v>
      </c>
      <c r="AB41" s="468">
        <f>E26</f>
        <v>2</v>
      </c>
      <c r="AC41" s="468">
        <f>E27</f>
        <v>1</v>
      </c>
      <c r="AD41" s="468">
        <f>E24</f>
        <v>0.1</v>
      </c>
    </row>
    <row r="42" spans="2:30" outlineLevel="1">
      <c r="B42" s="376" t="s">
        <v>765</v>
      </c>
      <c r="C42" s="473">
        <v>90</v>
      </c>
      <c r="D42" s="473">
        <v>90</v>
      </c>
      <c r="E42" s="473">
        <v>90</v>
      </c>
      <c r="F42" s="473">
        <v>90</v>
      </c>
      <c r="G42" s="474"/>
      <c r="H42" s="474"/>
      <c r="I42" s="474"/>
      <c r="J42" s="474"/>
      <c r="K42" s="474"/>
      <c r="L42" s="380">
        <v>3</v>
      </c>
      <c r="M42" s="363"/>
      <c r="N42" s="363"/>
      <c r="O42" s="465">
        <f>F12</f>
        <v>94</v>
      </c>
      <c r="P42" s="466">
        <f>F8</f>
        <v>2050</v>
      </c>
      <c r="Q42" s="58"/>
      <c r="R42" s="466">
        <f>O42/100</f>
        <v>0.94</v>
      </c>
      <c r="S42" s="58"/>
      <c r="T42" s="466">
        <f>F16</f>
        <v>25</v>
      </c>
      <c r="U42" s="467">
        <f>F46</f>
        <v>338.63636363636368</v>
      </c>
      <c r="V42" s="467">
        <f>F48</f>
        <v>12.664999999999999</v>
      </c>
      <c r="W42" s="467">
        <f>F49</f>
        <v>2.0694444444444446</v>
      </c>
      <c r="X42" s="58"/>
      <c r="Y42" s="58"/>
      <c r="Z42" s="466">
        <f>F23</f>
        <v>0.3</v>
      </c>
      <c r="AA42" s="468">
        <f>F25</f>
        <v>6</v>
      </c>
      <c r="AB42" s="468">
        <f>F26</f>
        <v>2</v>
      </c>
      <c r="AC42" s="468">
        <f>F27</f>
        <v>1</v>
      </c>
      <c r="AD42" s="468">
        <f>F24</f>
        <v>0.1</v>
      </c>
    </row>
    <row r="43" spans="2:30" outlineLevel="1">
      <c r="B43" s="475" t="s">
        <v>766</v>
      </c>
      <c r="C43" s="469" t="s">
        <v>36</v>
      </c>
      <c r="D43" s="470" t="s">
        <v>36</v>
      </c>
      <c r="E43" s="470" t="s">
        <v>36</v>
      </c>
      <c r="F43" s="471" t="s">
        <v>36</v>
      </c>
      <c r="G43" s="474"/>
      <c r="H43" s="474"/>
      <c r="I43" s="474"/>
      <c r="J43" s="474"/>
      <c r="K43" s="474"/>
      <c r="L43" s="476"/>
      <c r="M43" s="367"/>
      <c r="N43" s="367"/>
    </row>
    <row r="44" spans="2:30" outlineLevel="1">
      <c r="B44" s="475" t="s">
        <v>767</v>
      </c>
      <c r="C44" s="469" t="s">
        <v>36</v>
      </c>
      <c r="D44" s="470" t="s">
        <v>36</v>
      </c>
      <c r="E44" s="470" t="s">
        <v>36</v>
      </c>
      <c r="F44" s="471" t="s">
        <v>36</v>
      </c>
      <c r="G44" s="474"/>
      <c r="H44" s="474"/>
      <c r="I44" s="474"/>
      <c r="J44" s="474"/>
      <c r="K44" s="474"/>
      <c r="L44" s="476"/>
      <c r="M44" s="363"/>
      <c r="N44" s="363"/>
    </row>
    <row r="45" spans="2:30" ht="16" outlineLevel="1" thickBot="1">
      <c r="B45" s="477" t="s">
        <v>768</v>
      </c>
      <c r="C45" s="478" t="s">
        <v>36</v>
      </c>
      <c r="D45" s="479" t="s">
        <v>36</v>
      </c>
      <c r="E45" s="479" t="s">
        <v>36</v>
      </c>
      <c r="F45" s="480" t="s">
        <v>36</v>
      </c>
      <c r="G45" s="481"/>
      <c r="H45" s="481"/>
      <c r="I45" s="481"/>
      <c r="J45" s="481"/>
      <c r="K45" s="481"/>
      <c r="L45" s="482"/>
      <c r="M45" s="363"/>
      <c r="N45" s="363"/>
    </row>
    <row r="46" spans="2:30" ht="64" outlineLevel="1">
      <c r="B46" s="461" t="s">
        <v>769</v>
      </c>
      <c r="C46" s="483">
        <f>C29*$F$4*1000</f>
        <v>406.36363636363632</v>
      </c>
      <c r="D46" s="483">
        <f t="shared" ref="D46:F46" si="2">D29*$F$4*1000</f>
        <v>338.63636363636368</v>
      </c>
      <c r="E46" s="483">
        <f t="shared" si="2"/>
        <v>338.63636363636368</v>
      </c>
      <c r="F46" s="483">
        <f t="shared" si="2"/>
        <v>338.63636363636368</v>
      </c>
      <c r="G46" s="483"/>
      <c r="H46" s="484"/>
      <c r="I46" s="420" t="s">
        <v>332</v>
      </c>
      <c r="J46" s="420"/>
      <c r="K46" s="484"/>
      <c r="L46" s="484"/>
      <c r="N46" s="420"/>
    </row>
    <row r="47" spans="2:30" outlineLevel="1">
      <c r="B47" s="485" t="s">
        <v>770</v>
      </c>
      <c r="C47" s="486">
        <f>C46*$I47</f>
        <v>203181.81818181815</v>
      </c>
      <c r="D47" s="486">
        <f>D46*$I47</f>
        <v>169318.18181818185</v>
      </c>
      <c r="E47" s="486">
        <f>E46*$I47</f>
        <v>169318.18181818185</v>
      </c>
      <c r="F47" s="486">
        <f>F46*$I47</f>
        <v>169318.18181818185</v>
      </c>
      <c r="G47" s="486"/>
      <c r="H47" s="484"/>
      <c r="I47" s="71">
        <v>500</v>
      </c>
      <c r="J47" s="420" t="s">
        <v>330</v>
      </c>
      <c r="K47" s="484"/>
      <c r="L47" s="484"/>
      <c r="N47" s="420"/>
    </row>
    <row r="48" spans="2:30" ht="48" outlineLevel="1">
      <c r="B48" s="461" t="s">
        <v>771</v>
      </c>
      <c r="C48" s="359">
        <f>C32*$F$4</f>
        <v>14.9</v>
      </c>
      <c r="D48" s="359">
        <f t="shared" ref="D48:F49" si="3">D32*$F$4</f>
        <v>14.154999999999999</v>
      </c>
      <c r="E48" s="359">
        <f t="shared" si="3"/>
        <v>13.41</v>
      </c>
      <c r="F48" s="359">
        <f t="shared" si="3"/>
        <v>12.664999999999999</v>
      </c>
      <c r="G48" s="359"/>
      <c r="I48" s="420" t="s">
        <v>333</v>
      </c>
      <c r="J48" s="420"/>
      <c r="N48" s="420"/>
    </row>
    <row r="49" spans="2:20" ht="48" outlineLevel="1">
      <c r="B49" s="461" t="s">
        <v>772</v>
      </c>
      <c r="C49" s="487">
        <f>C33*$F$4</f>
        <v>2.276388888888889</v>
      </c>
      <c r="D49" s="487">
        <f t="shared" si="3"/>
        <v>2.0694444444444446</v>
      </c>
      <c r="E49" s="487">
        <f t="shared" si="3"/>
        <v>2.0694444444444446</v>
      </c>
      <c r="F49" s="487">
        <f t="shared" si="3"/>
        <v>2.0694444444444446</v>
      </c>
      <c r="G49" s="359"/>
      <c r="M49" s="420"/>
      <c r="N49" s="420"/>
    </row>
    <row r="50" spans="2:20" outlineLevel="1"/>
    <row r="51" spans="2:20" outlineLevel="1"/>
    <row r="52" spans="2:20" outlineLevel="1"/>
    <row r="53" spans="2:20" outlineLevel="1"/>
    <row r="54" spans="2:20" outlineLevel="1">
      <c r="B54" s="488" t="s">
        <v>773</v>
      </c>
      <c r="C54" s="489"/>
      <c r="D54" s="490"/>
      <c r="E54" s="490"/>
      <c r="F54" s="490"/>
    </row>
    <row r="55" spans="2:20" outlineLevel="1">
      <c r="B55" s="491">
        <v>1</v>
      </c>
      <c r="C55" s="492" t="s">
        <v>774</v>
      </c>
      <c r="E55" s="490"/>
      <c r="F55" s="490"/>
    </row>
    <row r="56" spans="2:20" outlineLevel="1">
      <c r="B56" s="491">
        <v>2</v>
      </c>
      <c r="C56" s="493" t="s">
        <v>775</v>
      </c>
      <c r="E56" s="490"/>
      <c r="F56" s="490"/>
    </row>
    <row r="57" spans="2:20" outlineLevel="1">
      <c r="B57" s="491">
        <v>3</v>
      </c>
      <c r="C57" s="493" t="s">
        <v>776</v>
      </c>
      <c r="E57" s="490"/>
      <c r="F57" s="490"/>
    </row>
    <row r="58" spans="2:20" outlineLevel="1">
      <c r="B58" s="491">
        <v>4</v>
      </c>
      <c r="C58" s="493" t="s">
        <v>777</v>
      </c>
      <c r="E58" s="490"/>
      <c r="F58" s="490"/>
    </row>
    <row r="59" spans="2:20" outlineLevel="1">
      <c r="B59" s="358">
        <v>5</v>
      </c>
      <c r="C59" s="494" t="s">
        <v>778</v>
      </c>
      <c r="D59" s="490"/>
      <c r="E59" s="490"/>
      <c r="F59" s="490"/>
      <c r="T59" s="224" t="s">
        <v>798</v>
      </c>
    </row>
    <row r="60" spans="2:20" outlineLevel="1">
      <c r="B60" s="358">
        <v>6</v>
      </c>
      <c r="C60" s="492" t="s">
        <v>779</v>
      </c>
      <c r="D60" s="490"/>
      <c r="E60" s="490"/>
      <c r="F60" s="490"/>
    </row>
    <row r="61" spans="2:20" outlineLevel="1">
      <c r="B61" s="358">
        <v>7</v>
      </c>
      <c r="C61" s="495" t="s">
        <v>774</v>
      </c>
      <c r="D61" s="490"/>
      <c r="E61" s="490"/>
      <c r="F61" s="490"/>
    </row>
    <row r="62" spans="2:20" outlineLevel="1">
      <c r="B62" s="358">
        <v>8</v>
      </c>
      <c r="C62" s="495" t="s">
        <v>780</v>
      </c>
      <c r="D62" s="490"/>
      <c r="E62" s="490"/>
      <c r="F62" s="490"/>
    </row>
    <row r="63" spans="2:20" outlineLevel="1">
      <c r="B63" s="358">
        <v>9</v>
      </c>
      <c r="C63" s="489" t="s">
        <v>781</v>
      </c>
      <c r="D63" s="490"/>
      <c r="E63" s="490"/>
      <c r="F63" s="490"/>
    </row>
    <row r="64" spans="2:20" outlineLevel="1">
      <c r="B64" s="358">
        <v>10</v>
      </c>
      <c r="C64" s="490" t="s">
        <v>782</v>
      </c>
      <c r="D64" s="490"/>
      <c r="E64" s="490"/>
      <c r="F64" s="490"/>
    </row>
    <row r="65" spans="2:6" outlineLevel="1">
      <c r="B65" s="488" t="s">
        <v>783</v>
      </c>
      <c r="C65" s="489"/>
      <c r="D65" s="490"/>
      <c r="E65" s="490"/>
      <c r="F65" s="490"/>
    </row>
    <row r="66" spans="2:6" outlineLevel="1">
      <c r="B66" s="496" t="s">
        <v>6</v>
      </c>
      <c r="C66" s="497" t="s">
        <v>784</v>
      </c>
      <c r="E66" s="490"/>
      <c r="F66" s="490"/>
    </row>
    <row r="67" spans="2:6" outlineLevel="1">
      <c r="B67" s="496" t="s">
        <v>59</v>
      </c>
      <c r="C67" s="489" t="s">
        <v>785</v>
      </c>
      <c r="E67" s="490"/>
      <c r="F67" s="490"/>
    </row>
    <row r="68" spans="2:6" outlineLevel="1">
      <c r="B68" s="496" t="s">
        <v>16</v>
      </c>
      <c r="C68" s="489" t="s">
        <v>786</v>
      </c>
      <c r="E68" s="490"/>
      <c r="F68" s="490"/>
    </row>
    <row r="69" spans="2:6" outlineLevel="1">
      <c r="B69" s="496" t="s">
        <v>20</v>
      </c>
      <c r="C69" s="489" t="s">
        <v>787</v>
      </c>
      <c r="E69" s="490"/>
      <c r="F69" s="490"/>
    </row>
    <row r="70" spans="2:6" outlineLevel="1">
      <c r="B70" s="496" t="s">
        <v>76</v>
      </c>
      <c r="C70" s="498" t="s">
        <v>788</v>
      </c>
      <c r="E70" s="490"/>
      <c r="F70" s="490"/>
    </row>
    <row r="71" spans="2:6" outlineLevel="1">
      <c r="B71" s="496" t="s">
        <v>25</v>
      </c>
      <c r="C71" s="489" t="s">
        <v>789</v>
      </c>
      <c r="E71" s="490"/>
      <c r="F71" s="490"/>
    </row>
    <row r="72" spans="2:6" outlineLevel="1"/>
    <row r="73" spans="2:6" outlineLevel="1"/>
    <row r="74" spans="2:6" outlineLevel="1"/>
    <row r="75" spans="2:6" outlineLevel="1"/>
    <row r="76" spans="2:6" outlineLevel="1"/>
    <row r="77" spans="2:6" outlineLevel="1"/>
    <row r="78" spans="2:6" outlineLevel="1"/>
    <row r="79" spans="2:6" outlineLevel="1"/>
    <row r="80" spans="2:6" outlineLevel="1"/>
    <row r="81" spans="1:44" outlineLevel="1"/>
    <row r="84" spans="1:44">
      <c r="A84" s="360" t="s">
        <v>799</v>
      </c>
      <c r="B84" s="1207"/>
      <c r="C84" s="1143"/>
      <c r="D84" s="1143"/>
      <c r="E84" s="1143"/>
      <c r="F84" s="1143"/>
      <c r="G84" s="1143"/>
      <c r="H84" s="1143"/>
      <c r="I84" s="1143"/>
      <c r="J84" s="1143"/>
      <c r="K84" s="1143"/>
      <c r="L84" s="1143"/>
      <c r="M84" s="1143"/>
      <c r="N84" s="361"/>
      <c r="P84" s="1143"/>
      <c r="Q84" s="1143"/>
      <c r="R84" s="1143"/>
      <c r="S84" s="1143"/>
      <c r="T84" s="1143"/>
      <c r="U84" s="1143"/>
    </row>
    <row r="85" spans="1:44" ht="16" outlineLevel="1" thickBot="1">
      <c r="B85" s="1207"/>
      <c r="C85" s="1143"/>
      <c r="D85" s="1143"/>
      <c r="E85" s="1143"/>
      <c r="F85" s="1143"/>
      <c r="G85" s="1143"/>
      <c r="H85" s="1143"/>
      <c r="I85" s="1143"/>
      <c r="J85" s="1143"/>
      <c r="K85" s="1143"/>
      <c r="L85" s="1143"/>
      <c r="M85" s="1143"/>
      <c r="N85" s="361"/>
      <c r="P85" s="692">
        <v>1</v>
      </c>
      <c r="Q85" s="692">
        <v>2</v>
      </c>
      <c r="R85" s="692">
        <v>3</v>
      </c>
      <c r="S85" s="692">
        <v>4</v>
      </c>
      <c r="T85" s="692">
        <v>5</v>
      </c>
      <c r="U85" s="692">
        <v>6</v>
      </c>
      <c r="V85" s="692">
        <v>7</v>
      </c>
      <c r="W85" s="692">
        <v>8</v>
      </c>
      <c r="X85" s="692">
        <v>9</v>
      </c>
      <c r="Y85" s="692">
        <v>10</v>
      </c>
      <c r="Z85" s="692">
        <v>11</v>
      </c>
      <c r="AA85" s="692">
        <v>12</v>
      </c>
      <c r="AB85" s="692">
        <v>13</v>
      </c>
      <c r="AC85" s="692">
        <v>14</v>
      </c>
    </row>
    <row r="86" spans="1:44" ht="20.5" customHeight="1" outlineLevel="1" thickBot="1">
      <c r="B86" s="362" t="s">
        <v>0</v>
      </c>
      <c r="C86" s="1186" t="s">
        <v>800</v>
      </c>
      <c r="D86" s="1205"/>
      <c r="E86" s="1205"/>
      <c r="F86" s="1205"/>
      <c r="G86" s="1205"/>
      <c r="H86" s="1205"/>
      <c r="I86" s="1205"/>
      <c r="J86" s="1205"/>
      <c r="K86" s="1205"/>
      <c r="L86" s="1206"/>
      <c r="M86" s="363"/>
      <c r="N86" s="363"/>
      <c r="P86" s="364" t="s">
        <v>713</v>
      </c>
      <c r="Q86" s="365"/>
      <c r="R86" s="366"/>
      <c r="S86" s="1176" t="s">
        <v>714</v>
      </c>
      <c r="T86" s="1160" t="s">
        <v>715</v>
      </c>
      <c r="U86" s="1161"/>
      <c r="V86" s="1160" t="s">
        <v>716</v>
      </c>
      <c r="W86" s="1161"/>
      <c r="X86" s="1160" t="s">
        <v>717</v>
      </c>
      <c r="Y86" s="1161"/>
      <c r="Z86" s="1160" t="s">
        <v>718</v>
      </c>
      <c r="AA86" s="1161"/>
      <c r="AB86" s="1160" t="s">
        <v>719</v>
      </c>
      <c r="AC86" s="1161"/>
      <c r="AE86" s="364" t="s">
        <v>720</v>
      </c>
      <c r="AF86" s="365"/>
      <c r="AG86" s="366"/>
      <c r="AH86" s="1176" t="s">
        <v>714</v>
      </c>
      <c r="AI86" s="1160" t="s">
        <v>715</v>
      </c>
      <c r="AJ86" s="1161"/>
      <c r="AK86" s="1160" t="s">
        <v>716</v>
      </c>
      <c r="AL86" s="1161"/>
      <c r="AM86" s="1160" t="s">
        <v>717</v>
      </c>
      <c r="AN86" s="1161"/>
      <c r="AO86" s="1160" t="s">
        <v>718</v>
      </c>
      <c r="AP86" s="1161"/>
      <c r="AQ86" s="1160" t="s">
        <v>719</v>
      </c>
      <c r="AR86" s="1161"/>
    </row>
    <row r="87" spans="1:44" ht="15" customHeight="1" outlineLevel="1" thickBot="1">
      <c r="B87" s="1164" t="s">
        <v>4</v>
      </c>
      <c r="C87" s="1166">
        <v>2020</v>
      </c>
      <c r="D87" s="1166">
        <v>2030</v>
      </c>
      <c r="E87" s="1166">
        <v>2040</v>
      </c>
      <c r="F87" s="1166">
        <v>2050</v>
      </c>
      <c r="G87" s="1200" t="s">
        <v>721</v>
      </c>
      <c r="H87" s="1201"/>
      <c r="I87" s="1200" t="s">
        <v>648</v>
      </c>
      <c r="J87" s="1201"/>
      <c r="K87" s="1202" t="s">
        <v>2</v>
      </c>
      <c r="L87" s="1202" t="s">
        <v>3</v>
      </c>
      <c r="M87" s="367"/>
      <c r="N87" s="367"/>
      <c r="P87" s="1180" t="s">
        <v>0</v>
      </c>
      <c r="Q87" s="368"/>
      <c r="R87" s="368"/>
      <c r="S87" s="1177"/>
      <c r="T87" s="1162"/>
      <c r="U87" s="1163"/>
      <c r="V87" s="1162"/>
      <c r="W87" s="1163"/>
      <c r="X87" s="1162"/>
      <c r="Y87" s="1163"/>
      <c r="Z87" s="1162"/>
      <c r="AA87" s="1163"/>
      <c r="AB87" s="1162"/>
      <c r="AC87" s="1163"/>
      <c r="AE87" s="1180" t="s">
        <v>0</v>
      </c>
      <c r="AF87" s="368"/>
      <c r="AG87" s="368"/>
      <c r="AH87" s="1177"/>
      <c r="AI87" s="1162"/>
      <c r="AJ87" s="1163"/>
      <c r="AK87" s="1162"/>
      <c r="AL87" s="1163"/>
      <c r="AM87" s="1162"/>
      <c r="AN87" s="1163"/>
      <c r="AO87" s="1162"/>
      <c r="AP87" s="1163"/>
      <c r="AQ87" s="1162"/>
      <c r="AR87" s="1163"/>
    </row>
    <row r="88" spans="1:44" ht="16" outlineLevel="1" thickBot="1">
      <c r="B88" s="1165"/>
      <c r="C88" s="1167"/>
      <c r="D88" s="1167"/>
      <c r="E88" s="1167"/>
      <c r="F88" s="1167"/>
      <c r="G88" s="499" t="s">
        <v>649</v>
      </c>
      <c r="H88" s="499" t="s">
        <v>650</v>
      </c>
      <c r="I88" s="499" t="s">
        <v>649</v>
      </c>
      <c r="J88" s="499" t="s">
        <v>650</v>
      </c>
      <c r="K88" s="1203"/>
      <c r="L88" s="1203"/>
      <c r="M88" s="370"/>
      <c r="N88" s="370"/>
      <c r="P88" s="1181"/>
      <c r="Q88" s="1183" t="s">
        <v>722</v>
      </c>
      <c r="R88" s="1184" t="s">
        <v>723</v>
      </c>
      <c r="S88" s="1178"/>
      <c r="T88" s="1162"/>
      <c r="U88" s="1163"/>
      <c r="V88" s="1162"/>
      <c r="W88" s="1163"/>
      <c r="X88" s="1162"/>
      <c r="Y88" s="1163"/>
      <c r="Z88" s="1162"/>
      <c r="AA88" s="1163"/>
      <c r="AB88" s="1162"/>
      <c r="AC88" s="1163"/>
      <c r="AE88" s="1181"/>
      <c r="AF88" s="1197" t="s">
        <v>722</v>
      </c>
      <c r="AG88" s="1184" t="s">
        <v>723</v>
      </c>
      <c r="AH88" s="1178"/>
      <c r="AI88" s="1162"/>
      <c r="AJ88" s="1163"/>
      <c r="AK88" s="1162"/>
      <c r="AL88" s="1163"/>
      <c r="AM88" s="1162"/>
      <c r="AN88" s="1163"/>
      <c r="AO88" s="1162"/>
      <c r="AP88" s="1163"/>
      <c r="AQ88" s="1162"/>
      <c r="AR88" s="1163"/>
    </row>
    <row r="89" spans="1:44" ht="33" outlineLevel="1" thickBot="1">
      <c r="B89" s="371" t="s">
        <v>651</v>
      </c>
      <c r="C89" s="372">
        <v>20</v>
      </c>
      <c r="D89" s="372">
        <v>20</v>
      </c>
      <c r="E89" s="372">
        <v>20</v>
      </c>
      <c r="F89" s="372">
        <v>20</v>
      </c>
      <c r="G89" s="372">
        <v>1</v>
      </c>
      <c r="H89" s="372">
        <v>50</v>
      </c>
      <c r="I89" s="372">
        <v>1</v>
      </c>
      <c r="J89" s="372">
        <v>50</v>
      </c>
      <c r="K89" s="372" t="s">
        <v>6</v>
      </c>
      <c r="L89" s="373" t="s">
        <v>725</v>
      </c>
      <c r="M89" s="370"/>
      <c r="N89" s="370"/>
      <c r="O89" s="74"/>
      <c r="P89" s="1182"/>
      <c r="Q89" s="1179"/>
      <c r="R89" s="1185"/>
      <c r="S89" s="1179"/>
      <c r="T89" s="374" t="s">
        <v>726</v>
      </c>
      <c r="U89" s="375" t="s">
        <v>727</v>
      </c>
      <c r="V89" s="374" t="s">
        <v>726</v>
      </c>
      <c r="W89" s="375" t="s">
        <v>727</v>
      </c>
      <c r="X89" s="374" t="s">
        <v>726</v>
      </c>
      <c r="Y89" s="375" t="s">
        <v>727</v>
      </c>
      <c r="Z89" s="374" t="s">
        <v>726</v>
      </c>
      <c r="AA89" s="375" t="s">
        <v>727</v>
      </c>
      <c r="AB89" s="374" t="s">
        <v>726</v>
      </c>
      <c r="AC89" s="375" t="s">
        <v>727</v>
      </c>
      <c r="AE89" s="1182"/>
      <c r="AF89" s="1198"/>
      <c r="AG89" s="1185"/>
      <c r="AH89" s="1179"/>
      <c r="AI89" s="374" t="s">
        <v>726</v>
      </c>
      <c r="AJ89" s="375" t="s">
        <v>727</v>
      </c>
      <c r="AK89" s="374" t="s">
        <v>726</v>
      </c>
      <c r="AL89" s="375" t="s">
        <v>727</v>
      </c>
      <c r="AM89" s="374" t="s">
        <v>726</v>
      </c>
      <c r="AN89" s="375" t="s">
        <v>727</v>
      </c>
      <c r="AO89" s="374" t="s">
        <v>726</v>
      </c>
      <c r="AP89" s="375" t="s">
        <v>727</v>
      </c>
      <c r="AQ89" s="374" t="s">
        <v>726</v>
      </c>
      <c r="AR89" s="375" t="s">
        <v>727</v>
      </c>
    </row>
    <row r="90" spans="1:44" outlineLevel="1">
      <c r="B90" s="500" t="s">
        <v>728</v>
      </c>
      <c r="C90" s="501">
        <v>103</v>
      </c>
      <c r="D90" s="501">
        <v>104</v>
      </c>
      <c r="E90" s="502">
        <v>104</v>
      </c>
      <c r="F90" s="501">
        <v>104</v>
      </c>
      <c r="G90" s="501">
        <v>95</v>
      </c>
      <c r="H90" s="501">
        <v>106</v>
      </c>
      <c r="I90" s="501">
        <v>96</v>
      </c>
      <c r="J90" s="501">
        <v>107</v>
      </c>
      <c r="K90" s="503"/>
      <c r="L90" s="504" t="s">
        <v>801</v>
      </c>
      <c r="M90" s="370"/>
      <c r="N90" s="370"/>
      <c r="P90" s="1148" t="str">
        <f>C86</f>
        <v>Steam boiler, Natural gas or biogas (Condensing)</v>
      </c>
      <c r="Q90" s="1154" t="s">
        <v>730</v>
      </c>
      <c r="R90" s="381" t="s">
        <v>731</v>
      </c>
      <c r="S90" s="382"/>
      <c r="T90" s="1137">
        <v>0</v>
      </c>
      <c r="U90" s="1151">
        <v>0</v>
      </c>
      <c r="V90" s="1137">
        <v>0</v>
      </c>
      <c r="W90" s="1151">
        <v>0</v>
      </c>
      <c r="X90" s="1137">
        <v>0</v>
      </c>
      <c r="Y90" s="1151">
        <v>0</v>
      </c>
      <c r="Z90" s="1137">
        <v>0</v>
      </c>
      <c r="AA90" s="1151">
        <v>0</v>
      </c>
      <c r="AB90" s="1137">
        <v>0</v>
      </c>
      <c r="AC90" s="1151">
        <v>0</v>
      </c>
      <c r="AE90" s="1148" t="str">
        <f>P90</f>
        <v>Steam boiler, Natural gas or biogas (Condensing)</v>
      </c>
      <c r="AF90" s="1154" t="s">
        <v>730</v>
      </c>
      <c r="AG90" s="381" t="s">
        <v>731</v>
      </c>
      <c r="AH90" s="382"/>
      <c r="AI90" s="1137">
        <v>0</v>
      </c>
      <c r="AJ90" s="1151">
        <v>0</v>
      </c>
      <c r="AK90" s="1137">
        <v>0</v>
      </c>
      <c r="AL90" s="1151">
        <v>0</v>
      </c>
      <c r="AM90" s="1137">
        <v>0</v>
      </c>
      <c r="AN90" s="1151">
        <v>0</v>
      </c>
      <c r="AO90" s="1137">
        <v>0</v>
      </c>
      <c r="AP90" s="1151">
        <v>0</v>
      </c>
      <c r="AQ90" s="1137">
        <v>0</v>
      </c>
      <c r="AR90" s="1151">
        <v>0</v>
      </c>
    </row>
    <row r="91" spans="1:44" outlineLevel="1">
      <c r="B91" s="383" t="s">
        <v>732</v>
      </c>
      <c r="C91" s="384">
        <f>C90-2</f>
        <v>101</v>
      </c>
      <c r="D91" s="384">
        <f t="shared" ref="D91:J91" si="4">D90-1</f>
        <v>103</v>
      </c>
      <c r="E91" s="384">
        <f t="shared" si="4"/>
        <v>103</v>
      </c>
      <c r="F91" s="384">
        <f t="shared" si="4"/>
        <v>103</v>
      </c>
      <c r="G91" s="505">
        <f t="shared" si="4"/>
        <v>94</v>
      </c>
      <c r="H91" s="505">
        <f t="shared" si="4"/>
        <v>105</v>
      </c>
      <c r="I91" s="505">
        <f t="shared" si="4"/>
        <v>95</v>
      </c>
      <c r="J91" s="505">
        <f t="shared" si="4"/>
        <v>106</v>
      </c>
      <c r="K91" s="372"/>
      <c r="L91" s="373" t="s">
        <v>729</v>
      </c>
      <c r="M91" s="370"/>
      <c r="N91" s="370"/>
      <c r="O91" s="71"/>
      <c r="P91" s="1195"/>
      <c r="Q91" s="1155"/>
      <c r="R91" s="388" t="s">
        <v>733</v>
      </c>
      <c r="S91" s="389"/>
      <c r="T91" s="1140"/>
      <c r="U91" s="1152"/>
      <c r="V91" s="1140"/>
      <c r="W91" s="1152"/>
      <c r="X91" s="1140"/>
      <c r="Y91" s="1152"/>
      <c r="Z91" s="1140"/>
      <c r="AA91" s="1152"/>
      <c r="AB91" s="1140"/>
      <c r="AC91" s="1152"/>
      <c r="AE91" s="1195"/>
      <c r="AF91" s="1155"/>
      <c r="AG91" s="388" t="s">
        <v>733</v>
      </c>
      <c r="AH91" s="389"/>
      <c r="AI91" s="1140"/>
      <c r="AJ91" s="1152"/>
      <c r="AK91" s="1140"/>
      <c r="AL91" s="1152"/>
      <c r="AM91" s="1140"/>
      <c r="AN91" s="1152"/>
      <c r="AO91" s="1140"/>
      <c r="AP91" s="1152"/>
      <c r="AQ91" s="1140"/>
      <c r="AR91" s="1152"/>
    </row>
    <row r="92" spans="1:44" ht="16" outlineLevel="1" thickBot="1">
      <c r="B92" s="500" t="s">
        <v>734</v>
      </c>
      <c r="C92" s="506">
        <v>0.14000000000000001</v>
      </c>
      <c r="D92" s="507">
        <v>0.12</v>
      </c>
      <c r="E92" s="507">
        <v>0.11</v>
      </c>
      <c r="F92" s="508">
        <v>0.1</v>
      </c>
      <c r="G92" s="507">
        <v>0.1</v>
      </c>
      <c r="H92" s="507">
        <v>0.14000000000000001</v>
      </c>
      <c r="I92" s="507">
        <v>0.08</v>
      </c>
      <c r="J92" s="507">
        <v>0.12</v>
      </c>
      <c r="K92" s="503"/>
      <c r="L92" s="504">
        <v>3</v>
      </c>
      <c r="M92" s="370"/>
      <c r="N92" s="370"/>
      <c r="O92" s="71"/>
      <c r="P92" s="1195"/>
      <c r="Q92" s="1156"/>
      <c r="R92" s="393" t="s">
        <v>735</v>
      </c>
      <c r="S92" s="394"/>
      <c r="T92" s="1141"/>
      <c r="U92" s="1153"/>
      <c r="V92" s="1141"/>
      <c r="W92" s="1153"/>
      <c r="X92" s="1141"/>
      <c r="Y92" s="1153"/>
      <c r="Z92" s="1141"/>
      <c r="AA92" s="1153"/>
      <c r="AB92" s="1141"/>
      <c r="AC92" s="1153"/>
      <c r="AE92" s="1195"/>
      <c r="AF92" s="1156"/>
      <c r="AG92" s="393" t="s">
        <v>735</v>
      </c>
      <c r="AH92" s="394"/>
      <c r="AI92" s="1141"/>
      <c r="AJ92" s="1153"/>
      <c r="AK92" s="1141"/>
      <c r="AL92" s="1153"/>
      <c r="AM92" s="1141"/>
      <c r="AN92" s="1153"/>
      <c r="AO92" s="1141"/>
      <c r="AP92" s="1153"/>
      <c r="AQ92" s="1141"/>
      <c r="AR92" s="1153"/>
    </row>
    <row r="93" spans="1:44" outlineLevel="1">
      <c r="B93" s="500" t="s">
        <v>657</v>
      </c>
      <c r="C93" s="506">
        <v>1</v>
      </c>
      <c r="D93" s="506">
        <v>1</v>
      </c>
      <c r="E93" s="506">
        <v>1</v>
      </c>
      <c r="F93" s="506">
        <v>1</v>
      </c>
      <c r="G93" s="506">
        <v>0.08</v>
      </c>
      <c r="H93" s="506">
        <v>2</v>
      </c>
      <c r="I93" s="506">
        <v>0.08</v>
      </c>
      <c r="J93" s="506">
        <v>2</v>
      </c>
      <c r="K93" s="503"/>
      <c r="L93" s="504">
        <v>3</v>
      </c>
      <c r="M93" s="370"/>
      <c r="N93" s="370"/>
      <c r="O93" s="71"/>
      <c r="P93" s="1195"/>
      <c r="Q93" s="1154" t="s">
        <v>736</v>
      </c>
      <c r="R93" s="395" t="s">
        <v>737</v>
      </c>
      <c r="S93" s="396" t="s">
        <v>738</v>
      </c>
      <c r="T93" s="1137">
        <v>0</v>
      </c>
      <c r="U93" s="1137">
        <v>0.21</v>
      </c>
      <c r="V93" s="1137">
        <v>0</v>
      </c>
      <c r="W93" s="1137">
        <v>0</v>
      </c>
      <c r="X93" s="1137">
        <v>0</v>
      </c>
      <c r="Y93" s="1137">
        <v>0</v>
      </c>
      <c r="Z93" s="1137">
        <v>0</v>
      </c>
      <c r="AA93" s="1137">
        <v>0.09</v>
      </c>
      <c r="AB93" s="1137">
        <v>0</v>
      </c>
      <c r="AC93" s="1137">
        <v>0</v>
      </c>
      <c r="AE93" s="1195"/>
      <c r="AF93" s="1154" t="s">
        <v>736</v>
      </c>
      <c r="AG93" s="395" t="s">
        <v>737</v>
      </c>
      <c r="AH93" s="396" t="s">
        <v>738</v>
      </c>
      <c r="AI93" s="1137">
        <v>0</v>
      </c>
      <c r="AJ93" s="1137">
        <v>0.21</v>
      </c>
      <c r="AK93" s="1137">
        <v>0</v>
      </c>
      <c r="AL93" s="1137">
        <v>0</v>
      </c>
      <c r="AM93" s="1137">
        <v>0</v>
      </c>
      <c r="AN93" s="1137">
        <v>0</v>
      </c>
      <c r="AO93" s="1137">
        <v>0</v>
      </c>
      <c r="AP93" s="1137">
        <v>0.09</v>
      </c>
      <c r="AQ93" s="1137">
        <v>0</v>
      </c>
      <c r="AR93" s="1137">
        <v>0</v>
      </c>
    </row>
    <row r="94" spans="1:44" outlineLevel="1">
      <c r="B94" s="500" t="s">
        <v>658</v>
      </c>
      <c r="C94" s="506">
        <v>0.4</v>
      </c>
      <c r="D94" s="506">
        <v>0.4</v>
      </c>
      <c r="E94" s="506">
        <v>0.4</v>
      </c>
      <c r="F94" s="506">
        <v>0.4</v>
      </c>
      <c r="G94" s="506">
        <v>0.3</v>
      </c>
      <c r="H94" s="506">
        <v>0.6</v>
      </c>
      <c r="I94" s="506">
        <v>0.3</v>
      </c>
      <c r="J94" s="506">
        <v>0.6</v>
      </c>
      <c r="K94" s="503"/>
      <c r="L94" s="504">
        <v>3</v>
      </c>
      <c r="M94" s="367"/>
      <c r="N94" s="367"/>
      <c r="O94" s="71"/>
      <c r="P94" s="1195"/>
      <c r="Q94" s="1155"/>
      <c r="R94" s="395" t="s">
        <v>739</v>
      </c>
      <c r="S94" s="396" t="s">
        <v>738</v>
      </c>
      <c r="T94" s="1138"/>
      <c r="U94" s="1138"/>
      <c r="V94" s="1138"/>
      <c r="W94" s="1138"/>
      <c r="X94" s="1138"/>
      <c r="Y94" s="1138"/>
      <c r="Z94" s="1138"/>
      <c r="AA94" s="1138"/>
      <c r="AB94" s="1138"/>
      <c r="AC94" s="1138"/>
      <c r="AE94" s="1195"/>
      <c r="AF94" s="1155"/>
      <c r="AG94" s="395" t="s">
        <v>739</v>
      </c>
      <c r="AH94" s="396" t="s">
        <v>738</v>
      </c>
      <c r="AI94" s="1138"/>
      <c r="AJ94" s="1138"/>
      <c r="AK94" s="1138"/>
      <c r="AL94" s="1138"/>
      <c r="AM94" s="1138"/>
      <c r="AN94" s="1138"/>
      <c r="AO94" s="1138"/>
      <c r="AP94" s="1138"/>
      <c r="AQ94" s="1138"/>
      <c r="AR94" s="1138"/>
    </row>
    <row r="95" spans="1:44" outlineLevel="1">
      <c r="B95" s="383" t="s">
        <v>11</v>
      </c>
      <c r="C95" s="397">
        <v>25</v>
      </c>
      <c r="D95" s="397">
        <v>25</v>
      </c>
      <c r="E95" s="397">
        <v>25</v>
      </c>
      <c r="F95" s="397">
        <v>25</v>
      </c>
      <c r="G95" s="399">
        <v>20</v>
      </c>
      <c r="H95" s="399">
        <v>30</v>
      </c>
      <c r="I95" s="399">
        <v>20</v>
      </c>
      <c r="J95" s="399">
        <v>30</v>
      </c>
      <c r="K95" s="372"/>
      <c r="L95" s="373" t="s">
        <v>740</v>
      </c>
      <c r="M95" s="363"/>
      <c r="N95" s="363"/>
      <c r="P95" s="1195"/>
      <c r="Q95" s="1155"/>
      <c r="R95" s="395" t="s">
        <v>741</v>
      </c>
      <c r="S95" s="396" t="s">
        <v>738</v>
      </c>
      <c r="T95" s="1138"/>
      <c r="U95" s="1138"/>
      <c r="V95" s="1138"/>
      <c r="W95" s="1138"/>
      <c r="X95" s="1138"/>
      <c r="Y95" s="1138"/>
      <c r="Z95" s="1138"/>
      <c r="AA95" s="1138"/>
      <c r="AB95" s="1138"/>
      <c r="AC95" s="1138"/>
      <c r="AE95" s="1195"/>
      <c r="AF95" s="1155"/>
      <c r="AG95" s="395" t="s">
        <v>741</v>
      </c>
      <c r="AH95" s="396" t="s">
        <v>738</v>
      </c>
      <c r="AI95" s="1138"/>
      <c r="AJ95" s="1138"/>
      <c r="AK95" s="1138"/>
      <c r="AL95" s="1138"/>
      <c r="AM95" s="1138"/>
      <c r="AN95" s="1138"/>
      <c r="AO95" s="1138"/>
      <c r="AP95" s="1138"/>
      <c r="AQ95" s="1138"/>
      <c r="AR95" s="1138"/>
    </row>
    <row r="96" spans="1:44" ht="16" outlineLevel="1" thickBot="1">
      <c r="B96" s="500" t="s">
        <v>273</v>
      </c>
      <c r="C96" s="506">
        <v>0.5</v>
      </c>
      <c r="D96" s="506">
        <v>0.5</v>
      </c>
      <c r="E96" s="506">
        <v>0.5</v>
      </c>
      <c r="F96" s="506">
        <v>0.5</v>
      </c>
      <c r="G96" s="506">
        <v>0.2</v>
      </c>
      <c r="H96" s="506">
        <v>0.7</v>
      </c>
      <c r="I96" s="506">
        <v>0.2</v>
      </c>
      <c r="J96" s="506">
        <v>0.7</v>
      </c>
      <c r="K96" s="372"/>
      <c r="L96" s="400"/>
      <c r="M96" s="363"/>
      <c r="N96" s="363"/>
      <c r="P96" s="1195"/>
      <c r="Q96" s="1155"/>
      <c r="R96" s="395" t="s">
        <v>742</v>
      </c>
      <c r="S96" s="396" t="s">
        <v>738</v>
      </c>
      <c r="T96" s="1138"/>
      <c r="U96" s="1138"/>
      <c r="V96" s="1138"/>
      <c r="W96" s="1138"/>
      <c r="X96" s="1138"/>
      <c r="Y96" s="1138"/>
      <c r="Z96" s="1138"/>
      <c r="AA96" s="1138"/>
      <c r="AB96" s="1138"/>
      <c r="AC96" s="1138"/>
      <c r="AE96" s="1195"/>
      <c r="AF96" s="1155"/>
      <c r="AG96" s="395" t="s">
        <v>742</v>
      </c>
      <c r="AH96" s="396" t="s">
        <v>738</v>
      </c>
      <c r="AI96" s="1138"/>
      <c r="AJ96" s="1138"/>
      <c r="AK96" s="1138"/>
      <c r="AL96" s="1138"/>
      <c r="AM96" s="1138"/>
      <c r="AN96" s="1138"/>
      <c r="AO96" s="1138"/>
      <c r="AP96" s="1138"/>
      <c r="AQ96" s="1138"/>
      <c r="AR96" s="1138"/>
    </row>
    <row r="97" spans="1:44" ht="16" outlineLevel="1" thickBot="1">
      <c r="B97" s="401" t="s">
        <v>743</v>
      </c>
      <c r="C97" s="402"/>
      <c r="D97" s="403"/>
      <c r="E97" s="404"/>
      <c r="F97" s="405"/>
      <c r="G97" s="406"/>
      <c r="H97" s="406"/>
      <c r="I97" s="406"/>
      <c r="J97" s="406"/>
      <c r="K97" s="407"/>
      <c r="L97" s="408"/>
      <c r="M97" s="363"/>
      <c r="N97" s="363"/>
      <c r="P97" s="1195"/>
      <c r="Q97" s="1155"/>
      <c r="R97" s="409" t="s">
        <v>744</v>
      </c>
      <c r="S97" s="410" t="s">
        <v>738</v>
      </c>
      <c r="T97" s="1139"/>
      <c r="U97" s="1139"/>
      <c r="V97" s="1139"/>
      <c r="W97" s="1139"/>
      <c r="X97" s="1139"/>
      <c r="Y97" s="1139"/>
      <c r="Z97" s="1139"/>
      <c r="AA97" s="1139"/>
      <c r="AB97" s="1139"/>
      <c r="AC97" s="1139"/>
      <c r="AE97" s="1195"/>
      <c r="AF97" s="1155"/>
      <c r="AG97" s="409" t="s">
        <v>744</v>
      </c>
      <c r="AH97" s="410" t="s">
        <v>738</v>
      </c>
      <c r="AI97" s="1139"/>
      <c r="AJ97" s="1139"/>
      <c r="AK97" s="1139"/>
      <c r="AL97" s="1139"/>
      <c r="AM97" s="1139"/>
      <c r="AN97" s="1139"/>
      <c r="AO97" s="1139"/>
      <c r="AP97" s="1139"/>
      <c r="AQ97" s="1139"/>
      <c r="AR97" s="1139"/>
    </row>
    <row r="98" spans="1:44" ht="33" outlineLevel="1" thickBot="1">
      <c r="B98" s="500" t="s">
        <v>663</v>
      </c>
      <c r="C98" s="506">
        <v>15</v>
      </c>
      <c r="D98" s="506">
        <v>15</v>
      </c>
      <c r="E98" s="506">
        <v>15</v>
      </c>
      <c r="F98" s="506">
        <v>15</v>
      </c>
      <c r="G98" s="507"/>
      <c r="H98" s="507"/>
      <c r="I98" s="507"/>
      <c r="J98" s="507"/>
      <c r="K98" s="503"/>
      <c r="L98" s="504">
        <v>3</v>
      </c>
      <c r="M98" s="363"/>
      <c r="N98" s="363"/>
      <c r="P98" s="1196"/>
      <c r="Q98" s="411" t="s">
        <v>745</v>
      </c>
      <c r="R98" s="412" t="s">
        <v>746</v>
      </c>
      <c r="S98" s="413" t="s">
        <v>738</v>
      </c>
      <c r="T98" s="414">
        <v>1</v>
      </c>
      <c r="U98" s="415">
        <v>1</v>
      </c>
      <c r="V98" s="414">
        <v>0</v>
      </c>
      <c r="W98" s="415">
        <v>0</v>
      </c>
      <c r="X98" s="414">
        <v>0</v>
      </c>
      <c r="Y98" s="415">
        <v>0</v>
      </c>
      <c r="Z98" s="414">
        <v>1</v>
      </c>
      <c r="AA98" s="415">
        <v>1</v>
      </c>
      <c r="AB98" s="414">
        <v>0</v>
      </c>
      <c r="AC98" s="417">
        <v>0</v>
      </c>
      <c r="AE98" s="1196"/>
      <c r="AF98" s="411" t="s">
        <v>745</v>
      </c>
      <c r="AG98" s="412" t="s">
        <v>746</v>
      </c>
      <c r="AH98" s="413" t="s">
        <v>738</v>
      </c>
      <c r="AI98" s="414">
        <v>1</v>
      </c>
      <c r="AJ98" s="415">
        <v>1</v>
      </c>
      <c r="AK98" s="414">
        <v>0</v>
      </c>
      <c r="AL98" s="415">
        <v>0</v>
      </c>
      <c r="AM98" s="414">
        <v>0</v>
      </c>
      <c r="AN98" s="415">
        <v>0</v>
      </c>
      <c r="AO98" s="414">
        <v>1</v>
      </c>
      <c r="AP98" s="415">
        <v>1</v>
      </c>
      <c r="AQ98" s="414">
        <v>0</v>
      </c>
      <c r="AR98" s="417">
        <v>0</v>
      </c>
    </row>
    <row r="99" spans="1:44" outlineLevel="1">
      <c r="B99" s="500" t="s">
        <v>664</v>
      </c>
      <c r="C99" s="506">
        <v>0.1</v>
      </c>
      <c r="D99" s="506">
        <v>0.1</v>
      </c>
      <c r="E99" s="506">
        <v>0.1</v>
      </c>
      <c r="F99" s="506">
        <v>0.1</v>
      </c>
      <c r="G99" s="509"/>
      <c r="H99" s="509"/>
      <c r="I99" s="509"/>
      <c r="J99" s="509"/>
      <c r="K99" s="510"/>
      <c r="L99" s="504">
        <v>3</v>
      </c>
      <c r="M99" s="363"/>
      <c r="N99" s="363"/>
    </row>
    <row r="100" spans="1:44" outlineLevel="1">
      <c r="B100" s="500" t="s">
        <v>666</v>
      </c>
      <c r="C100" s="506">
        <v>0.4</v>
      </c>
      <c r="D100" s="506">
        <v>0.4</v>
      </c>
      <c r="E100" s="506">
        <v>0.4</v>
      </c>
      <c r="F100" s="506">
        <v>0.4</v>
      </c>
      <c r="G100" s="509"/>
      <c r="H100" s="509"/>
      <c r="I100" s="509"/>
      <c r="J100" s="509"/>
      <c r="K100" s="510"/>
      <c r="L100" s="504">
        <v>3</v>
      </c>
      <c r="M100" s="420"/>
      <c r="N100" s="363"/>
    </row>
    <row r="101" spans="1:44" outlineLevel="1">
      <c r="B101" s="421" t="s">
        <v>12</v>
      </c>
      <c r="C101" s="399"/>
      <c r="D101" s="399"/>
      <c r="E101" s="399"/>
      <c r="F101" s="399"/>
      <c r="G101" s="422"/>
      <c r="H101" s="422"/>
      <c r="I101" s="422"/>
      <c r="J101" s="422"/>
      <c r="K101" s="423"/>
      <c r="L101" s="424"/>
      <c r="M101" s="420"/>
      <c r="N101" s="420"/>
    </row>
    <row r="102" spans="1:44" ht="16" outlineLevel="1">
      <c r="B102" s="383" t="s">
        <v>747</v>
      </c>
      <c r="C102" s="397">
        <v>0.3</v>
      </c>
      <c r="D102" s="397">
        <v>0.3</v>
      </c>
      <c r="E102" s="397">
        <v>0.3</v>
      </c>
      <c r="F102" s="397">
        <v>0.3</v>
      </c>
      <c r="G102" s="422"/>
      <c r="H102" s="425"/>
      <c r="I102" s="425"/>
      <c r="J102" s="425"/>
      <c r="K102" s="426" t="s">
        <v>59</v>
      </c>
      <c r="L102" s="427" t="s">
        <v>748</v>
      </c>
      <c r="M102" s="428"/>
      <c r="N102" s="428"/>
    </row>
    <row r="103" spans="1:44" outlineLevel="1">
      <c r="B103" s="383" t="s">
        <v>749</v>
      </c>
      <c r="C103" s="397">
        <v>0.1</v>
      </c>
      <c r="D103" s="397">
        <v>0.1</v>
      </c>
      <c r="E103" s="397">
        <v>0.1</v>
      </c>
      <c r="F103" s="397">
        <v>0.1</v>
      </c>
      <c r="G103" s="425"/>
      <c r="H103" s="425"/>
      <c r="I103" s="425"/>
      <c r="J103" s="425"/>
      <c r="K103" s="423"/>
      <c r="L103" s="427">
        <v>9</v>
      </c>
      <c r="M103" s="428"/>
      <c r="N103" s="428"/>
    </row>
    <row r="104" spans="1:44" ht="16" outlineLevel="1">
      <c r="B104" s="383" t="s">
        <v>750</v>
      </c>
      <c r="C104" s="397">
        <v>9</v>
      </c>
      <c r="D104" s="397">
        <v>7</v>
      </c>
      <c r="E104" s="397">
        <v>6</v>
      </c>
      <c r="F104" s="397">
        <v>6</v>
      </c>
      <c r="G104" s="425"/>
      <c r="H104" s="425"/>
      <c r="I104" s="425"/>
      <c r="J104" s="425"/>
      <c r="K104" s="423"/>
      <c r="L104" s="427" t="s">
        <v>748</v>
      </c>
      <c r="M104" s="428"/>
      <c r="N104" s="428"/>
      <c r="T104" s="224">
        <f>C$23</f>
        <v>0.3</v>
      </c>
      <c r="U104" s="224">
        <f t="shared" ref="U104:V104" si="5">D$23</f>
        <v>0.3</v>
      </c>
      <c r="V104" s="224">
        <f t="shared" si="5"/>
        <v>0.3</v>
      </c>
    </row>
    <row r="105" spans="1:44" outlineLevel="1">
      <c r="B105" s="383" t="s">
        <v>366</v>
      </c>
      <c r="C105" s="397">
        <v>3</v>
      </c>
      <c r="D105" s="397">
        <v>2</v>
      </c>
      <c r="E105" s="397">
        <v>2</v>
      </c>
      <c r="F105" s="397">
        <v>2</v>
      </c>
      <c r="G105" s="425"/>
      <c r="H105" s="425"/>
      <c r="I105" s="425"/>
      <c r="J105" s="425"/>
      <c r="K105" s="423"/>
      <c r="L105" s="427" t="s">
        <v>748</v>
      </c>
      <c r="M105" s="428"/>
      <c r="N105" s="428"/>
    </row>
    <row r="106" spans="1:44" ht="16" outlineLevel="1" thickBot="1">
      <c r="B106" s="429" t="s">
        <v>367</v>
      </c>
      <c r="C106" s="430">
        <v>1</v>
      </c>
      <c r="D106" s="430">
        <v>1</v>
      </c>
      <c r="E106" s="430">
        <v>1</v>
      </c>
      <c r="F106" s="430">
        <v>1</v>
      </c>
      <c r="G106" s="425"/>
      <c r="H106" s="425"/>
      <c r="I106" s="425"/>
      <c r="J106" s="425"/>
      <c r="K106" s="423"/>
      <c r="L106" s="427" t="s">
        <v>748</v>
      </c>
      <c r="M106" s="428"/>
      <c r="N106" s="428"/>
    </row>
    <row r="107" spans="1:44" ht="16" outlineLevel="1" thickBot="1">
      <c r="B107" s="431" t="s">
        <v>674</v>
      </c>
      <c r="C107" s="432"/>
      <c r="D107" s="403"/>
      <c r="E107" s="403"/>
      <c r="F107" s="433"/>
      <c r="G107" s="434"/>
      <c r="H107" s="406"/>
      <c r="I107" s="406"/>
      <c r="J107" s="406"/>
      <c r="K107" s="407"/>
      <c r="L107" s="408"/>
      <c r="M107" s="428"/>
      <c r="N107" s="428"/>
    </row>
    <row r="108" spans="1:44" ht="48" outlineLevel="1">
      <c r="A108" s="435" t="s">
        <v>797</v>
      </c>
      <c r="B108" s="436" t="s">
        <v>792</v>
      </c>
      <c r="C108" s="511">
        <v>0.06</v>
      </c>
      <c r="D108" s="512">
        <v>0.05</v>
      </c>
      <c r="E108" s="512">
        <v>0.05</v>
      </c>
      <c r="F108" s="513">
        <v>0.05</v>
      </c>
      <c r="G108" s="425"/>
      <c r="H108" s="425"/>
      <c r="I108" s="425"/>
      <c r="J108" s="425"/>
      <c r="K108" s="426" t="s">
        <v>16</v>
      </c>
      <c r="L108" s="440" t="s">
        <v>753</v>
      </c>
      <c r="M108" s="420"/>
      <c r="N108" s="420"/>
    </row>
    <row r="109" spans="1:44" outlineLevel="1">
      <c r="B109" s="441" t="s">
        <v>754</v>
      </c>
      <c r="C109" s="442">
        <v>65</v>
      </c>
      <c r="D109" s="442">
        <v>65</v>
      </c>
      <c r="E109" s="442">
        <v>65</v>
      </c>
      <c r="F109" s="442">
        <v>65</v>
      </c>
      <c r="G109" s="425"/>
      <c r="H109" s="425"/>
      <c r="I109" s="425"/>
      <c r="J109" s="425"/>
      <c r="K109" s="444"/>
      <c r="L109" s="373">
        <v>3</v>
      </c>
      <c r="M109" s="71"/>
      <c r="N109" s="420"/>
    </row>
    <row r="110" spans="1:44" outlineLevel="1">
      <c r="B110" s="441" t="s">
        <v>755</v>
      </c>
      <c r="C110" s="442">
        <f>100-C109</f>
        <v>35</v>
      </c>
      <c r="D110" s="442">
        <f t="shared" ref="D110:F110" si="6">100-D109</f>
        <v>35</v>
      </c>
      <c r="E110" s="442">
        <f t="shared" si="6"/>
        <v>35</v>
      </c>
      <c r="F110" s="442">
        <f t="shared" si="6"/>
        <v>35</v>
      </c>
      <c r="G110" s="425"/>
      <c r="H110" s="425"/>
      <c r="I110" s="425"/>
      <c r="J110" s="425"/>
      <c r="K110" s="444"/>
      <c r="L110" s="373">
        <v>3</v>
      </c>
      <c r="M110" s="420"/>
      <c r="N110" s="420"/>
    </row>
    <row r="111" spans="1:44" outlineLevel="1">
      <c r="B111" s="383" t="s">
        <v>793</v>
      </c>
      <c r="C111" s="445">
        <f>2000/1000</f>
        <v>2</v>
      </c>
      <c r="D111" s="446">
        <f>1900/1000</f>
        <v>1.9</v>
      </c>
      <c r="E111" s="446">
        <f>1800/1000</f>
        <v>1.8</v>
      </c>
      <c r="F111" s="447">
        <f>1700/1000</f>
        <v>1.7</v>
      </c>
      <c r="G111" s="425"/>
      <c r="H111" s="425"/>
      <c r="I111" s="425"/>
      <c r="J111" s="425"/>
      <c r="K111" s="448"/>
      <c r="L111" s="373">
        <v>3</v>
      </c>
      <c r="M111" s="420"/>
      <c r="N111" s="420"/>
    </row>
    <row r="112" spans="1:44" outlineLevel="1">
      <c r="B112" s="383" t="s">
        <v>794</v>
      </c>
      <c r="C112" s="449">
        <f>1.1/3.6</f>
        <v>0.30555555555555558</v>
      </c>
      <c r="D112" s="449">
        <f>1/3.6</f>
        <v>0.27777777777777779</v>
      </c>
      <c r="E112" s="449">
        <f>1/3.6</f>
        <v>0.27777777777777779</v>
      </c>
      <c r="F112" s="449">
        <f>1/3.6</f>
        <v>0.27777777777777779</v>
      </c>
      <c r="G112" s="425"/>
      <c r="H112" s="425"/>
      <c r="I112" s="425"/>
      <c r="J112" s="425"/>
      <c r="K112" s="448"/>
      <c r="L112" s="373">
        <v>3</v>
      </c>
      <c r="M112" s="450"/>
      <c r="N112" s="361"/>
      <c r="P112" s="1142">
        <f>C112</f>
        <v>0.30555555555555558</v>
      </c>
      <c r="Q112" s="1143"/>
      <c r="R112" s="1143"/>
      <c r="S112" s="1143"/>
      <c r="T112" s="1143"/>
      <c r="U112" s="1144"/>
    </row>
    <row r="113" spans="2:30" ht="16" outlineLevel="1" thickBot="1">
      <c r="B113" s="500" t="s">
        <v>758</v>
      </c>
      <c r="C113" s="514">
        <f>C92/100*73</f>
        <v>0.10220000000000001</v>
      </c>
      <c r="D113" s="514">
        <f>D92/100*75</f>
        <v>0.09</v>
      </c>
      <c r="E113" s="514">
        <f>E92/100*76</f>
        <v>8.3600000000000008E-2</v>
      </c>
      <c r="F113" s="514">
        <f>F92/100*76</f>
        <v>7.5999999999999998E-2</v>
      </c>
      <c r="G113" s="515"/>
      <c r="H113" s="515"/>
      <c r="I113" s="515"/>
      <c r="J113" s="515"/>
      <c r="K113" s="503" t="s">
        <v>20</v>
      </c>
      <c r="L113" s="504">
        <v>3</v>
      </c>
      <c r="M113" s="450"/>
      <c r="N113" s="361"/>
      <c r="P113" s="1134">
        <f>C113</f>
        <v>0.10220000000000001</v>
      </c>
      <c r="Q113" s="1135"/>
      <c r="R113" s="1135"/>
      <c r="S113" s="1135"/>
      <c r="T113" s="1135"/>
      <c r="U113" s="1136"/>
    </row>
    <row r="114" spans="2:30" outlineLevel="1">
      <c r="B114" s="500" t="s">
        <v>759</v>
      </c>
      <c r="C114" s="516">
        <f>C112-C113</f>
        <v>0.20335555555555557</v>
      </c>
      <c r="D114" s="516">
        <f>D112-D113</f>
        <v>0.18777777777777779</v>
      </c>
      <c r="E114" s="516">
        <f>E112-E113</f>
        <v>0.19417777777777778</v>
      </c>
      <c r="F114" s="516">
        <f>F112-F113</f>
        <v>0.20177777777777778</v>
      </c>
      <c r="G114" s="515"/>
      <c r="H114" s="515"/>
      <c r="I114" s="515"/>
      <c r="J114" s="515"/>
      <c r="K114" s="517"/>
      <c r="L114" s="504">
        <v>3</v>
      </c>
      <c r="M114" s="363"/>
      <c r="N114" s="363"/>
      <c r="P114" s="53" t="s">
        <v>357</v>
      </c>
    </row>
    <row r="115" spans="2:30" ht="30" outlineLevel="1">
      <c r="B115" s="441"/>
      <c r="C115" s="518"/>
      <c r="D115" s="518"/>
      <c r="E115" s="518"/>
      <c r="F115" s="518"/>
      <c r="G115" s="425"/>
      <c r="H115" s="425"/>
      <c r="I115" s="425"/>
      <c r="J115" s="425"/>
      <c r="K115" s="444"/>
      <c r="L115" s="424"/>
      <c r="M115" s="367"/>
      <c r="N115" s="367"/>
      <c r="P115" s="46" t="s">
        <v>335</v>
      </c>
      <c r="Q115" s="46" t="s">
        <v>336</v>
      </c>
      <c r="R115" s="47" t="s">
        <v>337</v>
      </c>
      <c r="S115" s="47" t="s">
        <v>338</v>
      </c>
      <c r="T115" s="47" t="s">
        <v>339</v>
      </c>
      <c r="U115" s="48" t="s">
        <v>340</v>
      </c>
      <c r="V115" s="49" t="s">
        <v>341</v>
      </c>
      <c r="W115" s="49" t="s">
        <v>342</v>
      </c>
      <c r="X115" s="49" t="s">
        <v>343</v>
      </c>
      <c r="Y115" s="49" t="s">
        <v>344</v>
      </c>
      <c r="Z115" s="49" t="s">
        <v>345</v>
      </c>
      <c r="AA115" s="49" t="s">
        <v>346</v>
      </c>
      <c r="AB115" s="49" t="s">
        <v>347</v>
      </c>
      <c r="AC115" s="49" t="s">
        <v>348</v>
      </c>
      <c r="AD115" s="49" t="s">
        <v>349</v>
      </c>
    </row>
    <row r="116" spans="2:30" ht="27" outlineLevel="1" thickBot="1">
      <c r="B116" s="519"/>
      <c r="C116" s="442"/>
      <c r="D116" s="520"/>
      <c r="E116" s="520"/>
      <c r="F116" s="521"/>
      <c r="G116" s="425"/>
      <c r="H116" s="425"/>
      <c r="I116" s="425"/>
      <c r="J116" s="425"/>
      <c r="K116" s="448"/>
      <c r="L116" s="424"/>
      <c r="M116" s="363"/>
      <c r="N116" s="363"/>
      <c r="P116" s="50"/>
      <c r="Q116" s="50"/>
      <c r="R116" s="51"/>
      <c r="S116" s="51"/>
      <c r="T116" s="51"/>
      <c r="U116" s="51" t="s">
        <v>760</v>
      </c>
      <c r="V116" s="50" t="s">
        <v>761</v>
      </c>
      <c r="W116" s="50"/>
      <c r="X116" s="50"/>
      <c r="Y116" s="50"/>
      <c r="Z116" s="50"/>
      <c r="AA116" s="50"/>
      <c r="AB116" s="50"/>
      <c r="AC116" s="50"/>
      <c r="AD116" s="50"/>
    </row>
    <row r="117" spans="2:30" ht="33" outlineLevel="1" thickBot="1">
      <c r="B117" s="401" t="s">
        <v>682</v>
      </c>
      <c r="C117" s="402"/>
      <c r="D117" s="403"/>
      <c r="E117" s="404"/>
      <c r="F117" s="405"/>
      <c r="G117" s="406"/>
      <c r="H117" s="406"/>
      <c r="I117" s="406"/>
      <c r="J117" s="406"/>
      <c r="K117" s="459"/>
      <c r="L117" s="460"/>
      <c r="M117" s="363"/>
      <c r="N117" s="363"/>
      <c r="O117" s="461" t="s">
        <v>732</v>
      </c>
      <c r="P117" s="56"/>
      <c r="Q117" s="56"/>
      <c r="R117" s="57"/>
      <c r="S117" s="57"/>
      <c r="T117" s="57"/>
      <c r="U117" s="56" t="s">
        <v>350</v>
      </c>
      <c r="V117" s="56" t="s">
        <v>326</v>
      </c>
      <c r="W117" s="56" t="s">
        <v>327</v>
      </c>
      <c r="X117" s="56" t="s">
        <v>351</v>
      </c>
      <c r="Y117" s="56" t="s">
        <v>351</v>
      </c>
      <c r="Z117" s="56" t="s">
        <v>352</v>
      </c>
      <c r="AA117" s="56" t="s">
        <v>352</v>
      </c>
      <c r="AB117" s="56" t="s">
        <v>352</v>
      </c>
      <c r="AC117" s="56" t="s">
        <v>352</v>
      </c>
      <c r="AD117" s="56" t="s">
        <v>352</v>
      </c>
    </row>
    <row r="118" spans="2:30" outlineLevel="1">
      <c r="B118" s="522" t="s">
        <v>762</v>
      </c>
      <c r="C118" s="523" t="s">
        <v>36</v>
      </c>
      <c r="D118" s="523" t="s">
        <v>36</v>
      </c>
      <c r="E118" s="523" t="s">
        <v>36</v>
      </c>
      <c r="F118" s="523" t="s">
        <v>36</v>
      </c>
      <c r="G118" s="524"/>
      <c r="H118" s="524"/>
      <c r="I118" s="524"/>
      <c r="J118" s="524"/>
      <c r="K118" s="524" t="s">
        <v>76</v>
      </c>
      <c r="L118" s="525"/>
      <c r="M118" s="363"/>
      <c r="N118" s="363"/>
      <c r="O118" s="465">
        <f>C91</f>
        <v>101</v>
      </c>
      <c r="P118" s="466">
        <f>C87</f>
        <v>2020</v>
      </c>
      <c r="Q118" s="58">
        <f>P118</f>
        <v>2020</v>
      </c>
      <c r="R118" s="466">
        <f>O118/100</f>
        <v>1.01</v>
      </c>
      <c r="S118" s="58"/>
      <c r="T118" s="466">
        <f>C95</f>
        <v>25</v>
      </c>
      <c r="U118" s="467">
        <f>C125</f>
        <v>447</v>
      </c>
      <c r="V118" s="467">
        <f>C127</f>
        <v>14.9</v>
      </c>
      <c r="W118" s="467">
        <f>C128</f>
        <v>2.276388888888889</v>
      </c>
      <c r="X118" s="58"/>
      <c r="Y118" s="58"/>
      <c r="Z118" s="466">
        <f>C102</f>
        <v>0.3</v>
      </c>
      <c r="AA118" s="468">
        <f>C104</f>
        <v>9</v>
      </c>
      <c r="AB118" s="468">
        <f>C105</f>
        <v>3</v>
      </c>
      <c r="AC118" s="468">
        <f>C106</f>
        <v>1</v>
      </c>
      <c r="AD118" s="468">
        <f>C103</f>
        <v>0.1</v>
      </c>
    </row>
    <row r="119" spans="2:30" outlineLevel="1">
      <c r="B119" s="500" t="s">
        <v>763</v>
      </c>
      <c r="C119" s="526" t="s">
        <v>36</v>
      </c>
      <c r="D119" s="527" t="s">
        <v>36</v>
      </c>
      <c r="E119" s="527" t="s">
        <v>36</v>
      </c>
      <c r="F119" s="528" t="s">
        <v>36</v>
      </c>
      <c r="G119" s="528"/>
      <c r="H119" s="528"/>
      <c r="I119" s="528"/>
      <c r="J119" s="528"/>
      <c r="K119" s="529" t="s">
        <v>76</v>
      </c>
      <c r="L119" s="525"/>
      <c r="M119" s="363"/>
      <c r="N119" s="363"/>
      <c r="O119" s="465">
        <f>D91</f>
        <v>103</v>
      </c>
      <c r="P119" s="466">
        <f>D87</f>
        <v>2030</v>
      </c>
      <c r="Q119" s="58"/>
      <c r="R119" s="466">
        <f>O119/100</f>
        <v>1.03</v>
      </c>
      <c r="S119" s="58"/>
      <c r="T119" s="466">
        <f>D95</f>
        <v>25</v>
      </c>
      <c r="U119" s="467">
        <f>D125</f>
        <v>372.50000000000006</v>
      </c>
      <c r="V119" s="467">
        <f>D127</f>
        <v>14.154999999999999</v>
      </c>
      <c r="W119" s="467">
        <f>D128</f>
        <v>2.0694444444444446</v>
      </c>
      <c r="X119" s="58"/>
      <c r="Y119" s="58"/>
      <c r="Z119" s="466">
        <f>D102</f>
        <v>0.3</v>
      </c>
      <c r="AA119" s="468">
        <f>D104</f>
        <v>7</v>
      </c>
      <c r="AB119" s="468">
        <f>D105</f>
        <v>2</v>
      </c>
      <c r="AC119" s="468">
        <f>D106</f>
        <v>1</v>
      </c>
      <c r="AD119" s="468">
        <f>D103</f>
        <v>0.1</v>
      </c>
    </row>
    <row r="120" spans="2:30" outlineLevel="1">
      <c r="B120" s="500" t="s">
        <v>764</v>
      </c>
      <c r="C120" s="526" t="s">
        <v>36</v>
      </c>
      <c r="D120" s="527" t="s">
        <v>36</v>
      </c>
      <c r="E120" s="527" t="s">
        <v>36</v>
      </c>
      <c r="F120" s="528" t="s">
        <v>36</v>
      </c>
      <c r="G120" s="515"/>
      <c r="H120" s="515"/>
      <c r="I120" s="515"/>
      <c r="J120" s="515"/>
      <c r="K120" s="515"/>
      <c r="L120" s="504"/>
      <c r="M120" s="363"/>
      <c r="N120" s="363"/>
      <c r="O120" s="465">
        <f>E91</f>
        <v>103</v>
      </c>
      <c r="P120" s="466">
        <f>E87</f>
        <v>2040</v>
      </c>
      <c r="Q120" s="58"/>
      <c r="R120" s="466">
        <f>O120/100</f>
        <v>1.03</v>
      </c>
      <c r="S120" s="58"/>
      <c r="T120" s="466">
        <f>E95</f>
        <v>25</v>
      </c>
      <c r="U120" s="467">
        <f>E125</f>
        <v>372.50000000000006</v>
      </c>
      <c r="V120" s="467">
        <f>E127</f>
        <v>13.41</v>
      </c>
      <c r="W120" s="467">
        <f>E128</f>
        <v>2.0694444444444446</v>
      </c>
      <c r="X120" s="58"/>
      <c r="Y120" s="58"/>
      <c r="Z120" s="466">
        <f>E102</f>
        <v>0.3</v>
      </c>
      <c r="AA120" s="468">
        <f>E104</f>
        <v>6</v>
      </c>
      <c r="AB120" s="468">
        <f>E105</f>
        <v>2</v>
      </c>
      <c r="AC120" s="468">
        <f>E106</f>
        <v>1</v>
      </c>
      <c r="AD120" s="468">
        <f>E103</f>
        <v>0.1</v>
      </c>
    </row>
    <row r="121" spans="2:30" outlineLevel="1">
      <c r="B121" s="500" t="s">
        <v>765</v>
      </c>
      <c r="C121" s="530">
        <v>90</v>
      </c>
      <c r="D121" s="530">
        <v>90</v>
      </c>
      <c r="E121" s="530">
        <v>90</v>
      </c>
      <c r="F121" s="530">
        <v>90</v>
      </c>
      <c r="G121" s="531"/>
      <c r="H121" s="531"/>
      <c r="I121" s="531"/>
      <c r="J121" s="531"/>
      <c r="K121" s="531"/>
      <c r="L121" s="504">
        <v>3</v>
      </c>
      <c r="M121" s="363"/>
      <c r="N121" s="363"/>
      <c r="O121" s="465">
        <f>F91</f>
        <v>103</v>
      </c>
      <c r="P121" s="466">
        <f>F87</f>
        <v>2050</v>
      </c>
      <c r="Q121" s="58"/>
      <c r="R121" s="466">
        <f>O121/100</f>
        <v>1.03</v>
      </c>
      <c r="S121" s="58"/>
      <c r="T121" s="466">
        <f>F95</f>
        <v>25</v>
      </c>
      <c r="U121" s="467">
        <f>F125</f>
        <v>372.50000000000006</v>
      </c>
      <c r="V121" s="467">
        <f>F127</f>
        <v>12.664999999999999</v>
      </c>
      <c r="W121" s="467">
        <f>F128</f>
        <v>2.0694444444444446</v>
      </c>
      <c r="X121" s="58"/>
      <c r="Y121" s="58"/>
      <c r="Z121" s="466">
        <f>F102</f>
        <v>0.3</v>
      </c>
      <c r="AA121" s="468">
        <f>F104</f>
        <v>6</v>
      </c>
      <c r="AB121" s="468">
        <f>F105</f>
        <v>2</v>
      </c>
      <c r="AC121" s="468">
        <f>F106</f>
        <v>1</v>
      </c>
      <c r="AD121" s="468">
        <f>F103</f>
        <v>0.1</v>
      </c>
    </row>
    <row r="122" spans="2:30" outlineLevel="1">
      <c r="B122" s="532" t="s">
        <v>766</v>
      </c>
      <c r="C122" s="526" t="s">
        <v>36</v>
      </c>
      <c r="D122" s="527" t="s">
        <v>36</v>
      </c>
      <c r="E122" s="527" t="s">
        <v>36</v>
      </c>
      <c r="F122" s="528" t="s">
        <v>36</v>
      </c>
      <c r="G122" s="531"/>
      <c r="H122" s="531"/>
      <c r="I122" s="531"/>
      <c r="J122" s="531"/>
      <c r="K122" s="531"/>
      <c r="L122" s="533"/>
      <c r="M122" s="367"/>
      <c r="N122" s="367"/>
    </row>
    <row r="123" spans="2:30" outlineLevel="1">
      <c r="B123" s="532" t="s">
        <v>767</v>
      </c>
      <c r="C123" s="526" t="s">
        <v>36</v>
      </c>
      <c r="D123" s="527" t="s">
        <v>36</v>
      </c>
      <c r="E123" s="527" t="s">
        <v>36</v>
      </c>
      <c r="F123" s="528" t="s">
        <v>36</v>
      </c>
      <c r="G123" s="531"/>
      <c r="H123" s="531"/>
      <c r="I123" s="531"/>
      <c r="J123" s="531"/>
      <c r="K123" s="531"/>
      <c r="L123" s="533"/>
      <c r="M123" s="363"/>
      <c r="N123" s="363"/>
    </row>
    <row r="124" spans="2:30" ht="16" outlineLevel="1" thickBot="1">
      <c r="B124" s="534" t="s">
        <v>768</v>
      </c>
      <c r="C124" s="535" t="s">
        <v>36</v>
      </c>
      <c r="D124" s="536" t="s">
        <v>36</v>
      </c>
      <c r="E124" s="536" t="s">
        <v>36</v>
      </c>
      <c r="F124" s="537" t="s">
        <v>36</v>
      </c>
      <c r="G124" s="538"/>
      <c r="H124" s="538"/>
      <c r="I124" s="538"/>
      <c r="J124" s="538"/>
      <c r="K124" s="538"/>
      <c r="L124" s="539"/>
      <c r="M124" s="363"/>
      <c r="N124" s="363"/>
    </row>
    <row r="125" spans="2:30" ht="64" outlineLevel="1">
      <c r="B125" s="461" t="s">
        <v>769</v>
      </c>
      <c r="C125" s="483">
        <f>C108*$F$4*1000</f>
        <v>447</v>
      </c>
      <c r="D125" s="483">
        <f t="shared" ref="D125:F125" si="7">D108*$F$4*1000</f>
        <v>372.50000000000006</v>
      </c>
      <c r="E125" s="483">
        <f t="shared" si="7"/>
        <v>372.50000000000006</v>
      </c>
      <c r="F125" s="483">
        <f t="shared" si="7"/>
        <v>372.50000000000006</v>
      </c>
      <c r="G125" s="483"/>
      <c r="H125" s="484"/>
      <c r="I125" s="420" t="s">
        <v>332</v>
      </c>
      <c r="J125" s="420"/>
      <c r="K125" s="484"/>
      <c r="L125" s="484"/>
      <c r="N125" s="420"/>
    </row>
    <row r="126" spans="2:30" outlineLevel="1">
      <c r="B126" s="485" t="s">
        <v>770</v>
      </c>
      <c r="C126" s="486">
        <f>C125*$I126</f>
        <v>223500</v>
      </c>
      <c r="D126" s="486">
        <f>D125*$I126</f>
        <v>186250.00000000003</v>
      </c>
      <c r="E126" s="486">
        <f>E125*$I126</f>
        <v>186250.00000000003</v>
      </c>
      <c r="F126" s="486">
        <f>F125*$I126</f>
        <v>186250.00000000003</v>
      </c>
      <c r="G126" s="486"/>
      <c r="H126" s="484"/>
      <c r="I126" s="71">
        <v>500</v>
      </c>
      <c r="J126" s="420" t="s">
        <v>330</v>
      </c>
      <c r="K126" s="484"/>
      <c r="L126" s="484"/>
      <c r="N126" s="420"/>
    </row>
    <row r="127" spans="2:30" ht="48" outlineLevel="1">
      <c r="B127" s="461" t="s">
        <v>771</v>
      </c>
      <c r="C127" s="359">
        <f>C111*$F$4</f>
        <v>14.9</v>
      </c>
      <c r="D127" s="359">
        <f t="shared" ref="D127:F128" si="8">D111*$F$4</f>
        <v>14.154999999999999</v>
      </c>
      <c r="E127" s="359">
        <f t="shared" si="8"/>
        <v>13.41</v>
      </c>
      <c r="F127" s="359">
        <f t="shared" si="8"/>
        <v>12.664999999999999</v>
      </c>
      <c r="G127" s="359"/>
      <c r="I127" s="420" t="s">
        <v>333</v>
      </c>
      <c r="J127" s="420"/>
      <c r="N127" s="420"/>
    </row>
    <row r="128" spans="2:30" ht="48" outlineLevel="1">
      <c r="B128" s="461" t="s">
        <v>772</v>
      </c>
      <c r="C128" s="487">
        <f>C112*$F$4</f>
        <v>2.276388888888889</v>
      </c>
      <c r="D128" s="487">
        <f t="shared" si="8"/>
        <v>2.0694444444444446</v>
      </c>
      <c r="E128" s="487">
        <f t="shared" si="8"/>
        <v>2.0694444444444446</v>
      </c>
      <c r="F128" s="487">
        <f t="shared" si="8"/>
        <v>2.0694444444444446</v>
      </c>
      <c r="G128" s="359"/>
      <c r="M128" s="420"/>
      <c r="N128" s="420"/>
    </row>
    <row r="129" spans="2:6" outlineLevel="1"/>
    <row r="130" spans="2:6" outlineLevel="1"/>
    <row r="131" spans="2:6" outlineLevel="1"/>
    <row r="132" spans="2:6" outlineLevel="1"/>
    <row r="133" spans="2:6" outlineLevel="1">
      <c r="B133" s="488" t="s">
        <v>773</v>
      </c>
      <c r="C133" s="489"/>
      <c r="D133" s="490"/>
      <c r="E133" s="490"/>
      <c r="F133" s="490"/>
    </row>
    <row r="134" spans="2:6" outlineLevel="1">
      <c r="B134" s="491">
        <v>1</v>
      </c>
      <c r="C134" s="492" t="s">
        <v>774</v>
      </c>
      <c r="E134" s="490"/>
      <c r="F134" s="490"/>
    </row>
    <row r="135" spans="2:6" outlineLevel="1">
      <c r="B135" s="491">
        <v>2</v>
      </c>
      <c r="C135" s="493" t="s">
        <v>775</v>
      </c>
      <c r="E135" s="490"/>
      <c r="F135" s="490"/>
    </row>
    <row r="136" spans="2:6" outlineLevel="1">
      <c r="B136" s="491">
        <v>3</v>
      </c>
      <c r="C136" s="493" t="s">
        <v>776</v>
      </c>
      <c r="E136" s="490"/>
      <c r="F136" s="490"/>
    </row>
    <row r="137" spans="2:6" outlineLevel="1">
      <c r="B137" s="491">
        <v>4</v>
      </c>
      <c r="C137" s="493" t="s">
        <v>777</v>
      </c>
      <c r="E137" s="490"/>
      <c r="F137" s="490"/>
    </row>
    <row r="138" spans="2:6" outlineLevel="1">
      <c r="B138" s="358">
        <v>5</v>
      </c>
      <c r="C138" s="494" t="s">
        <v>778</v>
      </c>
      <c r="D138" s="490"/>
      <c r="E138" s="490"/>
      <c r="F138" s="490"/>
    </row>
    <row r="139" spans="2:6" outlineLevel="1">
      <c r="B139" s="358">
        <v>6</v>
      </c>
      <c r="C139" s="492" t="s">
        <v>779</v>
      </c>
      <c r="D139" s="490"/>
      <c r="E139" s="490"/>
      <c r="F139" s="490"/>
    </row>
    <row r="140" spans="2:6" outlineLevel="1">
      <c r="B140" s="358">
        <v>7</v>
      </c>
      <c r="C140" s="495" t="s">
        <v>774</v>
      </c>
      <c r="D140" s="490"/>
      <c r="E140" s="490"/>
      <c r="F140" s="490"/>
    </row>
    <row r="141" spans="2:6" outlineLevel="1">
      <c r="B141" s="358">
        <v>8</v>
      </c>
      <c r="C141" s="495" t="s">
        <v>780</v>
      </c>
      <c r="D141" s="490"/>
      <c r="E141" s="490"/>
      <c r="F141" s="490"/>
    </row>
    <row r="142" spans="2:6" outlineLevel="1">
      <c r="B142" s="358">
        <v>9</v>
      </c>
      <c r="C142" s="489" t="s">
        <v>781</v>
      </c>
      <c r="D142" s="490"/>
      <c r="E142" s="490"/>
      <c r="F142" s="490"/>
    </row>
    <row r="143" spans="2:6" outlineLevel="1">
      <c r="B143" s="358">
        <v>10</v>
      </c>
      <c r="C143" s="490" t="s">
        <v>782</v>
      </c>
      <c r="D143" s="490"/>
      <c r="E143" s="490"/>
      <c r="F143" s="490"/>
    </row>
    <row r="144" spans="2:6" outlineLevel="1">
      <c r="B144" s="488" t="s">
        <v>783</v>
      </c>
      <c r="C144" s="489"/>
      <c r="D144" s="490"/>
      <c r="E144" s="490"/>
      <c r="F144" s="490"/>
    </row>
    <row r="145" spans="2:13" outlineLevel="1">
      <c r="B145" s="496" t="s">
        <v>6</v>
      </c>
      <c r="C145" s="497" t="s">
        <v>784</v>
      </c>
      <c r="E145" s="490"/>
      <c r="F145" s="490"/>
    </row>
    <row r="146" spans="2:13" outlineLevel="1">
      <c r="B146" s="496" t="s">
        <v>59</v>
      </c>
      <c r="C146" s="489" t="s">
        <v>785</v>
      </c>
      <c r="E146" s="490"/>
      <c r="F146" s="490"/>
    </row>
    <row r="147" spans="2:13" outlineLevel="1">
      <c r="B147" s="496" t="s">
        <v>16</v>
      </c>
      <c r="C147" s="489" t="s">
        <v>786</v>
      </c>
      <c r="E147" s="490"/>
      <c r="F147" s="490"/>
    </row>
    <row r="148" spans="2:13" outlineLevel="1">
      <c r="B148" s="496" t="s">
        <v>20</v>
      </c>
      <c r="C148" s="489" t="s">
        <v>787</v>
      </c>
      <c r="E148" s="490"/>
      <c r="F148" s="490"/>
    </row>
    <row r="149" spans="2:13" outlineLevel="1">
      <c r="B149" s="496" t="s">
        <v>76</v>
      </c>
      <c r="C149" s="498" t="s">
        <v>788</v>
      </c>
      <c r="E149" s="490"/>
      <c r="F149" s="490"/>
    </row>
    <row r="150" spans="2:13" outlineLevel="1">
      <c r="B150" s="496" t="s">
        <v>25</v>
      </c>
      <c r="C150" s="489" t="s">
        <v>789</v>
      </c>
      <c r="E150" s="490"/>
      <c r="F150" s="490"/>
    </row>
    <row r="151" spans="2:13" outlineLevel="1"/>
    <row r="152" spans="2:13" outlineLevel="1">
      <c r="M152" s="214"/>
    </row>
    <row r="153" spans="2:13" outlineLevel="1"/>
    <row r="154" spans="2:13" outlineLevel="1"/>
    <row r="155" spans="2:13" outlineLevel="1"/>
    <row r="156" spans="2:13" outlineLevel="1"/>
    <row r="157" spans="2:13" outlineLevel="1"/>
    <row r="158" spans="2:13" outlineLevel="1"/>
    <row r="159" spans="2:13" outlineLevel="1"/>
    <row r="160" spans="2:13" outlineLevel="1"/>
    <row r="161" spans="1:44" outlineLevel="1"/>
    <row r="162" spans="1:44" outlineLevel="1"/>
    <row r="163" spans="1:44" outlineLevel="1"/>
    <row r="166" spans="1:44">
      <c r="A166" s="360" t="s">
        <v>802</v>
      </c>
      <c r="B166" s="1207"/>
      <c r="C166" s="1143"/>
      <c r="D166" s="1143"/>
      <c r="E166" s="1143"/>
      <c r="F166" s="1143"/>
      <c r="G166" s="1143"/>
      <c r="H166" s="1143"/>
      <c r="I166" s="1143"/>
      <c r="J166" s="1143"/>
      <c r="K166" s="1143"/>
      <c r="L166" s="1143"/>
      <c r="M166" s="1143"/>
      <c r="N166" s="361"/>
      <c r="P166" s="1143"/>
      <c r="Q166" s="1143"/>
      <c r="R166" s="1143"/>
      <c r="S166" s="1143"/>
      <c r="T166" s="1143"/>
      <c r="U166" s="1143"/>
    </row>
    <row r="167" spans="1:44" ht="16" outlineLevel="1" thickBot="1">
      <c r="B167" s="1207"/>
      <c r="C167" s="1143"/>
      <c r="D167" s="1143"/>
      <c r="E167" s="1143"/>
      <c r="F167" s="1143"/>
      <c r="G167" s="1143"/>
      <c r="H167" s="1143"/>
      <c r="I167" s="1143"/>
      <c r="J167" s="1143"/>
      <c r="K167" s="1143"/>
      <c r="L167" s="1143"/>
      <c r="M167" s="1143"/>
      <c r="N167" s="361"/>
      <c r="P167" s="692">
        <v>1</v>
      </c>
      <c r="Q167" s="692">
        <v>2</v>
      </c>
      <c r="R167" s="692">
        <v>3</v>
      </c>
      <c r="S167" s="692">
        <v>4</v>
      </c>
      <c r="T167" s="692">
        <v>5</v>
      </c>
      <c r="U167" s="692">
        <v>6</v>
      </c>
      <c r="V167" s="692">
        <v>7</v>
      </c>
      <c r="W167" s="692">
        <v>8</v>
      </c>
      <c r="X167" s="692">
        <v>9</v>
      </c>
      <c r="Y167" s="692">
        <v>10</v>
      </c>
      <c r="Z167" s="692">
        <v>11</v>
      </c>
      <c r="AA167" s="692">
        <v>12</v>
      </c>
      <c r="AB167" s="692">
        <v>13</v>
      </c>
      <c r="AC167" s="692">
        <v>14</v>
      </c>
    </row>
    <row r="168" spans="1:44" ht="20.5" customHeight="1" outlineLevel="1" thickBot="1">
      <c r="B168" s="362" t="s">
        <v>0</v>
      </c>
      <c r="C168" s="1186" t="s">
        <v>803</v>
      </c>
      <c r="D168" s="1205"/>
      <c r="E168" s="1205"/>
      <c r="F168" s="1205"/>
      <c r="G168" s="1205"/>
      <c r="H168" s="1205"/>
      <c r="I168" s="1205"/>
      <c r="J168" s="1205"/>
      <c r="K168" s="1205"/>
      <c r="L168" s="1206"/>
      <c r="M168" s="363"/>
      <c r="N168" s="363"/>
      <c r="P168" s="364" t="s">
        <v>713</v>
      </c>
      <c r="Q168" s="365"/>
      <c r="R168" s="366"/>
      <c r="S168" s="1176" t="s">
        <v>714</v>
      </c>
      <c r="T168" s="1160" t="s">
        <v>715</v>
      </c>
      <c r="U168" s="1161"/>
      <c r="V168" s="1160" t="s">
        <v>716</v>
      </c>
      <c r="W168" s="1161"/>
      <c r="X168" s="1160" t="s">
        <v>717</v>
      </c>
      <c r="Y168" s="1161"/>
      <c r="Z168" s="1160" t="s">
        <v>718</v>
      </c>
      <c r="AA168" s="1161"/>
      <c r="AB168" s="1160" t="s">
        <v>719</v>
      </c>
      <c r="AC168" s="1161"/>
      <c r="AE168" s="364" t="s">
        <v>720</v>
      </c>
      <c r="AF168" s="365"/>
      <c r="AG168" s="366"/>
      <c r="AH168" s="1176" t="s">
        <v>714</v>
      </c>
      <c r="AI168" s="1160" t="s">
        <v>715</v>
      </c>
      <c r="AJ168" s="1161"/>
      <c r="AK168" s="1160" t="s">
        <v>716</v>
      </c>
      <c r="AL168" s="1161"/>
      <c r="AM168" s="1160" t="s">
        <v>717</v>
      </c>
      <c r="AN168" s="1161"/>
      <c r="AO168" s="1160" t="s">
        <v>718</v>
      </c>
      <c r="AP168" s="1161"/>
      <c r="AQ168" s="1160" t="s">
        <v>719</v>
      </c>
      <c r="AR168" s="1161"/>
    </row>
    <row r="169" spans="1:44" ht="15" customHeight="1" outlineLevel="1" thickBot="1">
      <c r="B169" s="1164" t="s">
        <v>4</v>
      </c>
      <c r="C169" s="1166">
        <v>2020</v>
      </c>
      <c r="D169" s="1166">
        <v>2030</v>
      </c>
      <c r="E169" s="1166">
        <v>2040</v>
      </c>
      <c r="F169" s="1166">
        <v>2050</v>
      </c>
      <c r="G169" s="1221" t="s">
        <v>721</v>
      </c>
      <c r="H169" s="1222"/>
      <c r="I169" s="1221" t="s">
        <v>648</v>
      </c>
      <c r="J169" s="1222"/>
      <c r="K169" s="1189" t="s">
        <v>2</v>
      </c>
      <c r="L169" s="1189" t="s">
        <v>3</v>
      </c>
      <c r="M169" s="367"/>
      <c r="N169" s="367"/>
      <c r="P169" s="1180" t="s">
        <v>0</v>
      </c>
      <c r="Q169" s="368"/>
      <c r="R169" s="368"/>
      <c r="S169" s="1177"/>
      <c r="T169" s="1162"/>
      <c r="U169" s="1163"/>
      <c r="V169" s="1162"/>
      <c r="W169" s="1163"/>
      <c r="X169" s="1162"/>
      <c r="Y169" s="1163"/>
      <c r="Z169" s="1162"/>
      <c r="AA169" s="1163"/>
      <c r="AB169" s="1162"/>
      <c r="AC169" s="1163"/>
      <c r="AE169" s="1180" t="s">
        <v>0</v>
      </c>
      <c r="AF169" s="368"/>
      <c r="AG169" s="368"/>
      <c r="AH169" s="1177"/>
      <c r="AI169" s="1162"/>
      <c r="AJ169" s="1163"/>
      <c r="AK169" s="1162"/>
      <c r="AL169" s="1163"/>
      <c r="AM169" s="1162"/>
      <c r="AN169" s="1163"/>
      <c r="AO169" s="1162"/>
      <c r="AP169" s="1163"/>
      <c r="AQ169" s="1162"/>
      <c r="AR169" s="1163"/>
    </row>
    <row r="170" spans="1:44" ht="15" customHeight="1" outlineLevel="1" thickBot="1">
      <c r="B170" s="1165"/>
      <c r="C170" s="1167"/>
      <c r="D170" s="1167"/>
      <c r="E170" s="1167"/>
      <c r="F170" s="1167"/>
      <c r="G170" s="540" t="s">
        <v>649</v>
      </c>
      <c r="H170" s="540" t="s">
        <v>650</v>
      </c>
      <c r="I170" s="540" t="s">
        <v>649</v>
      </c>
      <c r="J170" s="540" t="s">
        <v>650</v>
      </c>
      <c r="K170" s="1190"/>
      <c r="L170" s="1190"/>
      <c r="M170" s="370"/>
      <c r="N170" s="370"/>
      <c r="P170" s="1181"/>
      <c r="Q170" s="1183" t="s">
        <v>722</v>
      </c>
      <c r="R170" s="1184" t="s">
        <v>723</v>
      </c>
      <c r="S170" s="1178"/>
      <c r="T170" s="1162"/>
      <c r="U170" s="1163"/>
      <c r="V170" s="1162"/>
      <c r="W170" s="1163"/>
      <c r="X170" s="1162"/>
      <c r="Y170" s="1163"/>
      <c r="Z170" s="1162"/>
      <c r="AA170" s="1163"/>
      <c r="AB170" s="1162"/>
      <c r="AC170" s="1163"/>
      <c r="AE170" s="1181"/>
      <c r="AF170" s="1197" t="s">
        <v>722</v>
      </c>
      <c r="AG170" s="1184" t="s">
        <v>723</v>
      </c>
      <c r="AH170" s="1178"/>
      <c r="AI170" s="1162"/>
      <c r="AJ170" s="1163"/>
      <c r="AK170" s="1162"/>
      <c r="AL170" s="1163"/>
      <c r="AM170" s="1162"/>
      <c r="AN170" s="1163"/>
      <c r="AO170" s="1162"/>
      <c r="AP170" s="1163"/>
      <c r="AQ170" s="1162"/>
      <c r="AR170" s="1163"/>
    </row>
    <row r="171" spans="1:44" ht="33" outlineLevel="1" thickBot="1">
      <c r="B171" s="371" t="s">
        <v>651</v>
      </c>
      <c r="C171" s="372">
        <v>20</v>
      </c>
      <c r="D171" s="372">
        <v>20</v>
      </c>
      <c r="E171" s="372">
        <v>20</v>
      </c>
      <c r="F171" s="372">
        <v>20</v>
      </c>
      <c r="G171" s="372">
        <v>1</v>
      </c>
      <c r="H171" s="372">
        <v>50</v>
      </c>
      <c r="I171" s="372">
        <v>1</v>
      </c>
      <c r="J171" s="372">
        <v>50</v>
      </c>
      <c r="K171" s="372" t="s">
        <v>6</v>
      </c>
      <c r="L171" s="373" t="s">
        <v>725</v>
      </c>
      <c r="M171" s="370"/>
      <c r="N171" s="370"/>
      <c r="O171" s="74"/>
      <c r="P171" s="1182"/>
      <c r="Q171" s="1179"/>
      <c r="R171" s="1185"/>
      <c r="S171" s="1179"/>
      <c r="T171" s="374" t="s">
        <v>726</v>
      </c>
      <c r="U171" s="375" t="s">
        <v>727</v>
      </c>
      <c r="V171" s="374" t="s">
        <v>726</v>
      </c>
      <c r="W171" s="375" t="s">
        <v>727</v>
      </c>
      <c r="X171" s="374" t="s">
        <v>726</v>
      </c>
      <c r="Y171" s="375" t="s">
        <v>727</v>
      </c>
      <c r="Z171" s="374" t="s">
        <v>726</v>
      </c>
      <c r="AA171" s="375" t="s">
        <v>727</v>
      </c>
      <c r="AB171" s="374" t="s">
        <v>726</v>
      </c>
      <c r="AC171" s="375" t="s">
        <v>727</v>
      </c>
      <c r="AE171" s="1182"/>
      <c r="AF171" s="1198"/>
      <c r="AG171" s="1185"/>
      <c r="AH171" s="1179"/>
      <c r="AI171" s="374" t="s">
        <v>726</v>
      </c>
      <c r="AJ171" s="375" t="s">
        <v>727</v>
      </c>
      <c r="AK171" s="374" t="s">
        <v>726</v>
      </c>
      <c r="AL171" s="375" t="s">
        <v>727</v>
      </c>
      <c r="AM171" s="374" t="s">
        <v>726</v>
      </c>
      <c r="AN171" s="375" t="s">
        <v>727</v>
      </c>
      <c r="AO171" s="374" t="s">
        <v>726</v>
      </c>
      <c r="AP171" s="375" t="s">
        <v>727</v>
      </c>
      <c r="AQ171" s="374" t="s">
        <v>726</v>
      </c>
      <c r="AR171" s="375" t="s">
        <v>727</v>
      </c>
    </row>
    <row r="172" spans="1:44" ht="14.5" customHeight="1" outlineLevel="1">
      <c r="B172" s="541" t="s">
        <v>728</v>
      </c>
      <c r="C172" s="542">
        <v>94</v>
      </c>
      <c r="D172" s="542">
        <f>C172+1</f>
        <v>95</v>
      </c>
      <c r="E172" s="543">
        <f>D172</f>
        <v>95</v>
      </c>
      <c r="F172" s="542">
        <f>D172+1</f>
        <v>96</v>
      </c>
      <c r="G172" s="542">
        <v>90</v>
      </c>
      <c r="H172" s="542">
        <v>96</v>
      </c>
      <c r="I172" s="542">
        <v>90</v>
      </c>
      <c r="J172" s="542">
        <v>98</v>
      </c>
      <c r="K172" s="372" t="s">
        <v>59</v>
      </c>
      <c r="L172" s="373" t="s">
        <v>729</v>
      </c>
      <c r="M172" s="370"/>
      <c r="N172" s="370"/>
      <c r="P172" s="1199" t="str">
        <f>C168</f>
        <v>Hot water boiler, Natural gas or biogas</v>
      </c>
      <c r="Q172" s="1154" t="s">
        <v>730</v>
      </c>
      <c r="R172" s="381" t="s">
        <v>731</v>
      </c>
      <c r="S172" s="382"/>
      <c r="T172" s="1137">
        <v>0</v>
      </c>
      <c r="U172" s="1151">
        <v>0</v>
      </c>
      <c r="V172" s="1137">
        <v>0</v>
      </c>
      <c r="W172" s="1151">
        <v>0</v>
      </c>
      <c r="X172" s="1137">
        <v>0</v>
      </c>
      <c r="Y172" s="1151">
        <v>0</v>
      </c>
      <c r="Z172" s="1137">
        <v>0</v>
      </c>
      <c r="AA172" s="1151">
        <v>0</v>
      </c>
      <c r="AB172" s="1137">
        <v>0</v>
      </c>
      <c r="AC172" s="1151">
        <v>0</v>
      </c>
      <c r="AE172" s="1148" t="str">
        <f>P172</f>
        <v>Hot water boiler, Natural gas or biogas</v>
      </c>
      <c r="AF172" s="1154" t="s">
        <v>730</v>
      </c>
      <c r="AG172" s="381" t="s">
        <v>731</v>
      </c>
      <c r="AH172" s="382"/>
      <c r="AI172" s="1137">
        <v>0</v>
      </c>
      <c r="AJ172" s="1151">
        <v>0</v>
      </c>
      <c r="AK172" s="1137">
        <v>0</v>
      </c>
      <c r="AL172" s="1151">
        <v>0</v>
      </c>
      <c r="AM172" s="1137">
        <v>0</v>
      </c>
      <c r="AN172" s="1151">
        <v>0</v>
      </c>
      <c r="AO172" s="1137">
        <v>0</v>
      </c>
      <c r="AP172" s="1151">
        <v>0</v>
      </c>
      <c r="AQ172" s="1137">
        <v>0</v>
      </c>
      <c r="AR172" s="1151">
        <v>0</v>
      </c>
    </row>
    <row r="173" spans="1:44" outlineLevel="1">
      <c r="B173" s="383" t="s">
        <v>732</v>
      </c>
      <c r="C173" s="384">
        <f t="shared" ref="C173:J173" si="9">C172-1</f>
        <v>93</v>
      </c>
      <c r="D173" s="384">
        <f t="shared" si="9"/>
        <v>94</v>
      </c>
      <c r="E173" s="384">
        <f t="shared" si="9"/>
        <v>94</v>
      </c>
      <c r="F173" s="384">
        <f t="shared" si="9"/>
        <v>95</v>
      </c>
      <c r="G173" s="505">
        <f t="shared" si="9"/>
        <v>89</v>
      </c>
      <c r="H173" s="505">
        <f t="shared" si="9"/>
        <v>95</v>
      </c>
      <c r="I173" s="505">
        <f t="shared" si="9"/>
        <v>89</v>
      </c>
      <c r="J173" s="505">
        <f t="shared" si="9"/>
        <v>97</v>
      </c>
      <c r="K173" s="372"/>
      <c r="L173" s="373" t="s">
        <v>729</v>
      </c>
      <c r="M173" s="370"/>
      <c r="N173" s="370"/>
      <c r="O173" s="71"/>
      <c r="P173" s="1195"/>
      <c r="Q173" s="1155"/>
      <c r="R173" s="388" t="s">
        <v>733</v>
      </c>
      <c r="S173" s="389"/>
      <c r="T173" s="1140"/>
      <c r="U173" s="1152"/>
      <c r="V173" s="1140"/>
      <c r="W173" s="1152"/>
      <c r="X173" s="1140"/>
      <c r="Y173" s="1152"/>
      <c r="Z173" s="1140"/>
      <c r="AA173" s="1152"/>
      <c r="AB173" s="1140"/>
      <c r="AC173" s="1152"/>
      <c r="AE173" s="1195"/>
      <c r="AF173" s="1155"/>
      <c r="AG173" s="388" t="s">
        <v>733</v>
      </c>
      <c r="AH173" s="389"/>
      <c r="AI173" s="1140"/>
      <c r="AJ173" s="1152"/>
      <c r="AK173" s="1140"/>
      <c r="AL173" s="1152"/>
      <c r="AM173" s="1140"/>
      <c r="AN173" s="1152"/>
      <c r="AO173" s="1140"/>
      <c r="AP173" s="1152"/>
      <c r="AQ173" s="1140"/>
      <c r="AR173" s="1152"/>
    </row>
    <row r="174" spans="1:44" ht="16" outlineLevel="1" thickBot="1">
      <c r="B174" s="541" t="s">
        <v>734</v>
      </c>
      <c r="C174" s="544">
        <v>0.14000000000000001</v>
      </c>
      <c r="D174" s="545">
        <v>0.12</v>
      </c>
      <c r="E174" s="545">
        <v>0.11</v>
      </c>
      <c r="F174" s="546">
        <v>0.1</v>
      </c>
      <c r="G174" s="545">
        <v>0.1</v>
      </c>
      <c r="H174" s="545">
        <v>0.14000000000000001</v>
      </c>
      <c r="I174" s="545">
        <v>0.08</v>
      </c>
      <c r="J174" s="545">
        <v>0.12</v>
      </c>
      <c r="K174" s="547"/>
      <c r="L174" s="548">
        <v>3</v>
      </c>
      <c r="M174" s="370"/>
      <c r="N174" s="370"/>
      <c r="O174" s="71"/>
      <c r="P174" s="1195"/>
      <c r="Q174" s="1156"/>
      <c r="R174" s="393" t="s">
        <v>735</v>
      </c>
      <c r="S174" s="394"/>
      <c r="T174" s="1141"/>
      <c r="U174" s="1153"/>
      <c r="V174" s="1141"/>
      <c r="W174" s="1153"/>
      <c r="X174" s="1141"/>
      <c r="Y174" s="1153"/>
      <c r="Z174" s="1141"/>
      <c r="AA174" s="1153"/>
      <c r="AB174" s="1141"/>
      <c r="AC174" s="1153"/>
      <c r="AE174" s="1195"/>
      <c r="AF174" s="1156"/>
      <c r="AG174" s="393" t="s">
        <v>735</v>
      </c>
      <c r="AH174" s="394"/>
      <c r="AI174" s="1141"/>
      <c r="AJ174" s="1153"/>
      <c r="AK174" s="1141"/>
      <c r="AL174" s="1153"/>
      <c r="AM174" s="1141"/>
      <c r="AN174" s="1153"/>
      <c r="AO174" s="1141"/>
      <c r="AP174" s="1153"/>
      <c r="AQ174" s="1141"/>
      <c r="AR174" s="1153"/>
    </row>
    <row r="175" spans="1:44" ht="14.5" customHeight="1" outlineLevel="1">
      <c r="B175" s="541" t="s">
        <v>657</v>
      </c>
      <c r="C175" s="544">
        <v>1</v>
      </c>
      <c r="D175" s="544">
        <v>1</v>
      </c>
      <c r="E175" s="544">
        <v>1</v>
      </c>
      <c r="F175" s="544">
        <v>1</v>
      </c>
      <c r="G175" s="544">
        <v>0.08</v>
      </c>
      <c r="H175" s="544">
        <v>2</v>
      </c>
      <c r="I175" s="544">
        <v>0.08</v>
      </c>
      <c r="J175" s="544">
        <v>2</v>
      </c>
      <c r="K175" s="547"/>
      <c r="L175" s="548">
        <v>3</v>
      </c>
      <c r="M175" s="370"/>
      <c r="N175" s="370"/>
      <c r="O175" s="71"/>
      <c r="P175" s="1195"/>
      <c r="Q175" s="1154" t="s">
        <v>736</v>
      </c>
      <c r="R175" s="395" t="s">
        <v>737</v>
      </c>
      <c r="S175" s="396" t="s">
        <v>738</v>
      </c>
      <c r="T175" s="1137">
        <v>0</v>
      </c>
      <c r="U175" s="1137">
        <v>0.67</v>
      </c>
      <c r="V175" s="1137">
        <v>0</v>
      </c>
      <c r="W175" s="1137">
        <v>0.56999999999999995</v>
      </c>
      <c r="X175" s="1137">
        <v>0</v>
      </c>
      <c r="Y175" s="1137">
        <v>0.5</v>
      </c>
      <c r="Z175" s="1137">
        <v>0</v>
      </c>
      <c r="AA175" s="1137">
        <v>0.51</v>
      </c>
      <c r="AB175" s="1137">
        <v>0</v>
      </c>
      <c r="AC175" s="1137">
        <v>0.41</v>
      </c>
      <c r="AE175" s="1195"/>
      <c r="AF175" s="1154" t="s">
        <v>736</v>
      </c>
      <c r="AG175" s="395" t="s">
        <v>737</v>
      </c>
      <c r="AH175" s="396" t="s">
        <v>738</v>
      </c>
      <c r="AI175" s="1137">
        <v>0</v>
      </c>
      <c r="AJ175" s="1137">
        <f>U175/4</f>
        <v>0.16750000000000001</v>
      </c>
      <c r="AK175" s="1137">
        <v>0</v>
      </c>
      <c r="AL175" s="1137">
        <f>W175/4</f>
        <v>0.14249999999999999</v>
      </c>
      <c r="AM175" s="1137">
        <v>0</v>
      </c>
      <c r="AN175" s="1137">
        <f>Y175/4</f>
        <v>0.125</v>
      </c>
      <c r="AO175" s="1137">
        <v>0</v>
      </c>
      <c r="AP175" s="1137">
        <f>AA175/4</f>
        <v>0.1275</v>
      </c>
      <c r="AQ175" s="1137">
        <v>0</v>
      </c>
      <c r="AR175" s="1137">
        <f>AC175/4</f>
        <v>0.10249999999999999</v>
      </c>
    </row>
    <row r="176" spans="1:44" outlineLevel="1">
      <c r="B176" s="541" t="s">
        <v>658</v>
      </c>
      <c r="C176" s="544">
        <v>0.4</v>
      </c>
      <c r="D176" s="544">
        <v>0.4</v>
      </c>
      <c r="E176" s="544">
        <v>0.4</v>
      </c>
      <c r="F176" s="544">
        <v>0.4</v>
      </c>
      <c r="G176" s="544">
        <v>0.3</v>
      </c>
      <c r="H176" s="544">
        <v>0.6</v>
      </c>
      <c r="I176" s="544">
        <v>0.3</v>
      </c>
      <c r="J176" s="544">
        <v>0.6</v>
      </c>
      <c r="K176" s="547"/>
      <c r="L176" s="548">
        <v>3</v>
      </c>
      <c r="M176" s="367"/>
      <c r="N176" s="367"/>
      <c r="O176" s="71"/>
      <c r="P176" s="1195"/>
      <c r="Q176" s="1155"/>
      <c r="R176" s="395" t="s">
        <v>739</v>
      </c>
      <c r="S176" s="396" t="s">
        <v>738</v>
      </c>
      <c r="T176" s="1138"/>
      <c r="U176" s="1138"/>
      <c r="V176" s="1138"/>
      <c r="W176" s="1138"/>
      <c r="X176" s="1138"/>
      <c r="Y176" s="1138"/>
      <c r="Z176" s="1138"/>
      <c r="AA176" s="1138"/>
      <c r="AB176" s="1138"/>
      <c r="AC176" s="1138"/>
      <c r="AE176" s="1195"/>
      <c r="AF176" s="1155"/>
      <c r="AG176" s="395" t="s">
        <v>739</v>
      </c>
      <c r="AH176" s="396" t="s">
        <v>738</v>
      </c>
      <c r="AI176" s="1138"/>
      <c r="AJ176" s="1138"/>
      <c r="AK176" s="1138"/>
      <c r="AL176" s="1138"/>
      <c r="AM176" s="1138"/>
      <c r="AN176" s="1138"/>
      <c r="AO176" s="1138"/>
      <c r="AP176" s="1138"/>
      <c r="AQ176" s="1138"/>
      <c r="AR176" s="1138"/>
    </row>
    <row r="177" spans="1:44" outlineLevel="1">
      <c r="B177" s="383" t="s">
        <v>11</v>
      </c>
      <c r="C177" s="397">
        <v>25</v>
      </c>
      <c r="D177" s="397">
        <v>25</v>
      </c>
      <c r="E177" s="397">
        <v>25</v>
      </c>
      <c r="F177" s="399">
        <v>25</v>
      </c>
      <c r="G177" s="399">
        <v>25</v>
      </c>
      <c r="H177" s="399">
        <v>30</v>
      </c>
      <c r="I177" s="399">
        <v>25</v>
      </c>
      <c r="J177" s="399">
        <v>30</v>
      </c>
      <c r="K177" s="372"/>
      <c r="L177" s="373" t="s">
        <v>740</v>
      </c>
      <c r="M177" s="363"/>
      <c r="N177" s="363"/>
      <c r="P177" s="1195"/>
      <c r="Q177" s="1155"/>
      <c r="R177" s="395" t="s">
        <v>741</v>
      </c>
      <c r="S177" s="396"/>
      <c r="T177" s="1138"/>
      <c r="U177" s="1138"/>
      <c r="V177" s="1138"/>
      <c r="W177" s="1138"/>
      <c r="X177" s="1138"/>
      <c r="Y177" s="1138"/>
      <c r="Z177" s="1138"/>
      <c r="AA177" s="1138"/>
      <c r="AB177" s="1138"/>
      <c r="AC177" s="1138"/>
      <c r="AE177" s="1195"/>
      <c r="AF177" s="1155"/>
      <c r="AG177" s="395" t="s">
        <v>741</v>
      </c>
      <c r="AH177" s="396" t="s">
        <v>738</v>
      </c>
      <c r="AI177" s="1138"/>
      <c r="AJ177" s="1138"/>
      <c r="AK177" s="1138"/>
      <c r="AL177" s="1138"/>
      <c r="AM177" s="1138"/>
      <c r="AN177" s="1138"/>
      <c r="AO177" s="1138"/>
      <c r="AP177" s="1138"/>
      <c r="AQ177" s="1138"/>
      <c r="AR177" s="1138"/>
    </row>
    <row r="178" spans="1:44" ht="16" outlineLevel="1" thickBot="1">
      <c r="B178" s="541" t="s">
        <v>273</v>
      </c>
      <c r="C178" s="544">
        <v>0.5</v>
      </c>
      <c r="D178" s="544">
        <v>0.5</v>
      </c>
      <c r="E178" s="544">
        <v>0.5</v>
      </c>
      <c r="F178" s="544">
        <v>0.5</v>
      </c>
      <c r="G178" s="544">
        <v>0.2</v>
      </c>
      <c r="H178" s="544">
        <v>0.7</v>
      </c>
      <c r="I178" s="544">
        <v>0.2</v>
      </c>
      <c r="J178" s="544">
        <v>0.7</v>
      </c>
      <c r="K178" s="372"/>
      <c r="L178" s="400"/>
      <c r="M178" s="363"/>
      <c r="N178" s="363"/>
      <c r="P178" s="1195"/>
      <c r="Q178" s="1155"/>
      <c r="R178" s="395" t="s">
        <v>742</v>
      </c>
      <c r="S178" s="396" t="s">
        <v>738</v>
      </c>
      <c r="T178" s="1138"/>
      <c r="U178" s="1138"/>
      <c r="V178" s="1138"/>
      <c r="W178" s="1138"/>
      <c r="X178" s="1138"/>
      <c r="Y178" s="1138"/>
      <c r="Z178" s="1138"/>
      <c r="AA178" s="1138"/>
      <c r="AB178" s="1138"/>
      <c r="AC178" s="1138"/>
      <c r="AE178" s="1195"/>
      <c r="AF178" s="1155"/>
      <c r="AG178" s="395" t="s">
        <v>742</v>
      </c>
      <c r="AH178" s="396"/>
      <c r="AI178" s="1138"/>
      <c r="AJ178" s="1138"/>
      <c r="AK178" s="1138"/>
      <c r="AL178" s="1138"/>
      <c r="AM178" s="1138"/>
      <c r="AN178" s="1138"/>
      <c r="AO178" s="1138"/>
      <c r="AP178" s="1138"/>
      <c r="AQ178" s="1138"/>
      <c r="AR178" s="1138"/>
    </row>
    <row r="179" spans="1:44" ht="16" outlineLevel="1" thickBot="1">
      <c r="B179" s="401" t="s">
        <v>743</v>
      </c>
      <c r="C179" s="402"/>
      <c r="D179" s="403"/>
      <c r="E179" s="404"/>
      <c r="F179" s="405"/>
      <c r="G179" s="406"/>
      <c r="H179" s="406"/>
      <c r="I179" s="406"/>
      <c r="J179" s="406"/>
      <c r="K179" s="407"/>
      <c r="L179" s="408"/>
      <c r="M179" s="363"/>
      <c r="N179" s="363"/>
      <c r="P179" s="1195"/>
      <c r="Q179" s="1155"/>
      <c r="R179" s="409" t="s">
        <v>744</v>
      </c>
      <c r="S179" s="410" t="s">
        <v>738</v>
      </c>
      <c r="T179" s="1139"/>
      <c r="U179" s="1139"/>
      <c r="V179" s="1139"/>
      <c r="W179" s="1139"/>
      <c r="X179" s="1139"/>
      <c r="Y179" s="1139"/>
      <c r="Z179" s="1139"/>
      <c r="AA179" s="1139"/>
      <c r="AB179" s="1139"/>
      <c r="AC179" s="1139"/>
      <c r="AE179" s="1195"/>
      <c r="AF179" s="1155"/>
      <c r="AG179" s="409" t="s">
        <v>744</v>
      </c>
      <c r="AH179" s="410" t="s">
        <v>738</v>
      </c>
      <c r="AI179" s="1139"/>
      <c r="AJ179" s="1139"/>
      <c r="AK179" s="1139"/>
      <c r="AL179" s="1139"/>
      <c r="AM179" s="1139"/>
      <c r="AN179" s="1139"/>
      <c r="AO179" s="1139"/>
      <c r="AP179" s="1139"/>
      <c r="AQ179" s="1139"/>
      <c r="AR179" s="1139"/>
    </row>
    <row r="180" spans="1:44" ht="33" outlineLevel="1" thickBot="1">
      <c r="B180" s="541" t="s">
        <v>663</v>
      </c>
      <c r="C180" s="544">
        <v>15</v>
      </c>
      <c r="D180" s="544">
        <v>15</v>
      </c>
      <c r="E180" s="544">
        <v>15</v>
      </c>
      <c r="F180" s="544">
        <v>15</v>
      </c>
      <c r="G180" s="545"/>
      <c r="H180" s="545"/>
      <c r="I180" s="545"/>
      <c r="J180" s="545"/>
      <c r="K180" s="547"/>
      <c r="L180" s="548">
        <v>3</v>
      </c>
      <c r="M180" s="363"/>
      <c r="N180" s="363"/>
      <c r="P180" s="1196"/>
      <c r="Q180" s="411" t="s">
        <v>745</v>
      </c>
      <c r="R180" s="412" t="s">
        <v>746</v>
      </c>
      <c r="S180" s="413" t="s">
        <v>738</v>
      </c>
      <c r="T180" s="414">
        <v>1</v>
      </c>
      <c r="U180" s="415">
        <v>1</v>
      </c>
      <c r="V180" s="416">
        <v>1</v>
      </c>
      <c r="W180" s="415">
        <v>1</v>
      </c>
      <c r="X180" s="416">
        <v>1</v>
      </c>
      <c r="Y180" s="415">
        <v>1</v>
      </c>
      <c r="Z180" s="416">
        <v>1</v>
      </c>
      <c r="AA180" s="415">
        <v>1</v>
      </c>
      <c r="AB180" s="416">
        <v>1</v>
      </c>
      <c r="AC180" s="417">
        <v>1</v>
      </c>
      <c r="AE180" s="1196"/>
      <c r="AF180" s="411" t="s">
        <v>745</v>
      </c>
      <c r="AG180" s="412" t="s">
        <v>746</v>
      </c>
      <c r="AH180" s="413" t="s">
        <v>738</v>
      </c>
      <c r="AI180" s="414">
        <v>1</v>
      </c>
      <c r="AJ180" s="415">
        <v>1</v>
      </c>
      <c r="AK180" s="416">
        <v>1</v>
      </c>
      <c r="AL180" s="415">
        <v>1</v>
      </c>
      <c r="AM180" s="416">
        <v>1</v>
      </c>
      <c r="AN180" s="415">
        <v>1</v>
      </c>
      <c r="AO180" s="416">
        <v>1</v>
      </c>
      <c r="AP180" s="415">
        <v>1</v>
      </c>
      <c r="AQ180" s="416">
        <v>1</v>
      </c>
      <c r="AR180" s="417">
        <v>1</v>
      </c>
    </row>
    <row r="181" spans="1:44" outlineLevel="1">
      <c r="B181" s="541" t="s">
        <v>664</v>
      </c>
      <c r="C181" s="544">
        <v>0.1</v>
      </c>
      <c r="D181" s="544">
        <v>0.1</v>
      </c>
      <c r="E181" s="544">
        <v>0.1</v>
      </c>
      <c r="F181" s="544">
        <v>0.1</v>
      </c>
      <c r="G181" s="549"/>
      <c r="H181" s="549"/>
      <c r="I181" s="549"/>
      <c r="J181" s="549"/>
      <c r="K181" s="550"/>
      <c r="L181" s="548">
        <v>3</v>
      </c>
      <c r="M181" s="363"/>
      <c r="N181" s="363"/>
    </row>
    <row r="182" spans="1:44" outlineLevel="1">
      <c r="B182" s="541" t="s">
        <v>666</v>
      </c>
      <c r="C182" s="544">
        <v>0.4</v>
      </c>
      <c r="D182" s="544">
        <v>0.4</v>
      </c>
      <c r="E182" s="544">
        <v>0.4</v>
      </c>
      <c r="F182" s="544">
        <v>0.4</v>
      </c>
      <c r="G182" s="549"/>
      <c r="H182" s="549"/>
      <c r="I182" s="549"/>
      <c r="J182" s="549"/>
      <c r="K182" s="550"/>
      <c r="L182" s="548">
        <v>3</v>
      </c>
      <c r="M182" s="420"/>
      <c r="N182" s="363"/>
    </row>
    <row r="183" spans="1:44" outlineLevel="1">
      <c r="B183" s="421" t="s">
        <v>12</v>
      </c>
      <c r="C183" s="399"/>
      <c r="D183" s="399"/>
      <c r="E183" s="399"/>
      <c r="F183" s="399"/>
      <c r="G183" s="422"/>
      <c r="H183" s="422"/>
      <c r="I183" s="422"/>
      <c r="J183" s="422"/>
      <c r="K183" s="423"/>
      <c r="L183" s="424"/>
      <c r="M183" s="420"/>
      <c r="N183" s="420"/>
    </row>
    <row r="184" spans="1:44" ht="16" outlineLevel="1">
      <c r="B184" s="383" t="s">
        <v>747</v>
      </c>
      <c r="C184" s="397">
        <v>0.3</v>
      </c>
      <c r="D184" s="397">
        <v>0.3</v>
      </c>
      <c r="E184" s="397">
        <v>0.3</v>
      </c>
      <c r="F184" s="397">
        <v>0.3</v>
      </c>
      <c r="G184" s="422"/>
      <c r="H184" s="425"/>
      <c r="I184" s="425"/>
      <c r="J184" s="425"/>
      <c r="K184" s="426" t="s">
        <v>16</v>
      </c>
      <c r="L184" s="427" t="s">
        <v>748</v>
      </c>
      <c r="M184" s="428"/>
      <c r="N184" s="428"/>
    </row>
    <row r="185" spans="1:44" outlineLevel="1">
      <c r="B185" s="383" t="s">
        <v>749</v>
      </c>
      <c r="C185" s="397">
        <v>0.1</v>
      </c>
      <c r="D185" s="397">
        <v>0.1</v>
      </c>
      <c r="E185" s="397">
        <v>0.1</v>
      </c>
      <c r="F185" s="397">
        <v>0.1</v>
      </c>
      <c r="G185" s="425"/>
      <c r="H185" s="425"/>
      <c r="I185" s="425"/>
      <c r="J185" s="425"/>
      <c r="K185" s="423"/>
      <c r="L185" s="427">
        <v>9</v>
      </c>
      <c r="M185" s="428"/>
      <c r="N185" s="428"/>
    </row>
    <row r="186" spans="1:44" ht="16" outlineLevel="1">
      <c r="B186" s="383" t="s">
        <v>750</v>
      </c>
      <c r="C186" s="397">
        <v>9</v>
      </c>
      <c r="D186" s="397">
        <v>7</v>
      </c>
      <c r="E186" s="397">
        <v>6</v>
      </c>
      <c r="F186" s="397">
        <v>6</v>
      </c>
      <c r="G186" s="425"/>
      <c r="H186" s="425"/>
      <c r="I186" s="425"/>
      <c r="J186" s="425"/>
      <c r="K186" s="423"/>
      <c r="L186" s="427" t="s">
        <v>748</v>
      </c>
      <c r="M186" s="428"/>
      <c r="N186" s="428"/>
      <c r="T186" s="224">
        <f>C$23</f>
        <v>0.3</v>
      </c>
      <c r="U186" s="224">
        <f t="shared" ref="U186:V186" si="10">D$23</f>
        <v>0.3</v>
      </c>
      <c r="V186" s="224">
        <f t="shared" si="10"/>
        <v>0.3</v>
      </c>
    </row>
    <row r="187" spans="1:44" outlineLevel="1">
      <c r="B187" s="383" t="s">
        <v>366</v>
      </c>
      <c r="C187" s="397">
        <v>3</v>
      </c>
      <c r="D187" s="397">
        <v>2</v>
      </c>
      <c r="E187" s="397">
        <v>2</v>
      </c>
      <c r="F187" s="397">
        <v>2</v>
      </c>
      <c r="G187" s="425"/>
      <c r="H187" s="425"/>
      <c r="I187" s="425"/>
      <c r="J187" s="425"/>
      <c r="K187" s="423"/>
      <c r="L187" s="427" t="s">
        <v>748</v>
      </c>
      <c r="M187" s="428"/>
      <c r="N187" s="428"/>
    </row>
    <row r="188" spans="1:44" ht="16" outlineLevel="1" thickBot="1">
      <c r="B188" s="429" t="s">
        <v>367</v>
      </c>
      <c r="C188" s="430">
        <v>1</v>
      </c>
      <c r="D188" s="430">
        <v>1</v>
      </c>
      <c r="E188" s="430">
        <v>1</v>
      </c>
      <c r="F188" s="430">
        <v>1</v>
      </c>
      <c r="G188" s="425"/>
      <c r="H188" s="425"/>
      <c r="I188" s="425"/>
      <c r="J188" s="425"/>
      <c r="K188" s="423"/>
      <c r="L188" s="427" t="s">
        <v>748</v>
      </c>
      <c r="M188" s="428"/>
      <c r="N188" s="428"/>
    </row>
    <row r="189" spans="1:44" ht="16" outlineLevel="1" thickBot="1">
      <c r="B189" s="431" t="s">
        <v>674</v>
      </c>
      <c r="C189" s="432"/>
      <c r="D189" s="403"/>
      <c r="E189" s="403"/>
      <c r="F189" s="433"/>
      <c r="G189" s="434"/>
      <c r="H189" s="406"/>
      <c r="I189" s="406"/>
      <c r="J189" s="406"/>
      <c r="K189" s="407"/>
      <c r="L189" s="408"/>
      <c r="M189" s="428"/>
      <c r="N189" s="428"/>
    </row>
    <row r="190" spans="1:44" ht="48" outlineLevel="1">
      <c r="A190" s="435" t="s">
        <v>797</v>
      </c>
      <c r="B190" s="436" t="s">
        <v>792</v>
      </c>
      <c r="C190" s="551">
        <f>0.06/1.1*0.8</f>
        <v>4.3636363636363633E-2</v>
      </c>
      <c r="D190" s="438">
        <f>0.05/1.1*0.8</f>
        <v>3.6363636363636369E-2</v>
      </c>
      <c r="E190" s="438">
        <f>0.05/1.1*0.8</f>
        <v>3.6363636363636369E-2</v>
      </c>
      <c r="F190" s="439">
        <f>0.05/1.1*0.8</f>
        <v>3.6363636363636369E-2</v>
      </c>
      <c r="G190" s="425"/>
      <c r="H190" s="425"/>
      <c r="I190" s="425"/>
      <c r="J190" s="425"/>
      <c r="K190" s="426" t="s">
        <v>20</v>
      </c>
      <c r="L190" s="440" t="s">
        <v>753</v>
      </c>
      <c r="M190" s="420"/>
      <c r="N190" s="420"/>
    </row>
    <row r="191" spans="1:44" outlineLevel="1">
      <c r="B191" s="441" t="s">
        <v>754</v>
      </c>
      <c r="C191" s="442">
        <v>60</v>
      </c>
      <c r="D191" s="443">
        <v>60</v>
      </c>
      <c r="E191" s="443">
        <v>60</v>
      </c>
      <c r="F191" s="443">
        <v>60</v>
      </c>
      <c r="G191" s="425"/>
      <c r="H191" s="425"/>
      <c r="I191" s="425"/>
      <c r="J191" s="425"/>
      <c r="K191" s="444"/>
      <c r="L191" s="373">
        <v>3</v>
      </c>
      <c r="M191" s="71"/>
      <c r="N191" s="420"/>
    </row>
    <row r="192" spans="1:44" outlineLevel="1">
      <c r="B192" s="441" t="s">
        <v>755</v>
      </c>
      <c r="C192" s="442">
        <f>100-C191</f>
        <v>40</v>
      </c>
      <c r="D192" s="442">
        <f>100-D191</f>
        <v>40</v>
      </c>
      <c r="E192" s="442">
        <f>100-E191</f>
        <v>40</v>
      </c>
      <c r="F192" s="442">
        <f>100-F191</f>
        <v>40</v>
      </c>
      <c r="G192" s="425"/>
      <c r="H192" s="425"/>
      <c r="I192" s="425"/>
      <c r="J192" s="425"/>
      <c r="K192" s="444"/>
      <c r="L192" s="373">
        <v>3</v>
      </c>
      <c r="M192" s="420"/>
      <c r="N192" s="420"/>
    </row>
    <row r="193" spans="2:30" outlineLevel="1">
      <c r="B193" s="383" t="s">
        <v>793</v>
      </c>
      <c r="C193" s="445">
        <f>2000/1000</f>
        <v>2</v>
      </c>
      <c r="D193" s="446">
        <f>1900/1000</f>
        <v>1.9</v>
      </c>
      <c r="E193" s="446">
        <f>1800/1000</f>
        <v>1.8</v>
      </c>
      <c r="F193" s="447">
        <f>1700/1000</f>
        <v>1.7</v>
      </c>
      <c r="G193" s="425"/>
      <c r="H193" s="425"/>
      <c r="I193" s="425"/>
      <c r="J193" s="425"/>
      <c r="K193" s="448"/>
      <c r="L193" s="373">
        <v>3</v>
      </c>
      <c r="M193" s="420"/>
      <c r="N193" s="420"/>
    </row>
    <row r="194" spans="2:30" outlineLevel="1">
      <c r="B194" s="383" t="s">
        <v>794</v>
      </c>
      <c r="C194" s="449">
        <f>1.1/3.6</f>
        <v>0.30555555555555558</v>
      </c>
      <c r="D194" s="449">
        <f>1/3.6</f>
        <v>0.27777777777777779</v>
      </c>
      <c r="E194" s="449">
        <f>1/3.6</f>
        <v>0.27777777777777779</v>
      </c>
      <c r="F194" s="449">
        <f>1/3.6</f>
        <v>0.27777777777777779</v>
      </c>
      <c r="G194" s="425"/>
      <c r="H194" s="425"/>
      <c r="I194" s="425"/>
      <c r="J194" s="425"/>
      <c r="K194" s="448"/>
      <c r="L194" s="373">
        <v>3</v>
      </c>
      <c r="M194" s="450"/>
      <c r="N194" s="361"/>
      <c r="P194" s="1142">
        <f>C194</f>
        <v>0.30555555555555558</v>
      </c>
      <c r="Q194" s="1143"/>
      <c r="R194" s="1143"/>
      <c r="S194" s="1143"/>
      <c r="T194" s="1143"/>
      <c r="U194" s="1144"/>
    </row>
    <row r="195" spans="2:30" ht="16" outlineLevel="1" thickBot="1">
      <c r="B195" s="541" t="s">
        <v>758</v>
      </c>
      <c r="C195" s="552">
        <f>C174/100*73</f>
        <v>0.10220000000000001</v>
      </c>
      <c r="D195" s="552">
        <f>D174/100*75</f>
        <v>0.09</v>
      </c>
      <c r="E195" s="552">
        <f>E174/100*76</f>
        <v>8.3600000000000008E-2</v>
      </c>
      <c r="F195" s="552">
        <f>F174/100*76</f>
        <v>7.5999999999999998E-2</v>
      </c>
      <c r="G195" s="553"/>
      <c r="H195" s="553"/>
      <c r="I195" s="553"/>
      <c r="J195" s="553"/>
      <c r="K195" s="547" t="s">
        <v>76</v>
      </c>
      <c r="L195" s="548">
        <v>3</v>
      </c>
      <c r="M195" s="450"/>
      <c r="N195" s="361"/>
      <c r="P195" s="1134">
        <f>C195</f>
        <v>0.10220000000000001</v>
      </c>
      <c r="Q195" s="1135"/>
      <c r="R195" s="1135"/>
      <c r="S195" s="1135"/>
      <c r="T195" s="1135"/>
      <c r="U195" s="1136"/>
    </row>
    <row r="196" spans="2:30" outlineLevel="1">
      <c r="B196" s="541" t="s">
        <v>759</v>
      </c>
      <c r="C196" s="554">
        <f>C194-C195</f>
        <v>0.20335555555555557</v>
      </c>
      <c r="D196" s="554">
        <f>D194-D195</f>
        <v>0.18777777777777779</v>
      </c>
      <c r="E196" s="554">
        <f>E194-E195</f>
        <v>0.19417777777777778</v>
      </c>
      <c r="F196" s="554">
        <f>F194-F195</f>
        <v>0.20177777777777778</v>
      </c>
      <c r="G196" s="553"/>
      <c r="H196" s="553"/>
      <c r="I196" s="553"/>
      <c r="J196" s="553"/>
      <c r="K196" s="555"/>
      <c r="L196" s="548">
        <v>3</v>
      </c>
      <c r="M196" s="363"/>
      <c r="N196" s="363"/>
      <c r="P196" s="53" t="s">
        <v>357</v>
      </c>
    </row>
    <row r="197" spans="2:30" ht="30" outlineLevel="1">
      <c r="B197" s="441"/>
      <c r="C197" s="456"/>
      <c r="D197" s="456"/>
      <c r="E197" s="456"/>
      <c r="F197" s="456"/>
      <c r="G197" s="425"/>
      <c r="H197" s="425"/>
      <c r="I197" s="425"/>
      <c r="J197" s="425"/>
      <c r="K197" s="444"/>
      <c r="L197" s="424"/>
      <c r="M197" s="367"/>
      <c r="N197" s="367"/>
      <c r="P197" s="46" t="s">
        <v>335</v>
      </c>
      <c r="Q197" s="46" t="s">
        <v>336</v>
      </c>
      <c r="R197" s="47" t="s">
        <v>337</v>
      </c>
      <c r="S197" s="47" t="s">
        <v>338</v>
      </c>
      <c r="T197" s="47" t="s">
        <v>339</v>
      </c>
      <c r="U197" s="48" t="s">
        <v>340</v>
      </c>
      <c r="V197" s="49" t="s">
        <v>341</v>
      </c>
      <c r="W197" s="49" t="s">
        <v>342</v>
      </c>
      <c r="X197" s="49" t="s">
        <v>343</v>
      </c>
      <c r="Y197" s="49" t="s">
        <v>344</v>
      </c>
      <c r="Z197" s="49" t="s">
        <v>345</v>
      </c>
      <c r="AA197" s="49" t="s">
        <v>346</v>
      </c>
      <c r="AB197" s="49" t="s">
        <v>347</v>
      </c>
      <c r="AC197" s="49" t="s">
        <v>348</v>
      </c>
      <c r="AD197" s="49" t="s">
        <v>349</v>
      </c>
    </row>
    <row r="198" spans="2:30" ht="27" outlineLevel="1" thickBot="1">
      <c r="B198" s="441"/>
      <c r="C198" s="442"/>
      <c r="D198" s="457"/>
      <c r="E198" s="457"/>
      <c r="F198" s="458"/>
      <c r="G198" s="425"/>
      <c r="H198" s="425"/>
      <c r="I198" s="425"/>
      <c r="J198" s="425"/>
      <c r="K198" s="448"/>
      <c r="L198" s="424"/>
      <c r="M198" s="363"/>
      <c r="N198" s="363"/>
      <c r="P198" s="50"/>
      <c r="Q198" s="50"/>
      <c r="R198" s="51"/>
      <c r="S198" s="51"/>
      <c r="T198" s="51"/>
      <c r="U198" s="51" t="s">
        <v>760</v>
      </c>
      <c r="V198" s="50" t="s">
        <v>761</v>
      </c>
      <c r="W198" s="50"/>
      <c r="X198" s="50"/>
      <c r="Y198" s="50"/>
      <c r="Z198" s="50"/>
      <c r="AA198" s="50"/>
      <c r="AB198" s="50"/>
      <c r="AC198" s="50"/>
      <c r="AD198" s="50"/>
    </row>
    <row r="199" spans="2:30" ht="33" outlineLevel="1" thickBot="1">
      <c r="B199" s="401" t="s">
        <v>682</v>
      </c>
      <c r="C199" s="402"/>
      <c r="D199" s="403"/>
      <c r="E199" s="404"/>
      <c r="F199" s="405"/>
      <c r="G199" s="406"/>
      <c r="H199" s="406"/>
      <c r="I199" s="406"/>
      <c r="J199" s="406"/>
      <c r="K199" s="459"/>
      <c r="L199" s="460"/>
      <c r="M199" s="363"/>
      <c r="N199" s="363"/>
      <c r="O199" s="461" t="s">
        <v>732</v>
      </c>
      <c r="P199" s="56"/>
      <c r="Q199" s="56"/>
      <c r="R199" s="57"/>
      <c r="S199" s="57"/>
      <c r="T199" s="57"/>
      <c r="U199" s="56" t="s">
        <v>350</v>
      </c>
      <c r="V199" s="56" t="s">
        <v>326</v>
      </c>
      <c r="W199" s="56" t="s">
        <v>327</v>
      </c>
      <c r="X199" s="56" t="s">
        <v>351</v>
      </c>
      <c r="Y199" s="56" t="s">
        <v>351</v>
      </c>
      <c r="Z199" s="56" t="s">
        <v>352</v>
      </c>
      <c r="AA199" s="56" t="s">
        <v>352</v>
      </c>
      <c r="AB199" s="56" t="s">
        <v>352</v>
      </c>
      <c r="AC199" s="56" t="s">
        <v>352</v>
      </c>
      <c r="AD199" s="56" t="s">
        <v>352</v>
      </c>
    </row>
    <row r="200" spans="2:30" outlineLevel="1">
      <c r="B200" s="556" t="s">
        <v>762</v>
      </c>
      <c r="C200" s="557">
        <v>3.5000000000000003E-2</v>
      </c>
      <c r="D200" s="557">
        <v>0.03</v>
      </c>
      <c r="E200" s="557">
        <v>0.03</v>
      </c>
      <c r="F200" s="557">
        <v>0.03</v>
      </c>
      <c r="G200" s="558"/>
      <c r="H200" s="558"/>
      <c r="I200" s="558"/>
      <c r="J200" s="558"/>
      <c r="K200" s="558" t="s">
        <v>25</v>
      </c>
      <c r="L200" s="559"/>
      <c r="M200" s="363"/>
      <c r="N200" s="363"/>
      <c r="O200" s="465">
        <f>C173</f>
        <v>93</v>
      </c>
      <c r="P200" s="466">
        <f>C169</f>
        <v>2020</v>
      </c>
      <c r="Q200" s="58">
        <f>P200</f>
        <v>2020</v>
      </c>
      <c r="R200" s="466">
        <f>O200/100</f>
        <v>0.93</v>
      </c>
      <c r="S200" s="58"/>
      <c r="T200" s="466">
        <f>C177</f>
        <v>25</v>
      </c>
      <c r="U200" s="467">
        <f>C207</f>
        <v>325.09090909090912</v>
      </c>
      <c r="V200" s="467">
        <f>C209</f>
        <v>14.9</v>
      </c>
      <c r="W200" s="467">
        <f>C210</f>
        <v>2.276388888888889</v>
      </c>
      <c r="X200" s="58"/>
      <c r="Y200" s="58"/>
      <c r="Z200" s="466">
        <f>C184</f>
        <v>0.3</v>
      </c>
      <c r="AA200" s="468">
        <f>C186</f>
        <v>9</v>
      </c>
      <c r="AB200" s="468">
        <f>C187</f>
        <v>3</v>
      </c>
      <c r="AC200" s="468">
        <f>C188</f>
        <v>1</v>
      </c>
      <c r="AD200" s="468">
        <f>C185</f>
        <v>0.1</v>
      </c>
    </row>
    <row r="201" spans="2:30" outlineLevel="1">
      <c r="B201" s="541" t="s">
        <v>763</v>
      </c>
      <c r="C201" s="560" t="s">
        <v>36</v>
      </c>
      <c r="D201" s="561" t="s">
        <v>36</v>
      </c>
      <c r="E201" s="561" t="s">
        <v>36</v>
      </c>
      <c r="F201" s="562" t="s">
        <v>36</v>
      </c>
      <c r="G201" s="562"/>
      <c r="H201" s="562"/>
      <c r="I201" s="562"/>
      <c r="J201" s="562"/>
      <c r="K201" s="563" t="s">
        <v>33</v>
      </c>
      <c r="L201" s="559"/>
      <c r="M201" s="363"/>
      <c r="N201" s="363"/>
      <c r="O201" s="465">
        <f>D173</f>
        <v>94</v>
      </c>
      <c r="P201" s="466">
        <f>D169</f>
        <v>2030</v>
      </c>
      <c r="Q201" s="58"/>
      <c r="R201" s="466">
        <f>O201/100</f>
        <v>0.94</v>
      </c>
      <c r="S201" s="58"/>
      <c r="T201" s="466">
        <f>D177</f>
        <v>25</v>
      </c>
      <c r="U201" s="467">
        <f>D207</f>
        <v>270.90909090909093</v>
      </c>
      <c r="V201" s="467">
        <f>D209</f>
        <v>14.154999999999999</v>
      </c>
      <c r="W201" s="467">
        <f>D210</f>
        <v>2.0694444444444446</v>
      </c>
      <c r="X201" s="58"/>
      <c r="Y201" s="58"/>
      <c r="Z201" s="466">
        <f>D184</f>
        <v>0.3</v>
      </c>
      <c r="AA201" s="468">
        <f>D186</f>
        <v>7</v>
      </c>
      <c r="AB201" s="468">
        <f>D187</f>
        <v>2</v>
      </c>
      <c r="AC201" s="468">
        <f>D188</f>
        <v>1</v>
      </c>
      <c r="AD201" s="468">
        <f>D185</f>
        <v>0.1</v>
      </c>
    </row>
    <row r="202" spans="2:30" outlineLevel="1">
      <c r="B202" s="541" t="s">
        <v>764</v>
      </c>
      <c r="C202" s="560" t="s">
        <v>36</v>
      </c>
      <c r="D202" s="561" t="s">
        <v>36</v>
      </c>
      <c r="E202" s="561" t="s">
        <v>36</v>
      </c>
      <c r="F202" s="562" t="s">
        <v>36</v>
      </c>
      <c r="G202" s="562"/>
      <c r="H202" s="562"/>
      <c r="I202" s="562"/>
      <c r="J202" s="562"/>
      <c r="K202" s="563"/>
      <c r="L202" s="559"/>
      <c r="M202" s="363"/>
      <c r="N202" s="363"/>
      <c r="O202" s="465">
        <f>E173</f>
        <v>94</v>
      </c>
      <c r="P202" s="466">
        <f>E169</f>
        <v>2040</v>
      </c>
      <c r="Q202" s="58"/>
      <c r="R202" s="466">
        <f>O202/100</f>
        <v>0.94</v>
      </c>
      <c r="S202" s="58"/>
      <c r="T202" s="466">
        <f>E177</f>
        <v>25</v>
      </c>
      <c r="U202" s="467">
        <f>E207</f>
        <v>270.90909090909093</v>
      </c>
      <c r="V202" s="467">
        <f>E209</f>
        <v>13.41</v>
      </c>
      <c r="W202" s="467">
        <f>E210</f>
        <v>2.0694444444444446</v>
      </c>
      <c r="X202" s="58"/>
      <c r="Y202" s="58"/>
      <c r="Z202" s="466">
        <f>E184</f>
        <v>0.3</v>
      </c>
      <c r="AA202" s="468">
        <f>E186</f>
        <v>6</v>
      </c>
      <c r="AB202" s="468">
        <f>E187</f>
        <v>2</v>
      </c>
      <c r="AC202" s="468">
        <f>E188</f>
        <v>1</v>
      </c>
      <c r="AD202" s="468">
        <f>E185</f>
        <v>0.1</v>
      </c>
    </row>
    <row r="203" spans="2:30" outlineLevel="1">
      <c r="B203" s="541" t="s">
        <v>765</v>
      </c>
      <c r="C203" s="564">
        <v>90</v>
      </c>
      <c r="D203" s="564">
        <v>90</v>
      </c>
      <c r="E203" s="564">
        <v>90</v>
      </c>
      <c r="F203" s="564">
        <v>90</v>
      </c>
      <c r="G203" s="565"/>
      <c r="H203" s="565"/>
      <c r="I203" s="565"/>
      <c r="J203" s="565"/>
      <c r="K203" s="565"/>
      <c r="L203" s="548">
        <v>3</v>
      </c>
      <c r="M203" s="363"/>
      <c r="N203" s="363"/>
      <c r="O203" s="465">
        <f>F173</f>
        <v>95</v>
      </c>
      <c r="P203" s="466">
        <f>F169</f>
        <v>2050</v>
      </c>
      <c r="Q203" s="58"/>
      <c r="R203" s="466">
        <f>O203/100</f>
        <v>0.95</v>
      </c>
      <c r="S203" s="58"/>
      <c r="T203" s="466">
        <f>F177</f>
        <v>25</v>
      </c>
      <c r="U203" s="467">
        <f>F207</f>
        <v>270.90909090909093</v>
      </c>
      <c r="V203" s="467">
        <f>F209</f>
        <v>12.664999999999999</v>
      </c>
      <c r="W203" s="467">
        <f>F210</f>
        <v>2.0694444444444446</v>
      </c>
      <c r="X203" s="58"/>
      <c r="Y203" s="58"/>
      <c r="Z203" s="466">
        <f>F184</f>
        <v>0.3</v>
      </c>
      <c r="AA203" s="468">
        <f>F186</f>
        <v>6</v>
      </c>
      <c r="AB203" s="468">
        <f>F187</f>
        <v>2</v>
      </c>
      <c r="AC203" s="468">
        <f>F188</f>
        <v>1</v>
      </c>
      <c r="AD203" s="468">
        <f>F185</f>
        <v>0.1</v>
      </c>
    </row>
    <row r="204" spans="2:30" outlineLevel="1">
      <c r="B204" s="566" t="s">
        <v>766</v>
      </c>
      <c r="C204" s="560"/>
      <c r="D204" s="561"/>
      <c r="E204" s="561"/>
      <c r="F204" s="562"/>
      <c r="G204" s="562"/>
      <c r="H204" s="562"/>
      <c r="I204" s="562"/>
      <c r="J204" s="562"/>
      <c r="K204" s="563"/>
      <c r="L204" s="559"/>
      <c r="M204" s="367"/>
      <c r="N204" s="367"/>
    </row>
    <row r="205" spans="2:30" outlineLevel="1">
      <c r="B205" s="566" t="s">
        <v>767</v>
      </c>
      <c r="C205" s="560"/>
      <c r="D205" s="561"/>
      <c r="E205" s="561"/>
      <c r="F205" s="562"/>
      <c r="G205" s="562"/>
      <c r="H205" s="562"/>
      <c r="I205" s="562"/>
      <c r="J205" s="562"/>
      <c r="K205" s="563"/>
      <c r="L205" s="559"/>
      <c r="M205" s="363"/>
      <c r="N205" s="363"/>
    </row>
    <row r="206" spans="2:30" ht="16" outlineLevel="1" thickBot="1">
      <c r="B206" s="567" t="s">
        <v>768</v>
      </c>
      <c r="C206" s="568"/>
      <c r="D206" s="568"/>
      <c r="E206" s="568"/>
      <c r="F206" s="568"/>
      <c r="G206" s="568"/>
      <c r="H206" s="568"/>
      <c r="I206" s="568"/>
      <c r="J206" s="568"/>
      <c r="K206" s="568"/>
      <c r="L206" s="569"/>
      <c r="M206" s="363"/>
      <c r="N206" s="363"/>
    </row>
    <row r="207" spans="2:30" ht="64" outlineLevel="1">
      <c r="B207" s="461" t="s">
        <v>769</v>
      </c>
      <c r="C207" s="483">
        <f>C190*$F$4*1000</f>
        <v>325.09090909090912</v>
      </c>
      <c r="D207" s="483">
        <f t="shared" ref="D207:F207" si="11">D190*$F$4*1000</f>
        <v>270.90909090909093</v>
      </c>
      <c r="E207" s="483">
        <f t="shared" si="11"/>
        <v>270.90909090909093</v>
      </c>
      <c r="F207" s="483">
        <f t="shared" si="11"/>
        <v>270.90909090909093</v>
      </c>
      <c r="G207" s="483"/>
      <c r="H207" s="484"/>
      <c r="I207" s="420" t="s">
        <v>332</v>
      </c>
      <c r="J207" s="420"/>
      <c r="K207" s="484"/>
      <c r="L207" s="484"/>
      <c r="N207" s="420"/>
    </row>
    <row r="208" spans="2:30" outlineLevel="1">
      <c r="B208" s="485" t="s">
        <v>770</v>
      </c>
      <c r="C208" s="486">
        <f>C207*$I208</f>
        <v>162545.45454545456</v>
      </c>
      <c r="D208" s="486">
        <f>D207*$I208</f>
        <v>135454.54545454547</v>
      </c>
      <c r="E208" s="486">
        <f>E207*$I208</f>
        <v>135454.54545454547</v>
      </c>
      <c r="F208" s="486">
        <f>F207*$I208</f>
        <v>135454.54545454547</v>
      </c>
      <c r="G208" s="486"/>
      <c r="H208" s="484"/>
      <c r="I208" s="71">
        <v>500</v>
      </c>
      <c r="J208" s="420" t="s">
        <v>330</v>
      </c>
      <c r="K208" s="484"/>
      <c r="L208" s="484"/>
      <c r="N208" s="420"/>
    </row>
    <row r="209" spans="1:16" ht="48" outlineLevel="1">
      <c r="B209" s="461" t="s">
        <v>771</v>
      </c>
      <c r="C209" s="359">
        <f>C193*$F$4</f>
        <v>14.9</v>
      </c>
      <c r="D209" s="359">
        <f t="shared" ref="D209:F210" si="12">D193*$F$4</f>
        <v>14.154999999999999</v>
      </c>
      <c r="E209" s="359">
        <f t="shared" si="12"/>
        <v>13.41</v>
      </c>
      <c r="F209" s="359">
        <f t="shared" si="12"/>
        <v>12.664999999999999</v>
      </c>
      <c r="G209" s="359"/>
      <c r="I209" s="420" t="s">
        <v>333</v>
      </c>
      <c r="J209" s="420"/>
      <c r="N209" s="420"/>
    </row>
    <row r="210" spans="1:16" ht="48" outlineLevel="1">
      <c r="B210" s="461" t="s">
        <v>772</v>
      </c>
      <c r="C210" s="487">
        <f>C194*$F$4</f>
        <v>2.276388888888889</v>
      </c>
      <c r="D210" s="487">
        <f t="shared" si="12"/>
        <v>2.0694444444444446</v>
      </c>
      <c r="E210" s="487">
        <f t="shared" si="12"/>
        <v>2.0694444444444446</v>
      </c>
      <c r="F210" s="487">
        <f t="shared" si="12"/>
        <v>2.0694444444444446</v>
      </c>
      <c r="G210" s="359"/>
      <c r="M210" s="420"/>
      <c r="N210" s="420"/>
    </row>
    <row r="211" spans="1:16" outlineLevel="1"/>
    <row r="212" spans="1:16" outlineLevel="1">
      <c r="A212" s="488" t="s">
        <v>773</v>
      </c>
      <c r="B212" s="489"/>
      <c r="D212" s="490"/>
      <c r="E212" s="490"/>
      <c r="F212" s="490"/>
      <c r="G212" s="358"/>
      <c r="H212" s="358"/>
      <c r="I212" s="358"/>
      <c r="J212" s="358"/>
      <c r="K212" s="358"/>
      <c r="L212" s="358"/>
      <c r="N212" s="570"/>
      <c r="O212" s="489"/>
      <c r="P212" s="490"/>
    </row>
    <row r="213" spans="1:16" outlineLevel="1">
      <c r="A213" s="491">
        <v>1</v>
      </c>
      <c r="B213" s="492" t="s">
        <v>774</v>
      </c>
      <c r="D213" s="490"/>
      <c r="E213" s="490"/>
      <c r="F213" s="490"/>
      <c r="G213" s="358"/>
      <c r="H213" s="358"/>
      <c r="I213" s="358"/>
      <c r="J213" s="358"/>
      <c r="K213" s="358"/>
      <c r="L213" s="358"/>
      <c r="N213" s="570"/>
      <c r="O213" s="489"/>
      <c r="P213" s="490"/>
    </row>
    <row r="214" spans="1:16" outlineLevel="1">
      <c r="A214" s="491">
        <v>2</v>
      </c>
      <c r="B214" s="493" t="s">
        <v>775</v>
      </c>
      <c r="D214" s="490"/>
      <c r="E214" s="490"/>
      <c r="F214" s="490"/>
      <c r="G214" s="358"/>
      <c r="H214" s="358"/>
      <c r="I214" s="358"/>
      <c r="J214" s="358"/>
      <c r="K214" s="358"/>
      <c r="L214" s="358"/>
      <c r="N214" s="570"/>
      <c r="O214" s="489"/>
      <c r="P214" s="490"/>
    </row>
    <row r="215" spans="1:16" outlineLevel="1">
      <c r="A215" s="491">
        <v>3</v>
      </c>
      <c r="B215" s="493" t="s">
        <v>776</v>
      </c>
      <c r="D215" s="490"/>
      <c r="E215" s="490"/>
      <c r="F215" s="490"/>
      <c r="G215" s="358"/>
      <c r="H215" s="358"/>
      <c r="I215" s="358"/>
      <c r="J215" s="358"/>
      <c r="K215" s="358"/>
      <c r="L215" s="358"/>
      <c r="N215" s="570"/>
      <c r="O215" s="489"/>
      <c r="P215" s="490"/>
    </row>
    <row r="216" spans="1:16" outlineLevel="1">
      <c r="A216" s="491">
        <v>4</v>
      </c>
      <c r="B216" s="493" t="s">
        <v>777</v>
      </c>
      <c r="D216" s="490"/>
      <c r="E216" s="490"/>
      <c r="F216" s="490"/>
      <c r="G216" s="358"/>
      <c r="H216" s="358"/>
      <c r="I216" s="358"/>
      <c r="J216" s="358"/>
      <c r="K216" s="358"/>
      <c r="L216" s="358"/>
      <c r="N216" s="570"/>
      <c r="O216" s="489"/>
      <c r="P216" s="490"/>
    </row>
    <row r="217" spans="1:16" outlineLevel="1">
      <c r="A217" s="358">
        <v>5</v>
      </c>
      <c r="B217" s="494" t="s">
        <v>778</v>
      </c>
      <c r="D217" s="490"/>
      <c r="E217" s="490"/>
      <c r="F217" s="490"/>
      <c r="G217" s="358"/>
      <c r="H217" s="358"/>
      <c r="I217" s="358"/>
      <c r="J217" s="358"/>
      <c r="K217" s="358"/>
      <c r="L217" s="358"/>
    </row>
    <row r="218" spans="1:16" outlineLevel="1">
      <c r="A218" s="358">
        <v>6</v>
      </c>
      <c r="B218" s="492" t="s">
        <v>779</v>
      </c>
      <c r="D218" s="490"/>
      <c r="E218" s="490"/>
      <c r="F218" s="490"/>
      <c r="G218" s="358"/>
      <c r="H218" s="358"/>
      <c r="I218" s="358"/>
      <c r="J218" s="358"/>
      <c r="K218" s="358"/>
      <c r="L218" s="358"/>
    </row>
    <row r="219" spans="1:16" outlineLevel="1">
      <c r="A219" s="358">
        <v>7</v>
      </c>
      <c r="B219" s="495" t="s">
        <v>774</v>
      </c>
      <c r="D219" s="490"/>
      <c r="E219" s="490"/>
      <c r="F219" s="490"/>
      <c r="G219" s="358"/>
      <c r="H219" s="358"/>
      <c r="I219" s="358"/>
      <c r="J219" s="358"/>
      <c r="K219" s="358"/>
      <c r="L219" s="358"/>
    </row>
    <row r="220" spans="1:16" outlineLevel="1">
      <c r="A220" s="358">
        <v>8</v>
      </c>
      <c r="B220" s="495" t="s">
        <v>780</v>
      </c>
      <c r="D220" s="490"/>
      <c r="E220" s="490"/>
      <c r="F220" s="490"/>
      <c r="G220" s="358"/>
      <c r="H220" s="358"/>
      <c r="I220" s="358"/>
      <c r="J220" s="358"/>
      <c r="K220" s="358"/>
      <c r="L220" s="358"/>
    </row>
    <row r="221" spans="1:16" outlineLevel="1">
      <c r="A221" s="358">
        <v>9</v>
      </c>
      <c r="B221" s="489" t="s">
        <v>781</v>
      </c>
      <c r="D221" s="490"/>
      <c r="E221" s="490"/>
      <c r="F221" s="490"/>
      <c r="G221" s="358"/>
      <c r="H221" s="358"/>
      <c r="I221" s="358"/>
      <c r="J221" s="358"/>
      <c r="K221" s="358"/>
      <c r="L221" s="358"/>
    </row>
    <row r="222" spans="1:16" outlineLevel="1">
      <c r="A222" s="358">
        <v>10</v>
      </c>
      <c r="B222" s="490" t="s">
        <v>782</v>
      </c>
      <c r="D222" s="490"/>
      <c r="E222" s="490"/>
      <c r="F222" s="490"/>
      <c r="G222" s="358"/>
      <c r="H222" s="358"/>
      <c r="I222" s="358"/>
      <c r="J222" s="358"/>
      <c r="K222" s="358"/>
      <c r="L222" s="358"/>
    </row>
    <row r="223" spans="1:16" outlineLevel="1">
      <c r="A223" s="488" t="s">
        <v>783</v>
      </c>
      <c r="B223" s="489"/>
      <c r="D223" s="490"/>
      <c r="E223" s="490"/>
      <c r="F223" s="490"/>
      <c r="G223" s="358"/>
      <c r="H223" s="358"/>
      <c r="I223" s="358"/>
      <c r="J223" s="358"/>
      <c r="K223" s="358"/>
      <c r="L223" s="358"/>
    </row>
    <row r="224" spans="1:16" outlineLevel="1">
      <c r="A224" s="496" t="s">
        <v>6</v>
      </c>
      <c r="B224" s="497" t="s">
        <v>784</v>
      </c>
      <c r="C224" s="490"/>
      <c r="D224" s="490"/>
      <c r="E224" s="490"/>
      <c r="F224" s="490"/>
      <c r="G224" s="358"/>
      <c r="H224" s="358"/>
      <c r="I224" s="358"/>
      <c r="J224" s="358"/>
      <c r="K224" s="358"/>
      <c r="L224" s="358"/>
      <c r="N224" s="570"/>
      <c r="O224" s="489"/>
      <c r="P224" s="490"/>
    </row>
    <row r="225" spans="1:16" outlineLevel="1">
      <c r="A225" s="496" t="s">
        <v>59</v>
      </c>
      <c r="B225" s="489" t="s">
        <v>785</v>
      </c>
      <c r="C225" s="490"/>
      <c r="D225" s="490"/>
      <c r="E225" s="490"/>
      <c r="F225" s="490"/>
      <c r="G225" s="358"/>
      <c r="H225" s="358"/>
      <c r="I225" s="358"/>
      <c r="J225" s="358"/>
      <c r="K225" s="358"/>
      <c r="L225" s="358"/>
      <c r="N225" s="571"/>
      <c r="O225" s="489"/>
      <c r="P225" s="490"/>
    </row>
    <row r="226" spans="1:16" outlineLevel="1">
      <c r="A226" s="496" t="s">
        <v>16</v>
      </c>
      <c r="B226" s="489" t="s">
        <v>786</v>
      </c>
      <c r="C226" s="490"/>
      <c r="D226" s="490"/>
      <c r="E226" s="490"/>
      <c r="F226" s="490"/>
      <c r="G226" s="358"/>
      <c r="H226" s="358"/>
      <c r="I226" s="358"/>
      <c r="J226" s="358"/>
      <c r="K226" s="358"/>
      <c r="L226" s="358"/>
      <c r="N226" s="572"/>
      <c r="O226" s="489"/>
      <c r="P226" s="490"/>
    </row>
    <row r="227" spans="1:16" outlineLevel="1">
      <c r="A227" s="496" t="s">
        <v>20</v>
      </c>
      <c r="B227" s="489" t="s">
        <v>787</v>
      </c>
      <c r="C227" s="490"/>
      <c r="D227" s="490"/>
      <c r="E227" s="490"/>
      <c r="F227" s="490"/>
      <c r="G227" s="358"/>
      <c r="H227" s="358"/>
      <c r="I227" s="358"/>
      <c r="J227" s="358"/>
      <c r="K227" s="358"/>
      <c r="L227" s="358"/>
      <c r="N227" s="573"/>
      <c r="O227" s="489"/>
      <c r="P227" s="490"/>
    </row>
    <row r="228" spans="1:16" outlineLevel="1">
      <c r="A228" s="496" t="s">
        <v>76</v>
      </c>
      <c r="B228" s="498" t="s">
        <v>788</v>
      </c>
      <c r="C228" s="490"/>
      <c r="D228" s="490"/>
      <c r="E228" s="490"/>
      <c r="F228" s="490"/>
      <c r="G228" s="358"/>
      <c r="H228" s="358"/>
      <c r="I228" s="358"/>
      <c r="J228" s="358"/>
      <c r="K228" s="358"/>
      <c r="L228" s="358"/>
      <c r="N228" s="573"/>
      <c r="O228" s="490"/>
      <c r="P228" s="490"/>
    </row>
    <row r="229" spans="1:16" outlineLevel="1">
      <c r="A229" s="496" t="s">
        <v>25</v>
      </c>
      <c r="B229" s="489" t="s">
        <v>804</v>
      </c>
      <c r="C229" s="490"/>
      <c r="D229" s="490"/>
      <c r="E229" s="490"/>
      <c r="F229" s="490"/>
      <c r="G229" s="358"/>
      <c r="H229" s="358"/>
      <c r="I229" s="358"/>
      <c r="J229" s="358"/>
      <c r="K229" s="358"/>
      <c r="L229" s="358"/>
      <c r="N229" s="489"/>
      <c r="O229" s="490"/>
      <c r="P229" s="490"/>
    </row>
    <row r="230" spans="1:16" outlineLevel="1">
      <c r="A230" s="496" t="s">
        <v>33</v>
      </c>
      <c r="B230" s="489" t="s">
        <v>789</v>
      </c>
      <c r="C230" s="490"/>
      <c r="D230" s="490"/>
      <c r="E230" s="490"/>
      <c r="F230" s="490"/>
      <c r="G230" s="358"/>
      <c r="H230" s="358"/>
      <c r="I230" s="358"/>
      <c r="J230" s="358"/>
      <c r="K230" s="358"/>
      <c r="L230" s="358"/>
      <c r="N230" s="490"/>
      <c r="O230" s="490"/>
      <c r="P230" s="490"/>
    </row>
    <row r="231" spans="1:16" outlineLevel="1"/>
    <row r="232" spans="1:16" outlineLevel="1"/>
    <row r="233" spans="1:16" outlineLevel="1"/>
    <row r="234" spans="1:16" outlineLevel="1"/>
    <row r="235" spans="1:16" outlineLevel="1"/>
    <row r="236" spans="1:16" outlineLevel="1"/>
    <row r="237" spans="1:16" outlineLevel="1"/>
    <row r="238" spans="1:16" outlineLevel="1"/>
    <row r="239" spans="1:16" outlineLevel="1"/>
    <row r="240" spans="1:16" outlineLevel="1"/>
    <row r="241" spans="1:44" outlineLevel="1"/>
    <row r="242" spans="1:44" outlineLevel="1"/>
    <row r="243" spans="1:44" outlineLevel="1"/>
    <row r="244" spans="1:44" outlineLevel="1"/>
    <row r="246" spans="1:44" ht="16" thickBot="1">
      <c r="A246" s="360" t="s">
        <v>805</v>
      </c>
      <c r="P246" s="692">
        <v>1</v>
      </c>
      <c r="Q246" s="692">
        <v>2</v>
      </c>
      <c r="R246" s="692">
        <v>3</v>
      </c>
      <c r="S246" s="692">
        <v>4</v>
      </c>
      <c r="T246" s="692">
        <v>5</v>
      </c>
      <c r="U246" s="692">
        <v>6</v>
      </c>
      <c r="V246" s="692">
        <v>7</v>
      </c>
      <c r="W246" s="692">
        <v>8</v>
      </c>
      <c r="X246" s="692">
        <v>9</v>
      </c>
      <c r="Y246" s="692">
        <v>10</v>
      </c>
      <c r="Z246" s="692">
        <v>11</v>
      </c>
      <c r="AA246" s="692">
        <v>12</v>
      </c>
      <c r="AB246" s="692">
        <v>13</v>
      </c>
      <c r="AC246" s="692">
        <v>14</v>
      </c>
    </row>
    <row r="247" spans="1:44" ht="20.5" customHeight="1" outlineLevel="1" thickBot="1">
      <c r="B247" s="362" t="s">
        <v>0</v>
      </c>
      <c r="C247" s="1186" t="s">
        <v>806</v>
      </c>
      <c r="D247" s="1205"/>
      <c r="E247" s="1205"/>
      <c r="F247" s="1205"/>
      <c r="G247" s="1205"/>
      <c r="H247" s="1205"/>
      <c r="I247" s="1205"/>
      <c r="J247" s="1205"/>
      <c r="K247" s="1205"/>
      <c r="L247" s="1206"/>
      <c r="M247" s="363"/>
      <c r="N247" s="363"/>
      <c r="P247" s="364" t="s">
        <v>713</v>
      </c>
      <c r="Q247" s="365"/>
      <c r="R247" s="366"/>
      <c r="S247" s="1176" t="s">
        <v>714</v>
      </c>
      <c r="T247" s="1160" t="s">
        <v>715</v>
      </c>
      <c r="U247" s="1161"/>
      <c r="V247" s="1160" t="s">
        <v>716</v>
      </c>
      <c r="W247" s="1161"/>
      <c r="X247" s="1160" t="s">
        <v>717</v>
      </c>
      <c r="Y247" s="1161"/>
      <c r="Z247" s="1160" t="s">
        <v>718</v>
      </c>
      <c r="AA247" s="1161"/>
      <c r="AB247" s="1160" t="s">
        <v>719</v>
      </c>
      <c r="AC247" s="1161"/>
      <c r="AE247" s="364" t="s">
        <v>720</v>
      </c>
      <c r="AF247" s="365"/>
      <c r="AG247" s="366"/>
      <c r="AH247" s="1176" t="s">
        <v>714</v>
      </c>
      <c r="AI247" s="1160" t="s">
        <v>715</v>
      </c>
      <c r="AJ247" s="1161"/>
      <c r="AK247" s="1160" t="s">
        <v>716</v>
      </c>
      <c r="AL247" s="1161"/>
      <c r="AM247" s="1160" t="s">
        <v>717</v>
      </c>
      <c r="AN247" s="1161"/>
      <c r="AO247" s="1160" t="s">
        <v>718</v>
      </c>
      <c r="AP247" s="1161"/>
      <c r="AQ247" s="1160" t="s">
        <v>719</v>
      </c>
      <c r="AR247" s="1161"/>
    </row>
    <row r="248" spans="1:44" ht="15" customHeight="1" outlineLevel="1" thickBot="1">
      <c r="B248" s="1164" t="s">
        <v>4</v>
      </c>
      <c r="C248" s="1166">
        <v>2020</v>
      </c>
      <c r="D248" s="1166">
        <v>2030</v>
      </c>
      <c r="E248" s="1166">
        <v>2040</v>
      </c>
      <c r="F248" s="1166">
        <v>2050</v>
      </c>
      <c r="G248" s="1168" t="s">
        <v>721</v>
      </c>
      <c r="H248" s="1169"/>
      <c r="I248" s="1168" t="s">
        <v>648</v>
      </c>
      <c r="J248" s="1169"/>
      <c r="K248" s="1189" t="s">
        <v>2</v>
      </c>
      <c r="L248" s="1189" t="s">
        <v>3</v>
      </c>
      <c r="M248" s="367"/>
      <c r="N248" s="367"/>
      <c r="P248" s="1180" t="s">
        <v>0</v>
      </c>
      <c r="Q248" s="368"/>
      <c r="R248" s="368"/>
      <c r="S248" s="1177"/>
      <c r="T248" s="1162"/>
      <c r="U248" s="1163"/>
      <c r="V248" s="1162"/>
      <c r="W248" s="1163"/>
      <c r="X248" s="1162"/>
      <c r="Y248" s="1163"/>
      <c r="Z248" s="1162"/>
      <c r="AA248" s="1163"/>
      <c r="AB248" s="1162"/>
      <c r="AC248" s="1163"/>
      <c r="AE248" s="1180" t="s">
        <v>0</v>
      </c>
      <c r="AF248" s="368"/>
      <c r="AG248" s="368"/>
      <c r="AH248" s="1177"/>
      <c r="AI248" s="1162"/>
      <c r="AJ248" s="1163"/>
      <c r="AK248" s="1162"/>
      <c r="AL248" s="1163"/>
      <c r="AM248" s="1162"/>
      <c r="AN248" s="1163"/>
      <c r="AO248" s="1162"/>
      <c r="AP248" s="1163"/>
      <c r="AQ248" s="1162"/>
      <c r="AR248" s="1163"/>
    </row>
    <row r="249" spans="1:44" ht="15" customHeight="1" outlineLevel="1" thickBot="1">
      <c r="B249" s="1165"/>
      <c r="C249" s="1167"/>
      <c r="D249" s="1167"/>
      <c r="E249" s="1167"/>
      <c r="F249" s="1167"/>
      <c r="G249" s="406" t="s">
        <v>649</v>
      </c>
      <c r="H249" s="406" t="s">
        <v>650</v>
      </c>
      <c r="I249" s="406" t="s">
        <v>649</v>
      </c>
      <c r="J249" s="406" t="s">
        <v>650</v>
      </c>
      <c r="K249" s="1190"/>
      <c r="L249" s="1190"/>
      <c r="M249" s="370"/>
      <c r="N249" s="370"/>
      <c r="P249" s="1181"/>
      <c r="Q249" s="1183" t="s">
        <v>722</v>
      </c>
      <c r="R249" s="1184" t="s">
        <v>723</v>
      </c>
      <c r="S249" s="1178"/>
      <c r="T249" s="1162"/>
      <c r="U249" s="1163"/>
      <c r="V249" s="1162"/>
      <c r="W249" s="1163"/>
      <c r="X249" s="1162"/>
      <c r="Y249" s="1163"/>
      <c r="Z249" s="1162"/>
      <c r="AA249" s="1163"/>
      <c r="AB249" s="1162"/>
      <c r="AC249" s="1163"/>
      <c r="AE249" s="1181"/>
      <c r="AF249" s="1197" t="s">
        <v>722</v>
      </c>
      <c r="AG249" s="1184" t="s">
        <v>723</v>
      </c>
      <c r="AH249" s="1178"/>
      <c r="AI249" s="1162"/>
      <c r="AJ249" s="1163"/>
      <c r="AK249" s="1162"/>
      <c r="AL249" s="1163"/>
      <c r="AM249" s="1162"/>
      <c r="AN249" s="1163"/>
      <c r="AO249" s="1162"/>
      <c r="AP249" s="1163"/>
      <c r="AQ249" s="1162"/>
      <c r="AR249" s="1163"/>
    </row>
    <row r="250" spans="1:44" ht="33" outlineLevel="1" thickBot="1">
      <c r="B250" s="371" t="s">
        <v>651</v>
      </c>
      <c r="C250" s="372">
        <v>20</v>
      </c>
      <c r="D250" s="372">
        <v>20</v>
      </c>
      <c r="E250" s="372">
        <v>20</v>
      </c>
      <c r="F250" s="372">
        <v>20</v>
      </c>
      <c r="G250" s="372">
        <v>1</v>
      </c>
      <c r="H250" s="372">
        <v>50</v>
      </c>
      <c r="I250" s="372">
        <v>1</v>
      </c>
      <c r="J250" s="372">
        <v>50</v>
      </c>
      <c r="K250" s="372" t="s">
        <v>6</v>
      </c>
      <c r="L250" s="373" t="s">
        <v>725</v>
      </c>
      <c r="M250" s="370"/>
      <c r="N250" s="370"/>
      <c r="O250" s="74"/>
      <c r="P250" s="1182"/>
      <c r="Q250" s="1179"/>
      <c r="R250" s="1185"/>
      <c r="S250" s="1179"/>
      <c r="T250" s="374" t="s">
        <v>726</v>
      </c>
      <c r="U250" s="375" t="s">
        <v>727</v>
      </c>
      <c r="V250" s="374" t="s">
        <v>726</v>
      </c>
      <c r="W250" s="375" t="s">
        <v>727</v>
      </c>
      <c r="X250" s="374" t="s">
        <v>726</v>
      </c>
      <c r="Y250" s="375" t="s">
        <v>727</v>
      </c>
      <c r="Z250" s="374" t="s">
        <v>726</v>
      </c>
      <c r="AA250" s="375" t="s">
        <v>727</v>
      </c>
      <c r="AB250" s="374" t="s">
        <v>726</v>
      </c>
      <c r="AC250" s="375" t="s">
        <v>727</v>
      </c>
      <c r="AE250" s="1182"/>
      <c r="AF250" s="1198"/>
      <c r="AG250" s="1185"/>
      <c r="AH250" s="1179"/>
      <c r="AI250" s="374" t="s">
        <v>726</v>
      </c>
      <c r="AJ250" s="375" t="s">
        <v>727</v>
      </c>
      <c r="AK250" s="374" t="s">
        <v>726</v>
      </c>
      <c r="AL250" s="375" t="s">
        <v>727</v>
      </c>
      <c r="AM250" s="374" t="s">
        <v>726</v>
      </c>
      <c r="AN250" s="375" t="s">
        <v>727</v>
      </c>
      <c r="AO250" s="374" t="s">
        <v>726</v>
      </c>
      <c r="AP250" s="375" t="s">
        <v>727</v>
      </c>
      <c r="AQ250" s="374" t="s">
        <v>726</v>
      </c>
      <c r="AR250" s="375" t="s">
        <v>727</v>
      </c>
    </row>
    <row r="251" spans="1:44" ht="14.5" customHeight="1" outlineLevel="1">
      <c r="B251" s="541" t="s">
        <v>728</v>
      </c>
      <c r="C251" s="542">
        <v>103</v>
      </c>
      <c r="D251" s="542">
        <v>104</v>
      </c>
      <c r="E251" s="543">
        <v>104</v>
      </c>
      <c r="F251" s="542">
        <v>104</v>
      </c>
      <c r="G251" s="542">
        <v>95</v>
      </c>
      <c r="H251" s="542">
        <v>106</v>
      </c>
      <c r="I251" s="542">
        <v>96</v>
      </c>
      <c r="J251" s="542">
        <v>107</v>
      </c>
      <c r="K251" s="547"/>
      <c r="L251" s="548" t="s">
        <v>801</v>
      </c>
      <c r="M251" s="370"/>
      <c r="N251" s="370"/>
      <c r="P251" s="1199" t="str">
        <f>C247</f>
        <v>Hot water boiler, Natural gas or biogas (Condensing)</v>
      </c>
      <c r="Q251" s="1154" t="s">
        <v>730</v>
      </c>
      <c r="R251" s="381" t="s">
        <v>731</v>
      </c>
      <c r="S251" s="382"/>
      <c r="T251" s="1137">
        <v>0</v>
      </c>
      <c r="U251" s="1151">
        <v>0</v>
      </c>
      <c r="V251" s="1137">
        <v>0</v>
      </c>
      <c r="W251" s="1151">
        <v>0</v>
      </c>
      <c r="X251" s="1137">
        <v>0</v>
      </c>
      <c r="Y251" s="1151">
        <v>0</v>
      </c>
      <c r="Z251" s="1137">
        <v>0</v>
      </c>
      <c r="AA251" s="1151">
        <v>0</v>
      </c>
      <c r="AB251" s="1137">
        <v>0</v>
      </c>
      <c r="AC251" s="1151">
        <v>0</v>
      </c>
      <c r="AE251" s="1148" t="str">
        <f>P251</f>
        <v>Hot water boiler, Natural gas or biogas (Condensing)</v>
      </c>
      <c r="AF251" s="1154" t="s">
        <v>730</v>
      </c>
      <c r="AG251" s="381" t="s">
        <v>731</v>
      </c>
      <c r="AH251" s="382"/>
      <c r="AI251" s="1137">
        <v>0</v>
      </c>
      <c r="AJ251" s="1151">
        <v>0</v>
      </c>
      <c r="AK251" s="1137">
        <v>0</v>
      </c>
      <c r="AL251" s="1151">
        <v>0</v>
      </c>
      <c r="AM251" s="1137">
        <v>0</v>
      </c>
      <c r="AN251" s="1151">
        <v>0</v>
      </c>
      <c r="AO251" s="1137">
        <v>0</v>
      </c>
      <c r="AP251" s="1151">
        <v>0</v>
      </c>
      <c r="AQ251" s="1137">
        <v>0</v>
      </c>
      <c r="AR251" s="1151">
        <v>0</v>
      </c>
    </row>
    <row r="252" spans="1:44" outlineLevel="1">
      <c r="B252" s="383" t="s">
        <v>732</v>
      </c>
      <c r="C252" s="384">
        <f>C251-2</f>
        <v>101</v>
      </c>
      <c r="D252" s="384">
        <f t="shared" ref="D252:J252" si="13">D251-1</f>
        <v>103</v>
      </c>
      <c r="E252" s="384">
        <f t="shared" si="13"/>
        <v>103</v>
      </c>
      <c r="F252" s="384">
        <f t="shared" si="13"/>
        <v>103</v>
      </c>
      <c r="G252" s="505">
        <f t="shared" si="13"/>
        <v>94</v>
      </c>
      <c r="H252" s="505">
        <f t="shared" si="13"/>
        <v>105</v>
      </c>
      <c r="I252" s="505">
        <f t="shared" si="13"/>
        <v>95</v>
      </c>
      <c r="J252" s="505">
        <f t="shared" si="13"/>
        <v>106</v>
      </c>
      <c r="K252" s="372"/>
      <c r="L252" s="373" t="s">
        <v>729</v>
      </c>
      <c r="M252" s="370"/>
      <c r="N252" s="370"/>
      <c r="O252" s="71"/>
      <c r="P252" s="1195"/>
      <c r="Q252" s="1155"/>
      <c r="R252" s="388" t="s">
        <v>733</v>
      </c>
      <c r="S252" s="389"/>
      <c r="T252" s="1140"/>
      <c r="U252" s="1152"/>
      <c r="V252" s="1140"/>
      <c r="W252" s="1152"/>
      <c r="X252" s="1140"/>
      <c r="Y252" s="1152"/>
      <c r="Z252" s="1140"/>
      <c r="AA252" s="1152"/>
      <c r="AB252" s="1140"/>
      <c r="AC252" s="1152"/>
      <c r="AE252" s="1195"/>
      <c r="AF252" s="1155"/>
      <c r="AG252" s="388" t="s">
        <v>733</v>
      </c>
      <c r="AH252" s="389"/>
      <c r="AI252" s="1140"/>
      <c r="AJ252" s="1152"/>
      <c r="AK252" s="1140"/>
      <c r="AL252" s="1152"/>
      <c r="AM252" s="1140"/>
      <c r="AN252" s="1152"/>
      <c r="AO252" s="1140"/>
      <c r="AP252" s="1152"/>
      <c r="AQ252" s="1140"/>
      <c r="AR252" s="1152"/>
    </row>
    <row r="253" spans="1:44" ht="16" outlineLevel="1" thickBot="1">
      <c r="B253" s="541" t="s">
        <v>734</v>
      </c>
      <c r="C253" s="544">
        <v>0.14000000000000001</v>
      </c>
      <c r="D253" s="545">
        <v>0.12</v>
      </c>
      <c r="E253" s="545">
        <v>0.11</v>
      </c>
      <c r="F253" s="546">
        <v>0.1</v>
      </c>
      <c r="G253" s="545">
        <v>0.1</v>
      </c>
      <c r="H253" s="545">
        <v>0.14000000000000001</v>
      </c>
      <c r="I253" s="545">
        <v>0.08</v>
      </c>
      <c r="J253" s="545">
        <v>0.12</v>
      </c>
      <c r="K253" s="547"/>
      <c r="L253" s="548">
        <v>3</v>
      </c>
      <c r="M253" s="370"/>
      <c r="N253" s="370"/>
      <c r="O253" s="71"/>
      <c r="P253" s="1195"/>
      <c r="Q253" s="1156"/>
      <c r="R253" s="393" t="s">
        <v>735</v>
      </c>
      <c r="S253" s="394"/>
      <c r="T253" s="1141"/>
      <c r="U253" s="1153"/>
      <c r="V253" s="1141"/>
      <c r="W253" s="1153"/>
      <c r="X253" s="1141"/>
      <c r="Y253" s="1153"/>
      <c r="Z253" s="1141"/>
      <c r="AA253" s="1153"/>
      <c r="AB253" s="1141"/>
      <c r="AC253" s="1153"/>
      <c r="AE253" s="1195"/>
      <c r="AF253" s="1156"/>
      <c r="AG253" s="393" t="s">
        <v>735</v>
      </c>
      <c r="AH253" s="394"/>
      <c r="AI253" s="1141"/>
      <c r="AJ253" s="1153"/>
      <c r="AK253" s="1141"/>
      <c r="AL253" s="1153"/>
      <c r="AM253" s="1141"/>
      <c r="AN253" s="1153"/>
      <c r="AO253" s="1141"/>
      <c r="AP253" s="1153"/>
      <c r="AQ253" s="1141"/>
      <c r="AR253" s="1153"/>
    </row>
    <row r="254" spans="1:44" ht="14.5" customHeight="1" outlineLevel="1">
      <c r="B254" s="541" t="s">
        <v>657</v>
      </c>
      <c r="C254" s="544">
        <v>1</v>
      </c>
      <c r="D254" s="544">
        <v>1</v>
      </c>
      <c r="E254" s="544">
        <v>1</v>
      </c>
      <c r="F254" s="544">
        <v>1</v>
      </c>
      <c r="G254" s="544">
        <v>0.08</v>
      </c>
      <c r="H254" s="544">
        <v>2</v>
      </c>
      <c r="I254" s="544">
        <v>0.08</v>
      </c>
      <c r="J254" s="544">
        <v>2</v>
      </c>
      <c r="K254" s="547"/>
      <c r="L254" s="548">
        <v>3</v>
      </c>
      <c r="M254" s="370"/>
      <c r="N254" s="370"/>
      <c r="O254" s="71"/>
      <c r="P254" s="1195"/>
      <c r="Q254" s="1154" t="s">
        <v>736</v>
      </c>
      <c r="R254" s="395" t="s">
        <v>737</v>
      </c>
      <c r="S254" s="396" t="s">
        <v>738</v>
      </c>
      <c r="T254" s="1137">
        <v>0</v>
      </c>
      <c r="U254" s="1137">
        <v>0.17</v>
      </c>
      <c r="V254" s="1137">
        <v>0</v>
      </c>
      <c r="W254" s="1137">
        <v>0</v>
      </c>
      <c r="X254" s="1137">
        <v>0</v>
      </c>
      <c r="Y254" s="1137">
        <v>0</v>
      </c>
      <c r="Z254" s="1137">
        <v>0</v>
      </c>
      <c r="AA254" s="1137">
        <v>0.06</v>
      </c>
      <c r="AB254" s="1137">
        <v>0</v>
      </c>
      <c r="AC254" s="1137">
        <v>0</v>
      </c>
      <c r="AE254" s="1195"/>
      <c r="AF254" s="1154" t="s">
        <v>736</v>
      </c>
      <c r="AG254" s="395" t="s">
        <v>737</v>
      </c>
      <c r="AH254" s="396" t="s">
        <v>738</v>
      </c>
      <c r="AI254" s="1137">
        <v>0</v>
      </c>
      <c r="AJ254" s="1137">
        <f>U254/4</f>
        <v>4.2500000000000003E-2</v>
      </c>
      <c r="AK254" s="1137">
        <v>0</v>
      </c>
      <c r="AL254" s="1137">
        <f>W254/4</f>
        <v>0</v>
      </c>
      <c r="AM254" s="1137">
        <v>0</v>
      </c>
      <c r="AN254" s="1137">
        <f>Y254/4</f>
        <v>0</v>
      </c>
      <c r="AO254" s="1137">
        <v>0</v>
      </c>
      <c r="AP254" s="1137">
        <f>AA254/4</f>
        <v>1.4999999999999999E-2</v>
      </c>
      <c r="AQ254" s="1137">
        <v>0</v>
      </c>
      <c r="AR254" s="1137">
        <f>AC254/4</f>
        <v>0</v>
      </c>
    </row>
    <row r="255" spans="1:44" outlineLevel="1">
      <c r="B255" s="541" t="s">
        <v>658</v>
      </c>
      <c r="C255" s="544">
        <v>0.4</v>
      </c>
      <c r="D255" s="544">
        <v>0.4</v>
      </c>
      <c r="E255" s="544">
        <v>0.4</v>
      </c>
      <c r="F255" s="544">
        <v>0.4</v>
      </c>
      <c r="G255" s="544">
        <v>0.3</v>
      </c>
      <c r="H255" s="544">
        <v>0.6</v>
      </c>
      <c r="I255" s="544">
        <v>0.3</v>
      </c>
      <c r="J255" s="544">
        <v>0.6</v>
      </c>
      <c r="K255" s="547"/>
      <c r="L255" s="548">
        <v>3</v>
      </c>
      <c r="M255" s="367"/>
      <c r="N255" s="367"/>
      <c r="O255" s="71"/>
      <c r="P255" s="1195"/>
      <c r="Q255" s="1155"/>
      <c r="R255" s="395" t="s">
        <v>739</v>
      </c>
      <c r="S255" s="396" t="s">
        <v>738</v>
      </c>
      <c r="T255" s="1138"/>
      <c r="U255" s="1138"/>
      <c r="V255" s="1138"/>
      <c r="W255" s="1138"/>
      <c r="X255" s="1138"/>
      <c r="Y255" s="1138"/>
      <c r="Z255" s="1138"/>
      <c r="AA255" s="1138"/>
      <c r="AB255" s="1138"/>
      <c r="AC255" s="1138"/>
      <c r="AE255" s="1195"/>
      <c r="AF255" s="1155"/>
      <c r="AG255" s="395" t="s">
        <v>739</v>
      </c>
      <c r="AH255" s="396" t="s">
        <v>738</v>
      </c>
      <c r="AI255" s="1138"/>
      <c r="AJ255" s="1138"/>
      <c r="AK255" s="1138"/>
      <c r="AL255" s="1138"/>
      <c r="AM255" s="1138"/>
      <c r="AN255" s="1138"/>
      <c r="AO255" s="1138"/>
      <c r="AP255" s="1138"/>
      <c r="AQ255" s="1138"/>
      <c r="AR255" s="1138"/>
    </row>
    <row r="256" spans="1:44" outlineLevel="1">
      <c r="B256" s="383" t="s">
        <v>11</v>
      </c>
      <c r="C256" s="397">
        <v>25</v>
      </c>
      <c r="D256" s="397">
        <v>25</v>
      </c>
      <c r="E256" s="397">
        <v>25</v>
      </c>
      <c r="F256" s="397">
        <v>25</v>
      </c>
      <c r="G256" s="399">
        <v>20</v>
      </c>
      <c r="H256" s="399">
        <v>30</v>
      </c>
      <c r="I256" s="399">
        <v>20</v>
      </c>
      <c r="J256" s="399">
        <v>30</v>
      </c>
      <c r="K256" s="372"/>
      <c r="L256" s="373" t="s">
        <v>740</v>
      </c>
      <c r="M256" s="363"/>
      <c r="N256" s="363"/>
      <c r="P256" s="1195"/>
      <c r="Q256" s="1155"/>
      <c r="R256" s="395" t="s">
        <v>741</v>
      </c>
      <c r="S256" s="396"/>
      <c r="T256" s="1138"/>
      <c r="U256" s="1138"/>
      <c r="V256" s="1138"/>
      <c r="W256" s="1138"/>
      <c r="X256" s="1138"/>
      <c r="Y256" s="1138"/>
      <c r="Z256" s="1138"/>
      <c r="AA256" s="1138"/>
      <c r="AB256" s="1138"/>
      <c r="AC256" s="1138"/>
      <c r="AE256" s="1195"/>
      <c r="AF256" s="1155"/>
      <c r="AG256" s="395" t="s">
        <v>741</v>
      </c>
      <c r="AH256" s="396" t="s">
        <v>738</v>
      </c>
      <c r="AI256" s="1138"/>
      <c r="AJ256" s="1138"/>
      <c r="AK256" s="1138"/>
      <c r="AL256" s="1138"/>
      <c r="AM256" s="1138"/>
      <c r="AN256" s="1138"/>
      <c r="AO256" s="1138"/>
      <c r="AP256" s="1138"/>
      <c r="AQ256" s="1138"/>
      <c r="AR256" s="1138"/>
    </row>
    <row r="257" spans="1:44" ht="16" outlineLevel="1" thickBot="1">
      <c r="B257" s="541" t="s">
        <v>273</v>
      </c>
      <c r="C257" s="544">
        <v>0.5</v>
      </c>
      <c r="D257" s="544">
        <v>0.5</v>
      </c>
      <c r="E257" s="544">
        <v>0.5</v>
      </c>
      <c r="F257" s="544">
        <v>0.5</v>
      </c>
      <c r="G257" s="544">
        <v>0.2</v>
      </c>
      <c r="H257" s="544">
        <v>0.7</v>
      </c>
      <c r="I257" s="544">
        <v>0.2</v>
      </c>
      <c r="J257" s="544">
        <v>0.7</v>
      </c>
      <c r="K257" s="547"/>
      <c r="L257" s="559"/>
      <c r="M257" s="363"/>
      <c r="N257" s="363"/>
      <c r="P257" s="1195"/>
      <c r="Q257" s="1155"/>
      <c r="R257" s="395" t="s">
        <v>742</v>
      </c>
      <c r="S257" s="396" t="s">
        <v>738</v>
      </c>
      <c r="T257" s="1138"/>
      <c r="U257" s="1138"/>
      <c r="V257" s="1138"/>
      <c r="W257" s="1138"/>
      <c r="X257" s="1138"/>
      <c r="Y257" s="1138"/>
      <c r="Z257" s="1138"/>
      <c r="AA257" s="1138"/>
      <c r="AB257" s="1138"/>
      <c r="AC257" s="1138"/>
      <c r="AE257" s="1195"/>
      <c r="AF257" s="1155"/>
      <c r="AG257" s="395" t="s">
        <v>742</v>
      </c>
      <c r="AH257" s="396"/>
      <c r="AI257" s="1138"/>
      <c r="AJ257" s="1138"/>
      <c r="AK257" s="1138"/>
      <c r="AL257" s="1138"/>
      <c r="AM257" s="1138"/>
      <c r="AN257" s="1138"/>
      <c r="AO257" s="1138"/>
      <c r="AP257" s="1138"/>
      <c r="AQ257" s="1138"/>
      <c r="AR257" s="1138"/>
    </row>
    <row r="258" spans="1:44" ht="16" outlineLevel="1" thickBot="1">
      <c r="B258" s="401" t="s">
        <v>743</v>
      </c>
      <c r="C258" s="402"/>
      <c r="D258" s="403"/>
      <c r="E258" s="404"/>
      <c r="F258" s="405"/>
      <c r="G258" s="406"/>
      <c r="H258" s="406"/>
      <c r="I258" s="406"/>
      <c r="J258" s="406"/>
      <c r="K258" s="407"/>
      <c r="L258" s="408"/>
      <c r="M258" s="363"/>
      <c r="N258" s="363"/>
      <c r="P258" s="1195"/>
      <c r="Q258" s="1155"/>
      <c r="R258" s="409" t="s">
        <v>744</v>
      </c>
      <c r="S258" s="410" t="s">
        <v>738</v>
      </c>
      <c r="T258" s="1139"/>
      <c r="U258" s="1139"/>
      <c r="V258" s="1139"/>
      <c r="W258" s="1139"/>
      <c r="X258" s="1139"/>
      <c r="Y258" s="1139"/>
      <c r="Z258" s="1139"/>
      <c r="AA258" s="1139"/>
      <c r="AB258" s="1139"/>
      <c r="AC258" s="1139"/>
      <c r="AE258" s="1195"/>
      <c r="AF258" s="1155"/>
      <c r="AG258" s="409" t="s">
        <v>744</v>
      </c>
      <c r="AH258" s="410" t="s">
        <v>738</v>
      </c>
      <c r="AI258" s="1139"/>
      <c r="AJ258" s="1139"/>
      <c r="AK258" s="1139"/>
      <c r="AL258" s="1139"/>
      <c r="AM258" s="1139"/>
      <c r="AN258" s="1139"/>
      <c r="AO258" s="1139"/>
      <c r="AP258" s="1139"/>
      <c r="AQ258" s="1139"/>
      <c r="AR258" s="1139"/>
    </row>
    <row r="259" spans="1:44" ht="33" outlineLevel="1" thickBot="1">
      <c r="B259" s="541" t="s">
        <v>663</v>
      </c>
      <c r="C259" s="544">
        <v>15</v>
      </c>
      <c r="D259" s="544">
        <v>15</v>
      </c>
      <c r="E259" s="544">
        <v>15</v>
      </c>
      <c r="F259" s="544">
        <v>15</v>
      </c>
      <c r="G259" s="545"/>
      <c r="H259" s="545"/>
      <c r="I259" s="545"/>
      <c r="J259" s="545"/>
      <c r="K259" s="547"/>
      <c r="L259" s="548">
        <v>3</v>
      </c>
      <c r="M259" s="363"/>
      <c r="N259" s="363"/>
      <c r="P259" s="1196"/>
      <c r="Q259" s="411" t="s">
        <v>745</v>
      </c>
      <c r="R259" s="412" t="s">
        <v>746</v>
      </c>
      <c r="S259" s="413" t="s">
        <v>738</v>
      </c>
      <c r="T259" s="414">
        <v>1</v>
      </c>
      <c r="U259" s="415">
        <v>1</v>
      </c>
      <c r="V259" s="414">
        <v>0</v>
      </c>
      <c r="W259" s="415">
        <v>0</v>
      </c>
      <c r="X259" s="414">
        <v>0</v>
      </c>
      <c r="Y259" s="415">
        <v>0</v>
      </c>
      <c r="Z259" s="414">
        <v>1</v>
      </c>
      <c r="AA259" s="415">
        <v>1</v>
      </c>
      <c r="AB259" s="414">
        <v>0</v>
      </c>
      <c r="AC259" s="417">
        <v>0</v>
      </c>
      <c r="AE259" s="1196"/>
      <c r="AF259" s="411" t="s">
        <v>745</v>
      </c>
      <c r="AG259" s="412" t="s">
        <v>746</v>
      </c>
      <c r="AH259" s="413" t="s">
        <v>738</v>
      </c>
      <c r="AI259" s="414">
        <v>1</v>
      </c>
      <c r="AJ259" s="415">
        <v>1</v>
      </c>
      <c r="AK259" s="414">
        <v>0</v>
      </c>
      <c r="AL259" s="415">
        <v>0</v>
      </c>
      <c r="AM259" s="414">
        <v>0</v>
      </c>
      <c r="AN259" s="415">
        <v>0</v>
      </c>
      <c r="AO259" s="414">
        <v>1</v>
      </c>
      <c r="AP259" s="415">
        <v>1</v>
      </c>
      <c r="AQ259" s="414">
        <v>0</v>
      </c>
      <c r="AR259" s="417">
        <v>0</v>
      </c>
    </row>
    <row r="260" spans="1:44" outlineLevel="1">
      <c r="B260" s="541" t="s">
        <v>664</v>
      </c>
      <c r="C260" s="544">
        <v>0.1</v>
      </c>
      <c r="D260" s="544">
        <v>0.1</v>
      </c>
      <c r="E260" s="544">
        <v>0.1</v>
      </c>
      <c r="F260" s="544">
        <v>0.1</v>
      </c>
      <c r="G260" s="549"/>
      <c r="H260" s="549"/>
      <c r="I260" s="549"/>
      <c r="J260" s="549"/>
      <c r="K260" s="550"/>
      <c r="L260" s="548">
        <v>3</v>
      </c>
      <c r="M260" s="363"/>
      <c r="N260" s="363"/>
    </row>
    <row r="261" spans="1:44" outlineLevel="1">
      <c r="B261" s="541" t="s">
        <v>666</v>
      </c>
      <c r="C261" s="544">
        <v>0.4</v>
      </c>
      <c r="D261" s="544">
        <v>0.4</v>
      </c>
      <c r="E261" s="544">
        <v>0.4</v>
      </c>
      <c r="F261" s="544">
        <v>0.4</v>
      </c>
      <c r="G261" s="549"/>
      <c r="H261" s="549"/>
      <c r="I261" s="549"/>
      <c r="J261" s="549"/>
      <c r="K261" s="550"/>
      <c r="L261" s="548">
        <v>3</v>
      </c>
      <c r="M261" s="420"/>
      <c r="N261" s="363"/>
    </row>
    <row r="262" spans="1:44" outlineLevel="1">
      <c r="B262" s="421" t="s">
        <v>12</v>
      </c>
      <c r="C262" s="399"/>
      <c r="D262" s="399"/>
      <c r="E262" s="399"/>
      <c r="F262" s="399"/>
      <c r="G262" s="422"/>
      <c r="H262" s="422"/>
      <c r="I262" s="422"/>
      <c r="J262" s="422"/>
      <c r="K262" s="423"/>
      <c r="L262" s="424"/>
      <c r="M262" s="420"/>
      <c r="N262" s="420"/>
    </row>
    <row r="263" spans="1:44" ht="16" outlineLevel="1">
      <c r="B263" s="383" t="s">
        <v>747</v>
      </c>
      <c r="C263" s="397">
        <v>0.3</v>
      </c>
      <c r="D263" s="397">
        <v>0.3</v>
      </c>
      <c r="E263" s="397">
        <v>0.3</v>
      </c>
      <c r="F263" s="397">
        <v>0.3</v>
      </c>
      <c r="G263" s="422"/>
      <c r="H263" s="425"/>
      <c r="I263" s="425"/>
      <c r="J263" s="425"/>
      <c r="K263" s="426" t="s">
        <v>59</v>
      </c>
      <c r="L263" s="427" t="s">
        <v>748</v>
      </c>
      <c r="M263" s="428"/>
      <c r="N263" s="428"/>
    </row>
    <row r="264" spans="1:44" outlineLevel="1">
      <c r="B264" s="383" t="s">
        <v>749</v>
      </c>
      <c r="C264" s="397">
        <v>0.1</v>
      </c>
      <c r="D264" s="397">
        <v>0.1</v>
      </c>
      <c r="E264" s="397">
        <v>0.1</v>
      </c>
      <c r="F264" s="397">
        <v>0.1</v>
      </c>
      <c r="G264" s="425"/>
      <c r="H264" s="425"/>
      <c r="I264" s="425"/>
      <c r="J264" s="425"/>
      <c r="K264" s="423"/>
      <c r="L264" s="427">
        <v>9</v>
      </c>
      <c r="M264" s="428"/>
      <c r="N264" s="428"/>
    </row>
    <row r="265" spans="1:44" ht="16" outlineLevel="1">
      <c r="B265" s="383" t="s">
        <v>750</v>
      </c>
      <c r="C265" s="397">
        <v>9</v>
      </c>
      <c r="D265" s="397">
        <v>7</v>
      </c>
      <c r="E265" s="397">
        <v>6</v>
      </c>
      <c r="F265" s="397">
        <v>6</v>
      </c>
      <c r="G265" s="425"/>
      <c r="H265" s="425"/>
      <c r="I265" s="425"/>
      <c r="J265" s="425"/>
      <c r="K265" s="423"/>
      <c r="L265" s="427" t="s">
        <v>748</v>
      </c>
      <c r="M265" s="428"/>
      <c r="N265" s="428"/>
      <c r="T265" s="224">
        <f>C$23</f>
        <v>0.3</v>
      </c>
      <c r="U265" s="224">
        <f t="shared" ref="U265:V265" si="14">D$23</f>
        <v>0.3</v>
      </c>
      <c r="V265" s="224">
        <f t="shared" si="14"/>
        <v>0.3</v>
      </c>
    </row>
    <row r="266" spans="1:44" outlineLevel="1">
      <c r="B266" s="383" t="s">
        <v>366</v>
      </c>
      <c r="C266" s="397">
        <v>3</v>
      </c>
      <c r="D266" s="397">
        <v>2</v>
      </c>
      <c r="E266" s="397">
        <v>2</v>
      </c>
      <c r="F266" s="397">
        <v>2</v>
      </c>
      <c r="G266" s="425"/>
      <c r="H266" s="425"/>
      <c r="I266" s="425"/>
      <c r="J266" s="425"/>
      <c r="K266" s="423"/>
      <c r="L266" s="427" t="s">
        <v>748</v>
      </c>
      <c r="M266" s="428"/>
      <c r="N266" s="428"/>
    </row>
    <row r="267" spans="1:44" ht="16" outlineLevel="1" thickBot="1">
      <c r="B267" s="429" t="s">
        <v>367</v>
      </c>
      <c r="C267" s="430">
        <v>1</v>
      </c>
      <c r="D267" s="430">
        <v>1</v>
      </c>
      <c r="E267" s="430">
        <v>1</v>
      </c>
      <c r="F267" s="430">
        <v>1</v>
      </c>
      <c r="G267" s="425"/>
      <c r="H267" s="425"/>
      <c r="I267" s="425"/>
      <c r="J267" s="425"/>
      <c r="K267" s="423"/>
      <c r="L267" s="427" t="s">
        <v>748</v>
      </c>
      <c r="M267" s="428"/>
      <c r="N267" s="428"/>
    </row>
    <row r="268" spans="1:44" ht="16" outlineLevel="1" thickBot="1">
      <c r="B268" s="431" t="s">
        <v>674</v>
      </c>
      <c r="C268" s="432"/>
      <c r="D268" s="403"/>
      <c r="E268" s="403"/>
      <c r="F268" s="433"/>
      <c r="G268" s="434"/>
      <c r="H268" s="406"/>
      <c r="I268" s="406"/>
      <c r="J268" s="406"/>
      <c r="K268" s="407"/>
      <c r="L268" s="408"/>
      <c r="M268" s="428"/>
      <c r="N268" s="428"/>
    </row>
    <row r="269" spans="1:44" ht="48" outlineLevel="1">
      <c r="A269" s="435" t="s">
        <v>797</v>
      </c>
      <c r="B269" s="436" t="s">
        <v>792</v>
      </c>
      <c r="C269" s="551">
        <f>0.8*0.06</f>
        <v>4.8000000000000001E-2</v>
      </c>
      <c r="D269" s="512">
        <f>0.8*0.05</f>
        <v>4.0000000000000008E-2</v>
      </c>
      <c r="E269" s="512">
        <f>0.8*0.05</f>
        <v>4.0000000000000008E-2</v>
      </c>
      <c r="F269" s="513">
        <f>0.8*0.05</f>
        <v>4.0000000000000008E-2</v>
      </c>
      <c r="G269" s="425"/>
      <c r="H269" s="425"/>
      <c r="I269" s="425"/>
      <c r="J269" s="425"/>
      <c r="K269" s="426" t="s">
        <v>16</v>
      </c>
      <c r="L269" s="440" t="s">
        <v>753</v>
      </c>
      <c r="M269" s="420"/>
      <c r="N269" s="420"/>
    </row>
    <row r="270" spans="1:44" outlineLevel="1">
      <c r="B270" s="441" t="s">
        <v>754</v>
      </c>
      <c r="C270" s="443">
        <v>65</v>
      </c>
      <c r="D270" s="442">
        <v>65</v>
      </c>
      <c r="E270" s="442">
        <v>65</v>
      </c>
      <c r="F270" s="442">
        <v>65</v>
      </c>
      <c r="G270" s="425"/>
      <c r="H270" s="425"/>
      <c r="I270" s="425"/>
      <c r="J270" s="425"/>
      <c r="K270" s="444"/>
      <c r="L270" s="373">
        <v>3</v>
      </c>
      <c r="M270" s="71"/>
      <c r="N270" s="420"/>
    </row>
    <row r="271" spans="1:44" outlineLevel="1">
      <c r="B271" s="441" t="s">
        <v>755</v>
      </c>
      <c r="C271" s="443">
        <f>100-C270</f>
        <v>35</v>
      </c>
      <c r="D271" s="443">
        <f>100-D270</f>
        <v>35</v>
      </c>
      <c r="E271" s="443">
        <f>100-E270</f>
        <v>35</v>
      </c>
      <c r="F271" s="443">
        <f>100-F270</f>
        <v>35</v>
      </c>
      <c r="G271" s="425"/>
      <c r="H271" s="425"/>
      <c r="I271" s="425"/>
      <c r="J271" s="425"/>
      <c r="K271" s="444"/>
      <c r="L271" s="373">
        <v>3</v>
      </c>
      <c r="M271" s="420"/>
      <c r="N271" s="420"/>
    </row>
    <row r="272" spans="1:44" outlineLevel="1">
      <c r="B272" s="383" t="s">
        <v>793</v>
      </c>
      <c r="C272" s="445">
        <f>2000/1000</f>
        <v>2</v>
      </c>
      <c r="D272" s="446">
        <f>1900/1000</f>
        <v>1.9</v>
      </c>
      <c r="E272" s="446">
        <f>1800/1000</f>
        <v>1.8</v>
      </c>
      <c r="F272" s="447">
        <f>1700/1000</f>
        <v>1.7</v>
      </c>
      <c r="G272" s="425"/>
      <c r="H272" s="425"/>
      <c r="I272" s="425"/>
      <c r="J272" s="425"/>
      <c r="K272" s="448"/>
      <c r="L272" s="373">
        <v>3</v>
      </c>
      <c r="M272" s="420"/>
      <c r="N272" s="420"/>
    </row>
    <row r="273" spans="2:30" outlineLevel="1">
      <c r="B273" s="383" t="s">
        <v>794</v>
      </c>
      <c r="C273" s="449">
        <f>1.1/3.6</f>
        <v>0.30555555555555558</v>
      </c>
      <c r="D273" s="449">
        <f>1/3.6</f>
        <v>0.27777777777777779</v>
      </c>
      <c r="E273" s="449">
        <f>1/3.6</f>
        <v>0.27777777777777779</v>
      </c>
      <c r="F273" s="449">
        <f>1/3.6</f>
        <v>0.27777777777777779</v>
      </c>
      <c r="G273" s="425"/>
      <c r="H273" s="425"/>
      <c r="I273" s="425"/>
      <c r="J273" s="425"/>
      <c r="K273" s="448"/>
      <c r="L273" s="373">
        <v>3</v>
      </c>
      <c r="M273" s="450"/>
      <c r="N273" s="361"/>
      <c r="P273" s="1142">
        <f>C273</f>
        <v>0.30555555555555558</v>
      </c>
      <c r="Q273" s="1143"/>
      <c r="R273" s="1143"/>
      <c r="S273" s="1143"/>
      <c r="T273" s="1143"/>
      <c r="U273" s="1144"/>
    </row>
    <row r="274" spans="2:30" ht="16" outlineLevel="1" thickBot="1">
      <c r="B274" s="541" t="s">
        <v>758</v>
      </c>
      <c r="C274" s="552">
        <f>C253/100*73</f>
        <v>0.10220000000000001</v>
      </c>
      <c r="D274" s="552">
        <f>D253/100*75</f>
        <v>0.09</v>
      </c>
      <c r="E274" s="552">
        <f>E253/100*76</f>
        <v>8.3600000000000008E-2</v>
      </c>
      <c r="F274" s="552">
        <f>F253/100*76</f>
        <v>7.5999999999999998E-2</v>
      </c>
      <c r="G274" s="425"/>
      <c r="H274" s="425"/>
      <c r="I274" s="425"/>
      <c r="J274" s="425"/>
      <c r="K274" s="444" t="s">
        <v>20</v>
      </c>
      <c r="L274" s="373">
        <v>3</v>
      </c>
      <c r="M274" s="450"/>
      <c r="N274" s="361"/>
      <c r="P274" s="1134">
        <f>C274</f>
        <v>0.10220000000000001</v>
      </c>
      <c r="Q274" s="1135"/>
      <c r="R274" s="1135"/>
      <c r="S274" s="1135"/>
      <c r="T274" s="1135"/>
      <c r="U274" s="1136"/>
    </row>
    <row r="275" spans="2:30" outlineLevel="1">
      <c r="B275" s="541" t="s">
        <v>759</v>
      </c>
      <c r="C275" s="554">
        <f>C273-C274</f>
        <v>0.20335555555555557</v>
      </c>
      <c r="D275" s="554">
        <f>D273-D274</f>
        <v>0.18777777777777779</v>
      </c>
      <c r="E275" s="554">
        <f>E273-E274</f>
        <v>0.19417777777777778</v>
      </c>
      <c r="F275" s="554">
        <f>F273-F274</f>
        <v>0.20177777777777778</v>
      </c>
      <c r="G275" s="425"/>
      <c r="H275" s="425"/>
      <c r="I275" s="425"/>
      <c r="J275" s="425"/>
      <c r="K275" s="448"/>
      <c r="L275" s="373">
        <v>3</v>
      </c>
      <c r="M275" s="363"/>
      <c r="N275" s="363"/>
      <c r="P275" s="53" t="s">
        <v>357</v>
      </c>
    </row>
    <row r="276" spans="2:30" ht="30" outlineLevel="1">
      <c r="B276" s="441"/>
      <c r="C276" s="518"/>
      <c r="D276" s="518"/>
      <c r="E276" s="518"/>
      <c r="F276" s="518"/>
      <c r="G276" s="425"/>
      <c r="H276" s="425"/>
      <c r="I276" s="425"/>
      <c r="J276" s="425"/>
      <c r="K276" s="444"/>
      <c r="L276" s="424"/>
      <c r="M276" s="367"/>
      <c r="N276" s="367"/>
      <c r="P276" s="46" t="s">
        <v>335</v>
      </c>
      <c r="Q276" s="46" t="s">
        <v>336</v>
      </c>
      <c r="R276" s="47" t="s">
        <v>337</v>
      </c>
      <c r="S276" s="47" t="s">
        <v>338</v>
      </c>
      <c r="T276" s="47" t="s">
        <v>339</v>
      </c>
      <c r="U276" s="48" t="s">
        <v>340</v>
      </c>
      <c r="V276" s="49" t="s">
        <v>341</v>
      </c>
      <c r="W276" s="49" t="s">
        <v>342</v>
      </c>
      <c r="X276" s="49" t="s">
        <v>343</v>
      </c>
      <c r="Y276" s="49" t="s">
        <v>344</v>
      </c>
      <c r="Z276" s="49" t="s">
        <v>345</v>
      </c>
      <c r="AA276" s="49" t="s">
        <v>346</v>
      </c>
      <c r="AB276" s="49" t="s">
        <v>347</v>
      </c>
      <c r="AC276" s="49" t="s">
        <v>348</v>
      </c>
      <c r="AD276" s="49" t="s">
        <v>349</v>
      </c>
    </row>
    <row r="277" spans="2:30" ht="27" outlineLevel="1" thickBot="1">
      <c r="B277" s="519"/>
      <c r="C277" s="442"/>
      <c r="D277" s="520"/>
      <c r="E277" s="520"/>
      <c r="F277" s="521"/>
      <c r="G277" s="425"/>
      <c r="H277" s="425"/>
      <c r="I277" s="425"/>
      <c r="J277" s="425"/>
      <c r="K277" s="448"/>
      <c r="L277" s="424"/>
      <c r="M277" s="363"/>
      <c r="N277" s="363"/>
      <c r="P277" s="50"/>
      <c r="Q277" s="50"/>
      <c r="R277" s="51"/>
      <c r="S277" s="51"/>
      <c r="T277" s="51"/>
      <c r="U277" s="51" t="s">
        <v>760</v>
      </c>
      <c r="V277" s="50" t="s">
        <v>761</v>
      </c>
      <c r="W277" s="50"/>
      <c r="X277" s="50"/>
      <c r="Y277" s="50"/>
      <c r="Z277" s="50"/>
      <c r="AA277" s="50"/>
      <c r="AB277" s="50"/>
      <c r="AC277" s="50"/>
      <c r="AD277" s="50"/>
    </row>
    <row r="278" spans="2:30" ht="33" outlineLevel="1" thickBot="1">
      <c r="B278" s="401" t="s">
        <v>682</v>
      </c>
      <c r="C278" s="402"/>
      <c r="D278" s="403"/>
      <c r="E278" s="404"/>
      <c r="F278" s="405"/>
      <c r="G278" s="406"/>
      <c r="H278" s="406"/>
      <c r="I278" s="406"/>
      <c r="J278" s="406"/>
      <c r="K278" s="459"/>
      <c r="L278" s="460"/>
      <c r="M278" s="363"/>
      <c r="N278" s="363"/>
      <c r="O278" s="461" t="s">
        <v>732</v>
      </c>
      <c r="P278" s="56"/>
      <c r="Q278" s="56"/>
      <c r="R278" s="57"/>
      <c r="S278" s="57"/>
      <c r="T278" s="57"/>
      <c r="U278" s="56" t="s">
        <v>350</v>
      </c>
      <c r="V278" s="56" t="s">
        <v>326</v>
      </c>
      <c r="W278" s="56" t="s">
        <v>327</v>
      </c>
      <c r="X278" s="56" t="s">
        <v>351</v>
      </c>
      <c r="Y278" s="56" t="s">
        <v>351</v>
      </c>
      <c r="Z278" s="56" t="s">
        <v>352</v>
      </c>
      <c r="AA278" s="56" t="s">
        <v>352</v>
      </c>
      <c r="AB278" s="56" t="s">
        <v>352</v>
      </c>
      <c r="AC278" s="56" t="s">
        <v>352</v>
      </c>
      <c r="AD278" s="56" t="s">
        <v>352</v>
      </c>
    </row>
    <row r="279" spans="2:30" outlineLevel="1">
      <c r="B279" s="556" t="s">
        <v>762</v>
      </c>
      <c r="C279" s="557">
        <v>3.5000000000000003E-2</v>
      </c>
      <c r="D279" s="557">
        <v>0.03</v>
      </c>
      <c r="E279" s="557">
        <v>0.03</v>
      </c>
      <c r="F279" s="557">
        <v>0.03</v>
      </c>
      <c r="G279" s="558"/>
      <c r="H279" s="558"/>
      <c r="I279" s="558"/>
      <c r="J279" s="558"/>
      <c r="K279" s="558" t="s">
        <v>76</v>
      </c>
      <c r="L279" s="559"/>
      <c r="M279" s="363"/>
      <c r="N279" s="363"/>
      <c r="O279" s="465">
        <f>C252</f>
        <v>101</v>
      </c>
      <c r="P279" s="466">
        <f>C248</f>
        <v>2020</v>
      </c>
      <c r="Q279" s="58">
        <f>P279</f>
        <v>2020</v>
      </c>
      <c r="R279" s="466">
        <f>O279/100</f>
        <v>1.01</v>
      </c>
      <c r="S279" s="58"/>
      <c r="T279" s="466">
        <f>C256</f>
        <v>25</v>
      </c>
      <c r="U279" s="467">
        <f>C286</f>
        <v>357.6</v>
      </c>
      <c r="V279" s="467">
        <f>C288</f>
        <v>14.9</v>
      </c>
      <c r="W279" s="467">
        <f>C289</f>
        <v>2.276388888888889</v>
      </c>
      <c r="X279" s="58"/>
      <c r="Y279" s="58"/>
      <c r="Z279" s="466">
        <f>C263</f>
        <v>0.3</v>
      </c>
      <c r="AA279" s="468">
        <f>C265</f>
        <v>9</v>
      </c>
      <c r="AB279" s="468">
        <f>C266</f>
        <v>3</v>
      </c>
      <c r="AC279" s="468">
        <f>C267</f>
        <v>1</v>
      </c>
      <c r="AD279" s="468">
        <f>C264</f>
        <v>0.1</v>
      </c>
    </row>
    <row r="280" spans="2:30" outlineLevel="1">
      <c r="B280" s="541" t="s">
        <v>763</v>
      </c>
      <c r="C280" s="560" t="s">
        <v>36</v>
      </c>
      <c r="D280" s="561" t="s">
        <v>36</v>
      </c>
      <c r="E280" s="561" t="s">
        <v>36</v>
      </c>
      <c r="F280" s="562" t="s">
        <v>36</v>
      </c>
      <c r="G280" s="562"/>
      <c r="H280" s="562"/>
      <c r="I280" s="562"/>
      <c r="J280" s="562"/>
      <c r="K280" s="563" t="s">
        <v>25</v>
      </c>
      <c r="L280" s="559"/>
      <c r="M280" s="363"/>
      <c r="N280" s="363"/>
      <c r="O280" s="465">
        <f>D252</f>
        <v>103</v>
      </c>
      <c r="P280" s="466">
        <f>D248</f>
        <v>2030</v>
      </c>
      <c r="Q280" s="58"/>
      <c r="R280" s="466">
        <f>O280/100</f>
        <v>1.03</v>
      </c>
      <c r="S280" s="58"/>
      <c r="T280" s="466">
        <f>D256</f>
        <v>25</v>
      </c>
      <c r="U280" s="467">
        <f>D286</f>
        <v>298.00000000000006</v>
      </c>
      <c r="V280" s="467">
        <f>D288</f>
        <v>14.154999999999999</v>
      </c>
      <c r="W280" s="467">
        <f>D289</f>
        <v>2.0694444444444446</v>
      </c>
      <c r="X280" s="58"/>
      <c r="Y280" s="58"/>
      <c r="Z280" s="466">
        <f>D263</f>
        <v>0.3</v>
      </c>
      <c r="AA280" s="468">
        <f>D265</f>
        <v>7</v>
      </c>
      <c r="AB280" s="468">
        <f>D266</f>
        <v>2</v>
      </c>
      <c r="AC280" s="468">
        <f>D267</f>
        <v>1</v>
      </c>
      <c r="AD280" s="468">
        <f>D264</f>
        <v>0.1</v>
      </c>
    </row>
    <row r="281" spans="2:30" outlineLevel="1">
      <c r="B281" s="541" t="s">
        <v>764</v>
      </c>
      <c r="C281" s="560" t="s">
        <v>36</v>
      </c>
      <c r="D281" s="561" t="s">
        <v>36</v>
      </c>
      <c r="E281" s="561" t="s">
        <v>36</v>
      </c>
      <c r="F281" s="562" t="s">
        <v>36</v>
      </c>
      <c r="G281" s="562"/>
      <c r="H281" s="562"/>
      <c r="I281" s="562"/>
      <c r="J281" s="562"/>
      <c r="K281" s="563"/>
      <c r="L281" s="559"/>
      <c r="M281" s="363"/>
      <c r="N281" s="363"/>
      <c r="O281" s="465">
        <f>E252</f>
        <v>103</v>
      </c>
      <c r="P281" s="466">
        <f>E248</f>
        <v>2040</v>
      </c>
      <c r="Q281" s="58"/>
      <c r="R281" s="466">
        <f>O281/100</f>
        <v>1.03</v>
      </c>
      <c r="S281" s="58"/>
      <c r="T281" s="466">
        <f>E256</f>
        <v>25</v>
      </c>
      <c r="U281" s="467">
        <f>E286</f>
        <v>298.00000000000006</v>
      </c>
      <c r="V281" s="467">
        <f>E288</f>
        <v>13.41</v>
      </c>
      <c r="W281" s="467">
        <f>E289</f>
        <v>2.0694444444444446</v>
      </c>
      <c r="X281" s="58"/>
      <c r="Y281" s="58"/>
      <c r="Z281" s="466">
        <f>E263</f>
        <v>0.3</v>
      </c>
      <c r="AA281" s="468">
        <f>E265</f>
        <v>6</v>
      </c>
      <c r="AB281" s="468">
        <f>E266</f>
        <v>2</v>
      </c>
      <c r="AC281" s="468">
        <f>E267</f>
        <v>1</v>
      </c>
      <c r="AD281" s="468">
        <f>E264</f>
        <v>0.1</v>
      </c>
    </row>
    <row r="282" spans="2:30" outlineLevel="1">
      <c r="B282" s="541" t="s">
        <v>765</v>
      </c>
      <c r="C282" s="564">
        <v>90</v>
      </c>
      <c r="D282" s="564">
        <v>90</v>
      </c>
      <c r="E282" s="564">
        <v>90</v>
      </c>
      <c r="F282" s="564">
        <v>90</v>
      </c>
      <c r="G282" s="565"/>
      <c r="H282" s="565"/>
      <c r="I282" s="565"/>
      <c r="J282" s="565"/>
      <c r="K282" s="565"/>
      <c r="L282" s="548">
        <v>3</v>
      </c>
      <c r="M282" s="363"/>
      <c r="N282" s="363"/>
      <c r="O282" s="465">
        <f>F252</f>
        <v>103</v>
      </c>
      <c r="P282" s="466">
        <f>F248</f>
        <v>2050</v>
      </c>
      <c r="Q282" s="58"/>
      <c r="R282" s="466">
        <f>O282/100</f>
        <v>1.03</v>
      </c>
      <c r="S282" s="58"/>
      <c r="T282" s="466">
        <f>F256</f>
        <v>25</v>
      </c>
      <c r="U282" s="467">
        <f>F286</f>
        <v>298.00000000000006</v>
      </c>
      <c r="V282" s="467">
        <f>F288</f>
        <v>12.664999999999999</v>
      </c>
      <c r="W282" s="467">
        <f>F289</f>
        <v>2.0694444444444446</v>
      </c>
      <c r="X282" s="58"/>
      <c r="Y282" s="58"/>
      <c r="Z282" s="466">
        <f>F263</f>
        <v>0.3</v>
      </c>
      <c r="AA282" s="468">
        <f>F265</f>
        <v>6</v>
      </c>
      <c r="AB282" s="468">
        <f>F266</f>
        <v>2</v>
      </c>
      <c r="AC282" s="468">
        <f>F267</f>
        <v>1</v>
      </c>
      <c r="AD282" s="468">
        <f>F264</f>
        <v>0.1</v>
      </c>
    </row>
    <row r="283" spans="2:30" outlineLevel="1">
      <c r="B283" s="566" t="s">
        <v>766</v>
      </c>
      <c r="C283" s="560"/>
      <c r="D283" s="561"/>
      <c r="E283" s="561"/>
      <c r="F283" s="562"/>
      <c r="G283" s="562"/>
      <c r="H283" s="562"/>
      <c r="I283" s="562"/>
      <c r="J283" s="562"/>
      <c r="K283" s="563"/>
      <c r="L283" s="559"/>
      <c r="M283" s="367"/>
      <c r="N283" s="367"/>
    </row>
    <row r="284" spans="2:30" outlineLevel="1">
      <c r="B284" s="566" t="s">
        <v>767</v>
      </c>
      <c r="C284" s="560"/>
      <c r="D284" s="561"/>
      <c r="E284" s="561"/>
      <c r="F284" s="562"/>
      <c r="G284" s="562"/>
      <c r="H284" s="562"/>
      <c r="I284" s="562"/>
      <c r="J284" s="562"/>
      <c r="K284" s="563"/>
      <c r="L284" s="559"/>
      <c r="M284" s="363"/>
      <c r="N284" s="363"/>
    </row>
    <row r="285" spans="2:30" ht="16" outlineLevel="1" thickBot="1">
      <c r="B285" s="567" t="s">
        <v>768</v>
      </c>
      <c r="C285" s="568"/>
      <c r="D285" s="568"/>
      <c r="E285" s="568"/>
      <c r="F285" s="568"/>
      <c r="G285" s="568"/>
      <c r="H285" s="568"/>
      <c r="I285" s="568"/>
      <c r="J285" s="568"/>
      <c r="K285" s="568"/>
      <c r="L285" s="569"/>
      <c r="M285" s="363"/>
      <c r="N285" s="363"/>
    </row>
    <row r="286" spans="2:30" ht="64" outlineLevel="1">
      <c r="B286" s="461" t="s">
        <v>769</v>
      </c>
      <c r="C286" s="483">
        <f>C269*$F$4*1000</f>
        <v>357.6</v>
      </c>
      <c r="D286" s="483">
        <f t="shared" ref="D286:F286" si="15">D269*$F$4*1000</f>
        <v>298.00000000000006</v>
      </c>
      <c r="E286" s="483">
        <f t="shared" si="15"/>
        <v>298.00000000000006</v>
      </c>
      <c r="F286" s="483">
        <f t="shared" si="15"/>
        <v>298.00000000000006</v>
      </c>
      <c r="G286" s="483"/>
      <c r="H286" s="484"/>
      <c r="I286" s="420" t="s">
        <v>332</v>
      </c>
      <c r="J286" s="420"/>
      <c r="K286" s="484"/>
      <c r="L286" s="484"/>
      <c r="N286" s="420"/>
    </row>
    <row r="287" spans="2:30" outlineLevel="1">
      <c r="B287" s="485" t="s">
        <v>770</v>
      </c>
      <c r="C287" s="486">
        <f>C286*$I287</f>
        <v>178800</v>
      </c>
      <c r="D287" s="486">
        <f>D286*$I287</f>
        <v>149000.00000000003</v>
      </c>
      <c r="E287" s="486">
        <f>E286*$I287</f>
        <v>149000.00000000003</v>
      </c>
      <c r="F287" s="486">
        <f>F286*$I287</f>
        <v>149000.00000000003</v>
      </c>
      <c r="G287" s="486"/>
      <c r="H287" s="484"/>
      <c r="I287" s="71">
        <v>500</v>
      </c>
      <c r="J287" s="420" t="s">
        <v>330</v>
      </c>
      <c r="K287" s="484"/>
      <c r="L287" s="484"/>
      <c r="N287" s="420"/>
    </row>
    <row r="288" spans="2:30" ht="48" outlineLevel="1">
      <c r="B288" s="461" t="s">
        <v>771</v>
      </c>
      <c r="C288" s="359">
        <f>C272*$F$4</f>
        <v>14.9</v>
      </c>
      <c r="D288" s="359">
        <f t="shared" ref="D288:F289" si="16">D272*$F$4</f>
        <v>14.154999999999999</v>
      </c>
      <c r="E288" s="359">
        <f t="shared" si="16"/>
        <v>13.41</v>
      </c>
      <c r="F288" s="359">
        <f t="shared" si="16"/>
        <v>12.664999999999999</v>
      </c>
      <c r="G288" s="359"/>
      <c r="I288" s="420" t="s">
        <v>333</v>
      </c>
      <c r="J288" s="420"/>
      <c r="N288" s="420"/>
    </row>
    <row r="289" spans="1:15" ht="48" outlineLevel="1">
      <c r="B289" s="461" t="s">
        <v>772</v>
      </c>
      <c r="C289" s="487">
        <f>C273*$F$4</f>
        <v>2.276388888888889</v>
      </c>
      <c r="D289" s="487">
        <f t="shared" si="16"/>
        <v>2.0694444444444446</v>
      </c>
      <c r="E289" s="487">
        <f t="shared" si="16"/>
        <v>2.0694444444444446</v>
      </c>
      <c r="F289" s="487">
        <f t="shared" si="16"/>
        <v>2.0694444444444446</v>
      </c>
      <c r="G289" s="359"/>
      <c r="M289" s="420"/>
      <c r="N289" s="420"/>
    </row>
    <row r="290" spans="1:15" outlineLevel="1"/>
    <row r="291" spans="1:15" outlineLevel="1">
      <c r="A291" s="488" t="s">
        <v>773</v>
      </c>
      <c r="B291" s="489"/>
      <c r="D291" s="490"/>
      <c r="E291" s="490"/>
      <c r="F291" s="490"/>
      <c r="G291" s="358"/>
      <c r="H291" s="358"/>
      <c r="I291" s="358"/>
      <c r="J291" s="358"/>
      <c r="K291" s="358"/>
      <c r="L291" s="358"/>
    </row>
    <row r="292" spans="1:15" outlineLevel="1">
      <c r="A292" s="491">
        <v>1</v>
      </c>
      <c r="B292" s="492" t="s">
        <v>774</v>
      </c>
      <c r="D292" s="490"/>
      <c r="E292" s="490"/>
      <c r="F292" s="490"/>
      <c r="G292" s="358"/>
      <c r="H292" s="358"/>
      <c r="I292" s="358"/>
      <c r="J292" s="358"/>
      <c r="K292" s="358"/>
      <c r="L292" s="358"/>
    </row>
    <row r="293" spans="1:15" outlineLevel="1">
      <c r="A293" s="491">
        <v>2</v>
      </c>
      <c r="B293" s="493" t="s">
        <v>775</v>
      </c>
      <c r="D293" s="490"/>
      <c r="E293" s="490"/>
      <c r="F293" s="490"/>
      <c r="G293" s="358"/>
      <c r="H293" s="358"/>
      <c r="I293" s="358"/>
      <c r="J293" s="358"/>
      <c r="K293" s="358"/>
      <c r="L293" s="358"/>
    </row>
    <row r="294" spans="1:15" outlineLevel="1">
      <c r="A294" s="491">
        <v>3</v>
      </c>
      <c r="B294" s="493" t="s">
        <v>776</v>
      </c>
      <c r="D294" s="490"/>
      <c r="E294" s="490"/>
      <c r="F294" s="490"/>
      <c r="G294" s="358"/>
      <c r="H294" s="358"/>
      <c r="I294" s="358"/>
      <c r="J294" s="358"/>
      <c r="K294" s="358"/>
      <c r="L294" s="358"/>
    </row>
    <row r="295" spans="1:15" outlineLevel="1">
      <c r="A295" s="491">
        <v>4</v>
      </c>
      <c r="B295" s="493" t="s">
        <v>777</v>
      </c>
      <c r="D295" s="490"/>
      <c r="E295" s="490"/>
      <c r="F295" s="490"/>
      <c r="G295" s="358"/>
      <c r="H295" s="358"/>
      <c r="I295" s="358"/>
      <c r="J295" s="358"/>
      <c r="K295" s="358"/>
      <c r="L295" s="358"/>
    </row>
    <row r="296" spans="1:15" outlineLevel="1">
      <c r="A296" s="358">
        <v>5</v>
      </c>
      <c r="B296" s="494" t="s">
        <v>778</v>
      </c>
      <c r="D296" s="490"/>
      <c r="E296" s="490"/>
      <c r="F296" s="490"/>
      <c r="G296" s="358"/>
      <c r="H296" s="358"/>
      <c r="I296" s="358"/>
      <c r="J296" s="358"/>
      <c r="K296" s="358"/>
      <c r="L296" s="358"/>
      <c r="M296" s="570"/>
      <c r="N296" s="489"/>
      <c r="O296" s="490"/>
    </row>
    <row r="297" spans="1:15" outlineLevel="1">
      <c r="A297" s="358">
        <v>6</v>
      </c>
      <c r="B297" s="492" t="s">
        <v>779</v>
      </c>
      <c r="D297" s="490"/>
      <c r="E297" s="490"/>
      <c r="F297" s="490"/>
      <c r="G297" s="358"/>
      <c r="H297" s="358"/>
      <c r="I297" s="358"/>
      <c r="J297" s="358"/>
      <c r="K297" s="358"/>
      <c r="L297" s="358"/>
      <c r="O297" s="490"/>
    </row>
    <row r="298" spans="1:15" outlineLevel="1">
      <c r="A298" s="358">
        <v>7</v>
      </c>
      <c r="B298" s="495" t="s">
        <v>774</v>
      </c>
      <c r="D298" s="490"/>
      <c r="E298" s="490"/>
      <c r="F298" s="490"/>
      <c r="G298" s="358"/>
      <c r="H298" s="358"/>
      <c r="I298" s="358"/>
      <c r="J298" s="358"/>
      <c r="K298" s="358"/>
      <c r="L298" s="358"/>
      <c r="O298" s="490"/>
    </row>
    <row r="299" spans="1:15" outlineLevel="1">
      <c r="A299" s="358">
        <v>8</v>
      </c>
      <c r="B299" s="495" t="s">
        <v>780</v>
      </c>
      <c r="D299" s="490"/>
      <c r="E299" s="490"/>
      <c r="F299" s="490"/>
      <c r="G299" s="358"/>
      <c r="H299" s="358"/>
      <c r="I299" s="358"/>
      <c r="J299" s="358"/>
      <c r="K299" s="358"/>
      <c r="L299" s="358"/>
      <c r="O299" s="490"/>
    </row>
    <row r="300" spans="1:15" outlineLevel="1">
      <c r="A300" s="358">
        <v>9</v>
      </c>
      <c r="B300" s="489" t="s">
        <v>781</v>
      </c>
      <c r="D300" s="490"/>
      <c r="E300" s="490"/>
      <c r="F300" s="490"/>
      <c r="G300" s="358"/>
      <c r="H300" s="358"/>
      <c r="I300" s="358"/>
      <c r="J300" s="358"/>
      <c r="K300" s="358"/>
      <c r="L300" s="358"/>
      <c r="O300" s="490"/>
    </row>
    <row r="301" spans="1:15" outlineLevel="1">
      <c r="A301" s="358">
        <v>10</v>
      </c>
      <c r="B301" s="490" t="s">
        <v>782</v>
      </c>
      <c r="D301" s="490"/>
      <c r="E301" s="490"/>
      <c r="F301" s="490"/>
      <c r="G301" s="358"/>
      <c r="H301" s="358"/>
      <c r="I301" s="358"/>
      <c r="J301" s="358"/>
      <c r="K301" s="358"/>
      <c r="L301" s="358"/>
      <c r="O301" s="490"/>
    </row>
    <row r="302" spans="1:15" outlineLevel="1">
      <c r="A302" s="488" t="s">
        <v>783</v>
      </c>
      <c r="B302" s="489"/>
      <c r="D302" s="490"/>
      <c r="E302" s="490"/>
      <c r="F302" s="490"/>
      <c r="G302" s="358"/>
      <c r="H302" s="358"/>
      <c r="I302" s="358"/>
      <c r="J302" s="358"/>
      <c r="K302" s="358"/>
      <c r="L302" s="358"/>
      <c r="O302" s="490"/>
    </row>
    <row r="303" spans="1:15" outlineLevel="1">
      <c r="A303" s="496" t="s">
        <v>6</v>
      </c>
      <c r="B303" s="497" t="s">
        <v>784</v>
      </c>
      <c r="D303" s="490"/>
      <c r="E303" s="490"/>
      <c r="F303" s="490"/>
      <c r="G303" s="358"/>
      <c r="H303" s="358"/>
      <c r="I303" s="358"/>
      <c r="J303" s="358"/>
      <c r="K303" s="358"/>
      <c r="L303" s="358"/>
      <c r="M303" s="570"/>
      <c r="N303" s="489"/>
      <c r="O303" s="490"/>
    </row>
    <row r="304" spans="1:15" outlineLevel="1">
      <c r="A304" s="496" t="s">
        <v>59</v>
      </c>
      <c r="B304" s="489" t="s">
        <v>786</v>
      </c>
      <c r="D304" s="490"/>
      <c r="E304" s="490"/>
      <c r="F304" s="490"/>
      <c r="G304" s="358"/>
      <c r="H304" s="358"/>
      <c r="I304" s="358"/>
      <c r="J304" s="358"/>
      <c r="K304" s="358"/>
      <c r="L304" s="358"/>
      <c r="M304" s="571"/>
      <c r="N304" s="489"/>
      <c r="O304" s="490"/>
    </row>
    <row r="305" spans="1:44" outlineLevel="1">
      <c r="A305" s="496" t="s">
        <v>16</v>
      </c>
      <c r="B305" s="489" t="s">
        <v>787</v>
      </c>
      <c r="D305" s="490"/>
      <c r="E305" s="490"/>
      <c r="F305" s="490"/>
      <c r="G305" s="358"/>
      <c r="H305" s="358"/>
      <c r="I305" s="358"/>
      <c r="J305" s="358"/>
      <c r="K305" s="358"/>
      <c r="L305" s="358"/>
      <c r="M305" s="572"/>
      <c r="N305" s="489"/>
      <c r="O305" s="490"/>
    </row>
    <row r="306" spans="1:44" outlineLevel="1">
      <c r="A306" s="496" t="s">
        <v>20</v>
      </c>
      <c r="B306" s="498" t="s">
        <v>788</v>
      </c>
      <c r="D306" s="490"/>
      <c r="E306" s="490"/>
      <c r="F306" s="490"/>
      <c r="G306" s="358"/>
      <c r="H306" s="358"/>
      <c r="I306" s="358"/>
      <c r="J306" s="358"/>
      <c r="K306" s="358"/>
      <c r="L306" s="358"/>
      <c r="M306" s="573"/>
      <c r="N306" s="489"/>
      <c r="O306" s="490"/>
    </row>
    <row r="307" spans="1:44" outlineLevel="1">
      <c r="A307" s="496" t="s">
        <v>76</v>
      </c>
      <c r="B307" s="489" t="s">
        <v>804</v>
      </c>
      <c r="D307" s="490"/>
      <c r="E307" s="490"/>
      <c r="F307" s="490"/>
      <c r="G307" s="358"/>
      <c r="H307" s="358"/>
      <c r="I307" s="358"/>
      <c r="J307" s="358"/>
      <c r="K307" s="358"/>
      <c r="L307" s="358"/>
      <c r="M307" s="573"/>
      <c r="N307" s="490"/>
      <c r="O307" s="490"/>
    </row>
    <row r="308" spans="1:44" outlineLevel="1">
      <c r="A308" s="496" t="s">
        <v>25</v>
      </c>
      <c r="B308" s="489" t="s">
        <v>789</v>
      </c>
      <c r="D308" s="490"/>
      <c r="E308" s="490"/>
      <c r="F308" s="490"/>
      <c r="G308" s="358"/>
      <c r="H308" s="358"/>
      <c r="I308" s="358"/>
      <c r="J308" s="358"/>
      <c r="K308" s="358"/>
      <c r="L308" s="358"/>
      <c r="M308" s="489"/>
      <c r="N308" s="490"/>
      <c r="O308" s="490"/>
    </row>
    <row r="309" spans="1:44" outlineLevel="1"/>
    <row r="312" spans="1:44" ht="16" thickBot="1">
      <c r="A312" s="360" t="s">
        <v>807</v>
      </c>
      <c r="P312" s="692">
        <v>1</v>
      </c>
      <c r="Q312" s="692">
        <v>2</v>
      </c>
      <c r="R312" s="692">
        <v>3</v>
      </c>
      <c r="S312" s="692">
        <v>4</v>
      </c>
      <c r="T312" s="692">
        <v>5</v>
      </c>
      <c r="U312" s="692">
        <v>6</v>
      </c>
      <c r="V312" s="692">
        <v>7</v>
      </c>
      <c r="W312" s="692">
        <v>8</v>
      </c>
      <c r="X312" s="692">
        <v>9</v>
      </c>
      <c r="Y312" s="692">
        <v>10</v>
      </c>
      <c r="Z312" s="692">
        <v>11</v>
      </c>
      <c r="AA312" s="692">
        <v>12</v>
      </c>
      <c r="AB312" s="692">
        <v>13</v>
      </c>
      <c r="AC312" s="692">
        <v>14</v>
      </c>
    </row>
    <row r="313" spans="1:44" ht="20.5" customHeight="1" thickBot="1">
      <c r="B313" s="362" t="s">
        <v>0</v>
      </c>
      <c r="C313" s="1186" t="s">
        <v>808</v>
      </c>
      <c r="D313" s="1187"/>
      <c r="E313" s="1187"/>
      <c r="F313" s="1187"/>
      <c r="G313" s="1187"/>
      <c r="H313" s="1187"/>
      <c r="I313" s="1187"/>
      <c r="J313" s="1187"/>
      <c r="K313" s="1187"/>
      <c r="L313" s="1188"/>
      <c r="M313" s="363"/>
      <c r="N313" s="363"/>
      <c r="P313" s="364" t="s">
        <v>713</v>
      </c>
      <c r="Q313" s="365"/>
      <c r="R313" s="366"/>
      <c r="S313" s="1176" t="s">
        <v>714</v>
      </c>
      <c r="T313" s="1160" t="s">
        <v>715</v>
      </c>
      <c r="U313" s="1161"/>
      <c r="V313" s="1160" t="s">
        <v>716</v>
      </c>
      <c r="W313" s="1161"/>
      <c r="X313" s="1160" t="s">
        <v>717</v>
      </c>
      <c r="Y313" s="1161"/>
      <c r="Z313" s="1160" t="s">
        <v>718</v>
      </c>
      <c r="AA313" s="1161"/>
      <c r="AB313" s="1160" t="s">
        <v>719</v>
      </c>
      <c r="AC313" s="1161"/>
      <c r="AE313" s="364" t="s">
        <v>720</v>
      </c>
      <c r="AF313" s="365"/>
      <c r="AG313" s="366"/>
      <c r="AH313" s="1176" t="s">
        <v>714</v>
      </c>
      <c r="AI313" s="1160" t="s">
        <v>715</v>
      </c>
      <c r="AJ313" s="1161"/>
      <c r="AK313" s="1160" t="s">
        <v>716</v>
      </c>
      <c r="AL313" s="1161"/>
      <c r="AM313" s="1160" t="s">
        <v>717</v>
      </c>
      <c r="AN313" s="1161"/>
      <c r="AO313" s="1160" t="s">
        <v>718</v>
      </c>
      <c r="AP313" s="1161"/>
      <c r="AQ313" s="1160" t="s">
        <v>719</v>
      </c>
      <c r="AR313" s="1161"/>
    </row>
    <row r="314" spans="1:44" ht="15" customHeight="1" thickBot="1">
      <c r="B314" s="1164" t="s">
        <v>4</v>
      </c>
      <c r="C314" s="1166">
        <v>2020</v>
      </c>
      <c r="D314" s="1166">
        <v>2030</v>
      </c>
      <c r="E314" s="1166">
        <v>2040</v>
      </c>
      <c r="F314" s="1166">
        <v>2050</v>
      </c>
      <c r="G314" s="1168" t="s">
        <v>721</v>
      </c>
      <c r="H314" s="1169"/>
      <c r="I314" s="1168" t="s">
        <v>648</v>
      </c>
      <c r="J314" s="1169"/>
      <c r="K314" s="1189" t="s">
        <v>2</v>
      </c>
      <c r="L314" s="1189" t="s">
        <v>3</v>
      </c>
      <c r="M314" s="367"/>
      <c r="N314" s="367"/>
      <c r="P314" s="1180" t="s">
        <v>0</v>
      </c>
      <c r="Q314" s="368"/>
      <c r="R314" s="368"/>
      <c r="S314" s="1177"/>
      <c r="T314" s="1162"/>
      <c r="U314" s="1163"/>
      <c r="V314" s="1162"/>
      <c r="W314" s="1163"/>
      <c r="X314" s="1162"/>
      <c r="Y314" s="1163"/>
      <c r="Z314" s="1162"/>
      <c r="AA314" s="1163"/>
      <c r="AB314" s="1162"/>
      <c r="AC314" s="1163"/>
      <c r="AE314" s="1180" t="s">
        <v>0</v>
      </c>
      <c r="AF314" s="368"/>
      <c r="AG314" s="368"/>
      <c r="AH314" s="1177"/>
      <c r="AI314" s="1162"/>
      <c r="AJ314" s="1163"/>
      <c r="AK314" s="1162"/>
      <c r="AL314" s="1163"/>
      <c r="AM314" s="1162"/>
      <c r="AN314" s="1163"/>
      <c r="AO314" s="1162"/>
      <c r="AP314" s="1163"/>
      <c r="AQ314" s="1162"/>
      <c r="AR314" s="1163"/>
    </row>
    <row r="315" spans="1:44" ht="15" customHeight="1" thickBot="1">
      <c r="B315" s="1165"/>
      <c r="C315" s="1167"/>
      <c r="D315" s="1167"/>
      <c r="E315" s="1167"/>
      <c r="F315" s="1167"/>
      <c r="G315" s="406" t="s">
        <v>649</v>
      </c>
      <c r="H315" s="406" t="s">
        <v>650</v>
      </c>
      <c r="I315" s="406" t="s">
        <v>649</v>
      </c>
      <c r="J315" s="406" t="s">
        <v>650</v>
      </c>
      <c r="K315" s="1190"/>
      <c r="L315" s="1190"/>
      <c r="M315" s="370"/>
      <c r="N315" s="370"/>
      <c r="P315" s="1181"/>
      <c r="Q315" s="1183" t="s">
        <v>722</v>
      </c>
      <c r="R315" s="1184" t="s">
        <v>723</v>
      </c>
      <c r="S315" s="1178"/>
      <c r="T315" s="1162"/>
      <c r="U315" s="1163"/>
      <c r="V315" s="1162"/>
      <c r="W315" s="1163"/>
      <c r="X315" s="1162"/>
      <c r="Y315" s="1163"/>
      <c r="Z315" s="1162"/>
      <c r="AA315" s="1163"/>
      <c r="AB315" s="1162"/>
      <c r="AC315" s="1163"/>
      <c r="AE315" s="1181"/>
      <c r="AF315" s="1183" t="s">
        <v>722</v>
      </c>
      <c r="AG315" s="1184" t="s">
        <v>723</v>
      </c>
      <c r="AH315" s="1178"/>
      <c r="AI315" s="1162"/>
      <c r="AJ315" s="1163"/>
      <c r="AK315" s="1162"/>
      <c r="AL315" s="1163"/>
      <c r="AM315" s="1162"/>
      <c r="AN315" s="1163"/>
      <c r="AO315" s="1162"/>
      <c r="AP315" s="1163"/>
      <c r="AQ315" s="1162"/>
      <c r="AR315" s="1163"/>
    </row>
    <row r="316" spans="1:44" ht="33" thickBot="1">
      <c r="B316" s="371" t="s">
        <v>651</v>
      </c>
      <c r="C316" s="372">
        <v>2.5</v>
      </c>
      <c r="D316" s="372">
        <v>2.5</v>
      </c>
      <c r="E316" s="372">
        <v>2.5</v>
      </c>
      <c r="F316" s="372">
        <v>2.5</v>
      </c>
      <c r="G316" s="372">
        <v>1</v>
      </c>
      <c r="H316" s="372">
        <v>10</v>
      </c>
      <c r="I316" s="372">
        <v>1</v>
      </c>
      <c r="J316" s="372">
        <v>10</v>
      </c>
      <c r="K316" s="372"/>
      <c r="L316" s="373">
        <v>2</v>
      </c>
      <c r="M316" s="370"/>
      <c r="N316" s="370"/>
      <c r="O316" s="74"/>
      <c r="P316" s="1182"/>
      <c r="Q316" s="1179"/>
      <c r="R316" s="1185"/>
      <c r="S316" s="1179"/>
      <c r="T316" s="374" t="s">
        <v>726</v>
      </c>
      <c r="U316" s="375" t="s">
        <v>727</v>
      </c>
      <c r="V316" s="374" t="s">
        <v>726</v>
      </c>
      <c r="W316" s="375" t="s">
        <v>727</v>
      </c>
      <c r="X316" s="374" t="s">
        <v>726</v>
      </c>
      <c r="Y316" s="375" t="s">
        <v>727</v>
      </c>
      <c r="Z316" s="374" t="s">
        <v>726</v>
      </c>
      <c r="AA316" s="375" t="s">
        <v>727</v>
      </c>
      <c r="AB316" s="374" t="s">
        <v>726</v>
      </c>
      <c r="AC316" s="375" t="s">
        <v>727</v>
      </c>
      <c r="AE316" s="1182"/>
      <c r="AF316" s="1179"/>
      <c r="AG316" s="1185"/>
      <c r="AH316" s="1179"/>
      <c r="AI316" s="374" t="s">
        <v>726</v>
      </c>
      <c r="AJ316" s="375" t="s">
        <v>727</v>
      </c>
      <c r="AK316" s="374" t="s">
        <v>726</v>
      </c>
      <c r="AL316" s="375" t="s">
        <v>727</v>
      </c>
      <c r="AM316" s="374" t="s">
        <v>726</v>
      </c>
      <c r="AN316" s="375" t="s">
        <v>727</v>
      </c>
      <c r="AO316" s="374" t="s">
        <v>726</v>
      </c>
      <c r="AP316" s="375" t="s">
        <v>727</v>
      </c>
      <c r="AQ316" s="374" t="s">
        <v>726</v>
      </c>
      <c r="AR316" s="375" t="s">
        <v>727</v>
      </c>
    </row>
    <row r="317" spans="1:44" ht="14.5" customHeight="1">
      <c r="B317" s="574" t="s">
        <v>728</v>
      </c>
      <c r="C317" s="575">
        <v>100</v>
      </c>
      <c r="D317" s="575">
        <v>100</v>
      </c>
      <c r="E317" s="575">
        <v>100</v>
      </c>
      <c r="F317" s="575">
        <v>100</v>
      </c>
      <c r="G317" s="576">
        <v>100</v>
      </c>
      <c r="H317" s="576">
        <v>100</v>
      </c>
      <c r="I317" s="576">
        <v>100</v>
      </c>
      <c r="J317" s="576">
        <v>100</v>
      </c>
      <c r="K317" s="372" t="s">
        <v>6</v>
      </c>
      <c r="L317" s="373">
        <v>2</v>
      </c>
      <c r="M317" s="370"/>
      <c r="N317" s="370"/>
      <c r="P317" s="1148" t="str">
        <f>C313</f>
        <v>Direct Firing, Natural Gas</v>
      </c>
      <c r="Q317" s="1154" t="s">
        <v>730</v>
      </c>
      <c r="R317" s="381" t="s">
        <v>731</v>
      </c>
      <c r="S317" s="382" t="s">
        <v>738</v>
      </c>
      <c r="T317" s="1137">
        <v>1</v>
      </c>
      <c r="U317" s="1151">
        <v>0</v>
      </c>
      <c r="V317" s="1137">
        <v>1</v>
      </c>
      <c r="W317" s="1151">
        <v>0</v>
      </c>
      <c r="X317" s="1137">
        <v>1</v>
      </c>
      <c r="Y317" s="1151">
        <v>0</v>
      </c>
      <c r="Z317" s="1137">
        <v>0.2</v>
      </c>
      <c r="AA317" s="1151">
        <v>0</v>
      </c>
      <c r="AB317" s="1157">
        <v>1</v>
      </c>
      <c r="AC317" s="1151">
        <v>0</v>
      </c>
      <c r="AE317" s="1148" t="str">
        <f>P317</f>
        <v>Direct Firing, Natural Gas</v>
      </c>
      <c r="AF317" s="1154" t="s">
        <v>730</v>
      </c>
      <c r="AG317" s="381" t="s">
        <v>731</v>
      </c>
      <c r="AH317" s="382" t="str">
        <f>S317</f>
        <v>x</v>
      </c>
      <c r="AI317" s="1137">
        <v>0.75</v>
      </c>
      <c r="AJ317" s="1151">
        <v>0</v>
      </c>
      <c r="AK317" s="1137">
        <v>0.75</v>
      </c>
      <c r="AL317" s="1151">
        <v>0</v>
      </c>
      <c r="AM317" s="1137">
        <v>0.4</v>
      </c>
      <c r="AN317" s="1151">
        <v>0</v>
      </c>
      <c r="AO317" s="1137">
        <v>0.2</v>
      </c>
      <c r="AP317" s="1151">
        <v>0</v>
      </c>
      <c r="AQ317" s="1157">
        <v>0.1</v>
      </c>
      <c r="AR317" s="1151">
        <v>0</v>
      </c>
    </row>
    <row r="318" spans="1:44">
      <c r="B318" s="383" t="s">
        <v>732</v>
      </c>
      <c r="C318" s="577">
        <v>100</v>
      </c>
      <c r="D318" s="577">
        <v>100</v>
      </c>
      <c r="E318" s="577">
        <v>100</v>
      </c>
      <c r="F318" s="577">
        <v>100</v>
      </c>
      <c r="G318" s="576">
        <v>100</v>
      </c>
      <c r="H318" s="576">
        <v>100</v>
      </c>
      <c r="I318" s="576">
        <v>100</v>
      </c>
      <c r="J318" s="576">
        <v>100</v>
      </c>
      <c r="K318" s="372" t="s">
        <v>6</v>
      </c>
      <c r="L318" s="373">
        <v>2</v>
      </c>
      <c r="M318" s="370"/>
      <c r="N318" s="370"/>
      <c r="O318" s="71"/>
      <c r="P318" s="1149"/>
      <c r="Q318" s="1155"/>
      <c r="R318" s="388" t="s">
        <v>733</v>
      </c>
      <c r="S318" s="389" t="s">
        <v>738</v>
      </c>
      <c r="T318" s="1140"/>
      <c r="U318" s="1152"/>
      <c r="V318" s="1140"/>
      <c r="W318" s="1152"/>
      <c r="X318" s="1140"/>
      <c r="Y318" s="1152"/>
      <c r="Z318" s="1140"/>
      <c r="AA318" s="1152"/>
      <c r="AB318" s="1158"/>
      <c r="AC318" s="1152"/>
      <c r="AE318" s="1149"/>
      <c r="AF318" s="1155"/>
      <c r="AG318" s="388" t="s">
        <v>733</v>
      </c>
      <c r="AH318" s="389" t="s">
        <v>738</v>
      </c>
      <c r="AI318" s="1140"/>
      <c r="AJ318" s="1152"/>
      <c r="AK318" s="1140"/>
      <c r="AL318" s="1152"/>
      <c r="AM318" s="1140"/>
      <c r="AN318" s="1152"/>
      <c r="AO318" s="1140"/>
      <c r="AP318" s="1152"/>
      <c r="AQ318" s="1158"/>
      <c r="AR318" s="1152"/>
    </row>
    <row r="319" spans="1:44" ht="16" thickBot="1">
      <c r="B319" s="574" t="s">
        <v>734</v>
      </c>
      <c r="C319" s="578">
        <v>0.25</v>
      </c>
      <c r="D319" s="578">
        <v>0.25</v>
      </c>
      <c r="E319" s="578">
        <v>0.25</v>
      </c>
      <c r="F319" s="578">
        <v>0.25</v>
      </c>
      <c r="G319" s="578">
        <v>0.1</v>
      </c>
      <c r="H319" s="578">
        <v>1</v>
      </c>
      <c r="I319" s="578">
        <v>0.1</v>
      </c>
      <c r="J319" s="578">
        <v>1</v>
      </c>
      <c r="K319" s="579"/>
      <c r="L319" s="580" t="s">
        <v>809</v>
      </c>
      <c r="M319" s="370"/>
      <c r="N319" s="370"/>
      <c r="O319" s="71"/>
      <c r="P319" s="1149"/>
      <c r="Q319" s="1156"/>
      <c r="R319" s="393" t="s">
        <v>735</v>
      </c>
      <c r="S319" s="394" t="s">
        <v>738</v>
      </c>
      <c r="T319" s="1141"/>
      <c r="U319" s="1153"/>
      <c r="V319" s="1141"/>
      <c r="W319" s="1153"/>
      <c r="X319" s="1141"/>
      <c r="Y319" s="1153"/>
      <c r="Z319" s="1141"/>
      <c r="AA319" s="1153"/>
      <c r="AB319" s="1159"/>
      <c r="AC319" s="1153"/>
      <c r="AE319" s="1149"/>
      <c r="AF319" s="1156"/>
      <c r="AG319" s="393" t="s">
        <v>735</v>
      </c>
      <c r="AH319" s="394" t="s">
        <v>738</v>
      </c>
      <c r="AI319" s="1141"/>
      <c r="AJ319" s="1153"/>
      <c r="AK319" s="1141"/>
      <c r="AL319" s="1153"/>
      <c r="AM319" s="1141"/>
      <c r="AN319" s="1153"/>
      <c r="AO319" s="1141"/>
      <c r="AP319" s="1153"/>
      <c r="AQ319" s="1159"/>
      <c r="AR319" s="1153"/>
    </row>
    <row r="320" spans="1:44" ht="14.5" customHeight="1">
      <c r="B320" s="574" t="s">
        <v>657</v>
      </c>
      <c r="C320" s="581">
        <v>0.25</v>
      </c>
      <c r="D320" s="581">
        <v>0.25</v>
      </c>
      <c r="E320" s="581">
        <v>0.25</v>
      </c>
      <c r="F320" s="581">
        <v>0.25</v>
      </c>
      <c r="G320" s="581">
        <v>0</v>
      </c>
      <c r="H320" s="581">
        <v>0.5</v>
      </c>
      <c r="I320" s="581">
        <v>0</v>
      </c>
      <c r="J320" s="581">
        <v>0.5</v>
      </c>
      <c r="K320" s="579"/>
      <c r="L320" s="580">
        <v>2</v>
      </c>
      <c r="M320" s="370"/>
      <c r="N320" s="370"/>
      <c r="O320" s="71"/>
      <c r="P320" s="1149"/>
      <c r="Q320" s="1145" t="s">
        <v>736</v>
      </c>
      <c r="R320" s="395" t="s">
        <v>737</v>
      </c>
      <c r="S320" s="396" t="s">
        <v>738</v>
      </c>
      <c r="T320" s="1137">
        <v>1</v>
      </c>
      <c r="U320" s="1137">
        <v>0</v>
      </c>
      <c r="V320" s="1137">
        <v>1</v>
      </c>
      <c r="W320" s="1137">
        <v>0</v>
      </c>
      <c r="X320" s="1137">
        <v>1</v>
      </c>
      <c r="Y320" s="1137">
        <v>0</v>
      </c>
      <c r="Z320" s="1137">
        <v>1</v>
      </c>
      <c r="AA320" s="1137">
        <v>0</v>
      </c>
      <c r="AB320" s="1137">
        <v>0</v>
      </c>
      <c r="AC320" s="1137">
        <v>0</v>
      </c>
      <c r="AE320" s="1149"/>
      <c r="AF320" s="1145" t="s">
        <v>736</v>
      </c>
      <c r="AG320" s="395" t="s">
        <v>737</v>
      </c>
      <c r="AH320" s="396" t="s">
        <v>738</v>
      </c>
      <c r="AI320" s="1137">
        <v>0.75</v>
      </c>
      <c r="AJ320" s="1137">
        <v>0</v>
      </c>
      <c r="AK320" s="1137">
        <v>0.75</v>
      </c>
      <c r="AL320" s="1137">
        <v>0</v>
      </c>
      <c r="AM320" s="1137">
        <v>0.3</v>
      </c>
      <c r="AN320" s="1137">
        <v>0</v>
      </c>
      <c r="AO320" s="1137">
        <v>0.75</v>
      </c>
      <c r="AP320" s="1137">
        <v>0</v>
      </c>
      <c r="AQ320" s="1137">
        <v>0</v>
      </c>
      <c r="AR320" s="1137">
        <v>0</v>
      </c>
    </row>
    <row r="321" spans="1:44">
      <c r="B321" s="574" t="s">
        <v>658</v>
      </c>
      <c r="C321" s="582">
        <v>0.5</v>
      </c>
      <c r="D321" s="582">
        <v>0.5</v>
      </c>
      <c r="E321" s="582">
        <v>0.5</v>
      </c>
      <c r="F321" s="582">
        <v>0.5</v>
      </c>
      <c r="G321" s="582">
        <v>0</v>
      </c>
      <c r="H321" s="582">
        <v>1</v>
      </c>
      <c r="I321" s="582">
        <v>0</v>
      </c>
      <c r="J321" s="582">
        <v>1</v>
      </c>
      <c r="K321" s="579"/>
      <c r="L321" s="580">
        <v>2</v>
      </c>
      <c r="M321" s="367"/>
      <c r="N321" s="367"/>
      <c r="O321" s="71"/>
      <c r="P321" s="1149"/>
      <c r="Q321" s="1146"/>
      <c r="R321" s="395" t="s">
        <v>739</v>
      </c>
      <c r="S321" s="396" t="s">
        <v>738</v>
      </c>
      <c r="T321" s="1138"/>
      <c r="U321" s="1138"/>
      <c r="V321" s="1138"/>
      <c r="W321" s="1138"/>
      <c r="X321" s="1138"/>
      <c r="Y321" s="1138"/>
      <c r="Z321" s="1138"/>
      <c r="AA321" s="1138"/>
      <c r="AB321" s="1140"/>
      <c r="AC321" s="1138"/>
      <c r="AE321" s="1149"/>
      <c r="AF321" s="1146"/>
      <c r="AG321" s="395" t="s">
        <v>739</v>
      </c>
      <c r="AH321" s="396" t="s">
        <v>738</v>
      </c>
      <c r="AI321" s="1138"/>
      <c r="AJ321" s="1138"/>
      <c r="AK321" s="1138"/>
      <c r="AL321" s="1138"/>
      <c r="AM321" s="1138"/>
      <c r="AN321" s="1138"/>
      <c r="AO321" s="1138"/>
      <c r="AP321" s="1138"/>
      <c r="AQ321" s="1140"/>
      <c r="AR321" s="1138"/>
    </row>
    <row r="322" spans="1:44">
      <c r="B322" s="383" t="s">
        <v>11</v>
      </c>
      <c r="C322" s="397">
        <v>15</v>
      </c>
      <c r="D322" s="397">
        <v>15</v>
      </c>
      <c r="E322" s="397">
        <v>15</v>
      </c>
      <c r="F322" s="397">
        <v>15</v>
      </c>
      <c r="G322" s="398">
        <v>10</v>
      </c>
      <c r="H322" s="398">
        <v>20</v>
      </c>
      <c r="I322" s="398">
        <v>10</v>
      </c>
      <c r="J322" s="398">
        <v>20</v>
      </c>
      <c r="K322" s="372"/>
      <c r="L322" s="373">
        <v>4</v>
      </c>
      <c r="M322" s="363"/>
      <c r="N322" s="363"/>
      <c r="P322" s="1149"/>
      <c r="Q322" s="1146"/>
      <c r="R322" s="395" t="s">
        <v>741</v>
      </c>
      <c r="S322" s="396"/>
      <c r="T322" s="1138"/>
      <c r="U322" s="1138"/>
      <c r="V322" s="1138"/>
      <c r="W322" s="1138"/>
      <c r="X322" s="1138"/>
      <c r="Y322" s="1138"/>
      <c r="Z322" s="1138"/>
      <c r="AA322" s="1138"/>
      <c r="AB322" s="1140"/>
      <c r="AC322" s="1138"/>
      <c r="AE322" s="1149"/>
      <c r="AF322" s="1146"/>
      <c r="AG322" s="395" t="s">
        <v>741</v>
      </c>
      <c r="AH322" s="396"/>
      <c r="AI322" s="1138"/>
      <c r="AJ322" s="1138"/>
      <c r="AK322" s="1138"/>
      <c r="AL322" s="1138"/>
      <c r="AM322" s="1138"/>
      <c r="AN322" s="1138"/>
      <c r="AO322" s="1138"/>
      <c r="AP322" s="1138"/>
      <c r="AQ322" s="1140"/>
      <c r="AR322" s="1138"/>
    </row>
    <row r="323" spans="1:44" ht="16" thickBot="1">
      <c r="B323" s="574" t="s">
        <v>273</v>
      </c>
      <c r="C323" s="582">
        <v>0.01</v>
      </c>
      <c r="D323" s="582">
        <v>0.01</v>
      </c>
      <c r="E323" s="582">
        <v>0.01</v>
      </c>
      <c r="F323" s="582">
        <v>0.01</v>
      </c>
      <c r="G323" s="582">
        <v>0.01</v>
      </c>
      <c r="H323" s="582">
        <v>0.04</v>
      </c>
      <c r="I323" s="582">
        <v>0.01</v>
      </c>
      <c r="J323" s="582">
        <v>0.04</v>
      </c>
      <c r="K323" s="372"/>
      <c r="L323" s="373">
        <v>2</v>
      </c>
      <c r="M323" s="363"/>
      <c r="N323" s="363"/>
      <c r="P323" s="1149"/>
      <c r="Q323" s="1146"/>
      <c r="R323" s="395" t="s">
        <v>742</v>
      </c>
      <c r="S323" s="396"/>
      <c r="T323" s="1138"/>
      <c r="U323" s="1138"/>
      <c r="V323" s="1138"/>
      <c r="W323" s="1138"/>
      <c r="X323" s="1138"/>
      <c r="Y323" s="1138"/>
      <c r="Z323" s="1138"/>
      <c r="AA323" s="1138"/>
      <c r="AB323" s="1140"/>
      <c r="AC323" s="1138"/>
      <c r="AE323" s="1149"/>
      <c r="AF323" s="1146"/>
      <c r="AG323" s="395" t="s">
        <v>742</v>
      </c>
      <c r="AH323" s="396"/>
      <c r="AI323" s="1138"/>
      <c r="AJ323" s="1138"/>
      <c r="AK323" s="1138"/>
      <c r="AL323" s="1138"/>
      <c r="AM323" s="1138"/>
      <c r="AN323" s="1138"/>
      <c r="AO323" s="1138"/>
      <c r="AP323" s="1138"/>
      <c r="AQ323" s="1140"/>
      <c r="AR323" s="1138"/>
    </row>
    <row r="324" spans="1:44" ht="16" thickBot="1">
      <c r="B324" s="401" t="s">
        <v>743</v>
      </c>
      <c r="C324" s="583"/>
      <c r="D324" s="584"/>
      <c r="E324" s="585"/>
      <c r="F324" s="586"/>
      <c r="G324" s="406"/>
      <c r="H324" s="406"/>
      <c r="I324" s="406"/>
      <c r="J324" s="406"/>
      <c r="K324" s="407"/>
      <c r="L324" s="587"/>
      <c r="M324" s="363"/>
      <c r="N324" s="363"/>
      <c r="P324" s="1149"/>
      <c r="Q324" s="1147"/>
      <c r="R324" s="409" t="s">
        <v>744</v>
      </c>
      <c r="S324" s="410" t="s">
        <v>738</v>
      </c>
      <c r="T324" s="1139"/>
      <c r="U324" s="1139"/>
      <c r="V324" s="1139"/>
      <c r="W324" s="1139"/>
      <c r="X324" s="1139"/>
      <c r="Y324" s="1139"/>
      <c r="Z324" s="1139"/>
      <c r="AA324" s="1139"/>
      <c r="AB324" s="1141"/>
      <c r="AC324" s="1139"/>
      <c r="AE324" s="1149"/>
      <c r="AF324" s="1147"/>
      <c r="AG324" s="409" t="s">
        <v>744</v>
      </c>
      <c r="AH324" s="410" t="s">
        <v>738</v>
      </c>
      <c r="AI324" s="1139"/>
      <c r="AJ324" s="1139"/>
      <c r="AK324" s="1139"/>
      <c r="AL324" s="1139"/>
      <c r="AM324" s="1139"/>
      <c r="AN324" s="1139"/>
      <c r="AO324" s="1139"/>
      <c r="AP324" s="1139"/>
      <c r="AQ324" s="1141"/>
      <c r="AR324" s="1139"/>
    </row>
    <row r="325" spans="1:44" ht="33" thickBot="1">
      <c r="B325" s="574" t="s">
        <v>663</v>
      </c>
      <c r="C325" s="588">
        <v>10</v>
      </c>
      <c r="D325" s="588">
        <v>10</v>
      </c>
      <c r="E325" s="588">
        <v>10</v>
      </c>
      <c r="F325" s="588">
        <v>10</v>
      </c>
      <c r="G325" s="589"/>
      <c r="H325" s="589"/>
      <c r="I325" s="590"/>
      <c r="J325" s="590"/>
      <c r="K325" s="579"/>
      <c r="L325" s="580">
        <v>6</v>
      </c>
      <c r="M325" s="363"/>
      <c r="N325" s="363"/>
      <c r="P325" s="1150"/>
      <c r="Q325" s="411" t="s">
        <v>745</v>
      </c>
      <c r="R325" s="412" t="s">
        <v>746</v>
      </c>
      <c r="S325" s="413"/>
      <c r="T325" s="591">
        <v>0</v>
      </c>
      <c r="U325" s="592">
        <v>0</v>
      </c>
      <c r="V325" s="593">
        <v>0</v>
      </c>
      <c r="W325" s="592">
        <v>0</v>
      </c>
      <c r="X325" s="593">
        <v>0</v>
      </c>
      <c r="Y325" s="592">
        <v>0</v>
      </c>
      <c r="Z325" s="593">
        <v>0</v>
      </c>
      <c r="AA325" s="592">
        <v>0</v>
      </c>
      <c r="AB325" s="593">
        <v>0</v>
      </c>
      <c r="AC325" s="594">
        <v>0</v>
      </c>
      <c r="AE325" s="1150"/>
      <c r="AF325" s="411" t="s">
        <v>745</v>
      </c>
      <c r="AG325" s="412" t="s">
        <v>746</v>
      </c>
      <c r="AH325" s="413"/>
      <c r="AI325" s="591">
        <v>0</v>
      </c>
      <c r="AJ325" s="592">
        <v>0</v>
      </c>
      <c r="AK325" s="593">
        <v>0</v>
      </c>
      <c r="AL325" s="592">
        <v>0</v>
      </c>
      <c r="AM325" s="593">
        <v>0</v>
      </c>
      <c r="AN325" s="592">
        <v>0</v>
      </c>
      <c r="AO325" s="593">
        <v>0</v>
      </c>
      <c r="AP325" s="592">
        <v>0</v>
      </c>
      <c r="AQ325" s="593">
        <v>0</v>
      </c>
      <c r="AR325" s="594">
        <v>0</v>
      </c>
    </row>
    <row r="326" spans="1:44">
      <c r="B326" s="574" t="s">
        <v>664</v>
      </c>
      <c r="C326" s="582">
        <v>0.01</v>
      </c>
      <c r="D326" s="582">
        <v>0.01</v>
      </c>
      <c r="E326" s="582">
        <v>0.01</v>
      </c>
      <c r="F326" s="582">
        <v>0.01</v>
      </c>
      <c r="G326" s="595"/>
      <c r="H326" s="595"/>
      <c r="I326" s="595"/>
      <c r="J326" s="595"/>
      <c r="K326" s="596"/>
      <c r="L326" s="580">
        <v>2</v>
      </c>
      <c r="M326" s="363"/>
      <c r="N326" s="363"/>
    </row>
    <row r="327" spans="1:44">
      <c r="B327" s="574" t="s">
        <v>666</v>
      </c>
      <c r="C327" s="582">
        <v>0.01</v>
      </c>
      <c r="D327" s="582">
        <v>0.01</v>
      </c>
      <c r="E327" s="582">
        <v>0.01</v>
      </c>
      <c r="F327" s="582">
        <v>0.01</v>
      </c>
      <c r="G327" s="595"/>
      <c r="H327" s="595"/>
      <c r="I327" s="595"/>
      <c r="J327" s="595"/>
      <c r="K327" s="596"/>
      <c r="L327" s="580">
        <v>2</v>
      </c>
      <c r="M327" s="420"/>
      <c r="N327" s="363"/>
    </row>
    <row r="328" spans="1:44">
      <c r="B328" s="421" t="s">
        <v>12</v>
      </c>
      <c r="C328" s="399"/>
      <c r="D328" s="399"/>
      <c r="E328" s="399"/>
      <c r="F328" s="399"/>
      <c r="G328" s="422"/>
      <c r="H328" s="422"/>
      <c r="I328" s="422"/>
      <c r="J328" s="422"/>
      <c r="K328" s="423"/>
      <c r="L328" s="597"/>
      <c r="M328" s="420"/>
      <c r="N328" s="420"/>
    </row>
    <row r="329" spans="1:44" ht="16">
      <c r="B329" s="383" t="s">
        <v>747</v>
      </c>
      <c r="C329" s="397">
        <v>0.3</v>
      </c>
      <c r="D329" s="397">
        <v>0.3</v>
      </c>
      <c r="E329" s="397">
        <v>0.3</v>
      </c>
      <c r="F329" s="397">
        <v>0.3</v>
      </c>
      <c r="G329" s="422"/>
      <c r="H329" s="425"/>
      <c r="I329" s="425"/>
      <c r="J329" s="425"/>
      <c r="K329" s="426"/>
      <c r="L329" s="427">
        <v>1</v>
      </c>
      <c r="M329" s="428"/>
      <c r="N329" s="428"/>
    </row>
    <row r="330" spans="1:44">
      <c r="B330" s="383" t="s">
        <v>749</v>
      </c>
      <c r="C330" s="397">
        <v>0.1</v>
      </c>
      <c r="D330" s="397">
        <v>0.1</v>
      </c>
      <c r="E330" s="397">
        <v>0.1</v>
      </c>
      <c r="F330" s="397">
        <v>0.1</v>
      </c>
      <c r="G330" s="425"/>
      <c r="H330" s="425"/>
      <c r="I330" s="425"/>
      <c r="J330" s="425"/>
      <c r="K330" s="423"/>
      <c r="L330" s="427">
        <v>1</v>
      </c>
      <c r="M330" s="428"/>
      <c r="N330" s="428"/>
    </row>
    <row r="331" spans="1:44" ht="16">
      <c r="B331" s="383" t="s">
        <v>750</v>
      </c>
      <c r="C331" s="397">
        <v>9</v>
      </c>
      <c r="D331" s="397">
        <v>7</v>
      </c>
      <c r="E331" s="397">
        <v>6</v>
      </c>
      <c r="F331" s="397">
        <v>6</v>
      </c>
      <c r="G331" s="425"/>
      <c r="H331" s="425"/>
      <c r="I331" s="425"/>
      <c r="J331" s="425"/>
      <c r="K331" s="423"/>
      <c r="L331" s="427">
        <v>1</v>
      </c>
      <c r="M331" s="428"/>
      <c r="N331" s="428"/>
      <c r="T331" s="224">
        <f>C$23</f>
        <v>0.3</v>
      </c>
      <c r="U331" s="224">
        <f t="shared" ref="U331:V331" si="17">D$23</f>
        <v>0.3</v>
      </c>
      <c r="V331" s="224">
        <f t="shared" si="17"/>
        <v>0.3</v>
      </c>
    </row>
    <row r="332" spans="1:44">
      <c r="B332" s="383" t="s">
        <v>366</v>
      </c>
      <c r="C332" s="397">
        <v>3</v>
      </c>
      <c r="D332" s="397">
        <v>2</v>
      </c>
      <c r="E332" s="397">
        <v>2</v>
      </c>
      <c r="F332" s="397">
        <v>2</v>
      </c>
      <c r="G332" s="425"/>
      <c r="H332" s="425"/>
      <c r="I332" s="425"/>
      <c r="J332" s="425"/>
      <c r="K332" s="423"/>
      <c r="L332" s="427">
        <v>1</v>
      </c>
      <c r="M332" s="428"/>
      <c r="N332" s="428"/>
    </row>
    <row r="333" spans="1:44" ht="16" thickBot="1">
      <c r="B333" s="429" t="s">
        <v>367</v>
      </c>
      <c r="C333" s="397">
        <v>1</v>
      </c>
      <c r="D333" s="397">
        <v>1</v>
      </c>
      <c r="E333" s="397">
        <v>1</v>
      </c>
      <c r="F333" s="397">
        <v>1</v>
      </c>
      <c r="G333" s="425"/>
      <c r="H333" s="425"/>
      <c r="I333" s="425"/>
      <c r="J333" s="425"/>
      <c r="K333" s="423"/>
      <c r="L333" s="427">
        <v>1</v>
      </c>
      <c r="M333" s="428"/>
      <c r="N333" s="428"/>
    </row>
    <row r="334" spans="1:44" ht="16" thickBot="1">
      <c r="B334" s="431" t="s">
        <v>674</v>
      </c>
      <c r="C334" s="598"/>
      <c r="D334" s="584"/>
      <c r="E334" s="584"/>
      <c r="F334" s="599"/>
      <c r="G334" s="434"/>
      <c r="H334" s="406"/>
      <c r="I334" s="406"/>
      <c r="J334" s="406"/>
      <c r="K334" s="407"/>
      <c r="L334" s="587"/>
      <c r="M334" s="428"/>
      <c r="N334" s="428"/>
    </row>
    <row r="335" spans="1:44" ht="48">
      <c r="A335" s="435" t="s">
        <v>797</v>
      </c>
      <c r="B335" s="436" t="s">
        <v>792</v>
      </c>
      <c r="C335" s="600">
        <v>1.4999999999999999E-2</v>
      </c>
      <c r="D335" s="600">
        <v>1.4999999999999999E-2</v>
      </c>
      <c r="E335" s="600">
        <v>1.4999999999999999E-2</v>
      </c>
      <c r="F335" s="600">
        <v>1.4999999999999999E-2</v>
      </c>
      <c r="G335" s="425"/>
      <c r="H335" s="425"/>
      <c r="I335" s="425"/>
      <c r="J335" s="425"/>
      <c r="K335" s="426" t="s">
        <v>59</v>
      </c>
      <c r="L335" s="440" t="s">
        <v>810</v>
      </c>
      <c r="M335" s="420"/>
      <c r="N335" s="420"/>
    </row>
    <row r="336" spans="1:44">
      <c r="B336" s="441" t="s">
        <v>754</v>
      </c>
      <c r="C336" s="601">
        <v>66.666666666666657</v>
      </c>
      <c r="D336" s="601">
        <v>66.666666666666657</v>
      </c>
      <c r="E336" s="601">
        <v>66.666666666666657</v>
      </c>
      <c r="F336" s="601">
        <v>66.666666666666657</v>
      </c>
      <c r="G336" s="425"/>
      <c r="H336" s="425"/>
      <c r="I336" s="425"/>
      <c r="J336" s="425"/>
      <c r="K336" s="444"/>
      <c r="L336" s="373">
        <v>7</v>
      </c>
      <c r="M336" s="71"/>
      <c r="N336" s="420"/>
    </row>
    <row r="337" spans="2:30">
      <c r="B337" s="441" t="s">
        <v>755</v>
      </c>
      <c r="C337" s="601">
        <v>33.333333333333343</v>
      </c>
      <c r="D337" s="601">
        <v>33.333333333333343</v>
      </c>
      <c r="E337" s="601">
        <v>33.333333333333343</v>
      </c>
      <c r="F337" s="601">
        <v>33.333333333333343</v>
      </c>
      <c r="G337" s="425"/>
      <c r="H337" s="425"/>
      <c r="I337" s="425"/>
      <c r="J337" s="425"/>
      <c r="K337" s="444"/>
      <c r="L337" s="373">
        <v>7</v>
      </c>
      <c r="M337" s="420"/>
      <c r="N337" s="420"/>
    </row>
    <row r="338" spans="2:30">
      <c r="B338" s="383" t="s">
        <v>793</v>
      </c>
      <c r="C338" s="602">
        <f>181.818181818182/1000</f>
        <v>0.18181818181818202</v>
      </c>
      <c r="D338" s="603">
        <f>177.272727272727/1000</f>
        <v>0.177272727272727</v>
      </c>
      <c r="E338" s="603">
        <f>172.727272727273/1000</f>
        <v>0.17272727272727301</v>
      </c>
      <c r="F338" s="604">
        <f>154.545454545455/1000</f>
        <v>0.15454545454545499</v>
      </c>
      <c r="G338" s="425"/>
      <c r="H338" s="425"/>
      <c r="I338" s="425"/>
      <c r="J338" s="425"/>
      <c r="K338" s="444" t="s">
        <v>16</v>
      </c>
      <c r="L338" s="373" t="s">
        <v>811</v>
      </c>
      <c r="M338" s="420"/>
      <c r="N338" s="420"/>
    </row>
    <row r="339" spans="2:30">
      <c r="B339" s="383" t="s">
        <v>794</v>
      </c>
      <c r="C339" s="605">
        <f>(C340+C341)/3.6</f>
        <v>7.8472222222222207E-2</v>
      </c>
      <c r="D339" s="605">
        <f>(D340+D341)/3.6</f>
        <v>7.7083333333333337E-2</v>
      </c>
      <c r="E339" s="605">
        <f>(E340+E341)/3.6</f>
        <v>7.7777777777777779E-2</v>
      </c>
      <c r="F339" s="605">
        <f>(F340+F341)/3.6</f>
        <v>7.7777777777777779E-2</v>
      </c>
      <c r="G339" s="425"/>
      <c r="H339" s="425"/>
      <c r="I339" s="425"/>
      <c r="J339" s="425"/>
      <c r="K339" s="444"/>
      <c r="L339" s="373">
        <v>1</v>
      </c>
      <c r="M339" s="450"/>
      <c r="N339" s="361"/>
      <c r="P339" s="1142">
        <f>C339</f>
        <v>7.8472222222222207E-2</v>
      </c>
      <c r="Q339" s="1143"/>
      <c r="R339" s="1143"/>
      <c r="S339" s="1143"/>
      <c r="T339" s="1143"/>
      <c r="U339" s="1144"/>
    </row>
    <row r="340" spans="2:30" ht="16" thickBot="1">
      <c r="B340" s="541" t="s">
        <v>758</v>
      </c>
      <c r="C340" s="552">
        <f>C319/100*73</f>
        <v>0.1825</v>
      </c>
      <c r="D340" s="552">
        <f>D319/100*75</f>
        <v>0.1875</v>
      </c>
      <c r="E340" s="552">
        <f>E319/100*76</f>
        <v>0.19</v>
      </c>
      <c r="F340" s="552">
        <f>F319/100*76</f>
        <v>0.19</v>
      </c>
      <c r="G340" s="553"/>
      <c r="H340" s="553"/>
      <c r="I340" s="553"/>
      <c r="J340" s="553"/>
      <c r="K340" s="547" t="s">
        <v>20</v>
      </c>
      <c r="L340" s="548">
        <v>7</v>
      </c>
      <c r="M340" s="450"/>
      <c r="N340" s="361"/>
      <c r="P340" s="1134">
        <f>C340</f>
        <v>0.1825</v>
      </c>
      <c r="Q340" s="1135"/>
      <c r="R340" s="1135"/>
      <c r="S340" s="1135"/>
      <c r="T340" s="1135"/>
      <c r="U340" s="1136"/>
    </row>
    <row r="341" spans="2:30">
      <c r="B341" s="541" t="s">
        <v>759</v>
      </c>
      <c r="C341" s="606">
        <v>0.1</v>
      </c>
      <c r="D341" s="606">
        <v>9.0000000000000011E-2</v>
      </c>
      <c r="E341" s="606">
        <v>9.0000000000000011E-2</v>
      </c>
      <c r="F341" s="606">
        <v>9.0000000000000011E-2</v>
      </c>
      <c r="G341" s="553"/>
      <c r="H341" s="553"/>
      <c r="I341" s="553"/>
      <c r="J341" s="553"/>
      <c r="K341" s="547" t="s">
        <v>16</v>
      </c>
      <c r="L341" s="548">
        <v>1</v>
      </c>
      <c r="M341" s="363"/>
      <c r="N341" s="363"/>
      <c r="P341" s="53" t="s">
        <v>357</v>
      </c>
    </row>
    <row r="342" spans="2:30" ht="30">
      <c r="B342" s="541"/>
      <c r="C342" s="607"/>
      <c r="D342" s="547"/>
      <c r="E342" s="547"/>
      <c r="F342" s="563"/>
      <c r="G342" s="550"/>
      <c r="H342" s="550"/>
      <c r="I342" s="550"/>
      <c r="J342" s="550"/>
      <c r="K342" s="547"/>
      <c r="L342" s="608"/>
      <c r="M342" s="367"/>
      <c r="N342" s="367"/>
      <c r="P342" s="46" t="s">
        <v>335</v>
      </c>
      <c r="Q342" s="46" t="s">
        <v>336</v>
      </c>
      <c r="R342" s="47" t="s">
        <v>337</v>
      </c>
      <c r="S342" s="47" t="s">
        <v>338</v>
      </c>
      <c r="T342" s="47" t="s">
        <v>339</v>
      </c>
      <c r="U342" s="48" t="s">
        <v>340</v>
      </c>
      <c r="V342" s="49" t="s">
        <v>341</v>
      </c>
      <c r="W342" s="49" t="s">
        <v>342</v>
      </c>
      <c r="X342" s="49" t="s">
        <v>343</v>
      </c>
      <c r="Y342" s="49" t="s">
        <v>344</v>
      </c>
      <c r="Z342" s="49" t="s">
        <v>345</v>
      </c>
      <c r="AA342" s="49" t="s">
        <v>346</v>
      </c>
      <c r="AB342" s="49" t="s">
        <v>347</v>
      </c>
      <c r="AC342" s="49" t="s">
        <v>348</v>
      </c>
      <c r="AD342" s="49" t="s">
        <v>349</v>
      </c>
    </row>
    <row r="343" spans="2:30" ht="27" thickBot="1">
      <c r="B343" s="566"/>
      <c r="C343" s="607"/>
      <c r="D343" s="609"/>
      <c r="E343" s="609"/>
      <c r="F343" s="610"/>
      <c r="G343" s="550"/>
      <c r="H343" s="550"/>
      <c r="I343" s="550"/>
      <c r="J343" s="550"/>
      <c r="K343" s="547"/>
      <c r="L343" s="608"/>
      <c r="M343" s="363"/>
      <c r="N343" s="363"/>
      <c r="O343" s="71" t="s">
        <v>812</v>
      </c>
      <c r="P343" s="50"/>
      <c r="Q343" s="50"/>
      <c r="R343" s="51"/>
      <c r="S343" s="51"/>
      <c r="T343" s="51"/>
      <c r="U343" s="51" t="s">
        <v>760</v>
      </c>
      <c r="V343" s="50" t="s">
        <v>761</v>
      </c>
      <c r="W343" s="50"/>
      <c r="X343" s="50"/>
      <c r="Y343" s="50"/>
      <c r="Z343" s="50"/>
      <c r="AA343" s="50"/>
      <c r="AB343" s="50"/>
      <c r="AC343" s="50"/>
      <c r="AD343" s="50"/>
    </row>
    <row r="344" spans="2:30" ht="33" thickBot="1">
      <c r="B344" s="611" t="s">
        <v>682</v>
      </c>
      <c r="C344" s="612"/>
      <c r="D344" s="613"/>
      <c r="E344" s="614"/>
      <c r="F344" s="615"/>
      <c r="G344" s="540"/>
      <c r="H344" s="540"/>
      <c r="I344" s="540"/>
      <c r="J344" s="540"/>
      <c r="K344" s="616"/>
      <c r="L344" s="617"/>
      <c r="M344" s="363"/>
      <c r="N344" s="363"/>
      <c r="O344" s="461" t="s">
        <v>732</v>
      </c>
      <c r="P344" s="56"/>
      <c r="Q344" s="56"/>
      <c r="R344" s="57"/>
      <c r="S344" s="57"/>
      <c r="T344" s="57"/>
      <c r="U344" s="56" t="s">
        <v>350</v>
      </c>
      <c r="V344" s="56" t="s">
        <v>326</v>
      </c>
      <c r="W344" s="56" t="s">
        <v>327</v>
      </c>
      <c r="X344" s="56" t="s">
        <v>351</v>
      </c>
      <c r="Y344" s="56" t="s">
        <v>351</v>
      </c>
      <c r="Z344" s="56" t="s">
        <v>352</v>
      </c>
      <c r="AA344" s="56" t="s">
        <v>352</v>
      </c>
      <c r="AB344" s="56" t="s">
        <v>352</v>
      </c>
      <c r="AC344" s="56" t="s">
        <v>352</v>
      </c>
      <c r="AD344" s="56" t="s">
        <v>352</v>
      </c>
    </row>
    <row r="345" spans="2:30">
      <c r="B345" s="556" t="s">
        <v>762</v>
      </c>
      <c r="C345" s="618" t="s">
        <v>36</v>
      </c>
      <c r="D345" s="618" t="s">
        <v>36</v>
      </c>
      <c r="E345" s="618" t="s">
        <v>36</v>
      </c>
      <c r="F345" s="618" t="s">
        <v>36</v>
      </c>
      <c r="G345" s="618"/>
      <c r="H345" s="618"/>
      <c r="I345" s="618"/>
      <c r="J345" s="618"/>
      <c r="K345" s="618" t="s">
        <v>76</v>
      </c>
      <c r="L345" s="619" t="s">
        <v>36</v>
      </c>
      <c r="M345" s="363"/>
      <c r="N345" s="363"/>
      <c r="O345" s="465">
        <f>C318</f>
        <v>100</v>
      </c>
      <c r="P345" s="466">
        <f>C314</f>
        <v>2020</v>
      </c>
      <c r="Q345" s="58">
        <f>P345</f>
        <v>2020</v>
      </c>
      <c r="R345" s="466">
        <f>O345/100</f>
        <v>1</v>
      </c>
      <c r="S345" s="58"/>
      <c r="T345" s="466">
        <f>C322</f>
        <v>15</v>
      </c>
      <c r="U345" s="467">
        <f>C352</f>
        <v>111.75</v>
      </c>
      <c r="V345" s="690">
        <f>C354</f>
        <v>1.3545454545454561</v>
      </c>
      <c r="W345" s="690">
        <f>C355</f>
        <v>0.58461805555555546</v>
      </c>
      <c r="X345" s="58"/>
      <c r="Y345" s="58"/>
      <c r="Z345" s="466">
        <f>C329</f>
        <v>0.3</v>
      </c>
      <c r="AA345" s="468">
        <f>C331</f>
        <v>9</v>
      </c>
      <c r="AB345" s="468">
        <f>C332</f>
        <v>3</v>
      </c>
      <c r="AC345" s="468">
        <f>C333</f>
        <v>1</v>
      </c>
      <c r="AD345" s="468">
        <f>C330</f>
        <v>0.1</v>
      </c>
    </row>
    <row r="346" spans="2:30">
      <c r="B346" s="541" t="s">
        <v>763</v>
      </c>
      <c r="C346" s="558" t="s">
        <v>36</v>
      </c>
      <c r="D346" s="558" t="s">
        <v>36</v>
      </c>
      <c r="E346" s="558" t="s">
        <v>36</v>
      </c>
      <c r="F346" s="558" t="s">
        <v>36</v>
      </c>
      <c r="G346" s="563"/>
      <c r="H346" s="563"/>
      <c r="I346" s="563"/>
      <c r="J346" s="563"/>
      <c r="K346" s="563"/>
      <c r="L346" s="548" t="s">
        <v>36</v>
      </c>
      <c r="M346" s="363"/>
      <c r="N346" s="363"/>
      <c r="O346" s="465">
        <f>D318</f>
        <v>100</v>
      </c>
      <c r="P346" s="466">
        <f>D314</f>
        <v>2030</v>
      </c>
      <c r="Q346" s="58"/>
      <c r="R346" s="466">
        <f>O346/100</f>
        <v>1</v>
      </c>
      <c r="S346" s="58"/>
      <c r="T346" s="466">
        <f>D322</f>
        <v>15</v>
      </c>
      <c r="U346" s="467">
        <f>D352</f>
        <v>111.75</v>
      </c>
      <c r="V346" s="690">
        <f>D354</f>
        <v>1.3206818181818161</v>
      </c>
      <c r="W346" s="690">
        <f>D355</f>
        <v>0.5742708333333334</v>
      </c>
      <c r="X346" s="58"/>
      <c r="Y346" s="58"/>
      <c r="Z346" s="466">
        <f>D329</f>
        <v>0.3</v>
      </c>
      <c r="AA346" s="468">
        <f>D331</f>
        <v>7</v>
      </c>
      <c r="AB346" s="468">
        <f>D332</f>
        <v>2</v>
      </c>
      <c r="AC346" s="468">
        <f>D333</f>
        <v>1</v>
      </c>
      <c r="AD346" s="468">
        <f>D330</f>
        <v>0.1</v>
      </c>
    </row>
    <row r="347" spans="2:30">
      <c r="B347" s="541" t="s">
        <v>764</v>
      </c>
      <c r="C347" s="558" t="s">
        <v>36</v>
      </c>
      <c r="D347" s="558" t="s">
        <v>36</v>
      </c>
      <c r="E347" s="558" t="s">
        <v>36</v>
      </c>
      <c r="F347" s="558" t="s">
        <v>36</v>
      </c>
      <c r="G347" s="563"/>
      <c r="H347" s="563"/>
      <c r="I347" s="563"/>
      <c r="J347" s="563"/>
      <c r="K347" s="563"/>
      <c r="L347" s="548"/>
      <c r="M347" s="363"/>
      <c r="N347" s="363"/>
      <c r="O347" s="465">
        <f>E318</f>
        <v>100</v>
      </c>
      <c r="P347" s="466">
        <f>E314</f>
        <v>2040</v>
      </c>
      <c r="Q347" s="58"/>
      <c r="R347" s="466">
        <f>O347/100</f>
        <v>1</v>
      </c>
      <c r="S347" s="58"/>
      <c r="T347" s="466">
        <f>E322</f>
        <v>15</v>
      </c>
      <c r="U347" s="467">
        <f>E352</f>
        <v>111.75</v>
      </c>
      <c r="V347" s="690">
        <f>E354</f>
        <v>1.2868181818181839</v>
      </c>
      <c r="W347" s="690">
        <f>E355</f>
        <v>0.57944444444444443</v>
      </c>
      <c r="X347" s="58"/>
      <c r="Y347" s="58"/>
      <c r="Z347" s="466">
        <f>E329</f>
        <v>0.3</v>
      </c>
      <c r="AA347" s="468">
        <f>E331</f>
        <v>6</v>
      </c>
      <c r="AB347" s="468">
        <f>E332</f>
        <v>2</v>
      </c>
      <c r="AC347" s="468">
        <f>E333</f>
        <v>1</v>
      </c>
      <c r="AD347" s="468">
        <f>E330</f>
        <v>0.1</v>
      </c>
    </row>
    <row r="348" spans="2:30">
      <c r="B348" s="541" t="s">
        <v>765</v>
      </c>
      <c r="C348" s="564">
        <v>90</v>
      </c>
      <c r="D348" s="564">
        <v>90</v>
      </c>
      <c r="E348" s="564">
        <v>90</v>
      </c>
      <c r="F348" s="564">
        <v>90</v>
      </c>
      <c r="G348" s="621"/>
      <c r="H348" s="621"/>
      <c r="I348" s="621"/>
      <c r="J348" s="621"/>
      <c r="K348" s="621"/>
      <c r="L348" s="548">
        <v>5</v>
      </c>
      <c r="M348" s="363"/>
      <c r="N348" s="363"/>
      <c r="O348" s="465">
        <f>F318</f>
        <v>100</v>
      </c>
      <c r="P348" s="466">
        <f>F314</f>
        <v>2050</v>
      </c>
      <c r="Q348" s="58"/>
      <c r="R348" s="466">
        <f>O348/100</f>
        <v>1</v>
      </c>
      <c r="S348" s="58"/>
      <c r="T348" s="466">
        <f>F322</f>
        <v>15</v>
      </c>
      <c r="U348" s="467">
        <f>F352</f>
        <v>111.75</v>
      </c>
      <c r="V348" s="690">
        <f>F354</f>
        <v>1.1513636363636397</v>
      </c>
      <c r="W348" s="690">
        <f>F355</f>
        <v>0.57944444444444443</v>
      </c>
      <c r="X348" s="58"/>
      <c r="Y348" s="58"/>
      <c r="Z348" s="466">
        <f>F329</f>
        <v>0.3</v>
      </c>
      <c r="AA348" s="468">
        <f>F331</f>
        <v>6</v>
      </c>
      <c r="AB348" s="468">
        <f>F332</f>
        <v>2</v>
      </c>
      <c r="AC348" s="468">
        <f>F333</f>
        <v>1</v>
      </c>
      <c r="AD348" s="468">
        <f>F330</f>
        <v>0.1</v>
      </c>
    </row>
    <row r="349" spans="2:30">
      <c r="B349" s="566" t="s">
        <v>766</v>
      </c>
      <c r="C349" s="558" t="s">
        <v>36</v>
      </c>
      <c r="D349" s="558" t="s">
        <v>36</v>
      </c>
      <c r="E349" s="558" t="s">
        <v>36</v>
      </c>
      <c r="F349" s="558" t="s">
        <v>36</v>
      </c>
      <c r="G349" s="563"/>
      <c r="H349" s="563"/>
      <c r="I349" s="563"/>
      <c r="J349" s="563"/>
      <c r="K349" s="563"/>
      <c r="L349" s="548"/>
      <c r="M349" s="367"/>
      <c r="N349" s="367"/>
    </row>
    <row r="350" spans="2:30">
      <c r="B350" s="566" t="s">
        <v>767</v>
      </c>
      <c r="C350" s="558" t="s">
        <v>36</v>
      </c>
      <c r="D350" s="558" t="s">
        <v>36</v>
      </c>
      <c r="E350" s="558" t="s">
        <v>36</v>
      </c>
      <c r="F350" s="558" t="s">
        <v>36</v>
      </c>
      <c r="G350" s="563"/>
      <c r="H350" s="563"/>
      <c r="I350" s="563"/>
      <c r="J350" s="563"/>
      <c r="K350" s="563"/>
      <c r="L350" s="548"/>
      <c r="M350" s="363"/>
      <c r="N350" s="363"/>
    </row>
    <row r="351" spans="2:30" ht="16" thickBot="1">
      <c r="B351" s="567" t="s">
        <v>768</v>
      </c>
      <c r="C351" s="622" t="s">
        <v>36</v>
      </c>
      <c r="D351" s="622" t="s">
        <v>36</v>
      </c>
      <c r="E351" s="622" t="s">
        <v>36</v>
      </c>
      <c r="F351" s="622" t="s">
        <v>36</v>
      </c>
      <c r="G351" s="623"/>
      <c r="H351" s="623"/>
      <c r="I351" s="623"/>
      <c r="J351" s="623"/>
      <c r="K351" s="623"/>
      <c r="L351" s="624"/>
      <c r="M351" s="363"/>
      <c r="N351" s="363"/>
    </row>
    <row r="352" spans="2:30" ht="64">
      <c r="B352" s="461" t="s">
        <v>769</v>
      </c>
      <c r="C352" s="483">
        <f>C335*$F$4*1000</f>
        <v>111.75</v>
      </c>
      <c r="D352" s="483">
        <f t="shared" ref="D352:F352" si="18">D335*$F$4*1000</f>
        <v>111.75</v>
      </c>
      <c r="E352" s="483">
        <f t="shared" si="18"/>
        <v>111.75</v>
      </c>
      <c r="F352" s="483">
        <f t="shared" si="18"/>
        <v>111.75</v>
      </c>
      <c r="G352" s="483"/>
      <c r="H352" s="484"/>
      <c r="I352" s="420" t="s">
        <v>332</v>
      </c>
      <c r="J352" s="420"/>
      <c r="K352" s="484"/>
      <c r="L352" s="484"/>
      <c r="N352" s="420"/>
    </row>
    <row r="353" spans="1:14">
      <c r="B353" s="485" t="s">
        <v>770</v>
      </c>
      <c r="C353" s="486">
        <f>C352*$I353</f>
        <v>55875</v>
      </c>
      <c r="D353" s="486">
        <f>D352*$I353</f>
        <v>55875</v>
      </c>
      <c r="E353" s="486">
        <f>E352*$I353</f>
        <v>55875</v>
      </c>
      <c r="F353" s="486">
        <f>F352*$I353</f>
        <v>55875</v>
      </c>
      <c r="G353" s="486"/>
      <c r="H353" s="484"/>
      <c r="I353" s="71">
        <v>500</v>
      </c>
      <c r="J353" s="420" t="s">
        <v>330</v>
      </c>
      <c r="K353" s="484"/>
      <c r="L353" s="484"/>
      <c r="N353" s="420"/>
    </row>
    <row r="354" spans="1:14" ht="48">
      <c r="B354" s="461" t="s">
        <v>771</v>
      </c>
      <c r="C354" s="359">
        <f>C338*$F$4</f>
        <v>1.3545454545454561</v>
      </c>
      <c r="D354" s="359">
        <f t="shared" ref="D354:F355" si="19">D338*$F$4</f>
        <v>1.3206818181818161</v>
      </c>
      <c r="E354" s="359">
        <f t="shared" si="19"/>
        <v>1.2868181818181839</v>
      </c>
      <c r="F354" s="359">
        <f t="shared" si="19"/>
        <v>1.1513636363636397</v>
      </c>
      <c r="G354" s="359"/>
      <c r="I354" s="420" t="s">
        <v>333</v>
      </c>
      <c r="J354" s="420"/>
      <c r="N354" s="420"/>
    </row>
    <row r="355" spans="1:14" ht="48">
      <c r="B355" s="461" t="s">
        <v>772</v>
      </c>
      <c r="C355" s="487">
        <f>C339*$F$4</f>
        <v>0.58461805555555546</v>
      </c>
      <c r="D355" s="487">
        <f t="shared" si="19"/>
        <v>0.5742708333333334</v>
      </c>
      <c r="E355" s="487">
        <f t="shared" si="19"/>
        <v>0.57944444444444443</v>
      </c>
      <c r="F355" s="487">
        <f t="shared" si="19"/>
        <v>0.57944444444444443</v>
      </c>
      <c r="G355" s="359"/>
      <c r="M355" s="420"/>
      <c r="N355" s="420"/>
    </row>
    <row r="358" spans="1:14">
      <c r="A358" s="488" t="s">
        <v>773</v>
      </c>
      <c r="B358" s="489"/>
      <c r="D358" s="358"/>
      <c r="E358" s="358"/>
      <c r="F358" s="358"/>
      <c r="G358" s="358"/>
      <c r="H358" s="358"/>
      <c r="I358" s="358"/>
      <c r="J358" s="358"/>
      <c r="K358" s="358"/>
    </row>
    <row r="359" spans="1:14">
      <c r="A359" s="358">
        <v>1</v>
      </c>
      <c r="B359" s="490" t="s">
        <v>813</v>
      </c>
      <c r="E359" s="358"/>
      <c r="F359" s="358"/>
      <c r="G359" s="358"/>
      <c r="H359" s="358"/>
      <c r="I359" s="358"/>
      <c r="J359" s="358"/>
      <c r="K359" s="358"/>
    </row>
    <row r="360" spans="1:14">
      <c r="A360" s="358">
        <v>2</v>
      </c>
      <c r="B360" s="490" t="s">
        <v>814</v>
      </c>
      <c r="E360" s="358"/>
      <c r="F360" s="358"/>
      <c r="G360" s="358"/>
      <c r="H360" s="358"/>
      <c r="I360" s="358"/>
      <c r="J360" s="358"/>
      <c r="K360" s="358"/>
    </row>
    <row r="361" spans="1:14">
      <c r="A361" s="358">
        <v>3</v>
      </c>
      <c r="B361" s="490" t="s">
        <v>781</v>
      </c>
      <c r="E361" s="358"/>
      <c r="F361" s="358"/>
      <c r="G361" s="358"/>
      <c r="H361" s="358"/>
      <c r="I361" s="358"/>
      <c r="J361" s="358"/>
      <c r="K361" s="358"/>
    </row>
    <row r="362" spans="1:14">
      <c r="A362" s="358">
        <v>4</v>
      </c>
      <c r="B362" s="490" t="s">
        <v>815</v>
      </c>
      <c r="E362" s="358"/>
      <c r="F362" s="358"/>
      <c r="G362" s="358"/>
      <c r="H362" s="358"/>
      <c r="I362" s="358"/>
      <c r="J362" s="358"/>
      <c r="K362" s="358"/>
    </row>
    <row r="363" spans="1:14">
      <c r="A363" s="358">
        <v>5</v>
      </c>
      <c r="B363" s="490" t="s">
        <v>816</v>
      </c>
      <c r="E363" s="358"/>
      <c r="F363" s="358"/>
      <c r="G363" s="358"/>
      <c r="H363" s="358"/>
      <c r="I363" s="358"/>
      <c r="J363" s="358"/>
      <c r="K363" s="358"/>
    </row>
    <row r="364" spans="1:14">
      <c r="A364" s="358">
        <v>6</v>
      </c>
      <c r="B364" s="490" t="s">
        <v>817</v>
      </c>
      <c r="E364" s="358"/>
      <c r="F364" s="358"/>
      <c r="G364" s="358"/>
      <c r="H364" s="358"/>
      <c r="I364" s="358"/>
      <c r="J364" s="358"/>
      <c r="K364" s="358"/>
    </row>
    <row r="365" spans="1:14">
      <c r="A365" s="358">
        <v>7</v>
      </c>
      <c r="B365" s="490" t="s">
        <v>818</v>
      </c>
      <c r="E365" s="358"/>
      <c r="F365" s="358"/>
      <c r="G365" s="358"/>
      <c r="H365" s="358"/>
      <c r="I365" s="358"/>
      <c r="J365" s="358"/>
      <c r="K365" s="358"/>
    </row>
    <row r="366" spans="1:14">
      <c r="A366" s="358">
        <v>8</v>
      </c>
      <c r="B366" s="625" t="s">
        <v>819</v>
      </c>
      <c r="E366" s="358"/>
      <c r="F366" s="358"/>
      <c r="G366" s="358"/>
      <c r="H366" s="358"/>
      <c r="I366" s="358"/>
      <c r="J366" s="358"/>
      <c r="K366" s="358"/>
    </row>
    <row r="367" spans="1:14">
      <c r="A367" s="358">
        <v>9</v>
      </c>
      <c r="B367" s="490" t="s">
        <v>820</v>
      </c>
      <c r="E367" s="358"/>
      <c r="F367" s="358"/>
      <c r="G367" s="358"/>
      <c r="H367" s="358"/>
      <c r="I367" s="358"/>
      <c r="J367" s="358"/>
      <c r="K367" s="358"/>
    </row>
    <row r="368" spans="1:14">
      <c r="A368" s="488" t="s">
        <v>783</v>
      </c>
      <c r="B368" s="489"/>
      <c r="E368" s="358"/>
      <c r="F368" s="358"/>
      <c r="G368" s="358"/>
      <c r="H368" s="358"/>
      <c r="I368" s="358"/>
      <c r="J368" s="358"/>
      <c r="K368" s="358"/>
    </row>
    <row r="369" spans="1:11">
      <c r="A369" s="496" t="s">
        <v>6</v>
      </c>
      <c r="B369" s="490" t="s">
        <v>821</v>
      </c>
      <c r="C369" s="489"/>
      <c r="E369" s="358"/>
      <c r="F369" s="358"/>
      <c r="G369" s="358"/>
      <c r="H369" s="358"/>
      <c r="I369" s="358"/>
      <c r="J369" s="358"/>
      <c r="K369" s="358"/>
    </row>
    <row r="370" spans="1:11">
      <c r="A370" s="496" t="s">
        <v>59</v>
      </c>
      <c r="B370" s="490" t="s">
        <v>822</v>
      </c>
      <c r="C370" s="489"/>
      <c r="E370" s="358"/>
      <c r="F370" s="358"/>
      <c r="G370" s="358"/>
      <c r="H370" s="358"/>
      <c r="I370" s="358"/>
      <c r="J370" s="358"/>
      <c r="K370" s="358"/>
    </row>
    <row r="371" spans="1:11">
      <c r="A371" s="496" t="s">
        <v>16</v>
      </c>
      <c r="B371" s="490" t="s">
        <v>823</v>
      </c>
      <c r="C371" s="489"/>
      <c r="E371" s="358"/>
      <c r="F371" s="358"/>
      <c r="G371" s="358"/>
      <c r="H371" s="358"/>
      <c r="I371" s="358"/>
      <c r="J371" s="358"/>
      <c r="K371" s="358"/>
    </row>
    <row r="372" spans="1:11">
      <c r="A372" s="496" t="s">
        <v>20</v>
      </c>
      <c r="B372" s="490" t="s">
        <v>824</v>
      </c>
      <c r="C372" s="489"/>
      <c r="E372" s="358"/>
      <c r="F372" s="358"/>
      <c r="G372" s="358"/>
      <c r="H372" s="358"/>
      <c r="I372" s="358"/>
      <c r="J372" s="358"/>
      <c r="K372" s="358"/>
    </row>
    <row r="373" spans="1:11" ht="15.75" customHeight="1">
      <c r="A373" s="496" t="s">
        <v>76</v>
      </c>
      <c r="B373" s="490" t="s">
        <v>825</v>
      </c>
      <c r="C373" s="489"/>
      <c r="E373" s="358"/>
      <c r="F373" s="358"/>
      <c r="G373" s="358"/>
      <c r="H373" s="358"/>
      <c r="I373" s="358"/>
      <c r="J373" s="358"/>
      <c r="K373" s="358"/>
    </row>
    <row r="374" spans="1:11" ht="15.75" customHeight="1">
      <c r="A374" s="496"/>
      <c r="B374" s="490"/>
      <c r="C374" s="489"/>
      <c r="E374" s="358"/>
      <c r="F374" s="358"/>
      <c r="G374" s="358"/>
      <c r="H374" s="358"/>
      <c r="I374" s="358"/>
      <c r="J374" s="358"/>
      <c r="K374" s="358"/>
    </row>
  </sheetData>
  <mergeCells count="392">
    <mergeCell ref="P339:U339"/>
    <mergeCell ref="P340:U340"/>
    <mergeCell ref="AM320:AM324"/>
    <mergeCell ref="AN320:AN324"/>
    <mergeCell ref="AO320:AO324"/>
    <mergeCell ref="AP320:AP324"/>
    <mergeCell ref="AQ320:AQ324"/>
    <mergeCell ref="AR320:AR324"/>
    <mergeCell ref="AC320:AC324"/>
    <mergeCell ref="AF320:AF324"/>
    <mergeCell ref="AI320:AI324"/>
    <mergeCell ref="AJ320:AJ324"/>
    <mergeCell ref="AK320:AK324"/>
    <mergeCell ref="AL320:AL324"/>
    <mergeCell ref="W320:W324"/>
    <mergeCell ref="X320:X324"/>
    <mergeCell ref="Y320:Y324"/>
    <mergeCell ref="Z320:Z324"/>
    <mergeCell ref="AA320:AA324"/>
    <mergeCell ref="AB320:AB324"/>
    <mergeCell ref="AM317:AM319"/>
    <mergeCell ref="AN317:AN319"/>
    <mergeCell ref="AO317:AO319"/>
    <mergeCell ref="AP317:AP319"/>
    <mergeCell ref="AQ317:AQ319"/>
    <mergeCell ref="AR317:AR319"/>
    <mergeCell ref="AE317:AE325"/>
    <mergeCell ref="AF317:AF319"/>
    <mergeCell ref="AI317:AI319"/>
    <mergeCell ref="AJ317:AJ319"/>
    <mergeCell ref="AK317:AK319"/>
    <mergeCell ref="AL317:AL319"/>
    <mergeCell ref="X317:X319"/>
    <mergeCell ref="Y317:Y319"/>
    <mergeCell ref="Z317:Z319"/>
    <mergeCell ref="AA317:AA319"/>
    <mergeCell ref="AB317:AB319"/>
    <mergeCell ref="AC317:AC319"/>
    <mergeCell ref="P317:P325"/>
    <mergeCell ref="Q317:Q319"/>
    <mergeCell ref="T317:T319"/>
    <mergeCell ref="U317:U319"/>
    <mergeCell ref="V317:V319"/>
    <mergeCell ref="W317:W319"/>
    <mergeCell ref="Q320:Q324"/>
    <mergeCell ref="T320:T324"/>
    <mergeCell ref="U320:U324"/>
    <mergeCell ref="V320:V324"/>
    <mergeCell ref="AQ313:AR315"/>
    <mergeCell ref="B314:B315"/>
    <mergeCell ref="C314:C315"/>
    <mergeCell ref="D314:D315"/>
    <mergeCell ref="E314:E315"/>
    <mergeCell ref="F314:F315"/>
    <mergeCell ref="G314:H314"/>
    <mergeCell ref="I314:J314"/>
    <mergeCell ref="K314:K315"/>
    <mergeCell ref="Z313:AA315"/>
    <mergeCell ref="AB313:AC315"/>
    <mergeCell ref="AH313:AH316"/>
    <mergeCell ref="AI313:AJ315"/>
    <mergeCell ref="AK313:AL315"/>
    <mergeCell ref="AM313:AN315"/>
    <mergeCell ref="AE314:AE316"/>
    <mergeCell ref="AF315:AF316"/>
    <mergeCell ref="AG315:AG316"/>
    <mergeCell ref="AN251:AN253"/>
    <mergeCell ref="AO251:AO253"/>
    <mergeCell ref="AP251:AP253"/>
    <mergeCell ref="P274:U274"/>
    <mergeCell ref="C313:L313"/>
    <mergeCell ref="S313:S316"/>
    <mergeCell ref="T313:U315"/>
    <mergeCell ref="V313:W315"/>
    <mergeCell ref="X313:Y315"/>
    <mergeCell ref="L314:L315"/>
    <mergeCell ref="P314:P316"/>
    <mergeCell ref="Q315:Q316"/>
    <mergeCell ref="R315:R316"/>
    <mergeCell ref="AO313:AP315"/>
    <mergeCell ref="P273:U273"/>
    <mergeCell ref="AF254:AF258"/>
    <mergeCell ref="AI254:AI258"/>
    <mergeCell ref="AJ254:AJ258"/>
    <mergeCell ref="AK254:AK258"/>
    <mergeCell ref="AL254:AL258"/>
    <mergeCell ref="AM254:AM258"/>
    <mergeCell ref="X254:X258"/>
    <mergeCell ref="Y254:Y258"/>
    <mergeCell ref="Z254:Z258"/>
    <mergeCell ref="AA254:AA258"/>
    <mergeCell ref="AB254:AB258"/>
    <mergeCell ref="AC254:AC258"/>
    <mergeCell ref="P251:P259"/>
    <mergeCell ref="Q251:Q253"/>
    <mergeCell ref="T251:T253"/>
    <mergeCell ref="U251:U253"/>
    <mergeCell ref="V251:V253"/>
    <mergeCell ref="W251:W253"/>
    <mergeCell ref="X251:X253"/>
    <mergeCell ref="AQ251:AQ253"/>
    <mergeCell ref="AR251:AR253"/>
    <mergeCell ref="Q254:Q258"/>
    <mergeCell ref="T254:T258"/>
    <mergeCell ref="U254:U258"/>
    <mergeCell ref="V254:V258"/>
    <mergeCell ref="W254:W258"/>
    <mergeCell ref="AF251:AF253"/>
    <mergeCell ref="AI251:AI253"/>
    <mergeCell ref="AJ251:AJ253"/>
    <mergeCell ref="AK251:AK253"/>
    <mergeCell ref="AL251:AL253"/>
    <mergeCell ref="AM251:AM253"/>
    <mergeCell ref="Y251:Y253"/>
    <mergeCell ref="Z251:Z253"/>
    <mergeCell ref="AA251:AA253"/>
    <mergeCell ref="AB251:AB253"/>
    <mergeCell ref="AC251:AC253"/>
    <mergeCell ref="AE251:AE259"/>
    <mergeCell ref="AN254:AN258"/>
    <mergeCell ref="AO254:AO258"/>
    <mergeCell ref="AP254:AP258"/>
    <mergeCell ref="AQ254:AQ258"/>
    <mergeCell ref="AR254:AR258"/>
    <mergeCell ref="AM247:AN249"/>
    <mergeCell ref="AO247:AP249"/>
    <mergeCell ref="AQ247:AR249"/>
    <mergeCell ref="B248:B249"/>
    <mergeCell ref="C248:C249"/>
    <mergeCell ref="D248:D249"/>
    <mergeCell ref="E248:E249"/>
    <mergeCell ref="F248:F249"/>
    <mergeCell ref="G248:H248"/>
    <mergeCell ref="I248:J248"/>
    <mergeCell ref="X247:Y249"/>
    <mergeCell ref="Z247:AA249"/>
    <mergeCell ref="AB247:AC249"/>
    <mergeCell ref="AH247:AH250"/>
    <mergeCell ref="AI247:AJ249"/>
    <mergeCell ref="AK247:AL249"/>
    <mergeCell ref="AE248:AE250"/>
    <mergeCell ref="R249:R250"/>
    <mergeCell ref="AF249:AF250"/>
    <mergeCell ref="AG249:AG250"/>
    <mergeCell ref="P194:U194"/>
    <mergeCell ref="P195:U195"/>
    <mergeCell ref="C247:L247"/>
    <mergeCell ref="S247:S250"/>
    <mergeCell ref="T247:U249"/>
    <mergeCell ref="V247:W249"/>
    <mergeCell ref="K248:K249"/>
    <mergeCell ref="L248:L249"/>
    <mergeCell ref="P248:P250"/>
    <mergeCell ref="Q249:Q250"/>
    <mergeCell ref="X175:X179"/>
    <mergeCell ref="Y175:Y179"/>
    <mergeCell ref="Z175:Z179"/>
    <mergeCell ref="AA175:AA179"/>
    <mergeCell ref="AB175:AB179"/>
    <mergeCell ref="AM172:AM174"/>
    <mergeCell ref="AN172:AN174"/>
    <mergeCell ref="AO172:AO174"/>
    <mergeCell ref="X172:X174"/>
    <mergeCell ref="Y172:Y174"/>
    <mergeCell ref="Z172:Z174"/>
    <mergeCell ref="AA172:AA174"/>
    <mergeCell ref="AB172:AB174"/>
    <mergeCell ref="AC172:AC174"/>
    <mergeCell ref="AM175:AM179"/>
    <mergeCell ref="AN175:AN179"/>
    <mergeCell ref="AO175:AO179"/>
    <mergeCell ref="AC175:AC179"/>
    <mergeCell ref="AF175:AF179"/>
    <mergeCell ref="AI175:AI179"/>
    <mergeCell ref="AJ175:AJ179"/>
    <mergeCell ref="AK175:AK179"/>
    <mergeCell ref="AL175:AL179"/>
    <mergeCell ref="AP172:AP174"/>
    <mergeCell ref="AQ172:AQ174"/>
    <mergeCell ref="AR172:AR174"/>
    <mergeCell ref="AE172:AE180"/>
    <mergeCell ref="AF172:AF174"/>
    <mergeCell ref="AI172:AI174"/>
    <mergeCell ref="AJ172:AJ174"/>
    <mergeCell ref="AK172:AK174"/>
    <mergeCell ref="AL172:AL174"/>
    <mergeCell ref="AP175:AP179"/>
    <mergeCell ref="AQ175:AQ179"/>
    <mergeCell ref="AR175:AR179"/>
    <mergeCell ref="P172:P180"/>
    <mergeCell ref="Q172:Q174"/>
    <mergeCell ref="T172:T174"/>
    <mergeCell ref="U172:U174"/>
    <mergeCell ref="V172:V174"/>
    <mergeCell ref="W172:W174"/>
    <mergeCell ref="Q175:Q179"/>
    <mergeCell ref="T175:T179"/>
    <mergeCell ref="U175:U179"/>
    <mergeCell ref="V175:V179"/>
    <mergeCell ref="W175:W179"/>
    <mergeCell ref="AQ168:AR170"/>
    <mergeCell ref="B169:B170"/>
    <mergeCell ref="C169:C170"/>
    <mergeCell ref="D169:D170"/>
    <mergeCell ref="E169:E170"/>
    <mergeCell ref="F169:F170"/>
    <mergeCell ref="G169:H169"/>
    <mergeCell ref="I169:J169"/>
    <mergeCell ref="K169:K170"/>
    <mergeCell ref="L169:L170"/>
    <mergeCell ref="AB168:AC170"/>
    <mergeCell ref="AH168:AH171"/>
    <mergeCell ref="AI168:AJ170"/>
    <mergeCell ref="AK168:AL170"/>
    <mergeCell ref="AM168:AN170"/>
    <mergeCell ref="AO168:AP170"/>
    <mergeCell ref="AE169:AE171"/>
    <mergeCell ref="AF170:AF171"/>
    <mergeCell ref="AG170:AG171"/>
    <mergeCell ref="C168:L168"/>
    <mergeCell ref="S168:S171"/>
    <mergeCell ref="T168:U170"/>
    <mergeCell ref="V168:W170"/>
    <mergeCell ref="X168:Y170"/>
    <mergeCell ref="Z168:AA170"/>
    <mergeCell ref="P169:P171"/>
    <mergeCell ref="Q170:Q171"/>
    <mergeCell ref="R170:R171"/>
    <mergeCell ref="P112:U112"/>
    <mergeCell ref="P113:U113"/>
    <mergeCell ref="B166:B167"/>
    <mergeCell ref="C166:M166"/>
    <mergeCell ref="P166:U166"/>
    <mergeCell ref="C167:M167"/>
    <mergeCell ref="X93:X97"/>
    <mergeCell ref="Y93:Y97"/>
    <mergeCell ref="Z93:Z97"/>
    <mergeCell ref="AA93:AA97"/>
    <mergeCell ref="AB93:AB97"/>
    <mergeCell ref="AM90:AM92"/>
    <mergeCell ref="AN90:AN92"/>
    <mergeCell ref="AO90:AO92"/>
    <mergeCell ref="X90:X92"/>
    <mergeCell ref="Y90:Y92"/>
    <mergeCell ref="Z90:Z92"/>
    <mergeCell ref="AA90:AA92"/>
    <mergeCell ref="AB90:AB92"/>
    <mergeCell ref="AC90:AC92"/>
    <mergeCell ref="AM93:AM97"/>
    <mergeCell ref="AN93:AN97"/>
    <mergeCell ref="AO93:AO97"/>
    <mergeCell ref="AC93:AC97"/>
    <mergeCell ref="AF93:AF97"/>
    <mergeCell ref="AI93:AI97"/>
    <mergeCell ref="AJ93:AJ97"/>
    <mergeCell ref="AK93:AK97"/>
    <mergeCell ref="AL93:AL97"/>
    <mergeCell ref="AP90:AP92"/>
    <mergeCell ref="AQ90:AQ92"/>
    <mergeCell ref="AR90:AR92"/>
    <mergeCell ref="AE90:AE98"/>
    <mergeCell ref="AF90:AF92"/>
    <mergeCell ref="AI90:AI92"/>
    <mergeCell ref="AJ90:AJ92"/>
    <mergeCell ref="AK90:AK92"/>
    <mergeCell ref="AL90:AL92"/>
    <mergeCell ref="AP93:AP97"/>
    <mergeCell ref="AQ93:AQ97"/>
    <mergeCell ref="AR93:AR97"/>
    <mergeCell ref="P90:P98"/>
    <mergeCell ref="Q90:Q92"/>
    <mergeCell ref="T90:T92"/>
    <mergeCell ref="U90:U92"/>
    <mergeCell ref="V90:V92"/>
    <mergeCell ref="W90:W92"/>
    <mergeCell ref="Q93:Q97"/>
    <mergeCell ref="T93:T97"/>
    <mergeCell ref="U93:U97"/>
    <mergeCell ref="V93:V97"/>
    <mergeCell ref="W93:W97"/>
    <mergeCell ref="AQ86:AR88"/>
    <mergeCell ref="B87:B88"/>
    <mergeCell ref="C87:C88"/>
    <mergeCell ref="D87:D88"/>
    <mergeCell ref="E87:E88"/>
    <mergeCell ref="F87:F88"/>
    <mergeCell ref="G87:H87"/>
    <mergeCell ref="I87:J87"/>
    <mergeCell ref="K87:K88"/>
    <mergeCell ref="L87:L88"/>
    <mergeCell ref="AB86:AC88"/>
    <mergeCell ref="AH86:AH89"/>
    <mergeCell ref="AI86:AJ88"/>
    <mergeCell ref="AK86:AL88"/>
    <mergeCell ref="AM86:AN88"/>
    <mergeCell ref="AO86:AP88"/>
    <mergeCell ref="AE87:AE89"/>
    <mergeCell ref="AF88:AF89"/>
    <mergeCell ref="AG88:AG89"/>
    <mergeCell ref="C86:L86"/>
    <mergeCell ref="S86:S89"/>
    <mergeCell ref="T86:U88"/>
    <mergeCell ref="V86:W88"/>
    <mergeCell ref="X86:Y88"/>
    <mergeCell ref="Z86:AA88"/>
    <mergeCell ref="P87:P89"/>
    <mergeCell ref="Q88:Q89"/>
    <mergeCell ref="R88:R89"/>
    <mergeCell ref="P33:U33"/>
    <mergeCell ref="P34:U34"/>
    <mergeCell ref="B84:B85"/>
    <mergeCell ref="C84:M84"/>
    <mergeCell ref="P84:U84"/>
    <mergeCell ref="C85:M85"/>
    <mergeCell ref="X14:X18"/>
    <mergeCell ref="Y14:Y18"/>
    <mergeCell ref="Z14:Z18"/>
    <mergeCell ref="AA14:AA18"/>
    <mergeCell ref="AB14:AB18"/>
    <mergeCell ref="AM11:AM13"/>
    <mergeCell ref="AN11:AN13"/>
    <mergeCell ref="AO11:AO13"/>
    <mergeCell ref="X11:X13"/>
    <mergeCell ref="Y11:Y13"/>
    <mergeCell ref="Z11:Z13"/>
    <mergeCell ref="AA11:AA13"/>
    <mergeCell ref="AB11:AB13"/>
    <mergeCell ref="AC11:AC13"/>
    <mergeCell ref="AM14:AM18"/>
    <mergeCell ref="AN14:AN18"/>
    <mergeCell ref="AO14:AO18"/>
    <mergeCell ref="AC14:AC18"/>
    <mergeCell ref="AF14:AF18"/>
    <mergeCell ref="AI14:AI18"/>
    <mergeCell ref="AJ14:AJ18"/>
    <mergeCell ref="AK14:AK18"/>
    <mergeCell ref="AL14:AL18"/>
    <mergeCell ref="AP11:AP13"/>
    <mergeCell ref="AQ11:AQ13"/>
    <mergeCell ref="AR11:AR13"/>
    <mergeCell ref="AE11:AE19"/>
    <mergeCell ref="AF11:AF13"/>
    <mergeCell ref="AI11:AI13"/>
    <mergeCell ref="AJ11:AJ13"/>
    <mergeCell ref="AK11:AK13"/>
    <mergeCell ref="AL11:AL13"/>
    <mergeCell ref="AP14:AP18"/>
    <mergeCell ref="AQ14:AQ18"/>
    <mergeCell ref="AR14:AR18"/>
    <mergeCell ref="P11:P19"/>
    <mergeCell ref="Q11:Q13"/>
    <mergeCell ref="T11:T13"/>
    <mergeCell ref="U11:U13"/>
    <mergeCell ref="V11:V13"/>
    <mergeCell ref="W11:W13"/>
    <mergeCell ref="Q14:Q18"/>
    <mergeCell ref="T14:T18"/>
    <mergeCell ref="U14:U18"/>
    <mergeCell ref="V14:V18"/>
    <mergeCell ref="W14:W18"/>
    <mergeCell ref="AQ7:AR9"/>
    <mergeCell ref="B8:B9"/>
    <mergeCell ref="C8:C9"/>
    <mergeCell ref="D8:D9"/>
    <mergeCell ref="E8:E9"/>
    <mergeCell ref="F8:F9"/>
    <mergeCell ref="G8:H8"/>
    <mergeCell ref="V7:W9"/>
    <mergeCell ref="X7:Y9"/>
    <mergeCell ref="Z7:AA9"/>
    <mergeCell ref="AB7:AC9"/>
    <mergeCell ref="AH7:AH10"/>
    <mergeCell ref="AI7:AJ9"/>
    <mergeCell ref="AG9:AG10"/>
    <mergeCell ref="L8:L9"/>
    <mergeCell ref="P8:P10"/>
    <mergeCell ref="AE8:AE10"/>
    <mergeCell ref="Q9:Q10"/>
    <mergeCell ref="R9:R10"/>
    <mergeCell ref="AF9:AF10"/>
    <mergeCell ref="AK7:AL9"/>
    <mergeCell ref="AM7:AN9"/>
    <mergeCell ref="AO7:AP9"/>
    <mergeCell ref="B5:B6"/>
    <mergeCell ref="C5:M5"/>
    <mergeCell ref="P5:U5"/>
    <mergeCell ref="C6:M6"/>
    <mergeCell ref="C7:L7"/>
    <mergeCell ref="S7:S10"/>
    <mergeCell ref="T7:U9"/>
    <mergeCell ref="I8:J8"/>
    <mergeCell ref="K8:K9"/>
  </mergeCells>
  <hyperlinks>
    <hyperlink ref="C7" location="INDEX" display="Steam boiler, Natural gas or biogas" xr:uid="{13B7478B-8904-4493-ABEB-B7A85DA57BD7}"/>
    <hyperlink ref="C86" location="INDEX" display="Steam boiler, Natural gas or biogas (Condensing)" xr:uid="{9C1F7C85-BDF2-4903-A3B2-CB36E1E23AAC}"/>
    <hyperlink ref="C168" location="INDEX" display="Hot water boiler, Natural gas or biogas" xr:uid="{AC0F03E9-1775-488B-8DB9-3805EE297790}"/>
    <hyperlink ref="C247" location="INDEX" display="Hot water boiler, Natural gas or biogas (Condensing)" xr:uid="{16384D52-15D9-422A-B6D0-0927C488C849}"/>
    <hyperlink ref="C313" location="INDEX" display="Direct Firing, Natural Gas" xr:uid="{08F9F1E3-AB4E-42F1-940A-6D5BA6184B10}"/>
  </hyperlinks>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1B1D7-0C67-4F3F-9B6D-553C9385AEDD}">
  <sheetPr>
    <tabColor theme="3"/>
  </sheetPr>
  <dimension ref="A2:AR386"/>
  <sheetViews>
    <sheetView topLeftCell="M1" zoomScaleNormal="100" workbookViewId="0">
      <selection activeCell="Y11" sqref="Y11:Y13"/>
    </sheetView>
  </sheetViews>
  <sheetFormatPr baseColWidth="10" defaultColWidth="8.83203125" defaultRowHeight="15" outlineLevelRow="1"/>
  <cols>
    <col min="1" max="1" width="35" style="224" bestFit="1" customWidth="1"/>
    <col min="2" max="2" width="63.5" style="224" bestFit="1" customWidth="1"/>
    <col min="3" max="6" width="11" style="224" bestFit="1" customWidth="1"/>
    <col min="7" max="12" width="11" style="224" customWidth="1"/>
    <col min="13" max="13" width="8.83203125" style="224"/>
    <col min="14" max="14" width="4.5" style="224" customWidth="1"/>
    <col min="15" max="15" width="15.83203125" style="224" customWidth="1"/>
    <col min="16" max="16384" width="8.83203125" style="224"/>
  </cols>
  <sheetData>
    <row r="2" spans="1:44">
      <c r="B2" s="638" t="str">
        <f>C7</f>
        <v>Steam boiler, Wood Chips</v>
      </c>
    </row>
    <row r="4" spans="1:44" ht="25" customHeight="1">
      <c r="E4" s="224" t="s">
        <v>358</v>
      </c>
      <c r="F4" s="359">
        <v>7.45</v>
      </c>
      <c r="G4" s="359" t="s">
        <v>328</v>
      </c>
    </row>
    <row r="5" spans="1:44" ht="15" customHeight="1">
      <c r="A5" s="360" t="s">
        <v>993</v>
      </c>
      <c r="B5" s="1207"/>
      <c r="C5" s="1143"/>
      <c r="D5" s="1143"/>
      <c r="E5" s="1143"/>
      <c r="F5" s="1143"/>
      <c r="G5" s="1143"/>
      <c r="H5" s="1143"/>
      <c r="I5" s="1143"/>
      <c r="J5" s="1143"/>
      <c r="K5" s="1143"/>
      <c r="L5" s="1143"/>
      <c r="M5" s="1143"/>
      <c r="N5" s="361"/>
      <c r="P5" s="1143"/>
      <c r="Q5" s="1143"/>
      <c r="R5" s="1143"/>
      <c r="S5" s="1143"/>
      <c r="T5" s="1143"/>
      <c r="U5" s="1143"/>
    </row>
    <row r="6" spans="1:44" ht="15.75" customHeight="1" outlineLevel="1" thickBot="1">
      <c r="B6" s="1207"/>
      <c r="C6" s="1143"/>
      <c r="D6" s="1143"/>
      <c r="E6" s="1143"/>
      <c r="F6" s="1143"/>
      <c r="G6" s="1143"/>
      <c r="H6" s="1143"/>
      <c r="I6" s="1143"/>
      <c r="J6" s="1143"/>
      <c r="K6" s="1143"/>
      <c r="L6" s="1143"/>
      <c r="M6" s="1143"/>
      <c r="N6" s="361"/>
      <c r="P6" s="692">
        <v>1</v>
      </c>
      <c r="Q6" s="692">
        <v>2</v>
      </c>
      <c r="R6" s="692">
        <v>3</v>
      </c>
      <c r="S6" s="692">
        <v>4</v>
      </c>
      <c r="T6" s="692">
        <v>5</v>
      </c>
      <c r="U6" s="692">
        <v>6</v>
      </c>
      <c r="V6" s="692">
        <v>7</v>
      </c>
      <c r="W6" s="692">
        <v>8</v>
      </c>
      <c r="X6" s="692">
        <v>9</v>
      </c>
      <c r="Y6" s="692">
        <v>10</v>
      </c>
      <c r="Z6" s="692">
        <v>11</v>
      </c>
      <c r="AA6" s="692">
        <v>12</v>
      </c>
      <c r="AB6" s="692">
        <v>13</v>
      </c>
      <c r="AC6" s="692">
        <v>14</v>
      </c>
    </row>
    <row r="7" spans="1:44" ht="20.25" customHeight="1" outlineLevel="1" thickBot="1">
      <c r="B7" s="362" t="s">
        <v>0</v>
      </c>
      <c r="C7" s="1223" t="s">
        <v>973</v>
      </c>
      <c r="D7" s="1224"/>
      <c r="E7" s="1224"/>
      <c r="F7" s="1224"/>
      <c r="G7" s="1224"/>
      <c r="H7" s="1224"/>
      <c r="I7" s="1224"/>
      <c r="J7" s="1224"/>
      <c r="K7" s="1224"/>
      <c r="L7" s="1225"/>
      <c r="M7" s="363"/>
      <c r="N7" s="363"/>
      <c r="P7" s="364" t="s">
        <v>713</v>
      </c>
      <c r="Q7" s="365"/>
      <c r="R7" s="366"/>
      <c r="S7" s="1176" t="s">
        <v>714</v>
      </c>
      <c r="T7" s="1160" t="s">
        <v>715</v>
      </c>
      <c r="U7" s="1161"/>
      <c r="V7" s="1160" t="s">
        <v>716</v>
      </c>
      <c r="W7" s="1161"/>
      <c r="X7" s="1160" t="s">
        <v>717</v>
      </c>
      <c r="Y7" s="1161"/>
      <c r="Z7" s="1160" t="s">
        <v>718</v>
      </c>
      <c r="AA7" s="1161"/>
      <c r="AB7" s="1160" t="s">
        <v>719</v>
      </c>
      <c r="AC7" s="1161"/>
      <c r="AE7" s="364" t="s">
        <v>720</v>
      </c>
      <c r="AF7" s="365"/>
      <c r="AG7" s="366"/>
      <c r="AH7" s="1176" t="s">
        <v>714</v>
      </c>
      <c r="AI7" s="1160" t="s">
        <v>715</v>
      </c>
      <c r="AJ7" s="1161"/>
      <c r="AK7" s="1160" t="s">
        <v>716</v>
      </c>
      <c r="AL7" s="1161"/>
      <c r="AM7" s="1160" t="s">
        <v>717</v>
      </c>
      <c r="AN7" s="1161"/>
      <c r="AO7" s="1160" t="s">
        <v>718</v>
      </c>
      <c r="AP7" s="1161"/>
      <c r="AQ7" s="1160" t="s">
        <v>719</v>
      </c>
      <c r="AR7" s="1161"/>
    </row>
    <row r="8" spans="1:44" ht="15" customHeight="1" outlineLevel="1" thickBot="1">
      <c r="B8" s="1164" t="s">
        <v>4</v>
      </c>
      <c r="C8" s="1166">
        <v>2020</v>
      </c>
      <c r="D8" s="1166">
        <v>2030</v>
      </c>
      <c r="E8" s="1166">
        <v>2040</v>
      </c>
      <c r="F8" s="1166">
        <v>2050</v>
      </c>
      <c r="G8" s="1230" t="s">
        <v>721</v>
      </c>
      <c r="H8" s="1218"/>
      <c r="I8" s="1217" t="s">
        <v>648</v>
      </c>
      <c r="J8" s="1226"/>
      <c r="K8" s="1219" t="s">
        <v>2</v>
      </c>
      <c r="L8" s="1219" t="s">
        <v>3</v>
      </c>
      <c r="M8" s="367"/>
      <c r="N8" s="367"/>
      <c r="P8" s="1180" t="s">
        <v>0</v>
      </c>
      <c r="Q8" s="368"/>
      <c r="R8" s="368"/>
      <c r="S8" s="1177"/>
      <c r="T8" s="1162"/>
      <c r="U8" s="1163"/>
      <c r="V8" s="1162"/>
      <c r="W8" s="1163"/>
      <c r="X8" s="1162"/>
      <c r="Y8" s="1163"/>
      <c r="Z8" s="1162"/>
      <c r="AA8" s="1163"/>
      <c r="AB8" s="1162"/>
      <c r="AC8" s="1163"/>
      <c r="AE8" s="1180" t="s">
        <v>0</v>
      </c>
      <c r="AF8" s="368"/>
      <c r="AG8" s="368"/>
      <c r="AH8" s="1177"/>
      <c r="AI8" s="1162"/>
      <c r="AJ8" s="1163"/>
      <c r="AK8" s="1162"/>
      <c r="AL8" s="1163"/>
      <c r="AM8" s="1162"/>
      <c r="AN8" s="1163"/>
      <c r="AO8" s="1162"/>
      <c r="AP8" s="1163"/>
      <c r="AQ8" s="1162"/>
      <c r="AR8" s="1163"/>
    </row>
    <row r="9" spans="1:44" ht="16" outlineLevel="1" thickBot="1">
      <c r="B9" s="1228"/>
      <c r="C9" s="1229"/>
      <c r="D9" s="1229"/>
      <c r="E9" s="1229"/>
      <c r="F9" s="1229"/>
      <c r="G9" s="369" t="s">
        <v>649</v>
      </c>
      <c r="H9" s="369" t="s">
        <v>650</v>
      </c>
      <c r="I9" s="369" t="s">
        <v>649</v>
      </c>
      <c r="J9" s="369" t="s">
        <v>650</v>
      </c>
      <c r="K9" s="1227"/>
      <c r="L9" s="1227"/>
      <c r="M9" s="370"/>
      <c r="N9" s="370"/>
      <c r="P9" s="1181"/>
      <c r="Q9" s="1183" t="s">
        <v>722</v>
      </c>
      <c r="R9" s="1184" t="s">
        <v>723</v>
      </c>
      <c r="S9" s="1178"/>
      <c r="T9" s="1162"/>
      <c r="U9" s="1163"/>
      <c r="V9" s="1162"/>
      <c r="W9" s="1163"/>
      <c r="X9" s="1162"/>
      <c r="Y9" s="1163"/>
      <c r="Z9" s="1162"/>
      <c r="AA9" s="1163"/>
      <c r="AB9" s="1162"/>
      <c r="AC9" s="1163"/>
      <c r="AE9" s="1181"/>
      <c r="AF9" s="1197" t="s">
        <v>722</v>
      </c>
      <c r="AG9" s="1184" t="s">
        <v>723</v>
      </c>
      <c r="AH9" s="1178"/>
      <c r="AI9" s="1162"/>
      <c r="AJ9" s="1163"/>
      <c r="AK9" s="1162"/>
      <c r="AL9" s="1163"/>
      <c r="AM9" s="1162"/>
      <c r="AN9" s="1163"/>
      <c r="AO9" s="1162"/>
      <c r="AP9" s="1163"/>
      <c r="AQ9" s="1162"/>
      <c r="AR9" s="1163"/>
    </row>
    <row r="10" spans="1:44" ht="54.5" customHeight="1" outlineLevel="1" thickBot="1">
      <c r="B10" s="371" t="s">
        <v>651</v>
      </c>
      <c r="C10" s="372">
        <v>20</v>
      </c>
      <c r="D10" s="372">
        <v>20</v>
      </c>
      <c r="E10" s="372">
        <v>20</v>
      </c>
      <c r="F10" s="372">
        <v>20</v>
      </c>
      <c r="G10" s="372">
        <v>1</v>
      </c>
      <c r="H10" s="372">
        <v>50</v>
      </c>
      <c r="I10" s="372">
        <v>1</v>
      </c>
      <c r="J10" s="372">
        <v>50</v>
      </c>
      <c r="K10" s="372" t="s">
        <v>6</v>
      </c>
      <c r="L10" s="373" t="s">
        <v>725</v>
      </c>
      <c r="M10" s="370"/>
      <c r="N10" s="370"/>
      <c r="O10" s="74"/>
      <c r="P10" s="1182"/>
      <c r="Q10" s="1179"/>
      <c r="R10" s="1185"/>
      <c r="S10" s="1179"/>
      <c r="T10" s="374" t="s">
        <v>726</v>
      </c>
      <c r="U10" s="375" t="s">
        <v>727</v>
      </c>
      <c r="V10" s="374" t="s">
        <v>726</v>
      </c>
      <c r="W10" s="375" t="s">
        <v>727</v>
      </c>
      <c r="X10" s="374" t="s">
        <v>726</v>
      </c>
      <c r="Y10" s="375" t="s">
        <v>727</v>
      </c>
      <c r="Z10" s="374" t="s">
        <v>726</v>
      </c>
      <c r="AA10" s="375" t="s">
        <v>727</v>
      </c>
      <c r="AB10" s="374" t="s">
        <v>726</v>
      </c>
      <c r="AC10" s="375" t="s">
        <v>727</v>
      </c>
      <c r="AE10" s="1182"/>
      <c r="AF10" s="1198"/>
      <c r="AG10" s="1185"/>
      <c r="AH10" s="1179"/>
      <c r="AI10" s="374" t="s">
        <v>726</v>
      </c>
      <c r="AJ10" s="375" t="s">
        <v>727</v>
      </c>
      <c r="AK10" s="374" t="s">
        <v>726</v>
      </c>
      <c r="AL10" s="375" t="s">
        <v>727</v>
      </c>
      <c r="AM10" s="374" t="s">
        <v>726</v>
      </c>
      <c r="AN10" s="375" t="s">
        <v>727</v>
      </c>
      <c r="AO10" s="374" t="s">
        <v>726</v>
      </c>
      <c r="AP10" s="375" t="s">
        <v>727</v>
      </c>
      <c r="AQ10" s="374" t="s">
        <v>726</v>
      </c>
      <c r="AR10" s="375" t="s">
        <v>727</v>
      </c>
    </row>
    <row r="11" spans="1:44" ht="24.5" customHeight="1" outlineLevel="1">
      <c r="B11" s="376" t="s">
        <v>728</v>
      </c>
      <c r="C11" s="377">
        <v>90</v>
      </c>
      <c r="D11" s="377">
        <v>90</v>
      </c>
      <c r="E11" s="378">
        <v>90</v>
      </c>
      <c r="F11" s="377">
        <v>91</v>
      </c>
      <c r="G11" s="377">
        <f>D11-1</f>
        <v>89</v>
      </c>
      <c r="H11" s="377">
        <f>D11+2</f>
        <v>92</v>
      </c>
      <c r="I11" s="377">
        <f>F11-1</f>
        <v>90</v>
      </c>
      <c r="J11" s="377">
        <f>F11+2</f>
        <v>93</v>
      </c>
      <c r="K11" s="379" t="s">
        <v>59</v>
      </c>
      <c r="L11" s="380" t="s">
        <v>729</v>
      </c>
      <c r="M11" s="370"/>
      <c r="N11" s="370"/>
      <c r="P11" s="1199" t="str">
        <f>C7</f>
        <v>Steam boiler, Wood Chips</v>
      </c>
      <c r="Q11" s="1154" t="s">
        <v>730</v>
      </c>
      <c r="R11" s="381" t="s">
        <v>731</v>
      </c>
      <c r="S11" s="382"/>
      <c r="T11" s="1137">
        <v>0</v>
      </c>
      <c r="U11" s="1151">
        <v>1</v>
      </c>
      <c r="V11" s="1157">
        <v>0</v>
      </c>
      <c r="W11" s="1151">
        <v>1</v>
      </c>
      <c r="X11" s="1157">
        <v>0</v>
      </c>
      <c r="Y11" s="1151">
        <v>1</v>
      </c>
      <c r="Z11" s="1157">
        <v>0</v>
      </c>
      <c r="AA11" s="1151">
        <v>1</v>
      </c>
      <c r="AB11" s="1157">
        <v>0</v>
      </c>
      <c r="AC11" s="1151">
        <v>1</v>
      </c>
      <c r="AE11" s="1148" t="str">
        <f>P11</f>
        <v>Steam boiler, Wood Chips</v>
      </c>
      <c r="AF11" s="1154" t="s">
        <v>730</v>
      </c>
      <c r="AG11" s="381" t="s">
        <v>731</v>
      </c>
      <c r="AH11" s="382"/>
      <c r="AI11" s="1137">
        <v>0</v>
      </c>
      <c r="AJ11" s="1151">
        <v>1</v>
      </c>
      <c r="AK11" s="1157">
        <v>0</v>
      </c>
      <c r="AL11" s="1151">
        <v>1</v>
      </c>
      <c r="AM11" s="1157">
        <v>0</v>
      </c>
      <c r="AN11" s="1151">
        <v>1</v>
      </c>
      <c r="AO11" s="1157">
        <v>0</v>
      </c>
      <c r="AP11" s="1151">
        <v>1</v>
      </c>
      <c r="AQ11" s="1157">
        <v>0</v>
      </c>
      <c r="AR11" s="1151">
        <v>1</v>
      </c>
    </row>
    <row r="12" spans="1:44" ht="32.5" customHeight="1" outlineLevel="1">
      <c r="B12" s="383" t="s">
        <v>732</v>
      </c>
      <c r="C12" s="384">
        <f t="shared" ref="C12:J12" si="0">C11-1</f>
        <v>89</v>
      </c>
      <c r="D12" s="384">
        <f t="shared" si="0"/>
        <v>89</v>
      </c>
      <c r="E12" s="384">
        <f t="shared" si="0"/>
        <v>89</v>
      </c>
      <c r="F12" s="384">
        <f t="shared" si="0"/>
        <v>90</v>
      </c>
      <c r="G12" s="385">
        <f t="shared" si="0"/>
        <v>88</v>
      </c>
      <c r="H12" s="385">
        <f t="shared" si="0"/>
        <v>91</v>
      </c>
      <c r="I12" s="385">
        <f t="shared" si="0"/>
        <v>89</v>
      </c>
      <c r="J12" s="385">
        <f t="shared" si="0"/>
        <v>92</v>
      </c>
      <c r="K12" s="386"/>
      <c r="L12" s="387" t="s">
        <v>729</v>
      </c>
      <c r="M12" s="370"/>
      <c r="N12" s="370"/>
      <c r="O12" s="71"/>
      <c r="P12" s="1195"/>
      <c r="Q12" s="1155"/>
      <c r="R12" s="388" t="s">
        <v>733</v>
      </c>
      <c r="S12" s="389"/>
      <c r="T12" s="1140"/>
      <c r="U12" s="1152"/>
      <c r="V12" s="1158"/>
      <c r="W12" s="1152"/>
      <c r="X12" s="1158"/>
      <c r="Y12" s="1152"/>
      <c r="Z12" s="1158"/>
      <c r="AA12" s="1152"/>
      <c r="AB12" s="1158"/>
      <c r="AC12" s="1152"/>
      <c r="AE12" s="1195"/>
      <c r="AF12" s="1155"/>
      <c r="AG12" s="388" t="s">
        <v>733</v>
      </c>
      <c r="AH12" s="389"/>
      <c r="AI12" s="1140"/>
      <c r="AJ12" s="1152"/>
      <c r="AK12" s="1158"/>
      <c r="AL12" s="1152"/>
      <c r="AM12" s="1158"/>
      <c r="AN12" s="1152"/>
      <c r="AO12" s="1158"/>
      <c r="AP12" s="1152"/>
      <c r="AQ12" s="1158"/>
      <c r="AR12" s="1152"/>
    </row>
    <row r="13" spans="1:44" ht="16" outlineLevel="1" thickBot="1">
      <c r="B13" s="376" t="s">
        <v>734</v>
      </c>
      <c r="C13" s="390">
        <v>2.2999999999999998</v>
      </c>
      <c r="D13" s="391">
        <v>2.2999999999999998</v>
      </c>
      <c r="E13" s="391">
        <v>2.2999999999999998</v>
      </c>
      <c r="F13" s="392">
        <v>2.2999999999999998</v>
      </c>
      <c r="G13" s="391">
        <v>2.2000000000000002</v>
      </c>
      <c r="H13" s="391">
        <v>2.5</v>
      </c>
      <c r="I13" s="391">
        <v>1.8</v>
      </c>
      <c r="J13" s="391">
        <v>2.5</v>
      </c>
      <c r="K13" s="379" t="s">
        <v>16</v>
      </c>
      <c r="L13" s="380">
        <v>3</v>
      </c>
      <c r="M13" s="370"/>
      <c r="N13" s="370"/>
      <c r="O13" s="71"/>
      <c r="P13" s="1195"/>
      <c r="Q13" s="1156"/>
      <c r="R13" s="393" t="s">
        <v>735</v>
      </c>
      <c r="S13" s="394"/>
      <c r="T13" s="1141"/>
      <c r="U13" s="1153"/>
      <c r="V13" s="1159"/>
      <c r="W13" s="1153"/>
      <c r="X13" s="1159"/>
      <c r="Y13" s="1153"/>
      <c r="Z13" s="1159"/>
      <c r="AA13" s="1153"/>
      <c r="AB13" s="1159"/>
      <c r="AC13" s="1153"/>
      <c r="AE13" s="1195"/>
      <c r="AF13" s="1156"/>
      <c r="AG13" s="393" t="s">
        <v>735</v>
      </c>
      <c r="AH13" s="394"/>
      <c r="AI13" s="1141"/>
      <c r="AJ13" s="1153"/>
      <c r="AK13" s="1159"/>
      <c r="AL13" s="1153"/>
      <c r="AM13" s="1159"/>
      <c r="AN13" s="1153"/>
      <c r="AO13" s="1159"/>
      <c r="AP13" s="1153"/>
      <c r="AQ13" s="1159"/>
      <c r="AR13" s="1153"/>
    </row>
    <row r="14" spans="1:44" ht="15" customHeight="1" outlineLevel="1">
      <c r="B14" s="376" t="s">
        <v>657</v>
      </c>
      <c r="C14" s="686">
        <v>3</v>
      </c>
      <c r="D14" s="686">
        <v>3</v>
      </c>
      <c r="E14" s="686">
        <v>3</v>
      </c>
      <c r="F14" s="686">
        <v>3</v>
      </c>
      <c r="G14" s="686">
        <v>3</v>
      </c>
      <c r="H14" s="686">
        <v>3</v>
      </c>
      <c r="I14" s="686">
        <v>3</v>
      </c>
      <c r="J14" s="686">
        <v>3</v>
      </c>
      <c r="K14" s="379" t="s">
        <v>20</v>
      </c>
      <c r="L14" s="380">
        <v>3</v>
      </c>
      <c r="M14" s="370"/>
      <c r="N14" s="370"/>
      <c r="O14" s="71"/>
      <c r="P14" s="1195"/>
      <c r="Q14" s="1154" t="s">
        <v>736</v>
      </c>
      <c r="R14" s="395" t="s">
        <v>737</v>
      </c>
      <c r="S14" s="396" t="s">
        <v>738</v>
      </c>
      <c r="T14" s="1137">
        <v>0</v>
      </c>
      <c r="U14" s="1137">
        <v>1</v>
      </c>
      <c r="V14" s="1137">
        <v>0</v>
      </c>
      <c r="W14" s="1137">
        <v>1</v>
      </c>
      <c r="X14" s="1137">
        <v>0</v>
      </c>
      <c r="Y14" s="1137">
        <v>0.97</v>
      </c>
      <c r="Z14" s="1137">
        <v>0</v>
      </c>
      <c r="AA14" s="1137">
        <v>1</v>
      </c>
      <c r="AB14" s="1137">
        <v>0</v>
      </c>
      <c r="AC14" s="1151">
        <v>1</v>
      </c>
      <c r="AE14" s="1195"/>
      <c r="AF14" s="1154" t="s">
        <v>736</v>
      </c>
      <c r="AG14" s="395" t="s">
        <v>737</v>
      </c>
      <c r="AH14" s="396" t="s">
        <v>738</v>
      </c>
      <c r="AI14" s="1137">
        <v>0</v>
      </c>
      <c r="AJ14" s="1137">
        <v>1</v>
      </c>
      <c r="AK14" s="1137">
        <v>0</v>
      </c>
      <c r="AL14" s="1137">
        <v>1</v>
      </c>
      <c r="AM14" s="1137">
        <v>0</v>
      </c>
      <c r="AN14" s="1137">
        <v>0.97</v>
      </c>
      <c r="AO14" s="1137">
        <v>0</v>
      </c>
      <c r="AP14" s="1137">
        <v>1</v>
      </c>
      <c r="AQ14" s="1137">
        <v>0</v>
      </c>
      <c r="AR14" s="1151">
        <v>1</v>
      </c>
    </row>
    <row r="15" spans="1:44" outlineLevel="1">
      <c r="B15" s="376" t="s">
        <v>658</v>
      </c>
      <c r="C15" s="390">
        <v>3</v>
      </c>
      <c r="D15" s="390">
        <v>3</v>
      </c>
      <c r="E15" s="390">
        <v>3</v>
      </c>
      <c r="F15" s="390">
        <v>3</v>
      </c>
      <c r="G15" s="390">
        <v>2.6</v>
      </c>
      <c r="H15" s="390">
        <v>3.5</v>
      </c>
      <c r="I15" s="390">
        <v>2.2999999999999998</v>
      </c>
      <c r="J15" s="390">
        <v>3.8</v>
      </c>
      <c r="K15" s="379" t="s">
        <v>20</v>
      </c>
      <c r="L15" s="380">
        <v>3</v>
      </c>
      <c r="M15" s="367"/>
      <c r="N15" s="367"/>
      <c r="O15" s="71"/>
      <c r="P15" s="1195"/>
      <c r="Q15" s="1155"/>
      <c r="R15" s="395" t="s">
        <v>739</v>
      </c>
      <c r="S15" s="396" t="s">
        <v>738</v>
      </c>
      <c r="T15" s="1191"/>
      <c r="U15" s="1191"/>
      <c r="V15" s="1191"/>
      <c r="W15" s="1191"/>
      <c r="X15" s="1191"/>
      <c r="Y15" s="1191"/>
      <c r="Z15" s="1191"/>
      <c r="AA15" s="1191"/>
      <c r="AB15" s="1191"/>
      <c r="AC15" s="1193"/>
      <c r="AE15" s="1195"/>
      <c r="AF15" s="1155"/>
      <c r="AG15" s="395" t="s">
        <v>739</v>
      </c>
      <c r="AH15" s="396" t="s">
        <v>738</v>
      </c>
      <c r="AI15" s="1191"/>
      <c r="AJ15" s="1191"/>
      <c r="AK15" s="1191"/>
      <c r="AL15" s="1191"/>
      <c r="AM15" s="1191"/>
      <c r="AN15" s="1191"/>
      <c r="AO15" s="1191"/>
      <c r="AP15" s="1191"/>
      <c r="AQ15" s="1191"/>
      <c r="AR15" s="1193"/>
    </row>
    <row r="16" spans="1:44" outlineLevel="1">
      <c r="B16" s="383" t="s">
        <v>11</v>
      </c>
      <c r="C16" s="397">
        <v>25</v>
      </c>
      <c r="D16" s="397">
        <v>25</v>
      </c>
      <c r="E16" s="397">
        <v>25</v>
      </c>
      <c r="F16" s="397">
        <v>25</v>
      </c>
      <c r="G16" s="398">
        <v>20</v>
      </c>
      <c r="H16" s="398">
        <v>35</v>
      </c>
      <c r="I16" s="398">
        <v>20</v>
      </c>
      <c r="J16" s="398">
        <v>35</v>
      </c>
      <c r="K16" s="372"/>
      <c r="L16" s="373" t="s">
        <v>740</v>
      </c>
      <c r="M16" s="363"/>
      <c r="N16" s="363"/>
      <c r="P16" s="1195"/>
      <c r="Q16" s="1155"/>
      <c r="R16" s="395" t="s">
        <v>741</v>
      </c>
      <c r="S16" s="396" t="s">
        <v>738</v>
      </c>
      <c r="T16" s="1191"/>
      <c r="U16" s="1191"/>
      <c r="V16" s="1191"/>
      <c r="W16" s="1191"/>
      <c r="X16" s="1191"/>
      <c r="Y16" s="1191"/>
      <c r="Z16" s="1191"/>
      <c r="AA16" s="1191"/>
      <c r="AB16" s="1191"/>
      <c r="AC16" s="1193"/>
      <c r="AE16" s="1195"/>
      <c r="AF16" s="1155"/>
      <c r="AG16" s="395" t="s">
        <v>741</v>
      </c>
      <c r="AH16" s="629" t="s">
        <v>738</v>
      </c>
      <c r="AI16" s="1191"/>
      <c r="AJ16" s="1191"/>
      <c r="AK16" s="1191"/>
      <c r="AL16" s="1191"/>
      <c r="AM16" s="1191"/>
      <c r="AN16" s="1191"/>
      <c r="AO16" s="1191"/>
      <c r="AP16" s="1191"/>
      <c r="AQ16" s="1191"/>
      <c r="AR16" s="1193"/>
    </row>
    <row r="17" spans="1:44" ht="16" outlineLevel="1" thickBot="1">
      <c r="B17" s="376" t="s">
        <v>273</v>
      </c>
      <c r="C17" s="399">
        <v>1</v>
      </c>
      <c r="D17" s="399">
        <v>1</v>
      </c>
      <c r="E17" s="399">
        <v>1</v>
      </c>
      <c r="F17" s="399">
        <v>1</v>
      </c>
      <c r="G17" s="399">
        <v>0.5</v>
      </c>
      <c r="H17" s="399">
        <v>1.5</v>
      </c>
      <c r="I17" s="399">
        <v>0.5</v>
      </c>
      <c r="J17" s="399">
        <v>1.5</v>
      </c>
      <c r="K17" s="372"/>
      <c r="L17" s="400"/>
      <c r="M17" s="363"/>
      <c r="N17" s="363"/>
      <c r="P17" s="1195"/>
      <c r="Q17" s="1155"/>
      <c r="R17" s="395" t="s">
        <v>742</v>
      </c>
      <c r="S17" s="396" t="s">
        <v>738</v>
      </c>
      <c r="T17" s="1191"/>
      <c r="U17" s="1191"/>
      <c r="V17" s="1191"/>
      <c r="W17" s="1191"/>
      <c r="X17" s="1191"/>
      <c r="Y17" s="1191"/>
      <c r="Z17" s="1191"/>
      <c r="AA17" s="1191"/>
      <c r="AB17" s="1191"/>
      <c r="AC17" s="1193"/>
      <c r="AE17" s="1195"/>
      <c r="AF17" s="1155"/>
      <c r="AG17" s="395" t="s">
        <v>742</v>
      </c>
      <c r="AH17" s="396" t="s">
        <v>738</v>
      </c>
      <c r="AI17" s="1191"/>
      <c r="AJ17" s="1191"/>
      <c r="AK17" s="1191"/>
      <c r="AL17" s="1191"/>
      <c r="AM17" s="1191"/>
      <c r="AN17" s="1191"/>
      <c r="AO17" s="1191"/>
      <c r="AP17" s="1191"/>
      <c r="AQ17" s="1191"/>
      <c r="AR17" s="1193"/>
    </row>
    <row r="18" spans="1:44" ht="16" outlineLevel="1" thickBot="1">
      <c r="B18" s="401" t="s">
        <v>743</v>
      </c>
      <c r="C18" s="402"/>
      <c r="D18" s="403"/>
      <c r="E18" s="404"/>
      <c r="F18" s="405"/>
      <c r="G18" s="406"/>
      <c r="H18" s="406"/>
      <c r="I18" s="406"/>
      <c r="J18" s="406"/>
      <c r="K18" s="407"/>
      <c r="L18" s="408"/>
      <c r="M18" s="363"/>
      <c r="N18" s="363"/>
      <c r="P18" s="1195"/>
      <c r="Q18" s="1156"/>
      <c r="R18" s="409" t="s">
        <v>863</v>
      </c>
      <c r="S18" s="410" t="s">
        <v>738</v>
      </c>
      <c r="T18" s="1192"/>
      <c r="U18" s="1192"/>
      <c r="V18" s="1192"/>
      <c r="W18" s="1192"/>
      <c r="X18" s="1192"/>
      <c r="Y18" s="1192"/>
      <c r="Z18" s="1192"/>
      <c r="AA18" s="1192"/>
      <c r="AB18" s="1192"/>
      <c r="AC18" s="1194"/>
      <c r="AE18" s="1195"/>
      <c r="AF18" s="1156"/>
      <c r="AG18" s="409" t="s">
        <v>863</v>
      </c>
      <c r="AH18" s="410" t="s">
        <v>738</v>
      </c>
      <c r="AI18" s="1192"/>
      <c r="AJ18" s="1192"/>
      <c r="AK18" s="1192"/>
      <c r="AL18" s="1192"/>
      <c r="AM18" s="1192"/>
      <c r="AN18" s="1192"/>
      <c r="AO18" s="1192"/>
      <c r="AP18" s="1192"/>
      <c r="AQ18" s="1192"/>
      <c r="AR18" s="1194"/>
    </row>
    <row r="19" spans="1:44" ht="33" outlineLevel="1" thickBot="1">
      <c r="B19" s="376" t="s">
        <v>663</v>
      </c>
      <c r="C19" s="390">
        <v>20</v>
      </c>
      <c r="D19" s="390">
        <v>20</v>
      </c>
      <c r="E19" s="390">
        <v>20</v>
      </c>
      <c r="F19" s="390">
        <v>20</v>
      </c>
      <c r="G19" s="391"/>
      <c r="H19" s="391"/>
      <c r="I19" s="391"/>
      <c r="J19" s="391"/>
      <c r="K19" s="379"/>
      <c r="L19" s="380">
        <v>3</v>
      </c>
      <c r="M19" s="363"/>
      <c r="N19" s="363"/>
      <c r="P19" s="1196"/>
      <c r="Q19" s="411" t="s">
        <v>745</v>
      </c>
      <c r="R19" s="412" t="s">
        <v>746</v>
      </c>
      <c r="S19" s="630" t="s">
        <v>738</v>
      </c>
      <c r="T19" s="416">
        <v>1</v>
      </c>
      <c r="U19" s="415">
        <v>1</v>
      </c>
      <c r="V19" s="416">
        <v>1</v>
      </c>
      <c r="W19" s="415">
        <v>1</v>
      </c>
      <c r="X19" s="416">
        <v>1</v>
      </c>
      <c r="Y19" s="415">
        <v>1</v>
      </c>
      <c r="Z19" s="416">
        <v>1</v>
      </c>
      <c r="AA19" s="415">
        <v>1</v>
      </c>
      <c r="AB19" s="416">
        <v>1</v>
      </c>
      <c r="AC19" s="417">
        <v>1</v>
      </c>
      <c r="AE19" s="1196"/>
      <c r="AF19" s="411" t="s">
        <v>745</v>
      </c>
      <c r="AG19" s="631" t="s">
        <v>746</v>
      </c>
      <c r="AH19" s="632" t="s">
        <v>738</v>
      </c>
      <c r="AI19" s="416">
        <v>1</v>
      </c>
      <c r="AJ19" s="415">
        <v>1</v>
      </c>
      <c r="AK19" s="416">
        <v>1</v>
      </c>
      <c r="AL19" s="415">
        <v>1</v>
      </c>
      <c r="AM19" s="416">
        <v>1</v>
      </c>
      <c r="AN19" s="415">
        <v>1</v>
      </c>
      <c r="AO19" s="416">
        <v>1</v>
      </c>
      <c r="AP19" s="415">
        <v>1</v>
      </c>
      <c r="AQ19" s="416">
        <v>1</v>
      </c>
      <c r="AR19" s="417">
        <v>1</v>
      </c>
    </row>
    <row r="20" spans="1:44" outlineLevel="1">
      <c r="B20" s="376" t="s">
        <v>664</v>
      </c>
      <c r="C20" s="390">
        <v>0.3</v>
      </c>
      <c r="D20" s="390">
        <v>0.3</v>
      </c>
      <c r="E20" s="390">
        <v>0.3</v>
      </c>
      <c r="F20" s="390">
        <v>0.3</v>
      </c>
      <c r="G20" s="418"/>
      <c r="H20" s="418"/>
      <c r="I20" s="418"/>
      <c r="J20" s="418"/>
      <c r="K20" s="419"/>
      <c r="L20" s="380">
        <v>3</v>
      </c>
      <c r="M20" s="363"/>
      <c r="N20" s="363"/>
    </row>
    <row r="21" spans="1:44" outlineLevel="1">
      <c r="B21" s="376" t="s">
        <v>666</v>
      </c>
      <c r="C21" s="390">
        <v>0.5</v>
      </c>
      <c r="D21" s="390">
        <v>0.5</v>
      </c>
      <c r="E21" s="390">
        <v>0.5</v>
      </c>
      <c r="F21" s="390">
        <v>0.5</v>
      </c>
      <c r="G21" s="418"/>
      <c r="H21" s="418"/>
      <c r="I21" s="418"/>
      <c r="J21" s="418"/>
      <c r="K21" s="419"/>
      <c r="L21" s="380">
        <v>3</v>
      </c>
      <c r="M21" s="420"/>
      <c r="N21" s="363"/>
    </row>
    <row r="22" spans="1:44" outlineLevel="1">
      <c r="B22" s="421" t="s">
        <v>12</v>
      </c>
      <c r="C22" s="399"/>
      <c r="D22" s="399"/>
      <c r="E22" s="399"/>
      <c r="F22" s="399"/>
      <c r="G22" s="422"/>
      <c r="H22" s="422"/>
      <c r="I22" s="422"/>
      <c r="J22" s="422"/>
      <c r="K22" s="423"/>
      <c r="L22" s="424"/>
      <c r="M22" s="420"/>
      <c r="N22" s="420"/>
    </row>
    <row r="23" spans="1:44" ht="38.25" customHeight="1" outlineLevel="1">
      <c r="B23" s="383" t="s">
        <v>843</v>
      </c>
      <c r="C23" s="1231">
        <v>11</v>
      </c>
      <c r="D23" s="1232">
        <v>11</v>
      </c>
      <c r="E23" s="1232">
        <v>11</v>
      </c>
      <c r="F23" s="1233">
        <v>11</v>
      </c>
      <c r="G23" s="422"/>
      <c r="H23" s="425"/>
      <c r="I23" s="425"/>
      <c r="J23" s="425"/>
      <c r="K23" s="426" t="s">
        <v>76</v>
      </c>
      <c r="L23" s="427" t="s">
        <v>748</v>
      </c>
      <c r="M23" s="428"/>
      <c r="N23" s="428"/>
    </row>
    <row r="24" spans="1:44" outlineLevel="1">
      <c r="B24" s="383" t="s">
        <v>749</v>
      </c>
      <c r="C24" s="1234">
        <v>10</v>
      </c>
      <c r="D24" s="1235">
        <v>10</v>
      </c>
      <c r="E24" s="1235">
        <v>10</v>
      </c>
      <c r="F24" s="1236">
        <v>10</v>
      </c>
      <c r="G24" s="425"/>
      <c r="H24" s="425"/>
      <c r="I24" s="425"/>
      <c r="J24" s="425"/>
      <c r="K24" s="423"/>
      <c r="L24" s="427">
        <v>9</v>
      </c>
      <c r="M24" s="428"/>
      <c r="N24" s="428"/>
    </row>
    <row r="25" spans="1:44" outlineLevel="1">
      <c r="B25" s="383" t="s">
        <v>844</v>
      </c>
      <c r="C25" s="1234">
        <v>63</v>
      </c>
      <c r="D25" s="1235">
        <v>49</v>
      </c>
      <c r="E25" s="1235">
        <v>46</v>
      </c>
      <c r="F25" s="1236">
        <v>41</v>
      </c>
      <c r="G25" s="425"/>
      <c r="H25" s="425"/>
      <c r="I25" s="425"/>
      <c r="J25" s="425"/>
      <c r="K25" s="423"/>
      <c r="L25" s="427" t="s">
        <v>748</v>
      </c>
      <c r="M25" s="428"/>
      <c r="N25" s="428"/>
    </row>
    <row r="26" spans="1:44" outlineLevel="1">
      <c r="B26" s="383" t="s">
        <v>366</v>
      </c>
      <c r="C26" s="1234">
        <v>11</v>
      </c>
      <c r="D26" s="1235">
        <v>8</v>
      </c>
      <c r="E26" s="1235">
        <v>6</v>
      </c>
      <c r="F26" s="1236">
        <v>4</v>
      </c>
      <c r="G26" s="425"/>
      <c r="H26" s="425"/>
      <c r="I26" s="425"/>
      <c r="J26" s="425"/>
      <c r="K26" s="423"/>
      <c r="L26" s="427" t="s">
        <v>748</v>
      </c>
      <c r="M26" s="428"/>
      <c r="N26" s="428"/>
    </row>
    <row r="27" spans="1:44" ht="16" outlineLevel="1" thickBot="1">
      <c r="B27" s="429" t="s">
        <v>367</v>
      </c>
      <c r="C27" s="1237">
        <v>3</v>
      </c>
      <c r="D27" s="1238">
        <v>3</v>
      </c>
      <c r="E27" s="1238">
        <v>1</v>
      </c>
      <c r="F27" s="1239">
        <v>1</v>
      </c>
      <c r="G27" s="425"/>
      <c r="H27" s="425"/>
      <c r="I27" s="425"/>
      <c r="J27" s="425"/>
      <c r="K27" s="423"/>
      <c r="L27" s="427" t="s">
        <v>748</v>
      </c>
      <c r="M27" s="428"/>
      <c r="N27" s="428"/>
    </row>
    <row r="28" spans="1:44" ht="16" outlineLevel="1" thickBot="1">
      <c r="B28" s="431" t="s">
        <v>674</v>
      </c>
      <c r="C28" s="432"/>
      <c r="D28" s="403"/>
      <c r="E28" s="403"/>
      <c r="F28" s="433"/>
      <c r="G28" s="434"/>
      <c r="H28" s="406"/>
      <c r="I28" s="406"/>
      <c r="J28" s="406"/>
      <c r="K28" s="407"/>
      <c r="L28" s="408"/>
      <c r="M28" s="428"/>
      <c r="N28" s="428"/>
    </row>
    <row r="29" spans="1:44" ht="52" customHeight="1" outlineLevel="1">
      <c r="A29" s="435"/>
      <c r="B29" s="436" t="s">
        <v>751</v>
      </c>
      <c r="C29" s="551">
        <v>0.61818181818181817</v>
      </c>
      <c r="D29" s="647">
        <v>0.59090909090909083</v>
      </c>
      <c r="E29" s="647">
        <f>(F29+D29)/2</f>
        <v>0.56363636363636349</v>
      </c>
      <c r="F29" s="648">
        <v>0.53636363636363626</v>
      </c>
      <c r="G29" s="425"/>
      <c r="H29" s="425"/>
      <c r="I29" s="425"/>
      <c r="J29" s="425"/>
      <c r="K29" s="426" t="s">
        <v>974</v>
      </c>
      <c r="L29" s="440" t="s">
        <v>753</v>
      </c>
      <c r="M29" s="420"/>
      <c r="N29" s="420"/>
    </row>
    <row r="30" spans="1:44" outlineLevel="1">
      <c r="B30" s="441" t="s">
        <v>839</v>
      </c>
      <c r="C30" s="442">
        <v>60</v>
      </c>
      <c r="D30" s="442">
        <v>60</v>
      </c>
      <c r="E30" s="442">
        <v>60</v>
      </c>
      <c r="F30" s="442">
        <v>60</v>
      </c>
      <c r="G30" s="425"/>
      <c r="H30" s="425"/>
      <c r="I30" s="425"/>
      <c r="J30" s="425"/>
      <c r="K30" s="444"/>
      <c r="L30" s="373">
        <v>3</v>
      </c>
      <c r="M30" s="71"/>
      <c r="N30" s="420"/>
    </row>
    <row r="31" spans="1:44" outlineLevel="1">
      <c r="B31" s="441" t="s">
        <v>840</v>
      </c>
      <c r="C31" s="442">
        <f>100-C30</f>
        <v>40</v>
      </c>
      <c r="D31" s="442">
        <f>100-D30</f>
        <v>40</v>
      </c>
      <c r="E31" s="442">
        <f>100-E30</f>
        <v>40</v>
      </c>
      <c r="F31" s="442">
        <f>100-F30</f>
        <v>40</v>
      </c>
      <c r="G31" s="425"/>
      <c r="H31" s="425"/>
      <c r="I31" s="425"/>
      <c r="J31" s="425"/>
      <c r="K31" s="444"/>
      <c r="L31" s="373">
        <v>3</v>
      </c>
      <c r="M31" s="420"/>
      <c r="N31" s="420"/>
    </row>
    <row r="32" spans="1:44" outlineLevel="1">
      <c r="B32" s="383" t="s">
        <v>841</v>
      </c>
      <c r="C32" s="602">
        <v>33700</v>
      </c>
      <c r="D32" s="603">
        <v>35900</v>
      </c>
      <c r="E32" s="603">
        <f>(F32+D32)/2</f>
        <v>34800</v>
      </c>
      <c r="F32" s="604">
        <v>33700</v>
      </c>
      <c r="G32" s="425"/>
      <c r="H32" s="425"/>
      <c r="I32" s="425"/>
      <c r="J32" s="425"/>
      <c r="K32" s="448" t="s">
        <v>52</v>
      </c>
      <c r="L32" s="373">
        <v>3</v>
      </c>
      <c r="M32" s="420"/>
      <c r="N32" s="420"/>
    </row>
    <row r="33" spans="2:30" ht="37" customHeight="1" outlineLevel="1" thickBot="1">
      <c r="B33" s="383" t="s">
        <v>679</v>
      </c>
      <c r="C33" s="605">
        <f>C34+C35</f>
        <v>2.7789999999999999</v>
      </c>
      <c r="D33" s="605">
        <f t="shared" ref="D33:F33" si="1">D34+D35</f>
        <v>2.8250000000000002</v>
      </c>
      <c r="E33" s="605">
        <f t="shared" si="1"/>
        <v>2.8479999999999999</v>
      </c>
      <c r="F33" s="605">
        <f t="shared" si="1"/>
        <v>2.8479999999999999</v>
      </c>
      <c r="G33" s="425"/>
      <c r="H33" s="425"/>
      <c r="I33" s="425"/>
      <c r="J33" s="425"/>
      <c r="K33" s="448"/>
      <c r="L33" s="373">
        <v>3</v>
      </c>
      <c r="M33" s="450"/>
      <c r="N33" s="361"/>
      <c r="P33" s="1142">
        <f>C33</f>
        <v>2.7789999999999999</v>
      </c>
      <c r="Q33" s="1143"/>
      <c r="R33" s="1143"/>
      <c r="S33" s="1143"/>
      <c r="T33" s="1143"/>
      <c r="U33" s="1144"/>
    </row>
    <row r="34" spans="2:30" ht="15.75" customHeight="1" outlineLevel="1" thickBot="1">
      <c r="B34" s="451" t="s">
        <v>758</v>
      </c>
      <c r="C34" s="452">
        <f>C13/100*73</f>
        <v>1.679</v>
      </c>
      <c r="D34" s="452">
        <f>D13/100*75</f>
        <v>1.7249999999999999</v>
      </c>
      <c r="E34" s="452">
        <f>E13/100*76</f>
        <v>1.748</v>
      </c>
      <c r="F34" s="452">
        <f>F13/100*76</f>
        <v>1.748</v>
      </c>
      <c r="G34" s="453"/>
      <c r="H34" s="453"/>
      <c r="I34" s="453"/>
      <c r="J34" s="453"/>
      <c r="K34" s="379" t="s">
        <v>55</v>
      </c>
      <c r="L34" s="380">
        <v>3</v>
      </c>
      <c r="M34" s="450"/>
      <c r="N34" s="361"/>
      <c r="P34" s="1134">
        <f>C34</f>
        <v>1.679</v>
      </c>
      <c r="Q34" s="1135"/>
      <c r="R34" s="1135"/>
      <c r="S34" s="1135"/>
      <c r="T34" s="1135"/>
      <c r="U34" s="1136"/>
    </row>
    <row r="35" spans="2:30" outlineLevel="1">
      <c r="B35" s="451" t="s">
        <v>759</v>
      </c>
      <c r="C35" s="454">
        <v>1.1000000000000001</v>
      </c>
      <c r="D35" s="454">
        <v>1.1000000000000001</v>
      </c>
      <c r="E35" s="454">
        <v>1.1000000000000001</v>
      </c>
      <c r="F35" s="454">
        <v>1.1000000000000001</v>
      </c>
      <c r="G35" s="453"/>
      <c r="H35" s="453"/>
      <c r="I35" s="453"/>
      <c r="J35" s="453"/>
      <c r="K35" s="455"/>
      <c r="L35" s="380">
        <v>3</v>
      </c>
      <c r="M35" s="363"/>
      <c r="N35" s="363"/>
      <c r="P35" s="53" t="s">
        <v>357</v>
      </c>
    </row>
    <row r="36" spans="2:30" ht="30" outlineLevel="1">
      <c r="B36" s="441"/>
      <c r="C36" s="642"/>
      <c r="D36" s="642"/>
      <c r="E36" s="642"/>
      <c r="F36" s="642"/>
      <c r="G36" s="425"/>
      <c r="H36" s="425"/>
      <c r="I36" s="425"/>
      <c r="J36" s="425"/>
      <c r="K36" s="444"/>
      <c r="L36" s="424"/>
      <c r="M36" s="367"/>
      <c r="N36" s="367"/>
      <c r="P36" s="46" t="s">
        <v>335</v>
      </c>
      <c r="Q36" s="46" t="s">
        <v>336</v>
      </c>
      <c r="R36" s="47" t="s">
        <v>337</v>
      </c>
      <c r="S36" s="47" t="s">
        <v>338</v>
      </c>
      <c r="T36" s="47" t="s">
        <v>339</v>
      </c>
      <c r="U36" s="48" t="s">
        <v>340</v>
      </c>
      <c r="V36" s="49" t="s">
        <v>341</v>
      </c>
      <c r="W36" s="49" t="s">
        <v>342</v>
      </c>
      <c r="X36" s="49" t="s">
        <v>343</v>
      </c>
      <c r="Y36" s="49" t="s">
        <v>344</v>
      </c>
      <c r="Z36" s="49" t="s">
        <v>345</v>
      </c>
      <c r="AA36" s="49" t="s">
        <v>346</v>
      </c>
      <c r="AB36" s="49" t="s">
        <v>347</v>
      </c>
      <c r="AC36" s="49" t="s">
        <v>348</v>
      </c>
      <c r="AD36" s="49" t="s">
        <v>349</v>
      </c>
    </row>
    <row r="37" spans="2:30" ht="35" customHeight="1" outlineLevel="1" thickBot="1">
      <c r="B37" s="441"/>
      <c r="C37" s="442"/>
      <c r="D37" s="457"/>
      <c r="E37" s="457"/>
      <c r="F37" s="458"/>
      <c r="G37" s="425"/>
      <c r="H37" s="425"/>
      <c r="I37" s="425"/>
      <c r="J37" s="425"/>
      <c r="K37" s="448"/>
      <c r="L37" s="424"/>
      <c r="M37" s="363"/>
      <c r="N37" s="363"/>
      <c r="P37" s="50"/>
      <c r="Q37" s="50"/>
      <c r="R37" s="51"/>
      <c r="S37" s="51"/>
      <c r="T37" s="51"/>
      <c r="U37" s="51" t="s">
        <v>760</v>
      </c>
      <c r="V37" s="50" t="s">
        <v>761</v>
      </c>
      <c r="W37" s="50"/>
      <c r="X37" s="50"/>
      <c r="Y37" s="50"/>
      <c r="Z37" s="50"/>
      <c r="AA37" s="50"/>
      <c r="AB37" s="50"/>
      <c r="AC37" s="50"/>
      <c r="AD37" s="50"/>
    </row>
    <row r="38" spans="2:30" ht="73" customHeight="1" outlineLevel="1" thickBot="1">
      <c r="B38" s="401" t="s">
        <v>682</v>
      </c>
      <c r="C38" s="402"/>
      <c r="D38" s="403"/>
      <c r="E38" s="404"/>
      <c r="F38" s="405"/>
      <c r="G38" s="406"/>
      <c r="H38" s="406"/>
      <c r="I38" s="406"/>
      <c r="J38" s="406"/>
      <c r="K38" s="459"/>
      <c r="L38" s="460"/>
      <c r="M38" s="363"/>
      <c r="N38" s="363"/>
      <c r="O38" s="461" t="s">
        <v>732</v>
      </c>
      <c r="P38" s="56"/>
      <c r="Q38" s="56"/>
      <c r="R38" s="57"/>
      <c r="S38" s="57"/>
      <c r="T38" s="57"/>
      <c r="U38" s="56" t="s">
        <v>350</v>
      </c>
      <c r="V38" s="56" t="s">
        <v>326</v>
      </c>
      <c r="W38" s="56" t="s">
        <v>327</v>
      </c>
      <c r="X38" s="56" t="s">
        <v>351</v>
      </c>
      <c r="Y38" s="56" t="s">
        <v>351</v>
      </c>
      <c r="Z38" s="56" t="s">
        <v>352</v>
      </c>
      <c r="AA38" s="56" t="s">
        <v>352</v>
      </c>
      <c r="AB38" s="56" t="s">
        <v>352</v>
      </c>
      <c r="AC38" s="56" t="s">
        <v>352</v>
      </c>
      <c r="AD38" s="56" t="s">
        <v>352</v>
      </c>
    </row>
    <row r="39" spans="2:30" outlineLevel="1">
      <c r="B39" s="451" t="s">
        <v>762</v>
      </c>
      <c r="C39" s="462" t="s">
        <v>36</v>
      </c>
      <c r="D39" s="462" t="s">
        <v>36</v>
      </c>
      <c r="E39" s="462" t="s">
        <v>36</v>
      </c>
      <c r="F39" s="462" t="s">
        <v>36</v>
      </c>
      <c r="G39" s="463"/>
      <c r="H39" s="463"/>
      <c r="I39" s="463"/>
      <c r="J39" s="463"/>
      <c r="K39" s="463" t="s">
        <v>49</v>
      </c>
      <c r="L39" s="464"/>
      <c r="M39" s="363"/>
      <c r="N39" s="363"/>
      <c r="O39" s="465">
        <f>C12</f>
        <v>89</v>
      </c>
      <c r="P39" s="466">
        <f>C8</f>
        <v>2020</v>
      </c>
      <c r="Q39" s="58">
        <f>P39</f>
        <v>2020</v>
      </c>
      <c r="R39" s="466">
        <f>O39/100</f>
        <v>0.89</v>
      </c>
      <c r="S39" s="58"/>
      <c r="T39" s="466">
        <f>C16</f>
        <v>25</v>
      </c>
      <c r="U39" s="467">
        <f>C46</f>
        <v>4605.454545454545</v>
      </c>
      <c r="V39" s="467">
        <f>C48</f>
        <v>251.065</v>
      </c>
      <c r="W39" s="467">
        <f>C49</f>
        <v>5.7509861111111107</v>
      </c>
      <c r="X39" s="58"/>
      <c r="Y39" s="58"/>
      <c r="Z39" s="466">
        <f>C23</f>
        <v>11</v>
      </c>
      <c r="AA39" s="468">
        <f>C25</f>
        <v>63</v>
      </c>
      <c r="AB39" s="468">
        <f>C26</f>
        <v>11</v>
      </c>
      <c r="AC39" s="468">
        <f>C27</f>
        <v>3</v>
      </c>
      <c r="AD39" s="468">
        <f>C24</f>
        <v>10</v>
      </c>
    </row>
    <row r="40" spans="2:30" ht="14.5" customHeight="1" outlineLevel="1">
      <c r="B40" s="376" t="s">
        <v>763</v>
      </c>
      <c r="C40" s="469" t="s">
        <v>36</v>
      </c>
      <c r="D40" s="470" t="s">
        <v>36</v>
      </c>
      <c r="E40" s="470" t="s">
        <v>36</v>
      </c>
      <c r="F40" s="471" t="s">
        <v>36</v>
      </c>
      <c r="G40" s="471"/>
      <c r="H40" s="471"/>
      <c r="I40" s="471"/>
      <c r="J40" s="471"/>
      <c r="K40" s="472" t="s">
        <v>49</v>
      </c>
      <c r="L40" s="464"/>
      <c r="M40" s="363"/>
      <c r="N40" s="363"/>
      <c r="O40" s="465">
        <f>D12</f>
        <v>89</v>
      </c>
      <c r="P40" s="466">
        <f>D8</f>
        <v>2030</v>
      </c>
      <c r="Q40" s="58"/>
      <c r="R40" s="466">
        <f>O40/100</f>
        <v>0.89</v>
      </c>
      <c r="S40" s="58"/>
      <c r="T40" s="466">
        <f>D16</f>
        <v>25</v>
      </c>
      <c r="U40" s="467">
        <f>D46</f>
        <v>4402.2727272727261</v>
      </c>
      <c r="V40" s="467">
        <f>D48</f>
        <v>267.45499999999998</v>
      </c>
      <c r="W40" s="467">
        <f>D49</f>
        <v>5.8461805555555557</v>
      </c>
      <c r="X40" s="58"/>
      <c r="Y40" s="58"/>
      <c r="Z40" s="466">
        <f>D23</f>
        <v>11</v>
      </c>
      <c r="AA40" s="468">
        <f>D25</f>
        <v>49</v>
      </c>
      <c r="AB40" s="468">
        <f>D26</f>
        <v>8</v>
      </c>
      <c r="AC40" s="468">
        <f>D27</f>
        <v>3</v>
      </c>
      <c r="AD40" s="468">
        <f>D24</f>
        <v>10</v>
      </c>
    </row>
    <row r="41" spans="2:30" outlineLevel="1">
      <c r="B41" s="376" t="s">
        <v>764</v>
      </c>
      <c r="C41" s="469" t="s">
        <v>36</v>
      </c>
      <c r="D41" s="470" t="s">
        <v>36</v>
      </c>
      <c r="E41" s="470" t="s">
        <v>36</v>
      </c>
      <c r="F41" s="471" t="s">
        <v>36</v>
      </c>
      <c r="G41" s="453"/>
      <c r="H41" s="453"/>
      <c r="I41" s="453"/>
      <c r="J41" s="453"/>
      <c r="K41" s="453"/>
      <c r="L41" s="380"/>
      <c r="M41" s="363"/>
      <c r="N41" s="363"/>
      <c r="O41" s="465">
        <f>E12</f>
        <v>89</v>
      </c>
      <c r="P41" s="466">
        <f>E8</f>
        <v>2040</v>
      </c>
      <c r="Q41" s="58"/>
      <c r="R41" s="466">
        <f>O41/100</f>
        <v>0.89</v>
      </c>
      <c r="S41" s="58"/>
      <c r="T41" s="466">
        <f>E16</f>
        <v>25</v>
      </c>
      <c r="U41" s="467">
        <f>E46</f>
        <v>4199.0909090909081</v>
      </c>
      <c r="V41" s="467">
        <f>E48</f>
        <v>259.26</v>
      </c>
      <c r="W41" s="467">
        <f>E49</f>
        <v>5.8937777777777782</v>
      </c>
      <c r="X41" s="58"/>
      <c r="Y41" s="58"/>
      <c r="Z41" s="466">
        <f>E23</f>
        <v>11</v>
      </c>
      <c r="AA41" s="468">
        <f>E25</f>
        <v>46</v>
      </c>
      <c r="AB41" s="468">
        <f>E26</f>
        <v>6</v>
      </c>
      <c r="AC41" s="468">
        <f>E27</f>
        <v>1</v>
      </c>
      <c r="AD41" s="468">
        <f>E24</f>
        <v>10</v>
      </c>
    </row>
    <row r="42" spans="2:30" ht="14.5" customHeight="1" outlineLevel="1">
      <c r="B42" s="376" t="s">
        <v>765</v>
      </c>
      <c r="C42" s="1240">
        <v>90</v>
      </c>
      <c r="D42" s="1241">
        <v>90</v>
      </c>
      <c r="E42" s="1241">
        <v>90</v>
      </c>
      <c r="F42" s="1242">
        <v>90</v>
      </c>
      <c r="G42" s="474"/>
      <c r="H42" s="474"/>
      <c r="I42" s="474"/>
      <c r="J42" s="474"/>
      <c r="K42" s="474"/>
      <c r="L42" s="380">
        <v>3</v>
      </c>
      <c r="M42" s="363"/>
      <c r="N42" s="363"/>
      <c r="O42" s="465">
        <f>F12</f>
        <v>90</v>
      </c>
      <c r="P42" s="466">
        <f>F8</f>
        <v>2050</v>
      </c>
      <c r="Q42" s="58"/>
      <c r="R42" s="466">
        <f>O42/100</f>
        <v>0.9</v>
      </c>
      <c r="S42" s="58"/>
      <c r="T42" s="466">
        <f>F16</f>
        <v>25</v>
      </c>
      <c r="U42" s="467">
        <f>F46</f>
        <v>3995.9090909090901</v>
      </c>
      <c r="V42" s="467">
        <f>F48</f>
        <v>251.065</v>
      </c>
      <c r="W42" s="467">
        <f>F49</f>
        <v>5.8937777777777782</v>
      </c>
      <c r="X42" s="58"/>
      <c r="Y42" s="58"/>
      <c r="Z42" s="466">
        <f>F23</f>
        <v>11</v>
      </c>
      <c r="AA42" s="468">
        <f>F25</f>
        <v>41</v>
      </c>
      <c r="AB42" s="468">
        <f>F26</f>
        <v>4</v>
      </c>
      <c r="AC42" s="468">
        <f>F27</f>
        <v>1</v>
      </c>
      <c r="AD42" s="468">
        <f>F24</f>
        <v>10</v>
      </c>
    </row>
    <row r="43" spans="2:30" outlineLevel="1">
      <c r="B43" s="475" t="s">
        <v>766</v>
      </c>
      <c r="C43" s="469" t="s">
        <v>36</v>
      </c>
      <c r="D43" s="470" t="s">
        <v>36</v>
      </c>
      <c r="E43" s="470" t="s">
        <v>36</v>
      </c>
      <c r="F43" s="471" t="s">
        <v>36</v>
      </c>
      <c r="G43" s="474"/>
      <c r="H43" s="474"/>
      <c r="I43" s="474"/>
      <c r="J43" s="474"/>
      <c r="K43" s="474"/>
      <c r="L43" s="476"/>
      <c r="M43" s="367"/>
      <c r="N43" s="367"/>
    </row>
    <row r="44" spans="2:30" outlineLevel="1">
      <c r="B44" s="475" t="s">
        <v>767</v>
      </c>
      <c r="C44" s="469" t="s">
        <v>36</v>
      </c>
      <c r="D44" s="470" t="s">
        <v>36</v>
      </c>
      <c r="E44" s="470" t="s">
        <v>36</v>
      </c>
      <c r="F44" s="471" t="s">
        <v>36</v>
      </c>
      <c r="G44" s="474"/>
      <c r="H44" s="474"/>
      <c r="I44" s="474"/>
      <c r="J44" s="474"/>
      <c r="K44" s="474"/>
      <c r="L44" s="476"/>
      <c r="M44" s="363"/>
      <c r="N44" s="363"/>
    </row>
    <row r="45" spans="2:30" ht="16" outlineLevel="1" thickBot="1">
      <c r="B45" s="477" t="s">
        <v>768</v>
      </c>
      <c r="C45" s="478" t="s">
        <v>36</v>
      </c>
      <c r="D45" s="479" t="s">
        <v>36</v>
      </c>
      <c r="E45" s="479" t="s">
        <v>36</v>
      </c>
      <c r="F45" s="480" t="s">
        <v>36</v>
      </c>
      <c r="G45" s="481"/>
      <c r="H45" s="481"/>
      <c r="I45" s="481"/>
      <c r="J45" s="481"/>
      <c r="K45" s="481"/>
      <c r="L45" s="482"/>
      <c r="M45" s="363"/>
      <c r="N45" s="363"/>
    </row>
    <row r="46" spans="2:30" ht="64" outlineLevel="1">
      <c r="B46" s="461" t="s">
        <v>769</v>
      </c>
      <c r="C46" s="483">
        <f>C29*$F$4*1000</f>
        <v>4605.454545454545</v>
      </c>
      <c r="D46" s="483">
        <f t="shared" ref="D46:F46" si="2">D29*$F$4*1000</f>
        <v>4402.2727272727261</v>
      </c>
      <c r="E46" s="483">
        <f t="shared" si="2"/>
        <v>4199.0909090909081</v>
      </c>
      <c r="F46" s="483">
        <f t="shared" si="2"/>
        <v>3995.9090909090901</v>
      </c>
      <c r="G46" s="483"/>
      <c r="H46" s="484"/>
      <c r="I46" s="420" t="s">
        <v>332</v>
      </c>
      <c r="J46" s="420"/>
      <c r="K46" s="484"/>
      <c r="L46" s="484"/>
      <c r="N46" s="420"/>
    </row>
    <row r="47" spans="2:30" outlineLevel="1">
      <c r="B47" s="485" t="s">
        <v>770</v>
      </c>
      <c r="C47" s="486">
        <f>C46*$I47</f>
        <v>2302727.2727272725</v>
      </c>
      <c r="D47" s="486">
        <f>D46*$I47</f>
        <v>2201136.3636363628</v>
      </c>
      <c r="E47" s="486">
        <f>E46*$I47</f>
        <v>2099545.4545454541</v>
      </c>
      <c r="F47" s="486">
        <f>F46*$I47</f>
        <v>1997954.5454545449</v>
      </c>
      <c r="G47" s="486"/>
      <c r="H47" s="484"/>
      <c r="I47" s="71">
        <v>500</v>
      </c>
      <c r="J47" s="420" t="s">
        <v>330</v>
      </c>
      <c r="K47" s="484"/>
      <c r="L47" s="484"/>
      <c r="N47" s="420"/>
    </row>
    <row r="48" spans="2:30" ht="48" outlineLevel="1">
      <c r="B48" s="461" t="s">
        <v>845</v>
      </c>
      <c r="C48" s="359">
        <f>C32*$F$4/1000</f>
        <v>251.065</v>
      </c>
      <c r="D48" s="359">
        <f t="shared" ref="D48:F48" si="3">D32*$F$4/1000</f>
        <v>267.45499999999998</v>
      </c>
      <c r="E48" s="359">
        <f t="shared" si="3"/>
        <v>259.26</v>
      </c>
      <c r="F48" s="359">
        <f t="shared" si="3"/>
        <v>251.065</v>
      </c>
      <c r="G48" s="359"/>
      <c r="I48" s="420" t="s">
        <v>333</v>
      </c>
      <c r="J48" s="420"/>
      <c r="N48" s="420"/>
    </row>
    <row r="49" spans="2:14" ht="48" outlineLevel="1">
      <c r="B49" s="461" t="s">
        <v>846</v>
      </c>
      <c r="C49" s="487">
        <f>C33*$F$4/3.6</f>
        <v>5.7509861111111107</v>
      </c>
      <c r="D49" s="487">
        <f t="shared" ref="D49:F49" si="4">D33*$F$4/3.6</f>
        <v>5.8461805555555557</v>
      </c>
      <c r="E49" s="487">
        <f t="shared" si="4"/>
        <v>5.8937777777777782</v>
      </c>
      <c r="F49" s="487">
        <f t="shared" si="4"/>
        <v>5.8937777777777782</v>
      </c>
      <c r="G49" s="359"/>
      <c r="M49" s="420"/>
      <c r="N49" s="420"/>
    </row>
    <row r="50" spans="2:14" outlineLevel="1"/>
    <row r="51" spans="2:14" outlineLevel="1"/>
    <row r="52" spans="2:14" outlineLevel="1"/>
    <row r="53" spans="2:14" outlineLevel="1"/>
    <row r="54" spans="2:14" outlineLevel="1">
      <c r="E54" s="358"/>
      <c r="F54" s="358"/>
      <c r="G54" s="358"/>
      <c r="H54" s="358"/>
      <c r="I54" s="358"/>
      <c r="J54" s="358"/>
      <c r="K54" s="358"/>
      <c r="L54" s="358"/>
    </row>
    <row r="55" spans="2:14" outlineLevel="1">
      <c r="B55" s="488" t="s">
        <v>773</v>
      </c>
      <c r="C55" s="489"/>
      <c r="D55" s="358"/>
      <c r="E55" s="358"/>
      <c r="F55" s="358"/>
      <c r="G55" s="358"/>
      <c r="H55" s="358"/>
      <c r="I55" s="358"/>
      <c r="J55" s="358"/>
      <c r="K55" s="358"/>
      <c r="L55" s="358"/>
    </row>
    <row r="56" spans="2:14" outlineLevel="1">
      <c r="B56" s="491">
        <v>1</v>
      </c>
      <c r="C56" s="492" t="s">
        <v>774</v>
      </c>
      <c r="D56" s="490"/>
      <c r="F56" s="358"/>
      <c r="G56" s="358"/>
      <c r="H56" s="358"/>
      <c r="I56" s="358"/>
      <c r="J56" s="358"/>
      <c r="K56" s="358"/>
      <c r="L56" s="358"/>
    </row>
    <row r="57" spans="2:14" outlineLevel="1">
      <c r="B57" s="491">
        <v>2</v>
      </c>
      <c r="C57" s="493" t="s">
        <v>775</v>
      </c>
      <c r="D57" s="490"/>
      <c r="F57" s="358"/>
      <c r="G57" s="358"/>
      <c r="H57" s="358"/>
      <c r="I57" s="358"/>
      <c r="J57" s="358"/>
      <c r="K57" s="358"/>
      <c r="L57" s="358"/>
    </row>
    <row r="58" spans="2:14" outlineLevel="1">
      <c r="B58" s="491">
        <v>3</v>
      </c>
      <c r="C58" s="493" t="s">
        <v>776</v>
      </c>
      <c r="D58" s="490"/>
      <c r="F58" s="358"/>
      <c r="G58" s="358"/>
      <c r="H58" s="358"/>
      <c r="I58" s="358"/>
      <c r="J58" s="358"/>
      <c r="K58" s="358"/>
      <c r="L58" s="358"/>
    </row>
    <row r="59" spans="2:14" outlineLevel="1">
      <c r="B59" s="491">
        <v>4</v>
      </c>
      <c r="C59" s="493" t="s">
        <v>777</v>
      </c>
      <c r="D59" s="490"/>
      <c r="F59" s="358"/>
      <c r="G59" s="358"/>
      <c r="H59" s="358"/>
      <c r="I59" s="358"/>
      <c r="J59" s="358"/>
      <c r="K59" s="358"/>
      <c r="L59" s="358"/>
    </row>
    <row r="60" spans="2:14" outlineLevel="1">
      <c r="B60" s="358">
        <v>5</v>
      </c>
      <c r="C60" s="494" t="s">
        <v>778</v>
      </c>
      <c r="D60" s="490"/>
      <c r="F60" s="358"/>
      <c r="G60" s="358"/>
      <c r="H60" s="358"/>
      <c r="I60" s="358"/>
      <c r="J60" s="358"/>
      <c r="K60" s="358"/>
      <c r="L60" s="358"/>
    </row>
    <row r="61" spans="2:14" outlineLevel="1">
      <c r="B61" s="358">
        <v>6</v>
      </c>
      <c r="C61" s="492" t="s">
        <v>779</v>
      </c>
      <c r="D61" s="490"/>
      <c r="F61" s="358"/>
      <c r="G61" s="358"/>
      <c r="H61" s="358"/>
      <c r="I61" s="358"/>
      <c r="J61" s="358"/>
      <c r="K61" s="358"/>
      <c r="L61" s="358"/>
    </row>
    <row r="62" spans="2:14" outlineLevel="1">
      <c r="B62" s="358">
        <v>7</v>
      </c>
      <c r="C62" s="495" t="s">
        <v>774</v>
      </c>
      <c r="D62" s="490"/>
      <c r="F62" s="358"/>
      <c r="G62" s="358"/>
      <c r="H62" s="358"/>
      <c r="I62" s="358"/>
      <c r="J62" s="358"/>
      <c r="K62" s="358"/>
      <c r="L62" s="358"/>
    </row>
    <row r="63" spans="2:14" outlineLevel="1">
      <c r="B63" s="358">
        <v>8</v>
      </c>
      <c r="C63" s="495" t="s">
        <v>780</v>
      </c>
      <c r="D63" s="490"/>
      <c r="F63" s="358"/>
      <c r="G63" s="358"/>
      <c r="H63" s="358"/>
      <c r="I63" s="358"/>
      <c r="J63" s="358"/>
      <c r="K63" s="358"/>
      <c r="L63" s="358"/>
    </row>
    <row r="64" spans="2:14" outlineLevel="1">
      <c r="B64" s="358">
        <v>9</v>
      </c>
      <c r="C64" s="489" t="s">
        <v>781</v>
      </c>
      <c r="D64" s="490"/>
      <c r="F64" s="358"/>
      <c r="G64" s="358"/>
      <c r="H64" s="358"/>
      <c r="I64" s="358"/>
      <c r="J64" s="358"/>
      <c r="K64" s="358"/>
      <c r="L64" s="358"/>
    </row>
    <row r="65" spans="2:12" outlineLevel="1">
      <c r="B65" s="358">
        <v>10</v>
      </c>
      <c r="C65" s="490" t="s">
        <v>782</v>
      </c>
      <c r="D65" s="358"/>
      <c r="F65" s="358"/>
      <c r="G65" s="358"/>
      <c r="H65" s="358"/>
      <c r="I65" s="358"/>
      <c r="J65" s="358"/>
      <c r="K65" s="358"/>
      <c r="L65" s="358"/>
    </row>
    <row r="66" spans="2:12" outlineLevel="1">
      <c r="B66" s="488" t="s">
        <v>783</v>
      </c>
      <c r="C66" s="489"/>
      <c r="F66" s="358"/>
      <c r="G66" s="358"/>
      <c r="H66" s="358"/>
      <c r="I66" s="358"/>
      <c r="J66" s="358"/>
      <c r="K66" s="358"/>
      <c r="L66" s="358"/>
    </row>
    <row r="67" spans="2:12" outlineLevel="1">
      <c r="B67" s="496" t="s">
        <v>6</v>
      </c>
      <c r="C67" s="497" t="s">
        <v>975</v>
      </c>
      <c r="D67" s="358"/>
      <c r="F67" s="358"/>
      <c r="G67" s="358"/>
      <c r="H67" s="358"/>
      <c r="I67" s="358"/>
      <c r="J67" s="358"/>
      <c r="K67" s="358"/>
      <c r="L67" s="358"/>
    </row>
    <row r="68" spans="2:12" outlineLevel="1">
      <c r="B68" s="496" t="s">
        <v>59</v>
      </c>
      <c r="C68" s="489" t="s">
        <v>785</v>
      </c>
      <c r="D68" s="358"/>
      <c r="F68" s="358"/>
      <c r="G68" s="358"/>
      <c r="H68" s="358"/>
      <c r="I68" s="358"/>
      <c r="J68" s="358"/>
      <c r="K68" s="358"/>
      <c r="L68" s="358"/>
    </row>
    <row r="69" spans="2:12" outlineLevel="1">
      <c r="B69" s="496" t="s">
        <v>16</v>
      </c>
      <c r="C69" s="489" t="s">
        <v>976</v>
      </c>
      <c r="F69" s="358"/>
      <c r="G69" s="358"/>
      <c r="H69" s="358"/>
      <c r="I69" s="358"/>
      <c r="J69" s="358"/>
      <c r="K69" s="358"/>
      <c r="L69" s="358"/>
    </row>
    <row r="70" spans="2:12" outlineLevel="1">
      <c r="B70" s="496" t="s">
        <v>20</v>
      </c>
      <c r="C70" s="489" t="s">
        <v>977</v>
      </c>
      <c r="G70" s="358"/>
      <c r="H70" s="358"/>
      <c r="I70" s="358"/>
      <c r="J70" s="358"/>
      <c r="K70" s="358"/>
      <c r="L70" s="358"/>
    </row>
    <row r="71" spans="2:12" outlineLevel="1">
      <c r="B71" s="496" t="s">
        <v>76</v>
      </c>
      <c r="C71" s="489" t="s">
        <v>786</v>
      </c>
      <c r="G71" s="358"/>
      <c r="H71" s="358"/>
      <c r="I71" s="358"/>
      <c r="J71" s="358"/>
      <c r="K71" s="358"/>
      <c r="L71" s="358"/>
    </row>
    <row r="72" spans="2:12" outlineLevel="1">
      <c r="B72" s="496" t="s">
        <v>25</v>
      </c>
      <c r="C72" s="489" t="s">
        <v>978</v>
      </c>
      <c r="G72" s="358"/>
      <c r="H72" s="358"/>
      <c r="I72" s="358"/>
      <c r="J72" s="358"/>
      <c r="K72" s="358"/>
      <c r="L72" s="358"/>
    </row>
    <row r="73" spans="2:12" outlineLevel="1">
      <c r="B73" s="496" t="s">
        <v>33</v>
      </c>
      <c r="C73" s="489" t="s">
        <v>979</v>
      </c>
      <c r="G73" s="358"/>
      <c r="H73" s="358"/>
      <c r="I73" s="358"/>
      <c r="J73" s="358"/>
      <c r="K73" s="358"/>
      <c r="L73" s="358"/>
    </row>
    <row r="74" spans="2:12" outlineLevel="1">
      <c r="B74" s="496" t="s">
        <v>51</v>
      </c>
      <c r="C74" s="489" t="s">
        <v>787</v>
      </c>
      <c r="G74" s="358"/>
      <c r="H74" s="358"/>
      <c r="I74" s="358"/>
      <c r="J74" s="358"/>
      <c r="K74" s="358"/>
      <c r="L74" s="358"/>
    </row>
    <row r="75" spans="2:12" outlineLevel="1">
      <c r="B75" s="496" t="s">
        <v>52</v>
      </c>
      <c r="C75" s="489" t="s">
        <v>980</v>
      </c>
      <c r="G75" s="358"/>
      <c r="H75" s="358"/>
      <c r="I75" s="358"/>
      <c r="J75" s="358"/>
      <c r="K75" s="358"/>
      <c r="L75" s="358"/>
    </row>
    <row r="76" spans="2:12" outlineLevel="1">
      <c r="B76" s="496" t="s">
        <v>55</v>
      </c>
      <c r="C76" s="498" t="s">
        <v>788</v>
      </c>
      <c r="G76" s="358"/>
      <c r="H76" s="358"/>
      <c r="I76" s="358"/>
      <c r="J76" s="358"/>
      <c r="K76" s="358"/>
      <c r="L76" s="358"/>
    </row>
    <row r="77" spans="2:12" outlineLevel="1">
      <c r="B77" s="496" t="s">
        <v>49</v>
      </c>
      <c r="C77" s="489" t="s">
        <v>789</v>
      </c>
      <c r="G77" s="358"/>
      <c r="H77" s="358"/>
      <c r="I77" s="358"/>
      <c r="J77" s="358"/>
      <c r="K77" s="358"/>
      <c r="L77" s="358"/>
    </row>
    <row r="78" spans="2:12" outlineLevel="1">
      <c r="E78" s="490"/>
      <c r="F78" s="490"/>
    </row>
    <row r="79" spans="2:12" outlineLevel="1"/>
    <row r="80" spans="2:12" outlineLevel="1">
      <c r="B80" s="496"/>
      <c r="C80" s="489"/>
      <c r="D80" s="489"/>
    </row>
    <row r="81" spans="1:44" outlineLevel="1">
      <c r="B81" s="638" t="str">
        <f>C86</f>
        <v>Steam boiler, Wood chips (Condensing)</v>
      </c>
    </row>
    <row r="84" spans="1:44">
      <c r="A84" s="360" t="s">
        <v>994</v>
      </c>
      <c r="B84" s="1207"/>
      <c r="C84" s="1143"/>
      <c r="D84" s="1143"/>
      <c r="E84" s="1143"/>
      <c r="F84" s="1143"/>
      <c r="G84" s="1143"/>
      <c r="H84" s="1143"/>
      <c r="I84" s="1143"/>
      <c r="J84" s="1143"/>
      <c r="K84" s="1143"/>
      <c r="L84" s="1143"/>
      <c r="M84" s="1143"/>
      <c r="N84" s="361"/>
      <c r="P84" s="1143"/>
      <c r="Q84" s="1143"/>
      <c r="R84" s="1143"/>
      <c r="S84" s="1143"/>
      <c r="T84" s="1143"/>
      <c r="U84" s="1143"/>
    </row>
    <row r="85" spans="1:44" ht="16" outlineLevel="1" thickBot="1">
      <c r="B85" s="1207"/>
      <c r="C85" s="1143"/>
      <c r="D85" s="1143"/>
      <c r="E85" s="1143"/>
      <c r="F85" s="1143"/>
      <c r="G85" s="1143"/>
      <c r="H85" s="1143"/>
      <c r="I85" s="1143"/>
      <c r="J85" s="1143"/>
      <c r="K85" s="1143"/>
      <c r="L85" s="1143"/>
      <c r="M85" s="1143"/>
      <c r="N85" s="361"/>
      <c r="P85" s="692">
        <v>1</v>
      </c>
      <c r="Q85" s="692">
        <v>2</v>
      </c>
      <c r="R85" s="692">
        <v>3</v>
      </c>
      <c r="S85" s="692">
        <v>4</v>
      </c>
      <c r="T85" s="692">
        <v>5</v>
      </c>
      <c r="U85" s="692">
        <v>6</v>
      </c>
      <c r="V85" s="692">
        <v>7</v>
      </c>
      <c r="W85" s="692">
        <v>8</v>
      </c>
      <c r="X85" s="692">
        <v>9</v>
      </c>
      <c r="Y85" s="692">
        <v>10</v>
      </c>
      <c r="Z85" s="692">
        <v>11</v>
      </c>
      <c r="AA85" s="692">
        <v>12</v>
      </c>
      <c r="AB85" s="692">
        <v>13</v>
      </c>
      <c r="AC85" s="692">
        <v>14</v>
      </c>
    </row>
    <row r="86" spans="1:44" ht="20.5" customHeight="1" outlineLevel="1" thickBot="1">
      <c r="B86" s="362" t="s">
        <v>0</v>
      </c>
      <c r="C86" s="1204" t="s">
        <v>981</v>
      </c>
      <c r="D86" s="1205"/>
      <c r="E86" s="1205"/>
      <c r="F86" s="1205"/>
      <c r="G86" s="1205"/>
      <c r="H86" s="1205"/>
      <c r="I86" s="1205"/>
      <c r="J86" s="1205"/>
      <c r="K86" s="1205"/>
      <c r="L86" s="1206"/>
      <c r="M86" s="363"/>
      <c r="N86" s="363"/>
      <c r="P86" s="364" t="s">
        <v>713</v>
      </c>
      <c r="Q86" s="365"/>
      <c r="R86" s="366"/>
      <c r="S86" s="1176" t="s">
        <v>714</v>
      </c>
      <c r="T86" s="1160" t="s">
        <v>715</v>
      </c>
      <c r="U86" s="1161"/>
      <c r="V86" s="1160" t="s">
        <v>716</v>
      </c>
      <c r="W86" s="1161"/>
      <c r="X86" s="1160" t="s">
        <v>717</v>
      </c>
      <c r="Y86" s="1161"/>
      <c r="Z86" s="1160" t="s">
        <v>718</v>
      </c>
      <c r="AA86" s="1161"/>
      <c r="AB86" s="1160" t="s">
        <v>719</v>
      </c>
      <c r="AC86" s="1161"/>
      <c r="AE86" s="364" t="s">
        <v>720</v>
      </c>
      <c r="AF86" s="365"/>
      <c r="AG86" s="366"/>
      <c r="AH86" s="1176" t="s">
        <v>714</v>
      </c>
      <c r="AI86" s="1160" t="s">
        <v>715</v>
      </c>
      <c r="AJ86" s="1161"/>
      <c r="AK86" s="1160" t="s">
        <v>716</v>
      </c>
      <c r="AL86" s="1161"/>
      <c r="AM86" s="1160" t="s">
        <v>717</v>
      </c>
      <c r="AN86" s="1161"/>
      <c r="AO86" s="1160" t="s">
        <v>718</v>
      </c>
      <c r="AP86" s="1161"/>
      <c r="AQ86" s="1160" t="s">
        <v>719</v>
      </c>
      <c r="AR86" s="1161"/>
    </row>
    <row r="87" spans="1:44" ht="15" customHeight="1" outlineLevel="1" thickBot="1">
      <c r="B87" s="1164" t="s">
        <v>4</v>
      </c>
      <c r="C87" s="1166">
        <v>2020</v>
      </c>
      <c r="D87" s="1166">
        <v>2030</v>
      </c>
      <c r="E87" s="1166">
        <v>2040</v>
      </c>
      <c r="F87" s="1166">
        <v>2050</v>
      </c>
      <c r="G87" s="1200" t="s">
        <v>721</v>
      </c>
      <c r="H87" s="1201"/>
      <c r="I87" s="1200" t="s">
        <v>648</v>
      </c>
      <c r="J87" s="1201"/>
      <c r="K87" s="1202" t="s">
        <v>2</v>
      </c>
      <c r="L87" s="1202" t="s">
        <v>3</v>
      </c>
      <c r="M87" s="367"/>
      <c r="N87" s="367"/>
      <c r="P87" s="1180" t="s">
        <v>0</v>
      </c>
      <c r="Q87" s="368"/>
      <c r="R87" s="368"/>
      <c r="S87" s="1177"/>
      <c r="T87" s="1162"/>
      <c r="U87" s="1163"/>
      <c r="V87" s="1162"/>
      <c r="W87" s="1163"/>
      <c r="X87" s="1162"/>
      <c r="Y87" s="1163"/>
      <c r="Z87" s="1162"/>
      <c r="AA87" s="1163"/>
      <c r="AB87" s="1162"/>
      <c r="AC87" s="1163"/>
      <c r="AE87" s="1180" t="s">
        <v>0</v>
      </c>
      <c r="AF87" s="368"/>
      <c r="AG87" s="368"/>
      <c r="AH87" s="1177"/>
      <c r="AI87" s="1162"/>
      <c r="AJ87" s="1163"/>
      <c r="AK87" s="1162"/>
      <c r="AL87" s="1163"/>
      <c r="AM87" s="1162"/>
      <c r="AN87" s="1163"/>
      <c r="AO87" s="1162"/>
      <c r="AP87" s="1163"/>
      <c r="AQ87" s="1162"/>
      <c r="AR87" s="1163"/>
    </row>
    <row r="88" spans="1:44" ht="15" customHeight="1" outlineLevel="1" thickBot="1">
      <c r="B88" s="1165"/>
      <c r="C88" s="1167"/>
      <c r="D88" s="1167"/>
      <c r="E88" s="1167"/>
      <c r="F88" s="1167"/>
      <c r="G88" s="499" t="s">
        <v>649</v>
      </c>
      <c r="H88" s="499" t="s">
        <v>650</v>
      </c>
      <c r="I88" s="499" t="s">
        <v>649</v>
      </c>
      <c r="J88" s="499" t="s">
        <v>650</v>
      </c>
      <c r="K88" s="1203"/>
      <c r="L88" s="1203"/>
      <c r="M88" s="370"/>
      <c r="N88" s="370"/>
      <c r="P88" s="1181"/>
      <c r="Q88" s="1183" t="s">
        <v>722</v>
      </c>
      <c r="R88" s="1184" t="s">
        <v>723</v>
      </c>
      <c r="S88" s="1178"/>
      <c r="T88" s="1162"/>
      <c r="U88" s="1163"/>
      <c r="V88" s="1162"/>
      <c r="W88" s="1163"/>
      <c r="X88" s="1162"/>
      <c r="Y88" s="1163"/>
      <c r="Z88" s="1162"/>
      <c r="AA88" s="1163"/>
      <c r="AB88" s="1162"/>
      <c r="AC88" s="1163"/>
      <c r="AE88" s="1181"/>
      <c r="AF88" s="1197" t="s">
        <v>722</v>
      </c>
      <c r="AG88" s="1184" t="s">
        <v>723</v>
      </c>
      <c r="AH88" s="1178"/>
      <c r="AI88" s="1162"/>
      <c r="AJ88" s="1163"/>
      <c r="AK88" s="1162"/>
      <c r="AL88" s="1163"/>
      <c r="AM88" s="1162"/>
      <c r="AN88" s="1163"/>
      <c r="AO88" s="1162"/>
      <c r="AP88" s="1163"/>
      <c r="AQ88" s="1162"/>
      <c r="AR88" s="1163"/>
    </row>
    <row r="89" spans="1:44" ht="33" outlineLevel="1" thickBot="1">
      <c r="B89" s="371" t="s">
        <v>651</v>
      </c>
      <c r="C89" s="372">
        <v>20</v>
      </c>
      <c r="D89" s="372">
        <v>20</v>
      </c>
      <c r="E89" s="372">
        <v>20</v>
      </c>
      <c r="F89" s="372">
        <v>20</v>
      </c>
      <c r="G89" s="372">
        <v>1</v>
      </c>
      <c r="H89" s="372">
        <v>50</v>
      </c>
      <c r="I89" s="372">
        <v>1</v>
      </c>
      <c r="J89" s="372">
        <v>50</v>
      </c>
      <c r="K89" s="372" t="s">
        <v>6</v>
      </c>
      <c r="L89" s="373" t="s">
        <v>725</v>
      </c>
      <c r="M89" s="370"/>
      <c r="N89" s="370"/>
      <c r="O89" s="74"/>
      <c r="P89" s="1182"/>
      <c r="Q89" s="1179"/>
      <c r="R89" s="1185"/>
      <c r="S89" s="1179"/>
      <c r="T89" s="374" t="s">
        <v>726</v>
      </c>
      <c r="U89" s="375" t="s">
        <v>727</v>
      </c>
      <c r="V89" s="374" t="s">
        <v>726</v>
      </c>
      <c r="W89" s="375" t="s">
        <v>727</v>
      </c>
      <c r="X89" s="374" t="s">
        <v>726</v>
      </c>
      <c r="Y89" s="375" t="s">
        <v>727</v>
      </c>
      <c r="Z89" s="374" t="s">
        <v>726</v>
      </c>
      <c r="AA89" s="375" t="s">
        <v>727</v>
      </c>
      <c r="AB89" s="374" t="s">
        <v>726</v>
      </c>
      <c r="AC89" s="375" t="s">
        <v>727</v>
      </c>
      <c r="AE89" s="1182"/>
      <c r="AF89" s="1198"/>
      <c r="AG89" s="1185"/>
      <c r="AH89" s="1179"/>
      <c r="AI89" s="374" t="s">
        <v>726</v>
      </c>
      <c r="AJ89" s="375" t="s">
        <v>727</v>
      </c>
      <c r="AK89" s="374" t="s">
        <v>726</v>
      </c>
      <c r="AL89" s="375" t="s">
        <v>727</v>
      </c>
      <c r="AM89" s="374" t="s">
        <v>726</v>
      </c>
      <c r="AN89" s="375" t="s">
        <v>727</v>
      </c>
      <c r="AO89" s="374" t="s">
        <v>726</v>
      </c>
      <c r="AP89" s="375" t="s">
        <v>727</v>
      </c>
      <c r="AQ89" s="374" t="s">
        <v>726</v>
      </c>
      <c r="AR89" s="375" t="s">
        <v>727</v>
      </c>
    </row>
    <row r="90" spans="1:44" ht="15" customHeight="1" outlineLevel="1">
      <c r="B90" s="500" t="s">
        <v>728</v>
      </c>
      <c r="C90" s="668">
        <v>116.18960947726835</v>
      </c>
      <c r="D90" s="668">
        <v>116.18960947726835</v>
      </c>
      <c r="E90" s="669">
        <v>116.18960947726835</v>
      </c>
      <c r="F90" s="668">
        <v>116.18960947726835</v>
      </c>
      <c r="G90" s="501">
        <v>88</v>
      </c>
      <c r="H90" s="501">
        <v>117</v>
      </c>
      <c r="I90" s="501">
        <v>88</v>
      </c>
      <c r="J90" s="501">
        <v>117</v>
      </c>
      <c r="K90" s="503" t="s">
        <v>982</v>
      </c>
      <c r="L90" s="504">
        <v>11</v>
      </c>
      <c r="M90" s="370"/>
      <c r="N90" s="370"/>
      <c r="P90" s="1199" t="str">
        <f>C86</f>
        <v>Steam boiler, Wood chips (Condensing)</v>
      </c>
      <c r="Q90" s="1154" t="s">
        <v>730</v>
      </c>
      <c r="R90" s="381" t="s">
        <v>731</v>
      </c>
      <c r="S90" s="382"/>
      <c r="T90" s="1137">
        <v>0</v>
      </c>
      <c r="U90" s="1151">
        <v>0</v>
      </c>
      <c r="V90" s="1157">
        <v>0</v>
      </c>
      <c r="W90" s="1151">
        <v>0</v>
      </c>
      <c r="X90" s="1157">
        <v>0</v>
      </c>
      <c r="Y90" s="1151">
        <v>0</v>
      </c>
      <c r="Z90" s="1157">
        <v>0</v>
      </c>
      <c r="AA90" s="1151">
        <v>0</v>
      </c>
      <c r="AB90" s="1157">
        <v>0</v>
      </c>
      <c r="AC90" s="1151">
        <v>0</v>
      </c>
      <c r="AE90" s="1148" t="str">
        <f>P90</f>
        <v>Steam boiler, Wood chips (Condensing)</v>
      </c>
      <c r="AF90" s="1154" t="s">
        <v>730</v>
      </c>
      <c r="AG90" s="381" t="s">
        <v>731</v>
      </c>
      <c r="AH90" s="382"/>
      <c r="AI90" s="1137">
        <v>0</v>
      </c>
      <c r="AJ90" s="1151">
        <v>0</v>
      </c>
      <c r="AK90" s="1157">
        <v>0</v>
      </c>
      <c r="AL90" s="1151">
        <v>0</v>
      </c>
      <c r="AM90" s="1157">
        <v>0</v>
      </c>
      <c r="AN90" s="1151">
        <v>0</v>
      </c>
      <c r="AO90" s="1157">
        <v>0</v>
      </c>
      <c r="AP90" s="1151">
        <v>0</v>
      </c>
      <c r="AQ90" s="1157">
        <v>0</v>
      </c>
      <c r="AR90" s="1151">
        <v>0</v>
      </c>
    </row>
    <row r="91" spans="1:44" outlineLevel="1">
      <c r="B91" s="383" t="s">
        <v>732</v>
      </c>
      <c r="C91" s="577">
        <v>116.18960947726835</v>
      </c>
      <c r="D91" s="577">
        <v>116.18960947726835</v>
      </c>
      <c r="E91" s="577">
        <v>116.18960947726835</v>
      </c>
      <c r="F91" s="577">
        <v>116.18960947726835</v>
      </c>
      <c r="G91" s="505">
        <v>88</v>
      </c>
      <c r="H91" s="505">
        <v>117</v>
      </c>
      <c r="I91" s="505">
        <v>88</v>
      </c>
      <c r="J91" s="505">
        <v>117</v>
      </c>
      <c r="K91" s="372" t="s">
        <v>982</v>
      </c>
      <c r="L91" s="373">
        <v>11</v>
      </c>
      <c r="M91" s="370"/>
      <c r="N91" s="370"/>
      <c r="O91" s="71"/>
      <c r="P91" s="1195"/>
      <c r="Q91" s="1155"/>
      <c r="R91" s="388" t="s">
        <v>733</v>
      </c>
      <c r="S91" s="389"/>
      <c r="T91" s="1140"/>
      <c r="U91" s="1152"/>
      <c r="V91" s="1158"/>
      <c r="W91" s="1152"/>
      <c r="X91" s="1158"/>
      <c r="Y91" s="1152"/>
      <c r="Z91" s="1158"/>
      <c r="AA91" s="1152"/>
      <c r="AB91" s="1158"/>
      <c r="AC91" s="1152"/>
      <c r="AE91" s="1195"/>
      <c r="AF91" s="1155"/>
      <c r="AG91" s="388" t="s">
        <v>733</v>
      </c>
      <c r="AH91" s="389"/>
      <c r="AI91" s="1140"/>
      <c r="AJ91" s="1152"/>
      <c r="AK91" s="1158"/>
      <c r="AL91" s="1152"/>
      <c r="AM91" s="1158"/>
      <c r="AN91" s="1152"/>
      <c r="AO91" s="1158"/>
      <c r="AP91" s="1152"/>
      <c r="AQ91" s="1158"/>
      <c r="AR91" s="1152"/>
    </row>
    <row r="92" spans="1:44" ht="16" outlineLevel="1" thickBot="1">
      <c r="B92" s="500" t="s">
        <v>734</v>
      </c>
      <c r="C92" s="506">
        <v>2.2999999999999998</v>
      </c>
      <c r="D92" s="507">
        <v>2.2999999999999998</v>
      </c>
      <c r="E92" s="507">
        <v>2.2999999999999998</v>
      </c>
      <c r="F92" s="508">
        <v>2.2999999999999998</v>
      </c>
      <c r="G92" s="507">
        <v>2.2000000000000002</v>
      </c>
      <c r="H92" s="507">
        <v>2.5</v>
      </c>
      <c r="I92" s="507">
        <v>1.8</v>
      </c>
      <c r="J92" s="507">
        <v>2.5</v>
      </c>
      <c r="K92" s="503" t="s">
        <v>59</v>
      </c>
      <c r="L92" s="504">
        <v>3</v>
      </c>
      <c r="M92" s="370"/>
      <c r="N92" s="370"/>
      <c r="O92" s="71"/>
      <c r="P92" s="1195"/>
      <c r="Q92" s="1156"/>
      <c r="R92" s="393" t="s">
        <v>735</v>
      </c>
      <c r="S92" s="394"/>
      <c r="T92" s="1141"/>
      <c r="U92" s="1153"/>
      <c r="V92" s="1159"/>
      <c r="W92" s="1153"/>
      <c r="X92" s="1159"/>
      <c r="Y92" s="1153"/>
      <c r="Z92" s="1159"/>
      <c r="AA92" s="1153"/>
      <c r="AB92" s="1159"/>
      <c r="AC92" s="1153"/>
      <c r="AE92" s="1195"/>
      <c r="AF92" s="1156"/>
      <c r="AG92" s="393" t="s">
        <v>735</v>
      </c>
      <c r="AH92" s="394"/>
      <c r="AI92" s="1141"/>
      <c r="AJ92" s="1153"/>
      <c r="AK92" s="1159"/>
      <c r="AL92" s="1153"/>
      <c r="AM92" s="1159"/>
      <c r="AN92" s="1153"/>
      <c r="AO92" s="1159"/>
      <c r="AP92" s="1153"/>
      <c r="AQ92" s="1159"/>
      <c r="AR92" s="1153"/>
    </row>
    <row r="93" spans="1:44" ht="15" customHeight="1" outlineLevel="1">
      <c r="B93" s="500" t="s">
        <v>657</v>
      </c>
      <c r="C93" s="687">
        <v>3</v>
      </c>
      <c r="D93" s="687">
        <v>3</v>
      </c>
      <c r="E93" s="687">
        <v>3</v>
      </c>
      <c r="F93" s="687">
        <v>3</v>
      </c>
      <c r="G93" s="687">
        <v>3</v>
      </c>
      <c r="H93" s="687">
        <v>3</v>
      </c>
      <c r="I93" s="687">
        <v>3</v>
      </c>
      <c r="J93" s="687">
        <v>3</v>
      </c>
      <c r="K93" s="503" t="s">
        <v>16</v>
      </c>
      <c r="L93" s="504">
        <v>3</v>
      </c>
      <c r="M93" s="370"/>
      <c r="N93" s="370"/>
      <c r="O93" s="71"/>
      <c r="P93" s="1195"/>
      <c r="Q93" s="1154" t="s">
        <v>736</v>
      </c>
      <c r="R93" s="395" t="s">
        <v>737</v>
      </c>
      <c r="S93" s="396" t="s">
        <v>738</v>
      </c>
      <c r="T93" s="1137">
        <v>0</v>
      </c>
      <c r="U93" s="1137">
        <v>0.21</v>
      </c>
      <c r="V93" s="1137">
        <v>0</v>
      </c>
      <c r="W93" s="1137">
        <v>0</v>
      </c>
      <c r="X93" s="1137">
        <v>0</v>
      </c>
      <c r="Y93" s="1137">
        <v>0</v>
      </c>
      <c r="Z93" s="1137">
        <v>0</v>
      </c>
      <c r="AA93" s="1137">
        <v>0.09</v>
      </c>
      <c r="AB93" s="1137">
        <v>0</v>
      </c>
      <c r="AC93" s="1151">
        <v>0</v>
      </c>
      <c r="AE93" s="1195"/>
      <c r="AF93" s="1154" t="s">
        <v>736</v>
      </c>
      <c r="AG93" s="395" t="s">
        <v>737</v>
      </c>
      <c r="AH93" s="396" t="s">
        <v>738</v>
      </c>
      <c r="AI93" s="1137">
        <v>0</v>
      </c>
      <c r="AJ93" s="1137">
        <v>0.21</v>
      </c>
      <c r="AK93" s="1137">
        <v>0</v>
      </c>
      <c r="AL93" s="1137">
        <v>0</v>
      </c>
      <c r="AM93" s="1137">
        <v>0</v>
      </c>
      <c r="AN93" s="1137">
        <v>0</v>
      </c>
      <c r="AO93" s="1137">
        <v>0</v>
      </c>
      <c r="AP93" s="1137">
        <v>0.09</v>
      </c>
      <c r="AQ93" s="1137">
        <v>0</v>
      </c>
      <c r="AR93" s="1151">
        <v>0</v>
      </c>
    </row>
    <row r="94" spans="1:44" outlineLevel="1">
      <c r="B94" s="500" t="s">
        <v>658</v>
      </c>
      <c r="C94" s="506">
        <v>3</v>
      </c>
      <c r="D94" s="506">
        <v>3</v>
      </c>
      <c r="E94" s="506">
        <v>3</v>
      </c>
      <c r="F94" s="506">
        <v>3</v>
      </c>
      <c r="G94" s="506">
        <v>2.6</v>
      </c>
      <c r="H94" s="506">
        <v>3.5</v>
      </c>
      <c r="I94" s="506">
        <v>2.2999999999999998</v>
      </c>
      <c r="J94" s="506">
        <v>3.8</v>
      </c>
      <c r="K94" s="503" t="s">
        <v>16</v>
      </c>
      <c r="L94" s="504">
        <v>3</v>
      </c>
      <c r="M94" s="367"/>
      <c r="N94" s="367"/>
      <c r="O94" s="71"/>
      <c r="P94" s="1195"/>
      <c r="Q94" s="1155"/>
      <c r="R94" s="395" t="s">
        <v>739</v>
      </c>
      <c r="S94" s="396" t="s">
        <v>738</v>
      </c>
      <c r="T94" s="1191"/>
      <c r="U94" s="1191"/>
      <c r="V94" s="1191"/>
      <c r="W94" s="1191"/>
      <c r="X94" s="1191"/>
      <c r="Y94" s="1191"/>
      <c r="Z94" s="1191"/>
      <c r="AA94" s="1191"/>
      <c r="AB94" s="1191"/>
      <c r="AC94" s="1193"/>
      <c r="AE94" s="1195"/>
      <c r="AF94" s="1155"/>
      <c r="AG94" s="395" t="s">
        <v>739</v>
      </c>
      <c r="AH94" s="396" t="s">
        <v>738</v>
      </c>
      <c r="AI94" s="1191"/>
      <c r="AJ94" s="1191"/>
      <c r="AK94" s="1191"/>
      <c r="AL94" s="1191"/>
      <c r="AM94" s="1191"/>
      <c r="AN94" s="1191"/>
      <c r="AO94" s="1191"/>
      <c r="AP94" s="1191"/>
      <c r="AQ94" s="1191"/>
      <c r="AR94" s="1193"/>
    </row>
    <row r="95" spans="1:44" outlineLevel="1">
      <c r="B95" s="383" t="s">
        <v>11</v>
      </c>
      <c r="C95" s="397">
        <v>25</v>
      </c>
      <c r="D95" s="397">
        <v>25</v>
      </c>
      <c r="E95" s="397">
        <v>25</v>
      </c>
      <c r="F95" s="397">
        <v>25</v>
      </c>
      <c r="G95" s="399">
        <v>20</v>
      </c>
      <c r="H95" s="399">
        <v>35</v>
      </c>
      <c r="I95" s="399">
        <v>20</v>
      </c>
      <c r="J95" s="399">
        <v>35</v>
      </c>
      <c r="K95" s="372"/>
      <c r="L95" s="373" t="s">
        <v>740</v>
      </c>
      <c r="M95" s="363"/>
      <c r="N95" s="363"/>
      <c r="P95" s="1195"/>
      <c r="Q95" s="1155"/>
      <c r="R95" s="395" t="s">
        <v>741</v>
      </c>
      <c r="S95" s="396" t="s">
        <v>738</v>
      </c>
      <c r="T95" s="1191"/>
      <c r="U95" s="1191"/>
      <c r="V95" s="1191"/>
      <c r="W95" s="1191"/>
      <c r="X95" s="1191"/>
      <c r="Y95" s="1191"/>
      <c r="Z95" s="1191"/>
      <c r="AA95" s="1191"/>
      <c r="AB95" s="1191"/>
      <c r="AC95" s="1193"/>
      <c r="AE95" s="1195"/>
      <c r="AF95" s="1155"/>
      <c r="AG95" s="395" t="s">
        <v>741</v>
      </c>
      <c r="AH95" s="629" t="s">
        <v>738</v>
      </c>
      <c r="AI95" s="1191"/>
      <c r="AJ95" s="1191"/>
      <c r="AK95" s="1191"/>
      <c r="AL95" s="1191"/>
      <c r="AM95" s="1191"/>
      <c r="AN95" s="1191"/>
      <c r="AO95" s="1191"/>
      <c r="AP95" s="1191"/>
      <c r="AQ95" s="1191"/>
      <c r="AR95" s="1193"/>
    </row>
    <row r="96" spans="1:44" ht="16" outlineLevel="1" thickBot="1">
      <c r="B96" s="500" t="s">
        <v>273</v>
      </c>
      <c r="C96" s="506">
        <v>1</v>
      </c>
      <c r="D96" s="506">
        <v>1</v>
      </c>
      <c r="E96" s="506">
        <v>1</v>
      </c>
      <c r="F96" s="506">
        <v>1</v>
      </c>
      <c r="G96" s="506">
        <v>0.5</v>
      </c>
      <c r="H96" s="506">
        <v>1.5</v>
      </c>
      <c r="I96" s="506">
        <v>0.5</v>
      </c>
      <c r="J96" s="506">
        <v>1.5</v>
      </c>
      <c r="K96" s="372"/>
      <c r="L96" s="400"/>
      <c r="M96" s="363"/>
      <c r="N96" s="363"/>
      <c r="P96" s="1195"/>
      <c r="Q96" s="1155"/>
      <c r="R96" s="395" t="s">
        <v>742</v>
      </c>
      <c r="S96" s="396" t="s">
        <v>738</v>
      </c>
      <c r="T96" s="1191"/>
      <c r="U96" s="1191"/>
      <c r="V96" s="1191"/>
      <c r="W96" s="1191"/>
      <c r="X96" s="1191"/>
      <c r="Y96" s="1191"/>
      <c r="Z96" s="1191"/>
      <c r="AA96" s="1191"/>
      <c r="AB96" s="1191"/>
      <c r="AC96" s="1193"/>
      <c r="AE96" s="1195"/>
      <c r="AF96" s="1155"/>
      <c r="AG96" s="395" t="s">
        <v>742</v>
      </c>
      <c r="AH96" s="396" t="s">
        <v>738</v>
      </c>
      <c r="AI96" s="1191"/>
      <c r="AJ96" s="1191"/>
      <c r="AK96" s="1191"/>
      <c r="AL96" s="1191"/>
      <c r="AM96" s="1191"/>
      <c r="AN96" s="1191"/>
      <c r="AO96" s="1191"/>
      <c r="AP96" s="1191"/>
      <c r="AQ96" s="1191"/>
      <c r="AR96" s="1193"/>
    </row>
    <row r="97" spans="1:44" ht="16" outlineLevel="1" thickBot="1">
      <c r="B97" s="401" t="s">
        <v>743</v>
      </c>
      <c r="C97" s="402"/>
      <c r="D97" s="403"/>
      <c r="E97" s="404"/>
      <c r="F97" s="405"/>
      <c r="G97" s="406"/>
      <c r="H97" s="406"/>
      <c r="I97" s="406"/>
      <c r="J97" s="406"/>
      <c r="K97" s="407"/>
      <c r="L97" s="408"/>
      <c r="M97" s="363"/>
      <c r="N97" s="363"/>
      <c r="P97" s="1195"/>
      <c r="Q97" s="1156"/>
      <c r="R97" s="409" t="s">
        <v>863</v>
      </c>
      <c r="S97" s="410" t="s">
        <v>738</v>
      </c>
      <c r="T97" s="1192"/>
      <c r="U97" s="1192"/>
      <c r="V97" s="1192"/>
      <c r="W97" s="1192"/>
      <c r="X97" s="1192"/>
      <c r="Y97" s="1192"/>
      <c r="Z97" s="1192"/>
      <c r="AA97" s="1192"/>
      <c r="AB97" s="1192"/>
      <c r="AC97" s="1194"/>
      <c r="AE97" s="1195"/>
      <c r="AF97" s="1156"/>
      <c r="AG97" s="409" t="s">
        <v>863</v>
      </c>
      <c r="AH97" s="410" t="s">
        <v>738</v>
      </c>
      <c r="AI97" s="1192"/>
      <c r="AJ97" s="1192"/>
      <c r="AK97" s="1192"/>
      <c r="AL97" s="1192"/>
      <c r="AM97" s="1192"/>
      <c r="AN97" s="1192"/>
      <c r="AO97" s="1192"/>
      <c r="AP97" s="1192"/>
      <c r="AQ97" s="1192"/>
      <c r="AR97" s="1194"/>
    </row>
    <row r="98" spans="1:44" ht="33" outlineLevel="1" thickBot="1">
      <c r="B98" s="500" t="s">
        <v>663</v>
      </c>
      <c r="C98" s="506">
        <v>20</v>
      </c>
      <c r="D98" s="506">
        <v>20</v>
      </c>
      <c r="E98" s="506">
        <v>20</v>
      </c>
      <c r="F98" s="506">
        <v>20</v>
      </c>
      <c r="G98" s="507"/>
      <c r="H98" s="507"/>
      <c r="I98" s="507"/>
      <c r="J98" s="507"/>
      <c r="K98" s="503"/>
      <c r="L98" s="504">
        <v>3</v>
      </c>
      <c r="M98" s="363"/>
      <c r="N98" s="363"/>
      <c r="P98" s="1196"/>
      <c r="Q98" s="411" t="s">
        <v>745</v>
      </c>
      <c r="R98" s="412" t="s">
        <v>746</v>
      </c>
      <c r="S98" s="630" t="s">
        <v>738</v>
      </c>
      <c r="T98" s="416">
        <v>1</v>
      </c>
      <c r="U98" s="415">
        <v>1</v>
      </c>
      <c r="V98" s="416">
        <v>0</v>
      </c>
      <c r="W98" s="415">
        <v>0</v>
      </c>
      <c r="X98" s="416">
        <v>0</v>
      </c>
      <c r="Y98" s="415">
        <v>0</v>
      </c>
      <c r="Z98" s="416">
        <v>1</v>
      </c>
      <c r="AA98" s="415">
        <v>1</v>
      </c>
      <c r="AB98" s="416">
        <v>0</v>
      </c>
      <c r="AC98" s="417">
        <v>0</v>
      </c>
      <c r="AE98" s="1196"/>
      <c r="AF98" s="411" t="s">
        <v>745</v>
      </c>
      <c r="AG98" s="631" t="s">
        <v>746</v>
      </c>
      <c r="AH98" s="632" t="s">
        <v>738</v>
      </c>
      <c r="AI98" s="416">
        <v>1</v>
      </c>
      <c r="AJ98" s="415">
        <v>1</v>
      </c>
      <c r="AK98" s="416">
        <v>0</v>
      </c>
      <c r="AL98" s="415">
        <v>0</v>
      </c>
      <c r="AM98" s="416">
        <v>0</v>
      </c>
      <c r="AN98" s="415">
        <v>0</v>
      </c>
      <c r="AO98" s="416">
        <v>1</v>
      </c>
      <c r="AP98" s="415">
        <v>1</v>
      </c>
      <c r="AQ98" s="416">
        <v>0</v>
      </c>
      <c r="AR98" s="417">
        <v>0</v>
      </c>
    </row>
    <row r="99" spans="1:44" outlineLevel="1">
      <c r="B99" s="500" t="s">
        <v>664</v>
      </c>
      <c r="C99" s="506">
        <v>0.3</v>
      </c>
      <c r="D99" s="506">
        <v>0.3</v>
      </c>
      <c r="E99" s="506">
        <v>0.3</v>
      </c>
      <c r="F99" s="506">
        <v>0.3</v>
      </c>
      <c r="G99" s="509"/>
      <c r="H99" s="509"/>
      <c r="I99" s="509"/>
      <c r="J99" s="509"/>
      <c r="K99" s="510"/>
      <c r="L99" s="504">
        <v>3</v>
      </c>
      <c r="M99" s="363"/>
      <c r="N99" s="363"/>
    </row>
    <row r="100" spans="1:44" outlineLevel="1">
      <c r="B100" s="500" t="s">
        <v>666</v>
      </c>
      <c r="C100" s="506">
        <v>0.5</v>
      </c>
      <c r="D100" s="506">
        <v>0.5</v>
      </c>
      <c r="E100" s="506">
        <v>0.5</v>
      </c>
      <c r="F100" s="506">
        <v>0.5</v>
      </c>
      <c r="G100" s="509"/>
      <c r="H100" s="509"/>
      <c r="I100" s="509"/>
      <c r="J100" s="509"/>
      <c r="K100" s="510"/>
      <c r="L100" s="504">
        <v>3</v>
      </c>
      <c r="M100" s="420"/>
      <c r="N100" s="363"/>
    </row>
    <row r="101" spans="1:44" outlineLevel="1">
      <c r="B101" s="421" t="s">
        <v>12</v>
      </c>
      <c r="C101" s="399"/>
      <c r="D101" s="399"/>
      <c r="E101" s="399"/>
      <c r="F101" s="399"/>
      <c r="G101" s="422"/>
      <c r="H101" s="422"/>
      <c r="I101" s="422"/>
      <c r="J101" s="422"/>
      <c r="K101" s="423"/>
      <c r="L101" s="424"/>
      <c r="M101" s="420"/>
      <c r="N101" s="420"/>
    </row>
    <row r="102" spans="1:44" outlineLevel="1">
      <c r="B102" s="383" t="s">
        <v>843</v>
      </c>
      <c r="C102" s="397">
        <v>11</v>
      </c>
      <c r="D102" s="397">
        <v>11</v>
      </c>
      <c r="E102" s="397">
        <v>11</v>
      </c>
      <c r="F102" s="397">
        <v>11</v>
      </c>
      <c r="G102" s="422"/>
      <c r="H102" s="425"/>
      <c r="I102" s="425"/>
      <c r="J102" s="425"/>
      <c r="K102" s="426" t="s">
        <v>20</v>
      </c>
      <c r="L102" s="427" t="s">
        <v>748</v>
      </c>
      <c r="M102" s="428"/>
      <c r="N102" s="428"/>
    </row>
    <row r="103" spans="1:44" outlineLevel="1">
      <c r="B103" s="383" t="s">
        <v>749</v>
      </c>
      <c r="C103" s="397">
        <v>10</v>
      </c>
      <c r="D103" s="397">
        <v>10</v>
      </c>
      <c r="E103" s="397">
        <v>10</v>
      </c>
      <c r="F103" s="397">
        <v>10</v>
      </c>
      <c r="G103" s="425"/>
      <c r="H103" s="425"/>
      <c r="I103" s="425"/>
      <c r="J103" s="425"/>
      <c r="K103" s="423"/>
      <c r="L103" s="427">
        <v>9</v>
      </c>
      <c r="M103" s="428"/>
      <c r="N103" s="428"/>
    </row>
    <row r="104" spans="1:44" outlineLevel="1">
      <c r="B104" s="383" t="s">
        <v>844</v>
      </c>
      <c r="C104" s="397">
        <v>63</v>
      </c>
      <c r="D104" s="397">
        <v>49</v>
      </c>
      <c r="E104" s="397">
        <v>46</v>
      </c>
      <c r="F104" s="397">
        <v>41</v>
      </c>
      <c r="G104" s="425"/>
      <c r="H104" s="425"/>
      <c r="I104" s="425"/>
      <c r="J104" s="425"/>
      <c r="K104" s="423"/>
      <c r="L104" s="427" t="s">
        <v>748</v>
      </c>
      <c r="M104" s="428"/>
      <c r="N104" s="428"/>
    </row>
    <row r="105" spans="1:44" outlineLevel="1">
      <c r="B105" s="383" t="s">
        <v>366</v>
      </c>
      <c r="C105" s="397">
        <v>11</v>
      </c>
      <c r="D105" s="397">
        <v>8</v>
      </c>
      <c r="E105" s="397">
        <v>6</v>
      </c>
      <c r="F105" s="397">
        <v>4</v>
      </c>
      <c r="G105" s="425"/>
      <c r="H105" s="425"/>
      <c r="I105" s="425"/>
      <c r="J105" s="425"/>
      <c r="K105" s="423"/>
      <c r="L105" s="427" t="s">
        <v>748</v>
      </c>
      <c r="M105" s="428"/>
      <c r="N105" s="428"/>
    </row>
    <row r="106" spans="1:44" ht="16" outlineLevel="1" thickBot="1">
      <c r="B106" s="429" t="s">
        <v>367</v>
      </c>
      <c r="C106" s="430">
        <v>3</v>
      </c>
      <c r="D106" s="430">
        <v>3</v>
      </c>
      <c r="E106" s="430">
        <v>1</v>
      </c>
      <c r="F106" s="430">
        <v>1</v>
      </c>
      <c r="G106" s="425"/>
      <c r="H106" s="425"/>
      <c r="I106" s="425"/>
      <c r="J106" s="425"/>
      <c r="K106" s="423"/>
      <c r="L106" s="427" t="s">
        <v>748</v>
      </c>
      <c r="M106" s="428"/>
      <c r="N106" s="428"/>
    </row>
    <row r="107" spans="1:44" ht="16" outlineLevel="1" thickBot="1">
      <c r="B107" s="431" t="s">
        <v>674</v>
      </c>
      <c r="C107" s="432"/>
      <c r="D107" s="403"/>
      <c r="E107" s="403"/>
      <c r="F107" s="433"/>
      <c r="G107" s="434"/>
      <c r="H107" s="406"/>
      <c r="I107" s="406"/>
      <c r="J107" s="406"/>
      <c r="K107" s="407"/>
      <c r="L107" s="408"/>
      <c r="M107" s="428"/>
      <c r="N107" s="428"/>
    </row>
    <row r="108" spans="1:44" ht="14.5" customHeight="1" outlineLevel="1">
      <c r="A108" s="435"/>
      <c r="B108" s="436" t="s">
        <v>910</v>
      </c>
      <c r="C108" s="551">
        <v>0.68</v>
      </c>
      <c r="D108" s="647">
        <v>0.65</v>
      </c>
      <c r="E108" s="647">
        <v>0.62</v>
      </c>
      <c r="F108" s="648">
        <v>0.59</v>
      </c>
      <c r="G108" s="425"/>
      <c r="H108" s="425"/>
      <c r="I108" s="425"/>
      <c r="J108" s="425"/>
      <c r="K108" s="426" t="s">
        <v>983</v>
      </c>
      <c r="L108" s="440" t="s">
        <v>753</v>
      </c>
      <c r="M108" s="420"/>
      <c r="N108" s="420"/>
    </row>
    <row r="109" spans="1:44" outlineLevel="1">
      <c r="B109" s="441" t="s">
        <v>839</v>
      </c>
      <c r="C109" s="442">
        <v>65</v>
      </c>
      <c r="D109" s="442">
        <v>65</v>
      </c>
      <c r="E109" s="442">
        <v>65</v>
      </c>
      <c r="F109" s="442">
        <v>65</v>
      </c>
      <c r="G109" s="425"/>
      <c r="H109" s="425"/>
      <c r="I109" s="425"/>
      <c r="J109" s="425"/>
      <c r="K109" s="444"/>
      <c r="L109" s="373">
        <v>3</v>
      </c>
      <c r="M109" s="71"/>
      <c r="N109" s="420"/>
    </row>
    <row r="110" spans="1:44" outlineLevel="1">
      <c r="B110" s="441" t="s">
        <v>840</v>
      </c>
      <c r="C110" s="442">
        <f>100-C109</f>
        <v>35</v>
      </c>
      <c r="D110" s="442">
        <f>100-D109</f>
        <v>35</v>
      </c>
      <c r="E110" s="442">
        <f>100-E109</f>
        <v>35</v>
      </c>
      <c r="F110" s="442">
        <f>100-F109</f>
        <v>35</v>
      </c>
      <c r="G110" s="425"/>
      <c r="H110" s="425"/>
      <c r="I110" s="425"/>
      <c r="J110" s="425"/>
      <c r="K110" s="444"/>
      <c r="L110" s="373">
        <v>3</v>
      </c>
      <c r="M110" s="420"/>
      <c r="N110" s="420"/>
    </row>
    <row r="111" spans="1:44" outlineLevel="1">
      <c r="B111" s="383" t="s">
        <v>841</v>
      </c>
      <c r="C111" s="445">
        <v>37000</v>
      </c>
      <c r="D111" s="446">
        <v>35900</v>
      </c>
      <c r="E111" s="446">
        <f>(F111+D111)/2</f>
        <v>34800</v>
      </c>
      <c r="F111" s="447">
        <v>33700</v>
      </c>
      <c r="G111" s="425"/>
      <c r="H111" s="425"/>
      <c r="I111" s="425"/>
      <c r="J111" s="425"/>
      <c r="K111" s="448" t="s">
        <v>51</v>
      </c>
      <c r="L111" s="373">
        <v>3</v>
      </c>
      <c r="M111" s="420"/>
      <c r="N111" s="420"/>
    </row>
    <row r="112" spans="1:44" outlineLevel="1">
      <c r="B112" s="383" t="s">
        <v>679</v>
      </c>
      <c r="C112" s="605">
        <f>C113+C114</f>
        <v>2.7789999999999999</v>
      </c>
      <c r="D112" s="605">
        <f t="shared" ref="D112:F112" si="5">D113+D114</f>
        <v>2.8250000000000002</v>
      </c>
      <c r="E112" s="605">
        <f t="shared" si="5"/>
        <v>2.8479999999999999</v>
      </c>
      <c r="F112" s="605">
        <f t="shared" si="5"/>
        <v>2.8479999999999999</v>
      </c>
      <c r="G112" s="425"/>
      <c r="H112" s="425"/>
      <c r="I112" s="425"/>
      <c r="J112" s="425"/>
      <c r="K112" s="448"/>
      <c r="L112" s="373">
        <v>3</v>
      </c>
      <c r="M112" s="450"/>
      <c r="N112" s="361"/>
      <c r="P112" s="1142">
        <f>C112</f>
        <v>2.7789999999999999</v>
      </c>
      <c r="Q112" s="1143"/>
      <c r="R112" s="1143"/>
      <c r="S112" s="1143"/>
      <c r="T112" s="1143"/>
      <c r="U112" s="1144"/>
    </row>
    <row r="113" spans="2:30" ht="16" outlineLevel="1" thickBot="1">
      <c r="B113" s="500" t="s">
        <v>758</v>
      </c>
      <c r="C113" s="514">
        <f>C92/100*73</f>
        <v>1.679</v>
      </c>
      <c r="D113" s="514">
        <f>D92/100*75</f>
        <v>1.7249999999999999</v>
      </c>
      <c r="E113" s="514">
        <f>E92/100*76</f>
        <v>1.748</v>
      </c>
      <c r="F113" s="514">
        <f>F92/100*76</f>
        <v>1.748</v>
      </c>
      <c r="G113" s="515"/>
      <c r="H113" s="515"/>
      <c r="I113" s="515"/>
      <c r="J113" s="515"/>
      <c r="K113" s="503" t="s">
        <v>52</v>
      </c>
      <c r="L113" s="504">
        <v>3</v>
      </c>
      <c r="M113" s="450"/>
      <c r="N113" s="361"/>
      <c r="P113" s="1134">
        <f>C113</f>
        <v>1.679</v>
      </c>
      <c r="Q113" s="1135"/>
      <c r="R113" s="1135"/>
      <c r="S113" s="1135"/>
      <c r="T113" s="1135"/>
      <c r="U113" s="1136"/>
    </row>
    <row r="114" spans="2:30" outlineLevel="1">
      <c r="B114" s="500" t="s">
        <v>759</v>
      </c>
      <c r="C114" s="516">
        <v>1.1000000000000001</v>
      </c>
      <c r="D114" s="516">
        <v>1.1000000000000001</v>
      </c>
      <c r="E114" s="516">
        <v>1.1000000000000001</v>
      </c>
      <c r="F114" s="516">
        <v>1.1000000000000001</v>
      </c>
      <c r="G114" s="515"/>
      <c r="H114" s="515"/>
      <c r="I114" s="515"/>
      <c r="J114" s="515"/>
      <c r="K114" s="517"/>
      <c r="L114" s="504">
        <v>3</v>
      </c>
      <c r="M114" s="363"/>
      <c r="N114" s="363"/>
      <c r="P114" s="53" t="s">
        <v>357</v>
      </c>
    </row>
    <row r="115" spans="2:30" ht="30" outlineLevel="1">
      <c r="B115" s="441"/>
      <c r="C115" s="681"/>
      <c r="D115" s="681"/>
      <c r="E115" s="681"/>
      <c r="F115" s="681"/>
      <c r="G115" s="425"/>
      <c r="H115" s="425"/>
      <c r="I115" s="425"/>
      <c r="J115" s="425"/>
      <c r="K115" s="444"/>
      <c r="L115" s="424"/>
      <c r="M115" s="367"/>
      <c r="N115" s="367"/>
      <c r="P115" s="46" t="s">
        <v>335</v>
      </c>
      <c r="Q115" s="46" t="s">
        <v>336</v>
      </c>
      <c r="R115" s="47" t="s">
        <v>337</v>
      </c>
      <c r="S115" s="47" t="s">
        <v>338</v>
      </c>
      <c r="T115" s="47" t="s">
        <v>339</v>
      </c>
      <c r="U115" s="48" t="s">
        <v>340</v>
      </c>
      <c r="V115" s="49" t="s">
        <v>341</v>
      </c>
      <c r="W115" s="49" t="s">
        <v>342</v>
      </c>
      <c r="X115" s="49" t="s">
        <v>343</v>
      </c>
      <c r="Y115" s="49" t="s">
        <v>344</v>
      </c>
      <c r="Z115" s="49" t="s">
        <v>345</v>
      </c>
      <c r="AA115" s="49" t="s">
        <v>346</v>
      </c>
      <c r="AB115" s="49" t="s">
        <v>347</v>
      </c>
      <c r="AC115" s="49" t="s">
        <v>348</v>
      </c>
      <c r="AD115" s="49" t="s">
        <v>349</v>
      </c>
    </row>
    <row r="116" spans="2:30" ht="27" outlineLevel="1" thickBot="1">
      <c r="B116" s="519"/>
      <c r="C116" s="442"/>
      <c r="D116" s="520"/>
      <c r="E116" s="520"/>
      <c r="F116" s="521"/>
      <c r="G116" s="425"/>
      <c r="H116" s="425"/>
      <c r="I116" s="425"/>
      <c r="J116" s="425"/>
      <c r="K116" s="448"/>
      <c r="L116" s="424"/>
      <c r="M116" s="363"/>
      <c r="N116" s="363"/>
      <c r="P116" s="50"/>
      <c r="Q116" s="50"/>
      <c r="R116" s="51"/>
      <c r="S116" s="51"/>
      <c r="T116" s="51"/>
      <c r="U116" s="51" t="s">
        <v>760</v>
      </c>
      <c r="V116" s="50" t="s">
        <v>761</v>
      </c>
      <c r="W116" s="50"/>
      <c r="X116" s="50"/>
      <c r="Y116" s="50"/>
      <c r="Z116" s="50"/>
      <c r="AA116" s="50"/>
      <c r="AB116" s="50"/>
      <c r="AC116" s="50"/>
      <c r="AD116" s="50"/>
    </row>
    <row r="117" spans="2:30" ht="33" outlineLevel="1" thickBot="1">
      <c r="B117" s="401" t="s">
        <v>682</v>
      </c>
      <c r="C117" s="402"/>
      <c r="D117" s="403"/>
      <c r="E117" s="404"/>
      <c r="F117" s="405"/>
      <c r="G117" s="406"/>
      <c r="H117" s="406"/>
      <c r="I117" s="406"/>
      <c r="J117" s="406"/>
      <c r="K117" s="459"/>
      <c r="L117" s="460"/>
      <c r="M117" s="363"/>
      <c r="N117" s="363"/>
      <c r="O117" s="461" t="s">
        <v>732</v>
      </c>
      <c r="P117" s="56"/>
      <c r="Q117" s="56"/>
      <c r="R117" s="57"/>
      <c r="S117" s="57"/>
      <c r="T117" s="57"/>
      <c r="U117" s="56" t="s">
        <v>350</v>
      </c>
      <c r="V117" s="56" t="s">
        <v>326</v>
      </c>
      <c r="W117" s="56" t="s">
        <v>327</v>
      </c>
      <c r="X117" s="56" t="s">
        <v>351</v>
      </c>
      <c r="Y117" s="56" t="s">
        <v>351</v>
      </c>
      <c r="Z117" s="56" t="s">
        <v>352</v>
      </c>
      <c r="AA117" s="56" t="s">
        <v>352</v>
      </c>
      <c r="AB117" s="56" t="s">
        <v>352</v>
      </c>
      <c r="AC117" s="56" t="s">
        <v>352</v>
      </c>
      <c r="AD117" s="56" t="s">
        <v>352</v>
      </c>
    </row>
    <row r="118" spans="2:30" outlineLevel="1">
      <c r="B118" s="522" t="s">
        <v>762</v>
      </c>
      <c r="C118" s="523" t="s">
        <v>36</v>
      </c>
      <c r="D118" s="523" t="s">
        <v>36</v>
      </c>
      <c r="E118" s="523" t="s">
        <v>36</v>
      </c>
      <c r="F118" s="523" t="s">
        <v>36</v>
      </c>
      <c r="G118" s="524"/>
      <c r="H118" s="524"/>
      <c r="I118" s="524"/>
      <c r="J118" s="524"/>
      <c r="K118" s="524" t="s">
        <v>55</v>
      </c>
      <c r="L118" s="525"/>
      <c r="M118" s="363"/>
      <c r="N118" s="363"/>
      <c r="O118" s="465">
        <f>C91</f>
        <v>116.18960947726835</v>
      </c>
      <c r="P118" s="466">
        <f>C87</f>
        <v>2020</v>
      </c>
      <c r="Q118" s="58">
        <f>P118</f>
        <v>2020</v>
      </c>
      <c r="R118" s="466">
        <f>O118/100</f>
        <v>1.1618960947726835</v>
      </c>
      <c r="S118" s="58"/>
      <c r="T118" s="466">
        <f>C95</f>
        <v>25</v>
      </c>
      <c r="U118" s="467">
        <f>C125</f>
        <v>5066.0000000000009</v>
      </c>
      <c r="V118" s="467">
        <f>C127</f>
        <v>275.64999999999998</v>
      </c>
      <c r="W118" s="467">
        <f>C128</f>
        <v>5.7509861111111107</v>
      </c>
      <c r="X118" s="58"/>
      <c r="Y118" s="58"/>
      <c r="Z118" s="466">
        <f>C102</f>
        <v>11</v>
      </c>
      <c r="AA118" s="468">
        <f>C104</f>
        <v>63</v>
      </c>
      <c r="AB118" s="468">
        <f>C105</f>
        <v>11</v>
      </c>
      <c r="AC118" s="468">
        <f>C106</f>
        <v>3</v>
      </c>
      <c r="AD118" s="468">
        <f>C103</f>
        <v>10</v>
      </c>
    </row>
    <row r="119" spans="2:30" outlineLevel="1">
      <c r="B119" s="500" t="s">
        <v>763</v>
      </c>
      <c r="C119" s="526" t="s">
        <v>36</v>
      </c>
      <c r="D119" s="527" t="s">
        <v>36</v>
      </c>
      <c r="E119" s="527" t="s">
        <v>36</v>
      </c>
      <c r="F119" s="528" t="s">
        <v>36</v>
      </c>
      <c r="G119" s="528"/>
      <c r="H119" s="528"/>
      <c r="I119" s="528"/>
      <c r="J119" s="528"/>
      <c r="K119" s="529" t="s">
        <v>55</v>
      </c>
      <c r="L119" s="525"/>
      <c r="M119" s="363"/>
      <c r="N119" s="363"/>
      <c r="O119" s="465">
        <f>D91</f>
        <v>116.18960947726835</v>
      </c>
      <c r="P119" s="466">
        <f>D87</f>
        <v>2030</v>
      </c>
      <c r="Q119" s="58"/>
      <c r="R119" s="466">
        <f>O119/100</f>
        <v>1.1618960947726835</v>
      </c>
      <c r="S119" s="58"/>
      <c r="T119" s="466">
        <f>D95</f>
        <v>25</v>
      </c>
      <c r="U119" s="467">
        <f>D125</f>
        <v>4842.5</v>
      </c>
      <c r="V119" s="467">
        <f>D127</f>
        <v>267.45499999999998</v>
      </c>
      <c r="W119" s="467">
        <f>D128</f>
        <v>5.8461805555555557</v>
      </c>
      <c r="X119" s="58"/>
      <c r="Y119" s="58"/>
      <c r="Z119" s="466">
        <f>D102</f>
        <v>11</v>
      </c>
      <c r="AA119" s="468">
        <f>D104</f>
        <v>49</v>
      </c>
      <c r="AB119" s="468">
        <f>D105</f>
        <v>8</v>
      </c>
      <c r="AC119" s="468">
        <f>D106</f>
        <v>3</v>
      </c>
      <c r="AD119" s="468">
        <f>D103</f>
        <v>10</v>
      </c>
    </row>
    <row r="120" spans="2:30" outlineLevel="1">
      <c r="B120" s="500" t="s">
        <v>764</v>
      </c>
      <c r="C120" s="526" t="s">
        <v>36</v>
      </c>
      <c r="D120" s="527" t="s">
        <v>36</v>
      </c>
      <c r="E120" s="527" t="s">
        <v>36</v>
      </c>
      <c r="F120" s="528" t="s">
        <v>36</v>
      </c>
      <c r="G120" s="515"/>
      <c r="H120" s="515"/>
      <c r="I120" s="515"/>
      <c r="J120" s="515"/>
      <c r="K120" s="515"/>
      <c r="L120" s="504"/>
      <c r="M120" s="363"/>
      <c r="N120" s="363"/>
      <c r="O120" s="465">
        <f>E91</f>
        <v>116.18960947726835</v>
      </c>
      <c r="P120" s="466">
        <f>E87</f>
        <v>2040</v>
      </c>
      <c r="Q120" s="58"/>
      <c r="R120" s="466">
        <f>O120/100</f>
        <v>1.1618960947726835</v>
      </c>
      <c r="S120" s="58"/>
      <c r="T120" s="466">
        <f>E95</f>
        <v>25</v>
      </c>
      <c r="U120" s="467">
        <f>E125</f>
        <v>4619</v>
      </c>
      <c r="V120" s="467">
        <f>E127</f>
        <v>259.26</v>
      </c>
      <c r="W120" s="467">
        <f>E128</f>
        <v>5.8937777777777782</v>
      </c>
      <c r="X120" s="58"/>
      <c r="Y120" s="58"/>
      <c r="Z120" s="466">
        <f>E102</f>
        <v>11</v>
      </c>
      <c r="AA120" s="468">
        <f>E104</f>
        <v>46</v>
      </c>
      <c r="AB120" s="468">
        <f>E105</f>
        <v>6</v>
      </c>
      <c r="AC120" s="468">
        <f>E106</f>
        <v>1</v>
      </c>
      <c r="AD120" s="468">
        <f>E103</f>
        <v>10</v>
      </c>
    </row>
    <row r="121" spans="2:30" outlineLevel="1">
      <c r="B121" s="500" t="s">
        <v>765</v>
      </c>
      <c r="C121" s="685">
        <v>90</v>
      </c>
      <c r="D121" s="530">
        <v>90</v>
      </c>
      <c r="E121" s="530">
        <v>90</v>
      </c>
      <c r="F121" s="530">
        <v>90</v>
      </c>
      <c r="G121" s="531"/>
      <c r="H121" s="531"/>
      <c r="I121" s="531"/>
      <c r="J121" s="531"/>
      <c r="K121" s="531"/>
      <c r="L121" s="504">
        <v>3</v>
      </c>
      <c r="M121" s="363"/>
      <c r="N121" s="363"/>
      <c r="O121" s="465">
        <f>F91</f>
        <v>116.18960947726835</v>
      </c>
      <c r="P121" s="466">
        <f>F87</f>
        <v>2050</v>
      </c>
      <c r="Q121" s="58"/>
      <c r="R121" s="466">
        <f>O121/100</f>
        <v>1.1618960947726835</v>
      </c>
      <c r="S121" s="58"/>
      <c r="T121" s="466">
        <f>F95</f>
        <v>25</v>
      </c>
      <c r="U121" s="467">
        <f>F125</f>
        <v>4395.5</v>
      </c>
      <c r="V121" s="467">
        <f>F127</f>
        <v>251.065</v>
      </c>
      <c r="W121" s="467">
        <f>F128</f>
        <v>5.8937777777777782</v>
      </c>
      <c r="X121" s="58"/>
      <c r="Y121" s="58"/>
      <c r="Z121" s="466">
        <f>F102</f>
        <v>11</v>
      </c>
      <c r="AA121" s="468">
        <f>F104</f>
        <v>41</v>
      </c>
      <c r="AB121" s="468">
        <f>F105</f>
        <v>4</v>
      </c>
      <c r="AC121" s="468">
        <f>F106</f>
        <v>1</v>
      </c>
      <c r="AD121" s="468">
        <f>F103</f>
        <v>10</v>
      </c>
    </row>
    <row r="122" spans="2:30" outlineLevel="1">
      <c r="B122" s="532" t="s">
        <v>766</v>
      </c>
      <c r="C122" s="526" t="s">
        <v>36</v>
      </c>
      <c r="D122" s="527" t="s">
        <v>36</v>
      </c>
      <c r="E122" s="527" t="s">
        <v>36</v>
      </c>
      <c r="F122" s="528" t="s">
        <v>36</v>
      </c>
      <c r="G122" s="531"/>
      <c r="H122" s="531"/>
      <c r="I122" s="531"/>
      <c r="J122" s="531"/>
      <c r="K122" s="531"/>
      <c r="L122" s="533"/>
      <c r="M122" s="367"/>
      <c r="N122" s="367"/>
    </row>
    <row r="123" spans="2:30" outlineLevel="1">
      <c r="B123" s="532" t="s">
        <v>767</v>
      </c>
      <c r="C123" s="526" t="s">
        <v>36</v>
      </c>
      <c r="D123" s="527" t="s">
        <v>36</v>
      </c>
      <c r="E123" s="527" t="s">
        <v>36</v>
      </c>
      <c r="F123" s="528" t="s">
        <v>36</v>
      </c>
      <c r="G123" s="531"/>
      <c r="H123" s="531"/>
      <c r="I123" s="531"/>
      <c r="J123" s="531"/>
      <c r="K123" s="531"/>
      <c r="L123" s="533"/>
      <c r="M123" s="363"/>
      <c r="N123" s="363"/>
    </row>
    <row r="124" spans="2:30" ht="16" outlineLevel="1" thickBot="1">
      <c r="B124" s="534" t="s">
        <v>768</v>
      </c>
      <c r="C124" s="535" t="s">
        <v>36</v>
      </c>
      <c r="D124" s="536" t="s">
        <v>36</v>
      </c>
      <c r="E124" s="536" t="s">
        <v>36</v>
      </c>
      <c r="F124" s="537" t="s">
        <v>36</v>
      </c>
      <c r="G124" s="538"/>
      <c r="H124" s="538"/>
      <c r="I124" s="538"/>
      <c r="J124" s="538"/>
      <c r="K124" s="538"/>
      <c r="L124" s="539"/>
      <c r="M124" s="363"/>
      <c r="N124" s="363"/>
    </row>
    <row r="125" spans="2:30" ht="64" outlineLevel="1">
      <c r="B125" s="461" t="s">
        <v>769</v>
      </c>
      <c r="C125" s="483">
        <f>C108*$F$4*1000</f>
        <v>5066.0000000000009</v>
      </c>
      <c r="D125" s="483">
        <f t="shared" ref="D125:F125" si="6">D108*$F$4*1000</f>
        <v>4842.5</v>
      </c>
      <c r="E125" s="483">
        <f t="shared" si="6"/>
        <v>4619</v>
      </c>
      <c r="F125" s="483">
        <f t="shared" si="6"/>
        <v>4395.5</v>
      </c>
      <c r="G125" s="483"/>
      <c r="H125" s="484"/>
      <c r="I125" s="420" t="s">
        <v>332</v>
      </c>
      <c r="J125" s="420"/>
      <c r="K125" s="484"/>
      <c r="L125" s="484"/>
      <c r="N125" s="420"/>
    </row>
    <row r="126" spans="2:30" outlineLevel="1">
      <c r="B126" s="485" t="s">
        <v>770</v>
      </c>
      <c r="C126" s="486">
        <f>C125*$I126</f>
        <v>2533000.0000000005</v>
      </c>
      <c r="D126" s="486">
        <f>D125*$I126</f>
        <v>2421250</v>
      </c>
      <c r="E126" s="486">
        <f>E125*$I126</f>
        <v>2309500</v>
      </c>
      <c r="F126" s="486">
        <f>F125*$I126</f>
        <v>2197750</v>
      </c>
      <c r="G126" s="486"/>
      <c r="H126" s="484"/>
      <c r="I126" s="71">
        <v>500</v>
      </c>
      <c r="J126" s="420" t="s">
        <v>330</v>
      </c>
      <c r="K126" s="484"/>
      <c r="L126" s="484"/>
      <c r="N126" s="420"/>
    </row>
    <row r="127" spans="2:30" ht="48" outlineLevel="1">
      <c r="B127" s="461" t="s">
        <v>845</v>
      </c>
      <c r="C127" s="359">
        <f>C111*$F$4/1000</f>
        <v>275.64999999999998</v>
      </c>
      <c r="D127" s="359">
        <f t="shared" ref="D127:F127" si="7">D111*$F$4/1000</f>
        <v>267.45499999999998</v>
      </c>
      <c r="E127" s="359">
        <f t="shared" si="7"/>
        <v>259.26</v>
      </c>
      <c r="F127" s="359">
        <f t="shared" si="7"/>
        <v>251.065</v>
      </c>
      <c r="G127" s="359"/>
      <c r="I127" s="420" t="s">
        <v>333</v>
      </c>
      <c r="J127" s="420"/>
      <c r="N127" s="420"/>
    </row>
    <row r="128" spans="2:30" ht="48" outlineLevel="1">
      <c r="B128" s="461" t="s">
        <v>846</v>
      </c>
      <c r="C128" s="487">
        <f>C112*$F$4/3.6</f>
        <v>5.7509861111111107</v>
      </c>
      <c r="D128" s="487">
        <f t="shared" ref="D128:F128" si="8">D112*$F$4/3.6</f>
        <v>5.8461805555555557</v>
      </c>
      <c r="E128" s="487">
        <f t="shared" si="8"/>
        <v>5.8937777777777782</v>
      </c>
      <c r="F128" s="487">
        <f t="shared" si="8"/>
        <v>5.8937777777777782</v>
      </c>
      <c r="G128" s="359"/>
      <c r="M128" s="420"/>
      <c r="N128" s="420"/>
    </row>
    <row r="129" spans="2:6" outlineLevel="1"/>
    <row r="130" spans="2:6" outlineLevel="1"/>
    <row r="131" spans="2:6" outlineLevel="1"/>
    <row r="132" spans="2:6" outlineLevel="1">
      <c r="B132" s="488" t="s">
        <v>773</v>
      </c>
      <c r="C132" s="489"/>
    </row>
    <row r="133" spans="2:6" outlineLevel="1">
      <c r="B133" s="491">
        <v>1</v>
      </c>
      <c r="C133" s="492" t="s">
        <v>774</v>
      </c>
      <c r="D133" s="490"/>
      <c r="E133" s="490"/>
      <c r="F133" s="490"/>
    </row>
    <row r="134" spans="2:6" outlineLevel="1">
      <c r="B134" s="491">
        <v>2</v>
      </c>
      <c r="C134" s="493" t="s">
        <v>775</v>
      </c>
      <c r="E134" s="490"/>
      <c r="F134" s="490"/>
    </row>
    <row r="135" spans="2:6" outlineLevel="1">
      <c r="B135" s="491">
        <v>3</v>
      </c>
      <c r="C135" s="493" t="s">
        <v>776</v>
      </c>
      <c r="E135" s="490"/>
      <c r="F135" s="490"/>
    </row>
    <row r="136" spans="2:6" outlineLevel="1">
      <c r="B136" s="491">
        <v>4</v>
      </c>
      <c r="C136" s="493" t="s">
        <v>777</v>
      </c>
      <c r="E136" s="490"/>
      <c r="F136" s="490"/>
    </row>
    <row r="137" spans="2:6" outlineLevel="1">
      <c r="B137" s="358">
        <v>5</v>
      </c>
      <c r="C137" s="494" t="s">
        <v>778</v>
      </c>
      <c r="E137" s="490"/>
      <c r="F137" s="490"/>
    </row>
    <row r="138" spans="2:6" outlineLevel="1">
      <c r="B138" s="358">
        <v>6</v>
      </c>
      <c r="C138" s="492" t="s">
        <v>779</v>
      </c>
      <c r="D138" s="490"/>
      <c r="E138" s="490"/>
      <c r="F138" s="490"/>
    </row>
    <row r="139" spans="2:6" outlineLevel="1">
      <c r="B139" s="358">
        <v>7</v>
      </c>
      <c r="C139" s="495" t="s">
        <v>774</v>
      </c>
      <c r="D139" s="490"/>
      <c r="E139" s="490"/>
      <c r="F139" s="490"/>
    </row>
    <row r="140" spans="2:6" outlineLevel="1">
      <c r="B140" s="358">
        <v>8</v>
      </c>
      <c r="C140" s="495" t="s">
        <v>780</v>
      </c>
      <c r="D140" s="490"/>
      <c r="E140" s="490"/>
      <c r="F140" s="490"/>
    </row>
    <row r="141" spans="2:6" outlineLevel="1">
      <c r="B141" s="358">
        <v>9</v>
      </c>
      <c r="C141" s="489" t="s">
        <v>781</v>
      </c>
      <c r="D141" s="490"/>
      <c r="E141" s="490"/>
      <c r="F141" s="490"/>
    </row>
    <row r="142" spans="2:6" outlineLevel="1">
      <c r="B142" s="358">
        <v>10</v>
      </c>
      <c r="C142" s="490" t="s">
        <v>782</v>
      </c>
      <c r="D142" s="490"/>
      <c r="E142" s="490"/>
      <c r="F142" s="490"/>
    </row>
    <row r="143" spans="2:6" outlineLevel="1">
      <c r="B143" s="358">
        <v>11</v>
      </c>
      <c r="C143" s="490" t="s">
        <v>984</v>
      </c>
      <c r="D143" s="490"/>
      <c r="E143" s="490"/>
      <c r="F143" s="490"/>
    </row>
    <row r="144" spans="2:6" outlineLevel="1">
      <c r="B144" s="488" t="s">
        <v>783</v>
      </c>
      <c r="C144" s="489"/>
      <c r="D144" s="490"/>
      <c r="E144" s="490"/>
      <c r="F144" s="490"/>
    </row>
    <row r="145" spans="2:6" outlineLevel="1">
      <c r="B145" s="496" t="s">
        <v>6</v>
      </c>
      <c r="C145" s="497" t="s">
        <v>975</v>
      </c>
      <c r="E145" s="490"/>
      <c r="F145" s="490"/>
    </row>
    <row r="146" spans="2:6" outlineLevel="1">
      <c r="B146" s="496" t="s">
        <v>59</v>
      </c>
      <c r="C146" s="489" t="s">
        <v>976</v>
      </c>
      <c r="E146" s="490"/>
      <c r="F146" s="490"/>
    </row>
    <row r="147" spans="2:6" outlineLevel="1">
      <c r="B147" s="496" t="s">
        <v>16</v>
      </c>
      <c r="C147" s="489" t="s">
        <v>977</v>
      </c>
      <c r="E147" s="490"/>
      <c r="F147" s="490"/>
    </row>
    <row r="148" spans="2:6" outlineLevel="1">
      <c r="B148" s="496" t="s">
        <v>20</v>
      </c>
      <c r="C148" s="489" t="s">
        <v>786</v>
      </c>
      <c r="E148" s="490"/>
      <c r="F148" s="490"/>
    </row>
    <row r="149" spans="2:6" outlineLevel="1">
      <c r="B149" s="496" t="s">
        <v>76</v>
      </c>
      <c r="C149" s="489" t="s">
        <v>978</v>
      </c>
      <c r="E149" s="490"/>
      <c r="F149" s="490"/>
    </row>
    <row r="150" spans="2:6" outlineLevel="1">
      <c r="B150" s="496" t="s">
        <v>25</v>
      </c>
      <c r="C150" s="489" t="s">
        <v>979</v>
      </c>
      <c r="E150" s="490"/>
      <c r="F150" s="490"/>
    </row>
    <row r="151" spans="2:6" outlineLevel="1">
      <c r="B151" s="496" t="s">
        <v>33</v>
      </c>
      <c r="C151" s="489" t="s">
        <v>787</v>
      </c>
      <c r="E151" s="490"/>
      <c r="F151" s="490"/>
    </row>
    <row r="152" spans="2:6" outlineLevel="1">
      <c r="B152" s="496" t="s">
        <v>51</v>
      </c>
      <c r="C152" s="489" t="s">
        <v>980</v>
      </c>
      <c r="E152" s="490"/>
      <c r="F152" s="490"/>
    </row>
    <row r="153" spans="2:6" outlineLevel="1">
      <c r="B153" s="496" t="s">
        <v>52</v>
      </c>
      <c r="C153" s="498" t="s">
        <v>788</v>
      </c>
      <c r="E153" s="490"/>
      <c r="F153" s="490"/>
    </row>
    <row r="154" spans="2:6" outlineLevel="1">
      <c r="B154" s="496" t="s">
        <v>55</v>
      </c>
      <c r="C154" s="489" t="s">
        <v>789</v>
      </c>
      <c r="E154" s="490"/>
      <c r="F154" s="490"/>
    </row>
    <row r="155" spans="2:6" outlineLevel="1">
      <c r="E155" s="490"/>
      <c r="F155" s="490"/>
    </row>
    <row r="156" spans="2:6" outlineLevel="1">
      <c r="B156" s="496" t="s">
        <v>985</v>
      </c>
      <c r="C156" s="224" t="s">
        <v>986</v>
      </c>
      <c r="E156" s="490"/>
      <c r="F156" s="490"/>
    </row>
    <row r="157" spans="2:6" outlineLevel="1">
      <c r="B157" s="496" t="s">
        <v>987</v>
      </c>
      <c r="C157" s="224" t="s">
        <v>988</v>
      </c>
      <c r="E157" s="490"/>
      <c r="F157" s="490"/>
    </row>
    <row r="158" spans="2:6" outlineLevel="1">
      <c r="B158" s="496"/>
      <c r="C158" s="489"/>
      <c r="E158" s="490"/>
      <c r="F158" s="490"/>
    </row>
    <row r="159" spans="2:6" outlineLevel="1">
      <c r="B159" s="496"/>
      <c r="C159" s="489"/>
      <c r="E159" s="490"/>
      <c r="F159" s="490"/>
    </row>
    <row r="160" spans="2:6" outlineLevel="1">
      <c r="B160" s="496"/>
      <c r="C160" s="489"/>
      <c r="E160" s="490"/>
      <c r="F160" s="490"/>
    </row>
    <row r="161" spans="1:44" outlineLevel="1"/>
    <row r="162" spans="1:44" outlineLevel="1">
      <c r="M162" s="214"/>
    </row>
    <row r="163" spans="1:44" outlineLevel="1"/>
    <row r="166" spans="1:44">
      <c r="A166" s="360" t="s">
        <v>989</v>
      </c>
      <c r="B166" s="1207"/>
      <c r="C166" s="1143"/>
      <c r="D166" s="1143"/>
      <c r="E166" s="1143"/>
      <c r="F166" s="1143"/>
      <c r="G166" s="1143"/>
      <c r="H166" s="1143"/>
      <c r="I166" s="1143"/>
      <c r="J166" s="1143"/>
      <c r="K166" s="1143"/>
      <c r="L166" s="1143"/>
      <c r="M166" s="1143"/>
      <c r="N166" s="361"/>
      <c r="P166" s="1143"/>
      <c r="Q166" s="1143"/>
      <c r="R166" s="1143"/>
      <c r="S166" s="1143"/>
      <c r="T166" s="1143"/>
      <c r="U166" s="1143"/>
    </row>
    <row r="167" spans="1:44" ht="16" outlineLevel="1" thickBot="1">
      <c r="B167" s="1207"/>
      <c r="C167" s="1143"/>
      <c r="D167" s="1143"/>
      <c r="E167" s="1143"/>
      <c r="F167" s="1143"/>
      <c r="G167" s="1143"/>
      <c r="H167" s="1143"/>
      <c r="I167" s="1143"/>
      <c r="J167" s="1143"/>
      <c r="K167" s="1143"/>
      <c r="L167" s="1143"/>
      <c r="M167" s="1143"/>
      <c r="N167" s="361"/>
      <c r="P167" s="692">
        <v>1</v>
      </c>
      <c r="Q167" s="692">
        <v>2</v>
      </c>
      <c r="R167" s="692">
        <v>3</v>
      </c>
      <c r="S167" s="692">
        <v>4</v>
      </c>
      <c r="T167" s="692">
        <v>5</v>
      </c>
      <c r="U167" s="692">
        <v>6</v>
      </c>
      <c r="V167" s="692">
        <v>7</v>
      </c>
      <c r="W167" s="692">
        <v>8</v>
      </c>
      <c r="X167" s="692">
        <v>9</v>
      </c>
      <c r="Y167" s="692">
        <v>10</v>
      </c>
      <c r="Z167" s="692">
        <v>11</v>
      </c>
      <c r="AA167" s="692">
        <v>12</v>
      </c>
      <c r="AB167" s="692">
        <v>13</v>
      </c>
      <c r="AC167" s="692">
        <v>14</v>
      </c>
    </row>
    <row r="168" spans="1:44" ht="20.5" customHeight="1" outlineLevel="1" thickBot="1">
      <c r="B168" s="362" t="s">
        <v>0</v>
      </c>
      <c r="C168" s="1204" t="s">
        <v>990</v>
      </c>
      <c r="D168" s="1205"/>
      <c r="E168" s="1205"/>
      <c r="F168" s="1205"/>
      <c r="G168" s="1205"/>
      <c r="H168" s="1205"/>
      <c r="I168" s="1205"/>
      <c r="J168" s="1205"/>
      <c r="K168" s="1205"/>
      <c r="L168" s="1206"/>
      <c r="M168" s="363"/>
      <c r="N168" s="363"/>
      <c r="P168" s="364" t="s">
        <v>713</v>
      </c>
      <c r="Q168" s="365"/>
      <c r="R168" s="366"/>
      <c r="S168" s="1176" t="s">
        <v>714</v>
      </c>
      <c r="T168" s="1160" t="s">
        <v>715</v>
      </c>
      <c r="U168" s="1161"/>
      <c r="V168" s="1160" t="s">
        <v>716</v>
      </c>
      <c r="W168" s="1161"/>
      <c r="X168" s="1160" t="s">
        <v>717</v>
      </c>
      <c r="Y168" s="1161"/>
      <c r="Z168" s="1160" t="s">
        <v>718</v>
      </c>
      <c r="AA168" s="1161"/>
      <c r="AB168" s="1160" t="s">
        <v>719</v>
      </c>
      <c r="AC168" s="1161"/>
      <c r="AE168" s="364" t="s">
        <v>720</v>
      </c>
      <c r="AF168" s="365"/>
      <c r="AG168" s="366"/>
      <c r="AH168" s="1176" t="s">
        <v>714</v>
      </c>
      <c r="AI168" s="1160" t="s">
        <v>715</v>
      </c>
      <c r="AJ168" s="1161"/>
      <c r="AK168" s="1160" t="s">
        <v>716</v>
      </c>
      <c r="AL168" s="1161"/>
      <c r="AM168" s="1160" t="s">
        <v>717</v>
      </c>
      <c r="AN168" s="1161"/>
      <c r="AO168" s="1160" t="s">
        <v>718</v>
      </c>
      <c r="AP168" s="1161"/>
      <c r="AQ168" s="1160" t="s">
        <v>719</v>
      </c>
      <c r="AR168" s="1161"/>
    </row>
    <row r="169" spans="1:44" ht="15" customHeight="1" outlineLevel="1" thickBot="1">
      <c r="B169" s="1164" t="s">
        <v>4</v>
      </c>
      <c r="C169" s="1166">
        <v>2020</v>
      </c>
      <c r="D169" s="1166">
        <v>2030</v>
      </c>
      <c r="E169" s="1166">
        <v>2040</v>
      </c>
      <c r="F169" s="1166">
        <v>2050</v>
      </c>
      <c r="G169" s="1200" t="s">
        <v>721</v>
      </c>
      <c r="H169" s="1201"/>
      <c r="I169" s="1200" t="s">
        <v>648</v>
      </c>
      <c r="J169" s="1201"/>
      <c r="K169" s="1202" t="s">
        <v>2</v>
      </c>
      <c r="L169" s="1202" t="s">
        <v>3</v>
      </c>
      <c r="M169" s="367"/>
      <c r="N169" s="367"/>
      <c r="P169" s="1180" t="s">
        <v>0</v>
      </c>
      <c r="Q169" s="368"/>
      <c r="R169" s="368"/>
      <c r="S169" s="1177"/>
      <c r="T169" s="1162"/>
      <c r="U169" s="1163"/>
      <c r="V169" s="1162"/>
      <c r="W169" s="1163"/>
      <c r="X169" s="1162"/>
      <c r="Y169" s="1163"/>
      <c r="Z169" s="1162"/>
      <c r="AA169" s="1163"/>
      <c r="AB169" s="1162"/>
      <c r="AC169" s="1163"/>
      <c r="AE169" s="1180" t="s">
        <v>0</v>
      </c>
      <c r="AF169" s="368"/>
      <c r="AG169" s="368"/>
      <c r="AH169" s="1177"/>
      <c r="AI169" s="1162"/>
      <c r="AJ169" s="1163"/>
      <c r="AK169" s="1162"/>
      <c r="AL169" s="1163"/>
      <c r="AM169" s="1162"/>
      <c r="AN169" s="1163"/>
      <c r="AO169" s="1162"/>
      <c r="AP169" s="1163"/>
      <c r="AQ169" s="1162"/>
      <c r="AR169" s="1163"/>
    </row>
    <row r="170" spans="1:44" ht="15" customHeight="1" outlineLevel="1" thickBot="1">
      <c r="B170" s="1165"/>
      <c r="C170" s="1167"/>
      <c r="D170" s="1167"/>
      <c r="E170" s="1167"/>
      <c r="F170" s="1167"/>
      <c r="G170" s="499" t="s">
        <v>649</v>
      </c>
      <c r="H170" s="499" t="s">
        <v>650</v>
      </c>
      <c r="I170" s="499" t="s">
        <v>649</v>
      </c>
      <c r="J170" s="499" t="s">
        <v>650</v>
      </c>
      <c r="K170" s="1203"/>
      <c r="L170" s="1203"/>
      <c r="M170" s="370"/>
      <c r="N170" s="370"/>
      <c r="P170" s="1181"/>
      <c r="Q170" s="1183" t="s">
        <v>722</v>
      </c>
      <c r="R170" s="1184" t="s">
        <v>723</v>
      </c>
      <c r="S170" s="1178"/>
      <c r="T170" s="1162"/>
      <c r="U170" s="1163"/>
      <c r="V170" s="1162"/>
      <c r="W170" s="1163"/>
      <c r="X170" s="1162"/>
      <c r="Y170" s="1163"/>
      <c r="Z170" s="1162"/>
      <c r="AA170" s="1163"/>
      <c r="AB170" s="1162"/>
      <c r="AC170" s="1163"/>
      <c r="AE170" s="1181"/>
      <c r="AF170" s="1197" t="s">
        <v>722</v>
      </c>
      <c r="AG170" s="1184" t="s">
        <v>723</v>
      </c>
      <c r="AH170" s="1178"/>
      <c r="AI170" s="1162"/>
      <c r="AJ170" s="1163"/>
      <c r="AK170" s="1162"/>
      <c r="AL170" s="1163"/>
      <c r="AM170" s="1162"/>
      <c r="AN170" s="1163"/>
      <c r="AO170" s="1162"/>
      <c r="AP170" s="1163"/>
      <c r="AQ170" s="1162"/>
      <c r="AR170" s="1163"/>
    </row>
    <row r="171" spans="1:44" ht="33" outlineLevel="1" thickBot="1">
      <c r="B171" s="371" t="s">
        <v>651</v>
      </c>
      <c r="C171" s="372">
        <v>20</v>
      </c>
      <c r="D171" s="372">
        <v>20</v>
      </c>
      <c r="E171" s="372">
        <v>20</v>
      </c>
      <c r="F171" s="372">
        <v>20</v>
      </c>
      <c r="G171" s="372">
        <v>1</v>
      </c>
      <c r="H171" s="372">
        <v>50</v>
      </c>
      <c r="I171" s="372">
        <v>1</v>
      </c>
      <c r="J171" s="372">
        <v>50</v>
      </c>
      <c r="K171" s="372" t="s">
        <v>6</v>
      </c>
      <c r="L171" s="373" t="s">
        <v>725</v>
      </c>
      <c r="M171" s="370"/>
      <c r="N171" s="370"/>
      <c r="O171" s="74"/>
      <c r="P171" s="1182"/>
      <c r="Q171" s="1179"/>
      <c r="R171" s="1185"/>
      <c r="S171" s="1179"/>
      <c r="T171" s="374" t="s">
        <v>726</v>
      </c>
      <c r="U171" s="375" t="s">
        <v>727</v>
      </c>
      <c r="V171" s="374" t="s">
        <v>726</v>
      </c>
      <c r="W171" s="375" t="s">
        <v>727</v>
      </c>
      <c r="X171" s="374" t="s">
        <v>726</v>
      </c>
      <c r="Y171" s="375" t="s">
        <v>727</v>
      </c>
      <c r="Z171" s="374" t="s">
        <v>726</v>
      </c>
      <c r="AA171" s="375" t="s">
        <v>727</v>
      </c>
      <c r="AB171" s="374" t="s">
        <v>726</v>
      </c>
      <c r="AC171" s="375" t="s">
        <v>727</v>
      </c>
      <c r="AE171" s="1182"/>
      <c r="AF171" s="1198"/>
      <c r="AG171" s="1185"/>
      <c r="AH171" s="1179"/>
      <c r="AI171" s="374" t="s">
        <v>726</v>
      </c>
      <c r="AJ171" s="375" t="s">
        <v>727</v>
      </c>
      <c r="AK171" s="374" t="s">
        <v>726</v>
      </c>
      <c r="AL171" s="375" t="s">
        <v>727</v>
      </c>
      <c r="AM171" s="374" t="s">
        <v>726</v>
      </c>
      <c r="AN171" s="375" t="s">
        <v>727</v>
      </c>
      <c r="AO171" s="374" t="s">
        <v>726</v>
      </c>
      <c r="AP171" s="375" t="s">
        <v>727</v>
      </c>
      <c r="AQ171" s="374" t="s">
        <v>726</v>
      </c>
      <c r="AR171" s="375" t="s">
        <v>727</v>
      </c>
    </row>
    <row r="172" spans="1:44" ht="14.5" customHeight="1" outlineLevel="1">
      <c r="B172" s="500" t="s">
        <v>728</v>
      </c>
      <c r="C172" s="501">
        <v>91</v>
      </c>
      <c r="D172" s="501">
        <v>91</v>
      </c>
      <c r="E172" s="502">
        <v>91</v>
      </c>
      <c r="F172" s="501">
        <v>92</v>
      </c>
      <c r="G172" s="501">
        <f>D172-1</f>
        <v>90</v>
      </c>
      <c r="H172" s="501">
        <f>D172+2</f>
        <v>93</v>
      </c>
      <c r="I172" s="501">
        <f>F172-1</f>
        <v>91</v>
      </c>
      <c r="J172" s="501">
        <f>F172+2</f>
        <v>94</v>
      </c>
      <c r="K172" s="503" t="s">
        <v>59</v>
      </c>
      <c r="L172" s="504" t="s">
        <v>729</v>
      </c>
      <c r="M172" s="370"/>
      <c r="N172" s="370"/>
      <c r="P172" s="1199" t="str">
        <f>C168</f>
        <v>Hot water boiler, Wood Chips</v>
      </c>
      <c r="Q172" s="1154" t="s">
        <v>730</v>
      </c>
      <c r="R172" s="381" t="s">
        <v>731</v>
      </c>
      <c r="S172" s="382"/>
      <c r="T172" s="1137">
        <v>0</v>
      </c>
      <c r="U172" s="1151">
        <v>0</v>
      </c>
      <c r="V172" s="1157">
        <v>0</v>
      </c>
      <c r="W172" s="1151">
        <v>0</v>
      </c>
      <c r="X172" s="1157">
        <v>0</v>
      </c>
      <c r="Y172" s="1151">
        <v>0</v>
      </c>
      <c r="Z172" s="1157">
        <v>0</v>
      </c>
      <c r="AA172" s="1151">
        <v>0</v>
      </c>
      <c r="AB172" s="1157">
        <v>0</v>
      </c>
      <c r="AC172" s="1151">
        <v>0</v>
      </c>
      <c r="AE172" s="1148" t="str">
        <f>P172</f>
        <v>Hot water boiler, Wood Chips</v>
      </c>
      <c r="AF172" s="1154" t="s">
        <v>730</v>
      </c>
      <c r="AG172" s="381" t="s">
        <v>731</v>
      </c>
      <c r="AH172" s="382"/>
      <c r="AI172" s="1137">
        <v>0</v>
      </c>
      <c r="AJ172" s="1151">
        <v>0</v>
      </c>
      <c r="AK172" s="1157">
        <v>0</v>
      </c>
      <c r="AL172" s="1151">
        <v>0</v>
      </c>
      <c r="AM172" s="1157">
        <v>0</v>
      </c>
      <c r="AN172" s="1151">
        <v>0</v>
      </c>
      <c r="AO172" s="1157">
        <v>0</v>
      </c>
      <c r="AP172" s="1151">
        <v>0</v>
      </c>
      <c r="AQ172" s="1157">
        <v>0</v>
      </c>
      <c r="AR172" s="1151">
        <v>0</v>
      </c>
    </row>
    <row r="173" spans="1:44" outlineLevel="1">
      <c r="B173" s="383" t="s">
        <v>732</v>
      </c>
      <c r="C173" s="384">
        <f t="shared" ref="C173:J173" si="9">C172-1</f>
        <v>90</v>
      </c>
      <c r="D173" s="384">
        <f t="shared" si="9"/>
        <v>90</v>
      </c>
      <c r="E173" s="384">
        <f t="shared" si="9"/>
        <v>90</v>
      </c>
      <c r="F173" s="384">
        <f t="shared" si="9"/>
        <v>91</v>
      </c>
      <c r="G173" s="505">
        <f t="shared" si="9"/>
        <v>89</v>
      </c>
      <c r="H173" s="505">
        <f t="shared" si="9"/>
        <v>92</v>
      </c>
      <c r="I173" s="505">
        <f t="shared" si="9"/>
        <v>90</v>
      </c>
      <c r="J173" s="505">
        <f t="shared" si="9"/>
        <v>93</v>
      </c>
      <c r="K173" s="372"/>
      <c r="L173" s="373" t="s">
        <v>729</v>
      </c>
      <c r="M173" s="370"/>
      <c r="N173" s="370"/>
      <c r="O173" s="71"/>
      <c r="P173" s="1195"/>
      <c r="Q173" s="1155"/>
      <c r="R173" s="388" t="s">
        <v>733</v>
      </c>
      <c r="S173" s="389"/>
      <c r="T173" s="1140"/>
      <c r="U173" s="1152"/>
      <c r="V173" s="1158"/>
      <c r="W173" s="1152"/>
      <c r="X173" s="1158"/>
      <c r="Y173" s="1152"/>
      <c r="Z173" s="1158"/>
      <c r="AA173" s="1152"/>
      <c r="AB173" s="1158"/>
      <c r="AC173" s="1152"/>
      <c r="AE173" s="1195"/>
      <c r="AF173" s="1155"/>
      <c r="AG173" s="388" t="s">
        <v>733</v>
      </c>
      <c r="AH173" s="389"/>
      <c r="AI173" s="1140"/>
      <c r="AJ173" s="1152"/>
      <c r="AK173" s="1158"/>
      <c r="AL173" s="1152"/>
      <c r="AM173" s="1158"/>
      <c r="AN173" s="1152"/>
      <c r="AO173" s="1158"/>
      <c r="AP173" s="1152"/>
      <c r="AQ173" s="1158"/>
      <c r="AR173" s="1152"/>
    </row>
    <row r="174" spans="1:44" ht="16" outlineLevel="1" thickBot="1">
      <c r="B174" s="500" t="s">
        <v>734</v>
      </c>
      <c r="C174" s="506">
        <v>2.2999999999999998</v>
      </c>
      <c r="D174" s="507">
        <v>2.2999999999999998</v>
      </c>
      <c r="E174" s="507">
        <v>2.2999999999999998</v>
      </c>
      <c r="F174" s="508">
        <v>2.2999999999999998</v>
      </c>
      <c r="G174" s="507">
        <v>2.2000000000000002</v>
      </c>
      <c r="H174" s="507">
        <v>2.5</v>
      </c>
      <c r="I174" s="507">
        <v>1.8</v>
      </c>
      <c r="J174" s="507">
        <v>2.5</v>
      </c>
      <c r="K174" s="503" t="s">
        <v>16</v>
      </c>
      <c r="L174" s="504">
        <v>3</v>
      </c>
      <c r="M174" s="370"/>
      <c r="N174" s="370"/>
      <c r="O174" s="71"/>
      <c r="P174" s="1195"/>
      <c r="Q174" s="1156"/>
      <c r="R174" s="393" t="s">
        <v>735</v>
      </c>
      <c r="S174" s="394"/>
      <c r="T174" s="1141"/>
      <c r="U174" s="1153"/>
      <c r="V174" s="1159"/>
      <c r="W174" s="1153"/>
      <c r="X174" s="1159"/>
      <c r="Y174" s="1153"/>
      <c r="Z174" s="1159"/>
      <c r="AA174" s="1153"/>
      <c r="AB174" s="1159"/>
      <c r="AC174" s="1153"/>
      <c r="AE174" s="1195"/>
      <c r="AF174" s="1156"/>
      <c r="AG174" s="393" t="s">
        <v>735</v>
      </c>
      <c r="AH174" s="394"/>
      <c r="AI174" s="1141"/>
      <c r="AJ174" s="1153"/>
      <c r="AK174" s="1159"/>
      <c r="AL174" s="1153"/>
      <c r="AM174" s="1159"/>
      <c r="AN174" s="1153"/>
      <c r="AO174" s="1159"/>
      <c r="AP174" s="1153"/>
      <c r="AQ174" s="1159"/>
      <c r="AR174" s="1153"/>
    </row>
    <row r="175" spans="1:44" ht="14.5" customHeight="1" outlineLevel="1">
      <c r="B175" s="500" t="s">
        <v>657</v>
      </c>
      <c r="C175" s="687">
        <v>3</v>
      </c>
      <c r="D175" s="687">
        <v>3</v>
      </c>
      <c r="E175" s="687">
        <v>3</v>
      </c>
      <c r="F175" s="687">
        <v>3</v>
      </c>
      <c r="G175" s="687">
        <v>3</v>
      </c>
      <c r="H175" s="687">
        <v>3</v>
      </c>
      <c r="I175" s="687">
        <v>3</v>
      </c>
      <c r="J175" s="687">
        <v>3</v>
      </c>
      <c r="K175" s="503" t="s">
        <v>20</v>
      </c>
      <c r="L175" s="504">
        <v>3</v>
      </c>
      <c r="M175" s="370"/>
      <c r="N175" s="370"/>
      <c r="O175" s="71"/>
      <c r="P175" s="1195"/>
      <c r="Q175" s="1154" t="s">
        <v>736</v>
      </c>
      <c r="R175" s="395" t="s">
        <v>737</v>
      </c>
      <c r="S175" s="396" t="s">
        <v>738</v>
      </c>
      <c r="T175" s="1137">
        <v>0</v>
      </c>
      <c r="U175" s="1137">
        <v>0.67</v>
      </c>
      <c r="V175" s="1137">
        <v>0</v>
      </c>
      <c r="W175" s="1137">
        <v>0.56999999999999995</v>
      </c>
      <c r="X175" s="1137">
        <v>0</v>
      </c>
      <c r="Y175" s="1137">
        <v>0.5</v>
      </c>
      <c r="Z175" s="1137">
        <v>0</v>
      </c>
      <c r="AA175" s="1137">
        <v>0.51</v>
      </c>
      <c r="AB175" s="1137">
        <v>0</v>
      </c>
      <c r="AC175" s="1151">
        <v>0.41</v>
      </c>
      <c r="AE175" s="1195"/>
      <c r="AF175" s="1154" t="s">
        <v>736</v>
      </c>
      <c r="AG175" s="395" t="s">
        <v>737</v>
      </c>
      <c r="AH175" s="396" t="s">
        <v>738</v>
      </c>
      <c r="AI175" s="1137">
        <v>0</v>
      </c>
      <c r="AJ175" s="1137">
        <f>U175/4</f>
        <v>0.16750000000000001</v>
      </c>
      <c r="AK175" s="1137">
        <v>0</v>
      </c>
      <c r="AL175" s="1137">
        <f>W175/4</f>
        <v>0.14249999999999999</v>
      </c>
      <c r="AM175" s="1137">
        <v>0</v>
      </c>
      <c r="AN175" s="1137">
        <f>Y175/4</f>
        <v>0.125</v>
      </c>
      <c r="AO175" s="1137">
        <v>0</v>
      </c>
      <c r="AP175" s="1137">
        <f>AA175/4</f>
        <v>0.1275</v>
      </c>
      <c r="AQ175" s="1137">
        <v>0</v>
      </c>
      <c r="AR175" s="1151">
        <f>AC175/4</f>
        <v>0.10249999999999999</v>
      </c>
    </row>
    <row r="176" spans="1:44" outlineLevel="1">
      <c r="B176" s="500" t="s">
        <v>658</v>
      </c>
      <c r="C176" s="506">
        <v>3</v>
      </c>
      <c r="D176" s="506">
        <v>3</v>
      </c>
      <c r="E176" s="506">
        <v>3</v>
      </c>
      <c r="F176" s="506">
        <v>3</v>
      </c>
      <c r="G176" s="506">
        <v>2.6</v>
      </c>
      <c r="H176" s="506">
        <v>3.5</v>
      </c>
      <c r="I176" s="506">
        <v>2.2999999999999998</v>
      </c>
      <c r="J176" s="506">
        <v>3.8</v>
      </c>
      <c r="K176" s="503" t="s">
        <v>20</v>
      </c>
      <c r="L176" s="504">
        <v>3</v>
      </c>
      <c r="M176" s="367"/>
      <c r="N176" s="367"/>
      <c r="O176" s="71"/>
      <c r="P176" s="1195"/>
      <c r="Q176" s="1155"/>
      <c r="R176" s="395" t="s">
        <v>739</v>
      </c>
      <c r="S176" s="396" t="s">
        <v>738</v>
      </c>
      <c r="T176" s="1191"/>
      <c r="U176" s="1191"/>
      <c r="V176" s="1191"/>
      <c r="W176" s="1191"/>
      <c r="X176" s="1191"/>
      <c r="Y176" s="1191"/>
      <c r="Z176" s="1191"/>
      <c r="AA176" s="1191"/>
      <c r="AB176" s="1191"/>
      <c r="AC176" s="1193"/>
      <c r="AE176" s="1195"/>
      <c r="AF176" s="1155"/>
      <c r="AG176" s="395" t="s">
        <v>739</v>
      </c>
      <c r="AH176" s="396" t="s">
        <v>738</v>
      </c>
      <c r="AI176" s="1191"/>
      <c r="AJ176" s="1191"/>
      <c r="AK176" s="1191"/>
      <c r="AL176" s="1191"/>
      <c r="AM176" s="1191"/>
      <c r="AN176" s="1191"/>
      <c r="AO176" s="1191"/>
      <c r="AP176" s="1191"/>
      <c r="AQ176" s="1191"/>
      <c r="AR176" s="1193"/>
    </row>
    <row r="177" spans="1:44" outlineLevel="1">
      <c r="B177" s="383" t="s">
        <v>11</v>
      </c>
      <c r="C177" s="397">
        <v>25</v>
      </c>
      <c r="D177" s="397">
        <v>25</v>
      </c>
      <c r="E177" s="397">
        <v>25</v>
      </c>
      <c r="F177" s="397">
        <v>25</v>
      </c>
      <c r="G177" s="399">
        <v>20</v>
      </c>
      <c r="H177" s="399">
        <v>35</v>
      </c>
      <c r="I177" s="399">
        <v>20</v>
      </c>
      <c r="J177" s="399">
        <v>35</v>
      </c>
      <c r="K177" s="372"/>
      <c r="L177" s="373" t="s">
        <v>740</v>
      </c>
      <c r="M177" s="363"/>
      <c r="N177" s="363"/>
      <c r="P177" s="1195"/>
      <c r="Q177" s="1155"/>
      <c r="R177" s="395" t="s">
        <v>741</v>
      </c>
      <c r="S177" s="396"/>
      <c r="T177" s="1191"/>
      <c r="U177" s="1191"/>
      <c r="V177" s="1191"/>
      <c r="W177" s="1191"/>
      <c r="X177" s="1191"/>
      <c r="Y177" s="1191"/>
      <c r="Z177" s="1191"/>
      <c r="AA177" s="1191"/>
      <c r="AB177" s="1191"/>
      <c r="AC177" s="1193"/>
      <c r="AE177" s="1195"/>
      <c r="AF177" s="1155"/>
      <c r="AG177" s="395" t="s">
        <v>741</v>
      </c>
      <c r="AH177" s="629" t="s">
        <v>738</v>
      </c>
      <c r="AI177" s="1191"/>
      <c r="AJ177" s="1191"/>
      <c r="AK177" s="1191"/>
      <c r="AL177" s="1191"/>
      <c r="AM177" s="1191"/>
      <c r="AN177" s="1191"/>
      <c r="AO177" s="1191"/>
      <c r="AP177" s="1191"/>
      <c r="AQ177" s="1191"/>
      <c r="AR177" s="1193"/>
    </row>
    <row r="178" spans="1:44" ht="16" outlineLevel="1" thickBot="1">
      <c r="B178" s="500" t="s">
        <v>273</v>
      </c>
      <c r="C178" s="506">
        <v>1</v>
      </c>
      <c r="D178" s="506">
        <v>1</v>
      </c>
      <c r="E178" s="506">
        <v>1</v>
      </c>
      <c r="F178" s="506">
        <v>1</v>
      </c>
      <c r="G178" s="506">
        <v>0.5</v>
      </c>
      <c r="H178" s="506">
        <v>1.5</v>
      </c>
      <c r="I178" s="506">
        <v>0.5</v>
      </c>
      <c r="J178" s="506">
        <v>1.5</v>
      </c>
      <c r="K178" s="372"/>
      <c r="L178" s="400"/>
      <c r="M178" s="363"/>
      <c r="N178" s="363"/>
      <c r="P178" s="1195"/>
      <c r="Q178" s="1155"/>
      <c r="R178" s="395" t="s">
        <v>742</v>
      </c>
      <c r="S178" s="396" t="s">
        <v>738</v>
      </c>
      <c r="T178" s="1191"/>
      <c r="U178" s="1191"/>
      <c r="V178" s="1191"/>
      <c r="W178" s="1191"/>
      <c r="X178" s="1191"/>
      <c r="Y178" s="1191"/>
      <c r="Z178" s="1191"/>
      <c r="AA178" s="1191"/>
      <c r="AB178" s="1191"/>
      <c r="AC178" s="1193"/>
      <c r="AE178" s="1195"/>
      <c r="AF178" s="1155"/>
      <c r="AG178" s="395" t="s">
        <v>742</v>
      </c>
      <c r="AH178" s="396"/>
      <c r="AI178" s="1191"/>
      <c r="AJ178" s="1191"/>
      <c r="AK178" s="1191"/>
      <c r="AL178" s="1191"/>
      <c r="AM178" s="1191"/>
      <c r="AN178" s="1191"/>
      <c r="AO178" s="1191"/>
      <c r="AP178" s="1191"/>
      <c r="AQ178" s="1191"/>
      <c r="AR178" s="1193"/>
    </row>
    <row r="179" spans="1:44" ht="16" outlineLevel="1" thickBot="1">
      <c r="B179" s="401" t="s">
        <v>743</v>
      </c>
      <c r="C179" s="402"/>
      <c r="D179" s="403"/>
      <c r="E179" s="404"/>
      <c r="F179" s="405"/>
      <c r="G179" s="406"/>
      <c r="H179" s="406"/>
      <c r="I179" s="406"/>
      <c r="J179" s="406"/>
      <c r="K179" s="407"/>
      <c r="L179" s="408"/>
      <c r="M179" s="363"/>
      <c r="N179" s="363"/>
      <c r="P179" s="1195"/>
      <c r="Q179" s="1156"/>
      <c r="R179" s="409" t="s">
        <v>863</v>
      </c>
      <c r="S179" s="410" t="s">
        <v>738</v>
      </c>
      <c r="T179" s="1192"/>
      <c r="U179" s="1192"/>
      <c r="V179" s="1192"/>
      <c r="W179" s="1192"/>
      <c r="X179" s="1192"/>
      <c r="Y179" s="1192"/>
      <c r="Z179" s="1192"/>
      <c r="AA179" s="1192"/>
      <c r="AB179" s="1192"/>
      <c r="AC179" s="1194"/>
      <c r="AE179" s="1195"/>
      <c r="AF179" s="1156"/>
      <c r="AG179" s="409" t="s">
        <v>863</v>
      </c>
      <c r="AH179" s="410" t="s">
        <v>738</v>
      </c>
      <c r="AI179" s="1192"/>
      <c r="AJ179" s="1192"/>
      <c r="AK179" s="1192"/>
      <c r="AL179" s="1192"/>
      <c r="AM179" s="1192"/>
      <c r="AN179" s="1192"/>
      <c r="AO179" s="1192"/>
      <c r="AP179" s="1192"/>
      <c r="AQ179" s="1192"/>
      <c r="AR179" s="1194"/>
    </row>
    <row r="180" spans="1:44" ht="33" outlineLevel="1" thickBot="1">
      <c r="B180" s="500" t="s">
        <v>663</v>
      </c>
      <c r="C180" s="506">
        <v>20</v>
      </c>
      <c r="D180" s="506">
        <v>20</v>
      </c>
      <c r="E180" s="506">
        <v>20</v>
      </c>
      <c r="F180" s="506">
        <v>20</v>
      </c>
      <c r="G180" s="507"/>
      <c r="H180" s="507"/>
      <c r="I180" s="507"/>
      <c r="J180" s="507"/>
      <c r="K180" s="503"/>
      <c r="L180" s="504">
        <v>3</v>
      </c>
      <c r="M180" s="363"/>
      <c r="N180" s="363"/>
      <c r="P180" s="1196"/>
      <c r="Q180" s="411" t="s">
        <v>745</v>
      </c>
      <c r="R180" s="412" t="s">
        <v>746</v>
      </c>
      <c r="S180" s="630" t="s">
        <v>738</v>
      </c>
      <c r="T180" s="416">
        <v>1</v>
      </c>
      <c r="U180" s="415">
        <v>1</v>
      </c>
      <c r="V180" s="416">
        <v>1</v>
      </c>
      <c r="W180" s="415">
        <v>1</v>
      </c>
      <c r="X180" s="416">
        <v>1</v>
      </c>
      <c r="Y180" s="415">
        <v>1</v>
      </c>
      <c r="Z180" s="416">
        <v>1</v>
      </c>
      <c r="AA180" s="415">
        <v>1</v>
      </c>
      <c r="AB180" s="416">
        <v>1</v>
      </c>
      <c r="AC180" s="417">
        <v>1</v>
      </c>
      <c r="AE180" s="1196"/>
      <c r="AF180" s="411" t="s">
        <v>745</v>
      </c>
      <c r="AG180" s="631" t="s">
        <v>746</v>
      </c>
      <c r="AH180" s="632" t="s">
        <v>738</v>
      </c>
      <c r="AI180" s="416">
        <v>1</v>
      </c>
      <c r="AJ180" s="415">
        <v>1</v>
      </c>
      <c r="AK180" s="416">
        <v>1</v>
      </c>
      <c r="AL180" s="415">
        <v>1</v>
      </c>
      <c r="AM180" s="416">
        <v>1</v>
      </c>
      <c r="AN180" s="415">
        <v>1</v>
      </c>
      <c r="AO180" s="416">
        <v>1</v>
      </c>
      <c r="AP180" s="415">
        <v>1</v>
      </c>
      <c r="AQ180" s="416">
        <v>1</v>
      </c>
      <c r="AR180" s="417">
        <v>1</v>
      </c>
    </row>
    <row r="181" spans="1:44" outlineLevel="1">
      <c r="B181" s="500" t="s">
        <v>664</v>
      </c>
      <c r="C181" s="506">
        <v>0.3</v>
      </c>
      <c r="D181" s="506">
        <v>0.3</v>
      </c>
      <c r="E181" s="506">
        <v>0.3</v>
      </c>
      <c r="F181" s="506">
        <v>0.3</v>
      </c>
      <c r="G181" s="509"/>
      <c r="H181" s="509"/>
      <c r="I181" s="509"/>
      <c r="J181" s="509"/>
      <c r="K181" s="510"/>
      <c r="L181" s="504">
        <v>3</v>
      </c>
      <c r="M181" s="363"/>
      <c r="N181" s="363"/>
    </row>
    <row r="182" spans="1:44" outlineLevel="1">
      <c r="B182" s="500" t="s">
        <v>666</v>
      </c>
      <c r="C182" s="506">
        <v>0.5</v>
      </c>
      <c r="D182" s="506">
        <v>0.5</v>
      </c>
      <c r="E182" s="506">
        <v>0.5</v>
      </c>
      <c r="F182" s="506">
        <v>0.5</v>
      </c>
      <c r="G182" s="509"/>
      <c r="H182" s="509"/>
      <c r="I182" s="509"/>
      <c r="J182" s="509"/>
      <c r="K182" s="510"/>
      <c r="L182" s="504">
        <v>3</v>
      </c>
      <c r="M182" s="420"/>
      <c r="N182" s="363"/>
    </row>
    <row r="183" spans="1:44" outlineLevel="1">
      <c r="B183" s="421" t="s">
        <v>12</v>
      </c>
      <c r="C183" s="399"/>
      <c r="D183" s="399"/>
      <c r="E183" s="399"/>
      <c r="F183" s="399"/>
      <c r="G183" s="422"/>
      <c r="H183" s="422"/>
      <c r="I183" s="422"/>
      <c r="J183" s="422"/>
      <c r="K183" s="423"/>
      <c r="L183" s="424"/>
      <c r="M183" s="420"/>
      <c r="N183" s="420"/>
    </row>
    <row r="184" spans="1:44" outlineLevel="1">
      <c r="B184" s="383" t="s">
        <v>843</v>
      </c>
      <c r="C184" s="397">
        <v>11</v>
      </c>
      <c r="D184" s="397">
        <v>11</v>
      </c>
      <c r="E184" s="397">
        <v>11</v>
      </c>
      <c r="F184" s="397">
        <v>11</v>
      </c>
      <c r="G184" s="422"/>
      <c r="H184" s="425"/>
      <c r="I184" s="425"/>
      <c r="J184" s="425"/>
      <c r="K184" s="426" t="s">
        <v>76</v>
      </c>
      <c r="L184" s="427" t="s">
        <v>748</v>
      </c>
      <c r="M184" s="428"/>
      <c r="N184" s="428"/>
    </row>
    <row r="185" spans="1:44" outlineLevel="1">
      <c r="B185" s="383" t="s">
        <v>749</v>
      </c>
      <c r="C185" s="397">
        <v>10</v>
      </c>
      <c r="D185" s="397">
        <v>10</v>
      </c>
      <c r="E185" s="397">
        <v>10</v>
      </c>
      <c r="F185" s="397">
        <v>10</v>
      </c>
      <c r="G185" s="425"/>
      <c r="H185" s="425"/>
      <c r="I185" s="425"/>
      <c r="J185" s="425"/>
      <c r="K185" s="423"/>
      <c r="L185" s="427">
        <v>9</v>
      </c>
      <c r="M185" s="428"/>
      <c r="N185" s="428"/>
    </row>
    <row r="186" spans="1:44" outlineLevel="1">
      <c r="B186" s="383" t="s">
        <v>844</v>
      </c>
      <c r="C186" s="397">
        <v>63</v>
      </c>
      <c r="D186" s="397">
        <v>49</v>
      </c>
      <c r="E186" s="397">
        <v>46</v>
      </c>
      <c r="F186" s="397">
        <v>41</v>
      </c>
      <c r="G186" s="425"/>
      <c r="H186" s="425"/>
      <c r="I186" s="425"/>
      <c r="J186" s="425"/>
      <c r="K186" s="423"/>
      <c r="L186" s="427" t="s">
        <v>748</v>
      </c>
      <c r="M186" s="428"/>
      <c r="N186" s="428"/>
    </row>
    <row r="187" spans="1:44" outlineLevel="1">
      <c r="B187" s="383" t="s">
        <v>366</v>
      </c>
      <c r="C187" s="397">
        <v>11</v>
      </c>
      <c r="D187" s="397">
        <v>8</v>
      </c>
      <c r="E187" s="397">
        <v>6</v>
      </c>
      <c r="F187" s="397">
        <v>4</v>
      </c>
      <c r="G187" s="425"/>
      <c r="H187" s="425"/>
      <c r="I187" s="425"/>
      <c r="J187" s="425"/>
      <c r="K187" s="423"/>
      <c r="L187" s="427" t="s">
        <v>748</v>
      </c>
      <c r="M187" s="428"/>
      <c r="N187" s="428"/>
    </row>
    <row r="188" spans="1:44" ht="16" outlineLevel="1" thickBot="1">
      <c r="B188" s="429" t="s">
        <v>367</v>
      </c>
      <c r="C188" s="430">
        <v>3</v>
      </c>
      <c r="D188" s="430">
        <v>3</v>
      </c>
      <c r="E188" s="430">
        <v>1</v>
      </c>
      <c r="F188" s="430">
        <v>1</v>
      </c>
      <c r="G188" s="425"/>
      <c r="H188" s="425"/>
      <c r="I188" s="425"/>
      <c r="J188" s="425"/>
      <c r="K188" s="423"/>
      <c r="L188" s="427" t="s">
        <v>748</v>
      </c>
      <c r="M188" s="428"/>
      <c r="N188" s="428"/>
    </row>
    <row r="189" spans="1:44" ht="16" outlineLevel="1" thickBot="1">
      <c r="B189" s="431" t="s">
        <v>674</v>
      </c>
      <c r="C189" s="432"/>
      <c r="D189" s="403"/>
      <c r="E189" s="403"/>
      <c r="F189" s="433"/>
      <c r="G189" s="434"/>
      <c r="H189" s="406"/>
      <c r="I189" s="406"/>
      <c r="J189" s="406"/>
      <c r="K189" s="407"/>
      <c r="L189" s="408"/>
      <c r="M189" s="428"/>
      <c r="N189" s="428"/>
    </row>
    <row r="190" spans="1:44" outlineLevel="1">
      <c r="A190" s="435"/>
      <c r="B190" s="436" t="s">
        <v>910</v>
      </c>
      <c r="C190" s="551">
        <f>0.618181818181818</f>
        <v>0.61818181818181805</v>
      </c>
      <c r="D190" s="647">
        <f>0.590909090909091</f>
        <v>0.59090909090909105</v>
      </c>
      <c r="E190" s="647">
        <f>(F190+D190)/2</f>
        <v>0.56363636363636349</v>
      </c>
      <c r="F190" s="648">
        <f>0.536363636363636</f>
        <v>0.53636363636363604</v>
      </c>
      <c r="G190" s="425"/>
      <c r="H190" s="425"/>
      <c r="I190" s="425"/>
      <c r="J190" s="425"/>
      <c r="K190" s="426" t="s">
        <v>752</v>
      </c>
      <c r="L190" s="440" t="s">
        <v>753</v>
      </c>
      <c r="M190" s="420"/>
      <c r="N190" s="420"/>
    </row>
    <row r="191" spans="1:44" outlineLevel="1">
      <c r="B191" s="441" t="s">
        <v>839</v>
      </c>
      <c r="C191" s="442">
        <v>60</v>
      </c>
      <c r="D191" s="442">
        <v>60</v>
      </c>
      <c r="E191" s="442">
        <v>60</v>
      </c>
      <c r="F191" s="442">
        <v>60</v>
      </c>
      <c r="G191" s="425"/>
      <c r="H191" s="425"/>
      <c r="I191" s="425"/>
      <c r="J191" s="425"/>
      <c r="K191" s="444"/>
      <c r="L191" s="373">
        <v>3</v>
      </c>
      <c r="M191" s="71"/>
      <c r="N191" s="420"/>
    </row>
    <row r="192" spans="1:44" outlineLevel="1">
      <c r="B192" s="441" t="s">
        <v>840</v>
      </c>
      <c r="C192" s="442">
        <f>100-C191</f>
        <v>40</v>
      </c>
      <c r="D192" s="442">
        <f>100-D191</f>
        <v>40</v>
      </c>
      <c r="E192" s="442">
        <f>100-E191</f>
        <v>40</v>
      </c>
      <c r="F192" s="442">
        <f>100-F191</f>
        <v>40</v>
      </c>
      <c r="G192" s="425"/>
      <c r="H192" s="425"/>
      <c r="I192" s="425"/>
      <c r="J192" s="425"/>
      <c r="K192" s="444"/>
      <c r="L192" s="373">
        <v>3</v>
      </c>
      <c r="M192" s="420"/>
      <c r="N192" s="420"/>
    </row>
    <row r="193" spans="2:30" outlineLevel="1">
      <c r="B193" s="383" t="s">
        <v>841</v>
      </c>
      <c r="C193" s="602">
        <v>33700</v>
      </c>
      <c r="D193" s="603">
        <v>35900</v>
      </c>
      <c r="E193" s="603">
        <f>(F193+D193)/2</f>
        <v>34800</v>
      </c>
      <c r="F193" s="604">
        <v>33700</v>
      </c>
      <c r="G193" s="425"/>
      <c r="H193" s="425"/>
      <c r="I193" s="425"/>
      <c r="J193" s="425"/>
      <c r="K193" s="448" t="s">
        <v>51</v>
      </c>
      <c r="L193" s="373">
        <v>3</v>
      </c>
      <c r="M193" s="420"/>
      <c r="N193" s="420"/>
    </row>
    <row r="194" spans="2:30" outlineLevel="1">
      <c r="B194" s="383" t="s">
        <v>679</v>
      </c>
      <c r="C194" s="449">
        <f>C195+C196</f>
        <v>2.7789999999999999</v>
      </c>
      <c r="D194" s="449">
        <f t="shared" ref="D194:F194" si="10">D195+D196</f>
        <v>2.8250000000000002</v>
      </c>
      <c r="E194" s="449">
        <f t="shared" si="10"/>
        <v>2.8479999999999999</v>
      </c>
      <c r="F194" s="449">
        <f t="shared" si="10"/>
        <v>2.8479999999999999</v>
      </c>
      <c r="G194" s="425"/>
      <c r="H194" s="425"/>
      <c r="I194" s="425"/>
      <c r="J194" s="425"/>
      <c r="K194" s="448"/>
      <c r="L194" s="373">
        <v>3</v>
      </c>
      <c r="M194" s="450"/>
      <c r="N194" s="361"/>
      <c r="P194" s="1142">
        <f>C194</f>
        <v>2.7789999999999999</v>
      </c>
      <c r="Q194" s="1143"/>
      <c r="R194" s="1143"/>
      <c r="S194" s="1143"/>
      <c r="T194" s="1143"/>
      <c r="U194" s="1144"/>
    </row>
    <row r="195" spans="2:30" ht="16" outlineLevel="1" thickBot="1">
      <c r="B195" s="500" t="s">
        <v>758</v>
      </c>
      <c r="C195" s="514">
        <f>C174/100*73</f>
        <v>1.679</v>
      </c>
      <c r="D195" s="514">
        <f>D174/100*75</f>
        <v>1.7249999999999999</v>
      </c>
      <c r="E195" s="514">
        <f>E174/100*76</f>
        <v>1.748</v>
      </c>
      <c r="F195" s="514">
        <f>F174/100*76</f>
        <v>1.748</v>
      </c>
      <c r="G195" s="515"/>
      <c r="H195" s="515"/>
      <c r="I195" s="515"/>
      <c r="J195" s="515"/>
      <c r="K195" s="503" t="s">
        <v>52</v>
      </c>
      <c r="L195" s="504">
        <v>3</v>
      </c>
      <c r="M195" s="450"/>
      <c r="N195" s="361"/>
      <c r="P195" s="1134">
        <f>C195</f>
        <v>1.679</v>
      </c>
      <c r="Q195" s="1135"/>
      <c r="R195" s="1135"/>
      <c r="S195" s="1135"/>
      <c r="T195" s="1135"/>
      <c r="U195" s="1136"/>
    </row>
    <row r="196" spans="2:30" outlineLevel="1">
      <c r="B196" s="500" t="s">
        <v>759</v>
      </c>
      <c r="C196" s="516">
        <v>1.1000000000000001</v>
      </c>
      <c r="D196" s="516">
        <v>1.1000000000000001</v>
      </c>
      <c r="E196" s="516">
        <v>1.1000000000000001</v>
      </c>
      <c r="F196" s="516">
        <v>1.1000000000000001</v>
      </c>
      <c r="G196" s="515"/>
      <c r="H196" s="515"/>
      <c r="I196" s="515"/>
      <c r="J196" s="515"/>
      <c r="K196" s="517"/>
      <c r="L196" s="504">
        <v>3</v>
      </c>
      <c r="M196" s="363"/>
      <c r="N196" s="363"/>
      <c r="P196" s="53" t="s">
        <v>357</v>
      </c>
    </row>
    <row r="197" spans="2:30" ht="30" outlineLevel="1">
      <c r="B197" s="441"/>
      <c r="C197" s="681"/>
      <c r="D197" s="681"/>
      <c r="E197" s="681"/>
      <c r="F197" s="681"/>
      <c r="G197" s="425"/>
      <c r="H197" s="425"/>
      <c r="I197" s="425"/>
      <c r="J197" s="425"/>
      <c r="K197" s="444"/>
      <c r="L197" s="424"/>
      <c r="M197" s="367"/>
      <c r="N197" s="367"/>
      <c r="P197" s="46" t="s">
        <v>335</v>
      </c>
      <c r="Q197" s="46" t="s">
        <v>336</v>
      </c>
      <c r="R197" s="47" t="s">
        <v>337</v>
      </c>
      <c r="S197" s="47" t="s">
        <v>338</v>
      </c>
      <c r="T197" s="47" t="s">
        <v>339</v>
      </c>
      <c r="U197" s="48" t="s">
        <v>340</v>
      </c>
      <c r="V197" s="49" t="s">
        <v>341</v>
      </c>
      <c r="W197" s="49" t="s">
        <v>342</v>
      </c>
      <c r="X197" s="49" t="s">
        <v>343</v>
      </c>
      <c r="Y197" s="49" t="s">
        <v>344</v>
      </c>
      <c r="Z197" s="49" t="s">
        <v>345</v>
      </c>
      <c r="AA197" s="49" t="s">
        <v>346</v>
      </c>
      <c r="AB197" s="49" t="s">
        <v>347</v>
      </c>
      <c r="AC197" s="49" t="s">
        <v>348</v>
      </c>
      <c r="AD197" s="49" t="s">
        <v>349</v>
      </c>
    </row>
    <row r="198" spans="2:30" ht="27" outlineLevel="1" thickBot="1">
      <c r="B198" s="519"/>
      <c r="C198" s="442"/>
      <c r="D198" s="520"/>
      <c r="E198" s="520"/>
      <c r="F198" s="521"/>
      <c r="G198" s="425"/>
      <c r="H198" s="425"/>
      <c r="I198" s="425"/>
      <c r="J198" s="425"/>
      <c r="K198" s="448"/>
      <c r="L198" s="424"/>
      <c r="M198" s="363"/>
      <c r="N198" s="363"/>
      <c r="P198" s="50"/>
      <c r="Q198" s="50"/>
      <c r="R198" s="51"/>
      <c r="S198" s="51"/>
      <c r="T198" s="51"/>
      <c r="U198" s="51" t="s">
        <v>760</v>
      </c>
      <c r="V198" s="50" t="s">
        <v>761</v>
      </c>
      <c r="W198" s="50"/>
      <c r="X198" s="50"/>
      <c r="Y198" s="50"/>
      <c r="Z198" s="50"/>
      <c r="AA198" s="50"/>
      <c r="AB198" s="50"/>
      <c r="AC198" s="50"/>
      <c r="AD198" s="50"/>
    </row>
    <row r="199" spans="2:30" ht="33" outlineLevel="1" thickBot="1">
      <c r="B199" s="401" t="s">
        <v>682</v>
      </c>
      <c r="C199" s="402"/>
      <c r="D199" s="403"/>
      <c r="E199" s="404"/>
      <c r="F199" s="405"/>
      <c r="G199" s="406"/>
      <c r="H199" s="406"/>
      <c r="I199" s="406"/>
      <c r="J199" s="406"/>
      <c r="K199" s="459"/>
      <c r="L199" s="460"/>
      <c r="M199" s="363"/>
      <c r="N199" s="363"/>
      <c r="O199" s="461" t="s">
        <v>732</v>
      </c>
      <c r="P199" s="56"/>
      <c r="Q199" s="56"/>
      <c r="R199" s="57"/>
      <c r="S199" s="57"/>
      <c r="T199" s="57"/>
      <c r="U199" s="56" t="s">
        <v>350</v>
      </c>
      <c r="V199" s="56" t="s">
        <v>326</v>
      </c>
      <c r="W199" s="56" t="s">
        <v>327</v>
      </c>
      <c r="X199" s="56" t="s">
        <v>351</v>
      </c>
      <c r="Y199" s="56" t="s">
        <v>351</v>
      </c>
      <c r="Z199" s="56" t="s">
        <v>352</v>
      </c>
      <c r="AA199" s="56" t="s">
        <v>352</v>
      </c>
      <c r="AB199" s="56" t="s">
        <v>352</v>
      </c>
      <c r="AC199" s="56" t="s">
        <v>352</v>
      </c>
      <c r="AD199" s="56" t="s">
        <v>352</v>
      </c>
    </row>
    <row r="200" spans="2:30" outlineLevel="1">
      <c r="B200" s="522" t="s">
        <v>762</v>
      </c>
      <c r="C200" s="670">
        <v>3.5000000000000003E-2</v>
      </c>
      <c r="D200" s="670">
        <v>0.03</v>
      </c>
      <c r="E200" s="670">
        <v>0.03</v>
      </c>
      <c r="F200" s="670">
        <v>0.03</v>
      </c>
      <c r="G200" s="524"/>
      <c r="H200" s="524"/>
      <c r="I200" s="524"/>
      <c r="J200" s="524"/>
      <c r="K200" s="524" t="s">
        <v>55</v>
      </c>
      <c r="L200" s="525"/>
      <c r="M200" s="363"/>
      <c r="N200" s="363"/>
      <c r="O200" s="465">
        <f>C173</f>
        <v>90</v>
      </c>
      <c r="P200" s="466">
        <f>C169</f>
        <v>2020</v>
      </c>
      <c r="Q200" s="58">
        <f>P200</f>
        <v>2020</v>
      </c>
      <c r="R200" s="466">
        <f>O200/100</f>
        <v>0.9</v>
      </c>
      <c r="S200" s="58"/>
      <c r="T200" s="466">
        <f>C177</f>
        <v>25</v>
      </c>
      <c r="U200" s="467">
        <f>C207</f>
        <v>4605.4545454545441</v>
      </c>
      <c r="V200" s="467">
        <f>C209</f>
        <v>251.065</v>
      </c>
      <c r="W200" s="467">
        <f>C210</f>
        <v>5.7509861111111107</v>
      </c>
      <c r="X200" s="58"/>
      <c r="Y200" s="58"/>
      <c r="Z200" s="466">
        <f>C184</f>
        <v>11</v>
      </c>
      <c r="AA200" s="468">
        <f>C186</f>
        <v>63</v>
      </c>
      <c r="AB200" s="468">
        <f>C187</f>
        <v>11</v>
      </c>
      <c r="AC200" s="468">
        <f>C188</f>
        <v>3</v>
      </c>
      <c r="AD200" s="468">
        <f>C185</f>
        <v>10</v>
      </c>
    </row>
    <row r="201" spans="2:30" outlineLevel="1">
      <c r="B201" s="500" t="s">
        <v>763</v>
      </c>
      <c r="C201" s="526" t="s">
        <v>36</v>
      </c>
      <c r="D201" s="527" t="s">
        <v>36</v>
      </c>
      <c r="E201" s="527" t="s">
        <v>36</v>
      </c>
      <c r="F201" s="528" t="s">
        <v>36</v>
      </c>
      <c r="G201" s="528"/>
      <c r="H201" s="528"/>
      <c r="I201" s="528"/>
      <c r="J201" s="528"/>
      <c r="K201" s="529" t="s">
        <v>49</v>
      </c>
      <c r="L201" s="525"/>
      <c r="M201" s="363"/>
      <c r="N201" s="363"/>
      <c r="O201" s="465">
        <f>D173</f>
        <v>90</v>
      </c>
      <c r="P201" s="466">
        <f>D169</f>
        <v>2030</v>
      </c>
      <c r="Q201" s="58"/>
      <c r="R201" s="466">
        <f>O201/100</f>
        <v>0.9</v>
      </c>
      <c r="S201" s="58"/>
      <c r="T201" s="466">
        <f>D177</f>
        <v>25</v>
      </c>
      <c r="U201" s="467">
        <f>D207</f>
        <v>4402.2727272727279</v>
      </c>
      <c r="V201" s="467">
        <f>D209</f>
        <v>267.45499999999998</v>
      </c>
      <c r="W201" s="467">
        <f>D210</f>
        <v>5.8461805555555557</v>
      </c>
      <c r="X201" s="58"/>
      <c r="Y201" s="58"/>
      <c r="Z201" s="466">
        <f>D184</f>
        <v>11</v>
      </c>
      <c r="AA201" s="468">
        <f>D186</f>
        <v>49</v>
      </c>
      <c r="AB201" s="468">
        <f>D187</f>
        <v>8</v>
      </c>
      <c r="AC201" s="468">
        <f>D188</f>
        <v>3</v>
      </c>
      <c r="AD201" s="468">
        <f>D185</f>
        <v>10</v>
      </c>
    </row>
    <row r="202" spans="2:30" outlineLevel="1">
      <c r="B202" s="500" t="s">
        <v>764</v>
      </c>
      <c r="C202" s="526" t="s">
        <v>36</v>
      </c>
      <c r="D202" s="527" t="s">
        <v>36</v>
      </c>
      <c r="E202" s="527" t="s">
        <v>36</v>
      </c>
      <c r="F202" s="528" t="s">
        <v>36</v>
      </c>
      <c r="G202" s="515"/>
      <c r="H202" s="515"/>
      <c r="I202" s="515"/>
      <c r="J202" s="515"/>
      <c r="K202" s="515"/>
      <c r="L202" s="504"/>
      <c r="M202" s="363"/>
      <c r="N202" s="363"/>
      <c r="O202" s="465">
        <f>E173</f>
        <v>90</v>
      </c>
      <c r="P202" s="466">
        <f>E169</f>
        <v>2040</v>
      </c>
      <c r="Q202" s="58"/>
      <c r="R202" s="466">
        <f>O202/100</f>
        <v>0.9</v>
      </c>
      <c r="S202" s="58"/>
      <c r="T202" s="466">
        <f>E177</f>
        <v>25</v>
      </c>
      <c r="U202" s="467">
        <f>E207</f>
        <v>4199.0909090909081</v>
      </c>
      <c r="V202" s="467">
        <f>E209</f>
        <v>259.26</v>
      </c>
      <c r="W202" s="467">
        <f>E210</f>
        <v>5.8937777777777782</v>
      </c>
      <c r="X202" s="58"/>
      <c r="Y202" s="58"/>
      <c r="Z202" s="466">
        <f>E184</f>
        <v>11</v>
      </c>
      <c r="AA202" s="468">
        <f>E186</f>
        <v>46</v>
      </c>
      <c r="AB202" s="468">
        <f>E187</f>
        <v>6</v>
      </c>
      <c r="AC202" s="468">
        <f>E188</f>
        <v>1</v>
      </c>
      <c r="AD202" s="468">
        <f>E185</f>
        <v>10</v>
      </c>
    </row>
    <row r="203" spans="2:30" outlineLevel="1">
      <c r="B203" s="500" t="s">
        <v>765</v>
      </c>
      <c r="C203" s="685">
        <v>90</v>
      </c>
      <c r="D203" s="530">
        <v>90</v>
      </c>
      <c r="E203" s="530">
        <v>90</v>
      </c>
      <c r="F203" s="530">
        <v>90</v>
      </c>
      <c r="G203" s="531"/>
      <c r="H203" s="531"/>
      <c r="I203" s="531"/>
      <c r="J203" s="531"/>
      <c r="K203" s="531"/>
      <c r="L203" s="504">
        <v>3</v>
      </c>
      <c r="M203" s="363"/>
      <c r="N203" s="363"/>
      <c r="O203" s="465">
        <f>F173</f>
        <v>91</v>
      </c>
      <c r="P203" s="466">
        <f>F169</f>
        <v>2050</v>
      </c>
      <c r="Q203" s="58"/>
      <c r="R203" s="466">
        <f>O203/100</f>
        <v>0.91</v>
      </c>
      <c r="S203" s="58"/>
      <c r="T203" s="466">
        <f>F177</f>
        <v>25</v>
      </c>
      <c r="U203" s="467">
        <f>F207</f>
        <v>3995.9090909090883</v>
      </c>
      <c r="V203" s="467">
        <f>F209</f>
        <v>251.065</v>
      </c>
      <c r="W203" s="467">
        <f>F210</f>
        <v>5.8937777777777782</v>
      </c>
      <c r="X203" s="58"/>
      <c r="Y203" s="58"/>
      <c r="Z203" s="466">
        <f>F184</f>
        <v>11</v>
      </c>
      <c r="AA203" s="468">
        <f>F186</f>
        <v>41</v>
      </c>
      <c r="AB203" s="468">
        <f>F187</f>
        <v>4</v>
      </c>
      <c r="AC203" s="468">
        <f>F188</f>
        <v>1</v>
      </c>
      <c r="AD203" s="468">
        <f>F185</f>
        <v>10</v>
      </c>
    </row>
    <row r="204" spans="2:30" outlineLevel="1">
      <c r="B204" s="532" t="s">
        <v>766</v>
      </c>
      <c r="C204" s="526"/>
      <c r="D204" s="527"/>
      <c r="E204" s="527"/>
      <c r="F204" s="528"/>
      <c r="G204" s="531"/>
      <c r="H204" s="531"/>
      <c r="I204" s="531"/>
      <c r="J204" s="531"/>
      <c r="K204" s="531"/>
      <c r="L204" s="533"/>
      <c r="M204" s="367"/>
      <c r="N204" s="367"/>
    </row>
    <row r="205" spans="2:30" outlineLevel="1">
      <c r="B205" s="532" t="s">
        <v>767</v>
      </c>
      <c r="C205" s="526"/>
      <c r="D205" s="527"/>
      <c r="E205" s="527"/>
      <c r="F205" s="528"/>
      <c r="G205" s="531"/>
      <c r="H205" s="531"/>
      <c r="I205" s="531"/>
      <c r="J205" s="531"/>
      <c r="K205" s="531"/>
      <c r="L205" s="533"/>
      <c r="M205" s="363"/>
      <c r="N205" s="363"/>
    </row>
    <row r="206" spans="2:30" ht="16" outlineLevel="1" thickBot="1">
      <c r="B206" s="534" t="s">
        <v>768</v>
      </c>
      <c r="C206" s="535"/>
      <c r="D206" s="536"/>
      <c r="E206" s="536"/>
      <c r="F206" s="537"/>
      <c r="G206" s="538"/>
      <c r="H206" s="538"/>
      <c r="I206" s="538"/>
      <c r="J206" s="538"/>
      <c r="K206" s="538"/>
      <c r="L206" s="539"/>
      <c r="M206" s="363"/>
      <c r="N206" s="363"/>
    </row>
    <row r="207" spans="2:30" ht="64" outlineLevel="1">
      <c r="B207" s="461" t="s">
        <v>769</v>
      </c>
      <c r="C207" s="483">
        <f>C190*$F$4*1000</f>
        <v>4605.4545454545441</v>
      </c>
      <c r="D207" s="483">
        <f t="shared" ref="D207:F207" si="11">D190*$F$4*1000</f>
        <v>4402.2727272727279</v>
      </c>
      <c r="E207" s="483">
        <f t="shared" si="11"/>
        <v>4199.0909090909081</v>
      </c>
      <c r="F207" s="483">
        <f t="shared" si="11"/>
        <v>3995.9090909090883</v>
      </c>
      <c r="G207" s="483"/>
      <c r="H207" s="484"/>
      <c r="I207" s="420" t="s">
        <v>332</v>
      </c>
      <c r="J207" s="420"/>
      <c r="K207" s="484"/>
      <c r="L207" s="484"/>
      <c r="N207" s="420"/>
    </row>
    <row r="208" spans="2:30" outlineLevel="1">
      <c r="B208" s="485" t="s">
        <v>770</v>
      </c>
      <c r="C208" s="486">
        <f>C207*$I208</f>
        <v>2302727.272727272</v>
      </c>
      <c r="D208" s="486">
        <f>D207*$I208</f>
        <v>2201136.3636363638</v>
      </c>
      <c r="E208" s="486">
        <f>E207*$I208</f>
        <v>2099545.4545454541</v>
      </c>
      <c r="F208" s="486">
        <f>F207*$I208</f>
        <v>1997954.545454544</v>
      </c>
      <c r="G208" s="486"/>
      <c r="H208" s="484"/>
      <c r="I208" s="71">
        <v>500</v>
      </c>
      <c r="J208" s="420" t="s">
        <v>330</v>
      </c>
      <c r="K208" s="484"/>
      <c r="L208" s="484"/>
      <c r="N208" s="420"/>
    </row>
    <row r="209" spans="1:16" ht="48" outlineLevel="1">
      <c r="B209" s="461" t="s">
        <v>845</v>
      </c>
      <c r="C209" s="359">
        <f>C193*$F$4/1000</f>
        <v>251.065</v>
      </c>
      <c r="D209" s="359">
        <f t="shared" ref="D209:F209" si="12">D193*$F$4/1000</f>
        <v>267.45499999999998</v>
      </c>
      <c r="E209" s="359">
        <f t="shared" si="12"/>
        <v>259.26</v>
      </c>
      <c r="F209" s="359">
        <f t="shared" si="12"/>
        <v>251.065</v>
      </c>
      <c r="G209" s="359"/>
      <c r="I209" s="420" t="s">
        <v>333</v>
      </c>
      <c r="J209" s="420"/>
      <c r="N209" s="420"/>
    </row>
    <row r="210" spans="1:16" ht="48" outlineLevel="1">
      <c r="B210" s="461" t="s">
        <v>846</v>
      </c>
      <c r="C210" s="487">
        <f>C194*$F$4/3.6</f>
        <v>5.7509861111111107</v>
      </c>
      <c r="D210" s="487">
        <f t="shared" ref="D210:F210" si="13">D194*$F$4/3.6</f>
        <v>5.8461805555555557</v>
      </c>
      <c r="E210" s="487">
        <f t="shared" si="13"/>
        <v>5.8937777777777782</v>
      </c>
      <c r="F210" s="487">
        <f t="shared" si="13"/>
        <v>5.8937777777777782</v>
      </c>
      <c r="G210" s="359"/>
      <c r="M210" s="420"/>
      <c r="N210" s="420"/>
    </row>
    <row r="211" spans="1:16" outlineLevel="1"/>
    <row r="212" spans="1:16" outlineLevel="1">
      <c r="A212" s="488"/>
      <c r="B212" s="489"/>
      <c r="D212" s="490"/>
      <c r="E212" s="490"/>
      <c r="F212" s="490"/>
      <c r="G212" s="358"/>
      <c r="H212" s="358"/>
      <c r="I212" s="358"/>
      <c r="J212" s="358"/>
      <c r="K212" s="358"/>
      <c r="L212" s="358"/>
      <c r="N212" s="570"/>
      <c r="O212" s="489"/>
      <c r="P212" s="490"/>
    </row>
    <row r="213" spans="1:16" outlineLevel="1">
      <c r="A213" s="491"/>
      <c r="B213" s="492"/>
      <c r="D213" s="490"/>
      <c r="E213" s="490"/>
      <c r="F213" s="490"/>
      <c r="G213" s="358"/>
      <c r="H213" s="358"/>
      <c r="I213" s="358"/>
      <c r="J213" s="358"/>
      <c r="K213" s="358"/>
      <c r="L213" s="358"/>
      <c r="N213" s="570"/>
      <c r="O213" s="489"/>
      <c r="P213" s="490"/>
    </row>
    <row r="214" spans="1:16" outlineLevel="1">
      <c r="A214" s="491"/>
      <c r="B214" s="493"/>
      <c r="D214" s="490"/>
      <c r="E214" s="490"/>
      <c r="F214" s="490"/>
      <c r="G214" s="358"/>
      <c r="H214" s="358"/>
      <c r="I214" s="358"/>
      <c r="J214" s="358"/>
      <c r="K214" s="358"/>
      <c r="L214" s="358"/>
      <c r="N214" s="570"/>
      <c r="O214" s="489"/>
      <c r="P214" s="490"/>
    </row>
    <row r="215" spans="1:16" outlineLevel="1">
      <c r="A215" s="491"/>
      <c r="B215" s="488" t="s">
        <v>773</v>
      </c>
      <c r="C215" s="489"/>
      <c r="E215" s="358"/>
      <c r="F215" s="490"/>
      <c r="G215" s="358"/>
      <c r="H215" s="358"/>
      <c r="I215" s="358"/>
      <c r="J215" s="358"/>
      <c r="K215" s="358"/>
      <c r="L215" s="358"/>
      <c r="N215" s="570"/>
      <c r="O215" s="489"/>
      <c r="P215" s="490"/>
    </row>
    <row r="216" spans="1:16" outlineLevel="1">
      <c r="A216" s="491"/>
      <c r="B216" s="491">
        <v>1</v>
      </c>
      <c r="C216" s="492" t="s">
        <v>774</v>
      </c>
      <c r="E216" s="358"/>
      <c r="F216" s="490"/>
      <c r="G216" s="358"/>
      <c r="H216" s="358"/>
      <c r="I216" s="358"/>
      <c r="J216" s="358"/>
      <c r="K216" s="358"/>
      <c r="L216" s="358"/>
      <c r="N216" s="570"/>
      <c r="O216" s="489"/>
      <c r="P216" s="490"/>
    </row>
    <row r="217" spans="1:16" outlineLevel="1">
      <c r="A217" s="358"/>
      <c r="B217" s="491">
        <v>2</v>
      </c>
      <c r="C217" s="493" t="s">
        <v>775</v>
      </c>
      <c r="E217" s="358"/>
      <c r="F217" s="490"/>
      <c r="G217" s="358"/>
      <c r="H217" s="358"/>
      <c r="I217" s="358"/>
      <c r="J217" s="358"/>
      <c r="K217" s="358"/>
      <c r="L217" s="358"/>
    </row>
    <row r="218" spans="1:16" outlineLevel="1">
      <c r="A218" s="358"/>
      <c r="B218" s="491">
        <v>3</v>
      </c>
      <c r="C218" s="493" t="s">
        <v>776</v>
      </c>
      <c r="E218" s="358"/>
      <c r="F218" s="490"/>
      <c r="G218" s="358"/>
      <c r="H218" s="358"/>
      <c r="I218" s="358"/>
      <c r="J218" s="358"/>
      <c r="K218" s="358"/>
      <c r="L218" s="358"/>
    </row>
    <row r="219" spans="1:16" outlineLevel="1">
      <c r="A219" s="358"/>
      <c r="B219" s="491">
        <v>4</v>
      </c>
      <c r="C219" s="493" t="s">
        <v>777</v>
      </c>
      <c r="E219" s="358"/>
      <c r="F219" s="490"/>
      <c r="G219" s="358"/>
      <c r="H219" s="358"/>
      <c r="I219" s="358"/>
      <c r="J219" s="358"/>
      <c r="K219" s="358"/>
      <c r="L219" s="358"/>
    </row>
    <row r="220" spans="1:16" outlineLevel="1">
      <c r="A220" s="358"/>
      <c r="B220" s="358">
        <v>5</v>
      </c>
      <c r="C220" s="494" t="s">
        <v>778</v>
      </c>
      <c r="F220" s="490"/>
      <c r="G220" s="358"/>
      <c r="H220" s="358"/>
      <c r="I220" s="358"/>
      <c r="J220" s="358"/>
      <c r="K220" s="358"/>
      <c r="L220" s="358"/>
    </row>
    <row r="221" spans="1:16" outlineLevel="1">
      <c r="A221" s="358"/>
      <c r="B221" s="358">
        <v>6</v>
      </c>
      <c r="C221" s="492" t="s">
        <v>779</v>
      </c>
      <c r="F221" s="490"/>
      <c r="G221" s="358"/>
      <c r="H221" s="358"/>
      <c r="I221" s="358"/>
      <c r="J221" s="358"/>
      <c r="K221" s="358"/>
      <c r="L221" s="358"/>
    </row>
    <row r="222" spans="1:16" outlineLevel="1">
      <c r="A222" s="358"/>
      <c r="B222" s="358">
        <v>7</v>
      </c>
      <c r="C222" s="495" t="s">
        <v>774</v>
      </c>
      <c r="F222" s="490"/>
      <c r="G222" s="358"/>
      <c r="H222" s="358"/>
      <c r="I222" s="358"/>
      <c r="J222" s="358"/>
      <c r="K222" s="358"/>
      <c r="L222" s="358"/>
    </row>
    <row r="223" spans="1:16" outlineLevel="1">
      <c r="A223" s="488"/>
      <c r="B223" s="358">
        <v>8</v>
      </c>
      <c r="C223" s="495" t="s">
        <v>780</v>
      </c>
      <c r="F223" s="490"/>
      <c r="G223" s="358"/>
      <c r="H223" s="358"/>
      <c r="I223" s="358"/>
      <c r="J223" s="358"/>
      <c r="K223" s="358"/>
      <c r="L223" s="358"/>
    </row>
    <row r="224" spans="1:16" outlineLevel="1">
      <c r="A224" s="496"/>
      <c r="B224" s="358">
        <v>9</v>
      </c>
      <c r="C224" s="489" t="s">
        <v>781</v>
      </c>
      <c r="F224" s="490"/>
      <c r="G224" s="358"/>
      <c r="H224" s="358"/>
      <c r="I224" s="358"/>
      <c r="J224" s="358"/>
      <c r="K224" s="358"/>
      <c r="L224" s="358"/>
      <c r="N224" s="570"/>
      <c r="O224" s="489"/>
      <c r="P224" s="490"/>
    </row>
    <row r="225" spans="1:16" outlineLevel="1">
      <c r="A225" s="496"/>
      <c r="B225" s="358">
        <v>10</v>
      </c>
      <c r="C225" s="490" t="s">
        <v>782</v>
      </c>
      <c r="F225" s="490"/>
      <c r="G225" s="358"/>
      <c r="H225" s="358"/>
      <c r="I225" s="358"/>
      <c r="J225" s="358"/>
      <c r="K225" s="358"/>
      <c r="L225" s="358"/>
      <c r="N225" s="570"/>
      <c r="O225" s="489"/>
      <c r="P225" s="490"/>
    </row>
    <row r="226" spans="1:16" outlineLevel="1">
      <c r="A226" s="496"/>
      <c r="B226" s="488" t="s">
        <v>783</v>
      </c>
      <c r="C226" s="489"/>
      <c r="F226" s="490"/>
      <c r="G226" s="358"/>
      <c r="H226" s="358"/>
      <c r="I226" s="358"/>
      <c r="J226" s="358"/>
      <c r="K226" s="358"/>
      <c r="L226" s="358"/>
      <c r="N226" s="570"/>
      <c r="O226" s="489"/>
      <c r="P226" s="490"/>
    </row>
    <row r="227" spans="1:16" outlineLevel="1">
      <c r="A227" s="496"/>
      <c r="B227" s="496" t="s">
        <v>6</v>
      </c>
      <c r="C227" s="497" t="s">
        <v>975</v>
      </c>
      <c r="D227" s="489"/>
      <c r="F227" s="490"/>
      <c r="G227" s="358"/>
      <c r="H227" s="358"/>
      <c r="I227" s="358"/>
      <c r="J227" s="358"/>
      <c r="K227" s="358"/>
      <c r="L227" s="358"/>
      <c r="N227" s="570"/>
      <c r="O227" s="489"/>
      <c r="P227" s="490"/>
    </row>
    <row r="228" spans="1:16" outlineLevel="1">
      <c r="A228" s="496"/>
      <c r="B228" s="496" t="s">
        <v>59</v>
      </c>
      <c r="C228" s="489" t="s">
        <v>785</v>
      </c>
      <c r="D228" s="489"/>
      <c r="F228" s="490"/>
      <c r="G228" s="358"/>
      <c r="H228" s="358"/>
      <c r="I228" s="358"/>
      <c r="J228" s="358"/>
      <c r="K228" s="358"/>
      <c r="L228" s="358"/>
      <c r="N228" s="570"/>
      <c r="O228" s="489"/>
      <c r="P228" s="490"/>
    </row>
    <row r="229" spans="1:16" outlineLevel="1">
      <c r="A229" s="496"/>
      <c r="B229" s="496" t="s">
        <v>16</v>
      </c>
      <c r="C229" s="489" t="s">
        <v>976</v>
      </c>
      <c r="D229" s="489"/>
      <c r="F229" s="490"/>
      <c r="G229" s="358"/>
      <c r="H229" s="358"/>
      <c r="I229" s="358"/>
      <c r="J229" s="358"/>
      <c r="K229" s="358"/>
      <c r="L229" s="358"/>
      <c r="N229" s="570"/>
      <c r="O229" s="489"/>
      <c r="P229" s="490"/>
    </row>
    <row r="230" spans="1:16" outlineLevel="1">
      <c r="A230" s="496"/>
      <c r="B230" s="496" t="s">
        <v>20</v>
      </c>
      <c r="C230" s="489" t="s">
        <v>977</v>
      </c>
      <c r="D230" s="489"/>
      <c r="F230" s="490"/>
      <c r="G230" s="358"/>
      <c r="H230" s="358"/>
      <c r="I230" s="358"/>
      <c r="J230" s="358"/>
      <c r="K230" s="358"/>
      <c r="L230" s="358"/>
      <c r="N230" s="570"/>
      <c r="O230" s="489"/>
      <c r="P230" s="490"/>
    </row>
    <row r="231" spans="1:16" outlineLevel="1">
      <c r="A231" s="496"/>
      <c r="B231" s="496" t="s">
        <v>76</v>
      </c>
      <c r="C231" s="489" t="s">
        <v>786</v>
      </c>
      <c r="D231" s="489"/>
      <c r="F231" s="490"/>
      <c r="G231" s="358"/>
      <c r="H231" s="358"/>
      <c r="I231" s="358"/>
      <c r="J231" s="358"/>
      <c r="K231" s="358"/>
      <c r="L231" s="358"/>
      <c r="N231" s="570"/>
      <c r="O231" s="489"/>
      <c r="P231" s="490"/>
    </row>
    <row r="232" spans="1:16" outlineLevel="1">
      <c r="A232" s="496"/>
      <c r="B232" s="496" t="s">
        <v>25</v>
      </c>
      <c r="C232" s="489" t="s">
        <v>978</v>
      </c>
      <c r="D232" s="489"/>
      <c r="F232" s="490"/>
      <c r="G232" s="358"/>
      <c r="H232" s="358"/>
      <c r="I232" s="358"/>
      <c r="J232" s="358"/>
      <c r="K232" s="358"/>
      <c r="L232" s="358"/>
      <c r="N232" s="570"/>
      <c r="O232" s="489"/>
      <c r="P232" s="490"/>
    </row>
    <row r="233" spans="1:16" outlineLevel="1">
      <c r="A233" s="496"/>
      <c r="B233" s="496" t="s">
        <v>33</v>
      </c>
      <c r="C233" s="489" t="s">
        <v>979</v>
      </c>
      <c r="D233" s="489"/>
      <c r="F233" s="490"/>
      <c r="G233" s="358"/>
      <c r="H233" s="358"/>
      <c r="I233" s="358"/>
      <c r="J233" s="358"/>
      <c r="K233" s="358"/>
      <c r="L233" s="358"/>
      <c r="N233" s="570"/>
      <c r="O233" s="489"/>
      <c r="P233" s="490"/>
    </row>
    <row r="234" spans="1:16" outlineLevel="1">
      <c r="A234" s="496"/>
      <c r="B234" s="496" t="s">
        <v>51</v>
      </c>
      <c r="C234" s="489" t="s">
        <v>980</v>
      </c>
      <c r="D234" s="489"/>
      <c r="F234" s="490"/>
      <c r="G234" s="358"/>
      <c r="H234" s="358"/>
      <c r="I234" s="358"/>
      <c r="J234" s="358"/>
      <c r="K234" s="358"/>
      <c r="L234" s="358"/>
      <c r="N234" s="570"/>
      <c r="O234" s="489"/>
      <c r="P234" s="490"/>
    </row>
    <row r="235" spans="1:16" outlineLevel="1">
      <c r="A235" s="496"/>
      <c r="B235" s="496" t="s">
        <v>52</v>
      </c>
      <c r="C235" s="498" t="s">
        <v>788</v>
      </c>
      <c r="D235" s="489"/>
      <c r="F235" s="490"/>
      <c r="G235" s="358"/>
      <c r="H235" s="358"/>
      <c r="I235" s="358"/>
      <c r="J235" s="358"/>
      <c r="K235" s="358"/>
      <c r="L235" s="358"/>
      <c r="N235" s="570"/>
      <c r="O235" s="489"/>
      <c r="P235" s="490"/>
    </row>
    <row r="236" spans="1:16" outlineLevel="1">
      <c r="A236" s="496"/>
      <c r="B236" s="496" t="s">
        <v>55</v>
      </c>
      <c r="C236" s="489" t="s">
        <v>804</v>
      </c>
      <c r="D236" s="489"/>
      <c r="F236" s="490"/>
      <c r="G236" s="358"/>
      <c r="H236" s="358"/>
      <c r="I236" s="358"/>
      <c r="J236" s="358"/>
      <c r="K236" s="358"/>
      <c r="L236" s="358"/>
      <c r="N236" s="571"/>
      <c r="O236" s="489"/>
      <c r="P236" s="490"/>
    </row>
    <row r="237" spans="1:16" outlineLevel="1">
      <c r="A237" s="496"/>
      <c r="B237" s="496" t="s">
        <v>49</v>
      </c>
      <c r="C237" s="489" t="s">
        <v>789</v>
      </c>
      <c r="D237" s="489"/>
      <c r="F237" s="490"/>
      <c r="G237" s="358"/>
      <c r="H237" s="358"/>
      <c r="I237" s="358"/>
      <c r="J237" s="358"/>
      <c r="K237" s="358"/>
      <c r="L237" s="358"/>
      <c r="N237" s="572"/>
      <c r="O237" s="489"/>
      <c r="P237" s="490"/>
    </row>
    <row r="238" spans="1:16" outlineLevel="1">
      <c r="A238" s="496"/>
      <c r="F238" s="490"/>
      <c r="G238" s="358"/>
      <c r="H238" s="358"/>
      <c r="I238" s="358"/>
      <c r="J238" s="358"/>
      <c r="K238" s="358"/>
      <c r="L238" s="358"/>
      <c r="N238" s="573"/>
      <c r="O238" s="489"/>
      <c r="P238" s="490"/>
    </row>
    <row r="239" spans="1:16" outlineLevel="1">
      <c r="A239" s="496"/>
      <c r="B239" s="498"/>
      <c r="C239" s="490"/>
      <c r="D239" s="490"/>
      <c r="E239" s="490"/>
      <c r="F239" s="490"/>
      <c r="G239" s="358"/>
      <c r="H239" s="358"/>
      <c r="I239" s="358"/>
      <c r="J239" s="358"/>
      <c r="K239" s="358"/>
      <c r="L239" s="358"/>
      <c r="N239" s="573"/>
      <c r="O239" s="490"/>
      <c r="P239" s="490"/>
    </row>
    <row r="240" spans="1:16" outlineLevel="1">
      <c r="A240" s="496"/>
      <c r="B240" s="489"/>
      <c r="C240" s="490"/>
      <c r="D240" s="490"/>
      <c r="E240" s="490"/>
      <c r="F240" s="490"/>
      <c r="G240" s="358"/>
      <c r="H240" s="358"/>
      <c r="I240" s="358"/>
      <c r="J240" s="358"/>
      <c r="K240" s="358"/>
      <c r="L240" s="358"/>
      <c r="N240" s="489"/>
      <c r="O240" s="490"/>
      <c r="P240" s="490"/>
    </row>
    <row r="241" spans="1:44" outlineLevel="1">
      <c r="A241" s="496"/>
      <c r="B241" s="489"/>
      <c r="C241" s="490"/>
      <c r="D241" s="490"/>
      <c r="E241" s="490"/>
      <c r="F241" s="490"/>
      <c r="G241" s="358"/>
      <c r="H241" s="358"/>
      <c r="I241" s="358"/>
      <c r="J241" s="358"/>
      <c r="K241" s="358"/>
      <c r="L241" s="358"/>
      <c r="N241" s="490"/>
      <c r="O241" s="490"/>
      <c r="P241" s="490"/>
    </row>
    <row r="242" spans="1:44" outlineLevel="1"/>
    <row r="243" spans="1:44" outlineLevel="1"/>
    <row r="245" spans="1:44">
      <c r="A245" s="360" t="s">
        <v>995</v>
      </c>
      <c r="B245" s="1207"/>
      <c r="C245" s="1143"/>
      <c r="D245" s="1143"/>
      <c r="E245" s="1143"/>
      <c r="F245" s="1143"/>
      <c r="G245" s="1143"/>
      <c r="H245" s="1143"/>
      <c r="I245" s="1143"/>
      <c r="J245" s="1143"/>
      <c r="K245" s="1143"/>
      <c r="L245" s="1143"/>
      <c r="M245" s="1143"/>
      <c r="N245" s="361"/>
      <c r="P245" s="1143"/>
      <c r="Q245" s="1143"/>
      <c r="R245" s="1143"/>
      <c r="S245" s="1143"/>
      <c r="T245" s="1143"/>
      <c r="U245" s="1143"/>
    </row>
    <row r="246" spans="1:44" ht="20.5" customHeight="1" outlineLevel="1" thickBot="1">
      <c r="B246" s="1207"/>
      <c r="C246" s="1143"/>
      <c r="D246" s="1143"/>
      <c r="E246" s="1143"/>
      <c r="F246" s="1143"/>
      <c r="G246" s="1143"/>
      <c r="H246" s="1143"/>
      <c r="I246" s="1143"/>
      <c r="J246" s="1143"/>
      <c r="K246" s="1143"/>
      <c r="L246" s="1143"/>
      <c r="M246" s="1143"/>
      <c r="N246" s="361"/>
      <c r="P246" s="692">
        <v>1</v>
      </c>
      <c r="Q246" s="692">
        <v>2</v>
      </c>
      <c r="R246" s="692">
        <v>3</v>
      </c>
      <c r="S246" s="692">
        <v>4</v>
      </c>
      <c r="T246" s="692">
        <v>5</v>
      </c>
      <c r="U246" s="692">
        <v>6</v>
      </c>
      <c r="V246" s="692">
        <v>7</v>
      </c>
      <c r="W246" s="692">
        <v>8</v>
      </c>
      <c r="X246" s="692">
        <v>9</v>
      </c>
      <c r="Y246" s="692">
        <v>10</v>
      </c>
      <c r="Z246" s="692">
        <v>11</v>
      </c>
      <c r="AA246" s="692">
        <v>12</v>
      </c>
      <c r="AB246" s="692">
        <v>13</v>
      </c>
      <c r="AC246" s="692">
        <v>14</v>
      </c>
    </row>
    <row r="247" spans="1:44" ht="15" customHeight="1" outlineLevel="1" thickBot="1">
      <c r="B247" s="362" t="s">
        <v>0</v>
      </c>
      <c r="C247" s="1204" t="s">
        <v>991</v>
      </c>
      <c r="D247" s="1205"/>
      <c r="E247" s="1205"/>
      <c r="F247" s="1205"/>
      <c r="G247" s="1205"/>
      <c r="H247" s="1205"/>
      <c r="I247" s="1205"/>
      <c r="J247" s="1205"/>
      <c r="K247" s="1205"/>
      <c r="L247" s="1206"/>
      <c r="M247" s="363"/>
      <c r="N247" s="363"/>
      <c r="P247" s="364" t="s">
        <v>713</v>
      </c>
      <c r="Q247" s="365"/>
      <c r="R247" s="366"/>
      <c r="S247" s="1176" t="s">
        <v>714</v>
      </c>
      <c r="T247" s="1160" t="s">
        <v>715</v>
      </c>
      <c r="U247" s="1161"/>
      <c r="V247" s="1160" t="s">
        <v>716</v>
      </c>
      <c r="W247" s="1161"/>
      <c r="X247" s="1160" t="s">
        <v>717</v>
      </c>
      <c r="Y247" s="1161"/>
      <c r="Z247" s="1160" t="s">
        <v>718</v>
      </c>
      <c r="AA247" s="1161"/>
      <c r="AB247" s="1160" t="s">
        <v>719</v>
      </c>
      <c r="AC247" s="1161"/>
      <c r="AE247" s="364" t="s">
        <v>720</v>
      </c>
      <c r="AF247" s="365"/>
      <c r="AG247" s="366"/>
      <c r="AH247" s="1176" t="s">
        <v>714</v>
      </c>
      <c r="AI247" s="1160" t="s">
        <v>715</v>
      </c>
      <c r="AJ247" s="1161"/>
      <c r="AK247" s="1160" t="s">
        <v>716</v>
      </c>
      <c r="AL247" s="1161"/>
      <c r="AM247" s="1160" t="s">
        <v>717</v>
      </c>
      <c r="AN247" s="1161"/>
      <c r="AO247" s="1160" t="s">
        <v>718</v>
      </c>
      <c r="AP247" s="1161"/>
      <c r="AQ247" s="1160" t="s">
        <v>719</v>
      </c>
      <c r="AR247" s="1161"/>
    </row>
    <row r="248" spans="1:44" ht="15" customHeight="1" outlineLevel="1" thickBot="1">
      <c r="B248" s="1164" t="s">
        <v>4</v>
      </c>
      <c r="C248" s="1166">
        <v>2020</v>
      </c>
      <c r="D248" s="1166">
        <v>2030</v>
      </c>
      <c r="E248" s="1166">
        <v>2040</v>
      </c>
      <c r="F248" s="1166">
        <v>2050</v>
      </c>
      <c r="G248" s="1200" t="s">
        <v>721</v>
      </c>
      <c r="H248" s="1201"/>
      <c r="I248" s="1200" t="s">
        <v>648</v>
      </c>
      <c r="J248" s="1201"/>
      <c r="K248" s="1202" t="s">
        <v>2</v>
      </c>
      <c r="L248" s="1202" t="s">
        <v>3</v>
      </c>
      <c r="M248" s="367"/>
      <c r="N248" s="367"/>
      <c r="P248" s="1180" t="s">
        <v>0</v>
      </c>
      <c r="Q248" s="368"/>
      <c r="R248" s="368"/>
      <c r="S248" s="1177"/>
      <c r="T248" s="1162"/>
      <c r="U248" s="1163"/>
      <c r="V248" s="1162"/>
      <c r="W248" s="1163"/>
      <c r="X248" s="1162"/>
      <c r="Y248" s="1163"/>
      <c r="Z248" s="1162"/>
      <c r="AA248" s="1163"/>
      <c r="AB248" s="1162"/>
      <c r="AC248" s="1163"/>
      <c r="AE248" s="1180" t="s">
        <v>0</v>
      </c>
      <c r="AF248" s="368"/>
      <c r="AG248" s="368"/>
      <c r="AH248" s="1177"/>
      <c r="AI248" s="1162"/>
      <c r="AJ248" s="1163"/>
      <c r="AK248" s="1162"/>
      <c r="AL248" s="1163"/>
      <c r="AM248" s="1162"/>
      <c r="AN248" s="1163"/>
      <c r="AO248" s="1162"/>
      <c r="AP248" s="1163"/>
      <c r="AQ248" s="1162"/>
      <c r="AR248" s="1163"/>
    </row>
    <row r="249" spans="1:44" ht="16" outlineLevel="1" thickBot="1">
      <c r="B249" s="1165"/>
      <c r="C249" s="1167"/>
      <c r="D249" s="1167"/>
      <c r="E249" s="1167"/>
      <c r="F249" s="1167"/>
      <c r="G249" s="499" t="s">
        <v>649</v>
      </c>
      <c r="H249" s="499" t="s">
        <v>650</v>
      </c>
      <c r="I249" s="499" t="s">
        <v>649</v>
      </c>
      <c r="J249" s="499" t="s">
        <v>650</v>
      </c>
      <c r="K249" s="1203"/>
      <c r="L249" s="1203"/>
      <c r="M249" s="370"/>
      <c r="N249" s="370"/>
      <c r="P249" s="1181"/>
      <c r="Q249" s="1183" t="s">
        <v>722</v>
      </c>
      <c r="R249" s="1184" t="s">
        <v>723</v>
      </c>
      <c r="S249" s="1178"/>
      <c r="T249" s="1162"/>
      <c r="U249" s="1163"/>
      <c r="V249" s="1162"/>
      <c r="W249" s="1163"/>
      <c r="X249" s="1162"/>
      <c r="Y249" s="1163"/>
      <c r="Z249" s="1162"/>
      <c r="AA249" s="1163"/>
      <c r="AB249" s="1162"/>
      <c r="AC249" s="1163"/>
      <c r="AE249" s="1181"/>
      <c r="AF249" s="1197" t="s">
        <v>722</v>
      </c>
      <c r="AG249" s="1184" t="s">
        <v>723</v>
      </c>
      <c r="AH249" s="1178"/>
      <c r="AI249" s="1162"/>
      <c r="AJ249" s="1163"/>
      <c r="AK249" s="1162"/>
      <c r="AL249" s="1163"/>
      <c r="AM249" s="1162"/>
      <c r="AN249" s="1163"/>
      <c r="AO249" s="1162"/>
      <c r="AP249" s="1163"/>
      <c r="AQ249" s="1162"/>
      <c r="AR249" s="1163"/>
    </row>
    <row r="250" spans="1:44" ht="14.5" customHeight="1" outlineLevel="1" thickBot="1">
      <c r="B250" s="371" t="s">
        <v>651</v>
      </c>
      <c r="C250" s="372">
        <v>20</v>
      </c>
      <c r="D250" s="372">
        <v>20</v>
      </c>
      <c r="E250" s="372">
        <v>20</v>
      </c>
      <c r="F250" s="372">
        <v>20</v>
      </c>
      <c r="G250" s="372">
        <v>1</v>
      </c>
      <c r="H250" s="372">
        <v>50</v>
      </c>
      <c r="I250" s="372">
        <v>1</v>
      </c>
      <c r="J250" s="372">
        <v>50</v>
      </c>
      <c r="K250" s="372" t="s">
        <v>6</v>
      </c>
      <c r="L250" s="373" t="s">
        <v>725</v>
      </c>
      <c r="M250" s="370"/>
      <c r="N250" s="370"/>
      <c r="O250" s="74"/>
      <c r="P250" s="1182"/>
      <c r="Q250" s="1179"/>
      <c r="R250" s="1185"/>
      <c r="S250" s="1179"/>
      <c r="T250" s="374" t="s">
        <v>726</v>
      </c>
      <c r="U250" s="375" t="s">
        <v>727</v>
      </c>
      <c r="V250" s="374" t="s">
        <v>726</v>
      </c>
      <c r="W250" s="375" t="s">
        <v>727</v>
      </c>
      <c r="X250" s="374" t="s">
        <v>726</v>
      </c>
      <c r="Y250" s="375" t="s">
        <v>727</v>
      </c>
      <c r="Z250" s="374" t="s">
        <v>726</v>
      </c>
      <c r="AA250" s="375" t="s">
        <v>727</v>
      </c>
      <c r="AB250" s="374" t="s">
        <v>726</v>
      </c>
      <c r="AC250" s="375" t="s">
        <v>727</v>
      </c>
      <c r="AE250" s="1182"/>
      <c r="AF250" s="1198"/>
      <c r="AG250" s="1185"/>
      <c r="AH250" s="1179"/>
      <c r="AI250" s="374" t="s">
        <v>726</v>
      </c>
      <c r="AJ250" s="375" t="s">
        <v>727</v>
      </c>
      <c r="AK250" s="374" t="s">
        <v>726</v>
      </c>
      <c r="AL250" s="375" t="s">
        <v>727</v>
      </c>
      <c r="AM250" s="374" t="s">
        <v>726</v>
      </c>
      <c r="AN250" s="375" t="s">
        <v>727</v>
      </c>
      <c r="AO250" s="374" t="s">
        <v>726</v>
      </c>
      <c r="AP250" s="375" t="s">
        <v>727</v>
      </c>
      <c r="AQ250" s="374" t="s">
        <v>726</v>
      </c>
      <c r="AR250" s="375" t="s">
        <v>727</v>
      </c>
    </row>
    <row r="251" spans="1:44" outlineLevel="1">
      <c r="B251" s="500" t="s">
        <v>728</v>
      </c>
      <c r="C251" s="668">
        <v>116.18960947726835</v>
      </c>
      <c r="D251" s="668">
        <v>116.18960947726835</v>
      </c>
      <c r="E251" s="669">
        <v>116.18960947726835</v>
      </c>
      <c r="F251" s="668">
        <v>116.18960947726835</v>
      </c>
      <c r="G251" s="501">
        <v>88</v>
      </c>
      <c r="H251" s="501">
        <v>117</v>
      </c>
      <c r="I251" s="501">
        <v>88</v>
      </c>
      <c r="J251" s="501">
        <v>117</v>
      </c>
      <c r="K251" s="503" t="s">
        <v>982</v>
      </c>
      <c r="L251" s="504">
        <v>11</v>
      </c>
      <c r="M251" s="370"/>
      <c r="N251" s="370"/>
      <c r="P251" s="1199" t="str">
        <f>C247</f>
        <v>Hot water boiler, Wood chips (Condensing)</v>
      </c>
      <c r="Q251" s="1154" t="s">
        <v>730</v>
      </c>
      <c r="R251" s="381" t="s">
        <v>731</v>
      </c>
      <c r="S251" s="382"/>
      <c r="T251" s="1137">
        <v>0</v>
      </c>
      <c r="U251" s="1151">
        <v>0</v>
      </c>
      <c r="V251" s="1157">
        <v>0</v>
      </c>
      <c r="W251" s="1151">
        <v>0</v>
      </c>
      <c r="X251" s="1157">
        <v>0</v>
      </c>
      <c r="Y251" s="1151">
        <v>0</v>
      </c>
      <c r="Z251" s="1157">
        <v>0</v>
      </c>
      <c r="AA251" s="1151">
        <v>0</v>
      </c>
      <c r="AB251" s="1157">
        <v>0</v>
      </c>
      <c r="AC251" s="1151">
        <v>0</v>
      </c>
      <c r="AE251" s="1148" t="str">
        <f>P251</f>
        <v>Hot water boiler, Wood chips (Condensing)</v>
      </c>
      <c r="AF251" s="1154" t="s">
        <v>730</v>
      </c>
      <c r="AG251" s="381" t="s">
        <v>731</v>
      </c>
      <c r="AH251" s="382"/>
      <c r="AI251" s="1137">
        <v>0</v>
      </c>
      <c r="AJ251" s="1151">
        <v>0</v>
      </c>
      <c r="AK251" s="1157">
        <v>0</v>
      </c>
      <c r="AL251" s="1151">
        <v>0</v>
      </c>
      <c r="AM251" s="1157">
        <v>0</v>
      </c>
      <c r="AN251" s="1151">
        <v>0</v>
      </c>
      <c r="AO251" s="1157">
        <v>0</v>
      </c>
      <c r="AP251" s="1151">
        <v>0</v>
      </c>
      <c r="AQ251" s="1157">
        <v>0</v>
      </c>
      <c r="AR251" s="1151">
        <v>0</v>
      </c>
    </row>
    <row r="252" spans="1:44" outlineLevel="1">
      <c r="B252" s="383" t="s">
        <v>732</v>
      </c>
      <c r="C252" s="577">
        <v>116.18960947726835</v>
      </c>
      <c r="D252" s="577">
        <v>116.18960947726835</v>
      </c>
      <c r="E252" s="577">
        <v>116.18960947726835</v>
      </c>
      <c r="F252" s="577">
        <v>116.18960947726835</v>
      </c>
      <c r="G252" s="505">
        <v>88</v>
      </c>
      <c r="H252" s="505">
        <v>117</v>
      </c>
      <c r="I252" s="505">
        <v>88</v>
      </c>
      <c r="J252" s="505">
        <v>117</v>
      </c>
      <c r="K252" s="372" t="s">
        <v>982</v>
      </c>
      <c r="L252" s="373">
        <v>11</v>
      </c>
      <c r="M252" s="370"/>
      <c r="N252" s="370"/>
      <c r="O252" s="71"/>
      <c r="P252" s="1195"/>
      <c r="Q252" s="1155"/>
      <c r="R252" s="388" t="s">
        <v>733</v>
      </c>
      <c r="S252" s="389"/>
      <c r="T252" s="1140"/>
      <c r="U252" s="1152"/>
      <c r="V252" s="1158"/>
      <c r="W252" s="1152"/>
      <c r="X252" s="1158"/>
      <c r="Y252" s="1152"/>
      <c r="Z252" s="1158"/>
      <c r="AA252" s="1152"/>
      <c r="AB252" s="1158"/>
      <c r="AC252" s="1152"/>
      <c r="AE252" s="1195"/>
      <c r="AF252" s="1155"/>
      <c r="AG252" s="388" t="s">
        <v>733</v>
      </c>
      <c r="AH252" s="389"/>
      <c r="AI252" s="1140"/>
      <c r="AJ252" s="1152"/>
      <c r="AK252" s="1158"/>
      <c r="AL252" s="1152"/>
      <c r="AM252" s="1158"/>
      <c r="AN252" s="1152"/>
      <c r="AO252" s="1158"/>
      <c r="AP252" s="1152"/>
      <c r="AQ252" s="1158"/>
      <c r="AR252" s="1152"/>
    </row>
    <row r="253" spans="1:44" ht="14.5" customHeight="1" outlineLevel="1" thickBot="1">
      <c r="B253" s="500" t="s">
        <v>734</v>
      </c>
      <c r="C253" s="506">
        <v>2.2999999999999998</v>
      </c>
      <c r="D253" s="507">
        <v>2.2999999999999998</v>
      </c>
      <c r="E253" s="507">
        <v>2.2999999999999998</v>
      </c>
      <c r="F253" s="508">
        <v>2.2999999999999998</v>
      </c>
      <c r="G253" s="507">
        <v>2.2000000000000002</v>
      </c>
      <c r="H253" s="507">
        <v>2.5</v>
      </c>
      <c r="I253" s="507">
        <v>1.8</v>
      </c>
      <c r="J253" s="507">
        <v>2.5</v>
      </c>
      <c r="K253" s="503" t="s">
        <v>59</v>
      </c>
      <c r="L253" s="504">
        <v>3</v>
      </c>
      <c r="M253" s="370"/>
      <c r="N253" s="370"/>
      <c r="O253" s="71"/>
      <c r="P253" s="1195"/>
      <c r="Q253" s="1156"/>
      <c r="R253" s="393" t="s">
        <v>735</v>
      </c>
      <c r="S253" s="394"/>
      <c r="T253" s="1141"/>
      <c r="U253" s="1153"/>
      <c r="V253" s="1159"/>
      <c r="W253" s="1153"/>
      <c r="X253" s="1159"/>
      <c r="Y253" s="1153"/>
      <c r="Z253" s="1159"/>
      <c r="AA253" s="1153"/>
      <c r="AB253" s="1159"/>
      <c r="AC253" s="1153"/>
      <c r="AE253" s="1195"/>
      <c r="AF253" s="1156"/>
      <c r="AG253" s="393" t="s">
        <v>735</v>
      </c>
      <c r="AH253" s="394"/>
      <c r="AI253" s="1141"/>
      <c r="AJ253" s="1153"/>
      <c r="AK253" s="1159"/>
      <c r="AL253" s="1153"/>
      <c r="AM253" s="1159"/>
      <c r="AN253" s="1153"/>
      <c r="AO253" s="1159"/>
      <c r="AP253" s="1153"/>
      <c r="AQ253" s="1159"/>
      <c r="AR253" s="1153"/>
    </row>
    <row r="254" spans="1:44" outlineLevel="1">
      <c r="B254" s="500" t="s">
        <v>657</v>
      </c>
      <c r="C254" s="687">
        <v>3</v>
      </c>
      <c r="D254" s="687">
        <v>3</v>
      </c>
      <c r="E254" s="687">
        <v>3</v>
      </c>
      <c r="F254" s="687">
        <v>3</v>
      </c>
      <c r="G254" s="687">
        <v>3</v>
      </c>
      <c r="H254" s="687">
        <v>3</v>
      </c>
      <c r="I254" s="687">
        <v>3</v>
      </c>
      <c r="J254" s="687">
        <v>3</v>
      </c>
      <c r="K254" s="503" t="s">
        <v>16</v>
      </c>
      <c r="L254" s="504">
        <v>3</v>
      </c>
      <c r="M254" s="370"/>
      <c r="N254" s="370"/>
      <c r="O254" s="71"/>
      <c r="P254" s="1195"/>
      <c r="Q254" s="1154" t="s">
        <v>736</v>
      </c>
      <c r="R254" s="395" t="s">
        <v>737</v>
      </c>
      <c r="S254" s="396" t="s">
        <v>738</v>
      </c>
      <c r="T254" s="1137">
        <v>0</v>
      </c>
      <c r="U254" s="1137">
        <v>0.17</v>
      </c>
      <c r="V254" s="1137">
        <v>0</v>
      </c>
      <c r="W254" s="1137">
        <v>0</v>
      </c>
      <c r="X254" s="1137">
        <v>0</v>
      </c>
      <c r="Y254" s="1137">
        <v>0</v>
      </c>
      <c r="Z254" s="1137">
        <v>0</v>
      </c>
      <c r="AA254" s="1137">
        <v>0.06</v>
      </c>
      <c r="AB254" s="1137">
        <v>0</v>
      </c>
      <c r="AC254" s="1151">
        <v>0</v>
      </c>
      <c r="AE254" s="1195"/>
      <c r="AF254" s="1154" t="s">
        <v>736</v>
      </c>
      <c r="AG254" s="395" t="s">
        <v>737</v>
      </c>
      <c r="AH254" s="396" t="s">
        <v>738</v>
      </c>
      <c r="AI254" s="1137">
        <v>0</v>
      </c>
      <c r="AJ254" s="1137">
        <f>U254/4</f>
        <v>4.2500000000000003E-2</v>
      </c>
      <c r="AK254" s="1137">
        <v>0</v>
      </c>
      <c r="AL254" s="1137">
        <f>W254/4</f>
        <v>0</v>
      </c>
      <c r="AM254" s="1137">
        <v>0</v>
      </c>
      <c r="AN254" s="1137">
        <f>Y254/4</f>
        <v>0</v>
      </c>
      <c r="AO254" s="1137">
        <v>0</v>
      </c>
      <c r="AP254" s="1137">
        <f>AA254/4</f>
        <v>1.4999999999999999E-2</v>
      </c>
      <c r="AQ254" s="1137">
        <v>0</v>
      </c>
      <c r="AR254" s="1151">
        <f>AC254/4</f>
        <v>0</v>
      </c>
    </row>
    <row r="255" spans="1:44" outlineLevel="1">
      <c r="B255" s="500" t="s">
        <v>658</v>
      </c>
      <c r="C255" s="506">
        <v>3</v>
      </c>
      <c r="D255" s="506">
        <v>3</v>
      </c>
      <c r="E255" s="506">
        <v>3</v>
      </c>
      <c r="F255" s="506">
        <v>3</v>
      </c>
      <c r="G255" s="506">
        <v>2.6</v>
      </c>
      <c r="H255" s="506">
        <v>3.5</v>
      </c>
      <c r="I255" s="506">
        <v>2.2999999999999998</v>
      </c>
      <c r="J255" s="506">
        <v>3.8</v>
      </c>
      <c r="K255" s="503" t="s">
        <v>16</v>
      </c>
      <c r="L255" s="504">
        <v>3</v>
      </c>
      <c r="M255" s="367"/>
      <c r="N255" s="367"/>
      <c r="O255" s="71"/>
      <c r="P255" s="1195"/>
      <c r="Q255" s="1155"/>
      <c r="R255" s="395" t="s">
        <v>739</v>
      </c>
      <c r="S255" s="396" t="s">
        <v>738</v>
      </c>
      <c r="T255" s="1191"/>
      <c r="U255" s="1191"/>
      <c r="V255" s="1191"/>
      <c r="W255" s="1191"/>
      <c r="X255" s="1191"/>
      <c r="Y255" s="1191"/>
      <c r="Z255" s="1191"/>
      <c r="AA255" s="1191"/>
      <c r="AB255" s="1191"/>
      <c r="AC255" s="1193"/>
      <c r="AE255" s="1195"/>
      <c r="AF255" s="1155"/>
      <c r="AG255" s="395" t="s">
        <v>739</v>
      </c>
      <c r="AH255" s="396" t="s">
        <v>738</v>
      </c>
      <c r="AI255" s="1191"/>
      <c r="AJ255" s="1191"/>
      <c r="AK255" s="1191"/>
      <c r="AL255" s="1191"/>
      <c r="AM255" s="1191"/>
      <c r="AN255" s="1191"/>
      <c r="AO255" s="1191"/>
      <c r="AP255" s="1191"/>
      <c r="AQ255" s="1191"/>
      <c r="AR255" s="1193"/>
    </row>
    <row r="256" spans="1:44" outlineLevel="1">
      <c r="B256" s="383" t="s">
        <v>11</v>
      </c>
      <c r="C256" s="397">
        <v>25</v>
      </c>
      <c r="D256" s="397">
        <v>25</v>
      </c>
      <c r="E256" s="397">
        <v>25</v>
      </c>
      <c r="F256" s="397">
        <v>25</v>
      </c>
      <c r="G256" s="399">
        <v>20</v>
      </c>
      <c r="H256" s="399">
        <v>35</v>
      </c>
      <c r="I256" s="399">
        <v>20</v>
      </c>
      <c r="J256" s="399">
        <v>35</v>
      </c>
      <c r="K256" s="372"/>
      <c r="L256" s="373" t="s">
        <v>740</v>
      </c>
      <c r="M256" s="363"/>
      <c r="N256" s="363"/>
      <c r="P256" s="1195"/>
      <c r="Q256" s="1155"/>
      <c r="R256" s="395" t="s">
        <v>741</v>
      </c>
      <c r="S256" s="396"/>
      <c r="T256" s="1191"/>
      <c r="U256" s="1191"/>
      <c r="V256" s="1191"/>
      <c r="W256" s="1191"/>
      <c r="X256" s="1191"/>
      <c r="Y256" s="1191"/>
      <c r="Z256" s="1191"/>
      <c r="AA256" s="1191"/>
      <c r="AB256" s="1191"/>
      <c r="AC256" s="1193"/>
      <c r="AE256" s="1195"/>
      <c r="AF256" s="1155"/>
      <c r="AG256" s="395" t="s">
        <v>741</v>
      </c>
      <c r="AH256" s="629" t="s">
        <v>738</v>
      </c>
      <c r="AI256" s="1191"/>
      <c r="AJ256" s="1191"/>
      <c r="AK256" s="1191"/>
      <c r="AL256" s="1191"/>
      <c r="AM256" s="1191"/>
      <c r="AN256" s="1191"/>
      <c r="AO256" s="1191"/>
      <c r="AP256" s="1191"/>
      <c r="AQ256" s="1191"/>
      <c r="AR256" s="1193"/>
    </row>
    <row r="257" spans="1:44" ht="16" outlineLevel="1" thickBot="1">
      <c r="B257" s="500" t="s">
        <v>273</v>
      </c>
      <c r="C257" s="506">
        <v>1</v>
      </c>
      <c r="D257" s="506">
        <v>1</v>
      </c>
      <c r="E257" s="506">
        <v>1</v>
      </c>
      <c r="F257" s="506">
        <v>1</v>
      </c>
      <c r="G257" s="506">
        <v>0.5</v>
      </c>
      <c r="H257" s="506">
        <v>1.5</v>
      </c>
      <c r="I257" s="506">
        <v>0.5</v>
      </c>
      <c r="J257" s="506">
        <v>1.5</v>
      </c>
      <c r="K257" s="372"/>
      <c r="L257" s="400"/>
      <c r="M257" s="363"/>
      <c r="N257" s="363"/>
      <c r="P257" s="1195"/>
      <c r="Q257" s="1155"/>
      <c r="R257" s="395" t="s">
        <v>742</v>
      </c>
      <c r="S257" s="396" t="s">
        <v>738</v>
      </c>
      <c r="T257" s="1191"/>
      <c r="U257" s="1191"/>
      <c r="V257" s="1191"/>
      <c r="W257" s="1191"/>
      <c r="X257" s="1191"/>
      <c r="Y257" s="1191"/>
      <c r="Z257" s="1191"/>
      <c r="AA257" s="1191"/>
      <c r="AB257" s="1191"/>
      <c r="AC257" s="1193"/>
      <c r="AE257" s="1195"/>
      <c r="AF257" s="1155"/>
      <c r="AG257" s="395" t="s">
        <v>742</v>
      </c>
      <c r="AH257" s="396"/>
      <c r="AI257" s="1191"/>
      <c r="AJ257" s="1191"/>
      <c r="AK257" s="1191"/>
      <c r="AL257" s="1191"/>
      <c r="AM257" s="1191"/>
      <c r="AN257" s="1191"/>
      <c r="AO257" s="1191"/>
      <c r="AP257" s="1191"/>
      <c r="AQ257" s="1191"/>
      <c r="AR257" s="1193"/>
    </row>
    <row r="258" spans="1:44" ht="16" outlineLevel="1" thickBot="1">
      <c r="B258" s="401" t="s">
        <v>743</v>
      </c>
      <c r="C258" s="402"/>
      <c r="D258" s="403"/>
      <c r="E258" s="404"/>
      <c r="F258" s="405"/>
      <c r="G258" s="406"/>
      <c r="H258" s="406"/>
      <c r="I258" s="406"/>
      <c r="J258" s="406"/>
      <c r="K258" s="407"/>
      <c r="L258" s="408"/>
      <c r="M258" s="363"/>
      <c r="N258" s="363"/>
      <c r="P258" s="1195"/>
      <c r="Q258" s="1156"/>
      <c r="R258" s="409" t="s">
        <v>863</v>
      </c>
      <c r="S258" s="410" t="s">
        <v>738</v>
      </c>
      <c r="T258" s="1192"/>
      <c r="U258" s="1192"/>
      <c r="V258" s="1192"/>
      <c r="W258" s="1192"/>
      <c r="X258" s="1192"/>
      <c r="Y258" s="1192"/>
      <c r="Z258" s="1192"/>
      <c r="AA258" s="1192"/>
      <c r="AB258" s="1192"/>
      <c r="AC258" s="1194"/>
      <c r="AE258" s="1195"/>
      <c r="AF258" s="1156"/>
      <c r="AG258" s="409" t="s">
        <v>863</v>
      </c>
      <c r="AH258" s="410" t="s">
        <v>738</v>
      </c>
      <c r="AI258" s="1192"/>
      <c r="AJ258" s="1192"/>
      <c r="AK258" s="1192"/>
      <c r="AL258" s="1192"/>
      <c r="AM258" s="1192"/>
      <c r="AN258" s="1192"/>
      <c r="AO258" s="1192"/>
      <c r="AP258" s="1192"/>
      <c r="AQ258" s="1192"/>
      <c r="AR258" s="1194"/>
    </row>
    <row r="259" spans="1:44" ht="33" outlineLevel="1" thickBot="1">
      <c r="B259" s="500" t="s">
        <v>663</v>
      </c>
      <c r="C259" s="506">
        <v>20</v>
      </c>
      <c r="D259" s="506">
        <v>20</v>
      </c>
      <c r="E259" s="506">
        <v>20</v>
      </c>
      <c r="F259" s="506">
        <v>20</v>
      </c>
      <c r="G259" s="507"/>
      <c r="H259" s="507"/>
      <c r="I259" s="507"/>
      <c r="J259" s="507"/>
      <c r="K259" s="503"/>
      <c r="L259" s="504">
        <v>3</v>
      </c>
      <c r="M259" s="363"/>
      <c r="N259" s="363"/>
      <c r="P259" s="1196"/>
      <c r="Q259" s="411" t="s">
        <v>745</v>
      </c>
      <c r="R259" s="412" t="s">
        <v>746</v>
      </c>
      <c r="S259" s="630" t="s">
        <v>738</v>
      </c>
      <c r="T259" s="416">
        <v>1</v>
      </c>
      <c r="U259" s="415">
        <v>1</v>
      </c>
      <c r="V259" s="416">
        <v>0</v>
      </c>
      <c r="W259" s="415">
        <v>0</v>
      </c>
      <c r="X259" s="416">
        <v>0</v>
      </c>
      <c r="Y259" s="415">
        <v>0</v>
      </c>
      <c r="Z259" s="416">
        <v>1</v>
      </c>
      <c r="AA259" s="415">
        <v>1</v>
      </c>
      <c r="AB259" s="416">
        <v>0</v>
      </c>
      <c r="AC259" s="417">
        <v>0</v>
      </c>
      <c r="AE259" s="1196"/>
      <c r="AF259" s="411" t="s">
        <v>745</v>
      </c>
      <c r="AG259" s="631" t="s">
        <v>746</v>
      </c>
      <c r="AH259" s="632" t="s">
        <v>738</v>
      </c>
      <c r="AI259" s="416">
        <v>1</v>
      </c>
      <c r="AJ259" s="415">
        <v>1</v>
      </c>
      <c r="AK259" s="416">
        <v>0</v>
      </c>
      <c r="AL259" s="415">
        <v>0</v>
      </c>
      <c r="AM259" s="416">
        <v>0</v>
      </c>
      <c r="AN259" s="415">
        <v>0</v>
      </c>
      <c r="AO259" s="416">
        <v>1</v>
      </c>
      <c r="AP259" s="415">
        <v>1</v>
      </c>
      <c r="AQ259" s="416">
        <v>0</v>
      </c>
      <c r="AR259" s="417">
        <v>0</v>
      </c>
    </row>
    <row r="260" spans="1:44" outlineLevel="1">
      <c r="B260" s="500" t="s">
        <v>664</v>
      </c>
      <c r="C260" s="506">
        <v>0.3</v>
      </c>
      <c r="D260" s="506">
        <v>0.3</v>
      </c>
      <c r="E260" s="506">
        <v>0.3</v>
      </c>
      <c r="F260" s="506">
        <v>0.3</v>
      </c>
      <c r="G260" s="509"/>
      <c r="H260" s="509"/>
      <c r="I260" s="509"/>
      <c r="J260" s="509"/>
      <c r="K260" s="510"/>
      <c r="L260" s="504">
        <v>3</v>
      </c>
      <c r="M260" s="363"/>
      <c r="N260" s="363"/>
    </row>
    <row r="261" spans="1:44" outlineLevel="1">
      <c r="B261" s="500" t="s">
        <v>666</v>
      </c>
      <c r="C261" s="506">
        <v>0.5</v>
      </c>
      <c r="D261" s="506">
        <v>0.5</v>
      </c>
      <c r="E261" s="506">
        <v>0.5</v>
      </c>
      <c r="F261" s="506">
        <v>0.5</v>
      </c>
      <c r="G261" s="509"/>
      <c r="H261" s="509"/>
      <c r="I261" s="509"/>
      <c r="J261" s="509"/>
      <c r="K261" s="510"/>
      <c r="L261" s="504">
        <v>3</v>
      </c>
      <c r="M261" s="420"/>
      <c r="N261" s="363"/>
    </row>
    <row r="262" spans="1:44" outlineLevel="1">
      <c r="B262" s="421" t="s">
        <v>12</v>
      </c>
      <c r="C262" s="399"/>
      <c r="D262" s="399"/>
      <c r="E262" s="399"/>
      <c r="F262" s="399"/>
      <c r="G262" s="422"/>
      <c r="H262" s="422"/>
      <c r="I262" s="422"/>
      <c r="J262" s="422"/>
      <c r="K262" s="423"/>
      <c r="L262" s="424"/>
      <c r="M262" s="420"/>
      <c r="N262" s="420"/>
    </row>
    <row r="263" spans="1:44" outlineLevel="1">
      <c r="B263" s="383" t="s">
        <v>843</v>
      </c>
      <c r="C263" s="397">
        <v>11</v>
      </c>
      <c r="D263" s="397">
        <v>11</v>
      </c>
      <c r="E263" s="397">
        <v>11</v>
      </c>
      <c r="F263" s="397">
        <v>11</v>
      </c>
      <c r="G263" s="422"/>
      <c r="H263" s="425"/>
      <c r="I263" s="425"/>
      <c r="J263" s="425"/>
      <c r="K263" s="426" t="s">
        <v>20</v>
      </c>
      <c r="L263" s="427" t="s">
        <v>748</v>
      </c>
      <c r="M263" s="428"/>
      <c r="N263" s="428"/>
    </row>
    <row r="264" spans="1:44" outlineLevel="1">
      <c r="B264" s="383" t="s">
        <v>749</v>
      </c>
      <c r="C264" s="397">
        <v>10</v>
      </c>
      <c r="D264" s="397">
        <v>10</v>
      </c>
      <c r="E264" s="397">
        <v>10</v>
      </c>
      <c r="F264" s="397">
        <v>10</v>
      </c>
      <c r="G264" s="425"/>
      <c r="H264" s="425"/>
      <c r="I264" s="425"/>
      <c r="J264" s="425"/>
      <c r="K264" s="423"/>
      <c r="L264" s="427">
        <v>9</v>
      </c>
      <c r="M264" s="428"/>
      <c r="N264" s="428"/>
    </row>
    <row r="265" spans="1:44" outlineLevel="1">
      <c r="B265" s="383" t="s">
        <v>844</v>
      </c>
      <c r="C265" s="397">
        <v>63</v>
      </c>
      <c r="D265" s="397">
        <v>49</v>
      </c>
      <c r="E265" s="397">
        <v>46</v>
      </c>
      <c r="F265" s="397">
        <v>41</v>
      </c>
      <c r="G265" s="425"/>
      <c r="H265" s="425"/>
      <c r="I265" s="425"/>
      <c r="J265" s="425"/>
      <c r="K265" s="423"/>
      <c r="L265" s="427" t="s">
        <v>748</v>
      </c>
      <c r="M265" s="428"/>
      <c r="N265" s="428"/>
    </row>
    <row r="266" spans="1:44" outlineLevel="1">
      <c r="B266" s="383" t="s">
        <v>366</v>
      </c>
      <c r="C266" s="397">
        <v>11</v>
      </c>
      <c r="D266" s="397">
        <v>8</v>
      </c>
      <c r="E266" s="397">
        <v>6</v>
      </c>
      <c r="F266" s="397">
        <v>4</v>
      </c>
      <c r="G266" s="425"/>
      <c r="H266" s="425"/>
      <c r="I266" s="425"/>
      <c r="J266" s="425"/>
      <c r="K266" s="423"/>
      <c r="L266" s="427" t="s">
        <v>748</v>
      </c>
      <c r="M266" s="428"/>
      <c r="N266" s="428"/>
    </row>
    <row r="267" spans="1:44" ht="16" outlineLevel="1" thickBot="1">
      <c r="B267" s="429" t="s">
        <v>367</v>
      </c>
      <c r="C267" s="430">
        <v>3</v>
      </c>
      <c r="D267" s="430">
        <v>3</v>
      </c>
      <c r="E267" s="430">
        <v>1</v>
      </c>
      <c r="F267" s="430">
        <v>1</v>
      </c>
      <c r="G267" s="425"/>
      <c r="H267" s="425"/>
      <c r="I267" s="425"/>
      <c r="J267" s="425"/>
      <c r="K267" s="423"/>
      <c r="L267" s="427" t="s">
        <v>748</v>
      </c>
      <c r="M267" s="428"/>
      <c r="N267" s="428"/>
    </row>
    <row r="268" spans="1:44" ht="16" outlineLevel="1" thickBot="1">
      <c r="B268" s="431" t="s">
        <v>674</v>
      </c>
      <c r="C268" s="432"/>
      <c r="D268" s="403"/>
      <c r="E268" s="403"/>
      <c r="F268" s="433"/>
      <c r="G268" s="434"/>
      <c r="H268" s="406"/>
      <c r="I268" s="406"/>
      <c r="J268" s="406"/>
      <c r="K268" s="407"/>
      <c r="L268" s="408"/>
      <c r="M268" s="428"/>
      <c r="N268" s="428"/>
    </row>
    <row r="269" spans="1:44" outlineLevel="1">
      <c r="A269" s="435"/>
      <c r="B269" s="436" t="s">
        <v>910</v>
      </c>
      <c r="C269" s="551">
        <f>0.68</f>
        <v>0.68</v>
      </c>
      <c r="D269" s="647">
        <f>0.65</f>
        <v>0.65</v>
      </c>
      <c r="E269" s="647">
        <f>0.62</f>
        <v>0.62</v>
      </c>
      <c r="F269" s="648">
        <f>0.59</f>
        <v>0.59</v>
      </c>
      <c r="G269" s="425"/>
      <c r="H269" s="425"/>
      <c r="I269" s="425"/>
      <c r="J269" s="425"/>
      <c r="K269" s="426" t="s">
        <v>992</v>
      </c>
      <c r="L269" s="440" t="s">
        <v>753</v>
      </c>
      <c r="M269" s="420"/>
      <c r="N269" s="420"/>
    </row>
    <row r="270" spans="1:44" outlineLevel="1">
      <c r="B270" s="441" t="s">
        <v>839</v>
      </c>
      <c r="C270" s="442">
        <v>65</v>
      </c>
      <c r="D270" s="442">
        <v>65</v>
      </c>
      <c r="E270" s="442">
        <v>65</v>
      </c>
      <c r="F270" s="442">
        <v>65</v>
      </c>
      <c r="G270" s="425"/>
      <c r="H270" s="425"/>
      <c r="I270" s="425"/>
      <c r="J270" s="425"/>
      <c r="K270" s="444"/>
      <c r="L270" s="373">
        <v>3</v>
      </c>
      <c r="M270" s="71"/>
      <c r="N270" s="420"/>
    </row>
    <row r="271" spans="1:44" outlineLevel="1">
      <c r="B271" s="441" t="s">
        <v>840</v>
      </c>
      <c r="C271" s="442">
        <f>100-C270</f>
        <v>35</v>
      </c>
      <c r="D271" s="442">
        <f>100-D270</f>
        <v>35</v>
      </c>
      <c r="E271" s="442">
        <f>100-E270</f>
        <v>35</v>
      </c>
      <c r="F271" s="442">
        <f>100-F270</f>
        <v>35</v>
      </c>
      <c r="G271" s="425"/>
      <c r="H271" s="425"/>
      <c r="I271" s="425"/>
      <c r="J271" s="425"/>
      <c r="K271" s="444"/>
      <c r="L271" s="373">
        <v>3</v>
      </c>
      <c r="M271" s="420"/>
      <c r="N271" s="420"/>
    </row>
    <row r="272" spans="1:44" outlineLevel="1">
      <c r="B272" s="383" t="s">
        <v>841</v>
      </c>
      <c r="C272" s="445">
        <v>37000</v>
      </c>
      <c r="D272" s="446">
        <v>35900</v>
      </c>
      <c r="E272" s="446">
        <f>(F272+D272)/2</f>
        <v>34800</v>
      </c>
      <c r="F272" s="447">
        <v>33700</v>
      </c>
      <c r="G272" s="425"/>
      <c r="H272" s="425"/>
      <c r="I272" s="425"/>
      <c r="J272" s="425"/>
      <c r="K272" s="448" t="s">
        <v>33</v>
      </c>
      <c r="L272" s="373">
        <v>3</v>
      </c>
      <c r="M272" s="420"/>
      <c r="N272" s="420"/>
    </row>
    <row r="273" spans="2:30" outlineLevel="1">
      <c r="B273" s="383" t="s">
        <v>679</v>
      </c>
      <c r="C273" s="449">
        <f>C274+C275</f>
        <v>2.7789999999999999</v>
      </c>
      <c r="D273" s="449">
        <f t="shared" ref="D273:F273" si="14">D274+D275</f>
        <v>2.8250000000000002</v>
      </c>
      <c r="E273" s="449">
        <f t="shared" si="14"/>
        <v>2.8479999999999999</v>
      </c>
      <c r="F273" s="449">
        <f t="shared" si="14"/>
        <v>2.8479999999999999</v>
      </c>
      <c r="G273" s="425"/>
      <c r="H273" s="425"/>
      <c r="I273" s="425"/>
      <c r="J273" s="425"/>
      <c r="K273" s="448"/>
      <c r="L273" s="373">
        <v>3</v>
      </c>
      <c r="M273" s="450"/>
      <c r="N273" s="361"/>
      <c r="P273" s="1142">
        <f>C273</f>
        <v>2.7789999999999999</v>
      </c>
      <c r="Q273" s="1143"/>
      <c r="R273" s="1143"/>
      <c r="S273" s="1143"/>
      <c r="T273" s="1143"/>
      <c r="U273" s="1144"/>
    </row>
    <row r="274" spans="2:30" ht="16" outlineLevel="1" thickBot="1">
      <c r="B274" s="500" t="s">
        <v>758</v>
      </c>
      <c r="C274" s="514">
        <f>C253/100*73</f>
        <v>1.679</v>
      </c>
      <c r="D274" s="514">
        <f>D253/100*75</f>
        <v>1.7249999999999999</v>
      </c>
      <c r="E274" s="514">
        <f>E253/100*76</f>
        <v>1.748</v>
      </c>
      <c r="F274" s="514">
        <f>F253/100*76</f>
        <v>1.748</v>
      </c>
      <c r="G274" s="515"/>
      <c r="H274" s="515"/>
      <c r="I274" s="515"/>
      <c r="J274" s="515"/>
      <c r="K274" s="503" t="s">
        <v>51</v>
      </c>
      <c r="L274" s="504">
        <v>3</v>
      </c>
      <c r="M274" s="450"/>
      <c r="N274" s="361"/>
      <c r="P274" s="1134">
        <f>C274</f>
        <v>1.679</v>
      </c>
      <c r="Q274" s="1135"/>
      <c r="R274" s="1135"/>
      <c r="S274" s="1135"/>
      <c r="T274" s="1135"/>
      <c r="U274" s="1136"/>
    </row>
    <row r="275" spans="2:30" outlineLevel="1">
      <c r="B275" s="500" t="s">
        <v>759</v>
      </c>
      <c r="C275" s="516">
        <v>1.1000000000000001</v>
      </c>
      <c r="D275" s="516">
        <v>1.1000000000000001</v>
      </c>
      <c r="E275" s="516">
        <v>1.1000000000000001</v>
      </c>
      <c r="F275" s="516">
        <v>1.1000000000000001</v>
      </c>
      <c r="G275" s="515"/>
      <c r="H275" s="515"/>
      <c r="I275" s="515"/>
      <c r="J275" s="515"/>
      <c r="K275" s="517"/>
      <c r="L275" s="504">
        <v>3</v>
      </c>
      <c r="M275" s="363"/>
      <c r="N275" s="363"/>
      <c r="P275" s="53" t="s">
        <v>357</v>
      </c>
    </row>
    <row r="276" spans="2:30" ht="30" outlineLevel="1">
      <c r="B276" s="441"/>
      <c r="C276" s="681"/>
      <c r="D276" s="681"/>
      <c r="E276" s="681"/>
      <c r="F276" s="681"/>
      <c r="G276" s="425"/>
      <c r="H276" s="425"/>
      <c r="I276" s="425"/>
      <c r="J276" s="425"/>
      <c r="K276" s="444"/>
      <c r="L276" s="424"/>
      <c r="M276" s="367"/>
      <c r="N276" s="367"/>
      <c r="P276" s="46" t="s">
        <v>335</v>
      </c>
      <c r="Q276" s="46" t="s">
        <v>336</v>
      </c>
      <c r="R276" s="47" t="s">
        <v>337</v>
      </c>
      <c r="S276" s="47" t="s">
        <v>338</v>
      </c>
      <c r="T276" s="47" t="s">
        <v>339</v>
      </c>
      <c r="U276" s="48" t="s">
        <v>340</v>
      </c>
      <c r="V276" s="49" t="s">
        <v>341</v>
      </c>
      <c r="W276" s="49" t="s">
        <v>342</v>
      </c>
      <c r="X276" s="49" t="s">
        <v>343</v>
      </c>
      <c r="Y276" s="49" t="s">
        <v>344</v>
      </c>
      <c r="Z276" s="49" t="s">
        <v>345</v>
      </c>
      <c r="AA276" s="49" t="s">
        <v>346</v>
      </c>
      <c r="AB276" s="49" t="s">
        <v>347</v>
      </c>
      <c r="AC276" s="49" t="s">
        <v>348</v>
      </c>
      <c r="AD276" s="49" t="s">
        <v>349</v>
      </c>
    </row>
    <row r="277" spans="2:30" ht="27" outlineLevel="1" thickBot="1">
      <c r="B277" s="519"/>
      <c r="C277" s="442"/>
      <c r="D277" s="520"/>
      <c r="E277" s="520"/>
      <c r="F277" s="521"/>
      <c r="G277" s="425"/>
      <c r="H277" s="425"/>
      <c r="I277" s="425"/>
      <c r="J277" s="425"/>
      <c r="K277" s="448"/>
      <c r="L277" s="424"/>
      <c r="M277" s="363"/>
      <c r="N277" s="363"/>
      <c r="P277" s="50"/>
      <c r="Q277" s="50"/>
      <c r="R277" s="51"/>
      <c r="S277" s="51"/>
      <c r="T277" s="51"/>
      <c r="U277" s="51" t="s">
        <v>760</v>
      </c>
      <c r="V277" s="50" t="s">
        <v>761</v>
      </c>
      <c r="W277" s="50"/>
      <c r="X277" s="50"/>
      <c r="Y277" s="50"/>
      <c r="Z277" s="50"/>
      <c r="AA277" s="50"/>
      <c r="AB277" s="50"/>
      <c r="AC277" s="50"/>
      <c r="AD277" s="50"/>
    </row>
    <row r="278" spans="2:30" ht="33" outlineLevel="1" thickBot="1">
      <c r="B278" s="401" t="s">
        <v>682</v>
      </c>
      <c r="C278" s="402"/>
      <c r="D278" s="403"/>
      <c r="E278" s="404"/>
      <c r="F278" s="405"/>
      <c r="G278" s="406"/>
      <c r="H278" s="406"/>
      <c r="I278" s="406"/>
      <c r="J278" s="406"/>
      <c r="K278" s="459"/>
      <c r="L278" s="460"/>
      <c r="M278" s="363"/>
      <c r="N278" s="363"/>
      <c r="O278" s="461" t="s">
        <v>732</v>
      </c>
      <c r="P278" s="56"/>
      <c r="Q278" s="56"/>
      <c r="R278" s="57"/>
      <c r="S278" s="57"/>
      <c r="T278" s="57"/>
      <c r="U278" s="56" t="s">
        <v>350</v>
      </c>
      <c r="V278" s="56" t="s">
        <v>326</v>
      </c>
      <c r="W278" s="56" t="s">
        <v>327</v>
      </c>
      <c r="X278" s="56" t="s">
        <v>351</v>
      </c>
      <c r="Y278" s="56" t="s">
        <v>351</v>
      </c>
      <c r="Z278" s="56" t="s">
        <v>352</v>
      </c>
      <c r="AA278" s="56" t="s">
        <v>352</v>
      </c>
      <c r="AB278" s="56" t="s">
        <v>352</v>
      </c>
      <c r="AC278" s="56" t="s">
        <v>352</v>
      </c>
      <c r="AD278" s="56" t="s">
        <v>352</v>
      </c>
    </row>
    <row r="279" spans="2:30" outlineLevel="1">
      <c r="B279" s="522" t="s">
        <v>762</v>
      </c>
      <c r="C279" s="670">
        <v>3.5000000000000003E-2</v>
      </c>
      <c r="D279" s="670">
        <v>0.03</v>
      </c>
      <c r="E279" s="670">
        <v>0.03</v>
      </c>
      <c r="F279" s="670">
        <v>0.03</v>
      </c>
      <c r="G279" s="524"/>
      <c r="H279" s="524"/>
      <c r="I279" s="524"/>
      <c r="J279" s="524"/>
      <c r="K279" s="524" t="s">
        <v>52</v>
      </c>
      <c r="L279" s="525"/>
      <c r="M279" s="363"/>
      <c r="N279" s="363"/>
      <c r="O279" s="465">
        <f>C252</f>
        <v>116.18960947726835</v>
      </c>
      <c r="P279" s="466">
        <f>C248</f>
        <v>2020</v>
      </c>
      <c r="Q279" s="58">
        <f>P279</f>
        <v>2020</v>
      </c>
      <c r="R279" s="466">
        <f>O279/100</f>
        <v>1.1618960947726835</v>
      </c>
      <c r="S279" s="58"/>
      <c r="T279" s="466">
        <f>C256</f>
        <v>25</v>
      </c>
      <c r="U279" s="467">
        <f>C286</f>
        <v>5066.0000000000009</v>
      </c>
      <c r="V279" s="467">
        <f>C288</f>
        <v>275.64999999999998</v>
      </c>
      <c r="W279" s="467">
        <f>C289</f>
        <v>5.7509861111111107</v>
      </c>
      <c r="X279" s="58"/>
      <c r="Y279" s="58"/>
      <c r="Z279" s="466">
        <f>C263</f>
        <v>11</v>
      </c>
      <c r="AA279" s="468">
        <f>C265</f>
        <v>63</v>
      </c>
      <c r="AB279" s="468">
        <f>C266</f>
        <v>11</v>
      </c>
      <c r="AC279" s="468">
        <f>C267</f>
        <v>3</v>
      </c>
      <c r="AD279" s="468">
        <f>C264</f>
        <v>10</v>
      </c>
    </row>
    <row r="280" spans="2:30" outlineLevel="1">
      <c r="B280" s="500" t="s">
        <v>763</v>
      </c>
      <c r="C280" s="526" t="s">
        <v>36</v>
      </c>
      <c r="D280" s="527" t="s">
        <v>36</v>
      </c>
      <c r="E280" s="527" t="s">
        <v>36</v>
      </c>
      <c r="F280" s="528" t="s">
        <v>36</v>
      </c>
      <c r="G280" s="528"/>
      <c r="H280" s="528"/>
      <c r="I280" s="528"/>
      <c r="J280" s="528"/>
      <c r="K280" s="529" t="s">
        <v>55</v>
      </c>
      <c r="L280" s="525"/>
      <c r="M280" s="363"/>
      <c r="N280" s="363"/>
      <c r="O280" s="465">
        <f>D252</f>
        <v>116.18960947726835</v>
      </c>
      <c r="P280" s="466">
        <f>D248</f>
        <v>2030</v>
      </c>
      <c r="Q280" s="58"/>
      <c r="R280" s="466">
        <f>O280/100</f>
        <v>1.1618960947726835</v>
      </c>
      <c r="S280" s="58"/>
      <c r="T280" s="466">
        <f>D256</f>
        <v>25</v>
      </c>
      <c r="U280" s="467">
        <f>D286</f>
        <v>4842.5</v>
      </c>
      <c r="V280" s="467">
        <f>D288</f>
        <v>267.45499999999998</v>
      </c>
      <c r="W280" s="467">
        <f>D289</f>
        <v>5.8461805555555557</v>
      </c>
      <c r="X280" s="58"/>
      <c r="Y280" s="58"/>
      <c r="Z280" s="466">
        <f>D263</f>
        <v>11</v>
      </c>
      <c r="AA280" s="468">
        <f>D265</f>
        <v>49</v>
      </c>
      <c r="AB280" s="468">
        <f>D266</f>
        <v>8</v>
      </c>
      <c r="AC280" s="468">
        <f>D267</f>
        <v>3</v>
      </c>
      <c r="AD280" s="468">
        <f>D264</f>
        <v>10</v>
      </c>
    </row>
    <row r="281" spans="2:30" outlineLevel="1">
      <c r="B281" s="500" t="s">
        <v>764</v>
      </c>
      <c r="C281" s="526" t="s">
        <v>36</v>
      </c>
      <c r="D281" s="527" t="s">
        <v>36</v>
      </c>
      <c r="E281" s="527" t="s">
        <v>36</v>
      </c>
      <c r="F281" s="528" t="s">
        <v>36</v>
      </c>
      <c r="G281" s="515"/>
      <c r="H281" s="515"/>
      <c r="I281" s="515"/>
      <c r="J281" s="515"/>
      <c r="K281" s="515"/>
      <c r="L281" s="504"/>
      <c r="M281" s="363"/>
      <c r="N281" s="363"/>
      <c r="O281" s="465">
        <f>E252</f>
        <v>116.18960947726835</v>
      </c>
      <c r="P281" s="466">
        <f>E248</f>
        <v>2040</v>
      </c>
      <c r="Q281" s="58"/>
      <c r="R281" s="466">
        <f>O281/100</f>
        <v>1.1618960947726835</v>
      </c>
      <c r="S281" s="58"/>
      <c r="T281" s="466">
        <f>E256</f>
        <v>25</v>
      </c>
      <c r="U281" s="467">
        <f>E286</f>
        <v>4619</v>
      </c>
      <c r="V281" s="467">
        <f>E288</f>
        <v>259.26</v>
      </c>
      <c r="W281" s="467">
        <f>E289</f>
        <v>5.8937777777777782</v>
      </c>
      <c r="X281" s="58"/>
      <c r="Y281" s="58"/>
      <c r="Z281" s="466">
        <f>E263</f>
        <v>11</v>
      </c>
      <c r="AA281" s="468">
        <f>E265</f>
        <v>46</v>
      </c>
      <c r="AB281" s="468">
        <f>E266</f>
        <v>6</v>
      </c>
      <c r="AC281" s="468">
        <f>E267</f>
        <v>1</v>
      </c>
      <c r="AD281" s="468">
        <f>E264</f>
        <v>10</v>
      </c>
    </row>
    <row r="282" spans="2:30" outlineLevel="1">
      <c r="B282" s="500" t="s">
        <v>765</v>
      </c>
      <c r="C282" s="685">
        <v>90</v>
      </c>
      <c r="D282" s="530">
        <v>90</v>
      </c>
      <c r="E282" s="530">
        <v>90</v>
      </c>
      <c r="F282" s="530">
        <v>90</v>
      </c>
      <c r="G282" s="531"/>
      <c r="H282" s="531"/>
      <c r="I282" s="531"/>
      <c r="J282" s="531"/>
      <c r="K282" s="531"/>
      <c r="L282" s="504">
        <v>3</v>
      </c>
      <c r="M282" s="363"/>
      <c r="N282" s="363"/>
      <c r="O282" s="465">
        <f>F252</f>
        <v>116.18960947726835</v>
      </c>
      <c r="P282" s="466">
        <f>F248</f>
        <v>2050</v>
      </c>
      <c r="Q282" s="58"/>
      <c r="R282" s="466">
        <f>O282/100</f>
        <v>1.1618960947726835</v>
      </c>
      <c r="S282" s="58"/>
      <c r="T282" s="466">
        <f>F256</f>
        <v>25</v>
      </c>
      <c r="U282" s="467">
        <f>F286</f>
        <v>4395.5</v>
      </c>
      <c r="V282" s="467">
        <f>F288</f>
        <v>251.065</v>
      </c>
      <c r="W282" s="467">
        <f>F289</f>
        <v>5.8937777777777782</v>
      </c>
      <c r="X282" s="58"/>
      <c r="Y282" s="58"/>
      <c r="Z282" s="466">
        <f>F263</f>
        <v>11</v>
      </c>
      <c r="AA282" s="468">
        <f>F265</f>
        <v>41</v>
      </c>
      <c r="AB282" s="468">
        <f>F266</f>
        <v>4</v>
      </c>
      <c r="AC282" s="468">
        <f>F267</f>
        <v>1</v>
      </c>
      <c r="AD282" s="468">
        <f>F264</f>
        <v>10</v>
      </c>
    </row>
    <row r="283" spans="2:30" outlineLevel="1">
      <c r="B283" s="532" t="s">
        <v>766</v>
      </c>
      <c r="C283" s="526"/>
      <c r="D283" s="527"/>
      <c r="E283" s="527"/>
      <c r="F283" s="528"/>
      <c r="G283" s="531"/>
      <c r="H283" s="531"/>
      <c r="I283" s="531"/>
      <c r="J283" s="531"/>
      <c r="K283" s="531"/>
      <c r="L283" s="533"/>
      <c r="M283" s="367"/>
      <c r="N283" s="367"/>
    </row>
    <row r="284" spans="2:30" outlineLevel="1">
      <c r="B284" s="532" t="s">
        <v>767</v>
      </c>
      <c r="C284" s="526"/>
      <c r="D284" s="527"/>
      <c r="E284" s="527"/>
      <c r="F284" s="528"/>
      <c r="G284" s="531"/>
      <c r="H284" s="531"/>
      <c r="I284" s="531"/>
      <c r="J284" s="531"/>
      <c r="K284" s="531"/>
      <c r="L284" s="533"/>
      <c r="M284" s="363"/>
      <c r="N284" s="363"/>
    </row>
    <row r="285" spans="2:30" ht="16" outlineLevel="1" thickBot="1">
      <c r="B285" s="534" t="s">
        <v>768</v>
      </c>
      <c r="C285" s="535"/>
      <c r="D285" s="536"/>
      <c r="E285" s="536"/>
      <c r="F285" s="537"/>
      <c r="G285" s="538"/>
      <c r="H285" s="538"/>
      <c r="I285" s="538"/>
      <c r="J285" s="538"/>
      <c r="K285" s="538"/>
      <c r="L285" s="539"/>
      <c r="M285" s="363"/>
      <c r="N285" s="363"/>
    </row>
    <row r="286" spans="2:30" ht="64" outlineLevel="1">
      <c r="B286" s="461" t="s">
        <v>769</v>
      </c>
      <c r="C286" s="483">
        <f>C269*$F$4*1000</f>
        <v>5066.0000000000009</v>
      </c>
      <c r="D286" s="483">
        <f t="shared" ref="D286:F286" si="15">D269*$F$4*1000</f>
        <v>4842.5</v>
      </c>
      <c r="E286" s="483">
        <f t="shared" si="15"/>
        <v>4619</v>
      </c>
      <c r="F286" s="483">
        <f t="shared" si="15"/>
        <v>4395.5</v>
      </c>
      <c r="G286" s="483"/>
      <c r="H286" s="484"/>
      <c r="I286" s="420" t="s">
        <v>332</v>
      </c>
      <c r="J286" s="420"/>
      <c r="K286" s="484"/>
      <c r="L286" s="484"/>
      <c r="N286" s="420"/>
    </row>
    <row r="287" spans="2:30" outlineLevel="1">
      <c r="B287" s="485" t="s">
        <v>770</v>
      </c>
      <c r="C287" s="486">
        <f>C286*$I287</f>
        <v>2533000.0000000005</v>
      </c>
      <c r="D287" s="486">
        <f>D286*$I287</f>
        <v>2421250</v>
      </c>
      <c r="E287" s="486">
        <f>E286*$I287</f>
        <v>2309500</v>
      </c>
      <c r="F287" s="486">
        <f>F286*$I287</f>
        <v>2197750</v>
      </c>
      <c r="G287" s="486"/>
      <c r="H287" s="484"/>
      <c r="I287" s="71">
        <v>500</v>
      </c>
      <c r="J287" s="420" t="s">
        <v>330</v>
      </c>
      <c r="K287" s="484"/>
      <c r="L287" s="484"/>
      <c r="N287" s="420"/>
    </row>
    <row r="288" spans="2:30" ht="48" outlineLevel="1">
      <c r="B288" s="461" t="s">
        <v>845</v>
      </c>
      <c r="C288" s="359">
        <f>C272*$F$4/1000</f>
        <v>275.64999999999998</v>
      </c>
      <c r="D288" s="359">
        <f t="shared" ref="D288:F288" si="16">D272*$F$4/1000</f>
        <v>267.45499999999998</v>
      </c>
      <c r="E288" s="359">
        <f t="shared" si="16"/>
        <v>259.26</v>
      </c>
      <c r="F288" s="359">
        <f t="shared" si="16"/>
        <v>251.065</v>
      </c>
      <c r="G288" s="359"/>
      <c r="I288" s="420" t="s">
        <v>333</v>
      </c>
      <c r="J288" s="420"/>
      <c r="N288" s="420"/>
    </row>
    <row r="289" spans="1:15" ht="48" outlineLevel="1">
      <c r="B289" s="461" t="s">
        <v>846</v>
      </c>
      <c r="C289" s="487">
        <f>C273*$F$4/3.6</f>
        <v>5.7509861111111107</v>
      </c>
      <c r="D289" s="487">
        <f t="shared" ref="D289:F289" si="17">D273*$F$4/3.6</f>
        <v>5.8461805555555557</v>
      </c>
      <c r="E289" s="487">
        <f t="shared" si="17"/>
        <v>5.8937777777777782</v>
      </c>
      <c r="F289" s="487">
        <f t="shared" si="17"/>
        <v>5.8937777777777782</v>
      </c>
      <c r="G289" s="359"/>
      <c r="M289" s="420"/>
      <c r="N289" s="420"/>
    </row>
    <row r="290" spans="1:15" outlineLevel="1">
      <c r="A290" s="488"/>
      <c r="B290" s="489"/>
      <c r="D290" s="490"/>
      <c r="E290" s="490"/>
      <c r="F290" s="490"/>
      <c r="G290" s="358"/>
      <c r="H290" s="358"/>
      <c r="I290" s="358"/>
      <c r="J290" s="358"/>
      <c r="K290" s="358"/>
      <c r="L290" s="358"/>
    </row>
    <row r="291" spans="1:15" outlineLevel="1">
      <c r="A291" s="491"/>
      <c r="B291" s="492"/>
      <c r="D291" s="490"/>
      <c r="E291" s="490"/>
      <c r="F291" s="490"/>
      <c r="G291" s="358"/>
      <c r="H291" s="358"/>
      <c r="I291" s="358"/>
      <c r="J291" s="358"/>
      <c r="K291" s="358"/>
      <c r="L291" s="358"/>
    </row>
    <row r="292" spans="1:15" outlineLevel="1">
      <c r="A292" s="491"/>
      <c r="B292" s="493"/>
      <c r="D292" s="490"/>
      <c r="E292" s="490"/>
      <c r="F292" s="490"/>
      <c r="G292" s="358"/>
      <c r="H292" s="358"/>
      <c r="I292" s="358"/>
      <c r="J292" s="358"/>
      <c r="K292" s="358"/>
      <c r="L292" s="358"/>
    </row>
    <row r="293" spans="1:15" outlineLevel="1">
      <c r="A293" s="491"/>
      <c r="B293" s="488" t="s">
        <v>773</v>
      </c>
      <c r="C293" s="489"/>
      <c r="E293" s="358"/>
      <c r="F293" s="490"/>
      <c r="G293" s="358"/>
      <c r="H293" s="358"/>
      <c r="I293" s="358"/>
      <c r="J293" s="358"/>
      <c r="K293" s="358"/>
      <c r="L293" s="358"/>
    </row>
    <row r="294" spans="1:15" outlineLevel="1">
      <c r="A294" s="491"/>
      <c r="B294" s="491">
        <v>1</v>
      </c>
      <c r="C294" s="492" t="s">
        <v>774</v>
      </c>
      <c r="E294" s="358"/>
      <c r="F294" s="490"/>
      <c r="G294" s="358"/>
      <c r="H294" s="358"/>
      <c r="I294" s="358"/>
      <c r="J294" s="358"/>
      <c r="K294" s="358"/>
      <c r="L294" s="358"/>
    </row>
    <row r="295" spans="1:15" outlineLevel="1">
      <c r="A295" s="358"/>
      <c r="B295" s="491">
        <v>2</v>
      </c>
      <c r="C295" s="493" t="s">
        <v>775</v>
      </c>
      <c r="E295" s="358"/>
      <c r="F295" s="490"/>
      <c r="G295" s="358"/>
      <c r="H295" s="358"/>
      <c r="I295" s="358"/>
      <c r="J295" s="358"/>
      <c r="K295" s="358"/>
      <c r="L295" s="358"/>
      <c r="M295" s="570"/>
      <c r="N295" s="489"/>
      <c r="O295" s="490"/>
    </row>
    <row r="296" spans="1:15" outlineLevel="1">
      <c r="A296" s="358"/>
      <c r="B296" s="491">
        <v>3</v>
      </c>
      <c r="C296" s="493" t="s">
        <v>776</v>
      </c>
      <c r="E296" s="358"/>
      <c r="F296" s="490"/>
      <c r="G296" s="358"/>
      <c r="H296" s="358"/>
      <c r="I296" s="358"/>
      <c r="J296" s="358"/>
      <c r="K296" s="358"/>
      <c r="L296" s="358"/>
      <c r="O296" s="490"/>
    </row>
    <row r="297" spans="1:15" outlineLevel="1">
      <c r="A297" s="358"/>
      <c r="B297" s="491">
        <v>4</v>
      </c>
      <c r="C297" s="493" t="s">
        <v>777</v>
      </c>
      <c r="E297" s="358"/>
      <c r="F297" s="490"/>
      <c r="G297" s="358"/>
      <c r="H297" s="358"/>
      <c r="I297" s="358"/>
      <c r="J297" s="358"/>
      <c r="K297" s="358"/>
      <c r="L297" s="358"/>
      <c r="O297" s="490"/>
    </row>
    <row r="298" spans="1:15" outlineLevel="1">
      <c r="A298" s="358"/>
      <c r="B298" s="358">
        <v>5</v>
      </c>
      <c r="C298" s="494" t="s">
        <v>778</v>
      </c>
      <c r="F298" s="490"/>
      <c r="G298" s="358"/>
      <c r="H298" s="358"/>
      <c r="I298" s="358"/>
      <c r="J298" s="358"/>
      <c r="K298" s="358"/>
      <c r="L298" s="358"/>
      <c r="O298" s="490"/>
    </row>
    <row r="299" spans="1:15" outlineLevel="1">
      <c r="A299" s="358"/>
      <c r="B299" s="358">
        <v>6</v>
      </c>
      <c r="C299" s="492" t="s">
        <v>779</v>
      </c>
      <c r="F299" s="490"/>
      <c r="G299" s="358"/>
      <c r="H299" s="358"/>
      <c r="I299" s="358"/>
      <c r="J299" s="358"/>
      <c r="K299" s="358"/>
      <c r="L299" s="358"/>
      <c r="O299" s="490"/>
    </row>
    <row r="300" spans="1:15" outlineLevel="1">
      <c r="A300" s="358"/>
      <c r="B300" s="358">
        <v>7</v>
      </c>
      <c r="C300" s="495" t="s">
        <v>774</v>
      </c>
      <c r="F300" s="490"/>
      <c r="G300" s="358"/>
      <c r="H300" s="358"/>
      <c r="I300" s="358"/>
      <c r="J300" s="358"/>
      <c r="K300" s="358"/>
      <c r="L300" s="358"/>
      <c r="O300" s="490"/>
    </row>
    <row r="301" spans="1:15" outlineLevel="1">
      <c r="A301" s="488"/>
      <c r="B301" s="358">
        <v>8</v>
      </c>
      <c r="C301" s="495" t="s">
        <v>780</v>
      </c>
      <c r="F301" s="490"/>
      <c r="G301" s="358"/>
      <c r="H301" s="358"/>
      <c r="I301" s="358"/>
      <c r="J301" s="358"/>
      <c r="K301" s="358"/>
      <c r="L301" s="358"/>
      <c r="O301" s="490"/>
    </row>
    <row r="302" spans="1:15" outlineLevel="1">
      <c r="A302" s="488"/>
      <c r="B302" s="358">
        <v>9</v>
      </c>
      <c r="C302" s="489" t="s">
        <v>781</v>
      </c>
      <c r="F302" s="490"/>
      <c r="G302" s="358"/>
      <c r="H302" s="358"/>
      <c r="I302" s="358"/>
      <c r="J302" s="358"/>
      <c r="K302" s="358"/>
      <c r="L302" s="358"/>
      <c r="O302" s="490"/>
    </row>
    <row r="303" spans="1:15" outlineLevel="1">
      <c r="A303" s="488"/>
      <c r="B303" s="358">
        <v>10</v>
      </c>
      <c r="C303" s="490" t="s">
        <v>782</v>
      </c>
      <c r="F303" s="490"/>
      <c r="G303" s="358"/>
      <c r="H303" s="358"/>
      <c r="I303" s="358"/>
      <c r="J303" s="358"/>
      <c r="K303" s="358"/>
      <c r="L303" s="358"/>
      <c r="O303" s="490"/>
    </row>
    <row r="304" spans="1:15" outlineLevel="1">
      <c r="A304" s="488"/>
      <c r="B304" s="488" t="s">
        <v>783</v>
      </c>
      <c r="C304" s="489"/>
      <c r="F304" s="490"/>
      <c r="G304" s="358"/>
      <c r="H304" s="358"/>
      <c r="I304" s="358"/>
      <c r="J304" s="358"/>
      <c r="K304" s="358"/>
      <c r="L304" s="358"/>
      <c r="O304" s="490"/>
    </row>
    <row r="305" spans="1:15" outlineLevel="1">
      <c r="A305" s="488"/>
      <c r="B305" s="496" t="s">
        <v>6</v>
      </c>
      <c r="C305" s="497" t="s">
        <v>975</v>
      </c>
      <c r="D305" s="489"/>
      <c r="F305" s="490"/>
      <c r="G305" s="358"/>
      <c r="H305" s="358"/>
      <c r="I305" s="358"/>
      <c r="J305" s="358"/>
      <c r="K305" s="358"/>
      <c r="L305" s="358"/>
      <c r="O305" s="490"/>
    </row>
    <row r="306" spans="1:15" outlineLevel="1">
      <c r="A306" s="488"/>
      <c r="B306" s="496" t="s">
        <v>59</v>
      </c>
      <c r="C306" s="489" t="s">
        <v>785</v>
      </c>
      <c r="D306" s="489"/>
      <c r="F306" s="490"/>
      <c r="G306" s="358"/>
      <c r="H306" s="358"/>
      <c r="I306" s="358"/>
      <c r="J306" s="358"/>
      <c r="K306" s="358"/>
      <c r="L306" s="358"/>
      <c r="O306" s="490"/>
    </row>
    <row r="307" spans="1:15" outlineLevel="1">
      <c r="A307" s="488"/>
      <c r="B307" s="496" t="s">
        <v>16</v>
      </c>
      <c r="C307" s="489" t="s">
        <v>976</v>
      </c>
      <c r="D307" s="489"/>
      <c r="F307" s="490"/>
      <c r="G307" s="358"/>
      <c r="H307" s="358"/>
      <c r="I307" s="358"/>
      <c r="J307" s="358"/>
      <c r="K307" s="358"/>
      <c r="L307" s="358"/>
      <c r="O307" s="490"/>
    </row>
    <row r="308" spans="1:15" outlineLevel="1">
      <c r="A308" s="488"/>
      <c r="B308" s="496" t="s">
        <v>20</v>
      </c>
      <c r="C308" s="489" t="s">
        <v>977</v>
      </c>
      <c r="D308" s="489"/>
      <c r="F308" s="490"/>
      <c r="G308" s="358"/>
      <c r="H308" s="358"/>
      <c r="I308" s="358"/>
      <c r="J308" s="358"/>
      <c r="K308" s="358"/>
      <c r="L308" s="358"/>
      <c r="O308" s="490"/>
    </row>
    <row r="309" spans="1:15" outlineLevel="1">
      <c r="A309" s="488"/>
      <c r="B309" s="496" t="s">
        <v>76</v>
      </c>
      <c r="C309" s="489" t="s">
        <v>786</v>
      </c>
      <c r="D309" s="489"/>
      <c r="F309" s="490"/>
      <c r="G309" s="358"/>
      <c r="H309" s="358"/>
      <c r="I309" s="358"/>
      <c r="J309" s="358"/>
      <c r="K309" s="358"/>
      <c r="L309" s="358"/>
      <c r="O309" s="490"/>
    </row>
    <row r="310" spans="1:15" outlineLevel="1">
      <c r="A310" s="488"/>
      <c r="B310" s="496" t="s">
        <v>25</v>
      </c>
      <c r="C310" s="489" t="s">
        <v>978</v>
      </c>
      <c r="D310" s="489"/>
      <c r="F310" s="490"/>
      <c r="G310" s="358"/>
      <c r="H310" s="358"/>
      <c r="I310" s="358"/>
      <c r="J310" s="358"/>
      <c r="K310" s="358"/>
      <c r="L310" s="358"/>
      <c r="O310" s="490"/>
    </row>
    <row r="311" spans="1:15" outlineLevel="1">
      <c r="A311" s="488"/>
      <c r="B311" s="496" t="s">
        <v>33</v>
      </c>
      <c r="C311" s="489" t="s">
        <v>979</v>
      </c>
      <c r="D311" s="489"/>
      <c r="F311" s="490"/>
      <c r="G311" s="358"/>
      <c r="H311" s="358"/>
      <c r="I311" s="358"/>
      <c r="J311" s="358"/>
      <c r="K311" s="358"/>
      <c r="L311" s="358"/>
      <c r="O311" s="490"/>
    </row>
    <row r="312" spans="1:15" outlineLevel="1">
      <c r="A312" s="488"/>
      <c r="B312" s="496" t="s">
        <v>51</v>
      </c>
      <c r="C312" s="489" t="s">
        <v>980</v>
      </c>
      <c r="D312" s="489"/>
      <c r="F312" s="490"/>
      <c r="G312" s="358"/>
      <c r="H312" s="358"/>
      <c r="I312" s="358"/>
      <c r="J312" s="358"/>
      <c r="K312" s="358"/>
      <c r="L312" s="358"/>
      <c r="O312" s="490"/>
    </row>
    <row r="313" spans="1:15" outlineLevel="1">
      <c r="A313" s="488"/>
      <c r="B313" s="496" t="s">
        <v>52</v>
      </c>
      <c r="C313" s="498" t="s">
        <v>788</v>
      </c>
      <c r="D313" s="489"/>
      <c r="F313" s="490"/>
      <c r="G313" s="358"/>
      <c r="H313" s="358"/>
      <c r="I313" s="358"/>
      <c r="J313" s="358"/>
      <c r="K313" s="358"/>
      <c r="L313" s="358"/>
      <c r="O313" s="490"/>
    </row>
    <row r="314" spans="1:15" outlineLevel="1">
      <c r="A314" s="488"/>
      <c r="B314" s="496" t="s">
        <v>55</v>
      </c>
      <c r="C314" s="489" t="s">
        <v>804</v>
      </c>
      <c r="D314" s="489"/>
      <c r="F314" s="490"/>
      <c r="G314" s="358"/>
      <c r="H314" s="358"/>
      <c r="I314" s="358"/>
      <c r="J314" s="358"/>
      <c r="K314" s="358"/>
      <c r="L314" s="358"/>
      <c r="O314" s="490"/>
    </row>
    <row r="315" spans="1:15" outlineLevel="1">
      <c r="A315" s="496"/>
      <c r="B315" s="496" t="s">
        <v>49</v>
      </c>
      <c r="C315" s="489" t="s">
        <v>789</v>
      </c>
      <c r="D315" s="489"/>
      <c r="F315" s="490"/>
      <c r="G315" s="358"/>
      <c r="H315" s="358"/>
      <c r="I315" s="358"/>
      <c r="J315" s="358"/>
      <c r="K315" s="358"/>
      <c r="L315" s="358"/>
      <c r="M315" s="570"/>
      <c r="N315" s="489"/>
      <c r="O315" s="490"/>
    </row>
    <row r="316" spans="1:15" outlineLevel="1">
      <c r="A316" s="496"/>
      <c r="F316" s="490"/>
      <c r="G316" s="358"/>
      <c r="H316" s="358"/>
      <c r="I316" s="358"/>
      <c r="J316" s="358"/>
      <c r="K316" s="358"/>
      <c r="L316" s="358"/>
      <c r="M316" s="571"/>
      <c r="N316" s="489"/>
      <c r="O316" s="490"/>
    </row>
    <row r="317" spans="1:15" outlineLevel="1">
      <c r="A317" s="496"/>
      <c r="B317" s="489"/>
      <c r="D317" s="490"/>
      <c r="E317" s="490"/>
      <c r="F317" s="490"/>
      <c r="G317" s="358"/>
      <c r="H317" s="358"/>
      <c r="I317" s="358"/>
      <c r="J317" s="358"/>
      <c r="K317" s="358"/>
      <c r="L317" s="358"/>
      <c r="M317" s="572"/>
      <c r="N317" s="489"/>
      <c r="O317" s="490"/>
    </row>
    <row r="318" spans="1:15" outlineLevel="1">
      <c r="A318" s="496"/>
      <c r="B318" s="498"/>
      <c r="D318" s="490"/>
      <c r="E318" s="490"/>
      <c r="F318" s="490"/>
      <c r="G318" s="358"/>
      <c r="H318" s="358"/>
      <c r="I318" s="358"/>
      <c r="J318" s="358"/>
      <c r="K318" s="358"/>
      <c r="L318" s="358"/>
      <c r="M318" s="573"/>
      <c r="N318" s="489"/>
      <c r="O318" s="490"/>
    </row>
    <row r="319" spans="1:15" outlineLevel="1">
      <c r="A319" s="496"/>
      <c r="B319" s="489"/>
      <c r="D319" s="490"/>
      <c r="E319" s="490"/>
      <c r="F319" s="490"/>
      <c r="G319" s="358"/>
      <c r="H319" s="358"/>
      <c r="I319" s="358"/>
      <c r="J319" s="358"/>
      <c r="K319" s="358"/>
      <c r="L319" s="358"/>
      <c r="M319" s="573"/>
      <c r="N319" s="490"/>
      <c r="O319" s="490"/>
    </row>
    <row r="320" spans="1:15" outlineLevel="1">
      <c r="A320" s="496"/>
      <c r="B320" s="489"/>
      <c r="D320" s="490"/>
      <c r="E320" s="490"/>
      <c r="F320" s="490"/>
      <c r="G320" s="358"/>
      <c r="H320" s="358"/>
      <c r="I320" s="358"/>
      <c r="J320" s="358"/>
      <c r="K320" s="358"/>
      <c r="L320" s="358"/>
      <c r="M320" s="489"/>
      <c r="N320" s="490"/>
      <c r="O320" s="490"/>
    </row>
    <row r="321" spans="1:44" outlineLevel="1"/>
    <row r="324" spans="1:44" ht="16" thickBot="1">
      <c r="A324" s="360"/>
    </row>
    <row r="325" spans="1:44" ht="20.5" customHeight="1" thickBot="1">
      <c r="B325" s="362"/>
      <c r="C325" s="1186"/>
      <c r="D325" s="1187"/>
      <c r="E325" s="1187"/>
      <c r="F325" s="1187"/>
      <c r="G325" s="1187"/>
      <c r="H325" s="1187"/>
      <c r="I325" s="1187"/>
      <c r="J325" s="1187"/>
      <c r="K325" s="1187"/>
      <c r="L325" s="1188"/>
      <c r="M325" s="363"/>
      <c r="N325" s="363"/>
      <c r="P325" s="364"/>
      <c r="Q325" s="365"/>
      <c r="R325" s="366"/>
      <c r="S325" s="1176"/>
      <c r="T325" s="1160"/>
      <c r="U325" s="1161"/>
      <c r="V325" s="1160"/>
      <c r="W325" s="1161"/>
      <c r="X325" s="1160"/>
      <c r="Y325" s="1161"/>
      <c r="Z325" s="1160"/>
      <c r="AA325" s="1161"/>
      <c r="AB325" s="1160"/>
      <c r="AC325" s="1161"/>
      <c r="AE325" s="364"/>
      <c r="AF325" s="365"/>
      <c r="AG325" s="366"/>
      <c r="AH325" s="1176"/>
      <c r="AI325" s="1160"/>
      <c r="AJ325" s="1161"/>
      <c r="AK325" s="1160"/>
      <c r="AL325" s="1161"/>
      <c r="AM325" s="1160"/>
      <c r="AN325" s="1161"/>
      <c r="AO325" s="1160"/>
      <c r="AP325" s="1161"/>
      <c r="AQ325" s="1160"/>
      <c r="AR325" s="1161"/>
    </row>
    <row r="326" spans="1:44" ht="15" customHeight="1" thickBot="1">
      <c r="B326" s="1164"/>
      <c r="C326" s="1166"/>
      <c r="D326" s="1166"/>
      <c r="E326" s="1166"/>
      <c r="F326" s="1166"/>
      <c r="G326" s="1168"/>
      <c r="H326" s="1169"/>
      <c r="I326" s="1168"/>
      <c r="J326" s="1169"/>
      <c r="K326" s="1189"/>
      <c r="L326" s="1189"/>
      <c r="M326" s="367"/>
      <c r="N326" s="367"/>
      <c r="P326" s="1180"/>
      <c r="Q326" s="368"/>
      <c r="R326" s="368"/>
      <c r="S326" s="1177"/>
      <c r="T326" s="1162"/>
      <c r="U326" s="1163"/>
      <c r="V326" s="1162"/>
      <c r="W326" s="1163"/>
      <c r="X326" s="1162"/>
      <c r="Y326" s="1163"/>
      <c r="Z326" s="1162"/>
      <c r="AA326" s="1163"/>
      <c r="AB326" s="1162"/>
      <c r="AC326" s="1163"/>
      <c r="AE326" s="1180"/>
      <c r="AF326" s="368"/>
      <c r="AG326" s="368"/>
      <c r="AH326" s="1177"/>
      <c r="AI326" s="1162"/>
      <c r="AJ326" s="1163"/>
      <c r="AK326" s="1162"/>
      <c r="AL326" s="1163"/>
      <c r="AM326" s="1162"/>
      <c r="AN326" s="1163"/>
      <c r="AO326" s="1162"/>
      <c r="AP326" s="1163"/>
      <c r="AQ326" s="1162"/>
      <c r="AR326" s="1163"/>
    </row>
    <row r="327" spans="1:44" ht="15" customHeight="1" thickBot="1">
      <c r="B327" s="1165"/>
      <c r="C327" s="1167"/>
      <c r="D327" s="1167"/>
      <c r="E327" s="1167"/>
      <c r="F327" s="1167"/>
      <c r="G327" s="406"/>
      <c r="H327" s="406"/>
      <c r="I327" s="406"/>
      <c r="J327" s="406"/>
      <c r="K327" s="1190"/>
      <c r="L327" s="1190"/>
      <c r="M327" s="370"/>
      <c r="N327" s="370"/>
      <c r="P327" s="1181"/>
      <c r="Q327" s="1183"/>
      <c r="R327" s="1184"/>
      <c r="S327" s="1178"/>
      <c r="T327" s="1162"/>
      <c r="U327" s="1163"/>
      <c r="V327" s="1162"/>
      <c r="W327" s="1163"/>
      <c r="X327" s="1162"/>
      <c r="Y327" s="1163"/>
      <c r="Z327" s="1162"/>
      <c r="AA327" s="1163"/>
      <c r="AB327" s="1162"/>
      <c r="AC327" s="1163"/>
      <c r="AE327" s="1181"/>
      <c r="AF327" s="1183"/>
      <c r="AG327" s="1184"/>
      <c r="AH327" s="1178"/>
      <c r="AI327" s="1162"/>
      <c r="AJ327" s="1163"/>
      <c r="AK327" s="1162"/>
      <c r="AL327" s="1163"/>
      <c r="AM327" s="1162"/>
      <c r="AN327" s="1163"/>
      <c r="AO327" s="1162"/>
      <c r="AP327" s="1163"/>
      <c r="AQ327" s="1162"/>
      <c r="AR327" s="1163"/>
    </row>
    <row r="328" spans="1:44" ht="16" thickBot="1">
      <c r="B328" s="371"/>
      <c r="C328" s="372"/>
      <c r="D328" s="372"/>
      <c r="E328" s="372"/>
      <c r="F328" s="372"/>
      <c r="G328" s="372"/>
      <c r="H328" s="372"/>
      <c r="I328" s="372"/>
      <c r="J328" s="372"/>
      <c r="K328" s="372"/>
      <c r="L328" s="373"/>
      <c r="M328" s="370"/>
      <c r="N328" s="370"/>
      <c r="O328" s="74"/>
      <c r="P328" s="1182"/>
      <c r="Q328" s="1179"/>
      <c r="R328" s="1185"/>
      <c r="S328" s="1179"/>
      <c r="T328" s="374"/>
      <c r="U328" s="375"/>
      <c r="V328" s="374"/>
      <c r="W328" s="375"/>
      <c r="X328" s="374"/>
      <c r="Y328" s="375"/>
      <c r="Z328" s="374"/>
      <c r="AA328" s="375"/>
      <c r="AB328" s="374"/>
      <c r="AC328" s="375"/>
      <c r="AE328" s="1182"/>
      <c r="AF328" s="1179"/>
      <c r="AG328" s="1185"/>
      <c r="AH328" s="1179"/>
      <c r="AI328" s="374"/>
      <c r="AJ328" s="375"/>
      <c r="AK328" s="374"/>
      <c r="AL328" s="375"/>
      <c r="AM328" s="374"/>
      <c r="AN328" s="375"/>
      <c r="AO328" s="374"/>
      <c r="AP328" s="375"/>
      <c r="AQ328" s="374"/>
      <c r="AR328" s="375"/>
    </row>
    <row r="329" spans="1:44" ht="14.5" customHeight="1">
      <c r="B329" s="574"/>
      <c r="C329" s="575"/>
      <c r="D329" s="575"/>
      <c r="E329" s="575"/>
      <c r="F329" s="575"/>
      <c r="G329" s="576"/>
      <c r="H329" s="576"/>
      <c r="I329" s="576"/>
      <c r="J329" s="576"/>
      <c r="K329" s="372"/>
      <c r="L329" s="373"/>
      <c r="M329" s="370"/>
      <c r="N329" s="370"/>
      <c r="P329" s="1148"/>
      <c r="Q329" s="1154"/>
      <c r="R329" s="381"/>
      <c r="S329" s="382"/>
      <c r="T329" s="1137"/>
      <c r="U329" s="1151"/>
      <c r="V329" s="1137"/>
      <c r="W329" s="1151"/>
      <c r="X329" s="1137"/>
      <c r="Y329" s="1151"/>
      <c r="Z329" s="1137"/>
      <c r="AA329" s="1151"/>
      <c r="AB329" s="1157"/>
      <c r="AC329" s="1151"/>
      <c r="AE329" s="1148"/>
      <c r="AF329" s="1154"/>
      <c r="AG329" s="381"/>
      <c r="AH329" s="382"/>
      <c r="AI329" s="1137"/>
      <c r="AJ329" s="1151"/>
      <c r="AK329" s="1137"/>
      <c r="AL329" s="1151"/>
      <c r="AM329" s="1137"/>
      <c r="AN329" s="1151"/>
      <c r="AO329" s="1137"/>
      <c r="AP329" s="1151"/>
      <c r="AQ329" s="1157"/>
      <c r="AR329" s="1151"/>
    </row>
    <row r="330" spans="1:44">
      <c r="B330" s="383"/>
      <c r="C330" s="577"/>
      <c r="D330" s="577"/>
      <c r="E330" s="577"/>
      <c r="F330" s="577"/>
      <c r="G330" s="576"/>
      <c r="H330" s="576"/>
      <c r="I330" s="576"/>
      <c r="J330" s="576"/>
      <c r="K330" s="372"/>
      <c r="L330" s="373"/>
      <c r="M330" s="370"/>
      <c r="N330" s="370"/>
      <c r="O330" s="71"/>
      <c r="P330" s="1149"/>
      <c r="Q330" s="1155"/>
      <c r="R330" s="388"/>
      <c r="S330" s="389"/>
      <c r="T330" s="1140"/>
      <c r="U330" s="1152"/>
      <c r="V330" s="1140"/>
      <c r="W330" s="1152"/>
      <c r="X330" s="1140"/>
      <c r="Y330" s="1152"/>
      <c r="Z330" s="1140"/>
      <c r="AA330" s="1152"/>
      <c r="AB330" s="1158"/>
      <c r="AC330" s="1152"/>
      <c r="AE330" s="1149"/>
      <c r="AF330" s="1155"/>
      <c r="AG330" s="388"/>
      <c r="AH330" s="389"/>
      <c r="AI330" s="1140"/>
      <c r="AJ330" s="1152"/>
      <c r="AK330" s="1140"/>
      <c r="AL330" s="1152"/>
      <c r="AM330" s="1140"/>
      <c r="AN330" s="1152"/>
      <c r="AO330" s="1140"/>
      <c r="AP330" s="1152"/>
      <c r="AQ330" s="1158"/>
      <c r="AR330" s="1152"/>
    </row>
    <row r="331" spans="1:44" ht="16" thickBot="1">
      <c r="B331" s="574"/>
      <c r="C331" s="578"/>
      <c r="D331" s="578"/>
      <c r="E331" s="578"/>
      <c r="F331" s="578"/>
      <c r="G331" s="578"/>
      <c r="H331" s="578"/>
      <c r="I331" s="578"/>
      <c r="J331" s="578"/>
      <c r="K331" s="579"/>
      <c r="L331" s="580"/>
      <c r="M331" s="370"/>
      <c r="N331" s="370"/>
      <c r="O331" s="71"/>
      <c r="P331" s="1149"/>
      <c r="Q331" s="1156"/>
      <c r="R331" s="393"/>
      <c r="S331" s="394"/>
      <c r="T331" s="1141"/>
      <c r="U331" s="1153"/>
      <c r="V331" s="1141"/>
      <c r="W331" s="1153"/>
      <c r="X331" s="1141"/>
      <c r="Y331" s="1153"/>
      <c r="Z331" s="1141"/>
      <c r="AA331" s="1153"/>
      <c r="AB331" s="1159"/>
      <c r="AC331" s="1153"/>
      <c r="AE331" s="1149"/>
      <c r="AF331" s="1156"/>
      <c r="AG331" s="393"/>
      <c r="AH331" s="394"/>
      <c r="AI331" s="1141"/>
      <c r="AJ331" s="1153"/>
      <c r="AK331" s="1141"/>
      <c r="AL331" s="1153"/>
      <c r="AM331" s="1141"/>
      <c r="AN331" s="1153"/>
      <c r="AO331" s="1141"/>
      <c r="AP331" s="1153"/>
      <c r="AQ331" s="1159"/>
      <c r="AR331" s="1153"/>
    </row>
    <row r="332" spans="1:44" ht="14.5" customHeight="1">
      <c r="B332" s="574"/>
      <c r="C332" s="581"/>
      <c r="D332" s="581"/>
      <c r="E332" s="581"/>
      <c r="F332" s="581"/>
      <c r="G332" s="581"/>
      <c r="H332" s="581"/>
      <c r="I332" s="581"/>
      <c r="J332" s="581"/>
      <c r="K332" s="579"/>
      <c r="L332" s="580"/>
      <c r="M332" s="370"/>
      <c r="N332" s="370"/>
      <c r="O332" s="71"/>
      <c r="P332" s="1149"/>
      <c r="Q332" s="1145"/>
      <c r="R332" s="395"/>
      <c r="S332" s="396"/>
      <c r="T332" s="1137"/>
      <c r="U332" s="1137"/>
      <c r="V332" s="1137"/>
      <c r="W332" s="1137"/>
      <c r="X332" s="1137"/>
      <c r="Y332" s="1137"/>
      <c r="Z332" s="1137"/>
      <c r="AA332" s="1137"/>
      <c r="AB332" s="1137"/>
      <c r="AC332" s="1137"/>
      <c r="AE332" s="1149"/>
      <c r="AF332" s="1145"/>
      <c r="AG332" s="395"/>
      <c r="AH332" s="396"/>
      <c r="AI332" s="1137"/>
      <c r="AJ332" s="1137"/>
      <c r="AK332" s="1137"/>
      <c r="AL332" s="1137"/>
      <c r="AM332" s="1137"/>
      <c r="AN332" s="1137"/>
      <c r="AO332" s="1137"/>
      <c r="AP332" s="1137"/>
      <c r="AQ332" s="1137"/>
      <c r="AR332" s="1137"/>
    </row>
    <row r="333" spans="1:44">
      <c r="B333" s="574"/>
      <c r="C333" s="582"/>
      <c r="D333" s="582"/>
      <c r="E333" s="582"/>
      <c r="F333" s="582"/>
      <c r="G333" s="582"/>
      <c r="H333" s="582"/>
      <c r="I333" s="582"/>
      <c r="J333" s="582"/>
      <c r="K333" s="579"/>
      <c r="L333" s="580"/>
      <c r="M333" s="367"/>
      <c r="N333" s="367"/>
      <c r="O333" s="71"/>
      <c r="P333" s="1149"/>
      <c r="Q333" s="1146"/>
      <c r="R333" s="395"/>
      <c r="S333" s="396"/>
      <c r="T333" s="1138"/>
      <c r="U333" s="1138"/>
      <c r="V333" s="1138"/>
      <c r="W333" s="1138"/>
      <c r="X333" s="1138"/>
      <c r="Y333" s="1138"/>
      <c r="Z333" s="1138"/>
      <c r="AA333" s="1138"/>
      <c r="AB333" s="1140"/>
      <c r="AC333" s="1138"/>
      <c r="AE333" s="1149"/>
      <c r="AF333" s="1146"/>
      <c r="AG333" s="395"/>
      <c r="AH333" s="396"/>
      <c r="AI333" s="1138"/>
      <c r="AJ333" s="1138"/>
      <c r="AK333" s="1138"/>
      <c r="AL333" s="1138"/>
      <c r="AM333" s="1138"/>
      <c r="AN333" s="1138"/>
      <c r="AO333" s="1138"/>
      <c r="AP333" s="1138"/>
      <c r="AQ333" s="1140"/>
      <c r="AR333" s="1138"/>
    </row>
    <row r="334" spans="1:44">
      <c r="B334" s="383"/>
      <c r="C334" s="397"/>
      <c r="D334" s="397"/>
      <c r="E334" s="397"/>
      <c r="F334" s="397"/>
      <c r="G334" s="398"/>
      <c r="H334" s="398"/>
      <c r="I334" s="398"/>
      <c r="J334" s="398"/>
      <c r="K334" s="372"/>
      <c r="L334" s="373"/>
      <c r="M334" s="363"/>
      <c r="N334" s="363"/>
      <c r="P334" s="1149"/>
      <c r="Q334" s="1146"/>
      <c r="R334" s="395"/>
      <c r="S334" s="396"/>
      <c r="T334" s="1138"/>
      <c r="U334" s="1138"/>
      <c r="V334" s="1138"/>
      <c r="W334" s="1138"/>
      <c r="X334" s="1138"/>
      <c r="Y334" s="1138"/>
      <c r="Z334" s="1138"/>
      <c r="AA334" s="1138"/>
      <c r="AB334" s="1140"/>
      <c r="AC334" s="1138"/>
      <c r="AE334" s="1149"/>
      <c r="AF334" s="1146"/>
      <c r="AG334" s="395"/>
      <c r="AH334" s="396"/>
      <c r="AI334" s="1138"/>
      <c r="AJ334" s="1138"/>
      <c r="AK334" s="1138"/>
      <c r="AL334" s="1138"/>
      <c r="AM334" s="1138"/>
      <c r="AN334" s="1138"/>
      <c r="AO334" s="1138"/>
      <c r="AP334" s="1138"/>
      <c r="AQ334" s="1140"/>
      <c r="AR334" s="1138"/>
    </row>
    <row r="335" spans="1:44" ht="16" thickBot="1">
      <c r="B335" s="574"/>
      <c r="C335" s="582"/>
      <c r="D335" s="582"/>
      <c r="E335" s="582"/>
      <c r="F335" s="582"/>
      <c r="G335" s="582"/>
      <c r="H335" s="582"/>
      <c r="I335" s="582"/>
      <c r="J335" s="582"/>
      <c r="K335" s="372"/>
      <c r="L335" s="373"/>
      <c r="M335" s="363"/>
      <c r="N335" s="363"/>
      <c r="P335" s="1149"/>
      <c r="Q335" s="1146"/>
      <c r="R335" s="395"/>
      <c r="S335" s="396"/>
      <c r="T335" s="1138"/>
      <c r="U335" s="1138"/>
      <c r="V335" s="1138"/>
      <c r="W335" s="1138"/>
      <c r="X335" s="1138"/>
      <c r="Y335" s="1138"/>
      <c r="Z335" s="1138"/>
      <c r="AA335" s="1138"/>
      <c r="AB335" s="1140"/>
      <c r="AC335" s="1138"/>
      <c r="AE335" s="1149"/>
      <c r="AF335" s="1146"/>
      <c r="AG335" s="395"/>
      <c r="AH335" s="396"/>
      <c r="AI335" s="1138"/>
      <c r="AJ335" s="1138"/>
      <c r="AK335" s="1138"/>
      <c r="AL335" s="1138"/>
      <c r="AM335" s="1138"/>
      <c r="AN335" s="1138"/>
      <c r="AO335" s="1138"/>
      <c r="AP335" s="1138"/>
      <c r="AQ335" s="1140"/>
      <c r="AR335" s="1138"/>
    </row>
    <row r="336" spans="1:44" ht="16" thickBot="1">
      <c r="B336" s="401"/>
      <c r="C336" s="583"/>
      <c r="D336" s="584"/>
      <c r="E336" s="585"/>
      <c r="F336" s="586"/>
      <c r="G336" s="406"/>
      <c r="H336" s="406"/>
      <c r="I336" s="406"/>
      <c r="J336" s="406"/>
      <c r="K336" s="407"/>
      <c r="L336" s="587"/>
      <c r="M336" s="363"/>
      <c r="N336" s="363"/>
      <c r="P336" s="1149"/>
      <c r="Q336" s="1147"/>
      <c r="R336" s="409"/>
      <c r="S336" s="410"/>
      <c r="T336" s="1139"/>
      <c r="U336" s="1139"/>
      <c r="V336" s="1139"/>
      <c r="W336" s="1139"/>
      <c r="X336" s="1139"/>
      <c r="Y336" s="1139"/>
      <c r="Z336" s="1139"/>
      <c r="AA336" s="1139"/>
      <c r="AB336" s="1141"/>
      <c r="AC336" s="1139"/>
      <c r="AE336" s="1149"/>
      <c r="AF336" s="1147"/>
      <c r="AG336" s="409"/>
      <c r="AH336" s="410"/>
      <c r="AI336" s="1139"/>
      <c r="AJ336" s="1139"/>
      <c r="AK336" s="1139"/>
      <c r="AL336" s="1139"/>
      <c r="AM336" s="1139"/>
      <c r="AN336" s="1139"/>
      <c r="AO336" s="1139"/>
      <c r="AP336" s="1139"/>
      <c r="AQ336" s="1141"/>
      <c r="AR336" s="1139"/>
    </row>
    <row r="337" spans="1:44" ht="16" thickBot="1">
      <c r="B337" s="574"/>
      <c r="C337" s="588"/>
      <c r="D337" s="588"/>
      <c r="E337" s="588"/>
      <c r="F337" s="588"/>
      <c r="G337" s="589"/>
      <c r="H337" s="589"/>
      <c r="I337" s="590"/>
      <c r="J337" s="590"/>
      <c r="K337" s="579"/>
      <c r="L337" s="580"/>
      <c r="M337" s="363"/>
      <c r="N337" s="363"/>
      <c r="P337" s="1150"/>
      <c r="Q337" s="411"/>
      <c r="R337" s="412"/>
      <c r="S337" s="413"/>
      <c r="T337" s="591"/>
      <c r="U337" s="592"/>
      <c r="V337" s="593"/>
      <c r="W337" s="592"/>
      <c r="X337" s="593"/>
      <c r="Y337" s="592"/>
      <c r="Z337" s="593"/>
      <c r="AA337" s="592"/>
      <c r="AB337" s="593"/>
      <c r="AC337" s="594"/>
      <c r="AE337" s="1150"/>
      <c r="AF337" s="411"/>
      <c r="AG337" s="412"/>
      <c r="AH337" s="413"/>
      <c r="AI337" s="591"/>
      <c r="AJ337" s="592"/>
      <c r="AK337" s="593"/>
      <c r="AL337" s="592"/>
      <c r="AM337" s="593"/>
      <c r="AN337" s="592"/>
      <c r="AO337" s="593"/>
      <c r="AP337" s="592"/>
      <c r="AQ337" s="593"/>
      <c r="AR337" s="594"/>
    </row>
    <row r="338" spans="1:44">
      <c r="B338" s="574"/>
      <c r="C338" s="582"/>
      <c r="D338" s="582"/>
      <c r="E338" s="582"/>
      <c r="F338" s="582"/>
      <c r="G338" s="595"/>
      <c r="H338" s="595"/>
      <c r="I338" s="595"/>
      <c r="J338" s="595"/>
      <c r="K338" s="596"/>
      <c r="L338" s="580"/>
      <c r="M338" s="363"/>
      <c r="N338" s="363"/>
    </row>
    <row r="339" spans="1:44">
      <c r="B339" s="574"/>
      <c r="C339" s="582"/>
      <c r="D339" s="582"/>
      <c r="E339" s="582"/>
      <c r="F339" s="582"/>
      <c r="G339" s="595"/>
      <c r="H339" s="595"/>
      <c r="I339" s="595"/>
      <c r="J339" s="595"/>
      <c r="K339" s="596"/>
      <c r="L339" s="580"/>
      <c r="M339" s="420"/>
      <c r="N339" s="363"/>
    </row>
    <row r="340" spans="1:44">
      <c r="B340" s="421"/>
      <c r="C340" s="399"/>
      <c r="D340" s="399"/>
      <c r="E340" s="399"/>
      <c r="F340" s="399"/>
      <c r="G340" s="422"/>
      <c r="H340" s="422"/>
      <c r="I340" s="422"/>
      <c r="J340" s="422"/>
      <c r="K340" s="423"/>
      <c r="L340" s="597"/>
      <c r="M340" s="420"/>
      <c r="N340" s="420"/>
    </row>
    <row r="341" spans="1:44">
      <c r="B341" s="383"/>
      <c r="C341" s="397"/>
      <c r="D341" s="397"/>
      <c r="E341" s="397"/>
      <c r="F341" s="397"/>
      <c r="G341" s="422"/>
      <c r="H341" s="425"/>
      <c r="I341" s="425"/>
      <c r="J341" s="425"/>
      <c r="K341" s="426"/>
      <c r="L341" s="427"/>
      <c r="M341" s="428"/>
      <c r="N341" s="428"/>
    </row>
    <row r="342" spans="1:44">
      <c r="B342" s="383"/>
      <c r="C342" s="397"/>
      <c r="D342" s="397"/>
      <c r="E342" s="397"/>
      <c r="F342" s="397"/>
      <c r="G342" s="425"/>
      <c r="H342" s="425"/>
      <c r="I342" s="425"/>
      <c r="J342" s="425"/>
      <c r="K342" s="423"/>
      <c r="L342" s="427"/>
      <c r="M342" s="428"/>
      <c r="N342" s="428"/>
    </row>
    <row r="343" spans="1:44">
      <c r="B343" s="383"/>
      <c r="C343" s="397"/>
      <c r="D343" s="397"/>
      <c r="E343" s="397"/>
      <c r="F343" s="397"/>
      <c r="G343" s="425"/>
      <c r="H343" s="425"/>
      <c r="I343" s="425"/>
      <c r="J343" s="425"/>
      <c r="K343" s="423"/>
      <c r="L343" s="427"/>
      <c r="M343" s="428"/>
      <c r="N343" s="428"/>
    </row>
    <row r="344" spans="1:44">
      <c r="B344" s="383"/>
      <c r="C344" s="397"/>
      <c r="D344" s="397"/>
      <c r="E344" s="397"/>
      <c r="F344" s="397"/>
      <c r="G344" s="425"/>
      <c r="H344" s="425"/>
      <c r="I344" s="425"/>
      <c r="J344" s="425"/>
      <c r="K344" s="423"/>
      <c r="L344" s="427"/>
      <c r="M344" s="428"/>
      <c r="N344" s="428"/>
    </row>
    <row r="345" spans="1:44" ht="16" thickBot="1">
      <c r="B345" s="429"/>
      <c r="C345" s="397"/>
      <c r="D345" s="397"/>
      <c r="E345" s="397"/>
      <c r="F345" s="397"/>
      <c r="G345" s="425"/>
      <c r="H345" s="425"/>
      <c r="I345" s="425"/>
      <c r="J345" s="425"/>
      <c r="K345" s="423"/>
      <c r="L345" s="427"/>
      <c r="M345" s="428"/>
      <c r="N345" s="428"/>
    </row>
    <row r="346" spans="1:44" ht="16" thickBot="1">
      <c r="B346" s="431"/>
      <c r="C346" s="598"/>
      <c r="D346" s="584"/>
      <c r="E346" s="584"/>
      <c r="F346" s="599"/>
      <c r="G346" s="434"/>
      <c r="H346" s="406"/>
      <c r="I346" s="406"/>
      <c r="J346" s="406"/>
      <c r="K346" s="407"/>
      <c r="L346" s="587"/>
      <c r="M346" s="428"/>
      <c r="N346" s="428"/>
    </row>
    <row r="347" spans="1:44">
      <c r="A347" s="435"/>
      <c r="B347" s="436"/>
      <c r="C347" s="600"/>
      <c r="D347" s="600"/>
      <c r="E347" s="600"/>
      <c r="F347" s="600"/>
      <c r="G347" s="425"/>
      <c r="H347" s="425"/>
      <c r="I347" s="425"/>
      <c r="J347" s="425"/>
      <c r="K347" s="426"/>
      <c r="L347" s="440"/>
      <c r="M347" s="420"/>
      <c r="N347" s="420"/>
    </row>
    <row r="348" spans="1:44">
      <c r="B348" s="441"/>
      <c r="C348" s="601"/>
      <c r="D348" s="601"/>
      <c r="E348" s="601"/>
      <c r="F348" s="601"/>
      <c r="G348" s="425"/>
      <c r="H348" s="425"/>
      <c r="I348" s="425"/>
      <c r="J348" s="425"/>
      <c r="K348" s="444"/>
      <c r="L348" s="373"/>
      <c r="M348" s="71"/>
      <c r="N348" s="420"/>
    </row>
    <row r="349" spans="1:44">
      <c r="B349" s="441"/>
      <c r="C349" s="601"/>
      <c r="D349" s="601"/>
      <c r="E349" s="601"/>
      <c r="F349" s="601"/>
      <c r="G349" s="425"/>
      <c r="H349" s="425"/>
      <c r="I349" s="425"/>
      <c r="J349" s="425"/>
      <c r="K349" s="444"/>
      <c r="L349" s="373"/>
      <c r="M349" s="420"/>
      <c r="N349" s="420"/>
    </row>
    <row r="350" spans="1:44">
      <c r="B350" s="383"/>
      <c r="C350" s="602"/>
      <c r="D350" s="603"/>
      <c r="E350" s="603"/>
      <c r="F350" s="604"/>
      <c r="G350" s="425"/>
      <c r="H350" s="425"/>
      <c r="I350" s="425"/>
      <c r="J350" s="425"/>
      <c r="K350" s="444"/>
      <c r="L350" s="373"/>
      <c r="M350" s="420"/>
      <c r="N350" s="420"/>
    </row>
    <row r="351" spans="1:44">
      <c r="B351" s="383"/>
      <c r="C351" s="605"/>
      <c r="D351" s="605"/>
      <c r="E351" s="605"/>
      <c r="F351" s="605"/>
      <c r="G351" s="425"/>
      <c r="H351" s="425"/>
      <c r="I351" s="425"/>
      <c r="J351" s="425"/>
      <c r="K351" s="444"/>
      <c r="L351" s="373"/>
      <c r="M351" s="450"/>
      <c r="N351" s="361"/>
      <c r="P351" s="1142"/>
      <c r="Q351" s="1143"/>
      <c r="R351" s="1143"/>
      <c r="S351" s="1143"/>
      <c r="T351" s="1143"/>
      <c r="U351" s="1144"/>
    </row>
    <row r="352" spans="1:44" ht="16" thickBot="1">
      <c r="B352" s="541"/>
      <c r="C352" s="552"/>
      <c r="D352" s="552"/>
      <c r="E352" s="552"/>
      <c r="F352" s="552"/>
      <c r="G352" s="553"/>
      <c r="H352" s="553"/>
      <c r="I352" s="553"/>
      <c r="J352" s="553"/>
      <c r="K352" s="547"/>
      <c r="L352" s="548"/>
      <c r="M352" s="450"/>
      <c r="N352" s="361"/>
      <c r="P352" s="1134"/>
      <c r="Q352" s="1135"/>
      <c r="R352" s="1135"/>
      <c r="S352" s="1135"/>
      <c r="T352" s="1135"/>
      <c r="U352" s="1136"/>
    </row>
    <row r="353" spans="2:30">
      <c r="B353" s="541"/>
      <c r="C353" s="606"/>
      <c r="D353" s="606"/>
      <c r="E353" s="606"/>
      <c r="F353" s="606"/>
      <c r="G353" s="553"/>
      <c r="H353" s="553"/>
      <c r="I353" s="553"/>
      <c r="J353" s="553"/>
      <c r="K353" s="547"/>
      <c r="L353" s="548"/>
      <c r="M353" s="363"/>
      <c r="N353" s="363"/>
      <c r="P353" s="53"/>
    </row>
    <row r="354" spans="2:30">
      <c r="B354" s="541"/>
      <c r="C354" s="607"/>
      <c r="D354" s="547"/>
      <c r="E354" s="547"/>
      <c r="F354" s="563"/>
      <c r="G354" s="550"/>
      <c r="H354" s="550"/>
      <c r="I354" s="550"/>
      <c r="J354" s="550"/>
      <c r="K354" s="547"/>
      <c r="L354" s="608"/>
      <c r="M354" s="367"/>
      <c r="N354" s="367"/>
      <c r="P354" s="46"/>
      <c r="Q354" s="46"/>
      <c r="R354" s="47"/>
      <c r="S354" s="47"/>
      <c r="T354" s="47"/>
      <c r="U354" s="48"/>
      <c r="V354" s="49"/>
      <c r="W354" s="49"/>
      <c r="X354" s="49"/>
      <c r="Y354" s="49"/>
      <c r="Z354" s="49"/>
      <c r="AA354" s="49"/>
      <c r="AB354" s="49"/>
      <c r="AC354" s="49"/>
      <c r="AD354" s="49"/>
    </row>
    <row r="355" spans="2:30" ht="16" thickBot="1">
      <c r="B355" s="566"/>
      <c r="C355" s="607"/>
      <c r="D355" s="609"/>
      <c r="E355" s="609"/>
      <c r="F355" s="610"/>
      <c r="G355" s="550"/>
      <c r="H355" s="550"/>
      <c r="I355" s="550"/>
      <c r="J355" s="550"/>
      <c r="K355" s="547"/>
      <c r="L355" s="608"/>
      <c r="M355" s="363"/>
      <c r="N355" s="363"/>
      <c r="O355" s="71"/>
      <c r="P355" s="50"/>
      <c r="Q355" s="50"/>
      <c r="R355" s="51"/>
      <c r="S355" s="51"/>
      <c r="T355" s="51"/>
      <c r="U355" s="51"/>
      <c r="V355" s="50"/>
      <c r="W355" s="50"/>
      <c r="X355" s="50"/>
      <c r="Y355" s="50"/>
      <c r="Z355" s="50"/>
      <c r="AA355" s="50"/>
      <c r="AB355" s="50"/>
      <c r="AC355" s="50"/>
      <c r="AD355" s="50"/>
    </row>
    <row r="356" spans="2:30" ht="16" thickBot="1">
      <c r="B356" s="611"/>
      <c r="C356" s="612"/>
      <c r="D356" s="613"/>
      <c r="E356" s="614"/>
      <c r="F356" s="615"/>
      <c r="G356" s="540"/>
      <c r="H356" s="540"/>
      <c r="I356" s="540"/>
      <c r="J356" s="540"/>
      <c r="K356" s="616"/>
      <c r="L356" s="617"/>
      <c r="M356" s="363"/>
      <c r="N356" s="363"/>
      <c r="O356" s="461"/>
      <c r="P356" s="56"/>
      <c r="Q356" s="56"/>
      <c r="R356" s="57"/>
      <c r="S356" s="57"/>
      <c r="T356" s="57"/>
      <c r="U356" s="56"/>
      <c r="V356" s="56"/>
      <c r="W356" s="56"/>
      <c r="X356" s="56"/>
      <c r="Y356" s="56"/>
      <c r="Z356" s="56"/>
      <c r="AA356" s="56"/>
      <c r="AB356" s="56"/>
      <c r="AC356" s="56"/>
      <c r="AD356" s="56"/>
    </row>
    <row r="357" spans="2:30">
      <c r="B357" s="556"/>
      <c r="C357" s="618"/>
      <c r="D357" s="618"/>
      <c r="E357" s="618"/>
      <c r="F357" s="618"/>
      <c r="G357" s="618"/>
      <c r="H357" s="618"/>
      <c r="I357" s="618"/>
      <c r="J357" s="618"/>
      <c r="K357" s="618"/>
      <c r="L357" s="619"/>
      <c r="M357" s="363"/>
      <c r="N357" s="363"/>
      <c r="O357" s="620"/>
      <c r="P357" s="466"/>
      <c r="Q357" s="58"/>
      <c r="R357" s="466"/>
      <c r="S357" s="58"/>
      <c r="T357" s="466"/>
      <c r="U357" s="467"/>
      <c r="V357" s="467"/>
      <c r="W357" s="467"/>
      <c r="X357" s="58"/>
      <c r="Y357" s="58"/>
      <c r="Z357" s="466"/>
      <c r="AA357" s="468"/>
      <c r="AB357" s="468"/>
      <c r="AC357" s="468"/>
      <c r="AD357" s="468"/>
    </row>
    <row r="358" spans="2:30">
      <c r="B358" s="541"/>
      <c r="C358" s="558"/>
      <c r="D358" s="558"/>
      <c r="E358" s="558"/>
      <c r="F358" s="558"/>
      <c r="G358" s="563"/>
      <c r="H358" s="563"/>
      <c r="I358" s="563"/>
      <c r="J358" s="563"/>
      <c r="K358" s="563"/>
      <c r="L358" s="548"/>
      <c r="M358" s="363"/>
      <c r="N358" s="363"/>
      <c r="O358" s="620"/>
      <c r="P358" s="466"/>
      <c r="Q358" s="58"/>
      <c r="R358" s="466"/>
      <c r="S358" s="58"/>
      <c r="T358" s="466"/>
      <c r="U358" s="467"/>
      <c r="V358" s="467"/>
      <c r="W358" s="467"/>
      <c r="X358" s="58"/>
      <c r="Y358" s="58"/>
      <c r="Z358" s="466"/>
      <c r="AA358" s="468"/>
      <c r="AB358" s="468"/>
      <c r="AC358" s="468"/>
      <c r="AD358" s="468"/>
    </row>
    <row r="359" spans="2:30">
      <c r="B359" s="541"/>
      <c r="C359" s="558"/>
      <c r="D359" s="558"/>
      <c r="E359" s="558"/>
      <c r="F359" s="558"/>
      <c r="G359" s="563"/>
      <c r="H359" s="563"/>
      <c r="I359" s="563"/>
      <c r="J359" s="563"/>
      <c r="K359" s="563"/>
      <c r="L359" s="548"/>
      <c r="M359" s="363"/>
      <c r="N359" s="363"/>
      <c r="O359" s="620"/>
      <c r="P359" s="466"/>
      <c r="Q359" s="58"/>
      <c r="R359" s="466"/>
      <c r="S359" s="58"/>
      <c r="T359" s="466"/>
      <c r="U359" s="467"/>
      <c r="V359" s="467"/>
      <c r="W359" s="467"/>
      <c r="X359" s="58"/>
      <c r="Y359" s="58"/>
      <c r="Z359" s="466"/>
      <c r="AA359" s="468"/>
      <c r="AB359" s="468"/>
      <c r="AC359" s="468"/>
      <c r="AD359" s="468"/>
    </row>
    <row r="360" spans="2:30">
      <c r="B360" s="541"/>
      <c r="C360" s="564"/>
      <c r="D360" s="564"/>
      <c r="E360" s="564"/>
      <c r="F360" s="564"/>
      <c r="G360" s="621"/>
      <c r="H360" s="621"/>
      <c r="I360" s="621"/>
      <c r="J360" s="621"/>
      <c r="K360" s="621"/>
      <c r="L360" s="548"/>
      <c r="M360" s="363"/>
      <c r="N360" s="363"/>
      <c r="O360" s="620"/>
      <c r="P360" s="466"/>
      <c r="Q360" s="58"/>
      <c r="R360" s="466"/>
      <c r="S360" s="58"/>
      <c r="T360" s="466"/>
      <c r="U360" s="467"/>
      <c r="V360" s="467"/>
      <c r="W360" s="467"/>
      <c r="X360" s="58"/>
      <c r="Y360" s="58"/>
      <c r="Z360" s="466"/>
      <c r="AA360" s="468"/>
      <c r="AB360" s="468"/>
      <c r="AC360" s="468"/>
      <c r="AD360" s="468"/>
    </row>
    <row r="361" spans="2:30">
      <c r="B361" s="566"/>
      <c r="C361" s="558"/>
      <c r="D361" s="558"/>
      <c r="E361" s="558"/>
      <c r="F361" s="558"/>
      <c r="G361" s="563"/>
      <c r="H361" s="563"/>
      <c r="I361" s="563"/>
      <c r="J361" s="563"/>
      <c r="K361" s="563"/>
      <c r="L361" s="548"/>
      <c r="M361" s="367"/>
      <c r="N361" s="367"/>
    </row>
    <row r="362" spans="2:30">
      <c r="B362" s="566"/>
      <c r="C362" s="558"/>
      <c r="D362" s="558"/>
      <c r="E362" s="558"/>
      <c r="F362" s="558"/>
      <c r="G362" s="563"/>
      <c r="H362" s="563"/>
      <c r="I362" s="563"/>
      <c r="J362" s="563"/>
      <c r="K362" s="563"/>
      <c r="L362" s="548"/>
      <c r="M362" s="363"/>
      <c r="N362" s="363"/>
    </row>
    <row r="363" spans="2:30" ht="16" thickBot="1">
      <c r="B363" s="567"/>
      <c r="C363" s="622"/>
      <c r="D363" s="622"/>
      <c r="E363" s="622"/>
      <c r="F363" s="622"/>
      <c r="G363" s="623"/>
      <c r="H363" s="623"/>
      <c r="I363" s="623"/>
      <c r="J363" s="623"/>
      <c r="K363" s="623"/>
      <c r="L363" s="624"/>
      <c r="M363" s="363"/>
      <c r="N363" s="363"/>
    </row>
    <row r="364" spans="2:30">
      <c r="B364" s="461"/>
      <c r="C364" s="483"/>
      <c r="D364" s="483"/>
      <c r="E364" s="483"/>
      <c r="F364" s="483"/>
      <c r="G364" s="483"/>
      <c r="H364" s="484"/>
      <c r="I364" s="420"/>
      <c r="J364" s="420"/>
      <c r="K364" s="484"/>
      <c r="L364" s="484"/>
      <c r="N364" s="420"/>
    </row>
    <row r="365" spans="2:30">
      <c r="B365" s="485"/>
      <c r="C365" s="486"/>
      <c r="D365" s="486"/>
      <c r="E365" s="486"/>
      <c r="F365" s="486"/>
      <c r="G365" s="486"/>
      <c r="H365" s="484"/>
      <c r="I365" s="71"/>
      <c r="J365" s="420"/>
      <c r="K365" s="484"/>
      <c r="L365" s="484"/>
      <c r="N365" s="420"/>
    </row>
    <row r="366" spans="2:30">
      <c r="B366" s="461"/>
      <c r="C366" s="359"/>
      <c r="D366" s="359"/>
      <c r="E366" s="359"/>
      <c r="F366" s="359"/>
      <c r="G366" s="359"/>
      <c r="I366" s="420"/>
      <c r="J366" s="420"/>
      <c r="N366" s="420"/>
    </row>
    <row r="367" spans="2:30">
      <c r="B367" s="461"/>
      <c r="C367" s="487"/>
      <c r="D367" s="487"/>
      <c r="E367" s="487"/>
      <c r="F367" s="487"/>
      <c r="G367" s="359"/>
      <c r="M367" s="420"/>
      <c r="N367" s="420"/>
    </row>
    <row r="370" spans="1:11">
      <c r="A370" s="488"/>
      <c r="B370" s="489"/>
      <c r="D370" s="358"/>
      <c r="E370" s="358"/>
      <c r="F370" s="358"/>
      <c r="G370" s="358"/>
      <c r="H370" s="358"/>
      <c r="I370" s="358"/>
      <c r="J370" s="358"/>
      <c r="K370" s="358"/>
    </row>
    <row r="371" spans="1:11">
      <c r="A371" s="358"/>
      <c r="B371" s="490"/>
      <c r="E371" s="358"/>
      <c r="F371" s="358"/>
      <c r="G371" s="358"/>
      <c r="H371" s="358"/>
      <c r="I371" s="358"/>
      <c r="J371" s="358"/>
      <c r="K371" s="358"/>
    </row>
    <row r="372" spans="1:11">
      <c r="A372" s="358"/>
      <c r="B372" s="490"/>
      <c r="E372" s="358"/>
      <c r="F372" s="358"/>
      <c r="G372" s="358"/>
      <c r="H372" s="358"/>
      <c r="I372" s="358"/>
      <c r="J372" s="358"/>
      <c r="K372" s="358"/>
    </row>
    <row r="373" spans="1:11">
      <c r="A373" s="358"/>
      <c r="B373" s="490"/>
      <c r="E373" s="358"/>
      <c r="F373" s="358"/>
      <c r="G373" s="358"/>
      <c r="H373" s="358"/>
      <c r="I373" s="358"/>
      <c r="J373" s="358"/>
      <c r="K373" s="358"/>
    </row>
    <row r="374" spans="1:11">
      <c r="A374" s="358"/>
      <c r="B374" s="490"/>
      <c r="E374" s="358"/>
      <c r="F374" s="358"/>
      <c r="G374" s="358"/>
      <c r="H374" s="358"/>
      <c r="I374" s="358"/>
      <c r="J374" s="358"/>
      <c r="K374" s="358"/>
    </row>
    <row r="375" spans="1:11">
      <c r="A375" s="358"/>
      <c r="B375" s="490"/>
      <c r="E375" s="358"/>
      <c r="F375" s="358"/>
      <c r="G375" s="358"/>
      <c r="H375" s="358"/>
      <c r="I375" s="358"/>
      <c r="J375" s="358"/>
      <c r="K375" s="358"/>
    </row>
    <row r="376" spans="1:11">
      <c r="A376" s="358"/>
      <c r="B376" s="490"/>
      <c r="E376" s="358"/>
      <c r="F376" s="358"/>
      <c r="G376" s="358"/>
      <c r="H376" s="358"/>
      <c r="I376" s="358"/>
      <c r="J376" s="358"/>
      <c r="K376" s="358"/>
    </row>
    <row r="377" spans="1:11">
      <c r="A377" s="358"/>
      <c r="B377" s="490"/>
      <c r="E377" s="358"/>
      <c r="F377" s="358"/>
      <c r="G377" s="358"/>
      <c r="H377" s="358"/>
      <c r="I377" s="358"/>
      <c r="J377" s="358"/>
      <c r="K377" s="358"/>
    </row>
    <row r="378" spans="1:11">
      <c r="A378" s="358"/>
      <c r="B378" s="625"/>
      <c r="E378" s="358"/>
      <c r="F378" s="358"/>
      <c r="G378" s="358"/>
      <c r="H378" s="358"/>
      <c r="I378" s="358"/>
      <c r="J378" s="358"/>
      <c r="K378" s="358"/>
    </row>
    <row r="379" spans="1:11">
      <c r="A379" s="358"/>
      <c r="B379" s="490"/>
      <c r="E379" s="358"/>
      <c r="F379" s="358"/>
      <c r="G379" s="358"/>
      <c r="H379" s="358"/>
      <c r="I379" s="358"/>
      <c r="J379" s="358"/>
      <c r="K379" s="358"/>
    </row>
    <row r="380" spans="1:11">
      <c r="A380" s="488"/>
      <c r="B380" s="489"/>
      <c r="E380" s="358"/>
      <c r="F380" s="358"/>
      <c r="G380" s="358"/>
      <c r="H380" s="358"/>
      <c r="I380" s="358"/>
      <c r="J380" s="358"/>
      <c r="K380" s="358"/>
    </row>
    <row r="381" spans="1:11">
      <c r="A381" s="496"/>
      <c r="B381" s="490"/>
      <c r="C381" s="489"/>
      <c r="E381" s="358"/>
      <c r="F381" s="358"/>
      <c r="G381" s="358"/>
      <c r="H381" s="358"/>
      <c r="I381" s="358"/>
      <c r="J381" s="358"/>
      <c r="K381" s="358"/>
    </row>
    <row r="382" spans="1:11">
      <c r="A382" s="496"/>
      <c r="B382" s="490"/>
      <c r="C382" s="489"/>
      <c r="E382" s="358"/>
      <c r="F382" s="358"/>
      <c r="G382" s="358"/>
      <c r="H382" s="358"/>
      <c r="I382" s="358"/>
      <c r="J382" s="358"/>
      <c r="K382" s="358"/>
    </row>
    <row r="383" spans="1:11">
      <c r="A383" s="496"/>
      <c r="B383" s="490"/>
      <c r="C383" s="489"/>
      <c r="E383" s="358"/>
      <c r="F383" s="358"/>
      <c r="G383" s="358"/>
      <c r="H383" s="358"/>
      <c r="I383" s="358"/>
      <c r="J383" s="358"/>
      <c r="K383" s="358"/>
    </row>
    <row r="384" spans="1:11">
      <c r="A384" s="496"/>
      <c r="B384" s="490"/>
      <c r="C384" s="489"/>
      <c r="E384" s="358"/>
      <c r="F384" s="358"/>
      <c r="G384" s="358"/>
      <c r="H384" s="358"/>
      <c r="I384" s="358"/>
      <c r="J384" s="358"/>
      <c r="K384" s="358"/>
    </row>
    <row r="385" spans="1:11" ht="15.75" customHeight="1">
      <c r="A385" s="496"/>
      <c r="B385" s="490"/>
      <c r="C385" s="489"/>
      <c r="E385" s="358"/>
      <c r="F385" s="358"/>
      <c r="G385" s="358"/>
      <c r="H385" s="358"/>
      <c r="I385" s="358"/>
      <c r="J385" s="358"/>
      <c r="K385" s="358"/>
    </row>
    <row r="386" spans="1:11" ht="15.75" customHeight="1">
      <c r="A386" s="496"/>
      <c r="B386" s="490"/>
      <c r="C386" s="489"/>
      <c r="E386" s="358"/>
      <c r="F386" s="358"/>
      <c r="G386" s="358"/>
      <c r="H386" s="358"/>
      <c r="I386" s="358"/>
      <c r="J386" s="358"/>
      <c r="K386" s="358"/>
    </row>
  </sheetData>
  <mergeCells count="398">
    <mergeCell ref="AO251:AO253"/>
    <mergeCell ref="AP251:AP253"/>
    <mergeCell ref="AQ251:AQ253"/>
    <mergeCell ref="AR251:AR253"/>
    <mergeCell ref="Z251:Z253"/>
    <mergeCell ref="AA251:AA253"/>
    <mergeCell ref="AF251:AF253"/>
    <mergeCell ref="AI251:AI253"/>
    <mergeCell ref="AJ251:AJ253"/>
    <mergeCell ref="AK251:AK253"/>
    <mergeCell ref="AB251:AB253"/>
    <mergeCell ref="AC251:AC253"/>
    <mergeCell ref="AL251:AL253"/>
    <mergeCell ref="AM251:AM253"/>
    <mergeCell ref="AE251:AE259"/>
    <mergeCell ref="AO254:AO258"/>
    <mergeCell ref="AP254:AP258"/>
    <mergeCell ref="AQ254:AQ258"/>
    <mergeCell ref="AR254:AR258"/>
    <mergeCell ref="AC254:AC258"/>
    <mergeCell ref="AF254:AF258"/>
    <mergeCell ref="AI254:AI258"/>
    <mergeCell ref="AJ254:AJ258"/>
    <mergeCell ref="AK254:AK258"/>
    <mergeCell ref="K248:K249"/>
    <mergeCell ref="L248:L249"/>
    <mergeCell ref="P248:P250"/>
    <mergeCell ref="AE248:AE250"/>
    <mergeCell ref="Q249:Q250"/>
    <mergeCell ref="R249:R250"/>
    <mergeCell ref="AO247:AP249"/>
    <mergeCell ref="AQ247:AR249"/>
    <mergeCell ref="Z247:AA249"/>
    <mergeCell ref="AB247:AC249"/>
    <mergeCell ref="AH247:AH250"/>
    <mergeCell ref="AI247:AJ249"/>
    <mergeCell ref="AF249:AF250"/>
    <mergeCell ref="AG249:AG250"/>
    <mergeCell ref="P351:U351"/>
    <mergeCell ref="P352:U352"/>
    <mergeCell ref="B245:B246"/>
    <mergeCell ref="C245:M245"/>
    <mergeCell ref="P245:U245"/>
    <mergeCell ref="C246:M246"/>
    <mergeCell ref="C247:L247"/>
    <mergeCell ref="S247:S250"/>
    <mergeCell ref="T247:U249"/>
    <mergeCell ref="P329:P337"/>
    <mergeCell ref="Q329:Q331"/>
    <mergeCell ref="T329:T331"/>
    <mergeCell ref="U329:U331"/>
    <mergeCell ref="P251:P259"/>
    <mergeCell ref="Q251:Q253"/>
    <mergeCell ref="T251:T253"/>
    <mergeCell ref="U251:U253"/>
    <mergeCell ref="B248:B249"/>
    <mergeCell ref="C248:C249"/>
    <mergeCell ref="D248:D249"/>
    <mergeCell ref="E248:E249"/>
    <mergeCell ref="F248:F249"/>
    <mergeCell ref="G248:H248"/>
    <mergeCell ref="I248:J248"/>
    <mergeCell ref="W332:W336"/>
    <mergeCell ref="X332:X336"/>
    <mergeCell ref="Y332:Y336"/>
    <mergeCell ref="Z332:Z336"/>
    <mergeCell ref="AA332:AA336"/>
    <mergeCell ref="AB332:AB336"/>
    <mergeCell ref="AM329:AM331"/>
    <mergeCell ref="AN329:AN331"/>
    <mergeCell ref="AO329:AO331"/>
    <mergeCell ref="X329:X331"/>
    <mergeCell ref="Y329:Y331"/>
    <mergeCell ref="Z329:Z331"/>
    <mergeCell ref="AA329:AA331"/>
    <mergeCell ref="AB329:AB331"/>
    <mergeCell ref="AC329:AC331"/>
    <mergeCell ref="AM332:AM336"/>
    <mergeCell ref="AN332:AN336"/>
    <mergeCell ref="AO332:AO336"/>
    <mergeCell ref="AC332:AC336"/>
    <mergeCell ref="AF332:AF336"/>
    <mergeCell ref="AI332:AI336"/>
    <mergeCell ref="AJ332:AJ336"/>
    <mergeCell ref="AK332:AK336"/>
    <mergeCell ref="AL332:AL336"/>
    <mergeCell ref="AP329:AP331"/>
    <mergeCell ref="AQ329:AQ331"/>
    <mergeCell ref="AR329:AR331"/>
    <mergeCell ref="AE329:AE337"/>
    <mergeCell ref="AF329:AF331"/>
    <mergeCell ref="AI329:AI331"/>
    <mergeCell ref="AJ329:AJ331"/>
    <mergeCell ref="AK329:AK331"/>
    <mergeCell ref="AL329:AL331"/>
    <mergeCell ref="AP332:AP336"/>
    <mergeCell ref="AQ332:AQ336"/>
    <mergeCell ref="AR332:AR336"/>
    <mergeCell ref="V329:V331"/>
    <mergeCell ref="W329:W331"/>
    <mergeCell ref="Q332:Q336"/>
    <mergeCell ref="T332:T336"/>
    <mergeCell ref="U332:U336"/>
    <mergeCell ref="V332:V336"/>
    <mergeCell ref="AO325:AP327"/>
    <mergeCell ref="AQ325:AR327"/>
    <mergeCell ref="B326:B327"/>
    <mergeCell ref="C326:C327"/>
    <mergeCell ref="D326:D327"/>
    <mergeCell ref="E326:E327"/>
    <mergeCell ref="F326:F327"/>
    <mergeCell ref="G326:H326"/>
    <mergeCell ref="I326:J326"/>
    <mergeCell ref="K326:K327"/>
    <mergeCell ref="Z325:AA327"/>
    <mergeCell ref="AB325:AC327"/>
    <mergeCell ref="AH325:AH328"/>
    <mergeCell ref="AI325:AJ327"/>
    <mergeCell ref="AK325:AL327"/>
    <mergeCell ref="AM325:AN327"/>
    <mergeCell ref="AE326:AE328"/>
    <mergeCell ref="AF327:AF328"/>
    <mergeCell ref="AG327:AG328"/>
    <mergeCell ref="P273:U273"/>
    <mergeCell ref="C325:L325"/>
    <mergeCell ref="S325:S328"/>
    <mergeCell ref="T325:U327"/>
    <mergeCell ref="V325:W327"/>
    <mergeCell ref="X325:Y327"/>
    <mergeCell ref="L326:L327"/>
    <mergeCell ref="P326:P328"/>
    <mergeCell ref="Q327:Q328"/>
    <mergeCell ref="R327:R328"/>
    <mergeCell ref="P274:U274"/>
    <mergeCell ref="Z254:Z258"/>
    <mergeCell ref="AA254:AA258"/>
    <mergeCell ref="AB254:AB258"/>
    <mergeCell ref="AK247:AL249"/>
    <mergeCell ref="P194:U194"/>
    <mergeCell ref="P195:U195"/>
    <mergeCell ref="AM247:AN249"/>
    <mergeCell ref="Q254:Q258"/>
    <mergeCell ref="T254:T258"/>
    <mergeCell ref="U254:U258"/>
    <mergeCell ref="V254:V258"/>
    <mergeCell ref="W254:W258"/>
    <mergeCell ref="V251:V253"/>
    <mergeCell ref="W251:W253"/>
    <mergeCell ref="X251:X253"/>
    <mergeCell ref="Y251:Y253"/>
    <mergeCell ref="X254:X258"/>
    <mergeCell ref="Y254:Y258"/>
    <mergeCell ref="AM254:AM258"/>
    <mergeCell ref="AN254:AN258"/>
    <mergeCell ref="V247:W249"/>
    <mergeCell ref="X247:Y249"/>
    <mergeCell ref="AN251:AN253"/>
    <mergeCell ref="AL254:AL258"/>
    <mergeCell ref="X175:X179"/>
    <mergeCell ref="Y175:Y179"/>
    <mergeCell ref="Z175:Z179"/>
    <mergeCell ref="AA175:AA179"/>
    <mergeCell ref="AB175:AB179"/>
    <mergeCell ref="AM172:AM174"/>
    <mergeCell ref="AN172:AN174"/>
    <mergeCell ref="AO172:AO174"/>
    <mergeCell ref="X172:X174"/>
    <mergeCell ref="Y172:Y174"/>
    <mergeCell ref="Z172:Z174"/>
    <mergeCell ref="AA172:AA174"/>
    <mergeCell ref="AB172:AB174"/>
    <mergeCell ref="AC172:AC174"/>
    <mergeCell ref="AM175:AM179"/>
    <mergeCell ref="AN175:AN179"/>
    <mergeCell ref="AO175:AO179"/>
    <mergeCell ref="AC175:AC179"/>
    <mergeCell ref="AF175:AF179"/>
    <mergeCell ref="AI175:AI179"/>
    <mergeCell ref="AJ175:AJ179"/>
    <mergeCell ref="AK175:AK179"/>
    <mergeCell ref="AL175:AL179"/>
    <mergeCell ref="AP172:AP174"/>
    <mergeCell ref="AQ172:AQ174"/>
    <mergeCell ref="AR172:AR174"/>
    <mergeCell ref="AE172:AE180"/>
    <mergeCell ref="AF172:AF174"/>
    <mergeCell ref="AI172:AI174"/>
    <mergeCell ref="AJ172:AJ174"/>
    <mergeCell ref="AK172:AK174"/>
    <mergeCell ref="AL172:AL174"/>
    <mergeCell ref="AP175:AP179"/>
    <mergeCell ref="AQ175:AQ179"/>
    <mergeCell ref="AR175:AR179"/>
    <mergeCell ref="P172:P180"/>
    <mergeCell ref="Q172:Q174"/>
    <mergeCell ref="T172:T174"/>
    <mergeCell ref="U172:U174"/>
    <mergeCell ref="V172:V174"/>
    <mergeCell ref="W172:W174"/>
    <mergeCell ref="Q175:Q179"/>
    <mergeCell ref="T175:T179"/>
    <mergeCell ref="U175:U179"/>
    <mergeCell ref="V175:V179"/>
    <mergeCell ref="W175:W179"/>
    <mergeCell ref="AQ168:AR170"/>
    <mergeCell ref="B169:B170"/>
    <mergeCell ref="C169:C170"/>
    <mergeCell ref="D169:D170"/>
    <mergeCell ref="E169:E170"/>
    <mergeCell ref="F169:F170"/>
    <mergeCell ref="G169:H169"/>
    <mergeCell ref="I169:J169"/>
    <mergeCell ref="K169:K170"/>
    <mergeCell ref="L169:L170"/>
    <mergeCell ref="AB168:AC170"/>
    <mergeCell ref="AH168:AH171"/>
    <mergeCell ref="AI168:AJ170"/>
    <mergeCell ref="AK168:AL170"/>
    <mergeCell ref="AM168:AN170"/>
    <mergeCell ref="AO168:AP170"/>
    <mergeCell ref="AE169:AE171"/>
    <mergeCell ref="AF170:AF171"/>
    <mergeCell ref="AG170:AG171"/>
    <mergeCell ref="C168:L168"/>
    <mergeCell ref="S168:S171"/>
    <mergeCell ref="T168:U170"/>
    <mergeCell ref="V168:W170"/>
    <mergeCell ref="X168:Y170"/>
    <mergeCell ref="Z168:AA170"/>
    <mergeCell ref="P169:P171"/>
    <mergeCell ref="Q170:Q171"/>
    <mergeCell ref="R170:R171"/>
    <mergeCell ref="P112:U112"/>
    <mergeCell ref="P113:U113"/>
    <mergeCell ref="B166:B167"/>
    <mergeCell ref="C166:M166"/>
    <mergeCell ref="P166:U166"/>
    <mergeCell ref="C167:M167"/>
    <mergeCell ref="X93:X97"/>
    <mergeCell ref="Y93:Y97"/>
    <mergeCell ref="Z93:Z97"/>
    <mergeCell ref="AA93:AA97"/>
    <mergeCell ref="AB93:AB97"/>
    <mergeCell ref="AM90:AM92"/>
    <mergeCell ref="AN90:AN92"/>
    <mergeCell ref="AO90:AO92"/>
    <mergeCell ref="X90:X92"/>
    <mergeCell ref="Y90:Y92"/>
    <mergeCell ref="Z90:Z92"/>
    <mergeCell ref="AA90:AA92"/>
    <mergeCell ref="AB90:AB92"/>
    <mergeCell ref="AC90:AC92"/>
    <mergeCell ref="AM93:AM97"/>
    <mergeCell ref="AN93:AN97"/>
    <mergeCell ref="AO93:AO97"/>
    <mergeCell ref="AC93:AC97"/>
    <mergeCell ref="AF93:AF97"/>
    <mergeCell ref="AI93:AI97"/>
    <mergeCell ref="AJ93:AJ97"/>
    <mergeCell ref="AK93:AK97"/>
    <mergeCell ref="AL93:AL97"/>
    <mergeCell ref="AP90:AP92"/>
    <mergeCell ref="AQ90:AQ92"/>
    <mergeCell ref="AR90:AR92"/>
    <mergeCell ref="AE90:AE98"/>
    <mergeCell ref="AF90:AF92"/>
    <mergeCell ref="AI90:AI92"/>
    <mergeCell ref="AJ90:AJ92"/>
    <mergeCell ref="AK90:AK92"/>
    <mergeCell ref="AL90:AL92"/>
    <mergeCell ref="AP93:AP97"/>
    <mergeCell ref="AQ93:AQ97"/>
    <mergeCell ref="AR93:AR97"/>
    <mergeCell ref="P90:P98"/>
    <mergeCell ref="Q90:Q92"/>
    <mergeCell ref="T90:T92"/>
    <mergeCell ref="U90:U92"/>
    <mergeCell ref="V90:V92"/>
    <mergeCell ref="W90:W92"/>
    <mergeCell ref="Q93:Q97"/>
    <mergeCell ref="T93:T97"/>
    <mergeCell ref="U93:U97"/>
    <mergeCell ref="V93:V97"/>
    <mergeCell ref="W93:W97"/>
    <mergeCell ref="AQ86:AR88"/>
    <mergeCell ref="B87:B88"/>
    <mergeCell ref="C87:C88"/>
    <mergeCell ref="D87:D88"/>
    <mergeCell ref="E87:E88"/>
    <mergeCell ref="F87:F88"/>
    <mergeCell ref="G87:H87"/>
    <mergeCell ref="I87:J87"/>
    <mergeCell ref="K87:K88"/>
    <mergeCell ref="L87:L88"/>
    <mergeCell ref="AB86:AC88"/>
    <mergeCell ref="AH86:AH89"/>
    <mergeCell ref="AI86:AJ88"/>
    <mergeCell ref="AK86:AL88"/>
    <mergeCell ref="AM86:AN88"/>
    <mergeCell ref="AO86:AP88"/>
    <mergeCell ref="AE87:AE89"/>
    <mergeCell ref="AF88:AF89"/>
    <mergeCell ref="AG88:AG89"/>
    <mergeCell ref="C86:L86"/>
    <mergeCell ref="S86:S89"/>
    <mergeCell ref="T86:U88"/>
    <mergeCell ref="V86:W88"/>
    <mergeCell ref="X86:Y88"/>
    <mergeCell ref="Z86:AA88"/>
    <mergeCell ref="P87:P89"/>
    <mergeCell ref="Q88:Q89"/>
    <mergeCell ref="R88:R89"/>
    <mergeCell ref="C23:F27"/>
    <mergeCell ref="P33:U33"/>
    <mergeCell ref="P34:U34"/>
    <mergeCell ref="C42:F42"/>
    <mergeCell ref="B84:B85"/>
    <mergeCell ref="C84:M84"/>
    <mergeCell ref="P84:U84"/>
    <mergeCell ref="C85:M85"/>
    <mergeCell ref="X14:X18"/>
    <mergeCell ref="Y14:Y18"/>
    <mergeCell ref="Z14:Z18"/>
    <mergeCell ref="AA14:AA18"/>
    <mergeCell ref="AB14:AB18"/>
    <mergeCell ref="AM11:AM13"/>
    <mergeCell ref="AN11:AN13"/>
    <mergeCell ref="AO11:AO13"/>
    <mergeCell ref="X11:X13"/>
    <mergeCell ref="Y11:Y13"/>
    <mergeCell ref="Z11:Z13"/>
    <mergeCell ref="AA11:AA13"/>
    <mergeCell ref="AB11:AB13"/>
    <mergeCell ref="AC11:AC13"/>
    <mergeCell ref="AM14:AM18"/>
    <mergeCell ref="AN14:AN18"/>
    <mergeCell ref="AO14:AO18"/>
    <mergeCell ref="AC14:AC18"/>
    <mergeCell ref="AF14:AF18"/>
    <mergeCell ref="AI14:AI18"/>
    <mergeCell ref="AJ14:AJ18"/>
    <mergeCell ref="AK14:AK18"/>
    <mergeCell ref="AL14:AL18"/>
    <mergeCell ref="AP11:AP13"/>
    <mergeCell ref="AQ11:AQ13"/>
    <mergeCell ref="AR11:AR13"/>
    <mergeCell ref="AE11:AE19"/>
    <mergeCell ref="AF11:AF13"/>
    <mergeCell ref="AI11:AI13"/>
    <mergeCell ref="AJ11:AJ13"/>
    <mergeCell ref="AK11:AK13"/>
    <mergeCell ref="AL11:AL13"/>
    <mergeCell ref="AP14:AP18"/>
    <mergeCell ref="AQ14:AQ18"/>
    <mergeCell ref="AR14:AR18"/>
    <mergeCell ref="P11:P19"/>
    <mergeCell ref="Q11:Q13"/>
    <mergeCell ref="T11:T13"/>
    <mergeCell ref="U11:U13"/>
    <mergeCell ref="V11:V13"/>
    <mergeCell ref="W11:W13"/>
    <mergeCell ref="Q14:Q18"/>
    <mergeCell ref="T14:T18"/>
    <mergeCell ref="U14:U18"/>
    <mergeCell ref="V14:V18"/>
    <mergeCell ref="W14:W18"/>
    <mergeCell ref="AQ7:AR9"/>
    <mergeCell ref="B8:B9"/>
    <mergeCell ref="C8:C9"/>
    <mergeCell ref="D8:D9"/>
    <mergeCell ref="E8:E9"/>
    <mergeCell ref="F8:F9"/>
    <mergeCell ref="G8:H8"/>
    <mergeCell ref="V7:W9"/>
    <mergeCell ref="X7:Y9"/>
    <mergeCell ref="Z7:AA9"/>
    <mergeCell ref="AB7:AC9"/>
    <mergeCell ref="AH7:AH10"/>
    <mergeCell ref="AI7:AJ9"/>
    <mergeCell ref="AG9:AG10"/>
    <mergeCell ref="L8:L9"/>
    <mergeCell ref="P8:P10"/>
    <mergeCell ref="AE8:AE10"/>
    <mergeCell ref="Q9:Q10"/>
    <mergeCell ref="R9:R10"/>
    <mergeCell ref="AF9:AF10"/>
    <mergeCell ref="AK7:AL9"/>
    <mergeCell ref="AM7:AN9"/>
    <mergeCell ref="AO7:AP9"/>
    <mergeCell ref="B5:B6"/>
    <mergeCell ref="C5:M5"/>
    <mergeCell ref="P5:U5"/>
    <mergeCell ref="C6:M6"/>
    <mergeCell ref="C7:L7"/>
    <mergeCell ref="S7:S10"/>
    <mergeCell ref="T7:U9"/>
    <mergeCell ref="I8:J8"/>
    <mergeCell ref="K8:K9"/>
  </mergeCell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C5A8F4-4B49-41CE-96AA-26D664121508}">
  <sheetPr>
    <tabColor theme="3"/>
  </sheetPr>
  <dimension ref="A2:AR386"/>
  <sheetViews>
    <sheetView topLeftCell="N82" zoomScale="115" zoomScaleNormal="115" workbookViewId="0">
      <selection activeCell="P99" sqref="P99"/>
    </sheetView>
  </sheetViews>
  <sheetFormatPr baseColWidth="10" defaultColWidth="8.83203125" defaultRowHeight="15" outlineLevelRow="1"/>
  <cols>
    <col min="1" max="1" width="35" style="224" bestFit="1" customWidth="1"/>
    <col min="2" max="2" width="63.5" style="224" bestFit="1" customWidth="1"/>
    <col min="3" max="6" width="11" style="224" bestFit="1" customWidth="1"/>
    <col min="7" max="12" width="11" style="224" customWidth="1"/>
    <col min="13" max="13" width="8.83203125" style="224"/>
    <col min="14" max="14" width="4.5" style="224" customWidth="1"/>
    <col min="15" max="15" width="15.83203125" style="224" customWidth="1"/>
    <col min="16" max="16384" width="8.83203125" style="224"/>
  </cols>
  <sheetData>
    <row r="2" spans="1:44">
      <c r="B2" s="638" t="str">
        <f>C7</f>
        <v>Steam boiler, Coal</v>
      </c>
    </row>
    <row r="4" spans="1:44" ht="25" customHeight="1">
      <c r="E4" s="224" t="s">
        <v>358</v>
      </c>
      <c r="F4" s="359">
        <v>7.45</v>
      </c>
      <c r="G4" s="359" t="s">
        <v>328</v>
      </c>
    </row>
    <row r="5" spans="1:44" ht="15" customHeight="1">
      <c r="A5" s="360" t="s">
        <v>1095</v>
      </c>
      <c r="B5" s="1207"/>
      <c r="C5" s="1143"/>
      <c r="D5" s="1143"/>
      <c r="E5" s="1143"/>
      <c r="F5" s="1143"/>
      <c r="G5" s="1143"/>
      <c r="H5" s="1143"/>
      <c r="I5" s="1143"/>
      <c r="J5" s="1143"/>
      <c r="K5" s="1143"/>
      <c r="L5" s="1143"/>
      <c r="M5" s="1143"/>
      <c r="N5" s="693"/>
      <c r="P5" s="1143"/>
      <c r="Q5" s="1143"/>
      <c r="R5" s="1143"/>
      <c r="S5" s="1143"/>
      <c r="T5" s="1143"/>
      <c r="U5" s="1143"/>
    </row>
    <row r="6" spans="1:44" ht="15.75" customHeight="1" outlineLevel="1" thickBot="1">
      <c r="B6" s="1207"/>
      <c r="C6" s="1143"/>
      <c r="D6" s="1143"/>
      <c r="E6" s="1143"/>
      <c r="F6" s="1143"/>
      <c r="G6" s="1143"/>
      <c r="H6" s="1143"/>
      <c r="I6" s="1143"/>
      <c r="J6" s="1143"/>
      <c r="K6" s="1143"/>
      <c r="L6" s="1143"/>
      <c r="M6" s="1143"/>
      <c r="N6" s="693"/>
      <c r="P6" s="692">
        <v>1</v>
      </c>
      <c r="Q6" s="692">
        <v>2</v>
      </c>
      <c r="R6" s="692">
        <v>3</v>
      </c>
      <c r="S6" s="692">
        <v>4</v>
      </c>
      <c r="T6" s="692">
        <v>5</v>
      </c>
      <c r="U6" s="692">
        <v>6</v>
      </c>
      <c r="V6" s="692">
        <v>7</v>
      </c>
      <c r="W6" s="692">
        <v>8</v>
      </c>
      <c r="X6" s="692">
        <v>9</v>
      </c>
      <c r="Y6" s="692">
        <v>10</v>
      </c>
      <c r="Z6" s="692">
        <v>11</v>
      </c>
      <c r="AA6" s="692">
        <v>12</v>
      </c>
      <c r="AB6" s="692">
        <v>13</v>
      </c>
      <c r="AC6" s="692">
        <v>14</v>
      </c>
    </row>
    <row r="7" spans="1:44" ht="20.25" customHeight="1" outlineLevel="1" thickBot="1">
      <c r="B7" s="362" t="s">
        <v>0</v>
      </c>
      <c r="C7" s="1223" t="s">
        <v>1091</v>
      </c>
      <c r="D7" s="1224"/>
      <c r="E7" s="1224"/>
      <c r="F7" s="1224"/>
      <c r="G7" s="1224"/>
      <c r="H7" s="1224"/>
      <c r="I7" s="1224"/>
      <c r="J7" s="1224"/>
      <c r="K7" s="1224"/>
      <c r="L7" s="1225"/>
      <c r="M7" s="363"/>
      <c r="N7" s="363"/>
      <c r="P7" s="364" t="s">
        <v>713</v>
      </c>
      <c r="Q7" s="365"/>
      <c r="R7" s="366"/>
      <c r="S7" s="1176" t="s">
        <v>714</v>
      </c>
      <c r="T7" s="1160" t="s">
        <v>715</v>
      </c>
      <c r="U7" s="1161"/>
      <c r="V7" s="1160" t="s">
        <v>716</v>
      </c>
      <c r="W7" s="1161"/>
      <c r="X7" s="1160" t="s">
        <v>717</v>
      </c>
      <c r="Y7" s="1161"/>
      <c r="Z7" s="1160" t="s">
        <v>718</v>
      </c>
      <c r="AA7" s="1161"/>
      <c r="AB7" s="1160" t="s">
        <v>719</v>
      </c>
      <c r="AC7" s="1161"/>
      <c r="AE7" s="364" t="s">
        <v>720</v>
      </c>
      <c r="AF7" s="365"/>
      <c r="AG7" s="366"/>
      <c r="AH7" s="1176" t="s">
        <v>714</v>
      </c>
      <c r="AI7" s="1160" t="s">
        <v>715</v>
      </c>
      <c r="AJ7" s="1161"/>
      <c r="AK7" s="1160" t="s">
        <v>716</v>
      </c>
      <c r="AL7" s="1161"/>
      <c r="AM7" s="1160" t="s">
        <v>717</v>
      </c>
      <c r="AN7" s="1161"/>
      <c r="AO7" s="1160" t="s">
        <v>718</v>
      </c>
      <c r="AP7" s="1161"/>
      <c r="AQ7" s="1160" t="s">
        <v>719</v>
      </c>
      <c r="AR7" s="1161"/>
    </row>
    <row r="8" spans="1:44" ht="15" customHeight="1" outlineLevel="1" thickBot="1">
      <c r="B8" s="1164" t="s">
        <v>4</v>
      </c>
      <c r="C8" s="1166">
        <v>2020</v>
      </c>
      <c r="D8" s="1166">
        <v>2030</v>
      </c>
      <c r="E8" s="1166">
        <v>2040</v>
      </c>
      <c r="F8" s="1166">
        <v>2050</v>
      </c>
      <c r="G8" s="1230" t="s">
        <v>721</v>
      </c>
      <c r="H8" s="1218"/>
      <c r="I8" s="1217" t="s">
        <v>648</v>
      </c>
      <c r="J8" s="1226"/>
      <c r="K8" s="1219" t="s">
        <v>2</v>
      </c>
      <c r="L8" s="1219" t="s">
        <v>3</v>
      </c>
      <c r="M8" s="367"/>
      <c r="N8" s="367"/>
      <c r="P8" s="1180" t="s">
        <v>0</v>
      </c>
      <c r="Q8" s="368"/>
      <c r="R8" s="368"/>
      <c r="S8" s="1177"/>
      <c r="T8" s="1162"/>
      <c r="U8" s="1163"/>
      <c r="V8" s="1162"/>
      <c r="W8" s="1163"/>
      <c r="X8" s="1162"/>
      <c r="Y8" s="1163"/>
      <c r="Z8" s="1162"/>
      <c r="AA8" s="1163"/>
      <c r="AB8" s="1162"/>
      <c r="AC8" s="1163"/>
      <c r="AE8" s="1180" t="s">
        <v>0</v>
      </c>
      <c r="AF8" s="368"/>
      <c r="AG8" s="368"/>
      <c r="AH8" s="1177"/>
      <c r="AI8" s="1162"/>
      <c r="AJ8" s="1163"/>
      <c r="AK8" s="1162"/>
      <c r="AL8" s="1163"/>
      <c r="AM8" s="1162"/>
      <c r="AN8" s="1163"/>
      <c r="AO8" s="1162"/>
      <c r="AP8" s="1163"/>
      <c r="AQ8" s="1162"/>
      <c r="AR8" s="1163"/>
    </row>
    <row r="9" spans="1:44" ht="16" outlineLevel="1" thickBot="1">
      <c r="B9" s="1228"/>
      <c r="C9" s="1229"/>
      <c r="D9" s="1229"/>
      <c r="E9" s="1229"/>
      <c r="F9" s="1229"/>
      <c r="G9" s="369" t="s">
        <v>649</v>
      </c>
      <c r="H9" s="369" t="s">
        <v>650</v>
      </c>
      <c r="I9" s="369" t="s">
        <v>649</v>
      </c>
      <c r="J9" s="369" t="s">
        <v>650</v>
      </c>
      <c r="K9" s="1227"/>
      <c r="L9" s="1227"/>
      <c r="M9" s="370"/>
      <c r="N9" s="370"/>
      <c r="P9" s="1181"/>
      <c r="Q9" s="1183" t="s">
        <v>722</v>
      </c>
      <c r="R9" s="1184" t="s">
        <v>723</v>
      </c>
      <c r="S9" s="1178"/>
      <c r="T9" s="1162"/>
      <c r="U9" s="1163"/>
      <c r="V9" s="1162"/>
      <c r="W9" s="1163"/>
      <c r="X9" s="1162"/>
      <c r="Y9" s="1163"/>
      <c r="Z9" s="1162"/>
      <c r="AA9" s="1163"/>
      <c r="AB9" s="1162"/>
      <c r="AC9" s="1163"/>
      <c r="AE9" s="1181"/>
      <c r="AF9" s="1197" t="s">
        <v>722</v>
      </c>
      <c r="AG9" s="1184" t="s">
        <v>723</v>
      </c>
      <c r="AH9" s="1178"/>
      <c r="AI9" s="1162"/>
      <c r="AJ9" s="1163"/>
      <c r="AK9" s="1162"/>
      <c r="AL9" s="1163"/>
      <c r="AM9" s="1162"/>
      <c r="AN9" s="1163"/>
      <c r="AO9" s="1162"/>
      <c r="AP9" s="1163"/>
      <c r="AQ9" s="1162"/>
      <c r="AR9" s="1163"/>
    </row>
    <row r="10" spans="1:44" ht="54.5" customHeight="1" outlineLevel="1" thickBot="1">
      <c r="B10" s="371" t="s">
        <v>651</v>
      </c>
      <c r="C10" s="372">
        <v>20</v>
      </c>
      <c r="D10" s="372">
        <v>20</v>
      </c>
      <c r="E10" s="372">
        <v>20</v>
      </c>
      <c r="F10" s="372">
        <v>20</v>
      </c>
      <c r="G10" s="372">
        <v>1</v>
      </c>
      <c r="H10" s="372">
        <v>50</v>
      </c>
      <c r="I10" s="372">
        <v>1</v>
      </c>
      <c r="J10" s="372">
        <v>50</v>
      </c>
      <c r="K10" s="372" t="s">
        <v>6</v>
      </c>
      <c r="L10" s="373">
        <v>3</v>
      </c>
      <c r="M10" s="370"/>
      <c r="N10" s="370"/>
      <c r="O10" s="74"/>
      <c r="P10" s="1182"/>
      <c r="Q10" s="1179"/>
      <c r="R10" s="1185"/>
      <c r="S10" s="1179"/>
      <c r="T10" s="374" t="s">
        <v>726</v>
      </c>
      <c r="U10" s="375" t="s">
        <v>727</v>
      </c>
      <c r="V10" s="374" t="s">
        <v>726</v>
      </c>
      <c r="W10" s="375" t="s">
        <v>727</v>
      </c>
      <c r="X10" s="374" t="s">
        <v>726</v>
      </c>
      <c r="Y10" s="375" t="s">
        <v>727</v>
      </c>
      <c r="Z10" s="374" t="s">
        <v>726</v>
      </c>
      <c r="AA10" s="375" t="s">
        <v>727</v>
      </c>
      <c r="AB10" s="374" t="s">
        <v>726</v>
      </c>
      <c r="AC10" s="375" t="s">
        <v>727</v>
      </c>
      <c r="AE10" s="1182"/>
      <c r="AF10" s="1198"/>
      <c r="AG10" s="1185"/>
      <c r="AH10" s="1179"/>
      <c r="AI10" s="374" t="s">
        <v>726</v>
      </c>
      <c r="AJ10" s="375" t="s">
        <v>727</v>
      </c>
      <c r="AK10" s="374" t="s">
        <v>726</v>
      </c>
      <c r="AL10" s="375" t="s">
        <v>727</v>
      </c>
      <c r="AM10" s="374" t="s">
        <v>726</v>
      </c>
      <c r="AN10" s="375" t="s">
        <v>727</v>
      </c>
      <c r="AO10" s="374" t="s">
        <v>726</v>
      </c>
      <c r="AP10" s="375" t="s">
        <v>727</v>
      </c>
      <c r="AQ10" s="374" t="s">
        <v>726</v>
      </c>
      <c r="AR10" s="375" t="s">
        <v>727</v>
      </c>
    </row>
    <row r="11" spans="1:44" ht="24.5" customHeight="1" outlineLevel="1">
      <c r="B11" s="376" t="s">
        <v>728</v>
      </c>
      <c r="C11" s="639">
        <v>90</v>
      </c>
      <c r="D11" s="639">
        <v>90</v>
      </c>
      <c r="E11" s="640">
        <v>91</v>
      </c>
      <c r="F11" s="639">
        <v>92</v>
      </c>
      <c r="G11" s="639">
        <v>88</v>
      </c>
      <c r="H11" s="639">
        <f>(D11*1.02)</f>
        <v>91.8</v>
      </c>
      <c r="I11" s="639">
        <v>88</v>
      </c>
      <c r="J11" s="639">
        <f>(F11*1.02)</f>
        <v>93.84</v>
      </c>
      <c r="K11" s="379" t="s">
        <v>59</v>
      </c>
      <c r="L11" s="380" t="s">
        <v>729</v>
      </c>
      <c r="M11" s="370"/>
      <c r="N11" s="370"/>
      <c r="P11" s="1148" t="str">
        <f>C7</f>
        <v>Steam boiler, Coal</v>
      </c>
      <c r="Q11" s="1154" t="s">
        <v>730</v>
      </c>
      <c r="R11" s="381" t="s">
        <v>731</v>
      </c>
      <c r="S11" s="382"/>
      <c r="T11" s="1137">
        <v>0</v>
      </c>
      <c r="U11" s="1151">
        <v>1</v>
      </c>
      <c r="V11" s="1157">
        <v>0</v>
      </c>
      <c r="W11" s="1151">
        <v>1</v>
      </c>
      <c r="X11" s="1157">
        <v>0</v>
      </c>
      <c r="Y11" s="1151">
        <v>1</v>
      </c>
      <c r="Z11" s="1157">
        <v>0</v>
      </c>
      <c r="AA11" s="1151">
        <v>1</v>
      </c>
      <c r="AB11" s="1157">
        <v>0</v>
      </c>
      <c r="AC11" s="1151">
        <v>1</v>
      </c>
      <c r="AE11" s="1148" t="str">
        <f>P11</f>
        <v>Steam boiler, Coal</v>
      </c>
      <c r="AF11" s="1154" t="s">
        <v>730</v>
      </c>
      <c r="AG11" s="381" t="s">
        <v>731</v>
      </c>
      <c r="AH11" s="382"/>
      <c r="AI11" s="1137">
        <v>0</v>
      </c>
      <c r="AJ11" s="1151">
        <v>1</v>
      </c>
      <c r="AK11" s="1157">
        <v>0</v>
      </c>
      <c r="AL11" s="1151">
        <v>1</v>
      </c>
      <c r="AM11" s="1157">
        <v>0</v>
      </c>
      <c r="AN11" s="1151">
        <v>1</v>
      </c>
      <c r="AO11" s="1157">
        <v>0</v>
      </c>
      <c r="AP11" s="1151">
        <v>1</v>
      </c>
      <c r="AQ11" s="1157">
        <v>0</v>
      </c>
      <c r="AR11" s="1151">
        <v>1</v>
      </c>
    </row>
    <row r="12" spans="1:44" ht="32.5" customHeight="1" outlineLevel="1">
      <c r="B12" s="383" t="s">
        <v>732</v>
      </c>
      <c r="C12" s="577">
        <f t="shared" ref="C12:J12" si="0">(C11-1)</f>
        <v>89</v>
      </c>
      <c r="D12" s="577">
        <f t="shared" si="0"/>
        <v>89</v>
      </c>
      <c r="E12" s="577">
        <f t="shared" si="0"/>
        <v>90</v>
      </c>
      <c r="F12" s="577">
        <f t="shared" si="0"/>
        <v>91</v>
      </c>
      <c r="G12" s="641">
        <f t="shared" si="0"/>
        <v>87</v>
      </c>
      <c r="H12" s="641">
        <f t="shared" si="0"/>
        <v>90.8</v>
      </c>
      <c r="I12" s="641">
        <f t="shared" si="0"/>
        <v>87</v>
      </c>
      <c r="J12" s="641">
        <f t="shared" si="0"/>
        <v>92.84</v>
      </c>
      <c r="K12" s="386"/>
      <c r="L12" s="387" t="s">
        <v>729</v>
      </c>
      <c r="M12" s="370"/>
      <c r="N12" s="370"/>
      <c r="O12" s="71"/>
      <c r="P12" s="1195"/>
      <c r="Q12" s="1155"/>
      <c r="R12" s="388" t="s">
        <v>733</v>
      </c>
      <c r="S12" s="389"/>
      <c r="T12" s="1140"/>
      <c r="U12" s="1152"/>
      <c r="V12" s="1158"/>
      <c r="W12" s="1152"/>
      <c r="X12" s="1158"/>
      <c r="Y12" s="1152"/>
      <c r="Z12" s="1158"/>
      <c r="AA12" s="1152"/>
      <c r="AB12" s="1158"/>
      <c r="AC12" s="1152"/>
      <c r="AE12" s="1195"/>
      <c r="AF12" s="1155"/>
      <c r="AG12" s="388" t="s">
        <v>733</v>
      </c>
      <c r="AH12" s="389"/>
      <c r="AI12" s="1140"/>
      <c r="AJ12" s="1152"/>
      <c r="AK12" s="1158"/>
      <c r="AL12" s="1152"/>
      <c r="AM12" s="1158"/>
      <c r="AN12" s="1152"/>
      <c r="AO12" s="1158"/>
      <c r="AP12" s="1152"/>
      <c r="AQ12" s="1158"/>
      <c r="AR12" s="1152"/>
    </row>
    <row r="13" spans="1:44" ht="16" outlineLevel="1" thickBot="1">
      <c r="B13" s="376" t="s">
        <v>734</v>
      </c>
      <c r="C13" s="390">
        <v>1.1000000000000001</v>
      </c>
      <c r="D13" s="391">
        <v>1.1000000000000001</v>
      </c>
      <c r="E13" s="391">
        <v>1.1000000000000001</v>
      </c>
      <c r="F13" s="392">
        <v>1.1000000000000001</v>
      </c>
      <c r="G13" s="391">
        <v>1</v>
      </c>
      <c r="H13" s="391">
        <v>1.5</v>
      </c>
      <c r="I13" s="391">
        <v>1</v>
      </c>
      <c r="J13" s="391">
        <v>1.5</v>
      </c>
      <c r="K13" s="379" t="s">
        <v>16</v>
      </c>
      <c r="L13" s="380">
        <v>3</v>
      </c>
      <c r="M13" s="370"/>
      <c r="N13" s="370"/>
      <c r="O13" s="71"/>
      <c r="P13" s="1195"/>
      <c r="Q13" s="1156"/>
      <c r="R13" s="393" t="s">
        <v>735</v>
      </c>
      <c r="S13" s="394"/>
      <c r="T13" s="1141"/>
      <c r="U13" s="1153"/>
      <c r="V13" s="1159"/>
      <c r="W13" s="1153"/>
      <c r="X13" s="1159"/>
      <c r="Y13" s="1153"/>
      <c r="Z13" s="1159"/>
      <c r="AA13" s="1153"/>
      <c r="AB13" s="1159"/>
      <c r="AC13" s="1153"/>
      <c r="AE13" s="1195"/>
      <c r="AF13" s="1156"/>
      <c r="AG13" s="393" t="s">
        <v>735</v>
      </c>
      <c r="AH13" s="394"/>
      <c r="AI13" s="1141"/>
      <c r="AJ13" s="1153"/>
      <c r="AK13" s="1159"/>
      <c r="AL13" s="1153"/>
      <c r="AM13" s="1159"/>
      <c r="AN13" s="1153"/>
      <c r="AO13" s="1159"/>
      <c r="AP13" s="1153"/>
      <c r="AQ13" s="1159"/>
      <c r="AR13" s="1153"/>
    </row>
    <row r="14" spans="1:44" ht="15" customHeight="1" outlineLevel="1">
      <c r="B14" s="376" t="s">
        <v>657</v>
      </c>
      <c r="C14" s="675">
        <f>0.2+1</f>
        <v>1.2</v>
      </c>
      <c r="D14" s="675">
        <f>0.2+1</f>
        <v>1.2</v>
      </c>
      <c r="E14" s="675">
        <f>0.2+1</f>
        <v>1.2</v>
      </c>
      <c r="F14" s="675">
        <f>0.2+1</f>
        <v>1.2</v>
      </c>
      <c r="G14" s="674">
        <v>0.1</v>
      </c>
      <c r="H14" s="675">
        <f>0.2+2</f>
        <v>2.2000000000000002</v>
      </c>
      <c r="I14" s="674">
        <v>0.1</v>
      </c>
      <c r="J14" s="675">
        <f>0.2+2</f>
        <v>2.2000000000000002</v>
      </c>
      <c r="K14" s="379" t="s">
        <v>20</v>
      </c>
      <c r="L14" s="380">
        <v>3</v>
      </c>
      <c r="M14" s="370"/>
      <c r="N14" s="370"/>
      <c r="O14" s="71"/>
      <c r="P14" s="1195"/>
      <c r="Q14" s="1154" t="s">
        <v>736</v>
      </c>
      <c r="R14" s="395" t="s">
        <v>737</v>
      </c>
      <c r="S14" s="396" t="s">
        <v>738</v>
      </c>
      <c r="T14" s="1137">
        <v>0</v>
      </c>
      <c r="U14" s="1137">
        <v>1</v>
      </c>
      <c r="V14" s="1137">
        <v>0</v>
      </c>
      <c r="W14" s="1137">
        <v>1</v>
      </c>
      <c r="X14" s="1137">
        <v>0</v>
      </c>
      <c r="Y14" s="1137">
        <v>0.97</v>
      </c>
      <c r="Z14" s="1137">
        <v>0</v>
      </c>
      <c r="AA14" s="1137">
        <v>1</v>
      </c>
      <c r="AB14" s="1137">
        <v>0</v>
      </c>
      <c r="AC14" s="1151">
        <v>1</v>
      </c>
      <c r="AE14" s="1195"/>
      <c r="AF14" s="1154" t="s">
        <v>736</v>
      </c>
      <c r="AG14" s="395" t="s">
        <v>737</v>
      </c>
      <c r="AH14" s="396" t="s">
        <v>738</v>
      </c>
      <c r="AI14" s="1137">
        <v>0</v>
      </c>
      <c r="AJ14" s="1137">
        <v>1</v>
      </c>
      <c r="AK14" s="1137">
        <v>0</v>
      </c>
      <c r="AL14" s="1137">
        <v>1</v>
      </c>
      <c r="AM14" s="1137">
        <v>0</v>
      </c>
      <c r="AN14" s="1137">
        <v>0.97</v>
      </c>
      <c r="AO14" s="1137">
        <v>0</v>
      </c>
      <c r="AP14" s="1137">
        <v>1</v>
      </c>
      <c r="AQ14" s="1137">
        <v>0</v>
      </c>
      <c r="AR14" s="1151">
        <v>1</v>
      </c>
    </row>
    <row r="15" spans="1:44" outlineLevel="1">
      <c r="B15" s="376" t="s">
        <v>658</v>
      </c>
      <c r="C15" s="390">
        <f>0.5+0.4</f>
        <v>0.9</v>
      </c>
      <c r="D15" s="390">
        <f>0.5+0.4</f>
        <v>0.9</v>
      </c>
      <c r="E15" s="390">
        <f>0.5+0.4</f>
        <v>0.9</v>
      </c>
      <c r="F15" s="390">
        <f>0.5+0.4</f>
        <v>0.9</v>
      </c>
      <c r="G15" s="390">
        <f>0.5+0.3</f>
        <v>0.8</v>
      </c>
      <c r="H15" s="390">
        <f>0.5+0.6</f>
        <v>1.1000000000000001</v>
      </c>
      <c r="I15" s="390">
        <f>0.5+0.3</f>
        <v>0.8</v>
      </c>
      <c r="J15" s="390">
        <f>0.5+0.6</f>
        <v>1.1000000000000001</v>
      </c>
      <c r="K15" s="379" t="s">
        <v>20</v>
      </c>
      <c r="L15" s="380">
        <v>3</v>
      </c>
      <c r="M15" s="367"/>
      <c r="N15" s="367"/>
      <c r="O15" s="71"/>
      <c r="P15" s="1195"/>
      <c r="Q15" s="1155"/>
      <c r="R15" s="395" t="s">
        <v>739</v>
      </c>
      <c r="S15" s="396" t="s">
        <v>738</v>
      </c>
      <c r="T15" s="1191"/>
      <c r="U15" s="1191"/>
      <c r="V15" s="1191"/>
      <c r="W15" s="1191"/>
      <c r="X15" s="1191"/>
      <c r="Y15" s="1191"/>
      <c r="Z15" s="1191"/>
      <c r="AA15" s="1191"/>
      <c r="AB15" s="1191"/>
      <c r="AC15" s="1193"/>
      <c r="AE15" s="1195"/>
      <c r="AF15" s="1155"/>
      <c r="AG15" s="395" t="s">
        <v>739</v>
      </c>
      <c r="AH15" s="396" t="s">
        <v>738</v>
      </c>
      <c r="AI15" s="1191"/>
      <c r="AJ15" s="1191"/>
      <c r="AK15" s="1191"/>
      <c r="AL15" s="1191"/>
      <c r="AM15" s="1191"/>
      <c r="AN15" s="1191"/>
      <c r="AO15" s="1191"/>
      <c r="AP15" s="1191"/>
      <c r="AQ15" s="1191"/>
      <c r="AR15" s="1193"/>
    </row>
    <row r="16" spans="1:44" outlineLevel="1">
      <c r="B16" s="383" t="s">
        <v>11</v>
      </c>
      <c r="C16" s="397">
        <v>25</v>
      </c>
      <c r="D16" s="397">
        <v>25</v>
      </c>
      <c r="E16" s="397">
        <v>25</v>
      </c>
      <c r="F16" s="397">
        <v>25</v>
      </c>
      <c r="G16" s="398">
        <v>20</v>
      </c>
      <c r="H16" s="398">
        <v>30</v>
      </c>
      <c r="I16" s="398">
        <v>20</v>
      </c>
      <c r="J16" s="398">
        <v>30</v>
      </c>
      <c r="K16" s="372"/>
      <c r="L16" s="373" t="s">
        <v>740</v>
      </c>
      <c r="M16" s="363"/>
      <c r="N16" s="363"/>
      <c r="P16" s="1195"/>
      <c r="Q16" s="1155"/>
      <c r="R16" s="395" t="s">
        <v>741</v>
      </c>
      <c r="S16" s="396" t="s">
        <v>738</v>
      </c>
      <c r="T16" s="1191"/>
      <c r="U16" s="1191"/>
      <c r="V16" s="1191"/>
      <c r="W16" s="1191"/>
      <c r="X16" s="1191"/>
      <c r="Y16" s="1191"/>
      <c r="Z16" s="1191"/>
      <c r="AA16" s="1191"/>
      <c r="AB16" s="1191"/>
      <c r="AC16" s="1193"/>
      <c r="AE16" s="1195"/>
      <c r="AF16" s="1155"/>
      <c r="AG16" s="395" t="s">
        <v>741</v>
      </c>
      <c r="AH16" s="629" t="s">
        <v>738</v>
      </c>
      <c r="AI16" s="1191"/>
      <c r="AJ16" s="1191"/>
      <c r="AK16" s="1191"/>
      <c r="AL16" s="1191"/>
      <c r="AM16" s="1191"/>
      <c r="AN16" s="1191"/>
      <c r="AO16" s="1191"/>
      <c r="AP16" s="1191"/>
      <c r="AQ16" s="1191"/>
      <c r="AR16" s="1193"/>
    </row>
    <row r="17" spans="1:44" ht="16" outlineLevel="1" thickBot="1">
      <c r="B17" s="376" t="s">
        <v>273</v>
      </c>
      <c r="C17" s="399">
        <v>0.5</v>
      </c>
      <c r="D17" s="399">
        <v>0.5</v>
      </c>
      <c r="E17" s="399">
        <v>0.5</v>
      </c>
      <c r="F17" s="399">
        <v>0.5</v>
      </c>
      <c r="G17" s="399">
        <v>0.2</v>
      </c>
      <c r="H17" s="399">
        <v>0.7</v>
      </c>
      <c r="I17" s="399">
        <v>0.2</v>
      </c>
      <c r="J17" s="399">
        <v>0.7</v>
      </c>
      <c r="K17" s="372"/>
      <c r="L17" s="400"/>
      <c r="M17" s="363"/>
      <c r="N17" s="363"/>
      <c r="P17" s="1195"/>
      <c r="Q17" s="1155"/>
      <c r="R17" s="395" t="s">
        <v>742</v>
      </c>
      <c r="S17" s="396" t="s">
        <v>738</v>
      </c>
      <c r="T17" s="1191"/>
      <c r="U17" s="1191"/>
      <c r="V17" s="1191"/>
      <c r="W17" s="1191"/>
      <c r="X17" s="1191"/>
      <c r="Y17" s="1191"/>
      <c r="Z17" s="1191"/>
      <c r="AA17" s="1191"/>
      <c r="AB17" s="1191"/>
      <c r="AC17" s="1193"/>
      <c r="AE17" s="1195"/>
      <c r="AF17" s="1155"/>
      <c r="AG17" s="395" t="s">
        <v>742</v>
      </c>
      <c r="AH17" s="396" t="s">
        <v>738</v>
      </c>
      <c r="AI17" s="1191"/>
      <c r="AJ17" s="1191"/>
      <c r="AK17" s="1191"/>
      <c r="AL17" s="1191"/>
      <c r="AM17" s="1191"/>
      <c r="AN17" s="1191"/>
      <c r="AO17" s="1191"/>
      <c r="AP17" s="1191"/>
      <c r="AQ17" s="1191"/>
      <c r="AR17" s="1193"/>
    </row>
    <row r="18" spans="1:44" ht="16" outlineLevel="1" thickBot="1">
      <c r="B18" s="401" t="s">
        <v>743</v>
      </c>
      <c r="C18" s="402"/>
      <c r="D18" s="403"/>
      <c r="E18" s="404"/>
      <c r="F18" s="405"/>
      <c r="G18" s="406"/>
      <c r="H18" s="406"/>
      <c r="I18" s="406"/>
      <c r="J18" s="406"/>
      <c r="K18" s="407"/>
      <c r="L18" s="408"/>
      <c r="M18" s="363"/>
      <c r="N18" s="363"/>
      <c r="P18" s="1195"/>
      <c r="Q18" s="1156"/>
      <c r="R18" s="409" t="s">
        <v>863</v>
      </c>
      <c r="S18" s="410" t="s">
        <v>738</v>
      </c>
      <c r="T18" s="1192"/>
      <c r="U18" s="1192"/>
      <c r="V18" s="1192"/>
      <c r="W18" s="1192"/>
      <c r="X18" s="1192"/>
      <c r="Y18" s="1192"/>
      <c r="Z18" s="1192"/>
      <c r="AA18" s="1192"/>
      <c r="AB18" s="1192"/>
      <c r="AC18" s="1194"/>
      <c r="AE18" s="1195"/>
      <c r="AF18" s="1156"/>
      <c r="AG18" s="409" t="s">
        <v>863</v>
      </c>
      <c r="AH18" s="410" t="s">
        <v>738</v>
      </c>
      <c r="AI18" s="1192"/>
      <c r="AJ18" s="1192"/>
      <c r="AK18" s="1192"/>
      <c r="AL18" s="1192"/>
      <c r="AM18" s="1192"/>
      <c r="AN18" s="1192"/>
      <c r="AO18" s="1192"/>
      <c r="AP18" s="1192"/>
      <c r="AQ18" s="1192"/>
      <c r="AR18" s="1194"/>
    </row>
    <row r="19" spans="1:44" ht="33" outlineLevel="1" thickBot="1">
      <c r="B19" s="376" t="s">
        <v>663</v>
      </c>
      <c r="C19" s="390">
        <v>15</v>
      </c>
      <c r="D19" s="390">
        <v>15</v>
      </c>
      <c r="E19" s="390">
        <v>15</v>
      </c>
      <c r="F19" s="390">
        <v>15</v>
      </c>
      <c r="G19" s="391"/>
      <c r="H19" s="391"/>
      <c r="I19" s="391"/>
      <c r="J19" s="391"/>
      <c r="K19" s="379"/>
      <c r="L19" s="380">
        <v>3</v>
      </c>
      <c r="M19" s="363"/>
      <c r="N19" s="363"/>
      <c r="P19" s="1196"/>
      <c r="Q19" s="411" t="s">
        <v>745</v>
      </c>
      <c r="R19" s="412" t="s">
        <v>746</v>
      </c>
      <c r="S19" s="630" t="s">
        <v>738</v>
      </c>
      <c r="T19" s="416">
        <v>1</v>
      </c>
      <c r="U19" s="415">
        <v>1</v>
      </c>
      <c r="V19" s="416">
        <v>1</v>
      </c>
      <c r="W19" s="415">
        <v>1</v>
      </c>
      <c r="X19" s="416">
        <v>1</v>
      </c>
      <c r="Y19" s="415">
        <v>1</v>
      </c>
      <c r="Z19" s="416">
        <v>1</v>
      </c>
      <c r="AA19" s="415">
        <v>1</v>
      </c>
      <c r="AB19" s="416">
        <v>1</v>
      </c>
      <c r="AC19" s="417">
        <v>1</v>
      </c>
      <c r="AE19" s="1196"/>
      <c r="AF19" s="411" t="s">
        <v>745</v>
      </c>
      <c r="AG19" s="811" t="s">
        <v>746</v>
      </c>
      <c r="AH19" s="812" t="s">
        <v>738</v>
      </c>
      <c r="AI19" s="416">
        <v>1</v>
      </c>
      <c r="AJ19" s="415">
        <v>1</v>
      </c>
      <c r="AK19" s="416">
        <v>1</v>
      </c>
      <c r="AL19" s="415">
        <v>1</v>
      </c>
      <c r="AM19" s="416">
        <v>1</v>
      </c>
      <c r="AN19" s="415">
        <v>1</v>
      </c>
      <c r="AO19" s="416">
        <v>1</v>
      </c>
      <c r="AP19" s="415">
        <v>1</v>
      </c>
      <c r="AQ19" s="416">
        <v>1</v>
      </c>
      <c r="AR19" s="417">
        <v>1</v>
      </c>
    </row>
    <row r="20" spans="1:44" outlineLevel="1">
      <c r="B20" s="376" t="s">
        <v>664</v>
      </c>
      <c r="C20" s="390">
        <v>0.1</v>
      </c>
      <c r="D20" s="390">
        <v>0.1</v>
      </c>
      <c r="E20" s="390">
        <v>0.1</v>
      </c>
      <c r="F20" s="390">
        <v>0.1</v>
      </c>
      <c r="G20" s="418"/>
      <c r="H20" s="418"/>
      <c r="I20" s="418"/>
      <c r="J20" s="418"/>
      <c r="K20" s="419"/>
      <c r="L20" s="380">
        <v>3</v>
      </c>
      <c r="M20" s="363"/>
      <c r="N20" s="363"/>
    </row>
    <row r="21" spans="1:44" outlineLevel="1">
      <c r="B21" s="376" t="s">
        <v>666</v>
      </c>
      <c r="C21" s="390">
        <v>0.4</v>
      </c>
      <c r="D21" s="390">
        <v>0.4</v>
      </c>
      <c r="E21" s="390">
        <v>0.4</v>
      </c>
      <c r="F21" s="390">
        <v>0.4</v>
      </c>
      <c r="G21" s="418"/>
      <c r="H21" s="418"/>
      <c r="I21" s="418"/>
      <c r="J21" s="418"/>
      <c r="K21" s="419"/>
      <c r="L21" s="380">
        <v>3</v>
      </c>
      <c r="M21" s="420"/>
      <c r="N21" s="363"/>
    </row>
    <row r="22" spans="1:44" outlineLevel="1">
      <c r="B22" s="421" t="s">
        <v>12</v>
      </c>
      <c r="C22" s="399"/>
      <c r="D22" s="399"/>
      <c r="E22" s="399"/>
      <c r="F22" s="399"/>
      <c r="G22" s="422"/>
      <c r="H22" s="422"/>
      <c r="I22" s="422"/>
      <c r="J22" s="422"/>
      <c r="K22" s="423"/>
      <c r="L22" s="424"/>
      <c r="M22" s="420"/>
      <c r="N22" s="420"/>
    </row>
    <row r="23" spans="1:44" ht="38.25" customHeight="1" outlineLevel="1">
      <c r="B23" s="383" t="s">
        <v>843</v>
      </c>
      <c r="C23" s="1243">
        <v>8</v>
      </c>
      <c r="D23" s="1244">
        <v>8</v>
      </c>
      <c r="E23" s="1244">
        <v>8</v>
      </c>
      <c r="F23" s="1245">
        <v>8</v>
      </c>
      <c r="G23" s="422"/>
      <c r="H23" s="425"/>
      <c r="I23" s="425"/>
      <c r="J23" s="425"/>
      <c r="K23" s="426" t="s">
        <v>76</v>
      </c>
      <c r="L23" s="427" t="s">
        <v>748</v>
      </c>
      <c r="M23" s="428"/>
      <c r="N23" s="428"/>
    </row>
    <row r="24" spans="1:44" outlineLevel="1">
      <c r="B24" s="383" t="s">
        <v>749</v>
      </c>
      <c r="C24" s="1246">
        <v>2.1</v>
      </c>
      <c r="D24" s="1247">
        <v>2.1</v>
      </c>
      <c r="E24" s="1247">
        <v>2.1</v>
      </c>
      <c r="F24" s="1248">
        <v>2.1</v>
      </c>
      <c r="G24" s="425"/>
      <c r="H24" s="425"/>
      <c r="I24" s="425"/>
      <c r="J24" s="425"/>
      <c r="K24" s="423"/>
      <c r="L24" s="427">
        <v>9</v>
      </c>
      <c r="M24" s="428"/>
      <c r="N24" s="428"/>
    </row>
    <row r="25" spans="1:44" outlineLevel="1">
      <c r="B25" s="383" t="s">
        <v>844</v>
      </c>
      <c r="C25" s="1234">
        <v>35</v>
      </c>
      <c r="D25" s="1235">
        <v>35</v>
      </c>
      <c r="E25" s="1235">
        <v>35</v>
      </c>
      <c r="F25" s="1236">
        <v>35</v>
      </c>
      <c r="G25" s="425"/>
      <c r="H25" s="425"/>
      <c r="I25" s="425"/>
      <c r="J25" s="425"/>
      <c r="K25" s="423"/>
      <c r="L25" s="427" t="s">
        <v>748</v>
      </c>
      <c r="M25" s="428"/>
      <c r="N25" s="428"/>
    </row>
    <row r="26" spans="1:44" outlineLevel="1">
      <c r="B26" s="383" t="s">
        <v>366</v>
      </c>
      <c r="C26" s="1246">
        <v>1.5</v>
      </c>
      <c r="D26" s="1247">
        <v>1.5</v>
      </c>
      <c r="E26" s="1247">
        <v>1.5</v>
      </c>
      <c r="F26" s="1248">
        <v>1.5</v>
      </c>
      <c r="G26" s="425"/>
      <c r="H26" s="425"/>
      <c r="I26" s="425"/>
      <c r="J26" s="425"/>
      <c r="K26" s="423"/>
      <c r="L26" s="427" t="s">
        <v>748</v>
      </c>
      <c r="M26" s="428"/>
      <c r="N26" s="428"/>
    </row>
    <row r="27" spans="1:44" ht="16" outlineLevel="1" thickBot="1">
      <c r="B27" s="429" t="s">
        <v>367</v>
      </c>
      <c r="C27" s="1237">
        <v>0.8</v>
      </c>
      <c r="D27" s="1238">
        <v>0.8</v>
      </c>
      <c r="E27" s="1238">
        <v>0.8</v>
      </c>
      <c r="F27" s="1239">
        <v>0.8</v>
      </c>
      <c r="G27" s="425"/>
      <c r="H27" s="425"/>
      <c r="I27" s="425"/>
      <c r="J27" s="425"/>
      <c r="K27" s="423"/>
      <c r="L27" s="427" t="s">
        <v>748</v>
      </c>
      <c r="M27" s="428"/>
      <c r="N27" s="428"/>
    </row>
    <row r="28" spans="1:44" ht="16" outlineLevel="1" thickBot="1">
      <c r="B28" s="431" t="s">
        <v>674</v>
      </c>
      <c r="C28" s="432"/>
      <c r="D28" s="403"/>
      <c r="E28" s="403"/>
      <c r="F28" s="433"/>
      <c r="G28" s="434"/>
      <c r="H28" s="406"/>
      <c r="I28" s="406"/>
      <c r="J28" s="406"/>
      <c r="K28" s="407"/>
      <c r="L28" s="408"/>
      <c r="M28" s="428"/>
      <c r="N28" s="428"/>
    </row>
    <row r="29" spans="1:44" ht="52" customHeight="1" outlineLevel="1">
      <c r="A29" s="435"/>
      <c r="B29" s="436" t="s">
        <v>1092</v>
      </c>
      <c r="C29" s="551">
        <v>0.5</v>
      </c>
      <c r="D29" s="647">
        <v>0.46576380486506985</v>
      </c>
      <c r="E29" s="647">
        <v>0.44600000000000001</v>
      </c>
      <c r="F29" s="648">
        <v>0.44045618468049191</v>
      </c>
      <c r="G29" s="425"/>
      <c r="H29" s="425"/>
      <c r="I29" s="425"/>
      <c r="J29" s="425"/>
      <c r="K29" s="426" t="s">
        <v>752</v>
      </c>
      <c r="L29" s="440" t="s">
        <v>753</v>
      </c>
      <c r="M29" s="420"/>
      <c r="N29" s="420"/>
    </row>
    <row r="30" spans="1:44" outlineLevel="1">
      <c r="B30" s="441" t="s">
        <v>754</v>
      </c>
      <c r="C30" s="442">
        <v>60</v>
      </c>
      <c r="D30" s="443">
        <v>60</v>
      </c>
      <c r="E30" s="443">
        <v>60</v>
      </c>
      <c r="F30" s="443">
        <v>60</v>
      </c>
      <c r="G30" s="425"/>
      <c r="H30" s="425"/>
      <c r="I30" s="425"/>
      <c r="J30" s="425"/>
      <c r="K30" s="444"/>
      <c r="L30" s="373">
        <v>3</v>
      </c>
      <c r="M30" s="71"/>
      <c r="N30" s="420"/>
    </row>
    <row r="31" spans="1:44" outlineLevel="1">
      <c r="B31" s="441" t="s">
        <v>755</v>
      </c>
      <c r="C31" s="442">
        <f>100-C30</f>
        <v>40</v>
      </c>
      <c r="D31" s="442">
        <f>100-D30</f>
        <v>40</v>
      </c>
      <c r="E31" s="442">
        <f>100-E30</f>
        <v>40</v>
      </c>
      <c r="F31" s="442">
        <f>100-F30</f>
        <v>40</v>
      </c>
      <c r="G31" s="425"/>
      <c r="H31" s="425"/>
      <c r="I31" s="425"/>
      <c r="J31" s="425"/>
      <c r="K31" s="444"/>
      <c r="L31" s="373">
        <v>3</v>
      </c>
      <c r="M31" s="420"/>
      <c r="N31" s="420"/>
    </row>
    <row r="32" spans="1:44" outlineLevel="1">
      <c r="B32" s="383" t="s">
        <v>841</v>
      </c>
      <c r="C32" s="602">
        <v>33700</v>
      </c>
      <c r="D32" s="603">
        <v>32600</v>
      </c>
      <c r="E32" s="603">
        <f>(D32+F32)/2</f>
        <v>31600</v>
      </c>
      <c r="F32" s="604">
        <v>30600</v>
      </c>
      <c r="G32" s="425"/>
      <c r="H32" s="425"/>
      <c r="I32" s="425"/>
      <c r="J32" s="425"/>
      <c r="K32" s="448"/>
      <c r="L32" s="373">
        <v>3</v>
      </c>
      <c r="M32" s="420"/>
      <c r="N32" s="420"/>
    </row>
    <row r="33" spans="2:30" ht="37" customHeight="1" outlineLevel="1" thickBot="1">
      <c r="B33" s="383" t="s">
        <v>679</v>
      </c>
      <c r="C33" s="449">
        <f>C34+C35</f>
        <v>1.903</v>
      </c>
      <c r="D33" s="449">
        <f t="shared" ref="D33:F33" si="1">D34+D35</f>
        <v>1.9250000000000003</v>
      </c>
      <c r="E33" s="449">
        <f t="shared" si="1"/>
        <v>1.9360000000000002</v>
      </c>
      <c r="F33" s="449">
        <f t="shared" si="1"/>
        <v>1.9360000000000002</v>
      </c>
      <c r="G33" s="425"/>
      <c r="H33" s="425"/>
      <c r="I33" s="425"/>
      <c r="J33" s="425"/>
      <c r="K33" s="448"/>
      <c r="L33" s="373">
        <v>3</v>
      </c>
      <c r="M33" s="694"/>
      <c r="N33" s="693"/>
      <c r="P33" s="1142">
        <f>C33</f>
        <v>1.903</v>
      </c>
      <c r="Q33" s="1143"/>
      <c r="R33" s="1143"/>
      <c r="S33" s="1143"/>
      <c r="T33" s="1143"/>
      <c r="U33" s="1144"/>
    </row>
    <row r="34" spans="2:30" ht="15.75" customHeight="1" outlineLevel="1" thickBot="1">
      <c r="B34" s="451" t="s">
        <v>758</v>
      </c>
      <c r="C34" s="452">
        <f>C13/100*73</f>
        <v>0.80300000000000005</v>
      </c>
      <c r="D34" s="452">
        <f>D13/100*75</f>
        <v>0.82500000000000007</v>
      </c>
      <c r="E34" s="452">
        <f>E13/100*76</f>
        <v>0.83600000000000008</v>
      </c>
      <c r="F34" s="452">
        <f>F13/100*76</f>
        <v>0.83600000000000008</v>
      </c>
      <c r="G34" s="453"/>
      <c r="H34" s="453"/>
      <c r="I34" s="453"/>
      <c r="J34" s="453"/>
      <c r="K34" s="379" t="s">
        <v>52</v>
      </c>
      <c r="L34" s="380">
        <v>3</v>
      </c>
      <c r="M34" s="694"/>
      <c r="N34" s="693"/>
      <c r="P34" s="1134">
        <f>C34</f>
        <v>0.80300000000000005</v>
      </c>
      <c r="Q34" s="1135"/>
      <c r="R34" s="1135"/>
      <c r="S34" s="1135"/>
      <c r="T34" s="1135"/>
      <c r="U34" s="1136"/>
    </row>
    <row r="35" spans="2:30" outlineLevel="1">
      <c r="B35" s="451" t="s">
        <v>759</v>
      </c>
      <c r="C35" s="454">
        <v>1.1000000000000001</v>
      </c>
      <c r="D35" s="454">
        <v>1.1000000000000001</v>
      </c>
      <c r="E35" s="454">
        <v>1.1000000000000001</v>
      </c>
      <c r="F35" s="454">
        <v>1.1000000000000001</v>
      </c>
      <c r="G35" s="453"/>
      <c r="H35" s="453"/>
      <c r="I35" s="453"/>
      <c r="J35" s="453"/>
      <c r="K35" s="455"/>
      <c r="L35" s="380">
        <v>3</v>
      </c>
      <c r="M35" s="363"/>
      <c r="N35" s="363"/>
      <c r="P35" s="53" t="s">
        <v>357</v>
      </c>
    </row>
    <row r="36" spans="2:30" ht="30" outlineLevel="1">
      <c r="B36" s="441"/>
      <c r="C36" s="456"/>
      <c r="D36" s="456"/>
      <c r="E36" s="456"/>
      <c r="F36" s="456"/>
      <c r="G36" s="425"/>
      <c r="H36" s="425"/>
      <c r="I36" s="425"/>
      <c r="J36" s="425"/>
      <c r="K36" s="444"/>
      <c r="L36" s="424"/>
      <c r="M36" s="367"/>
      <c r="N36" s="367"/>
      <c r="P36" s="46" t="s">
        <v>335</v>
      </c>
      <c r="Q36" s="46" t="s">
        <v>336</v>
      </c>
      <c r="R36" s="47" t="s">
        <v>337</v>
      </c>
      <c r="S36" s="47" t="s">
        <v>338</v>
      </c>
      <c r="T36" s="47" t="s">
        <v>339</v>
      </c>
      <c r="U36" s="48" t="s">
        <v>340</v>
      </c>
      <c r="V36" s="49" t="s">
        <v>341</v>
      </c>
      <c r="W36" s="49" t="s">
        <v>342</v>
      </c>
      <c r="X36" s="49" t="s">
        <v>343</v>
      </c>
      <c r="Y36" s="49" t="s">
        <v>344</v>
      </c>
      <c r="Z36" s="49" t="s">
        <v>345</v>
      </c>
      <c r="AA36" s="49" t="s">
        <v>346</v>
      </c>
      <c r="AB36" s="49" t="s">
        <v>347</v>
      </c>
      <c r="AC36" s="49" t="s">
        <v>348</v>
      </c>
      <c r="AD36" s="49" t="s">
        <v>349</v>
      </c>
    </row>
    <row r="37" spans="2:30" ht="35" customHeight="1" outlineLevel="1" thickBot="1">
      <c r="B37" s="441"/>
      <c r="C37" s="627"/>
      <c r="D37" s="814"/>
      <c r="E37" s="814"/>
      <c r="F37" s="815"/>
      <c r="G37" s="425"/>
      <c r="H37" s="425"/>
      <c r="I37" s="425"/>
      <c r="J37" s="425"/>
      <c r="K37" s="448"/>
      <c r="L37" s="424"/>
      <c r="M37" s="363"/>
      <c r="N37" s="363"/>
      <c r="P37" s="50"/>
      <c r="Q37" s="50"/>
      <c r="R37" s="51"/>
      <c r="S37" s="51"/>
      <c r="T37" s="51"/>
      <c r="U37" s="51" t="s">
        <v>760</v>
      </c>
      <c r="V37" s="50" t="s">
        <v>761</v>
      </c>
      <c r="W37" s="50"/>
      <c r="X37" s="50"/>
      <c r="Y37" s="50"/>
      <c r="Z37" s="50"/>
      <c r="AA37" s="50"/>
      <c r="AB37" s="50"/>
      <c r="AC37" s="50"/>
      <c r="AD37" s="50"/>
    </row>
    <row r="38" spans="2:30" ht="73" customHeight="1" outlineLevel="1" thickBot="1">
      <c r="B38" s="401" t="s">
        <v>682</v>
      </c>
      <c r="C38" s="402"/>
      <c r="D38" s="403"/>
      <c r="E38" s="404"/>
      <c r="F38" s="405"/>
      <c r="G38" s="406"/>
      <c r="H38" s="406"/>
      <c r="I38" s="406"/>
      <c r="J38" s="406"/>
      <c r="K38" s="459"/>
      <c r="L38" s="460"/>
      <c r="M38" s="363"/>
      <c r="N38" s="363"/>
      <c r="O38" s="461" t="s">
        <v>732</v>
      </c>
      <c r="P38" s="56"/>
      <c r="Q38" s="56"/>
      <c r="R38" s="57"/>
      <c r="S38" s="57"/>
      <c r="T38" s="57"/>
      <c r="U38" s="56" t="s">
        <v>350</v>
      </c>
      <c r="V38" s="56" t="s">
        <v>326</v>
      </c>
      <c r="W38" s="56" t="s">
        <v>327</v>
      </c>
      <c r="X38" s="56" t="s">
        <v>351</v>
      </c>
      <c r="Y38" s="56" t="s">
        <v>351</v>
      </c>
      <c r="Z38" s="56" t="s">
        <v>352</v>
      </c>
      <c r="AA38" s="56" t="s">
        <v>352</v>
      </c>
      <c r="AB38" s="56" t="s">
        <v>352</v>
      </c>
      <c r="AC38" s="56" t="s">
        <v>352</v>
      </c>
      <c r="AD38" s="56" t="s">
        <v>352</v>
      </c>
    </row>
    <row r="39" spans="2:30" outlineLevel="1">
      <c r="B39" s="451" t="s">
        <v>762</v>
      </c>
      <c r="C39" s="462" t="s">
        <v>36</v>
      </c>
      <c r="D39" s="462" t="s">
        <v>36</v>
      </c>
      <c r="E39" s="462" t="s">
        <v>36</v>
      </c>
      <c r="F39" s="462" t="s">
        <v>36</v>
      </c>
      <c r="G39" s="463"/>
      <c r="H39" s="463"/>
      <c r="I39" s="463"/>
      <c r="J39" s="463"/>
      <c r="K39" s="463" t="s">
        <v>55</v>
      </c>
      <c r="L39" s="464"/>
      <c r="M39" s="363"/>
      <c r="N39" s="363"/>
      <c r="O39" s="465">
        <f>C12</f>
        <v>89</v>
      </c>
      <c r="P39" s="466">
        <f>C8</f>
        <v>2020</v>
      </c>
      <c r="Q39" s="58">
        <f>P39</f>
        <v>2020</v>
      </c>
      <c r="R39" s="466">
        <f>O39/100</f>
        <v>0.89</v>
      </c>
      <c r="S39" s="58"/>
      <c r="T39" s="466">
        <f>C16</f>
        <v>25</v>
      </c>
      <c r="U39" s="467">
        <f>C46</f>
        <v>3725</v>
      </c>
      <c r="V39" s="467">
        <f>C48</f>
        <v>251.065</v>
      </c>
      <c r="W39" s="467">
        <f>C49</f>
        <v>3.9381527777777778</v>
      </c>
      <c r="X39" s="58"/>
      <c r="Y39" s="58"/>
      <c r="Z39" s="466">
        <f>C23</f>
        <v>8</v>
      </c>
      <c r="AA39" s="468">
        <f>C25</f>
        <v>35</v>
      </c>
      <c r="AB39" s="468">
        <f>C26</f>
        <v>1.5</v>
      </c>
      <c r="AC39" s="468">
        <f>C27</f>
        <v>0.8</v>
      </c>
      <c r="AD39" s="468">
        <f>C24</f>
        <v>2.1</v>
      </c>
    </row>
    <row r="40" spans="2:30" ht="14.5" customHeight="1" outlineLevel="1">
      <c r="B40" s="376" t="s">
        <v>763</v>
      </c>
      <c r="C40" s="469" t="s">
        <v>36</v>
      </c>
      <c r="D40" s="470" t="s">
        <v>36</v>
      </c>
      <c r="E40" s="470" t="s">
        <v>36</v>
      </c>
      <c r="F40" s="471" t="s">
        <v>36</v>
      </c>
      <c r="G40" s="471"/>
      <c r="H40" s="471"/>
      <c r="I40" s="471"/>
      <c r="J40" s="471"/>
      <c r="K40" s="472" t="s">
        <v>55</v>
      </c>
      <c r="L40" s="464"/>
      <c r="M40" s="363"/>
      <c r="N40" s="363"/>
      <c r="O40" s="465">
        <f>D12</f>
        <v>89</v>
      </c>
      <c r="P40" s="466">
        <f>D8</f>
        <v>2030</v>
      </c>
      <c r="Q40" s="58"/>
      <c r="R40" s="466">
        <f>O40/100</f>
        <v>0.89</v>
      </c>
      <c r="S40" s="58"/>
      <c r="T40" s="466">
        <f>D16</f>
        <v>25</v>
      </c>
      <c r="U40" s="467">
        <f>D46</f>
        <v>3469.9403462447704</v>
      </c>
      <c r="V40" s="467">
        <f>D48</f>
        <v>242.87</v>
      </c>
      <c r="W40" s="467">
        <f>D49</f>
        <v>3.9836805555555559</v>
      </c>
      <c r="X40" s="58"/>
      <c r="Y40" s="58"/>
      <c r="Z40" s="466">
        <f>D23</f>
        <v>8</v>
      </c>
      <c r="AA40" s="468">
        <f>D25</f>
        <v>35</v>
      </c>
      <c r="AB40" s="468">
        <f>D26</f>
        <v>1.5</v>
      </c>
      <c r="AC40" s="468">
        <f>D27</f>
        <v>0.8</v>
      </c>
      <c r="AD40" s="468">
        <f>D24</f>
        <v>2.1</v>
      </c>
    </row>
    <row r="41" spans="2:30" outlineLevel="1">
      <c r="B41" s="376" t="s">
        <v>764</v>
      </c>
      <c r="C41" s="469" t="s">
        <v>36</v>
      </c>
      <c r="D41" s="470" t="s">
        <v>36</v>
      </c>
      <c r="E41" s="470" t="s">
        <v>36</v>
      </c>
      <c r="F41" s="471" t="s">
        <v>36</v>
      </c>
      <c r="G41" s="453"/>
      <c r="H41" s="453"/>
      <c r="I41" s="453"/>
      <c r="J41" s="453"/>
      <c r="K41" s="453"/>
      <c r="L41" s="380"/>
      <c r="M41" s="363"/>
      <c r="N41" s="363"/>
      <c r="O41" s="465">
        <f>E12</f>
        <v>90</v>
      </c>
      <c r="P41" s="466">
        <f>E8</f>
        <v>2040</v>
      </c>
      <c r="Q41" s="58"/>
      <c r="R41" s="466">
        <f>O41/100</f>
        <v>0.9</v>
      </c>
      <c r="S41" s="58"/>
      <c r="T41" s="466">
        <f>E16</f>
        <v>25</v>
      </c>
      <c r="U41" s="467">
        <f>E46</f>
        <v>3322.7000000000003</v>
      </c>
      <c r="V41" s="467">
        <f>E48</f>
        <v>235.42</v>
      </c>
      <c r="W41" s="467">
        <f>E49</f>
        <v>4.0064444444444449</v>
      </c>
      <c r="X41" s="58"/>
      <c r="Y41" s="58"/>
      <c r="Z41" s="466">
        <f>E23</f>
        <v>8</v>
      </c>
      <c r="AA41" s="468">
        <f>E25</f>
        <v>35</v>
      </c>
      <c r="AB41" s="468">
        <f>E26</f>
        <v>1.5</v>
      </c>
      <c r="AC41" s="468">
        <f>E27</f>
        <v>0.8</v>
      </c>
      <c r="AD41" s="468">
        <f>E24</f>
        <v>2.1</v>
      </c>
    </row>
    <row r="42" spans="2:30" ht="14.5" customHeight="1" outlineLevel="1">
      <c r="B42" s="376" t="s">
        <v>765</v>
      </c>
      <c r="C42" s="1240">
        <v>90</v>
      </c>
      <c r="D42" s="1241">
        <v>90</v>
      </c>
      <c r="E42" s="1241">
        <v>90</v>
      </c>
      <c r="F42" s="1242">
        <v>90</v>
      </c>
      <c r="G42" s="474"/>
      <c r="H42" s="474"/>
      <c r="I42" s="474"/>
      <c r="J42" s="474"/>
      <c r="K42" s="474"/>
      <c r="L42" s="380">
        <v>3</v>
      </c>
      <c r="M42" s="363"/>
      <c r="N42" s="363"/>
      <c r="O42" s="465">
        <f>F12</f>
        <v>91</v>
      </c>
      <c r="P42" s="466">
        <f>F8</f>
        <v>2050</v>
      </c>
      <c r="Q42" s="58"/>
      <c r="R42" s="466">
        <f>O42/100</f>
        <v>0.91</v>
      </c>
      <c r="S42" s="58"/>
      <c r="T42" s="466">
        <f>F16</f>
        <v>25</v>
      </c>
      <c r="U42" s="467">
        <f>F46</f>
        <v>3281.3985758696645</v>
      </c>
      <c r="V42" s="467">
        <f>F48</f>
        <v>227.97</v>
      </c>
      <c r="W42" s="467">
        <f>F49</f>
        <v>4.0064444444444449</v>
      </c>
      <c r="X42" s="58"/>
      <c r="Y42" s="58"/>
      <c r="Z42" s="466">
        <f>F23</f>
        <v>8</v>
      </c>
      <c r="AA42" s="468">
        <f>F25</f>
        <v>35</v>
      </c>
      <c r="AB42" s="468">
        <f>F26</f>
        <v>1.5</v>
      </c>
      <c r="AC42" s="468">
        <f>F27</f>
        <v>0.8</v>
      </c>
      <c r="AD42" s="468">
        <f>F24</f>
        <v>2.1</v>
      </c>
    </row>
    <row r="43" spans="2:30" outlineLevel="1">
      <c r="B43" s="475" t="s">
        <v>766</v>
      </c>
      <c r="C43" s="469" t="s">
        <v>36</v>
      </c>
      <c r="D43" s="470" t="s">
        <v>36</v>
      </c>
      <c r="E43" s="470" t="s">
        <v>36</v>
      </c>
      <c r="F43" s="471" t="s">
        <v>36</v>
      </c>
      <c r="G43" s="474"/>
      <c r="H43" s="474"/>
      <c r="I43" s="474"/>
      <c r="J43" s="474"/>
      <c r="K43" s="474"/>
      <c r="L43" s="476"/>
      <c r="M43" s="367"/>
      <c r="N43" s="367"/>
    </row>
    <row r="44" spans="2:30" outlineLevel="1">
      <c r="B44" s="475" t="s">
        <v>767</v>
      </c>
      <c r="C44" s="469" t="s">
        <v>36</v>
      </c>
      <c r="D44" s="470" t="s">
        <v>36</v>
      </c>
      <c r="E44" s="470" t="s">
        <v>36</v>
      </c>
      <c r="F44" s="471" t="s">
        <v>36</v>
      </c>
      <c r="G44" s="474"/>
      <c r="H44" s="474"/>
      <c r="I44" s="474"/>
      <c r="J44" s="474"/>
      <c r="K44" s="474"/>
      <c r="L44" s="476"/>
      <c r="M44" s="363"/>
      <c r="N44" s="363"/>
    </row>
    <row r="45" spans="2:30" ht="16" outlineLevel="1" thickBot="1">
      <c r="B45" s="477" t="s">
        <v>768</v>
      </c>
      <c r="C45" s="478" t="s">
        <v>36</v>
      </c>
      <c r="D45" s="479" t="s">
        <v>36</v>
      </c>
      <c r="E45" s="479" t="s">
        <v>36</v>
      </c>
      <c r="F45" s="480" t="s">
        <v>36</v>
      </c>
      <c r="G45" s="481"/>
      <c r="H45" s="481"/>
      <c r="I45" s="481"/>
      <c r="J45" s="481"/>
      <c r="K45" s="481"/>
      <c r="L45" s="482"/>
      <c r="M45" s="363"/>
      <c r="N45" s="363"/>
    </row>
    <row r="46" spans="2:30" ht="64" outlineLevel="1">
      <c r="B46" s="461" t="s">
        <v>769</v>
      </c>
      <c r="C46" s="483">
        <f>C29*$F$4*1000</f>
        <v>3725</v>
      </c>
      <c r="D46" s="483">
        <f t="shared" ref="D46:F46" si="2">D29*$F$4*1000</f>
        <v>3469.9403462447704</v>
      </c>
      <c r="E46" s="483">
        <f t="shared" si="2"/>
        <v>3322.7000000000003</v>
      </c>
      <c r="F46" s="483">
        <f t="shared" si="2"/>
        <v>3281.3985758696645</v>
      </c>
      <c r="G46" s="483"/>
      <c r="H46" s="484"/>
      <c r="I46" s="420" t="s">
        <v>332</v>
      </c>
      <c r="J46" s="420"/>
      <c r="K46" s="484"/>
      <c r="L46" s="484"/>
      <c r="N46" s="420"/>
    </row>
    <row r="47" spans="2:30" outlineLevel="1">
      <c r="B47" s="485" t="s">
        <v>770</v>
      </c>
      <c r="C47" s="486">
        <f>C46*$I47</f>
        <v>1862500</v>
      </c>
      <c r="D47" s="486">
        <f>D46*$I47</f>
        <v>1734970.1731223853</v>
      </c>
      <c r="E47" s="486">
        <f>E46*$I47</f>
        <v>1661350.0000000002</v>
      </c>
      <c r="F47" s="486">
        <f>F46*$I47</f>
        <v>1640699.2879348323</v>
      </c>
      <c r="G47" s="486"/>
      <c r="H47" s="484"/>
      <c r="I47" s="71">
        <v>500</v>
      </c>
      <c r="J47" s="420" t="s">
        <v>330</v>
      </c>
      <c r="K47" s="484"/>
      <c r="L47" s="484"/>
      <c r="N47" s="420"/>
    </row>
    <row r="48" spans="2:30" ht="48" outlineLevel="1">
      <c r="B48" s="461" t="s">
        <v>845</v>
      </c>
      <c r="C48" s="359">
        <f>C32*$F$4/1000</f>
        <v>251.065</v>
      </c>
      <c r="D48" s="359">
        <f t="shared" ref="D48:F48" si="3">D32*$F$4/1000</f>
        <v>242.87</v>
      </c>
      <c r="E48" s="359">
        <f t="shared" si="3"/>
        <v>235.42</v>
      </c>
      <c r="F48" s="359">
        <f t="shared" si="3"/>
        <v>227.97</v>
      </c>
      <c r="G48" s="359"/>
      <c r="I48" s="420" t="s">
        <v>333</v>
      </c>
      <c r="J48" s="420"/>
      <c r="N48" s="420"/>
    </row>
    <row r="49" spans="2:14" ht="48" outlineLevel="1">
      <c r="B49" s="461" t="s">
        <v>846</v>
      </c>
      <c r="C49" s="487">
        <f>C33*$F$4/3.6</f>
        <v>3.9381527777777778</v>
      </c>
      <c r="D49" s="487">
        <f t="shared" ref="D49:F49" si="4">D33*$F$4/3.6</f>
        <v>3.9836805555555559</v>
      </c>
      <c r="E49" s="487">
        <f t="shared" si="4"/>
        <v>4.0064444444444449</v>
      </c>
      <c r="F49" s="487">
        <f t="shared" si="4"/>
        <v>4.0064444444444449</v>
      </c>
      <c r="G49" s="359"/>
      <c r="M49" s="420"/>
      <c r="N49" s="420"/>
    </row>
    <row r="50" spans="2:14" outlineLevel="1"/>
    <row r="51" spans="2:14" outlineLevel="1"/>
    <row r="52" spans="2:14" outlineLevel="1"/>
    <row r="53" spans="2:14" outlineLevel="1"/>
    <row r="54" spans="2:14" outlineLevel="1">
      <c r="B54" s="488" t="s">
        <v>773</v>
      </c>
      <c r="C54" s="489"/>
      <c r="D54" s="489"/>
      <c r="E54" s="489"/>
      <c r="F54" s="358"/>
      <c r="G54" s="358"/>
      <c r="H54" s="358"/>
      <c r="I54" s="358"/>
      <c r="J54" s="358"/>
      <c r="K54" s="358"/>
      <c r="L54" s="358"/>
    </row>
    <row r="55" spans="2:14" outlineLevel="1">
      <c r="B55" s="491">
        <v>1</v>
      </c>
      <c r="C55" s="492" t="s">
        <v>774</v>
      </c>
      <c r="D55" s="489"/>
      <c r="E55" s="489"/>
      <c r="F55" s="358"/>
      <c r="G55" s="358"/>
      <c r="H55" s="358"/>
      <c r="I55" s="358"/>
      <c r="J55" s="358"/>
      <c r="K55" s="358"/>
      <c r="L55" s="358"/>
    </row>
    <row r="56" spans="2:14" outlineLevel="1">
      <c r="B56" s="491">
        <v>2</v>
      </c>
      <c r="C56" s="493" t="s">
        <v>775</v>
      </c>
      <c r="D56" s="489"/>
      <c r="E56" s="489"/>
      <c r="F56" s="358"/>
      <c r="G56" s="358"/>
      <c r="H56" s="358"/>
      <c r="I56" s="358"/>
      <c r="J56" s="358"/>
      <c r="K56" s="358"/>
      <c r="L56" s="358"/>
    </row>
    <row r="57" spans="2:14" outlineLevel="1">
      <c r="B57" s="491">
        <v>3</v>
      </c>
      <c r="C57" s="493" t="s">
        <v>776</v>
      </c>
      <c r="D57" s="489"/>
      <c r="E57" s="489"/>
      <c r="F57" s="358"/>
      <c r="G57" s="358"/>
      <c r="H57" s="358"/>
      <c r="I57" s="358"/>
      <c r="J57" s="358"/>
      <c r="K57" s="358"/>
      <c r="L57" s="358"/>
    </row>
    <row r="58" spans="2:14" outlineLevel="1">
      <c r="B58" s="491">
        <v>4</v>
      </c>
      <c r="C58" s="493" t="s">
        <v>777</v>
      </c>
      <c r="D58" s="489"/>
      <c r="E58" s="489"/>
      <c r="F58" s="358"/>
      <c r="G58" s="358"/>
      <c r="H58" s="358"/>
      <c r="I58" s="358"/>
      <c r="J58" s="358"/>
      <c r="K58" s="358"/>
      <c r="L58" s="358"/>
    </row>
    <row r="59" spans="2:14" outlineLevel="1">
      <c r="B59" s="489">
        <v>5</v>
      </c>
      <c r="C59" s="494" t="s">
        <v>778</v>
      </c>
      <c r="D59" s="489"/>
      <c r="E59" s="489"/>
      <c r="F59" s="358"/>
      <c r="G59" s="358"/>
      <c r="H59" s="358"/>
      <c r="I59" s="358"/>
      <c r="J59" s="358"/>
      <c r="K59" s="358"/>
      <c r="L59" s="358"/>
    </row>
    <row r="60" spans="2:14" outlineLevel="1">
      <c r="B60" s="489">
        <v>6</v>
      </c>
      <c r="C60" s="492" t="s">
        <v>779</v>
      </c>
      <c r="D60" s="489"/>
      <c r="E60" s="489"/>
      <c r="F60" s="358"/>
      <c r="G60" s="358"/>
      <c r="H60" s="358"/>
      <c r="I60" s="358"/>
      <c r="J60" s="358"/>
      <c r="K60" s="358"/>
      <c r="L60" s="358"/>
    </row>
    <row r="61" spans="2:14" outlineLevel="1">
      <c r="B61" s="489">
        <v>7</v>
      </c>
      <c r="C61" s="495" t="s">
        <v>774</v>
      </c>
      <c r="D61" s="489"/>
      <c r="E61" s="489"/>
      <c r="F61" s="358"/>
      <c r="G61" s="358"/>
      <c r="H61" s="358"/>
      <c r="I61" s="358"/>
      <c r="J61" s="358"/>
      <c r="K61" s="358"/>
      <c r="L61" s="358"/>
    </row>
    <row r="62" spans="2:14" outlineLevel="1">
      <c r="B62" s="489">
        <v>8</v>
      </c>
      <c r="C62" s="495" t="s">
        <v>780</v>
      </c>
      <c r="D62" s="490"/>
      <c r="E62" s="489"/>
      <c r="F62" s="358"/>
      <c r="G62" s="358"/>
      <c r="H62" s="358"/>
      <c r="I62" s="358"/>
      <c r="J62" s="358"/>
      <c r="K62" s="358"/>
      <c r="L62" s="358"/>
    </row>
    <row r="63" spans="2:14" outlineLevel="1">
      <c r="B63" s="489">
        <v>9</v>
      </c>
      <c r="C63" s="489" t="s">
        <v>781</v>
      </c>
      <c r="D63" s="490"/>
      <c r="E63" s="489"/>
      <c r="F63" s="358"/>
      <c r="G63" s="358"/>
      <c r="H63" s="358"/>
      <c r="I63" s="358"/>
      <c r="J63" s="358"/>
      <c r="K63" s="358"/>
      <c r="L63" s="358"/>
    </row>
    <row r="64" spans="2:14" outlineLevel="1">
      <c r="B64" s="489">
        <v>10</v>
      </c>
      <c r="C64" s="490" t="s">
        <v>782</v>
      </c>
      <c r="D64" s="490"/>
      <c r="E64" s="489"/>
      <c r="F64" s="358"/>
      <c r="G64" s="358"/>
      <c r="H64" s="358"/>
      <c r="I64" s="358"/>
      <c r="J64" s="358"/>
      <c r="K64" s="358"/>
      <c r="L64" s="358"/>
    </row>
    <row r="65" spans="2:12" outlineLevel="1">
      <c r="B65" s="488" t="s">
        <v>783</v>
      </c>
      <c r="C65" s="489"/>
      <c r="D65" s="358"/>
      <c r="E65" s="489"/>
      <c r="F65" s="358"/>
      <c r="G65" s="358"/>
      <c r="H65" s="358"/>
      <c r="I65" s="358"/>
      <c r="J65" s="358"/>
      <c r="K65" s="358"/>
      <c r="L65" s="358"/>
    </row>
    <row r="66" spans="2:12" outlineLevel="1">
      <c r="B66" s="496" t="s">
        <v>6</v>
      </c>
      <c r="C66" s="489" t="s">
        <v>1093</v>
      </c>
      <c r="D66" s="358"/>
      <c r="E66" s="489"/>
      <c r="F66" s="358"/>
      <c r="G66" s="358"/>
      <c r="H66" s="358"/>
      <c r="I66" s="358"/>
      <c r="J66" s="358"/>
      <c r="K66" s="358"/>
      <c r="L66" s="358"/>
    </row>
    <row r="67" spans="2:12" outlineLevel="1">
      <c r="B67" s="496" t="s">
        <v>59</v>
      </c>
      <c r="C67" s="489" t="s">
        <v>785</v>
      </c>
      <c r="D67" s="358"/>
      <c r="E67" s="489"/>
      <c r="F67" s="358"/>
      <c r="G67" s="358"/>
      <c r="H67" s="358"/>
      <c r="I67" s="358"/>
      <c r="J67" s="358"/>
      <c r="K67" s="358"/>
      <c r="L67" s="358"/>
    </row>
    <row r="68" spans="2:12" outlineLevel="1">
      <c r="B68" s="496" t="s">
        <v>16</v>
      </c>
      <c r="C68" s="489" t="s">
        <v>976</v>
      </c>
      <c r="D68" s="358"/>
      <c r="E68" s="489"/>
      <c r="F68" s="358"/>
      <c r="G68" s="358"/>
      <c r="H68" s="358"/>
      <c r="I68" s="358"/>
      <c r="J68" s="358"/>
      <c r="K68" s="358"/>
      <c r="L68" s="358"/>
    </row>
    <row r="69" spans="2:12" outlineLevel="1">
      <c r="B69" s="496" t="s">
        <v>20</v>
      </c>
      <c r="C69" s="489" t="s">
        <v>1094</v>
      </c>
      <c r="D69" s="358"/>
      <c r="E69" s="489"/>
      <c r="F69" s="358"/>
      <c r="G69" s="358"/>
      <c r="H69" s="358"/>
      <c r="I69" s="358"/>
      <c r="J69" s="358"/>
      <c r="K69" s="358"/>
      <c r="L69" s="358"/>
    </row>
    <row r="70" spans="2:12" outlineLevel="1">
      <c r="B70" s="496" t="s">
        <v>76</v>
      </c>
      <c r="C70" s="489" t="s">
        <v>786</v>
      </c>
      <c r="D70" s="358"/>
      <c r="E70" s="489"/>
      <c r="G70" s="358"/>
      <c r="H70" s="358"/>
      <c r="I70" s="358"/>
      <c r="J70" s="358"/>
      <c r="K70" s="358"/>
      <c r="L70" s="358"/>
    </row>
    <row r="71" spans="2:12" outlineLevel="1">
      <c r="B71" s="496" t="s">
        <v>25</v>
      </c>
      <c r="C71" s="489" t="s">
        <v>978</v>
      </c>
      <c r="D71" s="358"/>
      <c r="E71" s="489"/>
      <c r="G71" s="358"/>
      <c r="H71" s="358"/>
      <c r="I71" s="358"/>
      <c r="J71" s="358"/>
      <c r="K71" s="358"/>
      <c r="L71" s="358"/>
    </row>
    <row r="72" spans="2:12" outlineLevel="1">
      <c r="B72" s="496" t="s">
        <v>33</v>
      </c>
      <c r="C72" s="489" t="s">
        <v>979</v>
      </c>
      <c r="D72" s="358"/>
      <c r="E72" s="489"/>
      <c r="G72" s="358"/>
      <c r="H72" s="358"/>
      <c r="I72" s="358"/>
      <c r="J72" s="358"/>
      <c r="K72" s="358"/>
      <c r="L72" s="358"/>
    </row>
    <row r="73" spans="2:12" outlineLevel="1">
      <c r="B73" s="496" t="s">
        <v>51</v>
      </c>
      <c r="C73" s="489" t="s">
        <v>787</v>
      </c>
      <c r="D73" s="358"/>
      <c r="E73" s="489"/>
      <c r="G73" s="358"/>
      <c r="H73" s="358"/>
      <c r="I73" s="358"/>
      <c r="J73" s="358"/>
      <c r="K73" s="358"/>
      <c r="L73" s="358"/>
    </row>
    <row r="74" spans="2:12" outlineLevel="1">
      <c r="B74" s="496" t="s">
        <v>52</v>
      </c>
      <c r="C74" s="489" t="s">
        <v>788</v>
      </c>
      <c r="D74" s="358"/>
      <c r="E74" s="490"/>
      <c r="G74" s="358"/>
      <c r="H74" s="358"/>
      <c r="I74" s="358"/>
      <c r="J74" s="358"/>
      <c r="K74" s="358"/>
      <c r="L74" s="358"/>
    </row>
    <row r="75" spans="2:12" outlineLevel="1">
      <c r="B75" s="496" t="s">
        <v>55</v>
      </c>
      <c r="C75" s="489" t="s">
        <v>789</v>
      </c>
      <c r="D75" s="358"/>
      <c r="E75" s="490"/>
      <c r="G75" s="358"/>
      <c r="H75" s="358"/>
      <c r="I75" s="358"/>
      <c r="J75" s="358"/>
      <c r="K75" s="358"/>
      <c r="L75" s="358"/>
    </row>
    <row r="76" spans="2:12" outlineLevel="1">
      <c r="E76" s="490"/>
      <c r="G76" s="358"/>
      <c r="H76" s="358"/>
      <c r="I76" s="358"/>
      <c r="J76" s="358"/>
      <c r="K76" s="358"/>
      <c r="L76" s="358"/>
    </row>
    <row r="77" spans="2:12" outlineLevel="1">
      <c r="B77" s="496"/>
      <c r="C77" s="489"/>
      <c r="G77" s="358"/>
      <c r="H77" s="358"/>
      <c r="I77" s="358"/>
      <c r="J77" s="358"/>
      <c r="K77" s="358"/>
      <c r="L77" s="358"/>
    </row>
    <row r="78" spans="2:12" outlineLevel="1">
      <c r="E78" s="490"/>
      <c r="F78" s="490"/>
    </row>
    <row r="79" spans="2:12" outlineLevel="1"/>
    <row r="80" spans="2:12" outlineLevel="1">
      <c r="B80" s="496"/>
      <c r="C80" s="489"/>
      <c r="D80" s="489"/>
    </row>
    <row r="81" spans="1:44" outlineLevel="1">
      <c r="B81" s="638" t="str">
        <f>C86</f>
        <v>Hot water boiler, Coal</v>
      </c>
    </row>
    <row r="84" spans="1:44">
      <c r="A84" s="360" t="s">
        <v>1098</v>
      </c>
      <c r="B84" s="1207"/>
      <c r="C84" s="1143"/>
      <c r="D84" s="1143"/>
      <c r="E84" s="1143"/>
      <c r="F84" s="1143"/>
      <c r="G84" s="1143"/>
      <c r="H84" s="1143"/>
      <c r="I84" s="1143"/>
      <c r="J84" s="1143"/>
      <c r="K84" s="1143"/>
      <c r="L84" s="1143"/>
      <c r="M84" s="1143"/>
      <c r="N84" s="693"/>
      <c r="P84" s="1143"/>
      <c r="Q84" s="1143"/>
      <c r="R84" s="1143"/>
      <c r="S84" s="1143"/>
      <c r="T84" s="1143"/>
      <c r="U84" s="1143"/>
    </row>
    <row r="85" spans="1:44" ht="16" outlineLevel="1" thickBot="1">
      <c r="B85" s="1207"/>
      <c r="C85" s="1143"/>
      <c r="D85" s="1143"/>
      <c r="E85" s="1143"/>
      <c r="F85" s="1143"/>
      <c r="G85" s="1143"/>
      <c r="H85" s="1143"/>
      <c r="I85" s="1143"/>
      <c r="J85" s="1143"/>
      <c r="K85" s="1143"/>
      <c r="L85" s="1143"/>
      <c r="M85" s="1143"/>
      <c r="N85" s="693"/>
      <c r="P85" s="692">
        <v>1</v>
      </c>
      <c r="Q85" s="692">
        <v>2</v>
      </c>
      <c r="R85" s="692">
        <v>3</v>
      </c>
      <c r="S85" s="692">
        <v>4</v>
      </c>
      <c r="T85" s="692">
        <v>5</v>
      </c>
      <c r="U85" s="692">
        <v>6</v>
      </c>
      <c r="V85" s="692">
        <v>7</v>
      </c>
      <c r="W85" s="692">
        <v>8</v>
      </c>
      <c r="X85" s="692">
        <v>9</v>
      </c>
      <c r="Y85" s="692">
        <v>10</v>
      </c>
      <c r="Z85" s="692">
        <v>11</v>
      </c>
      <c r="AA85" s="692">
        <v>12</v>
      </c>
      <c r="AB85" s="692">
        <v>13</v>
      </c>
      <c r="AC85" s="692">
        <v>14</v>
      </c>
    </row>
    <row r="86" spans="1:44" ht="20.5" customHeight="1" outlineLevel="1" thickBot="1">
      <c r="B86" s="362" t="s">
        <v>0</v>
      </c>
      <c r="C86" s="1204" t="s">
        <v>1096</v>
      </c>
      <c r="D86" s="1205"/>
      <c r="E86" s="1205"/>
      <c r="F86" s="1205"/>
      <c r="G86" s="1205"/>
      <c r="H86" s="1205"/>
      <c r="I86" s="1205"/>
      <c r="J86" s="1205"/>
      <c r="K86" s="1205"/>
      <c r="L86" s="1206"/>
      <c r="M86" s="363"/>
      <c r="N86" s="363"/>
      <c r="P86" s="364" t="s">
        <v>713</v>
      </c>
      <c r="Q86" s="365"/>
      <c r="R86" s="366"/>
      <c r="S86" s="1176" t="s">
        <v>714</v>
      </c>
      <c r="T86" s="1160" t="s">
        <v>715</v>
      </c>
      <c r="U86" s="1161"/>
      <c r="V86" s="1160" t="s">
        <v>716</v>
      </c>
      <c r="W86" s="1161"/>
      <c r="X86" s="1160" t="s">
        <v>717</v>
      </c>
      <c r="Y86" s="1161"/>
      <c r="Z86" s="1160" t="s">
        <v>718</v>
      </c>
      <c r="AA86" s="1161"/>
      <c r="AB86" s="1160" t="s">
        <v>719</v>
      </c>
      <c r="AC86" s="1161"/>
      <c r="AE86" s="364" t="s">
        <v>720</v>
      </c>
      <c r="AF86" s="365"/>
      <c r="AG86" s="366"/>
      <c r="AH86" s="1176" t="s">
        <v>714</v>
      </c>
      <c r="AI86" s="1160" t="s">
        <v>715</v>
      </c>
      <c r="AJ86" s="1161"/>
      <c r="AK86" s="1160" t="s">
        <v>716</v>
      </c>
      <c r="AL86" s="1161"/>
      <c r="AM86" s="1160" t="s">
        <v>717</v>
      </c>
      <c r="AN86" s="1161"/>
      <c r="AO86" s="1160" t="s">
        <v>718</v>
      </c>
      <c r="AP86" s="1161"/>
      <c r="AQ86" s="1160" t="s">
        <v>719</v>
      </c>
      <c r="AR86" s="1161"/>
    </row>
    <row r="87" spans="1:44" ht="15" customHeight="1" outlineLevel="1" thickBot="1">
      <c r="B87" s="1164" t="s">
        <v>4</v>
      </c>
      <c r="C87" s="1166">
        <v>2020</v>
      </c>
      <c r="D87" s="1166">
        <v>2030</v>
      </c>
      <c r="E87" s="1166">
        <v>2040</v>
      </c>
      <c r="F87" s="1166">
        <v>2050</v>
      </c>
      <c r="G87" s="1200" t="s">
        <v>721</v>
      </c>
      <c r="H87" s="1201"/>
      <c r="I87" s="1200" t="s">
        <v>648</v>
      </c>
      <c r="J87" s="1201"/>
      <c r="K87" s="1202" t="s">
        <v>2</v>
      </c>
      <c r="L87" s="1202" t="s">
        <v>3</v>
      </c>
      <c r="M87" s="367"/>
      <c r="N87" s="367"/>
      <c r="P87" s="1180" t="s">
        <v>0</v>
      </c>
      <c r="Q87" s="368"/>
      <c r="R87" s="368"/>
      <c r="S87" s="1177"/>
      <c r="T87" s="1162"/>
      <c r="U87" s="1163"/>
      <c r="V87" s="1162"/>
      <c r="W87" s="1163"/>
      <c r="X87" s="1162"/>
      <c r="Y87" s="1163"/>
      <c r="Z87" s="1162"/>
      <c r="AA87" s="1163"/>
      <c r="AB87" s="1162"/>
      <c r="AC87" s="1163"/>
      <c r="AE87" s="1180" t="s">
        <v>0</v>
      </c>
      <c r="AF87" s="368"/>
      <c r="AG87" s="368"/>
      <c r="AH87" s="1177"/>
      <c r="AI87" s="1162"/>
      <c r="AJ87" s="1163"/>
      <c r="AK87" s="1162"/>
      <c r="AL87" s="1163"/>
      <c r="AM87" s="1162"/>
      <c r="AN87" s="1163"/>
      <c r="AO87" s="1162"/>
      <c r="AP87" s="1163"/>
      <c r="AQ87" s="1162"/>
      <c r="AR87" s="1163"/>
    </row>
    <row r="88" spans="1:44" ht="15" customHeight="1" outlineLevel="1" thickBot="1">
      <c r="B88" s="1165"/>
      <c r="C88" s="1167"/>
      <c r="D88" s="1167"/>
      <c r="E88" s="1167"/>
      <c r="F88" s="1167"/>
      <c r="G88" s="499" t="s">
        <v>649</v>
      </c>
      <c r="H88" s="499" t="s">
        <v>650</v>
      </c>
      <c r="I88" s="499" t="s">
        <v>649</v>
      </c>
      <c r="J88" s="499" t="s">
        <v>650</v>
      </c>
      <c r="K88" s="1203"/>
      <c r="L88" s="1203"/>
      <c r="M88" s="370"/>
      <c r="N88" s="370"/>
      <c r="P88" s="1181"/>
      <c r="Q88" s="1183" t="s">
        <v>722</v>
      </c>
      <c r="R88" s="1184" t="s">
        <v>723</v>
      </c>
      <c r="S88" s="1178"/>
      <c r="T88" s="1162"/>
      <c r="U88" s="1163"/>
      <c r="V88" s="1162"/>
      <c r="W88" s="1163"/>
      <c r="X88" s="1162"/>
      <c r="Y88" s="1163"/>
      <c r="Z88" s="1162"/>
      <c r="AA88" s="1163"/>
      <c r="AB88" s="1162"/>
      <c r="AC88" s="1163"/>
      <c r="AE88" s="1181"/>
      <c r="AF88" s="1197" t="s">
        <v>722</v>
      </c>
      <c r="AG88" s="1184" t="s">
        <v>723</v>
      </c>
      <c r="AH88" s="1178"/>
      <c r="AI88" s="1162"/>
      <c r="AJ88" s="1163"/>
      <c r="AK88" s="1162"/>
      <c r="AL88" s="1163"/>
      <c r="AM88" s="1162"/>
      <c r="AN88" s="1163"/>
      <c r="AO88" s="1162"/>
      <c r="AP88" s="1163"/>
      <c r="AQ88" s="1162"/>
      <c r="AR88" s="1163"/>
    </row>
    <row r="89" spans="1:44" ht="33" outlineLevel="1" thickBot="1">
      <c r="B89" s="371" t="s">
        <v>651</v>
      </c>
      <c r="C89" s="372">
        <v>20</v>
      </c>
      <c r="D89" s="372">
        <v>20</v>
      </c>
      <c r="E89" s="372">
        <v>20</v>
      </c>
      <c r="F89" s="372">
        <v>20</v>
      </c>
      <c r="G89" s="372">
        <v>1</v>
      </c>
      <c r="H89" s="372">
        <v>50</v>
      </c>
      <c r="I89" s="372">
        <v>1</v>
      </c>
      <c r="J89" s="372">
        <v>50</v>
      </c>
      <c r="K89" s="372" t="s">
        <v>6</v>
      </c>
      <c r="L89" s="373">
        <v>3</v>
      </c>
      <c r="M89" s="370"/>
      <c r="N89" s="370"/>
      <c r="O89" s="74"/>
      <c r="P89" s="1182"/>
      <c r="Q89" s="1179"/>
      <c r="R89" s="1185"/>
      <c r="S89" s="1179"/>
      <c r="T89" s="374" t="s">
        <v>726</v>
      </c>
      <c r="U89" s="375" t="s">
        <v>727</v>
      </c>
      <c r="V89" s="374" t="s">
        <v>726</v>
      </c>
      <c r="W89" s="375" t="s">
        <v>727</v>
      </c>
      <c r="X89" s="374" t="s">
        <v>726</v>
      </c>
      <c r="Y89" s="375" t="s">
        <v>727</v>
      </c>
      <c r="Z89" s="374" t="s">
        <v>726</v>
      </c>
      <c r="AA89" s="375" t="s">
        <v>727</v>
      </c>
      <c r="AB89" s="374" t="s">
        <v>726</v>
      </c>
      <c r="AC89" s="375" t="s">
        <v>727</v>
      </c>
      <c r="AE89" s="1182"/>
      <c r="AF89" s="1198"/>
      <c r="AG89" s="1185"/>
      <c r="AH89" s="1179"/>
      <c r="AI89" s="374" t="s">
        <v>726</v>
      </c>
      <c r="AJ89" s="375" t="s">
        <v>727</v>
      </c>
      <c r="AK89" s="374" t="s">
        <v>726</v>
      </c>
      <c r="AL89" s="375" t="s">
        <v>727</v>
      </c>
      <c r="AM89" s="374" t="s">
        <v>726</v>
      </c>
      <c r="AN89" s="375" t="s">
        <v>727</v>
      </c>
      <c r="AO89" s="374" t="s">
        <v>726</v>
      </c>
      <c r="AP89" s="375" t="s">
        <v>727</v>
      </c>
      <c r="AQ89" s="374" t="s">
        <v>726</v>
      </c>
      <c r="AR89" s="375" t="s">
        <v>727</v>
      </c>
    </row>
    <row r="90" spans="1:44" ht="15" customHeight="1" outlineLevel="1">
      <c r="B90" s="500" t="s">
        <v>728</v>
      </c>
      <c r="C90" s="668">
        <v>90</v>
      </c>
      <c r="D90" s="668">
        <v>90</v>
      </c>
      <c r="E90" s="669">
        <v>91</v>
      </c>
      <c r="F90" s="668">
        <v>92</v>
      </c>
      <c r="G90" s="668">
        <v>88</v>
      </c>
      <c r="H90" s="668">
        <f>(D90*1.02)</f>
        <v>91.8</v>
      </c>
      <c r="I90" s="668">
        <v>88</v>
      </c>
      <c r="J90" s="668">
        <f>(F90*1.01)</f>
        <v>92.92</v>
      </c>
      <c r="K90" s="503"/>
      <c r="L90" s="504" t="s">
        <v>729</v>
      </c>
      <c r="M90" s="370"/>
      <c r="N90" s="370"/>
      <c r="P90" s="1148" t="str">
        <f>C86</f>
        <v>Hot water boiler, Coal</v>
      </c>
      <c r="Q90" s="1154" t="s">
        <v>730</v>
      </c>
      <c r="R90" s="381" t="s">
        <v>731</v>
      </c>
      <c r="S90" s="382"/>
      <c r="T90" s="1137">
        <v>0</v>
      </c>
      <c r="U90" s="1151">
        <v>0</v>
      </c>
      <c r="V90" s="1157">
        <v>0</v>
      </c>
      <c r="W90" s="1151">
        <v>0</v>
      </c>
      <c r="X90" s="1157">
        <v>0</v>
      </c>
      <c r="Y90" s="1151">
        <v>0</v>
      </c>
      <c r="Z90" s="1157">
        <v>0</v>
      </c>
      <c r="AA90" s="1151">
        <v>0</v>
      </c>
      <c r="AB90" s="1157">
        <v>0</v>
      </c>
      <c r="AC90" s="1151">
        <v>0</v>
      </c>
      <c r="AE90" s="1148" t="str">
        <f>P90</f>
        <v>Hot water boiler, Coal</v>
      </c>
      <c r="AF90" s="1154" t="s">
        <v>730</v>
      </c>
      <c r="AG90" s="381" t="s">
        <v>731</v>
      </c>
      <c r="AH90" s="382"/>
      <c r="AI90" s="1137">
        <v>0</v>
      </c>
      <c r="AJ90" s="1151">
        <v>0</v>
      </c>
      <c r="AK90" s="1157">
        <v>0</v>
      </c>
      <c r="AL90" s="1151">
        <v>0</v>
      </c>
      <c r="AM90" s="1157">
        <v>0</v>
      </c>
      <c r="AN90" s="1151">
        <v>0</v>
      </c>
      <c r="AO90" s="1157">
        <v>0</v>
      </c>
      <c r="AP90" s="1151">
        <v>0</v>
      </c>
      <c r="AQ90" s="1157">
        <v>0</v>
      </c>
      <c r="AR90" s="1151">
        <v>0</v>
      </c>
    </row>
    <row r="91" spans="1:44" outlineLevel="1">
      <c r="B91" s="383" t="s">
        <v>732</v>
      </c>
      <c r="C91" s="577">
        <f t="shared" ref="C91:J91" si="5">(C90-1)</f>
        <v>89</v>
      </c>
      <c r="D91" s="577">
        <f t="shared" si="5"/>
        <v>89</v>
      </c>
      <c r="E91" s="577">
        <f t="shared" si="5"/>
        <v>90</v>
      </c>
      <c r="F91" s="577">
        <f t="shared" si="5"/>
        <v>91</v>
      </c>
      <c r="G91" s="576">
        <f t="shared" si="5"/>
        <v>87</v>
      </c>
      <c r="H91" s="576">
        <f t="shared" si="5"/>
        <v>90.8</v>
      </c>
      <c r="I91" s="576">
        <f t="shared" si="5"/>
        <v>87</v>
      </c>
      <c r="J91" s="576">
        <f t="shared" si="5"/>
        <v>91.92</v>
      </c>
      <c r="K91" s="372"/>
      <c r="L91" s="373" t="s">
        <v>729</v>
      </c>
      <c r="M91" s="370"/>
      <c r="N91" s="370"/>
      <c r="O91" s="71"/>
      <c r="P91" s="1195"/>
      <c r="Q91" s="1155"/>
      <c r="R91" s="388" t="s">
        <v>733</v>
      </c>
      <c r="S91" s="389"/>
      <c r="T91" s="1140"/>
      <c r="U91" s="1152"/>
      <c r="V91" s="1158"/>
      <c r="W91" s="1152"/>
      <c r="X91" s="1158"/>
      <c r="Y91" s="1152"/>
      <c r="Z91" s="1158"/>
      <c r="AA91" s="1152"/>
      <c r="AB91" s="1158"/>
      <c r="AC91" s="1152"/>
      <c r="AE91" s="1195"/>
      <c r="AF91" s="1155"/>
      <c r="AG91" s="388" t="s">
        <v>733</v>
      </c>
      <c r="AH91" s="389"/>
      <c r="AI91" s="1140"/>
      <c r="AJ91" s="1152"/>
      <c r="AK91" s="1158"/>
      <c r="AL91" s="1152"/>
      <c r="AM91" s="1158"/>
      <c r="AN91" s="1152"/>
      <c r="AO91" s="1158"/>
      <c r="AP91" s="1152"/>
      <c r="AQ91" s="1158"/>
      <c r="AR91" s="1152"/>
    </row>
    <row r="92" spans="1:44" ht="16" outlineLevel="1" thickBot="1">
      <c r="B92" s="500" t="s">
        <v>734</v>
      </c>
      <c r="C92" s="506">
        <v>1.1000000000000001</v>
      </c>
      <c r="D92" s="507">
        <v>1.1000000000000001</v>
      </c>
      <c r="E92" s="507">
        <v>1.1000000000000001</v>
      </c>
      <c r="F92" s="508">
        <v>1.1000000000000001</v>
      </c>
      <c r="G92" s="507">
        <v>1</v>
      </c>
      <c r="H92" s="507">
        <v>1.5</v>
      </c>
      <c r="I92" s="507">
        <v>1</v>
      </c>
      <c r="J92" s="507">
        <v>1.5</v>
      </c>
      <c r="K92" s="503" t="s">
        <v>59</v>
      </c>
      <c r="L92" s="504">
        <v>3</v>
      </c>
      <c r="M92" s="370"/>
      <c r="N92" s="370"/>
      <c r="O92" s="71"/>
      <c r="P92" s="1195"/>
      <c r="Q92" s="1156"/>
      <c r="R92" s="393" t="s">
        <v>735</v>
      </c>
      <c r="S92" s="394"/>
      <c r="T92" s="1141"/>
      <c r="U92" s="1153"/>
      <c r="V92" s="1159"/>
      <c r="W92" s="1153"/>
      <c r="X92" s="1159"/>
      <c r="Y92" s="1153"/>
      <c r="Z92" s="1159"/>
      <c r="AA92" s="1153"/>
      <c r="AB92" s="1159"/>
      <c r="AC92" s="1153"/>
      <c r="AE92" s="1195"/>
      <c r="AF92" s="1156"/>
      <c r="AG92" s="393" t="s">
        <v>735</v>
      </c>
      <c r="AH92" s="394"/>
      <c r="AI92" s="1141"/>
      <c r="AJ92" s="1153"/>
      <c r="AK92" s="1159"/>
      <c r="AL92" s="1153"/>
      <c r="AM92" s="1159"/>
      <c r="AN92" s="1153"/>
      <c r="AO92" s="1159"/>
      <c r="AP92" s="1153"/>
      <c r="AQ92" s="1159"/>
      <c r="AR92" s="1153"/>
    </row>
    <row r="93" spans="1:44" ht="15" customHeight="1" outlineLevel="1">
      <c r="B93" s="500" t="s">
        <v>657</v>
      </c>
      <c r="C93" s="816">
        <f>0.2+1</f>
        <v>1.2</v>
      </c>
      <c r="D93" s="816">
        <f>0.2+1</f>
        <v>1.2</v>
      </c>
      <c r="E93" s="816">
        <f>0.2+1</f>
        <v>1.2</v>
      </c>
      <c r="F93" s="816">
        <f>0.2+1</f>
        <v>1.2</v>
      </c>
      <c r="G93" s="817">
        <v>0.1</v>
      </c>
      <c r="H93" s="816">
        <f>0.2+2</f>
        <v>2.2000000000000002</v>
      </c>
      <c r="I93" s="817">
        <v>0.1</v>
      </c>
      <c r="J93" s="816">
        <f>0.2+2</f>
        <v>2.2000000000000002</v>
      </c>
      <c r="K93" s="503" t="s">
        <v>16</v>
      </c>
      <c r="L93" s="504">
        <v>3</v>
      </c>
      <c r="M93" s="370"/>
      <c r="N93" s="370"/>
      <c r="O93" s="71"/>
      <c r="P93" s="1195"/>
      <c r="Q93" s="1154" t="s">
        <v>736</v>
      </c>
      <c r="R93" s="395" t="s">
        <v>737</v>
      </c>
      <c r="S93" s="396" t="s">
        <v>738</v>
      </c>
      <c r="T93" s="1137">
        <v>0</v>
      </c>
      <c r="U93" s="1137">
        <v>0.67</v>
      </c>
      <c r="V93" s="1137">
        <v>0</v>
      </c>
      <c r="W93" s="1137">
        <v>0.56999999999999995</v>
      </c>
      <c r="X93" s="1137">
        <v>0</v>
      </c>
      <c r="Y93" s="1137">
        <v>0.5</v>
      </c>
      <c r="Z93" s="1137">
        <v>0</v>
      </c>
      <c r="AA93" s="1137">
        <v>0.51</v>
      </c>
      <c r="AB93" s="1137">
        <v>0</v>
      </c>
      <c r="AC93" s="1151">
        <v>0.41</v>
      </c>
      <c r="AE93" s="1195"/>
      <c r="AF93" s="1154" t="s">
        <v>736</v>
      </c>
      <c r="AG93" s="395" t="s">
        <v>737</v>
      </c>
      <c r="AH93" s="396" t="s">
        <v>738</v>
      </c>
      <c r="AI93" s="1137">
        <v>0</v>
      </c>
      <c r="AJ93" s="1137">
        <f>U93/4</f>
        <v>0.16750000000000001</v>
      </c>
      <c r="AK93" s="1137">
        <v>0</v>
      </c>
      <c r="AL93" s="1137">
        <f>W93/4</f>
        <v>0.14249999999999999</v>
      </c>
      <c r="AM93" s="1137">
        <v>0</v>
      </c>
      <c r="AN93" s="1137">
        <f>Y93/4</f>
        <v>0.125</v>
      </c>
      <c r="AO93" s="1137">
        <v>0</v>
      </c>
      <c r="AP93" s="1137">
        <f>AA93/4</f>
        <v>0.1275</v>
      </c>
      <c r="AQ93" s="1137">
        <v>0</v>
      </c>
      <c r="AR93" s="1151">
        <f>AC93/4</f>
        <v>0.10249999999999999</v>
      </c>
    </row>
    <row r="94" spans="1:44" outlineLevel="1">
      <c r="B94" s="500" t="s">
        <v>658</v>
      </c>
      <c r="C94" s="506">
        <f>0.5+0.4</f>
        <v>0.9</v>
      </c>
      <c r="D94" s="506">
        <f>0.5+0.4</f>
        <v>0.9</v>
      </c>
      <c r="E94" s="506">
        <f>0.5+0.4</f>
        <v>0.9</v>
      </c>
      <c r="F94" s="506">
        <f>0.5+0.4</f>
        <v>0.9</v>
      </c>
      <c r="G94" s="506">
        <f>0.5+0.3</f>
        <v>0.8</v>
      </c>
      <c r="H94" s="506">
        <f>0.5+0.6</f>
        <v>1.1000000000000001</v>
      </c>
      <c r="I94" s="506">
        <f>0.5+0.3</f>
        <v>0.8</v>
      </c>
      <c r="J94" s="506">
        <f>0.5+0.6</f>
        <v>1.1000000000000001</v>
      </c>
      <c r="K94" s="503" t="s">
        <v>16</v>
      </c>
      <c r="L94" s="504">
        <v>3</v>
      </c>
      <c r="M94" s="367"/>
      <c r="N94" s="367"/>
      <c r="O94" s="71"/>
      <c r="P94" s="1195"/>
      <c r="Q94" s="1155"/>
      <c r="R94" s="395" t="s">
        <v>739</v>
      </c>
      <c r="S94" s="396" t="s">
        <v>738</v>
      </c>
      <c r="T94" s="1191"/>
      <c r="U94" s="1191"/>
      <c r="V94" s="1191"/>
      <c r="W94" s="1191"/>
      <c r="X94" s="1191"/>
      <c r="Y94" s="1191"/>
      <c r="Z94" s="1191"/>
      <c r="AA94" s="1191"/>
      <c r="AB94" s="1191"/>
      <c r="AC94" s="1193"/>
      <c r="AE94" s="1195"/>
      <c r="AF94" s="1155"/>
      <c r="AG94" s="395" t="s">
        <v>739</v>
      </c>
      <c r="AH94" s="396" t="s">
        <v>738</v>
      </c>
      <c r="AI94" s="1191"/>
      <c r="AJ94" s="1191"/>
      <c r="AK94" s="1191"/>
      <c r="AL94" s="1191"/>
      <c r="AM94" s="1191"/>
      <c r="AN94" s="1191"/>
      <c r="AO94" s="1191"/>
      <c r="AP94" s="1191"/>
      <c r="AQ94" s="1191"/>
      <c r="AR94" s="1193"/>
    </row>
    <row r="95" spans="1:44" outlineLevel="1">
      <c r="B95" s="383" t="s">
        <v>11</v>
      </c>
      <c r="C95" s="397">
        <v>25</v>
      </c>
      <c r="D95" s="397">
        <v>25</v>
      </c>
      <c r="E95" s="397">
        <v>25</v>
      </c>
      <c r="F95" s="397">
        <v>25</v>
      </c>
      <c r="G95" s="399">
        <v>20</v>
      </c>
      <c r="H95" s="399">
        <v>30</v>
      </c>
      <c r="I95" s="399">
        <v>20</v>
      </c>
      <c r="J95" s="399">
        <v>30</v>
      </c>
      <c r="K95" s="372"/>
      <c r="L95" s="373" t="s">
        <v>740</v>
      </c>
      <c r="M95" s="363"/>
      <c r="N95" s="363"/>
      <c r="P95" s="1195"/>
      <c r="Q95" s="1155"/>
      <c r="R95" s="395" t="s">
        <v>741</v>
      </c>
      <c r="S95" s="396"/>
      <c r="T95" s="1191"/>
      <c r="U95" s="1191"/>
      <c r="V95" s="1191"/>
      <c r="W95" s="1191"/>
      <c r="X95" s="1191"/>
      <c r="Y95" s="1191"/>
      <c r="Z95" s="1191"/>
      <c r="AA95" s="1191"/>
      <c r="AB95" s="1191"/>
      <c r="AC95" s="1193"/>
      <c r="AE95" s="1195"/>
      <c r="AF95" s="1155"/>
      <c r="AG95" s="395" t="s">
        <v>741</v>
      </c>
      <c r="AH95" s="629" t="s">
        <v>738</v>
      </c>
      <c r="AI95" s="1191"/>
      <c r="AJ95" s="1191"/>
      <c r="AK95" s="1191"/>
      <c r="AL95" s="1191"/>
      <c r="AM95" s="1191"/>
      <c r="AN95" s="1191"/>
      <c r="AO95" s="1191"/>
      <c r="AP95" s="1191"/>
      <c r="AQ95" s="1191"/>
      <c r="AR95" s="1193"/>
    </row>
    <row r="96" spans="1:44" ht="16" outlineLevel="1" thickBot="1">
      <c r="B96" s="500" t="s">
        <v>273</v>
      </c>
      <c r="C96" s="506">
        <v>0.5</v>
      </c>
      <c r="D96" s="506">
        <v>0.5</v>
      </c>
      <c r="E96" s="506">
        <v>0.5</v>
      </c>
      <c r="F96" s="506">
        <v>0.5</v>
      </c>
      <c r="G96" s="506">
        <v>0.2</v>
      </c>
      <c r="H96" s="506">
        <v>0.7</v>
      </c>
      <c r="I96" s="506">
        <v>0.2</v>
      </c>
      <c r="J96" s="506">
        <v>0.7</v>
      </c>
      <c r="K96" s="372"/>
      <c r="L96" s="400"/>
      <c r="M96" s="363"/>
      <c r="N96" s="363"/>
      <c r="P96" s="1195"/>
      <c r="Q96" s="1155"/>
      <c r="R96" s="395" t="s">
        <v>742</v>
      </c>
      <c r="S96" s="396" t="s">
        <v>738</v>
      </c>
      <c r="T96" s="1191"/>
      <c r="U96" s="1191"/>
      <c r="V96" s="1191"/>
      <c r="W96" s="1191"/>
      <c r="X96" s="1191"/>
      <c r="Y96" s="1191"/>
      <c r="Z96" s="1191"/>
      <c r="AA96" s="1191"/>
      <c r="AB96" s="1191"/>
      <c r="AC96" s="1193"/>
      <c r="AE96" s="1195"/>
      <c r="AF96" s="1155"/>
      <c r="AG96" s="395" t="s">
        <v>742</v>
      </c>
      <c r="AH96" s="396"/>
      <c r="AI96" s="1191"/>
      <c r="AJ96" s="1191"/>
      <c r="AK96" s="1191"/>
      <c r="AL96" s="1191"/>
      <c r="AM96" s="1191"/>
      <c r="AN96" s="1191"/>
      <c r="AO96" s="1191"/>
      <c r="AP96" s="1191"/>
      <c r="AQ96" s="1191"/>
      <c r="AR96" s="1193"/>
    </row>
    <row r="97" spans="1:44" ht="16" outlineLevel="1" thickBot="1">
      <c r="B97" s="401" t="s">
        <v>743</v>
      </c>
      <c r="C97" s="402"/>
      <c r="D97" s="403"/>
      <c r="E97" s="404"/>
      <c r="F97" s="405"/>
      <c r="G97" s="406"/>
      <c r="H97" s="406"/>
      <c r="I97" s="406"/>
      <c r="J97" s="406"/>
      <c r="K97" s="407"/>
      <c r="L97" s="408"/>
      <c r="M97" s="363"/>
      <c r="N97" s="363"/>
      <c r="P97" s="1195"/>
      <c r="Q97" s="1156"/>
      <c r="R97" s="409" t="s">
        <v>863</v>
      </c>
      <c r="S97" s="410" t="s">
        <v>738</v>
      </c>
      <c r="T97" s="1192"/>
      <c r="U97" s="1192"/>
      <c r="V97" s="1192"/>
      <c r="W97" s="1192"/>
      <c r="X97" s="1192"/>
      <c r="Y97" s="1192"/>
      <c r="Z97" s="1192"/>
      <c r="AA97" s="1192"/>
      <c r="AB97" s="1192"/>
      <c r="AC97" s="1194"/>
      <c r="AE97" s="1195"/>
      <c r="AF97" s="1156"/>
      <c r="AG97" s="409" t="s">
        <v>863</v>
      </c>
      <c r="AH97" s="410" t="s">
        <v>738</v>
      </c>
      <c r="AI97" s="1192"/>
      <c r="AJ97" s="1192"/>
      <c r="AK97" s="1192"/>
      <c r="AL97" s="1192"/>
      <c r="AM97" s="1192"/>
      <c r="AN97" s="1192"/>
      <c r="AO97" s="1192"/>
      <c r="AP97" s="1192"/>
      <c r="AQ97" s="1192"/>
      <c r="AR97" s="1194"/>
    </row>
    <row r="98" spans="1:44" ht="33" outlineLevel="1" thickBot="1">
      <c r="B98" s="500" t="s">
        <v>663</v>
      </c>
      <c r="C98" s="506">
        <v>15</v>
      </c>
      <c r="D98" s="506">
        <v>15</v>
      </c>
      <c r="E98" s="506">
        <v>15</v>
      </c>
      <c r="F98" s="506">
        <v>15</v>
      </c>
      <c r="G98" s="507"/>
      <c r="H98" s="507"/>
      <c r="I98" s="507"/>
      <c r="J98" s="507"/>
      <c r="K98" s="503"/>
      <c r="L98" s="504">
        <v>3</v>
      </c>
      <c r="M98" s="363"/>
      <c r="N98" s="363"/>
      <c r="P98" s="1196"/>
      <c r="Q98" s="411" t="s">
        <v>745</v>
      </c>
      <c r="R98" s="412" t="s">
        <v>746</v>
      </c>
      <c r="S98" s="630" t="s">
        <v>738</v>
      </c>
      <c r="T98" s="416">
        <v>1</v>
      </c>
      <c r="U98" s="415">
        <v>1</v>
      </c>
      <c r="V98" s="416">
        <v>1</v>
      </c>
      <c r="W98" s="415">
        <v>1</v>
      </c>
      <c r="X98" s="416">
        <v>1</v>
      </c>
      <c r="Y98" s="415">
        <v>1</v>
      </c>
      <c r="Z98" s="416">
        <v>1</v>
      </c>
      <c r="AA98" s="415">
        <v>1</v>
      </c>
      <c r="AB98" s="416">
        <v>1</v>
      </c>
      <c r="AC98" s="417">
        <v>1</v>
      </c>
      <c r="AE98" s="1196"/>
      <c r="AF98" s="411" t="s">
        <v>745</v>
      </c>
      <c r="AG98" s="811" t="s">
        <v>746</v>
      </c>
      <c r="AH98" s="812" t="s">
        <v>738</v>
      </c>
      <c r="AI98" s="416">
        <v>1</v>
      </c>
      <c r="AJ98" s="415">
        <v>1</v>
      </c>
      <c r="AK98" s="416">
        <v>1</v>
      </c>
      <c r="AL98" s="415">
        <v>1</v>
      </c>
      <c r="AM98" s="416">
        <v>1</v>
      </c>
      <c r="AN98" s="415">
        <v>1</v>
      </c>
      <c r="AO98" s="416">
        <v>1</v>
      </c>
      <c r="AP98" s="415">
        <v>1</v>
      </c>
      <c r="AQ98" s="416">
        <v>1</v>
      </c>
      <c r="AR98" s="417">
        <v>1</v>
      </c>
    </row>
    <row r="99" spans="1:44" outlineLevel="1">
      <c r="B99" s="500" t="s">
        <v>664</v>
      </c>
      <c r="C99" s="506">
        <v>0.1</v>
      </c>
      <c r="D99" s="506">
        <v>0.1</v>
      </c>
      <c r="E99" s="506">
        <v>0.1</v>
      </c>
      <c r="F99" s="506">
        <v>0.1</v>
      </c>
      <c r="G99" s="509"/>
      <c r="H99" s="509"/>
      <c r="I99" s="509"/>
      <c r="J99" s="509"/>
      <c r="K99" s="510"/>
      <c r="L99" s="504">
        <v>3</v>
      </c>
      <c r="M99" s="363"/>
      <c r="N99" s="363"/>
    </row>
    <row r="100" spans="1:44" outlineLevel="1">
      <c r="B100" s="500" t="s">
        <v>666</v>
      </c>
      <c r="C100" s="506">
        <v>0.4</v>
      </c>
      <c r="D100" s="506">
        <v>0.4</v>
      </c>
      <c r="E100" s="506">
        <v>0.4</v>
      </c>
      <c r="F100" s="506">
        <v>0.4</v>
      </c>
      <c r="G100" s="509"/>
      <c r="H100" s="509"/>
      <c r="I100" s="509"/>
      <c r="J100" s="509"/>
      <c r="K100" s="510"/>
      <c r="L100" s="504">
        <v>3</v>
      </c>
      <c r="M100" s="420"/>
      <c r="N100" s="363"/>
    </row>
    <row r="101" spans="1:44" outlineLevel="1">
      <c r="B101" s="421" t="s">
        <v>12</v>
      </c>
      <c r="C101" s="399"/>
      <c r="D101" s="399"/>
      <c r="E101" s="399"/>
      <c r="F101" s="399"/>
      <c r="G101" s="422"/>
      <c r="H101" s="422"/>
      <c r="I101" s="422"/>
      <c r="J101" s="422"/>
      <c r="K101" s="423"/>
      <c r="L101" s="424"/>
      <c r="M101" s="420"/>
      <c r="N101" s="420"/>
    </row>
    <row r="102" spans="1:44" outlineLevel="1">
      <c r="B102" s="383" t="s">
        <v>843</v>
      </c>
      <c r="C102" s="818">
        <v>8</v>
      </c>
      <c r="D102" s="818">
        <v>8</v>
      </c>
      <c r="E102" s="818">
        <v>8</v>
      </c>
      <c r="F102" s="818">
        <v>8</v>
      </c>
      <c r="G102" s="422"/>
      <c r="H102" s="425"/>
      <c r="I102" s="425"/>
      <c r="J102" s="425"/>
      <c r="K102" s="426" t="s">
        <v>20</v>
      </c>
      <c r="L102" s="427" t="s">
        <v>748</v>
      </c>
      <c r="M102" s="428"/>
      <c r="N102" s="428"/>
    </row>
    <row r="103" spans="1:44" outlineLevel="1">
      <c r="B103" s="383" t="s">
        <v>749</v>
      </c>
      <c r="C103" s="818">
        <v>2.1</v>
      </c>
      <c r="D103" s="818">
        <v>2.1</v>
      </c>
      <c r="E103" s="818">
        <v>2.1</v>
      </c>
      <c r="F103" s="818">
        <v>2.1</v>
      </c>
      <c r="G103" s="425"/>
      <c r="H103" s="425"/>
      <c r="I103" s="425"/>
      <c r="J103" s="425"/>
      <c r="K103" s="423"/>
      <c r="L103" s="427">
        <v>9</v>
      </c>
      <c r="M103" s="428"/>
      <c r="N103" s="428"/>
    </row>
    <row r="104" spans="1:44" outlineLevel="1">
      <c r="B104" s="383" t="s">
        <v>844</v>
      </c>
      <c r="C104" s="397">
        <v>35</v>
      </c>
      <c r="D104" s="397">
        <v>35</v>
      </c>
      <c r="E104" s="397">
        <v>35</v>
      </c>
      <c r="F104" s="397">
        <v>35</v>
      </c>
      <c r="G104" s="425"/>
      <c r="H104" s="425"/>
      <c r="I104" s="425"/>
      <c r="J104" s="425"/>
      <c r="K104" s="423"/>
      <c r="L104" s="427" t="s">
        <v>748</v>
      </c>
      <c r="M104" s="428"/>
      <c r="N104" s="428"/>
    </row>
    <row r="105" spans="1:44" outlineLevel="1">
      <c r="B105" s="383" t="s">
        <v>366</v>
      </c>
      <c r="C105" s="818">
        <v>1.5</v>
      </c>
      <c r="D105" s="818">
        <v>1.5</v>
      </c>
      <c r="E105" s="818">
        <v>1.5</v>
      </c>
      <c r="F105" s="818">
        <v>1.5</v>
      </c>
      <c r="G105" s="425"/>
      <c r="H105" s="425"/>
      <c r="I105" s="425"/>
      <c r="J105" s="425"/>
      <c r="K105" s="423"/>
      <c r="L105" s="427" t="s">
        <v>748</v>
      </c>
      <c r="M105" s="428"/>
      <c r="N105" s="428"/>
    </row>
    <row r="106" spans="1:44" ht="16" outlineLevel="1" thickBot="1">
      <c r="B106" s="429" t="s">
        <v>367</v>
      </c>
      <c r="C106" s="810">
        <v>0.8</v>
      </c>
      <c r="D106" s="810">
        <v>0.8</v>
      </c>
      <c r="E106" s="810">
        <v>0.8</v>
      </c>
      <c r="F106" s="810">
        <v>0.8</v>
      </c>
      <c r="G106" s="425"/>
      <c r="H106" s="425"/>
      <c r="I106" s="425"/>
      <c r="J106" s="425"/>
      <c r="K106" s="423"/>
      <c r="L106" s="427" t="s">
        <v>748</v>
      </c>
      <c r="M106" s="428"/>
      <c r="N106" s="428"/>
    </row>
    <row r="107" spans="1:44" ht="16" outlineLevel="1" thickBot="1">
      <c r="B107" s="431" t="s">
        <v>674</v>
      </c>
      <c r="C107" s="432"/>
      <c r="D107" s="403"/>
      <c r="E107" s="403"/>
      <c r="F107" s="433"/>
      <c r="G107" s="434"/>
      <c r="H107" s="406"/>
      <c r="I107" s="406"/>
      <c r="J107" s="406"/>
      <c r="K107" s="407"/>
      <c r="L107" s="408"/>
      <c r="M107" s="428"/>
      <c r="N107" s="428"/>
    </row>
    <row r="108" spans="1:44" ht="14.5" customHeight="1" outlineLevel="1">
      <c r="A108" s="435"/>
      <c r="B108" s="436" t="s">
        <v>1092</v>
      </c>
      <c r="C108" s="551">
        <f>0.5</f>
        <v>0.5</v>
      </c>
      <c r="D108" s="647">
        <f t="shared" ref="D108:F108" si="6">0.5</f>
        <v>0.5</v>
      </c>
      <c r="E108" s="647">
        <f t="shared" si="6"/>
        <v>0.5</v>
      </c>
      <c r="F108" s="648">
        <f t="shared" si="6"/>
        <v>0.5</v>
      </c>
      <c r="G108" s="425"/>
      <c r="H108" s="425"/>
      <c r="I108" s="425"/>
      <c r="J108" s="425"/>
      <c r="K108" s="426" t="s">
        <v>1097</v>
      </c>
      <c r="L108" s="440" t="s">
        <v>753</v>
      </c>
      <c r="M108" s="420"/>
      <c r="N108" s="420"/>
    </row>
    <row r="109" spans="1:44" outlineLevel="1">
      <c r="B109" s="441" t="s">
        <v>754</v>
      </c>
      <c r="C109" s="442">
        <v>60</v>
      </c>
      <c r="D109" s="443">
        <v>60</v>
      </c>
      <c r="E109" s="443">
        <v>60</v>
      </c>
      <c r="F109" s="443">
        <v>60</v>
      </c>
      <c r="G109" s="425"/>
      <c r="H109" s="425"/>
      <c r="I109" s="425"/>
      <c r="J109" s="425"/>
      <c r="K109" s="444"/>
      <c r="L109" s="373">
        <v>3</v>
      </c>
      <c r="M109" s="71"/>
      <c r="N109" s="420"/>
    </row>
    <row r="110" spans="1:44" outlineLevel="1">
      <c r="B110" s="441" t="s">
        <v>755</v>
      </c>
      <c r="C110" s="442">
        <f>100-C109</f>
        <v>40</v>
      </c>
      <c r="D110" s="442">
        <f>100-D109</f>
        <v>40</v>
      </c>
      <c r="E110" s="442">
        <f>100-E109</f>
        <v>40</v>
      </c>
      <c r="F110" s="442">
        <f>100-F109</f>
        <v>40</v>
      </c>
      <c r="G110" s="425"/>
      <c r="H110" s="425"/>
      <c r="I110" s="425"/>
      <c r="J110" s="425"/>
      <c r="K110" s="444"/>
      <c r="L110" s="373">
        <v>3</v>
      </c>
      <c r="M110" s="420"/>
      <c r="N110" s="420"/>
    </row>
    <row r="111" spans="1:44" outlineLevel="1">
      <c r="B111" s="383" t="s">
        <v>841</v>
      </c>
      <c r="C111" s="602">
        <v>33700</v>
      </c>
      <c r="D111" s="603">
        <v>32600</v>
      </c>
      <c r="E111" s="603">
        <f>(D111+F111)/2</f>
        <v>31600</v>
      </c>
      <c r="F111" s="604">
        <v>30600</v>
      </c>
      <c r="G111" s="425"/>
      <c r="H111" s="425"/>
      <c r="I111" s="425"/>
      <c r="J111" s="425"/>
      <c r="K111" s="448"/>
      <c r="L111" s="373">
        <v>3</v>
      </c>
      <c r="M111" s="420"/>
      <c r="N111" s="420"/>
    </row>
    <row r="112" spans="1:44" outlineLevel="1">
      <c r="B112" s="383" t="s">
        <v>679</v>
      </c>
      <c r="C112" s="449">
        <f>C113+C114</f>
        <v>1.903</v>
      </c>
      <c r="D112" s="449">
        <f t="shared" ref="D112:F112" si="7">D113+D114</f>
        <v>1.9250000000000003</v>
      </c>
      <c r="E112" s="449">
        <f t="shared" si="7"/>
        <v>1.9360000000000002</v>
      </c>
      <c r="F112" s="449">
        <f t="shared" si="7"/>
        <v>1.9360000000000002</v>
      </c>
      <c r="G112" s="425"/>
      <c r="H112" s="425"/>
      <c r="I112" s="425"/>
      <c r="J112" s="425"/>
      <c r="K112" s="448"/>
      <c r="L112" s="373">
        <v>3</v>
      </c>
      <c r="M112" s="694"/>
      <c r="N112" s="693"/>
      <c r="P112" s="1142">
        <f>C112</f>
        <v>1.903</v>
      </c>
      <c r="Q112" s="1143"/>
      <c r="R112" s="1143"/>
      <c r="S112" s="1143"/>
      <c r="T112" s="1143"/>
      <c r="U112" s="1144"/>
    </row>
    <row r="113" spans="2:30" ht="16" outlineLevel="1" thickBot="1">
      <c r="B113" s="500" t="s">
        <v>758</v>
      </c>
      <c r="C113" s="514">
        <f>C92/100*73</f>
        <v>0.80300000000000005</v>
      </c>
      <c r="D113" s="514">
        <f>D92/100*75</f>
        <v>0.82500000000000007</v>
      </c>
      <c r="E113" s="514">
        <f>E92/100*76</f>
        <v>0.83600000000000008</v>
      </c>
      <c r="F113" s="514">
        <f>F92/100*76</f>
        <v>0.83600000000000008</v>
      </c>
      <c r="G113" s="515"/>
      <c r="H113" s="515"/>
      <c r="I113" s="515"/>
      <c r="J113" s="515"/>
      <c r="K113" s="503" t="s">
        <v>33</v>
      </c>
      <c r="L113" s="504">
        <v>3</v>
      </c>
      <c r="M113" s="694"/>
      <c r="N113" s="693"/>
      <c r="P113" s="1134">
        <f>C113</f>
        <v>0.80300000000000005</v>
      </c>
      <c r="Q113" s="1135"/>
      <c r="R113" s="1135"/>
      <c r="S113" s="1135"/>
      <c r="T113" s="1135"/>
      <c r="U113" s="1136"/>
    </row>
    <row r="114" spans="2:30" outlineLevel="1">
      <c r="B114" s="500" t="s">
        <v>759</v>
      </c>
      <c r="C114" s="516">
        <v>1.1000000000000001</v>
      </c>
      <c r="D114" s="516">
        <v>1.1000000000000001</v>
      </c>
      <c r="E114" s="516">
        <v>1.1000000000000001</v>
      </c>
      <c r="F114" s="516">
        <v>1.1000000000000001</v>
      </c>
      <c r="G114" s="515"/>
      <c r="H114" s="515"/>
      <c r="I114" s="515"/>
      <c r="J114" s="515"/>
      <c r="K114" s="517"/>
      <c r="L114" s="504">
        <v>3</v>
      </c>
      <c r="M114" s="363"/>
      <c r="N114" s="363"/>
      <c r="P114" s="53" t="s">
        <v>357</v>
      </c>
    </row>
    <row r="115" spans="2:30" ht="30" outlineLevel="1">
      <c r="B115" s="441"/>
      <c r="C115" s="518"/>
      <c r="D115" s="518"/>
      <c r="E115" s="518"/>
      <c r="F115" s="518"/>
      <c r="G115" s="425"/>
      <c r="H115" s="425"/>
      <c r="I115" s="425"/>
      <c r="J115" s="425"/>
      <c r="K115" s="444"/>
      <c r="L115" s="424"/>
      <c r="M115" s="367"/>
      <c r="N115" s="367"/>
      <c r="P115" s="46" t="s">
        <v>335</v>
      </c>
      <c r="Q115" s="46" t="s">
        <v>336</v>
      </c>
      <c r="R115" s="47" t="s">
        <v>337</v>
      </c>
      <c r="S115" s="47" t="s">
        <v>338</v>
      </c>
      <c r="T115" s="47" t="s">
        <v>339</v>
      </c>
      <c r="U115" s="48" t="s">
        <v>340</v>
      </c>
      <c r="V115" s="49" t="s">
        <v>341</v>
      </c>
      <c r="W115" s="49" t="s">
        <v>342</v>
      </c>
      <c r="X115" s="49" t="s">
        <v>343</v>
      </c>
      <c r="Y115" s="49" t="s">
        <v>344</v>
      </c>
      <c r="Z115" s="49" t="s">
        <v>345</v>
      </c>
      <c r="AA115" s="49" t="s">
        <v>346</v>
      </c>
      <c r="AB115" s="49" t="s">
        <v>347</v>
      </c>
      <c r="AC115" s="49" t="s">
        <v>348</v>
      </c>
      <c r="AD115" s="49" t="s">
        <v>349</v>
      </c>
    </row>
    <row r="116" spans="2:30" ht="27" outlineLevel="1" thickBot="1">
      <c r="B116" s="519"/>
      <c r="C116" s="627"/>
      <c r="D116" s="819"/>
      <c r="E116" s="819"/>
      <c r="F116" s="820"/>
      <c r="G116" s="425"/>
      <c r="H116" s="425"/>
      <c r="I116" s="425"/>
      <c r="J116" s="425"/>
      <c r="K116" s="448"/>
      <c r="L116" s="424"/>
      <c r="M116" s="363"/>
      <c r="N116" s="363"/>
      <c r="P116" s="50"/>
      <c r="Q116" s="50"/>
      <c r="R116" s="51"/>
      <c r="S116" s="51"/>
      <c r="T116" s="51"/>
      <c r="U116" s="51" t="s">
        <v>760</v>
      </c>
      <c r="V116" s="50" t="s">
        <v>761</v>
      </c>
      <c r="W116" s="50"/>
      <c r="X116" s="50"/>
      <c r="Y116" s="50"/>
      <c r="Z116" s="50"/>
      <c r="AA116" s="50"/>
      <c r="AB116" s="50"/>
      <c r="AC116" s="50"/>
      <c r="AD116" s="50"/>
    </row>
    <row r="117" spans="2:30" ht="33" outlineLevel="1" thickBot="1">
      <c r="B117" s="401" t="s">
        <v>682</v>
      </c>
      <c r="C117" s="402"/>
      <c r="D117" s="403"/>
      <c r="E117" s="404"/>
      <c r="F117" s="405"/>
      <c r="G117" s="406"/>
      <c r="H117" s="406"/>
      <c r="I117" s="406"/>
      <c r="J117" s="406"/>
      <c r="K117" s="459"/>
      <c r="L117" s="460"/>
      <c r="M117" s="363"/>
      <c r="N117" s="363"/>
      <c r="O117" s="461" t="s">
        <v>732</v>
      </c>
      <c r="P117" s="56"/>
      <c r="Q117" s="56"/>
      <c r="R117" s="57"/>
      <c r="S117" s="57"/>
      <c r="T117" s="57"/>
      <c r="U117" s="56" t="s">
        <v>350</v>
      </c>
      <c r="V117" s="56" t="s">
        <v>326</v>
      </c>
      <c r="W117" s="56" t="s">
        <v>327</v>
      </c>
      <c r="X117" s="56" t="s">
        <v>351</v>
      </c>
      <c r="Y117" s="56" t="s">
        <v>351</v>
      </c>
      <c r="Z117" s="56" t="s">
        <v>352</v>
      </c>
      <c r="AA117" s="56" t="s">
        <v>352</v>
      </c>
      <c r="AB117" s="56" t="s">
        <v>352</v>
      </c>
      <c r="AC117" s="56" t="s">
        <v>352</v>
      </c>
      <c r="AD117" s="56" t="s">
        <v>352</v>
      </c>
    </row>
    <row r="118" spans="2:30" outlineLevel="1">
      <c r="B118" s="522" t="s">
        <v>762</v>
      </c>
      <c r="C118" s="670">
        <v>3.5000000000000003E-2</v>
      </c>
      <c r="D118" s="670">
        <v>0.03</v>
      </c>
      <c r="E118" s="670">
        <v>0.03</v>
      </c>
      <c r="F118" s="670">
        <v>0.03</v>
      </c>
      <c r="G118" s="524"/>
      <c r="H118" s="524"/>
      <c r="I118" s="524"/>
      <c r="J118" s="524"/>
      <c r="K118" s="524" t="s">
        <v>51</v>
      </c>
      <c r="L118" s="525"/>
      <c r="M118" s="363"/>
      <c r="N118" s="363"/>
      <c r="O118" s="465">
        <f>C91</f>
        <v>89</v>
      </c>
      <c r="P118" s="466">
        <f>C87</f>
        <v>2020</v>
      </c>
      <c r="Q118" s="58">
        <f>P118</f>
        <v>2020</v>
      </c>
      <c r="R118" s="466">
        <f>O118/100</f>
        <v>0.89</v>
      </c>
      <c r="S118" s="58"/>
      <c r="T118" s="466">
        <f>C95</f>
        <v>25</v>
      </c>
      <c r="U118" s="467">
        <f>C125</f>
        <v>3725</v>
      </c>
      <c r="V118" s="467">
        <f>C127</f>
        <v>251.065</v>
      </c>
      <c r="W118" s="467">
        <f>C128</f>
        <v>3.9381527777777778</v>
      </c>
      <c r="X118" s="58"/>
      <c r="Y118" s="58"/>
      <c r="Z118" s="466">
        <f>C102</f>
        <v>8</v>
      </c>
      <c r="AA118" s="468">
        <f>C104</f>
        <v>35</v>
      </c>
      <c r="AB118" s="468">
        <f>C105</f>
        <v>1.5</v>
      </c>
      <c r="AC118" s="468">
        <f>C106</f>
        <v>0.8</v>
      </c>
      <c r="AD118" s="468">
        <f>C103</f>
        <v>2.1</v>
      </c>
    </row>
    <row r="119" spans="2:30" outlineLevel="1">
      <c r="B119" s="500" t="s">
        <v>763</v>
      </c>
      <c r="C119" s="526" t="s">
        <v>36</v>
      </c>
      <c r="D119" s="527" t="s">
        <v>36</v>
      </c>
      <c r="E119" s="527" t="s">
        <v>36</v>
      </c>
      <c r="F119" s="528" t="s">
        <v>36</v>
      </c>
      <c r="G119" s="528"/>
      <c r="H119" s="528"/>
      <c r="I119" s="528"/>
      <c r="J119" s="528"/>
      <c r="K119" s="529" t="s">
        <v>52</v>
      </c>
      <c r="L119" s="525"/>
      <c r="M119" s="363"/>
      <c r="N119" s="363"/>
      <c r="O119" s="465">
        <f>D91</f>
        <v>89</v>
      </c>
      <c r="P119" s="466">
        <f>D87</f>
        <v>2030</v>
      </c>
      <c r="Q119" s="58"/>
      <c r="R119" s="466">
        <f>O119/100</f>
        <v>0.89</v>
      </c>
      <c r="S119" s="58"/>
      <c r="T119" s="466">
        <f>D95</f>
        <v>25</v>
      </c>
      <c r="U119" s="467">
        <f>D125</f>
        <v>3725</v>
      </c>
      <c r="V119" s="467">
        <f>D127</f>
        <v>242.87</v>
      </c>
      <c r="W119" s="467">
        <f>D128</f>
        <v>3.9836805555555559</v>
      </c>
      <c r="X119" s="58"/>
      <c r="Y119" s="58"/>
      <c r="Z119" s="466">
        <f>D102</f>
        <v>8</v>
      </c>
      <c r="AA119" s="468">
        <f>D104</f>
        <v>35</v>
      </c>
      <c r="AB119" s="468">
        <f>D105</f>
        <v>1.5</v>
      </c>
      <c r="AC119" s="468">
        <f>D106</f>
        <v>0.8</v>
      </c>
      <c r="AD119" s="468">
        <f>D103</f>
        <v>2.1</v>
      </c>
    </row>
    <row r="120" spans="2:30" outlineLevel="1">
      <c r="B120" s="500" t="s">
        <v>764</v>
      </c>
      <c r="C120" s="526" t="s">
        <v>36</v>
      </c>
      <c r="D120" s="527" t="s">
        <v>36</v>
      </c>
      <c r="E120" s="527" t="s">
        <v>36</v>
      </c>
      <c r="F120" s="528" t="s">
        <v>36</v>
      </c>
      <c r="G120" s="515"/>
      <c r="H120" s="515"/>
      <c r="I120" s="515"/>
      <c r="J120" s="515"/>
      <c r="K120" s="515"/>
      <c r="L120" s="504"/>
      <c r="M120" s="363"/>
      <c r="N120" s="363"/>
      <c r="O120" s="465">
        <f>E91</f>
        <v>90</v>
      </c>
      <c r="P120" s="466">
        <f>E87</f>
        <v>2040</v>
      </c>
      <c r="Q120" s="58"/>
      <c r="R120" s="466">
        <f>O120/100</f>
        <v>0.9</v>
      </c>
      <c r="S120" s="58"/>
      <c r="T120" s="466">
        <f>E95</f>
        <v>25</v>
      </c>
      <c r="U120" s="467">
        <f>E125</f>
        <v>3725</v>
      </c>
      <c r="V120" s="467">
        <f>E127</f>
        <v>235.42</v>
      </c>
      <c r="W120" s="467">
        <f>E128</f>
        <v>4.0064444444444449</v>
      </c>
      <c r="X120" s="58"/>
      <c r="Y120" s="58"/>
      <c r="Z120" s="466">
        <f>E102</f>
        <v>8</v>
      </c>
      <c r="AA120" s="468">
        <f>E104</f>
        <v>35</v>
      </c>
      <c r="AB120" s="468">
        <f>E105</f>
        <v>1.5</v>
      </c>
      <c r="AC120" s="468">
        <f>E106</f>
        <v>0.8</v>
      </c>
      <c r="AD120" s="468">
        <f>E103</f>
        <v>2.1</v>
      </c>
    </row>
    <row r="121" spans="2:30" outlineLevel="1">
      <c r="B121" s="500" t="s">
        <v>765</v>
      </c>
      <c r="C121" s="685">
        <v>90</v>
      </c>
      <c r="D121" s="530">
        <v>90</v>
      </c>
      <c r="E121" s="530">
        <v>90</v>
      </c>
      <c r="F121" s="530">
        <v>90</v>
      </c>
      <c r="G121" s="531"/>
      <c r="H121" s="531"/>
      <c r="I121" s="531"/>
      <c r="J121" s="531"/>
      <c r="K121" s="531"/>
      <c r="L121" s="504">
        <v>3</v>
      </c>
      <c r="M121" s="363"/>
      <c r="N121" s="363"/>
      <c r="O121" s="465">
        <f>F91</f>
        <v>91</v>
      </c>
      <c r="P121" s="466">
        <f>F87</f>
        <v>2050</v>
      </c>
      <c r="Q121" s="58"/>
      <c r="R121" s="466">
        <f>O121/100</f>
        <v>0.91</v>
      </c>
      <c r="S121" s="58"/>
      <c r="T121" s="466">
        <f>F95</f>
        <v>25</v>
      </c>
      <c r="U121" s="467">
        <f>F125</f>
        <v>3725</v>
      </c>
      <c r="V121" s="467">
        <f>F127</f>
        <v>227.97</v>
      </c>
      <c r="W121" s="467">
        <f>F128</f>
        <v>4.0064444444444449</v>
      </c>
      <c r="X121" s="58"/>
      <c r="Y121" s="58"/>
      <c r="Z121" s="466">
        <f>F102</f>
        <v>8</v>
      </c>
      <c r="AA121" s="468">
        <f>F104</f>
        <v>35</v>
      </c>
      <c r="AB121" s="468">
        <f>F105</f>
        <v>1.5</v>
      </c>
      <c r="AC121" s="468">
        <f>F106</f>
        <v>0.8</v>
      </c>
      <c r="AD121" s="468">
        <f>F103</f>
        <v>2.1</v>
      </c>
    </row>
    <row r="122" spans="2:30" outlineLevel="1">
      <c r="B122" s="532" t="s">
        <v>766</v>
      </c>
      <c r="C122" s="526"/>
      <c r="D122" s="527"/>
      <c r="E122" s="527"/>
      <c r="F122" s="528"/>
      <c r="G122" s="531"/>
      <c r="H122" s="531"/>
      <c r="I122" s="531"/>
      <c r="J122" s="531"/>
      <c r="K122" s="531"/>
      <c r="L122" s="533"/>
      <c r="M122" s="367"/>
      <c r="N122" s="367"/>
    </row>
    <row r="123" spans="2:30" outlineLevel="1">
      <c r="B123" s="532" t="s">
        <v>767</v>
      </c>
      <c r="C123" s="526"/>
      <c r="D123" s="527"/>
      <c r="E123" s="527"/>
      <c r="F123" s="528"/>
      <c r="G123" s="531"/>
      <c r="H123" s="531"/>
      <c r="I123" s="531"/>
      <c r="J123" s="531"/>
      <c r="K123" s="531"/>
      <c r="L123" s="533"/>
      <c r="M123" s="363"/>
      <c r="N123" s="363"/>
    </row>
    <row r="124" spans="2:30" ht="16" outlineLevel="1" thickBot="1">
      <c r="B124" s="534" t="s">
        <v>768</v>
      </c>
      <c r="C124" s="535"/>
      <c r="D124" s="536"/>
      <c r="E124" s="536"/>
      <c r="F124" s="537"/>
      <c r="G124" s="538"/>
      <c r="H124" s="538"/>
      <c r="I124" s="538"/>
      <c r="J124" s="538"/>
      <c r="K124" s="538"/>
      <c r="L124" s="539"/>
      <c r="M124" s="363"/>
      <c r="N124" s="363"/>
    </row>
    <row r="125" spans="2:30" ht="64" outlineLevel="1">
      <c r="B125" s="461" t="s">
        <v>769</v>
      </c>
      <c r="C125" s="483">
        <f>C108*$F$4*1000</f>
        <v>3725</v>
      </c>
      <c r="D125" s="483">
        <f t="shared" ref="D125:F125" si="8">D108*$F$4*1000</f>
        <v>3725</v>
      </c>
      <c r="E125" s="483">
        <f t="shared" si="8"/>
        <v>3725</v>
      </c>
      <c r="F125" s="483">
        <f t="shared" si="8"/>
        <v>3725</v>
      </c>
      <c r="G125" s="483"/>
      <c r="H125" s="484"/>
      <c r="I125" s="420" t="s">
        <v>332</v>
      </c>
      <c r="J125" s="420"/>
      <c r="K125" s="484"/>
      <c r="L125" s="484"/>
      <c r="N125" s="420"/>
    </row>
    <row r="126" spans="2:30" outlineLevel="1">
      <c r="B126" s="485" t="s">
        <v>770</v>
      </c>
      <c r="C126" s="486">
        <f>C125*$I126</f>
        <v>1862500</v>
      </c>
      <c r="D126" s="486">
        <f>D125*$I126</f>
        <v>1862500</v>
      </c>
      <c r="E126" s="486">
        <f>E125*$I126</f>
        <v>1862500</v>
      </c>
      <c r="F126" s="486">
        <f>F125*$I126</f>
        <v>1862500</v>
      </c>
      <c r="G126" s="486"/>
      <c r="H126" s="484"/>
      <c r="I126" s="71">
        <v>500</v>
      </c>
      <c r="J126" s="420" t="s">
        <v>330</v>
      </c>
      <c r="K126" s="484"/>
      <c r="L126" s="484"/>
      <c r="N126" s="420"/>
    </row>
    <row r="127" spans="2:30" ht="48" outlineLevel="1">
      <c r="B127" s="461" t="s">
        <v>845</v>
      </c>
      <c r="C127" s="359">
        <f>C111*$F$4/1000</f>
        <v>251.065</v>
      </c>
      <c r="D127" s="359">
        <f t="shared" ref="D127:F127" si="9">D111*$F$4/1000</f>
        <v>242.87</v>
      </c>
      <c r="E127" s="359">
        <f t="shared" si="9"/>
        <v>235.42</v>
      </c>
      <c r="F127" s="359">
        <f t="shared" si="9"/>
        <v>227.97</v>
      </c>
      <c r="G127" s="359"/>
      <c r="I127" s="420" t="s">
        <v>333</v>
      </c>
      <c r="J127" s="420"/>
      <c r="N127" s="420"/>
    </row>
    <row r="128" spans="2:30" ht="48" outlineLevel="1">
      <c r="B128" s="461" t="s">
        <v>846</v>
      </c>
      <c r="C128" s="487">
        <f>C112*$F$4/3.6</f>
        <v>3.9381527777777778</v>
      </c>
      <c r="D128" s="487">
        <f t="shared" ref="D128:F128" si="10">D112*$F$4/3.6</f>
        <v>3.9836805555555559</v>
      </c>
      <c r="E128" s="487">
        <f t="shared" si="10"/>
        <v>4.0064444444444449</v>
      </c>
      <c r="F128" s="487">
        <f t="shared" si="10"/>
        <v>4.0064444444444449</v>
      </c>
      <c r="G128" s="359"/>
      <c r="M128" s="420"/>
      <c r="N128" s="420"/>
    </row>
    <row r="129" spans="2:6" outlineLevel="1"/>
    <row r="130" spans="2:6" outlineLevel="1"/>
    <row r="131" spans="2:6" outlineLevel="1"/>
    <row r="132" spans="2:6" outlineLevel="1">
      <c r="B132" s="488" t="s">
        <v>773</v>
      </c>
      <c r="C132" s="489"/>
      <c r="E132" s="489"/>
      <c r="F132" s="489"/>
    </row>
    <row r="133" spans="2:6" outlineLevel="1">
      <c r="B133" s="491">
        <v>1</v>
      </c>
      <c r="C133" s="492" t="s">
        <v>774</v>
      </c>
      <c r="E133" s="489"/>
      <c r="F133" s="489"/>
    </row>
    <row r="134" spans="2:6" outlineLevel="1">
      <c r="B134" s="491">
        <v>2</v>
      </c>
      <c r="C134" s="493" t="s">
        <v>775</v>
      </c>
      <c r="E134" s="489"/>
      <c r="F134" s="489"/>
    </row>
    <row r="135" spans="2:6" outlineLevel="1">
      <c r="B135" s="491">
        <v>3</v>
      </c>
      <c r="C135" s="493" t="s">
        <v>776</v>
      </c>
      <c r="E135" s="489"/>
      <c r="F135" s="489"/>
    </row>
    <row r="136" spans="2:6" outlineLevel="1">
      <c r="B136" s="491">
        <v>4</v>
      </c>
      <c r="C136" s="493" t="s">
        <v>777</v>
      </c>
      <c r="E136" s="489"/>
      <c r="F136" s="489"/>
    </row>
    <row r="137" spans="2:6" outlineLevel="1">
      <c r="B137" s="358">
        <v>5</v>
      </c>
      <c r="C137" s="494" t="s">
        <v>778</v>
      </c>
      <c r="E137" s="489"/>
      <c r="F137" s="489"/>
    </row>
    <row r="138" spans="2:6" outlineLevel="1">
      <c r="B138" s="358">
        <v>6</v>
      </c>
      <c r="C138" s="492" t="s">
        <v>779</v>
      </c>
      <c r="E138" s="489"/>
      <c r="F138" s="489"/>
    </row>
    <row r="139" spans="2:6" outlineLevel="1">
      <c r="B139" s="358">
        <v>7</v>
      </c>
      <c r="C139" s="495" t="s">
        <v>774</v>
      </c>
      <c r="E139" s="489"/>
      <c r="F139" s="489"/>
    </row>
    <row r="140" spans="2:6" outlineLevel="1">
      <c r="B140" s="358">
        <v>8</v>
      </c>
      <c r="C140" s="495" t="s">
        <v>780</v>
      </c>
      <c r="E140" s="489"/>
      <c r="F140" s="489"/>
    </row>
    <row r="141" spans="2:6" outlineLevel="1">
      <c r="B141" s="358">
        <v>9</v>
      </c>
      <c r="C141" s="489" t="s">
        <v>781</v>
      </c>
      <c r="E141" s="489"/>
      <c r="F141" s="489"/>
    </row>
    <row r="142" spans="2:6" outlineLevel="1">
      <c r="B142" s="358">
        <v>10</v>
      </c>
      <c r="C142" s="490" t="s">
        <v>782</v>
      </c>
      <c r="E142" s="489"/>
      <c r="F142" s="489"/>
    </row>
    <row r="143" spans="2:6" outlineLevel="1">
      <c r="B143" s="488" t="s">
        <v>783</v>
      </c>
      <c r="C143" s="489"/>
      <c r="E143" s="489"/>
      <c r="F143" s="489"/>
    </row>
    <row r="144" spans="2:6" outlineLevel="1">
      <c r="B144" s="496" t="s">
        <v>6</v>
      </c>
      <c r="C144" s="489" t="s">
        <v>1093</v>
      </c>
      <c r="D144" s="489"/>
      <c r="F144" s="489"/>
    </row>
    <row r="145" spans="2:6" outlineLevel="1">
      <c r="B145" s="496" t="s">
        <v>59</v>
      </c>
      <c r="C145" s="489" t="s">
        <v>976</v>
      </c>
      <c r="D145" s="489"/>
      <c r="F145" s="489"/>
    </row>
    <row r="146" spans="2:6" outlineLevel="1">
      <c r="B146" s="496" t="s">
        <v>16</v>
      </c>
      <c r="C146" s="489" t="s">
        <v>1094</v>
      </c>
      <c r="D146" s="489"/>
      <c r="F146" s="489"/>
    </row>
    <row r="147" spans="2:6" outlineLevel="1">
      <c r="B147" s="496" t="s">
        <v>20</v>
      </c>
      <c r="C147" s="489" t="s">
        <v>786</v>
      </c>
      <c r="D147" s="489"/>
      <c r="F147" s="489"/>
    </row>
    <row r="148" spans="2:6" outlineLevel="1">
      <c r="B148" s="496" t="s">
        <v>76</v>
      </c>
      <c r="C148" s="489" t="s">
        <v>978</v>
      </c>
      <c r="D148" s="489"/>
      <c r="F148" s="489"/>
    </row>
    <row r="149" spans="2:6" outlineLevel="1">
      <c r="B149" s="496" t="s">
        <v>25</v>
      </c>
      <c r="C149" s="489" t="s">
        <v>979</v>
      </c>
      <c r="D149" s="489"/>
      <c r="F149" s="490"/>
    </row>
    <row r="150" spans="2:6" outlineLevel="1">
      <c r="B150" s="496" t="s">
        <v>33</v>
      </c>
      <c r="C150" s="498" t="s">
        <v>788</v>
      </c>
      <c r="D150" s="489"/>
      <c r="F150" s="821"/>
    </row>
    <row r="151" spans="2:6" outlineLevel="1">
      <c r="B151" s="496" t="s">
        <v>51</v>
      </c>
      <c r="C151" s="489" t="s">
        <v>804</v>
      </c>
      <c r="D151" s="489"/>
      <c r="F151" s="822"/>
    </row>
    <row r="152" spans="2:6" outlineLevel="1">
      <c r="B152" s="496" t="s">
        <v>52</v>
      </c>
      <c r="C152" s="489" t="s">
        <v>789</v>
      </c>
      <c r="D152" s="489"/>
    </row>
    <row r="153" spans="2:6" outlineLevel="1">
      <c r="B153" s="496"/>
      <c r="C153" s="498"/>
      <c r="E153" s="490"/>
      <c r="F153" s="490"/>
    </row>
    <row r="154" spans="2:6" outlineLevel="1">
      <c r="B154" s="496"/>
      <c r="C154" s="489"/>
      <c r="E154" s="490"/>
      <c r="F154" s="490"/>
    </row>
    <row r="155" spans="2:6" outlineLevel="1">
      <c r="E155" s="490"/>
      <c r="F155" s="490"/>
    </row>
    <row r="156" spans="2:6" outlineLevel="1">
      <c r="B156" s="496"/>
      <c r="E156" s="490"/>
      <c r="F156" s="490"/>
    </row>
    <row r="157" spans="2:6" outlineLevel="1">
      <c r="B157" s="496"/>
      <c r="E157" s="490"/>
      <c r="F157" s="490"/>
    </row>
    <row r="158" spans="2:6" outlineLevel="1">
      <c r="B158" s="496"/>
      <c r="C158" s="489"/>
      <c r="E158" s="490"/>
      <c r="F158" s="490"/>
    </row>
    <row r="159" spans="2:6" outlineLevel="1">
      <c r="B159" s="496"/>
      <c r="C159" s="489"/>
      <c r="E159" s="490"/>
      <c r="F159" s="490"/>
    </row>
    <row r="160" spans="2:6" outlineLevel="1">
      <c r="B160" s="496"/>
      <c r="C160" s="489"/>
      <c r="E160" s="490"/>
      <c r="F160" s="490"/>
    </row>
    <row r="161" spans="1:44" outlineLevel="1"/>
    <row r="162" spans="1:44" outlineLevel="1">
      <c r="M162" s="214"/>
    </row>
    <row r="163" spans="1:44" outlineLevel="1"/>
    <row r="166" spans="1:44">
      <c r="A166" s="360"/>
      <c r="B166" s="1207"/>
      <c r="C166" s="1143"/>
      <c r="D166" s="1143"/>
      <c r="E166" s="1143"/>
      <c r="F166" s="1143"/>
      <c r="G166" s="1143"/>
      <c r="H166" s="1143"/>
      <c r="I166" s="1143"/>
      <c r="J166" s="1143"/>
      <c r="K166" s="1143"/>
      <c r="L166" s="1143"/>
      <c r="M166" s="1143"/>
      <c r="N166" s="693"/>
      <c r="P166" s="1143"/>
      <c r="Q166" s="1143"/>
      <c r="R166" s="1143"/>
      <c r="S166" s="1143"/>
      <c r="T166" s="1143"/>
      <c r="U166" s="1143"/>
    </row>
    <row r="167" spans="1:44" ht="16" outlineLevel="1" thickBot="1">
      <c r="B167" s="1207"/>
      <c r="C167" s="1143"/>
      <c r="D167" s="1143"/>
      <c r="E167" s="1143"/>
      <c r="F167" s="1143"/>
      <c r="G167" s="1143"/>
      <c r="H167" s="1143"/>
      <c r="I167" s="1143"/>
      <c r="J167" s="1143"/>
      <c r="K167" s="1143"/>
      <c r="L167" s="1143"/>
      <c r="M167" s="1143"/>
      <c r="N167" s="693"/>
      <c r="P167" s="692"/>
      <c r="Q167" s="692"/>
      <c r="R167" s="692"/>
      <c r="S167" s="692"/>
      <c r="T167" s="692"/>
      <c r="U167" s="692"/>
      <c r="V167" s="692"/>
      <c r="W167" s="692"/>
      <c r="X167" s="692"/>
      <c r="Y167" s="692"/>
      <c r="Z167" s="692"/>
      <c r="AA167" s="692"/>
      <c r="AB167" s="692"/>
      <c r="AC167" s="692"/>
    </row>
    <row r="168" spans="1:44" ht="20.5" customHeight="1" outlineLevel="1" thickBot="1">
      <c r="B168" s="362"/>
      <c r="C168" s="1204"/>
      <c r="D168" s="1205"/>
      <c r="E168" s="1205"/>
      <c r="F168" s="1205"/>
      <c r="G168" s="1205"/>
      <c r="H168" s="1205"/>
      <c r="I168" s="1205"/>
      <c r="J168" s="1205"/>
      <c r="K168" s="1205"/>
      <c r="L168" s="1206"/>
      <c r="M168" s="363"/>
      <c r="N168" s="363"/>
      <c r="P168" s="364"/>
      <c r="Q168" s="365"/>
      <c r="R168" s="366"/>
      <c r="S168" s="1176"/>
      <c r="T168" s="1160"/>
      <c r="U168" s="1161"/>
      <c r="V168" s="1160"/>
      <c r="W168" s="1161"/>
      <c r="X168" s="1160"/>
      <c r="Y168" s="1161"/>
      <c r="Z168" s="1160"/>
      <c r="AA168" s="1161"/>
      <c r="AB168" s="1160"/>
      <c r="AC168" s="1161"/>
      <c r="AE168" s="364"/>
      <c r="AF168" s="365"/>
      <c r="AG168" s="366"/>
      <c r="AH168" s="1176"/>
      <c r="AI168" s="1160"/>
      <c r="AJ168" s="1161"/>
      <c r="AK168" s="1160"/>
      <c r="AL168" s="1161"/>
      <c r="AM168" s="1160"/>
      <c r="AN168" s="1161"/>
      <c r="AO168" s="1160"/>
      <c r="AP168" s="1161"/>
      <c r="AQ168" s="1160"/>
      <c r="AR168" s="1161"/>
    </row>
    <row r="169" spans="1:44" ht="15" customHeight="1" outlineLevel="1" thickBot="1">
      <c r="B169" s="1164"/>
      <c r="C169" s="1166"/>
      <c r="D169" s="1166"/>
      <c r="E169" s="1166"/>
      <c r="F169" s="1166"/>
      <c r="G169" s="1200"/>
      <c r="H169" s="1201"/>
      <c r="I169" s="1200"/>
      <c r="J169" s="1201"/>
      <c r="K169" s="1202"/>
      <c r="L169" s="1202"/>
      <c r="M169" s="367"/>
      <c r="N169" s="367"/>
      <c r="P169" s="1180"/>
      <c r="Q169" s="368"/>
      <c r="R169" s="368"/>
      <c r="S169" s="1177"/>
      <c r="T169" s="1162"/>
      <c r="U169" s="1163"/>
      <c r="V169" s="1162"/>
      <c r="W169" s="1163"/>
      <c r="X169" s="1162"/>
      <c r="Y169" s="1163"/>
      <c r="Z169" s="1162"/>
      <c r="AA169" s="1163"/>
      <c r="AB169" s="1162"/>
      <c r="AC169" s="1163"/>
      <c r="AE169" s="1180"/>
      <c r="AF169" s="368"/>
      <c r="AG169" s="368"/>
      <c r="AH169" s="1177"/>
      <c r="AI169" s="1162"/>
      <c r="AJ169" s="1163"/>
      <c r="AK169" s="1162"/>
      <c r="AL169" s="1163"/>
      <c r="AM169" s="1162"/>
      <c r="AN169" s="1163"/>
      <c r="AO169" s="1162"/>
      <c r="AP169" s="1163"/>
      <c r="AQ169" s="1162"/>
      <c r="AR169" s="1163"/>
    </row>
    <row r="170" spans="1:44" ht="15" customHeight="1" outlineLevel="1" thickBot="1">
      <c r="B170" s="1165"/>
      <c r="C170" s="1167"/>
      <c r="D170" s="1167"/>
      <c r="E170" s="1167"/>
      <c r="F170" s="1167"/>
      <c r="G170" s="499"/>
      <c r="H170" s="499"/>
      <c r="I170" s="499"/>
      <c r="J170" s="499"/>
      <c r="K170" s="1203"/>
      <c r="L170" s="1203"/>
      <c r="M170" s="370"/>
      <c r="N170" s="370"/>
      <c r="P170" s="1181"/>
      <c r="Q170" s="1183"/>
      <c r="R170" s="1184"/>
      <c r="S170" s="1178"/>
      <c r="T170" s="1162"/>
      <c r="U170" s="1163"/>
      <c r="V170" s="1162"/>
      <c r="W170" s="1163"/>
      <c r="X170" s="1162"/>
      <c r="Y170" s="1163"/>
      <c r="Z170" s="1162"/>
      <c r="AA170" s="1163"/>
      <c r="AB170" s="1162"/>
      <c r="AC170" s="1163"/>
      <c r="AE170" s="1181"/>
      <c r="AF170" s="1197"/>
      <c r="AG170" s="1184"/>
      <c r="AH170" s="1178"/>
      <c r="AI170" s="1162"/>
      <c r="AJ170" s="1163"/>
      <c r="AK170" s="1162"/>
      <c r="AL170" s="1163"/>
      <c r="AM170" s="1162"/>
      <c r="AN170" s="1163"/>
      <c r="AO170" s="1162"/>
      <c r="AP170" s="1163"/>
      <c r="AQ170" s="1162"/>
      <c r="AR170" s="1163"/>
    </row>
    <row r="171" spans="1:44" ht="16" outlineLevel="1" thickBot="1">
      <c r="B171" s="371"/>
      <c r="C171" s="372"/>
      <c r="D171" s="372"/>
      <c r="E171" s="372"/>
      <c r="F171" s="372"/>
      <c r="G171" s="372"/>
      <c r="H171" s="372"/>
      <c r="I171" s="372"/>
      <c r="J171" s="372"/>
      <c r="K171" s="372"/>
      <c r="L171" s="373"/>
      <c r="M171" s="370"/>
      <c r="N171" s="370"/>
      <c r="O171" s="74"/>
      <c r="P171" s="1182"/>
      <c r="Q171" s="1179"/>
      <c r="R171" s="1185"/>
      <c r="S171" s="1179"/>
      <c r="T171" s="374"/>
      <c r="U171" s="375"/>
      <c r="V171" s="374"/>
      <c r="W171" s="375"/>
      <c r="X171" s="374"/>
      <c r="Y171" s="375"/>
      <c r="Z171" s="374"/>
      <c r="AA171" s="375"/>
      <c r="AB171" s="374"/>
      <c r="AC171" s="375"/>
      <c r="AE171" s="1182"/>
      <c r="AF171" s="1198"/>
      <c r="AG171" s="1185"/>
      <c r="AH171" s="1179"/>
      <c r="AI171" s="374"/>
      <c r="AJ171" s="375"/>
      <c r="AK171" s="374"/>
      <c r="AL171" s="375"/>
      <c r="AM171" s="374"/>
      <c r="AN171" s="375"/>
      <c r="AO171" s="374"/>
      <c r="AP171" s="375"/>
      <c r="AQ171" s="374"/>
      <c r="AR171" s="375"/>
    </row>
    <row r="172" spans="1:44" ht="14.5" customHeight="1" outlineLevel="1">
      <c r="B172" s="500"/>
      <c r="C172" s="501"/>
      <c r="D172" s="501"/>
      <c r="E172" s="502"/>
      <c r="F172" s="501"/>
      <c r="G172" s="501"/>
      <c r="H172" s="501"/>
      <c r="I172" s="501"/>
      <c r="J172" s="501"/>
      <c r="K172" s="503"/>
      <c r="L172" s="504"/>
      <c r="M172" s="370"/>
      <c r="N172" s="370"/>
      <c r="P172" s="1199"/>
      <c r="Q172" s="1154"/>
      <c r="R172" s="381"/>
      <c r="S172" s="382"/>
      <c r="T172" s="1137"/>
      <c r="U172" s="1151"/>
      <c r="V172" s="1157"/>
      <c r="W172" s="1151"/>
      <c r="X172" s="1157"/>
      <c r="Y172" s="1151"/>
      <c r="Z172" s="1157"/>
      <c r="AA172" s="1151"/>
      <c r="AB172" s="1157"/>
      <c r="AC172" s="1151"/>
      <c r="AE172" s="1148"/>
      <c r="AF172" s="1154"/>
      <c r="AG172" s="381"/>
      <c r="AH172" s="382"/>
      <c r="AI172" s="1137"/>
      <c r="AJ172" s="1151"/>
      <c r="AK172" s="1157"/>
      <c r="AL172" s="1151"/>
      <c r="AM172" s="1157"/>
      <c r="AN172" s="1151"/>
      <c r="AO172" s="1157"/>
      <c r="AP172" s="1151"/>
      <c r="AQ172" s="1157"/>
      <c r="AR172" s="1151"/>
    </row>
    <row r="173" spans="1:44" outlineLevel="1">
      <c r="B173" s="383"/>
      <c r="C173" s="384"/>
      <c r="D173" s="384"/>
      <c r="E173" s="384"/>
      <c r="F173" s="384"/>
      <c r="G173" s="505"/>
      <c r="H173" s="505"/>
      <c r="I173" s="505"/>
      <c r="J173" s="505"/>
      <c r="K173" s="372"/>
      <c r="L173" s="373"/>
      <c r="M173" s="370"/>
      <c r="N173" s="370"/>
      <c r="O173" s="71"/>
      <c r="P173" s="1195"/>
      <c r="Q173" s="1155"/>
      <c r="R173" s="388"/>
      <c r="S173" s="389"/>
      <c r="T173" s="1140"/>
      <c r="U173" s="1152"/>
      <c r="V173" s="1158"/>
      <c r="W173" s="1152"/>
      <c r="X173" s="1158"/>
      <c r="Y173" s="1152"/>
      <c r="Z173" s="1158"/>
      <c r="AA173" s="1152"/>
      <c r="AB173" s="1158"/>
      <c r="AC173" s="1152"/>
      <c r="AE173" s="1195"/>
      <c r="AF173" s="1155"/>
      <c r="AG173" s="388"/>
      <c r="AH173" s="389"/>
      <c r="AI173" s="1140"/>
      <c r="AJ173" s="1152"/>
      <c r="AK173" s="1158"/>
      <c r="AL173" s="1152"/>
      <c r="AM173" s="1158"/>
      <c r="AN173" s="1152"/>
      <c r="AO173" s="1158"/>
      <c r="AP173" s="1152"/>
      <c r="AQ173" s="1158"/>
      <c r="AR173" s="1152"/>
    </row>
    <row r="174" spans="1:44" ht="16" outlineLevel="1" thickBot="1">
      <c r="B174" s="500"/>
      <c r="C174" s="506"/>
      <c r="D174" s="507"/>
      <c r="E174" s="507"/>
      <c r="F174" s="508"/>
      <c r="G174" s="507"/>
      <c r="H174" s="507"/>
      <c r="I174" s="507"/>
      <c r="J174" s="507"/>
      <c r="K174" s="503"/>
      <c r="L174" s="504"/>
      <c r="M174" s="370"/>
      <c r="N174" s="370"/>
      <c r="O174" s="71"/>
      <c r="P174" s="1195"/>
      <c r="Q174" s="1156"/>
      <c r="R174" s="393"/>
      <c r="S174" s="394"/>
      <c r="T174" s="1141"/>
      <c r="U174" s="1153"/>
      <c r="V174" s="1159"/>
      <c r="W174" s="1153"/>
      <c r="X174" s="1159"/>
      <c r="Y174" s="1153"/>
      <c r="Z174" s="1159"/>
      <c r="AA174" s="1153"/>
      <c r="AB174" s="1159"/>
      <c r="AC174" s="1153"/>
      <c r="AE174" s="1195"/>
      <c r="AF174" s="1156"/>
      <c r="AG174" s="393"/>
      <c r="AH174" s="394"/>
      <c r="AI174" s="1141"/>
      <c r="AJ174" s="1153"/>
      <c r="AK174" s="1159"/>
      <c r="AL174" s="1153"/>
      <c r="AM174" s="1159"/>
      <c r="AN174" s="1153"/>
      <c r="AO174" s="1159"/>
      <c r="AP174" s="1153"/>
      <c r="AQ174" s="1159"/>
      <c r="AR174" s="1153"/>
    </row>
    <row r="175" spans="1:44" ht="14.5" customHeight="1" outlineLevel="1">
      <c r="B175" s="500"/>
      <c r="C175" s="687"/>
      <c r="D175" s="687"/>
      <c r="E175" s="687"/>
      <c r="F175" s="687"/>
      <c r="G175" s="687"/>
      <c r="H175" s="687"/>
      <c r="I175" s="687"/>
      <c r="J175" s="687"/>
      <c r="K175" s="503"/>
      <c r="L175" s="504"/>
      <c r="M175" s="370"/>
      <c r="N175" s="370"/>
      <c r="O175" s="71"/>
      <c r="P175" s="1195"/>
      <c r="Q175" s="1154"/>
      <c r="R175" s="395"/>
      <c r="S175" s="396"/>
      <c r="T175" s="1137"/>
      <c r="U175" s="1137"/>
      <c r="V175" s="1137"/>
      <c r="W175" s="1137"/>
      <c r="X175" s="1137"/>
      <c r="Y175" s="1137"/>
      <c r="Z175" s="1137"/>
      <c r="AA175" s="1137"/>
      <c r="AB175" s="1137"/>
      <c r="AC175" s="1151"/>
      <c r="AE175" s="1195"/>
      <c r="AF175" s="1154"/>
      <c r="AG175" s="395"/>
      <c r="AH175" s="396"/>
      <c r="AI175" s="1137"/>
      <c r="AJ175" s="1137"/>
      <c r="AK175" s="1137"/>
      <c r="AL175" s="1137"/>
      <c r="AM175" s="1137"/>
      <c r="AN175" s="1137"/>
      <c r="AO175" s="1137"/>
      <c r="AP175" s="1137"/>
      <c r="AQ175" s="1137"/>
      <c r="AR175" s="1151"/>
    </row>
    <row r="176" spans="1:44" outlineLevel="1">
      <c r="B176" s="500"/>
      <c r="C176" s="506"/>
      <c r="D176" s="506"/>
      <c r="E176" s="506"/>
      <c r="F176" s="506"/>
      <c r="G176" s="506"/>
      <c r="H176" s="506"/>
      <c r="I176" s="506"/>
      <c r="J176" s="506"/>
      <c r="K176" s="503"/>
      <c r="L176" s="504"/>
      <c r="M176" s="367"/>
      <c r="N176" s="367"/>
      <c r="O176" s="71"/>
      <c r="P176" s="1195"/>
      <c r="Q176" s="1155"/>
      <c r="R176" s="395"/>
      <c r="S176" s="396"/>
      <c r="T176" s="1191"/>
      <c r="U176" s="1191"/>
      <c r="V176" s="1191"/>
      <c r="W176" s="1191"/>
      <c r="X176" s="1191"/>
      <c r="Y176" s="1191"/>
      <c r="Z176" s="1191"/>
      <c r="AA176" s="1191"/>
      <c r="AB176" s="1191"/>
      <c r="AC176" s="1193"/>
      <c r="AE176" s="1195"/>
      <c r="AF176" s="1155"/>
      <c r="AG176" s="395"/>
      <c r="AH176" s="396"/>
      <c r="AI176" s="1191"/>
      <c r="AJ176" s="1191"/>
      <c r="AK176" s="1191"/>
      <c r="AL176" s="1191"/>
      <c r="AM176" s="1191"/>
      <c r="AN176" s="1191"/>
      <c r="AO176" s="1191"/>
      <c r="AP176" s="1191"/>
      <c r="AQ176" s="1191"/>
      <c r="AR176" s="1193"/>
    </row>
    <row r="177" spans="1:44" outlineLevel="1">
      <c r="B177" s="383"/>
      <c r="C177" s="397"/>
      <c r="D177" s="397"/>
      <c r="E177" s="397"/>
      <c r="F177" s="397"/>
      <c r="G177" s="399"/>
      <c r="H177" s="399"/>
      <c r="I177" s="399"/>
      <c r="J177" s="399"/>
      <c r="K177" s="372"/>
      <c r="L177" s="373"/>
      <c r="M177" s="363"/>
      <c r="N177" s="363"/>
      <c r="P177" s="1195"/>
      <c r="Q177" s="1155"/>
      <c r="R177" s="395"/>
      <c r="S177" s="396"/>
      <c r="T177" s="1191"/>
      <c r="U177" s="1191"/>
      <c r="V177" s="1191"/>
      <c r="W177" s="1191"/>
      <c r="X177" s="1191"/>
      <c r="Y177" s="1191"/>
      <c r="Z177" s="1191"/>
      <c r="AA177" s="1191"/>
      <c r="AB177" s="1191"/>
      <c r="AC177" s="1193"/>
      <c r="AE177" s="1195"/>
      <c r="AF177" s="1155"/>
      <c r="AG177" s="395"/>
      <c r="AH177" s="629"/>
      <c r="AI177" s="1191"/>
      <c r="AJ177" s="1191"/>
      <c r="AK177" s="1191"/>
      <c r="AL177" s="1191"/>
      <c r="AM177" s="1191"/>
      <c r="AN177" s="1191"/>
      <c r="AO177" s="1191"/>
      <c r="AP177" s="1191"/>
      <c r="AQ177" s="1191"/>
      <c r="AR177" s="1193"/>
    </row>
    <row r="178" spans="1:44" ht="16" outlineLevel="1" thickBot="1">
      <c r="B178" s="500"/>
      <c r="C178" s="506"/>
      <c r="D178" s="506"/>
      <c r="E178" s="506"/>
      <c r="F178" s="506"/>
      <c r="G178" s="506"/>
      <c r="H178" s="506"/>
      <c r="I178" s="506"/>
      <c r="J178" s="506"/>
      <c r="K178" s="372"/>
      <c r="L178" s="400"/>
      <c r="M178" s="363"/>
      <c r="N178" s="363"/>
      <c r="P178" s="1195"/>
      <c r="Q178" s="1155"/>
      <c r="R178" s="395"/>
      <c r="S178" s="396"/>
      <c r="T178" s="1191"/>
      <c r="U178" s="1191"/>
      <c r="V178" s="1191"/>
      <c r="W178" s="1191"/>
      <c r="X178" s="1191"/>
      <c r="Y178" s="1191"/>
      <c r="Z178" s="1191"/>
      <c r="AA178" s="1191"/>
      <c r="AB178" s="1191"/>
      <c r="AC178" s="1193"/>
      <c r="AE178" s="1195"/>
      <c r="AF178" s="1155"/>
      <c r="AG178" s="395"/>
      <c r="AH178" s="396"/>
      <c r="AI178" s="1191"/>
      <c r="AJ178" s="1191"/>
      <c r="AK178" s="1191"/>
      <c r="AL178" s="1191"/>
      <c r="AM178" s="1191"/>
      <c r="AN178" s="1191"/>
      <c r="AO178" s="1191"/>
      <c r="AP178" s="1191"/>
      <c r="AQ178" s="1191"/>
      <c r="AR178" s="1193"/>
    </row>
    <row r="179" spans="1:44" ht="16" outlineLevel="1" thickBot="1">
      <c r="B179" s="401"/>
      <c r="C179" s="402"/>
      <c r="D179" s="403"/>
      <c r="E179" s="404"/>
      <c r="F179" s="405"/>
      <c r="G179" s="406"/>
      <c r="H179" s="406"/>
      <c r="I179" s="406"/>
      <c r="J179" s="406"/>
      <c r="K179" s="407"/>
      <c r="L179" s="408"/>
      <c r="M179" s="363"/>
      <c r="N179" s="363"/>
      <c r="P179" s="1195"/>
      <c r="Q179" s="1156"/>
      <c r="R179" s="409"/>
      <c r="S179" s="410"/>
      <c r="T179" s="1192"/>
      <c r="U179" s="1192"/>
      <c r="V179" s="1192"/>
      <c r="W179" s="1192"/>
      <c r="X179" s="1192"/>
      <c r="Y179" s="1192"/>
      <c r="Z179" s="1192"/>
      <c r="AA179" s="1192"/>
      <c r="AB179" s="1192"/>
      <c r="AC179" s="1194"/>
      <c r="AE179" s="1195"/>
      <c r="AF179" s="1156"/>
      <c r="AG179" s="409"/>
      <c r="AH179" s="410"/>
      <c r="AI179" s="1192"/>
      <c r="AJ179" s="1192"/>
      <c r="AK179" s="1192"/>
      <c r="AL179" s="1192"/>
      <c r="AM179" s="1192"/>
      <c r="AN179" s="1192"/>
      <c r="AO179" s="1192"/>
      <c r="AP179" s="1192"/>
      <c r="AQ179" s="1192"/>
      <c r="AR179" s="1194"/>
    </row>
    <row r="180" spans="1:44" ht="16" outlineLevel="1" thickBot="1">
      <c r="B180" s="500"/>
      <c r="C180" s="506"/>
      <c r="D180" s="506"/>
      <c r="E180" s="506"/>
      <c r="F180" s="506"/>
      <c r="G180" s="507"/>
      <c r="H180" s="507"/>
      <c r="I180" s="507"/>
      <c r="J180" s="507"/>
      <c r="K180" s="503"/>
      <c r="L180" s="504"/>
      <c r="M180" s="363"/>
      <c r="N180" s="363"/>
      <c r="P180" s="1196"/>
      <c r="Q180" s="411"/>
      <c r="R180" s="412"/>
      <c r="S180" s="630"/>
      <c r="T180" s="416"/>
      <c r="U180" s="415"/>
      <c r="V180" s="416"/>
      <c r="W180" s="415"/>
      <c r="X180" s="416"/>
      <c r="Y180" s="415"/>
      <c r="Z180" s="416"/>
      <c r="AA180" s="415"/>
      <c r="AB180" s="416"/>
      <c r="AC180" s="417"/>
      <c r="AE180" s="1196"/>
      <c r="AF180" s="411"/>
      <c r="AG180" s="695"/>
      <c r="AH180" s="696"/>
      <c r="AI180" s="416"/>
      <c r="AJ180" s="415"/>
      <c r="AK180" s="416"/>
      <c r="AL180" s="415"/>
      <c r="AM180" s="416"/>
      <c r="AN180" s="415"/>
      <c r="AO180" s="416"/>
      <c r="AP180" s="415"/>
      <c r="AQ180" s="416"/>
      <c r="AR180" s="417"/>
    </row>
    <row r="181" spans="1:44" outlineLevel="1">
      <c r="B181" s="500"/>
      <c r="C181" s="506"/>
      <c r="D181" s="506"/>
      <c r="E181" s="506"/>
      <c r="F181" s="506"/>
      <c r="G181" s="509"/>
      <c r="H181" s="509"/>
      <c r="I181" s="509"/>
      <c r="J181" s="509"/>
      <c r="K181" s="510"/>
      <c r="L181" s="504"/>
      <c r="M181" s="363"/>
      <c r="N181" s="363"/>
    </row>
    <row r="182" spans="1:44" outlineLevel="1">
      <c r="B182" s="500"/>
      <c r="C182" s="506"/>
      <c r="D182" s="506"/>
      <c r="E182" s="506"/>
      <c r="F182" s="506"/>
      <c r="G182" s="509"/>
      <c r="H182" s="509"/>
      <c r="I182" s="509"/>
      <c r="J182" s="509"/>
      <c r="K182" s="510"/>
      <c r="L182" s="504"/>
      <c r="M182" s="420"/>
      <c r="N182" s="363"/>
    </row>
    <row r="183" spans="1:44" outlineLevel="1">
      <c r="B183" s="421"/>
      <c r="C183" s="399"/>
      <c r="D183" s="399"/>
      <c r="E183" s="399"/>
      <c r="F183" s="399"/>
      <c r="G183" s="422"/>
      <c r="H183" s="422"/>
      <c r="I183" s="422"/>
      <c r="J183" s="422"/>
      <c r="K183" s="423"/>
      <c r="L183" s="424"/>
      <c r="M183" s="420"/>
      <c r="N183" s="420"/>
    </row>
    <row r="184" spans="1:44" outlineLevel="1">
      <c r="B184" s="383"/>
      <c r="C184" s="397"/>
      <c r="D184" s="397"/>
      <c r="E184" s="397"/>
      <c r="F184" s="397"/>
      <c r="G184" s="422"/>
      <c r="H184" s="425"/>
      <c r="I184" s="425"/>
      <c r="J184" s="425"/>
      <c r="K184" s="426"/>
      <c r="L184" s="427"/>
      <c r="M184" s="428"/>
      <c r="N184" s="428"/>
    </row>
    <row r="185" spans="1:44" outlineLevel="1">
      <c r="B185" s="383"/>
      <c r="C185" s="397"/>
      <c r="D185" s="397"/>
      <c r="E185" s="397"/>
      <c r="F185" s="397"/>
      <c r="G185" s="425"/>
      <c r="H185" s="425"/>
      <c r="I185" s="425"/>
      <c r="J185" s="425"/>
      <c r="K185" s="423"/>
      <c r="L185" s="427"/>
      <c r="M185" s="428"/>
      <c r="N185" s="428"/>
    </row>
    <row r="186" spans="1:44" outlineLevel="1">
      <c r="B186" s="383"/>
      <c r="C186" s="397"/>
      <c r="D186" s="397"/>
      <c r="E186" s="397"/>
      <c r="F186" s="397"/>
      <c r="G186" s="425"/>
      <c r="H186" s="425"/>
      <c r="I186" s="425"/>
      <c r="J186" s="425"/>
      <c r="K186" s="423"/>
      <c r="L186" s="427"/>
      <c r="M186" s="428"/>
      <c r="N186" s="428"/>
    </row>
    <row r="187" spans="1:44" outlineLevel="1">
      <c r="B187" s="383"/>
      <c r="C187" s="397"/>
      <c r="D187" s="397"/>
      <c r="E187" s="397"/>
      <c r="F187" s="397"/>
      <c r="G187" s="425"/>
      <c r="H187" s="425"/>
      <c r="I187" s="425"/>
      <c r="J187" s="425"/>
      <c r="K187" s="423"/>
      <c r="L187" s="427"/>
      <c r="M187" s="428"/>
      <c r="N187" s="428"/>
    </row>
    <row r="188" spans="1:44" ht="16" outlineLevel="1" thickBot="1">
      <c r="B188" s="429"/>
      <c r="C188" s="697"/>
      <c r="D188" s="697"/>
      <c r="E188" s="697"/>
      <c r="F188" s="697"/>
      <c r="G188" s="425"/>
      <c r="H188" s="425"/>
      <c r="I188" s="425"/>
      <c r="J188" s="425"/>
      <c r="K188" s="423"/>
      <c r="L188" s="427"/>
      <c r="M188" s="428"/>
      <c r="N188" s="428"/>
    </row>
    <row r="189" spans="1:44" ht="16" outlineLevel="1" thickBot="1">
      <c r="B189" s="431"/>
      <c r="C189" s="432"/>
      <c r="D189" s="403"/>
      <c r="E189" s="403"/>
      <c r="F189" s="433"/>
      <c r="G189" s="434"/>
      <c r="H189" s="406"/>
      <c r="I189" s="406"/>
      <c r="J189" s="406"/>
      <c r="K189" s="407"/>
      <c r="L189" s="408"/>
      <c r="M189" s="428"/>
      <c r="N189" s="428"/>
    </row>
    <row r="190" spans="1:44" outlineLevel="1">
      <c r="A190" s="435"/>
      <c r="B190" s="436"/>
      <c r="C190" s="551"/>
      <c r="D190" s="647"/>
      <c r="E190" s="647"/>
      <c r="F190" s="648"/>
      <c r="G190" s="425"/>
      <c r="H190" s="425"/>
      <c r="I190" s="425"/>
      <c r="J190" s="425"/>
      <c r="K190" s="426"/>
      <c r="L190" s="440"/>
      <c r="M190" s="420"/>
      <c r="N190" s="420"/>
    </row>
    <row r="191" spans="1:44" outlineLevel="1">
      <c r="B191" s="441"/>
      <c r="C191" s="442"/>
      <c r="D191" s="442"/>
      <c r="E191" s="442"/>
      <c r="F191" s="442"/>
      <c r="G191" s="425"/>
      <c r="H191" s="425"/>
      <c r="I191" s="425"/>
      <c r="J191" s="425"/>
      <c r="K191" s="444"/>
      <c r="L191" s="373"/>
      <c r="M191" s="71"/>
      <c r="N191" s="420"/>
    </row>
    <row r="192" spans="1:44" outlineLevel="1">
      <c r="B192" s="441"/>
      <c r="C192" s="442"/>
      <c r="D192" s="442"/>
      <c r="E192" s="442"/>
      <c r="F192" s="442"/>
      <c r="G192" s="425"/>
      <c r="H192" s="425"/>
      <c r="I192" s="425"/>
      <c r="J192" s="425"/>
      <c r="K192" s="444"/>
      <c r="L192" s="373"/>
      <c r="M192" s="420"/>
      <c r="N192" s="420"/>
    </row>
    <row r="193" spans="2:30" outlineLevel="1">
      <c r="B193" s="383"/>
      <c r="C193" s="602"/>
      <c r="D193" s="603"/>
      <c r="E193" s="603"/>
      <c r="F193" s="604"/>
      <c r="G193" s="425"/>
      <c r="H193" s="425"/>
      <c r="I193" s="425"/>
      <c r="J193" s="425"/>
      <c r="K193" s="448"/>
      <c r="L193" s="373"/>
      <c r="M193" s="420"/>
      <c r="N193" s="420"/>
    </row>
    <row r="194" spans="2:30" outlineLevel="1">
      <c r="B194" s="383"/>
      <c r="C194" s="449"/>
      <c r="D194" s="449"/>
      <c r="E194" s="449"/>
      <c r="F194" s="449"/>
      <c r="G194" s="425"/>
      <c r="H194" s="425"/>
      <c r="I194" s="425"/>
      <c r="J194" s="425"/>
      <c r="K194" s="448"/>
      <c r="L194" s="373"/>
      <c r="M194" s="694"/>
      <c r="N194" s="693"/>
      <c r="P194" s="1142"/>
      <c r="Q194" s="1143"/>
      <c r="R194" s="1143"/>
      <c r="S194" s="1143"/>
      <c r="T194" s="1143"/>
      <c r="U194" s="1144"/>
    </row>
    <row r="195" spans="2:30" ht="16" outlineLevel="1" thickBot="1">
      <c r="B195" s="500"/>
      <c r="C195" s="514"/>
      <c r="D195" s="514"/>
      <c r="E195" s="514"/>
      <c r="F195" s="514"/>
      <c r="G195" s="515"/>
      <c r="H195" s="515"/>
      <c r="I195" s="515"/>
      <c r="J195" s="515"/>
      <c r="K195" s="503"/>
      <c r="L195" s="504"/>
      <c r="M195" s="694"/>
      <c r="N195" s="693"/>
      <c r="P195" s="1134"/>
      <c r="Q195" s="1135"/>
      <c r="R195" s="1135"/>
      <c r="S195" s="1135"/>
      <c r="T195" s="1135"/>
      <c r="U195" s="1136"/>
    </row>
    <row r="196" spans="2:30" outlineLevel="1">
      <c r="B196" s="500"/>
      <c r="C196" s="516"/>
      <c r="D196" s="516"/>
      <c r="E196" s="516"/>
      <c r="F196" s="516"/>
      <c r="G196" s="515"/>
      <c r="H196" s="515"/>
      <c r="I196" s="515"/>
      <c r="J196" s="515"/>
      <c r="K196" s="517"/>
      <c r="L196" s="504"/>
      <c r="M196" s="363"/>
      <c r="N196" s="363"/>
      <c r="P196" s="53"/>
    </row>
    <row r="197" spans="2:30" outlineLevel="1">
      <c r="B197" s="441"/>
      <c r="C197" s="681"/>
      <c r="D197" s="681"/>
      <c r="E197" s="681"/>
      <c r="F197" s="681"/>
      <c r="G197" s="425"/>
      <c r="H197" s="425"/>
      <c r="I197" s="425"/>
      <c r="J197" s="425"/>
      <c r="K197" s="444"/>
      <c r="L197" s="424"/>
      <c r="M197" s="367"/>
      <c r="N197" s="367"/>
      <c r="P197" s="46"/>
      <c r="Q197" s="46"/>
      <c r="R197" s="47"/>
      <c r="S197" s="47"/>
      <c r="T197" s="47"/>
      <c r="U197" s="48"/>
      <c r="V197" s="49"/>
      <c r="W197" s="49"/>
      <c r="X197" s="49"/>
      <c r="Y197" s="49"/>
      <c r="Z197" s="49"/>
      <c r="AA197" s="49"/>
      <c r="AB197" s="49"/>
      <c r="AC197" s="49"/>
      <c r="AD197" s="49"/>
    </row>
    <row r="198" spans="2:30" ht="16" outlineLevel="1" thickBot="1">
      <c r="B198" s="519"/>
      <c r="C198" s="442"/>
      <c r="D198" s="520"/>
      <c r="E198" s="520"/>
      <c r="F198" s="521"/>
      <c r="G198" s="425"/>
      <c r="H198" s="425"/>
      <c r="I198" s="425"/>
      <c r="J198" s="425"/>
      <c r="K198" s="448"/>
      <c r="L198" s="424"/>
      <c r="M198" s="363"/>
      <c r="N198" s="363"/>
      <c r="P198" s="50"/>
      <c r="Q198" s="50"/>
      <c r="R198" s="51"/>
      <c r="S198" s="51"/>
      <c r="T198" s="51"/>
      <c r="U198" s="51"/>
      <c r="V198" s="50"/>
      <c r="W198" s="50"/>
      <c r="X198" s="50"/>
      <c r="Y198" s="50"/>
      <c r="Z198" s="50"/>
      <c r="AA198" s="50"/>
      <c r="AB198" s="50"/>
      <c r="AC198" s="50"/>
      <c r="AD198" s="50"/>
    </row>
    <row r="199" spans="2:30" ht="16" outlineLevel="1" thickBot="1">
      <c r="B199" s="401"/>
      <c r="C199" s="402"/>
      <c r="D199" s="403"/>
      <c r="E199" s="404"/>
      <c r="F199" s="405"/>
      <c r="G199" s="406"/>
      <c r="H199" s="406"/>
      <c r="I199" s="406"/>
      <c r="J199" s="406"/>
      <c r="K199" s="459"/>
      <c r="L199" s="460"/>
      <c r="M199" s="363"/>
      <c r="N199" s="363"/>
      <c r="O199" s="461"/>
      <c r="P199" s="56"/>
      <c r="Q199" s="56"/>
      <c r="R199" s="57"/>
      <c r="S199" s="57"/>
      <c r="T199" s="57"/>
      <c r="U199" s="56"/>
      <c r="V199" s="56"/>
      <c r="W199" s="56"/>
      <c r="X199" s="56"/>
      <c r="Y199" s="56"/>
      <c r="Z199" s="56"/>
      <c r="AA199" s="56"/>
      <c r="AB199" s="56"/>
      <c r="AC199" s="56"/>
      <c r="AD199" s="56"/>
    </row>
    <row r="200" spans="2:30" outlineLevel="1">
      <c r="B200" s="522"/>
      <c r="C200" s="670"/>
      <c r="D200" s="670"/>
      <c r="E200" s="670"/>
      <c r="F200" s="670"/>
      <c r="G200" s="524"/>
      <c r="H200" s="524"/>
      <c r="I200" s="524"/>
      <c r="J200" s="524"/>
      <c r="K200" s="524"/>
      <c r="L200" s="525"/>
      <c r="M200" s="363"/>
      <c r="N200" s="363"/>
      <c r="O200" s="465"/>
      <c r="P200" s="466"/>
      <c r="Q200" s="58"/>
      <c r="R200" s="466"/>
      <c r="S200" s="58"/>
      <c r="T200" s="466"/>
      <c r="U200" s="467"/>
      <c r="V200" s="467"/>
      <c r="W200" s="467"/>
      <c r="X200" s="58"/>
      <c r="Y200" s="58"/>
      <c r="Z200" s="466"/>
      <c r="AA200" s="468"/>
      <c r="AB200" s="468"/>
      <c r="AC200" s="468"/>
      <c r="AD200" s="468"/>
    </row>
    <row r="201" spans="2:30" outlineLevel="1">
      <c r="B201" s="500"/>
      <c r="C201" s="526"/>
      <c r="D201" s="527"/>
      <c r="E201" s="527"/>
      <c r="F201" s="528"/>
      <c r="G201" s="528"/>
      <c r="H201" s="528"/>
      <c r="I201" s="528"/>
      <c r="J201" s="528"/>
      <c r="K201" s="529"/>
      <c r="L201" s="525"/>
      <c r="M201" s="363"/>
      <c r="N201" s="363"/>
      <c r="O201" s="465"/>
      <c r="P201" s="466"/>
      <c r="Q201" s="58"/>
      <c r="R201" s="466"/>
      <c r="S201" s="58"/>
      <c r="T201" s="466"/>
      <c r="U201" s="467"/>
      <c r="V201" s="467"/>
      <c r="W201" s="467"/>
      <c r="X201" s="58"/>
      <c r="Y201" s="58"/>
      <c r="Z201" s="466"/>
      <c r="AA201" s="468"/>
      <c r="AB201" s="468"/>
      <c r="AC201" s="468"/>
      <c r="AD201" s="468"/>
    </row>
    <row r="202" spans="2:30" outlineLevel="1">
      <c r="B202" s="500"/>
      <c r="C202" s="526"/>
      <c r="D202" s="527"/>
      <c r="E202" s="527"/>
      <c r="F202" s="528"/>
      <c r="G202" s="515"/>
      <c r="H202" s="515"/>
      <c r="I202" s="515"/>
      <c r="J202" s="515"/>
      <c r="K202" s="515"/>
      <c r="L202" s="504"/>
      <c r="M202" s="363"/>
      <c r="N202" s="363"/>
      <c r="O202" s="465"/>
      <c r="P202" s="466"/>
      <c r="Q202" s="58"/>
      <c r="R202" s="466"/>
      <c r="S202" s="58"/>
      <c r="T202" s="466"/>
      <c r="U202" s="467"/>
      <c r="V202" s="467"/>
      <c r="W202" s="467"/>
      <c r="X202" s="58"/>
      <c r="Y202" s="58"/>
      <c r="Z202" s="466"/>
      <c r="AA202" s="468"/>
      <c r="AB202" s="468"/>
      <c r="AC202" s="468"/>
      <c r="AD202" s="468"/>
    </row>
    <row r="203" spans="2:30" outlineLevel="1">
      <c r="B203" s="500"/>
      <c r="C203" s="685"/>
      <c r="D203" s="530"/>
      <c r="E203" s="530"/>
      <c r="F203" s="530"/>
      <c r="G203" s="531"/>
      <c r="H203" s="531"/>
      <c r="I203" s="531"/>
      <c r="J203" s="531"/>
      <c r="K203" s="531"/>
      <c r="L203" s="504"/>
      <c r="M203" s="363"/>
      <c r="N203" s="363"/>
      <c r="O203" s="465"/>
      <c r="P203" s="466"/>
      <c r="Q203" s="58"/>
      <c r="R203" s="466"/>
      <c r="S203" s="58"/>
      <c r="T203" s="466"/>
      <c r="U203" s="467"/>
      <c r="V203" s="467"/>
      <c r="W203" s="467"/>
      <c r="X203" s="58"/>
      <c r="Y203" s="58"/>
      <c r="Z203" s="466"/>
      <c r="AA203" s="468"/>
      <c r="AB203" s="468"/>
      <c r="AC203" s="468"/>
      <c r="AD203" s="468"/>
    </row>
    <row r="204" spans="2:30" outlineLevel="1">
      <c r="B204" s="532"/>
      <c r="C204" s="526"/>
      <c r="D204" s="527"/>
      <c r="E204" s="527"/>
      <c r="F204" s="528"/>
      <c r="G204" s="531"/>
      <c r="H204" s="531"/>
      <c r="I204" s="531"/>
      <c r="J204" s="531"/>
      <c r="K204" s="531"/>
      <c r="L204" s="533"/>
      <c r="M204" s="367"/>
      <c r="N204" s="367"/>
    </row>
    <row r="205" spans="2:30" outlineLevel="1">
      <c r="B205" s="532"/>
      <c r="C205" s="526"/>
      <c r="D205" s="527"/>
      <c r="E205" s="527"/>
      <c r="F205" s="528"/>
      <c r="G205" s="531"/>
      <c r="H205" s="531"/>
      <c r="I205" s="531"/>
      <c r="J205" s="531"/>
      <c r="K205" s="531"/>
      <c r="L205" s="533"/>
      <c r="M205" s="363"/>
      <c r="N205" s="363"/>
    </row>
    <row r="206" spans="2:30" ht="16" outlineLevel="1" thickBot="1">
      <c r="B206" s="534"/>
      <c r="C206" s="535"/>
      <c r="D206" s="536"/>
      <c r="E206" s="536"/>
      <c r="F206" s="537"/>
      <c r="G206" s="538"/>
      <c r="H206" s="538"/>
      <c r="I206" s="538"/>
      <c r="J206" s="538"/>
      <c r="K206" s="538"/>
      <c r="L206" s="539"/>
      <c r="M206" s="363"/>
      <c r="N206" s="363"/>
    </row>
    <row r="207" spans="2:30" outlineLevel="1">
      <c r="B207" s="461"/>
      <c r="C207" s="483"/>
      <c r="D207" s="483"/>
      <c r="E207" s="483"/>
      <c r="F207" s="483"/>
      <c r="G207" s="483"/>
      <c r="H207" s="484"/>
      <c r="I207" s="420"/>
      <c r="J207" s="420"/>
      <c r="K207" s="484"/>
      <c r="L207" s="484"/>
      <c r="N207" s="420"/>
    </row>
    <row r="208" spans="2:30" outlineLevel="1">
      <c r="B208" s="485"/>
      <c r="C208" s="486"/>
      <c r="D208" s="486"/>
      <c r="E208" s="486"/>
      <c r="F208" s="486"/>
      <c r="G208" s="486"/>
      <c r="H208" s="484"/>
      <c r="I208" s="71"/>
      <c r="J208" s="420"/>
      <c r="K208" s="484"/>
      <c r="L208" s="484"/>
      <c r="N208" s="420"/>
    </row>
    <row r="209" spans="1:16" outlineLevel="1">
      <c r="B209" s="461"/>
      <c r="C209" s="359"/>
      <c r="D209" s="359"/>
      <c r="E209" s="359"/>
      <c r="F209" s="359"/>
      <c r="G209" s="359"/>
      <c r="I209" s="420"/>
      <c r="J209" s="420"/>
      <c r="N209" s="420"/>
    </row>
    <row r="210" spans="1:16" outlineLevel="1">
      <c r="B210" s="461"/>
      <c r="C210" s="487"/>
      <c r="D210" s="487"/>
      <c r="E210" s="487"/>
      <c r="F210" s="487"/>
      <c r="G210" s="359"/>
      <c r="M210" s="420"/>
      <c r="N210" s="420"/>
    </row>
    <row r="211" spans="1:16" outlineLevel="1"/>
    <row r="212" spans="1:16" outlineLevel="1">
      <c r="A212" s="488"/>
      <c r="B212" s="489"/>
      <c r="D212" s="490"/>
      <c r="E212" s="490"/>
      <c r="F212" s="490"/>
      <c r="G212" s="358"/>
      <c r="H212" s="358"/>
      <c r="I212" s="358"/>
      <c r="J212" s="358"/>
      <c r="K212" s="358"/>
      <c r="L212" s="358"/>
      <c r="N212" s="570"/>
      <c r="O212" s="489"/>
      <c r="P212" s="490"/>
    </row>
    <row r="213" spans="1:16" outlineLevel="1">
      <c r="A213" s="491"/>
      <c r="B213" s="492"/>
      <c r="D213" s="490"/>
      <c r="E213" s="490"/>
      <c r="F213" s="490"/>
      <c r="G213" s="358"/>
      <c r="H213" s="358"/>
      <c r="I213" s="358"/>
      <c r="J213" s="358"/>
      <c r="K213" s="358"/>
      <c r="L213" s="358"/>
      <c r="N213" s="570"/>
      <c r="O213" s="489"/>
      <c r="P213" s="490"/>
    </row>
    <row r="214" spans="1:16" outlineLevel="1">
      <c r="A214" s="491"/>
      <c r="B214" s="493"/>
      <c r="D214" s="490"/>
      <c r="E214" s="490"/>
      <c r="F214" s="490"/>
      <c r="G214" s="358"/>
      <c r="H214" s="358"/>
      <c r="I214" s="358"/>
      <c r="J214" s="358"/>
      <c r="K214" s="358"/>
      <c r="L214" s="358"/>
      <c r="N214" s="570"/>
      <c r="O214" s="489"/>
      <c r="P214" s="490"/>
    </row>
    <row r="215" spans="1:16" outlineLevel="1">
      <c r="A215" s="491"/>
      <c r="B215" s="488"/>
      <c r="C215" s="489"/>
      <c r="E215" s="358"/>
      <c r="F215" s="490"/>
      <c r="G215" s="358"/>
      <c r="H215" s="358"/>
      <c r="I215" s="358"/>
      <c r="J215" s="358"/>
      <c r="K215" s="358"/>
      <c r="L215" s="358"/>
      <c r="N215" s="570"/>
      <c r="O215" s="489"/>
      <c r="P215" s="490"/>
    </row>
    <row r="216" spans="1:16" outlineLevel="1">
      <c r="A216" s="491"/>
      <c r="B216" s="491"/>
      <c r="C216" s="492"/>
      <c r="E216" s="358"/>
      <c r="F216" s="490"/>
      <c r="G216" s="358"/>
      <c r="H216" s="358"/>
      <c r="I216" s="358"/>
      <c r="J216" s="358"/>
      <c r="K216" s="358"/>
      <c r="L216" s="358"/>
      <c r="N216" s="570"/>
      <c r="O216" s="489"/>
      <c r="P216" s="490"/>
    </row>
    <row r="217" spans="1:16" outlineLevel="1">
      <c r="A217" s="358"/>
      <c r="B217" s="491"/>
      <c r="C217" s="493"/>
      <c r="E217" s="358"/>
      <c r="F217" s="490"/>
      <c r="G217" s="358"/>
      <c r="H217" s="358"/>
      <c r="I217" s="358"/>
      <c r="J217" s="358"/>
      <c r="K217" s="358"/>
      <c r="L217" s="358"/>
    </row>
    <row r="218" spans="1:16" outlineLevel="1">
      <c r="A218" s="358"/>
      <c r="B218" s="491"/>
      <c r="C218" s="493"/>
      <c r="E218" s="358"/>
      <c r="F218" s="490"/>
      <c r="G218" s="358"/>
      <c r="H218" s="358"/>
      <c r="I218" s="358"/>
      <c r="J218" s="358"/>
      <c r="K218" s="358"/>
      <c r="L218" s="358"/>
    </row>
    <row r="219" spans="1:16" outlineLevel="1">
      <c r="A219" s="358"/>
      <c r="B219" s="491"/>
      <c r="C219" s="493"/>
      <c r="E219" s="358"/>
      <c r="F219" s="490"/>
      <c r="G219" s="358"/>
      <c r="H219" s="358"/>
      <c r="I219" s="358"/>
      <c r="J219" s="358"/>
      <c r="K219" s="358"/>
      <c r="L219" s="358"/>
    </row>
    <row r="220" spans="1:16" outlineLevel="1">
      <c r="A220" s="358"/>
      <c r="B220" s="358"/>
      <c r="C220" s="494"/>
      <c r="F220" s="490"/>
      <c r="G220" s="358"/>
      <c r="H220" s="358"/>
      <c r="I220" s="358"/>
      <c r="J220" s="358"/>
      <c r="K220" s="358"/>
      <c r="L220" s="358"/>
    </row>
    <row r="221" spans="1:16" outlineLevel="1">
      <c r="A221" s="358"/>
      <c r="B221" s="358"/>
      <c r="C221" s="492"/>
      <c r="F221" s="490"/>
      <c r="G221" s="358"/>
      <c r="H221" s="358"/>
      <c r="I221" s="358"/>
      <c r="J221" s="358"/>
      <c r="K221" s="358"/>
      <c r="L221" s="358"/>
    </row>
    <row r="222" spans="1:16" outlineLevel="1">
      <c r="A222" s="358"/>
      <c r="B222" s="358"/>
      <c r="C222" s="495"/>
      <c r="F222" s="490"/>
      <c r="G222" s="358"/>
      <c r="H222" s="358"/>
      <c r="I222" s="358"/>
      <c r="J222" s="358"/>
      <c r="K222" s="358"/>
      <c r="L222" s="358"/>
    </row>
    <row r="223" spans="1:16" outlineLevel="1">
      <c r="A223" s="488"/>
      <c r="B223" s="358"/>
      <c r="C223" s="495"/>
      <c r="F223" s="490"/>
      <c r="G223" s="358"/>
      <c r="H223" s="358"/>
      <c r="I223" s="358"/>
      <c r="J223" s="358"/>
      <c r="K223" s="358"/>
      <c r="L223" s="358"/>
    </row>
    <row r="224" spans="1:16" outlineLevel="1">
      <c r="A224" s="496"/>
      <c r="B224" s="358"/>
      <c r="C224" s="489"/>
      <c r="F224" s="490"/>
      <c r="G224" s="358"/>
      <c r="H224" s="358"/>
      <c r="I224" s="358"/>
      <c r="J224" s="358"/>
      <c r="K224" s="358"/>
      <c r="L224" s="358"/>
      <c r="N224" s="570"/>
      <c r="O224" s="489"/>
      <c r="P224" s="490"/>
    </row>
    <row r="225" spans="1:16" outlineLevel="1">
      <c r="A225" s="496"/>
      <c r="B225" s="358"/>
      <c r="C225" s="490"/>
      <c r="F225" s="490"/>
      <c r="G225" s="358"/>
      <c r="H225" s="358"/>
      <c r="I225" s="358"/>
      <c r="J225" s="358"/>
      <c r="K225" s="358"/>
      <c r="L225" s="358"/>
      <c r="N225" s="570"/>
      <c r="O225" s="489"/>
      <c r="P225" s="490"/>
    </row>
    <row r="226" spans="1:16" outlineLevel="1">
      <c r="A226" s="496"/>
      <c r="B226" s="488"/>
      <c r="C226" s="489"/>
      <c r="F226" s="490"/>
      <c r="G226" s="358"/>
      <c r="H226" s="358"/>
      <c r="I226" s="358"/>
      <c r="J226" s="358"/>
      <c r="K226" s="358"/>
      <c r="L226" s="358"/>
      <c r="N226" s="570"/>
      <c r="O226" s="489"/>
      <c r="P226" s="490"/>
    </row>
    <row r="227" spans="1:16" outlineLevel="1">
      <c r="A227" s="496"/>
      <c r="B227" s="496"/>
      <c r="C227" s="497"/>
      <c r="D227" s="489"/>
      <c r="F227" s="490"/>
      <c r="G227" s="358"/>
      <c r="H227" s="358"/>
      <c r="I227" s="358"/>
      <c r="J227" s="358"/>
      <c r="K227" s="358"/>
      <c r="L227" s="358"/>
      <c r="N227" s="570"/>
      <c r="O227" s="489"/>
      <c r="P227" s="490"/>
    </row>
    <row r="228" spans="1:16" outlineLevel="1">
      <c r="A228" s="496"/>
      <c r="B228" s="496"/>
      <c r="C228" s="489"/>
      <c r="D228" s="489"/>
      <c r="F228" s="490"/>
      <c r="G228" s="358"/>
      <c r="H228" s="358"/>
      <c r="I228" s="358"/>
      <c r="J228" s="358"/>
      <c r="K228" s="358"/>
      <c r="L228" s="358"/>
      <c r="N228" s="570"/>
      <c r="O228" s="489"/>
      <c r="P228" s="490"/>
    </row>
    <row r="229" spans="1:16" outlineLevel="1">
      <c r="A229" s="496"/>
      <c r="B229" s="496"/>
      <c r="C229" s="489"/>
      <c r="D229" s="489"/>
      <c r="F229" s="490"/>
      <c r="G229" s="358"/>
      <c r="H229" s="358"/>
      <c r="I229" s="358"/>
      <c r="J229" s="358"/>
      <c r="K229" s="358"/>
      <c r="L229" s="358"/>
      <c r="N229" s="570"/>
      <c r="O229" s="489"/>
      <c r="P229" s="490"/>
    </row>
    <row r="230" spans="1:16" outlineLevel="1">
      <c r="A230" s="496"/>
      <c r="B230" s="496"/>
      <c r="C230" s="489"/>
      <c r="D230" s="489"/>
      <c r="F230" s="490"/>
      <c r="G230" s="358"/>
      <c r="H230" s="358"/>
      <c r="I230" s="358"/>
      <c r="J230" s="358"/>
      <c r="K230" s="358"/>
      <c r="L230" s="358"/>
      <c r="N230" s="570"/>
      <c r="O230" s="489"/>
      <c r="P230" s="490"/>
    </row>
    <row r="231" spans="1:16" outlineLevel="1">
      <c r="A231" s="496"/>
      <c r="B231" s="496"/>
      <c r="C231" s="489"/>
      <c r="D231" s="489"/>
      <c r="F231" s="490"/>
      <c r="G231" s="358"/>
      <c r="H231" s="358"/>
      <c r="I231" s="358"/>
      <c r="J231" s="358"/>
      <c r="K231" s="358"/>
      <c r="L231" s="358"/>
      <c r="N231" s="570"/>
      <c r="O231" s="489"/>
      <c r="P231" s="490"/>
    </row>
    <row r="232" spans="1:16" outlineLevel="1">
      <c r="A232" s="496"/>
      <c r="B232" s="496"/>
      <c r="C232" s="489"/>
      <c r="D232" s="489"/>
      <c r="F232" s="490"/>
      <c r="G232" s="358"/>
      <c r="H232" s="358"/>
      <c r="I232" s="358"/>
      <c r="J232" s="358"/>
      <c r="K232" s="358"/>
      <c r="L232" s="358"/>
      <c r="N232" s="570"/>
      <c r="O232" s="489"/>
      <c r="P232" s="490"/>
    </row>
    <row r="233" spans="1:16" outlineLevel="1">
      <c r="A233" s="496"/>
      <c r="B233" s="496"/>
      <c r="C233" s="489"/>
      <c r="D233" s="489"/>
      <c r="F233" s="490"/>
      <c r="G233" s="358"/>
      <c r="H233" s="358"/>
      <c r="I233" s="358"/>
      <c r="J233" s="358"/>
      <c r="K233" s="358"/>
      <c r="L233" s="358"/>
      <c r="N233" s="570"/>
      <c r="O233" s="489"/>
      <c r="P233" s="490"/>
    </row>
    <row r="234" spans="1:16" outlineLevel="1">
      <c r="A234" s="496"/>
      <c r="B234" s="496"/>
      <c r="C234" s="489"/>
      <c r="D234" s="489"/>
      <c r="F234" s="490"/>
      <c r="G234" s="358"/>
      <c r="H234" s="358"/>
      <c r="I234" s="358"/>
      <c r="J234" s="358"/>
      <c r="K234" s="358"/>
      <c r="L234" s="358"/>
      <c r="N234" s="570"/>
      <c r="O234" s="489"/>
      <c r="P234" s="490"/>
    </row>
    <row r="235" spans="1:16" outlineLevel="1">
      <c r="A235" s="496"/>
      <c r="B235" s="496"/>
      <c r="C235" s="498"/>
      <c r="D235" s="489"/>
      <c r="F235" s="490"/>
      <c r="G235" s="358"/>
      <c r="H235" s="358"/>
      <c r="I235" s="358"/>
      <c r="J235" s="358"/>
      <c r="K235" s="358"/>
      <c r="L235" s="358"/>
      <c r="N235" s="570"/>
      <c r="O235" s="489"/>
      <c r="P235" s="490"/>
    </row>
    <row r="236" spans="1:16" outlineLevel="1">
      <c r="A236" s="496"/>
      <c r="B236" s="496"/>
      <c r="C236" s="489"/>
      <c r="D236" s="489"/>
      <c r="F236" s="490"/>
      <c r="G236" s="358"/>
      <c r="H236" s="358"/>
      <c r="I236" s="358"/>
      <c r="J236" s="358"/>
      <c r="K236" s="358"/>
      <c r="L236" s="358"/>
      <c r="N236" s="571"/>
      <c r="O236" s="489"/>
      <c r="P236" s="490"/>
    </row>
    <row r="237" spans="1:16" outlineLevel="1">
      <c r="A237" s="496"/>
      <c r="B237" s="496"/>
      <c r="C237" s="489"/>
      <c r="D237" s="489"/>
      <c r="F237" s="490"/>
      <c r="G237" s="358"/>
      <c r="H237" s="358"/>
      <c r="I237" s="358"/>
      <c r="J237" s="358"/>
      <c r="K237" s="358"/>
      <c r="L237" s="358"/>
      <c r="N237" s="572"/>
      <c r="O237" s="489"/>
      <c r="P237" s="490"/>
    </row>
    <row r="238" spans="1:16" outlineLevel="1">
      <c r="A238" s="496"/>
      <c r="F238" s="490"/>
      <c r="G238" s="358"/>
      <c r="H238" s="358"/>
      <c r="I238" s="358"/>
      <c r="J238" s="358"/>
      <c r="K238" s="358"/>
      <c r="L238" s="358"/>
      <c r="N238" s="573"/>
      <c r="O238" s="489"/>
      <c r="P238" s="490"/>
    </row>
    <row r="239" spans="1:16" outlineLevel="1">
      <c r="A239" s="496"/>
      <c r="B239" s="498"/>
      <c r="C239" s="490"/>
      <c r="D239" s="490"/>
      <c r="E239" s="490"/>
      <c r="F239" s="490"/>
      <c r="G239" s="358"/>
      <c r="H239" s="358"/>
      <c r="I239" s="358"/>
      <c r="J239" s="358"/>
      <c r="K239" s="358"/>
      <c r="L239" s="358"/>
      <c r="N239" s="573"/>
      <c r="O239" s="490"/>
      <c r="P239" s="490"/>
    </row>
    <row r="240" spans="1:16" outlineLevel="1">
      <c r="A240" s="496"/>
      <c r="B240" s="489"/>
      <c r="C240" s="490"/>
      <c r="D240" s="490"/>
      <c r="E240" s="490"/>
      <c r="F240" s="490"/>
      <c r="G240" s="358"/>
      <c r="H240" s="358"/>
      <c r="I240" s="358"/>
      <c r="J240" s="358"/>
      <c r="K240" s="358"/>
      <c r="L240" s="358"/>
      <c r="N240" s="489"/>
      <c r="O240" s="490"/>
      <c r="P240" s="490"/>
    </row>
    <row r="241" spans="1:44" outlineLevel="1">
      <c r="A241" s="496"/>
      <c r="B241" s="489"/>
      <c r="C241" s="490"/>
      <c r="D241" s="490"/>
      <c r="E241" s="490"/>
      <c r="F241" s="490"/>
      <c r="G241" s="358"/>
      <c r="H241" s="358"/>
      <c r="I241" s="358"/>
      <c r="J241" s="358"/>
      <c r="K241" s="358"/>
      <c r="L241" s="358"/>
      <c r="N241" s="490"/>
      <c r="O241" s="490"/>
      <c r="P241" s="490"/>
    </row>
    <row r="242" spans="1:44" outlineLevel="1"/>
    <row r="243" spans="1:44" outlineLevel="1"/>
    <row r="245" spans="1:44">
      <c r="A245" s="360"/>
      <c r="B245" s="1207"/>
      <c r="C245" s="1143"/>
      <c r="D245" s="1143"/>
      <c r="E245" s="1143"/>
      <c r="F245" s="1143"/>
      <c r="G245" s="1143"/>
      <c r="H245" s="1143"/>
      <c r="I245" s="1143"/>
      <c r="J245" s="1143"/>
      <c r="K245" s="1143"/>
      <c r="L245" s="1143"/>
      <c r="M245" s="1143"/>
      <c r="N245" s="693"/>
      <c r="P245" s="1143"/>
      <c r="Q245" s="1143"/>
      <c r="R245" s="1143"/>
      <c r="S245" s="1143"/>
      <c r="T245" s="1143"/>
      <c r="U245" s="1143"/>
    </row>
    <row r="246" spans="1:44" ht="20.5" customHeight="1" outlineLevel="1" thickBot="1">
      <c r="B246" s="1207"/>
      <c r="C246" s="1143"/>
      <c r="D246" s="1143"/>
      <c r="E246" s="1143"/>
      <c r="F246" s="1143"/>
      <c r="G246" s="1143"/>
      <c r="H246" s="1143"/>
      <c r="I246" s="1143"/>
      <c r="J246" s="1143"/>
      <c r="K246" s="1143"/>
      <c r="L246" s="1143"/>
      <c r="M246" s="1143"/>
      <c r="N246" s="693"/>
      <c r="P246" s="692"/>
      <c r="Q246" s="692"/>
      <c r="R246" s="692"/>
      <c r="S246" s="692"/>
      <c r="T246" s="692"/>
      <c r="U246" s="692"/>
      <c r="V246" s="692"/>
      <c r="W246" s="692"/>
      <c r="X246" s="692"/>
      <c r="Y246" s="692"/>
      <c r="Z246" s="692"/>
      <c r="AA246" s="692"/>
      <c r="AB246" s="692"/>
      <c r="AC246" s="692"/>
    </row>
    <row r="247" spans="1:44" ht="15" customHeight="1" outlineLevel="1" thickBot="1">
      <c r="B247" s="362"/>
      <c r="C247" s="1204"/>
      <c r="D247" s="1205"/>
      <c r="E247" s="1205"/>
      <c r="F247" s="1205"/>
      <c r="G247" s="1205"/>
      <c r="H247" s="1205"/>
      <c r="I247" s="1205"/>
      <c r="J247" s="1205"/>
      <c r="K247" s="1205"/>
      <c r="L247" s="1206"/>
      <c r="M247" s="363"/>
      <c r="N247" s="363"/>
      <c r="P247" s="364"/>
      <c r="Q247" s="365"/>
      <c r="R247" s="366"/>
      <c r="S247" s="1176"/>
      <c r="T247" s="1160"/>
      <c r="U247" s="1161"/>
      <c r="V247" s="1160"/>
      <c r="W247" s="1161"/>
      <c r="X247" s="1160"/>
      <c r="Y247" s="1161"/>
      <c r="Z247" s="1160"/>
      <c r="AA247" s="1161"/>
      <c r="AB247" s="1160"/>
      <c r="AC247" s="1161"/>
      <c r="AE247" s="364"/>
      <c r="AF247" s="365"/>
      <c r="AG247" s="366"/>
      <c r="AH247" s="1176"/>
      <c r="AI247" s="1160"/>
      <c r="AJ247" s="1161"/>
      <c r="AK247" s="1160"/>
      <c r="AL247" s="1161"/>
      <c r="AM247" s="1160"/>
      <c r="AN247" s="1161"/>
      <c r="AO247" s="1160"/>
      <c r="AP247" s="1161"/>
      <c r="AQ247" s="1160"/>
      <c r="AR247" s="1161"/>
    </row>
    <row r="248" spans="1:44" ht="15" customHeight="1" outlineLevel="1" thickBot="1">
      <c r="B248" s="1164"/>
      <c r="C248" s="1166"/>
      <c r="D248" s="1166"/>
      <c r="E248" s="1166"/>
      <c r="F248" s="1166"/>
      <c r="G248" s="1200"/>
      <c r="H248" s="1201"/>
      <c r="I248" s="1200"/>
      <c r="J248" s="1201"/>
      <c r="K248" s="1202"/>
      <c r="L248" s="1202"/>
      <c r="M248" s="367"/>
      <c r="N248" s="367"/>
      <c r="P248" s="1180"/>
      <c r="Q248" s="368"/>
      <c r="R248" s="368"/>
      <c r="S248" s="1177"/>
      <c r="T248" s="1162"/>
      <c r="U248" s="1163"/>
      <c r="V248" s="1162"/>
      <c r="W248" s="1163"/>
      <c r="X248" s="1162"/>
      <c r="Y248" s="1163"/>
      <c r="Z248" s="1162"/>
      <c r="AA248" s="1163"/>
      <c r="AB248" s="1162"/>
      <c r="AC248" s="1163"/>
      <c r="AE248" s="1180"/>
      <c r="AF248" s="368"/>
      <c r="AG248" s="368"/>
      <c r="AH248" s="1177"/>
      <c r="AI248" s="1162"/>
      <c r="AJ248" s="1163"/>
      <c r="AK248" s="1162"/>
      <c r="AL248" s="1163"/>
      <c r="AM248" s="1162"/>
      <c r="AN248" s="1163"/>
      <c r="AO248" s="1162"/>
      <c r="AP248" s="1163"/>
      <c r="AQ248" s="1162"/>
      <c r="AR248" s="1163"/>
    </row>
    <row r="249" spans="1:44" ht="16" outlineLevel="1" thickBot="1">
      <c r="B249" s="1165"/>
      <c r="C249" s="1167"/>
      <c r="D249" s="1167"/>
      <c r="E249" s="1167"/>
      <c r="F249" s="1167"/>
      <c r="G249" s="499"/>
      <c r="H249" s="499"/>
      <c r="I249" s="499"/>
      <c r="J249" s="499"/>
      <c r="K249" s="1203"/>
      <c r="L249" s="1203"/>
      <c r="M249" s="370"/>
      <c r="N249" s="370"/>
      <c r="P249" s="1181"/>
      <c r="Q249" s="1183"/>
      <c r="R249" s="1184"/>
      <c r="S249" s="1178"/>
      <c r="T249" s="1162"/>
      <c r="U249" s="1163"/>
      <c r="V249" s="1162"/>
      <c r="W249" s="1163"/>
      <c r="X249" s="1162"/>
      <c r="Y249" s="1163"/>
      <c r="Z249" s="1162"/>
      <c r="AA249" s="1163"/>
      <c r="AB249" s="1162"/>
      <c r="AC249" s="1163"/>
      <c r="AE249" s="1181"/>
      <c r="AF249" s="1197"/>
      <c r="AG249" s="1184"/>
      <c r="AH249" s="1178"/>
      <c r="AI249" s="1162"/>
      <c r="AJ249" s="1163"/>
      <c r="AK249" s="1162"/>
      <c r="AL249" s="1163"/>
      <c r="AM249" s="1162"/>
      <c r="AN249" s="1163"/>
      <c r="AO249" s="1162"/>
      <c r="AP249" s="1163"/>
      <c r="AQ249" s="1162"/>
      <c r="AR249" s="1163"/>
    </row>
    <row r="250" spans="1:44" ht="14.5" customHeight="1" outlineLevel="1" thickBot="1">
      <c r="B250" s="371"/>
      <c r="C250" s="372"/>
      <c r="D250" s="372"/>
      <c r="E250" s="372"/>
      <c r="F250" s="372"/>
      <c r="G250" s="372"/>
      <c r="H250" s="372"/>
      <c r="I250" s="372"/>
      <c r="J250" s="372"/>
      <c r="K250" s="372"/>
      <c r="L250" s="373"/>
      <c r="M250" s="370"/>
      <c r="N250" s="370"/>
      <c r="O250" s="74"/>
      <c r="P250" s="1182"/>
      <c r="Q250" s="1179"/>
      <c r="R250" s="1185"/>
      <c r="S250" s="1179"/>
      <c r="T250" s="374"/>
      <c r="U250" s="375"/>
      <c r="V250" s="374"/>
      <c r="W250" s="375"/>
      <c r="X250" s="374"/>
      <c r="Y250" s="375"/>
      <c r="Z250" s="374"/>
      <c r="AA250" s="375"/>
      <c r="AB250" s="374"/>
      <c r="AC250" s="375"/>
      <c r="AE250" s="1182"/>
      <c r="AF250" s="1198"/>
      <c r="AG250" s="1185"/>
      <c r="AH250" s="1179"/>
      <c r="AI250" s="374"/>
      <c r="AJ250" s="375"/>
      <c r="AK250" s="374"/>
      <c r="AL250" s="375"/>
      <c r="AM250" s="374"/>
      <c r="AN250" s="375"/>
      <c r="AO250" s="374"/>
      <c r="AP250" s="375"/>
      <c r="AQ250" s="374"/>
      <c r="AR250" s="375"/>
    </row>
    <row r="251" spans="1:44" outlineLevel="1">
      <c r="B251" s="500"/>
      <c r="C251" s="668"/>
      <c r="D251" s="668"/>
      <c r="E251" s="669"/>
      <c r="F251" s="668"/>
      <c r="G251" s="501"/>
      <c r="H251" s="501"/>
      <c r="I251" s="501"/>
      <c r="J251" s="501"/>
      <c r="K251" s="503"/>
      <c r="L251" s="504"/>
      <c r="M251" s="370"/>
      <c r="N251" s="370"/>
      <c r="P251" s="1199"/>
      <c r="Q251" s="1154"/>
      <c r="R251" s="381"/>
      <c r="S251" s="382"/>
      <c r="T251" s="1137"/>
      <c r="U251" s="1151"/>
      <c r="V251" s="1157"/>
      <c r="W251" s="1151"/>
      <c r="X251" s="1157"/>
      <c r="Y251" s="1151"/>
      <c r="Z251" s="1157"/>
      <c r="AA251" s="1151"/>
      <c r="AB251" s="1157"/>
      <c r="AC251" s="1151"/>
      <c r="AE251" s="1148"/>
      <c r="AF251" s="1154"/>
      <c r="AG251" s="381"/>
      <c r="AH251" s="382"/>
      <c r="AI251" s="1137"/>
      <c r="AJ251" s="1151"/>
      <c r="AK251" s="1157"/>
      <c r="AL251" s="1151"/>
      <c r="AM251" s="1157"/>
      <c r="AN251" s="1151"/>
      <c r="AO251" s="1157"/>
      <c r="AP251" s="1151"/>
      <c r="AQ251" s="1157"/>
      <c r="AR251" s="1151"/>
    </row>
    <row r="252" spans="1:44" outlineLevel="1">
      <c r="B252" s="383"/>
      <c r="C252" s="577"/>
      <c r="D252" s="577"/>
      <c r="E252" s="577"/>
      <c r="F252" s="577"/>
      <c r="G252" s="505"/>
      <c r="H252" s="505"/>
      <c r="I252" s="505"/>
      <c r="J252" s="505"/>
      <c r="K252" s="372"/>
      <c r="L252" s="373"/>
      <c r="M252" s="370"/>
      <c r="N252" s="370"/>
      <c r="O252" s="71"/>
      <c r="P252" s="1195"/>
      <c r="Q252" s="1155"/>
      <c r="R252" s="388"/>
      <c r="S252" s="389"/>
      <c r="T252" s="1140"/>
      <c r="U252" s="1152"/>
      <c r="V252" s="1158"/>
      <c r="W252" s="1152"/>
      <c r="X252" s="1158"/>
      <c r="Y252" s="1152"/>
      <c r="Z252" s="1158"/>
      <c r="AA252" s="1152"/>
      <c r="AB252" s="1158"/>
      <c r="AC252" s="1152"/>
      <c r="AE252" s="1195"/>
      <c r="AF252" s="1155"/>
      <c r="AG252" s="388"/>
      <c r="AH252" s="389"/>
      <c r="AI252" s="1140"/>
      <c r="AJ252" s="1152"/>
      <c r="AK252" s="1158"/>
      <c r="AL252" s="1152"/>
      <c r="AM252" s="1158"/>
      <c r="AN252" s="1152"/>
      <c r="AO252" s="1158"/>
      <c r="AP252" s="1152"/>
      <c r="AQ252" s="1158"/>
      <c r="AR252" s="1152"/>
    </row>
    <row r="253" spans="1:44" ht="14.5" customHeight="1" outlineLevel="1" thickBot="1">
      <c r="B253" s="500"/>
      <c r="C253" s="506"/>
      <c r="D253" s="507"/>
      <c r="E253" s="507"/>
      <c r="F253" s="508"/>
      <c r="G253" s="507"/>
      <c r="H253" s="507"/>
      <c r="I253" s="507"/>
      <c r="J253" s="507"/>
      <c r="K253" s="503"/>
      <c r="L253" s="504"/>
      <c r="M253" s="370"/>
      <c r="N253" s="370"/>
      <c r="O253" s="71"/>
      <c r="P253" s="1195"/>
      <c r="Q253" s="1156"/>
      <c r="R253" s="393"/>
      <c r="S253" s="394"/>
      <c r="T253" s="1141"/>
      <c r="U253" s="1153"/>
      <c r="V253" s="1159"/>
      <c r="W253" s="1153"/>
      <c r="X253" s="1159"/>
      <c r="Y253" s="1153"/>
      <c r="Z253" s="1159"/>
      <c r="AA253" s="1153"/>
      <c r="AB253" s="1159"/>
      <c r="AC253" s="1153"/>
      <c r="AE253" s="1195"/>
      <c r="AF253" s="1156"/>
      <c r="AG253" s="393"/>
      <c r="AH253" s="394"/>
      <c r="AI253" s="1141"/>
      <c r="AJ253" s="1153"/>
      <c r="AK253" s="1159"/>
      <c r="AL253" s="1153"/>
      <c r="AM253" s="1159"/>
      <c r="AN253" s="1153"/>
      <c r="AO253" s="1159"/>
      <c r="AP253" s="1153"/>
      <c r="AQ253" s="1159"/>
      <c r="AR253" s="1153"/>
    </row>
    <row r="254" spans="1:44" outlineLevel="1">
      <c r="B254" s="500"/>
      <c r="C254" s="687"/>
      <c r="D254" s="687"/>
      <c r="E254" s="687"/>
      <c r="F254" s="687"/>
      <c r="G254" s="687"/>
      <c r="H254" s="687"/>
      <c r="I254" s="687"/>
      <c r="J254" s="687"/>
      <c r="K254" s="503"/>
      <c r="L254" s="504"/>
      <c r="M254" s="370"/>
      <c r="N254" s="370"/>
      <c r="O254" s="71"/>
      <c r="P254" s="1195"/>
      <c r="Q254" s="1154"/>
      <c r="R254" s="395"/>
      <c r="S254" s="396"/>
      <c r="T254" s="1137"/>
      <c r="U254" s="1137"/>
      <c r="V254" s="1137"/>
      <c r="W254" s="1137"/>
      <c r="X254" s="1137"/>
      <c r="Y254" s="1137"/>
      <c r="Z254" s="1137"/>
      <c r="AA254" s="1137"/>
      <c r="AB254" s="1137"/>
      <c r="AC254" s="1151"/>
      <c r="AE254" s="1195"/>
      <c r="AF254" s="1154"/>
      <c r="AG254" s="395"/>
      <c r="AH254" s="396"/>
      <c r="AI254" s="1137"/>
      <c r="AJ254" s="1137"/>
      <c r="AK254" s="1137"/>
      <c r="AL254" s="1137"/>
      <c r="AM254" s="1137"/>
      <c r="AN254" s="1137"/>
      <c r="AO254" s="1137"/>
      <c r="AP254" s="1137"/>
      <c r="AQ254" s="1137"/>
      <c r="AR254" s="1151"/>
    </row>
    <row r="255" spans="1:44" outlineLevel="1">
      <c r="B255" s="500"/>
      <c r="C255" s="506"/>
      <c r="D255" s="506"/>
      <c r="E255" s="506"/>
      <c r="F255" s="506"/>
      <c r="G255" s="506"/>
      <c r="H255" s="506"/>
      <c r="I255" s="506"/>
      <c r="J255" s="506"/>
      <c r="K255" s="503"/>
      <c r="L255" s="504"/>
      <c r="M255" s="367"/>
      <c r="N255" s="367"/>
      <c r="O255" s="71"/>
      <c r="P255" s="1195"/>
      <c r="Q255" s="1155"/>
      <c r="R255" s="395"/>
      <c r="S255" s="396"/>
      <c r="T255" s="1191"/>
      <c r="U255" s="1191"/>
      <c r="V255" s="1191"/>
      <c r="W255" s="1191"/>
      <c r="X255" s="1191"/>
      <c r="Y255" s="1191"/>
      <c r="Z255" s="1191"/>
      <c r="AA255" s="1191"/>
      <c r="AB255" s="1191"/>
      <c r="AC255" s="1193"/>
      <c r="AE255" s="1195"/>
      <c r="AF255" s="1155"/>
      <c r="AG255" s="395"/>
      <c r="AH255" s="396"/>
      <c r="AI255" s="1191"/>
      <c r="AJ255" s="1191"/>
      <c r="AK255" s="1191"/>
      <c r="AL255" s="1191"/>
      <c r="AM255" s="1191"/>
      <c r="AN255" s="1191"/>
      <c r="AO255" s="1191"/>
      <c r="AP255" s="1191"/>
      <c r="AQ255" s="1191"/>
      <c r="AR255" s="1193"/>
    </row>
    <row r="256" spans="1:44" outlineLevel="1">
      <c r="B256" s="383"/>
      <c r="C256" s="397"/>
      <c r="D256" s="397"/>
      <c r="E256" s="397"/>
      <c r="F256" s="397"/>
      <c r="G256" s="399"/>
      <c r="H256" s="399"/>
      <c r="I256" s="399"/>
      <c r="J256" s="399"/>
      <c r="K256" s="372"/>
      <c r="L256" s="373"/>
      <c r="M256" s="363"/>
      <c r="N256" s="363"/>
      <c r="P256" s="1195"/>
      <c r="Q256" s="1155"/>
      <c r="R256" s="395"/>
      <c r="S256" s="396"/>
      <c r="T256" s="1191"/>
      <c r="U256" s="1191"/>
      <c r="V256" s="1191"/>
      <c r="W256" s="1191"/>
      <c r="X256" s="1191"/>
      <c r="Y256" s="1191"/>
      <c r="Z256" s="1191"/>
      <c r="AA256" s="1191"/>
      <c r="AB256" s="1191"/>
      <c r="AC256" s="1193"/>
      <c r="AE256" s="1195"/>
      <c r="AF256" s="1155"/>
      <c r="AG256" s="395"/>
      <c r="AH256" s="629"/>
      <c r="AI256" s="1191"/>
      <c r="AJ256" s="1191"/>
      <c r="AK256" s="1191"/>
      <c r="AL256" s="1191"/>
      <c r="AM256" s="1191"/>
      <c r="AN256" s="1191"/>
      <c r="AO256" s="1191"/>
      <c r="AP256" s="1191"/>
      <c r="AQ256" s="1191"/>
      <c r="AR256" s="1193"/>
    </row>
    <row r="257" spans="1:44" ht="16" outlineLevel="1" thickBot="1">
      <c r="B257" s="500"/>
      <c r="C257" s="506"/>
      <c r="D257" s="506"/>
      <c r="E257" s="506"/>
      <c r="F257" s="506"/>
      <c r="G257" s="506"/>
      <c r="H257" s="506"/>
      <c r="I257" s="506"/>
      <c r="J257" s="506"/>
      <c r="K257" s="372"/>
      <c r="L257" s="400"/>
      <c r="M257" s="363"/>
      <c r="N257" s="363"/>
      <c r="P257" s="1195"/>
      <c r="Q257" s="1155"/>
      <c r="R257" s="395"/>
      <c r="S257" s="396"/>
      <c r="T257" s="1191"/>
      <c r="U257" s="1191"/>
      <c r="V257" s="1191"/>
      <c r="W257" s="1191"/>
      <c r="X257" s="1191"/>
      <c r="Y257" s="1191"/>
      <c r="Z257" s="1191"/>
      <c r="AA257" s="1191"/>
      <c r="AB257" s="1191"/>
      <c r="AC257" s="1193"/>
      <c r="AE257" s="1195"/>
      <c r="AF257" s="1155"/>
      <c r="AG257" s="395"/>
      <c r="AH257" s="396"/>
      <c r="AI257" s="1191"/>
      <c r="AJ257" s="1191"/>
      <c r="AK257" s="1191"/>
      <c r="AL257" s="1191"/>
      <c r="AM257" s="1191"/>
      <c r="AN257" s="1191"/>
      <c r="AO257" s="1191"/>
      <c r="AP257" s="1191"/>
      <c r="AQ257" s="1191"/>
      <c r="AR257" s="1193"/>
    </row>
    <row r="258" spans="1:44" ht="16" outlineLevel="1" thickBot="1">
      <c r="B258" s="401"/>
      <c r="C258" s="402"/>
      <c r="D258" s="403"/>
      <c r="E258" s="404"/>
      <c r="F258" s="405"/>
      <c r="G258" s="406"/>
      <c r="H258" s="406"/>
      <c r="I258" s="406"/>
      <c r="J258" s="406"/>
      <c r="K258" s="407"/>
      <c r="L258" s="408"/>
      <c r="M258" s="363"/>
      <c r="N258" s="363"/>
      <c r="P258" s="1195"/>
      <c r="Q258" s="1156"/>
      <c r="R258" s="409"/>
      <c r="S258" s="410"/>
      <c r="T258" s="1192"/>
      <c r="U258" s="1192"/>
      <c r="V258" s="1192"/>
      <c r="W258" s="1192"/>
      <c r="X258" s="1192"/>
      <c r="Y258" s="1192"/>
      <c r="Z258" s="1192"/>
      <c r="AA258" s="1192"/>
      <c r="AB258" s="1192"/>
      <c r="AC258" s="1194"/>
      <c r="AE258" s="1195"/>
      <c r="AF258" s="1156"/>
      <c r="AG258" s="409"/>
      <c r="AH258" s="410"/>
      <c r="AI258" s="1192"/>
      <c r="AJ258" s="1192"/>
      <c r="AK258" s="1192"/>
      <c r="AL258" s="1192"/>
      <c r="AM258" s="1192"/>
      <c r="AN258" s="1192"/>
      <c r="AO258" s="1192"/>
      <c r="AP258" s="1192"/>
      <c r="AQ258" s="1192"/>
      <c r="AR258" s="1194"/>
    </row>
    <row r="259" spans="1:44" ht="16" outlineLevel="1" thickBot="1">
      <c r="B259" s="500"/>
      <c r="C259" s="506"/>
      <c r="D259" s="506"/>
      <c r="E259" s="506"/>
      <c r="F259" s="506"/>
      <c r="G259" s="507"/>
      <c r="H259" s="507"/>
      <c r="I259" s="507"/>
      <c r="J259" s="507"/>
      <c r="K259" s="503"/>
      <c r="L259" s="504"/>
      <c r="M259" s="363"/>
      <c r="N259" s="363"/>
      <c r="P259" s="1196"/>
      <c r="Q259" s="411"/>
      <c r="R259" s="412"/>
      <c r="S259" s="630"/>
      <c r="T259" s="416"/>
      <c r="U259" s="415"/>
      <c r="V259" s="416"/>
      <c r="W259" s="415"/>
      <c r="X259" s="416"/>
      <c r="Y259" s="415"/>
      <c r="Z259" s="416"/>
      <c r="AA259" s="415"/>
      <c r="AB259" s="416"/>
      <c r="AC259" s="417"/>
      <c r="AE259" s="1196"/>
      <c r="AF259" s="411"/>
      <c r="AG259" s="695"/>
      <c r="AH259" s="696"/>
      <c r="AI259" s="416"/>
      <c r="AJ259" s="415"/>
      <c r="AK259" s="416"/>
      <c r="AL259" s="415"/>
      <c r="AM259" s="416"/>
      <c r="AN259" s="415"/>
      <c r="AO259" s="416"/>
      <c r="AP259" s="415"/>
      <c r="AQ259" s="416"/>
      <c r="AR259" s="417"/>
    </row>
    <row r="260" spans="1:44" outlineLevel="1">
      <c r="B260" s="500"/>
      <c r="C260" s="506"/>
      <c r="D260" s="506"/>
      <c r="E260" s="506"/>
      <c r="F260" s="506"/>
      <c r="G260" s="509"/>
      <c r="H260" s="509"/>
      <c r="I260" s="509"/>
      <c r="J260" s="509"/>
      <c r="K260" s="510"/>
      <c r="L260" s="504"/>
      <c r="M260" s="363"/>
      <c r="N260" s="363"/>
    </row>
    <row r="261" spans="1:44" outlineLevel="1">
      <c r="B261" s="500"/>
      <c r="C261" s="506"/>
      <c r="D261" s="506"/>
      <c r="E261" s="506"/>
      <c r="F261" s="506"/>
      <c r="G261" s="509"/>
      <c r="H261" s="509"/>
      <c r="I261" s="509"/>
      <c r="J261" s="509"/>
      <c r="K261" s="510"/>
      <c r="L261" s="504"/>
      <c r="M261" s="420"/>
      <c r="N261" s="363"/>
    </row>
    <row r="262" spans="1:44" outlineLevel="1">
      <c r="B262" s="421"/>
      <c r="C262" s="399"/>
      <c r="D262" s="399"/>
      <c r="E262" s="399"/>
      <c r="F262" s="399"/>
      <c r="G262" s="422"/>
      <c r="H262" s="422"/>
      <c r="I262" s="422"/>
      <c r="J262" s="422"/>
      <c r="K262" s="423"/>
      <c r="L262" s="424"/>
      <c r="M262" s="420"/>
      <c r="N262" s="420"/>
    </row>
    <row r="263" spans="1:44" outlineLevel="1">
      <c r="B263" s="383"/>
      <c r="C263" s="397"/>
      <c r="D263" s="397"/>
      <c r="E263" s="397"/>
      <c r="F263" s="397"/>
      <c r="G263" s="422"/>
      <c r="H263" s="425"/>
      <c r="I263" s="425"/>
      <c r="J263" s="425"/>
      <c r="K263" s="426"/>
      <c r="L263" s="427"/>
      <c r="M263" s="428"/>
      <c r="N263" s="428"/>
    </row>
    <row r="264" spans="1:44" outlineLevel="1">
      <c r="B264" s="383"/>
      <c r="C264" s="397"/>
      <c r="D264" s="397"/>
      <c r="E264" s="397"/>
      <c r="F264" s="397"/>
      <c r="G264" s="425"/>
      <c r="H264" s="425"/>
      <c r="I264" s="425"/>
      <c r="J264" s="425"/>
      <c r="K264" s="423"/>
      <c r="L264" s="427"/>
      <c r="M264" s="428"/>
      <c r="N264" s="428"/>
    </row>
    <row r="265" spans="1:44" outlineLevel="1">
      <c r="B265" s="383"/>
      <c r="C265" s="397"/>
      <c r="D265" s="397"/>
      <c r="E265" s="397"/>
      <c r="F265" s="397"/>
      <c r="G265" s="425"/>
      <c r="H265" s="425"/>
      <c r="I265" s="425"/>
      <c r="J265" s="425"/>
      <c r="K265" s="423"/>
      <c r="L265" s="427"/>
      <c r="M265" s="428"/>
      <c r="N265" s="428"/>
    </row>
    <row r="266" spans="1:44" outlineLevel="1">
      <c r="B266" s="383"/>
      <c r="C266" s="397"/>
      <c r="D266" s="397"/>
      <c r="E266" s="397"/>
      <c r="F266" s="397"/>
      <c r="G266" s="425"/>
      <c r="H266" s="425"/>
      <c r="I266" s="425"/>
      <c r="J266" s="425"/>
      <c r="K266" s="423"/>
      <c r="L266" s="427"/>
      <c r="M266" s="428"/>
      <c r="N266" s="428"/>
    </row>
    <row r="267" spans="1:44" ht="16" outlineLevel="1" thickBot="1">
      <c r="B267" s="429"/>
      <c r="C267" s="697"/>
      <c r="D267" s="697"/>
      <c r="E267" s="697"/>
      <c r="F267" s="697"/>
      <c r="G267" s="425"/>
      <c r="H267" s="425"/>
      <c r="I267" s="425"/>
      <c r="J267" s="425"/>
      <c r="K267" s="423"/>
      <c r="L267" s="427"/>
      <c r="M267" s="428"/>
      <c r="N267" s="428"/>
    </row>
    <row r="268" spans="1:44" ht="16" outlineLevel="1" thickBot="1">
      <c r="B268" s="431"/>
      <c r="C268" s="432"/>
      <c r="D268" s="403"/>
      <c r="E268" s="403"/>
      <c r="F268" s="433"/>
      <c r="G268" s="434"/>
      <c r="H268" s="406"/>
      <c r="I268" s="406"/>
      <c r="J268" s="406"/>
      <c r="K268" s="407"/>
      <c r="L268" s="408"/>
      <c r="M268" s="428"/>
      <c r="N268" s="428"/>
    </row>
    <row r="269" spans="1:44" outlineLevel="1">
      <c r="A269" s="435"/>
      <c r="B269" s="436"/>
      <c r="C269" s="551"/>
      <c r="D269" s="647"/>
      <c r="E269" s="647"/>
      <c r="F269" s="648"/>
      <c r="G269" s="425"/>
      <c r="H269" s="425"/>
      <c r="I269" s="425"/>
      <c r="J269" s="425"/>
      <c r="K269" s="426"/>
      <c r="L269" s="440"/>
      <c r="M269" s="420"/>
      <c r="N269" s="420"/>
    </row>
    <row r="270" spans="1:44" outlineLevel="1">
      <c r="B270" s="441"/>
      <c r="C270" s="442"/>
      <c r="D270" s="442"/>
      <c r="E270" s="442"/>
      <c r="F270" s="442"/>
      <c r="G270" s="425"/>
      <c r="H270" s="425"/>
      <c r="I270" s="425"/>
      <c r="J270" s="425"/>
      <c r="K270" s="444"/>
      <c r="L270" s="373"/>
      <c r="M270" s="71"/>
      <c r="N270" s="420"/>
    </row>
    <row r="271" spans="1:44" outlineLevel="1">
      <c r="B271" s="441"/>
      <c r="C271" s="442"/>
      <c r="D271" s="442"/>
      <c r="E271" s="442"/>
      <c r="F271" s="442"/>
      <c r="G271" s="425"/>
      <c r="H271" s="425"/>
      <c r="I271" s="425"/>
      <c r="J271" s="425"/>
      <c r="K271" s="444"/>
      <c r="L271" s="373"/>
      <c r="M271" s="420"/>
      <c r="N271" s="420"/>
    </row>
    <row r="272" spans="1:44" outlineLevel="1">
      <c r="B272" s="383"/>
      <c r="C272" s="445"/>
      <c r="D272" s="446"/>
      <c r="E272" s="446"/>
      <c r="F272" s="447"/>
      <c r="G272" s="425"/>
      <c r="H272" s="425"/>
      <c r="I272" s="425"/>
      <c r="J272" s="425"/>
      <c r="K272" s="448"/>
      <c r="L272" s="373"/>
      <c r="M272" s="420"/>
      <c r="N272" s="420"/>
    </row>
    <row r="273" spans="2:30" outlineLevel="1">
      <c r="B273" s="383"/>
      <c r="C273" s="449"/>
      <c r="D273" s="449"/>
      <c r="E273" s="449"/>
      <c r="F273" s="449"/>
      <c r="G273" s="425"/>
      <c r="H273" s="425"/>
      <c r="I273" s="425"/>
      <c r="J273" s="425"/>
      <c r="K273" s="448"/>
      <c r="L273" s="373"/>
      <c r="M273" s="694"/>
      <c r="N273" s="693"/>
      <c r="P273" s="1142"/>
      <c r="Q273" s="1143"/>
      <c r="R273" s="1143"/>
      <c r="S273" s="1143"/>
      <c r="T273" s="1143"/>
      <c r="U273" s="1144"/>
    </row>
    <row r="274" spans="2:30" ht="16" outlineLevel="1" thickBot="1">
      <c r="B274" s="500"/>
      <c r="C274" s="514"/>
      <c r="D274" s="514"/>
      <c r="E274" s="514"/>
      <c r="F274" s="514"/>
      <c r="G274" s="515"/>
      <c r="H274" s="515"/>
      <c r="I274" s="515"/>
      <c r="J274" s="515"/>
      <c r="K274" s="503"/>
      <c r="L274" s="504"/>
      <c r="M274" s="694"/>
      <c r="N274" s="693"/>
      <c r="P274" s="1134"/>
      <c r="Q274" s="1135"/>
      <c r="R274" s="1135"/>
      <c r="S274" s="1135"/>
      <c r="T274" s="1135"/>
      <c r="U274" s="1136"/>
    </row>
    <row r="275" spans="2:30" outlineLevel="1">
      <c r="B275" s="500"/>
      <c r="C275" s="516"/>
      <c r="D275" s="516"/>
      <c r="E275" s="516"/>
      <c r="F275" s="516"/>
      <c r="G275" s="515"/>
      <c r="H275" s="515"/>
      <c r="I275" s="515"/>
      <c r="J275" s="515"/>
      <c r="K275" s="517"/>
      <c r="L275" s="504"/>
      <c r="M275" s="363"/>
      <c r="N275" s="363"/>
      <c r="P275" s="53"/>
    </row>
    <row r="276" spans="2:30" outlineLevel="1">
      <c r="B276" s="441"/>
      <c r="C276" s="681"/>
      <c r="D276" s="681"/>
      <c r="E276" s="681"/>
      <c r="F276" s="681"/>
      <c r="G276" s="425"/>
      <c r="H276" s="425"/>
      <c r="I276" s="425"/>
      <c r="J276" s="425"/>
      <c r="K276" s="444"/>
      <c r="L276" s="424"/>
      <c r="M276" s="367"/>
      <c r="N276" s="367"/>
      <c r="P276" s="46"/>
      <c r="Q276" s="46"/>
      <c r="R276" s="47"/>
      <c r="S276" s="47"/>
      <c r="T276" s="47"/>
      <c r="U276" s="48"/>
      <c r="V276" s="49"/>
      <c r="W276" s="49"/>
      <c r="X276" s="49"/>
      <c r="Y276" s="49"/>
      <c r="Z276" s="49"/>
      <c r="AA276" s="49"/>
      <c r="AB276" s="49"/>
      <c r="AC276" s="49"/>
      <c r="AD276" s="49"/>
    </row>
    <row r="277" spans="2:30" ht="16" outlineLevel="1" thickBot="1">
      <c r="B277" s="519"/>
      <c r="C277" s="442"/>
      <c r="D277" s="520"/>
      <c r="E277" s="520"/>
      <c r="F277" s="521"/>
      <c r="G277" s="425"/>
      <c r="H277" s="425"/>
      <c r="I277" s="425"/>
      <c r="J277" s="425"/>
      <c r="K277" s="448"/>
      <c r="L277" s="424"/>
      <c r="M277" s="363"/>
      <c r="N277" s="363"/>
      <c r="P277" s="50"/>
      <c r="Q277" s="50"/>
      <c r="R277" s="51"/>
      <c r="S277" s="51"/>
      <c r="T277" s="51"/>
      <c r="U277" s="51"/>
      <c r="V277" s="50"/>
      <c r="W277" s="50"/>
      <c r="X277" s="50"/>
      <c r="Y277" s="50"/>
      <c r="Z277" s="50"/>
      <c r="AA277" s="50"/>
      <c r="AB277" s="50"/>
      <c r="AC277" s="50"/>
      <c r="AD277" s="50"/>
    </row>
    <row r="278" spans="2:30" ht="16" outlineLevel="1" thickBot="1">
      <c r="B278" s="401"/>
      <c r="C278" s="402"/>
      <c r="D278" s="403"/>
      <c r="E278" s="404"/>
      <c r="F278" s="405"/>
      <c r="G278" s="406"/>
      <c r="H278" s="406"/>
      <c r="I278" s="406"/>
      <c r="J278" s="406"/>
      <c r="K278" s="459"/>
      <c r="L278" s="460"/>
      <c r="M278" s="363"/>
      <c r="N278" s="363"/>
      <c r="O278" s="461"/>
      <c r="P278" s="56"/>
      <c r="Q278" s="56"/>
      <c r="R278" s="57"/>
      <c r="S278" s="57"/>
      <c r="T278" s="57"/>
      <c r="U278" s="56"/>
      <c r="V278" s="56"/>
      <c r="W278" s="56"/>
      <c r="X278" s="56"/>
      <c r="Y278" s="56"/>
      <c r="Z278" s="56"/>
      <c r="AA278" s="56"/>
      <c r="AB278" s="56"/>
      <c r="AC278" s="56"/>
      <c r="AD278" s="56"/>
    </row>
    <row r="279" spans="2:30" outlineLevel="1">
      <c r="B279" s="522"/>
      <c r="C279" s="670"/>
      <c r="D279" s="670"/>
      <c r="E279" s="670"/>
      <c r="F279" s="670"/>
      <c r="G279" s="524"/>
      <c r="H279" s="524"/>
      <c r="I279" s="524"/>
      <c r="J279" s="524"/>
      <c r="K279" s="524"/>
      <c r="L279" s="525"/>
      <c r="M279" s="363"/>
      <c r="N279" s="363"/>
      <c r="O279" s="465"/>
      <c r="P279" s="466"/>
      <c r="Q279" s="58"/>
      <c r="R279" s="466"/>
      <c r="S279" s="58"/>
      <c r="T279" s="466"/>
      <c r="U279" s="467"/>
      <c r="V279" s="467"/>
      <c r="W279" s="467"/>
      <c r="X279" s="58"/>
      <c r="Y279" s="58"/>
      <c r="Z279" s="466"/>
      <c r="AA279" s="468"/>
      <c r="AB279" s="468"/>
      <c r="AC279" s="468"/>
      <c r="AD279" s="468"/>
    </row>
    <row r="280" spans="2:30" outlineLevel="1">
      <c r="B280" s="500"/>
      <c r="C280" s="526"/>
      <c r="D280" s="527"/>
      <c r="E280" s="527"/>
      <c r="F280" s="528"/>
      <c r="G280" s="528"/>
      <c r="H280" s="528"/>
      <c r="I280" s="528"/>
      <c r="J280" s="528"/>
      <c r="K280" s="529"/>
      <c r="L280" s="525"/>
      <c r="M280" s="363"/>
      <c r="N280" s="363"/>
      <c r="O280" s="465"/>
      <c r="P280" s="466"/>
      <c r="Q280" s="58"/>
      <c r="R280" s="466"/>
      <c r="S280" s="58"/>
      <c r="T280" s="466"/>
      <c r="U280" s="467"/>
      <c r="V280" s="467"/>
      <c r="W280" s="467"/>
      <c r="X280" s="58"/>
      <c r="Y280" s="58"/>
      <c r="Z280" s="466"/>
      <c r="AA280" s="468"/>
      <c r="AB280" s="468"/>
      <c r="AC280" s="468"/>
      <c r="AD280" s="468"/>
    </row>
    <row r="281" spans="2:30" outlineLevel="1">
      <c r="B281" s="500"/>
      <c r="C281" s="526"/>
      <c r="D281" s="527"/>
      <c r="E281" s="527"/>
      <c r="F281" s="528"/>
      <c r="G281" s="515"/>
      <c r="H281" s="515"/>
      <c r="I281" s="515"/>
      <c r="J281" s="515"/>
      <c r="K281" s="515"/>
      <c r="L281" s="504"/>
      <c r="M281" s="363"/>
      <c r="N281" s="363"/>
      <c r="O281" s="465"/>
      <c r="P281" s="466"/>
      <c r="Q281" s="58"/>
      <c r="R281" s="466"/>
      <c r="S281" s="58"/>
      <c r="T281" s="466"/>
      <c r="U281" s="467"/>
      <c r="V281" s="467"/>
      <c r="W281" s="467"/>
      <c r="X281" s="58"/>
      <c r="Y281" s="58"/>
      <c r="Z281" s="466"/>
      <c r="AA281" s="468"/>
      <c r="AB281" s="468"/>
      <c r="AC281" s="468"/>
      <c r="AD281" s="468"/>
    </row>
    <row r="282" spans="2:30" outlineLevel="1">
      <c r="B282" s="500"/>
      <c r="C282" s="685"/>
      <c r="D282" s="530"/>
      <c r="E282" s="530"/>
      <c r="F282" s="530"/>
      <c r="G282" s="531"/>
      <c r="H282" s="531"/>
      <c r="I282" s="531"/>
      <c r="J282" s="531"/>
      <c r="K282" s="531"/>
      <c r="L282" s="504"/>
      <c r="M282" s="363"/>
      <c r="N282" s="363"/>
      <c r="O282" s="465"/>
      <c r="P282" s="466"/>
      <c r="Q282" s="58"/>
      <c r="R282" s="466"/>
      <c r="S282" s="58"/>
      <c r="T282" s="466"/>
      <c r="U282" s="467"/>
      <c r="V282" s="467"/>
      <c r="W282" s="467"/>
      <c r="X282" s="58"/>
      <c r="Y282" s="58"/>
      <c r="Z282" s="466"/>
      <c r="AA282" s="468"/>
      <c r="AB282" s="468"/>
      <c r="AC282" s="468"/>
      <c r="AD282" s="468"/>
    </row>
    <row r="283" spans="2:30" outlineLevel="1">
      <c r="B283" s="532"/>
      <c r="C283" s="526"/>
      <c r="D283" s="527"/>
      <c r="E283" s="527"/>
      <c r="F283" s="528"/>
      <c r="G283" s="531"/>
      <c r="H283" s="531"/>
      <c r="I283" s="531"/>
      <c r="J283" s="531"/>
      <c r="K283" s="531"/>
      <c r="L283" s="533"/>
      <c r="M283" s="367"/>
      <c r="N283" s="367"/>
    </row>
    <row r="284" spans="2:30" outlineLevel="1">
      <c r="B284" s="532"/>
      <c r="C284" s="526"/>
      <c r="D284" s="527"/>
      <c r="E284" s="527"/>
      <c r="F284" s="528"/>
      <c r="G284" s="531"/>
      <c r="H284" s="531"/>
      <c r="I284" s="531"/>
      <c r="J284" s="531"/>
      <c r="K284" s="531"/>
      <c r="L284" s="533"/>
      <c r="M284" s="363"/>
      <c r="N284" s="363"/>
    </row>
    <row r="285" spans="2:30" ht="16" outlineLevel="1" thickBot="1">
      <c r="B285" s="534"/>
      <c r="C285" s="535"/>
      <c r="D285" s="536"/>
      <c r="E285" s="536"/>
      <c r="F285" s="537"/>
      <c r="G285" s="538"/>
      <c r="H285" s="538"/>
      <c r="I285" s="538"/>
      <c r="J285" s="538"/>
      <c r="K285" s="538"/>
      <c r="L285" s="539"/>
      <c r="M285" s="363"/>
      <c r="N285" s="363"/>
    </row>
    <row r="286" spans="2:30" outlineLevel="1">
      <c r="B286" s="461"/>
      <c r="C286" s="483"/>
      <c r="D286" s="483"/>
      <c r="E286" s="483"/>
      <c r="F286" s="483"/>
      <c r="G286" s="483"/>
      <c r="H286" s="484"/>
      <c r="I286" s="420"/>
      <c r="J286" s="420"/>
      <c r="K286" s="484"/>
      <c r="L286" s="484"/>
      <c r="N286" s="420"/>
    </row>
    <row r="287" spans="2:30" outlineLevel="1">
      <c r="B287" s="485"/>
      <c r="C287" s="486"/>
      <c r="D287" s="486"/>
      <c r="E287" s="486"/>
      <c r="F287" s="486"/>
      <c r="G287" s="486"/>
      <c r="H287" s="484"/>
      <c r="I287" s="71"/>
      <c r="J287" s="420"/>
      <c r="K287" s="484"/>
      <c r="L287" s="484"/>
      <c r="N287" s="420"/>
    </row>
    <row r="288" spans="2:30" outlineLevel="1">
      <c r="B288" s="461"/>
      <c r="C288" s="359"/>
      <c r="D288" s="359"/>
      <c r="E288" s="359"/>
      <c r="F288" s="359"/>
      <c r="G288" s="359"/>
      <c r="I288" s="420"/>
      <c r="J288" s="420"/>
      <c r="N288" s="420"/>
    </row>
    <row r="289" spans="1:15" outlineLevel="1">
      <c r="B289" s="461"/>
      <c r="C289" s="487"/>
      <c r="D289" s="487"/>
      <c r="E289" s="487"/>
      <c r="F289" s="487"/>
      <c r="G289" s="359"/>
      <c r="M289" s="420"/>
      <c r="N289" s="420"/>
    </row>
    <row r="290" spans="1:15" outlineLevel="1">
      <c r="A290" s="488"/>
      <c r="B290" s="489"/>
      <c r="D290" s="490"/>
      <c r="E290" s="490"/>
      <c r="F290" s="490"/>
      <c r="G290" s="358"/>
      <c r="H290" s="358"/>
      <c r="I290" s="358"/>
      <c r="J290" s="358"/>
      <c r="K290" s="358"/>
      <c r="L290" s="358"/>
    </row>
    <row r="291" spans="1:15" outlineLevel="1">
      <c r="A291" s="491"/>
      <c r="B291" s="492"/>
      <c r="D291" s="490"/>
      <c r="E291" s="490"/>
      <c r="F291" s="490"/>
      <c r="G291" s="358"/>
      <c r="H291" s="358"/>
      <c r="I291" s="358"/>
      <c r="J291" s="358"/>
      <c r="K291" s="358"/>
      <c r="L291" s="358"/>
    </row>
    <row r="292" spans="1:15" outlineLevel="1">
      <c r="A292" s="491"/>
      <c r="B292" s="493"/>
      <c r="D292" s="490"/>
      <c r="E292" s="490"/>
      <c r="F292" s="490"/>
      <c r="G292" s="358"/>
      <c r="H292" s="358"/>
      <c r="I292" s="358"/>
      <c r="J292" s="358"/>
      <c r="K292" s="358"/>
      <c r="L292" s="358"/>
    </row>
    <row r="293" spans="1:15" outlineLevel="1">
      <c r="A293" s="491"/>
      <c r="B293" s="488"/>
      <c r="C293" s="489"/>
      <c r="E293" s="358"/>
      <c r="F293" s="490"/>
      <c r="G293" s="358"/>
      <c r="H293" s="358"/>
      <c r="I293" s="358"/>
      <c r="J293" s="358"/>
      <c r="K293" s="358"/>
      <c r="L293" s="358"/>
    </row>
    <row r="294" spans="1:15" outlineLevel="1">
      <c r="A294" s="491"/>
      <c r="B294" s="491"/>
      <c r="C294" s="492"/>
      <c r="E294" s="358"/>
      <c r="F294" s="490"/>
      <c r="G294" s="358"/>
      <c r="H294" s="358"/>
      <c r="I294" s="358"/>
      <c r="J294" s="358"/>
      <c r="K294" s="358"/>
      <c r="L294" s="358"/>
    </row>
    <row r="295" spans="1:15" outlineLevel="1">
      <c r="A295" s="358"/>
      <c r="B295" s="491"/>
      <c r="C295" s="493"/>
      <c r="E295" s="358"/>
      <c r="F295" s="490"/>
      <c r="G295" s="358"/>
      <c r="H295" s="358"/>
      <c r="I295" s="358"/>
      <c r="J295" s="358"/>
      <c r="K295" s="358"/>
      <c r="L295" s="358"/>
      <c r="M295" s="570"/>
      <c r="N295" s="489"/>
      <c r="O295" s="490"/>
    </row>
    <row r="296" spans="1:15" outlineLevel="1">
      <c r="A296" s="358"/>
      <c r="B296" s="491"/>
      <c r="C296" s="493"/>
      <c r="E296" s="358"/>
      <c r="F296" s="490"/>
      <c r="G296" s="358"/>
      <c r="H296" s="358"/>
      <c r="I296" s="358"/>
      <c r="J296" s="358"/>
      <c r="K296" s="358"/>
      <c r="L296" s="358"/>
      <c r="O296" s="490"/>
    </row>
    <row r="297" spans="1:15" outlineLevel="1">
      <c r="A297" s="358"/>
      <c r="B297" s="491"/>
      <c r="C297" s="493"/>
      <c r="E297" s="358"/>
      <c r="F297" s="490"/>
      <c r="G297" s="358"/>
      <c r="H297" s="358"/>
      <c r="I297" s="358"/>
      <c r="J297" s="358"/>
      <c r="K297" s="358"/>
      <c r="L297" s="358"/>
      <c r="O297" s="490"/>
    </row>
    <row r="298" spans="1:15" outlineLevel="1">
      <c r="A298" s="358"/>
      <c r="B298" s="358"/>
      <c r="C298" s="494"/>
      <c r="F298" s="490"/>
      <c r="G298" s="358"/>
      <c r="H298" s="358"/>
      <c r="I298" s="358"/>
      <c r="J298" s="358"/>
      <c r="K298" s="358"/>
      <c r="L298" s="358"/>
      <c r="O298" s="490"/>
    </row>
    <row r="299" spans="1:15" outlineLevel="1">
      <c r="A299" s="358"/>
      <c r="B299" s="358"/>
      <c r="C299" s="492"/>
      <c r="F299" s="490"/>
      <c r="G299" s="358"/>
      <c r="H299" s="358"/>
      <c r="I299" s="358"/>
      <c r="J299" s="358"/>
      <c r="K299" s="358"/>
      <c r="L299" s="358"/>
      <c r="O299" s="490"/>
    </row>
    <row r="300" spans="1:15" outlineLevel="1">
      <c r="A300" s="358"/>
      <c r="B300" s="358"/>
      <c r="C300" s="495"/>
      <c r="F300" s="490"/>
      <c r="G300" s="358"/>
      <c r="H300" s="358"/>
      <c r="I300" s="358"/>
      <c r="J300" s="358"/>
      <c r="K300" s="358"/>
      <c r="L300" s="358"/>
      <c r="O300" s="490"/>
    </row>
    <row r="301" spans="1:15" outlineLevel="1">
      <c r="A301" s="488"/>
      <c r="B301" s="358"/>
      <c r="C301" s="495"/>
      <c r="F301" s="490"/>
      <c r="G301" s="358"/>
      <c r="H301" s="358"/>
      <c r="I301" s="358"/>
      <c r="J301" s="358"/>
      <c r="K301" s="358"/>
      <c r="L301" s="358"/>
      <c r="O301" s="490"/>
    </row>
    <row r="302" spans="1:15" outlineLevel="1">
      <c r="A302" s="488"/>
      <c r="B302" s="358"/>
      <c r="C302" s="489"/>
      <c r="F302" s="490"/>
      <c r="G302" s="358"/>
      <c r="H302" s="358"/>
      <c r="I302" s="358"/>
      <c r="J302" s="358"/>
      <c r="K302" s="358"/>
      <c r="L302" s="358"/>
      <c r="O302" s="490"/>
    </row>
    <row r="303" spans="1:15" outlineLevel="1">
      <c r="A303" s="488"/>
      <c r="B303" s="358"/>
      <c r="C303" s="490"/>
      <c r="F303" s="490"/>
      <c r="G303" s="358"/>
      <c r="H303" s="358"/>
      <c r="I303" s="358"/>
      <c r="J303" s="358"/>
      <c r="K303" s="358"/>
      <c r="L303" s="358"/>
      <c r="O303" s="490"/>
    </row>
    <row r="304" spans="1:15" outlineLevel="1">
      <c r="A304" s="488"/>
      <c r="B304" s="488"/>
      <c r="C304" s="489"/>
      <c r="F304" s="490"/>
      <c r="G304" s="358"/>
      <c r="H304" s="358"/>
      <c r="I304" s="358"/>
      <c r="J304" s="358"/>
      <c r="K304" s="358"/>
      <c r="L304" s="358"/>
      <c r="O304" s="490"/>
    </row>
    <row r="305" spans="1:15" outlineLevel="1">
      <c r="A305" s="488"/>
      <c r="B305" s="496"/>
      <c r="C305" s="497"/>
      <c r="D305" s="489"/>
      <c r="F305" s="490"/>
      <c r="G305" s="358"/>
      <c r="H305" s="358"/>
      <c r="I305" s="358"/>
      <c r="J305" s="358"/>
      <c r="K305" s="358"/>
      <c r="L305" s="358"/>
      <c r="O305" s="490"/>
    </row>
    <row r="306" spans="1:15" outlineLevel="1">
      <c r="A306" s="488"/>
      <c r="B306" s="496"/>
      <c r="C306" s="489"/>
      <c r="D306" s="489"/>
      <c r="F306" s="490"/>
      <c r="G306" s="358"/>
      <c r="H306" s="358"/>
      <c r="I306" s="358"/>
      <c r="J306" s="358"/>
      <c r="K306" s="358"/>
      <c r="L306" s="358"/>
      <c r="O306" s="490"/>
    </row>
    <row r="307" spans="1:15" outlineLevel="1">
      <c r="A307" s="488"/>
      <c r="B307" s="496"/>
      <c r="C307" s="489"/>
      <c r="D307" s="489"/>
      <c r="F307" s="490"/>
      <c r="G307" s="358"/>
      <c r="H307" s="358"/>
      <c r="I307" s="358"/>
      <c r="J307" s="358"/>
      <c r="K307" s="358"/>
      <c r="L307" s="358"/>
      <c r="O307" s="490"/>
    </row>
    <row r="308" spans="1:15" outlineLevel="1">
      <c r="A308" s="488"/>
      <c r="B308" s="496"/>
      <c r="C308" s="489"/>
      <c r="D308" s="489"/>
      <c r="F308" s="490"/>
      <c r="G308" s="358"/>
      <c r="H308" s="358"/>
      <c r="I308" s="358"/>
      <c r="J308" s="358"/>
      <c r="K308" s="358"/>
      <c r="L308" s="358"/>
      <c r="O308" s="490"/>
    </row>
    <row r="309" spans="1:15" outlineLevel="1">
      <c r="A309" s="488"/>
      <c r="B309" s="496"/>
      <c r="C309" s="489"/>
      <c r="D309" s="489"/>
      <c r="F309" s="490"/>
      <c r="G309" s="358"/>
      <c r="H309" s="358"/>
      <c r="I309" s="358"/>
      <c r="J309" s="358"/>
      <c r="K309" s="358"/>
      <c r="L309" s="358"/>
      <c r="O309" s="490"/>
    </row>
    <row r="310" spans="1:15" outlineLevel="1">
      <c r="A310" s="488"/>
      <c r="B310" s="496"/>
      <c r="C310" s="489"/>
      <c r="D310" s="489"/>
      <c r="F310" s="490"/>
      <c r="G310" s="358"/>
      <c r="H310" s="358"/>
      <c r="I310" s="358"/>
      <c r="J310" s="358"/>
      <c r="K310" s="358"/>
      <c r="L310" s="358"/>
      <c r="O310" s="490"/>
    </row>
    <row r="311" spans="1:15" outlineLevel="1">
      <c r="A311" s="488"/>
      <c r="B311" s="496"/>
      <c r="C311" s="489"/>
      <c r="D311" s="489"/>
      <c r="F311" s="490"/>
      <c r="G311" s="358"/>
      <c r="H311" s="358"/>
      <c r="I311" s="358"/>
      <c r="J311" s="358"/>
      <c r="K311" s="358"/>
      <c r="L311" s="358"/>
      <c r="O311" s="490"/>
    </row>
    <row r="312" spans="1:15" outlineLevel="1">
      <c r="A312" s="488"/>
      <c r="B312" s="496"/>
      <c r="C312" s="489"/>
      <c r="D312" s="489"/>
      <c r="F312" s="490"/>
      <c r="G312" s="358"/>
      <c r="H312" s="358"/>
      <c r="I312" s="358"/>
      <c r="J312" s="358"/>
      <c r="K312" s="358"/>
      <c r="L312" s="358"/>
      <c r="O312" s="490"/>
    </row>
    <row r="313" spans="1:15" outlineLevel="1">
      <c r="A313" s="488"/>
      <c r="B313" s="496"/>
      <c r="C313" s="498"/>
      <c r="D313" s="489"/>
      <c r="F313" s="490"/>
      <c r="G313" s="358"/>
      <c r="H313" s="358"/>
      <c r="I313" s="358"/>
      <c r="J313" s="358"/>
      <c r="K313" s="358"/>
      <c r="L313" s="358"/>
      <c r="O313" s="490"/>
    </row>
    <row r="314" spans="1:15" outlineLevel="1">
      <c r="A314" s="488"/>
      <c r="B314" s="496"/>
      <c r="C314" s="489"/>
      <c r="D314" s="489"/>
      <c r="F314" s="490"/>
      <c r="G314" s="358"/>
      <c r="H314" s="358"/>
      <c r="I314" s="358"/>
      <c r="J314" s="358"/>
      <c r="K314" s="358"/>
      <c r="L314" s="358"/>
      <c r="O314" s="490"/>
    </row>
    <row r="315" spans="1:15" outlineLevel="1">
      <c r="A315" s="496"/>
      <c r="B315" s="496"/>
      <c r="C315" s="489"/>
      <c r="D315" s="489"/>
      <c r="F315" s="490"/>
      <c r="G315" s="358"/>
      <c r="H315" s="358"/>
      <c r="I315" s="358"/>
      <c r="J315" s="358"/>
      <c r="K315" s="358"/>
      <c r="L315" s="358"/>
      <c r="M315" s="570"/>
      <c r="N315" s="489"/>
      <c r="O315" s="490"/>
    </row>
    <row r="316" spans="1:15" outlineLevel="1">
      <c r="A316" s="496"/>
      <c r="F316" s="490"/>
      <c r="G316" s="358"/>
      <c r="H316" s="358"/>
      <c r="I316" s="358"/>
      <c r="J316" s="358"/>
      <c r="K316" s="358"/>
      <c r="L316" s="358"/>
      <c r="M316" s="571"/>
      <c r="N316" s="489"/>
      <c r="O316" s="490"/>
    </row>
    <row r="317" spans="1:15" outlineLevel="1">
      <c r="A317" s="496"/>
      <c r="B317" s="489"/>
      <c r="D317" s="490"/>
      <c r="E317" s="490"/>
      <c r="F317" s="490"/>
      <c r="G317" s="358"/>
      <c r="H317" s="358"/>
      <c r="I317" s="358"/>
      <c r="J317" s="358"/>
      <c r="K317" s="358"/>
      <c r="L317" s="358"/>
      <c r="M317" s="572"/>
      <c r="N317" s="489"/>
      <c r="O317" s="490"/>
    </row>
    <row r="318" spans="1:15" outlineLevel="1">
      <c r="A318" s="496"/>
      <c r="B318" s="498"/>
      <c r="D318" s="490"/>
      <c r="E318" s="490"/>
      <c r="F318" s="490"/>
      <c r="G318" s="358"/>
      <c r="H318" s="358"/>
      <c r="I318" s="358"/>
      <c r="J318" s="358"/>
      <c r="K318" s="358"/>
      <c r="L318" s="358"/>
      <c r="M318" s="573"/>
      <c r="N318" s="489"/>
      <c r="O318" s="490"/>
    </row>
    <row r="319" spans="1:15" outlineLevel="1">
      <c r="A319" s="496"/>
      <c r="B319" s="489"/>
      <c r="D319" s="490"/>
      <c r="E319" s="490"/>
      <c r="F319" s="490"/>
      <c r="G319" s="358"/>
      <c r="H319" s="358"/>
      <c r="I319" s="358"/>
      <c r="J319" s="358"/>
      <c r="K319" s="358"/>
      <c r="L319" s="358"/>
      <c r="M319" s="573"/>
      <c r="N319" s="490"/>
      <c r="O319" s="490"/>
    </row>
    <row r="320" spans="1:15" outlineLevel="1">
      <c r="A320" s="496"/>
      <c r="B320" s="489"/>
      <c r="D320" s="490"/>
      <c r="E320" s="490"/>
      <c r="F320" s="490"/>
      <c r="G320" s="358"/>
      <c r="H320" s="358"/>
      <c r="I320" s="358"/>
      <c r="J320" s="358"/>
      <c r="K320" s="358"/>
      <c r="L320" s="358"/>
      <c r="M320" s="489"/>
      <c r="N320" s="490"/>
      <c r="O320" s="490"/>
    </row>
    <row r="321" spans="1:44" outlineLevel="1"/>
    <row r="324" spans="1:44" ht="16" thickBot="1">
      <c r="A324" s="360"/>
    </row>
    <row r="325" spans="1:44" ht="20.5" customHeight="1" thickBot="1">
      <c r="B325" s="362"/>
      <c r="C325" s="1186"/>
      <c r="D325" s="1187"/>
      <c r="E325" s="1187"/>
      <c r="F325" s="1187"/>
      <c r="G325" s="1187"/>
      <c r="H325" s="1187"/>
      <c r="I325" s="1187"/>
      <c r="J325" s="1187"/>
      <c r="K325" s="1187"/>
      <c r="L325" s="1188"/>
      <c r="M325" s="363"/>
      <c r="N325" s="363"/>
      <c r="P325" s="364"/>
      <c r="Q325" s="365"/>
      <c r="R325" s="366"/>
      <c r="S325" s="1176"/>
      <c r="T325" s="1160"/>
      <c r="U325" s="1161"/>
      <c r="V325" s="1160"/>
      <c r="W325" s="1161"/>
      <c r="X325" s="1160"/>
      <c r="Y325" s="1161"/>
      <c r="Z325" s="1160"/>
      <c r="AA325" s="1161"/>
      <c r="AB325" s="1160"/>
      <c r="AC325" s="1161"/>
      <c r="AE325" s="364"/>
      <c r="AF325" s="365"/>
      <c r="AG325" s="366"/>
      <c r="AH325" s="1176"/>
      <c r="AI325" s="1160"/>
      <c r="AJ325" s="1161"/>
      <c r="AK325" s="1160"/>
      <c r="AL325" s="1161"/>
      <c r="AM325" s="1160"/>
      <c r="AN325" s="1161"/>
      <c r="AO325" s="1160"/>
      <c r="AP325" s="1161"/>
      <c r="AQ325" s="1160"/>
      <c r="AR325" s="1161"/>
    </row>
    <row r="326" spans="1:44" ht="15" customHeight="1" thickBot="1">
      <c r="B326" s="1164"/>
      <c r="C326" s="1166"/>
      <c r="D326" s="1166"/>
      <c r="E326" s="1166"/>
      <c r="F326" s="1166"/>
      <c r="G326" s="1168"/>
      <c r="H326" s="1169"/>
      <c r="I326" s="1168"/>
      <c r="J326" s="1169"/>
      <c r="K326" s="1189"/>
      <c r="L326" s="1189"/>
      <c r="M326" s="367"/>
      <c r="N326" s="367"/>
      <c r="P326" s="1180"/>
      <c r="Q326" s="368"/>
      <c r="R326" s="368"/>
      <c r="S326" s="1177"/>
      <c r="T326" s="1162"/>
      <c r="U326" s="1163"/>
      <c r="V326" s="1162"/>
      <c r="W326" s="1163"/>
      <c r="X326" s="1162"/>
      <c r="Y326" s="1163"/>
      <c r="Z326" s="1162"/>
      <c r="AA326" s="1163"/>
      <c r="AB326" s="1162"/>
      <c r="AC326" s="1163"/>
      <c r="AE326" s="1180"/>
      <c r="AF326" s="368"/>
      <c r="AG326" s="368"/>
      <c r="AH326" s="1177"/>
      <c r="AI326" s="1162"/>
      <c r="AJ326" s="1163"/>
      <c r="AK326" s="1162"/>
      <c r="AL326" s="1163"/>
      <c r="AM326" s="1162"/>
      <c r="AN326" s="1163"/>
      <c r="AO326" s="1162"/>
      <c r="AP326" s="1163"/>
      <c r="AQ326" s="1162"/>
      <c r="AR326" s="1163"/>
    </row>
    <row r="327" spans="1:44" ht="15" customHeight="1" thickBot="1">
      <c r="B327" s="1165"/>
      <c r="C327" s="1167"/>
      <c r="D327" s="1167"/>
      <c r="E327" s="1167"/>
      <c r="F327" s="1167"/>
      <c r="G327" s="406"/>
      <c r="H327" s="406"/>
      <c r="I327" s="406"/>
      <c r="J327" s="406"/>
      <c r="K327" s="1190"/>
      <c r="L327" s="1190"/>
      <c r="M327" s="370"/>
      <c r="N327" s="370"/>
      <c r="P327" s="1181"/>
      <c r="Q327" s="1183"/>
      <c r="R327" s="1184"/>
      <c r="S327" s="1178"/>
      <c r="T327" s="1162"/>
      <c r="U327" s="1163"/>
      <c r="V327" s="1162"/>
      <c r="W327" s="1163"/>
      <c r="X327" s="1162"/>
      <c r="Y327" s="1163"/>
      <c r="Z327" s="1162"/>
      <c r="AA327" s="1163"/>
      <c r="AB327" s="1162"/>
      <c r="AC327" s="1163"/>
      <c r="AE327" s="1181"/>
      <c r="AF327" s="1183"/>
      <c r="AG327" s="1184"/>
      <c r="AH327" s="1178"/>
      <c r="AI327" s="1162"/>
      <c r="AJ327" s="1163"/>
      <c r="AK327" s="1162"/>
      <c r="AL327" s="1163"/>
      <c r="AM327" s="1162"/>
      <c r="AN327" s="1163"/>
      <c r="AO327" s="1162"/>
      <c r="AP327" s="1163"/>
      <c r="AQ327" s="1162"/>
      <c r="AR327" s="1163"/>
    </row>
    <row r="328" spans="1:44" ht="16" thickBot="1">
      <c r="B328" s="371"/>
      <c r="C328" s="372"/>
      <c r="D328" s="372"/>
      <c r="E328" s="372"/>
      <c r="F328" s="372"/>
      <c r="G328" s="372"/>
      <c r="H328" s="372"/>
      <c r="I328" s="372"/>
      <c r="J328" s="372"/>
      <c r="K328" s="372"/>
      <c r="L328" s="373"/>
      <c r="M328" s="370"/>
      <c r="N328" s="370"/>
      <c r="O328" s="74"/>
      <c r="P328" s="1182"/>
      <c r="Q328" s="1179"/>
      <c r="R328" s="1185"/>
      <c r="S328" s="1179"/>
      <c r="T328" s="374"/>
      <c r="U328" s="375"/>
      <c r="V328" s="374"/>
      <c r="W328" s="375"/>
      <c r="X328" s="374"/>
      <c r="Y328" s="375"/>
      <c r="Z328" s="374"/>
      <c r="AA328" s="375"/>
      <c r="AB328" s="374"/>
      <c r="AC328" s="375"/>
      <c r="AE328" s="1182"/>
      <c r="AF328" s="1179"/>
      <c r="AG328" s="1185"/>
      <c r="AH328" s="1179"/>
      <c r="AI328" s="374"/>
      <c r="AJ328" s="375"/>
      <c r="AK328" s="374"/>
      <c r="AL328" s="375"/>
      <c r="AM328" s="374"/>
      <c r="AN328" s="375"/>
      <c r="AO328" s="374"/>
      <c r="AP328" s="375"/>
      <c r="AQ328" s="374"/>
      <c r="AR328" s="375"/>
    </row>
    <row r="329" spans="1:44" ht="14.5" customHeight="1">
      <c r="B329" s="574"/>
      <c r="C329" s="575"/>
      <c r="D329" s="575"/>
      <c r="E329" s="575"/>
      <c r="F329" s="575"/>
      <c r="G329" s="576"/>
      <c r="H329" s="576"/>
      <c r="I329" s="576"/>
      <c r="J329" s="576"/>
      <c r="K329" s="372"/>
      <c r="L329" s="373"/>
      <c r="M329" s="370"/>
      <c r="N329" s="370"/>
      <c r="P329" s="1148"/>
      <c r="Q329" s="1154"/>
      <c r="R329" s="381"/>
      <c r="S329" s="382"/>
      <c r="T329" s="1137"/>
      <c r="U329" s="1151"/>
      <c r="V329" s="1137"/>
      <c r="W329" s="1151"/>
      <c r="X329" s="1137"/>
      <c r="Y329" s="1151"/>
      <c r="Z329" s="1137"/>
      <c r="AA329" s="1151"/>
      <c r="AB329" s="1157"/>
      <c r="AC329" s="1151"/>
      <c r="AE329" s="1148"/>
      <c r="AF329" s="1154"/>
      <c r="AG329" s="381"/>
      <c r="AH329" s="382"/>
      <c r="AI329" s="1137"/>
      <c r="AJ329" s="1151"/>
      <c r="AK329" s="1137"/>
      <c r="AL329" s="1151"/>
      <c r="AM329" s="1137"/>
      <c r="AN329" s="1151"/>
      <c r="AO329" s="1137"/>
      <c r="AP329" s="1151"/>
      <c r="AQ329" s="1157"/>
      <c r="AR329" s="1151"/>
    </row>
    <row r="330" spans="1:44">
      <c r="B330" s="383"/>
      <c r="C330" s="577"/>
      <c r="D330" s="577"/>
      <c r="E330" s="577"/>
      <c r="F330" s="577"/>
      <c r="G330" s="576"/>
      <c r="H330" s="576"/>
      <c r="I330" s="576"/>
      <c r="J330" s="576"/>
      <c r="K330" s="372"/>
      <c r="L330" s="373"/>
      <c r="M330" s="370"/>
      <c r="N330" s="370"/>
      <c r="O330" s="71"/>
      <c r="P330" s="1149"/>
      <c r="Q330" s="1155"/>
      <c r="R330" s="388"/>
      <c r="S330" s="389"/>
      <c r="T330" s="1140"/>
      <c r="U330" s="1152"/>
      <c r="V330" s="1140"/>
      <c r="W330" s="1152"/>
      <c r="X330" s="1140"/>
      <c r="Y330" s="1152"/>
      <c r="Z330" s="1140"/>
      <c r="AA330" s="1152"/>
      <c r="AB330" s="1158"/>
      <c r="AC330" s="1152"/>
      <c r="AE330" s="1149"/>
      <c r="AF330" s="1155"/>
      <c r="AG330" s="388"/>
      <c r="AH330" s="389"/>
      <c r="AI330" s="1140"/>
      <c r="AJ330" s="1152"/>
      <c r="AK330" s="1140"/>
      <c r="AL330" s="1152"/>
      <c r="AM330" s="1140"/>
      <c r="AN330" s="1152"/>
      <c r="AO330" s="1140"/>
      <c r="AP330" s="1152"/>
      <c r="AQ330" s="1158"/>
      <c r="AR330" s="1152"/>
    </row>
    <row r="331" spans="1:44" ht="16" thickBot="1">
      <c r="B331" s="574"/>
      <c r="C331" s="578"/>
      <c r="D331" s="578"/>
      <c r="E331" s="578"/>
      <c r="F331" s="578"/>
      <c r="G331" s="578"/>
      <c r="H331" s="578"/>
      <c r="I331" s="578"/>
      <c r="J331" s="578"/>
      <c r="K331" s="579"/>
      <c r="L331" s="580"/>
      <c r="M331" s="370"/>
      <c r="N331" s="370"/>
      <c r="O331" s="71"/>
      <c r="P331" s="1149"/>
      <c r="Q331" s="1156"/>
      <c r="R331" s="393"/>
      <c r="S331" s="394"/>
      <c r="T331" s="1141"/>
      <c r="U331" s="1153"/>
      <c r="V331" s="1141"/>
      <c r="W331" s="1153"/>
      <c r="X331" s="1141"/>
      <c r="Y331" s="1153"/>
      <c r="Z331" s="1141"/>
      <c r="AA331" s="1153"/>
      <c r="AB331" s="1159"/>
      <c r="AC331" s="1153"/>
      <c r="AE331" s="1149"/>
      <c r="AF331" s="1156"/>
      <c r="AG331" s="393"/>
      <c r="AH331" s="394"/>
      <c r="AI331" s="1141"/>
      <c r="AJ331" s="1153"/>
      <c r="AK331" s="1141"/>
      <c r="AL331" s="1153"/>
      <c r="AM331" s="1141"/>
      <c r="AN331" s="1153"/>
      <c r="AO331" s="1141"/>
      <c r="AP331" s="1153"/>
      <c r="AQ331" s="1159"/>
      <c r="AR331" s="1153"/>
    </row>
    <row r="332" spans="1:44" ht="14.5" customHeight="1">
      <c r="B332" s="574"/>
      <c r="C332" s="581"/>
      <c r="D332" s="581"/>
      <c r="E332" s="581"/>
      <c r="F332" s="581"/>
      <c r="G332" s="581"/>
      <c r="H332" s="581"/>
      <c r="I332" s="581"/>
      <c r="J332" s="581"/>
      <c r="K332" s="579"/>
      <c r="L332" s="580"/>
      <c r="M332" s="370"/>
      <c r="N332" s="370"/>
      <c r="O332" s="71"/>
      <c r="P332" s="1149"/>
      <c r="Q332" s="1145"/>
      <c r="R332" s="395"/>
      <c r="S332" s="396"/>
      <c r="T332" s="1137"/>
      <c r="U332" s="1137"/>
      <c r="V332" s="1137"/>
      <c r="W332" s="1137"/>
      <c r="X332" s="1137"/>
      <c r="Y332" s="1137"/>
      <c r="Z332" s="1137"/>
      <c r="AA332" s="1137"/>
      <c r="AB332" s="1137"/>
      <c r="AC332" s="1137"/>
      <c r="AE332" s="1149"/>
      <c r="AF332" s="1145"/>
      <c r="AG332" s="395"/>
      <c r="AH332" s="396"/>
      <c r="AI332" s="1137"/>
      <c r="AJ332" s="1137"/>
      <c r="AK332" s="1137"/>
      <c r="AL332" s="1137"/>
      <c r="AM332" s="1137"/>
      <c r="AN332" s="1137"/>
      <c r="AO332" s="1137"/>
      <c r="AP332" s="1137"/>
      <c r="AQ332" s="1137"/>
      <c r="AR332" s="1137"/>
    </row>
    <row r="333" spans="1:44">
      <c r="B333" s="574"/>
      <c r="C333" s="582"/>
      <c r="D333" s="582"/>
      <c r="E333" s="582"/>
      <c r="F333" s="582"/>
      <c r="G333" s="582"/>
      <c r="H333" s="582"/>
      <c r="I333" s="582"/>
      <c r="J333" s="582"/>
      <c r="K333" s="579"/>
      <c r="L333" s="580"/>
      <c r="M333" s="367"/>
      <c r="N333" s="367"/>
      <c r="O333" s="71"/>
      <c r="P333" s="1149"/>
      <c r="Q333" s="1146"/>
      <c r="R333" s="395"/>
      <c r="S333" s="396"/>
      <c r="T333" s="1138"/>
      <c r="U333" s="1138"/>
      <c r="V333" s="1138"/>
      <c r="W333" s="1138"/>
      <c r="X333" s="1138"/>
      <c r="Y333" s="1138"/>
      <c r="Z333" s="1138"/>
      <c r="AA333" s="1138"/>
      <c r="AB333" s="1140"/>
      <c r="AC333" s="1138"/>
      <c r="AE333" s="1149"/>
      <c r="AF333" s="1146"/>
      <c r="AG333" s="395"/>
      <c r="AH333" s="396"/>
      <c r="AI333" s="1138"/>
      <c r="AJ333" s="1138"/>
      <c r="AK333" s="1138"/>
      <c r="AL333" s="1138"/>
      <c r="AM333" s="1138"/>
      <c r="AN333" s="1138"/>
      <c r="AO333" s="1138"/>
      <c r="AP333" s="1138"/>
      <c r="AQ333" s="1140"/>
      <c r="AR333" s="1138"/>
    </row>
    <row r="334" spans="1:44">
      <c r="B334" s="383"/>
      <c r="C334" s="397"/>
      <c r="D334" s="397"/>
      <c r="E334" s="397"/>
      <c r="F334" s="397"/>
      <c r="G334" s="398"/>
      <c r="H334" s="398"/>
      <c r="I334" s="398"/>
      <c r="J334" s="398"/>
      <c r="K334" s="372"/>
      <c r="L334" s="373"/>
      <c r="M334" s="363"/>
      <c r="N334" s="363"/>
      <c r="P334" s="1149"/>
      <c r="Q334" s="1146"/>
      <c r="R334" s="395"/>
      <c r="S334" s="396"/>
      <c r="T334" s="1138"/>
      <c r="U334" s="1138"/>
      <c r="V334" s="1138"/>
      <c r="W334" s="1138"/>
      <c r="X334" s="1138"/>
      <c r="Y334" s="1138"/>
      <c r="Z334" s="1138"/>
      <c r="AA334" s="1138"/>
      <c r="AB334" s="1140"/>
      <c r="AC334" s="1138"/>
      <c r="AE334" s="1149"/>
      <c r="AF334" s="1146"/>
      <c r="AG334" s="395"/>
      <c r="AH334" s="396"/>
      <c r="AI334" s="1138"/>
      <c r="AJ334" s="1138"/>
      <c r="AK334" s="1138"/>
      <c r="AL334" s="1138"/>
      <c r="AM334" s="1138"/>
      <c r="AN334" s="1138"/>
      <c r="AO334" s="1138"/>
      <c r="AP334" s="1138"/>
      <c r="AQ334" s="1140"/>
      <c r="AR334" s="1138"/>
    </row>
    <row r="335" spans="1:44" ht="16" thickBot="1">
      <c r="B335" s="574"/>
      <c r="C335" s="582"/>
      <c r="D335" s="582"/>
      <c r="E335" s="582"/>
      <c r="F335" s="582"/>
      <c r="G335" s="582"/>
      <c r="H335" s="582"/>
      <c r="I335" s="582"/>
      <c r="J335" s="582"/>
      <c r="K335" s="372"/>
      <c r="L335" s="373"/>
      <c r="M335" s="363"/>
      <c r="N335" s="363"/>
      <c r="P335" s="1149"/>
      <c r="Q335" s="1146"/>
      <c r="R335" s="395"/>
      <c r="S335" s="396"/>
      <c r="T335" s="1138"/>
      <c r="U335" s="1138"/>
      <c r="V335" s="1138"/>
      <c r="W335" s="1138"/>
      <c r="X335" s="1138"/>
      <c r="Y335" s="1138"/>
      <c r="Z335" s="1138"/>
      <c r="AA335" s="1138"/>
      <c r="AB335" s="1140"/>
      <c r="AC335" s="1138"/>
      <c r="AE335" s="1149"/>
      <c r="AF335" s="1146"/>
      <c r="AG335" s="395"/>
      <c r="AH335" s="396"/>
      <c r="AI335" s="1138"/>
      <c r="AJ335" s="1138"/>
      <c r="AK335" s="1138"/>
      <c r="AL335" s="1138"/>
      <c r="AM335" s="1138"/>
      <c r="AN335" s="1138"/>
      <c r="AO335" s="1138"/>
      <c r="AP335" s="1138"/>
      <c r="AQ335" s="1140"/>
      <c r="AR335" s="1138"/>
    </row>
    <row r="336" spans="1:44" ht="16" thickBot="1">
      <c r="B336" s="401"/>
      <c r="C336" s="583"/>
      <c r="D336" s="584"/>
      <c r="E336" s="585"/>
      <c r="F336" s="586"/>
      <c r="G336" s="406"/>
      <c r="H336" s="406"/>
      <c r="I336" s="406"/>
      <c r="J336" s="406"/>
      <c r="K336" s="407"/>
      <c r="L336" s="587"/>
      <c r="M336" s="363"/>
      <c r="N336" s="363"/>
      <c r="P336" s="1149"/>
      <c r="Q336" s="1147"/>
      <c r="R336" s="409"/>
      <c r="S336" s="410"/>
      <c r="T336" s="1139"/>
      <c r="U336" s="1139"/>
      <c r="V336" s="1139"/>
      <c r="W336" s="1139"/>
      <c r="X336" s="1139"/>
      <c r="Y336" s="1139"/>
      <c r="Z336" s="1139"/>
      <c r="AA336" s="1139"/>
      <c r="AB336" s="1141"/>
      <c r="AC336" s="1139"/>
      <c r="AE336" s="1149"/>
      <c r="AF336" s="1147"/>
      <c r="AG336" s="409"/>
      <c r="AH336" s="410"/>
      <c r="AI336" s="1139"/>
      <c r="AJ336" s="1139"/>
      <c r="AK336" s="1139"/>
      <c r="AL336" s="1139"/>
      <c r="AM336" s="1139"/>
      <c r="AN336" s="1139"/>
      <c r="AO336" s="1139"/>
      <c r="AP336" s="1139"/>
      <c r="AQ336" s="1141"/>
      <c r="AR336" s="1139"/>
    </row>
    <row r="337" spans="1:44" ht="16" thickBot="1">
      <c r="B337" s="574"/>
      <c r="C337" s="588"/>
      <c r="D337" s="588"/>
      <c r="E337" s="588"/>
      <c r="F337" s="588"/>
      <c r="G337" s="589"/>
      <c r="H337" s="589"/>
      <c r="I337" s="590"/>
      <c r="J337" s="590"/>
      <c r="K337" s="579"/>
      <c r="L337" s="580"/>
      <c r="M337" s="363"/>
      <c r="N337" s="363"/>
      <c r="P337" s="1150"/>
      <c r="Q337" s="411"/>
      <c r="R337" s="412"/>
      <c r="S337" s="413"/>
      <c r="T337" s="591"/>
      <c r="U337" s="592"/>
      <c r="V337" s="593"/>
      <c r="W337" s="592"/>
      <c r="X337" s="593"/>
      <c r="Y337" s="592"/>
      <c r="Z337" s="593"/>
      <c r="AA337" s="592"/>
      <c r="AB337" s="593"/>
      <c r="AC337" s="594"/>
      <c r="AE337" s="1150"/>
      <c r="AF337" s="411"/>
      <c r="AG337" s="412"/>
      <c r="AH337" s="413"/>
      <c r="AI337" s="591"/>
      <c r="AJ337" s="592"/>
      <c r="AK337" s="593"/>
      <c r="AL337" s="592"/>
      <c r="AM337" s="593"/>
      <c r="AN337" s="592"/>
      <c r="AO337" s="593"/>
      <c r="AP337" s="592"/>
      <c r="AQ337" s="593"/>
      <c r="AR337" s="594"/>
    </row>
    <row r="338" spans="1:44">
      <c r="B338" s="574"/>
      <c r="C338" s="582"/>
      <c r="D338" s="582"/>
      <c r="E338" s="582"/>
      <c r="F338" s="582"/>
      <c r="G338" s="595"/>
      <c r="H338" s="595"/>
      <c r="I338" s="595"/>
      <c r="J338" s="595"/>
      <c r="K338" s="596"/>
      <c r="L338" s="580"/>
      <c r="M338" s="363"/>
      <c r="N338" s="363"/>
    </row>
    <row r="339" spans="1:44">
      <c r="B339" s="574"/>
      <c r="C339" s="582"/>
      <c r="D339" s="582"/>
      <c r="E339" s="582"/>
      <c r="F339" s="582"/>
      <c r="G339" s="595"/>
      <c r="H339" s="595"/>
      <c r="I339" s="595"/>
      <c r="J339" s="595"/>
      <c r="K339" s="596"/>
      <c r="L339" s="580"/>
      <c r="M339" s="420"/>
      <c r="N339" s="363"/>
    </row>
    <row r="340" spans="1:44">
      <c r="B340" s="421"/>
      <c r="C340" s="399"/>
      <c r="D340" s="399"/>
      <c r="E340" s="399"/>
      <c r="F340" s="399"/>
      <c r="G340" s="422"/>
      <c r="H340" s="422"/>
      <c r="I340" s="422"/>
      <c r="J340" s="422"/>
      <c r="K340" s="423"/>
      <c r="L340" s="597"/>
      <c r="M340" s="420"/>
      <c r="N340" s="420"/>
    </row>
    <row r="341" spans="1:44">
      <c r="B341" s="383"/>
      <c r="C341" s="397"/>
      <c r="D341" s="397"/>
      <c r="E341" s="397"/>
      <c r="F341" s="397"/>
      <c r="G341" s="422"/>
      <c r="H341" s="425"/>
      <c r="I341" s="425"/>
      <c r="J341" s="425"/>
      <c r="K341" s="426"/>
      <c r="L341" s="427"/>
      <c r="M341" s="428"/>
      <c r="N341" s="428"/>
    </row>
    <row r="342" spans="1:44">
      <c r="B342" s="383"/>
      <c r="C342" s="397"/>
      <c r="D342" s="397"/>
      <c r="E342" s="397"/>
      <c r="F342" s="397"/>
      <c r="G342" s="425"/>
      <c r="H342" s="425"/>
      <c r="I342" s="425"/>
      <c r="J342" s="425"/>
      <c r="K342" s="423"/>
      <c r="L342" s="427"/>
      <c r="M342" s="428"/>
      <c r="N342" s="428"/>
    </row>
    <row r="343" spans="1:44">
      <c r="B343" s="383"/>
      <c r="C343" s="397"/>
      <c r="D343" s="397"/>
      <c r="E343" s="397"/>
      <c r="F343" s="397"/>
      <c r="G343" s="425"/>
      <c r="H343" s="425"/>
      <c r="I343" s="425"/>
      <c r="J343" s="425"/>
      <c r="K343" s="423"/>
      <c r="L343" s="427"/>
      <c r="M343" s="428"/>
      <c r="N343" s="428"/>
    </row>
    <row r="344" spans="1:44">
      <c r="B344" s="383"/>
      <c r="C344" s="397"/>
      <c r="D344" s="397"/>
      <c r="E344" s="397"/>
      <c r="F344" s="397"/>
      <c r="G344" s="425"/>
      <c r="H344" s="425"/>
      <c r="I344" s="425"/>
      <c r="J344" s="425"/>
      <c r="K344" s="423"/>
      <c r="L344" s="427"/>
      <c r="M344" s="428"/>
      <c r="N344" s="428"/>
    </row>
    <row r="345" spans="1:44" ht="16" thickBot="1">
      <c r="B345" s="429"/>
      <c r="C345" s="397"/>
      <c r="D345" s="397"/>
      <c r="E345" s="397"/>
      <c r="F345" s="397"/>
      <c r="G345" s="425"/>
      <c r="H345" s="425"/>
      <c r="I345" s="425"/>
      <c r="J345" s="425"/>
      <c r="K345" s="423"/>
      <c r="L345" s="427"/>
      <c r="M345" s="428"/>
      <c r="N345" s="428"/>
    </row>
    <row r="346" spans="1:44" ht="16" thickBot="1">
      <c r="B346" s="431"/>
      <c r="C346" s="598"/>
      <c r="D346" s="584"/>
      <c r="E346" s="584"/>
      <c r="F346" s="599"/>
      <c r="G346" s="434"/>
      <c r="H346" s="406"/>
      <c r="I346" s="406"/>
      <c r="J346" s="406"/>
      <c r="K346" s="407"/>
      <c r="L346" s="587"/>
      <c r="M346" s="428"/>
      <c r="N346" s="428"/>
    </row>
    <row r="347" spans="1:44">
      <c r="A347" s="435"/>
      <c r="B347" s="436"/>
      <c r="C347" s="600"/>
      <c r="D347" s="600"/>
      <c r="E347" s="600"/>
      <c r="F347" s="600"/>
      <c r="G347" s="425"/>
      <c r="H347" s="425"/>
      <c r="I347" s="425"/>
      <c r="J347" s="425"/>
      <c r="K347" s="426"/>
      <c r="L347" s="440"/>
      <c r="M347" s="420"/>
      <c r="N347" s="420"/>
    </row>
    <row r="348" spans="1:44">
      <c r="B348" s="441"/>
      <c r="C348" s="601"/>
      <c r="D348" s="601"/>
      <c r="E348" s="601"/>
      <c r="F348" s="601"/>
      <c r="G348" s="425"/>
      <c r="H348" s="425"/>
      <c r="I348" s="425"/>
      <c r="J348" s="425"/>
      <c r="K348" s="444"/>
      <c r="L348" s="373"/>
      <c r="M348" s="71"/>
      <c r="N348" s="420"/>
    </row>
    <row r="349" spans="1:44">
      <c r="B349" s="441"/>
      <c r="C349" s="601"/>
      <c r="D349" s="601"/>
      <c r="E349" s="601"/>
      <c r="F349" s="601"/>
      <c r="G349" s="425"/>
      <c r="H349" s="425"/>
      <c r="I349" s="425"/>
      <c r="J349" s="425"/>
      <c r="K349" s="444"/>
      <c r="L349" s="373"/>
      <c r="M349" s="420"/>
      <c r="N349" s="420"/>
    </row>
    <row r="350" spans="1:44">
      <c r="B350" s="383"/>
      <c r="C350" s="602"/>
      <c r="D350" s="603"/>
      <c r="E350" s="603"/>
      <c r="F350" s="604"/>
      <c r="G350" s="425"/>
      <c r="H350" s="425"/>
      <c r="I350" s="425"/>
      <c r="J350" s="425"/>
      <c r="K350" s="444"/>
      <c r="L350" s="373"/>
      <c r="M350" s="420"/>
      <c r="N350" s="420"/>
    </row>
    <row r="351" spans="1:44">
      <c r="B351" s="383"/>
      <c r="C351" s="605"/>
      <c r="D351" s="605"/>
      <c r="E351" s="605"/>
      <c r="F351" s="605"/>
      <c r="G351" s="425"/>
      <c r="H351" s="425"/>
      <c r="I351" s="425"/>
      <c r="J351" s="425"/>
      <c r="K351" s="444"/>
      <c r="L351" s="373"/>
      <c r="M351" s="694"/>
      <c r="N351" s="693"/>
      <c r="P351" s="1142"/>
      <c r="Q351" s="1143"/>
      <c r="R351" s="1143"/>
      <c r="S351" s="1143"/>
      <c r="T351" s="1143"/>
      <c r="U351" s="1144"/>
    </row>
    <row r="352" spans="1:44" ht="16" thickBot="1">
      <c r="B352" s="541"/>
      <c r="C352" s="552"/>
      <c r="D352" s="552"/>
      <c r="E352" s="552"/>
      <c r="F352" s="552"/>
      <c r="G352" s="553"/>
      <c r="H352" s="553"/>
      <c r="I352" s="553"/>
      <c r="J352" s="553"/>
      <c r="K352" s="547"/>
      <c r="L352" s="548"/>
      <c r="M352" s="694"/>
      <c r="N352" s="693"/>
      <c r="P352" s="1134"/>
      <c r="Q352" s="1135"/>
      <c r="R352" s="1135"/>
      <c r="S352" s="1135"/>
      <c r="T352" s="1135"/>
      <c r="U352" s="1136"/>
    </row>
    <row r="353" spans="2:30">
      <c r="B353" s="541"/>
      <c r="C353" s="606"/>
      <c r="D353" s="606"/>
      <c r="E353" s="606"/>
      <c r="F353" s="606"/>
      <c r="G353" s="553"/>
      <c r="H353" s="553"/>
      <c r="I353" s="553"/>
      <c r="J353" s="553"/>
      <c r="K353" s="547"/>
      <c r="L353" s="548"/>
      <c r="M353" s="363"/>
      <c r="N353" s="363"/>
      <c r="P353" s="53"/>
    </row>
    <row r="354" spans="2:30">
      <c r="B354" s="541"/>
      <c r="C354" s="607"/>
      <c r="D354" s="547"/>
      <c r="E354" s="547"/>
      <c r="F354" s="563"/>
      <c r="G354" s="550"/>
      <c r="H354" s="550"/>
      <c r="I354" s="550"/>
      <c r="J354" s="550"/>
      <c r="K354" s="547"/>
      <c r="L354" s="608"/>
      <c r="M354" s="367"/>
      <c r="N354" s="367"/>
      <c r="P354" s="46"/>
      <c r="Q354" s="46"/>
      <c r="R354" s="47"/>
      <c r="S354" s="47"/>
      <c r="T354" s="47"/>
      <c r="U354" s="48"/>
      <c r="V354" s="49"/>
      <c r="W354" s="49"/>
      <c r="X354" s="49"/>
      <c r="Y354" s="49"/>
      <c r="Z354" s="49"/>
      <c r="AA354" s="49"/>
      <c r="AB354" s="49"/>
      <c r="AC354" s="49"/>
      <c r="AD354" s="49"/>
    </row>
    <row r="355" spans="2:30" ht="16" thickBot="1">
      <c r="B355" s="566"/>
      <c r="C355" s="607"/>
      <c r="D355" s="609"/>
      <c r="E355" s="609"/>
      <c r="F355" s="610"/>
      <c r="G355" s="550"/>
      <c r="H355" s="550"/>
      <c r="I355" s="550"/>
      <c r="J355" s="550"/>
      <c r="K355" s="547"/>
      <c r="L355" s="608"/>
      <c r="M355" s="363"/>
      <c r="N355" s="363"/>
      <c r="O355" s="71"/>
      <c r="P355" s="50"/>
      <c r="Q355" s="50"/>
      <c r="R355" s="51"/>
      <c r="S355" s="51"/>
      <c r="T355" s="51"/>
      <c r="U355" s="51"/>
      <c r="V355" s="50"/>
      <c r="W355" s="50"/>
      <c r="X355" s="50"/>
      <c r="Y355" s="50"/>
      <c r="Z355" s="50"/>
      <c r="AA355" s="50"/>
      <c r="AB355" s="50"/>
      <c r="AC355" s="50"/>
      <c r="AD355" s="50"/>
    </row>
    <row r="356" spans="2:30" ht="16" thickBot="1">
      <c r="B356" s="611"/>
      <c r="C356" s="612"/>
      <c r="D356" s="613"/>
      <c r="E356" s="614"/>
      <c r="F356" s="615"/>
      <c r="G356" s="540"/>
      <c r="H356" s="540"/>
      <c r="I356" s="540"/>
      <c r="J356" s="540"/>
      <c r="K356" s="616"/>
      <c r="L356" s="617"/>
      <c r="M356" s="363"/>
      <c r="N356" s="363"/>
      <c r="O356" s="461"/>
      <c r="P356" s="56"/>
      <c r="Q356" s="56"/>
      <c r="R356" s="57"/>
      <c r="S356" s="57"/>
      <c r="T356" s="57"/>
      <c r="U356" s="56"/>
      <c r="V356" s="56"/>
      <c r="W356" s="56"/>
      <c r="X356" s="56"/>
      <c r="Y356" s="56"/>
      <c r="Z356" s="56"/>
      <c r="AA356" s="56"/>
      <c r="AB356" s="56"/>
      <c r="AC356" s="56"/>
      <c r="AD356" s="56"/>
    </row>
    <row r="357" spans="2:30">
      <c r="B357" s="556"/>
      <c r="C357" s="618"/>
      <c r="D357" s="618"/>
      <c r="E357" s="618"/>
      <c r="F357" s="618"/>
      <c r="G357" s="618"/>
      <c r="H357" s="618"/>
      <c r="I357" s="618"/>
      <c r="J357" s="618"/>
      <c r="K357" s="618"/>
      <c r="L357" s="619"/>
      <c r="M357" s="363"/>
      <c r="N357" s="363"/>
      <c r="O357" s="620"/>
      <c r="P357" s="466"/>
      <c r="Q357" s="58"/>
      <c r="R357" s="466"/>
      <c r="S357" s="58"/>
      <c r="T357" s="466"/>
      <c r="U357" s="467"/>
      <c r="V357" s="467"/>
      <c r="W357" s="467"/>
      <c r="X357" s="58"/>
      <c r="Y357" s="58"/>
      <c r="Z357" s="466"/>
      <c r="AA357" s="468"/>
      <c r="AB357" s="468"/>
      <c r="AC357" s="468"/>
      <c r="AD357" s="468"/>
    </row>
    <row r="358" spans="2:30">
      <c r="B358" s="541"/>
      <c r="C358" s="558"/>
      <c r="D358" s="558"/>
      <c r="E358" s="558"/>
      <c r="F358" s="558"/>
      <c r="G358" s="563"/>
      <c r="H358" s="563"/>
      <c r="I358" s="563"/>
      <c r="J358" s="563"/>
      <c r="K358" s="563"/>
      <c r="L358" s="548"/>
      <c r="M358" s="363"/>
      <c r="N358" s="363"/>
      <c r="O358" s="620"/>
      <c r="P358" s="466"/>
      <c r="Q358" s="58"/>
      <c r="R358" s="466"/>
      <c r="S358" s="58"/>
      <c r="T358" s="466"/>
      <c r="U358" s="467"/>
      <c r="V358" s="467"/>
      <c r="W358" s="467"/>
      <c r="X358" s="58"/>
      <c r="Y358" s="58"/>
      <c r="Z358" s="466"/>
      <c r="AA358" s="468"/>
      <c r="AB358" s="468"/>
      <c r="AC358" s="468"/>
      <c r="AD358" s="468"/>
    </row>
    <row r="359" spans="2:30">
      <c r="B359" s="541"/>
      <c r="C359" s="558"/>
      <c r="D359" s="558"/>
      <c r="E359" s="558"/>
      <c r="F359" s="558"/>
      <c r="G359" s="563"/>
      <c r="H359" s="563"/>
      <c r="I359" s="563"/>
      <c r="J359" s="563"/>
      <c r="K359" s="563"/>
      <c r="L359" s="548"/>
      <c r="M359" s="363"/>
      <c r="N359" s="363"/>
      <c r="O359" s="620"/>
      <c r="P359" s="466"/>
      <c r="Q359" s="58"/>
      <c r="R359" s="466"/>
      <c r="S359" s="58"/>
      <c r="T359" s="466"/>
      <c r="U359" s="467"/>
      <c r="V359" s="467"/>
      <c r="W359" s="467"/>
      <c r="X359" s="58"/>
      <c r="Y359" s="58"/>
      <c r="Z359" s="466"/>
      <c r="AA359" s="468"/>
      <c r="AB359" s="468"/>
      <c r="AC359" s="468"/>
      <c r="AD359" s="468"/>
    </row>
    <row r="360" spans="2:30">
      <c r="B360" s="541"/>
      <c r="C360" s="564"/>
      <c r="D360" s="564"/>
      <c r="E360" s="564"/>
      <c r="F360" s="564"/>
      <c r="G360" s="621"/>
      <c r="H360" s="621"/>
      <c r="I360" s="621"/>
      <c r="J360" s="621"/>
      <c r="K360" s="621"/>
      <c r="L360" s="548"/>
      <c r="M360" s="363"/>
      <c r="N360" s="363"/>
      <c r="O360" s="620"/>
      <c r="P360" s="466"/>
      <c r="Q360" s="58"/>
      <c r="R360" s="466"/>
      <c r="S360" s="58"/>
      <c r="T360" s="466"/>
      <c r="U360" s="467"/>
      <c r="V360" s="467"/>
      <c r="W360" s="467"/>
      <c r="X360" s="58"/>
      <c r="Y360" s="58"/>
      <c r="Z360" s="466"/>
      <c r="AA360" s="468"/>
      <c r="AB360" s="468"/>
      <c r="AC360" s="468"/>
      <c r="AD360" s="468"/>
    </row>
    <row r="361" spans="2:30">
      <c r="B361" s="566"/>
      <c r="C361" s="558"/>
      <c r="D361" s="558"/>
      <c r="E361" s="558"/>
      <c r="F361" s="558"/>
      <c r="G361" s="563"/>
      <c r="H361" s="563"/>
      <c r="I361" s="563"/>
      <c r="J361" s="563"/>
      <c r="K361" s="563"/>
      <c r="L361" s="548"/>
      <c r="M361" s="367"/>
      <c r="N361" s="367"/>
    </row>
    <row r="362" spans="2:30">
      <c r="B362" s="566"/>
      <c r="C362" s="558"/>
      <c r="D362" s="558"/>
      <c r="E362" s="558"/>
      <c r="F362" s="558"/>
      <c r="G362" s="563"/>
      <c r="H362" s="563"/>
      <c r="I362" s="563"/>
      <c r="J362" s="563"/>
      <c r="K362" s="563"/>
      <c r="L362" s="548"/>
      <c r="M362" s="363"/>
      <c r="N362" s="363"/>
    </row>
    <row r="363" spans="2:30" ht="16" thickBot="1">
      <c r="B363" s="567"/>
      <c r="C363" s="622"/>
      <c r="D363" s="622"/>
      <c r="E363" s="622"/>
      <c r="F363" s="622"/>
      <c r="G363" s="623"/>
      <c r="H363" s="623"/>
      <c r="I363" s="623"/>
      <c r="J363" s="623"/>
      <c r="K363" s="623"/>
      <c r="L363" s="624"/>
      <c r="M363" s="363"/>
      <c r="N363" s="363"/>
    </row>
    <row r="364" spans="2:30">
      <c r="B364" s="461"/>
      <c r="C364" s="483"/>
      <c r="D364" s="483"/>
      <c r="E364" s="483"/>
      <c r="F364" s="483"/>
      <c r="G364" s="483"/>
      <c r="H364" s="484"/>
      <c r="I364" s="420"/>
      <c r="J364" s="420"/>
      <c r="K364" s="484"/>
      <c r="L364" s="484"/>
      <c r="N364" s="420"/>
    </row>
    <row r="365" spans="2:30">
      <c r="B365" s="485"/>
      <c r="C365" s="486"/>
      <c r="D365" s="486"/>
      <c r="E365" s="486"/>
      <c r="F365" s="486"/>
      <c r="G365" s="486"/>
      <c r="H365" s="484"/>
      <c r="I365" s="71"/>
      <c r="J365" s="420"/>
      <c r="K365" s="484"/>
      <c r="L365" s="484"/>
      <c r="N365" s="420"/>
    </row>
    <row r="366" spans="2:30">
      <c r="B366" s="461"/>
      <c r="C366" s="359"/>
      <c r="D366" s="359"/>
      <c r="E366" s="359"/>
      <c r="F366" s="359"/>
      <c r="G366" s="359"/>
      <c r="I366" s="420"/>
      <c r="J366" s="420"/>
      <c r="N366" s="420"/>
    </row>
    <row r="367" spans="2:30">
      <c r="B367" s="461"/>
      <c r="C367" s="487"/>
      <c r="D367" s="487"/>
      <c r="E367" s="487"/>
      <c r="F367" s="487"/>
      <c r="G367" s="359"/>
      <c r="M367" s="420"/>
      <c r="N367" s="420"/>
    </row>
    <row r="370" spans="1:11">
      <c r="A370" s="488"/>
      <c r="B370" s="489"/>
      <c r="D370" s="358"/>
      <c r="E370" s="358"/>
      <c r="F370" s="358"/>
      <c r="G370" s="358"/>
      <c r="H370" s="358"/>
      <c r="I370" s="358"/>
      <c r="J370" s="358"/>
      <c r="K370" s="358"/>
    </row>
    <row r="371" spans="1:11">
      <c r="A371" s="358"/>
      <c r="B371" s="490"/>
      <c r="E371" s="358"/>
      <c r="F371" s="358"/>
      <c r="G371" s="358"/>
      <c r="H371" s="358"/>
      <c r="I371" s="358"/>
      <c r="J371" s="358"/>
      <c r="K371" s="358"/>
    </row>
    <row r="372" spans="1:11">
      <c r="A372" s="358"/>
      <c r="B372" s="490"/>
      <c r="E372" s="358"/>
      <c r="F372" s="358"/>
      <c r="G372" s="358"/>
      <c r="H372" s="358"/>
      <c r="I372" s="358"/>
      <c r="J372" s="358"/>
      <c r="K372" s="358"/>
    </row>
    <row r="373" spans="1:11">
      <c r="A373" s="358"/>
      <c r="B373" s="490"/>
      <c r="E373" s="358"/>
      <c r="F373" s="358"/>
      <c r="G373" s="358"/>
      <c r="H373" s="358"/>
      <c r="I373" s="358"/>
      <c r="J373" s="358"/>
      <c r="K373" s="358"/>
    </row>
    <row r="374" spans="1:11">
      <c r="A374" s="358"/>
      <c r="B374" s="490"/>
      <c r="E374" s="358"/>
      <c r="F374" s="358"/>
      <c r="G374" s="358"/>
      <c r="H374" s="358"/>
      <c r="I374" s="358"/>
      <c r="J374" s="358"/>
      <c r="K374" s="358"/>
    </row>
    <row r="375" spans="1:11">
      <c r="A375" s="358"/>
      <c r="B375" s="490"/>
      <c r="E375" s="358"/>
      <c r="F375" s="358"/>
      <c r="G375" s="358"/>
      <c r="H375" s="358"/>
      <c r="I375" s="358"/>
      <c r="J375" s="358"/>
      <c r="K375" s="358"/>
    </row>
    <row r="376" spans="1:11">
      <c r="A376" s="358"/>
      <c r="B376" s="490"/>
      <c r="E376" s="358"/>
      <c r="F376" s="358"/>
      <c r="G376" s="358"/>
      <c r="H376" s="358"/>
      <c r="I376" s="358"/>
      <c r="J376" s="358"/>
      <c r="K376" s="358"/>
    </row>
    <row r="377" spans="1:11">
      <c r="A377" s="358"/>
      <c r="B377" s="490"/>
      <c r="E377" s="358"/>
      <c r="F377" s="358"/>
      <c r="G377" s="358"/>
      <c r="H377" s="358"/>
      <c r="I377" s="358"/>
      <c r="J377" s="358"/>
      <c r="K377" s="358"/>
    </row>
    <row r="378" spans="1:11">
      <c r="A378" s="358"/>
      <c r="B378" s="625"/>
      <c r="E378" s="358"/>
      <c r="F378" s="358"/>
      <c r="G378" s="358"/>
      <c r="H378" s="358"/>
      <c r="I378" s="358"/>
      <c r="J378" s="358"/>
      <c r="K378" s="358"/>
    </row>
    <row r="379" spans="1:11">
      <c r="A379" s="358"/>
      <c r="B379" s="490"/>
      <c r="E379" s="358"/>
      <c r="F379" s="358"/>
      <c r="G379" s="358"/>
      <c r="H379" s="358"/>
      <c r="I379" s="358"/>
      <c r="J379" s="358"/>
      <c r="K379" s="358"/>
    </row>
    <row r="380" spans="1:11">
      <c r="A380" s="488"/>
      <c r="B380" s="489"/>
      <c r="E380" s="358"/>
      <c r="F380" s="358"/>
      <c r="G380" s="358"/>
      <c r="H380" s="358"/>
      <c r="I380" s="358"/>
      <c r="J380" s="358"/>
      <c r="K380" s="358"/>
    </row>
    <row r="381" spans="1:11">
      <c r="A381" s="496"/>
      <c r="B381" s="490"/>
      <c r="C381" s="489"/>
      <c r="E381" s="358"/>
      <c r="F381" s="358"/>
      <c r="G381" s="358"/>
      <c r="H381" s="358"/>
      <c r="I381" s="358"/>
      <c r="J381" s="358"/>
      <c r="K381" s="358"/>
    </row>
    <row r="382" spans="1:11">
      <c r="A382" s="496"/>
      <c r="B382" s="490"/>
      <c r="C382" s="489"/>
      <c r="E382" s="358"/>
      <c r="F382" s="358"/>
      <c r="G382" s="358"/>
      <c r="H382" s="358"/>
      <c r="I382" s="358"/>
      <c r="J382" s="358"/>
      <c r="K382" s="358"/>
    </row>
    <row r="383" spans="1:11">
      <c r="A383" s="496"/>
      <c r="B383" s="490"/>
      <c r="C383" s="489"/>
      <c r="E383" s="358"/>
      <c r="F383" s="358"/>
      <c r="G383" s="358"/>
      <c r="H383" s="358"/>
      <c r="I383" s="358"/>
      <c r="J383" s="358"/>
      <c r="K383" s="358"/>
    </row>
    <row r="384" spans="1:11">
      <c r="A384" s="496"/>
      <c r="B384" s="490"/>
      <c r="C384" s="489"/>
      <c r="E384" s="358"/>
      <c r="F384" s="358"/>
      <c r="G384" s="358"/>
      <c r="H384" s="358"/>
      <c r="I384" s="358"/>
      <c r="J384" s="358"/>
      <c r="K384" s="358"/>
    </row>
    <row r="385" spans="1:11" ht="15.75" customHeight="1">
      <c r="A385" s="496"/>
      <c r="B385" s="490"/>
      <c r="C385" s="489"/>
      <c r="E385" s="358"/>
      <c r="F385" s="358"/>
      <c r="G385" s="358"/>
      <c r="H385" s="358"/>
      <c r="I385" s="358"/>
      <c r="J385" s="358"/>
      <c r="K385" s="358"/>
    </row>
    <row r="386" spans="1:11" ht="15.75" customHeight="1">
      <c r="A386" s="496"/>
      <c r="B386" s="490"/>
      <c r="C386" s="489"/>
      <c r="E386" s="358"/>
      <c r="F386" s="358"/>
      <c r="G386" s="358"/>
      <c r="H386" s="358"/>
      <c r="I386" s="358"/>
      <c r="J386" s="358"/>
      <c r="K386" s="358"/>
    </row>
  </sheetData>
  <mergeCells count="398">
    <mergeCell ref="P352:U352"/>
    <mergeCell ref="AN332:AN336"/>
    <mergeCell ref="AO332:AO336"/>
    <mergeCell ref="AP332:AP336"/>
    <mergeCell ref="AQ332:AQ336"/>
    <mergeCell ref="AR332:AR336"/>
    <mergeCell ref="P351:U351"/>
    <mergeCell ref="AF332:AF336"/>
    <mergeCell ref="AI332:AI336"/>
    <mergeCell ref="AJ332:AJ336"/>
    <mergeCell ref="AK332:AK336"/>
    <mergeCell ref="AL332:AL336"/>
    <mergeCell ref="AM332:AM336"/>
    <mergeCell ref="X332:X336"/>
    <mergeCell ref="Y332:Y336"/>
    <mergeCell ref="Z332:Z336"/>
    <mergeCell ref="AA332:AA336"/>
    <mergeCell ref="AB332:AB336"/>
    <mergeCell ref="AC332:AC336"/>
    <mergeCell ref="P329:P337"/>
    <mergeCell ref="W329:W331"/>
    <mergeCell ref="X329:X331"/>
    <mergeCell ref="AN329:AN331"/>
    <mergeCell ref="AO329:AO331"/>
    <mergeCell ref="AP329:AP331"/>
    <mergeCell ref="AQ329:AQ331"/>
    <mergeCell ref="AR329:AR331"/>
    <mergeCell ref="Q332:Q336"/>
    <mergeCell ref="T332:T336"/>
    <mergeCell ref="U332:U336"/>
    <mergeCell ref="V332:V336"/>
    <mergeCell ref="W332:W336"/>
    <mergeCell ref="AF329:AF331"/>
    <mergeCell ref="AI329:AI331"/>
    <mergeCell ref="AJ329:AJ331"/>
    <mergeCell ref="AK329:AK331"/>
    <mergeCell ref="AL329:AL331"/>
    <mergeCell ref="AM329:AM331"/>
    <mergeCell ref="Y329:Y331"/>
    <mergeCell ref="Z329:Z331"/>
    <mergeCell ref="AA329:AA331"/>
    <mergeCell ref="AB329:AB331"/>
    <mergeCell ref="AC329:AC331"/>
    <mergeCell ref="AE329:AE337"/>
    <mergeCell ref="Q329:Q331"/>
    <mergeCell ref="T329:T331"/>
    <mergeCell ref="U329:U331"/>
    <mergeCell ref="V329:V331"/>
    <mergeCell ref="AM325:AN327"/>
    <mergeCell ref="AO325:AP327"/>
    <mergeCell ref="AQ325:AR327"/>
    <mergeCell ref="B326:B327"/>
    <mergeCell ref="C326:C327"/>
    <mergeCell ref="D326:D327"/>
    <mergeCell ref="E326:E327"/>
    <mergeCell ref="F326:F327"/>
    <mergeCell ref="G326:H326"/>
    <mergeCell ref="I326:J326"/>
    <mergeCell ref="X325:Y327"/>
    <mergeCell ref="Z325:AA327"/>
    <mergeCell ref="AB325:AC327"/>
    <mergeCell ref="AH325:AH328"/>
    <mergeCell ref="AI325:AJ327"/>
    <mergeCell ref="AK325:AL327"/>
    <mergeCell ref="AE326:AE328"/>
    <mergeCell ref="R327:R328"/>
    <mergeCell ref="AF327:AF328"/>
    <mergeCell ref="AG327:AG328"/>
    <mergeCell ref="P273:U273"/>
    <mergeCell ref="P274:U274"/>
    <mergeCell ref="C325:L325"/>
    <mergeCell ref="S325:S328"/>
    <mergeCell ref="T325:U327"/>
    <mergeCell ref="V325:W327"/>
    <mergeCell ref="K326:K327"/>
    <mergeCell ref="L326:L327"/>
    <mergeCell ref="P326:P328"/>
    <mergeCell ref="Q327:Q328"/>
    <mergeCell ref="X254:X258"/>
    <mergeCell ref="Y254:Y258"/>
    <mergeCell ref="Z254:Z258"/>
    <mergeCell ref="AA254:AA258"/>
    <mergeCell ref="AB254:AB258"/>
    <mergeCell ref="AM251:AM253"/>
    <mergeCell ref="AN251:AN253"/>
    <mergeCell ref="AO251:AO253"/>
    <mergeCell ref="X251:X253"/>
    <mergeCell ref="Y251:Y253"/>
    <mergeCell ref="Z251:Z253"/>
    <mergeCell ref="AA251:AA253"/>
    <mergeCell ref="AB251:AB253"/>
    <mergeCell ref="AC251:AC253"/>
    <mergeCell ref="AM254:AM258"/>
    <mergeCell ref="AN254:AN258"/>
    <mergeCell ref="AO254:AO258"/>
    <mergeCell ref="AC254:AC258"/>
    <mergeCell ref="AF254:AF258"/>
    <mergeCell ref="AI254:AI258"/>
    <mergeCell ref="AJ254:AJ258"/>
    <mergeCell ref="AK254:AK258"/>
    <mergeCell ref="AL254:AL258"/>
    <mergeCell ref="AP251:AP253"/>
    <mergeCell ref="AQ251:AQ253"/>
    <mergeCell ref="AR251:AR253"/>
    <mergeCell ref="AE251:AE259"/>
    <mergeCell ref="AF251:AF253"/>
    <mergeCell ref="AI251:AI253"/>
    <mergeCell ref="AJ251:AJ253"/>
    <mergeCell ref="AK251:AK253"/>
    <mergeCell ref="AL251:AL253"/>
    <mergeCell ref="AP254:AP258"/>
    <mergeCell ref="AQ254:AQ258"/>
    <mergeCell ref="AR254:AR258"/>
    <mergeCell ref="P251:P259"/>
    <mergeCell ref="Q251:Q253"/>
    <mergeCell ref="T251:T253"/>
    <mergeCell ref="U251:U253"/>
    <mergeCell ref="V251:V253"/>
    <mergeCell ref="W251:W253"/>
    <mergeCell ref="Q254:Q258"/>
    <mergeCell ref="T254:T258"/>
    <mergeCell ref="U254:U258"/>
    <mergeCell ref="V254:V258"/>
    <mergeCell ref="W254:W258"/>
    <mergeCell ref="AQ247:AR249"/>
    <mergeCell ref="B248:B249"/>
    <mergeCell ref="C248:C249"/>
    <mergeCell ref="D248:D249"/>
    <mergeCell ref="E248:E249"/>
    <mergeCell ref="F248:F249"/>
    <mergeCell ref="G248:H248"/>
    <mergeCell ref="I248:J248"/>
    <mergeCell ref="K248:K249"/>
    <mergeCell ref="L248:L249"/>
    <mergeCell ref="AB247:AC249"/>
    <mergeCell ref="AH247:AH250"/>
    <mergeCell ref="AI247:AJ249"/>
    <mergeCell ref="AK247:AL249"/>
    <mergeCell ref="AM247:AN249"/>
    <mergeCell ref="AO247:AP249"/>
    <mergeCell ref="AE248:AE250"/>
    <mergeCell ref="AF249:AF250"/>
    <mergeCell ref="AG249:AG250"/>
    <mergeCell ref="C247:L247"/>
    <mergeCell ref="S247:S250"/>
    <mergeCell ref="T247:U249"/>
    <mergeCell ref="V247:W249"/>
    <mergeCell ref="X247:Y249"/>
    <mergeCell ref="Z247:AA249"/>
    <mergeCell ref="P248:P250"/>
    <mergeCell ref="Q249:Q250"/>
    <mergeCell ref="R249:R250"/>
    <mergeCell ref="P194:U194"/>
    <mergeCell ref="P195:U195"/>
    <mergeCell ref="B245:B246"/>
    <mergeCell ref="C245:M245"/>
    <mergeCell ref="P245:U245"/>
    <mergeCell ref="C246:M246"/>
    <mergeCell ref="X175:X179"/>
    <mergeCell ref="Y175:Y179"/>
    <mergeCell ref="Z175:Z179"/>
    <mergeCell ref="AA175:AA179"/>
    <mergeCell ref="AB175:AB179"/>
    <mergeCell ref="AM172:AM174"/>
    <mergeCell ref="AN172:AN174"/>
    <mergeCell ref="AO172:AO174"/>
    <mergeCell ref="X172:X174"/>
    <mergeCell ref="Y172:Y174"/>
    <mergeCell ref="Z172:Z174"/>
    <mergeCell ref="AA172:AA174"/>
    <mergeCell ref="AB172:AB174"/>
    <mergeCell ref="AC172:AC174"/>
    <mergeCell ref="AM175:AM179"/>
    <mergeCell ref="AN175:AN179"/>
    <mergeCell ref="AO175:AO179"/>
    <mergeCell ref="AC175:AC179"/>
    <mergeCell ref="AF175:AF179"/>
    <mergeCell ref="AI175:AI179"/>
    <mergeCell ref="AJ175:AJ179"/>
    <mergeCell ref="AK175:AK179"/>
    <mergeCell ref="AL175:AL179"/>
    <mergeCell ref="AP172:AP174"/>
    <mergeCell ref="AQ172:AQ174"/>
    <mergeCell ref="AR172:AR174"/>
    <mergeCell ref="AE172:AE180"/>
    <mergeCell ref="AF172:AF174"/>
    <mergeCell ref="AI172:AI174"/>
    <mergeCell ref="AJ172:AJ174"/>
    <mergeCell ref="AK172:AK174"/>
    <mergeCell ref="AL172:AL174"/>
    <mergeCell ref="AP175:AP179"/>
    <mergeCell ref="AQ175:AQ179"/>
    <mergeCell ref="AR175:AR179"/>
    <mergeCell ref="P172:P180"/>
    <mergeCell ref="Q172:Q174"/>
    <mergeCell ref="T172:T174"/>
    <mergeCell ref="U172:U174"/>
    <mergeCell ref="V172:V174"/>
    <mergeCell ref="W172:W174"/>
    <mergeCell ref="Q175:Q179"/>
    <mergeCell ref="T175:T179"/>
    <mergeCell ref="U175:U179"/>
    <mergeCell ref="V175:V179"/>
    <mergeCell ref="W175:W179"/>
    <mergeCell ref="AQ168:AR170"/>
    <mergeCell ref="B169:B170"/>
    <mergeCell ref="C169:C170"/>
    <mergeCell ref="D169:D170"/>
    <mergeCell ref="E169:E170"/>
    <mergeCell ref="F169:F170"/>
    <mergeCell ref="G169:H169"/>
    <mergeCell ref="I169:J169"/>
    <mergeCell ref="K169:K170"/>
    <mergeCell ref="L169:L170"/>
    <mergeCell ref="AB168:AC170"/>
    <mergeCell ref="AH168:AH171"/>
    <mergeCell ref="AI168:AJ170"/>
    <mergeCell ref="AK168:AL170"/>
    <mergeCell ref="AM168:AN170"/>
    <mergeCell ref="AO168:AP170"/>
    <mergeCell ref="AE169:AE171"/>
    <mergeCell ref="AF170:AF171"/>
    <mergeCell ref="AG170:AG171"/>
    <mergeCell ref="C168:L168"/>
    <mergeCell ref="S168:S171"/>
    <mergeCell ref="T168:U170"/>
    <mergeCell ref="V168:W170"/>
    <mergeCell ref="X168:Y170"/>
    <mergeCell ref="Z168:AA170"/>
    <mergeCell ref="P169:P171"/>
    <mergeCell ref="Q170:Q171"/>
    <mergeCell ref="R170:R171"/>
    <mergeCell ref="P112:U112"/>
    <mergeCell ref="P113:U113"/>
    <mergeCell ref="B166:B167"/>
    <mergeCell ref="C166:M166"/>
    <mergeCell ref="P166:U166"/>
    <mergeCell ref="C167:M167"/>
    <mergeCell ref="X93:X97"/>
    <mergeCell ref="Y93:Y97"/>
    <mergeCell ref="Z93:Z97"/>
    <mergeCell ref="AA93:AA97"/>
    <mergeCell ref="AB93:AB97"/>
    <mergeCell ref="AM90:AM92"/>
    <mergeCell ref="AN90:AN92"/>
    <mergeCell ref="AO90:AO92"/>
    <mergeCell ref="X90:X92"/>
    <mergeCell ref="Y90:Y92"/>
    <mergeCell ref="Z90:Z92"/>
    <mergeCell ref="AA90:AA92"/>
    <mergeCell ref="AB90:AB92"/>
    <mergeCell ref="AC90:AC92"/>
    <mergeCell ref="AM93:AM97"/>
    <mergeCell ref="AN93:AN97"/>
    <mergeCell ref="AO93:AO97"/>
    <mergeCell ref="AC93:AC97"/>
    <mergeCell ref="AF93:AF97"/>
    <mergeCell ref="AI93:AI97"/>
    <mergeCell ref="AJ93:AJ97"/>
    <mergeCell ref="AK93:AK97"/>
    <mergeCell ref="AL93:AL97"/>
    <mergeCell ref="AP90:AP92"/>
    <mergeCell ref="AQ90:AQ92"/>
    <mergeCell ref="AR90:AR92"/>
    <mergeCell ref="AE90:AE98"/>
    <mergeCell ref="AF90:AF92"/>
    <mergeCell ref="AI90:AI92"/>
    <mergeCell ref="AJ90:AJ92"/>
    <mergeCell ref="AK90:AK92"/>
    <mergeCell ref="AL90:AL92"/>
    <mergeCell ref="AP93:AP97"/>
    <mergeCell ref="AQ93:AQ97"/>
    <mergeCell ref="AR93:AR97"/>
    <mergeCell ref="P90:P98"/>
    <mergeCell ref="Q90:Q92"/>
    <mergeCell ref="T90:T92"/>
    <mergeCell ref="U90:U92"/>
    <mergeCell ref="V90:V92"/>
    <mergeCell ref="W90:W92"/>
    <mergeCell ref="Q93:Q97"/>
    <mergeCell ref="T93:T97"/>
    <mergeCell ref="U93:U97"/>
    <mergeCell ref="V93:V97"/>
    <mergeCell ref="W93:W97"/>
    <mergeCell ref="AQ86:AR88"/>
    <mergeCell ref="B87:B88"/>
    <mergeCell ref="C87:C88"/>
    <mergeCell ref="D87:D88"/>
    <mergeCell ref="E87:E88"/>
    <mergeCell ref="F87:F88"/>
    <mergeCell ref="G87:H87"/>
    <mergeCell ref="I87:J87"/>
    <mergeCell ref="K87:K88"/>
    <mergeCell ref="L87:L88"/>
    <mergeCell ref="AB86:AC88"/>
    <mergeCell ref="AH86:AH89"/>
    <mergeCell ref="AI86:AJ88"/>
    <mergeCell ref="AK86:AL88"/>
    <mergeCell ref="AM86:AN88"/>
    <mergeCell ref="AO86:AP88"/>
    <mergeCell ref="AE87:AE89"/>
    <mergeCell ref="AF88:AF89"/>
    <mergeCell ref="AG88:AG89"/>
    <mergeCell ref="C86:L86"/>
    <mergeCell ref="S86:S89"/>
    <mergeCell ref="T86:U88"/>
    <mergeCell ref="V86:W88"/>
    <mergeCell ref="X86:Y88"/>
    <mergeCell ref="Z86:AA88"/>
    <mergeCell ref="P87:P89"/>
    <mergeCell ref="Q88:Q89"/>
    <mergeCell ref="R88:R89"/>
    <mergeCell ref="C23:F27"/>
    <mergeCell ref="P33:U33"/>
    <mergeCell ref="P34:U34"/>
    <mergeCell ref="C42:F42"/>
    <mergeCell ref="B84:B85"/>
    <mergeCell ref="C84:M84"/>
    <mergeCell ref="P84:U84"/>
    <mergeCell ref="C85:M85"/>
    <mergeCell ref="X14:X18"/>
    <mergeCell ref="Y14:Y18"/>
    <mergeCell ref="Z14:Z18"/>
    <mergeCell ref="AA14:AA18"/>
    <mergeCell ref="AB14:AB18"/>
    <mergeCell ref="AM11:AM13"/>
    <mergeCell ref="AN11:AN13"/>
    <mergeCell ref="AO11:AO13"/>
    <mergeCell ref="X11:X13"/>
    <mergeCell ref="Y11:Y13"/>
    <mergeCell ref="Z11:Z13"/>
    <mergeCell ref="AA11:AA13"/>
    <mergeCell ref="AB11:AB13"/>
    <mergeCell ref="AC11:AC13"/>
    <mergeCell ref="AM14:AM18"/>
    <mergeCell ref="AN14:AN18"/>
    <mergeCell ref="AO14:AO18"/>
    <mergeCell ref="AC14:AC18"/>
    <mergeCell ref="AF14:AF18"/>
    <mergeCell ref="AI14:AI18"/>
    <mergeCell ref="AJ14:AJ18"/>
    <mergeCell ref="AK14:AK18"/>
    <mergeCell ref="AL14:AL18"/>
    <mergeCell ref="AP11:AP13"/>
    <mergeCell ref="AQ11:AQ13"/>
    <mergeCell ref="AR11:AR13"/>
    <mergeCell ref="AE11:AE19"/>
    <mergeCell ref="AF11:AF13"/>
    <mergeCell ref="AI11:AI13"/>
    <mergeCell ref="AJ11:AJ13"/>
    <mergeCell ref="AK11:AK13"/>
    <mergeCell ref="AL11:AL13"/>
    <mergeCell ref="AP14:AP18"/>
    <mergeCell ref="AQ14:AQ18"/>
    <mergeCell ref="AR14:AR18"/>
    <mergeCell ref="P11:P19"/>
    <mergeCell ref="Q11:Q13"/>
    <mergeCell ref="T11:T13"/>
    <mergeCell ref="U11:U13"/>
    <mergeCell ref="V11:V13"/>
    <mergeCell ref="W11:W13"/>
    <mergeCell ref="Q14:Q18"/>
    <mergeCell ref="T14:T18"/>
    <mergeCell ref="U14:U18"/>
    <mergeCell ref="V14:V18"/>
    <mergeCell ref="W14:W18"/>
    <mergeCell ref="AQ7:AR9"/>
    <mergeCell ref="B8:B9"/>
    <mergeCell ref="C8:C9"/>
    <mergeCell ref="D8:D9"/>
    <mergeCell ref="E8:E9"/>
    <mergeCell ref="F8:F9"/>
    <mergeCell ref="G8:H8"/>
    <mergeCell ref="V7:W9"/>
    <mergeCell ref="X7:Y9"/>
    <mergeCell ref="Z7:AA9"/>
    <mergeCell ref="AB7:AC9"/>
    <mergeCell ref="AH7:AH10"/>
    <mergeCell ref="AI7:AJ9"/>
    <mergeCell ref="P8:P10"/>
    <mergeCell ref="AE8:AE10"/>
    <mergeCell ref="Q9:Q10"/>
    <mergeCell ref="R9:R10"/>
    <mergeCell ref="AF9:AF10"/>
    <mergeCell ref="AG9:AG10"/>
    <mergeCell ref="AK7:AL9"/>
    <mergeCell ref="AM7:AN9"/>
    <mergeCell ref="AO7:AP9"/>
    <mergeCell ref="B5:B6"/>
    <mergeCell ref="C5:M5"/>
    <mergeCell ref="P5:U5"/>
    <mergeCell ref="C6:M6"/>
    <mergeCell ref="C7:L7"/>
    <mergeCell ref="S7:S10"/>
    <mergeCell ref="T7:U9"/>
    <mergeCell ref="I8:J8"/>
    <mergeCell ref="K8:K9"/>
    <mergeCell ref="L8:L9"/>
  </mergeCell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689154-C5F0-4CA0-8BB8-ADC6D7396513}">
  <sheetPr>
    <tabColor theme="3"/>
  </sheetPr>
  <dimension ref="A2:AR345"/>
  <sheetViews>
    <sheetView topLeftCell="G1" zoomScale="70" zoomScaleNormal="70" workbookViewId="0">
      <selection activeCell="AB26" sqref="AB26"/>
    </sheetView>
  </sheetViews>
  <sheetFormatPr baseColWidth="10" defaultColWidth="8.83203125" defaultRowHeight="15" outlineLevelRow="1"/>
  <cols>
    <col min="1" max="1" width="20.5" style="224" customWidth="1"/>
    <col min="2" max="2" width="63.5" style="224" bestFit="1" customWidth="1"/>
    <col min="3" max="6" width="11" style="224" bestFit="1" customWidth="1"/>
    <col min="7" max="12" width="11" style="224" customWidth="1"/>
    <col min="13" max="13" width="8.83203125" style="224"/>
    <col min="14" max="14" width="4.5" style="224" customWidth="1"/>
    <col min="15" max="15" width="15.83203125" style="224" customWidth="1"/>
    <col min="16" max="16384" width="8.83203125" style="224"/>
  </cols>
  <sheetData>
    <row r="2" spans="1:44">
      <c r="B2" s="638" t="str">
        <f>C7</f>
        <v>Heat pump, up to 80 °C, Temp lift = 60 K</v>
      </c>
    </row>
    <row r="4" spans="1:44" ht="25" customHeight="1">
      <c r="E4" s="224" t="s">
        <v>358</v>
      </c>
      <c r="F4" s="359">
        <v>7.45</v>
      </c>
      <c r="G4" s="359" t="s">
        <v>328</v>
      </c>
      <c r="R4" s="224">
        <f>MATCH(W4,P7:AC7)</f>
        <v>9</v>
      </c>
      <c r="W4" s="224" t="s">
        <v>717</v>
      </c>
      <c r="X4" s="224" cm="1">
        <f t="array" ref="X4">INDEX(X6:Y19,MATCH(W4,X6:X19)-1,2)</f>
        <v>10</v>
      </c>
    </row>
    <row r="5" spans="1:44" ht="15" customHeight="1">
      <c r="A5" s="360" t="s">
        <v>866</v>
      </c>
      <c r="B5" s="1207"/>
      <c r="C5" s="1143"/>
      <c r="D5" s="1143"/>
      <c r="E5" s="1143"/>
      <c r="F5" s="1143"/>
      <c r="G5" s="1143"/>
      <c r="H5" s="1143"/>
      <c r="I5" s="1143"/>
      <c r="J5" s="1143"/>
      <c r="K5" s="1143"/>
      <c r="L5" s="1143"/>
      <c r="M5" s="1143"/>
      <c r="N5" s="361"/>
      <c r="P5" s="1143"/>
      <c r="Q5" s="1143"/>
      <c r="R5" s="1143"/>
      <c r="S5" s="1143"/>
      <c r="T5" s="1143"/>
      <c r="U5" s="1143"/>
    </row>
    <row r="6" spans="1:44" ht="15.75" customHeight="1" outlineLevel="1" thickBot="1">
      <c r="B6" s="1207"/>
      <c r="C6" s="1143"/>
      <c r="D6" s="1143"/>
      <c r="E6" s="1143"/>
      <c r="F6" s="1143"/>
      <c r="G6" s="1143"/>
      <c r="H6" s="1143"/>
      <c r="I6" s="1143"/>
      <c r="J6" s="1143"/>
      <c r="K6" s="1143"/>
      <c r="L6" s="1143"/>
      <c r="M6" s="1143"/>
      <c r="N6" s="361"/>
      <c r="P6" s="692">
        <v>1</v>
      </c>
      <c r="Q6" s="692">
        <v>2</v>
      </c>
      <c r="R6" s="692">
        <v>3</v>
      </c>
      <c r="S6" s="692">
        <v>4</v>
      </c>
      <c r="T6" s="692">
        <v>5</v>
      </c>
      <c r="U6" s="692">
        <v>6</v>
      </c>
      <c r="V6" s="692">
        <v>7</v>
      </c>
      <c r="W6" s="692">
        <v>8</v>
      </c>
      <c r="X6" s="692">
        <v>9</v>
      </c>
      <c r="Y6" s="692">
        <v>10</v>
      </c>
      <c r="Z6" s="692">
        <v>11</v>
      </c>
      <c r="AA6" s="692">
        <v>12</v>
      </c>
      <c r="AB6" s="692">
        <v>13</v>
      </c>
      <c r="AC6" s="692">
        <v>14</v>
      </c>
    </row>
    <row r="7" spans="1:44" ht="20.25" customHeight="1" outlineLevel="1" thickBot="1">
      <c r="B7" s="362" t="s">
        <v>0</v>
      </c>
      <c r="C7" s="1223" t="s">
        <v>865</v>
      </c>
      <c r="D7" s="1224"/>
      <c r="E7" s="1224"/>
      <c r="F7" s="1224"/>
      <c r="G7" s="1224"/>
      <c r="H7" s="1224"/>
      <c r="I7" s="1224"/>
      <c r="J7" s="1224"/>
      <c r="K7" s="1224"/>
      <c r="L7" s="1225"/>
      <c r="M7" s="363"/>
      <c r="N7" s="363"/>
      <c r="P7" s="364" t="s">
        <v>713</v>
      </c>
      <c r="Q7" s="365"/>
      <c r="R7" s="366"/>
      <c r="S7" s="1176" t="s">
        <v>714</v>
      </c>
      <c r="T7" s="1160" t="s">
        <v>715</v>
      </c>
      <c r="U7" s="1161"/>
      <c r="V7" s="1160" t="s">
        <v>716</v>
      </c>
      <c r="W7" s="1161"/>
      <c r="X7" s="1160" t="s">
        <v>717</v>
      </c>
      <c r="Y7" s="1161"/>
      <c r="Z7" s="1160" t="s">
        <v>718</v>
      </c>
      <c r="AA7" s="1161"/>
      <c r="AB7" s="1160" t="s">
        <v>719</v>
      </c>
      <c r="AC7" s="1161"/>
      <c r="AE7" s="364" t="s">
        <v>720</v>
      </c>
      <c r="AF7" s="365"/>
      <c r="AG7" s="366"/>
      <c r="AH7" s="1176" t="s">
        <v>714</v>
      </c>
      <c r="AI7" s="1160" t="s">
        <v>715</v>
      </c>
      <c r="AJ7" s="1161"/>
      <c r="AK7" s="1160" t="s">
        <v>716</v>
      </c>
      <c r="AL7" s="1161"/>
      <c r="AM7" s="1160" t="s">
        <v>717</v>
      </c>
      <c r="AN7" s="1161"/>
      <c r="AO7" s="1160" t="s">
        <v>718</v>
      </c>
      <c r="AP7" s="1161"/>
      <c r="AQ7" s="1160" t="s">
        <v>719</v>
      </c>
      <c r="AR7" s="1161"/>
    </row>
    <row r="8" spans="1:44" ht="15" customHeight="1" outlineLevel="1" thickBot="1">
      <c r="B8" s="1164" t="s">
        <v>4</v>
      </c>
      <c r="C8" s="1166">
        <v>2020</v>
      </c>
      <c r="D8" s="1166">
        <v>2030</v>
      </c>
      <c r="E8" s="1166">
        <v>2040</v>
      </c>
      <c r="F8" s="1166">
        <v>2050</v>
      </c>
      <c r="G8" s="1230" t="s">
        <v>721</v>
      </c>
      <c r="H8" s="1218"/>
      <c r="I8" s="1217" t="s">
        <v>648</v>
      </c>
      <c r="J8" s="1226"/>
      <c r="K8" s="1219" t="s">
        <v>2</v>
      </c>
      <c r="L8" s="1219" t="s">
        <v>3</v>
      </c>
      <c r="M8" s="367"/>
      <c r="N8" s="367"/>
      <c r="P8" s="1180" t="s">
        <v>0</v>
      </c>
      <c r="Q8" s="368"/>
      <c r="R8" s="368"/>
      <c r="S8" s="1177"/>
      <c r="T8" s="1162"/>
      <c r="U8" s="1163"/>
      <c r="V8" s="1162"/>
      <c r="W8" s="1163"/>
      <c r="X8" s="1162"/>
      <c r="Y8" s="1163"/>
      <c r="Z8" s="1162"/>
      <c r="AA8" s="1163"/>
      <c r="AB8" s="1162"/>
      <c r="AC8" s="1163"/>
      <c r="AE8" s="1180" t="s">
        <v>0</v>
      </c>
      <c r="AF8" s="368"/>
      <c r="AG8" s="368"/>
      <c r="AH8" s="1177"/>
      <c r="AI8" s="1162"/>
      <c r="AJ8" s="1163"/>
      <c r="AK8" s="1162"/>
      <c r="AL8" s="1163"/>
      <c r="AM8" s="1162"/>
      <c r="AN8" s="1163"/>
      <c r="AO8" s="1162"/>
      <c r="AP8" s="1163"/>
      <c r="AQ8" s="1162"/>
      <c r="AR8" s="1163"/>
    </row>
    <row r="9" spans="1:44" ht="16" outlineLevel="1" thickBot="1">
      <c r="B9" s="1228"/>
      <c r="C9" s="1229"/>
      <c r="D9" s="1229"/>
      <c r="E9" s="1229"/>
      <c r="F9" s="1229"/>
      <c r="G9" s="369" t="s">
        <v>649</v>
      </c>
      <c r="H9" s="369" t="s">
        <v>650</v>
      </c>
      <c r="I9" s="369" t="s">
        <v>649</v>
      </c>
      <c r="J9" s="369" t="s">
        <v>650</v>
      </c>
      <c r="K9" s="1227"/>
      <c r="L9" s="1227"/>
      <c r="M9" s="370"/>
      <c r="N9" s="370"/>
      <c r="P9" s="1181"/>
      <c r="Q9" s="1183" t="s">
        <v>722</v>
      </c>
      <c r="R9" s="1184" t="s">
        <v>723</v>
      </c>
      <c r="S9" s="1178"/>
      <c r="T9" s="1162"/>
      <c r="U9" s="1163"/>
      <c r="V9" s="1162"/>
      <c r="W9" s="1163"/>
      <c r="X9" s="1162"/>
      <c r="Y9" s="1163"/>
      <c r="Z9" s="1162"/>
      <c r="AA9" s="1163"/>
      <c r="AB9" s="1162"/>
      <c r="AC9" s="1163"/>
      <c r="AE9" s="1181"/>
      <c r="AF9" s="1197" t="s">
        <v>722</v>
      </c>
      <c r="AG9" s="1184" t="s">
        <v>723</v>
      </c>
      <c r="AH9" s="1178"/>
      <c r="AI9" s="1162"/>
      <c r="AJ9" s="1163"/>
      <c r="AK9" s="1162"/>
      <c r="AL9" s="1163"/>
      <c r="AM9" s="1162"/>
      <c r="AN9" s="1163"/>
      <c r="AO9" s="1162"/>
      <c r="AP9" s="1163"/>
      <c r="AQ9" s="1162"/>
      <c r="AR9" s="1163"/>
    </row>
    <row r="10" spans="1:44" ht="54.5" customHeight="1" outlineLevel="1" thickBot="1">
      <c r="B10" s="371" t="s">
        <v>651</v>
      </c>
      <c r="C10" s="372">
        <v>3</v>
      </c>
      <c r="D10" s="372">
        <v>3</v>
      </c>
      <c r="E10" s="372">
        <v>3</v>
      </c>
      <c r="F10" s="372">
        <v>3</v>
      </c>
      <c r="G10" s="372">
        <v>0.5</v>
      </c>
      <c r="H10" s="372">
        <v>5</v>
      </c>
      <c r="I10" s="372">
        <v>0.5</v>
      </c>
      <c r="J10" s="372">
        <v>5</v>
      </c>
      <c r="K10" s="372" t="s">
        <v>6</v>
      </c>
      <c r="L10" s="373" t="s">
        <v>837</v>
      </c>
      <c r="M10" s="370"/>
      <c r="N10" s="370"/>
      <c r="O10" s="74"/>
      <c r="P10" s="1182"/>
      <c r="Q10" s="1179"/>
      <c r="R10" s="1185"/>
      <c r="S10" s="1179"/>
      <c r="T10" s="374" t="s">
        <v>726</v>
      </c>
      <c r="U10" s="375" t="s">
        <v>727</v>
      </c>
      <c r="V10" s="374" t="s">
        <v>726</v>
      </c>
      <c r="W10" s="375" t="s">
        <v>727</v>
      </c>
      <c r="X10" s="374" t="s">
        <v>726</v>
      </c>
      <c r="Y10" s="375" t="s">
        <v>727</v>
      </c>
      <c r="Z10" s="374" t="s">
        <v>726</v>
      </c>
      <c r="AA10" s="375" t="s">
        <v>727</v>
      </c>
      <c r="AB10" s="374" t="s">
        <v>726</v>
      </c>
      <c r="AC10" s="375" t="s">
        <v>727</v>
      </c>
      <c r="AE10" s="1182"/>
      <c r="AF10" s="1198"/>
      <c r="AG10" s="1185"/>
      <c r="AH10" s="1179"/>
      <c r="AI10" s="374" t="s">
        <v>726</v>
      </c>
      <c r="AJ10" s="375" t="s">
        <v>727</v>
      </c>
      <c r="AK10" s="374" t="s">
        <v>726</v>
      </c>
      <c r="AL10" s="375" t="s">
        <v>727</v>
      </c>
      <c r="AM10" s="374" t="s">
        <v>726</v>
      </c>
      <c r="AN10" s="375" t="s">
        <v>727</v>
      </c>
      <c r="AO10" s="374" t="s">
        <v>726</v>
      </c>
      <c r="AP10" s="375" t="s">
        <v>727</v>
      </c>
      <c r="AQ10" s="374" t="s">
        <v>726</v>
      </c>
      <c r="AR10" s="375" t="s">
        <v>727</v>
      </c>
    </row>
    <row r="11" spans="1:44" ht="24.5" customHeight="1" outlineLevel="1">
      <c r="B11" s="376" t="s">
        <v>728</v>
      </c>
      <c r="C11" s="639">
        <v>388</v>
      </c>
      <c r="D11" s="639">
        <v>399.64</v>
      </c>
      <c r="E11" s="640">
        <v>407.63279999999997</v>
      </c>
      <c r="F11" s="639">
        <v>411.70912799999996</v>
      </c>
      <c r="G11" s="377">
        <f>C11</f>
        <v>388</v>
      </c>
      <c r="H11" s="639">
        <f>C11*1.05</f>
        <v>407.40000000000003</v>
      </c>
      <c r="I11" s="639">
        <f>F11*0.97</f>
        <v>399.35785415999993</v>
      </c>
      <c r="J11" s="639">
        <f>F11*1.02</f>
        <v>419.94331055999999</v>
      </c>
      <c r="K11" s="379" t="s">
        <v>59</v>
      </c>
      <c r="L11" s="380" t="s">
        <v>837</v>
      </c>
      <c r="M11" s="370"/>
      <c r="N11" s="370"/>
      <c r="P11" s="1199" t="str">
        <f>C7</f>
        <v>Heat pump, up to 80 °C, Temp lift = 60 K</v>
      </c>
      <c r="Q11" s="1154" t="s">
        <v>730</v>
      </c>
      <c r="R11" s="381" t="s">
        <v>731</v>
      </c>
      <c r="S11" s="382"/>
      <c r="T11" s="1137">
        <v>0</v>
      </c>
      <c r="U11" s="1151">
        <v>0</v>
      </c>
      <c r="V11" s="1157">
        <v>0</v>
      </c>
      <c r="W11" s="1151">
        <v>0</v>
      </c>
      <c r="X11" s="1157">
        <v>0</v>
      </c>
      <c r="Y11" s="1151">
        <v>0</v>
      </c>
      <c r="Z11" s="1157">
        <v>0</v>
      </c>
      <c r="AA11" s="1151">
        <v>0</v>
      </c>
      <c r="AB11" s="1157">
        <v>0</v>
      </c>
      <c r="AC11" s="1151">
        <v>0</v>
      </c>
      <c r="AE11" s="1148" t="str">
        <f>P11</f>
        <v>Heat pump, up to 80 °C, Temp lift = 60 K</v>
      </c>
      <c r="AF11" s="1154" t="s">
        <v>730</v>
      </c>
      <c r="AG11" s="381" t="s">
        <v>731</v>
      </c>
      <c r="AH11" s="382"/>
      <c r="AI11" s="1137">
        <v>0</v>
      </c>
      <c r="AJ11" s="1151">
        <v>0</v>
      </c>
      <c r="AK11" s="1157">
        <v>0</v>
      </c>
      <c r="AL11" s="1151">
        <v>0</v>
      </c>
      <c r="AM11" s="1157">
        <v>0</v>
      </c>
      <c r="AN11" s="1151">
        <v>0</v>
      </c>
      <c r="AO11" s="1157">
        <v>0</v>
      </c>
      <c r="AP11" s="1151">
        <v>0</v>
      </c>
      <c r="AQ11" s="1157">
        <v>0</v>
      </c>
      <c r="AR11" s="1151">
        <v>0</v>
      </c>
    </row>
    <row r="12" spans="1:44" ht="32.5" customHeight="1" outlineLevel="1">
      <c r="B12" s="383" t="s">
        <v>732</v>
      </c>
      <c r="C12" s="577">
        <f>C11-5</f>
        <v>383</v>
      </c>
      <c r="D12" s="577">
        <f t="shared" ref="D12:J12" si="0">D11-5</f>
        <v>394.64</v>
      </c>
      <c r="E12" s="577">
        <f t="shared" si="0"/>
        <v>402.63279999999997</v>
      </c>
      <c r="F12" s="577">
        <f t="shared" si="0"/>
        <v>406.70912799999996</v>
      </c>
      <c r="G12" s="641">
        <f t="shared" si="0"/>
        <v>383</v>
      </c>
      <c r="H12" s="641">
        <f t="shared" si="0"/>
        <v>402.40000000000003</v>
      </c>
      <c r="I12" s="641">
        <f t="shared" si="0"/>
        <v>394.35785415999993</v>
      </c>
      <c r="J12" s="641">
        <f t="shared" si="0"/>
        <v>414.94331055999999</v>
      </c>
      <c r="K12" s="386" t="s">
        <v>838</v>
      </c>
      <c r="L12" s="387"/>
      <c r="M12" s="370"/>
      <c r="N12" s="370"/>
      <c r="O12" s="71"/>
      <c r="P12" s="1195"/>
      <c r="Q12" s="1155"/>
      <c r="R12" s="388" t="s">
        <v>733</v>
      </c>
      <c r="S12" s="389"/>
      <c r="T12" s="1140"/>
      <c r="U12" s="1152"/>
      <c r="V12" s="1158"/>
      <c r="W12" s="1152"/>
      <c r="X12" s="1158"/>
      <c r="Y12" s="1152"/>
      <c r="Z12" s="1158"/>
      <c r="AA12" s="1152"/>
      <c r="AB12" s="1158"/>
      <c r="AC12" s="1152"/>
      <c r="AE12" s="1195"/>
      <c r="AF12" s="1155"/>
      <c r="AG12" s="388" t="s">
        <v>733</v>
      </c>
      <c r="AH12" s="389"/>
      <c r="AI12" s="1140"/>
      <c r="AJ12" s="1152"/>
      <c r="AK12" s="1158"/>
      <c r="AL12" s="1152"/>
      <c r="AM12" s="1158"/>
      <c r="AN12" s="1152"/>
      <c r="AO12" s="1158"/>
      <c r="AP12" s="1152"/>
      <c r="AQ12" s="1158"/>
      <c r="AR12" s="1152"/>
    </row>
    <row r="13" spans="1:44" ht="16" outlineLevel="1" thickBot="1">
      <c r="B13" s="376" t="s">
        <v>734</v>
      </c>
      <c r="C13" s="390">
        <v>2</v>
      </c>
      <c r="D13" s="391">
        <v>2</v>
      </c>
      <c r="E13" s="391">
        <v>2</v>
      </c>
      <c r="F13" s="392">
        <v>2</v>
      </c>
      <c r="G13" s="391">
        <v>1</v>
      </c>
      <c r="H13" s="391">
        <v>4</v>
      </c>
      <c r="I13" s="391">
        <v>1</v>
      </c>
      <c r="J13" s="391">
        <v>4</v>
      </c>
      <c r="K13" s="379"/>
      <c r="L13" s="380">
        <v>1.4</v>
      </c>
      <c r="M13" s="370"/>
      <c r="N13" s="370"/>
      <c r="O13" s="71"/>
      <c r="P13" s="1195"/>
      <c r="Q13" s="1156"/>
      <c r="R13" s="393" t="s">
        <v>735</v>
      </c>
      <c r="S13" s="394"/>
      <c r="T13" s="1141"/>
      <c r="U13" s="1153"/>
      <c r="V13" s="1159"/>
      <c r="W13" s="1153"/>
      <c r="X13" s="1159"/>
      <c r="Y13" s="1153"/>
      <c r="Z13" s="1159"/>
      <c r="AA13" s="1153"/>
      <c r="AB13" s="1159"/>
      <c r="AC13" s="1153"/>
      <c r="AE13" s="1195"/>
      <c r="AF13" s="1156"/>
      <c r="AG13" s="393" t="s">
        <v>735</v>
      </c>
      <c r="AH13" s="394"/>
      <c r="AI13" s="1141"/>
      <c r="AJ13" s="1153"/>
      <c r="AK13" s="1159"/>
      <c r="AL13" s="1153"/>
      <c r="AM13" s="1159"/>
      <c r="AN13" s="1153"/>
      <c r="AO13" s="1159"/>
      <c r="AP13" s="1153"/>
      <c r="AQ13" s="1159"/>
      <c r="AR13" s="1153"/>
    </row>
    <row r="14" spans="1:44" ht="15" customHeight="1" outlineLevel="1">
      <c r="B14" s="376" t="s">
        <v>657</v>
      </c>
      <c r="C14" s="390">
        <v>0</v>
      </c>
      <c r="D14" s="390">
        <v>0</v>
      </c>
      <c r="E14" s="390">
        <v>0</v>
      </c>
      <c r="F14" s="390">
        <v>0</v>
      </c>
      <c r="G14" s="390">
        <v>0</v>
      </c>
      <c r="H14" s="390">
        <v>1</v>
      </c>
      <c r="I14" s="390">
        <v>0</v>
      </c>
      <c r="J14" s="390">
        <v>1</v>
      </c>
      <c r="K14" s="379" t="s">
        <v>20</v>
      </c>
      <c r="L14" s="380"/>
      <c r="M14" s="370"/>
      <c r="N14" s="370"/>
      <c r="O14" s="71"/>
      <c r="P14" s="1195"/>
      <c r="Q14" s="1154" t="s">
        <v>736</v>
      </c>
      <c r="R14" s="395" t="s">
        <v>737</v>
      </c>
      <c r="S14" s="396" t="s">
        <v>738</v>
      </c>
      <c r="T14" s="1137">
        <v>0</v>
      </c>
      <c r="U14" s="1137">
        <f>21%</f>
        <v>0.21</v>
      </c>
      <c r="V14" s="1137">
        <v>0</v>
      </c>
      <c r="W14" s="1137">
        <f>22%</f>
        <v>0.22</v>
      </c>
      <c r="X14" s="1137">
        <v>0</v>
      </c>
      <c r="Y14" s="1137">
        <f>15%</f>
        <v>0.15</v>
      </c>
      <c r="Z14" s="1137">
        <v>0</v>
      </c>
      <c r="AA14" s="1137">
        <f>14%</f>
        <v>0.14000000000000001</v>
      </c>
      <c r="AB14" s="1137">
        <v>0</v>
      </c>
      <c r="AC14" s="1151">
        <f>14%</f>
        <v>0.14000000000000001</v>
      </c>
      <c r="AE14" s="1195"/>
      <c r="AF14" s="1154" t="s">
        <v>736</v>
      </c>
      <c r="AG14" s="395" t="s">
        <v>737</v>
      </c>
      <c r="AH14" s="396" t="s">
        <v>738</v>
      </c>
      <c r="AI14" s="1137">
        <v>0</v>
      </c>
      <c r="AJ14" s="1137">
        <f>U14/4</f>
        <v>5.2499999999999998E-2</v>
      </c>
      <c r="AK14" s="1137">
        <v>0</v>
      </c>
      <c r="AL14" s="1137">
        <f>W14/4</f>
        <v>5.5E-2</v>
      </c>
      <c r="AM14" s="1137">
        <v>0</v>
      </c>
      <c r="AN14" s="1137">
        <f>Y14/4</f>
        <v>3.7499999999999999E-2</v>
      </c>
      <c r="AO14" s="1137">
        <v>0</v>
      </c>
      <c r="AP14" s="1137">
        <f>AA14/4</f>
        <v>3.5000000000000003E-2</v>
      </c>
      <c r="AQ14" s="1137">
        <v>0</v>
      </c>
      <c r="AR14" s="1151">
        <f>AC14/4</f>
        <v>3.5000000000000003E-2</v>
      </c>
    </row>
    <row r="15" spans="1:44" outlineLevel="1">
      <c r="B15" s="376" t="s">
        <v>658</v>
      </c>
      <c r="C15" s="390">
        <v>1</v>
      </c>
      <c r="D15" s="390">
        <v>1</v>
      </c>
      <c r="E15" s="390">
        <v>1</v>
      </c>
      <c r="F15" s="390">
        <v>1</v>
      </c>
      <c r="G15" s="390">
        <v>0.5</v>
      </c>
      <c r="H15" s="390">
        <v>2</v>
      </c>
      <c r="I15" s="390">
        <v>0.5</v>
      </c>
      <c r="J15" s="390">
        <v>2</v>
      </c>
      <c r="K15" s="379"/>
      <c r="L15" s="380">
        <v>1.4</v>
      </c>
      <c r="M15" s="367"/>
      <c r="N15" s="367"/>
      <c r="O15" s="71"/>
      <c r="P15" s="1195"/>
      <c r="Q15" s="1155"/>
      <c r="R15" s="395" t="s">
        <v>739</v>
      </c>
      <c r="S15" s="396" t="s">
        <v>738</v>
      </c>
      <c r="T15" s="1191"/>
      <c r="U15" s="1191"/>
      <c r="V15" s="1191"/>
      <c r="W15" s="1191"/>
      <c r="X15" s="1191"/>
      <c r="Y15" s="1191"/>
      <c r="Z15" s="1191"/>
      <c r="AA15" s="1191"/>
      <c r="AB15" s="1191"/>
      <c r="AC15" s="1193"/>
      <c r="AE15" s="1195"/>
      <c r="AF15" s="1155"/>
      <c r="AG15" s="395" t="s">
        <v>739</v>
      </c>
      <c r="AH15" s="396" t="s">
        <v>738</v>
      </c>
      <c r="AI15" s="1191"/>
      <c r="AJ15" s="1191"/>
      <c r="AK15" s="1191"/>
      <c r="AL15" s="1191"/>
      <c r="AM15" s="1191"/>
      <c r="AN15" s="1191"/>
      <c r="AO15" s="1191"/>
      <c r="AP15" s="1191"/>
      <c r="AQ15" s="1191"/>
      <c r="AR15" s="1193"/>
    </row>
    <row r="16" spans="1:44" outlineLevel="1">
      <c r="B16" s="383" t="s">
        <v>11</v>
      </c>
      <c r="C16" s="397">
        <v>20</v>
      </c>
      <c r="D16" s="397">
        <v>20</v>
      </c>
      <c r="E16" s="397">
        <v>20</v>
      </c>
      <c r="F16" s="397">
        <v>20</v>
      </c>
      <c r="G16" s="398">
        <v>15</v>
      </c>
      <c r="H16" s="398">
        <v>30</v>
      </c>
      <c r="I16" s="398">
        <v>15</v>
      </c>
      <c r="J16" s="398">
        <v>30</v>
      </c>
      <c r="K16" s="372"/>
      <c r="L16" s="373">
        <v>4</v>
      </c>
      <c r="M16" s="363"/>
      <c r="N16" s="363"/>
      <c r="P16" s="1195"/>
      <c r="Q16" s="1155"/>
      <c r="R16" s="395" t="s">
        <v>741</v>
      </c>
      <c r="S16" s="396"/>
      <c r="T16" s="1191"/>
      <c r="U16" s="1191"/>
      <c r="V16" s="1191"/>
      <c r="W16" s="1191"/>
      <c r="X16" s="1191"/>
      <c r="Y16" s="1191"/>
      <c r="Z16" s="1191"/>
      <c r="AA16" s="1191"/>
      <c r="AB16" s="1191"/>
      <c r="AC16" s="1193"/>
      <c r="AE16" s="1195"/>
      <c r="AF16" s="1155"/>
      <c r="AG16" s="395" t="s">
        <v>741</v>
      </c>
      <c r="AH16" s="629"/>
      <c r="AI16" s="1191"/>
      <c r="AJ16" s="1191"/>
      <c r="AK16" s="1191"/>
      <c r="AL16" s="1191"/>
      <c r="AM16" s="1191"/>
      <c r="AN16" s="1191"/>
      <c r="AO16" s="1191"/>
      <c r="AP16" s="1191"/>
      <c r="AQ16" s="1191"/>
      <c r="AR16" s="1193"/>
    </row>
    <row r="17" spans="1:44" ht="16" outlineLevel="1" thickBot="1">
      <c r="B17" s="376" t="s">
        <v>273</v>
      </c>
      <c r="C17" s="399">
        <v>0.5</v>
      </c>
      <c r="D17" s="399">
        <v>0.5</v>
      </c>
      <c r="E17" s="399">
        <v>0.5</v>
      </c>
      <c r="F17" s="399">
        <v>0.5</v>
      </c>
      <c r="G17" s="399">
        <v>0.3</v>
      </c>
      <c r="H17" s="399">
        <v>0.7</v>
      </c>
      <c r="I17" s="399">
        <v>0.3</v>
      </c>
      <c r="J17" s="399">
        <v>0.7</v>
      </c>
      <c r="K17" s="372"/>
      <c r="L17" s="400">
        <v>4</v>
      </c>
      <c r="M17" s="363"/>
      <c r="N17" s="363"/>
      <c r="P17" s="1195"/>
      <c r="Q17" s="1155"/>
      <c r="R17" s="395" t="s">
        <v>742</v>
      </c>
      <c r="S17" s="396" t="s">
        <v>738</v>
      </c>
      <c r="T17" s="1191"/>
      <c r="U17" s="1191"/>
      <c r="V17" s="1191"/>
      <c r="W17" s="1191"/>
      <c r="X17" s="1191"/>
      <c r="Y17" s="1191"/>
      <c r="Z17" s="1191"/>
      <c r="AA17" s="1191"/>
      <c r="AB17" s="1191"/>
      <c r="AC17" s="1193"/>
      <c r="AE17" s="1195"/>
      <c r="AF17" s="1155"/>
      <c r="AG17" s="395" t="s">
        <v>742</v>
      </c>
      <c r="AH17" s="396" t="s">
        <v>738</v>
      </c>
      <c r="AI17" s="1191"/>
      <c r="AJ17" s="1191"/>
      <c r="AK17" s="1191"/>
      <c r="AL17" s="1191"/>
      <c r="AM17" s="1191"/>
      <c r="AN17" s="1191"/>
      <c r="AO17" s="1191"/>
      <c r="AP17" s="1191"/>
      <c r="AQ17" s="1191"/>
      <c r="AR17" s="1193"/>
    </row>
    <row r="18" spans="1:44" ht="16" outlineLevel="1" thickBot="1">
      <c r="B18" s="401" t="s">
        <v>743</v>
      </c>
      <c r="C18" s="402"/>
      <c r="D18" s="403"/>
      <c r="E18" s="404"/>
      <c r="F18" s="405"/>
      <c r="G18" s="406"/>
      <c r="H18" s="406"/>
      <c r="I18" s="406"/>
      <c r="J18" s="406"/>
      <c r="K18" s="407"/>
      <c r="L18" s="408"/>
      <c r="M18" s="363"/>
      <c r="N18" s="363"/>
      <c r="P18" s="1195"/>
      <c r="Q18" s="1156"/>
      <c r="R18" s="409" t="s">
        <v>863</v>
      </c>
      <c r="S18" s="410" t="s">
        <v>738</v>
      </c>
      <c r="T18" s="1192"/>
      <c r="U18" s="1192"/>
      <c r="V18" s="1192"/>
      <c r="W18" s="1192"/>
      <c r="X18" s="1192"/>
      <c r="Y18" s="1192"/>
      <c r="Z18" s="1192"/>
      <c r="AA18" s="1192"/>
      <c r="AB18" s="1192"/>
      <c r="AC18" s="1194"/>
      <c r="AE18" s="1195"/>
      <c r="AF18" s="1156"/>
      <c r="AG18" s="409" t="s">
        <v>863</v>
      </c>
      <c r="AH18" s="410" t="s">
        <v>738</v>
      </c>
      <c r="AI18" s="1192"/>
      <c r="AJ18" s="1192"/>
      <c r="AK18" s="1192"/>
      <c r="AL18" s="1192"/>
      <c r="AM18" s="1192"/>
      <c r="AN18" s="1192"/>
      <c r="AO18" s="1192"/>
      <c r="AP18" s="1192"/>
      <c r="AQ18" s="1192"/>
      <c r="AR18" s="1194"/>
    </row>
    <row r="19" spans="1:44" ht="33" outlineLevel="1" thickBot="1">
      <c r="B19" s="376" t="s">
        <v>663</v>
      </c>
      <c r="C19" s="390">
        <v>10</v>
      </c>
      <c r="D19" s="390">
        <v>10</v>
      </c>
      <c r="E19" s="390">
        <v>10</v>
      </c>
      <c r="F19" s="390">
        <v>10</v>
      </c>
      <c r="G19" s="391"/>
      <c r="H19" s="391"/>
      <c r="I19" s="391"/>
      <c r="J19" s="391"/>
      <c r="K19" s="379"/>
      <c r="L19" s="380">
        <v>4</v>
      </c>
      <c r="M19" s="363"/>
      <c r="N19" s="363"/>
      <c r="P19" s="1196"/>
      <c r="Q19" s="411" t="s">
        <v>745</v>
      </c>
      <c r="R19" s="412" t="s">
        <v>746</v>
      </c>
      <c r="S19" s="630" t="s">
        <v>738</v>
      </c>
      <c r="T19" s="416">
        <v>1</v>
      </c>
      <c r="U19" s="415">
        <v>1</v>
      </c>
      <c r="V19" s="416">
        <v>1</v>
      </c>
      <c r="W19" s="415">
        <v>1</v>
      </c>
      <c r="X19" s="416">
        <v>1</v>
      </c>
      <c r="Y19" s="415">
        <v>1</v>
      </c>
      <c r="Z19" s="416">
        <v>1</v>
      </c>
      <c r="AA19" s="415">
        <v>1</v>
      </c>
      <c r="AB19" s="416">
        <v>1</v>
      </c>
      <c r="AC19" s="417">
        <v>1</v>
      </c>
      <c r="AE19" s="1196"/>
      <c r="AF19" s="411" t="s">
        <v>745</v>
      </c>
      <c r="AG19" s="1249" t="s">
        <v>746</v>
      </c>
      <c r="AH19" s="1250" t="s">
        <v>738</v>
      </c>
      <c r="AI19" s="416">
        <v>1</v>
      </c>
      <c r="AJ19" s="415">
        <v>1</v>
      </c>
      <c r="AK19" s="416">
        <v>1</v>
      </c>
      <c r="AL19" s="415">
        <v>1</v>
      </c>
      <c r="AM19" s="416">
        <v>1</v>
      </c>
      <c r="AN19" s="415">
        <v>1</v>
      </c>
      <c r="AO19" s="416">
        <v>1</v>
      </c>
      <c r="AP19" s="415">
        <v>1</v>
      </c>
      <c r="AQ19" s="416">
        <v>1</v>
      </c>
      <c r="AR19" s="417">
        <v>1</v>
      </c>
    </row>
    <row r="20" spans="1:44" outlineLevel="1">
      <c r="B20" s="376" t="s">
        <v>664</v>
      </c>
      <c r="C20" s="390">
        <v>0.25</v>
      </c>
      <c r="D20" s="390">
        <v>0.25</v>
      </c>
      <c r="E20" s="390">
        <v>0.25</v>
      </c>
      <c r="F20" s="390">
        <v>0.25</v>
      </c>
      <c r="G20" s="418"/>
      <c r="H20" s="418"/>
      <c r="I20" s="418"/>
      <c r="J20" s="418"/>
      <c r="K20" s="419"/>
      <c r="L20" s="380">
        <v>4</v>
      </c>
      <c r="M20" s="363"/>
      <c r="N20" s="363"/>
    </row>
    <row r="21" spans="1:44" outlineLevel="1">
      <c r="B21" s="376" t="s">
        <v>666</v>
      </c>
      <c r="C21" s="390">
        <v>1</v>
      </c>
      <c r="D21" s="390">
        <v>1</v>
      </c>
      <c r="E21" s="390">
        <v>1</v>
      </c>
      <c r="F21" s="390">
        <v>1</v>
      </c>
      <c r="G21" s="418"/>
      <c r="H21" s="418"/>
      <c r="I21" s="418"/>
      <c r="J21" s="418"/>
      <c r="K21" s="419"/>
      <c r="L21" s="380">
        <v>1</v>
      </c>
      <c r="M21" s="420"/>
      <c r="N21" s="363"/>
    </row>
    <row r="22" spans="1:44" outlineLevel="1">
      <c r="B22" s="421" t="s">
        <v>12</v>
      </c>
      <c r="C22" s="399"/>
      <c r="D22" s="399"/>
      <c r="E22" s="399"/>
      <c r="F22" s="399"/>
      <c r="G22" s="422"/>
      <c r="H22" s="422"/>
      <c r="I22" s="422"/>
      <c r="J22" s="422"/>
      <c r="K22" s="423"/>
      <c r="L22" s="424"/>
      <c r="M22" s="420"/>
      <c r="N22" s="420"/>
    </row>
    <row r="23" spans="1:44" ht="38.25" customHeight="1" outlineLevel="1">
      <c r="B23" s="383" t="s">
        <v>843</v>
      </c>
      <c r="C23" s="1231" t="s">
        <v>669</v>
      </c>
      <c r="D23" s="1232"/>
      <c r="E23" s="1232"/>
      <c r="F23" s="1233"/>
      <c r="G23" s="422"/>
      <c r="H23" s="425"/>
      <c r="I23" s="425"/>
      <c r="J23" s="425"/>
      <c r="K23" s="426"/>
      <c r="L23" s="427"/>
      <c r="M23" s="428"/>
      <c r="N23" s="428"/>
    </row>
    <row r="24" spans="1:44" outlineLevel="1">
      <c r="B24" s="383" t="s">
        <v>749</v>
      </c>
      <c r="C24" s="1234"/>
      <c r="D24" s="1235"/>
      <c r="E24" s="1235"/>
      <c r="F24" s="1236"/>
      <c r="G24" s="425"/>
      <c r="H24" s="425"/>
      <c r="I24" s="425"/>
      <c r="J24" s="425"/>
      <c r="K24" s="423"/>
      <c r="L24" s="427"/>
      <c r="M24" s="428"/>
      <c r="N24" s="428"/>
    </row>
    <row r="25" spans="1:44" outlineLevel="1">
      <c r="B25" s="383" t="s">
        <v>844</v>
      </c>
      <c r="C25" s="1234"/>
      <c r="D25" s="1235"/>
      <c r="E25" s="1235"/>
      <c r="F25" s="1236"/>
      <c r="G25" s="425"/>
      <c r="H25" s="425"/>
      <c r="I25" s="425"/>
      <c r="J25" s="425"/>
      <c r="K25" s="423"/>
      <c r="L25" s="427"/>
      <c r="M25" s="428"/>
      <c r="N25" s="428"/>
    </row>
    <row r="26" spans="1:44" outlineLevel="1">
      <c r="B26" s="383" t="s">
        <v>366</v>
      </c>
      <c r="C26" s="1234"/>
      <c r="D26" s="1235"/>
      <c r="E26" s="1235"/>
      <c r="F26" s="1236"/>
      <c r="G26" s="425"/>
      <c r="H26" s="425"/>
      <c r="I26" s="425"/>
      <c r="J26" s="425"/>
      <c r="K26" s="423"/>
      <c r="L26" s="427"/>
      <c r="M26" s="428"/>
      <c r="N26" s="428"/>
    </row>
    <row r="27" spans="1:44" ht="16" outlineLevel="1" thickBot="1">
      <c r="B27" s="429" t="s">
        <v>367</v>
      </c>
      <c r="C27" s="1237"/>
      <c r="D27" s="1238"/>
      <c r="E27" s="1238"/>
      <c r="F27" s="1239"/>
      <c r="G27" s="425"/>
      <c r="H27" s="425"/>
      <c r="I27" s="425"/>
      <c r="J27" s="425"/>
      <c r="K27" s="423"/>
      <c r="L27" s="427"/>
      <c r="M27" s="428"/>
      <c r="N27" s="428"/>
    </row>
    <row r="28" spans="1:44" ht="16" outlineLevel="1" thickBot="1">
      <c r="B28" s="431" t="s">
        <v>674</v>
      </c>
      <c r="C28" s="432"/>
      <c r="D28" s="403"/>
      <c r="E28" s="403"/>
      <c r="F28" s="433"/>
      <c r="G28" s="434"/>
      <c r="H28" s="406"/>
      <c r="I28" s="406"/>
      <c r="J28" s="406"/>
      <c r="K28" s="407"/>
      <c r="L28" s="408"/>
      <c r="M28" s="428"/>
      <c r="N28" s="428"/>
      <c r="AF28" s="691"/>
    </row>
    <row r="29" spans="1:44" ht="52" customHeight="1" outlineLevel="1">
      <c r="A29" s="435"/>
      <c r="B29" s="436" t="s">
        <v>751</v>
      </c>
      <c r="C29" s="511">
        <v>0.73</v>
      </c>
      <c r="D29" s="512">
        <v>0.65</v>
      </c>
      <c r="E29" s="512">
        <v>0.6</v>
      </c>
      <c r="F29" s="513">
        <v>0.57999999999999996</v>
      </c>
      <c r="G29" s="425"/>
      <c r="H29" s="425"/>
      <c r="I29" s="425"/>
      <c r="J29" s="425"/>
      <c r="K29" s="426"/>
      <c r="L29" s="440">
        <v>1</v>
      </c>
      <c r="M29" s="420"/>
      <c r="N29" s="420"/>
    </row>
    <row r="30" spans="1:44" outlineLevel="1">
      <c r="B30" s="441" t="s">
        <v>839</v>
      </c>
      <c r="C30" s="442">
        <v>60</v>
      </c>
      <c r="D30" s="442">
        <v>60</v>
      </c>
      <c r="E30" s="442">
        <v>60</v>
      </c>
      <c r="F30" s="442">
        <v>60</v>
      </c>
      <c r="G30" s="425"/>
      <c r="H30" s="425"/>
      <c r="I30" s="425"/>
      <c r="J30" s="425"/>
      <c r="K30" s="444" t="s">
        <v>76</v>
      </c>
      <c r="L30" s="373">
        <v>6</v>
      </c>
      <c r="M30" s="71"/>
      <c r="N30" s="420"/>
    </row>
    <row r="31" spans="1:44" outlineLevel="1">
      <c r="B31" s="441" t="s">
        <v>840</v>
      </c>
      <c r="C31" s="442">
        <v>40</v>
      </c>
      <c r="D31" s="442">
        <v>40</v>
      </c>
      <c r="E31" s="442">
        <v>40</v>
      </c>
      <c r="F31" s="442">
        <v>40</v>
      </c>
      <c r="G31" s="425"/>
      <c r="H31" s="425"/>
      <c r="I31" s="425"/>
      <c r="J31" s="425"/>
      <c r="K31" s="444" t="s">
        <v>25</v>
      </c>
      <c r="L31" s="373">
        <v>6</v>
      </c>
      <c r="M31" s="420"/>
      <c r="N31" s="420"/>
    </row>
    <row r="32" spans="1:44" outlineLevel="1">
      <c r="B32" s="383" t="s">
        <v>841</v>
      </c>
      <c r="C32" s="445">
        <v>2000</v>
      </c>
      <c r="D32" s="446">
        <v>2000</v>
      </c>
      <c r="E32" s="446">
        <v>2000</v>
      </c>
      <c r="F32" s="447">
        <v>2000</v>
      </c>
      <c r="G32" s="425"/>
      <c r="H32" s="425"/>
      <c r="I32" s="425"/>
      <c r="J32" s="425"/>
      <c r="K32" s="448"/>
      <c r="L32" s="373">
        <v>4.5</v>
      </c>
      <c r="M32" s="420"/>
      <c r="N32" s="420"/>
    </row>
    <row r="33" spans="2:30" ht="37" customHeight="1" outlineLevel="1" thickBot="1">
      <c r="B33" s="383" t="s">
        <v>679</v>
      </c>
      <c r="C33" s="449">
        <f>SUM(C34:C35)</f>
        <v>3.26</v>
      </c>
      <c r="D33" s="449">
        <f>SUM(D34:D35)</f>
        <v>3.2</v>
      </c>
      <c r="E33" s="449">
        <f>(D33+F33)/2</f>
        <v>3.16</v>
      </c>
      <c r="F33" s="449">
        <f>SUM(F34:F35)</f>
        <v>3.12</v>
      </c>
      <c r="G33" s="425"/>
      <c r="H33" s="425"/>
      <c r="I33" s="425"/>
      <c r="J33" s="425"/>
      <c r="K33" s="448"/>
      <c r="L33" s="373">
        <v>4</v>
      </c>
      <c r="M33" s="450"/>
      <c r="N33" s="361"/>
      <c r="P33" s="1142">
        <f>C33</f>
        <v>3.26</v>
      </c>
      <c r="Q33" s="1143"/>
      <c r="R33" s="1143"/>
      <c r="S33" s="1143"/>
      <c r="T33" s="1143"/>
      <c r="U33" s="1144"/>
    </row>
    <row r="34" spans="2:30" ht="15.75" customHeight="1" outlineLevel="1" thickBot="1">
      <c r="B34" s="451" t="s">
        <v>758</v>
      </c>
      <c r="C34" s="452">
        <f>C13/100*73</f>
        <v>1.46</v>
      </c>
      <c r="D34" s="452">
        <f>D13/100*75</f>
        <v>1.5</v>
      </c>
      <c r="E34" s="452">
        <f>E13/100*76</f>
        <v>1.52</v>
      </c>
      <c r="F34" s="452">
        <f>F13/100*76</f>
        <v>1.52</v>
      </c>
      <c r="G34" s="453"/>
      <c r="H34" s="453"/>
      <c r="I34" s="453"/>
      <c r="J34" s="453"/>
      <c r="K34" s="379" t="s">
        <v>33</v>
      </c>
      <c r="L34" s="380">
        <v>4</v>
      </c>
      <c r="M34" s="450"/>
      <c r="N34" s="361"/>
      <c r="P34" s="1134">
        <f>C34</f>
        <v>1.46</v>
      </c>
      <c r="Q34" s="1135"/>
      <c r="R34" s="1135"/>
      <c r="S34" s="1135"/>
      <c r="T34" s="1135"/>
      <c r="U34" s="1136"/>
    </row>
    <row r="35" spans="2:30" outlineLevel="1">
      <c r="B35" s="451" t="s">
        <v>759</v>
      </c>
      <c r="C35" s="454">
        <v>1.8</v>
      </c>
      <c r="D35" s="454">
        <v>1.7</v>
      </c>
      <c r="E35" s="454">
        <f>(D35+F35)/2</f>
        <v>1.65</v>
      </c>
      <c r="F35" s="454">
        <v>1.6</v>
      </c>
      <c r="G35" s="453"/>
      <c r="H35" s="453"/>
      <c r="I35" s="453"/>
      <c r="J35" s="453"/>
      <c r="K35" s="455"/>
      <c r="L35" s="380">
        <v>4</v>
      </c>
      <c r="M35" s="363"/>
      <c r="N35" s="363"/>
      <c r="P35" s="53" t="s">
        <v>357</v>
      </c>
    </row>
    <row r="36" spans="2:30" ht="30" outlineLevel="1">
      <c r="B36" s="441"/>
      <c r="C36" s="642"/>
      <c r="D36" s="642"/>
      <c r="E36" s="642"/>
      <c r="F36" s="642"/>
      <c r="G36" s="425"/>
      <c r="H36" s="425"/>
      <c r="I36" s="425"/>
      <c r="J36" s="425"/>
      <c r="K36" s="444"/>
      <c r="L36" s="424"/>
      <c r="M36" s="367"/>
      <c r="N36" s="367"/>
      <c r="P36" s="46" t="s">
        <v>335</v>
      </c>
      <c r="Q36" s="46" t="s">
        <v>336</v>
      </c>
      <c r="R36" s="47" t="s">
        <v>337</v>
      </c>
      <c r="S36" s="47" t="s">
        <v>338</v>
      </c>
      <c r="T36" s="47" t="s">
        <v>339</v>
      </c>
      <c r="U36" s="48" t="s">
        <v>340</v>
      </c>
      <c r="V36" s="49" t="s">
        <v>341</v>
      </c>
      <c r="W36" s="49" t="s">
        <v>342</v>
      </c>
      <c r="X36" s="49" t="s">
        <v>343</v>
      </c>
      <c r="Y36" s="49" t="s">
        <v>344</v>
      </c>
      <c r="Z36" s="49" t="s">
        <v>345</v>
      </c>
      <c r="AA36" s="49" t="s">
        <v>346</v>
      </c>
      <c r="AB36" s="49" t="s">
        <v>347</v>
      </c>
      <c r="AC36" s="49" t="s">
        <v>348</v>
      </c>
      <c r="AD36" s="49" t="s">
        <v>349</v>
      </c>
    </row>
    <row r="37" spans="2:30" ht="35" customHeight="1" outlineLevel="1" thickBot="1">
      <c r="B37" s="441"/>
      <c r="C37" s="442"/>
      <c r="D37" s="457"/>
      <c r="E37" s="457"/>
      <c r="F37" s="458"/>
      <c r="G37" s="425"/>
      <c r="H37" s="425"/>
      <c r="I37" s="425"/>
      <c r="J37" s="425"/>
      <c r="K37" s="448"/>
      <c r="L37" s="424"/>
      <c r="M37" s="363"/>
      <c r="N37" s="363"/>
      <c r="P37" s="50"/>
      <c r="Q37" s="50"/>
      <c r="R37" s="51"/>
      <c r="S37" s="51"/>
      <c r="T37" s="51"/>
      <c r="U37" s="51" t="s">
        <v>760</v>
      </c>
      <c r="V37" s="50" t="s">
        <v>761</v>
      </c>
      <c r="W37" s="50"/>
      <c r="X37" s="50"/>
      <c r="Y37" s="50"/>
      <c r="Z37" s="50"/>
      <c r="AA37" s="50"/>
      <c r="AB37" s="50"/>
      <c r="AC37" s="50"/>
      <c r="AD37" s="50"/>
    </row>
    <row r="38" spans="2:30" ht="73" customHeight="1" outlineLevel="1" thickBot="1">
      <c r="B38" s="401" t="s">
        <v>682</v>
      </c>
      <c r="C38" s="402"/>
      <c r="D38" s="403"/>
      <c r="E38" s="404"/>
      <c r="F38" s="405"/>
      <c r="G38" s="406"/>
      <c r="H38" s="406"/>
      <c r="I38" s="406"/>
      <c r="J38" s="406"/>
      <c r="K38" s="459"/>
      <c r="L38" s="460"/>
      <c r="M38" s="363"/>
      <c r="N38" s="363"/>
      <c r="O38" s="461" t="s">
        <v>732</v>
      </c>
      <c r="P38" s="56"/>
      <c r="Q38" s="56"/>
      <c r="R38" s="57"/>
      <c r="S38" s="57"/>
      <c r="T38" s="57"/>
      <c r="U38" s="56" t="s">
        <v>350</v>
      </c>
      <c r="V38" s="56" t="s">
        <v>326</v>
      </c>
      <c r="W38" s="56" t="s">
        <v>327</v>
      </c>
      <c r="X38" s="56" t="s">
        <v>351</v>
      </c>
      <c r="Y38" s="56" t="s">
        <v>351</v>
      </c>
      <c r="Z38" s="56" t="s">
        <v>352</v>
      </c>
      <c r="AA38" s="56" t="s">
        <v>352</v>
      </c>
      <c r="AB38" s="56" t="s">
        <v>352</v>
      </c>
      <c r="AC38" s="56" t="s">
        <v>352</v>
      </c>
      <c r="AD38" s="56" t="s">
        <v>352</v>
      </c>
    </row>
    <row r="39" spans="2:30" outlineLevel="1">
      <c r="B39" s="451" t="s">
        <v>762</v>
      </c>
      <c r="C39" s="633">
        <f>C29*0.2</f>
        <v>0.14599999999999999</v>
      </c>
      <c r="D39" s="633">
        <f>D29*0.2</f>
        <v>0.13</v>
      </c>
      <c r="E39" s="633">
        <f>E29*0.2</f>
        <v>0.12</v>
      </c>
      <c r="F39" s="633">
        <f>F29*0.2</f>
        <v>0.11599999999999999</v>
      </c>
      <c r="G39" s="643"/>
      <c r="H39" s="643"/>
      <c r="I39" s="643"/>
      <c r="J39" s="643"/>
      <c r="K39" s="643" t="s">
        <v>51</v>
      </c>
      <c r="L39" s="464"/>
      <c r="M39" s="363"/>
      <c r="N39" s="363"/>
      <c r="O39" s="465">
        <f>($C$12*$Y$14+O111*Y$86+O183*$Y$158)/(SUM($Y$14,$Y$86,$Y$158))</f>
        <v>447.54761904761898</v>
      </c>
      <c r="P39" s="466">
        <f>C8</f>
        <v>2020</v>
      </c>
      <c r="Q39" s="58">
        <f>P39</f>
        <v>2020</v>
      </c>
      <c r="R39" s="466">
        <f>O39/100</f>
        <v>4.4754761904761899</v>
      </c>
      <c r="S39" s="58"/>
      <c r="T39" s="466">
        <f>C16</f>
        <v>20</v>
      </c>
      <c r="U39" s="467">
        <f>C46</f>
        <v>5438.5</v>
      </c>
      <c r="V39" s="467">
        <f>C48</f>
        <v>14.9</v>
      </c>
      <c r="W39" s="690">
        <f>C49</f>
        <v>6.7463888888888883</v>
      </c>
      <c r="X39" s="58"/>
      <c r="Y39" s="58"/>
      <c r="Z39" s="466" t="str">
        <f>C23</f>
        <v>Cf. the utilized electricity</v>
      </c>
      <c r="AA39" s="468">
        <f>C25</f>
        <v>0</v>
      </c>
      <c r="AB39" s="468">
        <f>C26</f>
        <v>0</v>
      </c>
      <c r="AC39" s="468">
        <f>C27</f>
        <v>0</v>
      </c>
      <c r="AD39" s="468">
        <f>C24</f>
        <v>0</v>
      </c>
    </row>
    <row r="40" spans="2:30" ht="14.5" customHeight="1" outlineLevel="1">
      <c r="B40" s="376" t="s">
        <v>763</v>
      </c>
      <c r="C40" s="469" t="s">
        <v>36</v>
      </c>
      <c r="D40" s="470" t="s">
        <v>36</v>
      </c>
      <c r="E40" s="470" t="s">
        <v>36</v>
      </c>
      <c r="F40" s="471" t="s">
        <v>36</v>
      </c>
      <c r="G40" s="471"/>
      <c r="H40" s="471"/>
      <c r="I40" s="471"/>
      <c r="J40" s="471"/>
      <c r="K40" s="472"/>
      <c r="L40" s="464"/>
      <c r="M40" s="363"/>
      <c r="N40" s="363"/>
      <c r="O40" s="465">
        <f>($D$12*$U$14+O112*U$86+O184*$U$158)/(SUM($U$14,$U$86,$U$158))</f>
        <v>457.92982142857136</v>
      </c>
      <c r="P40" s="466">
        <f>D8</f>
        <v>2030</v>
      </c>
      <c r="Q40" s="58"/>
      <c r="R40" s="466">
        <f>O40/100</f>
        <v>4.5792982142857133</v>
      </c>
      <c r="S40" s="58"/>
      <c r="T40" s="466">
        <f>D16</f>
        <v>20</v>
      </c>
      <c r="U40" s="467">
        <f>D46</f>
        <v>4842.5</v>
      </c>
      <c r="V40" s="467">
        <f>D48</f>
        <v>14.9</v>
      </c>
      <c r="W40" s="690">
        <f>D49</f>
        <v>6.6222222222222227</v>
      </c>
      <c r="X40" s="58"/>
      <c r="Y40" s="58"/>
      <c r="Z40" s="466">
        <f>D23</f>
        <v>0</v>
      </c>
      <c r="AA40" s="468">
        <f>D25</f>
        <v>0</v>
      </c>
      <c r="AB40" s="468">
        <f>D26</f>
        <v>0</v>
      </c>
      <c r="AC40" s="468">
        <f>D27</f>
        <v>0</v>
      </c>
      <c r="AD40" s="468">
        <f>D24</f>
        <v>0</v>
      </c>
    </row>
    <row r="41" spans="2:30" outlineLevel="1">
      <c r="B41" s="376" t="s">
        <v>764</v>
      </c>
      <c r="C41" s="469" t="s">
        <v>36</v>
      </c>
      <c r="D41" s="470" t="s">
        <v>36</v>
      </c>
      <c r="E41" s="470" t="s">
        <v>36</v>
      </c>
      <c r="F41" s="471" t="s">
        <v>36</v>
      </c>
      <c r="G41" s="453"/>
      <c r="H41" s="453"/>
      <c r="I41" s="453"/>
      <c r="J41" s="453"/>
      <c r="K41" s="453"/>
      <c r="L41" s="380"/>
      <c r="M41" s="363"/>
      <c r="N41" s="363"/>
      <c r="O41" s="465">
        <f>($E$12*$U$14+O113*U$86+O185*$U$158)/(SUM($U$14,$U$86,$U$158))</f>
        <v>467.18841785714284</v>
      </c>
      <c r="P41" s="466">
        <f>E8</f>
        <v>2040</v>
      </c>
      <c r="Q41" s="58"/>
      <c r="R41" s="466">
        <f>O41/100</f>
        <v>4.6718841785714282</v>
      </c>
      <c r="S41" s="58"/>
      <c r="T41" s="466">
        <f>E16</f>
        <v>20</v>
      </c>
      <c r="U41" s="467">
        <f>E46</f>
        <v>4470</v>
      </c>
      <c r="V41" s="467">
        <f>E48</f>
        <v>14.9</v>
      </c>
      <c r="W41" s="690">
        <f>E49</f>
        <v>6.5394444444444444</v>
      </c>
      <c r="X41" s="58"/>
      <c r="Y41" s="58"/>
      <c r="Z41" s="466">
        <f>E23</f>
        <v>0</v>
      </c>
      <c r="AA41" s="468">
        <f>E25</f>
        <v>0</v>
      </c>
      <c r="AB41" s="468">
        <f>E26</f>
        <v>0</v>
      </c>
      <c r="AC41" s="468">
        <f>E27</f>
        <v>0</v>
      </c>
      <c r="AD41" s="468">
        <f>E24</f>
        <v>0</v>
      </c>
    </row>
    <row r="42" spans="2:30" ht="14.5" customHeight="1" outlineLevel="1">
      <c r="B42" s="376" t="s">
        <v>765</v>
      </c>
      <c r="C42" s="1240" t="s">
        <v>669</v>
      </c>
      <c r="D42" s="1241"/>
      <c r="E42" s="1241"/>
      <c r="F42" s="1242"/>
      <c r="G42" s="474"/>
      <c r="H42" s="474"/>
      <c r="I42" s="474"/>
      <c r="J42" s="474"/>
      <c r="K42" s="474"/>
      <c r="L42" s="380"/>
      <c r="M42" s="363"/>
      <c r="N42" s="363"/>
      <c r="O42" s="465">
        <f>($F$12*$U$14+O114*U$86+O186*$U$158)/(SUM($U$14,$U$86,$U$158))</f>
        <v>471.91030203571421</v>
      </c>
      <c r="P42" s="466">
        <f>F8</f>
        <v>2050</v>
      </c>
      <c r="Q42" s="58"/>
      <c r="R42" s="466">
        <f>O42/100</f>
        <v>4.7191030203571422</v>
      </c>
      <c r="S42" s="58"/>
      <c r="T42" s="466">
        <f>F16</f>
        <v>20</v>
      </c>
      <c r="U42" s="467">
        <f>F46</f>
        <v>4321</v>
      </c>
      <c r="V42" s="467">
        <f>F48</f>
        <v>14.9</v>
      </c>
      <c r="W42" s="690">
        <f>F49</f>
        <v>6.4566666666666661</v>
      </c>
      <c r="X42" s="58"/>
      <c r="Y42" s="58"/>
      <c r="Z42" s="466">
        <f>F23</f>
        <v>0</v>
      </c>
      <c r="AA42" s="468">
        <f>F25</f>
        <v>0</v>
      </c>
      <c r="AB42" s="468">
        <f>F26</f>
        <v>0</v>
      </c>
      <c r="AC42" s="468">
        <f>F27</f>
        <v>0</v>
      </c>
      <c r="AD42" s="468">
        <f>F24</f>
        <v>0</v>
      </c>
    </row>
    <row r="43" spans="2:30" outlineLevel="1">
      <c r="B43" s="475" t="s">
        <v>766</v>
      </c>
      <c r="C43" s="469">
        <v>30</v>
      </c>
      <c r="D43" s="470">
        <v>30</v>
      </c>
      <c r="E43" s="470">
        <v>30</v>
      </c>
      <c r="F43" s="471">
        <v>30</v>
      </c>
      <c r="G43" s="474"/>
      <c r="H43" s="474"/>
      <c r="I43" s="474"/>
      <c r="J43" s="474"/>
      <c r="K43" s="474" t="s">
        <v>52</v>
      </c>
      <c r="L43" s="476"/>
      <c r="M43" s="367"/>
      <c r="N43" s="367"/>
    </row>
    <row r="44" spans="2:30" outlineLevel="1">
      <c r="B44" s="475" t="s">
        <v>767</v>
      </c>
      <c r="C44" s="469">
        <v>20</v>
      </c>
      <c r="D44" s="470">
        <v>20</v>
      </c>
      <c r="E44" s="470">
        <v>20</v>
      </c>
      <c r="F44" s="471">
        <v>20</v>
      </c>
      <c r="G44" s="474"/>
      <c r="H44" s="474"/>
      <c r="I44" s="474"/>
      <c r="J44" s="474"/>
      <c r="K44" s="474" t="s">
        <v>52</v>
      </c>
      <c r="L44" s="476"/>
      <c r="M44" s="363"/>
      <c r="N44" s="363"/>
    </row>
    <row r="45" spans="2:30" ht="16" outlineLevel="1" thickBot="1">
      <c r="B45" s="477" t="s">
        <v>768</v>
      </c>
      <c r="C45" s="478" t="s">
        <v>36</v>
      </c>
      <c r="D45" s="479" t="s">
        <v>36</v>
      </c>
      <c r="E45" s="479" t="s">
        <v>36</v>
      </c>
      <c r="F45" s="480" t="s">
        <v>36</v>
      </c>
      <c r="G45" s="481"/>
      <c r="H45" s="481"/>
      <c r="I45" s="481"/>
      <c r="J45" s="481"/>
      <c r="K45" s="481"/>
      <c r="L45" s="482"/>
      <c r="M45" s="363"/>
      <c r="N45" s="363"/>
    </row>
    <row r="46" spans="2:30" ht="64" outlineLevel="1">
      <c r="B46" s="461" t="s">
        <v>769</v>
      </c>
      <c r="C46" s="483">
        <f>C29*$F$4*1000</f>
        <v>5438.5</v>
      </c>
      <c r="D46" s="483">
        <f t="shared" ref="D46:F46" si="1">D29*$F$4*1000</f>
        <v>4842.5</v>
      </c>
      <c r="E46" s="483">
        <f t="shared" si="1"/>
        <v>4470</v>
      </c>
      <c r="F46" s="483">
        <f t="shared" si="1"/>
        <v>4321</v>
      </c>
      <c r="G46" s="483"/>
      <c r="H46" s="484"/>
      <c r="I46" s="420" t="s">
        <v>332</v>
      </c>
      <c r="J46" s="420"/>
      <c r="K46" s="484"/>
      <c r="L46" s="484"/>
      <c r="N46" s="420"/>
    </row>
    <row r="47" spans="2:30" outlineLevel="1">
      <c r="B47" s="485" t="s">
        <v>770</v>
      </c>
      <c r="C47" s="486">
        <f>C46*$I47</f>
        <v>2719250</v>
      </c>
      <c r="D47" s="486">
        <f>D46*$I47</f>
        <v>2421250</v>
      </c>
      <c r="E47" s="486">
        <f>E46*$I47</f>
        <v>2235000</v>
      </c>
      <c r="F47" s="486">
        <f>F46*$I47</f>
        <v>2160500</v>
      </c>
      <c r="G47" s="486"/>
      <c r="H47" s="484"/>
      <c r="I47" s="71">
        <v>500</v>
      </c>
      <c r="J47" s="420" t="s">
        <v>330</v>
      </c>
      <c r="K47" s="484"/>
      <c r="L47" s="484"/>
      <c r="N47" s="420"/>
    </row>
    <row r="48" spans="2:30" ht="48" outlineLevel="1">
      <c r="B48" s="461" t="s">
        <v>845</v>
      </c>
      <c r="C48" s="359">
        <f>C32*$F$4/1000</f>
        <v>14.9</v>
      </c>
      <c r="D48" s="359">
        <f t="shared" ref="D48:F48" si="2">D32*$F$4/1000</f>
        <v>14.9</v>
      </c>
      <c r="E48" s="359">
        <f t="shared" si="2"/>
        <v>14.9</v>
      </c>
      <c r="F48" s="359">
        <f t="shared" si="2"/>
        <v>14.9</v>
      </c>
      <c r="G48" s="359"/>
      <c r="I48" s="420" t="s">
        <v>333</v>
      </c>
      <c r="J48" s="420"/>
      <c r="N48" s="420"/>
    </row>
    <row r="49" spans="2:14" ht="48" outlineLevel="1">
      <c r="B49" s="461" t="s">
        <v>846</v>
      </c>
      <c r="C49" s="487">
        <f>C33*$F$4/3.6</f>
        <v>6.7463888888888883</v>
      </c>
      <c r="D49" s="487">
        <f t="shared" ref="D49:F49" si="3">D33*$F$4/3.6</f>
        <v>6.6222222222222227</v>
      </c>
      <c r="E49" s="487">
        <f t="shared" si="3"/>
        <v>6.5394444444444444</v>
      </c>
      <c r="F49" s="487">
        <f t="shared" si="3"/>
        <v>6.4566666666666661</v>
      </c>
      <c r="G49" s="359"/>
      <c r="M49" s="420"/>
      <c r="N49" s="420"/>
    </row>
    <row r="50" spans="2:14" outlineLevel="1"/>
    <row r="51" spans="2:14" outlineLevel="1"/>
    <row r="52" spans="2:14" outlineLevel="1"/>
    <row r="53" spans="2:14" outlineLevel="1"/>
    <row r="54" spans="2:14" outlineLevel="1">
      <c r="E54" s="358"/>
      <c r="F54" s="358"/>
      <c r="G54" s="358"/>
      <c r="H54" s="358"/>
      <c r="I54" s="358"/>
      <c r="J54" s="358"/>
      <c r="K54" s="358"/>
      <c r="L54" s="358"/>
    </row>
    <row r="55" spans="2:14" outlineLevel="1">
      <c r="B55" s="634" t="s">
        <v>773</v>
      </c>
      <c r="C55" s="490"/>
      <c r="D55" s="490"/>
      <c r="E55" s="358"/>
      <c r="F55" s="358"/>
      <c r="G55" s="358"/>
      <c r="H55" s="358"/>
      <c r="I55" s="358"/>
      <c r="J55" s="358"/>
      <c r="K55" s="358"/>
      <c r="L55" s="358"/>
    </row>
    <row r="56" spans="2:14" outlineLevel="1">
      <c r="B56" s="358">
        <v>1</v>
      </c>
      <c r="C56" s="635" t="s">
        <v>847</v>
      </c>
      <c r="D56" s="490"/>
      <c r="F56" s="358"/>
      <c r="G56" s="358"/>
      <c r="H56" s="358"/>
      <c r="I56" s="358"/>
      <c r="J56" s="358"/>
      <c r="K56" s="358"/>
      <c r="L56" s="358"/>
    </row>
    <row r="57" spans="2:14" outlineLevel="1">
      <c r="B57" s="358">
        <v>2</v>
      </c>
      <c r="C57" s="635" t="s">
        <v>848</v>
      </c>
      <c r="D57" s="490"/>
      <c r="F57" s="358"/>
      <c r="G57" s="358"/>
      <c r="H57" s="358"/>
      <c r="I57" s="358"/>
      <c r="J57" s="358"/>
      <c r="K57" s="358"/>
      <c r="L57" s="358"/>
    </row>
    <row r="58" spans="2:14" outlineLevel="1">
      <c r="B58" s="358">
        <v>3</v>
      </c>
      <c r="C58" s="490" t="s">
        <v>849</v>
      </c>
      <c r="D58" s="490"/>
      <c r="F58" s="358"/>
      <c r="G58" s="358"/>
      <c r="H58" s="358"/>
      <c r="I58" s="358"/>
      <c r="J58" s="358"/>
      <c r="K58" s="358"/>
      <c r="L58" s="358"/>
    </row>
    <row r="59" spans="2:14" outlineLevel="1">
      <c r="B59" s="358">
        <v>4</v>
      </c>
      <c r="C59" s="490" t="s">
        <v>850</v>
      </c>
      <c r="D59" s="490"/>
      <c r="F59" s="358"/>
      <c r="G59" s="358"/>
      <c r="H59" s="358"/>
      <c r="I59" s="358"/>
      <c r="J59" s="358"/>
      <c r="K59" s="358"/>
      <c r="L59" s="358"/>
    </row>
    <row r="60" spans="2:14" outlineLevel="1">
      <c r="B60" s="358">
        <v>5</v>
      </c>
      <c r="C60" s="636" t="s">
        <v>851</v>
      </c>
      <c r="D60" s="490"/>
      <c r="F60" s="358"/>
      <c r="G60" s="358"/>
      <c r="H60" s="358"/>
      <c r="I60" s="358"/>
      <c r="J60" s="358"/>
      <c r="K60" s="358"/>
      <c r="L60" s="358"/>
    </row>
    <row r="61" spans="2:14" outlineLevel="1">
      <c r="B61" s="358">
        <v>6</v>
      </c>
      <c r="C61" s="490" t="s">
        <v>852</v>
      </c>
      <c r="D61" s="490"/>
      <c r="F61" s="358"/>
      <c r="G61" s="358"/>
      <c r="H61" s="358"/>
      <c r="I61" s="358"/>
      <c r="J61" s="358"/>
      <c r="K61" s="358"/>
      <c r="L61" s="358"/>
    </row>
    <row r="62" spans="2:14" outlineLevel="1">
      <c r="B62" s="634" t="s">
        <v>783</v>
      </c>
      <c r="C62" s="358"/>
      <c r="D62" s="490"/>
      <c r="F62" s="358"/>
      <c r="G62" s="358"/>
      <c r="H62" s="358"/>
      <c r="I62" s="358"/>
      <c r="J62" s="358"/>
      <c r="K62" s="358"/>
      <c r="L62" s="358"/>
    </row>
    <row r="63" spans="2:14" outlineLevel="1">
      <c r="B63" s="637" t="s">
        <v>6</v>
      </c>
      <c r="C63" s="490" t="s">
        <v>853</v>
      </c>
      <c r="D63" s="490"/>
      <c r="F63" s="358"/>
      <c r="G63" s="358"/>
      <c r="H63" s="358"/>
      <c r="I63" s="358"/>
      <c r="J63" s="358"/>
      <c r="K63" s="358"/>
      <c r="L63" s="358"/>
    </row>
    <row r="64" spans="2:14" outlineLevel="1">
      <c r="B64" s="637" t="s">
        <v>59</v>
      </c>
      <c r="C64" s="490" t="s">
        <v>854</v>
      </c>
      <c r="D64" s="490"/>
      <c r="F64" s="358"/>
      <c r="G64" s="358"/>
      <c r="H64" s="358"/>
      <c r="I64" s="358"/>
      <c r="J64" s="358"/>
      <c r="K64" s="358"/>
      <c r="L64" s="358"/>
    </row>
    <row r="65" spans="1:44" outlineLevel="1">
      <c r="B65" s="637" t="s">
        <v>16</v>
      </c>
      <c r="C65" s="490" t="s">
        <v>855</v>
      </c>
      <c r="D65" s="490"/>
      <c r="F65" s="358"/>
      <c r="G65" s="358"/>
      <c r="H65" s="358"/>
      <c r="I65" s="358"/>
      <c r="J65" s="358"/>
      <c r="K65" s="358"/>
      <c r="L65" s="358"/>
    </row>
    <row r="66" spans="1:44" outlineLevel="1">
      <c r="B66" s="637" t="s">
        <v>20</v>
      </c>
      <c r="C66" s="490" t="s">
        <v>856</v>
      </c>
      <c r="D66" s="490"/>
      <c r="F66" s="358"/>
      <c r="G66" s="358"/>
      <c r="H66" s="358"/>
      <c r="I66" s="358"/>
      <c r="J66" s="358"/>
      <c r="K66" s="358"/>
      <c r="L66" s="358"/>
    </row>
    <row r="67" spans="1:44" outlineLevel="1">
      <c r="B67" s="637" t="s">
        <v>76</v>
      </c>
      <c r="C67" s="490" t="s">
        <v>857</v>
      </c>
      <c r="D67" s="490"/>
      <c r="F67" s="358"/>
      <c r="G67" s="358"/>
      <c r="H67" s="358"/>
      <c r="I67" s="358"/>
      <c r="J67" s="358"/>
      <c r="K67" s="358"/>
      <c r="L67" s="358"/>
    </row>
    <row r="68" spans="1:44" outlineLevel="1">
      <c r="B68" s="637" t="s">
        <v>25</v>
      </c>
      <c r="C68" s="490" t="s">
        <v>858</v>
      </c>
      <c r="D68" s="358"/>
      <c r="F68" s="358"/>
      <c r="G68" s="358"/>
      <c r="H68" s="358"/>
      <c r="I68" s="358"/>
      <c r="J68" s="358"/>
      <c r="K68" s="358"/>
      <c r="L68" s="358"/>
    </row>
    <row r="69" spans="1:44" outlineLevel="1">
      <c r="B69" s="637" t="s">
        <v>33</v>
      </c>
      <c r="C69" s="489" t="s">
        <v>788</v>
      </c>
      <c r="D69" s="358"/>
      <c r="F69" s="358"/>
      <c r="G69" s="358"/>
      <c r="H69" s="358"/>
      <c r="I69" s="358"/>
      <c r="J69" s="358"/>
      <c r="K69" s="358"/>
      <c r="L69" s="358"/>
    </row>
    <row r="70" spans="1:44" outlineLevel="1">
      <c r="B70" s="637" t="s">
        <v>51</v>
      </c>
      <c r="C70" s="490" t="s">
        <v>859</v>
      </c>
      <c r="D70" s="358"/>
      <c r="G70" s="358"/>
      <c r="H70" s="358"/>
      <c r="I70" s="358"/>
      <c r="J70" s="358"/>
      <c r="K70" s="358"/>
      <c r="L70" s="358"/>
    </row>
    <row r="71" spans="1:44" outlineLevel="1">
      <c r="B71" s="637" t="s">
        <v>52</v>
      </c>
      <c r="C71" s="490" t="s">
        <v>860</v>
      </c>
      <c r="E71" s="490"/>
      <c r="F71" s="490"/>
    </row>
    <row r="72" spans="1:44" outlineLevel="1"/>
    <row r="73" spans="1:44" outlineLevel="1"/>
    <row r="74" spans="1:44" outlineLevel="1"/>
    <row r="77" spans="1:44">
      <c r="A77" s="360" t="s">
        <v>864</v>
      </c>
      <c r="B77" s="1207"/>
      <c r="C77" s="1143"/>
      <c r="D77" s="1143"/>
      <c r="E77" s="1143"/>
      <c r="F77" s="1143"/>
      <c r="G77" s="1143"/>
      <c r="H77" s="1143"/>
      <c r="I77" s="1143"/>
      <c r="J77" s="1143"/>
      <c r="K77" s="1143"/>
      <c r="L77" s="1143"/>
      <c r="M77" s="1143"/>
      <c r="N77" s="689"/>
      <c r="P77" s="1143"/>
      <c r="Q77" s="1143"/>
      <c r="R77" s="1143"/>
      <c r="S77" s="1143"/>
      <c r="T77" s="1143"/>
      <c r="U77" s="1143"/>
    </row>
    <row r="78" spans="1:44" ht="16" outlineLevel="1" thickBot="1">
      <c r="B78" s="1207"/>
      <c r="C78" s="1143"/>
      <c r="D78" s="1143"/>
      <c r="E78" s="1143"/>
      <c r="F78" s="1143"/>
      <c r="G78" s="1143"/>
      <c r="H78" s="1143"/>
      <c r="I78" s="1143"/>
      <c r="J78" s="1143"/>
      <c r="K78" s="1143"/>
      <c r="L78" s="1143"/>
      <c r="M78" s="1143"/>
      <c r="N78" s="689"/>
      <c r="P78" s="1143"/>
      <c r="Q78" s="1143"/>
      <c r="R78" s="1143"/>
      <c r="S78" s="1143"/>
      <c r="T78" s="1143"/>
      <c r="U78" s="1143"/>
    </row>
    <row r="79" spans="1:44" ht="20.5" customHeight="1" outlineLevel="1" thickBot="1">
      <c r="B79" s="362" t="s">
        <v>0</v>
      </c>
      <c r="C79" s="1223" t="s">
        <v>862</v>
      </c>
      <c r="D79" s="1224"/>
      <c r="E79" s="1224"/>
      <c r="F79" s="1224"/>
      <c r="G79" s="1224"/>
      <c r="H79" s="1224"/>
      <c r="I79" s="1224"/>
      <c r="J79" s="1224"/>
      <c r="K79" s="1224"/>
      <c r="L79" s="1225"/>
      <c r="M79" s="363"/>
      <c r="N79" s="363"/>
      <c r="P79" s="364" t="s">
        <v>713</v>
      </c>
      <c r="Q79" s="365"/>
      <c r="R79" s="366"/>
      <c r="S79" s="1176" t="s">
        <v>714</v>
      </c>
      <c r="T79" s="1160" t="s">
        <v>715</v>
      </c>
      <c r="U79" s="1161"/>
      <c r="V79" s="1160" t="s">
        <v>716</v>
      </c>
      <c r="W79" s="1161"/>
      <c r="X79" s="1160" t="s">
        <v>717</v>
      </c>
      <c r="Y79" s="1161"/>
      <c r="Z79" s="1160" t="s">
        <v>718</v>
      </c>
      <c r="AA79" s="1161"/>
      <c r="AB79" s="1160" t="s">
        <v>719</v>
      </c>
      <c r="AC79" s="1161"/>
      <c r="AE79" s="364" t="s">
        <v>720</v>
      </c>
      <c r="AF79" s="365"/>
      <c r="AG79" s="366"/>
      <c r="AH79" s="1176" t="s">
        <v>714</v>
      </c>
      <c r="AI79" s="1160" t="s">
        <v>715</v>
      </c>
      <c r="AJ79" s="1161"/>
      <c r="AK79" s="1160" t="s">
        <v>716</v>
      </c>
      <c r="AL79" s="1161"/>
      <c r="AM79" s="1160" t="s">
        <v>717</v>
      </c>
      <c r="AN79" s="1161"/>
      <c r="AO79" s="1160" t="s">
        <v>718</v>
      </c>
      <c r="AP79" s="1161"/>
      <c r="AQ79" s="1160" t="s">
        <v>719</v>
      </c>
      <c r="AR79" s="1161"/>
    </row>
    <row r="80" spans="1:44" ht="15" customHeight="1" outlineLevel="1" thickBot="1">
      <c r="B80" s="1164" t="s">
        <v>4</v>
      </c>
      <c r="C80" s="1166">
        <v>2020</v>
      </c>
      <c r="D80" s="1166">
        <v>2030</v>
      </c>
      <c r="E80" s="1166">
        <v>2040</v>
      </c>
      <c r="F80" s="1166">
        <v>2050</v>
      </c>
      <c r="G80" s="1230" t="s">
        <v>721</v>
      </c>
      <c r="H80" s="1218"/>
      <c r="I80" s="1217" t="s">
        <v>648</v>
      </c>
      <c r="J80" s="1226"/>
      <c r="K80" s="1219" t="s">
        <v>2</v>
      </c>
      <c r="L80" s="1219" t="s">
        <v>3</v>
      </c>
      <c r="M80" s="367"/>
      <c r="N80" s="367"/>
      <c r="P80" s="1180" t="s">
        <v>0</v>
      </c>
      <c r="Q80" s="368"/>
      <c r="R80" s="368"/>
      <c r="S80" s="1177"/>
      <c r="T80" s="1162"/>
      <c r="U80" s="1163"/>
      <c r="V80" s="1162"/>
      <c r="W80" s="1163"/>
      <c r="X80" s="1162"/>
      <c r="Y80" s="1163"/>
      <c r="Z80" s="1162"/>
      <c r="AA80" s="1163"/>
      <c r="AB80" s="1162"/>
      <c r="AC80" s="1163"/>
      <c r="AE80" s="1180" t="s">
        <v>0</v>
      </c>
      <c r="AF80" s="368"/>
      <c r="AG80" s="368"/>
      <c r="AH80" s="1177"/>
      <c r="AI80" s="1162"/>
      <c r="AJ80" s="1163"/>
      <c r="AK80" s="1162"/>
      <c r="AL80" s="1163"/>
      <c r="AM80" s="1162"/>
      <c r="AN80" s="1163"/>
      <c r="AO80" s="1162"/>
      <c r="AP80" s="1163"/>
      <c r="AQ80" s="1162"/>
      <c r="AR80" s="1163"/>
    </row>
    <row r="81" spans="2:44" ht="15" customHeight="1" outlineLevel="1" thickBot="1">
      <c r="B81" s="1228"/>
      <c r="C81" s="1229"/>
      <c r="D81" s="1229"/>
      <c r="E81" s="1229"/>
      <c r="F81" s="1229"/>
      <c r="G81" s="369" t="s">
        <v>649</v>
      </c>
      <c r="H81" s="369" t="s">
        <v>650</v>
      </c>
      <c r="I81" s="369" t="s">
        <v>649</v>
      </c>
      <c r="J81" s="369" t="s">
        <v>650</v>
      </c>
      <c r="K81" s="1227"/>
      <c r="L81" s="1227"/>
      <c r="M81" s="370"/>
      <c r="N81" s="370"/>
      <c r="P81" s="1181"/>
      <c r="Q81" s="1183" t="s">
        <v>722</v>
      </c>
      <c r="R81" s="1184" t="s">
        <v>723</v>
      </c>
      <c r="S81" s="1178"/>
      <c r="T81" s="1162"/>
      <c r="U81" s="1163"/>
      <c r="V81" s="1162"/>
      <c r="W81" s="1163"/>
      <c r="X81" s="1162"/>
      <c r="Y81" s="1163"/>
      <c r="Z81" s="1162"/>
      <c r="AA81" s="1163"/>
      <c r="AB81" s="1162"/>
      <c r="AC81" s="1163"/>
      <c r="AE81" s="1181"/>
      <c r="AF81" s="1197" t="s">
        <v>722</v>
      </c>
      <c r="AG81" s="1184" t="s">
        <v>723</v>
      </c>
      <c r="AH81" s="1178"/>
      <c r="AI81" s="1162"/>
      <c r="AJ81" s="1163"/>
      <c r="AK81" s="1162"/>
      <c r="AL81" s="1163"/>
      <c r="AM81" s="1162"/>
      <c r="AN81" s="1163"/>
      <c r="AO81" s="1162"/>
      <c r="AP81" s="1163"/>
      <c r="AQ81" s="1162"/>
      <c r="AR81" s="1163"/>
    </row>
    <row r="82" spans="2:44" ht="33" outlineLevel="1" thickBot="1">
      <c r="B82" s="371" t="s">
        <v>651</v>
      </c>
      <c r="C82" s="372">
        <v>3</v>
      </c>
      <c r="D82" s="372">
        <v>3</v>
      </c>
      <c r="E82" s="372">
        <v>3</v>
      </c>
      <c r="F82" s="372">
        <v>3</v>
      </c>
      <c r="G82" s="372">
        <v>0.5</v>
      </c>
      <c r="H82" s="372">
        <v>5</v>
      </c>
      <c r="I82" s="372">
        <v>0.5</v>
      </c>
      <c r="J82" s="372">
        <v>5</v>
      </c>
      <c r="K82" s="372" t="s">
        <v>6</v>
      </c>
      <c r="L82" s="373" t="s">
        <v>837</v>
      </c>
      <c r="M82" s="370"/>
      <c r="N82" s="370"/>
      <c r="O82" s="74"/>
      <c r="P82" s="1182"/>
      <c r="Q82" s="1179"/>
      <c r="R82" s="1185"/>
      <c r="S82" s="1179"/>
      <c r="T82" s="374" t="s">
        <v>726</v>
      </c>
      <c r="U82" s="375" t="s">
        <v>727</v>
      </c>
      <c r="V82" s="374" t="s">
        <v>726</v>
      </c>
      <c r="W82" s="375" t="s">
        <v>727</v>
      </c>
      <c r="X82" s="374" t="s">
        <v>726</v>
      </c>
      <c r="Y82" s="375" t="s">
        <v>727</v>
      </c>
      <c r="Z82" s="374" t="s">
        <v>726</v>
      </c>
      <c r="AA82" s="375" t="s">
        <v>727</v>
      </c>
      <c r="AB82" s="374" t="s">
        <v>726</v>
      </c>
      <c r="AC82" s="375" t="s">
        <v>727</v>
      </c>
      <c r="AE82" s="1182"/>
      <c r="AF82" s="1198"/>
      <c r="AG82" s="1185"/>
      <c r="AH82" s="1179"/>
      <c r="AI82" s="374" t="s">
        <v>726</v>
      </c>
      <c r="AJ82" s="375" t="s">
        <v>727</v>
      </c>
      <c r="AK82" s="374" t="s">
        <v>726</v>
      </c>
      <c r="AL82" s="375" t="s">
        <v>727</v>
      </c>
      <c r="AM82" s="374" t="s">
        <v>726</v>
      </c>
      <c r="AN82" s="375" t="s">
        <v>727</v>
      </c>
      <c r="AO82" s="374" t="s">
        <v>726</v>
      </c>
      <c r="AP82" s="375" t="s">
        <v>727</v>
      </c>
      <c r="AQ82" s="374" t="s">
        <v>726</v>
      </c>
      <c r="AR82" s="375" t="s">
        <v>727</v>
      </c>
    </row>
    <row r="83" spans="2:44" ht="15" customHeight="1" outlineLevel="1">
      <c r="B83" s="376" t="s">
        <v>728</v>
      </c>
      <c r="C83" s="639">
        <v>447</v>
      </c>
      <c r="D83" s="639">
        <v>460.41</v>
      </c>
      <c r="E83" s="640">
        <v>469.61820000000006</v>
      </c>
      <c r="F83" s="639">
        <v>474.31438200000008</v>
      </c>
      <c r="G83" s="377">
        <f>C83</f>
        <v>447</v>
      </c>
      <c r="H83" s="639">
        <f>C83*1.05</f>
        <v>469.35</v>
      </c>
      <c r="I83" s="639">
        <f>F83*0.97</f>
        <v>460.08495054000008</v>
      </c>
      <c r="J83" s="639">
        <f>F83*1.02</f>
        <v>483.80066964000008</v>
      </c>
      <c r="K83" s="379" t="s">
        <v>59</v>
      </c>
      <c r="L83" s="380" t="s">
        <v>837</v>
      </c>
      <c r="M83" s="370"/>
      <c r="N83" s="370"/>
      <c r="P83" s="1199" t="str">
        <f>C79</f>
        <v>Heat pump, up to 70 °C, Temp lift = 50 K</v>
      </c>
      <c r="Q83" s="1154" t="s">
        <v>730</v>
      </c>
      <c r="R83" s="381" t="s">
        <v>731</v>
      </c>
      <c r="S83" s="382"/>
      <c r="T83" s="1137">
        <v>0</v>
      </c>
      <c r="U83" s="1151">
        <v>0</v>
      </c>
      <c r="V83" s="1157">
        <v>0</v>
      </c>
      <c r="W83" s="1151">
        <v>0</v>
      </c>
      <c r="X83" s="1157">
        <v>0</v>
      </c>
      <c r="Y83" s="1151">
        <v>0</v>
      </c>
      <c r="Z83" s="1157">
        <v>0</v>
      </c>
      <c r="AA83" s="1151">
        <v>0</v>
      </c>
      <c r="AB83" s="1157">
        <v>0</v>
      </c>
      <c r="AC83" s="1151">
        <v>0</v>
      </c>
      <c r="AE83" s="1148" t="str">
        <f>P83</f>
        <v>Heat pump, up to 70 °C, Temp lift = 50 K</v>
      </c>
      <c r="AF83" s="1154" t="s">
        <v>730</v>
      </c>
      <c r="AG83" s="381" t="s">
        <v>731</v>
      </c>
      <c r="AH83" s="382"/>
      <c r="AI83" s="1137">
        <v>0</v>
      </c>
      <c r="AJ83" s="1151">
        <v>0</v>
      </c>
      <c r="AK83" s="1157">
        <v>0</v>
      </c>
      <c r="AL83" s="1151">
        <v>0</v>
      </c>
      <c r="AM83" s="1157">
        <v>0</v>
      </c>
      <c r="AN83" s="1151">
        <v>0</v>
      </c>
      <c r="AO83" s="1157">
        <v>0</v>
      </c>
      <c r="AP83" s="1151">
        <v>0</v>
      </c>
      <c r="AQ83" s="1157">
        <v>0</v>
      </c>
      <c r="AR83" s="1151">
        <v>0</v>
      </c>
    </row>
    <row r="84" spans="2:44" outlineLevel="1">
      <c r="B84" s="383" t="s">
        <v>732</v>
      </c>
      <c r="C84" s="577">
        <f>C83-5</f>
        <v>442</v>
      </c>
      <c r="D84" s="577">
        <f t="shared" ref="D84:J84" si="4">D83-5</f>
        <v>455.41</v>
      </c>
      <c r="E84" s="577">
        <f t="shared" si="4"/>
        <v>464.61820000000006</v>
      </c>
      <c r="F84" s="577">
        <f t="shared" si="4"/>
        <v>469.31438200000008</v>
      </c>
      <c r="G84" s="641">
        <f t="shared" si="4"/>
        <v>442</v>
      </c>
      <c r="H84" s="641">
        <f t="shared" si="4"/>
        <v>464.35</v>
      </c>
      <c r="I84" s="641">
        <f t="shared" si="4"/>
        <v>455.08495054000008</v>
      </c>
      <c r="J84" s="641">
        <f t="shared" si="4"/>
        <v>478.80066964000008</v>
      </c>
      <c r="K84" s="386" t="s">
        <v>838</v>
      </c>
      <c r="L84" s="387"/>
      <c r="M84" s="370"/>
      <c r="N84" s="370"/>
      <c r="O84" s="71"/>
      <c r="P84" s="1195"/>
      <c r="Q84" s="1155"/>
      <c r="R84" s="388" t="s">
        <v>733</v>
      </c>
      <c r="S84" s="389"/>
      <c r="T84" s="1140"/>
      <c r="U84" s="1152"/>
      <c r="V84" s="1158"/>
      <c r="W84" s="1152"/>
      <c r="X84" s="1158"/>
      <c r="Y84" s="1152"/>
      <c r="Z84" s="1158"/>
      <c r="AA84" s="1152"/>
      <c r="AB84" s="1158"/>
      <c r="AC84" s="1152"/>
      <c r="AE84" s="1195"/>
      <c r="AF84" s="1155"/>
      <c r="AG84" s="388" t="s">
        <v>733</v>
      </c>
      <c r="AH84" s="389"/>
      <c r="AI84" s="1140"/>
      <c r="AJ84" s="1152"/>
      <c r="AK84" s="1158"/>
      <c r="AL84" s="1152"/>
      <c r="AM84" s="1158"/>
      <c r="AN84" s="1152"/>
      <c r="AO84" s="1158"/>
      <c r="AP84" s="1152"/>
      <c r="AQ84" s="1158"/>
      <c r="AR84" s="1152"/>
    </row>
    <row r="85" spans="2:44" ht="16" outlineLevel="1" thickBot="1">
      <c r="B85" s="376" t="s">
        <v>734</v>
      </c>
      <c r="C85" s="390">
        <v>2</v>
      </c>
      <c r="D85" s="391">
        <v>2</v>
      </c>
      <c r="E85" s="391">
        <v>2</v>
      </c>
      <c r="F85" s="392">
        <v>2</v>
      </c>
      <c r="G85" s="391">
        <v>1</v>
      </c>
      <c r="H85" s="391">
        <v>4</v>
      </c>
      <c r="I85" s="391">
        <v>1</v>
      </c>
      <c r="J85" s="391">
        <v>4</v>
      </c>
      <c r="K85" s="379"/>
      <c r="L85" s="380">
        <v>1.4</v>
      </c>
      <c r="M85" s="370"/>
      <c r="N85" s="370"/>
      <c r="O85" s="71"/>
      <c r="P85" s="1195"/>
      <c r="Q85" s="1156"/>
      <c r="R85" s="393" t="s">
        <v>735</v>
      </c>
      <c r="S85" s="394"/>
      <c r="T85" s="1141"/>
      <c r="U85" s="1153"/>
      <c r="V85" s="1159"/>
      <c r="W85" s="1153"/>
      <c r="X85" s="1159"/>
      <c r="Y85" s="1153"/>
      <c r="Z85" s="1159"/>
      <c r="AA85" s="1153"/>
      <c r="AB85" s="1159"/>
      <c r="AC85" s="1153"/>
      <c r="AE85" s="1195"/>
      <c r="AF85" s="1156"/>
      <c r="AG85" s="393" t="s">
        <v>735</v>
      </c>
      <c r="AH85" s="394"/>
      <c r="AI85" s="1141"/>
      <c r="AJ85" s="1153"/>
      <c r="AK85" s="1159"/>
      <c r="AL85" s="1153"/>
      <c r="AM85" s="1159"/>
      <c r="AN85" s="1153"/>
      <c r="AO85" s="1159"/>
      <c r="AP85" s="1153"/>
      <c r="AQ85" s="1159"/>
      <c r="AR85" s="1153"/>
    </row>
    <row r="86" spans="2:44" ht="15" customHeight="1" outlineLevel="1">
      <c r="B86" s="376" t="s">
        <v>657</v>
      </c>
      <c r="C86" s="390">
        <v>0</v>
      </c>
      <c r="D86" s="390">
        <v>0</v>
      </c>
      <c r="E86" s="390">
        <v>0</v>
      </c>
      <c r="F86" s="390">
        <v>0</v>
      </c>
      <c r="G86" s="390">
        <v>0</v>
      </c>
      <c r="H86" s="390">
        <v>1</v>
      </c>
      <c r="I86" s="390">
        <v>0</v>
      </c>
      <c r="J86" s="390">
        <v>1</v>
      </c>
      <c r="K86" s="379" t="s">
        <v>20</v>
      </c>
      <c r="L86" s="380"/>
      <c r="M86" s="370"/>
      <c r="N86" s="370"/>
      <c r="O86" s="71"/>
      <c r="P86" s="1195"/>
      <c r="Q86" s="1154" t="s">
        <v>736</v>
      </c>
      <c r="R86" s="395" t="s">
        <v>737</v>
      </c>
      <c r="S86" s="396" t="s">
        <v>738</v>
      </c>
      <c r="T86" s="1137">
        <v>0</v>
      </c>
      <c r="U86" s="1137">
        <f>19%</f>
        <v>0.19</v>
      </c>
      <c r="V86" s="1137">
        <v>0</v>
      </c>
      <c r="W86" s="1137">
        <f>19%</f>
        <v>0.19</v>
      </c>
      <c r="X86" s="1137">
        <v>0</v>
      </c>
      <c r="Y86" s="1137">
        <f>14%</f>
        <v>0.14000000000000001</v>
      </c>
      <c r="Z86" s="1137">
        <v>0</v>
      </c>
      <c r="AA86" s="1137">
        <f>11%</f>
        <v>0.11</v>
      </c>
      <c r="AB86" s="1137">
        <v>0</v>
      </c>
      <c r="AC86" s="1151">
        <f>12%</f>
        <v>0.12</v>
      </c>
      <c r="AE86" s="1195"/>
      <c r="AF86" s="1154" t="s">
        <v>736</v>
      </c>
      <c r="AG86" s="395" t="s">
        <v>737</v>
      </c>
      <c r="AH86" s="396" t="s">
        <v>738</v>
      </c>
      <c r="AI86" s="1137">
        <v>0</v>
      </c>
      <c r="AJ86" s="1137">
        <f>U86/4</f>
        <v>4.7500000000000001E-2</v>
      </c>
      <c r="AK86" s="1137">
        <v>0</v>
      </c>
      <c r="AL86" s="1137">
        <f>W86/4</f>
        <v>4.7500000000000001E-2</v>
      </c>
      <c r="AM86" s="1137">
        <v>0</v>
      </c>
      <c r="AN86" s="1137">
        <f>Y86/4</f>
        <v>3.5000000000000003E-2</v>
      </c>
      <c r="AO86" s="1137">
        <v>0</v>
      </c>
      <c r="AP86" s="1137">
        <f>AA86/4</f>
        <v>2.75E-2</v>
      </c>
      <c r="AQ86" s="1137">
        <v>0</v>
      </c>
      <c r="AR86" s="1151">
        <f>AC86/4</f>
        <v>0.03</v>
      </c>
    </row>
    <row r="87" spans="2:44" outlineLevel="1">
      <c r="B87" s="376" t="s">
        <v>658</v>
      </c>
      <c r="C87" s="390">
        <v>1</v>
      </c>
      <c r="D87" s="390">
        <v>1</v>
      </c>
      <c r="E87" s="390">
        <v>1</v>
      </c>
      <c r="F87" s="390">
        <v>1</v>
      </c>
      <c r="G87" s="390">
        <v>0.5</v>
      </c>
      <c r="H87" s="390">
        <v>2</v>
      </c>
      <c r="I87" s="390">
        <v>0.5</v>
      </c>
      <c r="J87" s="390">
        <v>2</v>
      </c>
      <c r="K87" s="379"/>
      <c r="L87" s="380">
        <v>1.4</v>
      </c>
      <c r="M87" s="367"/>
      <c r="N87" s="367"/>
      <c r="O87" s="71"/>
      <c r="P87" s="1195"/>
      <c r="Q87" s="1155"/>
      <c r="R87" s="395" t="s">
        <v>739</v>
      </c>
      <c r="S87" s="396" t="s">
        <v>738</v>
      </c>
      <c r="T87" s="1191"/>
      <c r="U87" s="1191"/>
      <c r="V87" s="1191"/>
      <c r="W87" s="1191"/>
      <c r="X87" s="1191"/>
      <c r="Y87" s="1191"/>
      <c r="Z87" s="1191"/>
      <c r="AA87" s="1191"/>
      <c r="AB87" s="1191"/>
      <c r="AC87" s="1193"/>
      <c r="AE87" s="1195"/>
      <c r="AF87" s="1155"/>
      <c r="AG87" s="395" t="s">
        <v>739</v>
      </c>
      <c r="AH87" s="396" t="s">
        <v>738</v>
      </c>
      <c r="AI87" s="1191"/>
      <c r="AJ87" s="1191"/>
      <c r="AK87" s="1191"/>
      <c r="AL87" s="1191"/>
      <c r="AM87" s="1191"/>
      <c r="AN87" s="1191"/>
      <c r="AO87" s="1191"/>
      <c r="AP87" s="1191"/>
      <c r="AQ87" s="1191"/>
      <c r="AR87" s="1193"/>
    </row>
    <row r="88" spans="2:44" outlineLevel="1">
      <c r="B88" s="383" t="s">
        <v>11</v>
      </c>
      <c r="C88" s="397">
        <v>20</v>
      </c>
      <c r="D88" s="397">
        <v>20</v>
      </c>
      <c r="E88" s="397">
        <v>20</v>
      </c>
      <c r="F88" s="397">
        <v>20</v>
      </c>
      <c r="G88" s="398">
        <v>15</v>
      </c>
      <c r="H88" s="398">
        <v>30</v>
      </c>
      <c r="I88" s="398">
        <v>15</v>
      </c>
      <c r="J88" s="398">
        <v>30</v>
      </c>
      <c r="K88" s="372"/>
      <c r="L88" s="373">
        <v>4</v>
      </c>
      <c r="M88" s="363"/>
      <c r="N88" s="363"/>
      <c r="P88" s="1195"/>
      <c r="Q88" s="1155"/>
      <c r="R88" s="395" t="s">
        <v>741</v>
      </c>
      <c r="S88" s="396"/>
      <c r="T88" s="1191"/>
      <c r="U88" s="1191"/>
      <c r="V88" s="1191"/>
      <c r="W88" s="1191"/>
      <c r="X88" s="1191"/>
      <c r="Y88" s="1191"/>
      <c r="Z88" s="1191"/>
      <c r="AA88" s="1191"/>
      <c r="AB88" s="1191"/>
      <c r="AC88" s="1193"/>
      <c r="AE88" s="1195"/>
      <c r="AF88" s="1155"/>
      <c r="AG88" s="395" t="s">
        <v>741</v>
      </c>
      <c r="AH88" s="629"/>
      <c r="AI88" s="1191"/>
      <c r="AJ88" s="1191"/>
      <c r="AK88" s="1191"/>
      <c r="AL88" s="1191"/>
      <c r="AM88" s="1191"/>
      <c r="AN88" s="1191"/>
      <c r="AO88" s="1191"/>
      <c r="AP88" s="1191"/>
      <c r="AQ88" s="1191"/>
      <c r="AR88" s="1193"/>
    </row>
    <row r="89" spans="2:44" ht="16" outlineLevel="1" thickBot="1">
      <c r="B89" s="376" t="s">
        <v>273</v>
      </c>
      <c r="C89" s="399">
        <v>0.5</v>
      </c>
      <c r="D89" s="399">
        <v>0.5</v>
      </c>
      <c r="E89" s="399">
        <v>0.5</v>
      </c>
      <c r="F89" s="399">
        <v>0.5</v>
      </c>
      <c r="G89" s="399">
        <v>0.3</v>
      </c>
      <c r="H89" s="399">
        <v>0.7</v>
      </c>
      <c r="I89" s="399">
        <v>0.3</v>
      </c>
      <c r="J89" s="399">
        <v>0.7</v>
      </c>
      <c r="K89" s="372"/>
      <c r="L89" s="400">
        <v>4</v>
      </c>
      <c r="M89" s="363"/>
      <c r="N89" s="363"/>
      <c r="P89" s="1195"/>
      <c r="Q89" s="1155"/>
      <c r="R89" s="395" t="s">
        <v>742</v>
      </c>
      <c r="S89" s="396" t="s">
        <v>738</v>
      </c>
      <c r="T89" s="1191"/>
      <c r="U89" s="1191"/>
      <c r="V89" s="1191"/>
      <c r="W89" s="1191"/>
      <c r="X89" s="1191"/>
      <c r="Y89" s="1191"/>
      <c r="Z89" s="1191"/>
      <c r="AA89" s="1191"/>
      <c r="AB89" s="1191"/>
      <c r="AC89" s="1193"/>
      <c r="AE89" s="1195"/>
      <c r="AF89" s="1155"/>
      <c r="AG89" s="395" t="s">
        <v>742</v>
      </c>
      <c r="AH89" s="396" t="s">
        <v>738</v>
      </c>
      <c r="AI89" s="1191"/>
      <c r="AJ89" s="1191"/>
      <c r="AK89" s="1191"/>
      <c r="AL89" s="1191"/>
      <c r="AM89" s="1191"/>
      <c r="AN89" s="1191"/>
      <c r="AO89" s="1191"/>
      <c r="AP89" s="1191"/>
      <c r="AQ89" s="1191"/>
      <c r="AR89" s="1193"/>
    </row>
    <row r="90" spans="2:44" ht="16" outlineLevel="1" thickBot="1">
      <c r="B90" s="401" t="s">
        <v>743</v>
      </c>
      <c r="C90" s="402"/>
      <c r="D90" s="403"/>
      <c r="E90" s="404"/>
      <c r="F90" s="405"/>
      <c r="G90" s="406"/>
      <c r="H90" s="406"/>
      <c r="I90" s="406"/>
      <c r="J90" s="406"/>
      <c r="K90" s="407"/>
      <c r="L90" s="408"/>
      <c r="M90" s="363"/>
      <c r="N90" s="363"/>
      <c r="P90" s="1195"/>
      <c r="Q90" s="1156"/>
      <c r="R90" s="409" t="s">
        <v>863</v>
      </c>
      <c r="S90" s="410" t="s">
        <v>738</v>
      </c>
      <c r="T90" s="1192"/>
      <c r="U90" s="1192"/>
      <c r="V90" s="1192"/>
      <c r="W90" s="1192"/>
      <c r="X90" s="1192"/>
      <c r="Y90" s="1192"/>
      <c r="Z90" s="1192"/>
      <c r="AA90" s="1192"/>
      <c r="AB90" s="1192"/>
      <c r="AC90" s="1194"/>
      <c r="AE90" s="1195"/>
      <c r="AF90" s="1156"/>
      <c r="AG90" s="409" t="s">
        <v>863</v>
      </c>
      <c r="AH90" s="410" t="s">
        <v>738</v>
      </c>
      <c r="AI90" s="1192"/>
      <c r="AJ90" s="1192"/>
      <c r="AK90" s="1192"/>
      <c r="AL90" s="1192"/>
      <c r="AM90" s="1192"/>
      <c r="AN90" s="1192"/>
      <c r="AO90" s="1192"/>
      <c r="AP90" s="1192"/>
      <c r="AQ90" s="1192"/>
      <c r="AR90" s="1194"/>
    </row>
    <row r="91" spans="2:44" ht="33" outlineLevel="1" thickBot="1">
      <c r="B91" s="376" t="s">
        <v>663</v>
      </c>
      <c r="C91" s="390">
        <v>10</v>
      </c>
      <c r="D91" s="390">
        <v>10</v>
      </c>
      <c r="E91" s="390">
        <v>10</v>
      </c>
      <c r="F91" s="390">
        <v>10</v>
      </c>
      <c r="G91" s="391"/>
      <c r="H91" s="391"/>
      <c r="I91" s="391"/>
      <c r="J91" s="391"/>
      <c r="K91" s="379"/>
      <c r="L91" s="380">
        <v>4</v>
      </c>
      <c r="M91" s="363"/>
      <c r="N91" s="363"/>
      <c r="P91" s="1196"/>
      <c r="Q91" s="411" t="s">
        <v>745</v>
      </c>
      <c r="R91" s="412" t="s">
        <v>746</v>
      </c>
      <c r="S91" s="630" t="s">
        <v>738</v>
      </c>
      <c r="T91" s="416">
        <v>0</v>
      </c>
      <c r="U91" s="415">
        <f>T91</f>
        <v>0</v>
      </c>
      <c r="V91" s="416">
        <v>0</v>
      </c>
      <c r="W91" s="415">
        <f>V91</f>
        <v>0</v>
      </c>
      <c r="X91" s="416">
        <v>0</v>
      </c>
      <c r="Y91" s="415">
        <f>X91</f>
        <v>0</v>
      </c>
      <c r="Z91" s="416">
        <v>0</v>
      </c>
      <c r="AA91" s="415">
        <f>Z91</f>
        <v>0</v>
      </c>
      <c r="AB91" s="416">
        <v>0</v>
      </c>
      <c r="AC91" s="417">
        <f>AB91</f>
        <v>0</v>
      </c>
      <c r="AE91" s="1196"/>
      <c r="AF91" s="411" t="s">
        <v>745</v>
      </c>
      <c r="AG91" s="1249" t="s">
        <v>746</v>
      </c>
      <c r="AH91" s="1250" t="s">
        <v>738</v>
      </c>
      <c r="AI91" s="416">
        <v>0</v>
      </c>
      <c r="AJ91" s="415">
        <f>AI91</f>
        <v>0</v>
      </c>
      <c r="AK91" s="416">
        <v>0</v>
      </c>
      <c r="AL91" s="415">
        <f>AK91</f>
        <v>0</v>
      </c>
      <c r="AM91" s="416">
        <v>0</v>
      </c>
      <c r="AN91" s="415">
        <f>AM91</f>
        <v>0</v>
      </c>
      <c r="AO91" s="416">
        <v>0</v>
      </c>
      <c r="AP91" s="415">
        <f>AO91</f>
        <v>0</v>
      </c>
      <c r="AQ91" s="416">
        <v>0</v>
      </c>
      <c r="AR91" s="417">
        <f>AQ91</f>
        <v>0</v>
      </c>
    </row>
    <row r="92" spans="2:44" outlineLevel="1">
      <c r="B92" s="376" t="s">
        <v>664</v>
      </c>
      <c r="C92" s="390">
        <v>0.25</v>
      </c>
      <c r="D92" s="390">
        <v>0.25</v>
      </c>
      <c r="E92" s="390">
        <v>0.25</v>
      </c>
      <c r="F92" s="390">
        <v>0.25</v>
      </c>
      <c r="G92" s="418"/>
      <c r="H92" s="418"/>
      <c r="I92" s="418"/>
      <c r="J92" s="418"/>
      <c r="K92" s="419"/>
      <c r="L92" s="380">
        <v>4</v>
      </c>
      <c r="M92" s="363"/>
      <c r="N92" s="363"/>
    </row>
    <row r="93" spans="2:44" outlineLevel="1">
      <c r="B93" s="376" t="s">
        <v>666</v>
      </c>
      <c r="C93" s="390">
        <v>1</v>
      </c>
      <c r="D93" s="390">
        <v>1</v>
      </c>
      <c r="E93" s="390">
        <v>1</v>
      </c>
      <c r="F93" s="390">
        <v>1</v>
      </c>
      <c r="G93" s="418"/>
      <c r="H93" s="418"/>
      <c r="I93" s="418"/>
      <c r="J93" s="418"/>
      <c r="K93" s="419"/>
      <c r="L93" s="380">
        <v>1</v>
      </c>
      <c r="M93" s="420"/>
      <c r="N93" s="363"/>
    </row>
    <row r="94" spans="2:44" outlineLevel="1">
      <c r="B94" s="421" t="s">
        <v>12</v>
      </c>
      <c r="C94" s="399"/>
      <c r="D94" s="399"/>
      <c r="E94" s="399"/>
      <c r="F94" s="399"/>
      <c r="G94" s="422"/>
      <c r="H94" s="422"/>
      <c r="I94" s="422"/>
      <c r="J94" s="422"/>
      <c r="K94" s="423"/>
      <c r="L94" s="424"/>
      <c r="M94" s="420"/>
      <c r="N94" s="420"/>
    </row>
    <row r="95" spans="2:44" outlineLevel="1">
      <c r="B95" s="383" t="s">
        <v>843</v>
      </c>
      <c r="C95" s="1231" t="s">
        <v>669</v>
      </c>
      <c r="D95" s="1232"/>
      <c r="E95" s="1232"/>
      <c r="F95" s="1233"/>
      <c r="G95" s="422"/>
      <c r="H95" s="425"/>
      <c r="I95" s="425"/>
      <c r="J95" s="425"/>
      <c r="K95" s="426"/>
      <c r="L95" s="427"/>
      <c r="M95" s="428"/>
      <c r="N95" s="428"/>
    </row>
    <row r="96" spans="2:44" outlineLevel="1">
      <c r="B96" s="383" t="s">
        <v>749</v>
      </c>
      <c r="C96" s="1234"/>
      <c r="D96" s="1235"/>
      <c r="E96" s="1235"/>
      <c r="F96" s="1236"/>
      <c r="G96" s="425"/>
      <c r="H96" s="425"/>
      <c r="I96" s="425"/>
      <c r="J96" s="425"/>
      <c r="K96" s="423"/>
      <c r="L96" s="427"/>
      <c r="M96" s="428"/>
      <c r="N96" s="428"/>
    </row>
    <row r="97" spans="1:30" outlineLevel="1">
      <c r="B97" s="383" t="s">
        <v>844</v>
      </c>
      <c r="C97" s="1234"/>
      <c r="D97" s="1235"/>
      <c r="E97" s="1235"/>
      <c r="F97" s="1236"/>
      <c r="G97" s="425"/>
      <c r="H97" s="425"/>
      <c r="I97" s="425"/>
      <c r="J97" s="425"/>
      <c r="K97" s="423"/>
      <c r="L97" s="427"/>
      <c r="M97" s="428"/>
      <c r="N97" s="428"/>
    </row>
    <row r="98" spans="1:30" outlineLevel="1">
      <c r="B98" s="383" t="s">
        <v>366</v>
      </c>
      <c r="C98" s="1234"/>
      <c r="D98" s="1235"/>
      <c r="E98" s="1235"/>
      <c r="F98" s="1236"/>
      <c r="G98" s="425"/>
      <c r="H98" s="425"/>
      <c r="I98" s="425"/>
      <c r="J98" s="425"/>
      <c r="K98" s="423"/>
      <c r="L98" s="427"/>
      <c r="M98" s="428"/>
      <c r="N98" s="428"/>
    </row>
    <row r="99" spans="1:30" ht="16" outlineLevel="1" thickBot="1">
      <c r="B99" s="429" t="s">
        <v>367</v>
      </c>
      <c r="C99" s="1237"/>
      <c r="D99" s="1238"/>
      <c r="E99" s="1238"/>
      <c r="F99" s="1239"/>
      <c r="G99" s="425"/>
      <c r="H99" s="425"/>
      <c r="I99" s="425"/>
      <c r="J99" s="425"/>
      <c r="K99" s="423"/>
      <c r="L99" s="427"/>
      <c r="M99" s="428"/>
      <c r="N99" s="428"/>
    </row>
    <row r="100" spans="1:30" ht="16" outlineLevel="1" thickBot="1">
      <c r="B100" s="431" t="s">
        <v>674</v>
      </c>
      <c r="C100" s="432"/>
      <c r="D100" s="403"/>
      <c r="E100" s="403"/>
      <c r="F100" s="433"/>
      <c r="G100" s="434"/>
      <c r="H100" s="406"/>
      <c r="I100" s="406"/>
      <c r="J100" s="406"/>
      <c r="K100" s="407"/>
      <c r="L100" s="408"/>
      <c r="M100" s="428"/>
      <c r="N100" s="428"/>
    </row>
    <row r="101" spans="1:30" outlineLevel="1">
      <c r="A101" s="435"/>
      <c r="B101" s="436" t="s">
        <v>751</v>
      </c>
      <c r="C101" s="511">
        <v>0.73</v>
      </c>
      <c r="D101" s="512">
        <v>0.65</v>
      </c>
      <c r="E101" s="512">
        <v>0.6</v>
      </c>
      <c r="F101" s="513">
        <v>0.57999999999999996</v>
      </c>
      <c r="G101" s="425"/>
      <c r="H101" s="425"/>
      <c r="I101" s="425"/>
      <c r="J101" s="425"/>
      <c r="K101" s="426"/>
      <c r="L101" s="440">
        <v>1</v>
      </c>
      <c r="M101" s="420"/>
      <c r="N101" s="420"/>
    </row>
    <row r="102" spans="1:30" outlineLevel="1">
      <c r="B102" s="441" t="s">
        <v>839</v>
      </c>
      <c r="C102" s="442">
        <v>60</v>
      </c>
      <c r="D102" s="442">
        <v>60</v>
      </c>
      <c r="E102" s="442">
        <v>60</v>
      </c>
      <c r="F102" s="442">
        <v>60</v>
      </c>
      <c r="G102" s="425"/>
      <c r="H102" s="425"/>
      <c r="I102" s="425"/>
      <c r="J102" s="425"/>
      <c r="K102" s="444" t="s">
        <v>76</v>
      </c>
      <c r="L102" s="373">
        <v>6</v>
      </c>
      <c r="M102" s="71"/>
      <c r="N102" s="420"/>
    </row>
    <row r="103" spans="1:30" outlineLevel="1">
      <c r="B103" s="441" t="s">
        <v>840</v>
      </c>
      <c r="C103" s="442">
        <v>40</v>
      </c>
      <c r="D103" s="442">
        <v>40</v>
      </c>
      <c r="E103" s="442">
        <v>40</v>
      </c>
      <c r="F103" s="442">
        <v>40</v>
      </c>
      <c r="G103" s="425"/>
      <c r="H103" s="425"/>
      <c r="I103" s="425"/>
      <c r="J103" s="425"/>
      <c r="K103" s="444" t="s">
        <v>25</v>
      </c>
      <c r="L103" s="373">
        <v>6</v>
      </c>
      <c r="M103" s="420"/>
      <c r="N103" s="420"/>
    </row>
    <row r="104" spans="1:30" outlineLevel="1">
      <c r="B104" s="383" t="s">
        <v>841</v>
      </c>
      <c r="C104" s="445">
        <v>2000</v>
      </c>
      <c r="D104" s="446">
        <v>2000</v>
      </c>
      <c r="E104" s="446">
        <v>2000</v>
      </c>
      <c r="F104" s="447">
        <v>2000</v>
      </c>
      <c r="G104" s="425"/>
      <c r="H104" s="425"/>
      <c r="I104" s="425"/>
      <c r="J104" s="425"/>
      <c r="K104" s="448"/>
      <c r="L104" s="373">
        <v>4.5</v>
      </c>
      <c r="M104" s="420"/>
      <c r="N104" s="420"/>
    </row>
    <row r="105" spans="1:30" ht="16" outlineLevel="1" thickBot="1">
      <c r="B105" s="383" t="s">
        <v>679</v>
      </c>
      <c r="C105" s="449">
        <f>SUM(C106:C107)</f>
        <v>3.26</v>
      </c>
      <c r="D105" s="449">
        <f>SUM(D106:D107)</f>
        <v>3.2</v>
      </c>
      <c r="E105" s="449">
        <f>(D105+F105)/2</f>
        <v>3.16</v>
      </c>
      <c r="F105" s="449">
        <f>SUM(F106:F107)</f>
        <v>3.12</v>
      </c>
      <c r="G105" s="425"/>
      <c r="H105" s="425"/>
      <c r="I105" s="425"/>
      <c r="J105" s="425"/>
      <c r="K105" s="448"/>
      <c r="L105" s="373">
        <v>4</v>
      </c>
      <c r="M105" s="688"/>
      <c r="N105" s="689"/>
      <c r="P105" s="1142">
        <f>C105</f>
        <v>3.26</v>
      </c>
      <c r="Q105" s="1143"/>
      <c r="R105" s="1143"/>
      <c r="S105" s="1143"/>
      <c r="T105" s="1143"/>
      <c r="U105" s="1144"/>
    </row>
    <row r="106" spans="1:30" ht="16" outlineLevel="1" thickBot="1">
      <c r="B106" s="451" t="s">
        <v>758</v>
      </c>
      <c r="C106" s="452">
        <f>C85/100*73</f>
        <v>1.46</v>
      </c>
      <c r="D106" s="452">
        <f>D85/100*75</f>
        <v>1.5</v>
      </c>
      <c r="E106" s="452">
        <f>E85/100*76</f>
        <v>1.52</v>
      </c>
      <c r="F106" s="452">
        <f>F85/100*76</f>
        <v>1.52</v>
      </c>
      <c r="G106" s="453"/>
      <c r="H106" s="453"/>
      <c r="I106" s="453"/>
      <c r="J106" s="453"/>
      <c r="K106" s="379" t="s">
        <v>33</v>
      </c>
      <c r="L106" s="380">
        <v>4</v>
      </c>
      <c r="M106" s="688"/>
      <c r="N106" s="689"/>
      <c r="P106" s="1134">
        <f>C106</f>
        <v>1.46</v>
      </c>
      <c r="Q106" s="1135"/>
      <c r="R106" s="1135"/>
      <c r="S106" s="1135"/>
      <c r="T106" s="1135"/>
      <c r="U106" s="1136"/>
    </row>
    <row r="107" spans="1:30" outlineLevel="1">
      <c r="B107" s="451" t="s">
        <v>759</v>
      </c>
      <c r="C107" s="454">
        <v>1.8</v>
      </c>
      <c r="D107" s="454">
        <v>1.7</v>
      </c>
      <c r="E107" s="454">
        <f>(D107+F107)/2</f>
        <v>1.65</v>
      </c>
      <c r="F107" s="454">
        <v>1.6</v>
      </c>
      <c r="G107" s="453"/>
      <c r="H107" s="453"/>
      <c r="I107" s="453"/>
      <c r="J107" s="453"/>
      <c r="K107" s="455"/>
      <c r="L107" s="380">
        <v>4</v>
      </c>
      <c r="M107" s="363"/>
      <c r="N107" s="363"/>
      <c r="P107" s="53" t="s">
        <v>357</v>
      </c>
    </row>
    <row r="108" spans="1:30" ht="30" outlineLevel="1">
      <c r="B108" s="441"/>
      <c r="C108" s="642"/>
      <c r="D108" s="642"/>
      <c r="E108" s="642"/>
      <c r="F108" s="642"/>
      <c r="G108" s="425"/>
      <c r="H108" s="425"/>
      <c r="I108" s="425"/>
      <c r="J108" s="425"/>
      <c r="K108" s="444"/>
      <c r="L108" s="424"/>
      <c r="M108" s="367"/>
      <c r="N108" s="367"/>
      <c r="P108" s="46" t="s">
        <v>335</v>
      </c>
      <c r="Q108" s="46" t="s">
        <v>336</v>
      </c>
      <c r="R108" s="47" t="s">
        <v>337</v>
      </c>
      <c r="S108" s="47" t="s">
        <v>338</v>
      </c>
      <c r="T108" s="47" t="s">
        <v>339</v>
      </c>
      <c r="U108" s="48" t="s">
        <v>340</v>
      </c>
      <c r="V108" s="49" t="s">
        <v>341</v>
      </c>
      <c r="W108" s="49" t="s">
        <v>342</v>
      </c>
      <c r="X108" s="49" t="s">
        <v>343</v>
      </c>
      <c r="Y108" s="49" t="s">
        <v>344</v>
      </c>
      <c r="Z108" s="49" t="s">
        <v>345</v>
      </c>
      <c r="AA108" s="49" t="s">
        <v>346</v>
      </c>
      <c r="AB108" s="49" t="s">
        <v>347</v>
      </c>
      <c r="AC108" s="49" t="s">
        <v>348</v>
      </c>
      <c r="AD108" s="49" t="s">
        <v>349</v>
      </c>
    </row>
    <row r="109" spans="1:30" ht="27" outlineLevel="1" thickBot="1">
      <c r="B109" s="441"/>
      <c r="C109" s="442"/>
      <c r="D109" s="457"/>
      <c r="E109" s="457"/>
      <c r="F109" s="458"/>
      <c r="G109" s="425"/>
      <c r="H109" s="425"/>
      <c r="I109" s="425"/>
      <c r="J109" s="425"/>
      <c r="K109" s="448"/>
      <c r="L109" s="424"/>
      <c r="M109" s="363"/>
      <c r="N109" s="363"/>
      <c r="P109" s="50"/>
      <c r="Q109" s="50"/>
      <c r="R109" s="51"/>
      <c r="S109" s="51"/>
      <c r="T109" s="51"/>
      <c r="U109" s="51" t="s">
        <v>760</v>
      </c>
      <c r="V109" s="50" t="s">
        <v>761</v>
      </c>
      <c r="W109" s="50"/>
      <c r="X109" s="50"/>
      <c r="Y109" s="50"/>
      <c r="Z109" s="50"/>
      <c r="AA109" s="50"/>
      <c r="AB109" s="50"/>
      <c r="AC109" s="50"/>
      <c r="AD109" s="50"/>
    </row>
    <row r="110" spans="1:30" ht="33" outlineLevel="1" thickBot="1">
      <c r="B110" s="401" t="s">
        <v>682</v>
      </c>
      <c r="C110" s="402"/>
      <c r="D110" s="403"/>
      <c r="E110" s="404"/>
      <c r="F110" s="405"/>
      <c r="G110" s="406"/>
      <c r="H110" s="406"/>
      <c r="I110" s="406"/>
      <c r="J110" s="406"/>
      <c r="K110" s="459"/>
      <c r="L110" s="460"/>
      <c r="M110" s="363"/>
      <c r="N110" s="363"/>
      <c r="O110" s="461" t="s">
        <v>732</v>
      </c>
      <c r="P110" s="56"/>
      <c r="Q110" s="56"/>
      <c r="R110" s="57"/>
      <c r="S110" s="57"/>
      <c r="T110" s="57"/>
      <c r="U110" s="56" t="s">
        <v>350</v>
      </c>
      <c r="V110" s="56" t="s">
        <v>326</v>
      </c>
      <c r="W110" s="56" t="s">
        <v>327</v>
      </c>
      <c r="X110" s="56" t="s">
        <v>351</v>
      </c>
      <c r="Y110" s="56" t="s">
        <v>351</v>
      </c>
      <c r="Z110" s="56" t="s">
        <v>352</v>
      </c>
      <c r="AA110" s="56" t="s">
        <v>352</v>
      </c>
      <c r="AB110" s="56" t="s">
        <v>352</v>
      </c>
      <c r="AC110" s="56" t="s">
        <v>352</v>
      </c>
      <c r="AD110" s="56" t="s">
        <v>352</v>
      </c>
    </row>
    <row r="111" spans="1:30" outlineLevel="1">
      <c r="B111" s="451" t="s">
        <v>762</v>
      </c>
      <c r="C111" s="633">
        <f>C101*0.2</f>
        <v>0.14599999999999999</v>
      </c>
      <c r="D111" s="633">
        <f>D101*0.2</f>
        <v>0.13</v>
      </c>
      <c r="E111" s="633">
        <f>E101*0.2</f>
        <v>0.12</v>
      </c>
      <c r="F111" s="633">
        <f>F101*0.2</f>
        <v>0.11599999999999999</v>
      </c>
      <c r="G111" s="643"/>
      <c r="H111" s="643"/>
      <c r="I111" s="643"/>
      <c r="J111" s="643"/>
      <c r="K111" s="643" t="s">
        <v>51</v>
      </c>
      <c r="L111" s="464"/>
      <c r="M111" s="363"/>
      <c r="N111" s="363"/>
      <c r="O111" s="465">
        <f>C84</f>
        <v>442</v>
      </c>
      <c r="P111" s="466">
        <f>C80</f>
        <v>2020</v>
      </c>
      <c r="Q111" s="58">
        <f>P111</f>
        <v>2020</v>
      </c>
      <c r="R111" s="466">
        <f>O111/100</f>
        <v>4.42</v>
      </c>
      <c r="S111" s="58"/>
      <c r="T111" s="466">
        <f>C88</f>
        <v>20</v>
      </c>
      <c r="U111" s="467">
        <f>C118</f>
        <v>5438.5</v>
      </c>
      <c r="V111" s="467">
        <f>C120</f>
        <v>14.9</v>
      </c>
      <c r="W111" s="467">
        <f>C121</f>
        <v>6.7463888888888883</v>
      </c>
      <c r="X111" s="58"/>
      <c r="Y111" s="58"/>
      <c r="Z111" s="466" t="str">
        <f>C95</f>
        <v>Cf. the utilized electricity</v>
      </c>
      <c r="AA111" s="468">
        <f>C97</f>
        <v>0</v>
      </c>
      <c r="AB111" s="468">
        <f>C98</f>
        <v>0</v>
      </c>
      <c r="AC111" s="468">
        <f>C99</f>
        <v>0</v>
      </c>
      <c r="AD111" s="468">
        <f>C96</f>
        <v>0</v>
      </c>
    </row>
    <row r="112" spans="1:30" outlineLevel="1">
      <c r="B112" s="376" t="s">
        <v>763</v>
      </c>
      <c r="C112" s="469" t="s">
        <v>36</v>
      </c>
      <c r="D112" s="470" t="s">
        <v>36</v>
      </c>
      <c r="E112" s="470" t="s">
        <v>36</v>
      </c>
      <c r="F112" s="471" t="s">
        <v>36</v>
      </c>
      <c r="G112" s="471"/>
      <c r="H112" s="471"/>
      <c r="I112" s="471"/>
      <c r="J112" s="471"/>
      <c r="K112" s="472"/>
      <c r="L112" s="464"/>
      <c r="M112" s="363"/>
      <c r="N112" s="363"/>
      <c r="O112" s="465">
        <f>D84</f>
        <v>455.41</v>
      </c>
      <c r="P112" s="466">
        <f>D80</f>
        <v>2030</v>
      </c>
      <c r="Q112" s="58"/>
      <c r="R112" s="466">
        <f>O112/100</f>
        <v>4.5541</v>
      </c>
      <c r="S112" s="58"/>
      <c r="T112" s="466">
        <f>D88</f>
        <v>20</v>
      </c>
      <c r="U112" s="467">
        <f>D118</f>
        <v>4842.5</v>
      </c>
      <c r="V112" s="467">
        <f>D120</f>
        <v>14.9</v>
      </c>
      <c r="W112" s="467">
        <f>D121</f>
        <v>6.6222222222222227</v>
      </c>
      <c r="X112" s="58"/>
      <c r="Y112" s="58"/>
      <c r="Z112" s="466">
        <f>D95</f>
        <v>0</v>
      </c>
      <c r="AA112" s="468">
        <f>D97</f>
        <v>0</v>
      </c>
      <c r="AB112" s="468">
        <f>D98</f>
        <v>0</v>
      </c>
      <c r="AC112" s="468">
        <f>D99</f>
        <v>0</v>
      </c>
      <c r="AD112" s="468">
        <f>D96</f>
        <v>0</v>
      </c>
    </row>
    <row r="113" spans="2:30" outlineLevel="1">
      <c r="B113" s="376" t="s">
        <v>764</v>
      </c>
      <c r="C113" s="469" t="s">
        <v>36</v>
      </c>
      <c r="D113" s="470" t="s">
        <v>36</v>
      </c>
      <c r="E113" s="470" t="s">
        <v>36</v>
      </c>
      <c r="F113" s="471" t="s">
        <v>36</v>
      </c>
      <c r="G113" s="453"/>
      <c r="H113" s="453"/>
      <c r="I113" s="453"/>
      <c r="J113" s="453"/>
      <c r="K113" s="453"/>
      <c r="L113" s="380"/>
      <c r="M113" s="363"/>
      <c r="N113" s="363"/>
      <c r="O113" s="465">
        <f>E84</f>
        <v>464.61820000000006</v>
      </c>
      <c r="P113" s="466">
        <f>E80</f>
        <v>2040</v>
      </c>
      <c r="Q113" s="58"/>
      <c r="R113" s="466">
        <f>O113/100</f>
        <v>4.6461820000000005</v>
      </c>
      <c r="S113" s="58"/>
      <c r="T113" s="466">
        <f>E88</f>
        <v>20</v>
      </c>
      <c r="U113" s="467">
        <f>E118</f>
        <v>4470</v>
      </c>
      <c r="V113" s="467">
        <f>E120</f>
        <v>14.9</v>
      </c>
      <c r="W113" s="467">
        <f>E121</f>
        <v>6.5394444444444444</v>
      </c>
      <c r="X113" s="58"/>
      <c r="Y113" s="58"/>
      <c r="Z113" s="466">
        <f>E95</f>
        <v>0</v>
      </c>
      <c r="AA113" s="468">
        <f>E97</f>
        <v>0</v>
      </c>
      <c r="AB113" s="468">
        <f>E98</f>
        <v>0</v>
      </c>
      <c r="AC113" s="468">
        <f>E99</f>
        <v>0</v>
      </c>
      <c r="AD113" s="468">
        <f>E96</f>
        <v>0</v>
      </c>
    </row>
    <row r="114" spans="2:30" outlineLevel="1">
      <c r="B114" s="376" t="s">
        <v>765</v>
      </c>
      <c r="C114" s="1240" t="s">
        <v>669</v>
      </c>
      <c r="D114" s="1241"/>
      <c r="E114" s="1241"/>
      <c r="F114" s="1242"/>
      <c r="G114" s="474"/>
      <c r="H114" s="474"/>
      <c r="I114" s="474"/>
      <c r="J114" s="474"/>
      <c r="K114" s="474"/>
      <c r="L114" s="380"/>
      <c r="M114" s="363"/>
      <c r="N114" s="363"/>
      <c r="O114" s="465">
        <f>F84</f>
        <v>469.31438200000008</v>
      </c>
      <c r="P114" s="466">
        <f>F80</f>
        <v>2050</v>
      </c>
      <c r="Q114" s="58"/>
      <c r="R114" s="466">
        <f>O114/100</f>
        <v>4.6931438200000004</v>
      </c>
      <c r="S114" s="58"/>
      <c r="T114" s="466">
        <f>F88</f>
        <v>20</v>
      </c>
      <c r="U114" s="467">
        <f>F118</f>
        <v>4321</v>
      </c>
      <c r="V114" s="467">
        <f>F120</f>
        <v>14.9</v>
      </c>
      <c r="W114" s="467">
        <f>F121</f>
        <v>6.4566666666666661</v>
      </c>
      <c r="X114" s="58"/>
      <c r="Y114" s="58"/>
      <c r="Z114" s="466">
        <f>F95</f>
        <v>0</v>
      </c>
      <c r="AA114" s="468">
        <f>F97</f>
        <v>0</v>
      </c>
      <c r="AB114" s="468">
        <f>F98</f>
        <v>0</v>
      </c>
      <c r="AC114" s="468">
        <f>F99</f>
        <v>0</v>
      </c>
      <c r="AD114" s="468">
        <f>F96</f>
        <v>0</v>
      </c>
    </row>
    <row r="115" spans="2:30" outlineLevel="1">
      <c r="B115" s="475" t="s">
        <v>766</v>
      </c>
      <c r="C115" s="469">
        <v>30</v>
      </c>
      <c r="D115" s="470">
        <v>30</v>
      </c>
      <c r="E115" s="470">
        <v>30</v>
      </c>
      <c r="F115" s="471">
        <v>30</v>
      </c>
      <c r="G115" s="474"/>
      <c r="H115" s="474"/>
      <c r="I115" s="474"/>
      <c r="J115" s="474"/>
      <c r="K115" s="474" t="s">
        <v>52</v>
      </c>
      <c r="L115" s="476"/>
      <c r="M115" s="367"/>
      <c r="N115" s="367"/>
    </row>
    <row r="116" spans="2:30" outlineLevel="1">
      <c r="B116" s="475" t="s">
        <v>767</v>
      </c>
      <c r="C116" s="469">
        <v>20</v>
      </c>
      <c r="D116" s="470">
        <v>20</v>
      </c>
      <c r="E116" s="470">
        <v>20</v>
      </c>
      <c r="F116" s="471">
        <v>20</v>
      </c>
      <c r="G116" s="474"/>
      <c r="H116" s="474"/>
      <c r="I116" s="474"/>
      <c r="J116" s="474"/>
      <c r="K116" s="474" t="s">
        <v>52</v>
      </c>
      <c r="L116" s="476"/>
      <c r="M116" s="363"/>
      <c r="N116" s="363"/>
    </row>
    <row r="117" spans="2:30" ht="16" outlineLevel="1" thickBot="1">
      <c r="B117" s="477" t="s">
        <v>768</v>
      </c>
      <c r="C117" s="478" t="s">
        <v>36</v>
      </c>
      <c r="D117" s="479" t="s">
        <v>36</v>
      </c>
      <c r="E117" s="479" t="s">
        <v>36</v>
      </c>
      <c r="F117" s="480" t="s">
        <v>36</v>
      </c>
      <c r="G117" s="481"/>
      <c r="H117" s="481"/>
      <c r="I117" s="481"/>
      <c r="J117" s="481"/>
      <c r="K117" s="481"/>
      <c r="L117" s="482"/>
      <c r="M117" s="363"/>
      <c r="N117" s="363"/>
    </row>
    <row r="118" spans="2:30" ht="64" outlineLevel="1">
      <c r="B118" s="461" t="s">
        <v>769</v>
      </c>
      <c r="C118" s="483">
        <f>C101*$F$4*1000</f>
        <v>5438.5</v>
      </c>
      <c r="D118" s="483">
        <f t="shared" ref="D118:F118" si="5">D101*$F$4*1000</f>
        <v>4842.5</v>
      </c>
      <c r="E118" s="483">
        <f t="shared" si="5"/>
        <v>4470</v>
      </c>
      <c r="F118" s="483">
        <f t="shared" si="5"/>
        <v>4321</v>
      </c>
      <c r="G118" s="483"/>
      <c r="H118" s="484"/>
      <c r="I118" s="420" t="s">
        <v>332</v>
      </c>
      <c r="J118" s="420"/>
      <c r="K118" s="484"/>
      <c r="L118" s="484"/>
      <c r="N118" s="420"/>
    </row>
    <row r="119" spans="2:30" outlineLevel="1">
      <c r="B119" s="485" t="s">
        <v>770</v>
      </c>
      <c r="C119" s="486">
        <f>C118*$I119</f>
        <v>2719250</v>
      </c>
      <c r="D119" s="486">
        <f>D118*$I119</f>
        <v>2421250</v>
      </c>
      <c r="E119" s="486">
        <f>E118*$I119</f>
        <v>2235000</v>
      </c>
      <c r="F119" s="486">
        <f>F118*$I119</f>
        <v>2160500</v>
      </c>
      <c r="G119" s="486"/>
      <c r="H119" s="484"/>
      <c r="I119" s="71">
        <v>500</v>
      </c>
      <c r="J119" s="420" t="s">
        <v>330</v>
      </c>
      <c r="K119" s="484"/>
      <c r="L119" s="484"/>
      <c r="N119" s="420"/>
    </row>
    <row r="120" spans="2:30" ht="48" outlineLevel="1">
      <c r="B120" s="461" t="s">
        <v>845</v>
      </c>
      <c r="C120" s="359">
        <f>C104*$F$4/1000</f>
        <v>14.9</v>
      </c>
      <c r="D120" s="359">
        <f t="shared" ref="D120:F120" si="6">D104*$F$4/1000</f>
        <v>14.9</v>
      </c>
      <c r="E120" s="359">
        <f t="shared" si="6"/>
        <v>14.9</v>
      </c>
      <c r="F120" s="359">
        <f t="shared" si="6"/>
        <v>14.9</v>
      </c>
      <c r="G120" s="359"/>
      <c r="I120" s="420" t="s">
        <v>333</v>
      </c>
      <c r="J120" s="420"/>
      <c r="N120" s="420"/>
    </row>
    <row r="121" spans="2:30" ht="48" outlineLevel="1">
      <c r="B121" s="461" t="s">
        <v>846</v>
      </c>
      <c r="C121" s="487">
        <f>C105*$F$4/3.6</f>
        <v>6.7463888888888883</v>
      </c>
      <c r="D121" s="487">
        <f t="shared" ref="D121:F121" si="7">D105*$F$4/3.6</f>
        <v>6.6222222222222227</v>
      </c>
      <c r="E121" s="487">
        <f t="shared" si="7"/>
        <v>6.5394444444444444</v>
      </c>
      <c r="F121" s="487">
        <f t="shared" si="7"/>
        <v>6.4566666666666661</v>
      </c>
      <c r="G121" s="359"/>
      <c r="M121" s="420"/>
      <c r="N121" s="420"/>
    </row>
    <row r="122" spans="2:30" outlineLevel="1"/>
    <row r="123" spans="2:30" outlineLevel="1"/>
    <row r="124" spans="2:30" outlineLevel="1"/>
    <row r="125" spans="2:30" outlineLevel="1"/>
    <row r="126" spans="2:30" outlineLevel="1">
      <c r="E126" s="358"/>
      <c r="F126" s="358"/>
      <c r="G126" s="358"/>
      <c r="H126" s="358"/>
      <c r="I126" s="358"/>
      <c r="J126" s="358"/>
      <c r="K126" s="358"/>
      <c r="L126" s="358"/>
    </row>
    <row r="127" spans="2:30" outlineLevel="1">
      <c r="B127" s="634" t="s">
        <v>773</v>
      </c>
      <c r="C127" s="490"/>
      <c r="D127" s="490"/>
      <c r="E127" s="358"/>
      <c r="F127" s="358"/>
      <c r="G127" s="358"/>
      <c r="H127" s="358"/>
      <c r="I127" s="358"/>
      <c r="J127" s="358"/>
      <c r="K127" s="358"/>
      <c r="L127" s="358"/>
    </row>
    <row r="128" spans="2:30" outlineLevel="1">
      <c r="B128" s="358">
        <v>1</v>
      </c>
      <c r="C128" s="635" t="s">
        <v>847</v>
      </c>
      <c r="D128" s="490"/>
      <c r="F128" s="358"/>
      <c r="G128" s="358"/>
      <c r="H128" s="358"/>
      <c r="I128" s="358"/>
      <c r="J128" s="358"/>
      <c r="K128" s="358"/>
      <c r="L128" s="358"/>
    </row>
    <row r="129" spans="2:12" outlineLevel="1">
      <c r="B129" s="358">
        <v>2</v>
      </c>
      <c r="C129" s="635" t="s">
        <v>848</v>
      </c>
      <c r="D129" s="490"/>
      <c r="F129" s="358"/>
      <c r="G129" s="358"/>
      <c r="H129" s="358"/>
      <c r="I129" s="358"/>
      <c r="J129" s="358"/>
      <c r="K129" s="358"/>
      <c r="L129" s="358"/>
    </row>
    <row r="130" spans="2:12" outlineLevel="1">
      <c r="B130" s="358">
        <v>3</v>
      </c>
      <c r="C130" s="490" t="s">
        <v>849</v>
      </c>
      <c r="D130" s="490"/>
      <c r="F130" s="358"/>
      <c r="G130" s="358"/>
      <c r="H130" s="358"/>
      <c r="I130" s="358"/>
      <c r="J130" s="358"/>
      <c r="K130" s="358"/>
      <c r="L130" s="358"/>
    </row>
    <row r="131" spans="2:12" outlineLevel="1">
      <c r="B131" s="358">
        <v>4</v>
      </c>
      <c r="C131" s="490" t="s">
        <v>850</v>
      </c>
      <c r="D131" s="490"/>
      <c r="F131" s="358"/>
      <c r="G131" s="358"/>
      <c r="H131" s="358"/>
      <c r="I131" s="358"/>
      <c r="J131" s="358"/>
      <c r="K131" s="358"/>
      <c r="L131" s="358"/>
    </row>
    <row r="132" spans="2:12" outlineLevel="1">
      <c r="B132" s="358">
        <v>5</v>
      </c>
      <c r="C132" s="636" t="s">
        <v>851</v>
      </c>
      <c r="D132" s="490"/>
      <c r="F132" s="358"/>
      <c r="G132" s="358"/>
      <c r="H132" s="358"/>
      <c r="I132" s="358"/>
      <c r="J132" s="358"/>
      <c r="K132" s="358"/>
      <c r="L132" s="358"/>
    </row>
    <row r="133" spans="2:12" outlineLevel="1">
      <c r="B133" s="358">
        <v>6</v>
      </c>
      <c r="C133" s="490" t="s">
        <v>852</v>
      </c>
      <c r="D133" s="490"/>
      <c r="F133" s="358"/>
      <c r="G133" s="358"/>
      <c r="H133" s="358"/>
      <c r="I133" s="358"/>
      <c r="J133" s="358"/>
      <c r="K133" s="358"/>
      <c r="L133" s="358"/>
    </row>
    <row r="134" spans="2:12" outlineLevel="1">
      <c r="B134" s="634" t="s">
        <v>783</v>
      </c>
      <c r="C134" s="358"/>
      <c r="D134" s="490"/>
      <c r="F134" s="358"/>
      <c r="G134" s="358"/>
      <c r="H134" s="358"/>
      <c r="I134" s="358"/>
      <c r="J134" s="358"/>
      <c r="K134" s="358"/>
      <c r="L134" s="358"/>
    </row>
    <row r="135" spans="2:12" outlineLevel="1">
      <c r="B135" s="637" t="s">
        <v>6</v>
      </c>
      <c r="C135" s="490" t="s">
        <v>853</v>
      </c>
      <c r="D135" s="490"/>
      <c r="F135" s="358"/>
      <c r="G135" s="358"/>
      <c r="H135" s="358"/>
      <c r="I135" s="358"/>
      <c r="J135" s="358"/>
      <c r="K135" s="358"/>
      <c r="L135" s="358"/>
    </row>
    <row r="136" spans="2:12" outlineLevel="1">
      <c r="B136" s="637" t="s">
        <v>59</v>
      </c>
      <c r="C136" s="490" t="s">
        <v>854</v>
      </c>
      <c r="D136" s="490"/>
      <c r="F136" s="358"/>
      <c r="G136" s="358"/>
      <c r="H136" s="358"/>
      <c r="I136" s="358"/>
      <c r="J136" s="358"/>
      <c r="K136" s="358"/>
      <c r="L136" s="358"/>
    </row>
    <row r="137" spans="2:12" outlineLevel="1">
      <c r="B137" s="637" t="s">
        <v>16</v>
      </c>
      <c r="C137" s="490" t="s">
        <v>855</v>
      </c>
      <c r="D137" s="490"/>
      <c r="F137" s="358"/>
      <c r="G137" s="358"/>
      <c r="H137" s="358"/>
      <c r="I137" s="358"/>
      <c r="J137" s="358"/>
      <c r="K137" s="358"/>
      <c r="L137" s="358"/>
    </row>
    <row r="138" spans="2:12" outlineLevel="1">
      <c r="B138" s="637" t="s">
        <v>20</v>
      </c>
      <c r="C138" s="490" t="s">
        <v>856</v>
      </c>
      <c r="D138" s="490"/>
      <c r="F138" s="358"/>
      <c r="G138" s="358"/>
      <c r="H138" s="358"/>
      <c r="I138" s="358"/>
      <c r="J138" s="358"/>
      <c r="K138" s="358"/>
      <c r="L138" s="358"/>
    </row>
    <row r="139" spans="2:12" outlineLevel="1">
      <c r="B139" s="637" t="s">
        <v>76</v>
      </c>
      <c r="C139" s="490" t="s">
        <v>857</v>
      </c>
      <c r="D139" s="490"/>
      <c r="F139" s="358"/>
      <c r="G139" s="358"/>
      <c r="H139" s="358"/>
      <c r="I139" s="358"/>
      <c r="J139" s="358"/>
      <c r="K139" s="358"/>
      <c r="L139" s="358"/>
    </row>
    <row r="140" spans="2:12" outlineLevel="1">
      <c r="B140" s="637" t="s">
        <v>25</v>
      </c>
      <c r="C140" s="490" t="s">
        <v>858</v>
      </c>
      <c r="D140" s="358"/>
      <c r="F140" s="358"/>
      <c r="G140" s="358"/>
      <c r="H140" s="358"/>
      <c r="I140" s="358"/>
      <c r="J140" s="358"/>
      <c r="K140" s="358"/>
      <c r="L140" s="358"/>
    </row>
    <row r="141" spans="2:12" outlineLevel="1">
      <c r="B141" s="637" t="s">
        <v>33</v>
      </c>
      <c r="C141" s="489" t="s">
        <v>788</v>
      </c>
      <c r="D141" s="358"/>
      <c r="F141" s="358"/>
      <c r="G141" s="358"/>
      <c r="H141" s="358"/>
      <c r="I141" s="358"/>
      <c r="J141" s="358"/>
      <c r="K141" s="358"/>
      <c r="L141" s="358"/>
    </row>
    <row r="142" spans="2:12" outlineLevel="1">
      <c r="B142" s="637" t="s">
        <v>51</v>
      </c>
      <c r="C142" s="490" t="s">
        <v>859</v>
      </c>
      <c r="D142" s="358"/>
      <c r="G142" s="358"/>
      <c r="H142" s="358"/>
      <c r="I142" s="358"/>
      <c r="J142" s="358"/>
      <c r="K142" s="358"/>
      <c r="L142" s="358"/>
    </row>
    <row r="143" spans="2:12" outlineLevel="1">
      <c r="B143" s="637" t="s">
        <v>52</v>
      </c>
      <c r="C143" s="490" t="s">
        <v>860</v>
      </c>
      <c r="E143" s="490"/>
      <c r="F143" s="490"/>
    </row>
    <row r="144" spans="2:12" outlineLevel="1"/>
    <row r="145" spans="1:44" outlineLevel="1">
      <c r="M145" s="214"/>
    </row>
    <row r="146" spans="1:44" outlineLevel="1"/>
    <row r="149" spans="1:44">
      <c r="A149" s="360" t="s">
        <v>861</v>
      </c>
      <c r="B149" s="1207"/>
      <c r="C149" s="1143"/>
      <c r="D149" s="1143"/>
      <c r="E149" s="1143"/>
      <c r="F149" s="1143"/>
      <c r="G149" s="1143"/>
      <c r="H149" s="1143"/>
      <c r="I149" s="1143"/>
      <c r="J149" s="1143"/>
      <c r="K149" s="1143"/>
      <c r="L149" s="1143"/>
      <c r="M149" s="1143"/>
      <c r="N149" s="689"/>
      <c r="P149" s="1143"/>
      <c r="Q149" s="1143"/>
      <c r="R149" s="1143"/>
      <c r="S149" s="1143"/>
      <c r="T149" s="1143"/>
      <c r="U149" s="1143"/>
    </row>
    <row r="150" spans="1:44" ht="16" outlineLevel="1" thickBot="1">
      <c r="B150" s="1207"/>
      <c r="C150" s="1143"/>
      <c r="D150" s="1143"/>
      <c r="E150" s="1143"/>
      <c r="F150" s="1143"/>
      <c r="G150" s="1143"/>
      <c r="H150" s="1143"/>
      <c r="I150" s="1143"/>
      <c r="J150" s="1143"/>
      <c r="K150" s="1143"/>
      <c r="L150" s="1143"/>
      <c r="M150" s="1143"/>
      <c r="N150" s="689"/>
      <c r="P150" s="1143"/>
      <c r="Q150" s="1143"/>
      <c r="R150" s="1143"/>
      <c r="S150" s="1143"/>
      <c r="T150" s="1143"/>
      <c r="U150" s="1143"/>
    </row>
    <row r="151" spans="1:44" ht="20.5" customHeight="1" outlineLevel="1" thickBot="1">
      <c r="B151" s="362" t="s">
        <v>0</v>
      </c>
      <c r="C151" s="1252" t="s">
        <v>836</v>
      </c>
      <c r="D151" s="1253"/>
      <c r="E151" s="1253"/>
      <c r="F151" s="1253"/>
      <c r="G151" s="1253"/>
      <c r="H151" s="1253"/>
      <c r="I151" s="1253"/>
      <c r="J151" s="1253"/>
      <c r="K151" s="1253"/>
      <c r="L151" s="1254"/>
      <c r="M151" s="363"/>
      <c r="N151" s="363"/>
      <c r="P151" s="364" t="s">
        <v>713</v>
      </c>
      <c r="Q151" s="365"/>
      <c r="R151" s="366"/>
      <c r="S151" s="1176" t="s">
        <v>714</v>
      </c>
      <c r="T151" s="1160" t="s">
        <v>715</v>
      </c>
      <c r="U151" s="1161"/>
      <c r="V151" s="1160" t="s">
        <v>716</v>
      </c>
      <c r="W151" s="1161"/>
      <c r="X151" s="1160" t="s">
        <v>717</v>
      </c>
      <c r="Y151" s="1161"/>
      <c r="Z151" s="1160" t="s">
        <v>718</v>
      </c>
      <c r="AA151" s="1161"/>
      <c r="AB151" s="1160" t="s">
        <v>719</v>
      </c>
      <c r="AC151" s="1161"/>
      <c r="AE151" s="364" t="s">
        <v>720</v>
      </c>
      <c r="AF151" s="365"/>
      <c r="AG151" s="366"/>
      <c r="AH151" s="1176" t="s">
        <v>714</v>
      </c>
      <c r="AI151" s="1160" t="s">
        <v>715</v>
      </c>
      <c r="AJ151" s="1161"/>
      <c r="AK151" s="1160" t="s">
        <v>716</v>
      </c>
      <c r="AL151" s="1161"/>
      <c r="AM151" s="1160" t="s">
        <v>717</v>
      </c>
      <c r="AN151" s="1161"/>
      <c r="AO151" s="1160" t="s">
        <v>718</v>
      </c>
      <c r="AP151" s="1161"/>
      <c r="AQ151" s="1160" t="s">
        <v>719</v>
      </c>
      <c r="AR151" s="1161"/>
    </row>
    <row r="152" spans="1:44" ht="15" customHeight="1" outlineLevel="1" thickBot="1">
      <c r="B152" s="1164" t="s">
        <v>4</v>
      </c>
      <c r="C152" s="1166">
        <v>2020</v>
      </c>
      <c r="D152" s="1166">
        <v>2030</v>
      </c>
      <c r="E152" s="1166">
        <v>2040</v>
      </c>
      <c r="F152" s="1166">
        <v>2050</v>
      </c>
      <c r="G152" s="1230" t="s">
        <v>721</v>
      </c>
      <c r="H152" s="1218"/>
      <c r="I152" s="1217" t="s">
        <v>648</v>
      </c>
      <c r="J152" s="1226"/>
      <c r="K152" s="1219" t="s">
        <v>2</v>
      </c>
      <c r="L152" s="1219" t="s">
        <v>3</v>
      </c>
      <c r="M152" s="367"/>
      <c r="N152" s="367"/>
      <c r="P152" s="1180" t="s">
        <v>0</v>
      </c>
      <c r="Q152" s="368"/>
      <c r="R152" s="368"/>
      <c r="S152" s="1177"/>
      <c r="T152" s="1162"/>
      <c r="U152" s="1163"/>
      <c r="V152" s="1162"/>
      <c r="W152" s="1163"/>
      <c r="X152" s="1162"/>
      <c r="Y152" s="1163"/>
      <c r="Z152" s="1162"/>
      <c r="AA152" s="1163"/>
      <c r="AB152" s="1162"/>
      <c r="AC152" s="1163"/>
      <c r="AE152" s="1180" t="s">
        <v>0</v>
      </c>
      <c r="AF152" s="368"/>
      <c r="AG152" s="368"/>
      <c r="AH152" s="1177"/>
      <c r="AI152" s="1162"/>
      <c r="AJ152" s="1163"/>
      <c r="AK152" s="1162"/>
      <c r="AL152" s="1163"/>
      <c r="AM152" s="1162"/>
      <c r="AN152" s="1163"/>
      <c r="AO152" s="1162"/>
      <c r="AP152" s="1163"/>
      <c r="AQ152" s="1162"/>
      <c r="AR152" s="1163"/>
    </row>
    <row r="153" spans="1:44" ht="15" customHeight="1" outlineLevel="1" thickBot="1">
      <c r="B153" s="1228"/>
      <c r="C153" s="1229"/>
      <c r="D153" s="1229"/>
      <c r="E153" s="1229"/>
      <c r="F153" s="1229"/>
      <c r="G153" s="369" t="s">
        <v>649</v>
      </c>
      <c r="H153" s="369" t="s">
        <v>650</v>
      </c>
      <c r="I153" s="369" t="s">
        <v>649</v>
      </c>
      <c r="J153" s="369" t="s">
        <v>650</v>
      </c>
      <c r="K153" s="1227"/>
      <c r="L153" s="1227"/>
      <c r="M153" s="370"/>
      <c r="N153" s="370"/>
      <c r="P153" s="1181"/>
      <c r="Q153" s="1183" t="s">
        <v>722</v>
      </c>
      <c r="R153" s="1184" t="s">
        <v>723</v>
      </c>
      <c r="S153" s="1178"/>
      <c r="T153" s="1162"/>
      <c r="U153" s="1163"/>
      <c r="V153" s="1162"/>
      <c r="W153" s="1163"/>
      <c r="X153" s="1162"/>
      <c r="Y153" s="1163"/>
      <c r="Z153" s="1162"/>
      <c r="AA153" s="1163"/>
      <c r="AB153" s="1162"/>
      <c r="AC153" s="1163"/>
      <c r="AE153" s="1181"/>
      <c r="AF153" s="1197" t="s">
        <v>722</v>
      </c>
      <c r="AG153" s="1184" t="s">
        <v>723</v>
      </c>
      <c r="AH153" s="1178"/>
      <c r="AI153" s="1162"/>
      <c r="AJ153" s="1163"/>
      <c r="AK153" s="1162"/>
      <c r="AL153" s="1163"/>
      <c r="AM153" s="1162"/>
      <c r="AN153" s="1163"/>
      <c r="AO153" s="1162"/>
      <c r="AP153" s="1163"/>
      <c r="AQ153" s="1162"/>
      <c r="AR153" s="1163"/>
    </row>
    <row r="154" spans="1:44" ht="33" outlineLevel="1" thickBot="1">
      <c r="B154" s="371" t="s">
        <v>651</v>
      </c>
      <c r="C154" s="372">
        <v>3</v>
      </c>
      <c r="D154" s="372">
        <v>3</v>
      </c>
      <c r="E154" s="372">
        <v>3</v>
      </c>
      <c r="F154" s="372">
        <v>3</v>
      </c>
      <c r="G154" s="372">
        <v>0.5</v>
      </c>
      <c r="H154" s="372">
        <v>5</v>
      </c>
      <c r="I154" s="372">
        <v>0.5</v>
      </c>
      <c r="J154" s="372">
        <v>5</v>
      </c>
      <c r="K154" s="372" t="s">
        <v>6</v>
      </c>
      <c r="L154" s="373" t="s">
        <v>837</v>
      </c>
      <c r="M154" s="370"/>
      <c r="N154" s="370"/>
      <c r="O154" s="74"/>
      <c r="P154" s="1182"/>
      <c r="Q154" s="1179"/>
      <c r="R154" s="1185"/>
      <c r="S154" s="1179"/>
      <c r="T154" s="374" t="s">
        <v>726</v>
      </c>
      <c r="U154" s="375" t="s">
        <v>727</v>
      </c>
      <c r="V154" s="374" t="s">
        <v>726</v>
      </c>
      <c r="W154" s="375" t="s">
        <v>727</v>
      </c>
      <c r="X154" s="374" t="s">
        <v>726</v>
      </c>
      <c r="Y154" s="375" t="s">
        <v>727</v>
      </c>
      <c r="Z154" s="374" t="s">
        <v>726</v>
      </c>
      <c r="AA154" s="375" t="s">
        <v>727</v>
      </c>
      <c r="AB154" s="374" t="s">
        <v>726</v>
      </c>
      <c r="AC154" s="375" t="s">
        <v>727</v>
      </c>
      <c r="AE154" s="1182"/>
      <c r="AF154" s="1198"/>
      <c r="AG154" s="1185"/>
      <c r="AH154" s="1179"/>
      <c r="AI154" s="374" t="s">
        <v>726</v>
      </c>
      <c r="AJ154" s="375" t="s">
        <v>727</v>
      </c>
      <c r="AK154" s="374" t="s">
        <v>726</v>
      </c>
      <c r="AL154" s="375" t="s">
        <v>727</v>
      </c>
      <c r="AM154" s="374" t="s">
        <v>726</v>
      </c>
      <c r="AN154" s="375" t="s">
        <v>727</v>
      </c>
      <c r="AO154" s="374" t="s">
        <v>726</v>
      </c>
      <c r="AP154" s="375" t="s">
        <v>727</v>
      </c>
      <c r="AQ154" s="374" t="s">
        <v>726</v>
      </c>
      <c r="AR154" s="375" t="s">
        <v>727</v>
      </c>
    </row>
    <row r="155" spans="1:44" ht="14.5" customHeight="1" outlineLevel="1">
      <c r="B155" s="376" t="s">
        <v>728</v>
      </c>
      <c r="C155" s="377">
        <v>533</v>
      </c>
      <c r="D155" s="377">
        <f>C155*1.03</f>
        <v>548.99</v>
      </c>
      <c r="E155" s="378">
        <f>D155*1.02</f>
        <v>559.96979999999996</v>
      </c>
      <c r="F155" s="377">
        <f>E155*1.01</f>
        <v>565.56949799999995</v>
      </c>
      <c r="G155" s="377">
        <f>C155</f>
        <v>533</v>
      </c>
      <c r="H155" s="377">
        <f>C155*1.05</f>
        <v>559.65</v>
      </c>
      <c r="I155" s="377">
        <f>F155*0.97</f>
        <v>548.60241305999989</v>
      </c>
      <c r="J155" s="377">
        <f>F155*1.02</f>
        <v>576.88088796</v>
      </c>
      <c r="K155" s="379" t="s">
        <v>59</v>
      </c>
      <c r="L155" s="380" t="s">
        <v>837</v>
      </c>
      <c r="M155" s="370"/>
      <c r="N155" s="370"/>
      <c r="P155" s="1199" t="str">
        <f>C151</f>
        <v>Heat pump, up to 60 °C, Temp lift = 40 K</v>
      </c>
      <c r="Q155" s="1154" t="s">
        <v>730</v>
      </c>
      <c r="R155" s="381" t="s">
        <v>731</v>
      </c>
      <c r="S155" s="382"/>
      <c r="T155" s="1137">
        <v>0</v>
      </c>
      <c r="U155" s="1151">
        <v>0</v>
      </c>
      <c r="V155" s="1137">
        <v>0</v>
      </c>
      <c r="W155" s="1151">
        <v>0</v>
      </c>
      <c r="X155" s="1137">
        <v>0</v>
      </c>
      <c r="Y155" s="1151">
        <v>0</v>
      </c>
      <c r="Z155" s="1137">
        <v>0</v>
      </c>
      <c r="AA155" s="1151">
        <v>0</v>
      </c>
      <c r="AB155" s="1137">
        <v>0</v>
      </c>
      <c r="AC155" s="1151">
        <v>0</v>
      </c>
      <c r="AE155" s="1148" t="str">
        <f>P155</f>
        <v>Heat pump, up to 60 °C, Temp lift = 40 K</v>
      </c>
      <c r="AF155" s="1154" t="s">
        <v>730</v>
      </c>
      <c r="AG155" s="381" t="s">
        <v>731</v>
      </c>
      <c r="AH155" s="382"/>
      <c r="AI155" s="1137">
        <v>0</v>
      </c>
      <c r="AJ155" s="1151">
        <v>0</v>
      </c>
      <c r="AK155" s="1137">
        <v>0</v>
      </c>
      <c r="AL155" s="1151">
        <v>0</v>
      </c>
      <c r="AM155" s="1137">
        <v>0</v>
      </c>
      <c r="AN155" s="1151">
        <v>0</v>
      </c>
      <c r="AO155" s="1137">
        <v>0</v>
      </c>
      <c r="AP155" s="1151">
        <v>0</v>
      </c>
      <c r="AQ155" s="1137">
        <v>0</v>
      </c>
      <c r="AR155" s="1151">
        <v>0</v>
      </c>
    </row>
    <row r="156" spans="1:44" outlineLevel="1">
      <c r="B156" s="383" t="s">
        <v>732</v>
      </c>
      <c r="C156" s="384">
        <f>C155-5</f>
        <v>528</v>
      </c>
      <c r="D156" s="384">
        <f t="shared" ref="D156:J156" si="8">D155-5</f>
        <v>543.99</v>
      </c>
      <c r="E156" s="384">
        <f t="shared" si="8"/>
        <v>554.96979999999996</v>
      </c>
      <c r="F156" s="384">
        <f t="shared" si="8"/>
        <v>560.56949799999995</v>
      </c>
      <c r="G156" s="385">
        <f t="shared" si="8"/>
        <v>528</v>
      </c>
      <c r="H156" s="385">
        <f t="shared" si="8"/>
        <v>554.65</v>
      </c>
      <c r="I156" s="385">
        <f t="shared" si="8"/>
        <v>543.60241305999989</v>
      </c>
      <c r="J156" s="385">
        <f t="shared" si="8"/>
        <v>571.88088796</v>
      </c>
      <c r="K156" s="386" t="s">
        <v>838</v>
      </c>
      <c r="L156" s="387"/>
      <c r="M156" s="370"/>
      <c r="N156" s="370"/>
      <c r="O156" s="71"/>
      <c r="P156" s="1195"/>
      <c r="Q156" s="1155"/>
      <c r="R156" s="388" t="s">
        <v>733</v>
      </c>
      <c r="S156" s="389"/>
      <c r="T156" s="1140"/>
      <c r="U156" s="1152"/>
      <c r="V156" s="1140"/>
      <c r="W156" s="1152"/>
      <c r="X156" s="1140"/>
      <c r="Y156" s="1152"/>
      <c r="Z156" s="1140"/>
      <c r="AA156" s="1152"/>
      <c r="AB156" s="1140"/>
      <c r="AC156" s="1152"/>
      <c r="AE156" s="1195"/>
      <c r="AF156" s="1155"/>
      <c r="AG156" s="388" t="s">
        <v>733</v>
      </c>
      <c r="AH156" s="389"/>
      <c r="AI156" s="1140"/>
      <c r="AJ156" s="1152"/>
      <c r="AK156" s="1140"/>
      <c r="AL156" s="1152"/>
      <c r="AM156" s="1140"/>
      <c r="AN156" s="1152"/>
      <c r="AO156" s="1140"/>
      <c r="AP156" s="1152"/>
      <c r="AQ156" s="1140"/>
      <c r="AR156" s="1152"/>
    </row>
    <row r="157" spans="1:44" ht="16" outlineLevel="1" thickBot="1">
      <c r="B157" s="376" t="s">
        <v>734</v>
      </c>
      <c r="C157" s="390">
        <v>2</v>
      </c>
      <c r="D157" s="391">
        <v>2</v>
      </c>
      <c r="E157" s="391">
        <v>2</v>
      </c>
      <c r="F157" s="392">
        <v>2</v>
      </c>
      <c r="G157" s="391">
        <v>1</v>
      </c>
      <c r="H157" s="391">
        <v>4</v>
      </c>
      <c r="I157" s="391">
        <v>1</v>
      </c>
      <c r="J157" s="391">
        <v>4</v>
      </c>
      <c r="K157" s="379"/>
      <c r="L157" s="380">
        <v>1.4</v>
      </c>
      <c r="M157" s="370"/>
      <c r="N157" s="370"/>
      <c r="O157" s="71"/>
      <c r="P157" s="1195"/>
      <c r="Q157" s="1156"/>
      <c r="R157" s="393" t="s">
        <v>735</v>
      </c>
      <c r="S157" s="394"/>
      <c r="T157" s="1141"/>
      <c r="U157" s="1153"/>
      <c r="V157" s="1141"/>
      <c r="W157" s="1153"/>
      <c r="X157" s="1141"/>
      <c r="Y157" s="1153"/>
      <c r="Z157" s="1141"/>
      <c r="AA157" s="1153"/>
      <c r="AB157" s="1141"/>
      <c r="AC157" s="1153"/>
      <c r="AE157" s="1195"/>
      <c r="AF157" s="1156"/>
      <c r="AG157" s="393" t="s">
        <v>735</v>
      </c>
      <c r="AH157" s="394"/>
      <c r="AI157" s="1141"/>
      <c r="AJ157" s="1153"/>
      <c r="AK157" s="1141"/>
      <c r="AL157" s="1153"/>
      <c r="AM157" s="1141"/>
      <c r="AN157" s="1153"/>
      <c r="AO157" s="1141"/>
      <c r="AP157" s="1153"/>
      <c r="AQ157" s="1141"/>
      <c r="AR157" s="1153"/>
    </row>
    <row r="158" spans="1:44" ht="14.5" customHeight="1" outlineLevel="1">
      <c r="B158" s="376" t="s">
        <v>657</v>
      </c>
      <c r="C158" s="390">
        <v>0</v>
      </c>
      <c r="D158" s="390">
        <v>0</v>
      </c>
      <c r="E158" s="390">
        <v>0</v>
      </c>
      <c r="F158" s="390">
        <v>0</v>
      </c>
      <c r="G158" s="390">
        <v>0</v>
      </c>
      <c r="H158" s="390">
        <v>1</v>
      </c>
      <c r="I158" s="390">
        <v>0</v>
      </c>
      <c r="J158" s="390">
        <v>1</v>
      </c>
      <c r="K158" s="379" t="s">
        <v>20</v>
      </c>
      <c r="L158" s="380"/>
      <c r="M158" s="370"/>
      <c r="N158" s="370"/>
      <c r="O158" s="71"/>
      <c r="P158" s="1195"/>
      <c r="Q158" s="1154" t="s">
        <v>736</v>
      </c>
      <c r="R158" s="395" t="s">
        <v>737</v>
      </c>
      <c r="S158" s="396" t="s">
        <v>738</v>
      </c>
      <c r="T158" s="1137">
        <v>0</v>
      </c>
      <c r="U158" s="1137">
        <v>0.16</v>
      </c>
      <c r="V158" s="1137">
        <v>0</v>
      </c>
      <c r="W158" s="1137">
        <v>0.16</v>
      </c>
      <c r="X158" s="1137">
        <v>0</v>
      </c>
      <c r="Y158" s="1137">
        <v>0.13</v>
      </c>
      <c r="Z158" s="1137">
        <v>0</v>
      </c>
      <c r="AA158" s="1137">
        <v>7.0000000000000007E-2</v>
      </c>
      <c r="AB158" s="1137">
        <v>0</v>
      </c>
      <c r="AC158" s="1151">
        <v>0.11</v>
      </c>
      <c r="AE158" s="1195"/>
      <c r="AF158" s="1154" t="s">
        <v>736</v>
      </c>
      <c r="AG158" s="395" t="s">
        <v>737</v>
      </c>
      <c r="AH158" s="396" t="s">
        <v>738</v>
      </c>
      <c r="AI158" s="1137">
        <v>0</v>
      </c>
      <c r="AJ158" s="1137">
        <f>U158/4</f>
        <v>0.04</v>
      </c>
      <c r="AK158" s="1137">
        <v>0</v>
      </c>
      <c r="AL158" s="1137">
        <f>W158/4</f>
        <v>0.04</v>
      </c>
      <c r="AM158" s="1137">
        <v>0</v>
      </c>
      <c r="AN158" s="1137">
        <f>Y158/4</f>
        <v>3.2500000000000001E-2</v>
      </c>
      <c r="AO158" s="1137">
        <v>0</v>
      </c>
      <c r="AP158" s="1137">
        <f>AA158/4</f>
        <v>1.7500000000000002E-2</v>
      </c>
      <c r="AQ158" s="1137">
        <v>0</v>
      </c>
      <c r="AR158" s="1151">
        <f>AC158/4</f>
        <v>2.75E-2</v>
      </c>
    </row>
    <row r="159" spans="1:44" outlineLevel="1">
      <c r="B159" s="376" t="s">
        <v>658</v>
      </c>
      <c r="C159" s="390">
        <v>1</v>
      </c>
      <c r="D159" s="390">
        <v>1</v>
      </c>
      <c r="E159" s="390">
        <v>1</v>
      </c>
      <c r="F159" s="390">
        <v>1</v>
      </c>
      <c r="G159" s="390">
        <v>0.5</v>
      </c>
      <c r="H159" s="390">
        <v>2</v>
      </c>
      <c r="I159" s="390">
        <v>0.5</v>
      </c>
      <c r="J159" s="390">
        <v>2</v>
      </c>
      <c r="K159" s="379"/>
      <c r="L159" s="380">
        <v>1.4</v>
      </c>
      <c r="M159" s="367"/>
      <c r="N159" s="367"/>
      <c r="O159" s="71"/>
      <c r="P159" s="1195"/>
      <c r="Q159" s="1155"/>
      <c r="R159" s="395" t="s">
        <v>739</v>
      </c>
      <c r="S159" s="396" t="s">
        <v>738</v>
      </c>
      <c r="T159" s="1138"/>
      <c r="U159" s="1138"/>
      <c r="V159" s="1138"/>
      <c r="W159" s="1138"/>
      <c r="X159" s="1138"/>
      <c r="Y159" s="1138"/>
      <c r="Z159" s="1138"/>
      <c r="AA159" s="1138"/>
      <c r="AB159" s="1138"/>
      <c r="AC159" s="1255"/>
      <c r="AE159" s="1195"/>
      <c r="AF159" s="1155"/>
      <c r="AG159" s="395" t="s">
        <v>739</v>
      </c>
      <c r="AH159" s="396" t="s">
        <v>738</v>
      </c>
      <c r="AI159" s="1138"/>
      <c r="AJ159" s="1138"/>
      <c r="AK159" s="1138"/>
      <c r="AL159" s="1138"/>
      <c r="AM159" s="1138"/>
      <c r="AN159" s="1138"/>
      <c r="AO159" s="1138"/>
      <c r="AP159" s="1138"/>
      <c r="AQ159" s="1138"/>
      <c r="AR159" s="1255"/>
    </row>
    <row r="160" spans="1:44" outlineLevel="1">
      <c r="B160" s="383" t="s">
        <v>11</v>
      </c>
      <c r="C160" s="397">
        <v>20</v>
      </c>
      <c r="D160" s="397">
        <v>20</v>
      </c>
      <c r="E160" s="397">
        <v>20</v>
      </c>
      <c r="F160" s="397">
        <v>20</v>
      </c>
      <c r="G160" s="398">
        <v>15</v>
      </c>
      <c r="H160" s="398">
        <v>30</v>
      </c>
      <c r="I160" s="398">
        <v>15</v>
      </c>
      <c r="J160" s="398">
        <v>30</v>
      </c>
      <c r="K160" s="372"/>
      <c r="L160" s="373">
        <v>4</v>
      </c>
      <c r="M160" s="363"/>
      <c r="N160" s="363"/>
      <c r="P160" s="1195"/>
      <c r="Q160" s="1155"/>
      <c r="R160" s="395" t="s">
        <v>741</v>
      </c>
      <c r="S160" s="396"/>
      <c r="T160" s="1138"/>
      <c r="U160" s="1138"/>
      <c r="V160" s="1138"/>
      <c r="W160" s="1138"/>
      <c r="X160" s="1138"/>
      <c r="Y160" s="1138"/>
      <c r="Z160" s="1138"/>
      <c r="AA160" s="1138"/>
      <c r="AB160" s="1138"/>
      <c r="AC160" s="1255"/>
      <c r="AE160" s="1195"/>
      <c r="AF160" s="1155"/>
      <c r="AG160" s="395" t="s">
        <v>741</v>
      </c>
      <c r="AH160" s="629" t="s">
        <v>842</v>
      </c>
      <c r="AI160" s="1138"/>
      <c r="AJ160" s="1138"/>
      <c r="AK160" s="1138"/>
      <c r="AL160" s="1138"/>
      <c r="AM160" s="1138"/>
      <c r="AN160" s="1138"/>
      <c r="AO160" s="1138"/>
      <c r="AP160" s="1138"/>
      <c r="AQ160" s="1138"/>
      <c r="AR160" s="1255"/>
    </row>
    <row r="161" spans="1:44" ht="16" outlineLevel="1" thickBot="1">
      <c r="B161" s="376" t="s">
        <v>273</v>
      </c>
      <c r="C161" s="399">
        <v>0.5</v>
      </c>
      <c r="D161" s="399">
        <v>0.5</v>
      </c>
      <c r="E161" s="399">
        <v>0.5</v>
      </c>
      <c r="F161" s="399">
        <v>0.5</v>
      </c>
      <c r="G161" s="399">
        <v>0.3</v>
      </c>
      <c r="H161" s="399">
        <v>0.7</v>
      </c>
      <c r="I161" s="399">
        <v>0.3</v>
      </c>
      <c r="J161" s="399">
        <v>0.7</v>
      </c>
      <c r="K161" s="372"/>
      <c r="L161" s="400">
        <v>4</v>
      </c>
      <c r="M161" s="363"/>
      <c r="N161" s="363"/>
      <c r="P161" s="1195"/>
      <c r="Q161" s="1155"/>
      <c r="R161" s="395" t="s">
        <v>742</v>
      </c>
      <c r="S161" s="396"/>
      <c r="T161" s="1138"/>
      <c r="U161" s="1138"/>
      <c r="V161" s="1138"/>
      <c r="W161" s="1138"/>
      <c r="X161" s="1138"/>
      <c r="Y161" s="1138"/>
      <c r="Z161" s="1138"/>
      <c r="AA161" s="1138"/>
      <c r="AB161" s="1138"/>
      <c r="AC161" s="1255"/>
      <c r="AE161" s="1195"/>
      <c r="AF161" s="1155"/>
      <c r="AG161" s="395" t="s">
        <v>742</v>
      </c>
      <c r="AH161" s="396" t="s">
        <v>738</v>
      </c>
      <c r="AI161" s="1138"/>
      <c r="AJ161" s="1138"/>
      <c r="AK161" s="1138"/>
      <c r="AL161" s="1138"/>
      <c r="AM161" s="1138"/>
      <c r="AN161" s="1138"/>
      <c r="AO161" s="1138"/>
      <c r="AP161" s="1138"/>
      <c r="AQ161" s="1138"/>
      <c r="AR161" s="1255"/>
    </row>
    <row r="162" spans="1:44" ht="16" outlineLevel="1" thickBot="1">
      <c r="B162" s="401" t="s">
        <v>743</v>
      </c>
      <c r="C162" s="402"/>
      <c r="D162" s="403"/>
      <c r="E162" s="404"/>
      <c r="F162" s="405"/>
      <c r="G162" s="406"/>
      <c r="H162" s="406"/>
      <c r="I162" s="406"/>
      <c r="J162" s="406"/>
      <c r="K162" s="407"/>
      <c r="L162" s="408"/>
      <c r="M162" s="363"/>
      <c r="N162" s="363"/>
      <c r="P162" s="1195"/>
      <c r="Q162" s="1155"/>
      <c r="R162" s="409" t="s">
        <v>744</v>
      </c>
      <c r="S162" s="410" t="s">
        <v>738</v>
      </c>
      <c r="T162" s="1139"/>
      <c r="U162" s="1139"/>
      <c r="V162" s="1139"/>
      <c r="W162" s="1139"/>
      <c r="X162" s="1139"/>
      <c r="Y162" s="1139"/>
      <c r="Z162" s="1139"/>
      <c r="AA162" s="1139"/>
      <c r="AB162" s="1139"/>
      <c r="AC162" s="1256"/>
      <c r="AE162" s="1195"/>
      <c r="AF162" s="1155"/>
      <c r="AG162" s="409" t="s">
        <v>744</v>
      </c>
      <c r="AH162" s="410" t="s">
        <v>738</v>
      </c>
      <c r="AI162" s="1139"/>
      <c r="AJ162" s="1139"/>
      <c r="AK162" s="1139"/>
      <c r="AL162" s="1139"/>
      <c r="AM162" s="1139"/>
      <c r="AN162" s="1139"/>
      <c r="AO162" s="1139"/>
      <c r="AP162" s="1139"/>
      <c r="AQ162" s="1139"/>
      <c r="AR162" s="1256"/>
    </row>
    <row r="163" spans="1:44" ht="33" outlineLevel="1" thickBot="1">
      <c r="B163" s="376" t="s">
        <v>663</v>
      </c>
      <c r="C163" s="390">
        <v>10</v>
      </c>
      <c r="D163" s="390">
        <v>10</v>
      </c>
      <c r="E163" s="390">
        <v>10</v>
      </c>
      <c r="F163" s="390">
        <v>10</v>
      </c>
      <c r="G163" s="391"/>
      <c r="H163" s="391"/>
      <c r="I163" s="391"/>
      <c r="J163" s="391"/>
      <c r="K163" s="379"/>
      <c r="L163" s="380">
        <v>4</v>
      </c>
      <c r="M163" s="363"/>
      <c r="N163" s="363"/>
      <c r="P163" s="1196"/>
      <c r="Q163" s="411" t="s">
        <v>745</v>
      </c>
      <c r="R163" s="412" t="s">
        <v>746</v>
      </c>
      <c r="S163" s="630" t="s">
        <v>738</v>
      </c>
      <c r="T163" s="416">
        <v>0</v>
      </c>
      <c r="U163" s="415">
        <f>T163</f>
        <v>0</v>
      </c>
      <c r="V163" s="416">
        <v>0</v>
      </c>
      <c r="W163" s="415">
        <f>V163</f>
        <v>0</v>
      </c>
      <c r="X163" s="416">
        <v>0</v>
      </c>
      <c r="Y163" s="415">
        <f>X163</f>
        <v>0</v>
      </c>
      <c r="Z163" s="416">
        <v>0</v>
      </c>
      <c r="AA163" s="415">
        <f>Z163</f>
        <v>0</v>
      </c>
      <c r="AB163" s="416">
        <v>0</v>
      </c>
      <c r="AC163" s="417">
        <f>AB163</f>
        <v>0</v>
      </c>
      <c r="AE163" s="1196"/>
      <c r="AF163" s="411" t="s">
        <v>745</v>
      </c>
      <c r="AG163" s="1249" t="s">
        <v>746</v>
      </c>
      <c r="AH163" s="1250"/>
      <c r="AI163" s="416">
        <v>0</v>
      </c>
      <c r="AJ163" s="415">
        <f>AI163</f>
        <v>0</v>
      </c>
      <c r="AK163" s="416">
        <v>0</v>
      </c>
      <c r="AL163" s="415">
        <f>AK163</f>
        <v>0</v>
      </c>
      <c r="AM163" s="416">
        <v>0</v>
      </c>
      <c r="AN163" s="415">
        <f>AM163</f>
        <v>0</v>
      </c>
      <c r="AO163" s="416">
        <v>0</v>
      </c>
      <c r="AP163" s="415">
        <f>AO163</f>
        <v>0</v>
      </c>
      <c r="AQ163" s="416">
        <v>0</v>
      </c>
      <c r="AR163" s="417">
        <f>AQ163</f>
        <v>0</v>
      </c>
    </row>
    <row r="164" spans="1:44" outlineLevel="1">
      <c r="B164" s="376" t="s">
        <v>664</v>
      </c>
      <c r="C164" s="390">
        <v>0.25</v>
      </c>
      <c r="D164" s="390">
        <v>0.25</v>
      </c>
      <c r="E164" s="390">
        <v>0.25</v>
      </c>
      <c r="F164" s="390">
        <v>0.25</v>
      </c>
      <c r="G164" s="418"/>
      <c r="H164" s="418"/>
      <c r="I164" s="418"/>
      <c r="J164" s="418"/>
      <c r="K164" s="419"/>
      <c r="L164" s="380">
        <v>4</v>
      </c>
      <c r="M164" s="363"/>
      <c r="N164" s="363"/>
    </row>
    <row r="165" spans="1:44" outlineLevel="1">
      <c r="B165" s="376" t="s">
        <v>666</v>
      </c>
      <c r="C165" s="390">
        <v>1</v>
      </c>
      <c r="D165" s="390">
        <v>1</v>
      </c>
      <c r="E165" s="390">
        <v>1</v>
      </c>
      <c r="F165" s="390">
        <v>1</v>
      </c>
      <c r="G165" s="418"/>
      <c r="H165" s="418"/>
      <c r="I165" s="418"/>
      <c r="J165" s="418"/>
      <c r="K165" s="419"/>
      <c r="L165" s="380">
        <v>1</v>
      </c>
      <c r="M165" s="420"/>
      <c r="N165" s="363"/>
    </row>
    <row r="166" spans="1:44" outlineLevel="1">
      <c r="B166" s="421" t="s">
        <v>12</v>
      </c>
      <c r="C166" s="399"/>
      <c r="D166" s="399"/>
      <c r="E166" s="399"/>
      <c r="F166" s="399"/>
      <c r="G166" s="422"/>
      <c r="H166" s="422"/>
      <c r="I166" s="422"/>
      <c r="J166" s="422"/>
      <c r="K166" s="423"/>
      <c r="L166" s="424"/>
      <c r="M166" s="420"/>
      <c r="N166" s="420"/>
    </row>
    <row r="167" spans="1:44" outlineLevel="1">
      <c r="B167" s="383" t="s">
        <v>843</v>
      </c>
      <c r="C167" s="1231" t="s">
        <v>669</v>
      </c>
      <c r="D167" s="1232"/>
      <c r="E167" s="1232"/>
      <c r="F167" s="1233"/>
      <c r="G167" s="422"/>
      <c r="H167" s="425"/>
      <c r="I167" s="425"/>
      <c r="J167" s="425"/>
      <c r="K167" s="426"/>
      <c r="L167" s="427"/>
      <c r="M167" s="428"/>
      <c r="N167" s="428"/>
    </row>
    <row r="168" spans="1:44" outlineLevel="1">
      <c r="B168" s="383" t="s">
        <v>749</v>
      </c>
      <c r="C168" s="1234"/>
      <c r="D168" s="1251"/>
      <c r="E168" s="1251"/>
      <c r="F168" s="1236"/>
      <c r="G168" s="425"/>
      <c r="H168" s="425"/>
      <c r="I168" s="425"/>
      <c r="J168" s="425"/>
      <c r="K168" s="423"/>
      <c r="L168" s="427"/>
      <c r="M168" s="428"/>
      <c r="N168" s="428"/>
    </row>
    <row r="169" spans="1:44" outlineLevel="1">
      <c r="B169" s="383" t="s">
        <v>844</v>
      </c>
      <c r="C169" s="1234"/>
      <c r="D169" s="1251"/>
      <c r="E169" s="1251"/>
      <c r="F169" s="1236"/>
      <c r="G169" s="425"/>
      <c r="H169" s="425"/>
      <c r="I169" s="425"/>
      <c r="J169" s="425"/>
      <c r="K169" s="423"/>
      <c r="L169" s="427"/>
      <c r="M169" s="428"/>
      <c r="N169" s="428"/>
    </row>
    <row r="170" spans="1:44" outlineLevel="1">
      <c r="B170" s="383" t="s">
        <v>366</v>
      </c>
      <c r="C170" s="1234"/>
      <c r="D170" s="1251"/>
      <c r="E170" s="1251"/>
      <c r="F170" s="1236"/>
      <c r="G170" s="425"/>
      <c r="H170" s="425"/>
      <c r="I170" s="425"/>
      <c r="J170" s="425"/>
      <c r="K170" s="423"/>
      <c r="L170" s="427"/>
      <c r="M170" s="428"/>
      <c r="N170" s="428"/>
    </row>
    <row r="171" spans="1:44" ht="16" outlineLevel="1" thickBot="1">
      <c r="B171" s="429" t="s">
        <v>367</v>
      </c>
      <c r="C171" s="1237"/>
      <c r="D171" s="1238"/>
      <c r="E171" s="1238"/>
      <c r="F171" s="1239"/>
      <c r="G171" s="425"/>
      <c r="H171" s="425"/>
      <c r="I171" s="425"/>
      <c r="J171" s="425"/>
      <c r="K171" s="423"/>
      <c r="L171" s="427"/>
      <c r="M171" s="428"/>
      <c r="N171" s="428"/>
    </row>
    <row r="172" spans="1:44" ht="16" outlineLevel="1" thickBot="1">
      <c r="B172" s="431" t="s">
        <v>674</v>
      </c>
      <c r="C172" s="432"/>
      <c r="D172" s="403"/>
      <c r="E172" s="403"/>
      <c r="F172" s="433"/>
      <c r="G172" s="434"/>
      <c r="H172" s="406"/>
      <c r="I172" s="406"/>
      <c r="J172" s="406"/>
      <c r="K172" s="407"/>
      <c r="L172" s="408"/>
      <c r="M172" s="428"/>
      <c r="N172" s="428"/>
    </row>
    <row r="173" spans="1:44" outlineLevel="1">
      <c r="A173" s="435"/>
      <c r="B173" s="436" t="s">
        <v>751</v>
      </c>
      <c r="C173" s="437">
        <v>0.73</v>
      </c>
      <c r="D173" s="438">
        <v>0.65</v>
      </c>
      <c r="E173" s="438">
        <v>0.6</v>
      </c>
      <c r="F173" s="439">
        <v>0.57999999999999996</v>
      </c>
      <c r="G173" s="425"/>
      <c r="H173" s="425"/>
      <c r="I173" s="425"/>
      <c r="J173" s="425"/>
      <c r="K173" s="426"/>
      <c r="L173" s="440">
        <v>1</v>
      </c>
      <c r="M173" s="420"/>
      <c r="N173" s="420"/>
    </row>
    <row r="174" spans="1:44" outlineLevel="1">
      <c r="B174" s="441" t="s">
        <v>839</v>
      </c>
      <c r="C174" s="627">
        <v>60</v>
      </c>
      <c r="D174" s="443">
        <v>60</v>
      </c>
      <c r="E174" s="443">
        <v>60</v>
      </c>
      <c r="F174" s="443">
        <v>60</v>
      </c>
      <c r="G174" s="425"/>
      <c r="H174" s="425"/>
      <c r="I174" s="425"/>
      <c r="J174" s="425"/>
      <c r="K174" s="444" t="s">
        <v>76</v>
      </c>
      <c r="L174" s="373">
        <v>6</v>
      </c>
      <c r="M174" s="71"/>
      <c r="N174" s="420"/>
    </row>
    <row r="175" spans="1:44" outlineLevel="1">
      <c r="B175" s="441" t="s">
        <v>840</v>
      </c>
      <c r="C175" s="627">
        <v>40</v>
      </c>
      <c r="D175" s="627">
        <v>40</v>
      </c>
      <c r="E175" s="627">
        <v>40</v>
      </c>
      <c r="F175" s="627">
        <v>40</v>
      </c>
      <c r="G175" s="425"/>
      <c r="H175" s="425"/>
      <c r="I175" s="425"/>
      <c r="J175" s="425"/>
      <c r="K175" s="444" t="s">
        <v>25</v>
      </c>
      <c r="L175" s="373">
        <v>6</v>
      </c>
      <c r="M175" s="420"/>
      <c r="N175" s="420"/>
    </row>
    <row r="176" spans="1:44" outlineLevel="1">
      <c r="B176" s="383" t="s">
        <v>841</v>
      </c>
      <c r="C176" s="445">
        <v>2000</v>
      </c>
      <c r="D176" s="446">
        <v>2000</v>
      </c>
      <c r="E176" s="446">
        <v>2000</v>
      </c>
      <c r="F176" s="447">
        <v>2000</v>
      </c>
      <c r="G176" s="425"/>
      <c r="H176" s="425"/>
      <c r="I176" s="425"/>
      <c r="J176" s="425"/>
      <c r="K176" s="448"/>
      <c r="L176" s="373">
        <v>4.5</v>
      </c>
      <c r="M176" s="420"/>
      <c r="N176" s="420"/>
    </row>
    <row r="177" spans="2:30" ht="16" outlineLevel="1" thickBot="1">
      <c r="B177" s="383" t="s">
        <v>679</v>
      </c>
      <c r="C177" s="449">
        <f>SUM(C178:C179)</f>
        <v>3.26</v>
      </c>
      <c r="D177" s="449">
        <f>SUM(D178:D179)</f>
        <v>3.2</v>
      </c>
      <c r="E177" s="449">
        <f>(D177+F177)/2</f>
        <v>3.16</v>
      </c>
      <c r="F177" s="449">
        <f>SUM(F178:F179)</f>
        <v>3.12</v>
      </c>
      <c r="G177" s="425"/>
      <c r="H177" s="425"/>
      <c r="I177" s="425"/>
      <c r="J177" s="425"/>
      <c r="K177" s="448"/>
      <c r="L177" s="373">
        <v>4</v>
      </c>
      <c r="M177" s="688"/>
      <c r="N177" s="689"/>
      <c r="P177" s="1142">
        <f>C177</f>
        <v>3.26</v>
      </c>
      <c r="Q177" s="1143"/>
      <c r="R177" s="1143"/>
      <c r="S177" s="1143"/>
      <c r="T177" s="1143"/>
      <c r="U177" s="1144"/>
    </row>
    <row r="178" spans="2:30" ht="16" outlineLevel="1" thickBot="1">
      <c r="B178" s="451" t="s">
        <v>758</v>
      </c>
      <c r="C178" s="452">
        <f>C157/100*73</f>
        <v>1.46</v>
      </c>
      <c r="D178" s="452">
        <f>D157/100*75</f>
        <v>1.5</v>
      </c>
      <c r="E178" s="452">
        <f>E157/100*76</f>
        <v>1.52</v>
      </c>
      <c r="F178" s="452">
        <f>F157/100*76</f>
        <v>1.52</v>
      </c>
      <c r="G178" s="453"/>
      <c r="H178" s="453"/>
      <c r="I178" s="453"/>
      <c r="J178" s="453"/>
      <c r="K178" s="379" t="s">
        <v>33</v>
      </c>
      <c r="L178" s="380">
        <v>4</v>
      </c>
      <c r="M178" s="688"/>
      <c r="N178" s="689"/>
      <c r="P178" s="1134">
        <f>C178</f>
        <v>1.46</v>
      </c>
      <c r="Q178" s="1135"/>
      <c r="R178" s="1135"/>
      <c r="S178" s="1135"/>
      <c r="T178" s="1135"/>
      <c r="U178" s="1136"/>
    </row>
    <row r="179" spans="2:30" outlineLevel="1">
      <c r="B179" s="451" t="s">
        <v>759</v>
      </c>
      <c r="C179" s="454">
        <v>1.8</v>
      </c>
      <c r="D179" s="454">
        <v>1.7</v>
      </c>
      <c r="E179" s="454">
        <f>(D179+F179)/2</f>
        <v>1.65</v>
      </c>
      <c r="F179" s="454">
        <v>1.6</v>
      </c>
      <c r="G179" s="453"/>
      <c r="H179" s="453"/>
      <c r="I179" s="453"/>
      <c r="J179" s="453"/>
      <c r="K179" s="455"/>
      <c r="L179" s="380">
        <v>4</v>
      </c>
      <c r="M179" s="363"/>
      <c r="N179" s="363"/>
      <c r="P179" s="53" t="s">
        <v>357</v>
      </c>
    </row>
    <row r="180" spans="2:30" ht="30" outlineLevel="1">
      <c r="B180" s="441"/>
      <c r="C180" s="456"/>
      <c r="D180" s="456"/>
      <c r="E180" s="456"/>
      <c r="F180" s="456"/>
      <c r="G180" s="425"/>
      <c r="H180" s="425"/>
      <c r="I180" s="425"/>
      <c r="J180" s="425"/>
      <c r="K180" s="444"/>
      <c r="L180" s="424"/>
      <c r="M180" s="367"/>
      <c r="N180" s="367"/>
      <c r="P180" s="46" t="s">
        <v>335</v>
      </c>
      <c r="Q180" s="46" t="s">
        <v>336</v>
      </c>
      <c r="R180" s="47" t="s">
        <v>337</v>
      </c>
      <c r="S180" s="47" t="s">
        <v>338</v>
      </c>
      <c r="T180" s="47" t="s">
        <v>339</v>
      </c>
      <c r="U180" s="48" t="s">
        <v>340</v>
      </c>
      <c r="V180" s="49" t="s">
        <v>341</v>
      </c>
      <c r="W180" s="49" t="s">
        <v>342</v>
      </c>
      <c r="X180" s="49" t="s">
        <v>343</v>
      </c>
      <c r="Y180" s="49" t="s">
        <v>344</v>
      </c>
      <c r="Z180" s="49" t="s">
        <v>345</v>
      </c>
      <c r="AA180" s="49" t="s">
        <v>346</v>
      </c>
      <c r="AB180" s="49" t="s">
        <v>347</v>
      </c>
      <c r="AC180" s="49" t="s">
        <v>348</v>
      </c>
      <c r="AD180" s="49" t="s">
        <v>349</v>
      </c>
    </row>
    <row r="181" spans="2:30" ht="27" outlineLevel="1" thickBot="1">
      <c r="B181" s="441"/>
      <c r="C181" s="442"/>
      <c r="D181" s="457"/>
      <c r="E181" s="457"/>
      <c r="F181" s="458"/>
      <c r="G181" s="425"/>
      <c r="H181" s="425"/>
      <c r="I181" s="425"/>
      <c r="J181" s="425"/>
      <c r="K181" s="448"/>
      <c r="L181" s="424"/>
      <c r="M181" s="363"/>
      <c r="N181" s="363"/>
      <c r="P181" s="50"/>
      <c r="Q181" s="50"/>
      <c r="R181" s="51"/>
      <c r="S181" s="51"/>
      <c r="T181" s="51"/>
      <c r="U181" s="51" t="s">
        <v>760</v>
      </c>
      <c r="V181" s="50" t="s">
        <v>761</v>
      </c>
      <c r="W181" s="50"/>
      <c r="X181" s="50"/>
      <c r="Y181" s="50"/>
      <c r="Z181" s="50"/>
      <c r="AA181" s="50"/>
      <c r="AB181" s="50"/>
      <c r="AC181" s="50"/>
      <c r="AD181" s="50"/>
    </row>
    <row r="182" spans="2:30" ht="33" outlineLevel="1" thickBot="1">
      <c r="B182" s="401" t="s">
        <v>682</v>
      </c>
      <c r="C182" s="402"/>
      <c r="D182" s="403"/>
      <c r="E182" s="404"/>
      <c r="F182" s="405"/>
      <c r="G182" s="406"/>
      <c r="H182" s="406"/>
      <c r="I182" s="406"/>
      <c r="J182" s="406"/>
      <c r="K182" s="459"/>
      <c r="L182" s="460"/>
      <c r="M182" s="363"/>
      <c r="N182" s="363"/>
      <c r="O182" s="461" t="s">
        <v>732</v>
      </c>
      <c r="P182" s="56"/>
      <c r="Q182" s="56"/>
      <c r="R182" s="57"/>
      <c r="S182" s="57"/>
      <c r="T182" s="57"/>
      <c r="U182" s="56" t="s">
        <v>350</v>
      </c>
      <c r="V182" s="56" t="s">
        <v>326</v>
      </c>
      <c r="W182" s="56" t="s">
        <v>327</v>
      </c>
      <c r="X182" s="56" t="s">
        <v>351</v>
      </c>
      <c r="Y182" s="56" t="s">
        <v>351</v>
      </c>
      <c r="Z182" s="56" t="s">
        <v>352</v>
      </c>
      <c r="AA182" s="56" t="s">
        <v>352</v>
      </c>
      <c r="AB182" s="56" t="s">
        <v>352</v>
      </c>
      <c r="AC182" s="56" t="s">
        <v>352</v>
      </c>
      <c r="AD182" s="56" t="s">
        <v>352</v>
      </c>
    </row>
    <row r="183" spans="2:30" outlineLevel="1">
      <c r="B183" s="451" t="s">
        <v>762</v>
      </c>
      <c r="C183" s="633">
        <f>C173*0.2</f>
        <v>0.14599999999999999</v>
      </c>
      <c r="D183" s="633">
        <f>D173*0.2</f>
        <v>0.13</v>
      </c>
      <c r="E183" s="633">
        <f>E173*0.2</f>
        <v>0.12</v>
      </c>
      <c r="F183" s="633">
        <f>F173*0.2</f>
        <v>0.11599999999999999</v>
      </c>
      <c r="G183" s="463"/>
      <c r="H183" s="463"/>
      <c r="I183" s="463"/>
      <c r="J183" s="463"/>
      <c r="K183" s="463" t="s">
        <v>51</v>
      </c>
      <c r="L183" s="464"/>
      <c r="M183" s="363"/>
      <c r="N183" s="363"/>
      <c r="O183" s="465">
        <f>C156</f>
        <v>528</v>
      </c>
      <c r="P183" s="466">
        <f>C152</f>
        <v>2020</v>
      </c>
      <c r="Q183" s="58">
        <f>P183</f>
        <v>2020</v>
      </c>
      <c r="R183" s="466">
        <f>O183/100</f>
        <v>5.28</v>
      </c>
      <c r="S183" s="58"/>
      <c r="T183" s="466">
        <f>C160</f>
        <v>20</v>
      </c>
      <c r="U183" s="467">
        <f>C190</f>
        <v>5438.5</v>
      </c>
      <c r="V183" s="467">
        <f>C192</f>
        <v>14.9</v>
      </c>
      <c r="W183" s="467">
        <f>C193</f>
        <v>6.7463888888888883</v>
      </c>
      <c r="X183" s="58"/>
      <c r="Y183" s="58"/>
      <c r="Z183" s="466" t="str">
        <f>C167</f>
        <v>Cf. the utilized electricity</v>
      </c>
      <c r="AA183" s="468">
        <f>C169</f>
        <v>0</v>
      </c>
      <c r="AB183" s="468">
        <f>C170</f>
        <v>0</v>
      </c>
      <c r="AC183" s="468">
        <f>C171</f>
        <v>0</v>
      </c>
      <c r="AD183" s="468">
        <f>C168</f>
        <v>0</v>
      </c>
    </row>
    <row r="184" spans="2:30" outlineLevel="1">
      <c r="B184" s="376" t="s">
        <v>763</v>
      </c>
      <c r="C184" s="469" t="s">
        <v>36</v>
      </c>
      <c r="D184" s="470" t="s">
        <v>36</v>
      </c>
      <c r="E184" s="470" t="s">
        <v>36</v>
      </c>
      <c r="F184" s="471" t="s">
        <v>36</v>
      </c>
      <c r="G184" s="471"/>
      <c r="H184" s="471"/>
      <c r="I184" s="471"/>
      <c r="J184" s="471"/>
      <c r="K184" s="472"/>
      <c r="L184" s="464"/>
      <c r="M184" s="363"/>
      <c r="N184" s="363"/>
      <c r="O184" s="465">
        <f>D156</f>
        <v>543.99</v>
      </c>
      <c r="P184" s="466">
        <f>D152</f>
        <v>2030</v>
      </c>
      <c r="Q184" s="58"/>
      <c r="R184" s="466">
        <f>O184/100</f>
        <v>5.4398999999999997</v>
      </c>
      <c r="S184" s="58"/>
      <c r="T184" s="466">
        <f>D160</f>
        <v>20</v>
      </c>
      <c r="U184" s="467">
        <f>D190</f>
        <v>4842.5</v>
      </c>
      <c r="V184" s="467">
        <f>D192</f>
        <v>14.9</v>
      </c>
      <c r="W184" s="467">
        <f>D193</f>
        <v>6.6222222222222227</v>
      </c>
      <c r="X184" s="58"/>
      <c r="Y184" s="58"/>
      <c r="Z184" s="466">
        <f>D167</f>
        <v>0</v>
      </c>
      <c r="AA184" s="468">
        <f>D169</f>
        <v>0</v>
      </c>
      <c r="AB184" s="468">
        <f>D170</f>
        <v>0</v>
      </c>
      <c r="AC184" s="468">
        <f>D171</f>
        <v>0</v>
      </c>
      <c r="AD184" s="468">
        <f>D168</f>
        <v>0</v>
      </c>
    </row>
    <row r="185" spans="2:30" outlineLevel="1">
      <c r="B185" s="376" t="s">
        <v>764</v>
      </c>
      <c r="C185" s="469" t="s">
        <v>36</v>
      </c>
      <c r="D185" s="470" t="s">
        <v>36</v>
      </c>
      <c r="E185" s="470" t="s">
        <v>36</v>
      </c>
      <c r="F185" s="471" t="s">
        <v>36</v>
      </c>
      <c r="G185" s="453"/>
      <c r="H185" s="453"/>
      <c r="I185" s="453"/>
      <c r="J185" s="453"/>
      <c r="K185" s="453"/>
      <c r="L185" s="380"/>
      <c r="M185" s="363"/>
      <c r="N185" s="363"/>
      <c r="O185" s="465">
        <f>E156</f>
        <v>554.96979999999996</v>
      </c>
      <c r="P185" s="466">
        <f>E152</f>
        <v>2040</v>
      </c>
      <c r="Q185" s="58"/>
      <c r="R185" s="466">
        <f>O185/100</f>
        <v>5.5496979999999994</v>
      </c>
      <c r="S185" s="58"/>
      <c r="T185" s="466">
        <f>E160</f>
        <v>20</v>
      </c>
      <c r="U185" s="467">
        <f>E190</f>
        <v>4470</v>
      </c>
      <c r="V185" s="467">
        <f>E192</f>
        <v>14.9</v>
      </c>
      <c r="W185" s="467">
        <f>E193</f>
        <v>6.5394444444444444</v>
      </c>
      <c r="X185" s="58"/>
      <c r="Y185" s="58"/>
      <c r="Z185" s="466">
        <f>E167</f>
        <v>0</v>
      </c>
      <c r="AA185" s="468">
        <f>E169</f>
        <v>0</v>
      </c>
      <c r="AB185" s="468">
        <f>E170</f>
        <v>0</v>
      </c>
      <c r="AC185" s="468">
        <f>E171</f>
        <v>0</v>
      </c>
      <c r="AD185" s="468">
        <f>E168</f>
        <v>0</v>
      </c>
    </row>
    <row r="186" spans="2:30" outlineLevel="1">
      <c r="B186" s="376" t="s">
        <v>765</v>
      </c>
      <c r="C186" s="1240" t="s">
        <v>669</v>
      </c>
      <c r="D186" s="1241"/>
      <c r="E186" s="1241"/>
      <c r="F186" s="1242"/>
      <c r="G186" s="474"/>
      <c r="H186" s="474"/>
      <c r="I186" s="474"/>
      <c r="J186" s="474"/>
      <c r="K186" s="474"/>
      <c r="L186" s="380"/>
      <c r="M186" s="363"/>
      <c r="N186" s="363"/>
      <c r="O186" s="465">
        <f>F156</f>
        <v>560.56949799999995</v>
      </c>
      <c r="P186" s="466">
        <f>F152</f>
        <v>2050</v>
      </c>
      <c r="Q186" s="58"/>
      <c r="R186" s="466">
        <f>O186/100</f>
        <v>5.6056949799999991</v>
      </c>
      <c r="S186" s="58"/>
      <c r="T186" s="466">
        <f>F160</f>
        <v>20</v>
      </c>
      <c r="U186" s="467">
        <f>F190</f>
        <v>4321</v>
      </c>
      <c r="V186" s="467">
        <f>F192</f>
        <v>14.9</v>
      </c>
      <c r="W186" s="467">
        <f>F193</f>
        <v>6.4566666666666661</v>
      </c>
      <c r="X186" s="58"/>
      <c r="Y186" s="58"/>
      <c r="Z186" s="466">
        <f>F167</f>
        <v>0</v>
      </c>
      <c r="AA186" s="468">
        <f>F169</f>
        <v>0</v>
      </c>
      <c r="AB186" s="468">
        <f>F170</f>
        <v>0</v>
      </c>
      <c r="AC186" s="468">
        <f>F171</f>
        <v>0</v>
      </c>
      <c r="AD186" s="468">
        <f>F168</f>
        <v>0</v>
      </c>
    </row>
    <row r="187" spans="2:30" outlineLevel="1">
      <c r="B187" s="475" t="s">
        <v>766</v>
      </c>
      <c r="C187" s="469">
        <v>30</v>
      </c>
      <c r="D187" s="470">
        <v>30</v>
      </c>
      <c r="E187" s="470">
        <v>30</v>
      </c>
      <c r="F187" s="471">
        <v>30</v>
      </c>
      <c r="G187" s="474"/>
      <c r="H187" s="474"/>
      <c r="I187" s="474"/>
      <c r="J187" s="474"/>
      <c r="K187" s="474" t="s">
        <v>52</v>
      </c>
      <c r="L187" s="476"/>
      <c r="M187" s="367"/>
      <c r="N187" s="367"/>
    </row>
    <row r="188" spans="2:30" outlineLevel="1">
      <c r="B188" s="475" t="s">
        <v>767</v>
      </c>
      <c r="C188" s="469">
        <v>20</v>
      </c>
      <c r="D188" s="470">
        <v>20</v>
      </c>
      <c r="E188" s="470">
        <v>20</v>
      </c>
      <c r="F188" s="471">
        <v>20</v>
      </c>
      <c r="G188" s="474"/>
      <c r="H188" s="474"/>
      <c r="I188" s="474"/>
      <c r="J188" s="474"/>
      <c r="K188" s="474" t="s">
        <v>52</v>
      </c>
      <c r="L188" s="476"/>
      <c r="M188" s="363"/>
      <c r="N188" s="363"/>
    </row>
    <row r="189" spans="2:30" ht="16" outlineLevel="1" thickBot="1">
      <c r="B189" s="477" t="s">
        <v>768</v>
      </c>
      <c r="C189" s="478" t="s">
        <v>36</v>
      </c>
      <c r="D189" s="479" t="s">
        <v>36</v>
      </c>
      <c r="E189" s="479" t="s">
        <v>36</v>
      </c>
      <c r="F189" s="480" t="s">
        <v>36</v>
      </c>
      <c r="G189" s="481"/>
      <c r="H189" s="481"/>
      <c r="I189" s="481"/>
      <c r="J189" s="481"/>
      <c r="K189" s="481"/>
      <c r="L189" s="482"/>
      <c r="M189" s="363"/>
      <c r="N189" s="363"/>
    </row>
    <row r="190" spans="2:30" ht="64" outlineLevel="1">
      <c r="B190" s="461" t="s">
        <v>769</v>
      </c>
      <c r="C190" s="483">
        <f>C173*$F$4*1000</f>
        <v>5438.5</v>
      </c>
      <c r="D190" s="483">
        <f t="shared" ref="D190:F190" si="9">D173*$F$4*1000</f>
        <v>4842.5</v>
      </c>
      <c r="E190" s="483">
        <f t="shared" si="9"/>
        <v>4470</v>
      </c>
      <c r="F190" s="483">
        <f t="shared" si="9"/>
        <v>4321</v>
      </c>
      <c r="G190" s="483"/>
      <c r="H190" s="484"/>
      <c r="I190" s="420" t="s">
        <v>332</v>
      </c>
      <c r="J190" s="420"/>
      <c r="K190" s="484"/>
      <c r="L190" s="484"/>
      <c r="N190" s="420"/>
    </row>
    <row r="191" spans="2:30" outlineLevel="1">
      <c r="B191" s="485" t="s">
        <v>770</v>
      </c>
      <c r="C191" s="486">
        <f>C190*$I191</f>
        <v>2719250</v>
      </c>
      <c r="D191" s="486">
        <f>D190*$I191</f>
        <v>2421250</v>
      </c>
      <c r="E191" s="486">
        <f>E190*$I191</f>
        <v>2235000</v>
      </c>
      <c r="F191" s="486">
        <f>F190*$I191</f>
        <v>2160500</v>
      </c>
      <c r="G191" s="486"/>
      <c r="H191" s="484"/>
      <c r="I191" s="71">
        <v>500</v>
      </c>
      <c r="J191" s="420" t="s">
        <v>330</v>
      </c>
      <c r="K191" s="484"/>
      <c r="L191" s="484"/>
      <c r="N191" s="420"/>
    </row>
    <row r="192" spans="2:30" ht="48" outlineLevel="1">
      <c r="B192" s="461" t="s">
        <v>845</v>
      </c>
      <c r="C192" s="359">
        <f>C176*$F$4/1000</f>
        <v>14.9</v>
      </c>
      <c r="D192" s="359">
        <f t="shared" ref="D192:F192" si="10">D176*$F$4/1000</f>
        <v>14.9</v>
      </c>
      <c r="E192" s="359">
        <f t="shared" si="10"/>
        <v>14.9</v>
      </c>
      <c r="F192" s="359">
        <f t="shared" si="10"/>
        <v>14.9</v>
      </c>
      <c r="G192" s="359"/>
      <c r="I192" s="420" t="s">
        <v>333</v>
      </c>
      <c r="J192" s="420"/>
      <c r="N192" s="420"/>
    </row>
    <row r="193" spans="2:14" ht="48" outlineLevel="1">
      <c r="B193" s="461" t="s">
        <v>846</v>
      </c>
      <c r="C193" s="487">
        <f>C177*$F$4/3.6</f>
        <v>6.7463888888888883</v>
      </c>
      <c r="D193" s="487">
        <f t="shared" ref="D193:F193" si="11">D177*$F$4/3.6</f>
        <v>6.6222222222222227</v>
      </c>
      <c r="E193" s="487">
        <f t="shared" si="11"/>
        <v>6.5394444444444444</v>
      </c>
      <c r="F193" s="487">
        <f t="shared" si="11"/>
        <v>6.4566666666666661</v>
      </c>
      <c r="G193" s="359"/>
      <c r="M193" s="420"/>
      <c r="N193" s="420"/>
    </row>
    <row r="194" spans="2:14" outlineLevel="1"/>
    <row r="195" spans="2:14" outlineLevel="1"/>
    <row r="196" spans="2:14" outlineLevel="1"/>
    <row r="197" spans="2:14" outlineLevel="1"/>
    <row r="198" spans="2:14" outlineLevel="1">
      <c r="E198" s="358"/>
      <c r="F198" s="358"/>
      <c r="G198" s="358"/>
      <c r="H198" s="358"/>
      <c r="I198" s="358"/>
      <c r="J198" s="358"/>
      <c r="K198" s="358"/>
      <c r="L198" s="358"/>
    </row>
    <row r="199" spans="2:14" outlineLevel="1">
      <c r="B199" s="634" t="s">
        <v>773</v>
      </c>
      <c r="C199" s="490"/>
      <c r="D199" s="490"/>
      <c r="E199" s="358"/>
      <c r="F199" s="358"/>
      <c r="G199" s="358"/>
      <c r="H199" s="358"/>
      <c r="I199" s="358"/>
      <c r="J199" s="358"/>
      <c r="K199" s="358"/>
      <c r="L199" s="358"/>
    </row>
    <row r="200" spans="2:14" outlineLevel="1">
      <c r="B200" s="358">
        <v>1</v>
      </c>
      <c r="C200" s="635" t="s">
        <v>847</v>
      </c>
      <c r="D200" s="490"/>
      <c r="F200" s="358"/>
      <c r="G200" s="358"/>
      <c r="H200" s="358"/>
      <c r="I200" s="358"/>
      <c r="J200" s="358"/>
      <c r="K200" s="358"/>
      <c r="L200" s="358"/>
    </row>
    <row r="201" spans="2:14" outlineLevel="1">
      <c r="B201" s="358">
        <v>2</v>
      </c>
      <c r="C201" s="635" t="s">
        <v>848</v>
      </c>
      <c r="D201" s="490"/>
      <c r="F201" s="358"/>
      <c r="G201" s="358"/>
      <c r="H201" s="358"/>
      <c r="I201" s="358"/>
      <c r="J201" s="358"/>
      <c r="K201" s="358"/>
      <c r="L201" s="358"/>
    </row>
    <row r="202" spans="2:14" outlineLevel="1">
      <c r="B202" s="358">
        <v>3</v>
      </c>
      <c r="C202" s="490" t="s">
        <v>849</v>
      </c>
      <c r="D202" s="490"/>
      <c r="F202" s="358"/>
      <c r="G202" s="358"/>
      <c r="H202" s="358"/>
      <c r="I202" s="358"/>
      <c r="J202" s="358"/>
      <c r="K202" s="358"/>
      <c r="L202" s="358"/>
    </row>
    <row r="203" spans="2:14" outlineLevel="1">
      <c r="B203" s="358">
        <v>4</v>
      </c>
      <c r="C203" s="490" t="s">
        <v>850</v>
      </c>
      <c r="D203" s="490"/>
      <c r="F203" s="358"/>
      <c r="G203" s="358"/>
      <c r="H203" s="358"/>
      <c r="I203" s="358"/>
      <c r="J203" s="358"/>
      <c r="K203" s="358"/>
      <c r="L203" s="358"/>
    </row>
    <row r="204" spans="2:14" outlineLevel="1">
      <c r="B204" s="358">
        <v>5</v>
      </c>
      <c r="C204" s="636" t="s">
        <v>851</v>
      </c>
      <c r="D204" s="490"/>
      <c r="F204" s="358"/>
      <c r="G204" s="358"/>
      <c r="H204" s="358"/>
      <c r="I204" s="358"/>
      <c r="J204" s="358"/>
      <c r="K204" s="358"/>
      <c r="L204" s="358"/>
    </row>
    <row r="205" spans="2:14" outlineLevel="1">
      <c r="B205" s="358">
        <v>6</v>
      </c>
      <c r="C205" s="490" t="s">
        <v>852</v>
      </c>
      <c r="D205" s="490"/>
      <c r="F205" s="358"/>
      <c r="G205" s="358"/>
      <c r="H205" s="358"/>
      <c r="I205" s="358"/>
      <c r="J205" s="358"/>
      <c r="K205" s="358"/>
      <c r="L205" s="358"/>
    </row>
    <row r="206" spans="2:14" outlineLevel="1">
      <c r="B206" s="634" t="s">
        <v>783</v>
      </c>
      <c r="C206" s="358"/>
      <c r="D206" s="490"/>
      <c r="F206" s="358"/>
      <c r="G206" s="358"/>
      <c r="H206" s="358"/>
      <c r="I206" s="358"/>
      <c r="J206" s="358"/>
      <c r="K206" s="358"/>
      <c r="L206" s="358"/>
    </row>
    <row r="207" spans="2:14" outlineLevel="1">
      <c r="B207" s="637" t="s">
        <v>6</v>
      </c>
      <c r="C207" s="490" t="s">
        <v>853</v>
      </c>
      <c r="D207" s="490"/>
      <c r="F207" s="358"/>
      <c r="G207" s="358"/>
      <c r="H207" s="358"/>
      <c r="I207" s="358"/>
      <c r="J207" s="358"/>
      <c r="K207" s="358"/>
      <c r="L207" s="358"/>
    </row>
    <row r="208" spans="2:14" outlineLevel="1">
      <c r="B208" s="637" t="s">
        <v>59</v>
      </c>
      <c r="C208" s="490" t="s">
        <v>854</v>
      </c>
      <c r="D208" s="490"/>
      <c r="F208" s="358"/>
      <c r="G208" s="358"/>
      <c r="H208" s="358"/>
      <c r="I208" s="358"/>
      <c r="J208" s="358"/>
      <c r="K208" s="358"/>
      <c r="L208" s="358"/>
    </row>
    <row r="209" spans="1:44" outlineLevel="1">
      <c r="B209" s="637" t="s">
        <v>16</v>
      </c>
      <c r="C209" s="490" t="s">
        <v>855</v>
      </c>
      <c r="D209" s="490"/>
      <c r="F209" s="358"/>
      <c r="G209" s="358"/>
      <c r="H209" s="358"/>
      <c r="I209" s="358"/>
      <c r="J209" s="358"/>
      <c r="K209" s="358"/>
      <c r="L209" s="358"/>
    </row>
    <row r="210" spans="1:44" outlineLevel="1">
      <c r="B210" s="637" t="s">
        <v>20</v>
      </c>
      <c r="C210" s="490" t="s">
        <v>856</v>
      </c>
      <c r="D210" s="490"/>
      <c r="F210" s="358"/>
      <c r="G210" s="358"/>
      <c r="H210" s="358"/>
      <c r="I210" s="358"/>
      <c r="J210" s="358"/>
      <c r="K210" s="358"/>
      <c r="L210" s="358"/>
    </row>
    <row r="211" spans="1:44" outlineLevel="1">
      <c r="B211" s="637" t="s">
        <v>76</v>
      </c>
      <c r="C211" s="490" t="s">
        <v>857</v>
      </c>
      <c r="D211" s="490"/>
      <c r="F211" s="358"/>
      <c r="G211" s="358"/>
      <c r="H211" s="358"/>
      <c r="I211" s="358"/>
      <c r="J211" s="358"/>
      <c r="K211" s="358"/>
      <c r="L211" s="358"/>
    </row>
    <row r="212" spans="1:44" outlineLevel="1">
      <c r="B212" s="637" t="s">
        <v>25</v>
      </c>
      <c r="C212" s="490" t="s">
        <v>858</v>
      </c>
      <c r="D212" s="358"/>
      <c r="F212" s="358"/>
      <c r="G212" s="358"/>
      <c r="H212" s="358"/>
      <c r="I212" s="358"/>
      <c r="J212" s="358"/>
      <c r="K212" s="358"/>
      <c r="L212" s="358"/>
    </row>
    <row r="213" spans="1:44" outlineLevel="1">
      <c r="B213" s="637" t="s">
        <v>33</v>
      </c>
      <c r="C213" s="489" t="s">
        <v>788</v>
      </c>
      <c r="D213" s="358"/>
      <c r="F213" s="358"/>
      <c r="G213" s="358"/>
      <c r="H213" s="358"/>
      <c r="I213" s="358"/>
      <c r="J213" s="358"/>
      <c r="K213" s="358"/>
      <c r="L213" s="358"/>
    </row>
    <row r="214" spans="1:44" outlineLevel="1">
      <c r="B214" s="637" t="s">
        <v>51</v>
      </c>
      <c r="C214" s="490" t="s">
        <v>859</v>
      </c>
      <c r="D214" s="358"/>
      <c r="G214" s="358"/>
      <c r="H214" s="358"/>
      <c r="I214" s="358"/>
      <c r="J214" s="358"/>
      <c r="K214" s="358"/>
      <c r="L214" s="358"/>
    </row>
    <row r="215" spans="1:44" outlineLevel="1">
      <c r="B215" s="637" t="s">
        <v>52</v>
      </c>
      <c r="C215" s="490" t="s">
        <v>860</v>
      </c>
      <c r="E215" s="490"/>
      <c r="F215" s="490"/>
    </row>
    <row r="217" spans="1:44" ht="16" thickBot="1">
      <c r="A217" s="360"/>
    </row>
    <row r="218" spans="1:44" ht="20.5" customHeight="1" outlineLevel="1" thickBot="1">
      <c r="B218" s="362"/>
      <c r="C218" s="1186"/>
      <c r="D218" s="1205"/>
      <c r="E218" s="1205"/>
      <c r="F218" s="1205"/>
      <c r="G218" s="1205"/>
      <c r="H218" s="1205"/>
      <c r="I218" s="1205"/>
      <c r="J218" s="1205"/>
      <c r="K218" s="1205"/>
      <c r="L218" s="1206"/>
      <c r="M218" s="363"/>
      <c r="N218" s="363"/>
      <c r="P218" s="364"/>
      <c r="Q218" s="365"/>
      <c r="R218" s="366"/>
      <c r="S218" s="1176"/>
      <c r="T218" s="1160"/>
      <c r="U218" s="1161"/>
      <c r="V218" s="1160"/>
      <c r="W218" s="1161"/>
      <c r="X218" s="1160"/>
      <c r="Y218" s="1161"/>
      <c r="Z218" s="1160"/>
      <c r="AA218" s="1161"/>
      <c r="AB218" s="1160"/>
      <c r="AC218" s="1161"/>
      <c r="AE218" s="364"/>
      <c r="AF218" s="365"/>
      <c r="AG218" s="366"/>
      <c r="AH218" s="1176"/>
      <c r="AI218" s="1160"/>
      <c r="AJ218" s="1161"/>
      <c r="AK218" s="1160"/>
      <c r="AL218" s="1161"/>
      <c r="AM218" s="1160"/>
      <c r="AN218" s="1161"/>
      <c r="AO218" s="1160"/>
      <c r="AP218" s="1161"/>
      <c r="AQ218" s="1160"/>
      <c r="AR218" s="1161"/>
    </row>
    <row r="219" spans="1:44" ht="15" customHeight="1" outlineLevel="1" thickBot="1">
      <c r="B219" s="1164"/>
      <c r="C219" s="1166"/>
      <c r="D219" s="1166"/>
      <c r="E219" s="1166"/>
      <c r="F219" s="1166"/>
      <c r="G219" s="1168"/>
      <c r="H219" s="1169"/>
      <c r="I219" s="1168"/>
      <c r="J219" s="1169"/>
      <c r="K219" s="1189"/>
      <c r="L219" s="1189"/>
      <c r="M219" s="367"/>
      <c r="N219" s="367"/>
      <c r="P219" s="1180"/>
      <c r="Q219" s="368"/>
      <c r="R219" s="368"/>
      <c r="S219" s="1177"/>
      <c r="T219" s="1162"/>
      <c r="U219" s="1163"/>
      <c r="V219" s="1162"/>
      <c r="W219" s="1163"/>
      <c r="X219" s="1162"/>
      <c r="Y219" s="1163"/>
      <c r="Z219" s="1162"/>
      <c r="AA219" s="1163"/>
      <c r="AB219" s="1162"/>
      <c r="AC219" s="1163"/>
      <c r="AE219" s="1180"/>
      <c r="AF219" s="368"/>
      <c r="AG219" s="368"/>
      <c r="AH219" s="1177"/>
      <c r="AI219" s="1162"/>
      <c r="AJ219" s="1163"/>
      <c r="AK219" s="1162"/>
      <c r="AL219" s="1163"/>
      <c r="AM219" s="1162"/>
      <c r="AN219" s="1163"/>
      <c r="AO219" s="1162"/>
      <c r="AP219" s="1163"/>
      <c r="AQ219" s="1162"/>
      <c r="AR219" s="1163"/>
    </row>
    <row r="220" spans="1:44" ht="15" customHeight="1" outlineLevel="1" thickBot="1">
      <c r="B220" s="1165"/>
      <c r="C220" s="1167"/>
      <c r="D220" s="1167"/>
      <c r="E220" s="1167"/>
      <c r="F220" s="1167"/>
      <c r="G220" s="406"/>
      <c r="H220" s="406"/>
      <c r="I220" s="406"/>
      <c r="J220" s="406"/>
      <c r="K220" s="1190"/>
      <c r="L220" s="1190"/>
      <c r="M220" s="370"/>
      <c r="N220" s="370"/>
      <c r="P220" s="1181"/>
      <c r="Q220" s="1183"/>
      <c r="R220" s="1184"/>
      <c r="S220" s="1178"/>
      <c r="T220" s="1162"/>
      <c r="U220" s="1163"/>
      <c r="V220" s="1162"/>
      <c r="W220" s="1163"/>
      <c r="X220" s="1162"/>
      <c r="Y220" s="1163"/>
      <c r="Z220" s="1162"/>
      <c r="AA220" s="1163"/>
      <c r="AB220" s="1162"/>
      <c r="AC220" s="1163"/>
      <c r="AE220" s="1181"/>
      <c r="AF220" s="1197"/>
      <c r="AG220" s="1184"/>
      <c r="AH220" s="1178"/>
      <c r="AI220" s="1162"/>
      <c r="AJ220" s="1163"/>
      <c r="AK220" s="1162"/>
      <c r="AL220" s="1163"/>
      <c r="AM220" s="1162"/>
      <c r="AN220" s="1163"/>
      <c r="AO220" s="1162"/>
      <c r="AP220" s="1163"/>
      <c r="AQ220" s="1162"/>
      <c r="AR220" s="1163"/>
    </row>
    <row r="221" spans="1:44" ht="16" outlineLevel="1" thickBot="1">
      <c r="B221" s="371"/>
      <c r="C221" s="372"/>
      <c r="D221" s="372"/>
      <c r="E221" s="372"/>
      <c r="F221" s="372"/>
      <c r="G221" s="372"/>
      <c r="H221" s="372"/>
      <c r="I221" s="372"/>
      <c r="J221" s="372"/>
      <c r="K221" s="372"/>
      <c r="L221" s="373"/>
      <c r="M221" s="370"/>
      <c r="N221" s="370"/>
      <c r="O221" s="74"/>
      <c r="P221" s="1182"/>
      <c r="Q221" s="1179"/>
      <c r="R221" s="1185"/>
      <c r="S221" s="1179"/>
      <c r="T221" s="374"/>
      <c r="U221" s="375"/>
      <c r="V221" s="374"/>
      <c r="W221" s="375"/>
      <c r="X221" s="374"/>
      <c r="Y221" s="375"/>
      <c r="Z221" s="374"/>
      <c r="AA221" s="375"/>
      <c r="AB221" s="374"/>
      <c r="AC221" s="375"/>
      <c r="AE221" s="1182"/>
      <c r="AF221" s="1198"/>
      <c r="AG221" s="1185"/>
      <c r="AH221" s="1179"/>
      <c r="AI221" s="374"/>
      <c r="AJ221" s="375"/>
      <c r="AK221" s="374"/>
      <c r="AL221" s="375"/>
      <c r="AM221" s="374"/>
      <c r="AN221" s="375"/>
      <c r="AO221" s="374"/>
      <c r="AP221" s="375"/>
      <c r="AQ221" s="374"/>
      <c r="AR221" s="375"/>
    </row>
    <row r="222" spans="1:44" ht="14.5" customHeight="1" outlineLevel="1">
      <c r="B222" s="541"/>
      <c r="C222" s="542"/>
      <c r="D222" s="542"/>
      <c r="E222" s="543"/>
      <c r="F222" s="542"/>
      <c r="G222" s="542"/>
      <c r="H222" s="542"/>
      <c r="I222" s="542"/>
      <c r="J222" s="542"/>
      <c r="K222" s="547"/>
      <c r="L222" s="548"/>
      <c r="M222" s="370"/>
      <c r="N222" s="370"/>
      <c r="P222" s="1148"/>
      <c r="Q222" s="1154"/>
      <c r="R222" s="381"/>
      <c r="S222" s="382"/>
      <c r="T222" s="1137"/>
      <c r="U222" s="1151"/>
      <c r="V222" s="1137"/>
      <c r="W222" s="1151"/>
      <c r="X222" s="1137"/>
      <c r="Y222" s="1151"/>
      <c r="Z222" s="1137"/>
      <c r="AA222" s="1151"/>
      <c r="AB222" s="1137"/>
      <c r="AC222" s="1151"/>
      <c r="AE222" s="1148"/>
      <c r="AF222" s="1154"/>
      <c r="AG222" s="381"/>
      <c r="AH222" s="382"/>
      <c r="AI222" s="1137"/>
      <c r="AJ222" s="1151"/>
      <c r="AK222" s="1137"/>
      <c r="AL222" s="1151"/>
      <c r="AM222" s="1137"/>
      <c r="AN222" s="1151"/>
      <c r="AO222" s="1137"/>
      <c r="AP222" s="1151"/>
      <c r="AQ222" s="1137"/>
      <c r="AR222" s="1151"/>
    </row>
    <row r="223" spans="1:44" outlineLevel="1">
      <c r="B223" s="383"/>
      <c r="C223" s="384"/>
      <c r="D223" s="384"/>
      <c r="E223" s="384"/>
      <c r="F223" s="384"/>
      <c r="G223" s="505"/>
      <c r="H223" s="505"/>
      <c r="I223" s="505"/>
      <c r="J223" s="505"/>
      <c r="K223" s="372"/>
      <c r="L223" s="373"/>
      <c r="M223" s="370"/>
      <c r="N223" s="370"/>
      <c r="O223" s="71"/>
      <c r="P223" s="1195"/>
      <c r="Q223" s="1155"/>
      <c r="R223" s="388"/>
      <c r="S223" s="389"/>
      <c r="T223" s="1140"/>
      <c r="U223" s="1152"/>
      <c r="V223" s="1140"/>
      <c r="W223" s="1152"/>
      <c r="X223" s="1140"/>
      <c r="Y223" s="1152"/>
      <c r="Z223" s="1140"/>
      <c r="AA223" s="1152"/>
      <c r="AB223" s="1140"/>
      <c r="AC223" s="1152"/>
      <c r="AE223" s="1195"/>
      <c r="AF223" s="1155"/>
      <c r="AG223" s="388"/>
      <c r="AH223" s="389"/>
      <c r="AI223" s="1140"/>
      <c r="AJ223" s="1152"/>
      <c r="AK223" s="1140"/>
      <c r="AL223" s="1152"/>
      <c r="AM223" s="1140"/>
      <c r="AN223" s="1152"/>
      <c r="AO223" s="1140"/>
      <c r="AP223" s="1152"/>
      <c r="AQ223" s="1140"/>
      <c r="AR223" s="1152"/>
    </row>
    <row r="224" spans="1:44" ht="16" outlineLevel="1" thickBot="1">
      <c r="B224" s="541"/>
      <c r="C224" s="544"/>
      <c r="D224" s="545"/>
      <c r="E224" s="545"/>
      <c r="F224" s="546"/>
      <c r="G224" s="545"/>
      <c r="H224" s="545"/>
      <c r="I224" s="545"/>
      <c r="J224" s="545"/>
      <c r="K224" s="547"/>
      <c r="L224" s="548"/>
      <c r="M224" s="370"/>
      <c r="N224" s="370"/>
      <c r="O224" s="71"/>
      <c r="P224" s="1195"/>
      <c r="Q224" s="1156"/>
      <c r="R224" s="393"/>
      <c r="S224" s="394"/>
      <c r="T224" s="1141"/>
      <c r="U224" s="1153"/>
      <c r="V224" s="1141"/>
      <c r="W224" s="1153"/>
      <c r="X224" s="1141"/>
      <c r="Y224" s="1153"/>
      <c r="Z224" s="1141"/>
      <c r="AA224" s="1153"/>
      <c r="AB224" s="1141"/>
      <c r="AC224" s="1153"/>
      <c r="AE224" s="1195"/>
      <c r="AF224" s="1156"/>
      <c r="AG224" s="393"/>
      <c r="AH224" s="394"/>
      <c r="AI224" s="1141"/>
      <c r="AJ224" s="1153"/>
      <c r="AK224" s="1141"/>
      <c r="AL224" s="1153"/>
      <c r="AM224" s="1141"/>
      <c r="AN224" s="1153"/>
      <c r="AO224" s="1141"/>
      <c r="AP224" s="1153"/>
      <c r="AQ224" s="1141"/>
      <c r="AR224" s="1153"/>
    </row>
    <row r="225" spans="1:44" ht="14.5" customHeight="1" outlineLevel="1">
      <c r="B225" s="541"/>
      <c r="C225" s="544"/>
      <c r="D225" s="544"/>
      <c r="E225" s="544"/>
      <c r="F225" s="544"/>
      <c r="G225" s="544"/>
      <c r="H225" s="544"/>
      <c r="I225" s="544"/>
      <c r="J225" s="544"/>
      <c r="K225" s="547"/>
      <c r="L225" s="548"/>
      <c r="M225" s="370"/>
      <c r="N225" s="370"/>
      <c r="O225" s="71"/>
      <c r="P225" s="1195"/>
      <c r="Q225" s="1154"/>
      <c r="R225" s="395"/>
      <c r="S225" s="396"/>
      <c r="T225" s="1137"/>
      <c r="U225" s="1137"/>
      <c r="V225" s="1137"/>
      <c r="W225" s="1137"/>
      <c r="X225" s="1137"/>
      <c r="Y225" s="1137"/>
      <c r="Z225" s="1137"/>
      <c r="AA225" s="1137"/>
      <c r="AB225" s="1137"/>
      <c r="AC225" s="1137"/>
      <c r="AE225" s="1195"/>
      <c r="AF225" s="1154"/>
      <c r="AG225" s="395"/>
      <c r="AH225" s="396"/>
      <c r="AI225" s="1137"/>
      <c r="AJ225" s="1137"/>
      <c r="AK225" s="1137"/>
      <c r="AL225" s="1137"/>
      <c r="AM225" s="1137"/>
      <c r="AN225" s="1137"/>
      <c r="AO225" s="1137"/>
      <c r="AP225" s="1137"/>
      <c r="AQ225" s="1137"/>
      <c r="AR225" s="1137"/>
    </row>
    <row r="226" spans="1:44" outlineLevel="1">
      <c r="B226" s="541"/>
      <c r="C226" s="544"/>
      <c r="D226" s="544"/>
      <c r="E226" s="544"/>
      <c r="F226" s="544"/>
      <c r="G226" s="544"/>
      <c r="H226" s="544"/>
      <c r="I226" s="544"/>
      <c r="J226" s="544"/>
      <c r="K226" s="547"/>
      <c r="L226" s="548"/>
      <c r="M226" s="367"/>
      <c r="N226" s="367"/>
      <c r="O226" s="71"/>
      <c r="P226" s="1195"/>
      <c r="Q226" s="1155"/>
      <c r="R226" s="395"/>
      <c r="S226" s="396"/>
      <c r="T226" s="1138"/>
      <c r="U226" s="1138"/>
      <c r="V226" s="1138"/>
      <c r="W226" s="1138"/>
      <c r="X226" s="1138"/>
      <c r="Y226" s="1138"/>
      <c r="Z226" s="1138"/>
      <c r="AA226" s="1138"/>
      <c r="AB226" s="1138"/>
      <c r="AC226" s="1138"/>
      <c r="AE226" s="1195"/>
      <c r="AF226" s="1155"/>
      <c r="AG226" s="395"/>
      <c r="AH226" s="396"/>
      <c r="AI226" s="1138"/>
      <c r="AJ226" s="1138"/>
      <c r="AK226" s="1138"/>
      <c r="AL226" s="1138"/>
      <c r="AM226" s="1138"/>
      <c r="AN226" s="1138"/>
      <c r="AO226" s="1138"/>
      <c r="AP226" s="1138"/>
      <c r="AQ226" s="1138"/>
      <c r="AR226" s="1138"/>
    </row>
    <row r="227" spans="1:44" outlineLevel="1">
      <c r="B227" s="383"/>
      <c r="C227" s="397"/>
      <c r="D227" s="397"/>
      <c r="E227" s="397"/>
      <c r="F227" s="397"/>
      <c r="G227" s="399"/>
      <c r="H227" s="399"/>
      <c r="I227" s="399"/>
      <c r="J227" s="399"/>
      <c r="K227" s="372"/>
      <c r="L227" s="373"/>
      <c r="M227" s="363"/>
      <c r="N227" s="363"/>
      <c r="P227" s="1195"/>
      <c r="Q227" s="1155"/>
      <c r="R227" s="395"/>
      <c r="S227" s="396"/>
      <c r="T227" s="1138"/>
      <c r="U227" s="1138"/>
      <c r="V227" s="1138"/>
      <c r="W227" s="1138"/>
      <c r="X227" s="1138"/>
      <c r="Y227" s="1138"/>
      <c r="Z227" s="1138"/>
      <c r="AA227" s="1138"/>
      <c r="AB227" s="1138"/>
      <c r="AC227" s="1138"/>
      <c r="AE227" s="1195"/>
      <c r="AF227" s="1155"/>
      <c r="AG227" s="395"/>
      <c r="AH227" s="396"/>
      <c r="AI227" s="1138"/>
      <c r="AJ227" s="1138"/>
      <c r="AK227" s="1138"/>
      <c r="AL227" s="1138"/>
      <c r="AM227" s="1138"/>
      <c r="AN227" s="1138"/>
      <c r="AO227" s="1138"/>
      <c r="AP227" s="1138"/>
      <c r="AQ227" s="1138"/>
      <c r="AR227" s="1138"/>
    </row>
    <row r="228" spans="1:44" ht="16" outlineLevel="1" thickBot="1">
      <c r="B228" s="541"/>
      <c r="C228" s="544"/>
      <c r="D228" s="544"/>
      <c r="E228" s="544"/>
      <c r="F228" s="544"/>
      <c r="G228" s="544"/>
      <c r="H228" s="544"/>
      <c r="I228" s="544"/>
      <c r="J228" s="544"/>
      <c r="K228" s="547"/>
      <c r="L228" s="559"/>
      <c r="M228" s="363"/>
      <c r="N228" s="363"/>
      <c r="P228" s="1195"/>
      <c r="Q228" s="1155"/>
      <c r="R228" s="395"/>
      <c r="S228" s="396"/>
      <c r="T228" s="1138"/>
      <c r="U228" s="1138"/>
      <c r="V228" s="1138"/>
      <c r="W228" s="1138"/>
      <c r="X228" s="1138"/>
      <c r="Y228" s="1138"/>
      <c r="Z228" s="1138"/>
      <c r="AA228" s="1138"/>
      <c r="AB228" s="1138"/>
      <c r="AC228" s="1138"/>
      <c r="AE228" s="1195"/>
      <c r="AF228" s="1155"/>
      <c r="AG228" s="395"/>
      <c r="AH228" s="396"/>
      <c r="AI228" s="1138"/>
      <c r="AJ228" s="1138"/>
      <c r="AK228" s="1138"/>
      <c r="AL228" s="1138"/>
      <c r="AM228" s="1138"/>
      <c r="AN228" s="1138"/>
      <c r="AO228" s="1138"/>
      <c r="AP228" s="1138"/>
      <c r="AQ228" s="1138"/>
      <c r="AR228" s="1138"/>
    </row>
    <row r="229" spans="1:44" ht="16" outlineLevel="1" thickBot="1">
      <c r="B229" s="401"/>
      <c r="C229" s="402"/>
      <c r="D229" s="403"/>
      <c r="E229" s="404"/>
      <c r="F229" s="405"/>
      <c r="G229" s="406"/>
      <c r="H229" s="406"/>
      <c r="I229" s="406"/>
      <c r="J229" s="406"/>
      <c r="K229" s="407"/>
      <c r="L229" s="408"/>
      <c r="M229" s="363"/>
      <c r="N229" s="363"/>
      <c r="P229" s="1195"/>
      <c r="Q229" s="1155"/>
      <c r="R229" s="409"/>
      <c r="S229" s="410"/>
      <c r="T229" s="1139"/>
      <c r="U229" s="1139"/>
      <c r="V229" s="1139"/>
      <c r="W229" s="1139"/>
      <c r="X229" s="1139"/>
      <c r="Y229" s="1139"/>
      <c r="Z229" s="1139"/>
      <c r="AA229" s="1139"/>
      <c r="AB229" s="1139"/>
      <c r="AC229" s="1139"/>
      <c r="AE229" s="1195"/>
      <c r="AF229" s="1155"/>
      <c r="AG229" s="409"/>
      <c r="AH229" s="410"/>
      <c r="AI229" s="1139"/>
      <c r="AJ229" s="1139"/>
      <c r="AK229" s="1139"/>
      <c r="AL229" s="1139"/>
      <c r="AM229" s="1139"/>
      <c r="AN229" s="1139"/>
      <c r="AO229" s="1139"/>
      <c r="AP229" s="1139"/>
      <c r="AQ229" s="1139"/>
      <c r="AR229" s="1139"/>
    </row>
    <row r="230" spans="1:44" ht="16" outlineLevel="1" thickBot="1">
      <c r="B230" s="541"/>
      <c r="C230" s="544"/>
      <c r="D230" s="544"/>
      <c r="E230" s="544"/>
      <c r="F230" s="544"/>
      <c r="G230" s="545"/>
      <c r="H230" s="545"/>
      <c r="I230" s="545"/>
      <c r="J230" s="545"/>
      <c r="K230" s="547"/>
      <c r="L230" s="548"/>
      <c r="M230" s="363"/>
      <c r="N230" s="363"/>
      <c r="P230" s="1196"/>
      <c r="Q230" s="411"/>
      <c r="R230" s="412"/>
      <c r="S230" s="413"/>
      <c r="T230" s="414"/>
      <c r="U230" s="415"/>
      <c r="V230" s="414"/>
      <c r="W230" s="415"/>
      <c r="X230" s="414"/>
      <c r="Y230" s="415"/>
      <c r="Z230" s="414"/>
      <c r="AA230" s="415"/>
      <c r="AB230" s="414"/>
      <c r="AC230" s="417"/>
      <c r="AE230" s="1196"/>
      <c r="AF230" s="411"/>
      <c r="AG230" s="412"/>
      <c r="AH230" s="413"/>
      <c r="AI230" s="414"/>
      <c r="AJ230" s="415"/>
      <c r="AK230" s="414"/>
      <c r="AL230" s="415"/>
      <c r="AM230" s="414"/>
      <c r="AN230" s="415"/>
      <c r="AO230" s="414"/>
      <c r="AP230" s="415"/>
      <c r="AQ230" s="414"/>
      <c r="AR230" s="417"/>
    </row>
    <row r="231" spans="1:44" outlineLevel="1">
      <c r="B231" s="541"/>
      <c r="C231" s="544"/>
      <c r="D231" s="544"/>
      <c r="E231" s="544"/>
      <c r="F231" s="544"/>
      <c r="G231" s="549"/>
      <c r="H231" s="549"/>
      <c r="I231" s="549"/>
      <c r="J231" s="549"/>
      <c r="K231" s="550"/>
      <c r="L231" s="548"/>
      <c r="M231" s="363"/>
      <c r="N231" s="363"/>
    </row>
    <row r="232" spans="1:44" outlineLevel="1">
      <c r="B232" s="541"/>
      <c r="C232" s="544"/>
      <c r="D232" s="544"/>
      <c r="E232" s="544"/>
      <c r="F232" s="544"/>
      <c r="G232" s="549"/>
      <c r="H232" s="549"/>
      <c r="I232" s="549"/>
      <c r="J232" s="549"/>
      <c r="K232" s="550"/>
      <c r="L232" s="548"/>
      <c r="M232" s="420"/>
      <c r="N232" s="363"/>
    </row>
    <row r="233" spans="1:44" outlineLevel="1">
      <c r="B233" s="421"/>
      <c r="C233" s="399"/>
      <c r="D233" s="399"/>
      <c r="E233" s="399"/>
      <c r="F233" s="399"/>
      <c r="G233" s="422"/>
      <c r="H233" s="422"/>
      <c r="I233" s="422"/>
      <c r="J233" s="422"/>
      <c r="K233" s="423"/>
      <c r="L233" s="424"/>
      <c r="M233" s="420"/>
      <c r="N233" s="420"/>
    </row>
    <row r="234" spans="1:44" outlineLevel="1">
      <c r="B234" s="383"/>
      <c r="C234" s="397"/>
      <c r="D234" s="397"/>
      <c r="E234" s="397"/>
      <c r="F234" s="397"/>
      <c r="G234" s="422"/>
      <c r="H234" s="425"/>
      <c r="I234" s="425"/>
      <c r="J234" s="425"/>
      <c r="K234" s="426"/>
      <c r="L234" s="427"/>
      <c r="M234" s="428"/>
      <c r="N234" s="428"/>
    </row>
    <row r="235" spans="1:44" outlineLevel="1">
      <c r="B235" s="383"/>
      <c r="C235" s="397"/>
      <c r="D235" s="397"/>
      <c r="E235" s="397"/>
      <c r="F235" s="397"/>
      <c r="G235" s="425"/>
      <c r="H235" s="425"/>
      <c r="I235" s="425"/>
      <c r="J235" s="425"/>
      <c r="K235" s="423"/>
      <c r="L235" s="427"/>
      <c r="M235" s="428"/>
      <c r="N235" s="428"/>
    </row>
    <row r="236" spans="1:44" outlineLevel="1">
      <c r="B236" s="383"/>
      <c r="C236" s="397"/>
      <c r="D236" s="397"/>
      <c r="E236" s="397"/>
      <c r="F236" s="397"/>
      <c r="G236" s="425"/>
      <c r="H236" s="425"/>
      <c r="I236" s="425"/>
      <c r="J236" s="425"/>
      <c r="K236" s="423"/>
      <c r="L236" s="427"/>
      <c r="M236" s="428"/>
      <c r="N236" s="428"/>
    </row>
    <row r="237" spans="1:44" outlineLevel="1">
      <c r="B237" s="383"/>
      <c r="C237" s="397"/>
      <c r="D237" s="397"/>
      <c r="E237" s="397"/>
      <c r="F237" s="397"/>
      <c r="G237" s="425"/>
      <c r="H237" s="425"/>
      <c r="I237" s="425"/>
      <c r="J237" s="425"/>
      <c r="K237" s="423"/>
      <c r="L237" s="427"/>
      <c r="M237" s="428"/>
      <c r="N237" s="428"/>
    </row>
    <row r="238" spans="1:44" ht="16" outlineLevel="1" thickBot="1">
      <c r="B238" s="429"/>
      <c r="C238" s="430"/>
      <c r="D238" s="430"/>
      <c r="E238" s="430"/>
      <c r="F238" s="430"/>
      <c r="G238" s="425"/>
      <c r="H238" s="425"/>
      <c r="I238" s="425"/>
      <c r="J238" s="425"/>
      <c r="K238" s="423"/>
      <c r="L238" s="427"/>
      <c r="M238" s="428"/>
      <c r="N238" s="428"/>
    </row>
    <row r="239" spans="1:44" ht="16" outlineLevel="1" thickBot="1">
      <c r="B239" s="431"/>
      <c r="C239" s="432"/>
      <c r="D239" s="403"/>
      <c r="E239" s="403"/>
      <c r="F239" s="433"/>
      <c r="G239" s="434"/>
      <c r="H239" s="406"/>
      <c r="I239" s="406"/>
      <c r="J239" s="406"/>
      <c r="K239" s="407"/>
      <c r="L239" s="408"/>
      <c r="M239" s="428"/>
      <c r="N239" s="428"/>
    </row>
    <row r="240" spans="1:44" outlineLevel="1">
      <c r="A240" s="435"/>
      <c r="B240" s="436"/>
      <c r="C240" s="551"/>
      <c r="D240" s="512"/>
      <c r="E240" s="512"/>
      <c r="F240" s="513"/>
      <c r="G240" s="425"/>
      <c r="H240" s="425"/>
      <c r="I240" s="425"/>
      <c r="J240" s="425"/>
      <c r="K240" s="426"/>
      <c r="L240" s="440"/>
      <c r="M240" s="420"/>
      <c r="N240" s="420"/>
    </row>
    <row r="241" spans="2:30" outlineLevel="1">
      <c r="B241" s="441"/>
      <c r="C241" s="443"/>
      <c r="D241" s="442"/>
      <c r="E241" s="442"/>
      <c r="F241" s="442"/>
      <c r="G241" s="425"/>
      <c r="H241" s="425"/>
      <c r="I241" s="425"/>
      <c r="J241" s="425"/>
      <c r="K241" s="444"/>
      <c r="L241" s="373"/>
      <c r="M241" s="71"/>
      <c r="N241" s="420"/>
    </row>
    <row r="242" spans="2:30" outlineLevel="1">
      <c r="B242" s="441"/>
      <c r="C242" s="443"/>
      <c r="D242" s="443"/>
      <c r="E242" s="443"/>
      <c r="F242" s="443"/>
      <c r="G242" s="425"/>
      <c r="H242" s="425"/>
      <c r="I242" s="425"/>
      <c r="J242" s="425"/>
      <c r="K242" s="444"/>
      <c r="L242" s="373"/>
      <c r="M242" s="420"/>
      <c r="N242" s="420"/>
    </row>
    <row r="243" spans="2:30" outlineLevel="1">
      <c r="B243" s="383"/>
      <c r="C243" s="445"/>
      <c r="D243" s="446"/>
      <c r="E243" s="446"/>
      <c r="F243" s="447"/>
      <c r="G243" s="425"/>
      <c r="H243" s="425"/>
      <c r="I243" s="425"/>
      <c r="J243" s="425"/>
      <c r="K243" s="448"/>
      <c r="L243" s="373"/>
      <c r="M243" s="420"/>
      <c r="N243" s="420"/>
    </row>
    <row r="244" spans="2:30" outlineLevel="1">
      <c r="B244" s="383"/>
      <c r="C244" s="449"/>
      <c r="D244" s="449"/>
      <c r="E244" s="449"/>
      <c r="F244" s="449"/>
      <c r="G244" s="425"/>
      <c r="H244" s="425"/>
      <c r="I244" s="425"/>
      <c r="J244" s="425"/>
      <c r="K244" s="448"/>
      <c r="L244" s="373"/>
      <c r="M244" s="450"/>
      <c r="N244" s="361"/>
      <c r="P244" s="1142"/>
      <c r="Q244" s="1143"/>
      <c r="R244" s="1143"/>
      <c r="S244" s="1143"/>
      <c r="T244" s="1143"/>
      <c r="U244" s="1144"/>
    </row>
    <row r="245" spans="2:30" ht="16" outlineLevel="1" thickBot="1">
      <c r="B245" s="541"/>
      <c r="C245" s="552"/>
      <c r="D245" s="552"/>
      <c r="E245" s="552"/>
      <c r="F245" s="552"/>
      <c r="G245" s="425"/>
      <c r="H245" s="425"/>
      <c r="I245" s="425"/>
      <c r="J245" s="425"/>
      <c r="K245" s="444"/>
      <c r="L245" s="373"/>
      <c r="M245" s="450"/>
      <c r="N245" s="361"/>
      <c r="P245" s="1134"/>
      <c r="Q245" s="1135"/>
      <c r="R245" s="1135"/>
      <c r="S245" s="1135"/>
      <c r="T245" s="1135"/>
      <c r="U245" s="1136"/>
    </row>
    <row r="246" spans="2:30" outlineLevel="1">
      <c r="B246" s="541"/>
      <c r="C246" s="554"/>
      <c r="D246" s="554"/>
      <c r="E246" s="554"/>
      <c r="F246" s="554"/>
      <c r="G246" s="425"/>
      <c r="H246" s="425"/>
      <c r="I246" s="425"/>
      <c r="J246" s="425"/>
      <c r="K246" s="448"/>
      <c r="L246" s="373"/>
      <c r="M246" s="363"/>
      <c r="N246" s="363"/>
      <c r="P246" s="53"/>
    </row>
    <row r="247" spans="2:30" outlineLevel="1">
      <c r="B247" s="441"/>
      <c r="C247" s="518"/>
      <c r="D247" s="518"/>
      <c r="E247" s="518"/>
      <c r="F247" s="518"/>
      <c r="G247" s="425"/>
      <c r="H247" s="425"/>
      <c r="I247" s="425"/>
      <c r="J247" s="425"/>
      <c r="K247" s="444"/>
      <c r="L247" s="424"/>
      <c r="M247" s="367"/>
      <c r="N247" s="367"/>
      <c r="P247" s="46"/>
      <c r="Q247" s="46"/>
      <c r="R247" s="47"/>
      <c r="S247" s="47"/>
      <c r="T247" s="47"/>
      <c r="U247" s="48"/>
      <c r="V247" s="49"/>
      <c r="W247" s="49"/>
      <c r="X247" s="49"/>
      <c r="Y247" s="49"/>
      <c r="Z247" s="49"/>
      <c r="AA247" s="49"/>
      <c r="AB247" s="49"/>
      <c r="AC247" s="49"/>
      <c r="AD247" s="49"/>
    </row>
    <row r="248" spans="2:30" ht="16" outlineLevel="1" thickBot="1">
      <c r="B248" s="519"/>
      <c r="C248" s="442"/>
      <c r="D248" s="520"/>
      <c r="E248" s="520"/>
      <c r="F248" s="521"/>
      <c r="G248" s="425"/>
      <c r="H248" s="425"/>
      <c r="I248" s="425"/>
      <c r="J248" s="425"/>
      <c r="K248" s="448"/>
      <c r="L248" s="424"/>
      <c r="M248" s="363"/>
      <c r="N248" s="363"/>
      <c r="P248" s="50"/>
      <c r="Q248" s="50"/>
      <c r="R248" s="51"/>
      <c r="S248" s="51"/>
      <c r="T248" s="51"/>
      <c r="U248" s="51"/>
      <c r="V248" s="50"/>
      <c r="W248" s="50"/>
      <c r="X248" s="50"/>
      <c r="Y248" s="50"/>
      <c r="Z248" s="50"/>
      <c r="AA248" s="50"/>
      <c r="AB248" s="50"/>
      <c r="AC248" s="50"/>
      <c r="AD248" s="50"/>
    </row>
    <row r="249" spans="2:30" ht="16" outlineLevel="1" thickBot="1">
      <c r="B249" s="401"/>
      <c r="C249" s="402"/>
      <c r="D249" s="403"/>
      <c r="E249" s="404"/>
      <c r="F249" s="405"/>
      <c r="G249" s="406"/>
      <c r="H249" s="406"/>
      <c r="I249" s="406"/>
      <c r="J249" s="406"/>
      <c r="K249" s="459"/>
      <c r="L249" s="460"/>
      <c r="M249" s="363"/>
      <c r="N249" s="363"/>
      <c r="O249" s="461"/>
      <c r="P249" s="56"/>
      <c r="Q249" s="56"/>
      <c r="R249" s="57"/>
      <c r="S249" s="57"/>
      <c r="T249" s="57"/>
      <c r="U249" s="56"/>
      <c r="V249" s="56"/>
      <c r="W249" s="56"/>
      <c r="X249" s="56"/>
      <c r="Y249" s="56"/>
      <c r="Z249" s="56"/>
      <c r="AA249" s="56"/>
      <c r="AB249" s="56"/>
      <c r="AC249" s="56"/>
      <c r="AD249" s="56"/>
    </row>
    <row r="250" spans="2:30" outlineLevel="1">
      <c r="B250" s="556"/>
      <c r="C250" s="557"/>
      <c r="D250" s="557"/>
      <c r="E250" s="557"/>
      <c r="F250" s="557"/>
      <c r="G250" s="558"/>
      <c r="H250" s="558"/>
      <c r="I250" s="558"/>
      <c r="J250" s="558"/>
      <c r="K250" s="558"/>
      <c r="L250" s="559"/>
      <c r="M250" s="363"/>
      <c r="N250" s="363"/>
      <c r="O250" s="465"/>
      <c r="P250" s="466"/>
      <c r="Q250" s="58"/>
      <c r="R250" s="466"/>
      <c r="S250" s="58"/>
      <c r="T250" s="466"/>
      <c r="U250" s="467"/>
      <c r="V250" s="467"/>
      <c r="W250" s="467"/>
      <c r="X250" s="58"/>
      <c r="Y250" s="58"/>
      <c r="Z250" s="466"/>
      <c r="AA250" s="468"/>
      <c r="AB250" s="468"/>
      <c r="AC250" s="468"/>
      <c r="AD250" s="468"/>
    </row>
    <row r="251" spans="2:30" outlineLevel="1">
      <c r="B251" s="541"/>
      <c r="C251" s="560"/>
      <c r="D251" s="561"/>
      <c r="E251" s="561"/>
      <c r="F251" s="562"/>
      <c r="G251" s="562"/>
      <c r="H251" s="562"/>
      <c r="I251" s="562"/>
      <c r="J251" s="562"/>
      <c r="K251" s="563"/>
      <c r="L251" s="559"/>
      <c r="M251" s="363"/>
      <c r="N251" s="363"/>
      <c r="O251" s="465"/>
      <c r="P251" s="466"/>
      <c r="Q251" s="58"/>
      <c r="R251" s="466"/>
      <c r="S251" s="58"/>
      <c r="T251" s="466"/>
      <c r="U251" s="467"/>
      <c r="V251" s="467"/>
      <c r="W251" s="467"/>
      <c r="X251" s="58"/>
      <c r="Y251" s="58"/>
      <c r="Z251" s="466"/>
      <c r="AA251" s="468"/>
      <c r="AB251" s="468"/>
      <c r="AC251" s="468"/>
      <c r="AD251" s="468"/>
    </row>
    <row r="252" spans="2:30" outlineLevel="1">
      <c r="B252" s="541"/>
      <c r="C252" s="560"/>
      <c r="D252" s="561"/>
      <c r="E252" s="561"/>
      <c r="F252" s="562"/>
      <c r="G252" s="562"/>
      <c r="H252" s="562"/>
      <c r="I252" s="562"/>
      <c r="J252" s="562"/>
      <c r="K252" s="563"/>
      <c r="L252" s="559"/>
      <c r="M252" s="363"/>
      <c r="N252" s="363"/>
      <c r="O252" s="465"/>
      <c r="P252" s="466"/>
      <c r="Q252" s="58"/>
      <c r="R252" s="466"/>
      <c r="S252" s="58"/>
      <c r="T252" s="466"/>
      <c r="U252" s="467"/>
      <c r="V252" s="467"/>
      <c r="W252" s="467"/>
      <c r="X252" s="58"/>
      <c r="Y252" s="58"/>
      <c r="Z252" s="466"/>
      <c r="AA252" s="468"/>
      <c r="AB252" s="468"/>
      <c r="AC252" s="468"/>
      <c r="AD252" s="468"/>
    </row>
    <row r="253" spans="2:30" outlineLevel="1">
      <c r="B253" s="541"/>
      <c r="C253" s="564"/>
      <c r="D253" s="564"/>
      <c r="E253" s="564"/>
      <c r="F253" s="564"/>
      <c r="G253" s="565"/>
      <c r="H253" s="565"/>
      <c r="I253" s="565"/>
      <c r="J253" s="565"/>
      <c r="K253" s="565"/>
      <c r="L253" s="548"/>
      <c r="M253" s="363"/>
      <c r="N253" s="363"/>
      <c r="O253" s="465"/>
      <c r="P253" s="466"/>
      <c r="Q253" s="58"/>
      <c r="R253" s="466"/>
      <c r="S253" s="58"/>
      <c r="T253" s="466"/>
      <c r="U253" s="467"/>
      <c r="V253" s="467"/>
      <c r="W253" s="467"/>
      <c r="X253" s="58"/>
      <c r="Y253" s="58"/>
      <c r="Z253" s="466"/>
      <c r="AA253" s="468"/>
      <c r="AB253" s="468"/>
      <c r="AC253" s="468"/>
      <c r="AD253" s="468"/>
    </row>
    <row r="254" spans="2:30" outlineLevel="1">
      <c r="B254" s="566"/>
      <c r="C254" s="560"/>
      <c r="D254" s="561"/>
      <c r="E254" s="561"/>
      <c r="F254" s="562"/>
      <c r="G254" s="562"/>
      <c r="H254" s="562"/>
      <c r="I254" s="562"/>
      <c r="J254" s="562"/>
      <c r="K254" s="563"/>
      <c r="L254" s="559"/>
      <c r="M254" s="367"/>
      <c r="N254" s="367"/>
    </row>
    <row r="255" spans="2:30" outlineLevel="1">
      <c r="B255" s="566"/>
      <c r="C255" s="560"/>
      <c r="D255" s="561"/>
      <c r="E255" s="561"/>
      <c r="F255" s="562"/>
      <c r="G255" s="562"/>
      <c r="H255" s="562"/>
      <c r="I255" s="562"/>
      <c r="J255" s="562"/>
      <c r="K255" s="563"/>
      <c r="L255" s="559"/>
      <c r="M255" s="363"/>
      <c r="N255" s="363"/>
    </row>
    <row r="256" spans="2:30" ht="16" outlineLevel="1" thickBot="1">
      <c r="B256" s="567"/>
      <c r="C256" s="568"/>
      <c r="D256" s="568"/>
      <c r="E256" s="568"/>
      <c r="F256" s="568"/>
      <c r="G256" s="568"/>
      <c r="H256" s="568"/>
      <c r="I256" s="568"/>
      <c r="J256" s="568"/>
      <c r="K256" s="568"/>
      <c r="L256" s="569"/>
      <c r="M256" s="363"/>
      <c r="N256" s="363"/>
    </row>
    <row r="257" spans="1:15" outlineLevel="1">
      <c r="B257" s="461"/>
      <c r="C257" s="483"/>
      <c r="D257" s="483"/>
      <c r="E257" s="483"/>
      <c r="F257" s="483"/>
      <c r="G257" s="483"/>
      <c r="H257" s="484"/>
      <c r="I257" s="420"/>
      <c r="J257" s="420"/>
      <c r="K257" s="484"/>
      <c r="L257" s="484"/>
      <c r="N257" s="420"/>
    </row>
    <row r="258" spans="1:15" outlineLevel="1">
      <c r="B258" s="485"/>
      <c r="C258" s="486"/>
      <c r="D258" s="486"/>
      <c r="E258" s="486"/>
      <c r="F258" s="486"/>
      <c r="G258" s="486"/>
      <c r="H258" s="484"/>
      <c r="I258" s="71"/>
      <c r="J258" s="420"/>
      <c r="K258" s="484"/>
      <c r="L258" s="484"/>
      <c r="N258" s="420"/>
    </row>
    <row r="259" spans="1:15" outlineLevel="1">
      <c r="B259" s="461"/>
      <c r="C259" s="359"/>
      <c r="D259" s="359"/>
      <c r="E259" s="359"/>
      <c r="F259" s="359"/>
      <c r="G259" s="359"/>
      <c r="I259" s="420"/>
      <c r="J259" s="420"/>
      <c r="N259" s="420"/>
    </row>
    <row r="260" spans="1:15" outlineLevel="1">
      <c r="B260" s="461"/>
      <c r="C260" s="487"/>
      <c r="D260" s="487"/>
      <c r="E260" s="487"/>
      <c r="F260" s="487"/>
      <c r="G260" s="359"/>
      <c r="M260" s="420"/>
      <c r="N260" s="420"/>
    </row>
    <row r="261" spans="1:15" outlineLevel="1"/>
    <row r="262" spans="1:15" outlineLevel="1">
      <c r="A262" s="488"/>
      <c r="B262" s="489"/>
      <c r="D262" s="490"/>
      <c r="E262" s="490"/>
      <c r="F262" s="490"/>
      <c r="G262" s="358"/>
      <c r="H262" s="358"/>
      <c r="I262" s="358"/>
      <c r="J262" s="358"/>
      <c r="K262" s="358"/>
      <c r="L262" s="358"/>
    </row>
    <row r="263" spans="1:15" outlineLevel="1">
      <c r="A263" s="491"/>
      <c r="B263" s="492"/>
      <c r="D263" s="490"/>
      <c r="E263" s="490"/>
      <c r="F263" s="490"/>
      <c r="G263" s="358"/>
      <c r="H263" s="358"/>
      <c r="I263" s="358"/>
      <c r="J263" s="358"/>
      <c r="K263" s="358"/>
      <c r="L263" s="358"/>
    </row>
    <row r="264" spans="1:15" outlineLevel="1">
      <c r="A264" s="491"/>
      <c r="B264" s="493"/>
      <c r="D264" s="490"/>
      <c r="E264" s="490"/>
      <c r="F264" s="490"/>
      <c r="G264" s="358"/>
      <c r="H264" s="358"/>
      <c r="I264" s="358"/>
      <c r="J264" s="358"/>
      <c r="K264" s="358"/>
      <c r="L264" s="358"/>
    </row>
    <row r="265" spans="1:15" outlineLevel="1">
      <c r="A265" s="491"/>
      <c r="B265" s="493"/>
      <c r="D265" s="490"/>
      <c r="E265" s="490"/>
      <c r="F265" s="490"/>
      <c r="G265" s="358"/>
      <c r="H265" s="358"/>
      <c r="I265" s="358"/>
      <c r="J265" s="358"/>
      <c r="K265" s="358"/>
      <c r="L265" s="358"/>
    </row>
    <row r="266" spans="1:15" outlineLevel="1">
      <c r="A266" s="491"/>
      <c r="B266" s="493"/>
      <c r="D266" s="490"/>
      <c r="E266" s="490"/>
      <c r="F266" s="490"/>
      <c r="G266" s="358"/>
      <c r="H266" s="358"/>
      <c r="I266" s="358"/>
      <c r="J266" s="358"/>
      <c r="K266" s="358"/>
      <c r="L266" s="358"/>
    </row>
    <row r="267" spans="1:15" outlineLevel="1">
      <c r="A267" s="358"/>
      <c r="B267" s="494"/>
      <c r="D267" s="490"/>
      <c r="E267" s="490"/>
      <c r="F267" s="490"/>
      <c r="G267" s="358"/>
      <c r="H267" s="358"/>
      <c r="I267" s="358"/>
      <c r="J267" s="358"/>
      <c r="K267" s="358"/>
      <c r="L267" s="358"/>
      <c r="M267" s="570"/>
      <c r="N267" s="489"/>
      <c r="O267" s="490"/>
    </row>
    <row r="268" spans="1:15" outlineLevel="1">
      <c r="A268" s="358"/>
      <c r="B268" s="492"/>
      <c r="D268" s="490"/>
      <c r="E268" s="490"/>
      <c r="F268" s="490"/>
      <c r="G268" s="358"/>
      <c r="H268" s="358"/>
      <c r="I268" s="358"/>
      <c r="J268" s="358"/>
      <c r="K268" s="358"/>
      <c r="L268" s="358"/>
      <c r="O268" s="490"/>
    </row>
    <row r="269" spans="1:15" outlineLevel="1">
      <c r="A269" s="358"/>
      <c r="B269" s="495"/>
      <c r="D269" s="490"/>
      <c r="E269" s="490"/>
      <c r="F269" s="490"/>
      <c r="G269" s="358"/>
      <c r="H269" s="358"/>
      <c r="I269" s="358"/>
      <c r="J269" s="358"/>
      <c r="K269" s="358"/>
      <c r="L269" s="358"/>
      <c r="O269" s="490"/>
    </row>
    <row r="270" spans="1:15" outlineLevel="1">
      <c r="A270" s="358"/>
      <c r="B270" s="495"/>
      <c r="D270" s="490"/>
      <c r="E270" s="490"/>
      <c r="F270" s="490"/>
      <c r="G270" s="358"/>
      <c r="H270" s="358"/>
      <c r="I270" s="358"/>
      <c r="J270" s="358"/>
      <c r="K270" s="358"/>
      <c r="L270" s="358"/>
      <c r="O270" s="490"/>
    </row>
    <row r="271" spans="1:15" outlineLevel="1">
      <c r="A271" s="358"/>
      <c r="B271" s="489"/>
      <c r="D271" s="490"/>
      <c r="E271" s="490"/>
      <c r="F271" s="490"/>
      <c r="G271" s="358"/>
      <c r="H271" s="358"/>
      <c r="I271" s="358"/>
      <c r="J271" s="358"/>
      <c r="K271" s="358"/>
      <c r="L271" s="358"/>
      <c r="O271" s="490"/>
    </row>
    <row r="272" spans="1:15" outlineLevel="1">
      <c r="A272" s="358"/>
      <c r="B272" s="490"/>
      <c r="D272" s="490"/>
      <c r="E272" s="490"/>
      <c r="F272" s="490"/>
      <c r="G272" s="358"/>
      <c r="H272" s="358"/>
      <c r="I272" s="358"/>
      <c r="J272" s="358"/>
      <c r="K272" s="358"/>
      <c r="L272" s="358"/>
      <c r="O272" s="490"/>
    </row>
    <row r="273" spans="1:44" outlineLevel="1">
      <c r="A273" s="488"/>
      <c r="B273" s="489"/>
      <c r="D273" s="490"/>
      <c r="E273" s="490"/>
      <c r="F273" s="490"/>
      <c r="G273" s="358"/>
      <c r="H273" s="358"/>
      <c r="I273" s="358"/>
      <c r="J273" s="358"/>
      <c r="K273" s="358"/>
      <c r="L273" s="358"/>
      <c r="O273" s="490"/>
    </row>
    <row r="274" spans="1:44" outlineLevel="1">
      <c r="A274" s="496"/>
      <c r="B274" s="497"/>
      <c r="D274" s="490"/>
      <c r="E274" s="490"/>
      <c r="F274" s="490"/>
      <c r="G274" s="358"/>
      <c r="H274" s="358"/>
      <c r="I274" s="358"/>
      <c r="J274" s="358"/>
      <c r="K274" s="358"/>
      <c r="L274" s="358"/>
      <c r="M274" s="570"/>
      <c r="N274" s="489"/>
      <c r="O274" s="490"/>
    </row>
    <row r="275" spans="1:44" outlineLevel="1">
      <c r="A275" s="496"/>
      <c r="B275" s="489"/>
      <c r="D275" s="490"/>
      <c r="E275" s="490"/>
      <c r="F275" s="490"/>
      <c r="G275" s="358"/>
      <c r="H275" s="358"/>
      <c r="I275" s="358"/>
      <c r="J275" s="358"/>
      <c r="K275" s="358"/>
      <c r="L275" s="358"/>
      <c r="M275" s="571"/>
      <c r="N275" s="489"/>
      <c r="O275" s="490"/>
    </row>
    <row r="276" spans="1:44" outlineLevel="1">
      <c r="A276" s="496"/>
      <c r="B276" s="489"/>
      <c r="D276" s="490"/>
      <c r="E276" s="490"/>
      <c r="F276" s="490"/>
      <c r="G276" s="358"/>
      <c r="H276" s="358"/>
      <c r="I276" s="358"/>
      <c r="J276" s="358"/>
      <c r="K276" s="358"/>
      <c r="L276" s="358"/>
      <c r="M276" s="572"/>
      <c r="N276" s="489"/>
      <c r="O276" s="490"/>
    </row>
    <row r="277" spans="1:44" outlineLevel="1">
      <c r="A277" s="496"/>
      <c r="B277" s="498"/>
      <c r="D277" s="490"/>
      <c r="E277" s="490"/>
      <c r="F277" s="490"/>
      <c r="G277" s="358"/>
      <c r="H277" s="358"/>
      <c r="I277" s="358"/>
      <c r="J277" s="358"/>
      <c r="K277" s="358"/>
      <c r="L277" s="358"/>
      <c r="M277" s="573"/>
      <c r="N277" s="489"/>
      <c r="O277" s="490"/>
    </row>
    <row r="278" spans="1:44" outlineLevel="1">
      <c r="A278" s="496"/>
      <c r="B278" s="489"/>
      <c r="D278" s="490"/>
      <c r="E278" s="490"/>
      <c r="F278" s="490"/>
      <c r="G278" s="358"/>
      <c r="H278" s="358"/>
      <c r="I278" s="358"/>
      <c r="J278" s="358"/>
      <c r="K278" s="358"/>
      <c r="L278" s="358"/>
      <c r="M278" s="573"/>
      <c r="N278" s="490"/>
      <c r="O278" s="490"/>
    </row>
    <row r="279" spans="1:44" outlineLevel="1">
      <c r="A279" s="496"/>
      <c r="B279" s="489"/>
      <c r="D279" s="490"/>
      <c r="E279" s="490"/>
      <c r="F279" s="490"/>
      <c r="G279" s="358"/>
      <c r="H279" s="358"/>
      <c r="I279" s="358"/>
      <c r="J279" s="358"/>
      <c r="K279" s="358"/>
      <c r="L279" s="358"/>
      <c r="M279" s="489"/>
      <c r="N279" s="490"/>
      <c r="O279" s="490"/>
    </row>
    <row r="280" spans="1:44" outlineLevel="1"/>
    <row r="283" spans="1:44" ht="16" thickBot="1">
      <c r="A283" s="360"/>
    </row>
    <row r="284" spans="1:44" ht="20.5" customHeight="1" thickBot="1">
      <c r="B284" s="362"/>
      <c r="C284" s="1186"/>
      <c r="D284" s="1187"/>
      <c r="E284" s="1187"/>
      <c r="F284" s="1187"/>
      <c r="G284" s="1187"/>
      <c r="H284" s="1187"/>
      <c r="I284" s="1187"/>
      <c r="J284" s="1187"/>
      <c r="K284" s="1187"/>
      <c r="L284" s="1188"/>
      <c r="M284" s="363"/>
      <c r="N284" s="363"/>
      <c r="P284" s="364"/>
      <c r="Q284" s="365"/>
      <c r="R284" s="366"/>
      <c r="S284" s="1176"/>
      <c r="T284" s="1160"/>
      <c r="U284" s="1161"/>
      <c r="V284" s="1160"/>
      <c r="W284" s="1161"/>
      <c r="X284" s="1160"/>
      <c r="Y284" s="1161"/>
      <c r="Z284" s="1160"/>
      <c r="AA284" s="1161"/>
      <c r="AB284" s="1160"/>
      <c r="AC284" s="1161"/>
      <c r="AE284" s="364"/>
      <c r="AF284" s="365"/>
      <c r="AG284" s="366"/>
      <c r="AH284" s="1176"/>
      <c r="AI284" s="1160"/>
      <c r="AJ284" s="1161"/>
      <c r="AK284" s="1160"/>
      <c r="AL284" s="1161"/>
      <c r="AM284" s="1160"/>
      <c r="AN284" s="1161"/>
      <c r="AO284" s="1160"/>
      <c r="AP284" s="1161"/>
      <c r="AQ284" s="1160"/>
      <c r="AR284" s="1161"/>
    </row>
    <row r="285" spans="1:44" ht="15" customHeight="1" thickBot="1">
      <c r="B285" s="1164"/>
      <c r="C285" s="1166"/>
      <c r="D285" s="1166"/>
      <c r="E285" s="1166"/>
      <c r="F285" s="1166"/>
      <c r="G285" s="1168"/>
      <c r="H285" s="1169"/>
      <c r="I285" s="1168"/>
      <c r="J285" s="1169"/>
      <c r="K285" s="1189"/>
      <c r="L285" s="1189"/>
      <c r="M285" s="367"/>
      <c r="N285" s="367"/>
      <c r="P285" s="1180"/>
      <c r="Q285" s="368"/>
      <c r="R285" s="368"/>
      <c r="S285" s="1177"/>
      <c r="T285" s="1162"/>
      <c r="U285" s="1163"/>
      <c r="V285" s="1162"/>
      <c r="W285" s="1163"/>
      <c r="X285" s="1162"/>
      <c r="Y285" s="1163"/>
      <c r="Z285" s="1162"/>
      <c r="AA285" s="1163"/>
      <c r="AB285" s="1162"/>
      <c r="AC285" s="1163"/>
      <c r="AE285" s="1180"/>
      <c r="AF285" s="368"/>
      <c r="AG285" s="368"/>
      <c r="AH285" s="1177"/>
      <c r="AI285" s="1162"/>
      <c r="AJ285" s="1163"/>
      <c r="AK285" s="1162"/>
      <c r="AL285" s="1163"/>
      <c r="AM285" s="1162"/>
      <c r="AN285" s="1163"/>
      <c r="AO285" s="1162"/>
      <c r="AP285" s="1163"/>
      <c r="AQ285" s="1162"/>
      <c r="AR285" s="1163"/>
    </row>
    <row r="286" spans="1:44" ht="15" customHeight="1" thickBot="1">
      <c r="B286" s="1165"/>
      <c r="C286" s="1167"/>
      <c r="D286" s="1167"/>
      <c r="E286" s="1167"/>
      <c r="F286" s="1167"/>
      <c r="G286" s="406"/>
      <c r="H286" s="406"/>
      <c r="I286" s="406"/>
      <c r="J286" s="406"/>
      <c r="K286" s="1190"/>
      <c r="L286" s="1190"/>
      <c r="M286" s="370"/>
      <c r="N286" s="370"/>
      <c r="P286" s="1181"/>
      <c r="Q286" s="1183"/>
      <c r="R286" s="1184"/>
      <c r="S286" s="1178"/>
      <c r="T286" s="1162"/>
      <c r="U286" s="1163"/>
      <c r="V286" s="1162"/>
      <c r="W286" s="1163"/>
      <c r="X286" s="1162"/>
      <c r="Y286" s="1163"/>
      <c r="Z286" s="1162"/>
      <c r="AA286" s="1163"/>
      <c r="AB286" s="1162"/>
      <c r="AC286" s="1163"/>
      <c r="AE286" s="1181"/>
      <c r="AF286" s="1183"/>
      <c r="AG286" s="1184"/>
      <c r="AH286" s="1178"/>
      <c r="AI286" s="1162"/>
      <c r="AJ286" s="1163"/>
      <c r="AK286" s="1162"/>
      <c r="AL286" s="1163"/>
      <c r="AM286" s="1162"/>
      <c r="AN286" s="1163"/>
      <c r="AO286" s="1162"/>
      <c r="AP286" s="1163"/>
      <c r="AQ286" s="1162"/>
      <c r="AR286" s="1163"/>
    </row>
    <row r="287" spans="1:44" ht="16" thickBot="1">
      <c r="B287" s="371"/>
      <c r="C287" s="372"/>
      <c r="D287" s="372"/>
      <c r="E287" s="372"/>
      <c r="F287" s="372"/>
      <c r="G287" s="372"/>
      <c r="H287" s="372"/>
      <c r="I287" s="372"/>
      <c r="J287" s="372"/>
      <c r="K287" s="372"/>
      <c r="L287" s="373"/>
      <c r="M287" s="370"/>
      <c r="N287" s="370"/>
      <c r="O287" s="74"/>
      <c r="P287" s="1182"/>
      <c r="Q287" s="1179"/>
      <c r="R287" s="1185"/>
      <c r="S287" s="1179"/>
      <c r="T287" s="374"/>
      <c r="U287" s="375"/>
      <c r="V287" s="374"/>
      <c r="W287" s="375"/>
      <c r="X287" s="374"/>
      <c r="Y287" s="375"/>
      <c r="Z287" s="374"/>
      <c r="AA287" s="375"/>
      <c r="AB287" s="374"/>
      <c r="AC287" s="375"/>
      <c r="AE287" s="1182"/>
      <c r="AF287" s="1179"/>
      <c r="AG287" s="1185"/>
      <c r="AH287" s="1179"/>
      <c r="AI287" s="374"/>
      <c r="AJ287" s="375"/>
      <c r="AK287" s="374"/>
      <c r="AL287" s="375"/>
      <c r="AM287" s="374"/>
      <c r="AN287" s="375"/>
      <c r="AO287" s="374"/>
      <c r="AP287" s="375"/>
      <c r="AQ287" s="374"/>
      <c r="AR287" s="375"/>
    </row>
    <row r="288" spans="1:44" ht="14.5" customHeight="1">
      <c r="B288" s="574"/>
      <c r="C288" s="575"/>
      <c r="D288" s="575"/>
      <c r="E288" s="575"/>
      <c r="F288" s="575"/>
      <c r="G288" s="576"/>
      <c r="H288" s="576"/>
      <c r="I288" s="576"/>
      <c r="J288" s="576"/>
      <c r="K288" s="372"/>
      <c r="L288" s="373"/>
      <c r="M288" s="370"/>
      <c r="N288" s="370"/>
      <c r="P288" s="1148"/>
      <c r="Q288" s="1154"/>
      <c r="R288" s="381"/>
      <c r="S288" s="382"/>
      <c r="T288" s="1137"/>
      <c r="U288" s="1151"/>
      <c r="V288" s="1137"/>
      <c r="W288" s="1151"/>
      <c r="X288" s="1137"/>
      <c r="Y288" s="1151"/>
      <c r="Z288" s="1137"/>
      <c r="AA288" s="1151"/>
      <c r="AB288" s="1157"/>
      <c r="AC288" s="1151"/>
      <c r="AE288" s="1148"/>
      <c r="AF288" s="1154"/>
      <c r="AG288" s="381"/>
      <c r="AH288" s="382"/>
      <c r="AI288" s="1137"/>
      <c r="AJ288" s="1151"/>
      <c r="AK288" s="1137"/>
      <c r="AL288" s="1151"/>
      <c r="AM288" s="1137"/>
      <c r="AN288" s="1151"/>
      <c r="AO288" s="1137"/>
      <c r="AP288" s="1151"/>
      <c r="AQ288" s="1157"/>
      <c r="AR288" s="1151"/>
    </row>
    <row r="289" spans="2:44">
      <c r="B289" s="383"/>
      <c r="C289" s="577"/>
      <c r="D289" s="577"/>
      <c r="E289" s="577"/>
      <c r="F289" s="577"/>
      <c r="G289" s="576"/>
      <c r="H289" s="576"/>
      <c r="I289" s="576"/>
      <c r="J289" s="576"/>
      <c r="K289" s="372"/>
      <c r="L289" s="373"/>
      <c r="M289" s="370"/>
      <c r="N289" s="370"/>
      <c r="O289" s="71"/>
      <c r="P289" s="1149"/>
      <c r="Q289" s="1155"/>
      <c r="R289" s="388"/>
      <c r="S289" s="389"/>
      <c r="T289" s="1140"/>
      <c r="U289" s="1152"/>
      <c r="V289" s="1140"/>
      <c r="W289" s="1152"/>
      <c r="X289" s="1140"/>
      <c r="Y289" s="1152"/>
      <c r="Z289" s="1140"/>
      <c r="AA289" s="1152"/>
      <c r="AB289" s="1158"/>
      <c r="AC289" s="1152"/>
      <c r="AE289" s="1149"/>
      <c r="AF289" s="1155"/>
      <c r="AG289" s="388"/>
      <c r="AH289" s="389"/>
      <c r="AI289" s="1140"/>
      <c r="AJ289" s="1152"/>
      <c r="AK289" s="1140"/>
      <c r="AL289" s="1152"/>
      <c r="AM289" s="1140"/>
      <c r="AN289" s="1152"/>
      <c r="AO289" s="1140"/>
      <c r="AP289" s="1152"/>
      <c r="AQ289" s="1158"/>
      <c r="AR289" s="1152"/>
    </row>
    <row r="290" spans="2:44" ht="16" thickBot="1">
      <c r="B290" s="574"/>
      <c r="C290" s="578"/>
      <c r="D290" s="578"/>
      <c r="E290" s="578"/>
      <c r="F290" s="578"/>
      <c r="G290" s="578"/>
      <c r="H290" s="578"/>
      <c r="I290" s="578"/>
      <c r="J290" s="578"/>
      <c r="K290" s="579"/>
      <c r="L290" s="580"/>
      <c r="M290" s="370"/>
      <c r="N290" s="370"/>
      <c r="O290" s="71"/>
      <c r="P290" s="1149"/>
      <c r="Q290" s="1156"/>
      <c r="R290" s="393"/>
      <c r="S290" s="394"/>
      <c r="T290" s="1141"/>
      <c r="U290" s="1153"/>
      <c r="V290" s="1141"/>
      <c r="W290" s="1153"/>
      <c r="X290" s="1141"/>
      <c r="Y290" s="1153"/>
      <c r="Z290" s="1141"/>
      <c r="AA290" s="1153"/>
      <c r="AB290" s="1159"/>
      <c r="AC290" s="1153"/>
      <c r="AE290" s="1149"/>
      <c r="AF290" s="1156"/>
      <c r="AG290" s="393"/>
      <c r="AH290" s="394"/>
      <c r="AI290" s="1141"/>
      <c r="AJ290" s="1153"/>
      <c r="AK290" s="1141"/>
      <c r="AL290" s="1153"/>
      <c r="AM290" s="1141"/>
      <c r="AN290" s="1153"/>
      <c r="AO290" s="1141"/>
      <c r="AP290" s="1153"/>
      <c r="AQ290" s="1159"/>
      <c r="AR290" s="1153"/>
    </row>
    <row r="291" spans="2:44" ht="14.5" customHeight="1">
      <c r="B291" s="574"/>
      <c r="C291" s="581"/>
      <c r="D291" s="581"/>
      <c r="E291" s="581"/>
      <c r="F291" s="581"/>
      <c r="G291" s="581"/>
      <c r="H291" s="581"/>
      <c r="I291" s="581"/>
      <c r="J291" s="581"/>
      <c r="K291" s="579"/>
      <c r="L291" s="580"/>
      <c r="M291" s="370"/>
      <c r="N291" s="370"/>
      <c r="O291" s="71"/>
      <c r="P291" s="1149"/>
      <c r="Q291" s="1145"/>
      <c r="R291" s="395"/>
      <c r="S291" s="396"/>
      <c r="T291" s="1137"/>
      <c r="U291" s="1137"/>
      <c r="V291" s="1137"/>
      <c r="W291" s="1137"/>
      <c r="X291" s="1137"/>
      <c r="Y291" s="1137"/>
      <c r="Z291" s="1137"/>
      <c r="AA291" s="1137"/>
      <c r="AB291" s="1137"/>
      <c r="AC291" s="1137"/>
      <c r="AE291" s="1149"/>
      <c r="AF291" s="1145"/>
      <c r="AG291" s="395"/>
      <c r="AH291" s="396"/>
      <c r="AI291" s="1137"/>
      <c r="AJ291" s="1137"/>
      <c r="AK291" s="1137"/>
      <c r="AL291" s="1137"/>
      <c r="AM291" s="1137"/>
      <c r="AN291" s="1137"/>
      <c r="AO291" s="1137"/>
      <c r="AP291" s="1137"/>
      <c r="AQ291" s="1137"/>
      <c r="AR291" s="1137"/>
    </row>
    <row r="292" spans="2:44">
      <c r="B292" s="574"/>
      <c r="C292" s="582"/>
      <c r="D292" s="582"/>
      <c r="E292" s="582"/>
      <c r="F292" s="582"/>
      <c r="G292" s="582"/>
      <c r="H292" s="582"/>
      <c r="I292" s="582"/>
      <c r="J292" s="582"/>
      <c r="K292" s="579"/>
      <c r="L292" s="580"/>
      <c r="M292" s="367"/>
      <c r="N292" s="367"/>
      <c r="O292" s="71"/>
      <c r="P292" s="1149"/>
      <c r="Q292" s="1146"/>
      <c r="R292" s="395"/>
      <c r="S292" s="396"/>
      <c r="T292" s="1138"/>
      <c r="U292" s="1138"/>
      <c r="V292" s="1138"/>
      <c r="W292" s="1138"/>
      <c r="X292" s="1138"/>
      <c r="Y292" s="1138"/>
      <c r="Z292" s="1138"/>
      <c r="AA292" s="1138"/>
      <c r="AB292" s="1140"/>
      <c r="AC292" s="1138"/>
      <c r="AE292" s="1149"/>
      <c r="AF292" s="1146"/>
      <c r="AG292" s="395"/>
      <c r="AH292" s="396"/>
      <c r="AI292" s="1138"/>
      <c r="AJ292" s="1138"/>
      <c r="AK292" s="1138"/>
      <c r="AL292" s="1138"/>
      <c r="AM292" s="1138"/>
      <c r="AN292" s="1138"/>
      <c r="AO292" s="1138"/>
      <c r="AP292" s="1138"/>
      <c r="AQ292" s="1140"/>
      <c r="AR292" s="1138"/>
    </row>
    <row r="293" spans="2:44">
      <c r="B293" s="383"/>
      <c r="C293" s="397"/>
      <c r="D293" s="397"/>
      <c r="E293" s="397"/>
      <c r="F293" s="397"/>
      <c r="G293" s="398"/>
      <c r="H293" s="398"/>
      <c r="I293" s="398"/>
      <c r="J293" s="398"/>
      <c r="K293" s="372"/>
      <c r="L293" s="373"/>
      <c r="M293" s="363"/>
      <c r="N293" s="363"/>
      <c r="P293" s="1149"/>
      <c r="Q293" s="1146"/>
      <c r="R293" s="395"/>
      <c r="S293" s="396"/>
      <c r="T293" s="1138"/>
      <c r="U293" s="1138"/>
      <c r="V293" s="1138"/>
      <c r="W293" s="1138"/>
      <c r="X293" s="1138"/>
      <c r="Y293" s="1138"/>
      <c r="Z293" s="1138"/>
      <c r="AA293" s="1138"/>
      <c r="AB293" s="1140"/>
      <c r="AC293" s="1138"/>
      <c r="AE293" s="1149"/>
      <c r="AF293" s="1146"/>
      <c r="AG293" s="395"/>
      <c r="AH293" s="396"/>
      <c r="AI293" s="1138"/>
      <c r="AJ293" s="1138"/>
      <c r="AK293" s="1138"/>
      <c r="AL293" s="1138"/>
      <c r="AM293" s="1138"/>
      <c r="AN293" s="1138"/>
      <c r="AO293" s="1138"/>
      <c r="AP293" s="1138"/>
      <c r="AQ293" s="1140"/>
      <c r="AR293" s="1138"/>
    </row>
    <row r="294" spans="2:44" ht="16" thickBot="1">
      <c r="B294" s="574"/>
      <c r="C294" s="582"/>
      <c r="D294" s="582"/>
      <c r="E294" s="582"/>
      <c r="F294" s="582"/>
      <c r="G294" s="582"/>
      <c r="H294" s="582"/>
      <c r="I294" s="582"/>
      <c r="J294" s="582"/>
      <c r="K294" s="372"/>
      <c r="L294" s="373"/>
      <c r="M294" s="363"/>
      <c r="N294" s="363"/>
      <c r="P294" s="1149"/>
      <c r="Q294" s="1146"/>
      <c r="R294" s="395"/>
      <c r="S294" s="396"/>
      <c r="T294" s="1138"/>
      <c r="U294" s="1138"/>
      <c r="V294" s="1138"/>
      <c r="W294" s="1138"/>
      <c r="X294" s="1138"/>
      <c r="Y294" s="1138"/>
      <c r="Z294" s="1138"/>
      <c r="AA294" s="1138"/>
      <c r="AB294" s="1140"/>
      <c r="AC294" s="1138"/>
      <c r="AE294" s="1149"/>
      <c r="AF294" s="1146"/>
      <c r="AG294" s="395"/>
      <c r="AH294" s="396"/>
      <c r="AI294" s="1138"/>
      <c r="AJ294" s="1138"/>
      <c r="AK294" s="1138"/>
      <c r="AL294" s="1138"/>
      <c r="AM294" s="1138"/>
      <c r="AN294" s="1138"/>
      <c r="AO294" s="1138"/>
      <c r="AP294" s="1138"/>
      <c r="AQ294" s="1140"/>
      <c r="AR294" s="1138"/>
    </row>
    <row r="295" spans="2:44" ht="16" thickBot="1">
      <c r="B295" s="401"/>
      <c r="C295" s="583"/>
      <c r="D295" s="584"/>
      <c r="E295" s="585"/>
      <c r="F295" s="586"/>
      <c r="G295" s="406"/>
      <c r="H295" s="406"/>
      <c r="I295" s="406"/>
      <c r="J295" s="406"/>
      <c r="K295" s="407"/>
      <c r="L295" s="587"/>
      <c r="M295" s="363"/>
      <c r="N295" s="363"/>
      <c r="P295" s="1149"/>
      <c r="Q295" s="1147"/>
      <c r="R295" s="409"/>
      <c r="S295" s="410"/>
      <c r="T295" s="1139"/>
      <c r="U295" s="1139"/>
      <c r="V295" s="1139"/>
      <c r="W295" s="1139"/>
      <c r="X295" s="1139"/>
      <c r="Y295" s="1139"/>
      <c r="Z295" s="1139"/>
      <c r="AA295" s="1139"/>
      <c r="AB295" s="1141"/>
      <c r="AC295" s="1139"/>
      <c r="AE295" s="1149"/>
      <c r="AF295" s="1147"/>
      <c r="AG295" s="409"/>
      <c r="AH295" s="410"/>
      <c r="AI295" s="1139"/>
      <c r="AJ295" s="1139"/>
      <c r="AK295" s="1139"/>
      <c r="AL295" s="1139"/>
      <c r="AM295" s="1139"/>
      <c r="AN295" s="1139"/>
      <c r="AO295" s="1139"/>
      <c r="AP295" s="1139"/>
      <c r="AQ295" s="1141"/>
      <c r="AR295" s="1139"/>
    </row>
    <row r="296" spans="2:44" ht="16" thickBot="1">
      <c r="B296" s="574"/>
      <c r="C296" s="588"/>
      <c r="D296" s="588"/>
      <c r="E296" s="588"/>
      <c r="F296" s="588"/>
      <c r="G296" s="589"/>
      <c r="H296" s="589"/>
      <c r="I296" s="590"/>
      <c r="J296" s="590"/>
      <c r="K296" s="579"/>
      <c r="L296" s="580"/>
      <c r="M296" s="363"/>
      <c r="N296" s="363"/>
      <c r="P296" s="1150"/>
      <c r="Q296" s="411"/>
      <c r="R296" s="412"/>
      <c r="S296" s="413"/>
      <c r="T296" s="591"/>
      <c r="U296" s="592"/>
      <c r="V296" s="593"/>
      <c r="W296" s="592"/>
      <c r="X296" s="593"/>
      <c r="Y296" s="592"/>
      <c r="Z296" s="593"/>
      <c r="AA296" s="592"/>
      <c r="AB296" s="593"/>
      <c r="AC296" s="594"/>
      <c r="AE296" s="1150"/>
      <c r="AF296" s="411"/>
      <c r="AG296" s="412"/>
      <c r="AH296" s="413"/>
      <c r="AI296" s="591"/>
      <c r="AJ296" s="592"/>
      <c r="AK296" s="593"/>
      <c r="AL296" s="592"/>
      <c r="AM296" s="593"/>
      <c r="AN296" s="592"/>
      <c r="AO296" s="593"/>
      <c r="AP296" s="592"/>
      <c r="AQ296" s="593"/>
      <c r="AR296" s="594"/>
    </row>
    <row r="297" spans="2:44">
      <c r="B297" s="574"/>
      <c r="C297" s="582"/>
      <c r="D297" s="582"/>
      <c r="E297" s="582"/>
      <c r="F297" s="582"/>
      <c r="G297" s="595"/>
      <c r="H297" s="595"/>
      <c r="I297" s="595"/>
      <c r="J297" s="595"/>
      <c r="K297" s="596"/>
      <c r="L297" s="580"/>
      <c r="M297" s="363"/>
      <c r="N297" s="363"/>
    </row>
    <row r="298" spans="2:44">
      <c r="B298" s="574"/>
      <c r="C298" s="582"/>
      <c r="D298" s="582"/>
      <c r="E298" s="582"/>
      <c r="F298" s="582"/>
      <c r="G298" s="595"/>
      <c r="H298" s="595"/>
      <c r="I298" s="595"/>
      <c r="J298" s="595"/>
      <c r="K298" s="596"/>
      <c r="L298" s="580"/>
      <c r="M298" s="420"/>
      <c r="N298" s="363"/>
    </row>
    <row r="299" spans="2:44">
      <c r="B299" s="421"/>
      <c r="C299" s="399"/>
      <c r="D299" s="399"/>
      <c r="E299" s="399"/>
      <c r="F299" s="399"/>
      <c r="G299" s="422"/>
      <c r="H299" s="422"/>
      <c r="I299" s="422"/>
      <c r="J299" s="422"/>
      <c r="K299" s="423"/>
      <c r="L299" s="597"/>
      <c r="M299" s="420"/>
      <c r="N299" s="420"/>
    </row>
    <row r="300" spans="2:44">
      <c r="B300" s="383"/>
      <c r="C300" s="397"/>
      <c r="D300" s="397"/>
      <c r="E300" s="397"/>
      <c r="F300" s="397"/>
      <c r="G300" s="422"/>
      <c r="H300" s="425"/>
      <c r="I300" s="425"/>
      <c r="J300" s="425"/>
      <c r="K300" s="426"/>
      <c r="L300" s="427"/>
      <c r="M300" s="428"/>
      <c r="N300" s="428"/>
    </row>
    <row r="301" spans="2:44">
      <c r="B301" s="383"/>
      <c r="C301" s="397"/>
      <c r="D301" s="397"/>
      <c r="E301" s="397"/>
      <c r="F301" s="397"/>
      <c r="G301" s="425"/>
      <c r="H301" s="425"/>
      <c r="I301" s="425"/>
      <c r="J301" s="425"/>
      <c r="K301" s="423"/>
      <c r="L301" s="427"/>
      <c r="M301" s="428"/>
      <c r="N301" s="428"/>
    </row>
    <row r="302" spans="2:44">
      <c r="B302" s="383"/>
      <c r="C302" s="397"/>
      <c r="D302" s="397"/>
      <c r="E302" s="397"/>
      <c r="F302" s="397"/>
      <c r="G302" s="425"/>
      <c r="H302" s="425"/>
      <c r="I302" s="425"/>
      <c r="J302" s="425"/>
      <c r="K302" s="423"/>
      <c r="L302" s="427"/>
      <c r="M302" s="428"/>
      <c r="N302" s="428"/>
    </row>
    <row r="303" spans="2:44">
      <c r="B303" s="383"/>
      <c r="C303" s="397"/>
      <c r="D303" s="397"/>
      <c r="E303" s="397"/>
      <c r="F303" s="397"/>
      <c r="G303" s="425"/>
      <c r="H303" s="425"/>
      <c r="I303" s="425"/>
      <c r="J303" s="425"/>
      <c r="K303" s="423"/>
      <c r="L303" s="427"/>
      <c r="M303" s="428"/>
      <c r="N303" s="428"/>
    </row>
    <row r="304" spans="2:44" ht="16" thickBot="1">
      <c r="B304" s="429"/>
      <c r="C304" s="397"/>
      <c r="D304" s="397"/>
      <c r="E304" s="397"/>
      <c r="F304" s="397"/>
      <c r="G304" s="425"/>
      <c r="H304" s="425"/>
      <c r="I304" s="425"/>
      <c r="J304" s="425"/>
      <c r="K304" s="423"/>
      <c r="L304" s="427"/>
      <c r="M304" s="428"/>
      <c r="N304" s="428"/>
    </row>
    <row r="305" spans="1:30" ht="16" thickBot="1">
      <c r="B305" s="431"/>
      <c r="C305" s="598"/>
      <c r="D305" s="584"/>
      <c r="E305" s="584"/>
      <c r="F305" s="599"/>
      <c r="G305" s="434"/>
      <c r="H305" s="406"/>
      <c r="I305" s="406"/>
      <c r="J305" s="406"/>
      <c r="K305" s="407"/>
      <c r="L305" s="587"/>
      <c r="M305" s="428"/>
      <c r="N305" s="428"/>
    </row>
    <row r="306" spans="1:30">
      <c r="A306" s="435"/>
      <c r="B306" s="436"/>
      <c r="C306" s="600"/>
      <c r="D306" s="600"/>
      <c r="E306" s="600"/>
      <c r="F306" s="600"/>
      <c r="G306" s="425"/>
      <c r="H306" s="425"/>
      <c r="I306" s="425"/>
      <c r="J306" s="425"/>
      <c r="K306" s="426"/>
      <c r="L306" s="440"/>
      <c r="M306" s="420"/>
      <c r="N306" s="420"/>
    </row>
    <row r="307" spans="1:30">
      <c r="B307" s="441"/>
      <c r="C307" s="601"/>
      <c r="D307" s="601"/>
      <c r="E307" s="601"/>
      <c r="F307" s="601"/>
      <c r="G307" s="425"/>
      <c r="H307" s="425"/>
      <c r="I307" s="425"/>
      <c r="J307" s="425"/>
      <c r="K307" s="444"/>
      <c r="L307" s="373"/>
      <c r="M307" s="71"/>
      <c r="N307" s="420"/>
    </row>
    <row r="308" spans="1:30">
      <c r="B308" s="441"/>
      <c r="C308" s="601"/>
      <c r="D308" s="601"/>
      <c r="E308" s="601"/>
      <c r="F308" s="601"/>
      <c r="G308" s="425"/>
      <c r="H308" s="425"/>
      <c r="I308" s="425"/>
      <c r="J308" s="425"/>
      <c r="K308" s="444"/>
      <c r="L308" s="373"/>
      <c r="M308" s="420"/>
      <c r="N308" s="420"/>
    </row>
    <row r="309" spans="1:30">
      <c r="B309" s="383"/>
      <c r="C309" s="602"/>
      <c r="D309" s="603"/>
      <c r="E309" s="603"/>
      <c r="F309" s="604"/>
      <c r="G309" s="425"/>
      <c r="H309" s="425"/>
      <c r="I309" s="425"/>
      <c r="J309" s="425"/>
      <c r="K309" s="444"/>
      <c r="L309" s="373"/>
      <c r="M309" s="420"/>
      <c r="N309" s="420"/>
    </row>
    <row r="310" spans="1:30">
      <c r="B310" s="383"/>
      <c r="C310" s="605"/>
      <c r="D310" s="605"/>
      <c r="E310" s="605"/>
      <c r="F310" s="605"/>
      <c r="G310" s="425"/>
      <c r="H310" s="425"/>
      <c r="I310" s="425"/>
      <c r="J310" s="425"/>
      <c r="K310" s="444"/>
      <c r="L310" s="373"/>
      <c r="M310" s="450"/>
      <c r="N310" s="361"/>
      <c r="P310" s="1142"/>
      <c r="Q310" s="1143"/>
      <c r="R310" s="1143"/>
      <c r="S310" s="1143"/>
      <c r="T310" s="1143"/>
      <c r="U310" s="1144"/>
    </row>
    <row r="311" spans="1:30" ht="16" thickBot="1">
      <c r="B311" s="541"/>
      <c r="C311" s="552"/>
      <c r="D311" s="552"/>
      <c r="E311" s="552"/>
      <c r="F311" s="552"/>
      <c r="G311" s="553"/>
      <c r="H311" s="553"/>
      <c r="I311" s="553"/>
      <c r="J311" s="553"/>
      <c r="K311" s="547"/>
      <c r="L311" s="548"/>
      <c r="M311" s="450"/>
      <c r="N311" s="361"/>
      <c r="P311" s="1134"/>
      <c r="Q311" s="1135"/>
      <c r="R311" s="1135"/>
      <c r="S311" s="1135"/>
      <c r="T311" s="1135"/>
      <c r="U311" s="1136"/>
    </row>
    <row r="312" spans="1:30">
      <c r="B312" s="541"/>
      <c r="C312" s="606"/>
      <c r="D312" s="606"/>
      <c r="E312" s="606"/>
      <c r="F312" s="606"/>
      <c r="G312" s="553"/>
      <c r="H312" s="553"/>
      <c r="I312" s="553"/>
      <c r="J312" s="553"/>
      <c r="K312" s="547"/>
      <c r="L312" s="548"/>
      <c r="M312" s="363"/>
      <c r="N312" s="363"/>
      <c r="P312" s="53"/>
    </row>
    <row r="313" spans="1:30">
      <c r="B313" s="541"/>
      <c r="C313" s="607"/>
      <c r="D313" s="547"/>
      <c r="E313" s="547"/>
      <c r="F313" s="563"/>
      <c r="G313" s="550"/>
      <c r="H313" s="550"/>
      <c r="I313" s="550"/>
      <c r="J313" s="550"/>
      <c r="K313" s="547"/>
      <c r="L313" s="608"/>
      <c r="M313" s="367"/>
      <c r="N313" s="367"/>
      <c r="P313" s="46"/>
      <c r="Q313" s="46"/>
      <c r="R313" s="47"/>
      <c r="S313" s="47"/>
      <c r="T313" s="47"/>
      <c r="U313" s="48"/>
      <c r="V313" s="49"/>
      <c r="W313" s="49"/>
      <c r="X313" s="49"/>
      <c r="Y313" s="49"/>
      <c r="Z313" s="49"/>
      <c r="AA313" s="49"/>
      <c r="AB313" s="49"/>
      <c r="AC313" s="49"/>
      <c r="AD313" s="49"/>
    </row>
    <row r="314" spans="1:30" ht="16" thickBot="1">
      <c r="B314" s="566"/>
      <c r="C314" s="607"/>
      <c r="D314" s="609"/>
      <c r="E314" s="609"/>
      <c r="F314" s="610"/>
      <c r="G314" s="550"/>
      <c r="H314" s="550"/>
      <c r="I314" s="550"/>
      <c r="J314" s="550"/>
      <c r="K314" s="547"/>
      <c r="L314" s="608"/>
      <c r="M314" s="363"/>
      <c r="N314" s="363"/>
      <c r="O314" s="71"/>
      <c r="P314" s="50"/>
      <c r="Q314" s="50"/>
      <c r="R314" s="51"/>
      <c r="S314" s="51"/>
      <c r="T314" s="51"/>
      <c r="U314" s="51"/>
      <c r="V314" s="50"/>
      <c r="W314" s="50"/>
      <c r="X314" s="50"/>
      <c r="Y314" s="50"/>
      <c r="Z314" s="50"/>
      <c r="AA314" s="50"/>
      <c r="AB314" s="50"/>
      <c r="AC314" s="50"/>
      <c r="AD314" s="50"/>
    </row>
    <row r="315" spans="1:30" ht="16" thickBot="1">
      <c r="B315" s="611"/>
      <c r="C315" s="612"/>
      <c r="D315" s="613"/>
      <c r="E315" s="614"/>
      <c r="F315" s="615"/>
      <c r="G315" s="540"/>
      <c r="H315" s="540"/>
      <c r="I315" s="540"/>
      <c r="J315" s="540"/>
      <c r="K315" s="616"/>
      <c r="L315" s="617"/>
      <c r="M315" s="363"/>
      <c r="N315" s="363"/>
      <c r="O315" s="461"/>
      <c r="P315" s="56"/>
      <c r="Q315" s="56"/>
      <c r="R315" s="57"/>
      <c r="S315" s="57"/>
      <c r="T315" s="57"/>
      <c r="U315" s="56"/>
      <c r="V315" s="56"/>
      <c r="W315" s="56"/>
      <c r="X315" s="56"/>
      <c r="Y315" s="56"/>
      <c r="Z315" s="56"/>
      <c r="AA315" s="56"/>
      <c r="AB315" s="56"/>
      <c r="AC315" s="56"/>
      <c r="AD315" s="56"/>
    </row>
    <row r="316" spans="1:30">
      <c r="B316" s="556"/>
      <c r="C316" s="618"/>
      <c r="D316" s="618"/>
      <c r="E316" s="618"/>
      <c r="F316" s="618"/>
      <c r="G316" s="618"/>
      <c r="H316" s="618"/>
      <c r="I316" s="618"/>
      <c r="J316" s="618"/>
      <c r="K316" s="618"/>
      <c r="L316" s="619"/>
      <c r="M316" s="363"/>
      <c r="N316" s="363"/>
      <c r="O316" s="620"/>
      <c r="P316" s="466"/>
      <c r="Q316" s="58"/>
      <c r="R316" s="466"/>
      <c r="S316" s="58"/>
      <c r="T316" s="466"/>
      <c r="U316" s="467"/>
      <c r="V316" s="467"/>
      <c r="W316" s="467"/>
      <c r="X316" s="58"/>
      <c r="Y316" s="58"/>
      <c r="Z316" s="466"/>
      <c r="AA316" s="468"/>
      <c r="AB316" s="468"/>
      <c r="AC316" s="468"/>
      <c r="AD316" s="468"/>
    </row>
    <row r="317" spans="1:30">
      <c r="B317" s="541"/>
      <c r="C317" s="558"/>
      <c r="D317" s="558"/>
      <c r="E317" s="558"/>
      <c r="F317" s="558"/>
      <c r="G317" s="563"/>
      <c r="H317" s="563"/>
      <c r="I317" s="563"/>
      <c r="J317" s="563"/>
      <c r="K317" s="563"/>
      <c r="L317" s="548"/>
      <c r="M317" s="363"/>
      <c r="N317" s="363"/>
      <c r="O317" s="620"/>
      <c r="P317" s="466"/>
      <c r="Q317" s="58"/>
      <c r="R317" s="466"/>
      <c r="S317" s="58"/>
      <c r="T317" s="466"/>
      <c r="U317" s="467"/>
      <c r="V317" s="467"/>
      <c r="W317" s="467"/>
      <c r="X317" s="58"/>
      <c r="Y317" s="58"/>
      <c r="Z317" s="466"/>
      <c r="AA317" s="468"/>
      <c r="AB317" s="468"/>
      <c r="AC317" s="468"/>
      <c r="AD317" s="468"/>
    </row>
    <row r="318" spans="1:30">
      <c r="B318" s="541"/>
      <c r="C318" s="558"/>
      <c r="D318" s="558"/>
      <c r="E318" s="558"/>
      <c r="F318" s="558"/>
      <c r="G318" s="563"/>
      <c r="H318" s="563"/>
      <c r="I318" s="563"/>
      <c r="J318" s="563"/>
      <c r="K318" s="563"/>
      <c r="L318" s="548"/>
      <c r="M318" s="363"/>
      <c r="N318" s="363"/>
      <c r="O318" s="620"/>
      <c r="P318" s="466"/>
      <c r="Q318" s="58"/>
      <c r="R318" s="466"/>
      <c r="S318" s="58"/>
      <c r="T318" s="466"/>
      <c r="U318" s="467"/>
      <c r="V318" s="467"/>
      <c r="W318" s="467"/>
      <c r="X318" s="58"/>
      <c r="Y318" s="58"/>
      <c r="Z318" s="466"/>
      <c r="AA318" s="468"/>
      <c r="AB318" s="468"/>
      <c r="AC318" s="468"/>
      <c r="AD318" s="468"/>
    </row>
    <row r="319" spans="1:30">
      <c r="B319" s="541"/>
      <c r="C319" s="564"/>
      <c r="D319" s="564"/>
      <c r="E319" s="564"/>
      <c r="F319" s="564"/>
      <c r="G319" s="621"/>
      <c r="H319" s="621"/>
      <c r="I319" s="621"/>
      <c r="J319" s="621"/>
      <c r="K319" s="621"/>
      <c r="L319" s="548"/>
      <c r="M319" s="363"/>
      <c r="N319" s="363"/>
      <c r="O319" s="620"/>
      <c r="P319" s="466"/>
      <c r="Q319" s="58"/>
      <c r="R319" s="466"/>
      <c r="S319" s="58"/>
      <c r="T319" s="466"/>
      <c r="U319" s="467"/>
      <c r="V319" s="467"/>
      <c r="W319" s="467"/>
      <c r="X319" s="58"/>
      <c r="Y319" s="58"/>
      <c r="Z319" s="466"/>
      <c r="AA319" s="468"/>
      <c r="AB319" s="468"/>
      <c r="AC319" s="468"/>
      <c r="AD319" s="468"/>
    </row>
    <row r="320" spans="1:30">
      <c r="B320" s="566"/>
      <c r="C320" s="558"/>
      <c r="D320" s="558"/>
      <c r="E320" s="558"/>
      <c r="F320" s="558"/>
      <c r="G320" s="563"/>
      <c r="H320" s="563"/>
      <c r="I320" s="563"/>
      <c r="J320" s="563"/>
      <c r="K320" s="563"/>
      <c r="L320" s="548"/>
      <c r="M320" s="367"/>
      <c r="N320" s="367"/>
    </row>
    <row r="321" spans="1:14">
      <c r="B321" s="566"/>
      <c r="C321" s="558"/>
      <c r="D321" s="558"/>
      <c r="E321" s="558"/>
      <c r="F321" s="558"/>
      <c r="G321" s="563"/>
      <c r="H321" s="563"/>
      <c r="I321" s="563"/>
      <c r="J321" s="563"/>
      <c r="K321" s="563"/>
      <c r="L321" s="548"/>
      <c r="M321" s="363"/>
      <c r="N321" s="363"/>
    </row>
    <row r="322" spans="1:14" ht="16" thickBot="1">
      <c r="B322" s="567"/>
      <c r="C322" s="622"/>
      <c r="D322" s="622"/>
      <c r="E322" s="622"/>
      <c r="F322" s="622"/>
      <c r="G322" s="623"/>
      <c r="H322" s="623"/>
      <c r="I322" s="623"/>
      <c r="J322" s="623"/>
      <c r="K322" s="623"/>
      <c r="L322" s="624"/>
      <c r="M322" s="363"/>
      <c r="N322" s="363"/>
    </row>
    <row r="323" spans="1:14">
      <c r="B323" s="461"/>
      <c r="C323" s="483"/>
      <c r="D323" s="483"/>
      <c r="E323" s="483"/>
      <c r="F323" s="483"/>
      <c r="G323" s="483"/>
      <c r="H323" s="484"/>
      <c r="I323" s="420"/>
      <c r="J323" s="420"/>
      <c r="K323" s="484"/>
      <c r="L323" s="484"/>
      <c r="N323" s="420"/>
    </row>
    <row r="324" spans="1:14">
      <c r="B324" s="485"/>
      <c r="C324" s="486"/>
      <c r="D324" s="486"/>
      <c r="E324" s="486"/>
      <c r="F324" s="486"/>
      <c r="G324" s="486"/>
      <c r="H324" s="484"/>
      <c r="I324" s="71"/>
      <c r="J324" s="420"/>
      <c r="K324" s="484"/>
      <c r="L324" s="484"/>
      <c r="N324" s="420"/>
    </row>
    <row r="325" spans="1:14">
      <c r="B325" s="461"/>
      <c r="C325" s="359"/>
      <c r="D325" s="359"/>
      <c r="E325" s="359"/>
      <c r="F325" s="359"/>
      <c r="G325" s="359"/>
      <c r="I325" s="420"/>
      <c r="J325" s="420"/>
      <c r="N325" s="420"/>
    </row>
    <row r="326" spans="1:14">
      <c r="B326" s="461"/>
      <c r="C326" s="487"/>
      <c r="D326" s="487"/>
      <c r="E326" s="487"/>
      <c r="F326" s="487"/>
      <c r="G326" s="359"/>
      <c r="M326" s="420"/>
      <c r="N326" s="420"/>
    </row>
    <row r="329" spans="1:14">
      <c r="A329" s="488"/>
      <c r="B329" s="489"/>
      <c r="D329" s="358"/>
      <c r="E329" s="358"/>
      <c r="F329" s="358"/>
      <c r="G329" s="358"/>
      <c r="H329" s="358"/>
      <c r="I329" s="358"/>
      <c r="J329" s="358"/>
      <c r="K329" s="358"/>
    </row>
    <row r="330" spans="1:14">
      <c r="A330" s="358"/>
      <c r="B330" s="490"/>
      <c r="E330" s="358"/>
      <c r="F330" s="358"/>
      <c r="G330" s="358"/>
      <c r="H330" s="358"/>
      <c r="I330" s="358"/>
      <c r="J330" s="358"/>
      <c r="K330" s="358"/>
    </row>
    <row r="331" spans="1:14">
      <c r="A331" s="358"/>
      <c r="B331" s="490"/>
      <c r="E331" s="358"/>
      <c r="F331" s="358"/>
      <c r="G331" s="358"/>
      <c r="H331" s="358"/>
      <c r="I331" s="358"/>
      <c r="J331" s="358"/>
      <c r="K331" s="358"/>
    </row>
    <row r="332" spans="1:14">
      <c r="A332" s="358"/>
      <c r="B332" s="490"/>
      <c r="E332" s="358"/>
      <c r="F332" s="358"/>
      <c r="G332" s="358"/>
      <c r="H332" s="358"/>
      <c r="I332" s="358"/>
      <c r="J332" s="358"/>
      <c r="K332" s="358"/>
    </row>
    <row r="333" spans="1:14">
      <c r="A333" s="358"/>
      <c r="B333" s="490"/>
      <c r="E333" s="358"/>
      <c r="F333" s="358"/>
      <c r="G333" s="358"/>
      <c r="H333" s="358"/>
      <c r="I333" s="358"/>
      <c r="J333" s="358"/>
      <c r="K333" s="358"/>
    </row>
    <row r="334" spans="1:14">
      <c r="A334" s="358"/>
      <c r="B334" s="490"/>
      <c r="E334" s="358"/>
      <c r="F334" s="358"/>
      <c r="G334" s="358"/>
      <c r="H334" s="358"/>
      <c r="I334" s="358"/>
      <c r="J334" s="358"/>
      <c r="K334" s="358"/>
    </row>
    <row r="335" spans="1:14">
      <c r="A335" s="358"/>
      <c r="B335" s="490"/>
      <c r="E335" s="358"/>
      <c r="F335" s="358"/>
      <c r="G335" s="358"/>
      <c r="H335" s="358"/>
      <c r="I335" s="358"/>
      <c r="J335" s="358"/>
      <c r="K335" s="358"/>
    </row>
    <row r="336" spans="1:14">
      <c r="A336" s="358"/>
      <c r="B336" s="490"/>
      <c r="E336" s="358"/>
      <c r="F336" s="358"/>
      <c r="G336" s="358"/>
      <c r="H336" s="358"/>
      <c r="I336" s="358"/>
      <c r="J336" s="358"/>
      <c r="K336" s="358"/>
    </row>
    <row r="337" spans="1:11">
      <c r="A337" s="358"/>
      <c r="B337" s="625"/>
      <c r="E337" s="358"/>
      <c r="F337" s="358"/>
      <c r="G337" s="358"/>
      <c r="H337" s="358"/>
      <c r="I337" s="358"/>
      <c r="J337" s="358"/>
      <c r="K337" s="358"/>
    </row>
    <row r="338" spans="1:11">
      <c r="A338" s="358"/>
      <c r="B338" s="490"/>
      <c r="E338" s="358"/>
      <c r="F338" s="358"/>
      <c r="G338" s="358"/>
      <c r="H338" s="358"/>
      <c r="I338" s="358"/>
      <c r="J338" s="358"/>
      <c r="K338" s="358"/>
    </row>
    <row r="339" spans="1:11">
      <c r="A339" s="488"/>
      <c r="B339" s="489"/>
      <c r="E339" s="358"/>
      <c r="F339" s="358"/>
      <c r="G339" s="358"/>
      <c r="H339" s="358"/>
      <c r="I339" s="358"/>
      <c r="J339" s="358"/>
      <c r="K339" s="358"/>
    </row>
    <row r="340" spans="1:11">
      <c r="A340" s="496"/>
      <c r="B340" s="490"/>
      <c r="C340" s="489"/>
      <c r="E340" s="358"/>
      <c r="F340" s="358"/>
      <c r="G340" s="358"/>
      <c r="H340" s="358"/>
      <c r="I340" s="358"/>
      <c r="J340" s="358"/>
      <c r="K340" s="358"/>
    </row>
    <row r="341" spans="1:11">
      <c r="A341" s="496"/>
      <c r="B341" s="490"/>
      <c r="C341" s="489"/>
      <c r="E341" s="358"/>
      <c r="F341" s="358"/>
      <c r="G341" s="358"/>
      <c r="H341" s="358"/>
      <c r="I341" s="358"/>
      <c r="J341" s="358"/>
      <c r="K341" s="358"/>
    </row>
    <row r="342" spans="1:11">
      <c r="A342" s="496"/>
      <c r="B342" s="490"/>
      <c r="C342" s="489"/>
      <c r="E342" s="358"/>
      <c r="F342" s="358"/>
      <c r="G342" s="358"/>
      <c r="H342" s="358"/>
      <c r="I342" s="358"/>
      <c r="J342" s="358"/>
      <c r="K342" s="358"/>
    </row>
    <row r="343" spans="1:11">
      <c r="A343" s="496"/>
      <c r="B343" s="490"/>
      <c r="C343" s="489"/>
      <c r="E343" s="358"/>
      <c r="F343" s="358"/>
      <c r="G343" s="358"/>
      <c r="H343" s="358"/>
      <c r="I343" s="358"/>
      <c r="J343" s="358"/>
      <c r="K343" s="358"/>
    </row>
    <row r="344" spans="1:11" ht="15.75" customHeight="1">
      <c r="A344" s="496"/>
      <c r="B344" s="490"/>
      <c r="C344" s="489"/>
      <c r="E344" s="358"/>
      <c r="F344" s="358"/>
      <c r="G344" s="358"/>
      <c r="H344" s="358"/>
      <c r="I344" s="358"/>
      <c r="J344" s="358"/>
      <c r="K344" s="358"/>
    </row>
    <row r="345" spans="1:11" ht="15.75" customHeight="1">
      <c r="A345" s="496"/>
      <c r="B345" s="490"/>
      <c r="C345" s="489"/>
      <c r="E345" s="358"/>
      <c r="F345" s="358"/>
      <c r="G345" s="358"/>
      <c r="H345" s="358"/>
      <c r="I345" s="358"/>
      <c r="J345" s="358"/>
      <c r="K345" s="358"/>
    </row>
  </sheetData>
  <mergeCells count="403">
    <mergeCell ref="P310:U310"/>
    <mergeCell ref="P311:U311"/>
    <mergeCell ref="AM291:AM295"/>
    <mergeCell ref="AN291:AN295"/>
    <mergeCell ref="AO291:AO295"/>
    <mergeCell ref="AP291:AP295"/>
    <mergeCell ref="AQ291:AQ295"/>
    <mergeCell ref="AR291:AR295"/>
    <mergeCell ref="AC291:AC295"/>
    <mergeCell ref="AF291:AF295"/>
    <mergeCell ref="AI291:AI295"/>
    <mergeCell ref="AJ291:AJ295"/>
    <mergeCell ref="AK291:AK295"/>
    <mergeCell ref="AL291:AL295"/>
    <mergeCell ref="W291:W295"/>
    <mergeCell ref="X291:X295"/>
    <mergeCell ref="Y291:Y295"/>
    <mergeCell ref="Z291:Z295"/>
    <mergeCell ref="AA291:AA295"/>
    <mergeCell ref="AB291:AB295"/>
    <mergeCell ref="AM288:AM290"/>
    <mergeCell ref="AN288:AN290"/>
    <mergeCell ref="AO288:AO290"/>
    <mergeCell ref="AP288:AP290"/>
    <mergeCell ref="AQ288:AQ290"/>
    <mergeCell ref="AR288:AR290"/>
    <mergeCell ref="AE288:AE296"/>
    <mergeCell ref="AF288:AF290"/>
    <mergeCell ref="AI288:AI290"/>
    <mergeCell ref="AJ288:AJ290"/>
    <mergeCell ref="AK288:AK290"/>
    <mergeCell ref="AL288:AL290"/>
    <mergeCell ref="X288:X290"/>
    <mergeCell ref="Y288:Y290"/>
    <mergeCell ref="Z288:Z290"/>
    <mergeCell ref="AA288:AA290"/>
    <mergeCell ref="AB288:AB290"/>
    <mergeCell ref="AC288:AC290"/>
    <mergeCell ref="P288:P296"/>
    <mergeCell ref="Q288:Q290"/>
    <mergeCell ref="T288:T290"/>
    <mergeCell ref="U288:U290"/>
    <mergeCell ref="V288:V290"/>
    <mergeCell ref="W288:W290"/>
    <mergeCell ref="Q291:Q295"/>
    <mergeCell ref="T291:T295"/>
    <mergeCell ref="U291:U295"/>
    <mergeCell ref="V291:V295"/>
    <mergeCell ref="AQ284:AR286"/>
    <mergeCell ref="B285:B286"/>
    <mergeCell ref="C285:C286"/>
    <mergeCell ref="D285:D286"/>
    <mergeCell ref="E285:E286"/>
    <mergeCell ref="F285:F286"/>
    <mergeCell ref="G285:H285"/>
    <mergeCell ref="I285:J285"/>
    <mergeCell ref="K285:K286"/>
    <mergeCell ref="Z284:AA286"/>
    <mergeCell ref="AB284:AC286"/>
    <mergeCell ref="AH284:AH287"/>
    <mergeCell ref="AI284:AJ286"/>
    <mergeCell ref="AK284:AL286"/>
    <mergeCell ref="AM284:AN286"/>
    <mergeCell ref="AE285:AE287"/>
    <mergeCell ref="AF286:AF287"/>
    <mergeCell ref="AG286:AG287"/>
    <mergeCell ref="AN222:AN224"/>
    <mergeCell ref="AO222:AO224"/>
    <mergeCell ref="AP222:AP224"/>
    <mergeCell ref="P245:U245"/>
    <mergeCell ref="C284:L284"/>
    <mergeCell ref="S284:S287"/>
    <mergeCell ref="T284:U286"/>
    <mergeCell ref="V284:W286"/>
    <mergeCell ref="X284:Y286"/>
    <mergeCell ref="L285:L286"/>
    <mergeCell ref="P285:P287"/>
    <mergeCell ref="Q286:Q287"/>
    <mergeCell ref="R286:R287"/>
    <mergeCell ref="AO284:AP286"/>
    <mergeCell ref="P244:U244"/>
    <mergeCell ref="AF225:AF229"/>
    <mergeCell ref="AI225:AI229"/>
    <mergeCell ref="AJ225:AJ229"/>
    <mergeCell ref="AK225:AK229"/>
    <mergeCell ref="AL225:AL229"/>
    <mergeCell ref="AM225:AM229"/>
    <mergeCell ref="X225:X229"/>
    <mergeCell ref="Y225:Y229"/>
    <mergeCell ref="Z225:Z229"/>
    <mergeCell ref="AA225:AA229"/>
    <mergeCell ref="AB225:AB229"/>
    <mergeCell ref="AC225:AC229"/>
    <mergeCell ref="P222:P230"/>
    <mergeCell ref="Q222:Q224"/>
    <mergeCell ref="T222:T224"/>
    <mergeCell ref="U222:U224"/>
    <mergeCell ref="V222:V224"/>
    <mergeCell ref="W222:W224"/>
    <mergeCell ref="X222:X224"/>
    <mergeCell ref="AQ222:AQ224"/>
    <mergeCell ref="AR222:AR224"/>
    <mergeCell ref="Q225:Q229"/>
    <mergeCell ref="T225:T229"/>
    <mergeCell ref="U225:U229"/>
    <mergeCell ref="V225:V229"/>
    <mergeCell ref="W225:W229"/>
    <mergeCell ref="AF222:AF224"/>
    <mergeCell ref="AI222:AI224"/>
    <mergeCell ref="AJ222:AJ224"/>
    <mergeCell ref="AK222:AK224"/>
    <mergeCell ref="AL222:AL224"/>
    <mergeCell ref="AM222:AM224"/>
    <mergeCell ref="Y222:Y224"/>
    <mergeCell ref="Z222:Z224"/>
    <mergeCell ref="AA222:AA224"/>
    <mergeCell ref="AB222:AB224"/>
    <mergeCell ref="AC222:AC224"/>
    <mergeCell ref="AE222:AE230"/>
    <mergeCell ref="AN225:AN229"/>
    <mergeCell ref="AO225:AO229"/>
    <mergeCell ref="AP225:AP229"/>
    <mergeCell ref="AQ225:AQ229"/>
    <mergeCell ref="AR225:AR229"/>
    <mergeCell ref="AM218:AN220"/>
    <mergeCell ref="AO218:AP220"/>
    <mergeCell ref="AQ218:AR220"/>
    <mergeCell ref="B219:B220"/>
    <mergeCell ref="C219:C220"/>
    <mergeCell ref="D219:D220"/>
    <mergeCell ref="E219:E220"/>
    <mergeCell ref="F219:F220"/>
    <mergeCell ref="G219:H219"/>
    <mergeCell ref="I219:J219"/>
    <mergeCell ref="X218:Y220"/>
    <mergeCell ref="Z218:AA220"/>
    <mergeCell ref="AB218:AC220"/>
    <mergeCell ref="AH218:AH221"/>
    <mergeCell ref="AI218:AJ220"/>
    <mergeCell ref="AK218:AL220"/>
    <mergeCell ref="AE219:AE221"/>
    <mergeCell ref="R220:R221"/>
    <mergeCell ref="AF220:AF221"/>
    <mergeCell ref="AG220:AG221"/>
    <mergeCell ref="P177:U177"/>
    <mergeCell ref="P178:U178"/>
    <mergeCell ref="C218:L218"/>
    <mergeCell ref="S218:S221"/>
    <mergeCell ref="T218:U220"/>
    <mergeCell ref="V218:W220"/>
    <mergeCell ref="K219:K220"/>
    <mergeCell ref="L219:L220"/>
    <mergeCell ref="P219:P221"/>
    <mergeCell ref="Q220:Q221"/>
    <mergeCell ref="X158:X162"/>
    <mergeCell ref="Y158:Y162"/>
    <mergeCell ref="Z158:Z162"/>
    <mergeCell ref="AA158:AA162"/>
    <mergeCell ref="AB158:AB162"/>
    <mergeCell ref="AM155:AM157"/>
    <mergeCell ref="AN155:AN157"/>
    <mergeCell ref="AO155:AO157"/>
    <mergeCell ref="X155:X157"/>
    <mergeCell ref="Y155:Y157"/>
    <mergeCell ref="Z155:Z157"/>
    <mergeCell ref="AA155:AA157"/>
    <mergeCell ref="AB155:AB157"/>
    <mergeCell ref="AC155:AC157"/>
    <mergeCell ref="AM158:AM162"/>
    <mergeCell ref="AN158:AN162"/>
    <mergeCell ref="AO158:AO162"/>
    <mergeCell ref="AC158:AC162"/>
    <mergeCell ref="AF158:AF162"/>
    <mergeCell ref="AI158:AI162"/>
    <mergeCell ref="AJ158:AJ162"/>
    <mergeCell ref="AK158:AK162"/>
    <mergeCell ref="AL158:AL162"/>
    <mergeCell ref="AP155:AP157"/>
    <mergeCell ref="AQ155:AQ157"/>
    <mergeCell ref="AR155:AR157"/>
    <mergeCell ref="AE155:AE163"/>
    <mergeCell ref="AF155:AF157"/>
    <mergeCell ref="AI155:AI157"/>
    <mergeCell ref="AJ155:AJ157"/>
    <mergeCell ref="AK155:AK157"/>
    <mergeCell ref="AL155:AL157"/>
    <mergeCell ref="AP158:AP162"/>
    <mergeCell ref="AQ158:AQ162"/>
    <mergeCell ref="AR158:AR162"/>
    <mergeCell ref="P155:P163"/>
    <mergeCell ref="Q155:Q157"/>
    <mergeCell ref="T155:T157"/>
    <mergeCell ref="U155:U157"/>
    <mergeCell ref="V155:V157"/>
    <mergeCell ref="W155:W157"/>
    <mergeCell ref="Q158:Q162"/>
    <mergeCell ref="T158:T162"/>
    <mergeCell ref="U158:U162"/>
    <mergeCell ref="V158:V162"/>
    <mergeCell ref="W158:W162"/>
    <mergeCell ref="AQ151:AR153"/>
    <mergeCell ref="B152:B153"/>
    <mergeCell ref="C152:C153"/>
    <mergeCell ref="D152:D153"/>
    <mergeCell ref="E152:E153"/>
    <mergeCell ref="F152:F153"/>
    <mergeCell ref="G152:H152"/>
    <mergeCell ref="I152:J152"/>
    <mergeCell ref="K152:K153"/>
    <mergeCell ref="L152:L153"/>
    <mergeCell ref="AB151:AC153"/>
    <mergeCell ref="AH151:AH154"/>
    <mergeCell ref="AI151:AJ153"/>
    <mergeCell ref="AK151:AL153"/>
    <mergeCell ref="AM151:AN153"/>
    <mergeCell ref="AO151:AP153"/>
    <mergeCell ref="AE152:AE154"/>
    <mergeCell ref="AF153:AF154"/>
    <mergeCell ref="AG153:AG154"/>
    <mergeCell ref="C151:L151"/>
    <mergeCell ref="S151:S154"/>
    <mergeCell ref="T151:U153"/>
    <mergeCell ref="V151:W153"/>
    <mergeCell ref="X151:Y153"/>
    <mergeCell ref="Z151:AA153"/>
    <mergeCell ref="P152:P154"/>
    <mergeCell ref="Q153:Q154"/>
    <mergeCell ref="R153:R154"/>
    <mergeCell ref="P105:U105"/>
    <mergeCell ref="P106:U106"/>
    <mergeCell ref="B149:B150"/>
    <mergeCell ref="C149:M149"/>
    <mergeCell ref="P149:U149"/>
    <mergeCell ref="C150:M150"/>
    <mergeCell ref="P150:U150"/>
    <mergeCell ref="X86:X90"/>
    <mergeCell ref="Y86:Y90"/>
    <mergeCell ref="Z86:Z90"/>
    <mergeCell ref="AA86:AA90"/>
    <mergeCell ref="AB86:AB90"/>
    <mergeCell ref="AM83:AM85"/>
    <mergeCell ref="AN83:AN85"/>
    <mergeCell ref="AO83:AO85"/>
    <mergeCell ref="X83:X85"/>
    <mergeCell ref="Y83:Y85"/>
    <mergeCell ref="Z83:Z85"/>
    <mergeCell ref="AA83:AA85"/>
    <mergeCell ref="AB83:AB85"/>
    <mergeCell ref="AC83:AC85"/>
    <mergeCell ref="AM86:AM90"/>
    <mergeCell ref="AN86:AN90"/>
    <mergeCell ref="AO86:AO90"/>
    <mergeCell ref="AC86:AC90"/>
    <mergeCell ref="AF86:AF90"/>
    <mergeCell ref="AI86:AI90"/>
    <mergeCell ref="AJ86:AJ90"/>
    <mergeCell ref="AK86:AK90"/>
    <mergeCell ref="AL86:AL90"/>
    <mergeCell ref="AP83:AP85"/>
    <mergeCell ref="AQ83:AQ85"/>
    <mergeCell ref="AR83:AR85"/>
    <mergeCell ref="AE83:AE91"/>
    <mergeCell ref="AF83:AF85"/>
    <mergeCell ref="AI83:AI85"/>
    <mergeCell ref="AJ83:AJ85"/>
    <mergeCell ref="AK83:AK85"/>
    <mergeCell ref="AL83:AL85"/>
    <mergeCell ref="AP86:AP90"/>
    <mergeCell ref="AQ86:AQ90"/>
    <mergeCell ref="AR86:AR90"/>
    <mergeCell ref="AG91:AH91"/>
    <mergeCell ref="P83:P91"/>
    <mergeCell ref="Q83:Q85"/>
    <mergeCell ref="T83:T85"/>
    <mergeCell ref="U83:U85"/>
    <mergeCell ref="V83:V85"/>
    <mergeCell ref="W83:W85"/>
    <mergeCell ref="Q86:Q90"/>
    <mergeCell ref="T86:T90"/>
    <mergeCell ref="U86:U90"/>
    <mergeCell ref="V86:V90"/>
    <mergeCell ref="W86:W90"/>
    <mergeCell ref="AQ79:AR81"/>
    <mergeCell ref="B80:B81"/>
    <mergeCell ref="C80:C81"/>
    <mergeCell ref="D80:D81"/>
    <mergeCell ref="E80:E81"/>
    <mergeCell ref="F80:F81"/>
    <mergeCell ref="G80:H80"/>
    <mergeCell ref="I80:J80"/>
    <mergeCell ref="K80:K81"/>
    <mergeCell ref="L80:L81"/>
    <mergeCell ref="AB79:AC81"/>
    <mergeCell ref="AH79:AH82"/>
    <mergeCell ref="AI79:AJ81"/>
    <mergeCell ref="AK79:AL81"/>
    <mergeCell ref="AM79:AN81"/>
    <mergeCell ref="AO79:AP81"/>
    <mergeCell ref="AE80:AE82"/>
    <mergeCell ref="AF81:AF82"/>
    <mergeCell ref="AG81:AG82"/>
    <mergeCell ref="C79:L79"/>
    <mergeCell ref="S79:S82"/>
    <mergeCell ref="T79:U81"/>
    <mergeCell ref="V79:W81"/>
    <mergeCell ref="X79:Y81"/>
    <mergeCell ref="Z79:AA81"/>
    <mergeCell ref="P80:P82"/>
    <mergeCell ref="Q81:Q82"/>
    <mergeCell ref="R81:R82"/>
    <mergeCell ref="C23:F27"/>
    <mergeCell ref="P33:U33"/>
    <mergeCell ref="P34:U34"/>
    <mergeCell ref="C42:F42"/>
    <mergeCell ref="B77:B78"/>
    <mergeCell ref="C77:M77"/>
    <mergeCell ref="P77:U77"/>
    <mergeCell ref="C78:M78"/>
    <mergeCell ref="P78:U78"/>
    <mergeCell ref="Z11:Z13"/>
    <mergeCell ref="AA11:AA13"/>
    <mergeCell ref="AB11:AB13"/>
    <mergeCell ref="AC11:AC13"/>
    <mergeCell ref="AM14:AM18"/>
    <mergeCell ref="AN14:AN18"/>
    <mergeCell ref="AO14:AO18"/>
    <mergeCell ref="AC14:AC18"/>
    <mergeCell ref="AF14:AF18"/>
    <mergeCell ref="AI14:AI18"/>
    <mergeCell ref="AJ14:AJ18"/>
    <mergeCell ref="AK14:AK18"/>
    <mergeCell ref="AL14:AL18"/>
    <mergeCell ref="W14:W18"/>
    <mergeCell ref="AP11:AP13"/>
    <mergeCell ref="AQ11:AQ13"/>
    <mergeCell ref="AR11:AR13"/>
    <mergeCell ref="AE11:AE19"/>
    <mergeCell ref="AF11:AF13"/>
    <mergeCell ref="AI11:AI13"/>
    <mergeCell ref="AJ11:AJ13"/>
    <mergeCell ref="AK11:AK13"/>
    <mergeCell ref="AL11:AL13"/>
    <mergeCell ref="AG19:AH19"/>
    <mergeCell ref="AP14:AP18"/>
    <mergeCell ref="AQ14:AQ18"/>
    <mergeCell ref="AR14:AR18"/>
    <mergeCell ref="X14:X18"/>
    <mergeCell ref="Y14:Y18"/>
    <mergeCell ref="Z14:Z18"/>
    <mergeCell ref="AA14:AA18"/>
    <mergeCell ref="AB14:AB18"/>
    <mergeCell ref="AM11:AM13"/>
    <mergeCell ref="AN11:AN13"/>
    <mergeCell ref="AO11:AO13"/>
    <mergeCell ref="X11:X13"/>
    <mergeCell ref="Y11:Y13"/>
    <mergeCell ref="AQ7:AR9"/>
    <mergeCell ref="B8:B9"/>
    <mergeCell ref="C8:C9"/>
    <mergeCell ref="D8:D9"/>
    <mergeCell ref="E8:E9"/>
    <mergeCell ref="F8:F9"/>
    <mergeCell ref="G8:H8"/>
    <mergeCell ref="V7:W9"/>
    <mergeCell ref="X7:Y9"/>
    <mergeCell ref="Z7:AA9"/>
    <mergeCell ref="AB7:AC9"/>
    <mergeCell ref="AH7:AH10"/>
    <mergeCell ref="AI7:AJ9"/>
    <mergeCell ref="AG9:AG10"/>
    <mergeCell ref="L8:L9"/>
    <mergeCell ref="P8:P10"/>
    <mergeCell ref="AE8:AE10"/>
    <mergeCell ref="Q9:Q10"/>
    <mergeCell ref="R9:R10"/>
    <mergeCell ref="AF9:AF10"/>
    <mergeCell ref="AK7:AL9"/>
    <mergeCell ref="AM7:AN9"/>
    <mergeCell ref="AO7:AP9"/>
    <mergeCell ref="C95:F99"/>
    <mergeCell ref="C114:F114"/>
    <mergeCell ref="AG163:AH163"/>
    <mergeCell ref="C167:F171"/>
    <mergeCell ref="C186:F186"/>
    <mergeCell ref="B5:B6"/>
    <mergeCell ref="C5:M5"/>
    <mergeCell ref="P5:U5"/>
    <mergeCell ref="C6:M6"/>
    <mergeCell ref="C7:L7"/>
    <mergeCell ref="S7:S10"/>
    <mergeCell ref="T7:U9"/>
    <mergeCell ref="I8:J8"/>
    <mergeCell ref="K8:K9"/>
    <mergeCell ref="P11:P19"/>
    <mergeCell ref="Q11:Q13"/>
    <mergeCell ref="T11:T13"/>
    <mergeCell ref="U11:U13"/>
    <mergeCell ref="V11:V13"/>
    <mergeCell ref="W11:W13"/>
    <mergeCell ref="Q14:Q18"/>
    <mergeCell ref="T14:T18"/>
    <mergeCell ref="U14:U18"/>
    <mergeCell ref="V14:V18"/>
  </mergeCells>
  <hyperlinks>
    <hyperlink ref="C60" r:id="rId1" xr:uid="{9F7F7D6F-2CA3-45AD-A17D-6BC563E353BB}"/>
    <hyperlink ref="C132" r:id="rId2" xr:uid="{E4D2F3F2-D72A-4768-9CD4-19F4905131F2}"/>
    <hyperlink ref="C204" r:id="rId3" xr:uid="{9EE015A7-4873-406D-ADC3-627D0656199F}"/>
  </hyperlinks>
  <pageMargins left="0.7" right="0.7" top="0.75" bottom="0.75" header="0.3" footer="0.3"/>
  <pageSetup paperSize="9" orientation="portrait" r:id="rId4"/>
  <legacyDrawing r:id="rId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214348-B4C9-470E-A329-9CECAE0E402C}">
  <sheetPr>
    <tabColor theme="3"/>
  </sheetPr>
  <dimension ref="A2:AR345"/>
  <sheetViews>
    <sheetView topLeftCell="G4" zoomScale="70" zoomScaleNormal="70" workbookViewId="0">
      <selection activeCell="AB7" sqref="T7:AC9"/>
    </sheetView>
  </sheetViews>
  <sheetFormatPr baseColWidth="10" defaultColWidth="8.83203125" defaultRowHeight="15" outlineLevelRow="1"/>
  <cols>
    <col min="1" max="1" width="29.6640625" style="224" bestFit="1" customWidth="1"/>
    <col min="2" max="2" width="63.5" style="224" bestFit="1" customWidth="1"/>
    <col min="3" max="6" width="11" style="224" bestFit="1" customWidth="1"/>
    <col min="7" max="12" width="11" style="224" customWidth="1"/>
    <col min="13" max="13" width="8.83203125" style="224"/>
    <col min="14" max="14" width="4.5" style="224" customWidth="1"/>
    <col min="15" max="15" width="15.83203125" style="224" customWidth="1"/>
    <col min="16" max="16384" width="8.83203125" style="224"/>
  </cols>
  <sheetData>
    <row r="2" spans="1:44">
      <c r="B2" s="638" t="str">
        <f>C7</f>
        <v>Heat driven heat pumps, up to 80 °C</v>
      </c>
    </row>
    <row r="4" spans="1:44" ht="25" customHeight="1">
      <c r="E4" s="224" t="s">
        <v>358</v>
      </c>
      <c r="F4" s="359">
        <v>7.45</v>
      </c>
      <c r="G4" s="359" t="s">
        <v>328</v>
      </c>
    </row>
    <row r="5" spans="1:44" ht="15" customHeight="1">
      <c r="A5" s="360" t="s">
        <v>884</v>
      </c>
      <c r="B5" s="1207"/>
      <c r="C5" s="1143"/>
      <c r="D5" s="1143"/>
      <c r="E5" s="1143"/>
      <c r="F5" s="1143"/>
      <c r="G5" s="1143"/>
      <c r="H5" s="1143"/>
      <c r="I5" s="1143"/>
      <c r="J5" s="1143"/>
      <c r="K5" s="1143"/>
      <c r="L5" s="1143"/>
      <c r="M5" s="1143"/>
      <c r="N5" s="361"/>
      <c r="P5" s="1143"/>
      <c r="Q5" s="1143"/>
      <c r="R5" s="1143"/>
      <c r="S5" s="1143"/>
      <c r="T5" s="1143"/>
      <c r="U5" s="1143"/>
    </row>
    <row r="6" spans="1:44" ht="15.75" customHeight="1" outlineLevel="1" thickBot="1">
      <c r="B6" s="1207"/>
      <c r="C6" s="1143"/>
      <c r="D6" s="1143"/>
      <c r="E6" s="1143"/>
      <c r="F6" s="1143"/>
      <c r="G6" s="1143"/>
      <c r="H6" s="1143"/>
      <c r="I6" s="1143"/>
      <c r="J6" s="1143"/>
      <c r="K6" s="1143"/>
      <c r="L6" s="1143"/>
      <c r="M6" s="1143"/>
      <c r="N6" s="361"/>
      <c r="P6" s="692">
        <v>1</v>
      </c>
      <c r="Q6" s="692">
        <v>2</v>
      </c>
      <c r="R6" s="692">
        <v>3</v>
      </c>
      <c r="S6" s="692">
        <v>4</v>
      </c>
      <c r="T6" s="692">
        <v>5</v>
      </c>
      <c r="U6" s="692">
        <v>6</v>
      </c>
      <c r="V6" s="692">
        <v>7</v>
      </c>
      <c r="W6" s="692">
        <v>8</v>
      </c>
      <c r="X6" s="692">
        <v>9</v>
      </c>
      <c r="Y6" s="692">
        <v>10</v>
      </c>
      <c r="Z6" s="692">
        <v>11</v>
      </c>
      <c r="AA6" s="692">
        <v>12</v>
      </c>
      <c r="AB6" s="692">
        <v>13</v>
      </c>
      <c r="AC6" s="692">
        <v>14</v>
      </c>
    </row>
    <row r="7" spans="1:44" ht="20.25" customHeight="1" outlineLevel="1" thickBot="1">
      <c r="B7" s="362" t="s">
        <v>0</v>
      </c>
      <c r="C7" s="1223" t="s">
        <v>874</v>
      </c>
      <c r="D7" s="1224"/>
      <c r="E7" s="1224"/>
      <c r="F7" s="1224"/>
      <c r="G7" s="1224"/>
      <c r="H7" s="1224"/>
      <c r="I7" s="1224"/>
      <c r="J7" s="1224"/>
      <c r="K7" s="1224"/>
      <c r="L7" s="1225"/>
      <c r="M7" s="363"/>
      <c r="N7" s="363"/>
      <c r="P7" s="364" t="s">
        <v>713</v>
      </c>
      <c r="Q7" s="365"/>
      <c r="R7" s="366"/>
      <c r="S7" s="1176" t="s">
        <v>714</v>
      </c>
      <c r="T7" s="1160" t="s">
        <v>715</v>
      </c>
      <c r="U7" s="1161"/>
      <c r="V7" s="1160" t="s">
        <v>716</v>
      </c>
      <c r="W7" s="1161"/>
      <c r="X7" s="1160" t="s">
        <v>717</v>
      </c>
      <c r="Y7" s="1161"/>
      <c r="Z7" s="1160" t="s">
        <v>718</v>
      </c>
      <c r="AA7" s="1161"/>
      <c r="AB7" s="1160" t="s">
        <v>719</v>
      </c>
      <c r="AC7" s="1161"/>
      <c r="AE7" s="364" t="s">
        <v>720</v>
      </c>
      <c r="AF7" s="365"/>
      <c r="AG7" s="366"/>
      <c r="AH7" s="1176" t="s">
        <v>714</v>
      </c>
      <c r="AI7" s="1160" t="s">
        <v>715</v>
      </c>
      <c r="AJ7" s="1161"/>
      <c r="AK7" s="1160" t="s">
        <v>716</v>
      </c>
      <c r="AL7" s="1161"/>
      <c r="AM7" s="1160" t="s">
        <v>717</v>
      </c>
      <c r="AN7" s="1161"/>
      <c r="AO7" s="1160" t="s">
        <v>718</v>
      </c>
      <c r="AP7" s="1161"/>
      <c r="AQ7" s="1160" t="s">
        <v>719</v>
      </c>
      <c r="AR7" s="1161"/>
    </row>
    <row r="8" spans="1:44" ht="15" customHeight="1" outlineLevel="1" thickBot="1">
      <c r="B8" s="1164" t="s">
        <v>4</v>
      </c>
      <c r="C8" s="1166">
        <v>2020</v>
      </c>
      <c r="D8" s="1166">
        <v>2030</v>
      </c>
      <c r="E8" s="1166">
        <v>2040</v>
      </c>
      <c r="F8" s="1166">
        <v>2050</v>
      </c>
      <c r="G8" s="1230" t="s">
        <v>721</v>
      </c>
      <c r="H8" s="1218"/>
      <c r="I8" s="1217" t="s">
        <v>648</v>
      </c>
      <c r="J8" s="1226"/>
      <c r="K8" s="1219" t="s">
        <v>2</v>
      </c>
      <c r="L8" s="1219" t="s">
        <v>3</v>
      </c>
      <c r="M8" s="367"/>
      <c r="N8" s="367"/>
      <c r="P8" s="1180" t="s">
        <v>0</v>
      </c>
      <c r="Q8" s="368"/>
      <c r="R8" s="368"/>
      <c r="S8" s="1177"/>
      <c r="T8" s="1162"/>
      <c r="U8" s="1163"/>
      <c r="V8" s="1162"/>
      <c r="W8" s="1163"/>
      <c r="X8" s="1162"/>
      <c r="Y8" s="1163"/>
      <c r="Z8" s="1162"/>
      <c r="AA8" s="1163"/>
      <c r="AB8" s="1162"/>
      <c r="AC8" s="1163"/>
      <c r="AE8" s="1180" t="s">
        <v>0</v>
      </c>
      <c r="AF8" s="368"/>
      <c r="AG8" s="368"/>
      <c r="AH8" s="1177"/>
      <c r="AI8" s="1162"/>
      <c r="AJ8" s="1163"/>
      <c r="AK8" s="1162"/>
      <c r="AL8" s="1163"/>
      <c r="AM8" s="1162"/>
      <c r="AN8" s="1163"/>
      <c r="AO8" s="1162"/>
      <c r="AP8" s="1163"/>
      <c r="AQ8" s="1162"/>
      <c r="AR8" s="1163"/>
    </row>
    <row r="9" spans="1:44" ht="16" outlineLevel="1" thickBot="1">
      <c r="B9" s="1228"/>
      <c r="C9" s="1229"/>
      <c r="D9" s="1229"/>
      <c r="E9" s="1229"/>
      <c r="F9" s="1229"/>
      <c r="G9" s="369" t="s">
        <v>649</v>
      </c>
      <c r="H9" s="369" t="s">
        <v>650</v>
      </c>
      <c r="I9" s="369" t="s">
        <v>649</v>
      </c>
      <c r="J9" s="369" t="s">
        <v>650</v>
      </c>
      <c r="K9" s="1227"/>
      <c r="L9" s="1227"/>
      <c r="M9" s="370"/>
      <c r="N9" s="370"/>
      <c r="P9" s="1181"/>
      <c r="Q9" s="1183" t="s">
        <v>722</v>
      </c>
      <c r="R9" s="1184" t="s">
        <v>723</v>
      </c>
      <c r="S9" s="1178"/>
      <c r="T9" s="1162"/>
      <c r="U9" s="1163"/>
      <c r="V9" s="1162"/>
      <c r="W9" s="1163"/>
      <c r="X9" s="1162"/>
      <c r="Y9" s="1163"/>
      <c r="Z9" s="1162"/>
      <c r="AA9" s="1163"/>
      <c r="AB9" s="1162"/>
      <c r="AC9" s="1163"/>
      <c r="AE9" s="1181"/>
      <c r="AF9" s="1197" t="s">
        <v>722</v>
      </c>
      <c r="AG9" s="1184" t="s">
        <v>723</v>
      </c>
      <c r="AH9" s="1178"/>
      <c r="AI9" s="1162"/>
      <c r="AJ9" s="1163"/>
      <c r="AK9" s="1162"/>
      <c r="AL9" s="1163"/>
      <c r="AM9" s="1162"/>
      <c r="AN9" s="1163"/>
      <c r="AO9" s="1162"/>
      <c r="AP9" s="1163"/>
      <c r="AQ9" s="1162"/>
      <c r="AR9" s="1163"/>
    </row>
    <row r="10" spans="1:44" ht="54.5" customHeight="1" outlineLevel="1" thickBot="1">
      <c r="B10" s="371" t="s">
        <v>651</v>
      </c>
      <c r="C10" s="372">
        <v>12</v>
      </c>
      <c r="D10" s="372">
        <v>12</v>
      </c>
      <c r="E10" s="372">
        <v>12</v>
      </c>
      <c r="F10" s="372">
        <v>12</v>
      </c>
      <c r="G10" s="372">
        <v>1</v>
      </c>
      <c r="H10" s="372">
        <v>20</v>
      </c>
      <c r="I10" s="372">
        <v>1</v>
      </c>
      <c r="J10" s="372">
        <v>30</v>
      </c>
      <c r="K10" s="372" t="s">
        <v>102</v>
      </c>
      <c r="L10" s="373">
        <v>1</v>
      </c>
      <c r="M10" s="370"/>
      <c r="N10" s="370"/>
      <c r="O10" s="74"/>
      <c r="P10" s="1182"/>
      <c r="Q10" s="1179"/>
      <c r="R10" s="1185"/>
      <c r="S10" s="1179"/>
      <c r="T10" s="374" t="s">
        <v>726</v>
      </c>
      <c r="U10" s="375" t="s">
        <v>727</v>
      </c>
      <c r="V10" s="374" t="s">
        <v>726</v>
      </c>
      <c r="W10" s="375" t="s">
        <v>727</v>
      </c>
      <c r="X10" s="374" t="s">
        <v>726</v>
      </c>
      <c r="Y10" s="375" t="s">
        <v>727</v>
      </c>
      <c r="Z10" s="374" t="s">
        <v>726</v>
      </c>
      <c r="AA10" s="375" t="s">
        <v>727</v>
      </c>
      <c r="AB10" s="374" t="s">
        <v>726</v>
      </c>
      <c r="AC10" s="375" t="s">
        <v>727</v>
      </c>
      <c r="AE10" s="1182"/>
      <c r="AF10" s="1198"/>
      <c r="AG10" s="1185"/>
      <c r="AH10" s="1179"/>
      <c r="AI10" s="374" t="s">
        <v>726</v>
      </c>
      <c r="AJ10" s="375" t="s">
        <v>727</v>
      </c>
      <c r="AK10" s="374" t="s">
        <v>726</v>
      </c>
      <c r="AL10" s="375" t="s">
        <v>727</v>
      </c>
      <c r="AM10" s="374" t="s">
        <v>726</v>
      </c>
      <c r="AN10" s="375" t="s">
        <v>727</v>
      </c>
      <c r="AO10" s="374" t="s">
        <v>726</v>
      </c>
      <c r="AP10" s="375" t="s">
        <v>727</v>
      </c>
      <c r="AQ10" s="374" t="s">
        <v>726</v>
      </c>
      <c r="AR10" s="375" t="s">
        <v>727</v>
      </c>
    </row>
    <row r="11" spans="1:44" ht="24.5" customHeight="1" outlineLevel="1">
      <c r="B11" s="376" t="s">
        <v>728</v>
      </c>
      <c r="C11" s="377">
        <v>170</v>
      </c>
      <c r="D11" s="377">
        <v>171</v>
      </c>
      <c r="E11" s="378">
        <v>172</v>
      </c>
      <c r="F11" s="377">
        <v>173</v>
      </c>
      <c r="G11" s="377">
        <v>170</v>
      </c>
      <c r="H11" s="639">
        <v>180</v>
      </c>
      <c r="I11" s="377">
        <v>170</v>
      </c>
      <c r="J11" s="639">
        <v>180</v>
      </c>
      <c r="K11" s="379"/>
      <c r="L11" s="380">
        <v>1</v>
      </c>
      <c r="M11" s="370"/>
      <c r="N11" s="370"/>
      <c r="P11" s="1199" t="str">
        <f>C7</f>
        <v>Heat driven heat pumps, up to 80 °C</v>
      </c>
      <c r="Q11" s="1154" t="s">
        <v>730</v>
      </c>
      <c r="R11" s="381" t="s">
        <v>731</v>
      </c>
      <c r="S11" s="382" t="s">
        <v>842</v>
      </c>
      <c r="T11" s="1137">
        <v>0</v>
      </c>
      <c r="U11" s="1151">
        <v>0</v>
      </c>
      <c r="V11" s="1157">
        <v>0</v>
      </c>
      <c r="W11" s="1151">
        <v>0</v>
      </c>
      <c r="X11" s="1157">
        <v>0</v>
      </c>
      <c r="Y11" s="1151">
        <v>0</v>
      </c>
      <c r="Z11" s="1157">
        <v>0</v>
      </c>
      <c r="AA11" s="1151">
        <v>0</v>
      </c>
      <c r="AB11" s="1157">
        <v>0</v>
      </c>
      <c r="AC11" s="1151">
        <v>0</v>
      </c>
      <c r="AE11" s="1148" t="str">
        <f>P11</f>
        <v>Heat driven heat pumps, up to 80 °C</v>
      </c>
      <c r="AF11" s="1154" t="s">
        <v>730</v>
      </c>
      <c r="AG11" s="381" t="s">
        <v>731</v>
      </c>
      <c r="AH11" s="382" t="str">
        <f t="shared" ref="AH11:AH13" si="0">S11</f>
        <v/>
      </c>
      <c r="AI11" s="1137">
        <v>0</v>
      </c>
      <c r="AJ11" s="1151">
        <v>0</v>
      </c>
      <c r="AK11" s="1157">
        <v>0</v>
      </c>
      <c r="AL11" s="1151">
        <v>0</v>
      </c>
      <c r="AM11" s="1157">
        <v>0</v>
      </c>
      <c r="AN11" s="1151">
        <v>0</v>
      </c>
      <c r="AO11" s="1157">
        <v>0</v>
      </c>
      <c r="AP11" s="1151">
        <v>0</v>
      </c>
      <c r="AQ11" s="1157">
        <v>0</v>
      </c>
      <c r="AR11" s="1151">
        <v>0</v>
      </c>
    </row>
    <row r="12" spans="1:44" ht="32.5" customHeight="1" outlineLevel="1">
      <c r="B12" s="383" t="s">
        <v>732</v>
      </c>
      <c r="C12" s="577">
        <v>168</v>
      </c>
      <c r="D12" s="577">
        <v>169</v>
      </c>
      <c r="E12" s="577">
        <v>170</v>
      </c>
      <c r="F12" s="577">
        <v>171</v>
      </c>
      <c r="G12" s="641">
        <v>168</v>
      </c>
      <c r="H12" s="641">
        <v>178</v>
      </c>
      <c r="I12" s="641">
        <v>168</v>
      </c>
      <c r="J12" s="641">
        <v>178</v>
      </c>
      <c r="K12" s="386" t="s">
        <v>16</v>
      </c>
      <c r="L12" s="387"/>
      <c r="M12" s="370"/>
      <c r="N12" s="370"/>
      <c r="O12" s="71"/>
      <c r="P12" s="1195"/>
      <c r="Q12" s="1155"/>
      <c r="R12" s="388" t="s">
        <v>733</v>
      </c>
      <c r="S12" s="389" t="s">
        <v>842</v>
      </c>
      <c r="T12" s="1140"/>
      <c r="U12" s="1152"/>
      <c r="V12" s="1158"/>
      <c r="W12" s="1152"/>
      <c r="X12" s="1158"/>
      <c r="Y12" s="1152"/>
      <c r="Z12" s="1158"/>
      <c r="AA12" s="1152"/>
      <c r="AB12" s="1158"/>
      <c r="AC12" s="1152"/>
      <c r="AE12" s="1195"/>
      <c r="AF12" s="1155"/>
      <c r="AG12" s="388" t="s">
        <v>733</v>
      </c>
      <c r="AH12" s="389" t="str">
        <f t="shared" si="0"/>
        <v/>
      </c>
      <c r="AI12" s="1140"/>
      <c r="AJ12" s="1152"/>
      <c r="AK12" s="1158"/>
      <c r="AL12" s="1152"/>
      <c r="AM12" s="1158"/>
      <c r="AN12" s="1152"/>
      <c r="AO12" s="1158"/>
      <c r="AP12" s="1152"/>
      <c r="AQ12" s="1158"/>
      <c r="AR12" s="1152"/>
    </row>
    <row r="13" spans="1:44" ht="16" outlineLevel="1" thickBot="1">
      <c r="B13" s="376" t="s">
        <v>734</v>
      </c>
      <c r="C13" s="390">
        <v>1</v>
      </c>
      <c r="D13" s="391">
        <v>1</v>
      </c>
      <c r="E13" s="391">
        <v>1</v>
      </c>
      <c r="F13" s="392">
        <v>1</v>
      </c>
      <c r="G13" s="391">
        <v>1</v>
      </c>
      <c r="H13" s="391">
        <v>3</v>
      </c>
      <c r="I13" s="391">
        <v>1</v>
      </c>
      <c r="J13" s="391">
        <v>3</v>
      </c>
      <c r="K13" s="379"/>
      <c r="L13" s="380">
        <v>1</v>
      </c>
      <c r="M13" s="370"/>
      <c r="N13" s="370"/>
      <c r="O13" s="71"/>
      <c r="P13" s="1195"/>
      <c r="Q13" s="1156"/>
      <c r="R13" s="393" t="s">
        <v>735</v>
      </c>
      <c r="S13" s="394" t="s">
        <v>842</v>
      </c>
      <c r="T13" s="1141"/>
      <c r="U13" s="1153"/>
      <c r="V13" s="1159"/>
      <c r="W13" s="1153"/>
      <c r="X13" s="1159"/>
      <c r="Y13" s="1153"/>
      <c r="Z13" s="1159"/>
      <c r="AA13" s="1153"/>
      <c r="AB13" s="1159"/>
      <c r="AC13" s="1153"/>
      <c r="AE13" s="1195"/>
      <c r="AF13" s="1156"/>
      <c r="AG13" s="393" t="s">
        <v>735</v>
      </c>
      <c r="AH13" s="394" t="str">
        <f t="shared" si="0"/>
        <v/>
      </c>
      <c r="AI13" s="1141"/>
      <c r="AJ13" s="1153"/>
      <c r="AK13" s="1159"/>
      <c r="AL13" s="1153"/>
      <c r="AM13" s="1159"/>
      <c r="AN13" s="1153"/>
      <c r="AO13" s="1159"/>
      <c r="AP13" s="1153"/>
      <c r="AQ13" s="1159"/>
      <c r="AR13" s="1153"/>
    </row>
    <row r="14" spans="1:44" ht="15" customHeight="1" outlineLevel="1">
      <c r="B14" s="376" t="s">
        <v>657</v>
      </c>
      <c r="C14" s="390">
        <v>0</v>
      </c>
      <c r="D14" s="390">
        <v>0</v>
      </c>
      <c r="E14" s="390">
        <v>0</v>
      </c>
      <c r="F14" s="390">
        <v>0</v>
      </c>
      <c r="G14" s="390">
        <v>0</v>
      </c>
      <c r="H14" s="390">
        <v>1</v>
      </c>
      <c r="I14" s="390">
        <v>0</v>
      </c>
      <c r="J14" s="390">
        <v>1</v>
      </c>
      <c r="K14" s="379"/>
      <c r="L14" s="380">
        <v>1</v>
      </c>
      <c r="M14" s="370"/>
      <c r="N14" s="370"/>
      <c r="O14" s="71"/>
      <c r="P14" s="1195"/>
      <c r="Q14" s="1154" t="s">
        <v>736</v>
      </c>
      <c r="R14" s="395" t="s">
        <v>737</v>
      </c>
      <c r="S14" s="396" t="s">
        <v>738</v>
      </c>
      <c r="T14" s="1137">
        <v>0</v>
      </c>
      <c r="U14" s="1137">
        <v>0.02</v>
      </c>
      <c r="V14" s="1137">
        <v>0</v>
      </c>
      <c r="W14" s="1137">
        <v>0.02</v>
      </c>
      <c r="X14" s="1137">
        <v>0</v>
      </c>
      <c r="Y14" s="1137">
        <v>0.01</v>
      </c>
      <c r="Z14" s="1137">
        <v>0</v>
      </c>
      <c r="AA14" s="1137">
        <v>0.01</v>
      </c>
      <c r="AB14" s="1137">
        <v>0</v>
      </c>
      <c r="AC14" s="1151">
        <v>0.01</v>
      </c>
      <c r="AE14" s="1195"/>
      <c r="AF14" s="1154" t="s">
        <v>736</v>
      </c>
      <c r="AG14" s="395" t="s">
        <v>737</v>
      </c>
      <c r="AH14" s="396" t="str">
        <f>S14</f>
        <v>x</v>
      </c>
      <c r="AI14" s="1137">
        <v>0</v>
      </c>
      <c r="AJ14" s="1137">
        <f>U14</f>
        <v>0.02</v>
      </c>
      <c r="AK14" s="1137">
        <v>0</v>
      </c>
      <c r="AL14" s="1137">
        <f>W14</f>
        <v>0.02</v>
      </c>
      <c r="AM14" s="1137">
        <v>0</v>
      </c>
      <c r="AN14" s="1137">
        <f>Y14</f>
        <v>0.01</v>
      </c>
      <c r="AO14" s="1137">
        <v>0</v>
      </c>
      <c r="AP14" s="1137">
        <f>AA14</f>
        <v>0.01</v>
      </c>
      <c r="AQ14" s="1137">
        <v>0</v>
      </c>
      <c r="AR14" s="1151">
        <f>AC14</f>
        <v>0.01</v>
      </c>
    </row>
    <row r="15" spans="1:44" outlineLevel="1">
      <c r="B15" s="376" t="s">
        <v>658</v>
      </c>
      <c r="C15" s="390">
        <v>0</v>
      </c>
      <c r="D15" s="390">
        <v>0</v>
      </c>
      <c r="E15" s="390">
        <v>0</v>
      </c>
      <c r="F15" s="390">
        <v>0</v>
      </c>
      <c r="G15" s="390">
        <v>0</v>
      </c>
      <c r="H15" s="390">
        <v>1</v>
      </c>
      <c r="I15" s="390">
        <v>0</v>
      </c>
      <c r="J15" s="390">
        <v>1</v>
      </c>
      <c r="K15" s="379"/>
      <c r="L15" s="380">
        <v>1</v>
      </c>
      <c r="M15" s="367"/>
      <c r="N15" s="367"/>
      <c r="O15" s="71"/>
      <c r="P15" s="1195"/>
      <c r="Q15" s="1155"/>
      <c r="R15" s="395" t="s">
        <v>739</v>
      </c>
      <c r="S15" s="396" t="s">
        <v>738</v>
      </c>
      <c r="T15" s="1191"/>
      <c r="U15" s="1191"/>
      <c r="V15" s="1191"/>
      <c r="W15" s="1191"/>
      <c r="X15" s="1191"/>
      <c r="Y15" s="1191"/>
      <c r="Z15" s="1191"/>
      <c r="AA15" s="1191"/>
      <c r="AB15" s="1191"/>
      <c r="AC15" s="1193"/>
      <c r="AE15" s="1195"/>
      <c r="AF15" s="1155"/>
      <c r="AG15" s="395" t="s">
        <v>739</v>
      </c>
      <c r="AH15" s="396" t="str">
        <f>S15</f>
        <v>x</v>
      </c>
      <c r="AI15" s="1191"/>
      <c r="AJ15" s="1191"/>
      <c r="AK15" s="1191"/>
      <c r="AL15" s="1191"/>
      <c r="AM15" s="1191"/>
      <c r="AN15" s="1191"/>
      <c r="AO15" s="1191"/>
      <c r="AP15" s="1191"/>
      <c r="AQ15" s="1191"/>
      <c r="AR15" s="1193"/>
    </row>
    <row r="16" spans="1:44" outlineLevel="1">
      <c r="B16" s="383" t="s">
        <v>11</v>
      </c>
      <c r="C16" s="397">
        <v>20</v>
      </c>
      <c r="D16" s="397">
        <v>20</v>
      </c>
      <c r="E16" s="397">
        <v>20</v>
      </c>
      <c r="F16" s="397">
        <v>20</v>
      </c>
      <c r="G16" s="398">
        <v>20</v>
      </c>
      <c r="H16" s="398">
        <v>30</v>
      </c>
      <c r="I16" s="398">
        <v>20</v>
      </c>
      <c r="J16" s="398">
        <v>30</v>
      </c>
      <c r="K16" s="372"/>
      <c r="L16" s="373">
        <v>2</v>
      </c>
      <c r="M16" s="363"/>
      <c r="N16" s="363"/>
      <c r="P16" s="1195"/>
      <c r="Q16" s="1155"/>
      <c r="R16" s="395" t="s">
        <v>741</v>
      </c>
      <c r="S16" s="396" t="s">
        <v>842</v>
      </c>
      <c r="T16" s="1191"/>
      <c r="U16" s="1191"/>
      <c r="V16" s="1191"/>
      <c r="W16" s="1191"/>
      <c r="X16" s="1191"/>
      <c r="Y16" s="1191"/>
      <c r="Z16" s="1191"/>
      <c r="AA16" s="1191"/>
      <c r="AB16" s="1191"/>
      <c r="AC16" s="1193"/>
      <c r="AE16" s="1195"/>
      <c r="AF16" s="1155"/>
      <c r="AG16" s="395" t="s">
        <v>741</v>
      </c>
      <c r="AH16" s="629" t="str">
        <f>S16</f>
        <v/>
      </c>
      <c r="AI16" s="1191"/>
      <c r="AJ16" s="1191"/>
      <c r="AK16" s="1191"/>
      <c r="AL16" s="1191"/>
      <c r="AM16" s="1191"/>
      <c r="AN16" s="1191"/>
      <c r="AO16" s="1191"/>
      <c r="AP16" s="1191"/>
      <c r="AQ16" s="1191"/>
      <c r="AR16" s="1193"/>
    </row>
    <row r="17" spans="1:44" ht="16" outlineLevel="1" thickBot="1">
      <c r="B17" s="376" t="s">
        <v>273</v>
      </c>
      <c r="C17" s="399">
        <v>0.5</v>
      </c>
      <c r="D17" s="399">
        <v>0.5</v>
      </c>
      <c r="E17" s="399">
        <v>0.5</v>
      </c>
      <c r="F17" s="399">
        <v>0.5</v>
      </c>
      <c r="G17" s="399">
        <v>0.3</v>
      </c>
      <c r="H17" s="399">
        <v>0.7</v>
      </c>
      <c r="I17" s="399">
        <v>0.3</v>
      </c>
      <c r="J17" s="399">
        <v>0.7</v>
      </c>
      <c r="K17" s="372"/>
      <c r="L17" s="400">
        <v>1</v>
      </c>
      <c r="M17" s="363"/>
      <c r="N17" s="363"/>
      <c r="P17" s="1195"/>
      <c r="Q17" s="1155"/>
      <c r="R17" s="395" t="s">
        <v>742</v>
      </c>
      <c r="S17" s="396" t="s">
        <v>738</v>
      </c>
      <c r="T17" s="1191"/>
      <c r="U17" s="1191"/>
      <c r="V17" s="1191"/>
      <c r="W17" s="1191"/>
      <c r="X17" s="1191"/>
      <c r="Y17" s="1191"/>
      <c r="Z17" s="1191"/>
      <c r="AA17" s="1191"/>
      <c r="AB17" s="1191"/>
      <c r="AC17" s="1193"/>
      <c r="AE17" s="1195"/>
      <c r="AF17" s="1155"/>
      <c r="AG17" s="395" t="s">
        <v>742</v>
      </c>
      <c r="AH17" s="396" t="str">
        <f>S17</f>
        <v>x</v>
      </c>
      <c r="AI17" s="1191"/>
      <c r="AJ17" s="1191"/>
      <c r="AK17" s="1191"/>
      <c r="AL17" s="1191"/>
      <c r="AM17" s="1191"/>
      <c r="AN17" s="1191"/>
      <c r="AO17" s="1191"/>
      <c r="AP17" s="1191"/>
      <c r="AQ17" s="1191"/>
      <c r="AR17" s="1193"/>
    </row>
    <row r="18" spans="1:44" ht="16" outlineLevel="1" thickBot="1">
      <c r="B18" s="401" t="s">
        <v>743</v>
      </c>
      <c r="C18" s="402"/>
      <c r="D18" s="403"/>
      <c r="E18" s="404"/>
      <c r="F18" s="405"/>
      <c r="G18" s="406"/>
      <c r="H18" s="406"/>
      <c r="I18" s="406"/>
      <c r="J18" s="406"/>
      <c r="K18" s="407"/>
      <c r="L18" s="408"/>
      <c r="M18" s="363"/>
      <c r="N18" s="363"/>
      <c r="P18" s="1195"/>
      <c r="Q18" s="1156"/>
      <c r="R18" s="409" t="s">
        <v>863</v>
      </c>
      <c r="S18" s="410" t="s">
        <v>738</v>
      </c>
      <c r="T18" s="1192"/>
      <c r="U18" s="1192"/>
      <c r="V18" s="1192"/>
      <c r="W18" s="1192"/>
      <c r="X18" s="1192"/>
      <c r="Y18" s="1192"/>
      <c r="Z18" s="1192"/>
      <c r="AA18" s="1192"/>
      <c r="AB18" s="1192"/>
      <c r="AC18" s="1194"/>
      <c r="AE18" s="1195"/>
      <c r="AF18" s="1156"/>
      <c r="AG18" s="409" t="s">
        <v>863</v>
      </c>
      <c r="AH18" s="410" t="str">
        <f>S18</f>
        <v>x</v>
      </c>
      <c r="AI18" s="1192"/>
      <c r="AJ18" s="1192"/>
      <c r="AK18" s="1192"/>
      <c r="AL18" s="1192"/>
      <c r="AM18" s="1192"/>
      <c r="AN18" s="1192"/>
      <c r="AO18" s="1192"/>
      <c r="AP18" s="1192"/>
      <c r="AQ18" s="1192"/>
      <c r="AR18" s="1194"/>
    </row>
    <row r="19" spans="1:44" ht="33" outlineLevel="1" thickBot="1">
      <c r="B19" s="376" t="s">
        <v>663</v>
      </c>
      <c r="C19" s="390"/>
      <c r="D19" s="390"/>
      <c r="E19" s="390"/>
      <c r="F19" s="390"/>
      <c r="G19" s="391"/>
      <c r="H19" s="391"/>
      <c r="I19" s="391"/>
      <c r="J19" s="391"/>
      <c r="K19" s="379"/>
      <c r="L19" s="380">
        <v>1</v>
      </c>
      <c r="M19" s="363"/>
      <c r="N19" s="363"/>
      <c r="P19" s="1196"/>
      <c r="Q19" s="411" t="s">
        <v>745</v>
      </c>
      <c r="R19" s="412" t="s">
        <v>746</v>
      </c>
      <c r="S19" s="630" t="s">
        <v>738</v>
      </c>
      <c r="T19" s="416">
        <v>1</v>
      </c>
      <c r="U19" s="415">
        <v>1</v>
      </c>
      <c r="V19" s="416">
        <v>1</v>
      </c>
      <c r="W19" s="415">
        <v>1</v>
      </c>
      <c r="X19" s="416">
        <v>1</v>
      </c>
      <c r="Y19" s="415">
        <v>1</v>
      </c>
      <c r="Z19" s="416">
        <v>1</v>
      </c>
      <c r="AA19" s="415">
        <v>1</v>
      </c>
      <c r="AB19" s="416">
        <v>1</v>
      </c>
      <c r="AC19" s="417">
        <v>1</v>
      </c>
      <c r="AE19" s="1196"/>
      <c r="AF19" s="411" t="s">
        <v>745</v>
      </c>
      <c r="AG19" s="1249" t="s">
        <v>746</v>
      </c>
      <c r="AH19" s="1250" t="s">
        <v>738</v>
      </c>
      <c r="AI19" s="416">
        <v>1</v>
      </c>
      <c r="AJ19" s="415">
        <v>1</v>
      </c>
      <c r="AK19" s="416">
        <v>1</v>
      </c>
      <c r="AL19" s="415">
        <v>1</v>
      </c>
      <c r="AM19" s="416">
        <v>1</v>
      </c>
      <c r="AN19" s="415">
        <v>1</v>
      </c>
      <c r="AO19" s="416">
        <v>1</v>
      </c>
      <c r="AP19" s="415">
        <v>1</v>
      </c>
      <c r="AQ19" s="416">
        <v>1</v>
      </c>
      <c r="AR19" s="417">
        <v>1</v>
      </c>
    </row>
    <row r="20" spans="1:44" outlineLevel="1">
      <c r="B20" s="376" t="s">
        <v>664</v>
      </c>
      <c r="C20" s="390">
        <v>0</v>
      </c>
      <c r="D20" s="390">
        <v>0</v>
      </c>
      <c r="E20" s="390">
        <v>0</v>
      </c>
      <c r="F20" s="390">
        <v>0</v>
      </c>
      <c r="G20" s="418"/>
      <c r="H20" s="418"/>
      <c r="I20" s="418"/>
      <c r="J20" s="418"/>
      <c r="K20" s="419"/>
      <c r="L20" s="380">
        <v>1</v>
      </c>
      <c r="M20" s="363"/>
      <c r="N20" s="363"/>
    </row>
    <row r="21" spans="1:44" outlineLevel="1">
      <c r="B21" s="376" t="s">
        <v>666</v>
      </c>
      <c r="C21" s="390">
        <v>0.5</v>
      </c>
      <c r="D21" s="390">
        <v>0.5</v>
      </c>
      <c r="E21" s="390">
        <v>0.5</v>
      </c>
      <c r="F21" s="390">
        <v>0.5</v>
      </c>
      <c r="G21" s="418"/>
      <c r="H21" s="418"/>
      <c r="I21" s="418"/>
      <c r="J21" s="418"/>
      <c r="K21" s="419"/>
      <c r="L21" s="380">
        <v>1</v>
      </c>
      <c r="M21" s="420"/>
      <c r="N21" s="363"/>
    </row>
    <row r="22" spans="1:44" outlineLevel="1">
      <c r="B22" s="421" t="s">
        <v>12</v>
      </c>
      <c r="C22" s="399"/>
      <c r="D22" s="399"/>
      <c r="E22" s="399"/>
      <c r="F22" s="399"/>
      <c r="G22" s="422"/>
      <c r="H22" s="422"/>
      <c r="I22" s="422"/>
      <c r="J22" s="422"/>
      <c r="K22" s="423"/>
      <c r="L22" s="424"/>
      <c r="M22" s="420"/>
      <c r="N22" s="420"/>
    </row>
    <row r="23" spans="1:44" ht="38.25" customHeight="1" outlineLevel="1">
      <c r="B23" s="383" t="s">
        <v>843</v>
      </c>
      <c r="C23" s="1231" t="s">
        <v>875</v>
      </c>
      <c r="D23" s="1232"/>
      <c r="E23" s="1232"/>
      <c r="F23" s="1233"/>
      <c r="G23" s="422"/>
      <c r="H23" s="425"/>
      <c r="I23" s="425"/>
      <c r="J23" s="425"/>
      <c r="K23" s="426"/>
      <c r="L23" s="427"/>
      <c r="M23" s="428"/>
      <c r="N23" s="428"/>
    </row>
    <row r="24" spans="1:44" outlineLevel="1">
      <c r="B24" s="383" t="s">
        <v>749</v>
      </c>
      <c r="C24" s="1234"/>
      <c r="D24" s="1235"/>
      <c r="E24" s="1235"/>
      <c r="F24" s="1236"/>
      <c r="G24" s="425"/>
      <c r="H24" s="425"/>
      <c r="I24" s="425"/>
      <c r="J24" s="425"/>
      <c r="K24" s="423"/>
      <c r="L24" s="427"/>
      <c r="M24" s="428"/>
      <c r="N24" s="428"/>
    </row>
    <row r="25" spans="1:44" outlineLevel="1">
      <c r="B25" s="383" t="s">
        <v>844</v>
      </c>
      <c r="C25" s="1234"/>
      <c r="D25" s="1235"/>
      <c r="E25" s="1235"/>
      <c r="F25" s="1236"/>
      <c r="G25" s="425"/>
      <c r="H25" s="425"/>
      <c r="I25" s="425"/>
      <c r="J25" s="425"/>
      <c r="K25" s="423"/>
      <c r="L25" s="427"/>
      <c r="M25" s="428"/>
      <c r="N25" s="428"/>
    </row>
    <row r="26" spans="1:44" outlineLevel="1">
      <c r="B26" s="383" t="s">
        <v>366</v>
      </c>
      <c r="C26" s="1234"/>
      <c r="D26" s="1235"/>
      <c r="E26" s="1235"/>
      <c r="F26" s="1236"/>
      <c r="G26" s="425"/>
      <c r="H26" s="425"/>
      <c r="I26" s="425"/>
      <c r="J26" s="425"/>
      <c r="K26" s="423"/>
      <c r="L26" s="427"/>
      <c r="M26" s="428"/>
      <c r="N26" s="428"/>
    </row>
    <row r="27" spans="1:44" ht="16" outlineLevel="1" thickBot="1">
      <c r="B27" s="429" t="s">
        <v>367</v>
      </c>
      <c r="C27" s="1237"/>
      <c r="D27" s="1238"/>
      <c r="E27" s="1238"/>
      <c r="F27" s="1239"/>
      <c r="G27" s="425"/>
      <c r="H27" s="425"/>
      <c r="I27" s="425"/>
      <c r="J27" s="425"/>
      <c r="K27" s="423"/>
      <c r="L27" s="427"/>
      <c r="M27" s="428"/>
      <c r="N27" s="428"/>
    </row>
    <row r="28" spans="1:44" ht="16" outlineLevel="1" thickBot="1">
      <c r="B28" s="431" t="s">
        <v>674</v>
      </c>
      <c r="C28" s="432"/>
      <c r="D28" s="403"/>
      <c r="E28" s="403"/>
      <c r="F28" s="433"/>
      <c r="G28" s="434"/>
      <c r="H28" s="406"/>
      <c r="I28" s="406"/>
      <c r="J28" s="406"/>
      <c r="K28" s="407"/>
      <c r="L28" s="408"/>
      <c r="M28" s="428"/>
      <c r="N28" s="428"/>
    </row>
    <row r="29" spans="1:44" ht="52" customHeight="1" outlineLevel="1">
      <c r="A29" s="435"/>
      <c r="B29" s="436" t="s">
        <v>751</v>
      </c>
      <c r="C29" s="511">
        <v>0.56000000000000005</v>
      </c>
      <c r="D29" s="512">
        <v>0.51</v>
      </c>
      <c r="E29" s="512">
        <v>0.48</v>
      </c>
      <c r="F29" s="513">
        <v>0.46</v>
      </c>
      <c r="G29" s="425"/>
      <c r="H29" s="425"/>
      <c r="I29" s="425"/>
      <c r="J29" s="425"/>
      <c r="K29" s="426"/>
      <c r="L29" s="440">
        <v>1</v>
      </c>
      <c r="M29" s="420"/>
      <c r="N29" s="420"/>
    </row>
    <row r="30" spans="1:44" outlineLevel="1">
      <c r="B30" s="441" t="s">
        <v>839</v>
      </c>
      <c r="C30" s="442">
        <v>50</v>
      </c>
      <c r="D30" s="442">
        <v>50</v>
      </c>
      <c r="E30" s="442">
        <v>50</v>
      </c>
      <c r="F30" s="442">
        <v>50</v>
      </c>
      <c r="G30" s="425"/>
      <c r="H30" s="425"/>
      <c r="I30" s="425"/>
      <c r="J30" s="425"/>
      <c r="K30" s="444"/>
      <c r="L30" s="373">
        <v>2</v>
      </c>
      <c r="M30" s="71"/>
      <c r="N30" s="420"/>
    </row>
    <row r="31" spans="1:44" outlineLevel="1">
      <c r="B31" s="441" t="s">
        <v>840</v>
      </c>
      <c r="C31" s="442">
        <v>50</v>
      </c>
      <c r="D31" s="442">
        <v>50</v>
      </c>
      <c r="E31" s="442">
        <v>50</v>
      </c>
      <c r="F31" s="442">
        <v>50</v>
      </c>
      <c r="G31" s="425"/>
      <c r="H31" s="425"/>
      <c r="I31" s="425"/>
      <c r="J31" s="425"/>
      <c r="K31" s="444"/>
      <c r="L31" s="373">
        <v>2</v>
      </c>
      <c r="M31" s="420"/>
      <c r="N31" s="420"/>
    </row>
    <row r="32" spans="1:44" outlineLevel="1">
      <c r="B32" s="383" t="s">
        <v>841</v>
      </c>
      <c r="C32" s="445">
        <v>2000</v>
      </c>
      <c r="D32" s="446">
        <v>2000</v>
      </c>
      <c r="E32" s="446">
        <v>2000</v>
      </c>
      <c r="F32" s="447">
        <v>2000</v>
      </c>
      <c r="G32" s="425"/>
      <c r="H32" s="425"/>
      <c r="I32" s="425"/>
      <c r="J32" s="425"/>
      <c r="K32" s="448"/>
      <c r="L32" s="373">
        <v>1</v>
      </c>
      <c r="M32" s="420"/>
      <c r="N32" s="420"/>
    </row>
    <row r="33" spans="2:30" ht="37" customHeight="1" outlineLevel="1" thickBot="1">
      <c r="B33" s="383" t="s">
        <v>679</v>
      </c>
      <c r="C33" s="449">
        <f>C34+C35</f>
        <v>1.01</v>
      </c>
      <c r="D33" s="449">
        <f t="shared" ref="D33:F33" si="1">D34+D35</f>
        <v>1</v>
      </c>
      <c r="E33" s="449">
        <f t="shared" si="1"/>
        <v>1</v>
      </c>
      <c r="F33" s="449">
        <f t="shared" si="1"/>
        <v>0.99</v>
      </c>
      <c r="G33" s="425"/>
      <c r="H33" s="425"/>
      <c r="I33" s="425"/>
      <c r="J33" s="425"/>
      <c r="K33" s="448"/>
      <c r="L33" s="373">
        <v>1</v>
      </c>
      <c r="M33" s="450"/>
      <c r="N33" s="361"/>
      <c r="P33" s="1142">
        <f>C33</f>
        <v>1.01</v>
      </c>
      <c r="Q33" s="1143"/>
      <c r="R33" s="1143"/>
      <c r="S33" s="1143"/>
      <c r="T33" s="1143"/>
      <c r="U33" s="1144"/>
    </row>
    <row r="34" spans="2:30" ht="15.75" customHeight="1" outlineLevel="1" thickBot="1">
      <c r="B34" s="451" t="s">
        <v>758</v>
      </c>
      <c r="C34" s="452">
        <f>C13/100*73</f>
        <v>0.73</v>
      </c>
      <c r="D34" s="452">
        <f>D13/100*75</f>
        <v>0.75</v>
      </c>
      <c r="E34" s="452">
        <f>E13/100*76</f>
        <v>0.76</v>
      </c>
      <c r="F34" s="452">
        <f>F13/100*76</f>
        <v>0.76</v>
      </c>
      <c r="G34" s="453"/>
      <c r="H34" s="453"/>
      <c r="I34" s="453"/>
      <c r="J34" s="453"/>
      <c r="K34" s="379" t="s">
        <v>20</v>
      </c>
      <c r="L34" s="380"/>
      <c r="M34" s="450"/>
      <c r="N34" s="361"/>
      <c r="P34" s="1134">
        <f>C34</f>
        <v>0.73</v>
      </c>
      <c r="Q34" s="1135"/>
      <c r="R34" s="1135"/>
      <c r="S34" s="1135"/>
      <c r="T34" s="1135"/>
      <c r="U34" s="1136"/>
    </row>
    <row r="35" spans="2:30" outlineLevel="1">
      <c r="B35" s="451" t="s">
        <v>759</v>
      </c>
      <c r="C35" s="655">
        <v>0.28000000000000003</v>
      </c>
      <c r="D35" s="655">
        <v>0.25</v>
      </c>
      <c r="E35" s="655">
        <v>0.24</v>
      </c>
      <c r="F35" s="655">
        <v>0.23</v>
      </c>
      <c r="G35" s="453"/>
      <c r="H35" s="453"/>
      <c r="I35" s="453"/>
      <c r="J35" s="453"/>
      <c r="K35" s="455"/>
      <c r="L35" s="380">
        <v>1</v>
      </c>
      <c r="M35" s="363"/>
      <c r="N35" s="363"/>
      <c r="P35" s="53" t="s">
        <v>357</v>
      </c>
    </row>
    <row r="36" spans="2:30" ht="30" outlineLevel="1">
      <c r="B36" s="441"/>
      <c r="C36" s="642"/>
      <c r="D36" s="642"/>
      <c r="E36" s="642"/>
      <c r="F36" s="642"/>
      <c r="G36" s="425"/>
      <c r="H36" s="425"/>
      <c r="I36" s="425"/>
      <c r="J36" s="425"/>
      <c r="K36" s="444"/>
      <c r="L36" s="424"/>
      <c r="M36" s="367"/>
      <c r="N36" s="367"/>
      <c r="P36" s="46" t="s">
        <v>335</v>
      </c>
      <c r="Q36" s="46" t="s">
        <v>336</v>
      </c>
      <c r="R36" s="47" t="s">
        <v>337</v>
      </c>
      <c r="S36" s="47" t="s">
        <v>338</v>
      </c>
      <c r="T36" s="47" t="s">
        <v>339</v>
      </c>
      <c r="U36" s="48" t="s">
        <v>340</v>
      </c>
      <c r="V36" s="49" t="s">
        <v>341</v>
      </c>
      <c r="W36" s="49" t="s">
        <v>342</v>
      </c>
      <c r="X36" s="49" t="s">
        <v>343</v>
      </c>
      <c r="Y36" s="49" t="s">
        <v>344</v>
      </c>
      <c r="Z36" s="49" t="s">
        <v>345</v>
      </c>
      <c r="AA36" s="49" t="s">
        <v>346</v>
      </c>
      <c r="AB36" s="49" t="s">
        <v>347</v>
      </c>
      <c r="AC36" s="49" t="s">
        <v>348</v>
      </c>
      <c r="AD36" s="49" t="s">
        <v>349</v>
      </c>
    </row>
    <row r="37" spans="2:30" ht="35" customHeight="1" outlineLevel="1" thickBot="1">
      <c r="B37" s="441"/>
      <c r="C37" s="442"/>
      <c r="D37" s="457"/>
      <c r="E37" s="457"/>
      <c r="F37" s="458"/>
      <c r="G37" s="425"/>
      <c r="H37" s="425"/>
      <c r="I37" s="425"/>
      <c r="J37" s="425"/>
      <c r="K37" s="448"/>
      <c r="L37" s="424"/>
      <c r="M37" s="363"/>
      <c r="N37" s="363"/>
      <c r="P37" s="50"/>
      <c r="Q37" s="50"/>
      <c r="R37" s="51"/>
      <c r="S37" s="51"/>
      <c r="T37" s="51"/>
      <c r="U37" s="51" t="s">
        <v>760</v>
      </c>
      <c r="V37" s="50" t="s">
        <v>761</v>
      </c>
      <c r="W37" s="50"/>
      <c r="X37" s="50"/>
      <c r="Y37" s="50"/>
      <c r="Z37" s="50"/>
      <c r="AA37" s="50"/>
      <c r="AB37" s="50"/>
      <c r="AC37" s="50"/>
      <c r="AD37" s="50"/>
    </row>
    <row r="38" spans="2:30" ht="73" customHeight="1" outlineLevel="1" thickBot="1">
      <c r="B38" s="401" t="s">
        <v>682</v>
      </c>
      <c r="C38" s="402"/>
      <c r="D38" s="403"/>
      <c r="E38" s="404"/>
      <c r="F38" s="405"/>
      <c r="G38" s="406"/>
      <c r="H38" s="406"/>
      <c r="I38" s="406"/>
      <c r="J38" s="406"/>
      <c r="K38" s="459"/>
      <c r="L38" s="460"/>
      <c r="M38" s="363"/>
      <c r="N38" s="363"/>
      <c r="O38" s="461" t="s">
        <v>732</v>
      </c>
      <c r="P38" s="56"/>
      <c r="Q38" s="56"/>
      <c r="R38" s="57"/>
      <c r="S38" s="57"/>
      <c r="T38" s="57"/>
      <c r="U38" s="56" t="s">
        <v>350</v>
      </c>
      <c r="V38" s="56" t="s">
        <v>326</v>
      </c>
      <c r="W38" s="56" t="s">
        <v>327</v>
      </c>
      <c r="X38" s="56" t="s">
        <v>351</v>
      </c>
      <c r="Y38" s="56" t="s">
        <v>351</v>
      </c>
      <c r="Z38" s="56" t="s">
        <v>352</v>
      </c>
      <c r="AA38" s="56" t="s">
        <v>352</v>
      </c>
      <c r="AB38" s="56" t="s">
        <v>352</v>
      </c>
      <c r="AC38" s="56" t="s">
        <v>352</v>
      </c>
      <c r="AD38" s="56" t="s">
        <v>352</v>
      </c>
    </row>
    <row r="39" spans="2:30" outlineLevel="1">
      <c r="B39" s="451" t="s">
        <v>762</v>
      </c>
      <c r="C39" s="643" t="s">
        <v>36</v>
      </c>
      <c r="D39" s="643" t="s">
        <v>36</v>
      </c>
      <c r="E39" s="643" t="s">
        <v>36</v>
      </c>
      <c r="F39" s="643" t="s">
        <v>36</v>
      </c>
      <c r="G39" s="643"/>
      <c r="H39" s="643"/>
      <c r="I39" s="643"/>
      <c r="J39" s="643"/>
      <c r="K39" s="643" t="s">
        <v>76</v>
      </c>
      <c r="L39" s="464"/>
      <c r="M39" s="363"/>
      <c r="N39" s="363"/>
      <c r="O39" s="465">
        <f>C12</f>
        <v>168</v>
      </c>
      <c r="P39" s="466">
        <f>C8</f>
        <v>2020</v>
      </c>
      <c r="Q39" s="58">
        <f>P39</f>
        <v>2020</v>
      </c>
      <c r="R39" s="466">
        <f>O39/100</f>
        <v>1.68</v>
      </c>
      <c r="S39" s="58"/>
      <c r="T39" s="466">
        <f>C16</f>
        <v>20</v>
      </c>
      <c r="U39" s="467">
        <f>C46</f>
        <v>4172.0000000000009</v>
      </c>
      <c r="V39" s="467">
        <f>C48</f>
        <v>14.9</v>
      </c>
      <c r="W39" s="467">
        <f>C49</f>
        <v>2.0901388888888892</v>
      </c>
      <c r="X39" s="58"/>
      <c r="Y39" s="58"/>
      <c r="Z39" s="466">
        <v>0</v>
      </c>
      <c r="AA39" s="468">
        <f>C25</f>
        <v>0</v>
      </c>
      <c r="AB39" s="468">
        <f>C26</f>
        <v>0</v>
      </c>
      <c r="AC39" s="468">
        <f>C27</f>
        <v>0</v>
      </c>
      <c r="AD39" s="468">
        <f>C24</f>
        <v>0</v>
      </c>
    </row>
    <row r="40" spans="2:30" ht="14.5" customHeight="1" outlineLevel="1">
      <c r="B40" s="376" t="s">
        <v>763</v>
      </c>
      <c r="C40" s="469" t="s">
        <v>36</v>
      </c>
      <c r="D40" s="470" t="s">
        <v>36</v>
      </c>
      <c r="E40" s="470" t="s">
        <v>36</v>
      </c>
      <c r="F40" s="471" t="s">
        <v>36</v>
      </c>
      <c r="G40" s="471"/>
      <c r="H40" s="471"/>
      <c r="I40" s="471"/>
      <c r="J40" s="471"/>
      <c r="K40" s="472" t="s">
        <v>76</v>
      </c>
      <c r="L40" s="464"/>
      <c r="M40" s="363"/>
      <c r="N40" s="363"/>
      <c r="O40" s="465">
        <f>D12</f>
        <v>169</v>
      </c>
      <c r="P40" s="466">
        <f>D8</f>
        <v>2030</v>
      </c>
      <c r="Q40" s="58"/>
      <c r="R40" s="466">
        <f>O40/100</f>
        <v>1.69</v>
      </c>
      <c r="S40" s="58"/>
      <c r="T40" s="466">
        <f>D16</f>
        <v>20</v>
      </c>
      <c r="U40" s="467">
        <f>D46</f>
        <v>3799.5</v>
      </c>
      <c r="V40" s="467">
        <f>D48</f>
        <v>14.9</v>
      </c>
      <c r="W40" s="467">
        <f>D49</f>
        <v>2.0694444444444446</v>
      </c>
      <c r="X40" s="58"/>
      <c r="Y40" s="58"/>
      <c r="Z40" s="466">
        <f>D23</f>
        <v>0</v>
      </c>
      <c r="AA40" s="468">
        <f>D25</f>
        <v>0</v>
      </c>
      <c r="AB40" s="468">
        <f>D26</f>
        <v>0</v>
      </c>
      <c r="AC40" s="468">
        <f>D27</f>
        <v>0</v>
      </c>
      <c r="AD40" s="468">
        <f>D24</f>
        <v>0</v>
      </c>
    </row>
    <row r="41" spans="2:30" outlineLevel="1">
      <c r="B41" s="376" t="s">
        <v>764</v>
      </c>
      <c r="C41" s="469" t="s">
        <v>36</v>
      </c>
      <c r="D41" s="470" t="s">
        <v>36</v>
      </c>
      <c r="E41" s="470" t="s">
        <v>36</v>
      </c>
      <c r="F41" s="471" t="s">
        <v>36</v>
      </c>
      <c r="G41" s="453"/>
      <c r="H41" s="453"/>
      <c r="I41" s="453"/>
      <c r="J41" s="453"/>
      <c r="K41" s="453"/>
      <c r="L41" s="380"/>
      <c r="M41" s="363"/>
      <c r="N41" s="363"/>
      <c r="O41" s="465">
        <f>E12</f>
        <v>170</v>
      </c>
      <c r="P41" s="466">
        <f>E8</f>
        <v>2040</v>
      </c>
      <c r="Q41" s="58"/>
      <c r="R41" s="466">
        <f>O41/100</f>
        <v>1.7</v>
      </c>
      <c r="S41" s="58"/>
      <c r="T41" s="466">
        <f>E16</f>
        <v>20</v>
      </c>
      <c r="U41" s="467">
        <f>E46</f>
        <v>3576</v>
      </c>
      <c r="V41" s="467">
        <f>E48</f>
        <v>14.9</v>
      </c>
      <c r="W41" s="467">
        <f>E49</f>
        <v>2.0694444444444446</v>
      </c>
      <c r="X41" s="58"/>
      <c r="Y41" s="58"/>
      <c r="Z41" s="466">
        <f>E23</f>
        <v>0</v>
      </c>
      <c r="AA41" s="468">
        <f>E25</f>
        <v>0</v>
      </c>
      <c r="AB41" s="468">
        <f>E26</f>
        <v>0</v>
      </c>
      <c r="AC41" s="468">
        <f>E27</f>
        <v>0</v>
      </c>
      <c r="AD41" s="468">
        <f>E24</f>
        <v>0</v>
      </c>
    </row>
    <row r="42" spans="2:30" ht="14.5" customHeight="1" outlineLevel="1">
      <c r="B42" s="376" t="s">
        <v>765</v>
      </c>
      <c r="C42" s="1240" t="s">
        <v>875</v>
      </c>
      <c r="D42" s="1241"/>
      <c r="E42" s="1241"/>
      <c r="F42" s="1242"/>
      <c r="G42" s="474"/>
      <c r="H42" s="474"/>
      <c r="I42" s="474"/>
      <c r="J42" s="474"/>
      <c r="K42" s="474"/>
      <c r="L42" s="380"/>
      <c r="M42" s="363"/>
      <c r="N42" s="363"/>
      <c r="O42" s="465">
        <f>F12</f>
        <v>171</v>
      </c>
      <c r="P42" s="466">
        <f>F8</f>
        <v>2050</v>
      </c>
      <c r="Q42" s="58"/>
      <c r="R42" s="466">
        <f>O42/100</f>
        <v>1.71</v>
      </c>
      <c r="S42" s="58"/>
      <c r="T42" s="466">
        <f>F16</f>
        <v>20</v>
      </c>
      <c r="U42" s="467">
        <f>F46</f>
        <v>3427</v>
      </c>
      <c r="V42" s="467">
        <f>F48</f>
        <v>14.9</v>
      </c>
      <c r="W42" s="467">
        <f>F49</f>
        <v>2.0487500000000001</v>
      </c>
      <c r="X42" s="58"/>
      <c r="Y42" s="58"/>
      <c r="Z42" s="466">
        <f>F23</f>
        <v>0</v>
      </c>
      <c r="AA42" s="468">
        <f>F25</f>
        <v>0</v>
      </c>
      <c r="AB42" s="468">
        <f>F26</f>
        <v>0</v>
      </c>
      <c r="AC42" s="468">
        <f>F27</f>
        <v>0</v>
      </c>
      <c r="AD42" s="468">
        <f>F24</f>
        <v>0</v>
      </c>
    </row>
    <row r="43" spans="2:30" outlineLevel="1">
      <c r="B43" s="475" t="s">
        <v>766</v>
      </c>
      <c r="C43" s="469" t="s">
        <v>36</v>
      </c>
      <c r="D43" s="470" t="s">
        <v>36</v>
      </c>
      <c r="E43" s="470" t="s">
        <v>36</v>
      </c>
      <c r="F43" s="471" t="s">
        <v>36</v>
      </c>
      <c r="G43" s="474"/>
      <c r="H43" s="474"/>
      <c r="I43" s="474"/>
      <c r="J43" s="474"/>
      <c r="K43" s="474"/>
      <c r="L43" s="476"/>
      <c r="M43" s="367"/>
      <c r="N43" s="367"/>
    </row>
    <row r="44" spans="2:30" outlineLevel="1">
      <c r="B44" s="475" t="s">
        <v>767</v>
      </c>
      <c r="C44" s="469" t="s">
        <v>36</v>
      </c>
      <c r="D44" s="470" t="s">
        <v>36</v>
      </c>
      <c r="E44" s="470" t="s">
        <v>36</v>
      </c>
      <c r="F44" s="471" t="s">
        <v>36</v>
      </c>
      <c r="G44" s="474"/>
      <c r="H44" s="474"/>
      <c r="I44" s="474"/>
      <c r="J44" s="474"/>
      <c r="K44" s="474"/>
      <c r="L44" s="476"/>
      <c r="M44" s="363"/>
      <c r="N44" s="363"/>
    </row>
    <row r="45" spans="2:30" ht="16" outlineLevel="1" thickBot="1">
      <c r="B45" s="477" t="s">
        <v>768</v>
      </c>
      <c r="C45" s="644">
        <f>C10-C10/C11*100</f>
        <v>4.9411764705882355</v>
      </c>
      <c r="D45" s="645">
        <f t="shared" ref="D45:F45" si="2">D10-D10/D11*100</f>
        <v>4.9824561403508776</v>
      </c>
      <c r="E45" s="645">
        <f t="shared" si="2"/>
        <v>5.0232558139534884</v>
      </c>
      <c r="F45" s="646">
        <f t="shared" si="2"/>
        <v>5.0635838150289025</v>
      </c>
      <c r="G45" s="481"/>
      <c r="H45" s="481"/>
      <c r="I45" s="481"/>
      <c r="J45" s="481"/>
      <c r="K45" s="481" t="s">
        <v>25</v>
      </c>
      <c r="L45" s="482"/>
      <c r="M45" s="363"/>
      <c r="N45" s="363"/>
    </row>
    <row r="46" spans="2:30" ht="64" outlineLevel="1">
      <c r="B46" s="461" t="s">
        <v>769</v>
      </c>
      <c r="C46" s="483">
        <f>C29*$F$4*1000</f>
        <v>4172.0000000000009</v>
      </c>
      <c r="D46" s="483">
        <f t="shared" ref="D46:F46" si="3">D29*$F$4*1000</f>
        <v>3799.5</v>
      </c>
      <c r="E46" s="483">
        <f t="shared" si="3"/>
        <v>3576</v>
      </c>
      <c r="F46" s="483">
        <f t="shared" si="3"/>
        <v>3427</v>
      </c>
      <c r="G46" s="483"/>
      <c r="H46" s="484"/>
      <c r="I46" s="420" t="s">
        <v>332</v>
      </c>
      <c r="J46" s="420"/>
      <c r="K46" s="484"/>
      <c r="L46" s="484"/>
      <c r="N46" s="420"/>
    </row>
    <row r="47" spans="2:30" outlineLevel="1">
      <c r="B47" s="485" t="s">
        <v>770</v>
      </c>
      <c r="C47" s="486">
        <f>C46*$I47</f>
        <v>2086000.0000000005</v>
      </c>
      <c r="D47" s="486">
        <f>D46*$I47</f>
        <v>1899750</v>
      </c>
      <c r="E47" s="486">
        <f>E46*$I47</f>
        <v>1788000</v>
      </c>
      <c r="F47" s="486">
        <f>F46*$I47</f>
        <v>1713500</v>
      </c>
      <c r="G47" s="486"/>
      <c r="H47" s="484"/>
      <c r="I47" s="71">
        <v>500</v>
      </c>
      <c r="J47" s="420" t="s">
        <v>330</v>
      </c>
      <c r="K47" s="484"/>
      <c r="L47" s="484"/>
      <c r="N47" s="420"/>
    </row>
    <row r="48" spans="2:30" ht="48" outlineLevel="1">
      <c r="B48" s="461" t="s">
        <v>845</v>
      </c>
      <c r="C48" s="359">
        <f>C32*$F$4/1000</f>
        <v>14.9</v>
      </c>
      <c r="D48" s="359">
        <f t="shared" ref="D48:F48" si="4">D32*$F$4/1000</f>
        <v>14.9</v>
      </c>
      <c r="E48" s="359">
        <f t="shared" si="4"/>
        <v>14.9</v>
      </c>
      <c r="F48" s="359">
        <f t="shared" si="4"/>
        <v>14.9</v>
      </c>
      <c r="G48" s="359"/>
      <c r="I48" s="420" t="s">
        <v>333</v>
      </c>
      <c r="J48" s="420"/>
      <c r="N48" s="420"/>
    </row>
    <row r="49" spans="2:14" ht="48" outlineLevel="1">
      <c r="B49" s="461" t="s">
        <v>846</v>
      </c>
      <c r="C49" s="487">
        <f>C33*$F$4/3.6</f>
        <v>2.0901388888888892</v>
      </c>
      <c r="D49" s="487">
        <f t="shared" ref="D49:F49" si="5">D33*$F$4/3.6</f>
        <v>2.0694444444444446</v>
      </c>
      <c r="E49" s="487">
        <f t="shared" si="5"/>
        <v>2.0694444444444446</v>
      </c>
      <c r="F49" s="487">
        <f t="shared" si="5"/>
        <v>2.0487500000000001</v>
      </c>
      <c r="G49" s="359"/>
      <c r="M49" s="420"/>
      <c r="N49" s="420"/>
    </row>
    <row r="50" spans="2:14" outlineLevel="1"/>
    <row r="51" spans="2:14" outlineLevel="1"/>
    <row r="52" spans="2:14" outlineLevel="1"/>
    <row r="53" spans="2:14" outlineLevel="1"/>
    <row r="54" spans="2:14" outlineLevel="1">
      <c r="E54" s="358"/>
      <c r="F54" s="358"/>
      <c r="G54" s="358"/>
      <c r="H54" s="358"/>
      <c r="I54" s="358"/>
      <c r="J54" s="358"/>
      <c r="K54" s="358"/>
      <c r="L54" s="358"/>
    </row>
    <row r="55" spans="2:14" outlineLevel="1">
      <c r="B55" s="649" t="s">
        <v>773</v>
      </c>
      <c r="C55" s="358"/>
      <c r="D55" s="490"/>
      <c r="E55" s="358"/>
      <c r="F55" s="358"/>
      <c r="G55" s="358"/>
      <c r="H55" s="358"/>
      <c r="I55" s="358"/>
      <c r="J55" s="358"/>
      <c r="K55" s="358"/>
      <c r="L55" s="358"/>
    </row>
    <row r="56" spans="2:14" outlineLevel="1">
      <c r="B56" s="650">
        <v>1</v>
      </c>
      <c r="C56" s="651" t="s">
        <v>850</v>
      </c>
      <c r="D56" s="490"/>
      <c r="F56" s="358"/>
      <c r="G56" s="358"/>
      <c r="H56" s="358"/>
      <c r="I56" s="358"/>
      <c r="J56" s="358"/>
      <c r="K56" s="358"/>
      <c r="L56" s="358"/>
    </row>
    <row r="57" spans="2:14" outlineLevel="1">
      <c r="B57" s="650">
        <v>2</v>
      </c>
      <c r="C57" s="652" t="s">
        <v>847</v>
      </c>
      <c r="D57" s="490"/>
      <c r="F57" s="358"/>
      <c r="G57" s="358"/>
      <c r="H57" s="358"/>
      <c r="I57" s="358"/>
      <c r="J57" s="358"/>
      <c r="K57" s="358"/>
      <c r="L57" s="358"/>
    </row>
    <row r="58" spans="2:14" outlineLevel="1">
      <c r="B58" s="358" t="s">
        <v>783</v>
      </c>
      <c r="C58" s="358"/>
      <c r="D58" s="490"/>
      <c r="F58" s="358"/>
      <c r="G58" s="358"/>
      <c r="H58" s="358"/>
      <c r="I58" s="358"/>
      <c r="J58" s="358"/>
      <c r="K58" s="358"/>
      <c r="L58" s="358"/>
    </row>
    <row r="59" spans="2:14" outlineLevel="1">
      <c r="B59" s="653" t="s">
        <v>6</v>
      </c>
      <c r="C59" s="651" t="s">
        <v>870</v>
      </c>
      <c r="D59" s="490"/>
      <c r="F59" s="358"/>
      <c r="G59" s="358"/>
      <c r="H59" s="358"/>
      <c r="I59" s="358"/>
      <c r="J59" s="358"/>
      <c r="K59" s="358"/>
      <c r="L59" s="358"/>
    </row>
    <row r="60" spans="2:14" outlineLevel="1">
      <c r="B60" s="653" t="s">
        <v>59</v>
      </c>
      <c r="C60" s="652" t="s">
        <v>871</v>
      </c>
      <c r="D60" s="490"/>
      <c r="F60" s="358"/>
      <c r="G60" s="358"/>
      <c r="H60" s="358"/>
      <c r="I60" s="358"/>
      <c r="J60" s="358"/>
      <c r="K60" s="358"/>
      <c r="L60" s="358"/>
    </row>
    <row r="61" spans="2:14" outlineLevel="1">
      <c r="B61" s="653" t="s">
        <v>16</v>
      </c>
      <c r="C61" s="651" t="s">
        <v>872</v>
      </c>
      <c r="D61" s="490"/>
      <c r="F61" s="358"/>
      <c r="G61" s="358"/>
      <c r="H61" s="358"/>
      <c r="I61" s="358"/>
      <c r="J61" s="358"/>
      <c r="K61" s="358"/>
      <c r="L61" s="358"/>
    </row>
    <row r="62" spans="2:14" outlineLevel="1">
      <c r="B62" s="654" t="s">
        <v>20</v>
      </c>
      <c r="C62" s="489" t="s">
        <v>788</v>
      </c>
      <c r="D62" s="490"/>
      <c r="F62" s="358"/>
      <c r="G62" s="358"/>
      <c r="H62" s="358"/>
      <c r="I62" s="358"/>
      <c r="J62" s="358"/>
      <c r="K62" s="358"/>
      <c r="L62" s="358"/>
    </row>
    <row r="63" spans="2:14" outlineLevel="1">
      <c r="B63" s="653" t="s">
        <v>76</v>
      </c>
      <c r="C63" s="651" t="s">
        <v>789</v>
      </c>
      <c r="D63" s="490"/>
      <c r="F63" s="358"/>
      <c r="G63" s="358"/>
      <c r="H63" s="358"/>
      <c r="I63" s="358"/>
      <c r="J63" s="358"/>
      <c r="K63" s="358"/>
      <c r="L63" s="358"/>
    </row>
    <row r="64" spans="2:14" outlineLevel="1">
      <c r="B64" s="637" t="s">
        <v>25</v>
      </c>
      <c r="C64" s="358" t="s">
        <v>873</v>
      </c>
      <c r="D64" s="490"/>
      <c r="F64" s="358"/>
      <c r="G64" s="358"/>
      <c r="H64" s="358"/>
      <c r="I64" s="358"/>
      <c r="J64" s="358"/>
      <c r="K64" s="358"/>
      <c r="L64" s="358"/>
    </row>
    <row r="65" spans="1:44" outlineLevel="1">
      <c r="B65" s="656"/>
      <c r="C65" s="490"/>
      <c r="D65" s="490"/>
      <c r="F65" s="358"/>
      <c r="G65" s="358"/>
      <c r="H65" s="358"/>
      <c r="I65" s="358"/>
      <c r="J65" s="358"/>
      <c r="K65" s="358"/>
      <c r="L65" s="358"/>
    </row>
    <row r="66" spans="1:44" outlineLevel="1">
      <c r="B66" s="637"/>
      <c r="C66" s="490"/>
      <c r="D66" s="490"/>
      <c r="F66" s="358"/>
      <c r="G66" s="358"/>
      <c r="H66" s="358"/>
      <c r="I66" s="358"/>
      <c r="J66" s="358"/>
      <c r="K66" s="358"/>
      <c r="L66" s="358"/>
    </row>
    <row r="67" spans="1:44" outlineLevel="1">
      <c r="B67" s="637"/>
      <c r="C67" s="490"/>
      <c r="D67" s="490"/>
      <c r="F67" s="358"/>
      <c r="G67" s="358"/>
      <c r="H67" s="358"/>
      <c r="I67" s="358"/>
      <c r="J67" s="358"/>
      <c r="K67" s="358"/>
      <c r="L67" s="358"/>
    </row>
    <row r="68" spans="1:44" outlineLevel="1">
      <c r="B68" s="637"/>
      <c r="C68" s="490"/>
      <c r="D68" s="358"/>
      <c r="F68" s="358"/>
      <c r="G68" s="358"/>
      <c r="H68" s="358"/>
      <c r="I68" s="358"/>
      <c r="J68" s="358"/>
      <c r="K68" s="358"/>
      <c r="L68" s="358"/>
    </row>
    <row r="69" spans="1:44" outlineLevel="1">
      <c r="B69" s="637"/>
      <c r="C69" s="489"/>
      <c r="D69" s="358"/>
      <c r="F69" s="358"/>
      <c r="G69" s="358"/>
      <c r="H69" s="358"/>
      <c r="I69" s="358"/>
      <c r="J69" s="358"/>
      <c r="K69" s="358"/>
      <c r="L69" s="358"/>
    </row>
    <row r="70" spans="1:44" outlineLevel="1">
      <c r="B70" s="637"/>
      <c r="C70" s="490"/>
      <c r="D70" s="358"/>
      <c r="G70" s="358"/>
      <c r="H70" s="358"/>
      <c r="I70" s="358"/>
      <c r="J70" s="358"/>
      <c r="K70" s="358"/>
      <c r="L70" s="358"/>
    </row>
    <row r="71" spans="1:44" outlineLevel="1">
      <c r="B71" s="637"/>
      <c r="C71" s="490"/>
      <c r="E71" s="490"/>
      <c r="F71" s="490"/>
    </row>
    <row r="72" spans="1:44" outlineLevel="1"/>
    <row r="73" spans="1:44" outlineLevel="1"/>
    <row r="74" spans="1:44" outlineLevel="1"/>
    <row r="77" spans="1:44">
      <c r="A77" s="360"/>
      <c r="B77" s="1207"/>
      <c r="C77" s="1143"/>
      <c r="D77" s="1143"/>
      <c r="E77" s="1143"/>
      <c r="F77" s="1143"/>
      <c r="G77" s="1143"/>
      <c r="H77" s="1143"/>
      <c r="I77" s="1143"/>
      <c r="J77" s="1143"/>
      <c r="K77" s="1143"/>
      <c r="L77" s="1143"/>
      <c r="M77" s="1143"/>
      <c r="N77" s="361"/>
      <c r="P77" s="1143"/>
      <c r="Q77" s="1143"/>
      <c r="R77" s="1143"/>
      <c r="S77" s="1143"/>
      <c r="T77" s="1143"/>
      <c r="U77" s="1143"/>
    </row>
    <row r="78" spans="1:44" ht="16" outlineLevel="1" thickBot="1">
      <c r="B78" s="1207"/>
      <c r="C78" s="1143"/>
      <c r="D78" s="1143"/>
      <c r="E78" s="1143"/>
      <c r="F78" s="1143"/>
      <c r="G78" s="1143"/>
      <c r="H78" s="1143"/>
      <c r="I78" s="1143"/>
      <c r="J78" s="1143"/>
      <c r="K78" s="1143"/>
      <c r="L78" s="1143"/>
      <c r="M78" s="1143"/>
      <c r="N78" s="361"/>
      <c r="P78" s="1143"/>
      <c r="Q78" s="1143"/>
      <c r="R78" s="1143"/>
      <c r="S78" s="1143"/>
      <c r="T78" s="1143"/>
      <c r="U78" s="1143"/>
    </row>
    <row r="79" spans="1:44" ht="20.5" customHeight="1" outlineLevel="1" thickBot="1">
      <c r="B79" s="362"/>
      <c r="C79" s="1186"/>
      <c r="D79" s="1205"/>
      <c r="E79" s="1205"/>
      <c r="F79" s="1205"/>
      <c r="G79" s="1205"/>
      <c r="H79" s="1205"/>
      <c r="I79" s="1205"/>
      <c r="J79" s="1205"/>
      <c r="K79" s="1205"/>
      <c r="L79" s="1206"/>
      <c r="M79" s="363"/>
      <c r="N79" s="363"/>
      <c r="P79" s="364"/>
      <c r="Q79" s="365"/>
      <c r="R79" s="366"/>
      <c r="S79" s="1176"/>
      <c r="T79" s="1160"/>
      <c r="U79" s="1161"/>
      <c r="V79" s="1160"/>
      <c r="W79" s="1161"/>
      <c r="X79" s="1160"/>
      <c r="Y79" s="1161"/>
      <c r="Z79" s="1160"/>
      <c r="AA79" s="1161"/>
      <c r="AB79" s="1160"/>
      <c r="AC79" s="1161"/>
      <c r="AE79" s="364"/>
      <c r="AF79" s="365"/>
      <c r="AG79" s="366"/>
      <c r="AH79" s="1176"/>
      <c r="AI79" s="1160"/>
      <c r="AJ79" s="1161"/>
      <c r="AK79" s="1160"/>
      <c r="AL79" s="1161"/>
      <c r="AM79" s="1160"/>
      <c r="AN79" s="1161"/>
      <c r="AO79" s="1160"/>
      <c r="AP79" s="1161"/>
      <c r="AQ79" s="1160"/>
      <c r="AR79" s="1161"/>
    </row>
    <row r="80" spans="1:44" ht="15" customHeight="1" outlineLevel="1" thickBot="1">
      <c r="B80" s="1164"/>
      <c r="C80" s="1166"/>
      <c r="D80" s="1166"/>
      <c r="E80" s="1166"/>
      <c r="F80" s="1166"/>
      <c r="G80" s="1200"/>
      <c r="H80" s="1201"/>
      <c r="I80" s="1200"/>
      <c r="J80" s="1201"/>
      <c r="K80" s="1202"/>
      <c r="L80" s="1202"/>
      <c r="M80" s="367"/>
      <c r="N80" s="367"/>
      <c r="P80" s="1180"/>
      <c r="Q80" s="368"/>
      <c r="R80" s="368"/>
      <c r="S80" s="1177"/>
      <c r="T80" s="1162"/>
      <c r="U80" s="1163"/>
      <c r="V80" s="1162"/>
      <c r="W80" s="1163"/>
      <c r="X80" s="1162"/>
      <c r="Y80" s="1163"/>
      <c r="Z80" s="1162"/>
      <c r="AA80" s="1163"/>
      <c r="AB80" s="1162"/>
      <c r="AC80" s="1163"/>
      <c r="AE80" s="1180"/>
      <c r="AF80" s="368"/>
      <c r="AG80" s="368"/>
      <c r="AH80" s="1177"/>
      <c r="AI80" s="1162"/>
      <c r="AJ80" s="1163"/>
      <c r="AK80" s="1162"/>
      <c r="AL80" s="1163"/>
      <c r="AM80" s="1162"/>
      <c r="AN80" s="1163"/>
      <c r="AO80" s="1162"/>
      <c r="AP80" s="1163"/>
      <c r="AQ80" s="1162"/>
      <c r="AR80" s="1163"/>
    </row>
    <row r="81" spans="2:44" ht="15" customHeight="1" outlineLevel="1" thickBot="1">
      <c r="B81" s="1165"/>
      <c r="C81" s="1167"/>
      <c r="D81" s="1167"/>
      <c r="E81" s="1167"/>
      <c r="F81" s="1167"/>
      <c r="G81" s="499"/>
      <c r="H81" s="499"/>
      <c r="I81" s="499"/>
      <c r="J81" s="499"/>
      <c r="K81" s="1203"/>
      <c r="L81" s="1203"/>
      <c r="M81" s="370"/>
      <c r="N81" s="370"/>
      <c r="P81" s="1181"/>
      <c r="Q81" s="1183"/>
      <c r="R81" s="1184"/>
      <c r="S81" s="1178"/>
      <c r="T81" s="1162"/>
      <c r="U81" s="1163"/>
      <c r="V81" s="1162"/>
      <c r="W81" s="1163"/>
      <c r="X81" s="1162"/>
      <c r="Y81" s="1163"/>
      <c r="Z81" s="1162"/>
      <c r="AA81" s="1163"/>
      <c r="AB81" s="1162"/>
      <c r="AC81" s="1163"/>
      <c r="AE81" s="1181"/>
      <c r="AF81" s="1197"/>
      <c r="AG81" s="1184"/>
      <c r="AH81" s="1178"/>
      <c r="AI81" s="1162"/>
      <c r="AJ81" s="1163"/>
      <c r="AK81" s="1162"/>
      <c r="AL81" s="1163"/>
      <c r="AM81" s="1162"/>
      <c r="AN81" s="1163"/>
      <c r="AO81" s="1162"/>
      <c r="AP81" s="1163"/>
      <c r="AQ81" s="1162"/>
      <c r="AR81" s="1163"/>
    </row>
    <row r="82" spans="2:44" ht="16" outlineLevel="1" thickBot="1">
      <c r="B82" s="371"/>
      <c r="C82" s="372"/>
      <c r="D82" s="372"/>
      <c r="E82" s="372"/>
      <c r="F82" s="372"/>
      <c r="G82" s="372"/>
      <c r="H82" s="372"/>
      <c r="I82" s="372"/>
      <c r="J82" s="372"/>
      <c r="K82" s="372"/>
      <c r="L82" s="373"/>
      <c r="M82" s="370"/>
      <c r="N82" s="370"/>
      <c r="O82" s="74"/>
      <c r="P82" s="1182"/>
      <c r="Q82" s="1179"/>
      <c r="R82" s="1185"/>
      <c r="S82" s="1179"/>
      <c r="T82" s="374"/>
      <c r="U82" s="375"/>
      <c r="V82" s="374"/>
      <c r="W82" s="375"/>
      <c r="X82" s="374"/>
      <c r="Y82" s="375"/>
      <c r="Z82" s="374"/>
      <c r="AA82" s="375"/>
      <c r="AB82" s="374"/>
      <c r="AC82" s="375"/>
      <c r="AE82" s="1182"/>
      <c r="AF82" s="1198"/>
      <c r="AG82" s="1185"/>
      <c r="AH82" s="1179"/>
      <c r="AI82" s="374"/>
      <c r="AJ82" s="375"/>
      <c r="AK82" s="374"/>
      <c r="AL82" s="375"/>
      <c r="AM82" s="374"/>
      <c r="AN82" s="375"/>
      <c r="AO82" s="374"/>
      <c r="AP82" s="375"/>
      <c r="AQ82" s="374"/>
      <c r="AR82" s="375"/>
    </row>
    <row r="83" spans="2:44" ht="15" customHeight="1" outlineLevel="1">
      <c r="B83" s="500"/>
      <c r="C83" s="501"/>
      <c r="D83" s="501"/>
      <c r="E83" s="502"/>
      <c r="F83" s="501"/>
      <c r="G83" s="501"/>
      <c r="H83" s="501"/>
      <c r="I83" s="501"/>
      <c r="J83" s="501"/>
      <c r="K83" s="503"/>
      <c r="L83" s="504"/>
      <c r="M83" s="370"/>
      <c r="N83" s="370"/>
      <c r="P83" s="1148"/>
      <c r="Q83" s="1154"/>
      <c r="R83" s="381"/>
      <c r="S83" s="382"/>
      <c r="T83" s="1137"/>
      <c r="U83" s="1151"/>
      <c r="V83" s="1137"/>
      <c r="W83" s="1151"/>
      <c r="X83" s="1137"/>
      <c r="Y83" s="1151"/>
      <c r="Z83" s="1137"/>
      <c r="AA83" s="1151"/>
      <c r="AB83" s="1137"/>
      <c r="AC83" s="1151"/>
      <c r="AE83" s="1148"/>
      <c r="AF83" s="1154"/>
      <c r="AG83" s="381"/>
      <c r="AH83" s="382"/>
      <c r="AI83" s="1137"/>
      <c r="AJ83" s="1151"/>
      <c r="AK83" s="1137"/>
      <c r="AL83" s="1151"/>
      <c r="AM83" s="1137"/>
      <c r="AN83" s="1151"/>
      <c r="AO83" s="1137"/>
      <c r="AP83" s="1151"/>
      <c r="AQ83" s="1137"/>
      <c r="AR83" s="1151"/>
    </row>
    <row r="84" spans="2:44" outlineLevel="1">
      <c r="B84" s="383"/>
      <c r="C84" s="384"/>
      <c r="D84" s="384"/>
      <c r="E84" s="384"/>
      <c r="F84" s="384"/>
      <c r="G84" s="505"/>
      <c r="H84" s="505"/>
      <c r="I84" s="505"/>
      <c r="J84" s="505"/>
      <c r="K84" s="372"/>
      <c r="L84" s="373"/>
      <c r="M84" s="370"/>
      <c r="N84" s="370"/>
      <c r="O84" s="71"/>
      <c r="P84" s="1195"/>
      <c r="Q84" s="1155"/>
      <c r="R84" s="388"/>
      <c r="S84" s="389"/>
      <c r="T84" s="1140"/>
      <c r="U84" s="1152"/>
      <c r="V84" s="1140"/>
      <c r="W84" s="1152"/>
      <c r="X84" s="1140"/>
      <c r="Y84" s="1152"/>
      <c r="Z84" s="1140"/>
      <c r="AA84" s="1152"/>
      <c r="AB84" s="1140"/>
      <c r="AC84" s="1152"/>
      <c r="AE84" s="1195"/>
      <c r="AF84" s="1155"/>
      <c r="AG84" s="388"/>
      <c r="AH84" s="389"/>
      <c r="AI84" s="1140"/>
      <c r="AJ84" s="1152"/>
      <c r="AK84" s="1140"/>
      <c r="AL84" s="1152"/>
      <c r="AM84" s="1140"/>
      <c r="AN84" s="1152"/>
      <c r="AO84" s="1140"/>
      <c r="AP84" s="1152"/>
      <c r="AQ84" s="1140"/>
      <c r="AR84" s="1152"/>
    </row>
    <row r="85" spans="2:44" ht="16" outlineLevel="1" thickBot="1">
      <c r="B85" s="500"/>
      <c r="C85" s="506"/>
      <c r="D85" s="507"/>
      <c r="E85" s="507"/>
      <c r="F85" s="508"/>
      <c r="G85" s="507"/>
      <c r="H85" s="507"/>
      <c r="I85" s="507"/>
      <c r="J85" s="507"/>
      <c r="K85" s="503"/>
      <c r="L85" s="504"/>
      <c r="M85" s="370"/>
      <c r="N85" s="370"/>
      <c r="O85" s="71"/>
      <c r="P85" s="1195"/>
      <c r="Q85" s="1156"/>
      <c r="R85" s="393"/>
      <c r="S85" s="394"/>
      <c r="T85" s="1141"/>
      <c r="U85" s="1153"/>
      <c r="V85" s="1141"/>
      <c r="W85" s="1153"/>
      <c r="X85" s="1141"/>
      <c r="Y85" s="1153"/>
      <c r="Z85" s="1141"/>
      <c r="AA85" s="1153"/>
      <c r="AB85" s="1141"/>
      <c r="AC85" s="1153"/>
      <c r="AE85" s="1195"/>
      <c r="AF85" s="1156"/>
      <c r="AG85" s="393"/>
      <c r="AH85" s="394"/>
      <c r="AI85" s="1141"/>
      <c r="AJ85" s="1153"/>
      <c r="AK85" s="1141"/>
      <c r="AL85" s="1153"/>
      <c r="AM85" s="1141"/>
      <c r="AN85" s="1153"/>
      <c r="AO85" s="1141"/>
      <c r="AP85" s="1153"/>
      <c r="AQ85" s="1141"/>
      <c r="AR85" s="1153"/>
    </row>
    <row r="86" spans="2:44" ht="15" customHeight="1" outlineLevel="1">
      <c r="B86" s="500"/>
      <c r="C86" s="506"/>
      <c r="D86" s="506"/>
      <c r="E86" s="506"/>
      <c r="F86" s="506"/>
      <c r="G86" s="506"/>
      <c r="H86" s="506"/>
      <c r="I86" s="506"/>
      <c r="J86" s="506"/>
      <c r="K86" s="503"/>
      <c r="L86" s="504"/>
      <c r="M86" s="370"/>
      <c r="N86" s="370"/>
      <c r="O86" s="71"/>
      <c r="P86" s="1195"/>
      <c r="Q86" s="1154"/>
      <c r="R86" s="395"/>
      <c r="S86" s="396"/>
      <c r="T86" s="1137"/>
      <c r="U86" s="1137"/>
      <c r="V86" s="1137"/>
      <c r="W86" s="1137"/>
      <c r="X86" s="1137"/>
      <c r="Y86" s="1137"/>
      <c r="Z86" s="1137"/>
      <c r="AA86" s="1137"/>
      <c r="AB86" s="1137"/>
      <c r="AC86" s="1137"/>
      <c r="AE86" s="1195"/>
      <c r="AF86" s="1154"/>
      <c r="AG86" s="395"/>
      <c r="AH86" s="396"/>
      <c r="AI86" s="1137"/>
      <c r="AJ86" s="1137"/>
      <c r="AK86" s="1137"/>
      <c r="AL86" s="1137"/>
      <c r="AM86" s="1137"/>
      <c r="AN86" s="1137"/>
      <c r="AO86" s="1137"/>
      <c r="AP86" s="1137"/>
      <c r="AQ86" s="1137"/>
      <c r="AR86" s="1137"/>
    </row>
    <row r="87" spans="2:44" outlineLevel="1">
      <c r="B87" s="500"/>
      <c r="C87" s="506"/>
      <c r="D87" s="506"/>
      <c r="E87" s="506"/>
      <c r="F87" s="506"/>
      <c r="G87" s="506"/>
      <c r="H87" s="506"/>
      <c r="I87" s="506"/>
      <c r="J87" s="506"/>
      <c r="K87" s="503"/>
      <c r="L87" s="504"/>
      <c r="M87" s="367"/>
      <c r="N87" s="367"/>
      <c r="O87" s="71"/>
      <c r="P87" s="1195"/>
      <c r="Q87" s="1155"/>
      <c r="R87" s="395"/>
      <c r="S87" s="396"/>
      <c r="T87" s="1138"/>
      <c r="U87" s="1138"/>
      <c r="V87" s="1138"/>
      <c r="W87" s="1138"/>
      <c r="X87" s="1138"/>
      <c r="Y87" s="1138"/>
      <c r="Z87" s="1138"/>
      <c r="AA87" s="1138"/>
      <c r="AB87" s="1138"/>
      <c r="AC87" s="1138"/>
      <c r="AE87" s="1195"/>
      <c r="AF87" s="1155"/>
      <c r="AG87" s="395"/>
      <c r="AH87" s="396"/>
      <c r="AI87" s="1138"/>
      <c r="AJ87" s="1138"/>
      <c r="AK87" s="1138"/>
      <c r="AL87" s="1138"/>
      <c r="AM87" s="1138"/>
      <c r="AN87" s="1138"/>
      <c r="AO87" s="1138"/>
      <c r="AP87" s="1138"/>
      <c r="AQ87" s="1138"/>
      <c r="AR87" s="1138"/>
    </row>
    <row r="88" spans="2:44" outlineLevel="1">
      <c r="B88" s="383"/>
      <c r="C88" s="397"/>
      <c r="D88" s="397"/>
      <c r="E88" s="397"/>
      <c r="F88" s="397"/>
      <c r="G88" s="399"/>
      <c r="H88" s="399"/>
      <c r="I88" s="399"/>
      <c r="J88" s="399"/>
      <c r="K88" s="372"/>
      <c r="L88" s="373"/>
      <c r="M88" s="363"/>
      <c r="N88" s="363"/>
      <c r="P88" s="1195"/>
      <c r="Q88" s="1155"/>
      <c r="R88" s="395"/>
      <c r="S88" s="396"/>
      <c r="T88" s="1138"/>
      <c r="U88" s="1138"/>
      <c r="V88" s="1138"/>
      <c r="W88" s="1138"/>
      <c r="X88" s="1138"/>
      <c r="Y88" s="1138"/>
      <c r="Z88" s="1138"/>
      <c r="AA88" s="1138"/>
      <c r="AB88" s="1138"/>
      <c r="AC88" s="1138"/>
      <c r="AE88" s="1195"/>
      <c r="AF88" s="1155"/>
      <c r="AG88" s="395"/>
      <c r="AH88" s="396"/>
      <c r="AI88" s="1138"/>
      <c r="AJ88" s="1138"/>
      <c r="AK88" s="1138"/>
      <c r="AL88" s="1138"/>
      <c r="AM88" s="1138"/>
      <c r="AN88" s="1138"/>
      <c r="AO88" s="1138"/>
      <c r="AP88" s="1138"/>
      <c r="AQ88" s="1138"/>
      <c r="AR88" s="1138"/>
    </row>
    <row r="89" spans="2:44" ht="16" outlineLevel="1" thickBot="1">
      <c r="B89" s="500"/>
      <c r="C89" s="506"/>
      <c r="D89" s="506"/>
      <c r="E89" s="506"/>
      <c r="F89" s="506"/>
      <c r="G89" s="506"/>
      <c r="H89" s="506"/>
      <c r="I89" s="506"/>
      <c r="J89" s="506"/>
      <c r="K89" s="372"/>
      <c r="L89" s="400"/>
      <c r="M89" s="363"/>
      <c r="N89" s="363"/>
      <c r="P89" s="1195"/>
      <c r="Q89" s="1155"/>
      <c r="R89" s="395"/>
      <c r="S89" s="396"/>
      <c r="T89" s="1138"/>
      <c r="U89" s="1138"/>
      <c r="V89" s="1138"/>
      <c r="W89" s="1138"/>
      <c r="X89" s="1138"/>
      <c r="Y89" s="1138"/>
      <c r="Z89" s="1138"/>
      <c r="AA89" s="1138"/>
      <c r="AB89" s="1138"/>
      <c r="AC89" s="1138"/>
      <c r="AE89" s="1195"/>
      <c r="AF89" s="1155"/>
      <c r="AG89" s="395"/>
      <c r="AH89" s="396"/>
      <c r="AI89" s="1138"/>
      <c r="AJ89" s="1138"/>
      <c r="AK89" s="1138"/>
      <c r="AL89" s="1138"/>
      <c r="AM89" s="1138"/>
      <c r="AN89" s="1138"/>
      <c r="AO89" s="1138"/>
      <c r="AP89" s="1138"/>
      <c r="AQ89" s="1138"/>
      <c r="AR89" s="1138"/>
    </row>
    <row r="90" spans="2:44" ht="16" outlineLevel="1" thickBot="1">
      <c r="B90" s="401"/>
      <c r="C90" s="402"/>
      <c r="D90" s="403"/>
      <c r="E90" s="404"/>
      <c r="F90" s="405"/>
      <c r="G90" s="406"/>
      <c r="H90" s="406"/>
      <c r="I90" s="406"/>
      <c r="J90" s="406"/>
      <c r="K90" s="407"/>
      <c r="L90" s="408"/>
      <c r="M90" s="363"/>
      <c r="N90" s="363"/>
      <c r="P90" s="1195"/>
      <c r="Q90" s="1155"/>
      <c r="R90" s="409"/>
      <c r="S90" s="410"/>
      <c r="T90" s="1139"/>
      <c r="U90" s="1139"/>
      <c r="V90" s="1139"/>
      <c r="W90" s="1139"/>
      <c r="X90" s="1139"/>
      <c r="Y90" s="1139"/>
      <c r="Z90" s="1139"/>
      <c r="AA90" s="1139"/>
      <c r="AB90" s="1139"/>
      <c r="AC90" s="1139"/>
      <c r="AE90" s="1195"/>
      <c r="AF90" s="1155"/>
      <c r="AG90" s="409"/>
      <c r="AH90" s="410"/>
      <c r="AI90" s="1139"/>
      <c r="AJ90" s="1139"/>
      <c r="AK90" s="1139"/>
      <c r="AL90" s="1139"/>
      <c r="AM90" s="1139"/>
      <c r="AN90" s="1139"/>
      <c r="AO90" s="1139"/>
      <c r="AP90" s="1139"/>
      <c r="AQ90" s="1139"/>
      <c r="AR90" s="1139"/>
    </row>
    <row r="91" spans="2:44" ht="16" outlineLevel="1" thickBot="1">
      <c r="B91" s="500"/>
      <c r="C91" s="506"/>
      <c r="D91" s="506"/>
      <c r="E91" s="506"/>
      <c r="F91" s="506"/>
      <c r="G91" s="507"/>
      <c r="H91" s="507"/>
      <c r="I91" s="507"/>
      <c r="J91" s="507"/>
      <c r="K91" s="503"/>
      <c r="L91" s="504"/>
      <c r="M91" s="363"/>
      <c r="N91" s="363"/>
      <c r="P91" s="1196"/>
      <c r="Q91" s="411"/>
      <c r="R91" s="412"/>
      <c r="S91" s="413"/>
      <c r="T91" s="414"/>
      <c r="U91" s="415"/>
      <c r="V91" s="416"/>
      <c r="W91" s="415"/>
      <c r="X91" s="416"/>
      <c r="Y91" s="415"/>
      <c r="Z91" s="416"/>
      <c r="AA91" s="415"/>
      <c r="AB91" s="416"/>
      <c r="AC91" s="417"/>
      <c r="AE91" s="1196"/>
      <c r="AF91" s="411"/>
      <c r="AG91" s="412"/>
      <c r="AH91" s="413"/>
      <c r="AI91" s="414"/>
      <c r="AJ91" s="415"/>
      <c r="AK91" s="414"/>
      <c r="AL91" s="415"/>
      <c r="AM91" s="414"/>
      <c r="AN91" s="415"/>
      <c r="AO91" s="414"/>
      <c r="AP91" s="415"/>
      <c r="AQ91" s="414"/>
      <c r="AR91" s="417"/>
    </row>
    <row r="92" spans="2:44" outlineLevel="1">
      <c r="B92" s="500"/>
      <c r="C92" s="506"/>
      <c r="D92" s="506"/>
      <c r="E92" s="506"/>
      <c r="F92" s="506"/>
      <c r="G92" s="509"/>
      <c r="H92" s="509"/>
      <c r="I92" s="509"/>
      <c r="J92" s="509"/>
      <c r="K92" s="510"/>
      <c r="L92" s="504"/>
      <c r="M92" s="363"/>
      <c r="N92" s="363"/>
    </row>
    <row r="93" spans="2:44" outlineLevel="1">
      <c r="B93" s="500"/>
      <c r="C93" s="506"/>
      <c r="D93" s="506"/>
      <c r="E93" s="506"/>
      <c r="F93" s="506"/>
      <c r="G93" s="509"/>
      <c r="H93" s="509"/>
      <c r="I93" s="509"/>
      <c r="J93" s="509"/>
      <c r="K93" s="510"/>
      <c r="L93" s="504"/>
      <c r="M93" s="420"/>
      <c r="N93" s="363"/>
    </row>
    <row r="94" spans="2:44" outlineLevel="1">
      <c r="B94" s="421"/>
      <c r="C94" s="399"/>
      <c r="D94" s="399"/>
      <c r="E94" s="399"/>
      <c r="F94" s="399"/>
      <c r="G94" s="422"/>
      <c r="H94" s="422"/>
      <c r="I94" s="422"/>
      <c r="J94" s="422"/>
      <c r="K94" s="423"/>
      <c r="L94" s="424"/>
      <c r="M94" s="420"/>
      <c r="N94" s="420"/>
    </row>
    <row r="95" spans="2:44" outlineLevel="1">
      <c r="B95" s="383"/>
      <c r="C95" s="397"/>
      <c r="D95" s="397"/>
      <c r="E95" s="397"/>
      <c r="F95" s="397"/>
      <c r="G95" s="422"/>
      <c r="H95" s="425"/>
      <c r="I95" s="425"/>
      <c r="J95" s="425"/>
      <c r="K95" s="426"/>
      <c r="L95" s="427"/>
      <c r="M95" s="428"/>
      <c r="N95" s="428"/>
    </row>
    <row r="96" spans="2:44" outlineLevel="1">
      <c r="B96" s="383"/>
      <c r="C96" s="397"/>
      <c r="D96" s="397"/>
      <c r="E96" s="397"/>
      <c r="F96" s="397"/>
      <c r="G96" s="425"/>
      <c r="H96" s="425"/>
      <c r="I96" s="425"/>
      <c r="J96" s="425"/>
      <c r="K96" s="423"/>
      <c r="L96" s="427"/>
      <c r="M96" s="428"/>
      <c r="N96" s="428"/>
    </row>
    <row r="97" spans="1:30" outlineLevel="1">
      <c r="B97" s="383"/>
      <c r="C97" s="397"/>
      <c r="D97" s="397"/>
      <c r="E97" s="397"/>
      <c r="F97" s="397"/>
      <c r="G97" s="425"/>
      <c r="H97" s="425"/>
      <c r="I97" s="425"/>
      <c r="J97" s="425"/>
      <c r="K97" s="423"/>
      <c r="L97" s="427"/>
      <c r="M97" s="428"/>
      <c r="N97" s="428"/>
    </row>
    <row r="98" spans="1:30" outlineLevel="1">
      <c r="B98" s="383"/>
      <c r="C98" s="397"/>
      <c r="D98" s="397"/>
      <c r="E98" s="397"/>
      <c r="F98" s="397"/>
      <c r="G98" s="425"/>
      <c r="H98" s="425"/>
      <c r="I98" s="425"/>
      <c r="J98" s="425"/>
      <c r="K98" s="423"/>
      <c r="L98" s="427"/>
      <c r="M98" s="428"/>
      <c r="N98" s="428"/>
    </row>
    <row r="99" spans="1:30" ht="16" outlineLevel="1" thickBot="1">
      <c r="B99" s="429"/>
      <c r="C99" s="430"/>
      <c r="D99" s="430"/>
      <c r="E99" s="430"/>
      <c r="F99" s="430"/>
      <c r="G99" s="425"/>
      <c r="H99" s="425"/>
      <c r="I99" s="425"/>
      <c r="J99" s="425"/>
      <c r="K99" s="423"/>
      <c r="L99" s="427"/>
      <c r="M99" s="428"/>
      <c r="N99" s="428"/>
    </row>
    <row r="100" spans="1:30" ht="16" outlineLevel="1" thickBot="1">
      <c r="B100" s="431"/>
      <c r="C100" s="432"/>
      <c r="D100" s="403"/>
      <c r="E100" s="403"/>
      <c r="F100" s="433"/>
      <c r="G100" s="434"/>
      <c r="H100" s="406"/>
      <c r="I100" s="406"/>
      <c r="J100" s="406"/>
      <c r="K100" s="407"/>
      <c r="L100" s="408"/>
      <c r="M100" s="428"/>
      <c r="N100" s="428"/>
    </row>
    <row r="101" spans="1:30" outlineLevel="1">
      <c r="A101" s="435"/>
      <c r="B101" s="436"/>
      <c r="C101" s="511"/>
      <c r="D101" s="512"/>
      <c r="E101" s="512"/>
      <c r="F101" s="513"/>
      <c r="G101" s="425"/>
      <c r="H101" s="425"/>
      <c r="I101" s="425"/>
      <c r="J101" s="425"/>
      <c r="K101" s="426"/>
      <c r="L101" s="440"/>
      <c r="M101" s="420"/>
      <c r="N101" s="420"/>
    </row>
    <row r="102" spans="1:30" outlineLevel="1">
      <c r="B102" s="441"/>
      <c r="C102" s="442"/>
      <c r="D102" s="442"/>
      <c r="E102" s="442"/>
      <c r="F102" s="442"/>
      <c r="G102" s="425"/>
      <c r="H102" s="425"/>
      <c r="I102" s="425"/>
      <c r="J102" s="425"/>
      <c r="K102" s="444"/>
      <c r="L102" s="373"/>
      <c r="M102" s="71"/>
      <c r="N102" s="420"/>
    </row>
    <row r="103" spans="1:30" outlineLevel="1">
      <c r="B103" s="441"/>
      <c r="C103" s="442"/>
      <c r="D103" s="442"/>
      <c r="E103" s="442"/>
      <c r="F103" s="442"/>
      <c r="G103" s="425"/>
      <c r="H103" s="425"/>
      <c r="I103" s="425"/>
      <c r="J103" s="425"/>
      <c r="K103" s="444"/>
      <c r="L103" s="373"/>
      <c r="M103" s="420"/>
      <c r="N103" s="420"/>
    </row>
    <row r="104" spans="1:30" outlineLevel="1">
      <c r="B104" s="383"/>
      <c r="C104" s="445"/>
      <c r="D104" s="446"/>
      <c r="E104" s="446"/>
      <c r="F104" s="447"/>
      <c r="G104" s="425"/>
      <c r="H104" s="425"/>
      <c r="I104" s="425"/>
      <c r="J104" s="425"/>
      <c r="K104" s="448"/>
      <c r="L104" s="373"/>
      <c r="M104" s="420"/>
      <c r="N104" s="420"/>
    </row>
    <row r="105" spans="1:30" outlineLevel="1">
      <c r="B105" s="383"/>
      <c r="C105" s="449"/>
      <c r="D105" s="449"/>
      <c r="E105" s="449"/>
      <c r="F105" s="449"/>
      <c r="G105" s="425"/>
      <c r="H105" s="425"/>
      <c r="I105" s="425"/>
      <c r="J105" s="425"/>
      <c r="K105" s="448"/>
      <c r="L105" s="373"/>
      <c r="M105" s="450"/>
      <c r="N105" s="361"/>
      <c r="P105" s="1142"/>
      <c r="Q105" s="1143"/>
      <c r="R105" s="1143"/>
      <c r="S105" s="1143"/>
      <c r="T105" s="1143"/>
      <c r="U105" s="1144"/>
    </row>
    <row r="106" spans="1:30" ht="16" outlineLevel="1" thickBot="1">
      <c r="B106" s="500"/>
      <c r="C106" s="514"/>
      <c r="D106" s="514"/>
      <c r="E106" s="514"/>
      <c r="F106" s="514"/>
      <c r="G106" s="515"/>
      <c r="H106" s="515"/>
      <c r="I106" s="515"/>
      <c r="J106" s="515"/>
      <c r="K106" s="503"/>
      <c r="L106" s="504"/>
      <c r="M106" s="450"/>
      <c r="N106" s="361"/>
      <c r="P106" s="1134"/>
      <c r="Q106" s="1135"/>
      <c r="R106" s="1135"/>
      <c r="S106" s="1135"/>
      <c r="T106" s="1135"/>
      <c r="U106" s="1136"/>
    </row>
    <row r="107" spans="1:30" outlineLevel="1">
      <c r="B107" s="500"/>
      <c r="C107" s="516"/>
      <c r="D107" s="516"/>
      <c r="E107" s="516"/>
      <c r="F107" s="516"/>
      <c r="G107" s="515"/>
      <c r="H107" s="515"/>
      <c r="I107" s="515"/>
      <c r="J107" s="515"/>
      <c r="K107" s="517"/>
      <c r="L107" s="504"/>
      <c r="M107" s="363"/>
      <c r="N107" s="363"/>
      <c r="P107" s="53"/>
    </row>
    <row r="108" spans="1:30" outlineLevel="1">
      <c r="B108" s="441"/>
      <c r="C108" s="518"/>
      <c r="D108" s="518"/>
      <c r="E108" s="518"/>
      <c r="F108" s="518"/>
      <c r="G108" s="425"/>
      <c r="H108" s="425"/>
      <c r="I108" s="425"/>
      <c r="J108" s="425"/>
      <c r="K108" s="444"/>
      <c r="L108" s="424"/>
      <c r="M108" s="367"/>
      <c r="N108" s="367"/>
      <c r="P108" s="46"/>
      <c r="Q108" s="46"/>
      <c r="R108" s="47"/>
      <c r="S108" s="47"/>
      <c r="T108" s="47"/>
      <c r="U108" s="48"/>
      <c r="V108" s="49"/>
      <c r="W108" s="49"/>
      <c r="X108" s="49"/>
      <c r="Y108" s="49"/>
      <c r="Z108" s="49"/>
      <c r="AA108" s="49"/>
      <c r="AB108" s="49"/>
      <c r="AC108" s="49"/>
      <c r="AD108" s="49"/>
    </row>
    <row r="109" spans="1:30" ht="16" outlineLevel="1" thickBot="1">
      <c r="B109" s="519"/>
      <c r="C109" s="442"/>
      <c r="D109" s="520"/>
      <c r="E109" s="520"/>
      <c r="F109" s="521"/>
      <c r="G109" s="425"/>
      <c r="H109" s="425"/>
      <c r="I109" s="425"/>
      <c r="J109" s="425"/>
      <c r="K109" s="448"/>
      <c r="L109" s="424"/>
      <c r="M109" s="363"/>
      <c r="N109" s="363"/>
      <c r="P109" s="50"/>
      <c r="Q109" s="50"/>
      <c r="R109" s="51"/>
      <c r="S109" s="51"/>
      <c r="T109" s="51"/>
      <c r="U109" s="51"/>
      <c r="V109" s="50"/>
      <c r="W109" s="50"/>
      <c r="X109" s="50"/>
      <c r="Y109" s="50"/>
      <c r="Z109" s="50"/>
      <c r="AA109" s="50"/>
      <c r="AB109" s="50"/>
      <c r="AC109" s="50"/>
      <c r="AD109" s="50"/>
    </row>
    <row r="110" spans="1:30" ht="16" outlineLevel="1" thickBot="1">
      <c r="B110" s="401"/>
      <c r="C110" s="402"/>
      <c r="D110" s="403"/>
      <c r="E110" s="404"/>
      <c r="F110" s="405"/>
      <c r="G110" s="406"/>
      <c r="H110" s="406"/>
      <c r="I110" s="406"/>
      <c r="J110" s="406"/>
      <c r="K110" s="459"/>
      <c r="L110" s="460"/>
      <c r="M110" s="363"/>
      <c r="N110" s="363"/>
      <c r="O110" s="461"/>
      <c r="P110" s="56"/>
      <c r="Q110" s="56"/>
      <c r="R110" s="57"/>
      <c r="S110" s="57"/>
      <c r="T110" s="57"/>
      <c r="U110" s="56"/>
      <c r="V110" s="56"/>
      <c r="W110" s="56"/>
      <c r="X110" s="56"/>
      <c r="Y110" s="56"/>
      <c r="Z110" s="56"/>
      <c r="AA110" s="56"/>
      <c r="AB110" s="56"/>
      <c r="AC110" s="56"/>
      <c r="AD110" s="56"/>
    </row>
    <row r="111" spans="1:30" outlineLevel="1">
      <c r="B111" s="522"/>
      <c r="C111" s="523"/>
      <c r="D111" s="523"/>
      <c r="E111" s="523"/>
      <c r="F111" s="523"/>
      <c r="G111" s="524"/>
      <c r="H111" s="524"/>
      <c r="I111" s="524"/>
      <c r="J111" s="524"/>
      <c r="K111" s="524"/>
      <c r="L111" s="525"/>
      <c r="M111" s="363"/>
      <c r="N111" s="363"/>
      <c r="O111" s="465"/>
      <c r="P111" s="466"/>
      <c r="Q111" s="58"/>
      <c r="R111" s="466"/>
      <c r="S111" s="58"/>
      <c r="T111" s="466"/>
      <c r="U111" s="467"/>
      <c r="V111" s="467"/>
      <c r="W111" s="467"/>
      <c r="X111" s="58"/>
      <c r="Y111" s="58"/>
      <c r="Z111" s="466"/>
      <c r="AA111" s="468"/>
      <c r="AB111" s="468"/>
      <c r="AC111" s="468"/>
      <c r="AD111" s="468"/>
    </row>
    <row r="112" spans="1:30" outlineLevel="1">
      <c r="B112" s="500"/>
      <c r="C112" s="526"/>
      <c r="D112" s="527"/>
      <c r="E112" s="527"/>
      <c r="F112" s="528"/>
      <c r="G112" s="528"/>
      <c r="H112" s="528"/>
      <c r="I112" s="528"/>
      <c r="J112" s="528"/>
      <c r="K112" s="529"/>
      <c r="L112" s="525"/>
      <c r="M112" s="363"/>
      <c r="N112" s="363"/>
      <c r="O112" s="465"/>
      <c r="P112" s="466"/>
      <c r="Q112" s="58"/>
      <c r="R112" s="466"/>
      <c r="S112" s="58"/>
      <c r="T112" s="466"/>
      <c r="U112" s="467"/>
      <c r="V112" s="467"/>
      <c r="W112" s="467"/>
      <c r="X112" s="58"/>
      <c r="Y112" s="58"/>
      <c r="Z112" s="466"/>
      <c r="AA112" s="468"/>
      <c r="AB112" s="468"/>
      <c r="AC112" s="468"/>
      <c r="AD112" s="468"/>
    </row>
    <row r="113" spans="2:30" outlineLevel="1">
      <c r="B113" s="500"/>
      <c r="C113" s="526"/>
      <c r="D113" s="527"/>
      <c r="E113" s="527"/>
      <c r="F113" s="528"/>
      <c r="G113" s="515"/>
      <c r="H113" s="515"/>
      <c r="I113" s="515"/>
      <c r="J113" s="515"/>
      <c r="K113" s="515"/>
      <c r="L113" s="504"/>
      <c r="M113" s="363"/>
      <c r="N113" s="363"/>
      <c r="O113" s="465"/>
      <c r="P113" s="466"/>
      <c r="Q113" s="58"/>
      <c r="R113" s="466"/>
      <c r="S113" s="58"/>
      <c r="T113" s="466"/>
      <c r="U113" s="467"/>
      <c r="V113" s="467"/>
      <c r="W113" s="467"/>
      <c r="X113" s="58"/>
      <c r="Y113" s="58"/>
      <c r="Z113" s="466"/>
      <c r="AA113" s="468"/>
      <c r="AB113" s="468"/>
      <c r="AC113" s="468"/>
      <c r="AD113" s="468"/>
    </row>
    <row r="114" spans="2:30" outlineLevel="1">
      <c r="B114" s="500"/>
      <c r="C114" s="530"/>
      <c r="D114" s="530"/>
      <c r="E114" s="530"/>
      <c r="F114" s="530"/>
      <c r="G114" s="531"/>
      <c r="H114" s="531"/>
      <c r="I114" s="531"/>
      <c r="J114" s="531"/>
      <c r="K114" s="531"/>
      <c r="L114" s="504"/>
      <c r="M114" s="363"/>
      <c r="N114" s="363"/>
      <c r="O114" s="465"/>
      <c r="P114" s="466"/>
      <c r="Q114" s="58"/>
      <c r="R114" s="466"/>
      <c r="S114" s="58"/>
      <c r="T114" s="466"/>
      <c r="U114" s="467"/>
      <c r="V114" s="467"/>
      <c r="W114" s="467"/>
      <c r="X114" s="58"/>
      <c r="Y114" s="58"/>
      <c r="Z114" s="466"/>
      <c r="AA114" s="468"/>
      <c r="AB114" s="468"/>
      <c r="AC114" s="468"/>
      <c r="AD114" s="468"/>
    </row>
    <row r="115" spans="2:30" outlineLevel="1">
      <c r="B115" s="532"/>
      <c r="C115" s="526"/>
      <c r="D115" s="527"/>
      <c r="E115" s="527"/>
      <c r="F115" s="528"/>
      <c r="G115" s="531"/>
      <c r="H115" s="531"/>
      <c r="I115" s="531"/>
      <c r="J115" s="531"/>
      <c r="K115" s="531"/>
      <c r="L115" s="533"/>
      <c r="M115" s="367"/>
      <c r="N115" s="367"/>
    </row>
    <row r="116" spans="2:30" outlineLevel="1">
      <c r="B116" s="532"/>
      <c r="C116" s="526"/>
      <c r="D116" s="527"/>
      <c r="E116" s="527"/>
      <c r="F116" s="528"/>
      <c r="G116" s="531"/>
      <c r="H116" s="531"/>
      <c r="I116" s="531"/>
      <c r="J116" s="531"/>
      <c r="K116" s="531"/>
      <c r="L116" s="533"/>
      <c r="M116" s="363"/>
      <c r="N116" s="363"/>
    </row>
    <row r="117" spans="2:30" ht="16" outlineLevel="1" thickBot="1">
      <c r="B117" s="534"/>
      <c r="C117" s="535"/>
      <c r="D117" s="536"/>
      <c r="E117" s="536"/>
      <c r="F117" s="537"/>
      <c r="G117" s="538"/>
      <c r="H117" s="538"/>
      <c r="I117" s="538"/>
      <c r="J117" s="538"/>
      <c r="K117" s="538"/>
      <c r="L117" s="539"/>
      <c r="M117" s="363"/>
      <c r="N117" s="363"/>
    </row>
    <row r="118" spans="2:30" outlineLevel="1">
      <c r="B118" s="461"/>
      <c r="C118" s="483"/>
      <c r="D118" s="483"/>
      <c r="E118" s="483"/>
      <c r="F118" s="483"/>
      <c r="G118" s="483"/>
      <c r="H118" s="484"/>
      <c r="I118" s="420"/>
      <c r="J118" s="420"/>
      <c r="K118" s="484"/>
      <c r="L118" s="484"/>
      <c r="N118" s="420"/>
    </row>
    <row r="119" spans="2:30" outlineLevel="1">
      <c r="B119" s="485"/>
      <c r="C119" s="486"/>
      <c r="D119" s="486"/>
      <c r="E119" s="486"/>
      <c r="F119" s="486"/>
      <c r="G119" s="486"/>
      <c r="H119" s="484"/>
      <c r="I119" s="71"/>
      <c r="J119" s="420"/>
      <c r="K119" s="484"/>
      <c r="L119" s="484"/>
      <c r="N119" s="420"/>
    </row>
    <row r="120" spans="2:30" outlineLevel="1">
      <c r="B120" s="461"/>
      <c r="C120" s="359"/>
      <c r="D120" s="359"/>
      <c r="E120" s="359"/>
      <c r="F120" s="359"/>
      <c r="G120" s="359"/>
      <c r="I120" s="420"/>
      <c r="J120" s="420"/>
      <c r="N120" s="420"/>
    </row>
    <row r="121" spans="2:30" outlineLevel="1">
      <c r="B121" s="461"/>
      <c r="C121" s="487"/>
      <c r="D121" s="487"/>
      <c r="E121" s="487"/>
      <c r="F121" s="487"/>
      <c r="G121" s="359"/>
      <c r="M121" s="420"/>
      <c r="N121" s="420"/>
    </row>
    <row r="122" spans="2:30" outlineLevel="1"/>
    <row r="123" spans="2:30" outlineLevel="1"/>
    <row r="124" spans="2:30" outlineLevel="1"/>
    <row r="125" spans="2:30" outlineLevel="1"/>
    <row r="126" spans="2:30" outlineLevel="1">
      <c r="B126" s="488"/>
      <c r="C126" s="489"/>
      <c r="D126" s="490"/>
      <c r="E126" s="490"/>
      <c r="F126" s="490"/>
    </row>
    <row r="127" spans="2:30" outlineLevel="1">
      <c r="B127" s="491"/>
      <c r="C127" s="492"/>
      <c r="E127" s="490"/>
      <c r="F127" s="490"/>
    </row>
    <row r="128" spans="2:30" outlineLevel="1">
      <c r="B128" s="491"/>
      <c r="C128" s="493"/>
      <c r="E128" s="490"/>
      <c r="F128" s="490"/>
    </row>
    <row r="129" spans="2:6" outlineLevel="1">
      <c r="B129" s="491"/>
      <c r="C129" s="493"/>
      <c r="E129" s="490"/>
      <c r="F129" s="490"/>
    </row>
    <row r="130" spans="2:6" outlineLevel="1">
      <c r="B130" s="491"/>
      <c r="C130" s="493"/>
      <c r="E130" s="490"/>
      <c r="F130" s="490"/>
    </row>
    <row r="131" spans="2:6" outlineLevel="1">
      <c r="B131" s="358"/>
      <c r="C131" s="494"/>
      <c r="D131" s="490"/>
      <c r="E131" s="490"/>
      <c r="F131" s="490"/>
    </row>
    <row r="132" spans="2:6" outlineLevel="1">
      <c r="B132" s="358"/>
      <c r="C132" s="492"/>
      <c r="D132" s="490"/>
      <c r="E132" s="490"/>
      <c r="F132" s="490"/>
    </row>
    <row r="133" spans="2:6" outlineLevel="1">
      <c r="B133" s="358"/>
      <c r="C133" s="495"/>
      <c r="D133" s="490"/>
      <c r="E133" s="490"/>
      <c r="F133" s="490"/>
    </row>
    <row r="134" spans="2:6" outlineLevel="1">
      <c r="B134" s="358"/>
      <c r="C134" s="495"/>
      <c r="D134" s="490"/>
      <c r="E134" s="490"/>
      <c r="F134" s="490"/>
    </row>
    <row r="135" spans="2:6" outlineLevel="1">
      <c r="B135" s="358"/>
      <c r="C135" s="489"/>
      <c r="D135" s="490"/>
      <c r="E135" s="490"/>
      <c r="F135" s="490"/>
    </row>
    <row r="136" spans="2:6" outlineLevel="1">
      <c r="B136" s="358"/>
      <c r="C136" s="490"/>
      <c r="D136" s="490"/>
      <c r="E136" s="490"/>
      <c r="F136" s="490"/>
    </row>
    <row r="137" spans="2:6" outlineLevel="1">
      <c r="B137" s="488"/>
      <c r="C137" s="489"/>
      <c r="D137" s="490"/>
      <c r="E137" s="490"/>
      <c r="F137" s="490"/>
    </row>
    <row r="138" spans="2:6" outlineLevel="1">
      <c r="B138" s="496"/>
      <c r="C138" s="497"/>
      <c r="E138" s="490"/>
      <c r="F138" s="490"/>
    </row>
    <row r="139" spans="2:6" outlineLevel="1">
      <c r="B139" s="496" t="s">
        <v>59</v>
      </c>
      <c r="C139" s="489" t="s">
        <v>785</v>
      </c>
      <c r="E139" s="490"/>
      <c r="F139" s="490"/>
    </row>
    <row r="140" spans="2:6" outlineLevel="1">
      <c r="B140" s="496" t="s">
        <v>16</v>
      </c>
      <c r="C140" s="489" t="s">
        <v>786</v>
      </c>
      <c r="E140" s="490"/>
      <c r="F140" s="490"/>
    </row>
    <row r="141" spans="2:6" outlineLevel="1">
      <c r="B141" s="496" t="s">
        <v>20</v>
      </c>
      <c r="C141" s="489" t="s">
        <v>787</v>
      </c>
      <c r="E141" s="490"/>
      <c r="F141" s="490"/>
    </row>
    <row r="142" spans="2:6" outlineLevel="1">
      <c r="B142" s="496" t="s">
        <v>76</v>
      </c>
      <c r="C142" s="498" t="s">
        <v>788</v>
      </c>
      <c r="E142" s="490"/>
      <c r="F142" s="490"/>
    </row>
    <row r="143" spans="2:6" outlineLevel="1">
      <c r="B143" s="496" t="s">
        <v>25</v>
      </c>
      <c r="C143" s="489" t="s">
        <v>789</v>
      </c>
      <c r="E143" s="490"/>
      <c r="F143" s="490"/>
    </row>
    <row r="144" spans="2:6" outlineLevel="1"/>
    <row r="145" spans="1:44" outlineLevel="1">
      <c r="M145" s="214"/>
    </row>
    <row r="146" spans="1:44" outlineLevel="1"/>
    <row r="149" spans="1:44">
      <c r="A149" s="360"/>
      <c r="B149" s="1207"/>
      <c r="C149" s="1143"/>
      <c r="D149" s="1143"/>
      <c r="E149" s="1143"/>
      <c r="F149" s="1143"/>
      <c r="G149" s="1143"/>
      <c r="H149" s="1143"/>
      <c r="I149" s="1143"/>
      <c r="J149" s="1143"/>
      <c r="K149" s="1143"/>
      <c r="L149" s="1143"/>
      <c r="M149" s="1143"/>
      <c r="N149" s="361"/>
      <c r="P149" s="1143"/>
      <c r="Q149" s="1143"/>
      <c r="R149" s="1143"/>
      <c r="S149" s="1143"/>
      <c r="T149" s="1143"/>
      <c r="U149" s="1143"/>
    </row>
    <row r="150" spans="1:44" ht="16" outlineLevel="1" thickBot="1">
      <c r="B150" s="1207"/>
      <c r="C150" s="1143"/>
      <c r="D150" s="1143"/>
      <c r="E150" s="1143"/>
      <c r="F150" s="1143"/>
      <c r="G150" s="1143"/>
      <c r="H150" s="1143"/>
      <c r="I150" s="1143"/>
      <c r="J150" s="1143"/>
      <c r="K150" s="1143"/>
      <c r="L150" s="1143"/>
      <c r="M150" s="1143"/>
      <c r="N150" s="361"/>
      <c r="P150" s="1143"/>
      <c r="Q150" s="1143"/>
      <c r="R150" s="1143"/>
      <c r="S150" s="1143"/>
      <c r="T150" s="1143"/>
      <c r="U150" s="1143"/>
    </row>
    <row r="151" spans="1:44" ht="20.5" customHeight="1" outlineLevel="1" thickBot="1">
      <c r="B151" s="362"/>
      <c r="C151" s="1186"/>
      <c r="D151" s="1205"/>
      <c r="E151" s="1205"/>
      <c r="F151" s="1205"/>
      <c r="G151" s="1205"/>
      <c r="H151" s="1205"/>
      <c r="I151" s="1205"/>
      <c r="J151" s="1205"/>
      <c r="K151" s="1205"/>
      <c r="L151" s="1206"/>
      <c r="M151" s="363"/>
      <c r="N151" s="363"/>
      <c r="P151" s="364"/>
      <c r="Q151" s="365"/>
      <c r="R151" s="366"/>
      <c r="S151" s="1176"/>
      <c r="T151" s="1160"/>
      <c r="U151" s="1161"/>
      <c r="V151" s="1160"/>
      <c r="W151" s="1161"/>
      <c r="X151" s="1160"/>
      <c r="Y151" s="1161"/>
      <c r="Z151" s="1160"/>
      <c r="AA151" s="1161"/>
      <c r="AB151" s="1160"/>
      <c r="AC151" s="1161"/>
      <c r="AE151" s="364"/>
      <c r="AF151" s="365"/>
      <c r="AG151" s="366"/>
      <c r="AH151" s="1176"/>
      <c r="AI151" s="1160"/>
      <c r="AJ151" s="1161"/>
      <c r="AK151" s="1160"/>
      <c r="AL151" s="1161"/>
      <c r="AM151" s="1160"/>
      <c r="AN151" s="1161"/>
      <c r="AO151" s="1160"/>
      <c r="AP151" s="1161"/>
      <c r="AQ151" s="1160"/>
      <c r="AR151" s="1161"/>
    </row>
    <row r="152" spans="1:44" ht="15" customHeight="1" outlineLevel="1" thickBot="1">
      <c r="B152" s="1164"/>
      <c r="C152" s="1166"/>
      <c r="D152" s="1166"/>
      <c r="E152" s="1166"/>
      <c r="F152" s="1166"/>
      <c r="G152" s="1221"/>
      <c r="H152" s="1222"/>
      <c r="I152" s="1221"/>
      <c r="J152" s="1222"/>
      <c r="K152" s="1189"/>
      <c r="L152" s="1189"/>
      <c r="M152" s="367"/>
      <c r="N152" s="367"/>
      <c r="P152" s="1180"/>
      <c r="Q152" s="368"/>
      <c r="R152" s="368"/>
      <c r="S152" s="1177"/>
      <c r="T152" s="1162"/>
      <c r="U152" s="1163"/>
      <c r="V152" s="1162"/>
      <c r="W152" s="1163"/>
      <c r="X152" s="1162"/>
      <c r="Y152" s="1163"/>
      <c r="Z152" s="1162"/>
      <c r="AA152" s="1163"/>
      <c r="AB152" s="1162"/>
      <c r="AC152" s="1163"/>
      <c r="AE152" s="1180"/>
      <c r="AF152" s="368"/>
      <c r="AG152" s="368"/>
      <c r="AH152" s="1177"/>
      <c r="AI152" s="1162"/>
      <c r="AJ152" s="1163"/>
      <c r="AK152" s="1162"/>
      <c r="AL152" s="1163"/>
      <c r="AM152" s="1162"/>
      <c r="AN152" s="1163"/>
      <c r="AO152" s="1162"/>
      <c r="AP152" s="1163"/>
      <c r="AQ152" s="1162"/>
      <c r="AR152" s="1163"/>
    </row>
    <row r="153" spans="1:44" ht="15" customHeight="1" outlineLevel="1" thickBot="1">
      <c r="B153" s="1165"/>
      <c r="C153" s="1167"/>
      <c r="D153" s="1167"/>
      <c r="E153" s="1167"/>
      <c r="F153" s="1167"/>
      <c r="G153" s="540"/>
      <c r="H153" s="540"/>
      <c r="I153" s="540"/>
      <c r="J153" s="540"/>
      <c r="K153" s="1190"/>
      <c r="L153" s="1190"/>
      <c r="M153" s="370"/>
      <c r="N153" s="370"/>
      <c r="P153" s="1181"/>
      <c r="Q153" s="1183"/>
      <c r="R153" s="1184"/>
      <c r="S153" s="1178"/>
      <c r="T153" s="1162"/>
      <c r="U153" s="1163"/>
      <c r="V153" s="1162"/>
      <c r="W153" s="1163"/>
      <c r="X153" s="1162"/>
      <c r="Y153" s="1163"/>
      <c r="Z153" s="1162"/>
      <c r="AA153" s="1163"/>
      <c r="AB153" s="1162"/>
      <c r="AC153" s="1163"/>
      <c r="AE153" s="1181"/>
      <c r="AF153" s="1197"/>
      <c r="AG153" s="1184"/>
      <c r="AH153" s="1178"/>
      <c r="AI153" s="1162"/>
      <c r="AJ153" s="1163"/>
      <c r="AK153" s="1162"/>
      <c r="AL153" s="1163"/>
      <c r="AM153" s="1162"/>
      <c r="AN153" s="1163"/>
      <c r="AO153" s="1162"/>
      <c r="AP153" s="1163"/>
      <c r="AQ153" s="1162"/>
      <c r="AR153" s="1163"/>
    </row>
    <row r="154" spans="1:44" ht="16" outlineLevel="1" thickBot="1">
      <c r="B154" s="371"/>
      <c r="C154" s="372"/>
      <c r="D154" s="372"/>
      <c r="E154" s="372"/>
      <c r="F154" s="372"/>
      <c r="G154" s="372"/>
      <c r="H154" s="372"/>
      <c r="I154" s="372"/>
      <c r="J154" s="372"/>
      <c r="K154" s="372"/>
      <c r="L154" s="373"/>
      <c r="M154" s="370"/>
      <c r="N154" s="370"/>
      <c r="O154" s="74"/>
      <c r="P154" s="1182"/>
      <c r="Q154" s="1179"/>
      <c r="R154" s="1185"/>
      <c r="S154" s="1179"/>
      <c r="T154" s="374"/>
      <c r="U154" s="375"/>
      <c r="V154" s="374"/>
      <c r="W154" s="375"/>
      <c r="X154" s="374"/>
      <c r="Y154" s="375"/>
      <c r="Z154" s="374"/>
      <c r="AA154" s="375"/>
      <c r="AB154" s="374"/>
      <c r="AC154" s="375"/>
      <c r="AE154" s="1182"/>
      <c r="AF154" s="1198"/>
      <c r="AG154" s="1185"/>
      <c r="AH154" s="1179"/>
      <c r="AI154" s="374"/>
      <c r="AJ154" s="375"/>
      <c r="AK154" s="374"/>
      <c r="AL154" s="375"/>
      <c r="AM154" s="374"/>
      <c r="AN154" s="375"/>
      <c r="AO154" s="374"/>
      <c r="AP154" s="375"/>
      <c r="AQ154" s="374"/>
      <c r="AR154" s="375"/>
    </row>
    <row r="155" spans="1:44" ht="14.5" customHeight="1" outlineLevel="1">
      <c r="B155" s="541"/>
      <c r="C155" s="542"/>
      <c r="D155" s="542"/>
      <c r="E155" s="543"/>
      <c r="F155" s="542"/>
      <c r="G155" s="542"/>
      <c r="H155" s="542"/>
      <c r="I155" s="542"/>
      <c r="J155" s="542"/>
      <c r="K155" s="372"/>
      <c r="L155" s="373"/>
      <c r="M155" s="370"/>
      <c r="N155" s="370"/>
      <c r="P155" s="1148"/>
      <c r="Q155" s="1154"/>
      <c r="R155" s="381"/>
      <c r="S155" s="382"/>
      <c r="T155" s="1137"/>
      <c r="U155" s="1151"/>
      <c r="V155" s="1137"/>
      <c r="W155" s="1151"/>
      <c r="X155" s="1137"/>
      <c r="Y155" s="1151"/>
      <c r="Z155" s="1137"/>
      <c r="AA155" s="1151"/>
      <c r="AB155" s="1137"/>
      <c r="AC155" s="1151"/>
      <c r="AE155" s="1148"/>
      <c r="AF155" s="1154"/>
      <c r="AG155" s="381"/>
      <c r="AH155" s="382"/>
      <c r="AI155" s="1137"/>
      <c r="AJ155" s="1151"/>
      <c r="AK155" s="1137"/>
      <c r="AL155" s="1151"/>
      <c r="AM155" s="1137"/>
      <c r="AN155" s="1151"/>
      <c r="AO155" s="1137"/>
      <c r="AP155" s="1151"/>
      <c r="AQ155" s="1137"/>
      <c r="AR155" s="1151"/>
    </row>
    <row r="156" spans="1:44" outlineLevel="1">
      <c r="B156" s="383"/>
      <c r="C156" s="384"/>
      <c r="D156" s="384"/>
      <c r="E156" s="384"/>
      <c r="F156" s="384"/>
      <c r="G156" s="505"/>
      <c r="H156" s="505"/>
      <c r="I156" s="505"/>
      <c r="J156" s="505"/>
      <c r="K156" s="372"/>
      <c r="L156" s="373"/>
      <c r="M156" s="370"/>
      <c r="N156" s="370"/>
      <c r="O156" s="71"/>
      <c r="P156" s="1195"/>
      <c r="Q156" s="1155"/>
      <c r="R156" s="388"/>
      <c r="S156" s="389"/>
      <c r="T156" s="1140"/>
      <c r="U156" s="1152"/>
      <c r="V156" s="1140"/>
      <c r="W156" s="1152"/>
      <c r="X156" s="1140"/>
      <c r="Y156" s="1152"/>
      <c r="Z156" s="1140"/>
      <c r="AA156" s="1152"/>
      <c r="AB156" s="1140"/>
      <c r="AC156" s="1152"/>
      <c r="AE156" s="1195"/>
      <c r="AF156" s="1155"/>
      <c r="AG156" s="388"/>
      <c r="AH156" s="389"/>
      <c r="AI156" s="1140"/>
      <c r="AJ156" s="1152"/>
      <c r="AK156" s="1140"/>
      <c r="AL156" s="1152"/>
      <c r="AM156" s="1140"/>
      <c r="AN156" s="1152"/>
      <c r="AO156" s="1140"/>
      <c r="AP156" s="1152"/>
      <c r="AQ156" s="1140"/>
      <c r="AR156" s="1152"/>
    </row>
    <row r="157" spans="1:44" ht="16" outlineLevel="1" thickBot="1">
      <c r="B157" s="541"/>
      <c r="C157" s="544"/>
      <c r="D157" s="545"/>
      <c r="E157" s="545"/>
      <c r="F157" s="546"/>
      <c r="G157" s="545"/>
      <c r="H157" s="545"/>
      <c r="I157" s="545"/>
      <c r="J157" s="545"/>
      <c r="K157" s="547"/>
      <c r="L157" s="548"/>
      <c r="M157" s="370"/>
      <c r="N157" s="370"/>
      <c r="O157" s="71"/>
      <c r="P157" s="1195"/>
      <c r="Q157" s="1156"/>
      <c r="R157" s="393"/>
      <c r="S157" s="394"/>
      <c r="T157" s="1141"/>
      <c r="U157" s="1153"/>
      <c r="V157" s="1141"/>
      <c r="W157" s="1153"/>
      <c r="X157" s="1141"/>
      <c r="Y157" s="1153"/>
      <c r="Z157" s="1141"/>
      <c r="AA157" s="1153"/>
      <c r="AB157" s="1141"/>
      <c r="AC157" s="1153"/>
      <c r="AE157" s="1195"/>
      <c r="AF157" s="1156"/>
      <c r="AG157" s="393"/>
      <c r="AH157" s="394"/>
      <c r="AI157" s="1141"/>
      <c r="AJ157" s="1153"/>
      <c r="AK157" s="1141"/>
      <c r="AL157" s="1153"/>
      <c r="AM157" s="1141"/>
      <c r="AN157" s="1153"/>
      <c r="AO157" s="1141"/>
      <c r="AP157" s="1153"/>
      <c r="AQ157" s="1141"/>
      <c r="AR157" s="1153"/>
    </row>
    <row r="158" spans="1:44" ht="14.5" customHeight="1" outlineLevel="1">
      <c r="B158" s="541"/>
      <c r="C158" s="544"/>
      <c r="D158" s="544"/>
      <c r="E158" s="544"/>
      <c r="F158" s="544"/>
      <c r="G158" s="544"/>
      <c r="H158" s="544"/>
      <c r="I158" s="544"/>
      <c r="J158" s="544"/>
      <c r="K158" s="547"/>
      <c r="L158" s="548"/>
      <c r="M158" s="370"/>
      <c r="N158" s="370"/>
      <c r="O158" s="71"/>
      <c r="P158" s="1195"/>
      <c r="Q158" s="1154"/>
      <c r="R158" s="395"/>
      <c r="S158" s="396"/>
      <c r="T158" s="1137"/>
      <c r="U158" s="1137"/>
      <c r="V158" s="1137"/>
      <c r="W158" s="1137"/>
      <c r="X158" s="1137"/>
      <c r="Y158" s="1137"/>
      <c r="Z158" s="1137"/>
      <c r="AA158" s="1137"/>
      <c r="AB158" s="1137"/>
      <c r="AC158" s="1137"/>
      <c r="AE158" s="1195"/>
      <c r="AF158" s="1154"/>
      <c r="AG158" s="395"/>
      <c r="AH158" s="396"/>
      <c r="AI158" s="1137"/>
      <c r="AJ158" s="1137"/>
      <c r="AK158" s="1137"/>
      <c r="AL158" s="1137"/>
      <c r="AM158" s="1137"/>
      <c r="AN158" s="1137"/>
      <c r="AO158" s="1137"/>
      <c r="AP158" s="1137"/>
      <c r="AQ158" s="1137"/>
      <c r="AR158" s="1137"/>
    </row>
    <row r="159" spans="1:44" outlineLevel="1">
      <c r="B159" s="541"/>
      <c r="C159" s="544"/>
      <c r="D159" s="544"/>
      <c r="E159" s="544"/>
      <c r="F159" s="544"/>
      <c r="G159" s="544"/>
      <c r="H159" s="544"/>
      <c r="I159" s="544"/>
      <c r="J159" s="544"/>
      <c r="K159" s="547"/>
      <c r="L159" s="548"/>
      <c r="M159" s="367"/>
      <c r="N159" s="367"/>
      <c r="O159" s="71"/>
      <c r="P159" s="1195"/>
      <c r="Q159" s="1155"/>
      <c r="R159" s="395"/>
      <c r="S159" s="396"/>
      <c r="T159" s="1138"/>
      <c r="U159" s="1138"/>
      <c r="V159" s="1138"/>
      <c r="W159" s="1138"/>
      <c r="X159" s="1138"/>
      <c r="Y159" s="1138"/>
      <c r="Z159" s="1138"/>
      <c r="AA159" s="1138"/>
      <c r="AB159" s="1138"/>
      <c r="AC159" s="1138"/>
      <c r="AE159" s="1195"/>
      <c r="AF159" s="1155"/>
      <c r="AG159" s="395"/>
      <c r="AH159" s="396"/>
      <c r="AI159" s="1138"/>
      <c r="AJ159" s="1138"/>
      <c r="AK159" s="1138"/>
      <c r="AL159" s="1138"/>
      <c r="AM159" s="1138"/>
      <c r="AN159" s="1138"/>
      <c r="AO159" s="1138"/>
      <c r="AP159" s="1138"/>
      <c r="AQ159" s="1138"/>
      <c r="AR159" s="1138"/>
    </row>
    <row r="160" spans="1:44" outlineLevel="1">
      <c r="B160" s="383"/>
      <c r="C160" s="397"/>
      <c r="D160" s="397"/>
      <c r="E160" s="397"/>
      <c r="F160" s="399"/>
      <c r="G160" s="399"/>
      <c r="H160" s="399"/>
      <c r="I160" s="399"/>
      <c r="J160" s="399"/>
      <c r="K160" s="372"/>
      <c r="L160" s="373"/>
      <c r="M160" s="363"/>
      <c r="N160" s="363"/>
      <c r="P160" s="1195"/>
      <c r="Q160" s="1155"/>
      <c r="R160" s="395"/>
      <c r="S160" s="396"/>
      <c r="T160" s="1138"/>
      <c r="U160" s="1138"/>
      <c r="V160" s="1138"/>
      <c r="W160" s="1138"/>
      <c r="X160" s="1138"/>
      <c r="Y160" s="1138"/>
      <c r="Z160" s="1138"/>
      <c r="AA160" s="1138"/>
      <c r="AB160" s="1138"/>
      <c r="AC160" s="1138"/>
      <c r="AE160" s="1195"/>
      <c r="AF160" s="1155"/>
      <c r="AG160" s="395"/>
      <c r="AH160" s="396"/>
      <c r="AI160" s="1138"/>
      <c r="AJ160" s="1138"/>
      <c r="AK160" s="1138"/>
      <c r="AL160" s="1138"/>
      <c r="AM160" s="1138"/>
      <c r="AN160" s="1138"/>
      <c r="AO160" s="1138"/>
      <c r="AP160" s="1138"/>
      <c r="AQ160" s="1138"/>
      <c r="AR160" s="1138"/>
    </row>
    <row r="161" spans="1:44" ht="16" outlineLevel="1" thickBot="1">
      <c r="B161" s="541"/>
      <c r="C161" s="544"/>
      <c r="D161" s="544"/>
      <c r="E161" s="544"/>
      <c r="F161" s="544"/>
      <c r="G161" s="544"/>
      <c r="H161" s="544"/>
      <c r="I161" s="544"/>
      <c r="J161" s="544"/>
      <c r="K161" s="372"/>
      <c r="L161" s="400"/>
      <c r="M161" s="363"/>
      <c r="N161" s="363"/>
      <c r="P161" s="1195"/>
      <c r="Q161" s="1155"/>
      <c r="R161" s="395"/>
      <c r="S161" s="396"/>
      <c r="T161" s="1138"/>
      <c r="U161" s="1138"/>
      <c r="V161" s="1138"/>
      <c r="W161" s="1138"/>
      <c r="X161" s="1138"/>
      <c r="Y161" s="1138"/>
      <c r="Z161" s="1138"/>
      <c r="AA161" s="1138"/>
      <c r="AB161" s="1138"/>
      <c r="AC161" s="1138"/>
      <c r="AE161" s="1195"/>
      <c r="AF161" s="1155"/>
      <c r="AG161" s="395"/>
      <c r="AH161" s="396"/>
      <c r="AI161" s="1138"/>
      <c r="AJ161" s="1138"/>
      <c r="AK161" s="1138"/>
      <c r="AL161" s="1138"/>
      <c r="AM161" s="1138"/>
      <c r="AN161" s="1138"/>
      <c r="AO161" s="1138"/>
      <c r="AP161" s="1138"/>
      <c r="AQ161" s="1138"/>
      <c r="AR161" s="1138"/>
    </row>
    <row r="162" spans="1:44" ht="16" outlineLevel="1" thickBot="1">
      <c r="B162" s="401"/>
      <c r="C162" s="402"/>
      <c r="D162" s="403"/>
      <c r="E162" s="404"/>
      <c r="F162" s="405"/>
      <c r="G162" s="406"/>
      <c r="H162" s="406"/>
      <c r="I162" s="406"/>
      <c r="J162" s="406"/>
      <c r="K162" s="407"/>
      <c r="L162" s="408"/>
      <c r="M162" s="363"/>
      <c r="N162" s="363"/>
      <c r="P162" s="1195"/>
      <c r="Q162" s="1155"/>
      <c r="R162" s="409"/>
      <c r="S162" s="410"/>
      <c r="T162" s="1139"/>
      <c r="U162" s="1139"/>
      <c r="V162" s="1139"/>
      <c r="W162" s="1139"/>
      <c r="X162" s="1139"/>
      <c r="Y162" s="1139"/>
      <c r="Z162" s="1139"/>
      <c r="AA162" s="1139"/>
      <c r="AB162" s="1139"/>
      <c r="AC162" s="1139"/>
      <c r="AE162" s="1195"/>
      <c r="AF162" s="1155"/>
      <c r="AG162" s="409"/>
      <c r="AH162" s="410"/>
      <c r="AI162" s="1139"/>
      <c r="AJ162" s="1139"/>
      <c r="AK162" s="1139"/>
      <c r="AL162" s="1139"/>
      <c r="AM162" s="1139"/>
      <c r="AN162" s="1139"/>
      <c r="AO162" s="1139"/>
      <c r="AP162" s="1139"/>
      <c r="AQ162" s="1139"/>
      <c r="AR162" s="1139"/>
    </row>
    <row r="163" spans="1:44" ht="16" outlineLevel="1" thickBot="1">
      <c r="B163" s="541"/>
      <c r="C163" s="544"/>
      <c r="D163" s="544"/>
      <c r="E163" s="544"/>
      <c r="F163" s="544"/>
      <c r="G163" s="545"/>
      <c r="H163" s="545"/>
      <c r="I163" s="545"/>
      <c r="J163" s="545"/>
      <c r="K163" s="547"/>
      <c r="L163" s="548"/>
      <c r="M163" s="363"/>
      <c r="N163" s="363"/>
      <c r="P163" s="1196"/>
      <c r="Q163" s="411"/>
      <c r="R163" s="412"/>
      <c r="S163" s="413"/>
      <c r="T163" s="414"/>
      <c r="U163" s="415"/>
      <c r="V163" s="416"/>
      <c r="W163" s="415"/>
      <c r="X163" s="416"/>
      <c r="Y163" s="415"/>
      <c r="Z163" s="416"/>
      <c r="AA163" s="415"/>
      <c r="AB163" s="416"/>
      <c r="AC163" s="417"/>
      <c r="AE163" s="1196"/>
      <c r="AF163" s="411"/>
      <c r="AG163" s="412"/>
      <c r="AH163" s="413"/>
      <c r="AI163" s="414"/>
      <c r="AJ163" s="415"/>
      <c r="AK163" s="416"/>
      <c r="AL163" s="415"/>
      <c r="AM163" s="416"/>
      <c r="AN163" s="415"/>
      <c r="AO163" s="416"/>
      <c r="AP163" s="415"/>
      <c r="AQ163" s="416"/>
      <c r="AR163" s="417"/>
    </row>
    <row r="164" spans="1:44" outlineLevel="1">
      <c r="B164" s="541"/>
      <c r="C164" s="544"/>
      <c r="D164" s="544"/>
      <c r="E164" s="544"/>
      <c r="F164" s="544"/>
      <c r="G164" s="549"/>
      <c r="H164" s="549"/>
      <c r="I164" s="549"/>
      <c r="J164" s="549"/>
      <c r="K164" s="550"/>
      <c r="L164" s="548"/>
      <c r="M164" s="363"/>
      <c r="N164" s="363"/>
    </row>
    <row r="165" spans="1:44" outlineLevel="1">
      <c r="B165" s="541"/>
      <c r="C165" s="544"/>
      <c r="D165" s="544"/>
      <c r="E165" s="544"/>
      <c r="F165" s="544"/>
      <c r="G165" s="549"/>
      <c r="H165" s="549"/>
      <c r="I165" s="549"/>
      <c r="J165" s="549"/>
      <c r="K165" s="550"/>
      <c r="L165" s="548"/>
      <c r="M165" s="420"/>
      <c r="N165" s="363"/>
    </row>
    <row r="166" spans="1:44" outlineLevel="1">
      <c r="B166" s="421"/>
      <c r="C166" s="399"/>
      <c r="D166" s="399"/>
      <c r="E166" s="399"/>
      <c r="F166" s="399"/>
      <c r="G166" s="422"/>
      <c r="H166" s="422"/>
      <c r="I166" s="422"/>
      <c r="J166" s="422"/>
      <c r="K166" s="423"/>
      <c r="L166" s="424"/>
      <c r="M166" s="420"/>
      <c r="N166" s="420"/>
    </row>
    <row r="167" spans="1:44" outlineLevel="1">
      <c r="B167" s="383"/>
      <c r="C167" s="397"/>
      <c r="D167" s="397"/>
      <c r="E167" s="397"/>
      <c r="F167" s="397"/>
      <c r="G167" s="422"/>
      <c r="H167" s="425"/>
      <c r="I167" s="425"/>
      <c r="J167" s="425"/>
      <c r="K167" s="426"/>
      <c r="L167" s="427"/>
      <c r="M167" s="428"/>
      <c r="N167" s="428"/>
    </row>
    <row r="168" spans="1:44" outlineLevel="1">
      <c r="B168" s="383"/>
      <c r="C168" s="397"/>
      <c r="D168" s="397"/>
      <c r="E168" s="397"/>
      <c r="F168" s="397"/>
      <c r="G168" s="425"/>
      <c r="H168" s="425"/>
      <c r="I168" s="425"/>
      <c r="J168" s="425"/>
      <c r="K168" s="423"/>
      <c r="L168" s="427"/>
      <c r="M168" s="428"/>
      <c r="N168" s="428"/>
    </row>
    <row r="169" spans="1:44" outlineLevel="1">
      <c r="B169" s="383"/>
      <c r="C169" s="397"/>
      <c r="D169" s="397"/>
      <c r="E169" s="397"/>
      <c r="F169" s="397"/>
      <c r="G169" s="425"/>
      <c r="H169" s="425"/>
      <c r="I169" s="425"/>
      <c r="J169" s="425"/>
      <c r="K169" s="423"/>
      <c r="L169" s="427"/>
      <c r="M169" s="428"/>
      <c r="N169" s="428"/>
    </row>
    <row r="170" spans="1:44" outlineLevel="1">
      <c r="B170" s="383"/>
      <c r="C170" s="397"/>
      <c r="D170" s="397"/>
      <c r="E170" s="397"/>
      <c r="F170" s="397"/>
      <c r="G170" s="425"/>
      <c r="H170" s="425"/>
      <c r="I170" s="425"/>
      <c r="J170" s="425"/>
      <c r="K170" s="423"/>
      <c r="L170" s="427"/>
      <c r="M170" s="428"/>
      <c r="N170" s="428"/>
    </row>
    <row r="171" spans="1:44" ht="16" outlineLevel="1" thickBot="1">
      <c r="B171" s="429"/>
      <c r="C171" s="430"/>
      <c r="D171" s="430"/>
      <c r="E171" s="430"/>
      <c r="F171" s="430"/>
      <c r="G171" s="425"/>
      <c r="H171" s="425"/>
      <c r="I171" s="425"/>
      <c r="J171" s="425"/>
      <c r="K171" s="423"/>
      <c r="L171" s="427"/>
      <c r="M171" s="428"/>
      <c r="N171" s="428"/>
    </row>
    <row r="172" spans="1:44" ht="16" outlineLevel="1" thickBot="1">
      <c r="B172" s="431"/>
      <c r="C172" s="432"/>
      <c r="D172" s="403"/>
      <c r="E172" s="403"/>
      <c r="F172" s="433"/>
      <c r="G172" s="434"/>
      <c r="H172" s="406"/>
      <c r="I172" s="406"/>
      <c r="J172" s="406"/>
      <c r="K172" s="407"/>
      <c r="L172" s="408"/>
      <c r="M172" s="428"/>
      <c r="N172" s="428"/>
    </row>
    <row r="173" spans="1:44" outlineLevel="1">
      <c r="A173" s="435"/>
      <c r="B173" s="436"/>
      <c r="C173" s="551"/>
      <c r="D173" s="438"/>
      <c r="E173" s="438"/>
      <c r="F173" s="439"/>
      <c r="G173" s="425"/>
      <c r="H173" s="425"/>
      <c r="I173" s="425"/>
      <c r="J173" s="425"/>
      <c r="K173" s="426"/>
      <c r="L173" s="440"/>
      <c r="M173" s="420"/>
      <c r="N173" s="420"/>
    </row>
    <row r="174" spans="1:44" outlineLevel="1">
      <c r="B174" s="441"/>
      <c r="C174" s="442"/>
      <c r="D174" s="443"/>
      <c r="E174" s="443"/>
      <c r="F174" s="443"/>
      <c r="G174" s="425"/>
      <c r="H174" s="425"/>
      <c r="I174" s="425"/>
      <c r="J174" s="425"/>
      <c r="K174" s="444"/>
      <c r="L174" s="373"/>
      <c r="M174" s="71"/>
      <c r="N174" s="420"/>
    </row>
    <row r="175" spans="1:44" outlineLevel="1">
      <c r="B175" s="441"/>
      <c r="C175" s="442"/>
      <c r="D175" s="442"/>
      <c r="E175" s="442"/>
      <c r="F175" s="442"/>
      <c r="G175" s="425"/>
      <c r="H175" s="425"/>
      <c r="I175" s="425"/>
      <c r="J175" s="425"/>
      <c r="K175" s="444"/>
      <c r="L175" s="373"/>
      <c r="M175" s="420"/>
      <c r="N175" s="420"/>
    </row>
    <row r="176" spans="1:44" outlineLevel="1">
      <c r="B176" s="383"/>
      <c r="C176" s="445"/>
      <c r="D176" s="446"/>
      <c r="E176" s="446"/>
      <c r="F176" s="447"/>
      <c r="G176" s="425"/>
      <c r="H176" s="425"/>
      <c r="I176" s="425"/>
      <c r="J176" s="425"/>
      <c r="K176" s="448"/>
      <c r="L176" s="373"/>
      <c r="M176" s="420"/>
      <c r="N176" s="420"/>
    </row>
    <row r="177" spans="2:30" outlineLevel="1">
      <c r="B177" s="383"/>
      <c r="C177" s="449"/>
      <c r="D177" s="449"/>
      <c r="E177" s="449"/>
      <c r="F177" s="449"/>
      <c r="G177" s="425"/>
      <c r="H177" s="425"/>
      <c r="I177" s="425"/>
      <c r="J177" s="425"/>
      <c r="K177" s="448"/>
      <c r="L177" s="373"/>
      <c r="M177" s="450"/>
      <c r="N177" s="361"/>
      <c r="P177" s="1142"/>
      <c r="Q177" s="1143"/>
      <c r="R177" s="1143"/>
      <c r="S177" s="1143"/>
      <c r="T177" s="1143"/>
      <c r="U177" s="1144"/>
    </row>
    <row r="178" spans="2:30" ht="16" outlineLevel="1" thickBot="1">
      <c r="B178" s="541"/>
      <c r="C178" s="552"/>
      <c r="D178" s="552"/>
      <c r="E178" s="552"/>
      <c r="F178" s="552"/>
      <c r="G178" s="553"/>
      <c r="H178" s="553"/>
      <c r="I178" s="553"/>
      <c r="J178" s="553"/>
      <c r="K178" s="547"/>
      <c r="L178" s="548"/>
      <c r="M178" s="450"/>
      <c r="N178" s="361"/>
      <c r="P178" s="1134"/>
      <c r="Q178" s="1135"/>
      <c r="R178" s="1135"/>
      <c r="S178" s="1135"/>
      <c r="T178" s="1135"/>
      <c r="U178" s="1136"/>
    </row>
    <row r="179" spans="2:30" outlineLevel="1">
      <c r="B179" s="541"/>
      <c r="C179" s="554"/>
      <c r="D179" s="554"/>
      <c r="E179" s="554"/>
      <c r="F179" s="554"/>
      <c r="G179" s="553"/>
      <c r="H179" s="553"/>
      <c r="I179" s="553"/>
      <c r="J179" s="553"/>
      <c r="K179" s="555"/>
      <c r="L179" s="548"/>
      <c r="M179" s="363"/>
      <c r="N179" s="363"/>
      <c r="P179" s="53"/>
    </row>
    <row r="180" spans="2:30" outlineLevel="1">
      <c r="B180" s="441"/>
      <c r="C180" s="456"/>
      <c r="D180" s="456"/>
      <c r="E180" s="456"/>
      <c r="F180" s="456"/>
      <c r="G180" s="425"/>
      <c r="H180" s="425"/>
      <c r="I180" s="425"/>
      <c r="J180" s="425"/>
      <c r="K180" s="444"/>
      <c r="L180" s="424"/>
      <c r="M180" s="367"/>
      <c r="N180" s="367"/>
      <c r="P180" s="46"/>
      <c r="Q180" s="46"/>
      <c r="R180" s="47"/>
      <c r="S180" s="47"/>
      <c r="T180" s="47"/>
      <c r="U180" s="48"/>
      <c r="V180" s="49"/>
      <c r="W180" s="49"/>
      <c r="X180" s="49"/>
      <c r="Y180" s="49"/>
      <c r="Z180" s="49"/>
      <c r="AA180" s="49"/>
      <c r="AB180" s="49"/>
      <c r="AC180" s="49"/>
      <c r="AD180" s="49"/>
    </row>
    <row r="181" spans="2:30" ht="16" outlineLevel="1" thickBot="1">
      <c r="B181" s="441"/>
      <c r="C181" s="442"/>
      <c r="D181" s="457"/>
      <c r="E181" s="457"/>
      <c r="F181" s="458"/>
      <c r="G181" s="425"/>
      <c r="H181" s="425"/>
      <c r="I181" s="425"/>
      <c r="J181" s="425"/>
      <c r="K181" s="448"/>
      <c r="L181" s="424"/>
      <c r="M181" s="363"/>
      <c r="N181" s="363"/>
      <c r="P181" s="50"/>
      <c r="Q181" s="50"/>
      <c r="R181" s="51"/>
      <c r="S181" s="51"/>
      <c r="T181" s="51"/>
      <c r="U181" s="51"/>
      <c r="V181" s="50"/>
      <c r="W181" s="50"/>
      <c r="X181" s="50"/>
      <c r="Y181" s="50"/>
      <c r="Z181" s="50"/>
      <c r="AA181" s="50"/>
      <c r="AB181" s="50"/>
      <c r="AC181" s="50"/>
      <c r="AD181" s="50"/>
    </row>
    <row r="182" spans="2:30" ht="16" outlineLevel="1" thickBot="1">
      <c r="B182" s="401"/>
      <c r="C182" s="402"/>
      <c r="D182" s="403"/>
      <c r="E182" s="404"/>
      <c r="F182" s="405"/>
      <c r="G182" s="406"/>
      <c r="H182" s="406"/>
      <c r="I182" s="406"/>
      <c r="J182" s="406"/>
      <c r="K182" s="459"/>
      <c r="L182" s="460"/>
      <c r="M182" s="363"/>
      <c r="N182" s="363"/>
      <c r="O182" s="461"/>
      <c r="P182" s="56"/>
      <c r="Q182" s="56"/>
      <c r="R182" s="57"/>
      <c r="S182" s="57"/>
      <c r="T182" s="57"/>
      <c r="U182" s="56"/>
      <c r="V182" s="56"/>
      <c r="W182" s="56"/>
      <c r="X182" s="56"/>
      <c r="Y182" s="56"/>
      <c r="Z182" s="56"/>
      <c r="AA182" s="56"/>
      <c r="AB182" s="56"/>
      <c r="AC182" s="56"/>
      <c r="AD182" s="56"/>
    </row>
    <row r="183" spans="2:30" outlineLevel="1">
      <c r="B183" s="556"/>
      <c r="C183" s="557"/>
      <c r="D183" s="557"/>
      <c r="E183" s="557"/>
      <c r="F183" s="557"/>
      <c r="G183" s="558"/>
      <c r="H183" s="558"/>
      <c r="I183" s="558"/>
      <c r="J183" s="558"/>
      <c r="K183" s="558"/>
      <c r="L183" s="559"/>
      <c r="M183" s="363"/>
      <c r="N183" s="363"/>
      <c r="O183" s="465"/>
      <c r="P183" s="466"/>
      <c r="Q183" s="58"/>
      <c r="R183" s="466"/>
      <c r="S183" s="58"/>
      <c r="T183" s="466"/>
      <c r="U183" s="467"/>
      <c r="V183" s="467"/>
      <c r="W183" s="467"/>
      <c r="X183" s="58"/>
      <c r="Y183" s="58"/>
      <c r="Z183" s="466"/>
      <c r="AA183" s="468"/>
      <c r="AB183" s="468"/>
      <c r="AC183" s="468"/>
      <c r="AD183" s="468"/>
    </row>
    <row r="184" spans="2:30" outlineLevel="1">
      <c r="B184" s="541"/>
      <c r="C184" s="560"/>
      <c r="D184" s="561"/>
      <c r="E184" s="561"/>
      <c r="F184" s="562"/>
      <c r="G184" s="562"/>
      <c r="H184" s="562"/>
      <c r="I184" s="562"/>
      <c r="J184" s="562"/>
      <c r="K184" s="563"/>
      <c r="L184" s="559"/>
      <c r="M184" s="363"/>
      <c r="N184" s="363"/>
      <c r="O184" s="465"/>
      <c r="P184" s="466"/>
      <c r="Q184" s="58"/>
      <c r="R184" s="466"/>
      <c r="S184" s="58"/>
      <c r="T184" s="466"/>
      <c r="U184" s="467"/>
      <c r="V184" s="467"/>
      <c r="W184" s="467"/>
      <c r="X184" s="58"/>
      <c r="Y184" s="58"/>
      <c r="Z184" s="466"/>
      <c r="AA184" s="468"/>
      <c r="AB184" s="468"/>
      <c r="AC184" s="468"/>
      <c r="AD184" s="468"/>
    </row>
    <row r="185" spans="2:30" outlineLevel="1">
      <c r="B185" s="541"/>
      <c r="C185" s="560"/>
      <c r="D185" s="561"/>
      <c r="E185" s="561"/>
      <c r="F185" s="562"/>
      <c r="G185" s="562"/>
      <c r="H185" s="562"/>
      <c r="I185" s="562"/>
      <c r="J185" s="562"/>
      <c r="K185" s="563"/>
      <c r="L185" s="559"/>
      <c r="M185" s="363"/>
      <c r="N185" s="363"/>
      <c r="O185" s="465"/>
      <c r="P185" s="466"/>
      <c r="Q185" s="58"/>
      <c r="R185" s="466"/>
      <c r="S185" s="58"/>
      <c r="T185" s="466"/>
      <c r="U185" s="467"/>
      <c r="V185" s="467"/>
      <c r="W185" s="467"/>
      <c r="X185" s="58"/>
      <c r="Y185" s="58"/>
      <c r="Z185" s="466"/>
      <c r="AA185" s="468"/>
      <c r="AB185" s="468"/>
      <c r="AC185" s="468"/>
      <c r="AD185" s="468"/>
    </row>
    <row r="186" spans="2:30" outlineLevel="1">
      <c r="B186" s="541"/>
      <c r="C186" s="564"/>
      <c r="D186" s="564"/>
      <c r="E186" s="564"/>
      <c r="F186" s="564"/>
      <c r="G186" s="565"/>
      <c r="H186" s="565"/>
      <c r="I186" s="565"/>
      <c r="J186" s="565"/>
      <c r="K186" s="565"/>
      <c r="L186" s="548"/>
      <c r="M186" s="363"/>
      <c r="N186" s="363"/>
      <c r="O186" s="465"/>
      <c r="P186" s="466"/>
      <c r="Q186" s="58"/>
      <c r="R186" s="466"/>
      <c r="S186" s="58"/>
      <c r="T186" s="466"/>
      <c r="U186" s="467"/>
      <c r="V186" s="467"/>
      <c r="W186" s="467"/>
      <c r="X186" s="58"/>
      <c r="Y186" s="58"/>
      <c r="Z186" s="466"/>
      <c r="AA186" s="468"/>
      <c r="AB186" s="468"/>
      <c r="AC186" s="468"/>
      <c r="AD186" s="468"/>
    </row>
    <row r="187" spans="2:30" outlineLevel="1">
      <c r="B187" s="566"/>
      <c r="C187" s="560"/>
      <c r="D187" s="561"/>
      <c r="E187" s="561"/>
      <c r="F187" s="562"/>
      <c r="G187" s="562"/>
      <c r="H187" s="562"/>
      <c r="I187" s="562"/>
      <c r="J187" s="562"/>
      <c r="K187" s="563"/>
      <c r="L187" s="559"/>
      <c r="M187" s="367"/>
      <c r="N187" s="367"/>
    </row>
    <row r="188" spans="2:30" outlineLevel="1">
      <c r="B188" s="566"/>
      <c r="C188" s="560"/>
      <c r="D188" s="561"/>
      <c r="E188" s="561"/>
      <c r="F188" s="562"/>
      <c r="G188" s="562"/>
      <c r="H188" s="562"/>
      <c r="I188" s="562"/>
      <c r="J188" s="562"/>
      <c r="K188" s="563"/>
      <c r="L188" s="559"/>
      <c r="M188" s="363"/>
      <c r="N188" s="363"/>
    </row>
    <row r="189" spans="2:30" ht="16" outlineLevel="1" thickBot="1">
      <c r="B189" s="567"/>
      <c r="C189" s="568"/>
      <c r="D189" s="568"/>
      <c r="E189" s="568"/>
      <c r="F189" s="568"/>
      <c r="G189" s="568"/>
      <c r="H189" s="568"/>
      <c r="I189" s="568"/>
      <c r="J189" s="568"/>
      <c r="K189" s="568"/>
      <c r="L189" s="569"/>
      <c r="M189" s="363"/>
      <c r="N189" s="363"/>
    </row>
    <row r="190" spans="2:30" outlineLevel="1">
      <c r="B190" s="461"/>
      <c r="C190" s="483"/>
      <c r="D190" s="483"/>
      <c r="E190" s="483"/>
      <c r="F190" s="483"/>
      <c r="G190" s="483"/>
      <c r="H190" s="484"/>
      <c r="I190" s="420"/>
      <c r="J190" s="420"/>
      <c r="K190" s="484"/>
      <c r="L190" s="484"/>
      <c r="N190" s="420"/>
    </row>
    <row r="191" spans="2:30" outlineLevel="1">
      <c r="B191" s="485"/>
      <c r="C191" s="486"/>
      <c r="D191" s="486"/>
      <c r="E191" s="486"/>
      <c r="F191" s="486"/>
      <c r="G191" s="486"/>
      <c r="H191" s="484"/>
      <c r="I191" s="71"/>
      <c r="J191" s="420"/>
      <c r="K191" s="484"/>
      <c r="L191" s="484"/>
      <c r="N191" s="420"/>
    </row>
    <row r="192" spans="2:30" outlineLevel="1">
      <c r="B192" s="461"/>
      <c r="C192" s="359"/>
      <c r="D192" s="359"/>
      <c r="E192" s="359"/>
      <c r="F192" s="359"/>
      <c r="G192" s="359"/>
      <c r="I192" s="420"/>
      <c r="J192" s="420"/>
      <c r="N192" s="420"/>
    </row>
    <row r="193" spans="1:16" outlineLevel="1">
      <c r="B193" s="461"/>
      <c r="C193" s="487"/>
      <c r="D193" s="487"/>
      <c r="E193" s="487"/>
      <c r="F193" s="487"/>
      <c r="G193" s="359"/>
      <c r="M193" s="420"/>
      <c r="N193" s="420"/>
    </row>
    <row r="194" spans="1:16" outlineLevel="1"/>
    <row r="195" spans="1:16" outlineLevel="1">
      <c r="A195" s="488"/>
      <c r="B195" s="489"/>
      <c r="D195" s="490"/>
      <c r="E195" s="490"/>
      <c r="F195" s="490"/>
      <c r="G195" s="358"/>
      <c r="H195" s="358"/>
      <c r="I195" s="358"/>
      <c r="J195" s="358"/>
      <c r="K195" s="358"/>
      <c r="L195" s="358"/>
      <c r="N195" s="570"/>
      <c r="O195" s="489"/>
      <c r="P195" s="490"/>
    </row>
    <row r="196" spans="1:16" outlineLevel="1">
      <c r="A196" s="491"/>
      <c r="B196" s="492"/>
      <c r="D196" s="490"/>
      <c r="E196" s="490"/>
      <c r="F196" s="490"/>
      <c r="G196" s="358"/>
      <c r="H196" s="358"/>
      <c r="I196" s="358"/>
      <c r="J196" s="358"/>
      <c r="K196" s="358"/>
      <c r="L196" s="358"/>
      <c r="N196" s="570"/>
      <c r="O196" s="489"/>
      <c r="P196" s="490"/>
    </row>
    <row r="197" spans="1:16" outlineLevel="1">
      <c r="A197" s="491"/>
      <c r="B197" s="493"/>
      <c r="D197" s="490"/>
      <c r="E197" s="490"/>
      <c r="F197" s="490"/>
      <c r="G197" s="358"/>
      <c r="H197" s="358"/>
      <c r="I197" s="358"/>
      <c r="J197" s="358"/>
      <c r="K197" s="358"/>
      <c r="L197" s="358"/>
      <c r="N197" s="570"/>
      <c r="O197" s="489"/>
      <c r="P197" s="490"/>
    </row>
    <row r="198" spans="1:16" outlineLevel="1">
      <c r="A198" s="491"/>
      <c r="B198" s="493"/>
      <c r="D198" s="490"/>
      <c r="E198" s="490"/>
      <c r="F198" s="490"/>
      <c r="G198" s="358"/>
      <c r="H198" s="358"/>
      <c r="I198" s="358"/>
      <c r="J198" s="358"/>
      <c r="K198" s="358"/>
      <c r="L198" s="358"/>
      <c r="N198" s="570"/>
      <c r="O198" s="489"/>
      <c r="P198" s="490"/>
    </row>
    <row r="199" spans="1:16" outlineLevel="1">
      <c r="A199" s="491"/>
      <c r="B199" s="493"/>
      <c r="D199" s="490"/>
      <c r="E199" s="490"/>
      <c r="F199" s="490"/>
      <c r="G199" s="358"/>
      <c r="H199" s="358"/>
      <c r="I199" s="358"/>
      <c r="J199" s="358"/>
      <c r="K199" s="358"/>
      <c r="L199" s="358"/>
      <c r="N199" s="570"/>
      <c r="O199" s="489"/>
      <c r="P199" s="490"/>
    </row>
    <row r="200" spans="1:16" outlineLevel="1">
      <c r="A200" s="358"/>
      <c r="B200" s="494"/>
      <c r="D200" s="490"/>
      <c r="E200" s="490"/>
      <c r="F200" s="490"/>
      <c r="G200" s="358"/>
      <c r="H200" s="358"/>
      <c r="I200" s="358"/>
      <c r="J200" s="358"/>
      <c r="K200" s="358"/>
      <c r="L200" s="358"/>
    </row>
    <row r="201" spans="1:16" outlineLevel="1">
      <c r="A201" s="358"/>
      <c r="B201" s="492"/>
      <c r="D201" s="490"/>
      <c r="E201" s="490"/>
      <c r="F201" s="490"/>
      <c r="G201" s="358"/>
      <c r="H201" s="358"/>
      <c r="I201" s="358"/>
      <c r="J201" s="358"/>
      <c r="K201" s="358"/>
      <c r="L201" s="358"/>
    </row>
    <row r="202" spans="1:16" outlineLevel="1">
      <c r="A202" s="358"/>
      <c r="B202" s="495"/>
      <c r="D202" s="490"/>
      <c r="E202" s="490"/>
      <c r="F202" s="490"/>
      <c r="G202" s="358"/>
      <c r="H202" s="358"/>
      <c r="I202" s="358"/>
      <c r="J202" s="358"/>
      <c r="K202" s="358"/>
      <c r="L202" s="358"/>
    </row>
    <row r="203" spans="1:16" outlineLevel="1">
      <c r="A203" s="358"/>
      <c r="B203" s="495"/>
      <c r="D203" s="490"/>
      <c r="E203" s="490"/>
      <c r="F203" s="490"/>
      <c r="G203" s="358"/>
      <c r="H203" s="358"/>
      <c r="I203" s="358"/>
      <c r="J203" s="358"/>
      <c r="K203" s="358"/>
      <c r="L203" s="358"/>
    </row>
    <row r="204" spans="1:16" outlineLevel="1">
      <c r="A204" s="358"/>
      <c r="B204" s="489"/>
      <c r="D204" s="490"/>
      <c r="E204" s="490"/>
      <c r="F204" s="490"/>
      <c r="G204" s="358"/>
      <c r="H204" s="358"/>
      <c r="I204" s="358"/>
      <c r="J204" s="358"/>
      <c r="K204" s="358"/>
      <c r="L204" s="358"/>
    </row>
    <row r="205" spans="1:16" outlineLevel="1">
      <c r="A205" s="358"/>
      <c r="B205" s="490"/>
      <c r="D205" s="490"/>
      <c r="E205" s="490"/>
      <c r="F205" s="490"/>
      <c r="G205" s="358"/>
      <c r="H205" s="358"/>
      <c r="I205" s="358"/>
      <c r="J205" s="358"/>
      <c r="K205" s="358"/>
      <c r="L205" s="358"/>
    </row>
    <row r="206" spans="1:16" outlineLevel="1">
      <c r="A206" s="488"/>
      <c r="B206" s="489"/>
      <c r="D206" s="490"/>
      <c r="E206" s="490"/>
      <c r="F206" s="490"/>
      <c r="G206" s="358"/>
      <c r="H206" s="358"/>
      <c r="I206" s="358"/>
      <c r="J206" s="358"/>
      <c r="K206" s="358"/>
      <c r="L206" s="358"/>
    </row>
    <row r="207" spans="1:16" outlineLevel="1">
      <c r="A207" s="496"/>
      <c r="B207" s="497"/>
      <c r="C207" s="490"/>
      <c r="D207" s="490"/>
      <c r="E207" s="490"/>
      <c r="F207" s="490"/>
      <c r="G207" s="358"/>
      <c r="H207" s="358"/>
      <c r="I207" s="358"/>
      <c r="J207" s="358"/>
      <c r="K207" s="358"/>
      <c r="L207" s="358"/>
      <c r="N207" s="570"/>
      <c r="O207" s="489"/>
      <c r="P207" s="490"/>
    </row>
    <row r="208" spans="1:16" outlineLevel="1">
      <c r="A208" s="496"/>
      <c r="B208" s="489"/>
      <c r="C208" s="490"/>
      <c r="D208" s="490"/>
      <c r="E208" s="490"/>
      <c r="F208" s="490"/>
      <c r="G208" s="358"/>
      <c r="H208" s="358"/>
      <c r="I208" s="358"/>
      <c r="J208" s="358"/>
      <c r="K208" s="358"/>
      <c r="L208" s="358"/>
      <c r="N208" s="571"/>
      <c r="O208" s="489"/>
      <c r="P208" s="490"/>
    </row>
    <row r="209" spans="1:44" outlineLevel="1">
      <c r="A209" s="496"/>
      <c r="B209" s="489"/>
      <c r="C209" s="490"/>
      <c r="D209" s="490"/>
      <c r="E209" s="490"/>
      <c r="F209" s="490"/>
      <c r="G209" s="358"/>
      <c r="H209" s="358"/>
      <c r="I209" s="358"/>
      <c r="J209" s="358"/>
      <c r="K209" s="358"/>
      <c r="L209" s="358"/>
      <c r="N209" s="572"/>
      <c r="O209" s="489"/>
      <c r="P209" s="490"/>
    </row>
    <row r="210" spans="1:44" outlineLevel="1">
      <c r="A210" s="496"/>
      <c r="B210" s="489"/>
      <c r="C210" s="490"/>
      <c r="D210" s="490"/>
      <c r="E210" s="490"/>
      <c r="F210" s="490"/>
      <c r="G210" s="358"/>
      <c r="H210" s="358"/>
      <c r="I210" s="358"/>
      <c r="J210" s="358"/>
      <c r="K210" s="358"/>
      <c r="L210" s="358"/>
      <c r="N210" s="573"/>
      <c r="O210" s="489"/>
      <c r="P210" s="490"/>
    </row>
    <row r="211" spans="1:44" outlineLevel="1">
      <c r="A211" s="496"/>
      <c r="B211" s="498"/>
      <c r="C211" s="490"/>
      <c r="D211" s="490"/>
      <c r="E211" s="490"/>
      <c r="F211" s="490"/>
      <c r="G211" s="358"/>
      <c r="H211" s="358"/>
      <c r="I211" s="358"/>
      <c r="J211" s="358"/>
      <c r="K211" s="358"/>
      <c r="L211" s="358"/>
      <c r="N211" s="573"/>
      <c r="O211" s="490"/>
      <c r="P211" s="490"/>
    </row>
    <row r="212" spans="1:44" outlineLevel="1">
      <c r="A212" s="496"/>
      <c r="B212" s="489"/>
      <c r="C212" s="490"/>
      <c r="D212" s="490"/>
      <c r="E212" s="490"/>
      <c r="F212" s="490"/>
      <c r="G212" s="358"/>
      <c r="H212" s="358"/>
      <c r="I212" s="358"/>
      <c r="J212" s="358"/>
      <c r="K212" s="358"/>
      <c r="L212" s="358"/>
      <c r="N212" s="489"/>
      <c r="O212" s="490"/>
      <c r="P212" s="490"/>
    </row>
    <row r="213" spans="1:44" outlineLevel="1">
      <c r="A213" s="496"/>
      <c r="B213" s="489"/>
      <c r="C213" s="490"/>
      <c r="D213" s="490"/>
      <c r="E213" s="490"/>
      <c r="F213" s="490"/>
      <c r="G213" s="358"/>
      <c r="H213" s="358"/>
      <c r="I213" s="358"/>
      <c r="J213" s="358"/>
      <c r="K213" s="358"/>
      <c r="L213" s="358"/>
      <c r="N213" s="490"/>
      <c r="O213" s="490"/>
      <c r="P213" s="490"/>
    </row>
    <row r="214" spans="1:44" outlineLevel="1"/>
    <row r="215" spans="1:44" outlineLevel="1"/>
    <row r="217" spans="1:44" ht="16" thickBot="1">
      <c r="A217" s="360"/>
    </row>
    <row r="218" spans="1:44" ht="20.5" customHeight="1" outlineLevel="1" thickBot="1">
      <c r="B218" s="362"/>
      <c r="C218" s="1186"/>
      <c r="D218" s="1205"/>
      <c r="E218" s="1205"/>
      <c r="F218" s="1205"/>
      <c r="G218" s="1205"/>
      <c r="H218" s="1205"/>
      <c r="I218" s="1205"/>
      <c r="J218" s="1205"/>
      <c r="K218" s="1205"/>
      <c r="L218" s="1206"/>
      <c r="M218" s="363"/>
      <c r="N218" s="363"/>
      <c r="P218" s="364"/>
      <c r="Q218" s="365"/>
      <c r="R218" s="366"/>
      <c r="S218" s="1176"/>
      <c r="T218" s="1160"/>
      <c r="U218" s="1161"/>
      <c r="V218" s="1160"/>
      <c r="W218" s="1161"/>
      <c r="X218" s="1160"/>
      <c r="Y218" s="1161"/>
      <c r="Z218" s="1160"/>
      <c r="AA218" s="1161"/>
      <c r="AB218" s="1160"/>
      <c r="AC218" s="1161"/>
      <c r="AE218" s="364"/>
      <c r="AF218" s="365"/>
      <c r="AG218" s="366"/>
      <c r="AH218" s="1176"/>
      <c r="AI218" s="1160"/>
      <c r="AJ218" s="1161"/>
      <c r="AK218" s="1160"/>
      <c r="AL218" s="1161"/>
      <c r="AM218" s="1160"/>
      <c r="AN218" s="1161"/>
      <c r="AO218" s="1160"/>
      <c r="AP218" s="1161"/>
      <c r="AQ218" s="1160"/>
      <c r="AR218" s="1161"/>
    </row>
    <row r="219" spans="1:44" ht="15" customHeight="1" outlineLevel="1" thickBot="1">
      <c r="B219" s="1164"/>
      <c r="C219" s="1166"/>
      <c r="D219" s="1166"/>
      <c r="E219" s="1166"/>
      <c r="F219" s="1166"/>
      <c r="G219" s="1168"/>
      <c r="H219" s="1169"/>
      <c r="I219" s="1168"/>
      <c r="J219" s="1169"/>
      <c r="K219" s="1189"/>
      <c r="L219" s="1189"/>
      <c r="M219" s="367"/>
      <c r="N219" s="367"/>
      <c r="P219" s="1180"/>
      <c r="Q219" s="368"/>
      <c r="R219" s="368"/>
      <c r="S219" s="1177"/>
      <c r="T219" s="1162"/>
      <c r="U219" s="1163"/>
      <c r="V219" s="1162"/>
      <c r="W219" s="1163"/>
      <c r="X219" s="1162"/>
      <c r="Y219" s="1163"/>
      <c r="Z219" s="1162"/>
      <c r="AA219" s="1163"/>
      <c r="AB219" s="1162"/>
      <c r="AC219" s="1163"/>
      <c r="AE219" s="1180"/>
      <c r="AF219" s="368"/>
      <c r="AG219" s="368"/>
      <c r="AH219" s="1177"/>
      <c r="AI219" s="1162"/>
      <c r="AJ219" s="1163"/>
      <c r="AK219" s="1162"/>
      <c r="AL219" s="1163"/>
      <c r="AM219" s="1162"/>
      <c r="AN219" s="1163"/>
      <c r="AO219" s="1162"/>
      <c r="AP219" s="1163"/>
      <c r="AQ219" s="1162"/>
      <c r="AR219" s="1163"/>
    </row>
    <row r="220" spans="1:44" ht="15" customHeight="1" outlineLevel="1" thickBot="1">
      <c r="B220" s="1165"/>
      <c r="C220" s="1167"/>
      <c r="D220" s="1167"/>
      <c r="E220" s="1167"/>
      <c r="F220" s="1167"/>
      <c r="G220" s="406"/>
      <c r="H220" s="406"/>
      <c r="I220" s="406"/>
      <c r="J220" s="406"/>
      <c r="K220" s="1190"/>
      <c r="L220" s="1190"/>
      <c r="M220" s="370"/>
      <c r="N220" s="370"/>
      <c r="P220" s="1181"/>
      <c r="Q220" s="1183"/>
      <c r="R220" s="1184"/>
      <c r="S220" s="1178"/>
      <c r="T220" s="1162"/>
      <c r="U220" s="1163"/>
      <c r="V220" s="1162"/>
      <c r="W220" s="1163"/>
      <c r="X220" s="1162"/>
      <c r="Y220" s="1163"/>
      <c r="Z220" s="1162"/>
      <c r="AA220" s="1163"/>
      <c r="AB220" s="1162"/>
      <c r="AC220" s="1163"/>
      <c r="AE220" s="1181"/>
      <c r="AF220" s="1197"/>
      <c r="AG220" s="1184"/>
      <c r="AH220" s="1178"/>
      <c r="AI220" s="1162"/>
      <c r="AJ220" s="1163"/>
      <c r="AK220" s="1162"/>
      <c r="AL220" s="1163"/>
      <c r="AM220" s="1162"/>
      <c r="AN220" s="1163"/>
      <c r="AO220" s="1162"/>
      <c r="AP220" s="1163"/>
      <c r="AQ220" s="1162"/>
      <c r="AR220" s="1163"/>
    </row>
    <row r="221" spans="1:44" ht="16" outlineLevel="1" thickBot="1">
      <c r="B221" s="371"/>
      <c r="C221" s="372"/>
      <c r="D221" s="372"/>
      <c r="E221" s="372"/>
      <c r="F221" s="372"/>
      <c r="G221" s="372"/>
      <c r="H221" s="372"/>
      <c r="I221" s="372"/>
      <c r="J221" s="372"/>
      <c r="K221" s="372"/>
      <c r="L221" s="373"/>
      <c r="M221" s="370"/>
      <c r="N221" s="370"/>
      <c r="O221" s="74"/>
      <c r="P221" s="1182"/>
      <c r="Q221" s="1179"/>
      <c r="R221" s="1185"/>
      <c r="S221" s="1179"/>
      <c r="T221" s="374"/>
      <c r="U221" s="375"/>
      <c r="V221" s="374"/>
      <c r="W221" s="375"/>
      <c r="X221" s="374"/>
      <c r="Y221" s="375"/>
      <c r="Z221" s="374"/>
      <c r="AA221" s="375"/>
      <c r="AB221" s="374"/>
      <c r="AC221" s="375"/>
      <c r="AE221" s="1182"/>
      <c r="AF221" s="1198"/>
      <c r="AG221" s="1185"/>
      <c r="AH221" s="1179"/>
      <c r="AI221" s="374"/>
      <c r="AJ221" s="375"/>
      <c r="AK221" s="374"/>
      <c r="AL221" s="375"/>
      <c r="AM221" s="374"/>
      <c r="AN221" s="375"/>
      <c r="AO221" s="374"/>
      <c r="AP221" s="375"/>
      <c r="AQ221" s="374"/>
      <c r="AR221" s="375"/>
    </row>
    <row r="222" spans="1:44" ht="14.5" customHeight="1" outlineLevel="1">
      <c r="B222" s="541"/>
      <c r="C222" s="542"/>
      <c r="D222" s="542"/>
      <c r="E222" s="543"/>
      <c r="F222" s="542"/>
      <c r="G222" s="542"/>
      <c r="H222" s="542"/>
      <c r="I222" s="542"/>
      <c r="J222" s="542"/>
      <c r="K222" s="547"/>
      <c r="L222" s="548"/>
      <c r="M222" s="370"/>
      <c r="N222" s="370"/>
      <c r="P222" s="1148"/>
      <c r="Q222" s="1154"/>
      <c r="R222" s="381"/>
      <c r="S222" s="382"/>
      <c r="T222" s="1137"/>
      <c r="U222" s="1151"/>
      <c r="V222" s="1137"/>
      <c r="W222" s="1151"/>
      <c r="X222" s="1137"/>
      <c r="Y222" s="1151"/>
      <c r="Z222" s="1137"/>
      <c r="AA222" s="1151"/>
      <c r="AB222" s="1137"/>
      <c r="AC222" s="1151"/>
      <c r="AE222" s="1148"/>
      <c r="AF222" s="1154"/>
      <c r="AG222" s="381"/>
      <c r="AH222" s="382"/>
      <c r="AI222" s="1137"/>
      <c r="AJ222" s="1151"/>
      <c r="AK222" s="1137"/>
      <c r="AL222" s="1151"/>
      <c r="AM222" s="1137"/>
      <c r="AN222" s="1151"/>
      <c r="AO222" s="1137"/>
      <c r="AP222" s="1151"/>
      <c r="AQ222" s="1137"/>
      <c r="AR222" s="1151"/>
    </row>
    <row r="223" spans="1:44" outlineLevel="1">
      <c r="B223" s="383"/>
      <c r="C223" s="384"/>
      <c r="D223" s="384"/>
      <c r="E223" s="384"/>
      <c r="F223" s="384"/>
      <c r="G223" s="505"/>
      <c r="H223" s="505"/>
      <c r="I223" s="505"/>
      <c r="J223" s="505"/>
      <c r="K223" s="372"/>
      <c r="L223" s="373"/>
      <c r="M223" s="370"/>
      <c r="N223" s="370"/>
      <c r="O223" s="71"/>
      <c r="P223" s="1195"/>
      <c r="Q223" s="1155"/>
      <c r="R223" s="388"/>
      <c r="S223" s="389"/>
      <c r="T223" s="1140"/>
      <c r="U223" s="1152"/>
      <c r="V223" s="1140"/>
      <c r="W223" s="1152"/>
      <c r="X223" s="1140"/>
      <c r="Y223" s="1152"/>
      <c r="Z223" s="1140"/>
      <c r="AA223" s="1152"/>
      <c r="AB223" s="1140"/>
      <c r="AC223" s="1152"/>
      <c r="AE223" s="1195"/>
      <c r="AF223" s="1155"/>
      <c r="AG223" s="388"/>
      <c r="AH223" s="389"/>
      <c r="AI223" s="1140"/>
      <c r="AJ223" s="1152"/>
      <c r="AK223" s="1140"/>
      <c r="AL223" s="1152"/>
      <c r="AM223" s="1140"/>
      <c r="AN223" s="1152"/>
      <c r="AO223" s="1140"/>
      <c r="AP223" s="1152"/>
      <c r="AQ223" s="1140"/>
      <c r="AR223" s="1152"/>
    </row>
    <row r="224" spans="1:44" ht="16" outlineLevel="1" thickBot="1">
      <c r="B224" s="541"/>
      <c r="C224" s="544"/>
      <c r="D224" s="545"/>
      <c r="E224" s="545"/>
      <c r="F224" s="546"/>
      <c r="G224" s="545"/>
      <c r="H224" s="545"/>
      <c r="I224" s="545"/>
      <c r="J224" s="545"/>
      <c r="K224" s="547"/>
      <c r="L224" s="548"/>
      <c r="M224" s="370"/>
      <c r="N224" s="370"/>
      <c r="O224" s="71"/>
      <c r="P224" s="1195"/>
      <c r="Q224" s="1156"/>
      <c r="R224" s="393"/>
      <c r="S224" s="394"/>
      <c r="T224" s="1141"/>
      <c r="U224" s="1153"/>
      <c r="V224" s="1141"/>
      <c r="W224" s="1153"/>
      <c r="X224" s="1141"/>
      <c r="Y224" s="1153"/>
      <c r="Z224" s="1141"/>
      <c r="AA224" s="1153"/>
      <c r="AB224" s="1141"/>
      <c r="AC224" s="1153"/>
      <c r="AE224" s="1195"/>
      <c r="AF224" s="1156"/>
      <c r="AG224" s="393"/>
      <c r="AH224" s="394"/>
      <c r="AI224" s="1141"/>
      <c r="AJ224" s="1153"/>
      <c r="AK224" s="1141"/>
      <c r="AL224" s="1153"/>
      <c r="AM224" s="1141"/>
      <c r="AN224" s="1153"/>
      <c r="AO224" s="1141"/>
      <c r="AP224" s="1153"/>
      <c r="AQ224" s="1141"/>
      <c r="AR224" s="1153"/>
    </row>
    <row r="225" spans="1:44" ht="14.5" customHeight="1" outlineLevel="1">
      <c r="B225" s="541"/>
      <c r="C225" s="544"/>
      <c r="D225" s="544"/>
      <c r="E225" s="544"/>
      <c r="F225" s="544"/>
      <c r="G225" s="544"/>
      <c r="H225" s="544"/>
      <c r="I225" s="544"/>
      <c r="J225" s="544"/>
      <c r="K225" s="547"/>
      <c r="L225" s="548"/>
      <c r="M225" s="370"/>
      <c r="N225" s="370"/>
      <c r="O225" s="71"/>
      <c r="P225" s="1195"/>
      <c r="Q225" s="1154"/>
      <c r="R225" s="395"/>
      <c r="S225" s="396"/>
      <c r="T225" s="1137"/>
      <c r="U225" s="1137"/>
      <c r="V225" s="1137"/>
      <c r="W225" s="1137"/>
      <c r="X225" s="1137"/>
      <c r="Y225" s="1137"/>
      <c r="Z225" s="1137"/>
      <c r="AA225" s="1137"/>
      <c r="AB225" s="1137"/>
      <c r="AC225" s="1137"/>
      <c r="AE225" s="1195"/>
      <c r="AF225" s="1154"/>
      <c r="AG225" s="395"/>
      <c r="AH225" s="396"/>
      <c r="AI225" s="1137"/>
      <c r="AJ225" s="1137"/>
      <c r="AK225" s="1137"/>
      <c r="AL225" s="1137"/>
      <c r="AM225" s="1137"/>
      <c r="AN225" s="1137"/>
      <c r="AO225" s="1137"/>
      <c r="AP225" s="1137"/>
      <c r="AQ225" s="1137"/>
      <c r="AR225" s="1137"/>
    </row>
    <row r="226" spans="1:44" outlineLevel="1">
      <c r="B226" s="541"/>
      <c r="C226" s="544"/>
      <c r="D226" s="544"/>
      <c r="E226" s="544"/>
      <c r="F226" s="544"/>
      <c r="G226" s="544"/>
      <c r="H226" s="544"/>
      <c r="I226" s="544"/>
      <c r="J226" s="544"/>
      <c r="K226" s="547"/>
      <c r="L226" s="548"/>
      <c r="M226" s="367"/>
      <c r="N226" s="367"/>
      <c r="O226" s="71"/>
      <c r="P226" s="1195"/>
      <c r="Q226" s="1155"/>
      <c r="R226" s="395"/>
      <c r="S226" s="396"/>
      <c r="T226" s="1138"/>
      <c r="U226" s="1138"/>
      <c r="V226" s="1138"/>
      <c r="W226" s="1138"/>
      <c r="X226" s="1138"/>
      <c r="Y226" s="1138"/>
      <c r="Z226" s="1138"/>
      <c r="AA226" s="1138"/>
      <c r="AB226" s="1138"/>
      <c r="AC226" s="1138"/>
      <c r="AE226" s="1195"/>
      <c r="AF226" s="1155"/>
      <c r="AG226" s="395"/>
      <c r="AH226" s="396"/>
      <c r="AI226" s="1138"/>
      <c r="AJ226" s="1138"/>
      <c r="AK226" s="1138"/>
      <c r="AL226" s="1138"/>
      <c r="AM226" s="1138"/>
      <c r="AN226" s="1138"/>
      <c r="AO226" s="1138"/>
      <c r="AP226" s="1138"/>
      <c r="AQ226" s="1138"/>
      <c r="AR226" s="1138"/>
    </row>
    <row r="227" spans="1:44" outlineLevel="1">
      <c r="B227" s="383"/>
      <c r="C227" s="397"/>
      <c r="D227" s="397"/>
      <c r="E227" s="397"/>
      <c r="F227" s="397"/>
      <c r="G227" s="399"/>
      <c r="H227" s="399"/>
      <c r="I227" s="399"/>
      <c r="J227" s="399"/>
      <c r="K227" s="372"/>
      <c r="L227" s="373"/>
      <c r="M227" s="363"/>
      <c r="N227" s="363"/>
      <c r="P227" s="1195"/>
      <c r="Q227" s="1155"/>
      <c r="R227" s="395"/>
      <c r="S227" s="396"/>
      <c r="T227" s="1138"/>
      <c r="U227" s="1138"/>
      <c r="V227" s="1138"/>
      <c r="W227" s="1138"/>
      <c r="X227" s="1138"/>
      <c r="Y227" s="1138"/>
      <c r="Z227" s="1138"/>
      <c r="AA227" s="1138"/>
      <c r="AB227" s="1138"/>
      <c r="AC227" s="1138"/>
      <c r="AE227" s="1195"/>
      <c r="AF227" s="1155"/>
      <c r="AG227" s="395"/>
      <c r="AH227" s="396"/>
      <c r="AI227" s="1138"/>
      <c r="AJ227" s="1138"/>
      <c r="AK227" s="1138"/>
      <c r="AL227" s="1138"/>
      <c r="AM227" s="1138"/>
      <c r="AN227" s="1138"/>
      <c r="AO227" s="1138"/>
      <c r="AP227" s="1138"/>
      <c r="AQ227" s="1138"/>
      <c r="AR227" s="1138"/>
    </row>
    <row r="228" spans="1:44" ht="16" outlineLevel="1" thickBot="1">
      <c r="B228" s="541"/>
      <c r="C228" s="544"/>
      <c r="D228" s="544"/>
      <c r="E228" s="544"/>
      <c r="F228" s="544"/>
      <c r="G228" s="544"/>
      <c r="H228" s="544"/>
      <c r="I228" s="544"/>
      <c r="J228" s="544"/>
      <c r="K228" s="547"/>
      <c r="L228" s="559"/>
      <c r="M228" s="363"/>
      <c r="N228" s="363"/>
      <c r="P228" s="1195"/>
      <c r="Q228" s="1155"/>
      <c r="R228" s="395"/>
      <c r="S228" s="396"/>
      <c r="T228" s="1138"/>
      <c r="U228" s="1138"/>
      <c r="V228" s="1138"/>
      <c r="W228" s="1138"/>
      <c r="X228" s="1138"/>
      <c r="Y228" s="1138"/>
      <c r="Z228" s="1138"/>
      <c r="AA228" s="1138"/>
      <c r="AB228" s="1138"/>
      <c r="AC228" s="1138"/>
      <c r="AE228" s="1195"/>
      <c r="AF228" s="1155"/>
      <c r="AG228" s="395"/>
      <c r="AH228" s="396"/>
      <c r="AI228" s="1138"/>
      <c r="AJ228" s="1138"/>
      <c r="AK228" s="1138"/>
      <c r="AL228" s="1138"/>
      <c r="AM228" s="1138"/>
      <c r="AN228" s="1138"/>
      <c r="AO228" s="1138"/>
      <c r="AP228" s="1138"/>
      <c r="AQ228" s="1138"/>
      <c r="AR228" s="1138"/>
    </row>
    <row r="229" spans="1:44" ht="16" outlineLevel="1" thickBot="1">
      <c r="B229" s="401"/>
      <c r="C229" s="402"/>
      <c r="D229" s="403"/>
      <c r="E229" s="404"/>
      <c r="F229" s="405"/>
      <c r="G229" s="406"/>
      <c r="H229" s="406"/>
      <c r="I229" s="406"/>
      <c r="J229" s="406"/>
      <c r="K229" s="407"/>
      <c r="L229" s="408"/>
      <c r="M229" s="363"/>
      <c r="N229" s="363"/>
      <c r="P229" s="1195"/>
      <c r="Q229" s="1155"/>
      <c r="R229" s="409"/>
      <c r="S229" s="410"/>
      <c r="T229" s="1139"/>
      <c r="U229" s="1139"/>
      <c r="V229" s="1139"/>
      <c r="W229" s="1139"/>
      <c r="X229" s="1139"/>
      <c r="Y229" s="1139"/>
      <c r="Z229" s="1139"/>
      <c r="AA229" s="1139"/>
      <c r="AB229" s="1139"/>
      <c r="AC229" s="1139"/>
      <c r="AE229" s="1195"/>
      <c r="AF229" s="1155"/>
      <c r="AG229" s="409"/>
      <c r="AH229" s="410"/>
      <c r="AI229" s="1139"/>
      <c r="AJ229" s="1139"/>
      <c r="AK229" s="1139"/>
      <c r="AL229" s="1139"/>
      <c r="AM229" s="1139"/>
      <c r="AN229" s="1139"/>
      <c r="AO229" s="1139"/>
      <c r="AP229" s="1139"/>
      <c r="AQ229" s="1139"/>
      <c r="AR229" s="1139"/>
    </row>
    <row r="230" spans="1:44" ht="16" outlineLevel="1" thickBot="1">
      <c r="B230" s="541"/>
      <c r="C230" s="544"/>
      <c r="D230" s="544"/>
      <c r="E230" s="544"/>
      <c r="F230" s="544"/>
      <c r="G230" s="545"/>
      <c r="H230" s="545"/>
      <c r="I230" s="545"/>
      <c r="J230" s="545"/>
      <c r="K230" s="547"/>
      <c r="L230" s="548"/>
      <c r="M230" s="363"/>
      <c r="N230" s="363"/>
      <c r="P230" s="1196"/>
      <c r="Q230" s="411"/>
      <c r="R230" s="412"/>
      <c r="S230" s="413"/>
      <c r="T230" s="414"/>
      <c r="U230" s="415"/>
      <c r="V230" s="414"/>
      <c r="W230" s="415"/>
      <c r="X230" s="414"/>
      <c r="Y230" s="415"/>
      <c r="Z230" s="414"/>
      <c r="AA230" s="415"/>
      <c r="AB230" s="414"/>
      <c r="AC230" s="417"/>
      <c r="AE230" s="1196"/>
      <c r="AF230" s="411"/>
      <c r="AG230" s="412"/>
      <c r="AH230" s="413"/>
      <c r="AI230" s="414"/>
      <c r="AJ230" s="415"/>
      <c r="AK230" s="414"/>
      <c r="AL230" s="415"/>
      <c r="AM230" s="414"/>
      <c r="AN230" s="415"/>
      <c r="AO230" s="414"/>
      <c r="AP230" s="415"/>
      <c r="AQ230" s="414"/>
      <c r="AR230" s="417"/>
    </row>
    <row r="231" spans="1:44" outlineLevel="1">
      <c r="B231" s="541"/>
      <c r="C231" s="544"/>
      <c r="D231" s="544"/>
      <c r="E231" s="544"/>
      <c r="F231" s="544"/>
      <c r="G231" s="549"/>
      <c r="H231" s="549"/>
      <c r="I231" s="549"/>
      <c r="J231" s="549"/>
      <c r="K231" s="550"/>
      <c r="L231" s="548"/>
      <c r="M231" s="363"/>
      <c r="N231" s="363"/>
    </row>
    <row r="232" spans="1:44" outlineLevel="1">
      <c r="B232" s="541"/>
      <c r="C232" s="544"/>
      <c r="D232" s="544"/>
      <c r="E232" s="544"/>
      <c r="F232" s="544"/>
      <c r="G232" s="549"/>
      <c r="H232" s="549"/>
      <c r="I232" s="549"/>
      <c r="J232" s="549"/>
      <c r="K232" s="550"/>
      <c r="L232" s="548"/>
      <c r="M232" s="420"/>
      <c r="N232" s="363"/>
    </row>
    <row r="233" spans="1:44" outlineLevel="1">
      <c r="B233" s="421"/>
      <c r="C233" s="399"/>
      <c r="D233" s="399"/>
      <c r="E233" s="399"/>
      <c r="F233" s="399"/>
      <c r="G233" s="422"/>
      <c r="H233" s="422"/>
      <c r="I233" s="422"/>
      <c r="J233" s="422"/>
      <c r="K233" s="423"/>
      <c r="L233" s="424"/>
      <c r="M233" s="420"/>
      <c r="N233" s="420"/>
    </row>
    <row r="234" spans="1:44" outlineLevel="1">
      <c r="B234" s="383"/>
      <c r="C234" s="397"/>
      <c r="D234" s="397"/>
      <c r="E234" s="397"/>
      <c r="F234" s="397"/>
      <c r="G234" s="422"/>
      <c r="H234" s="425"/>
      <c r="I234" s="425"/>
      <c r="J234" s="425"/>
      <c r="K234" s="426"/>
      <c r="L234" s="427"/>
      <c r="M234" s="428"/>
      <c r="N234" s="428"/>
    </row>
    <row r="235" spans="1:44" outlineLevel="1">
      <c r="B235" s="383"/>
      <c r="C235" s="397"/>
      <c r="D235" s="397"/>
      <c r="E235" s="397"/>
      <c r="F235" s="397"/>
      <c r="G235" s="425"/>
      <c r="H235" s="425"/>
      <c r="I235" s="425"/>
      <c r="J235" s="425"/>
      <c r="K235" s="423"/>
      <c r="L235" s="427"/>
      <c r="M235" s="428"/>
      <c r="N235" s="428"/>
    </row>
    <row r="236" spans="1:44" outlineLevel="1">
      <c r="B236" s="383"/>
      <c r="C236" s="397"/>
      <c r="D236" s="397"/>
      <c r="E236" s="397"/>
      <c r="F236" s="397"/>
      <c r="G236" s="425"/>
      <c r="H236" s="425"/>
      <c r="I236" s="425"/>
      <c r="J236" s="425"/>
      <c r="K236" s="423"/>
      <c r="L236" s="427"/>
      <c r="M236" s="428"/>
      <c r="N236" s="428"/>
    </row>
    <row r="237" spans="1:44" outlineLevel="1">
      <c r="B237" s="383"/>
      <c r="C237" s="397"/>
      <c r="D237" s="397"/>
      <c r="E237" s="397"/>
      <c r="F237" s="397"/>
      <c r="G237" s="425"/>
      <c r="H237" s="425"/>
      <c r="I237" s="425"/>
      <c r="J237" s="425"/>
      <c r="K237" s="423"/>
      <c r="L237" s="427"/>
      <c r="M237" s="428"/>
      <c r="N237" s="428"/>
    </row>
    <row r="238" spans="1:44" ht="16" outlineLevel="1" thickBot="1">
      <c r="B238" s="429"/>
      <c r="C238" s="430"/>
      <c r="D238" s="430"/>
      <c r="E238" s="430"/>
      <c r="F238" s="430"/>
      <c r="G238" s="425"/>
      <c r="H238" s="425"/>
      <c r="I238" s="425"/>
      <c r="J238" s="425"/>
      <c r="K238" s="423"/>
      <c r="L238" s="427"/>
      <c r="M238" s="428"/>
      <c r="N238" s="428"/>
    </row>
    <row r="239" spans="1:44" ht="16" outlineLevel="1" thickBot="1">
      <c r="B239" s="431"/>
      <c r="C239" s="432"/>
      <c r="D239" s="403"/>
      <c r="E239" s="403"/>
      <c r="F239" s="433"/>
      <c r="G239" s="434"/>
      <c r="H239" s="406"/>
      <c r="I239" s="406"/>
      <c r="J239" s="406"/>
      <c r="K239" s="407"/>
      <c r="L239" s="408"/>
      <c r="M239" s="428"/>
      <c r="N239" s="428"/>
    </row>
    <row r="240" spans="1:44" outlineLevel="1">
      <c r="A240" s="435"/>
      <c r="B240" s="436"/>
      <c r="C240" s="551"/>
      <c r="D240" s="512"/>
      <c r="E240" s="512"/>
      <c r="F240" s="513"/>
      <c r="G240" s="425"/>
      <c r="H240" s="425"/>
      <c r="I240" s="425"/>
      <c r="J240" s="425"/>
      <c r="K240" s="426"/>
      <c r="L240" s="440"/>
      <c r="M240" s="420"/>
      <c r="N240" s="420"/>
    </row>
    <row r="241" spans="2:30" outlineLevel="1">
      <c r="B241" s="441"/>
      <c r="C241" s="443"/>
      <c r="D241" s="442"/>
      <c r="E241" s="442"/>
      <c r="F241" s="442"/>
      <c r="G241" s="425"/>
      <c r="H241" s="425"/>
      <c r="I241" s="425"/>
      <c r="J241" s="425"/>
      <c r="K241" s="444"/>
      <c r="L241" s="373"/>
      <c r="M241" s="71"/>
      <c r="N241" s="420"/>
    </row>
    <row r="242" spans="2:30" outlineLevel="1">
      <c r="B242" s="441"/>
      <c r="C242" s="443"/>
      <c r="D242" s="443"/>
      <c r="E242" s="443"/>
      <c r="F242" s="443"/>
      <c r="G242" s="425"/>
      <c r="H242" s="425"/>
      <c r="I242" s="425"/>
      <c r="J242" s="425"/>
      <c r="K242" s="444"/>
      <c r="L242" s="373"/>
      <c r="M242" s="420"/>
      <c r="N242" s="420"/>
    </row>
    <row r="243" spans="2:30" outlineLevel="1">
      <c r="B243" s="383"/>
      <c r="C243" s="445"/>
      <c r="D243" s="446"/>
      <c r="E243" s="446"/>
      <c r="F243" s="447"/>
      <c r="G243" s="425"/>
      <c r="H243" s="425"/>
      <c r="I243" s="425"/>
      <c r="J243" s="425"/>
      <c r="K243" s="448"/>
      <c r="L243" s="373"/>
      <c r="M243" s="420"/>
      <c r="N243" s="420"/>
    </row>
    <row r="244" spans="2:30" outlineLevel="1">
      <c r="B244" s="383"/>
      <c r="C244" s="449"/>
      <c r="D244" s="449"/>
      <c r="E244" s="449"/>
      <c r="F244" s="449"/>
      <c r="G244" s="425"/>
      <c r="H244" s="425"/>
      <c r="I244" s="425"/>
      <c r="J244" s="425"/>
      <c r="K244" s="448"/>
      <c r="L244" s="373"/>
      <c r="M244" s="450"/>
      <c r="N244" s="361"/>
      <c r="P244" s="1142"/>
      <c r="Q244" s="1143"/>
      <c r="R244" s="1143"/>
      <c r="S244" s="1143"/>
      <c r="T244" s="1143"/>
      <c r="U244" s="1144"/>
    </row>
    <row r="245" spans="2:30" ht="16" outlineLevel="1" thickBot="1">
      <c r="B245" s="541"/>
      <c r="C245" s="552"/>
      <c r="D245" s="552"/>
      <c r="E245" s="552"/>
      <c r="F245" s="552"/>
      <c r="G245" s="425"/>
      <c r="H245" s="425"/>
      <c r="I245" s="425"/>
      <c r="J245" s="425"/>
      <c r="K245" s="444"/>
      <c r="L245" s="373"/>
      <c r="M245" s="450"/>
      <c r="N245" s="361"/>
      <c r="P245" s="1134"/>
      <c r="Q245" s="1135"/>
      <c r="R245" s="1135"/>
      <c r="S245" s="1135"/>
      <c r="T245" s="1135"/>
      <c r="U245" s="1136"/>
    </row>
    <row r="246" spans="2:30" outlineLevel="1">
      <c r="B246" s="541"/>
      <c r="C246" s="554"/>
      <c r="D246" s="554"/>
      <c r="E246" s="554"/>
      <c r="F246" s="554"/>
      <c r="G246" s="425"/>
      <c r="H246" s="425"/>
      <c r="I246" s="425"/>
      <c r="J246" s="425"/>
      <c r="K246" s="448"/>
      <c r="L246" s="373"/>
      <c r="M246" s="363"/>
      <c r="N246" s="363"/>
      <c r="P246" s="53"/>
    </row>
    <row r="247" spans="2:30" outlineLevel="1">
      <c r="B247" s="441"/>
      <c r="C247" s="518"/>
      <c r="D247" s="518"/>
      <c r="E247" s="518"/>
      <c r="F247" s="518"/>
      <c r="G247" s="425"/>
      <c r="H247" s="425"/>
      <c r="I247" s="425"/>
      <c r="J247" s="425"/>
      <c r="K247" s="444"/>
      <c r="L247" s="424"/>
      <c r="M247" s="367"/>
      <c r="N247" s="367"/>
      <c r="P247" s="46"/>
      <c r="Q247" s="46"/>
      <c r="R247" s="47"/>
      <c r="S247" s="47"/>
      <c r="T247" s="47"/>
      <c r="U247" s="48"/>
      <c r="V247" s="49"/>
      <c r="W247" s="49"/>
      <c r="X247" s="49"/>
      <c r="Y247" s="49"/>
      <c r="Z247" s="49"/>
      <c r="AA247" s="49"/>
      <c r="AB247" s="49"/>
      <c r="AC247" s="49"/>
      <c r="AD247" s="49"/>
    </row>
    <row r="248" spans="2:30" ht="16" outlineLevel="1" thickBot="1">
      <c r="B248" s="519"/>
      <c r="C248" s="442"/>
      <c r="D248" s="520"/>
      <c r="E248" s="520"/>
      <c r="F248" s="521"/>
      <c r="G248" s="425"/>
      <c r="H248" s="425"/>
      <c r="I248" s="425"/>
      <c r="J248" s="425"/>
      <c r="K248" s="448"/>
      <c r="L248" s="424"/>
      <c r="M248" s="363"/>
      <c r="N248" s="363"/>
      <c r="P248" s="50"/>
      <c r="Q248" s="50"/>
      <c r="R248" s="51"/>
      <c r="S248" s="51"/>
      <c r="T248" s="51"/>
      <c r="U248" s="51"/>
      <c r="V248" s="50"/>
      <c r="W248" s="50"/>
      <c r="X248" s="50"/>
      <c r="Y248" s="50"/>
      <c r="Z248" s="50"/>
      <c r="AA248" s="50"/>
      <c r="AB248" s="50"/>
      <c r="AC248" s="50"/>
      <c r="AD248" s="50"/>
    </row>
    <row r="249" spans="2:30" ht="16" outlineLevel="1" thickBot="1">
      <c r="B249" s="401"/>
      <c r="C249" s="402"/>
      <c r="D249" s="403"/>
      <c r="E249" s="404"/>
      <c r="F249" s="405"/>
      <c r="G249" s="406"/>
      <c r="H249" s="406"/>
      <c r="I249" s="406"/>
      <c r="J249" s="406"/>
      <c r="K249" s="459"/>
      <c r="L249" s="460"/>
      <c r="M249" s="363"/>
      <c r="N249" s="363"/>
      <c r="O249" s="461"/>
      <c r="P249" s="56"/>
      <c r="Q249" s="56"/>
      <c r="R249" s="57"/>
      <c r="S249" s="57"/>
      <c r="T249" s="57"/>
      <c r="U249" s="56"/>
      <c r="V249" s="56"/>
      <c r="W249" s="56"/>
      <c r="X249" s="56"/>
      <c r="Y249" s="56"/>
      <c r="Z249" s="56"/>
      <c r="AA249" s="56"/>
      <c r="AB249" s="56"/>
      <c r="AC249" s="56"/>
      <c r="AD249" s="56"/>
    </row>
    <row r="250" spans="2:30" outlineLevel="1">
      <c r="B250" s="556"/>
      <c r="C250" s="557"/>
      <c r="D250" s="557"/>
      <c r="E250" s="557"/>
      <c r="F250" s="557"/>
      <c r="G250" s="558"/>
      <c r="H250" s="558"/>
      <c r="I250" s="558"/>
      <c r="J250" s="558"/>
      <c r="K250" s="558"/>
      <c r="L250" s="559"/>
      <c r="M250" s="363"/>
      <c r="N250" s="363"/>
      <c r="O250" s="465"/>
      <c r="P250" s="466"/>
      <c r="Q250" s="58"/>
      <c r="R250" s="466"/>
      <c r="S250" s="58"/>
      <c r="T250" s="466"/>
      <c r="U250" s="467"/>
      <c r="V250" s="467"/>
      <c r="W250" s="467"/>
      <c r="X250" s="58"/>
      <c r="Y250" s="58"/>
      <c r="Z250" s="466"/>
      <c r="AA250" s="468"/>
      <c r="AB250" s="468"/>
      <c r="AC250" s="468"/>
      <c r="AD250" s="468"/>
    </row>
    <row r="251" spans="2:30" outlineLevel="1">
      <c r="B251" s="541"/>
      <c r="C251" s="560"/>
      <c r="D251" s="561"/>
      <c r="E251" s="561"/>
      <c r="F251" s="562"/>
      <c r="G251" s="562"/>
      <c r="H251" s="562"/>
      <c r="I251" s="562"/>
      <c r="J251" s="562"/>
      <c r="K251" s="563"/>
      <c r="L251" s="559"/>
      <c r="M251" s="363"/>
      <c r="N251" s="363"/>
      <c r="O251" s="465"/>
      <c r="P251" s="466"/>
      <c r="Q251" s="58"/>
      <c r="R251" s="466"/>
      <c r="S251" s="58"/>
      <c r="T251" s="466"/>
      <c r="U251" s="467"/>
      <c r="V251" s="467"/>
      <c r="W251" s="467"/>
      <c r="X251" s="58"/>
      <c r="Y251" s="58"/>
      <c r="Z251" s="466"/>
      <c r="AA251" s="468"/>
      <c r="AB251" s="468"/>
      <c r="AC251" s="468"/>
      <c r="AD251" s="468"/>
    </row>
    <row r="252" spans="2:30" outlineLevel="1">
      <c r="B252" s="541"/>
      <c r="C252" s="560"/>
      <c r="D252" s="561"/>
      <c r="E252" s="561"/>
      <c r="F252" s="562"/>
      <c r="G252" s="562"/>
      <c r="H252" s="562"/>
      <c r="I252" s="562"/>
      <c r="J252" s="562"/>
      <c r="K252" s="563"/>
      <c r="L252" s="559"/>
      <c r="M252" s="363"/>
      <c r="N252" s="363"/>
      <c r="O252" s="465"/>
      <c r="P252" s="466"/>
      <c r="Q252" s="58"/>
      <c r="R252" s="466"/>
      <c r="S252" s="58"/>
      <c r="T252" s="466"/>
      <c r="U252" s="467"/>
      <c r="V252" s="467"/>
      <c r="W252" s="467"/>
      <c r="X252" s="58"/>
      <c r="Y252" s="58"/>
      <c r="Z252" s="466"/>
      <c r="AA252" s="468"/>
      <c r="AB252" s="468"/>
      <c r="AC252" s="468"/>
      <c r="AD252" s="468"/>
    </row>
    <row r="253" spans="2:30" outlineLevel="1">
      <c r="B253" s="541"/>
      <c r="C253" s="564"/>
      <c r="D253" s="564"/>
      <c r="E253" s="564"/>
      <c r="F253" s="564"/>
      <c r="G253" s="565"/>
      <c r="H253" s="565"/>
      <c r="I253" s="565"/>
      <c r="J253" s="565"/>
      <c r="K253" s="565"/>
      <c r="L253" s="548"/>
      <c r="M253" s="363"/>
      <c r="N253" s="363"/>
      <c r="O253" s="465"/>
      <c r="P253" s="466"/>
      <c r="Q253" s="58"/>
      <c r="R253" s="466"/>
      <c r="S253" s="58"/>
      <c r="T253" s="466"/>
      <c r="U253" s="467"/>
      <c r="V253" s="467"/>
      <c r="W253" s="467"/>
      <c r="X253" s="58"/>
      <c r="Y253" s="58"/>
      <c r="Z253" s="466"/>
      <c r="AA253" s="468"/>
      <c r="AB253" s="468"/>
      <c r="AC253" s="468"/>
      <c r="AD253" s="468"/>
    </row>
    <row r="254" spans="2:30" outlineLevel="1">
      <c r="B254" s="566"/>
      <c r="C254" s="560"/>
      <c r="D254" s="561"/>
      <c r="E254" s="561"/>
      <c r="F254" s="562"/>
      <c r="G254" s="562"/>
      <c r="H254" s="562"/>
      <c r="I254" s="562"/>
      <c r="J254" s="562"/>
      <c r="K254" s="563"/>
      <c r="L254" s="559"/>
      <c r="M254" s="367"/>
      <c r="N254" s="367"/>
    </row>
    <row r="255" spans="2:30" outlineLevel="1">
      <c r="B255" s="566"/>
      <c r="C255" s="560"/>
      <c r="D255" s="561"/>
      <c r="E255" s="561"/>
      <c r="F255" s="562"/>
      <c r="G255" s="562"/>
      <c r="H255" s="562"/>
      <c r="I255" s="562"/>
      <c r="J255" s="562"/>
      <c r="K255" s="563"/>
      <c r="L255" s="559"/>
      <c r="M255" s="363"/>
      <c r="N255" s="363"/>
    </row>
    <row r="256" spans="2:30" ht="16" outlineLevel="1" thickBot="1">
      <c r="B256" s="567"/>
      <c r="C256" s="568"/>
      <c r="D256" s="568"/>
      <c r="E256" s="568"/>
      <c r="F256" s="568"/>
      <c r="G256" s="568"/>
      <c r="H256" s="568"/>
      <c r="I256" s="568"/>
      <c r="J256" s="568"/>
      <c r="K256" s="568"/>
      <c r="L256" s="569"/>
      <c r="M256" s="363"/>
      <c r="N256" s="363"/>
    </row>
    <row r="257" spans="1:15" outlineLevel="1">
      <c r="B257" s="461"/>
      <c r="C257" s="483"/>
      <c r="D257" s="483"/>
      <c r="E257" s="483"/>
      <c r="F257" s="483"/>
      <c r="G257" s="483"/>
      <c r="H257" s="484"/>
      <c r="I257" s="420"/>
      <c r="J257" s="420"/>
      <c r="K257" s="484"/>
      <c r="L257" s="484"/>
      <c r="N257" s="420"/>
    </row>
    <row r="258" spans="1:15" outlineLevel="1">
      <c r="B258" s="485"/>
      <c r="C258" s="486"/>
      <c r="D258" s="486"/>
      <c r="E258" s="486"/>
      <c r="F258" s="486"/>
      <c r="G258" s="486"/>
      <c r="H258" s="484"/>
      <c r="I258" s="71"/>
      <c r="J258" s="420"/>
      <c r="K258" s="484"/>
      <c r="L258" s="484"/>
      <c r="N258" s="420"/>
    </row>
    <row r="259" spans="1:15" outlineLevel="1">
      <c r="B259" s="461"/>
      <c r="C259" s="359"/>
      <c r="D259" s="359"/>
      <c r="E259" s="359"/>
      <c r="F259" s="359"/>
      <c r="G259" s="359"/>
      <c r="I259" s="420"/>
      <c r="J259" s="420"/>
      <c r="N259" s="420"/>
    </row>
    <row r="260" spans="1:15" outlineLevel="1">
      <c r="B260" s="461"/>
      <c r="C260" s="487"/>
      <c r="D260" s="487"/>
      <c r="E260" s="487"/>
      <c r="F260" s="487"/>
      <c r="G260" s="359"/>
      <c r="M260" s="420"/>
      <c r="N260" s="420"/>
    </row>
    <row r="261" spans="1:15" outlineLevel="1"/>
    <row r="262" spans="1:15" outlineLevel="1">
      <c r="A262" s="488"/>
      <c r="B262" s="489"/>
      <c r="D262" s="490"/>
      <c r="E262" s="490"/>
      <c r="F262" s="490"/>
      <c r="G262" s="358"/>
      <c r="H262" s="358"/>
      <c r="I262" s="358"/>
      <c r="J262" s="358"/>
      <c r="K262" s="358"/>
      <c r="L262" s="358"/>
    </row>
    <row r="263" spans="1:15" outlineLevel="1">
      <c r="A263" s="491"/>
      <c r="B263" s="492"/>
      <c r="D263" s="490"/>
      <c r="E263" s="490"/>
      <c r="F263" s="490"/>
      <c r="G263" s="358"/>
      <c r="H263" s="358"/>
      <c r="I263" s="358"/>
      <c r="J263" s="358"/>
      <c r="K263" s="358"/>
      <c r="L263" s="358"/>
    </row>
    <row r="264" spans="1:15" outlineLevel="1">
      <c r="A264" s="491"/>
      <c r="B264" s="493"/>
      <c r="D264" s="490"/>
      <c r="E264" s="490"/>
      <c r="F264" s="490"/>
      <c r="G264" s="358"/>
      <c r="H264" s="358"/>
      <c r="I264" s="358"/>
      <c r="J264" s="358"/>
      <c r="K264" s="358"/>
      <c r="L264" s="358"/>
    </row>
    <row r="265" spans="1:15" outlineLevel="1">
      <c r="A265" s="491"/>
      <c r="B265" s="493"/>
      <c r="D265" s="490"/>
      <c r="E265" s="490"/>
      <c r="F265" s="490"/>
      <c r="G265" s="358"/>
      <c r="H265" s="358"/>
      <c r="I265" s="358"/>
      <c r="J265" s="358"/>
      <c r="K265" s="358"/>
      <c r="L265" s="358"/>
    </row>
    <row r="266" spans="1:15" outlineLevel="1">
      <c r="A266" s="491"/>
      <c r="B266" s="493"/>
      <c r="D266" s="490"/>
      <c r="E266" s="490"/>
      <c r="F266" s="490"/>
      <c r="G266" s="358"/>
      <c r="H266" s="358"/>
      <c r="I266" s="358"/>
      <c r="J266" s="358"/>
      <c r="K266" s="358"/>
      <c r="L266" s="358"/>
    </row>
    <row r="267" spans="1:15" outlineLevel="1">
      <c r="A267" s="358"/>
      <c r="B267" s="494"/>
      <c r="D267" s="490"/>
      <c r="E267" s="490"/>
      <c r="F267" s="490"/>
      <c r="G267" s="358"/>
      <c r="H267" s="358"/>
      <c r="I267" s="358"/>
      <c r="J267" s="358"/>
      <c r="K267" s="358"/>
      <c r="L267" s="358"/>
      <c r="M267" s="570"/>
      <c r="N267" s="489"/>
      <c r="O267" s="490"/>
    </row>
    <row r="268" spans="1:15" outlineLevel="1">
      <c r="A268" s="358"/>
      <c r="B268" s="492"/>
      <c r="D268" s="490"/>
      <c r="E268" s="490"/>
      <c r="F268" s="490"/>
      <c r="G268" s="358"/>
      <c r="H268" s="358"/>
      <c r="I268" s="358"/>
      <c r="J268" s="358"/>
      <c r="K268" s="358"/>
      <c r="L268" s="358"/>
      <c r="O268" s="490"/>
    </row>
    <row r="269" spans="1:15" outlineLevel="1">
      <c r="A269" s="358"/>
      <c r="B269" s="495"/>
      <c r="D269" s="490"/>
      <c r="E269" s="490"/>
      <c r="F269" s="490"/>
      <c r="G269" s="358"/>
      <c r="H269" s="358"/>
      <c r="I269" s="358"/>
      <c r="J269" s="358"/>
      <c r="K269" s="358"/>
      <c r="L269" s="358"/>
      <c r="O269" s="490"/>
    </row>
    <row r="270" spans="1:15" outlineLevel="1">
      <c r="A270" s="358"/>
      <c r="B270" s="495"/>
      <c r="D270" s="490"/>
      <c r="E270" s="490"/>
      <c r="F270" s="490"/>
      <c r="G270" s="358"/>
      <c r="H270" s="358"/>
      <c r="I270" s="358"/>
      <c r="J270" s="358"/>
      <c r="K270" s="358"/>
      <c r="L270" s="358"/>
      <c r="O270" s="490"/>
    </row>
    <row r="271" spans="1:15" outlineLevel="1">
      <c r="A271" s="358"/>
      <c r="B271" s="489"/>
      <c r="D271" s="490"/>
      <c r="E271" s="490"/>
      <c r="F271" s="490"/>
      <c r="G271" s="358"/>
      <c r="H271" s="358"/>
      <c r="I271" s="358"/>
      <c r="J271" s="358"/>
      <c r="K271" s="358"/>
      <c r="L271" s="358"/>
      <c r="O271" s="490"/>
    </row>
    <row r="272" spans="1:15" outlineLevel="1">
      <c r="A272" s="358"/>
      <c r="B272" s="490"/>
      <c r="D272" s="490"/>
      <c r="E272" s="490"/>
      <c r="F272" s="490"/>
      <c r="G272" s="358"/>
      <c r="H272" s="358"/>
      <c r="I272" s="358"/>
      <c r="J272" s="358"/>
      <c r="K272" s="358"/>
      <c r="L272" s="358"/>
      <c r="O272" s="490"/>
    </row>
    <row r="273" spans="1:44" outlineLevel="1">
      <c r="A273" s="488"/>
      <c r="B273" s="489"/>
      <c r="D273" s="490"/>
      <c r="E273" s="490"/>
      <c r="F273" s="490"/>
      <c r="G273" s="358"/>
      <c r="H273" s="358"/>
      <c r="I273" s="358"/>
      <c r="J273" s="358"/>
      <c r="K273" s="358"/>
      <c r="L273" s="358"/>
      <c r="O273" s="490"/>
    </row>
    <row r="274" spans="1:44" outlineLevel="1">
      <c r="A274" s="496"/>
      <c r="B274" s="497"/>
      <c r="D274" s="490"/>
      <c r="E274" s="490"/>
      <c r="F274" s="490"/>
      <c r="G274" s="358"/>
      <c r="H274" s="358"/>
      <c r="I274" s="358"/>
      <c r="J274" s="358"/>
      <c r="K274" s="358"/>
      <c r="L274" s="358"/>
      <c r="M274" s="570"/>
      <c r="N274" s="489"/>
      <c r="O274" s="490"/>
    </row>
    <row r="275" spans="1:44" outlineLevel="1">
      <c r="A275" s="496"/>
      <c r="B275" s="489"/>
      <c r="D275" s="490"/>
      <c r="E275" s="490"/>
      <c r="F275" s="490"/>
      <c r="G275" s="358"/>
      <c r="H275" s="358"/>
      <c r="I275" s="358"/>
      <c r="J275" s="358"/>
      <c r="K275" s="358"/>
      <c r="L275" s="358"/>
      <c r="M275" s="571"/>
      <c r="N275" s="489"/>
      <c r="O275" s="490"/>
    </row>
    <row r="276" spans="1:44" outlineLevel="1">
      <c r="A276" s="496"/>
      <c r="B276" s="489"/>
      <c r="D276" s="490"/>
      <c r="E276" s="490"/>
      <c r="F276" s="490"/>
      <c r="G276" s="358"/>
      <c r="H276" s="358"/>
      <c r="I276" s="358"/>
      <c r="J276" s="358"/>
      <c r="K276" s="358"/>
      <c r="L276" s="358"/>
      <c r="M276" s="572"/>
      <c r="N276" s="489"/>
      <c r="O276" s="490"/>
    </row>
    <row r="277" spans="1:44" outlineLevel="1">
      <c r="A277" s="496"/>
      <c r="B277" s="498"/>
      <c r="D277" s="490"/>
      <c r="E277" s="490"/>
      <c r="F277" s="490"/>
      <c r="G277" s="358"/>
      <c r="H277" s="358"/>
      <c r="I277" s="358"/>
      <c r="J277" s="358"/>
      <c r="K277" s="358"/>
      <c r="L277" s="358"/>
      <c r="M277" s="573"/>
      <c r="N277" s="489"/>
      <c r="O277" s="490"/>
    </row>
    <row r="278" spans="1:44" outlineLevel="1">
      <c r="A278" s="496"/>
      <c r="B278" s="489"/>
      <c r="D278" s="490"/>
      <c r="E278" s="490"/>
      <c r="F278" s="490"/>
      <c r="G278" s="358"/>
      <c r="H278" s="358"/>
      <c r="I278" s="358"/>
      <c r="J278" s="358"/>
      <c r="K278" s="358"/>
      <c r="L278" s="358"/>
      <c r="M278" s="573"/>
      <c r="N278" s="490"/>
      <c r="O278" s="490"/>
    </row>
    <row r="279" spans="1:44" outlineLevel="1">
      <c r="A279" s="496"/>
      <c r="B279" s="489"/>
      <c r="D279" s="490"/>
      <c r="E279" s="490"/>
      <c r="F279" s="490"/>
      <c r="G279" s="358"/>
      <c r="H279" s="358"/>
      <c r="I279" s="358"/>
      <c r="J279" s="358"/>
      <c r="K279" s="358"/>
      <c r="L279" s="358"/>
      <c r="M279" s="489"/>
      <c r="N279" s="490"/>
      <c r="O279" s="490"/>
    </row>
    <row r="280" spans="1:44" outlineLevel="1"/>
    <row r="283" spans="1:44" ht="16" thickBot="1">
      <c r="A283" s="360"/>
    </row>
    <row r="284" spans="1:44" ht="20.5" customHeight="1" thickBot="1">
      <c r="B284" s="362"/>
      <c r="C284" s="1186"/>
      <c r="D284" s="1187"/>
      <c r="E284" s="1187"/>
      <c r="F284" s="1187"/>
      <c r="G284" s="1187"/>
      <c r="H284" s="1187"/>
      <c r="I284" s="1187"/>
      <c r="J284" s="1187"/>
      <c r="K284" s="1187"/>
      <c r="L284" s="1188"/>
      <c r="M284" s="363"/>
      <c r="N284" s="363"/>
      <c r="P284" s="364"/>
      <c r="Q284" s="365"/>
      <c r="R284" s="366"/>
      <c r="S284" s="1176"/>
      <c r="T284" s="1160"/>
      <c r="U284" s="1161"/>
      <c r="V284" s="1160"/>
      <c r="W284" s="1161"/>
      <c r="X284" s="1160"/>
      <c r="Y284" s="1161"/>
      <c r="Z284" s="1160"/>
      <c r="AA284" s="1161"/>
      <c r="AB284" s="1160"/>
      <c r="AC284" s="1161"/>
      <c r="AE284" s="364"/>
      <c r="AF284" s="365"/>
      <c r="AG284" s="366"/>
      <c r="AH284" s="1176"/>
      <c r="AI284" s="1160"/>
      <c r="AJ284" s="1161"/>
      <c r="AK284" s="1160"/>
      <c r="AL284" s="1161"/>
      <c r="AM284" s="1160"/>
      <c r="AN284" s="1161"/>
      <c r="AO284" s="1160"/>
      <c r="AP284" s="1161"/>
      <c r="AQ284" s="1160"/>
      <c r="AR284" s="1161"/>
    </row>
    <row r="285" spans="1:44" ht="15" customHeight="1" thickBot="1">
      <c r="B285" s="1164"/>
      <c r="C285" s="1166"/>
      <c r="D285" s="1166"/>
      <c r="E285" s="1166"/>
      <c r="F285" s="1166"/>
      <c r="G285" s="1168"/>
      <c r="H285" s="1169"/>
      <c r="I285" s="1168"/>
      <c r="J285" s="1169"/>
      <c r="K285" s="1189"/>
      <c r="L285" s="1189"/>
      <c r="M285" s="367"/>
      <c r="N285" s="367"/>
      <c r="P285" s="1180"/>
      <c r="Q285" s="368"/>
      <c r="R285" s="368"/>
      <c r="S285" s="1177"/>
      <c r="T285" s="1162"/>
      <c r="U285" s="1163"/>
      <c r="V285" s="1162"/>
      <c r="W285" s="1163"/>
      <c r="X285" s="1162"/>
      <c r="Y285" s="1163"/>
      <c r="Z285" s="1162"/>
      <c r="AA285" s="1163"/>
      <c r="AB285" s="1162"/>
      <c r="AC285" s="1163"/>
      <c r="AE285" s="1180"/>
      <c r="AF285" s="368"/>
      <c r="AG285" s="368"/>
      <c r="AH285" s="1177"/>
      <c r="AI285" s="1162"/>
      <c r="AJ285" s="1163"/>
      <c r="AK285" s="1162"/>
      <c r="AL285" s="1163"/>
      <c r="AM285" s="1162"/>
      <c r="AN285" s="1163"/>
      <c r="AO285" s="1162"/>
      <c r="AP285" s="1163"/>
      <c r="AQ285" s="1162"/>
      <c r="AR285" s="1163"/>
    </row>
    <row r="286" spans="1:44" ht="15" customHeight="1" thickBot="1">
      <c r="B286" s="1165"/>
      <c r="C286" s="1167"/>
      <c r="D286" s="1167"/>
      <c r="E286" s="1167"/>
      <c r="F286" s="1167"/>
      <c r="G286" s="406"/>
      <c r="H286" s="406"/>
      <c r="I286" s="406"/>
      <c r="J286" s="406"/>
      <c r="K286" s="1190"/>
      <c r="L286" s="1190"/>
      <c r="M286" s="370"/>
      <c r="N286" s="370"/>
      <c r="P286" s="1181"/>
      <c r="Q286" s="1183"/>
      <c r="R286" s="1184"/>
      <c r="S286" s="1178"/>
      <c r="T286" s="1162"/>
      <c r="U286" s="1163"/>
      <c r="V286" s="1162"/>
      <c r="W286" s="1163"/>
      <c r="X286" s="1162"/>
      <c r="Y286" s="1163"/>
      <c r="Z286" s="1162"/>
      <c r="AA286" s="1163"/>
      <c r="AB286" s="1162"/>
      <c r="AC286" s="1163"/>
      <c r="AE286" s="1181"/>
      <c r="AF286" s="1183"/>
      <c r="AG286" s="1184"/>
      <c r="AH286" s="1178"/>
      <c r="AI286" s="1162"/>
      <c r="AJ286" s="1163"/>
      <c r="AK286" s="1162"/>
      <c r="AL286" s="1163"/>
      <c r="AM286" s="1162"/>
      <c r="AN286" s="1163"/>
      <c r="AO286" s="1162"/>
      <c r="AP286" s="1163"/>
      <c r="AQ286" s="1162"/>
      <c r="AR286" s="1163"/>
    </row>
    <row r="287" spans="1:44" ht="16" thickBot="1">
      <c r="B287" s="371"/>
      <c r="C287" s="372"/>
      <c r="D287" s="372"/>
      <c r="E287" s="372"/>
      <c r="F287" s="372"/>
      <c r="G287" s="372"/>
      <c r="H287" s="372"/>
      <c r="I287" s="372"/>
      <c r="J287" s="372"/>
      <c r="K287" s="372"/>
      <c r="L287" s="373"/>
      <c r="M287" s="370"/>
      <c r="N287" s="370"/>
      <c r="O287" s="74"/>
      <c r="P287" s="1182"/>
      <c r="Q287" s="1179"/>
      <c r="R287" s="1185"/>
      <c r="S287" s="1179"/>
      <c r="T287" s="374"/>
      <c r="U287" s="375"/>
      <c r="V287" s="374"/>
      <c r="W287" s="375"/>
      <c r="X287" s="374"/>
      <c r="Y287" s="375"/>
      <c r="Z287" s="374"/>
      <c r="AA287" s="375"/>
      <c r="AB287" s="374"/>
      <c r="AC287" s="375"/>
      <c r="AE287" s="1182"/>
      <c r="AF287" s="1179"/>
      <c r="AG287" s="1185"/>
      <c r="AH287" s="1179"/>
      <c r="AI287" s="374"/>
      <c r="AJ287" s="375"/>
      <c r="AK287" s="374"/>
      <c r="AL287" s="375"/>
      <c r="AM287" s="374"/>
      <c r="AN287" s="375"/>
      <c r="AO287" s="374"/>
      <c r="AP287" s="375"/>
      <c r="AQ287" s="374"/>
      <c r="AR287" s="375"/>
    </row>
    <row r="288" spans="1:44" ht="14.5" customHeight="1">
      <c r="B288" s="574"/>
      <c r="C288" s="575"/>
      <c r="D288" s="575"/>
      <c r="E288" s="575"/>
      <c r="F288" s="575"/>
      <c r="G288" s="576"/>
      <c r="H288" s="576"/>
      <c r="I288" s="576"/>
      <c r="J288" s="576"/>
      <c r="K288" s="372"/>
      <c r="L288" s="373"/>
      <c r="M288" s="370"/>
      <c r="N288" s="370"/>
      <c r="P288" s="1148"/>
      <c r="Q288" s="1154"/>
      <c r="R288" s="381"/>
      <c r="S288" s="382"/>
      <c r="T288" s="1137"/>
      <c r="U288" s="1151"/>
      <c r="V288" s="1137"/>
      <c r="W288" s="1151"/>
      <c r="X288" s="1137"/>
      <c r="Y288" s="1151"/>
      <c r="Z288" s="1137"/>
      <c r="AA288" s="1151"/>
      <c r="AB288" s="1157"/>
      <c r="AC288" s="1151"/>
      <c r="AE288" s="1148"/>
      <c r="AF288" s="1154"/>
      <c r="AG288" s="381"/>
      <c r="AH288" s="382"/>
      <c r="AI288" s="1137"/>
      <c r="AJ288" s="1151"/>
      <c r="AK288" s="1137"/>
      <c r="AL288" s="1151"/>
      <c r="AM288" s="1137"/>
      <c r="AN288" s="1151"/>
      <c r="AO288" s="1137"/>
      <c r="AP288" s="1151"/>
      <c r="AQ288" s="1157"/>
      <c r="AR288" s="1151"/>
    </row>
    <row r="289" spans="2:44">
      <c r="B289" s="383"/>
      <c r="C289" s="577"/>
      <c r="D289" s="577"/>
      <c r="E289" s="577"/>
      <c r="F289" s="577"/>
      <c r="G289" s="576"/>
      <c r="H289" s="576"/>
      <c r="I289" s="576"/>
      <c r="J289" s="576"/>
      <c r="K289" s="372"/>
      <c r="L289" s="373"/>
      <c r="M289" s="370"/>
      <c r="N289" s="370"/>
      <c r="O289" s="71"/>
      <c r="P289" s="1149"/>
      <c r="Q289" s="1155"/>
      <c r="R289" s="388"/>
      <c r="S289" s="389"/>
      <c r="T289" s="1140"/>
      <c r="U289" s="1152"/>
      <c r="V289" s="1140"/>
      <c r="W289" s="1152"/>
      <c r="X289" s="1140"/>
      <c r="Y289" s="1152"/>
      <c r="Z289" s="1140"/>
      <c r="AA289" s="1152"/>
      <c r="AB289" s="1158"/>
      <c r="AC289" s="1152"/>
      <c r="AE289" s="1149"/>
      <c r="AF289" s="1155"/>
      <c r="AG289" s="388"/>
      <c r="AH289" s="389"/>
      <c r="AI289" s="1140"/>
      <c r="AJ289" s="1152"/>
      <c r="AK289" s="1140"/>
      <c r="AL289" s="1152"/>
      <c r="AM289" s="1140"/>
      <c r="AN289" s="1152"/>
      <c r="AO289" s="1140"/>
      <c r="AP289" s="1152"/>
      <c r="AQ289" s="1158"/>
      <c r="AR289" s="1152"/>
    </row>
    <row r="290" spans="2:44" ht="16" thickBot="1">
      <c r="B290" s="574"/>
      <c r="C290" s="578"/>
      <c r="D290" s="578"/>
      <c r="E290" s="578"/>
      <c r="F290" s="578"/>
      <c r="G290" s="578"/>
      <c r="H290" s="578"/>
      <c r="I290" s="578"/>
      <c r="J290" s="578"/>
      <c r="K290" s="579"/>
      <c r="L290" s="580"/>
      <c r="M290" s="370"/>
      <c r="N290" s="370"/>
      <c r="O290" s="71"/>
      <c r="P290" s="1149"/>
      <c r="Q290" s="1156"/>
      <c r="R290" s="393"/>
      <c r="S290" s="394"/>
      <c r="T290" s="1141"/>
      <c r="U290" s="1153"/>
      <c r="V290" s="1141"/>
      <c r="W290" s="1153"/>
      <c r="X290" s="1141"/>
      <c r="Y290" s="1153"/>
      <c r="Z290" s="1141"/>
      <c r="AA290" s="1153"/>
      <c r="AB290" s="1159"/>
      <c r="AC290" s="1153"/>
      <c r="AE290" s="1149"/>
      <c r="AF290" s="1156"/>
      <c r="AG290" s="393"/>
      <c r="AH290" s="394"/>
      <c r="AI290" s="1141"/>
      <c r="AJ290" s="1153"/>
      <c r="AK290" s="1141"/>
      <c r="AL290" s="1153"/>
      <c r="AM290" s="1141"/>
      <c r="AN290" s="1153"/>
      <c r="AO290" s="1141"/>
      <c r="AP290" s="1153"/>
      <c r="AQ290" s="1159"/>
      <c r="AR290" s="1153"/>
    </row>
    <row r="291" spans="2:44" ht="14.5" customHeight="1">
      <c r="B291" s="574"/>
      <c r="C291" s="581"/>
      <c r="D291" s="581"/>
      <c r="E291" s="581"/>
      <c r="F291" s="581"/>
      <c r="G291" s="581"/>
      <c r="H291" s="581"/>
      <c r="I291" s="581"/>
      <c r="J291" s="581"/>
      <c r="K291" s="579"/>
      <c r="L291" s="580"/>
      <c r="M291" s="370"/>
      <c r="N291" s="370"/>
      <c r="O291" s="71"/>
      <c r="P291" s="1149"/>
      <c r="Q291" s="1145"/>
      <c r="R291" s="395"/>
      <c r="S291" s="396"/>
      <c r="T291" s="1137"/>
      <c r="U291" s="1137"/>
      <c r="V291" s="1137"/>
      <c r="W291" s="1137"/>
      <c r="X291" s="1137"/>
      <c r="Y291" s="1137"/>
      <c r="Z291" s="1137"/>
      <c r="AA291" s="1137"/>
      <c r="AB291" s="1137"/>
      <c r="AC291" s="1137"/>
      <c r="AE291" s="1149"/>
      <c r="AF291" s="1145"/>
      <c r="AG291" s="395"/>
      <c r="AH291" s="396"/>
      <c r="AI291" s="1137"/>
      <c r="AJ291" s="1137"/>
      <c r="AK291" s="1137"/>
      <c r="AL291" s="1137"/>
      <c r="AM291" s="1137"/>
      <c r="AN291" s="1137"/>
      <c r="AO291" s="1137"/>
      <c r="AP291" s="1137"/>
      <c r="AQ291" s="1137"/>
      <c r="AR291" s="1137"/>
    </row>
    <row r="292" spans="2:44">
      <c r="B292" s="574"/>
      <c r="C292" s="582"/>
      <c r="D292" s="582"/>
      <c r="E292" s="582"/>
      <c r="F292" s="582"/>
      <c r="G292" s="582"/>
      <c r="H292" s="582"/>
      <c r="I292" s="582"/>
      <c r="J292" s="582"/>
      <c r="K292" s="579"/>
      <c r="L292" s="580"/>
      <c r="M292" s="367"/>
      <c r="N292" s="367"/>
      <c r="O292" s="71"/>
      <c r="P292" s="1149"/>
      <c r="Q292" s="1146"/>
      <c r="R292" s="395"/>
      <c r="S292" s="396"/>
      <c r="T292" s="1138"/>
      <c r="U292" s="1138"/>
      <c r="V292" s="1138"/>
      <c r="W292" s="1138"/>
      <c r="X292" s="1138"/>
      <c r="Y292" s="1138"/>
      <c r="Z292" s="1138"/>
      <c r="AA292" s="1138"/>
      <c r="AB292" s="1140"/>
      <c r="AC292" s="1138"/>
      <c r="AE292" s="1149"/>
      <c r="AF292" s="1146"/>
      <c r="AG292" s="395"/>
      <c r="AH292" s="396"/>
      <c r="AI292" s="1138"/>
      <c r="AJ292" s="1138"/>
      <c r="AK292" s="1138"/>
      <c r="AL292" s="1138"/>
      <c r="AM292" s="1138"/>
      <c r="AN292" s="1138"/>
      <c r="AO292" s="1138"/>
      <c r="AP292" s="1138"/>
      <c r="AQ292" s="1140"/>
      <c r="AR292" s="1138"/>
    </row>
    <row r="293" spans="2:44">
      <c r="B293" s="383"/>
      <c r="C293" s="397"/>
      <c r="D293" s="397"/>
      <c r="E293" s="397"/>
      <c r="F293" s="397"/>
      <c r="G293" s="398"/>
      <c r="H293" s="398"/>
      <c r="I293" s="398"/>
      <c r="J293" s="398"/>
      <c r="K293" s="372"/>
      <c r="L293" s="373"/>
      <c r="M293" s="363"/>
      <c r="N293" s="363"/>
      <c r="P293" s="1149"/>
      <c r="Q293" s="1146"/>
      <c r="R293" s="395"/>
      <c r="S293" s="396"/>
      <c r="T293" s="1138"/>
      <c r="U293" s="1138"/>
      <c r="V293" s="1138"/>
      <c r="W293" s="1138"/>
      <c r="X293" s="1138"/>
      <c r="Y293" s="1138"/>
      <c r="Z293" s="1138"/>
      <c r="AA293" s="1138"/>
      <c r="AB293" s="1140"/>
      <c r="AC293" s="1138"/>
      <c r="AE293" s="1149"/>
      <c r="AF293" s="1146"/>
      <c r="AG293" s="395"/>
      <c r="AH293" s="396"/>
      <c r="AI293" s="1138"/>
      <c r="AJ293" s="1138"/>
      <c r="AK293" s="1138"/>
      <c r="AL293" s="1138"/>
      <c r="AM293" s="1138"/>
      <c r="AN293" s="1138"/>
      <c r="AO293" s="1138"/>
      <c r="AP293" s="1138"/>
      <c r="AQ293" s="1140"/>
      <c r="AR293" s="1138"/>
    </row>
    <row r="294" spans="2:44" ht="16" thickBot="1">
      <c r="B294" s="574"/>
      <c r="C294" s="582"/>
      <c r="D294" s="582"/>
      <c r="E294" s="582"/>
      <c r="F294" s="582"/>
      <c r="G294" s="582"/>
      <c r="H294" s="582"/>
      <c r="I294" s="582"/>
      <c r="J294" s="582"/>
      <c r="K294" s="372"/>
      <c r="L294" s="373"/>
      <c r="M294" s="363"/>
      <c r="N294" s="363"/>
      <c r="P294" s="1149"/>
      <c r="Q294" s="1146"/>
      <c r="R294" s="395"/>
      <c r="S294" s="396"/>
      <c r="T294" s="1138"/>
      <c r="U294" s="1138"/>
      <c r="V294" s="1138"/>
      <c r="W294" s="1138"/>
      <c r="X294" s="1138"/>
      <c r="Y294" s="1138"/>
      <c r="Z294" s="1138"/>
      <c r="AA294" s="1138"/>
      <c r="AB294" s="1140"/>
      <c r="AC294" s="1138"/>
      <c r="AE294" s="1149"/>
      <c r="AF294" s="1146"/>
      <c r="AG294" s="395"/>
      <c r="AH294" s="396"/>
      <c r="AI294" s="1138"/>
      <c r="AJ294" s="1138"/>
      <c r="AK294" s="1138"/>
      <c r="AL294" s="1138"/>
      <c r="AM294" s="1138"/>
      <c r="AN294" s="1138"/>
      <c r="AO294" s="1138"/>
      <c r="AP294" s="1138"/>
      <c r="AQ294" s="1140"/>
      <c r="AR294" s="1138"/>
    </row>
    <row r="295" spans="2:44" ht="16" thickBot="1">
      <c r="B295" s="401"/>
      <c r="C295" s="583"/>
      <c r="D295" s="584"/>
      <c r="E295" s="585"/>
      <c r="F295" s="586"/>
      <c r="G295" s="406"/>
      <c r="H295" s="406"/>
      <c r="I295" s="406"/>
      <c r="J295" s="406"/>
      <c r="K295" s="407"/>
      <c r="L295" s="587"/>
      <c r="M295" s="363"/>
      <c r="N295" s="363"/>
      <c r="P295" s="1149"/>
      <c r="Q295" s="1147"/>
      <c r="R295" s="409"/>
      <c r="S295" s="410"/>
      <c r="T295" s="1139"/>
      <c r="U295" s="1139"/>
      <c r="V295" s="1139"/>
      <c r="W295" s="1139"/>
      <c r="X295" s="1139"/>
      <c r="Y295" s="1139"/>
      <c r="Z295" s="1139"/>
      <c r="AA295" s="1139"/>
      <c r="AB295" s="1141"/>
      <c r="AC295" s="1139"/>
      <c r="AE295" s="1149"/>
      <c r="AF295" s="1147"/>
      <c r="AG295" s="409"/>
      <c r="AH295" s="410"/>
      <c r="AI295" s="1139"/>
      <c r="AJ295" s="1139"/>
      <c r="AK295" s="1139"/>
      <c r="AL295" s="1139"/>
      <c r="AM295" s="1139"/>
      <c r="AN295" s="1139"/>
      <c r="AO295" s="1139"/>
      <c r="AP295" s="1139"/>
      <c r="AQ295" s="1141"/>
      <c r="AR295" s="1139"/>
    </row>
    <row r="296" spans="2:44" ht="16" thickBot="1">
      <c r="B296" s="574"/>
      <c r="C296" s="588"/>
      <c r="D296" s="588"/>
      <c r="E296" s="588"/>
      <c r="F296" s="588"/>
      <c r="G296" s="589"/>
      <c r="H296" s="589"/>
      <c r="I296" s="590"/>
      <c r="J296" s="590"/>
      <c r="K296" s="579"/>
      <c r="L296" s="580"/>
      <c r="M296" s="363"/>
      <c r="N296" s="363"/>
      <c r="P296" s="1150"/>
      <c r="Q296" s="411"/>
      <c r="R296" s="412"/>
      <c r="S296" s="413"/>
      <c r="T296" s="591"/>
      <c r="U296" s="592"/>
      <c r="V296" s="593"/>
      <c r="W296" s="592"/>
      <c r="X296" s="593"/>
      <c r="Y296" s="592"/>
      <c r="Z296" s="593"/>
      <c r="AA296" s="592"/>
      <c r="AB296" s="593"/>
      <c r="AC296" s="594"/>
      <c r="AE296" s="1150"/>
      <c r="AF296" s="411"/>
      <c r="AG296" s="412"/>
      <c r="AH296" s="413"/>
      <c r="AI296" s="591"/>
      <c r="AJ296" s="592"/>
      <c r="AK296" s="593"/>
      <c r="AL296" s="592"/>
      <c r="AM296" s="593"/>
      <c r="AN296" s="592"/>
      <c r="AO296" s="593"/>
      <c r="AP296" s="592"/>
      <c r="AQ296" s="593"/>
      <c r="AR296" s="594"/>
    </row>
    <row r="297" spans="2:44">
      <c r="B297" s="574"/>
      <c r="C297" s="582"/>
      <c r="D297" s="582"/>
      <c r="E297" s="582"/>
      <c r="F297" s="582"/>
      <c r="G297" s="595"/>
      <c r="H297" s="595"/>
      <c r="I297" s="595"/>
      <c r="J297" s="595"/>
      <c r="K297" s="596"/>
      <c r="L297" s="580"/>
      <c r="M297" s="363"/>
      <c r="N297" s="363"/>
    </row>
    <row r="298" spans="2:44">
      <c r="B298" s="574"/>
      <c r="C298" s="582"/>
      <c r="D298" s="582"/>
      <c r="E298" s="582"/>
      <c r="F298" s="582"/>
      <c r="G298" s="595"/>
      <c r="H298" s="595"/>
      <c r="I298" s="595"/>
      <c r="J298" s="595"/>
      <c r="K298" s="596"/>
      <c r="L298" s="580"/>
      <c r="M298" s="420"/>
      <c r="N298" s="363"/>
    </row>
    <row r="299" spans="2:44">
      <c r="B299" s="421"/>
      <c r="C299" s="399"/>
      <c r="D299" s="399"/>
      <c r="E299" s="399"/>
      <c r="F299" s="399"/>
      <c r="G299" s="422"/>
      <c r="H299" s="422"/>
      <c r="I299" s="422"/>
      <c r="J299" s="422"/>
      <c r="K299" s="423"/>
      <c r="L299" s="597"/>
      <c r="M299" s="420"/>
      <c r="N299" s="420"/>
    </row>
    <row r="300" spans="2:44">
      <c r="B300" s="383"/>
      <c r="C300" s="397"/>
      <c r="D300" s="397"/>
      <c r="E300" s="397"/>
      <c r="F300" s="397"/>
      <c r="G300" s="422"/>
      <c r="H300" s="425"/>
      <c r="I300" s="425"/>
      <c r="J300" s="425"/>
      <c r="K300" s="426"/>
      <c r="L300" s="427"/>
      <c r="M300" s="428"/>
      <c r="N300" s="428"/>
    </row>
    <row r="301" spans="2:44">
      <c r="B301" s="383"/>
      <c r="C301" s="397"/>
      <c r="D301" s="397"/>
      <c r="E301" s="397"/>
      <c r="F301" s="397"/>
      <c r="G301" s="425"/>
      <c r="H301" s="425"/>
      <c r="I301" s="425"/>
      <c r="J301" s="425"/>
      <c r="K301" s="423"/>
      <c r="L301" s="427"/>
      <c r="M301" s="428"/>
      <c r="N301" s="428"/>
    </row>
    <row r="302" spans="2:44">
      <c r="B302" s="383"/>
      <c r="C302" s="397"/>
      <c r="D302" s="397"/>
      <c r="E302" s="397"/>
      <c r="F302" s="397"/>
      <c r="G302" s="425"/>
      <c r="H302" s="425"/>
      <c r="I302" s="425"/>
      <c r="J302" s="425"/>
      <c r="K302" s="423"/>
      <c r="L302" s="427"/>
      <c r="M302" s="428"/>
      <c r="N302" s="428"/>
    </row>
    <row r="303" spans="2:44">
      <c r="B303" s="383"/>
      <c r="C303" s="397"/>
      <c r="D303" s="397"/>
      <c r="E303" s="397"/>
      <c r="F303" s="397"/>
      <c r="G303" s="425"/>
      <c r="H303" s="425"/>
      <c r="I303" s="425"/>
      <c r="J303" s="425"/>
      <c r="K303" s="423"/>
      <c r="L303" s="427"/>
      <c r="M303" s="428"/>
      <c r="N303" s="428"/>
    </row>
    <row r="304" spans="2:44" ht="16" thickBot="1">
      <c r="B304" s="429"/>
      <c r="C304" s="397"/>
      <c r="D304" s="397"/>
      <c r="E304" s="397"/>
      <c r="F304" s="397"/>
      <c r="G304" s="425"/>
      <c r="H304" s="425"/>
      <c r="I304" s="425"/>
      <c r="J304" s="425"/>
      <c r="K304" s="423"/>
      <c r="L304" s="427"/>
      <c r="M304" s="428"/>
      <c r="N304" s="428"/>
    </row>
    <row r="305" spans="1:30" ht="16" thickBot="1">
      <c r="B305" s="431"/>
      <c r="C305" s="598"/>
      <c r="D305" s="584"/>
      <c r="E305" s="584"/>
      <c r="F305" s="599"/>
      <c r="G305" s="434"/>
      <c r="H305" s="406"/>
      <c r="I305" s="406"/>
      <c r="J305" s="406"/>
      <c r="K305" s="407"/>
      <c r="L305" s="587"/>
      <c r="M305" s="428"/>
      <c r="N305" s="428"/>
    </row>
    <row r="306" spans="1:30">
      <c r="A306" s="435"/>
      <c r="B306" s="436"/>
      <c r="C306" s="600"/>
      <c r="D306" s="600"/>
      <c r="E306" s="600"/>
      <c r="F306" s="600"/>
      <c r="G306" s="425"/>
      <c r="H306" s="425"/>
      <c r="I306" s="425"/>
      <c r="J306" s="425"/>
      <c r="K306" s="426"/>
      <c r="L306" s="440"/>
      <c r="M306" s="420"/>
      <c r="N306" s="420"/>
    </row>
    <row r="307" spans="1:30">
      <c r="B307" s="441"/>
      <c r="C307" s="601"/>
      <c r="D307" s="601"/>
      <c r="E307" s="601"/>
      <c r="F307" s="601"/>
      <c r="G307" s="425"/>
      <c r="H307" s="425"/>
      <c r="I307" s="425"/>
      <c r="J307" s="425"/>
      <c r="K307" s="444"/>
      <c r="L307" s="373"/>
      <c r="M307" s="71"/>
      <c r="N307" s="420"/>
    </row>
    <row r="308" spans="1:30">
      <c r="B308" s="441"/>
      <c r="C308" s="601"/>
      <c r="D308" s="601"/>
      <c r="E308" s="601"/>
      <c r="F308" s="601"/>
      <c r="G308" s="425"/>
      <c r="H308" s="425"/>
      <c r="I308" s="425"/>
      <c r="J308" s="425"/>
      <c r="K308" s="444"/>
      <c r="L308" s="373"/>
      <c r="M308" s="420"/>
      <c r="N308" s="420"/>
    </row>
    <row r="309" spans="1:30">
      <c r="B309" s="383"/>
      <c r="C309" s="602"/>
      <c r="D309" s="603"/>
      <c r="E309" s="603"/>
      <c r="F309" s="604"/>
      <c r="G309" s="425"/>
      <c r="H309" s="425"/>
      <c r="I309" s="425"/>
      <c r="J309" s="425"/>
      <c r="K309" s="444"/>
      <c r="L309" s="373"/>
      <c r="M309" s="420"/>
      <c r="N309" s="420"/>
    </row>
    <row r="310" spans="1:30">
      <c r="B310" s="383"/>
      <c r="C310" s="605"/>
      <c r="D310" s="605"/>
      <c r="E310" s="605"/>
      <c r="F310" s="605"/>
      <c r="G310" s="425"/>
      <c r="H310" s="425"/>
      <c r="I310" s="425"/>
      <c r="J310" s="425"/>
      <c r="K310" s="444"/>
      <c r="L310" s="373"/>
      <c r="M310" s="450"/>
      <c r="N310" s="361"/>
      <c r="P310" s="1142"/>
      <c r="Q310" s="1143"/>
      <c r="R310" s="1143"/>
      <c r="S310" s="1143"/>
      <c r="T310" s="1143"/>
      <c r="U310" s="1144"/>
    </row>
    <row r="311" spans="1:30" ht="16" thickBot="1">
      <c r="B311" s="541"/>
      <c r="C311" s="552"/>
      <c r="D311" s="552"/>
      <c r="E311" s="552"/>
      <c r="F311" s="552"/>
      <c r="G311" s="553"/>
      <c r="H311" s="553"/>
      <c r="I311" s="553"/>
      <c r="J311" s="553"/>
      <c r="K311" s="547"/>
      <c r="L311" s="548"/>
      <c r="M311" s="450"/>
      <c r="N311" s="361"/>
      <c r="P311" s="1134"/>
      <c r="Q311" s="1135"/>
      <c r="R311" s="1135"/>
      <c r="S311" s="1135"/>
      <c r="T311" s="1135"/>
      <c r="U311" s="1136"/>
    </row>
    <row r="312" spans="1:30">
      <c r="B312" s="541"/>
      <c r="C312" s="606"/>
      <c r="D312" s="606"/>
      <c r="E312" s="606"/>
      <c r="F312" s="606"/>
      <c r="G312" s="553"/>
      <c r="H312" s="553"/>
      <c r="I312" s="553"/>
      <c r="J312" s="553"/>
      <c r="K312" s="547"/>
      <c r="L312" s="548"/>
      <c r="M312" s="363"/>
      <c r="N312" s="363"/>
      <c r="P312" s="53"/>
    </row>
    <row r="313" spans="1:30">
      <c r="B313" s="541"/>
      <c r="C313" s="607"/>
      <c r="D313" s="547"/>
      <c r="E313" s="547"/>
      <c r="F313" s="563"/>
      <c r="G313" s="550"/>
      <c r="H313" s="550"/>
      <c r="I313" s="550"/>
      <c r="J313" s="550"/>
      <c r="K313" s="547"/>
      <c r="L313" s="608"/>
      <c r="M313" s="367"/>
      <c r="N313" s="367"/>
      <c r="P313" s="46"/>
      <c r="Q313" s="46"/>
      <c r="R313" s="47"/>
      <c r="S313" s="47"/>
      <c r="T313" s="47"/>
      <c r="U313" s="48"/>
      <c r="V313" s="49"/>
      <c r="W313" s="49"/>
      <c r="X313" s="49"/>
      <c r="Y313" s="49"/>
      <c r="Z313" s="49"/>
      <c r="AA313" s="49"/>
      <c r="AB313" s="49"/>
      <c r="AC313" s="49"/>
      <c r="AD313" s="49"/>
    </row>
    <row r="314" spans="1:30" ht="16" thickBot="1">
      <c r="B314" s="566"/>
      <c r="C314" s="607"/>
      <c r="D314" s="609"/>
      <c r="E314" s="609"/>
      <c r="F314" s="610"/>
      <c r="G314" s="550"/>
      <c r="H314" s="550"/>
      <c r="I314" s="550"/>
      <c r="J314" s="550"/>
      <c r="K314" s="547"/>
      <c r="L314" s="608"/>
      <c r="M314" s="363"/>
      <c r="N314" s="363"/>
      <c r="O314" s="71"/>
      <c r="P314" s="50"/>
      <c r="Q314" s="50"/>
      <c r="R314" s="51"/>
      <c r="S314" s="51"/>
      <c r="T314" s="51"/>
      <c r="U314" s="51"/>
      <c r="V314" s="50"/>
      <c r="W314" s="50"/>
      <c r="X314" s="50"/>
      <c r="Y314" s="50"/>
      <c r="Z314" s="50"/>
      <c r="AA314" s="50"/>
      <c r="AB314" s="50"/>
      <c r="AC314" s="50"/>
      <c r="AD314" s="50"/>
    </row>
    <row r="315" spans="1:30" ht="16" thickBot="1">
      <c r="B315" s="611"/>
      <c r="C315" s="612"/>
      <c r="D315" s="613"/>
      <c r="E315" s="614"/>
      <c r="F315" s="615"/>
      <c r="G315" s="540"/>
      <c r="H315" s="540"/>
      <c r="I315" s="540"/>
      <c r="J315" s="540"/>
      <c r="K315" s="616"/>
      <c r="L315" s="617"/>
      <c r="M315" s="363"/>
      <c r="N315" s="363"/>
      <c r="O315" s="461"/>
      <c r="P315" s="56"/>
      <c r="Q315" s="56"/>
      <c r="R315" s="57"/>
      <c r="S315" s="57"/>
      <c r="T315" s="57"/>
      <c r="U315" s="56"/>
      <c r="V315" s="56"/>
      <c r="W315" s="56"/>
      <c r="X315" s="56"/>
      <c r="Y315" s="56"/>
      <c r="Z315" s="56"/>
      <c r="AA315" s="56"/>
      <c r="AB315" s="56"/>
      <c r="AC315" s="56"/>
      <c r="AD315" s="56"/>
    </row>
    <row r="316" spans="1:30">
      <c r="B316" s="556"/>
      <c r="C316" s="618"/>
      <c r="D316" s="618"/>
      <c r="E316" s="618"/>
      <c r="F316" s="618"/>
      <c r="G316" s="618"/>
      <c r="H316" s="618"/>
      <c r="I316" s="618"/>
      <c r="J316" s="618"/>
      <c r="K316" s="618"/>
      <c r="L316" s="619"/>
      <c r="M316" s="363"/>
      <c r="N316" s="363"/>
      <c r="O316" s="620"/>
      <c r="P316" s="466"/>
      <c r="Q316" s="58"/>
      <c r="R316" s="466"/>
      <c r="S316" s="58"/>
      <c r="T316" s="466"/>
      <c r="U316" s="467"/>
      <c r="V316" s="467"/>
      <c r="W316" s="467"/>
      <c r="X316" s="58"/>
      <c r="Y316" s="58"/>
      <c r="Z316" s="466"/>
      <c r="AA316" s="468"/>
      <c r="AB316" s="468"/>
      <c r="AC316" s="468"/>
      <c r="AD316" s="468"/>
    </row>
    <row r="317" spans="1:30">
      <c r="B317" s="541"/>
      <c r="C317" s="558"/>
      <c r="D317" s="558"/>
      <c r="E317" s="558"/>
      <c r="F317" s="558"/>
      <c r="G317" s="563"/>
      <c r="H317" s="563"/>
      <c r="I317" s="563"/>
      <c r="J317" s="563"/>
      <c r="K317" s="563"/>
      <c r="L317" s="548"/>
      <c r="M317" s="363"/>
      <c r="N317" s="363"/>
      <c r="O317" s="620"/>
      <c r="P317" s="466"/>
      <c r="Q317" s="58"/>
      <c r="R317" s="466"/>
      <c r="S317" s="58"/>
      <c r="T317" s="466"/>
      <c r="U317" s="467"/>
      <c r="V317" s="467"/>
      <c r="W317" s="467"/>
      <c r="X317" s="58"/>
      <c r="Y317" s="58"/>
      <c r="Z317" s="466"/>
      <c r="AA317" s="468"/>
      <c r="AB317" s="468"/>
      <c r="AC317" s="468"/>
      <c r="AD317" s="468"/>
    </row>
    <row r="318" spans="1:30">
      <c r="B318" s="541"/>
      <c r="C318" s="558"/>
      <c r="D318" s="558"/>
      <c r="E318" s="558"/>
      <c r="F318" s="558"/>
      <c r="G318" s="563"/>
      <c r="H318" s="563"/>
      <c r="I318" s="563"/>
      <c r="J318" s="563"/>
      <c r="K318" s="563"/>
      <c r="L318" s="548"/>
      <c r="M318" s="363"/>
      <c r="N318" s="363"/>
      <c r="O318" s="620"/>
      <c r="P318" s="466"/>
      <c r="Q318" s="58"/>
      <c r="R318" s="466"/>
      <c r="S318" s="58"/>
      <c r="T318" s="466"/>
      <c r="U318" s="467"/>
      <c r="V318" s="467"/>
      <c r="W318" s="467"/>
      <c r="X318" s="58"/>
      <c r="Y318" s="58"/>
      <c r="Z318" s="466"/>
      <c r="AA318" s="468"/>
      <c r="AB318" s="468"/>
      <c r="AC318" s="468"/>
      <c r="AD318" s="468"/>
    </row>
    <row r="319" spans="1:30">
      <c r="B319" s="541"/>
      <c r="C319" s="564"/>
      <c r="D319" s="564"/>
      <c r="E319" s="564"/>
      <c r="F319" s="564"/>
      <c r="G319" s="621"/>
      <c r="H319" s="621"/>
      <c r="I319" s="621"/>
      <c r="J319" s="621"/>
      <c r="K319" s="621"/>
      <c r="L319" s="548"/>
      <c r="M319" s="363"/>
      <c r="N319" s="363"/>
      <c r="O319" s="620"/>
      <c r="P319" s="466"/>
      <c r="Q319" s="58"/>
      <c r="R319" s="466"/>
      <c r="S319" s="58"/>
      <c r="T319" s="466"/>
      <c r="U319" s="467"/>
      <c r="V319" s="467"/>
      <c r="W319" s="467"/>
      <c r="X319" s="58"/>
      <c r="Y319" s="58"/>
      <c r="Z319" s="466"/>
      <c r="AA319" s="468"/>
      <c r="AB319" s="468"/>
      <c r="AC319" s="468"/>
      <c r="AD319" s="468"/>
    </row>
    <row r="320" spans="1:30">
      <c r="B320" s="566"/>
      <c r="C320" s="558"/>
      <c r="D320" s="558"/>
      <c r="E320" s="558"/>
      <c r="F320" s="558"/>
      <c r="G320" s="563"/>
      <c r="H320" s="563"/>
      <c r="I320" s="563"/>
      <c r="J320" s="563"/>
      <c r="K320" s="563"/>
      <c r="L320" s="548"/>
      <c r="M320" s="367"/>
      <c r="N320" s="367"/>
    </row>
    <row r="321" spans="1:14">
      <c r="B321" s="566"/>
      <c r="C321" s="558"/>
      <c r="D321" s="558"/>
      <c r="E321" s="558"/>
      <c r="F321" s="558"/>
      <c r="G321" s="563"/>
      <c r="H321" s="563"/>
      <c r="I321" s="563"/>
      <c r="J321" s="563"/>
      <c r="K321" s="563"/>
      <c r="L321" s="548"/>
      <c r="M321" s="363"/>
      <c r="N321" s="363"/>
    </row>
    <row r="322" spans="1:14" ht="16" thickBot="1">
      <c r="B322" s="567"/>
      <c r="C322" s="622"/>
      <c r="D322" s="622"/>
      <c r="E322" s="622"/>
      <c r="F322" s="622"/>
      <c r="G322" s="623"/>
      <c r="H322" s="623"/>
      <c r="I322" s="623"/>
      <c r="J322" s="623"/>
      <c r="K322" s="623"/>
      <c r="L322" s="624"/>
      <c r="M322" s="363"/>
      <c r="N322" s="363"/>
    </row>
    <row r="323" spans="1:14">
      <c r="B323" s="461"/>
      <c r="C323" s="483"/>
      <c r="D323" s="483"/>
      <c r="E323" s="483"/>
      <c r="F323" s="483"/>
      <c r="G323" s="483"/>
      <c r="H323" s="484"/>
      <c r="I323" s="420"/>
      <c r="J323" s="420"/>
      <c r="K323" s="484"/>
      <c r="L323" s="484"/>
      <c r="N323" s="420"/>
    </row>
    <row r="324" spans="1:14">
      <c r="B324" s="485"/>
      <c r="C324" s="486"/>
      <c r="D324" s="486"/>
      <c r="E324" s="486"/>
      <c r="F324" s="486"/>
      <c r="G324" s="486"/>
      <c r="H324" s="484"/>
      <c r="I324" s="71"/>
      <c r="J324" s="420"/>
      <c r="K324" s="484"/>
      <c r="L324" s="484"/>
      <c r="N324" s="420"/>
    </row>
    <row r="325" spans="1:14">
      <c r="B325" s="461"/>
      <c r="C325" s="359"/>
      <c r="D325" s="359"/>
      <c r="E325" s="359"/>
      <c r="F325" s="359"/>
      <c r="G325" s="359"/>
      <c r="I325" s="420"/>
      <c r="J325" s="420"/>
      <c r="N325" s="420"/>
    </row>
    <row r="326" spans="1:14">
      <c r="B326" s="461"/>
      <c r="C326" s="487"/>
      <c r="D326" s="487"/>
      <c r="E326" s="487"/>
      <c r="F326" s="487"/>
      <c r="G326" s="359"/>
      <c r="M326" s="420"/>
      <c r="N326" s="420"/>
    </row>
    <row r="329" spans="1:14">
      <c r="A329" s="488"/>
      <c r="B329" s="489"/>
      <c r="D329" s="358"/>
      <c r="E329" s="358"/>
      <c r="F329" s="358"/>
      <c r="G329" s="358"/>
      <c r="H329" s="358"/>
      <c r="I329" s="358"/>
      <c r="J329" s="358"/>
      <c r="K329" s="358"/>
    </row>
    <row r="330" spans="1:14">
      <c r="A330" s="358"/>
      <c r="B330" s="490"/>
      <c r="E330" s="358"/>
      <c r="F330" s="358"/>
      <c r="G330" s="358"/>
      <c r="H330" s="358"/>
      <c r="I330" s="358"/>
      <c r="J330" s="358"/>
      <c r="K330" s="358"/>
    </row>
    <row r="331" spans="1:14">
      <c r="A331" s="358"/>
      <c r="B331" s="490"/>
      <c r="E331" s="358"/>
      <c r="F331" s="358"/>
      <c r="G331" s="358"/>
      <c r="H331" s="358"/>
      <c r="I331" s="358"/>
      <c r="J331" s="358"/>
      <c r="K331" s="358"/>
    </row>
    <row r="332" spans="1:14">
      <c r="A332" s="358"/>
      <c r="B332" s="490"/>
      <c r="E332" s="358"/>
      <c r="F332" s="358"/>
      <c r="G332" s="358"/>
      <c r="H332" s="358"/>
      <c r="I332" s="358"/>
      <c r="J332" s="358"/>
      <c r="K332" s="358"/>
    </row>
    <row r="333" spans="1:14">
      <c r="A333" s="358"/>
      <c r="B333" s="490"/>
      <c r="E333" s="358"/>
      <c r="F333" s="358"/>
      <c r="G333" s="358"/>
      <c r="H333" s="358"/>
      <c r="I333" s="358"/>
      <c r="J333" s="358"/>
      <c r="K333" s="358"/>
    </row>
    <row r="334" spans="1:14">
      <c r="A334" s="358"/>
      <c r="B334" s="490"/>
      <c r="E334" s="358"/>
      <c r="F334" s="358"/>
      <c r="G334" s="358"/>
      <c r="H334" s="358"/>
      <c r="I334" s="358"/>
      <c r="J334" s="358"/>
      <c r="K334" s="358"/>
    </row>
    <row r="335" spans="1:14">
      <c r="A335" s="358"/>
      <c r="B335" s="490"/>
      <c r="E335" s="358"/>
      <c r="F335" s="358"/>
      <c r="G335" s="358"/>
      <c r="H335" s="358"/>
      <c r="I335" s="358"/>
      <c r="J335" s="358"/>
      <c r="K335" s="358"/>
    </row>
    <row r="336" spans="1:14">
      <c r="A336" s="358"/>
      <c r="B336" s="490"/>
      <c r="E336" s="358"/>
      <c r="F336" s="358"/>
      <c r="G336" s="358"/>
      <c r="H336" s="358"/>
      <c r="I336" s="358"/>
      <c r="J336" s="358"/>
      <c r="K336" s="358"/>
    </row>
    <row r="337" spans="1:11">
      <c r="A337" s="358"/>
      <c r="B337" s="625"/>
      <c r="E337" s="358"/>
      <c r="F337" s="358"/>
      <c r="G337" s="358"/>
      <c r="H337" s="358"/>
      <c r="I337" s="358"/>
      <c r="J337" s="358"/>
      <c r="K337" s="358"/>
    </row>
    <row r="338" spans="1:11">
      <c r="A338" s="358"/>
      <c r="B338" s="490"/>
      <c r="E338" s="358"/>
      <c r="F338" s="358"/>
      <c r="G338" s="358"/>
      <c r="H338" s="358"/>
      <c r="I338" s="358"/>
      <c r="J338" s="358"/>
      <c r="K338" s="358"/>
    </row>
    <row r="339" spans="1:11">
      <c r="A339" s="488"/>
      <c r="B339" s="489"/>
      <c r="E339" s="358"/>
      <c r="F339" s="358"/>
      <c r="G339" s="358"/>
      <c r="H339" s="358"/>
      <c r="I339" s="358"/>
      <c r="J339" s="358"/>
      <c r="K339" s="358"/>
    </row>
    <row r="340" spans="1:11">
      <c r="A340" s="496"/>
      <c r="B340" s="490"/>
      <c r="C340" s="489"/>
      <c r="E340" s="358"/>
      <c r="F340" s="358"/>
      <c r="G340" s="358"/>
      <c r="H340" s="358"/>
      <c r="I340" s="358"/>
      <c r="J340" s="358"/>
      <c r="K340" s="358"/>
    </row>
    <row r="341" spans="1:11">
      <c r="A341" s="496"/>
      <c r="B341" s="490"/>
      <c r="C341" s="489"/>
      <c r="E341" s="358"/>
      <c r="F341" s="358"/>
      <c r="G341" s="358"/>
      <c r="H341" s="358"/>
      <c r="I341" s="358"/>
      <c r="J341" s="358"/>
      <c r="K341" s="358"/>
    </row>
    <row r="342" spans="1:11">
      <c r="A342" s="496"/>
      <c r="B342" s="490"/>
      <c r="C342" s="489"/>
      <c r="E342" s="358"/>
      <c r="F342" s="358"/>
      <c r="G342" s="358"/>
      <c r="H342" s="358"/>
      <c r="I342" s="358"/>
      <c r="J342" s="358"/>
      <c r="K342" s="358"/>
    </row>
    <row r="343" spans="1:11">
      <c r="A343" s="496"/>
      <c r="B343" s="490"/>
      <c r="C343" s="489"/>
      <c r="E343" s="358"/>
      <c r="F343" s="358"/>
      <c r="G343" s="358"/>
      <c r="H343" s="358"/>
      <c r="I343" s="358"/>
      <c r="J343" s="358"/>
      <c r="K343" s="358"/>
    </row>
    <row r="344" spans="1:11" ht="15.75" customHeight="1">
      <c r="A344" s="496"/>
      <c r="B344" s="490"/>
      <c r="C344" s="489"/>
      <c r="E344" s="358"/>
      <c r="F344" s="358"/>
      <c r="G344" s="358"/>
      <c r="H344" s="358"/>
      <c r="I344" s="358"/>
      <c r="J344" s="358"/>
      <c r="K344" s="358"/>
    </row>
    <row r="345" spans="1:11" ht="15.75" customHeight="1">
      <c r="A345" s="496"/>
      <c r="B345" s="490"/>
      <c r="C345" s="489"/>
      <c r="E345" s="358"/>
      <c r="F345" s="358"/>
      <c r="G345" s="358"/>
      <c r="H345" s="358"/>
      <c r="I345" s="358"/>
      <c r="J345" s="358"/>
      <c r="K345" s="358"/>
    </row>
  </sheetData>
  <mergeCells count="397">
    <mergeCell ref="P310:U310"/>
    <mergeCell ref="P311:U311"/>
    <mergeCell ref="AM291:AM295"/>
    <mergeCell ref="AN291:AN295"/>
    <mergeCell ref="AO291:AO295"/>
    <mergeCell ref="AP291:AP295"/>
    <mergeCell ref="AQ291:AQ295"/>
    <mergeCell ref="AR291:AR295"/>
    <mergeCell ref="AC291:AC295"/>
    <mergeCell ref="AF291:AF295"/>
    <mergeCell ref="AI291:AI295"/>
    <mergeCell ref="AJ291:AJ295"/>
    <mergeCell ref="AK291:AK295"/>
    <mergeCell ref="AL291:AL295"/>
    <mergeCell ref="W291:W295"/>
    <mergeCell ref="X291:X295"/>
    <mergeCell ref="Y291:Y295"/>
    <mergeCell ref="Z291:Z295"/>
    <mergeCell ref="AA291:AA295"/>
    <mergeCell ref="AB291:AB295"/>
    <mergeCell ref="AM288:AM290"/>
    <mergeCell ref="AN288:AN290"/>
    <mergeCell ref="AO288:AO290"/>
    <mergeCell ref="AP288:AP290"/>
    <mergeCell ref="AQ288:AQ290"/>
    <mergeCell ref="AR288:AR290"/>
    <mergeCell ref="AE288:AE296"/>
    <mergeCell ref="AF288:AF290"/>
    <mergeCell ref="AI288:AI290"/>
    <mergeCell ref="AJ288:AJ290"/>
    <mergeCell ref="AK288:AK290"/>
    <mergeCell ref="AL288:AL290"/>
    <mergeCell ref="X288:X290"/>
    <mergeCell ref="Y288:Y290"/>
    <mergeCell ref="Z288:Z290"/>
    <mergeCell ref="AA288:AA290"/>
    <mergeCell ref="AB288:AB290"/>
    <mergeCell ref="AC288:AC290"/>
    <mergeCell ref="P288:P296"/>
    <mergeCell ref="Q288:Q290"/>
    <mergeCell ref="T288:T290"/>
    <mergeCell ref="U288:U290"/>
    <mergeCell ref="V288:V290"/>
    <mergeCell ref="W288:W290"/>
    <mergeCell ref="Q291:Q295"/>
    <mergeCell ref="T291:T295"/>
    <mergeCell ref="U291:U295"/>
    <mergeCell ref="V291:V295"/>
    <mergeCell ref="AQ284:AR286"/>
    <mergeCell ref="B285:B286"/>
    <mergeCell ref="C285:C286"/>
    <mergeCell ref="D285:D286"/>
    <mergeCell ref="E285:E286"/>
    <mergeCell ref="F285:F286"/>
    <mergeCell ref="G285:H285"/>
    <mergeCell ref="I285:J285"/>
    <mergeCell ref="K285:K286"/>
    <mergeCell ref="Z284:AA286"/>
    <mergeCell ref="AB284:AC286"/>
    <mergeCell ref="AH284:AH287"/>
    <mergeCell ref="AI284:AJ286"/>
    <mergeCell ref="AK284:AL286"/>
    <mergeCell ref="AM284:AN286"/>
    <mergeCell ref="AE285:AE287"/>
    <mergeCell ref="AF286:AF287"/>
    <mergeCell ref="AG286:AG287"/>
    <mergeCell ref="AN222:AN224"/>
    <mergeCell ref="AO222:AO224"/>
    <mergeCell ref="AP222:AP224"/>
    <mergeCell ref="P245:U245"/>
    <mergeCell ref="C284:L284"/>
    <mergeCell ref="S284:S287"/>
    <mergeCell ref="T284:U286"/>
    <mergeCell ref="V284:W286"/>
    <mergeCell ref="X284:Y286"/>
    <mergeCell ref="L285:L286"/>
    <mergeCell ref="P285:P287"/>
    <mergeCell ref="Q286:Q287"/>
    <mergeCell ref="R286:R287"/>
    <mergeCell ref="AO284:AP286"/>
    <mergeCell ref="P244:U244"/>
    <mergeCell ref="AF225:AF229"/>
    <mergeCell ref="AI225:AI229"/>
    <mergeCell ref="AJ225:AJ229"/>
    <mergeCell ref="AK225:AK229"/>
    <mergeCell ref="AL225:AL229"/>
    <mergeCell ref="AM225:AM229"/>
    <mergeCell ref="X225:X229"/>
    <mergeCell ref="Y225:Y229"/>
    <mergeCell ref="Z225:Z229"/>
    <mergeCell ref="AA225:AA229"/>
    <mergeCell ref="AB225:AB229"/>
    <mergeCell ref="AC225:AC229"/>
    <mergeCell ref="P222:P230"/>
    <mergeCell ref="Q222:Q224"/>
    <mergeCell ref="T222:T224"/>
    <mergeCell ref="U222:U224"/>
    <mergeCell ref="V222:V224"/>
    <mergeCell ref="W222:W224"/>
    <mergeCell ref="X222:X224"/>
    <mergeCell ref="AQ222:AQ224"/>
    <mergeCell ref="AR222:AR224"/>
    <mergeCell ref="Q225:Q229"/>
    <mergeCell ref="T225:T229"/>
    <mergeCell ref="U225:U229"/>
    <mergeCell ref="V225:V229"/>
    <mergeCell ref="W225:W229"/>
    <mergeCell ref="AF222:AF224"/>
    <mergeCell ref="AI222:AI224"/>
    <mergeCell ref="AJ222:AJ224"/>
    <mergeCell ref="AK222:AK224"/>
    <mergeCell ref="AL222:AL224"/>
    <mergeCell ref="AM222:AM224"/>
    <mergeCell ref="Y222:Y224"/>
    <mergeCell ref="Z222:Z224"/>
    <mergeCell ref="AA222:AA224"/>
    <mergeCell ref="AB222:AB224"/>
    <mergeCell ref="AC222:AC224"/>
    <mergeCell ref="AE222:AE230"/>
    <mergeCell ref="AN225:AN229"/>
    <mergeCell ref="AO225:AO229"/>
    <mergeCell ref="AP225:AP229"/>
    <mergeCell ref="AQ225:AQ229"/>
    <mergeCell ref="AR225:AR229"/>
    <mergeCell ref="AM218:AN220"/>
    <mergeCell ref="AO218:AP220"/>
    <mergeCell ref="AQ218:AR220"/>
    <mergeCell ref="B219:B220"/>
    <mergeCell ref="C219:C220"/>
    <mergeCell ref="D219:D220"/>
    <mergeCell ref="E219:E220"/>
    <mergeCell ref="F219:F220"/>
    <mergeCell ref="G219:H219"/>
    <mergeCell ref="I219:J219"/>
    <mergeCell ref="X218:Y220"/>
    <mergeCell ref="Z218:AA220"/>
    <mergeCell ref="AB218:AC220"/>
    <mergeCell ref="AH218:AH221"/>
    <mergeCell ref="AI218:AJ220"/>
    <mergeCell ref="AK218:AL220"/>
    <mergeCell ref="AE219:AE221"/>
    <mergeCell ref="R220:R221"/>
    <mergeCell ref="AF220:AF221"/>
    <mergeCell ref="AG220:AG221"/>
    <mergeCell ref="P177:U177"/>
    <mergeCell ref="P178:U178"/>
    <mergeCell ref="C218:L218"/>
    <mergeCell ref="S218:S221"/>
    <mergeCell ref="T218:U220"/>
    <mergeCell ref="V218:W220"/>
    <mergeCell ref="K219:K220"/>
    <mergeCell ref="L219:L220"/>
    <mergeCell ref="P219:P221"/>
    <mergeCell ref="Q220:Q221"/>
    <mergeCell ref="X158:X162"/>
    <mergeCell ref="Y158:Y162"/>
    <mergeCell ref="Z158:Z162"/>
    <mergeCell ref="AA158:AA162"/>
    <mergeCell ref="AB158:AB162"/>
    <mergeCell ref="AM155:AM157"/>
    <mergeCell ref="AN155:AN157"/>
    <mergeCell ref="AO155:AO157"/>
    <mergeCell ref="X155:X157"/>
    <mergeCell ref="Y155:Y157"/>
    <mergeCell ref="Z155:Z157"/>
    <mergeCell ref="AA155:AA157"/>
    <mergeCell ref="AB155:AB157"/>
    <mergeCell ref="AC155:AC157"/>
    <mergeCell ref="AM158:AM162"/>
    <mergeCell ref="AN158:AN162"/>
    <mergeCell ref="AO158:AO162"/>
    <mergeCell ref="AC158:AC162"/>
    <mergeCell ref="AF158:AF162"/>
    <mergeCell ref="AI158:AI162"/>
    <mergeCell ref="AJ158:AJ162"/>
    <mergeCell ref="AK158:AK162"/>
    <mergeCell ref="AL158:AL162"/>
    <mergeCell ref="AP155:AP157"/>
    <mergeCell ref="AQ155:AQ157"/>
    <mergeCell ref="AR155:AR157"/>
    <mergeCell ref="AE155:AE163"/>
    <mergeCell ref="AF155:AF157"/>
    <mergeCell ref="AI155:AI157"/>
    <mergeCell ref="AJ155:AJ157"/>
    <mergeCell ref="AK155:AK157"/>
    <mergeCell ref="AL155:AL157"/>
    <mergeCell ref="AP158:AP162"/>
    <mergeCell ref="AQ158:AQ162"/>
    <mergeCell ref="AR158:AR162"/>
    <mergeCell ref="P155:P163"/>
    <mergeCell ref="Q155:Q157"/>
    <mergeCell ref="T155:T157"/>
    <mergeCell ref="U155:U157"/>
    <mergeCell ref="V155:V157"/>
    <mergeCell ref="W155:W157"/>
    <mergeCell ref="Q158:Q162"/>
    <mergeCell ref="T158:T162"/>
    <mergeCell ref="U158:U162"/>
    <mergeCell ref="V158:V162"/>
    <mergeCell ref="W158:W162"/>
    <mergeCell ref="AQ151:AR153"/>
    <mergeCell ref="B152:B153"/>
    <mergeCell ref="C152:C153"/>
    <mergeCell ref="D152:D153"/>
    <mergeCell ref="E152:E153"/>
    <mergeCell ref="F152:F153"/>
    <mergeCell ref="G152:H152"/>
    <mergeCell ref="I152:J152"/>
    <mergeCell ref="K152:K153"/>
    <mergeCell ref="L152:L153"/>
    <mergeCell ref="AB151:AC153"/>
    <mergeCell ref="AH151:AH154"/>
    <mergeCell ref="AI151:AJ153"/>
    <mergeCell ref="AK151:AL153"/>
    <mergeCell ref="AM151:AN153"/>
    <mergeCell ref="AO151:AP153"/>
    <mergeCell ref="AE152:AE154"/>
    <mergeCell ref="AF153:AF154"/>
    <mergeCell ref="AG153:AG154"/>
    <mergeCell ref="C151:L151"/>
    <mergeCell ref="S151:S154"/>
    <mergeCell ref="T151:U153"/>
    <mergeCell ref="V151:W153"/>
    <mergeCell ref="X151:Y153"/>
    <mergeCell ref="Z151:AA153"/>
    <mergeCell ref="P152:P154"/>
    <mergeCell ref="Q153:Q154"/>
    <mergeCell ref="R153:R154"/>
    <mergeCell ref="P105:U105"/>
    <mergeCell ref="P106:U106"/>
    <mergeCell ref="B149:B150"/>
    <mergeCell ref="C149:M149"/>
    <mergeCell ref="P149:U149"/>
    <mergeCell ref="C150:M150"/>
    <mergeCell ref="P150:U150"/>
    <mergeCell ref="X86:X90"/>
    <mergeCell ref="Y86:Y90"/>
    <mergeCell ref="Z86:Z90"/>
    <mergeCell ref="AA86:AA90"/>
    <mergeCell ref="AB86:AB90"/>
    <mergeCell ref="AM83:AM85"/>
    <mergeCell ref="AN83:AN85"/>
    <mergeCell ref="AO83:AO85"/>
    <mergeCell ref="X83:X85"/>
    <mergeCell ref="Y83:Y85"/>
    <mergeCell ref="Z83:Z85"/>
    <mergeCell ref="AA83:AA85"/>
    <mergeCell ref="AB83:AB85"/>
    <mergeCell ref="AC83:AC85"/>
    <mergeCell ref="AM86:AM90"/>
    <mergeCell ref="AN86:AN90"/>
    <mergeCell ref="AO86:AO90"/>
    <mergeCell ref="AC86:AC90"/>
    <mergeCell ref="AF86:AF90"/>
    <mergeCell ref="AI86:AI90"/>
    <mergeCell ref="AJ86:AJ90"/>
    <mergeCell ref="AK86:AK90"/>
    <mergeCell ref="AL86:AL90"/>
    <mergeCell ref="AP83:AP85"/>
    <mergeCell ref="AQ83:AQ85"/>
    <mergeCell ref="AR83:AR85"/>
    <mergeCell ref="AE83:AE91"/>
    <mergeCell ref="AF83:AF85"/>
    <mergeCell ref="AI83:AI85"/>
    <mergeCell ref="AJ83:AJ85"/>
    <mergeCell ref="AK83:AK85"/>
    <mergeCell ref="AL83:AL85"/>
    <mergeCell ref="AP86:AP90"/>
    <mergeCell ref="AQ86:AQ90"/>
    <mergeCell ref="AR86:AR90"/>
    <mergeCell ref="P83:P91"/>
    <mergeCell ref="Q83:Q85"/>
    <mergeCell ref="T83:T85"/>
    <mergeCell ref="U83:U85"/>
    <mergeCell ref="V83:V85"/>
    <mergeCell ref="W83:W85"/>
    <mergeCell ref="Q86:Q90"/>
    <mergeCell ref="T86:T90"/>
    <mergeCell ref="U86:U90"/>
    <mergeCell ref="V86:V90"/>
    <mergeCell ref="W86:W90"/>
    <mergeCell ref="AQ79:AR81"/>
    <mergeCell ref="B80:B81"/>
    <mergeCell ref="C80:C81"/>
    <mergeCell ref="D80:D81"/>
    <mergeCell ref="E80:E81"/>
    <mergeCell ref="F80:F81"/>
    <mergeCell ref="G80:H80"/>
    <mergeCell ref="I80:J80"/>
    <mergeCell ref="K80:K81"/>
    <mergeCell ref="L80:L81"/>
    <mergeCell ref="AB79:AC81"/>
    <mergeCell ref="AH79:AH82"/>
    <mergeCell ref="AI79:AJ81"/>
    <mergeCell ref="AK79:AL81"/>
    <mergeCell ref="AM79:AN81"/>
    <mergeCell ref="AO79:AP81"/>
    <mergeCell ref="AE80:AE82"/>
    <mergeCell ref="AF81:AF82"/>
    <mergeCell ref="AG81:AG82"/>
    <mergeCell ref="C79:L79"/>
    <mergeCell ref="S79:S82"/>
    <mergeCell ref="T79:U81"/>
    <mergeCell ref="V79:W81"/>
    <mergeCell ref="X79:Y81"/>
    <mergeCell ref="Z79:AA81"/>
    <mergeCell ref="P80:P82"/>
    <mergeCell ref="Q81:Q82"/>
    <mergeCell ref="R81:R82"/>
    <mergeCell ref="C23:F27"/>
    <mergeCell ref="P33:U33"/>
    <mergeCell ref="P34:U34"/>
    <mergeCell ref="C42:F42"/>
    <mergeCell ref="B77:B78"/>
    <mergeCell ref="C77:M77"/>
    <mergeCell ref="P77:U77"/>
    <mergeCell ref="C78:M78"/>
    <mergeCell ref="P78:U78"/>
    <mergeCell ref="X14:X18"/>
    <mergeCell ref="Y14:Y18"/>
    <mergeCell ref="Z14:Z18"/>
    <mergeCell ref="AA14:AA18"/>
    <mergeCell ref="AB14:AB18"/>
    <mergeCell ref="AM11:AM13"/>
    <mergeCell ref="AN11:AN13"/>
    <mergeCell ref="AO11:AO13"/>
    <mergeCell ref="X11:X13"/>
    <mergeCell ref="Y11:Y13"/>
    <mergeCell ref="Z11:Z13"/>
    <mergeCell ref="AA11:AA13"/>
    <mergeCell ref="AB11:AB13"/>
    <mergeCell ref="AC11:AC13"/>
    <mergeCell ref="AM14:AM18"/>
    <mergeCell ref="AN14:AN18"/>
    <mergeCell ref="AO14:AO18"/>
    <mergeCell ref="AC14:AC18"/>
    <mergeCell ref="AF14:AF18"/>
    <mergeCell ref="AI14:AI18"/>
    <mergeCell ref="AJ14:AJ18"/>
    <mergeCell ref="AK14:AK18"/>
    <mergeCell ref="AL14:AL18"/>
    <mergeCell ref="AP11:AP13"/>
    <mergeCell ref="AQ11:AQ13"/>
    <mergeCell ref="AR11:AR13"/>
    <mergeCell ref="AE11:AE19"/>
    <mergeCell ref="AF11:AF13"/>
    <mergeCell ref="AI11:AI13"/>
    <mergeCell ref="AJ11:AJ13"/>
    <mergeCell ref="AK11:AK13"/>
    <mergeCell ref="AL11:AL13"/>
    <mergeCell ref="AG19:AH19"/>
    <mergeCell ref="AP14:AP18"/>
    <mergeCell ref="AQ14:AQ18"/>
    <mergeCell ref="AR14:AR18"/>
    <mergeCell ref="P11:P19"/>
    <mergeCell ref="Q11:Q13"/>
    <mergeCell ref="T11:T13"/>
    <mergeCell ref="U11:U13"/>
    <mergeCell ref="V11:V13"/>
    <mergeCell ref="W11:W13"/>
    <mergeCell ref="Q14:Q18"/>
    <mergeCell ref="T14:T18"/>
    <mergeCell ref="U14:U18"/>
    <mergeCell ref="V14:V18"/>
    <mergeCell ref="W14:W18"/>
    <mergeCell ref="AQ7:AR9"/>
    <mergeCell ref="B8:B9"/>
    <mergeCell ref="C8:C9"/>
    <mergeCell ref="D8:D9"/>
    <mergeCell ref="E8:E9"/>
    <mergeCell ref="F8:F9"/>
    <mergeCell ref="G8:H8"/>
    <mergeCell ref="V7:W9"/>
    <mergeCell ref="X7:Y9"/>
    <mergeCell ref="Z7:AA9"/>
    <mergeCell ref="AB7:AC9"/>
    <mergeCell ref="AH7:AH10"/>
    <mergeCell ref="AI7:AJ9"/>
    <mergeCell ref="AG9:AG10"/>
    <mergeCell ref="L8:L9"/>
    <mergeCell ref="P8:P10"/>
    <mergeCell ref="AE8:AE10"/>
    <mergeCell ref="Q9:Q10"/>
    <mergeCell ref="R9:R10"/>
    <mergeCell ref="AF9:AF10"/>
    <mergeCell ref="AK7:AL9"/>
    <mergeCell ref="AM7:AN9"/>
    <mergeCell ref="AO7:AP9"/>
    <mergeCell ref="B5:B6"/>
    <mergeCell ref="C5:M5"/>
    <mergeCell ref="P5:U5"/>
    <mergeCell ref="C6:M6"/>
    <mergeCell ref="C7:L7"/>
    <mergeCell ref="S7:S10"/>
    <mergeCell ref="T7:U9"/>
    <mergeCell ref="I8:J8"/>
    <mergeCell ref="K8:K9"/>
  </mergeCell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EF1C0-8B9A-4246-ABA2-97498C1EE0BA}">
  <sheetPr>
    <tabColor theme="3"/>
  </sheetPr>
  <dimension ref="A1:AR345"/>
  <sheetViews>
    <sheetView topLeftCell="J1" zoomScale="55" zoomScaleNormal="55" workbookViewId="0">
      <selection activeCell="Y19" sqref="Y19"/>
    </sheetView>
  </sheetViews>
  <sheetFormatPr baseColWidth="10" defaultColWidth="8.83203125" defaultRowHeight="15" outlineLevelRow="1"/>
  <cols>
    <col min="1" max="1" width="35.1640625" style="224" bestFit="1" customWidth="1"/>
    <col min="2" max="2" width="63.5" style="224" bestFit="1" customWidth="1"/>
    <col min="3" max="6" width="11" style="224" bestFit="1" customWidth="1"/>
    <col min="7" max="12" width="11" style="224" customWidth="1"/>
    <col min="13" max="13" width="8.83203125" style="224"/>
    <col min="14" max="14" width="4.5" style="224" customWidth="1"/>
    <col min="15" max="15" width="15.83203125" style="224" customWidth="1"/>
    <col min="16" max="16384" width="8.83203125" style="224"/>
  </cols>
  <sheetData>
    <row r="1" spans="1:44" ht="20" thickBot="1">
      <c r="A1" s="672" t="s">
        <v>918</v>
      </c>
      <c r="B1" s="673"/>
    </row>
    <row r="2" spans="1:44">
      <c r="B2" s="638" t="str">
        <f>C7</f>
        <v>High temperature heat pumps, up to 125 °C</v>
      </c>
    </row>
    <row r="4" spans="1:44" ht="25" customHeight="1">
      <c r="E4" s="224" t="s">
        <v>358</v>
      </c>
      <c r="F4" s="359">
        <v>7.45</v>
      </c>
      <c r="G4" s="359" t="s">
        <v>328</v>
      </c>
    </row>
    <row r="5" spans="1:44" ht="15" customHeight="1">
      <c r="A5" s="360" t="s">
        <v>909</v>
      </c>
      <c r="B5" s="1207"/>
      <c r="C5" s="1143"/>
      <c r="D5" s="1143"/>
      <c r="E5" s="1143"/>
      <c r="F5" s="1143"/>
      <c r="G5" s="1143"/>
      <c r="H5" s="1143"/>
      <c r="I5" s="1143"/>
      <c r="J5" s="1143"/>
      <c r="K5" s="1143"/>
      <c r="L5" s="1143"/>
      <c r="M5" s="1143"/>
      <c r="N5" s="361"/>
      <c r="P5" s="1143"/>
      <c r="Q5" s="1143"/>
      <c r="R5" s="1143"/>
      <c r="S5" s="1143"/>
      <c r="T5" s="1143"/>
      <c r="U5" s="1143"/>
    </row>
    <row r="6" spans="1:44" ht="15.75" customHeight="1" outlineLevel="1" thickBot="1">
      <c r="B6" s="1207"/>
      <c r="C6" s="1143"/>
      <c r="D6" s="1143"/>
      <c r="E6" s="1143"/>
      <c r="F6" s="1143"/>
      <c r="G6" s="1143"/>
      <c r="H6" s="1143"/>
      <c r="I6" s="1143"/>
      <c r="J6" s="1143"/>
      <c r="K6" s="1143"/>
      <c r="L6" s="1143"/>
      <c r="M6" s="1143"/>
      <c r="N6" s="361"/>
      <c r="P6" s="692">
        <v>1</v>
      </c>
      <c r="Q6" s="692">
        <v>2</v>
      </c>
      <c r="R6" s="692">
        <v>3</v>
      </c>
      <c r="S6" s="692">
        <v>4</v>
      </c>
      <c r="T6" s="692">
        <v>5</v>
      </c>
      <c r="U6" s="692">
        <v>6</v>
      </c>
      <c r="V6" s="692">
        <v>7</v>
      </c>
      <c r="W6" s="692">
        <v>8</v>
      </c>
      <c r="X6" s="692">
        <v>9</v>
      </c>
      <c r="Y6" s="692">
        <v>10</v>
      </c>
      <c r="Z6" s="692">
        <v>11</v>
      </c>
      <c r="AA6" s="692">
        <v>12</v>
      </c>
      <c r="AB6" s="692">
        <v>13</v>
      </c>
      <c r="AC6" s="692">
        <v>14</v>
      </c>
    </row>
    <row r="7" spans="1:44" ht="20.25" customHeight="1" outlineLevel="1" thickBot="1">
      <c r="B7" s="362" t="s">
        <v>0</v>
      </c>
      <c r="C7" s="1223" t="s">
        <v>900</v>
      </c>
      <c r="D7" s="1224"/>
      <c r="E7" s="1224"/>
      <c r="F7" s="1224"/>
      <c r="G7" s="1224"/>
      <c r="H7" s="1224"/>
      <c r="I7" s="1224"/>
      <c r="J7" s="1224"/>
      <c r="K7" s="1224"/>
      <c r="L7" s="1225"/>
      <c r="M7" s="363"/>
      <c r="N7" s="363"/>
      <c r="P7" s="364" t="s">
        <v>713</v>
      </c>
      <c r="Q7" s="365"/>
      <c r="R7" s="366"/>
      <c r="S7" s="1176" t="s">
        <v>714</v>
      </c>
      <c r="T7" s="1160" t="s">
        <v>715</v>
      </c>
      <c r="U7" s="1161"/>
      <c r="V7" s="1160" t="s">
        <v>716</v>
      </c>
      <c r="W7" s="1161"/>
      <c r="X7" s="1160" t="s">
        <v>717</v>
      </c>
      <c r="Y7" s="1161"/>
      <c r="Z7" s="1160" t="s">
        <v>718</v>
      </c>
      <c r="AA7" s="1161"/>
      <c r="AB7" s="1160" t="s">
        <v>719</v>
      </c>
      <c r="AC7" s="1161"/>
      <c r="AE7" s="364" t="s">
        <v>720</v>
      </c>
      <c r="AF7" s="365"/>
      <c r="AG7" s="366"/>
      <c r="AH7" s="1176" t="s">
        <v>714</v>
      </c>
      <c r="AI7" s="1160" t="s">
        <v>715</v>
      </c>
      <c r="AJ7" s="1161"/>
      <c r="AK7" s="1160" t="s">
        <v>716</v>
      </c>
      <c r="AL7" s="1161"/>
      <c r="AM7" s="1160" t="s">
        <v>717</v>
      </c>
      <c r="AN7" s="1161"/>
      <c r="AO7" s="1160" t="s">
        <v>718</v>
      </c>
      <c r="AP7" s="1161"/>
      <c r="AQ7" s="1160" t="s">
        <v>719</v>
      </c>
      <c r="AR7" s="1161"/>
    </row>
    <row r="8" spans="1:44" ht="15" customHeight="1" outlineLevel="1" thickBot="1">
      <c r="B8" s="1164" t="s">
        <v>4</v>
      </c>
      <c r="C8" s="1166">
        <v>2020</v>
      </c>
      <c r="D8" s="1166">
        <v>2030</v>
      </c>
      <c r="E8" s="1166">
        <v>2040</v>
      </c>
      <c r="F8" s="1166">
        <v>2050</v>
      </c>
      <c r="G8" s="1230" t="s">
        <v>721</v>
      </c>
      <c r="H8" s="1218"/>
      <c r="I8" s="1217" t="s">
        <v>648</v>
      </c>
      <c r="J8" s="1226"/>
      <c r="K8" s="1219" t="s">
        <v>2</v>
      </c>
      <c r="L8" s="1219" t="s">
        <v>3</v>
      </c>
      <c r="M8" s="367"/>
      <c r="N8" s="367"/>
      <c r="P8" s="1180" t="s">
        <v>0</v>
      </c>
      <c r="Q8" s="368"/>
      <c r="R8" s="368"/>
      <c r="S8" s="1177"/>
      <c r="T8" s="1162"/>
      <c r="U8" s="1163"/>
      <c r="V8" s="1162"/>
      <c r="W8" s="1163"/>
      <c r="X8" s="1162"/>
      <c r="Y8" s="1163"/>
      <c r="Z8" s="1162"/>
      <c r="AA8" s="1163"/>
      <c r="AB8" s="1162"/>
      <c r="AC8" s="1163"/>
      <c r="AE8" s="1180" t="s">
        <v>0</v>
      </c>
      <c r="AF8" s="368"/>
      <c r="AG8" s="368"/>
      <c r="AH8" s="1177"/>
      <c r="AI8" s="1162"/>
      <c r="AJ8" s="1163"/>
      <c r="AK8" s="1162"/>
      <c r="AL8" s="1163"/>
      <c r="AM8" s="1162"/>
      <c r="AN8" s="1163"/>
      <c r="AO8" s="1162"/>
      <c r="AP8" s="1163"/>
      <c r="AQ8" s="1162"/>
      <c r="AR8" s="1163"/>
    </row>
    <row r="9" spans="1:44" ht="16" outlineLevel="1" thickBot="1">
      <c r="B9" s="1228"/>
      <c r="C9" s="1229"/>
      <c r="D9" s="1229"/>
      <c r="E9" s="1229"/>
      <c r="F9" s="1229"/>
      <c r="G9" s="369" t="s">
        <v>649</v>
      </c>
      <c r="H9" s="369" t="s">
        <v>650</v>
      </c>
      <c r="I9" s="369" t="s">
        <v>649</v>
      </c>
      <c r="J9" s="369" t="s">
        <v>650</v>
      </c>
      <c r="K9" s="1227"/>
      <c r="L9" s="1227"/>
      <c r="M9" s="370"/>
      <c r="N9" s="370"/>
      <c r="P9" s="1181"/>
      <c r="Q9" s="1183" t="s">
        <v>722</v>
      </c>
      <c r="R9" s="1184" t="s">
        <v>723</v>
      </c>
      <c r="S9" s="1178"/>
      <c r="T9" s="1162"/>
      <c r="U9" s="1163"/>
      <c r="V9" s="1162"/>
      <c r="W9" s="1163"/>
      <c r="X9" s="1162"/>
      <c r="Y9" s="1163"/>
      <c r="Z9" s="1162"/>
      <c r="AA9" s="1163"/>
      <c r="AB9" s="1162"/>
      <c r="AC9" s="1163"/>
      <c r="AE9" s="1181"/>
      <c r="AF9" s="1197" t="s">
        <v>722</v>
      </c>
      <c r="AG9" s="1184" t="s">
        <v>723</v>
      </c>
      <c r="AH9" s="1178"/>
      <c r="AI9" s="1162"/>
      <c r="AJ9" s="1163"/>
      <c r="AK9" s="1162"/>
      <c r="AL9" s="1163"/>
      <c r="AM9" s="1162"/>
      <c r="AN9" s="1163"/>
      <c r="AO9" s="1162"/>
      <c r="AP9" s="1163"/>
      <c r="AQ9" s="1162"/>
      <c r="AR9" s="1163"/>
    </row>
    <row r="10" spans="1:44" ht="54.5" customHeight="1" outlineLevel="1" thickBot="1">
      <c r="B10" s="371" t="s">
        <v>651</v>
      </c>
      <c r="C10" s="372">
        <v>1.5</v>
      </c>
      <c r="D10" s="372">
        <v>1.5</v>
      </c>
      <c r="E10" s="372">
        <v>1.5</v>
      </c>
      <c r="F10" s="372">
        <v>1.5</v>
      </c>
      <c r="G10" s="372">
        <v>0.5</v>
      </c>
      <c r="H10" s="372">
        <v>5</v>
      </c>
      <c r="I10" s="372">
        <v>0.5</v>
      </c>
      <c r="J10" s="372">
        <v>5</v>
      </c>
      <c r="K10" s="372" t="s">
        <v>6</v>
      </c>
      <c r="L10" s="373"/>
      <c r="M10" s="370"/>
      <c r="N10" s="370"/>
      <c r="O10" s="74"/>
      <c r="P10" s="1182"/>
      <c r="Q10" s="1179"/>
      <c r="R10" s="1185"/>
      <c r="S10" s="1179"/>
      <c r="T10" s="374" t="s">
        <v>726</v>
      </c>
      <c r="U10" s="375" t="s">
        <v>727</v>
      </c>
      <c r="V10" s="374" t="s">
        <v>726</v>
      </c>
      <c r="W10" s="375" t="s">
        <v>727</v>
      </c>
      <c r="X10" s="374" t="s">
        <v>726</v>
      </c>
      <c r="Y10" s="375" t="s">
        <v>727</v>
      </c>
      <c r="Z10" s="374" t="s">
        <v>726</v>
      </c>
      <c r="AA10" s="375" t="s">
        <v>727</v>
      </c>
      <c r="AB10" s="374" t="s">
        <v>726</v>
      </c>
      <c r="AC10" s="375" t="s">
        <v>727</v>
      </c>
      <c r="AE10" s="1182"/>
      <c r="AF10" s="1198"/>
      <c r="AG10" s="1185"/>
      <c r="AH10" s="1179"/>
      <c r="AI10" s="374" t="s">
        <v>726</v>
      </c>
      <c r="AJ10" s="375" t="s">
        <v>727</v>
      </c>
      <c r="AK10" s="374" t="s">
        <v>726</v>
      </c>
      <c r="AL10" s="375" t="s">
        <v>727</v>
      </c>
      <c r="AM10" s="374" t="s">
        <v>726</v>
      </c>
      <c r="AN10" s="375" t="s">
        <v>727</v>
      </c>
      <c r="AO10" s="374" t="s">
        <v>726</v>
      </c>
      <c r="AP10" s="375" t="s">
        <v>727</v>
      </c>
      <c r="AQ10" s="374" t="s">
        <v>726</v>
      </c>
      <c r="AR10" s="375" t="s">
        <v>727</v>
      </c>
    </row>
    <row r="11" spans="1:44" ht="24.5" customHeight="1" outlineLevel="1">
      <c r="B11" s="376" t="s">
        <v>728</v>
      </c>
      <c r="C11" s="639">
        <v>260</v>
      </c>
      <c r="D11" s="639">
        <f>415-140</f>
        <v>275</v>
      </c>
      <c r="E11" s="640">
        <f>425-140</f>
        <v>285</v>
      </c>
      <c r="F11" s="639">
        <f>430-140</f>
        <v>290</v>
      </c>
      <c r="G11" s="639">
        <f>C11</f>
        <v>260</v>
      </c>
      <c r="H11" s="639">
        <f>D11*1.1</f>
        <v>302.5</v>
      </c>
      <c r="I11" s="639">
        <f>C11</f>
        <v>260</v>
      </c>
      <c r="J11" s="639">
        <f>F11*1.1</f>
        <v>319</v>
      </c>
      <c r="K11" s="379"/>
      <c r="L11" s="380">
        <v>1.5</v>
      </c>
      <c r="M11" s="370"/>
      <c r="N11" s="370"/>
      <c r="P11" s="1199" t="str">
        <f>C7</f>
        <v>High temperature heat pumps, up to 125 °C</v>
      </c>
      <c r="Q11" s="1154" t="s">
        <v>730</v>
      </c>
      <c r="R11" s="381" t="s">
        <v>731</v>
      </c>
      <c r="S11" s="382"/>
      <c r="T11" s="1137">
        <v>0</v>
      </c>
      <c r="U11" s="1151">
        <v>0</v>
      </c>
      <c r="V11" s="1157">
        <v>0</v>
      </c>
      <c r="W11" s="1151">
        <v>0</v>
      </c>
      <c r="X11" s="1157">
        <v>0</v>
      </c>
      <c r="Y11" s="1151">
        <v>0</v>
      </c>
      <c r="Z11" s="1157">
        <v>0</v>
      </c>
      <c r="AA11" s="1151">
        <v>0</v>
      </c>
      <c r="AB11" s="1157">
        <v>0</v>
      </c>
      <c r="AC11" s="1151">
        <v>0</v>
      </c>
      <c r="AE11" s="1148" t="str">
        <f>P11</f>
        <v>High temperature heat pumps, up to 125 °C</v>
      </c>
      <c r="AF11" s="1154" t="s">
        <v>730</v>
      </c>
      <c r="AG11" s="381" t="s">
        <v>731</v>
      </c>
      <c r="AH11" s="382"/>
      <c r="AI11" s="1137">
        <v>0</v>
      </c>
      <c r="AJ11" s="1151">
        <v>0</v>
      </c>
      <c r="AK11" s="1157">
        <v>0</v>
      </c>
      <c r="AL11" s="1151">
        <v>0</v>
      </c>
      <c r="AM11" s="1157">
        <v>0</v>
      </c>
      <c r="AN11" s="1151">
        <v>0</v>
      </c>
      <c r="AO11" s="1157">
        <v>0</v>
      </c>
      <c r="AP11" s="1151">
        <v>0</v>
      </c>
      <c r="AQ11" s="1157">
        <v>0</v>
      </c>
      <c r="AR11" s="1151">
        <v>0</v>
      </c>
    </row>
    <row r="12" spans="1:44" ht="32.5" customHeight="1" outlineLevel="1">
      <c r="B12" s="383" t="s">
        <v>732</v>
      </c>
      <c r="C12" s="577">
        <f>C11-5</f>
        <v>255</v>
      </c>
      <c r="D12" s="577">
        <f t="shared" ref="D12:J12" si="0">D11-5</f>
        <v>270</v>
      </c>
      <c r="E12" s="577">
        <f t="shared" si="0"/>
        <v>280</v>
      </c>
      <c r="F12" s="577">
        <f t="shared" si="0"/>
        <v>285</v>
      </c>
      <c r="G12" s="641">
        <f t="shared" si="0"/>
        <v>255</v>
      </c>
      <c r="H12" s="641">
        <f t="shared" si="0"/>
        <v>297.5</v>
      </c>
      <c r="I12" s="641">
        <f t="shared" si="0"/>
        <v>255</v>
      </c>
      <c r="J12" s="641">
        <f t="shared" si="0"/>
        <v>314</v>
      </c>
      <c r="K12" s="386" t="s">
        <v>59</v>
      </c>
      <c r="L12" s="387"/>
      <c r="M12" s="370"/>
      <c r="N12" s="370"/>
      <c r="O12" s="71"/>
      <c r="P12" s="1195"/>
      <c r="Q12" s="1155"/>
      <c r="R12" s="388" t="s">
        <v>733</v>
      </c>
      <c r="S12" s="389"/>
      <c r="T12" s="1140"/>
      <c r="U12" s="1152"/>
      <c r="V12" s="1158"/>
      <c r="W12" s="1152"/>
      <c r="X12" s="1158"/>
      <c r="Y12" s="1152"/>
      <c r="Z12" s="1158"/>
      <c r="AA12" s="1152"/>
      <c r="AB12" s="1158"/>
      <c r="AC12" s="1152"/>
      <c r="AE12" s="1195"/>
      <c r="AF12" s="1155"/>
      <c r="AG12" s="388" t="s">
        <v>733</v>
      </c>
      <c r="AH12" s="389"/>
      <c r="AI12" s="1140"/>
      <c r="AJ12" s="1152"/>
      <c r="AK12" s="1158"/>
      <c r="AL12" s="1152"/>
      <c r="AM12" s="1158"/>
      <c r="AN12" s="1152"/>
      <c r="AO12" s="1158"/>
      <c r="AP12" s="1152"/>
      <c r="AQ12" s="1158"/>
      <c r="AR12" s="1152"/>
    </row>
    <row r="13" spans="1:44" ht="16" outlineLevel="1" thickBot="1">
      <c r="B13" s="376" t="s">
        <v>734</v>
      </c>
      <c r="C13" s="390">
        <v>2</v>
      </c>
      <c r="D13" s="391">
        <v>2</v>
      </c>
      <c r="E13" s="391">
        <v>2</v>
      </c>
      <c r="F13" s="392">
        <v>2</v>
      </c>
      <c r="G13" s="391">
        <v>1</v>
      </c>
      <c r="H13" s="391">
        <v>7</v>
      </c>
      <c r="I13" s="391">
        <v>1</v>
      </c>
      <c r="J13" s="391">
        <v>7</v>
      </c>
      <c r="K13" s="379"/>
      <c r="L13" s="380">
        <v>2</v>
      </c>
      <c r="M13" s="370"/>
      <c r="N13" s="370"/>
      <c r="O13" s="71"/>
      <c r="P13" s="1195"/>
      <c r="Q13" s="1156"/>
      <c r="R13" s="393" t="s">
        <v>735</v>
      </c>
      <c r="S13" s="394"/>
      <c r="T13" s="1141"/>
      <c r="U13" s="1153"/>
      <c r="V13" s="1159"/>
      <c r="W13" s="1153"/>
      <c r="X13" s="1159"/>
      <c r="Y13" s="1153"/>
      <c r="Z13" s="1159"/>
      <c r="AA13" s="1153"/>
      <c r="AB13" s="1159"/>
      <c r="AC13" s="1153"/>
      <c r="AE13" s="1195"/>
      <c r="AF13" s="1156"/>
      <c r="AG13" s="393" t="s">
        <v>735</v>
      </c>
      <c r="AH13" s="394"/>
      <c r="AI13" s="1141"/>
      <c r="AJ13" s="1153"/>
      <c r="AK13" s="1159"/>
      <c r="AL13" s="1153"/>
      <c r="AM13" s="1159"/>
      <c r="AN13" s="1153"/>
      <c r="AO13" s="1159"/>
      <c r="AP13" s="1153"/>
      <c r="AQ13" s="1159"/>
      <c r="AR13" s="1153"/>
    </row>
    <row r="14" spans="1:44" ht="15" customHeight="1" outlineLevel="1">
      <c r="B14" s="376" t="s">
        <v>657</v>
      </c>
      <c r="C14" s="390">
        <v>0</v>
      </c>
      <c r="D14" s="390">
        <v>0</v>
      </c>
      <c r="E14" s="390">
        <v>0</v>
      </c>
      <c r="F14" s="390">
        <v>0</v>
      </c>
      <c r="G14" s="390">
        <v>0</v>
      </c>
      <c r="H14" s="390">
        <v>0.01</v>
      </c>
      <c r="I14" s="390">
        <v>0</v>
      </c>
      <c r="J14" s="390">
        <v>0.01</v>
      </c>
      <c r="K14" s="379" t="s">
        <v>16</v>
      </c>
      <c r="L14" s="380">
        <v>2</v>
      </c>
      <c r="M14" s="370"/>
      <c r="N14" s="370"/>
      <c r="O14" s="71"/>
      <c r="P14" s="1195"/>
      <c r="Q14" s="1154" t="s">
        <v>736</v>
      </c>
      <c r="R14" s="395" t="s">
        <v>737</v>
      </c>
      <c r="S14" s="396" t="s">
        <v>738</v>
      </c>
      <c r="T14" s="1137">
        <v>0</v>
      </c>
      <c r="U14" s="1137">
        <f>0.23</f>
        <v>0.23</v>
      </c>
      <c r="V14" s="1137">
        <v>0</v>
      </c>
      <c r="W14" s="1137">
        <f>0.26</f>
        <v>0.26</v>
      </c>
      <c r="X14" s="1137">
        <v>0</v>
      </c>
      <c r="Y14" s="1137">
        <f>0.16</f>
        <v>0.16</v>
      </c>
      <c r="Z14" s="1137">
        <v>0</v>
      </c>
      <c r="AA14" s="1137">
        <v>0.17</v>
      </c>
      <c r="AB14" s="1137">
        <v>0</v>
      </c>
      <c r="AC14" s="1151">
        <f>0.16</f>
        <v>0.16</v>
      </c>
      <c r="AE14" s="1195"/>
      <c r="AF14" s="1154" t="s">
        <v>736</v>
      </c>
      <c r="AG14" s="395" t="s">
        <v>737</v>
      </c>
      <c r="AH14" s="396" t="s">
        <v>738</v>
      </c>
      <c r="AI14" s="1137">
        <v>0</v>
      </c>
      <c r="AJ14" s="1137">
        <f>U14/4</f>
        <v>5.7500000000000002E-2</v>
      </c>
      <c r="AK14" s="1137">
        <v>0</v>
      </c>
      <c r="AL14" s="1137">
        <f>W14/4</f>
        <v>6.5000000000000002E-2</v>
      </c>
      <c r="AM14" s="1137">
        <v>0</v>
      </c>
      <c r="AN14" s="1137">
        <f>Y14/4</f>
        <v>0.04</v>
      </c>
      <c r="AO14" s="1137">
        <v>0</v>
      </c>
      <c r="AP14" s="1137">
        <f>AA14/4</f>
        <v>4.2500000000000003E-2</v>
      </c>
      <c r="AQ14" s="1137">
        <v>0</v>
      </c>
      <c r="AR14" s="1151">
        <f>AC14/4</f>
        <v>0.04</v>
      </c>
    </row>
    <row r="15" spans="1:44" outlineLevel="1">
      <c r="B15" s="376" t="s">
        <v>658</v>
      </c>
      <c r="C15" s="390">
        <v>0.5</v>
      </c>
      <c r="D15" s="390">
        <v>0.5</v>
      </c>
      <c r="E15" s="390">
        <v>0.5</v>
      </c>
      <c r="F15" s="390">
        <v>0.5</v>
      </c>
      <c r="G15" s="390">
        <v>0</v>
      </c>
      <c r="H15" s="390">
        <v>1</v>
      </c>
      <c r="I15" s="390">
        <v>0</v>
      </c>
      <c r="J15" s="390">
        <v>1</v>
      </c>
      <c r="K15" s="379"/>
      <c r="L15" s="380">
        <v>2</v>
      </c>
      <c r="M15" s="367"/>
      <c r="N15" s="367"/>
      <c r="O15" s="71"/>
      <c r="P15" s="1195"/>
      <c r="Q15" s="1155"/>
      <c r="R15" s="395" t="s">
        <v>739</v>
      </c>
      <c r="S15" s="396" t="s">
        <v>738</v>
      </c>
      <c r="T15" s="1191"/>
      <c r="U15" s="1191"/>
      <c r="V15" s="1191"/>
      <c r="W15" s="1191"/>
      <c r="X15" s="1191"/>
      <c r="Y15" s="1191"/>
      <c r="Z15" s="1191"/>
      <c r="AA15" s="1191"/>
      <c r="AB15" s="1191"/>
      <c r="AC15" s="1193"/>
      <c r="AE15" s="1195"/>
      <c r="AF15" s="1155"/>
      <c r="AG15" s="395" t="s">
        <v>739</v>
      </c>
      <c r="AH15" s="396" t="s">
        <v>738</v>
      </c>
      <c r="AI15" s="1191"/>
      <c r="AJ15" s="1191"/>
      <c r="AK15" s="1191"/>
      <c r="AL15" s="1191"/>
      <c r="AM15" s="1191"/>
      <c r="AN15" s="1191"/>
      <c r="AO15" s="1191"/>
      <c r="AP15" s="1191"/>
      <c r="AQ15" s="1191"/>
      <c r="AR15" s="1193"/>
    </row>
    <row r="16" spans="1:44" outlineLevel="1">
      <c r="B16" s="383" t="s">
        <v>11</v>
      </c>
      <c r="C16" s="397">
        <v>20</v>
      </c>
      <c r="D16" s="397">
        <v>20</v>
      </c>
      <c r="E16" s="397">
        <v>20</v>
      </c>
      <c r="F16" s="397">
        <v>20</v>
      </c>
      <c r="G16" s="398">
        <v>15</v>
      </c>
      <c r="H16" s="398">
        <v>30</v>
      </c>
      <c r="I16" s="398">
        <v>15</v>
      </c>
      <c r="J16" s="398">
        <v>30</v>
      </c>
      <c r="K16" s="372"/>
      <c r="L16" s="373">
        <v>2</v>
      </c>
      <c r="M16" s="363"/>
      <c r="N16" s="363"/>
      <c r="P16" s="1195"/>
      <c r="Q16" s="1155"/>
      <c r="R16" s="395" t="s">
        <v>741</v>
      </c>
      <c r="S16" s="396"/>
      <c r="T16" s="1191"/>
      <c r="U16" s="1191"/>
      <c r="V16" s="1191"/>
      <c r="W16" s="1191"/>
      <c r="X16" s="1191"/>
      <c r="Y16" s="1191"/>
      <c r="Z16" s="1191"/>
      <c r="AA16" s="1191"/>
      <c r="AB16" s="1191"/>
      <c r="AC16" s="1193"/>
      <c r="AE16" s="1195"/>
      <c r="AF16" s="1155"/>
      <c r="AG16" s="395" t="s">
        <v>741</v>
      </c>
      <c r="AH16" s="629"/>
      <c r="AI16" s="1191"/>
      <c r="AJ16" s="1191"/>
      <c r="AK16" s="1191"/>
      <c r="AL16" s="1191"/>
      <c r="AM16" s="1191"/>
      <c r="AN16" s="1191"/>
      <c r="AO16" s="1191"/>
      <c r="AP16" s="1191"/>
      <c r="AQ16" s="1191"/>
      <c r="AR16" s="1193"/>
    </row>
    <row r="17" spans="1:44" ht="16" outlineLevel="1" thickBot="1">
      <c r="B17" s="376" t="s">
        <v>273</v>
      </c>
      <c r="C17" s="399">
        <v>0.6</v>
      </c>
      <c r="D17" s="399">
        <v>0.6</v>
      </c>
      <c r="E17" s="399">
        <v>0.6</v>
      </c>
      <c r="F17" s="399">
        <v>0.6</v>
      </c>
      <c r="G17" s="399">
        <v>0.4</v>
      </c>
      <c r="H17" s="399">
        <v>0.8</v>
      </c>
      <c r="I17" s="399">
        <v>0.4</v>
      </c>
      <c r="J17" s="399">
        <v>0.8</v>
      </c>
      <c r="K17" s="372" t="s">
        <v>20</v>
      </c>
      <c r="L17" s="400">
        <v>2</v>
      </c>
      <c r="M17" s="363"/>
      <c r="N17" s="363"/>
      <c r="P17" s="1195"/>
      <c r="Q17" s="1155"/>
      <c r="R17" s="395" t="s">
        <v>742</v>
      </c>
      <c r="S17" s="396" t="s">
        <v>738</v>
      </c>
      <c r="T17" s="1191"/>
      <c r="U17" s="1191"/>
      <c r="V17" s="1191"/>
      <c r="W17" s="1191"/>
      <c r="X17" s="1191"/>
      <c r="Y17" s="1191"/>
      <c r="Z17" s="1191"/>
      <c r="AA17" s="1191"/>
      <c r="AB17" s="1191"/>
      <c r="AC17" s="1193"/>
      <c r="AE17" s="1195"/>
      <c r="AF17" s="1155"/>
      <c r="AG17" s="395" t="s">
        <v>742</v>
      </c>
      <c r="AH17" s="396" t="s">
        <v>738</v>
      </c>
      <c r="AI17" s="1191"/>
      <c r="AJ17" s="1191"/>
      <c r="AK17" s="1191"/>
      <c r="AL17" s="1191"/>
      <c r="AM17" s="1191"/>
      <c r="AN17" s="1191"/>
      <c r="AO17" s="1191"/>
      <c r="AP17" s="1191"/>
      <c r="AQ17" s="1191"/>
      <c r="AR17" s="1193"/>
    </row>
    <row r="18" spans="1:44" ht="16" outlineLevel="1" thickBot="1">
      <c r="B18" s="401" t="s">
        <v>743</v>
      </c>
      <c r="C18" s="402"/>
      <c r="D18" s="403"/>
      <c r="E18" s="404"/>
      <c r="F18" s="405"/>
      <c r="G18" s="406"/>
      <c r="H18" s="406"/>
      <c r="I18" s="406"/>
      <c r="J18" s="406"/>
      <c r="K18" s="407"/>
      <c r="L18" s="408"/>
      <c r="M18" s="363"/>
      <c r="N18" s="363"/>
      <c r="P18" s="1195"/>
      <c r="Q18" s="1156"/>
      <c r="R18" s="409" t="s">
        <v>863</v>
      </c>
      <c r="S18" s="410" t="s">
        <v>738</v>
      </c>
      <c r="T18" s="1192"/>
      <c r="U18" s="1192"/>
      <c r="V18" s="1192"/>
      <c r="W18" s="1192"/>
      <c r="X18" s="1192"/>
      <c r="Y18" s="1192"/>
      <c r="Z18" s="1192"/>
      <c r="AA18" s="1192"/>
      <c r="AB18" s="1192"/>
      <c r="AC18" s="1194"/>
      <c r="AE18" s="1195"/>
      <c r="AF18" s="1156"/>
      <c r="AG18" s="409" t="s">
        <v>863</v>
      </c>
      <c r="AH18" s="410" t="s">
        <v>738</v>
      </c>
      <c r="AI18" s="1192"/>
      <c r="AJ18" s="1192"/>
      <c r="AK18" s="1192"/>
      <c r="AL18" s="1192"/>
      <c r="AM18" s="1192"/>
      <c r="AN18" s="1192"/>
      <c r="AO18" s="1192"/>
      <c r="AP18" s="1192"/>
      <c r="AQ18" s="1192"/>
      <c r="AR18" s="1194"/>
    </row>
    <row r="19" spans="1:44" ht="33" outlineLevel="1" thickBot="1">
      <c r="B19" s="376" t="s">
        <v>663</v>
      </c>
      <c r="C19" s="390">
        <v>25</v>
      </c>
      <c r="D19" s="390">
        <v>25</v>
      </c>
      <c r="E19" s="390">
        <v>25</v>
      </c>
      <c r="F19" s="390">
        <v>25</v>
      </c>
      <c r="G19" s="391"/>
      <c r="H19" s="391"/>
      <c r="I19" s="391"/>
      <c r="J19" s="391"/>
      <c r="K19" s="379" t="s">
        <v>76</v>
      </c>
      <c r="L19" s="380">
        <v>4</v>
      </c>
      <c r="M19" s="363"/>
      <c r="N19" s="363"/>
      <c r="P19" s="1196"/>
      <c r="Q19" s="411" t="s">
        <v>745</v>
      </c>
      <c r="R19" s="412" t="s">
        <v>746</v>
      </c>
      <c r="S19" s="630" t="s">
        <v>738</v>
      </c>
      <c r="T19" s="416">
        <v>1</v>
      </c>
      <c r="U19" s="415">
        <v>1</v>
      </c>
      <c r="V19" s="416">
        <v>1</v>
      </c>
      <c r="W19" s="415">
        <v>1</v>
      </c>
      <c r="X19" s="416">
        <v>1</v>
      </c>
      <c r="Y19" s="415">
        <v>1</v>
      </c>
      <c r="Z19" s="416">
        <v>1</v>
      </c>
      <c r="AA19" s="415">
        <v>1</v>
      </c>
      <c r="AB19" s="416">
        <v>1</v>
      </c>
      <c r="AC19" s="417">
        <v>1</v>
      </c>
      <c r="AE19" s="1196"/>
      <c r="AF19" s="411" t="s">
        <v>745</v>
      </c>
      <c r="AG19" s="1249" t="s">
        <v>746</v>
      </c>
      <c r="AH19" s="1250" t="s">
        <v>738</v>
      </c>
      <c r="AI19" s="416">
        <v>1</v>
      </c>
      <c r="AJ19" s="415">
        <v>1</v>
      </c>
      <c r="AK19" s="416">
        <v>1</v>
      </c>
      <c r="AL19" s="415">
        <v>1</v>
      </c>
      <c r="AM19" s="416">
        <v>1</v>
      </c>
      <c r="AN19" s="415">
        <v>1</v>
      </c>
      <c r="AO19" s="416">
        <v>1</v>
      </c>
      <c r="AP19" s="415">
        <v>1</v>
      </c>
      <c r="AQ19" s="416">
        <v>1</v>
      </c>
      <c r="AR19" s="417">
        <v>1</v>
      </c>
    </row>
    <row r="20" spans="1:44" outlineLevel="1">
      <c r="B20" s="376" t="s">
        <v>664</v>
      </c>
      <c r="C20" s="390">
        <v>0.25</v>
      </c>
      <c r="D20" s="390">
        <v>0.25</v>
      </c>
      <c r="E20" s="390">
        <v>0.25</v>
      </c>
      <c r="F20" s="390">
        <v>0.25</v>
      </c>
      <c r="G20" s="418"/>
      <c r="H20" s="418"/>
      <c r="I20" s="418"/>
      <c r="J20" s="418"/>
      <c r="K20" s="419"/>
      <c r="L20" s="380">
        <v>9</v>
      </c>
      <c r="M20" s="363"/>
      <c r="N20" s="363"/>
    </row>
    <row r="21" spans="1:44" outlineLevel="1">
      <c r="B21" s="376" t="s">
        <v>666</v>
      </c>
      <c r="C21" s="390">
        <v>1</v>
      </c>
      <c r="D21" s="390">
        <v>1</v>
      </c>
      <c r="E21" s="390">
        <v>1</v>
      </c>
      <c r="F21" s="390">
        <v>1</v>
      </c>
      <c r="G21" s="418"/>
      <c r="H21" s="418"/>
      <c r="I21" s="418"/>
      <c r="J21" s="418"/>
      <c r="K21" s="419"/>
      <c r="L21" s="380">
        <v>9</v>
      </c>
      <c r="M21" s="420"/>
      <c r="N21" s="363"/>
    </row>
    <row r="22" spans="1:44" outlineLevel="1">
      <c r="B22" s="421" t="s">
        <v>12</v>
      </c>
      <c r="C22" s="399"/>
      <c r="D22" s="399"/>
      <c r="E22" s="399"/>
      <c r="F22" s="399"/>
      <c r="G22" s="422"/>
      <c r="H22" s="422"/>
      <c r="I22" s="422"/>
      <c r="J22" s="422"/>
      <c r="K22" s="423"/>
      <c r="L22" s="424"/>
      <c r="M22" s="420"/>
      <c r="N22" s="420"/>
    </row>
    <row r="23" spans="1:44" ht="38.25" customHeight="1" outlineLevel="1">
      <c r="B23" s="383" t="s">
        <v>843</v>
      </c>
      <c r="C23" s="1231" t="s">
        <v>669</v>
      </c>
      <c r="D23" s="1232"/>
      <c r="E23" s="1232"/>
      <c r="F23" s="1233"/>
      <c r="G23" s="422"/>
      <c r="H23" s="425"/>
      <c r="I23" s="425"/>
      <c r="J23" s="425"/>
      <c r="K23" s="426"/>
      <c r="L23" s="427"/>
      <c r="M23" s="428"/>
      <c r="N23" s="428"/>
    </row>
    <row r="24" spans="1:44" outlineLevel="1">
      <c r="B24" s="383" t="s">
        <v>749</v>
      </c>
      <c r="C24" s="1234"/>
      <c r="D24" s="1235"/>
      <c r="E24" s="1235"/>
      <c r="F24" s="1236"/>
      <c r="G24" s="425"/>
      <c r="H24" s="425"/>
      <c r="I24" s="425"/>
      <c r="J24" s="425"/>
      <c r="K24" s="423"/>
      <c r="L24" s="427"/>
      <c r="M24" s="428"/>
      <c r="N24" s="428"/>
    </row>
    <row r="25" spans="1:44" outlineLevel="1">
      <c r="B25" s="383" t="s">
        <v>844</v>
      </c>
      <c r="C25" s="1234"/>
      <c r="D25" s="1235"/>
      <c r="E25" s="1235"/>
      <c r="F25" s="1236"/>
      <c r="G25" s="425"/>
      <c r="H25" s="425"/>
      <c r="I25" s="425"/>
      <c r="J25" s="425"/>
      <c r="K25" s="423"/>
      <c r="L25" s="427"/>
      <c r="M25" s="428"/>
      <c r="N25" s="428"/>
    </row>
    <row r="26" spans="1:44" outlineLevel="1">
      <c r="B26" s="383" t="s">
        <v>366</v>
      </c>
      <c r="C26" s="1234"/>
      <c r="D26" s="1235"/>
      <c r="E26" s="1235"/>
      <c r="F26" s="1236"/>
      <c r="G26" s="425"/>
      <c r="H26" s="425"/>
      <c r="I26" s="425"/>
      <c r="J26" s="425"/>
      <c r="K26" s="423"/>
      <c r="L26" s="427"/>
      <c r="M26" s="428"/>
      <c r="N26" s="428"/>
    </row>
    <row r="27" spans="1:44" ht="16" outlineLevel="1" thickBot="1">
      <c r="B27" s="429" t="s">
        <v>367</v>
      </c>
      <c r="C27" s="1237"/>
      <c r="D27" s="1238"/>
      <c r="E27" s="1238"/>
      <c r="F27" s="1239"/>
      <c r="G27" s="425"/>
      <c r="H27" s="425"/>
      <c r="I27" s="425"/>
      <c r="J27" s="425"/>
      <c r="K27" s="423"/>
      <c r="L27" s="427"/>
      <c r="M27" s="428"/>
      <c r="N27" s="428"/>
    </row>
    <row r="28" spans="1:44" ht="16" outlineLevel="1" thickBot="1">
      <c r="B28" s="431" t="s">
        <v>674</v>
      </c>
      <c r="C28" s="432"/>
      <c r="D28" s="403"/>
      <c r="E28" s="403"/>
      <c r="F28" s="433"/>
      <c r="G28" s="434"/>
      <c r="H28" s="406"/>
      <c r="I28" s="406"/>
      <c r="J28" s="406"/>
      <c r="K28" s="407"/>
      <c r="L28" s="408"/>
      <c r="M28" s="428"/>
      <c r="N28" s="428"/>
    </row>
    <row r="29" spans="1:44" ht="52" customHeight="1" outlineLevel="1">
      <c r="A29" s="435"/>
      <c r="B29" s="436" t="s">
        <v>751</v>
      </c>
      <c r="C29" s="551">
        <v>0.87120000000000009</v>
      </c>
      <c r="D29" s="647">
        <v>0.77880000000000005</v>
      </c>
      <c r="E29" s="647">
        <v>0.73</v>
      </c>
      <c r="F29" s="513">
        <v>0.7</v>
      </c>
      <c r="G29" s="425"/>
      <c r="H29" s="425"/>
      <c r="I29" s="425"/>
      <c r="J29" s="425"/>
      <c r="K29" s="426"/>
      <c r="L29" s="440" t="s">
        <v>901</v>
      </c>
      <c r="M29" s="420"/>
      <c r="N29" s="420"/>
    </row>
    <row r="30" spans="1:44" outlineLevel="1">
      <c r="B30" s="441" t="s">
        <v>839</v>
      </c>
      <c r="C30" s="442">
        <v>40</v>
      </c>
      <c r="D30" s="442">
        <v>40</v>
      </c>
      <c r="E30" s="442">
        <v>40</v>
      </c>
      <c r="F30" s="442">
        <v>40</v>
      </c>
      <c r="G30" s="425"/>
      <c r="H30" s="425"/>
      <c r="I30" s="425"/>
      <c r="J30" s="425"/>
      <c r="K30" s="444"/>
      <c r="L30" s="373">
        <v>4</v>
      </c>
      <c r="M30" s="71"/>
      <c r="N30" s="420"/>
    </row>
    <row r="31" spans="1:44" outlineLevel="1">
      <c r="B31" s="441" t="s">
        <v>840</v>
      </c>
      <c r="C31" s="442">
        <v>60</v>
      </c>
      <c r="D31" s="442">
        <v>60</v>
      </c>
      <c r="E31" s="442">
        <v>60</v>
      </c>
      <c r="F31" s="442">
        <v>60</v>
      </c>
      <c r="G31" s="425"/>
      <c r="H31" s="425"/>
      <c r="I31" s="425"/>
      <c r="J31" s="425"/>
      <c r="K31" s="444"/>
      <c r="L31" s="373">
        <v>4</v>
      </c>
      <c r="M31" s="420"/>
      <c r="N31" s="420"/>
    </row>
    <row r="32" spans="1:44" outlineLevel="1">
      <c r="B32" s="383" t="s">
        <v>841</v>
      </c>
      <c r="C32" s="445">
        <v>970</v>
      </c>
      <c r="D32" s="446">
        <v>870</v>
      </c>
      <c r="E32" s="446">
        <v>800</v>
      </c>
      <c r="F32" s="447">
        <v>720</v>
      </c>
      <c r="G32" s="425"/>
      <c r="H32" s="425"/>
      <c r="I32" s="425"/>
      <c r="J32" s="425"/>
      <c r="K32" s="448"/>
      <c r="L32" s="373">
        <v>5</v>
      </c>
      <c r="M32" s="420"/>
      <c r="N32" s="420"/>
    </row>
    <row r="33" spans="2:30" ht="37" customHeight="1" outlineLevel="1" thickBot="1">
      <c r="B33" s="383" t="s">
        <v>679</v>
      </c>
      <c r="C33" s="449">
        <f>SUM(C34:C35)</f>
        <v>3.26</v>
      </c>
      <c r="D33" s="449">
        <f>SUM(D34:D35)</f>
        <v>3.2</v>
      </c>
      <c r="E33" s="449">
        <f>SUM(E34:E35)</f>
        <v>3.2199999999999998</v>
      </c>
      <c r="F33" s="449">
        <f>SUM(F34:F35)</f>
        <v>3.12</v>
      </c>
      <c r="G33" s="425"/>
      <c r="H33" s="425"/>
      <c r="I33" s="425"/>
      <c r="J33" s="425"/>
      <c r="K33" s="448"/>
      <c r="L33" s="373"/>
      <c r="M33" s="450"/>
      <c r="N33" s="361"/>
      <c r="P33" s="1142">
        <f>C33</f>
        <v>3.26</v>
      </c>
      <c r="Q33" s="1143"/>
      <c r="R33" s="1143"/>
      <c r="S33" s="1143"/>
      <c r="T33" s="1143"/>
      <c r="U33" s="1144"/>
    </row>
    <row r="34" spans="2:30" ht="15.75" customHeight="1" outlineLevel="1" thickBot="1">
      <c r="B34" s="451" t="s">
        <v>758</v>
      </c>
      <c r="C34" s="452">
        <f>C13/100*73</f>
        <v>1.46</v>
      </c>
      <c r="D34" s="452">
        <f>D13/100*75</f>
        <v>1.5</v>
      </c>
      <c r="E34" s="452">
        <f>E13/100*76</f>
        <v>1.52</v>
      </c>
      <c r="F34" s="452">
        <f>F13/100*76</f>
        <v>1.52</v>
      </c>
      <c r="G34" s="453"/>
      <c r="H34" s="453"/>
      <c r="I34" s="453"/>
      <c r="J34" s="453"/>
      <c r="K34" s="379" t="s">
        <v>25</v>
      </c>
      <c r="L34" s="380">
        <v>3</v>
      </c>
      <c r="M34" s="450"/>
      <c r="N34" s="361"/>
      <c r="P34" s="1134">
        <f>C34</f>
        <v>1.46</v>
      </c>
      <c r="Q34" s="1135"/>
      <c r="R34" s="1135"/>
      <c r="S34" s="1135"/>
      <c r="T34" s="1135"/>
      <c r="U34" s="1136"/>
    </row>
    <row r="35" spans="2:30" outlineLevel="1">
      <c r="B35" s="451" t="s">
        <v>759</v>
      </c>
      <c r="C35" s="454">
        <v>1.8</v>
      </c>
      <c r="D35" s="454">
        <v>1.7</v>
      </c>
      <c r="E35" s="454">
        <v>1.7</v>
      </c>
      <c r="F35" s="454">
        <v>1.6</v>
      </c>
      <c r="G35" s="453"/>
      <c r="H35" s="453"/>
      <c r="I35" s="453"/>
      <c r="J35" s="453"/>
      <c r="K35" s="455"/>
      <c r="L35" s="380">
        <v>2</v>
      </c>
      <c r="M35" s="363"/>
      <c r="N35" s="363"/>
      <c r="P35" s="53" t="s">
        <v>357</v>
      </c>
    </row>
    <row r="36" spans="2:30" ht="30" outlineLevel="1">
      <c r="B36" s="441"/>
      <c r="C36" s="456"/>
      <c r="D36" s="456"/>
      <c r="E36" s="456"/>
      <c r="F36" s="456"/>
      <c r="G36" s="425"/>
      <c r="H36" s="425"/>
      <c r="I36" s="425"/>
      <c r="J36" s="425"/>
      <c r="K36" s="444"/>
      <c r="L36" s="424"/>
      <c r="M36" s="367"/>
      <c r="N36" s="367"/>
      <c r="P36" s="46" t="s">
        <v>335</v>
      </c>
      <c r="Q36" s="46" t="s">
        <v>336</v>
      </c>
      <c r="R36" s="47" t="s">
        <v>337</v>
      </c>
      <c r="S36" s="47" t="s">
        <v>338</v>
      </c>
      <c r="T36" s="47" t="s">
        <v>339</v>
      </c>
      <c r="U36" s="48" t="s">
        <v>340</v>
      </c>
      <c r="V36" s="49" t="s">
        <v>341</v>
      </c>
      <c r="W36" s="49" t="s">
        <v>342</v>
      </c>
      <c r="X36" s="49" t="s">
        <v>343</v>
      </c>
      <c r="Y36" s="49" t="s">
        <v>344</v>
      </c>
      <c r="Z36" s="49" t="s">
        <v>345</v>
      </c>
      <c r="AA36" s="49" t="s">
        <v>346</v>
      </c>
      <c r="AB36" s="49" t="s">
        <v>347</v>
      </c>
      <c r="AC36" s="49" t="s">
        <v>348</v>
      </c>
      <c r="AD36" s="49" t="s">
        <v>349</v>
      </c>
    </row>
    <row r="37" spans="2:30" ht="35" customHeight="1" outlineLevel="1" thickBot="1">
      <c r="B37" s="441"/>
      <c r="C37" s="442"/>
      <c r="D37" s="457"/>
      <c r="E37" s="457"/>
      <c r="F37" s="458"/>
      <c r="G37" s="425"/>
      <c r="H37" s="425"/>
      <c r="I37" s="425"/>
      <c r="J37" s="425"/>
      <c r="K37" s="448"/>
      <c r="L37" s="424"/>
      <c r="M37" s="363"/>
      <c r="N37" s="363"/>
      <c r="P37" s="50"/>
      <c r="Q37" s="50"/>
      <c r="R37" s="51"/>
      <c r="S37" s="51"/>
      <c r="T37" s="51"/>
      <c r="U37" s="51" t="s">
        <v>760</v>
      </c>
      <c r="V37" s="50" t="s">
        <v>761</v>
      </c>
      <c r="W37" s="50"/>
      <c r="X37" s="50"/>
      <c r="Y37" s="50"/>
      <c r="Z37" s="50"/>
      <c r="AA37" s="50"/>
      <c r="AB37" s="50"/>
      <c r="AC37" s="50"/>
      <c r="AD37" s="50"/>
    </row>
    <row r="38" spans="2:30" ht="73" customHeight="1" outlineLevel="1" thickBot="1">
      <c r="B38" s="401" t="s">
        <v>682</v>
      </c>
      <c r="C38" s="402"/>
      <c r="D38" s="403"/>
      <c r="E38" s="404"/>
      <c r="F38" s="405"/>
      <c r="G38" s="406"/>
      <c r="H38" s="406"/>
      <c r="I38" s="406"/>
      <c r="J38" s="406"/>
      <c r="K38" s="459"/>
      <c r="L38" s="460"/>
      <c r="M38" s="363"/>
      <c r="N38" s="363"/>
      <c r="O38" s="461" t="s">
        <v>732</v>
      </c>
      <c r="P38" s="56"/>
      <c r="Q38" s="56"/>
      <c r="R38" s="57"/>
      <c r="S38" s="57"/>
      <c r="T38" s="57"/>
      <c r="U38" s="56" t="s">
        <v>350</v>
      </c>
      <c r="V38" s="56" t="s">
        <v>326</v>
      </c>
      <c r="W38" s="56" t="s">
        <v>327</v>
      </c>
      <c r="X38" s="56" t="s">
        <v>351</v>
      </c>
      <c r="Y38" s="56" t="s">
        <v>351</v>
      </c>
      <c r="Z38" s="56" t="s">
        <v>352</v>
      </c>
      <c r="AA38" s="56" t="s">
        <v>352</v>
      </c>
      <c r="AB38" s="56" t="s">
        <v>352</v>
      </c>
      <c r="AC38" s="56" t="s">
        <v>352</v>
      </c>
      <c r="AD38" s="56" t="s">
        <v>352</v>
      </c>
    </row>
    <row r="39" spans="2:30" outlineLevel="1">
      <c r="B39" s="451" t="s">
        <v>762</v>
      </c>
      <c r="C39" s="633">
        <f>C29*0.2</f>
        <v>0.17424000000000003</v>
      </c>
      <c r="D39" s="633">
        <f>D29*0.2</f>
        <v>0.15576000000000001</v>
      </c>
      <c r="E39" s="633">
        <f>E29*0.2</f>
        <v>0.14599999999999999</v>
      </c>
      <c r="F39" s="633">
        <f>F29*0.2</f>
        <v>0.13999999999999999</v>
      </c>
      <c r="G39" s="643"/>
      <c r="H39" s="643"/>
      <c r="I39" s="643"/>
      <c r="J39" s="643"/>
      <c r="K39" s="643" t="s">
        <v>33</v>
      </c>
      <c r="L39" s="464"/>
      <c r="M39" s="363"/>
      <c r="N39" s="363"/>
      <c r="O39" s="465">
        <f>(C12+C84)/2</f>
        <v>275</v>
      </c>
      <c r="P39" s="466">
        <f>C8</f>
        <v>2020</v>
      </c>
      <c r="Q39" s="58">
        <f>P39</f>
        <v>2020</v>
      </c>
      <c r="R39" s="466">
        <f>O39/100</f>
        <v>2.75</v>
      </c>
      <c r="S39" s="58"/>
      <c r="T39" s="466">
        <f>C16</f>
        <v>20</v>
      </c>
      <c r="U39" s="467">
        <f>(C46+C118)/2</f>
        <v>7139.4840000000004</v>
      </c>
      <c r="V39" s="467">
        <f>C48</f>
        <v>7.2264999999999997</v>
      </c>
      <c r="W39" s="467">
        <f>C49</f>
        <v>6.7463888888888883</v>
      </c>
      <c r="X39" s="58"/>
      <c r="Y39" s="58"/>
      <c r="Z39" s="466" t="str">
        <f>C23</f>
        <v>Cf. the utilized electricity</v>
      </c>
      <c r="AA39" s="468">
        <f>C25</f>
        <v>0</v>
      </c>
      <c r="AB39" s="468">
        <f>C26</f>
        <v>0</v>
      </c>
      <c r="AC39" s="468">
        <f>C27</f>
        <v>0</v>
      </c>
      <c r="AD39" s="468">
        <f>C24</f>
        <v>0</v>
      </c>
    </row>
    <row r="40" spans="2:30" ht="14.5" customHeight="1" outlineLevel="1">
      <c r="B40" s="376" t="s">
        <v>763</v>
      </c>
      <c r="C40" s="469" t="s">
        <v>36</v>
      </c>
      <c r="D40" s="470" t="s">
        <v>36</v>
      </c>
      <c r="E40" s="470" t="s">
        <v>36</v>
      </c>
      <c r="F40" s="471" t="s">
        <v>36</v>
      </c>
      <c r="G40" s="471"/>
      <c r="H40" s="471"/>
      <c r="I40" s="471"/>
      <c r="J40" s="471"/>
      <c r="K40" s="472"/>
      <c r="L40" s="464"/>
      <c r="M40" s="363"/>
      <c r="N40" s="363"/>
      <c r="O40" s="465">
        <f>(D12+D84)/2</f>
        <v>287.5</v>
      </c>
      <c r="P40" s="466">
        <f>D8</f>
        <v>2030</v>
      </c>
      <c r="Q40" s="58"/>
      <c r="R40" s="466">
        <f>O40/100</f>
        <v>2.875</v>
      </c>
      <c r="S40" s="58"/>
      <c r="T40" s="466">
        <f>D16</f>
        <v>20</v>
      </c>
      <c r="U40" s="467">
        <f>(D46+D118)/2</f>
        <v>6382.2660000000014</v>
      </c>
      <c r="V40" s="467">
        <f>D48</f>
        <v>6.4814999999999996</v>
      </c>
      <c r="W40" s="467">
        <f>D49</f>
        <v>6.6222222222222227</v>
      </c>
      <c r="X40" s="58"/>
      <c r="Y40" s="58"/>
      <c r="Z40" s="466">
        <f>D23</f>
        <v>0</v>
      </c>
      <c r="AA40" s="468">
        <f>D25</f>
        <v>0</v>
      </c>
      <c r="AB40" s="468">
        <f>D26</f>
        <v>0</v>
      </c>
      <c r="AC40" s="468">
        <f>D27</f>
        <v>0</v>
      </c>
      <c r="AD40" s="468">
        <f>D24</f>
        <v>0</v>
      </c>
    </row>
    <row r="41" spans="2:30" outlineLevel="1">
      <c r="B41" s="376" t="s">
        <v>764</v>
      </c>
      <c r="C41" s="469" t="s">
        <v>36</v>
      </c>
      <c r="D41" s="470" t="s">
        <v>36</v>
      </c>
      <c r="E41" s="470" t="s">
        <v>36</v>
      </c>
      <c r="F41" s="471" t="s">
        <v>36</v>
      </c>
      <c r="G41" s="453"/>
      <c r="H41" s="453"/>
      <c r="I41" s="453"/>
      <c r="J41" s="453"/>
      <c r="K41" s="453"/>
      <c r="L41" s="380"/>
      <c r="M41" s="363"/>
      <c r="N41" s="363"/>
      <c r="O41" s="465">
        <f>(E12+E84)/2</f>
        <v>297.5</v>
      </c>
      <c r="P41" s="466">
        <f>E8</f>
        <v>2040</v>
      </c>
      <c r="Q41" s="58"/>
      <c r="R41" s="466">
        <f>O41/100</f>
        <v>2.9750000000000001</v>
      </c>
      <c r="S41" s="58"/>
      <c r="T41" s="466">
        <f>E16</f>
        <v>20</v>
      </c>
      <c r="U41" s="467">
        <f>(E46+E118)/2</f>
        <v>5982.35</v>
      </c>
      <c r="V41" s="467">
        <f>E48</f>
        <v>5.96</v>
      </c>
      <c r="W41" s="467">
        <f>E49</f>
        <v>6.66361111111111</v>
      </c>
      <c r="X41" s="58"/>
      <c r="Y41" s="58"/>
      <c r="Z41" s="466">
        <f>E23</f>
        <v>0</v>
      </c>
      <c r="AA41" s="468">
        <f>E25</f>
        <v>0</v>
      </c>
      <c r="AB41" s="468">
        <f>E26</f>
        <v>0</v>
      </c>
      <c r="AC41" s="468">
        <f>E27</f>
        <v>0</v>
      </c>
      <c r="AD41" s="468">
        <f>E24</f>
        <v>0</v>
      </c>
    </row>
    <row r="42" spans="2:30" ht="14.5" customHeight="1" outlineLevel="1">
      <c r="B42" s="376" t="s">
        <v>765</v>
      </c>
      <c r="C42" s="1240" t="s">
        <v>669</v>
      </c>
      <c r="D42" s="1241"/>
      <c r="E42" s="1241"/>
      <c r="F42" s="1242"/>
      <c r="G42" s="474"/>
      <c r="H42" s="474"/>
      <c r="I42" s="474"/>
      <c r="J42" s="474"/>
      <c r="K42" s="474"/>
      <c r="L42" s="380"/>
      <c r="M42" s="363"/>
      <c r="N42" s="363"/>
      <c r="O42" s="465">
        <f>(F12+F84)/2</f>
        <v>302.5</v>
      </c>
      <c r="P42" s="466">
        <f>F8</f>
        <v>2050</v>
      </c>
      <c r="Q42" s="58"/>
      <c r="R42" s="466">
        <f>O42/100</f>
        <v>3.0249999999999999</v>
      </c>
      <c r="S42" s="58"/>
      <c r="T42" s="466">
        <f>F16</f>
        <v>20</v>
      </c>
      <c r="U42" s="467">
        <f>(F46+F118)/2</f>
        <v>5736.5</v>
      </c>
      <c r="V42" s="467">
        <f>F48</f>
        <v>5.3639999999999999</v>
      </c>
      <c r="W42" s="467">
        <f>F49</f>
        <v>6.4566666666666661</v>
      </c>
      <c r="X42" s="58"/>
      <c r="Y42" s="58"/>
      <c r="Z42" s="466">
        <f>F23</f>
        <v>0</v>
      </c>
      <c r="AA42" s="468">
        <f>F25</f>
        <v>0</v>
      </c>
      <c r="AB42" s="468">
        <f>F26</f>
        <v>0</v>
      </c>
      <c r="AC42" s="468">
        <f>F27</f>
        <v>0</v>
      </c>
      <c r="AD42" s="468">
        <f>F24</f>
        <v>0</v>
      </c>
    </row>
    <row r="43" spans="2:30" outlineLevel="1">
      <c r="B43" s="475" t="s">
        <v>766</v>
      </c>
      <c r="C43" s="469">
        <v>40</v>
      </c>
      <c r="D43" s="470">
        <v>40</v>
      </c>
      <c r="E43" s="470">
        <v>40</v>
      </c>
      <c r="F43" s="471">
        <v>40</v>
      </c>
      <c r="G43" s="474"/>
      <c r="H43" s="474"/>
      <c r="I43" s="474"/>
      <c r="J43" s="474"/>
      <c r="K43" s="474" t="s">
        <v>51</v>
      </c>
      <c r="L43" s="476"/>
      <c r="M43" s="367"/>
      <c r="N43" s="367"/>
    </row>
    <row r="44" spans="2:30" outlineLevel="1">
      <c r="B44" s="475" t="s">
        <v>767</v>
      </c>
      <c r="C44" s="469">
        <v>10</v>
      </c>
      <c r="D44" s="470">
        <v>10</v>
      </c>
      <c r="E44" s="470">
        <v>10</v>
      </c>
      <c r="F44" s="471">
        <v>10</v>
      </c>
      <c r="G44" s="474"/>
      <c r="H44" s="474"/>
      <c r="I44" s="474"/>
      <c r="J44" s="474"/>
      <c r="K44" s="474" t="s">
        <v>51</v>
      </c>
      <c r="L44" s="476"/>
      <c r="M44" s="363"/>
      <c r="N44" s="363"/>
      <c r="O44" s="8" t="s">
        <v>919</v>
      </c>
    </row>
    <row r="45" spans="2:30" ht="16" outlineLevel="1" thickBot="1">
      <c r="B45" s="477" t="s">
        <v>768</v>
      </c>
      <c r="C45" s="478"/>
      <c r="D45" s="479"/>
      <c r="E45" s="479"/>
      <c r="F45" s="480"/>
      <c r="G45" s="481"/>
      <c r="H45" s="481"/>
      <c r="I45" s="481"/>
      <c r="J45" s="481"/>
      <c r="K45" s="481"/>
      <c r="L45" s="482"/>
      <c r="M45" s="363"/>
      <c r="N45" s="363"/>
    </row>
    <row r="46" spans="2:30" ht="64" outlineLevel="1">
      <c r="B46" s="461" t="s">
        <v>769</v>
      </c>
      <c r="C46" s="483">
        <f>C29*$F$4*1000</f>
        <v>6490.4400000000005</v>
      </c>
      <c r="D46" s="483">
        <f t="shared" ref="D46:F46" si="1">D29*$F$4*1000</f>
        <v>5802.0600000000013</v>
      </c>
      <c r="E46" s="483">
        <f t="shared" si="1"/>
        <v>5438.5</v>
      </c>
      <c r="F46" s="483">
        <f t="shared" si="1"/>
        <v>5215</v>
      </c>
      <c r="G46" s="483"/>
      <c r="H46" s="484"/>
      <c r="I46" s="420" t="s">
        <v>332</v>
      </c>
      <c r="J46" s="420"/>
      <c r="K46" s="484"/>
      <c r="L46" s="484"/>
      <c r="N46" s="420"/>
    </row>
    <row r="47" spans="2:30" outlineLevel="1">
      <c r="B47" s="485" t="s">
        <v>770</v>
      </c>
      <c r="C47" s="486">
        <f>C46*$I47</f>
        <v>3245220.0000000005</v>
      </c>
      <c r="D47" s="486">
        <f>D46*$I47</f>
        <v>2901030.0000000005</v>
      </c>
      <c r="E47" s="486">
        <f>E46*$I47</f>
        <v>2719250</v>
      </c>
      <c r="F47" s="486">
        <f>F46*$I47</f>
        <v>2607500</v>
      </c>
      <c r="G47" s="486"/>
      <c r="H47" s="484"/>
      <c r="I47" s="71">
        <v>500</v>
      </c>
      <c r="J47" s="420" t="s">
        <v>330</v>
      </c>
      <c r="K47" s="484"/>
      <c r="L47" s="484"/>
      <c r="N47" s="420"/>
    </row>
    <row r="48" spans="2:30" ht="48" outlineLevel="1">
      <c r="B48" s="461" t="s">
        <v>845</v>
      </c>
      <c r="C48" s="359">
        <f>C32*$F$4/1000</f>
        <v>7.2264999999999997</v>
      </c>
      <c r="D48" s="359">
        <f t="shared" ref="D48:F48" si="2">D32*$F$4/1000</f>
        <v>6.4814999999999996</v>
      </c>
      <c r="E48" s="359">
        <f t="shared" si="2"/>
        <v>5.96</v>
      </c>
      <c r="F48" s="359">
        <f t="shared" si="2"/>
        <v>5.3639999999999999</v>
      </c>
      <c r="G48" s="359"/>
      <c r="I48" s="420" t="s">
        <v>333</v>
      </c>
      <c r="J48" s="420"/>
      <c r="N48" s="420"/>
    </row>
    <row r="49" spans="2:14" ht="48" outlineLevel="1">
      <c r="B49" s="461" t="s">
        <v>846</v>
      </c>
      <c r="C49" s="487">
        <f>C33*$F$4/3.6</f>
        <v>6.7463888888888883</v>
      </c>
      <c r="D49" s="487">
        <f t="shared" ref="D49:F49" si="3">D33*$F$4/3.6</f>
        <v>6.6222222222222227</v>
      </c>
      <c r="E49" s="487">
        <f t="shared" si="3"/>
        <v>6.66361111111111</v>
      </c>
      <c r="F49" s="487">
        <f t="shared" si="3"/>
        <v>6.4566666666666661</v>
      </c>
      <c r="G49" s="359"/>
      <c r="M49" s="420"/>
      <c r="N49" s="420"/>
    </row>
    <row r="50" spans="2:14" outlineLevel="1"/>
    <row r="51" spans="2:14" outlineLevel="1"/>
    <row r="52" spans="2:14" outlineLevel="1"/>
    <row r="53" spans="2:14" outlineLevel="1"/>
    <row r="54" spans="2:14" outlineLevel="1">
      <c r="E54" s="358"/>
      <c r="F54" s="358"/>
      <c r="G54" s="358"/>
      <c r="H54" s="358"/>
      <c r="I54" s="358"/>
      <c r="J54" s="358"/>
      <c r="K54" s="358"/>
      <c r="L54" s="358"/>
    </row>
    <row r="55" spans="2:14" outlineLevel="1">
      <c r="B55" s="8" t="s">
        <v>773</v>
      </c>
      <c r="F55" s="358"/>
      <c r="G55" s="358"/>
      <c r="H55" s="358"/>
      <c r="I55" s="358"/>
      <c r="J55" s="358"/>
      <c r="K55" s="358"/>
      <c r="L55" s="358"/>
    </row>
    <row r="56" spans="2:14" outlineLevel="1">
      <c r="B56" s="358">
        <v>1</v>
      </c>
      <c r="C56" s="490" t="s">
        <v>878</v>
      </c>
      <c r="D56" s="358"/>
      <c r="E56" s="490"/>
      <c r="F56" s="358"/>
      <c r="G56" s="358"/>
      <c r="H56" s="358"/>
      <c r="I56" s="358"/>
      <c r="J56" s="358"/>
      <c r="K56" s="358"/>
      <c r="L56" s="358"/>
    </row>
    <row r="57" spans="2:14" outlineLevel="1">
      <c r="B57" s="358">
        <v>2</v>
      </c>
      <c r="C57" s="636" t="s">
        <v>902</v>
      </c>
      <c r="D57" s="358"/>
      <c r="E57" s="490"/>
      <c r="F57" s="358"/>
      <c r="G57" s="358"/>
      <c r="H57" s="358"/>
      <c r="I57" s="358"/>
      <c r="J57" s="358"/>
      <c r="K57" s="358"/>
      <c r="L57" s="358"/>
    </row>
    <row r="58" spans="2:14" outlineLevel="1">
      <c r="B58" s="666">
        <v>3</v>
      </c>
      <c r="C58" s="667" t="s">
        <v>903</v>
      </c>
      <c r="D58" s="358"/>
      <c r="E58" s="490"/>
      <c r="F58" s="358"/>
      <c r="G58" s="358"/>
      <c r="H58" s="358"/>
      <c r="I58" s="358"/>
      <c r="J58" s="358"/>
      <c r="K58" s="358"/>
      <c r="L58" s="358"/>
    </row>
    <row r="59" spans="2:14" outlineLevel="1">
      <c r="B59" s="490">
        <v>4</v>
      </c>
      <c r="C59" s="667" t="s">
        <v>904</v>
      </c>
      <c r="D59" s="358"/>
      <c r="E59" s="490"/>
      <c r="F59" s="358"/>
      <c r="G59" s="358"/>
      <c r="H59" s="358"/>
      <c r="I59" s="358"/>
      <c r="J59" s="358"/>
      <c r="K59" s="358"/>
      <c r="L59" s="358"/>
    </row>
    <row r="60" spans="2:14" outlineLevel="1">
      <c r="B60" s="490">
        <v>5</v>
      </c>
      <c r="C60" s="493" t="s">
        <v>905</v>
      </c>
      <c r="D60" s="358"/>
      <c r="E60" s="490"/>
      <c r="F60" s="358"/>
      <c r="G60" s="358"/>
      <c r="H60" s="358"/>
      <c r="I60" s="358"/>
      <c r="J60" s="358"/>
      <c r="K60" s="358"/>
      <c r="L60" s="358"/>
    </row>
    <row r="61" spans="2:14" outlineLevel="1">
      <c r="B61" s="8" t="s">
        <v>783</v>
      </c>
      <c r="D61" s="358"/>
      <c r="E61" s="490"/>
      <c r="F61" s="358"/>
      <c r="G61" s="358"/>
      <c r="H61" s="358"/>
      <c r="I61" s="358"/>
      <c r="J61" s="358"/>
      <c r="K61" s="358"/>
      <c r="L61" s="358"/>
    </row>
    <row r="62" spans="2:14" outlineLevel="1">
      <c r="B62" s="637" t="s">
        <v>6</v>
      </c>
      <c r="C62" s="358" t="s">
        <v>853</v>
      </c>
      <c r="D62" s="358"/>
      <c r="E62" s="490"/>
      <c r="F62" s="358"/>
      <c r="G62" s="358"/>
      <c r="H62" s="358"/>
      <c r="I62" s="358"/>
      <c r="J62" s="358"/>
      <c r="K62" s="358"/>
      <c r="L62" s="358"/>
    </row>
    <row r="63" spans="2:14" outlineLevel="1">
      <c r="B63" s="637" t="s">
        <v>59</v>
      </c>
      <c r="C63" s="358" t="s">
        <v>906</v>
      </c>
      <c r="D63" s="358"/>
      <c r="E63" s="490"/>
      <c r="F63" s="358"/>
      <c r="G63" s="358"/>
      <c r="H63" s="358"/>
      <c r="I63" s="358"/>
      <c r="J63" s="358"/>
      <c r="K63" s="358"/>
      <c r="L63" s="358"/>
    </row>
    <row r="64" spans="2:14" outlineLevel="1">
      <c r="B64" s="637" t="s">
        <v>16</v>
      </c>
      <c r="C64" s="358" t="s">
        <v>856</v>
      </c>
      <c r="D64" s="358"/>
      <c r="E64" s="490"/>
      <c r="F64" s="358"/>
      <c r="G64" s="358"/>
      <c r="H64" s="358"/>
      <c r="I64" s="358"/>
      <c r="J64" s="358"/>
      <c r="K64" s="358"/>
      <c r="L64" s="358"/>
    </row>
    <row r="65" spans="1:44" outlineLevel="1">
      <c r="B65" s="637" t="s">
        <v>20</v>
      </c>
      <c r="C65" s="358" t="s">
        <v>907</v>
      </c>
      <c r="F65" s="358"/>
      <c r="G65" s="358"/>
      <c r="H65" s="358"/>
      <c r="I65" s="358"/>
      <c r="J65" s="358"/>
      <c r="K65" s="358"/>
      <c r="L65" s="358"/>
    </row>
    <row r="66" spans="1:44" outlineLevel="1">
      <c r="B66" s="666" t="s">
        <v>76</v>
      </c>
      <c r="C66" s="358" t="s">
        <v>908</v>
      </c>
      <c r="D66" s="358"/>
      <c r="E66" s="490"/>
      <c r="F66" s="358"/>
      <c r="G66" s="358"/>
      <c r="H66" s="358"/>
      <c r="I66" s="358"/>
      <c r="J66" s="358"/>
      <c r="K66" s="358"/>
      <c r="L66" s="358"/>
    </row>
    <row r="67" spans="1:44" outlineLevel="1">
      <c r="B67" s="637" t="s">
        <v>25</v>
      </c>
      <c r="C67" s="498" t="s">
        <v>788</v>
      </c>
      <c r="D67" s="498"/>
      <c r="E67" s="490"/>
      <c r="F67" s="358"/>
      <c r="G67" s="358"/>
      <c r="H67" s="358"/>
      <c r="I67" s="358"/>
      <c r="J67" s="358"/>
      <c r="K67" s="358"/>
      <c r="L67" s="358"/>
    </row>
    <row r="68" spans="1:44" outlineLevel="1">
      <c r="B68" s="656" t="s">
        <v>33</v>
      </c>
      <c r="C68" s="490" t="s">
        <v>859</v>
      </c>
      <c r="E68" s="490"/>
      <c r="F68" s="358"/>
      <c r="G68" s="358"/>
      <c r="H68" s="358"/>
      <c r="I68" s="358"/>
      <c r="J68" s="358"/>
      <c r="K68" s="358"/>
      <c r="L68" s="358"/>
    </row>
    <row r="69" spans="1:44" outlineLevel="1">
      <c r="B69" s="637" t="s">
        <v>51</v>
      </c>
      <c r="C69" s="490" t="s">
        <v>860</v>
      </c>
      <c r="E69" s="490"/>
      <c r="F69" s="358"/>
      <c r="G69" s="358"/>
      <c r="H69" s="358"/>
      <c r="I69" s="358"/>
      <c r="J69" s="358"/>
      <c r="K69" s="358"/>
      <c r="L69" s="358"/>
    </row>
    <row r="70" spans="1:44" outlineLevel="1">
      <c r="E70" s="490"/>
      <c r="G70" s="358"/>
      <c r="H70" s="358"/>
      <c r="I70" s="358"/>
      <c r="J70" s="358"/>
      <c r="K70" s="358"/>
      <c r="L70" s="358"/>
    </row>
    <row r="71" spans="1:44" outlineLevel="1">
      <c r="B71" s="637"/>
      <c r="C71" s="490"/>
      <c r="E71" s="490"/>
      <c r="F71" s="490"/>
    </row>
    <row r="72" spans="1:44" outlineLevel="1"/>
    <row r="73" spans="1:44" outlineLevel="1"/>
    <row r="74" spans="1:44" outlineLevel="1"/>
    <row r="77" spans="1:44">
      <c r="A77" s="360" t="s">
        <v>916</v>
      </c>
      <c r="B77" s="1207"/>
      <c r="C77" s="1143"/>
      <c r="D77" s="1143"/>
      <c r="E77" s="1143"/>
      <c r="F77" s="1143"/>
      <c r="G77" s="1143"/>
      <c r="H77" s="1143"/>
      <c r="I77" s="1143"/>
      <c r="J77" s="1143"/>
      <c r="K77" s="1143"/>
      <c r="L77" s="1143"/>
      <c r="M77" s="1143"/>
      <c r="N77" s="361"/>
      <c r="P77" s="1143"/>
      <c r="Q77" s="1143"/>
      <c r="R77" s="1143"/>
      <c r="S77" s="1143"/>
      <c r="T77" s="1143"/>
      <c r="U77" s="1143"/>
    </row>
    <row r="78" spans="1:44" ht="16" outlineLevel="1" thickBot="1">
      <c r="B78" s="1207"/>
      <c r="C78" s="1143"/>
      <c r="D78" s="1143"/>
      <c r="E78" s="1143"/>
      <c r="F78" s="1143"/>
      <c r="G78" s="1143"/>
      <c r="H78" s="1143"/>
      <c r="I78" s="1143"/>
      <c r="J78" s="1143"/>
      <c r="K78" s="1143"/>
      <c r="L78" s="1143"/>
      <c r="M78" s="1143"/>
      <c r="N78" s="361"/>
      <c r="P78" s="692">
        <v>1</v>
      </c>
      <c r="Q78" s="692">
        <v>2</v>
      </c>
      <c r="R78" s="692">
        <v>3</v>
      </c>
      <c r="S78" s="692">
        <v>4</v>
      </c>
      <c r="T78" s="692">
        <v>5</v>
      </c>
      <c r="U78" s="692">
        <v>6</v>
      </c>
      <c r="V78" s="692">
        <v>7</v>
      </c>
      <c r="W78" s="692">
        <v>8</v>
      </c>
      <c r="X78" s="692">
        <v>9</v>
      </c>
      <c r="Y78" s="692">
        <v>10</v>
      </c>
      <c r="Z78" s="692">
        <v>11</v>
      </c>
      <c r="AA78" s="692">
        <v>12</v>
      </c>
      <c r="AB78" s="692">
        <v>13</v>
      </c>
      <c r="AC78" s="692">
        <v>14</v>
      </c>
    </row>
    <row r="79" spans="1:44" ht="20.5" customHeight="1" outlineLevel="1" thickBot="1">
      <c r="B79" s="362" t="s">
        <v>0</v>
      </c>
      <c r="C79" s="1204" t="s">
        <v>915</v>
      </c>
      <c r="D79" s="1205"/>
      <c r="E79" s="1205"/>
      <c r="F79" s="1205"/>
      <c r="G79" s="1205"/>
      <c r="H79" s="1205"/>
      <c r="I79" s="1205"/>
      <c r="J79" s="1205"/>
      <c r="K79" s="1205"/>
      <c r="L79" s="1206"/>
      <c r="M79" s="363"/>
      <c r="N79" s="363"/>
      <c r="P79" s="364" t="s">
        <v>713</v>
      </c>
      <c r="Q79" s="365"/>
      <c r="R79" s="366"/>
      <c r="S79" s="1176" t="s">
        <v>714</v>
      </c>
      <c r="T79" s="1160" t="s">
        <v>715</v>
      </c>
      <c r="U79" s="1161"/>
      <c r="V79" s="1160" t="s">
        <v>716</v>
      </c>
      <c r="W79" s="1161"/>
      <c r="X79" s="1160" t="s">
        <v>717</v>
      </c>
      <c r="Y79" s="1161"/>
      <c r="Z79" s="1160" t="s">
        <v>718</v>
      </c>
      <c r="AA79" s="1161"/>
      <c r="AB79" s="1160" t="s">
        <v>719</v>
      </c>
      <c r="AC79" s="1161"/>
      <c r="AE79" s="364" t="s">
        <v>720</v>
      </c>
      <c r="AF79" s="365"/>
      <c r="AG79" s="366"/>
      <c r="AH79" s="1176" t="s">
        <v>714</v>
      </c>
      <c r="AI79" s="1160" t="s">
        <v>715</v>
      </c>
      <c r="AJ79" s="1161"/>
      <c r="AK79" s="1160" t="s">
        <v>716</v>
      </c>
      <c r="AL79" s="1161"/>
      <c r="AM79" s="1160" t="s">
        <v>717</v>
      </c>
      <c r="AN79" s="1161"/>
      <c r="AO79" s="1160" t="s">
        <v>718</v>
      </c>
      <c r="AP79" s="1161"/>
      <c r="AQ79" s="1160" t="s">
        <v>719</v>
      </c>
      <c r="AR79" s="1161"/>
    </row>
    <row r="80" spans="1:44" ht="15" customHeight="1" outlineLevel="1" thickBot="1">
      <c r="B80" s="1164" t="s">
        <v>4</v>
      </c>
      <c r="C80" s="1166">
        <v>2020</v>
      </c>
      <c r="D80" s="1166">
        <v>2030</v>
      </c>
      <c r="E80" s="1166">
        <v>2040</v>
      </c>
      <c r="F80" s="1166">
        <v>2050</v>
      </c>
      <c r="G80" s="1200" t="s">
        <v>721</v>
      </c>
      <c r="H80" s="1201"/>
      <c r="I80" s="1200" t="s">
        <v>648</v>
      </c>
      <c r="J80" s="1201"/>
      <c r="K80" s="1202" t="s">
        <v>2</v>
      </c>
      <c r="L80" s="1202" t="s">
        <v>3</v>
      </c>
      <c r="M80" s="367"/>
      <c r="N80" s="367"/>
      <c r="P80" s="1180" t="s">
        <v>0</v>
      </c>
      <c r="Q80" s="368"/>
      <c r="R80" s="368"/>
      <c r="S80" s="1177"/>
      <c r="T80" s="1162"/>
      <c r="U80" s="1163"/>
      <c r="V80" s="1162"/>
      <c r="W80" s="1163"/>
      <c r="X80" s="1162"/>
      <c r="Y80" s="1163"/>
      <c r="Z80" s="1162"/>
      <c r="AA80" s="1163"/>
      <c r="AB80" s="1162"/>
      <c r="AC80" s="1163"/>
      <c r="AE80" s="1180" t="s">
        <v>0</v>
      </c>
      <c r="AF80" s="368"/>
      <c r="AG80" s="368"/>
      <c r="AH80" s="1177"/>
      <c r="AI80" s="1162"/>
      <c r="AJ80" s="1163"/>
      <c r="AK80" s="1162"/>
      <c r="AL80" s="1163"/>
      <c r="AM80" s="1162"/>
      <c r="AN80" s="1163"/>
      <c r="AO80" s="1162"/>
      <c r="AP80" s="1163"/>
      <c r="AQ80" s="1162"/>
      <c r="AR80" s="1163"/>
    </row>
    <row r="81" spans="2:44" ht="15" customHeight="1" outlineLevel="1" thickBot="1">
      <c r="B81" s="1165"/>
      <c r="C81" s="1167"/>
      <c r="D81" s="1167"/>
      <c r="E81" s="1167"/>
      <c r="F81" s="1167"/>
      <c r="G81" s="499" t="s">
        <v>649</v>
      </c>
      <c r="H81" s="499" t="s">
        <v>650</v>
      </c>
      <c r="I81" s="499" t="s">
        <v>649</v>
      </c>
      <c r="J81" s="499" t="s">
        <v>650</v>
      </c>
      <c r="K81" s="1203"/>
      <c r="L81" s="1203"/>
      <c r="M81" s="370"/>
      <c r="N81" s="370"/>
      <c r="P81" s="1181"/>
      <c r="Q81" s="1183" t="s">
        <v>722</v>
      </c>
      <c r="R81" s="1184" t="s">
        <v>723</v>
      </c>
      <c r="S81" s="1178"/>
      <c r="T81" s="1162"/>
      <c r="U81" s="1163"/>
      <c r="V81" s="1162"/>
      <c r="W81" s="1163"/>
      <c r="X81" s="1162"/>
      <c r="Y81" s="1163"/>
      <c r="Z81" s="1162"/>
      <c r="AA81" s="1163"/>
      <c r="AB81" s="1162"/>
      <c r="AC81" s="1163"/>
      <c r="AE81" s="1181"/>
      <c r="AF81" s="1197" t="s">
        <v>722</v>
      </c>
      <c r="AG81" s="1184" t="s">
        <v>723</v>
      </c>
      <c r="AH81" s="1178"/>
      <c r="AI81" s="1162"/>
      <c r="AJ81" s="1163"/>
      <c r="AK81" s="1162"/>
      <c r="AL81" s="1163"/>
      <c r="AM81" s="1162"/>
      <c r="AN81" s="1163"/>
      <c r="AO81" s="1162"/>
      <c r="AP81" s="1163"/>
      <c r="AQ81" s="1162"/>
      <c r="AR81" s="1163"/>
    </row>
    <row r="82" spans="2:44" ht="33" outlineLevel="1" thickBot="1">
      <c r="B82" s="371" t="s">
        <v>651</v>
      </c>
      <c r="C82" s="372">
        <v>1.5</v>
      </c>
      <c r="D82" s="372">
        <v>1.5</v>
      </c>
      <c r="E82" s="372">
        <v>1.5</v>
      </c>
      <c r="F82" s="372">
        <v>1.5</v>
      </c>
      <c r="G82" s="372">
        <v>0.5</v>
      </c>
      <c r="H82" s="372">
        <v>5</v>
      </c>
      <c r="I82" s="372">
        <v>0.5</v>
      </c>
      <c r="J82" s="372">
        <v>5</v>
      </c>
      <c r="K82" s="372" t="s">
        <v>6</v>
      </c>
      <c r="L82" s="373"/>
      <c r="M82" s="370"/>
      <c r="N82" s="370"/>
      <c r="O82" s="74"/>
      <c r="P82" s="1182"/>
      <c r="Q82" s="1179"/>
      <c r="R82" s="1185"/>
      <c r="S82" s="1179"/>
      <c r="T82" s="374" t="s">
        <v>726</v>
      </c>
      <c r="U82" s="375" t="s">
        <v>727</v>
      </c>
      <c r="V82" s="374" t="s">
        <v>726</v>
      </c>
      <c r="W82" s="375" t="s">
        <v>727</v>
      </c>
      <c r="X82" s="374" t="s">
        <v>726</v>
      </c>
      <c r="Y82" s="375" t="s">
        <v>727</v>
      </c>
      <c r="Z82" s="374" t="s">
        <v>726</v>
      </c>
      <c r="AA82" s="375" t="s">
        <v>727</v>
      </c>
      <c r="AB82" s="374" t="s">
        <v>726</v>
      </c>
      <c r="AC82" s="375" t="s">
        <v>727</v>
      </c>
      <c r="AE82" s="1182"/>
      <c r="AF82" s="1198"/>
      <c r="AG82" s="1185"/>
      <c r="AH82" s="1179"/>
      <c r="AI82" s="374" t="s">
        <v>726</v>
      </c>
      <c r="AJ82" s="375" t="s">
        <v>727</v>
      </c>
      <c r="AK82" s="374" t="s">
        <v>726</v>
      </c>
      <c r="AL82" s="375" t="s">
        <v>727</v>
      </c>
      <c r="AM82" s="374" t="s">
        <v>726</v>
      </c>
      <c r="AN82" s="375" t="s">
        <v>727</v>
      </c>
      <c r="AO82" s="374" t="s">
        <v>726</v>
      </c>
      <c r="AP82" s="375" t="s">
        <v>727</v>
      </c>
      <c r="AQ82" s="374" t="s">
        <v>726</v>
      </c>
      <c r="AR82" s="375" t="s">
        <v>727</v>
      </c>
    </row>
    <row r="83" spans="2:44" ht="15" customHeight="1" outlineLevel="1">
      <c r="B83" s="500" t="s">
        <v>728</v>
      </c>
      <c r="C83" s="668">
        <v>300</v>
      </c>
      <c r="D83" s="668">
        <v>310</v>
      </c>
      <c r="E83" s="669">
        <v>320</v>
      </c>
      <c r="F83" s="668">
        <v>325</v>
      </c>
      <c r="G83" s="668">
        <f>D83</f>
        <v>310</v>
      </c>
      <c r="H83" s="668">
        <f>D83*1.1</f>
        <v>341</v>
      </c>
      <c r="I83" s="668">
        <f>D83</f>
        <v>310</v>
      </c>
      <c r="J83" s="668">
        <f>F83*1.1</f>
        <v>357.50000000000006</v>
      </c>
      <c r="K83" s="503"/>
      <c r="L83" s="504">
        <v>1.5</v>
      </c>
      <c r="M83" s="370"/>
      <c r="N83" s="370"/>
      <c r="P83" s="1148" t="str">
        <f>C79</f>
        <v>High temperature heat pumps, up to 150 °C</v>
      </c>
      <c r="Q83" s="1154" t="s">
        <v>730</v>
      </c>
      <c r="R83" s="381" t="s">
        <v>731</v>
      </c>
      <c r="S83" s="382"/>
      <c r="T83" s="1137">
        <v>0</v>
      </c>
      <c r="U83" s="1151">
        <v>0</v>
      </c>
      <c r="V83" s="1137">
        <v>0</v>
      </c>
      <c r="W83" s="1151">
        <v>0</v>
      </c>
      <c r="X83" s="1137">
        <v>0</v>
      </c>
      <c r="Y83" s="1151">
        <v>0</v>
      </c>
      <c r="Z83" s="1137">
        <v>0</v>
      </c>
      <c r="AA83" s="1151">
        <v>0</v>
      </c>
      <c r="AB83" s="1137">
        <v>0</v>
      </c>
      <c r="AC83" s="1151">
        <v>0</v>
      </c>
      <c r="AE83" s="1148" t="str">
        <f>P83</f>
        <v>High temperature heat pumps, up to 150 °C</v>
      </c>
      <c r="AF83" s="1154" t="s">
        <v>730</v>
      </c>
      <c r="AG83" s="381" t="s">
        <v>731</v>
      </c>
      <c r="AH83" s="382"/>
      <c r="AI83" s="1137">
        <v>0</v>
      </c>
      <c r="AJ83" s="1151">
        <v>0</v>
      </c>
      <c r="AK83" s="1137">
        <v>0</v>
      </c>
      <c r="AL83" s="1151">
        <v>0</v>
      </c>
      <c r="AM83" s="1137">
        <v>0</v>
      </c>
      <c r="AN83" s="1151">
        <v>0</v>
      </c>
      <c r="AO83" s="1137">
        <v>0</v>
      </c>
      <c r="AP83" s="1151">
        <v>0</v>
      </c>
      <c r="AQ83" s="1137">
        <v>0</v>
      </c>
      <c r="AR83" s="1151">
        <v>0</v>
      </c>
    </row>
    <row r="84" spans="2:44" outlineLevel="1">
      <c r="B84" s="383" t="s">
        <v>732</v>
      </c>
      <c r="C84" s="577">
        <f>C83-5</f>
        <v>295</v>
      </c>
      <c r="D84" s="577">
        <f t="shared" ref="D84:J84" si="4">D83-5</f>
        <v>305</v>
      </c>
      <c r="E84" s="577">
        <f t="shared" si="4"/>
        <v>315</v>
      </c>
      <c r="F84" s="577">
        <f t="shared" si="4"/>
        <v>320</v>
      </c>
      <c r="G84" s="576">
        <f t="shared" si="4"/>
        <v>305</v>
      </c>
      <c r="H84" s="576">
        <f t="shared" si="4"/>
        <v>336</v>
      </c>
      <c r="I84" s="576">
        <f t="shared" si="4"/>
        <v>305</v>
      </c>
      <c r="J84" s="576">
        <f t="shared" si="4"/>
        <v>352.50000000000006</v>
      </c>
      <c r="K84" s="372" t="s">
        <v>59</v>
      </c>
      <c r="L84" s="373"/>
      <c r="M84" s="370"/>
      <c r="N84" s="370"/>
      <c r="O84" s="71"/>
      <c r="P84" s="1195"/>
      <c r="Q84" s="1155"/>
      <c r="R84" s="388" t="s">
        <v>733</v>
      </c>
      <c r="S84" s="389"/>
      <c r="T84" s="1140"/>
      <c r="U84" s="1152"/>
      <c r="V84" s="1140"/>
      <c r="W84" s="1152"/>
      <c r="X84" s="1140"/>
      <c r="Y84" s="1152"/>
      <c r="Z84" s="1140"/>
      <c r="AA84" s="1152"/>
      <c r="AB84" s="1140"/>
      <c r="AC84" s="1152"/>
      <c r="AE84" s="1195"/>
      <c r="AF84" s="1155"/>
      <c r="AG84" s="388" t="s">
        <v>733</v>
      </c>
      <c r="AH84" s="389"/>
      <c r="AI84" s="1140"/>
      <c r="AJ84" s="1152"/>
      <c r="AK84" s="1140"/>
      <c r="AL84" s="1152"/>
      <c r="AM84" s="1140"/>
      <c r="AN84" s="1152"/>
      <c r="AO84" s="1140"/>
      <c r="AP84" s="1152"/>
      <c r="AQ84" s="1140"/>
      <c r="AR84" s="1152"/>
    </row>
    <row r="85" spans="2:44" ht="16" outlineLevel="1" thickBot="1">
      <c r="B85" s="500" t="s">
        <v>734</v>
      </c>
      <c r="C85" s="506">
        <v>2</v>
      </c>
      <c r="D85" s="507">
        <v>2</v>
      </c>
      <c r="E85" s="507">
        <v>2</v>
      </c>
      <c r="F85" s="508">
        <v>2</v>
      </c>
      <c r="G85" s="507">
        <v>1</v>
      </c>
      <c r="H85" s="507">
        <v>7</v>
      </c>
      <c r="I85" s="507">
        <v>1</v>
      </c>
      <c r="J85" s="507">
        <v>7</v>
      </c>
      <c r="K85" s="503"/>
      <c r="L85" s="504">
        <v>2</v>
      </c>
      <c r="M85" s="370"/>
      <c r="N85" s="370"/>
      <c r="O85" s="71"/>
      <c r="P85" s="1195"/>
      <c r="Q85" s="1156"/>
      <c r="R85" s="393" t="s">
        <v>735</v>
      </c>
      <c r="S85" s="394"/>
      <c r="T85" s="1141"/>
      <c r="U85" s="1153"/>
      <c r="V85" s="1141"/>
      <c r="W85" s="1153"/>
      <c r="X85" s="1141"/>
      <c r="Y85" s="1153"/>
      <c r="Z85" s="1141"/>
      <c r="AA85" s="1153"/>
      <c r="AB85" s="1141"/>
      <c r="AC85" s="1153"/>
      <c r="AE85" s="1195"/>
      <c r="AF85" s="1156"/>
      <c r="AG85" s="393" t="s">
        <v>735</v>
      </c>
      <c r="AH85" s="394"/>
      <c r="AI85" s="1141"/>
      <c r="AJ85" s="1153"/>
      <c r="AK85" s="1141"/>
      <c r="AL85" s="1153"/>
      <c r="AM85" s="1141"/>
      <c r="AN85" s="1153"/>
      <c r="AO85" s="1141"/>
      <c r="AP85" s="1153"/>
      <c r="AQ85" s="1141"/>
      <c r="AR85" s="1153"/>
    </row>
    <row r="86" spans="2:44" ht="15" customHeight="1" outlineLevel="1">
      <c r="B86" s="500" t="s">
        <v>657</v>
      </c>
      <c r="C86" s="506">
        <v>0</v>
      </c>
      <c r="D86" s="506">
        <v>0</v>
      </c>
      <c r="E86" s="506">
        <v>0</v>
      </c>
      <c r="F86" s="506">
        <v>0</v>
      </c>
      <c r="G86" s="506">
        <v>0</v>
      </c>
      <c r="H86" s="506">
        <v>1</v>
      </c>
      <c r="I86" s="506">
        <v>0</v>
      </c>
      <c r="J86" s="506">
        <v>1</v>
      </c>
      <c r="K86" s="503" t="s">
        <v>16</v>
      </c>
      <c r="L86" s="504">
        <v>2</v>
      </c>
      <c r="M86" s="370"/>
      <c r="N86" s="370"/>
      <c r="O86" s="71"/>
      <c r="P86" s="1195"/>
      <c r="Q86" s="1154" t="s">
        <v>736</v>
      </c>
      <c r="R86" s="395" t="s">
        <v>737</v>
      </c>
      <c r="S86" s="396" t="s">
        <v>738</v>
      </c>
      <c r="T86" s="1137">
        <v>0</v>
      </c>
      <c r="U86" s="1137">
        <v>0.09</v>
      </c>
      <c r="V86" s="1137">
        <v>0</v>
      </c>
      <c r="W86" s="1137">
        <v>0.1</v>
      </c>
      <c r="X86" s="1137">
        <v>0</v>
      </c>
      <c r="Y86" s="1137">
        <v>0.03</v>
      </c>
      <c r="Z86" s="1137">
        <v>0</v>
      </c>
      <c r="AA86" s="1137">
        <v>0.05</v>
      </c>
      <c r="AB86" s="1137">
        <v>0</v>
      </c>
      <c r="AC86" s="1137">
        <v>7.0000000000000007E-2</v>
      </c>
      <c r="AE86" s="1195"/>
      <c r="AF86" s="1154" t="s">
        <v>736</v>
      </c>
      <c r="AG86" s="395" t="s">
        <v>737</v>
      </c>
      <c r="AH86" s="396" t="s">
        <v>738</v>
      </c>
      <c r="AI86" s="1137">
        <v>0</v>
      </c>
      <c r="AJ86" s="1137">
        <f>U86/4</f>
        <v>2.2499999999999999E-2</v>
      </c>
      <c r="AK86" s="1137">
        <v>0</v>
      </c>
      <c r="AL86" s="1137">
        <f>W86/4</f>
        <v>2.5000000000000001E-2</v>
      </c>
      <c r="AM86" s="1137">
        <v>0</v>
      </c>
      <c r="AN86" s="1137">
        <f>Y86/4</f>
        <v>7.4999999999999997E-3</v>
      </c>
      <c r="AO86" s="1137">
        <v>0</v>
      </c>
      <c r="AP86" s="1137">
        <f>AA86/4</f>
        <v>1.2500000000000001E-2</v>
      </c>
      <c r="AQ86" s="1137">
        <v>0</v>
      </c>
      <c r="AR86" s="1137">
        <f>AC86/4</f>
        <v>1.7500000000000002E-2</v>
      </c>
    </row>
    <row r="87" spans="2:44" outlineLevel="1">
      <c r="B87" s="500" t="s">
        <v>658</v>
      </c>
      <c r="C87" s="506">
        <v>0.5</v>
      </c>
      <c r="D87" s="506">
        <v>0.5</v>
      </c>
      <c r="E87" s="506">
        <v>0.5</v>
      </c>
      <c r="F87" s="506">
        <v>0.5</v>
      </c>
      <c r="G87" s="506">
        <v>0</v>
      </c>
      <c r="H87" s="506">
        <v>1</v>
      </c>
      <c r="I87" s="506">
        <v>0</v>
      </c>
      <c r="J87" s="506">
        <v>1</v>
      </c>
      <c r="K87" s="503"/>
      <c r="L87" s="504">
        <v>2</v>
      </c>
      <c r="M87" s="367"/>
      <c r="N87" s="367"/>
      <c r="O87" s="71"/>
      <c r="P87" s="1195"/>
      <c r="Q87" s="1155"/>
      <c r="R87" s="395" t="s">
        <v>739</v>
      </c>
      <c r="S87" s="396" t="s">
        <v>738</v>
      </c>
      <c r="T87" s="1138"/>
      <c r="U87" s="1138"/>
      <c r="V87" s="1138"/>
      <c r="W87" s="1138"/>
      <c r="X87" s="1138"/>
      <c r="Y87" s="1138"/>
      <c r="Z87" s="1138"/>
      <c r="AA87" s="1138"/>
      <c r="AB87" s="1138"/>
      <c r="AC87" s="1138"/>
      <c r="AE87" s="1195"/>
      <c r="AF87" s="1155"/>
      <c r="AG87" s="395" t="s">
        <v>739</v>
      </c>
      <c r="AH87" s="396" t="s">
        <v>738</v>
      </c>
      <c r="AI87" s="1138"/>
      <c r="AJ87" s="1138"/>
      <c r="AK87" s="1138"/>
      <c r="AL87" s="1138"/>
      <c r="AM87" s="1138"/>
      <c r="AN87" s="1138"/>
      <c r="AO87" s="1138"/>
      <c r="AP87" s="1138"/>
      <c r="AQ87" s="1138"/>
      <c r="AR87" s="1138"/>
    </row>
    <row r="88" spans="2:44" outlineLevel="1">
      <c r="B88" s="383" t="s">
        <v>11</v>
      </c>
      <c r="C88" s="397">
        <v>20</v>
      </c>
      <c r="D88" s="397">
        <v>20</v>
      </c>
      <c r="E88" s="397">
        <v>20</v>
      </c>
      <c r="F88" s="397">
        <v>20</v>
      </c>
      <c r="G88" s="399">
        <v>15</v>
      </c>
      <c r="H88" s="399">
        <v>30</v>
      </c>
      <c r="I88" s="399">
        <v>15</v>
      </c>
      <c r="J88" s="399">
        <v>30</v>
      </c>
      <c r="K88" s="372"/>
      <c r="L88" s="373">
        <v>2</v>
      </c>
      <c r="M88" s="363"/>
      <c r="N88" s="363"/>
      <c r="P88" s="1195"/>
      <c r="Q88" s="1155"/>
      <c r="R88" s="395" t="s">
        <v>741</v>
      </c>
      <c r="S88" s="396"/>
      <c r="T88" s="1138"/>
      <c r="U88" s="1138"/>
      <c r="V88" s="1138"/>
      <c r="W88" s="1138"/>
      <c r="X88" s="1138"/>
      <c r="Y88" s="1138"/>
      <c r="Z88" s="1138"/>
      <c r="AA88" s="1138"/>
      <c r="AB88" s="1138"/>
      <c r="AC88" s="1138"/>
      <c r="AE88" s="1195"/>
      <c r="AF88" s="1155"/>
      <c r="AG88" s="395" t="s">
        <v>741</v>
      </c>
      <c r="AH88" s="396"/>
      <c r="AI88" s="1138"/>
      <c r="AJ88" s="1138"/>
      <c r="AK88" s="1138"/>
      <c r="AL88" s="1138"/>
      <c r="AM88" s="1138"/>
      <c r="AN88" s="1138"/>
      <c r="AO88" s="1138"/>
      <c r="AP88" s="1138"/>
      <c r="AQ88" s="1138"/>
      <c r="AR88" s="1138"/>
    </row>
    <row r="89" spans="2:44" ht="16" outlineLevel="1" thickBot="1">
      <c r="B89" s="500" t="s">
        <v>273</v>
      </c>
      <c r="C89" s="506">
        <v>0.6</v>
      </c>
      <c r="D89" s="506">
        <v>0.6</v>
      </c>
      <c r="E89" s="506">
        <v>0.6</v>
      </c>
      <c r="F89" s="506">
        <v>0.6</v>
      </c>
      <c r="G89" s="506">
        <v>0.4</v>
      </c>
      <c r="H89" s="506">
        <v>0.8</v>
      </c>
      <c r="I89" s="506">
        <v>0.4</v>
      </c>
      <c r="J89" s="506">
        <v>0.8</v>
      </c>
      <c r="K89" s="372" t="s">
        <v>20</v>
      </c>
      <c r="L89" s="400">
        <v>2</v>
      </c>
      <c r="M89" s="363"/>
      <c r="N89" s="363"/>
      <c r="P89" s="1195"/>
      <c r="Q89" s="1155"/>
      <c r="R89" s="395" t="s">
        <v>742</v>
      </c>
      <c r="S89" s="396" t="s">
        <v>738</v>
      </c>
      <c r="T89" s="1138"/>
      <c r="U89" s="1138"/>
      <c r="V89" s="1138"/>
      <c r="W89" s="1138"/>
      <c r="X89" s="1138"/>
      <c r="Y89" s="1138"/>
      <c r="Z89" s="1138"/>
      <c r="AA89" s="1138"/>
      <c r="AB89" s="1138"/>
      <c r="AC89" s="1138"/>
      <c r="AE89" s="1195"/>
      <c r="AF89" s="1155"/>
      <c r="AG89" s="395" t="s">
        <v>742</v>
      </c>
      <c r="AH89" s="396" t="s">
        <v>738</v>
      </c>
      <c r="AI89" s="1138"/>
      <c r="AJ89" s="1138"/>
      <c r="AK89" s="1138"/>
      <c r="AL89" s="1138"/>
      <c r="AM89" s="1138"/>
      <c r="AN89" s="1138"/>
      <c r="AO89" s="1138"/>
      <c r="AP89" s="1138"/>
      <c r="AQ89" s="1138"/>
      <c r="AR89" s="1138"/>
    </row>
    <row r="90" spans="2:44" ht="16" outlineLevel="1" thickBot="1">
      <c r="B90" s="401" t="s">
        <v>743</v>
      </c>
      <c r="C90" s="402"/>
      <c r="D90" s="403"/>
      <c r="E90" s="404"/>
      <c r="F90" s="405"/>
      <c r="G90" s="406"/>
      <c r="H90" s="406"/>
      <c r="I90" s="406"/>
      <c r="J90" s="406"/>
      <c r="K90" s="407"/>
      <c r="L90" s="408"/>
      <c r="M90" s="363"/>
      <c r="N90" s="363"/>
      <c r="P90" s="1195"/>
      <c r="Q90" s="1155"/>
      <c r="R90" s="409" t="s">
        <v>863</v>
      </c>
      <c r="S90" s="410" t="s">
        <v>738</v>
      </c>
      <c r="T90" s="1139"/>
      <c r="U90" s="1139"/>
      <c r="V90" s="1139"/>
      <c r="W90" s="1139"/>
      <c r="X90" s="1139"/>
      <c r="Y90" s="1139"/>
      <c r="Z90" s="1139"/>
      <c r="AA90" s="1139"/>
      <c r="AB90" s="1139"/>
      <c r="AC90" s="1139"/>
      <c r="AE90" s="1195"/>
      <c r="AF90" s="1155"/>
      <c r="AG90" s="409" t="s">
        <v>863</v>
      </c>
      <c r="AH90" s="410" t="s">
        <v>738</v>
      </c>
      <c r="AI90" s="1139"/>
      <c r="AJ90" s="1139"/>
      <c r="AK90" s="1139"/>
      <c r="AL90" s="1139"/>
      <c r="AM90" s="1139"/>
      <c r="AN90" s="1139"/>
      <c r="AO90" s="1139"/>
      <c r="AP90" s="1139"/>
      <c r="AQ90" s="1139"/>
      <c r="AR90" s="1139"/>
    </row>
    <row r="91" spans="2:44" ht="33" outlineLevel="1" thickBot="1">
      <c r="B91" s="500" t="s">
        <v>663</v>
      </c>
      <c r="C91" s="506">
        <v>25</v>
      </c>
      <c r="D91" s="506">
        <v>25</v>
      </c>
      <c r="E91" s="506">
        <v>25</v>
      </c>
      <c r="F91" s="506">
        <v>25</v>
      </c>
      <c r="G91" s="507"/>
      <c r="H91" s="507"/>
      <c r="I91" s="507"/>
      <c r="J91" s="507"/>
      <c r="K91" s="503" t="s">
        <v>76</v>
      </c>
      <c r="L91" s="504">
        <v>4</v>
      </c>
      <c r="M91" s="363"/>
      <c r="N91" s="363"/>
      <c r="P91" s="1196"/>
      <c r="Q91" s="411" t="s">
        <v>745</v>
      </c>
      <c r="R91" s="412" t="s">
        <v>746</v>
      </c>
      <c r="S91" s="413" t="s">
        <v>738</v>
      </c>
      <c r="T91" s="414">
        <v>1</v>
      </c>
      <c r="U91" s="415">
        <v>1</v>
      </c>
      <c r="V91" s="416">
        <v>1</v>
      </c>
      <c r="W91" s="415">
        <v>1</v>
      </c>
      <c r="X91" s="416">
        <v>1</v>
      </c>
      <c r="Y91" s="415">
        <v>1</v>
      </c>
      <c r="Z91" s="416">
        <v>1</v>
      </c>
      <c r="AA91" s="415">
        <v>1</v>
      </c>
      <c r="AB91" s="416">
        <v>1</v>
      </c>
      <c r="AC91" s="417">
        <v>1</v>
      </c>
      <c r="AE91" s="1196"/>
      <c r="AF91" s="411" t="s">
        <v>745</v>
      </c>
      <c r="AG91" s="412" t="s">
        <v>746</v>
      </c>
      <c r="AH91" s="413" t="s">
        <v>738</v>
      </c>
      <c r="AI91" s="414">
        <v>1</v>
      </c>
      <c r="AJ91" s="415">
        <v>1</v>
      </c>
      <c r="AK91" s="414">
        <v>1</v>
      </c>
      <c r="AL91" s="415">
        <v>1</v>
      </c>
      <c r="AM91" s="414">
        <v>1</v>
      </c>
      <c r="AN91" s="415">
        <v>1</v>
      </c>
      <c r="AO91" s="414">
        <v>1</v>
      </c>
      <c r="AP91" s="415">
        <v>1</v>
      </c>
      <c r="AQ91" s="414">
        <v>1</v>
      </c>
      <c r="AR91" s="417">
        <v>1</v>
      </c>
    </row>
    <row r="92" spans="2:44" outlineLevel="1">
      <c r="B92" s="500" t="s">
        <v>664</v>
      </c>
      <c r="C92" s="506">
        <v>0.25</v>
      </c>
      <c r="D92" s="506">
        <v>0.25</v>
      </c>
      <c r="E92" s="506">
        <v>0.25</v>
      </c>
      <c r="F92" s="506">
        <v>0.25</v>
      </c>
      <c r="G92" s="509"/>
      <c r="H92" s="509"/>
      <c r="I92" s="509"/>
      <c r="J92" s="509"/>
      <c r="K92" s="510"/>
      <c r="L92" s="504">
        <v>9</v>
      </c>
      <c r="M92" s="363"/>
      <c r="N92" s="363"/>
    </row>
    <row r="93" spans="2:44" outlineLevel="1">
      <c r="B93" s="500" t="s">
        <v>666</v>
      </c>
      <c r="C93" s="506">
        <v>1</v>
      </c>
      <c r="D93" s="506">
        <v>1</v>
      </c>
      <c r="E93" s="506">
        <v>1</v>
      </c>
      <c r="F93" s="506">
        <v>1</v>
      </c>
      <c r="G93" s="509"/>
      <c r="H93" s="509"/>
      <c r="I93" s="509"/>
      <c r="J93" s="509"/>
      <c r="K93" s="510"/>
      <c r="L93" s="504">
        <v>9</v>
      </c>
      <c r="M93" s="420"/>
      <c r="N93" s="363"/>
    </row>
    <row r="94" spans="2:44" outlineLevel="1">
      <c r="B94" s="421" t="s">
        <v>12</v>
      </c>
      <c r="C94" s="399"/>
      <c r="D94" s="399"/>
      <c r="E94" s="399"/>
      <c r="F94" s="399"/>
      <c r="G94" s="422"/>
      <c r="H94" s="422"/>
      <c r="I94" s="422"/>
      <c r="J94" s="422"/>
      <c r="K94" s="423"/>
      <c r="L94" s="424"/>
      <c r="M94" s="420"/>
      <c r="N94" s="420"/>
    </row>
    <row r="95" spans="2:44" ht="42" outlineLevel="1">
      <c r="B95" s="383" t="s">
        <v>843</v>
      </c>
      <c r="C95" s="397" t="s">
        <v>669</v>
      </c>
      <c r="D95" s="397"/>
      <c r="E95" s="397"/>
      <c r="F95" s="397"/>
      <c r="G95" s="422"/>
      <c r="H95" s="425"/>
      <c r="I95" s="425"/>
      <c r="J95" s="425"/>
      <c r="K95" s="426"/>
      <c r="L95" s="427"/>
      <c r="M95" s="428"/>
      <c r="N95" s="428"/>
    </row>
    <row r="96" spans="2:44" outlineLevel="1">
      <c r="B96" s="383" t="s">
        <v>749</v>
      </c>
      <c r="C96" s="397"/>
      <c r="D96" s="397"/>
      <c r="E96" s="397"/>
      <c r="F96" s="397"/>
      <c r="G96" s="425"/>
      <c r="H96" s="425"/>
      <c r="I96" s="425"/>
      <c r="J96" s="425"/>
      <c r="K96" s="423"/>
      <c r="L96" s="427"/>
      <c r="M96" s="428"/>
      <c r="N96" s="428"/>
    </row>
    <row r="97" spans="1:30" outlineLevel="1">
      <c r="B97" s="383" t="s">
        <v>844</v>
      </c>
      <c r="C97" s="397"/>
      <c r="D97" s="397"/>
      <c r="E97" s="397"/>
      <c r="F97" s="397"/>
      <c r="G97" s="425"/>
      <c r="H97" s="425"/>
      <c r="I97" s="425"/>
      <c r="J97" s="425"/>
      <c r="K97" s="423"/>
      <c r="L97" s="427"/>
      <c r="M97" s="428"/>
      <c r="N97" s="428"/>
    </row>
    <row r="98" spans="1:30" outlineLevel="1">
      <c r="B98" s="383" t="s">
        <v>366</v>
      </c>
      <c r="C98" s="397"/>
      <c r="D98" s="397"/>
      <c r="E98" s="397"/>
      <c r="F98" s="397"/>
      <c r="G98" s="425"/>
      <c r="H98" s="425"/>
      <c r="I98" s="425"/>
      <c r="J98" s="425"/>
      <c r="K98" s="423"/>
      <c r="L98" s="427"/>
      <c r="M98" s="428"/>
      <c r="N98" s="428"/>
    </row>
    <row r="99" spans="1:30" ht="16" outlineLevel="1" thickBot="1">
      <c r="B99" s="429" t="s">
        <v>367</v>
      </c>
      <c r="C99" s="430"/>
      <c r="D99" s="430"/>
      <c r="E99" s="430"/>
      <c r="F99" s="430"/>
      <c r="G99" s="425"/>
      <c r="H99" s="425"/>
      <c r="I99" s="425"/>
      <c r="J99" s="425"/>
      <c r="K99" s="423"/>
      <c r="L99" s="427"/>
      <c r="M99" s="428"/>
      <c r="N99" s="428"/>
    </row>
    <row r="100" spans="1:30" ht="16" outlineLevel="1" thickBot="1">
      <c r="B100" s="431" t="s">
        <v>674</v>
      </c>
      <c r="C100" s="432"/>
      <c r="D100" s="403"/>
      <c r="E100" s="403"/>
      <c r="F100" s="433"/>
      <c r="G100" s="434"/>
      <c r="H100" s="406"/>
      <c r="I100" s="406"/>
      <c r="J100" s="406"/>
      <c r="K100" s="407"/>
      <c r="L100" s="408"/>
      <c r="M100" s="428"/>
      <c r="N100" s="428"/>
    </row>
    <row r="101" spans="1:30" outlineLevel="1">
      <c r="A101" s="435"/>
      <c r="B101" s="436" t="s">
        <v>910</v>
      </c>
      <c r="C101" s="551">
        <f>0.8712*(1+0.1+0.1)</f>
        <v>1.0454400000000001</v>
      </c>
      <c r="D101" s="647">
        <f>0.7788*(1+0.1+0.1)</f>
        <v>0.93456000000000017</v>
      </c>
      <c r="E101" s="647">
        <f>0.73*(1+0.1+0.1)</f>
        <v>0.87600000000000011</v>
      </c>
      <c r="F101" s="513">
        <f>0.7*(1+0.1+0.1)</f>
        <v>0.84000000000000008</v>
      </c>
      <c r="G101" s="425"/>
      <c r="H101" s="425"/>
      <c r="I101" s="425"/>
      <c r="J101" s="425"/>
      <c r="K101" s="426" t="s">
        <v>25</v>
      </c>
      <c r="L101" s="440" t="s">
        <v>901</v>
      </c>
      <c r="M101" s="420"/>
      <c r="N101" s="420"/>
    </row>
    <row r="102" spans="1:30" outlineLevel="1">
      <c r="B102" s="441" t="s">
        <v>839</v>
      </c>
      <c r="C102" s="442">
        <v>40</v>
      </c>
      <c r="D102" s="442">
        <v>40</v>
      </c>
      <c r="E102" s="442">
        <v>40</v>
      </c>
      <c r="F102" s="442">
        <v>40</v>
      </c>
      <c r="G102" s="425"/>
      <c r="H102" s="425"/>
      <c r="I102" s="425"/>
      <c r="J102" s="425"/>
      <c r="K102" s="444"/>
      <c r="L102" s="373">
        <v>4</v>
      </c>
      <c r="M102" s="71"/>
      <c r="N102" s="420"/>
    </row>
    <row r="103" spans="1:30" outlineLevel="1">
      <c r="B103" s="441" t="s">
        <v>840</v>
      </c>
      <c r="C103" s="442">
        <v>60</v>
      </c>
      <c r="D103" s="442">
        <v>60</v>
      </c>
      <c r="E103" s="442">
        <v>60</v>
      </c>
      <c r="F103" s="442">
        <v>60</v>
      </c>
      <c r="G103" s="425"/>
      <c r="H103" s="425"/>
      <c r="I103" s="425"/>
      <c r="J103" s="425"/>
      <c r="K103" s="444"/>
      <c r="L103" s="373">
        <v>4</v>
      </c>
      <c r="M103" s="420"/>
      <c r="N103" s="420"/>
    </row>
    <row r="104" spans="1:30" outlineLevel="1">
      <c r="B104" s="383" t="s">
        <v>841</v>
      </c>
      <c r="C104" s="445">
        <v>970</v>
      </c>
      <c r="D104" s="446">
        <v>870</v>
      </c>
      <c r="E104" s="446">
        <v>800</v>
      </c>
      <c r="F104" s="447">
        <v>720</v>
      </c>
      <c r="G104" s="425"/>
      <c r="H104" s="425"/>
      <c r="I104" s="425"/>
      <c r="J104" s="425"/>
      <c r="K104" s="448"/>
      <c r="L104" s="373">
        <v>5</v>
      </c>
      <c r="M104" s="420"/>
      <c r="N104" s="420"/>
    </row>
    <row r="105" spans="1:30" outlineLevel="1">
      <c r="B105" s="383" t="s">
        <v>679</v>
      </c>
      <c r="C105" s="449">
        <f>SUM(C106:C107)</f>
        <v>3.26</v>
      </c>
      <c r="D105" s="449">
        <f>SUM(D106:D107)</f>
        <v>3.2</v>
      </c>
      <c r="E105" s="449">
        <f>SUM(E106:E107)</f>
        <v>3.2199999999999998</v>
      </c>
      <c r="F105" s="449">
        <f>SUM(F106:F107)</f>
        <v>3.12</v>
      </c>
      <c r="G105" s="425"/>
      <c r="H105" s="425"/>
      <c r="I105" s="425"/>
      <c r="J105" s="425"/>
      <c r="K105" s="448"/>
      <c r="L105" s="373"/>
      <c r="M105" s="450"/>
      <c r="N105" s="361"/>
      <c r="P105" s="1142">
        <f>C105</f>
        <v>3.26</v>
      </c>
      <c r="Q105" s="1143"/>
      <c r="R105" s="1143"/>
      <c r="S105" s="1143"/>
      <c r="T105" s="1143"/>
      <c r="U105" s="1144"/>
    </row>
    <row r="106" spans="1:30" ht="16" outlineLevel="1" thickBot="1">
      <c r="B106" s="500" t="s">
        <v>758</v>
      </c>
      <c r="C106" s="514">
        <f>C85/100*73</f>
        <v>1.46</v>
      </c>
      <c r="D106" s="514">
        <f>D85/100*75</f>
        <v>1.5</v>
      </c>
      <c r="E106" s="514">
        <f>E85/100*76</f>
        <v>1.52</v>
      </c>
      <c r="F106" s="514">
        <f>F85/100*76</f>
        <v>1.52</v>
      </c>
      <c r="G106" s="515"/>
      <c r="H106" s="515"/>
      <c r="I106" s="515"/>
      <c r="J106" s="515"/>
      <c r="K106" s="503" t="s">
        <v>33</v>
      </c>
      <c r="L106" s="504">
        <v>3</v>
      </c>
      <c r="M106" s="450"/>
      <c r="N106" s="361"/>
      <c r="P106" s="1134">
        <f>C106</f>
        <v>1.46</v>
      </c>
      <c r="Q106" s="1135"/>
      <c r="R106" s="1135"/>
      <c r="S106" s="1135"/>
      <c r="T106" s="1135"/>
      <c r="U106" s="1136"/>
    </row>
    <row r="107" spans="1:30" outlineLevel="1">
      <c r="B107" s="500" t="s">
        <v>759</v>
      </c>
      <c r="C107" s="516">
        <v>1.8</v>
      </c>
      <c r="D107" s="516">
        <v>1.7</v>
      </c>
      <c r="E107" s="516">
        <v>1.7</v>
      </c>
      <c r="F107" s="516">
        <v>1.6</v>
      </c>
      <c r="G107" s="515"/>
      <c r="H107" s="515"/>
      <c r="I107" s="515"/>
      <c r="J107" s="515"/>
      <c r="K107" s="517"/>
      <c r="L107" s="504">
        <v>2</v>
      </c>
      <c r="M107" s="363"/>
      <c r="N107" s="363"/>
      <c r="P107" s="53" t="s">
        <v>357</v>
      </c>
    </row>
    <row r="108" spans="1:30" ht="30" outlineLevel="1">
      <c r="B108" s="441"/>
      <c r="C108" s="518"/>
      <c r="D108" s="518"/>
      <c r="E108" s="518"/>
      <c r="F108" s="518"/>
      <c r="G108" s="425"/>
      <c r="H108" s="425"/>
      <c r="I108" s="425"/>
      <c r="J108" s="425"/>
      <c r="K108" s="444"/>
      <c r="L108" s="424"/>
      <c r="M108" s="367"/>
      <c r="N108" s="367"/>
      <c r="P108" s="46" t="s">
        <v>335</v>
      </c>
      <c r="Q108" s="46" t="s">
        <v>336</v>
      </c>
      <c r="R108" s="47" t="s">
        <v>337</v>
      </c>
      <c r="S108" s="47" t="s">
        <v>338</v>
      </c>
      <c r="T108" s="47" t="s">
        <v>339</v>
      </c>
      <c r="U108" s="48" t="s">
        <v>340</v>
      </c>
      <c r="V108" s="49" t="s">
        <v>341</v>
      </c>
      <c r="W108" s="49" t="s">
        <v>342</v>
      </c>
      <c r="X108" s="49" t="s">
        <v>343</v>
      </c>
      <c r="Y108" s="49" t="s">
        <v>344</v>
      </c>
      <c r="Z108" s="49" t="s">
        <v>345</v>
      </c>
      <c r="AA108" s="49" t="s">
        <v>346</v>
      </c>
      <c r="AB108" s="49" t="s">
        <v>347</v>
      </c>
      <c r="AC108" s="49" t="s">
        <v>348</v>
      </c>
      <c r="AD108" s="49" t="s">
        <v>349</v>
      </c>
    </row>
    <row r="109" spans="1:30" ht="27" outlineLevel="1" thickBot="1">
      <c r="B109" s="519"/>
      <c r="C109" s="442"/>
      <c r="D109" s="520"/>
      <c r="E109" s="520"/>
      <c r="F109" s="521"/>
      <c r="G109" s="425"/>
      <c r="H109" s="425"/>
      <c r="I109" s="425"/>
      <c r="J109" s="425"/>
      <c r="K109" s="448"/>
      <c r="L109" s="424"/>
      <c r="M109" s="363"/>
      <c r="N109" s="363"/>
      <c r="P109" s="50"/>
      <c r="Q109" s="50"/>
      <c r="R109" s="51"/>
      <c r="S109" s="51"/>
      <c r="T109" s="51"/>
      <c r="U109" s="51" t="s">
        <v>760</v>
      </c>
      <c r="V109" s="50" t="s">
        <v>761</v>
      </c>
      <c r="W109" s="50"/>
      <c r="X109" s="50"/>
      <c r="Y109" s="50"/>
      <c r="Z109" s="50"/>
      <c r="AA109" s="50"/>
      <c r="AB109" s="50"/>
      <c r="AC109" s="50"/>
      <c r="AD109" s="50"/>
    </row>
    <row r="110" spans="1:30" ht="33" outlineLevel="1" thickBot="1">
      <c r="B110" s="401" t="s">
        <v>682</v>
      </c>
      <c r="C110" s="402"/>
      <c r="D110" s="403"/>
      <c r="E110" s="404"/>
      <c r="F110" s="405"/>
      <c r="G110" s="406"/>
      <c r="H110" s="406"/>
      <c r="I110" s="406"/>
      <c r="J110" s="406"/>
      <c r="K110" s="459"/>
      <c r="L110" s="460"/>
      <c r="M110" s="363"/>
      <c r="N110" s="363"/>
      <c r="O110" s="461" t="s">
        <v>732</v>
      </c>
      <c r="P110" s="56"/>
      <c r="Q110" s="56"/>
      <c r="R110" s="57"/>
      <c r="S110" s="57"/>
      <c r="T110" s="57"/>
      <c r="U110" s="56" t="s">
        <v>350</v>
      </c>
      <c r="V110" s="56" t="s">
        <v>326</v>
      </c>
      <c r="W110" s="56" t="s">
        <v>327</v>
      </c>
      <c r="X110" s="56" t="s">
        <v>351</v>
      </c>
      <c r="Y110" s="56" t="s">
        <v>351</v>
      </c>
      <c r="Z110" s="56" t="s">
        <v>352</v>
      </c>
      <c r="AA110" s="56" t="s">
        <v>352</v>
      </c>
      <c r="AB110" s="56" t="s">
        <v>352</v>
      </c>
      <c r="AC110" s="56" t="s">
        <v>352</v>
      </c>
      <c r="AD110" s="56" t="s">
        <v>352</v>
      </c>
    </row>
    <row r="111" spans="1:30" outlineLevel="1">
      <c r="B111" s="522" t="s">
        <v>762</v>
      </c>
      <c r="C111" s="670">
        <f>C101*0.2</f>
        <v>0.20908800000000005</v>
      </c>
      <c r="D111" s="670">
        <f>D101*0.2</f>
        <v>0.18691200000000005</v>
      </c>
      <c r="E111" s="670">
        <f>E101*0.2</f>
        <v>0.17520000000000002</v>
      </c>
      <c r="F111" s="670">
        <f>F101*0.2</f>
        <v>0.16800000000000004</v>
      </c>
      <c r="G111" s="671"/>
      <c r="H111" s="671"/>
      <c r="I111" s="671"/>
      <c r="J111" s="671"/>
      <c r="K111" s="671" t="s">
        <v>51</v>
      </c>
      <c r="L111" s="525"/>
      <c r="M111" s="363"/>
      <c r="N111" s="363"/>
      <c r="O111" s="465">
        <f>C84</f>
        <v>295</v>
      </c>
      <c r="P111" s="466">
        <f>C80</f>
        <v>2020</v>
      </c>
      <c r="Q111" s="58">
        <f>P111</f>
        <v>2020</v>
      </c>
      <c r="R111" s="466">
        <f>O111/100</f>
        <v>2.95</v>
      </c>
      <c r="S111" s="58"/>
      <c r="T111" s="466">
        <f>C88</f>
        <v>20</v>
      </c>
      <c r="U111" s="467">
        <f>C118</f>
        <v>7788.5280000000012</v>
      </c>
      <c r="V111" s="467">
        <f>C120</f>
        <v>7.2264999999999997</v>
      </c>
      <c r="W111" s="467">
        <f>C121</f>
        <v>6.7463888888888883</v>
      </c>
      <c r="X111" s="58"/>
      <c r="Y111" s="58"/>
      <c r="Z111" s="466" t="str">
        <f>C95</f>
        <v>Cf. the utilized electricity</v>
      </c>
      <c r="AA111" s="468">
        <f>C97</f>
        <v>0</v>
      </c>
      <c r="AB111" s="468">
        <f>C98</f>
        <v>0</v>
      </c>
      <c r="AC111" s="468">
        <f>C99</f>
        <v>0</v>
      </c>
      <c r="AD111" s="468">
        <f>C96</f>
        <v>0</v>
      </c>
    </row>
    <row r="112" spans="1:30" outlineLevel="1">
      <c r="B112" s="500" t="s">
        <v>763</v>
      </c>
      <c r="C112" s="526" t="s">
        <v>36</v>
      </c>
      <c r="D112" s="527" t="s">
        <v>36</v>
      </c>
      <c r="E112" s="527" t="s">
        <v>36</v>
      </c>
      <c r="F112" s="528" t="s">
        <v>36</v>
      </c>
      <c r="G112" s="528"/>
      <c r="H112" s="528"/>
      <c r="I112" s="528"/>
      <c r="J112" s="528"/>
      <c r="K112" s="529"/>
      <c r="L112" s="525"/>
      <c r="M112" s="363"/>
      <c r="N112" s="363"/>
      <c r="O112" s="465">
        <f>D84</f>
        <v>305</v>
      </c>
      <c r="P112" s="466">
        <f>D80</f>
        <v>2030</v>
      </c>
      <c r="Q112" s="58"/>
      <c r="R112" s="466">
        <f>O112/100</f>
        <v>3.05</v>
      </c>
      <c r="S112" s="58"/>
      <c r="T112" s="466">
        <f>D88</f>
        <v>20</v>
      </c>
      <c r="U112" s="467">
        <f>D118</f>
        <v>6962.4720000000016</v>
      </c>
      <c r="V112" s="467">
        <f>D120</f>
        <v>6.4814999999999996</v>
      </c>
      <c r="W112" s="467">
        <f>D121</f>
        <v>6.6222222222222227</v>
      </c>
      <c r="X112" s="58"/>
      <c r="Y112" s="58"/>
      <c r="Z112" s="466">
        <f>D95</f>
        <v>0</v>
      </c>
      <c r="AA112" s="468">
        <f>D97</f>
        <v>0</v>
      </c>
      <c r="AB112" s="468">
        <f>D98</f>
        <v>0</v>
      </c>
      <c r="AC112" s="468">
        <f>D99</f>
        <v>0</v>
      </c>
      <c r="AD112" s="468">
        <f>D96</f>
        <v>0</v>
      </c>
    </row>
    <row r="113" spans="2:30" outlineLevel="1">
      <c r="B113" s="500" t="s">
        <v>764</v>
      </c>
      <c r="C113" s="526" t="s">
        <v>36</v>
      </c>
      <c r="D113" s="527" t="s">
        <v>36</v>
      </c>
      <c r="E113" s="527" t="s">
        <v>36</v>
      </c>
      <c r="F113" s="528" t="s">
        <v>36</v>
      </c>
      <c r="G113" s="515"/>
      <c r="H113" s="515"/>
      <c r="I113" s="515"/>
      <c r="J113" s="515"/>
      <c r="K113" s="515"/>
      <c r="L113" s="504"/>
      <c r="M113" s="363"/>
      <c r="N113" s="363"/>
      <c r="O113" s="465">
        <f>E84</f>
        <v>315</v>
      </c>
      <c r="P113" s="466">
        <f>E80</f>
        <v>2040</v>
      </c>
      <c r="Q113" s="58"/>
      <c r="R113" s="466">
        <f>O113/100</f>
        <v>3.15</v>
      </c>
      <c r="S113" s="58"/>
      <c r="T113" s="466">
        <f>E88</f>
        <v>20</v>
      </c>
      <c r="U113" s="467">
        <f>E118</f>
        <v>6526.2000000000007</v>
      </c>
      <c r="V113" s="467">
        <f>E120</f>
        <v>5.96</v>
      </c>
      <c r="W113" s="467">
        <f>E121</f>
        <v>6.66361111111111</v>
      </c>
      <c r="X113" s="58"/>
      <c r="Y113" s="58"/>
      <c r="Z113" s="466">
        <f>E95</f>
        <v>0</v>
      </c>
      <c r="AA113" s="468">
        <f>E97</f>
        <v>0</v>
      </c>
      <c r="AB113" s="468">
        <f>E98</f>
        <v>0</v>
      </c>
      <c r="AC113" s="468">
        <f>E99</f>
        <v>0</v>
      </c>
      <c r="AD113" s="468">
        <f>E96</f>
        <v>0</v>
      </c>
    </row>
    <row r="114" spans="2:30" outlineLevel="1">
      <c r="B114" s="500" t="s">
        <v>765</v>
      </c>
      <c r="C114" s="530" t="s">
        <v>669</v>
      </c>
      <c r="D114" s="530"/>
      <c r="E114" s="530"/>
      <c r="F114" s="530"/>
      <c r="G114" s="531"/>
      <c r="H114" s="531"/>
      <c r="I114" s="531"/>
      <c r="J114" s="531"/>
      <c r="K114" s="531"/>
      <c r="L114" s="504"/>
      <c r="M114" s="363"/>
      <c r="N114" s="363"/>
      <c r="O114" s="465">
        <f>F84</f>
        <v>320</v>
      </c>
      <c r="P114" s="466">
        <f>F80</f>
        <v>2050</v>
      </c>
      <c r="Q114" s="58"/>
      <c r="R114" s="466">
        <f>O114/100</f>
        <v>3.2</v>
      </c>
      <c r="S114" s="58"/>
      <c r="T114" s="466">
        <f>F88</f>
        <v>20</v>
      </c>
      <c r="U114" s="467">
        <f>F118</f>
        <v>6258.0000000000009</v>
      </c>
      <c r="V114" s="467">
        <f>F120</f>
        <v>5.3639999999999999</v>
      </c>
      <c r="W114" s="467">
        <f>F121</f>
        <v>6.4566666666666661</v>
      </c>
      <c r="X114" s="58"/>
      <c r="Y114" s="58"/>
      <c r="Z114" s="466">
        <f>F95</f>
        <v>0</v>
      </c>
      <c r="AA114" s="468">
        <f>F97</f>
        <v>0</v>
      </c>
      <c r="AB114" s="468">
        <f>F98</f>
        <v>0</v>
      </c>
      <c r="AC114" s="468">
        <f>F99</f>
        <v>0</v>
      </c>
      <c r="AD114" s="468">
        <f>F96</f>
        <v>0</v>
      </c>
    </row>
    <row r="115" spans="2:30" outlineLevel="1">
      <c r="B115" s="532" t="s">
        <v>766</v>
      </c>
      <c r="C115" s="526">
        <v>80</v>
      </c>
      <c r="D115" s="527">
        <v>80</v>
      </c>
      <c r="E115" s="527">
        <v>80</v>
      </c>
      <c r="F115" s="528">
        <v>80</v>
      </c>
      <c r="G115" s="531"/>
      <c r="H115" s="531"/>
      <c r="I115" s="531"/>
      <c r="J115" s="531"/>
      <c r="K115" s="531" t="s">
        <v>52</v>
      </c>
      <c r="L115" s="533"/>
      <c r="M115" s="367"/>
      <c r="N115" s="367"/>
    </row>
    <row r="116" spans="2:30" outlineLevel="1">
      <c r="B116" s="532" t="s">
        <v>767</v>
      </c>
      <c r="C116" s="526">
        <v>50</v>
      </c>
      <c r="D116" s="527">
        <v>50</v>
      </c>
      <c r="E116" s="527">
        <v>50</v>
      </c>
      <c r="F116" s="528">
        <v>50</v>
      </c>
      <c r="G116" s="531"/>
      <c r="H116" s="531"/>
      <c r="I116" s="531"/>
      <c r="J116" s="531"/>
      <c r="K116" s="531" t="s">
        <v>52</v>
      </c>
      <c r="L116" s="533"/>
      <c r="M116" s="363"/>
      <c r="N116" s="363"/>
    </row>
    <row r="117" spans="2:30" ht="16" outlineLevel="1" thickBot="1">
      <c r="B117" s="534" t="s">
        <v>768</v>
      </c>
      <c r="C117" s="535" t="s">
        <v>36</v>
      </c>
      <c r="D117" s="536" t="s">
        <v>36</v>
      </c>
      <c r="E117" s="536" t="s">
        <v>36</v>
      </c>
      <c r="F117" s="537" t="s">
        <v>36</v>
      </c>
      <c r="G117" s="538"/>
      <c r="H117" s="538"/>
      <c r="I117" s="538"/>
      <c r="J117" s="538"/>
      <c r="K117" s="538"/>
      <c r="L117" s="539"/>
      <c r="M117" s="363"/>
      <c r="N117" s="363"/>
    </row>
    <row r="118" spans="2:30" ht="64" outlineLevel="1">
      <c r="B118" s="461" t="s">
        <v>911</v>
      </c>
      <c r="C118" s="483">
        <f>C101*$F$4*1000</f>
        <v>7788.5280000000012</v>
      </c>
      <c r="D118" s="483">
        <f t="shared" ref="D118:F118" si="5">D101*$F$4*1000</f>
        <v>6962.4720000000016</v>
      </c>
      <c r="E118" s="483">
        <f t="shared" si="5"/>
        <v>6526.2000000000007</v>
      </c>
      <c r="F118" s="483">
        <f t="shared" si="5"/>
        <v>6258.0000000000009</v>
      </c>
      <c r="G118" s="483"/>
      <c r="H118" s="484"/>
      <c r="I118" s="420" t="s">
        <v>332</v>
      </c>
      <c r="J118" s="420"/>
      <c r="K118" s="484"/>
      <c r="L118" s="484"/>
      <c r="N118" s="420"/>
    </row>
    <row r="119" spans="2:30" outlineLevel="1">
      <c r="B119" s="485" t="s">
        <v>912</v>
      </c>
      <c r="C119" s="486">
        <f>C118*$I119</f>
        <v>3894264.0000000005</v>
      </c>
      <c r="D119" s="486">
        <f>D118*$I119</f>
        <v>3481236.0000000009</v>
      </c>
      <c r="E119" s="486">
        <f>E118*$I119</f>
        <v>3263100.0000000005</v>
      </c>
      <c r="F119" s="486">
        <f>F118*$I119</f>
        <v>3129000.0000000005</v>
      </c>
      <c r="G119" s="486"/>
      <c r="H119" s="484"/>
      <c r="I119" s="71">
        <v>500</v>
      </c>
      <c r="J119" s="420" t="s">
        <v>330</v>
      </c>
      <c r="K119" s="484"/>
      <c r="L119" s="484"/>
      <c r="N119" s="420"/>
    </row>
    <row r="120" spans="2:30" ht="48" outlineLevel="1">
      <c r="B120" s="461" t="s">
        <v>913</v>
      </c>
      <c r="C120" s="359">
        <f>C104*$F$4/1000</f>
        <v>7.2264999999999997</v>
      </c>
      <c r="D120" s="359">
        <f t="shared" ref="D120:F120" si="6">D104*$F$4/1000</f>
        <v>6.4814999999999996</v>
      </c>
      <c r="E120" s="359">
        <f t="shared" si="6"/>
        <v>5.96</v>
      </c>
      <c r="F120" s="359">
        <f t="shared" si="6"/>
        <v>5.3639999999999999</v>
      </c>
      <c r="G120" s="359"/>
      <c r="I120" s="420" t="s">
        <v>333</v>
      </c>
      <c r="J120" s="420"/>
      <c r="N120" s="420"/>
    </row>
    <row r="121" spans="2:30" ht="48" outlineLevel="1">
      <c r="B121" s="461" t="s">
        <v>914</v>
      </c>
      <c r="C121" s="487">
        <f>C105*$F$4/3.6</f>
        <v>6.7463888888888883</v>
      </c>
      <c r="D121" s="487">
        <f t="shared" ref="D121:F121" si="7">D105*$F$4/3.6</f>
        <v>6.6222222222222227</v>
      </c>
      <c r="E121" s="487">
        <f t="shared" si="7"/>
        <v>6.66361111111111</v>
      </c>
      <c r="F121" s="487">
        <f t="shared" si="7"/>
        <v>6.4566666666666661</v>
      </c>
      <c r="G121" s="359"/>
      <c r="M121" s="420"/>
      <c r="N121" s="420"/>
    </row>
    <row r="122" spans="2:30" outlineLevel="1"/>
    <row r="123" spans="2:30" outlineLevel="1"/>
    <row r="124" spans="2:30" outlineLevel="1"/>
    <row r="125" spans="2:30" outlineLevel="1"/>
    <row r="126" spans="2:30" outlineLevel="1">
      <c r="B126" s="488"/>
      <c r="C126" s="489"/>
      <c r="D126" s="490"/>
      <c r="E126" s="490"/>
      <c r="F126" s="490"/>
    </row>
    <row r="127" spans="2:30" outlineLevel="1">
      <c r="B127" s="94" t="s">
        <v>773</v>
      </c>
      <c r="H127" s="490"/>
    </row>
    <row r="128" spans="2:30" outlineLevel="1">
      <c r="B128" s="358">
        <v>1</v>
      </c>
      <c r="C128" s="490" t="s">
        <v>878</v>
      </c>
      <c r="D128" s="358"/>
      <c r="E128" s="490"/>
      <c r="H128" s="490"/>
    </row>
    <row r="129" spans="2:8" outlineLevel="1">
      <c r="B129" s="358">
        <v>2</v>
      </c>
      <c r="C129" s="636" t="s">
        <v>902</v>
      </c>
      <c r="D129" s="358"/>
      <c r="E129" s="490"/>
      <c r="F129" s="490"/>
      <c r="G129" s="490"/>
      <c r="H129" s="490"/>
    </row>
    <row r="130" spans="2:8" outlineLevel="1">
      <c r="B130" s="666">
        <v>3</v>
      </c>
      <c r="C130" s="667" t="s">
        <v>903</v>
      </c>
      <c r="D130" s="358"/>
      <c r="E130" s="490"/>
      <c r="F130" s="490"/>
      <c r="G130" s="490"/>
      <c r="H130" s="490"/>
    </row>
    <row r="131" spans="2:8" outlineLevel="1">
      <c r="B131" s="490">
        <v>4</v>
      </c>
      <c r="C131" s="667" t="s">
        <v>904</v>
      </c>
      <c r="D131" s="358"/>
      <c r="E131" s="490"/>
      <c r="F131" s="490"/>
      <c r="G131" s="490"/>
      <c r="H131" s="490"/>
    </row>
    <row r="132" spans="2:8" outlineLevel="1">
      <c r="B132" s="490">
        <v>5</v>
      </c>
      <c r="C132" s="493" t="s">
        <v>905</v>
      </c>
      <c r="D132" s="358"/>
      <c r="E132" s="490"/>
      <c r="F132" s="490"/>
      <c r="G132" s="490"/>
      <c r="H132" s="490"/>
    </row>
    <row r="133" spans="2:8" outlineLevel="1">
      <c r="B133" s="94" t="s">
        <v>783</v>
      </c>
      <c r="D133" s="358"/>
      <c r="E133" s="490"/>
      <c r="F133" s="490"/>
      <c r="G133" s="490"/>
      <c r="H133" s="490"/>
    </row>
    <row r="134" spans="2:8" outlineLevel="1">
      <c r="B134" s="637" t="s">
        <v>6</v>
      </c>
      <c r="C134" s="358" t="s">
        <v>853</v>
      </c>
      <c r="D134" s="358"/>
      <c r="E134" s="490"/>
      <c r="F134" s="490"/>
      <c r="G134" s="490"/>
      <c r="H134" s="490"/>
    </row>
    <row r="135" spans="2:8" outlineLevel="1">
      <c r="B135" s="637" t="s">
        <v>59</v>
      </c>
      <c r="C135" s="358" t="s">
        <v>906</v>
      </c>
      <c r="D135" s="358"/>
      <c r="E135" s="490"/>
      <c r="F135" s="490"/>
      <c r="G135" s="490"/>
      <c r="H135" s="490"/>
    </row>
    <row r="136" spans="2:8" outlineLevel="1">
      <c r="B136" s="637" t="s">
        <v>16</v>
      </c>
      <c r="C136" s="358" t="s">
        <v>856</v>
      </c>
      <c r="D136" s="358"/>
      <c r="E136" s="490"/>
      <c r="F136" s="490"/>
      <c r="G136" s="490"/>
      <c r="H136" s="490"/>
    </row>
    <row r="137" spans="2:8" outlineLevel="1">
      <c r="B137" s="637" t="s">
        <v>20</v>
      </c>
      <c r="C137" s="358" t="s">
        <v>907</v>
      </c>
      <c r="F137" s="490"/>
      <c r="G137" s="490"/>
      <c r="H137" s="490"/>
    </row>
    <row r="138" spans="2:8" outlineLevel="1">
      <c r="B138" s="666" t="s">
        <v>76</v>
      </c>
      <c r="C138" s="358" t="s">
        <v>908</v>
      </c>
      <c r="D138" s="358"/>
      <c r="E138" s="490"/>
      <c r="F138" s="490"/>
      <c r="G138" s="490"/>
      <c r="H138" s="490"/>
    </row>
    <row r="139" spans="2:8" outlineLevel="1">
      <c r="B139" s="666" t="s">
        <v>25</v>
      </c>
      <c r="C139" s="358" t="s">
        <v>917</v>
      </c>
      <c r="D139" s="358"/>
      <c r="E139" s="490"/>
      <c r="F139" s="490"/>
      <c r="G139" s="490"/>
      <c r="H139" s="490"/>
    </row>
    <row r="140" spans="2:8" outlineLevel="1">
      <c r="B140" s="637" t="s">
        <v>33</v>
      </c>
      <c r="C140" s="358" t="s">
        <v>788</v>
      </c>
      <c r="E140" s="490"/>
      <c r="F140" s="490"/>
      <c r="G140" s="490"/>
      <c r="H140" s="490"/>
    </row>
    <row r="141" spans="2:8" outlineLevel="1">
      <c r="B141" s="656" t="s">
        <v>51</v>
      </c>
      <c r="C141" s="490" t="s">
        <v>859</v>
      </c>
      <c r="E141" s="490"/>
      <c r="F141" s="490"/>
      <c r="G141" s="490"/>
      <c r="H141" s="490"/>
    </row>
    <row r="142" spans="2:8" outlineLevel="1">
      <c r="B142" s="637" t="s">
        <v>52</v>
      </c>
      <c r="C142" s="490" t="s">
        <v>860</v>
      </c>
      <c r="E142" s="490"/>
      <c r="F142" s="490"/>
      <c r="G142" s="490"/>
      <c r="H142" s="490"/>
    </row>
    <row r="143" spans="2:8" outlineLevel="1">
      <c r="E143" s="490"/>
      <c r="F143" s="490"/>
      <c r="G143" s="490"/>
      <c r="H143" s="490"/>
    </row>
    <row r="144" spans="2:8" outlineLevel="1"/>
    <row r="145" spans="1:44" outlineLevel="1">
      <c r="M145" s="214"/>
    </row>
    <row r="146" spans="1:44" outlineLevel="1"/>
    <row r="149" spans="1:44">
      <c r="A149" s="360"/>
      <c r="B149" s="1207"/>
      <c r="C149" s="1143"/>
      <c r="D149" s="1143"/>
      <c r="E149" s="1143"/>
      <c r="F149" s="1143"/>
      <c r="G149" s="1143"/>
      <c r="H149" s="1143"/>
      <c r="I149" s="1143"/>
      <c r="J149" s="1143"/>
      <c r="K149" s="1143"/>
      <c r="L149" s="1143"/>
      <c r="M149" s="1143"/>
      <c r="N149" s="361"/>
      <c r="P149" s="1143"/>
      <c r="Q149" s="1143"/>
      <c r="R149" s="1143"/>
      <c r="S149" s="1143"/>
      <c r="T149" s="1143"/>
      <c r="U149" s="1143"/>
    </row>
    <row r="150" spans="1:44" ht="16" outlineLevel="1" thickBot="1">
      <c r="B150" s="1207"/>
      <c r="C150" s="1143"/>
      <c r="D150" s="1143"/>
      <c r="E150" s="1143"/>
      <c r="F150" s="1143"/>
      <c r="G150" s="1143"/>
      <c r="H150" s="1143"/>
      <c r="I150" s="1143"/>
      <c r="J150" s="1143"/>
      <c r="K150" s="1143"/>
      <c r="L150" s="1143"/>
      <c r="M150" s="1143"/>
      <c r="N150" s="361"/>
      <c r="P150" s="1143"/>
      <c r="Q150" s="1143"/>
      <c r="R150" s="1143"/>
      <c r="S150" s="1143"/>
      <c r="T150" s="1143"/>
      <c r="U150" s="1143"/>
    </row>
    <row r="151" spans="1:44" ht="20.5" customHeight="1" outlineLevel="1" thickBot="1">
      <c r="B151" s="362"/>
      <c r="C151" s="1186"/>
      <c r="D151" s="1205"/>
      <c r="E151" s="1205"/>
      <c r="F151" s="1205"/>
      <c r="G151" s="1205"/>
      <c r="H151" s="1205"/>
      <c r="I151" s="1205"/>
      <c r="J151" s="1205"/>
      <c r="K151" s="1205"/>
      <c r="L151" s="1206"/>
      <c r="M151" s="363"/>
      <c r="N151" s="363"/>
      <c r="P151" s="364"/>
      <c r="Q151" s="365"/>
      <c r="R151" s="366"/>
      <c r="S151" s="1176"/>
      <c r="T151" s="1160"/>
      <c r="U151" s="1161"/>
      <c r="V151" s="1160"/>
      <c r="W151" s="1161"/>
      <c r="X151" s="1160"/>
      <c r="Y151" s="1161"/>
      <c r="Z151" s="1160"/>
      <c r="AA151" s="1161"/>
      <c r="AB151" s="1160"/>
      <c r="AC151" s="1161"/>
      <c r="AE151" s="364"/>
      <c r="AF151" s="365"/>
      <c r="AG151" s="366"/>
      <c r="AH151" s="1176"/>
      <c r="AI151" s="1160"/>
      <c r="AJ151" s="1161"/>
      <c r="AK151" s="1160"/>
      <c r="AL151" s="1161"/>
      <c r="AM151" s="1160"/>
      <c r="AN151" s="1161"/>
      <c r="AO151" s="1160"/>
      <c r="AP151" s="1161"/>
      <c r="AQ151" s="1160"/>
      <c r="AR151" s="1161"/>
    </row>
    <row r="152" spans="1:44" ht="15" customHeight="1" outlineLevel="1" thickBot="1">
      <c r="B152" s="1164"/>
      <c r="C152" s="1166"/>
      <c r="D152" s="1166"/>
      <c r="E152" s="1166"/>
      <c r="F152" s="1166"/>
      <c r="G152" s="1221"/>
      <c r="H152" s="1222"/>
      <c r="I152" s="1221"/>
      <c r="J152" s="1222"/>
      <c r="K152" s="1189"/>
      <c r="L152" s="1189"/>
      <c r="M152" s="367"/>
      <c r="N152" s="367"/>
      <c r="P152" s="1180"/>
      <c r="Q152" s="368"/>
      <c r="R152" s="368"/>
      <c r="S152" s="1177"/>
      <c r="T152" s="1162"/>
      <c r="U152" s="1163"/>
      <c r="V152" s="1162"/>
      <c r="W152" s="1163"/>
      <c r="X152" s="1162"/>
      <c r="Y152" s="1163"/>
      <c r="Z152" s="1162"/>
      <c r="AA152" s="1163"/>
      <c r="AB152" s="1162"/>
      <c r="AC152" s="1163"/>
      <c r="AE152" s="1180"/>
      <c r="AF152" s="368"/>
      <c r="AG152" s="368"/>
      <c r="AH152" s="1177"/>
      <c r="AI152" s="1162"/>
      <c r="AJ152" s="1163"/>
      <c r="AK152" s="1162"/>
      <c r="AL152" s="1163"/>
      <c r="AM152" s="1162"/>
      <c r="AN152" s="1163"/>
      <c r="AO152" s="1162"/>
      <c r="AP152" s="1163"/>
      <c r="AQ152" s="1162"/>
      <c r="AR152" s="1163"/>
    </row>
    <row r="153" spans="1:44" ht="15" customHeight="1" outlineLevel="1" thickBot="1">
      <c r="B153" s="1165"/>
      <c r="C153" s="1167"/>
      <c r="D153" s="1167"/>
      <c r="E153" s="1167"/>
      <c r="F153" s="1167"/>
      <c r="G153" s="540"/>
      <c r="H153" s="540"/>
      <c r="I153" s="540"/>
      <c r="J153" s="540"/>
      <c r="K153" s="1190"/>
      <c r="L153" s="1190"/>
      <c r="M153" s="370"/>
      <c r="N153" s="370"/>
      <c r="P153" s="1181"/>
      <c r="Q153" s="1183"/>
      <c r="R153" s="1184"/>
      <c r="S153" s="1178"/>
      <c r="T153" s="1162"/>
      <c r="U153" s="1163"/>
      <c r="V153" s="1162"/>
      <c r="W153" s="1163"/>
      <c r="X153" s="1162"/>
      <c r="Y153" s="1163"/>
      <c r="Z153" s="1162"/>
      <c r="AA153" s="1163"/>
      <c r="AB153" s="1162"/>
      <c r="AC153" s="1163"/>
      <c r="AE153" s="1181"/>
      <c r="AF153" s="1197"/>
      <c r="AG153" s="1184"/>
      <c r="AH153" s="1178"/>
      <c r="AI153" s="1162"/>
      <c r="AJ153" s="1163"/>
      <c r="AK153" s="1162"/>
      <c r="AL153" s="1163"/>
      <c r="AM153" s="1162"/>
      <c r="AN153" s="1163"/>
      <c r="AO153" s="1162"/>
      <c r="AP153" s="1163"/>
      <c r="AQ153" s="1162"/>
      <c r="AR153" s="1163"/>
    </row>
    <row r="154" spans="1:44" ht="16" outlineLevel="1" thickBot="1">
      <c r="B154" s="371"/>
      <c r="C154" s="372"/>
      <c r="D154" s="372"/>
      <c r="E154" s="372"/>
      <c r="F154" s="372"/>
      <c r="G154" s="372"/>
      <c r="H154" s="372"/>
      <c r="I154" s="372"/>
      <c r="J154" s="372"/>
      <c r="K154" s="372"/>
      <c r="L154" s="373"/>
      <c r="M154" s="370"/>
      <c r="N154" s="370"/>
      <c r="O154" s="74"/>
      <c r="P154" s="1182"/>
      <c r="Q154" s="1179"/>
      <c r="R154" s="1185"/>
      <c r="S154" s="1179"/>
      <c r="T154" s="374"/>
      <c r="U154" s="375"/>
      <c r="V154" s="374"/>
      <c r="W154" s="375"/>
      <c r="X154" s="374"/>
      <c r="Y154" s="375"/>
      <c r="Z154" s="374"/>
      <c r="AA154" s="375"/>
      <c r="AB154" s="374"/>
      <c r="AC154" s="375"/>
      <c r="AE154" s="1182"/>
      <c r="AF154" s="1198"/>
      <c r="AG154" s="1185"/>
      <c r="AH154" s="1179"/>
      <c r="AI154" s="374"/>
      <c r="AJ154" s="375"/>
      <c r="AK154" s="374"/>
      <c r="AL154" s="375"/>
      <c r="AM154" s="374"/>
      <c r="AN154" s="375"/>
      <c r="AO154" s="374"/>
      <c r="AP154" s="375"/>
      <c r="AQ154" s="374"/>
      <c r="AR154" s="375"/>
    </row>
    <row r="155" spans="1:44" ht="14.5" customHeight="1" outlineLevel="1">
      <c r="B155" s="541"/>
      <c r="C155" s="542"/>
      <c r="D155" s="542"/>
      <c r="E155" s="543"/>
      <c r="F155" s="542"/>
      <c r="G155" s="542"/>
      <c r="H155" s="542"/>
      <c r="I155" s="542"/>
      <c r="J155" s="542"/>
      <c r="K155" s="372"/>
      <c r="L155" s="373"/>
      <c r="M155" s="370"/>
      <c r="N155" s="370"/>
      <c r="P155" s="1148"/>
      <c r="Q155" s="1154"/>
      <c r="R155" s="381"/>
      <c r="S155" s="382"/>
      <c r="T155" s="1137"/>
      <c r="U155" s="1151"/>
      <c r="V155" s="1137"/>
      <c r="W155" s="1151"/>
      <c r="X155" s="1137"/>
      <c r="Y155" s="1151"/>
      <c r="Z155" s="1137"/>
      <c r="AA155" s="1151"/>
      <c r="AB155" s="1137"/>
      <c r="AC155" s="1151"/>
      <c r="AE155" s="1148"/>
      <c r="AF155" s="1154"/>
      <c r="AG155" s="381"/>
      <c r="AH155" s="382"/>
      <c r="AI155" s="1137"/>
      <c r="AJ155" s="1151"/>
      <c r="AK155" s="1137"/>
      <c r="AL155" s="1151"/>
      <c r="AM155" s="1137"/>
      <c r="AN155" s="1151"/>
      <c r="AO155" s="1137"/>
      <c r="AP155" s="1151"/>
      <c r="AQ155" s="1137"/>
      <c r="AR155" s="1151"/>
    </row>
    <row r="156" spans="1:44" outlineLevel="1">
      <c r="B156" s="383"/>
      <c r="C156" s="384"/>
      <c r="D156" s="384"/>
      <c r="E156" s="384"/>
      <c r="F156" s="384"/>
      <c r="G156" s="505"/>
      <c r="H156" s="505"/>
      <c r="I156" s="505"/>
      <c r="J156" s="505"/>
      <c r="K156" s="372"/>
      <c r="L156" s="373"/>
      <c r="M156" s="370"/>
      <c r="N156" s="370"/>
      <c r="O156" s="71"/>
      <c r="P156" s="1195"/>
      <c r="Q156" s="1155"/>
      <c r="R156" s="388"/>
      <c r="S156" s="389"/>
      <c r="T156" s="1140"/>
      <c r="U156" s="1152"/>
      <c r="V156" s="1140"/>
      <c r="W156" s="1152"/>
      <c r="X156" s="1140"/>
      <c r="Y156" s="1152"/>
      <c r="Z156" s="1140"/>
      <c r="AA156" s="1152"/>
      <c r="AB156" s="1140"/>
      <c r="AC156" s="1152"/>
      <c r="AE156" s="1195"/>
      <c r="AF156" s="1155"/>
      <c r="AG156" s="388"/>
      <c r="AH156" s="389"/>
      <c r="AI156" s="1140"/>
      <c r="AJ156" s="1152"/>
      <c r="AK156" s="1140"/>
      <c r="AL156" s="1152"/>
      <c r="AM156" s="1140"/>
      <c r="AN156" s="1152"/>
      <c r="AO156" s="1140"/>
      <c r="AP156" s="1152"/>
      <c r="AQ156" s="1140"/>
      <c r="AR156" s="1152"/>
    </row>
    <row r="157" spans="1:44" ht="16" outlineLevel="1" thickBot="1">
      <c r="B157" s="541"/>
      <c r="C157" s="544"/>
      <c r="D157" s="545"/>
      <c r="E157" s="545"/>
      <c r="F157" s="546"/>
      <c r="G157" s="545"/>
      <c r="H157" s="545"/>
      <c r="I157" s="545"/>
      <c r="J157" s="545"/>
      <c r="K157" s="547"/>
      <c r="L157" s="548"/>
      <c r="M157" s="370"/>
      <c r="N157" s="370"/>
      <c r="O157" s="71"/>
      <c r="P157" s="1195"/>
      <c r="Q157" s="1156"/>
      <c r="R157" s="393"/>
      <c r="S157" s="394"/>
      <c r="T157" s="1141"/>
      <c r="U157" s="1153"/>
      <c r="V157" s="1141"/>
      <c r="W157" s="1153"/>
      <c r="X157" s="1141"/>
      <c r="Y157" s="1153"/>
      <c r="Z157" s="1141"/>
      <c r="AA157" s="1153"/>
      <c r="AB157" s="1141"/>
      <c r="AC157" s="1153"/>
      <c r="AE157" s="1195"/>
      <c r="AF157" s="1156"/>
      <c r="AG157" s="393"/>
      <c r="AH157" s="394"/>
      <c r="AI157" s="1141"/>
      <c r="AJ157" s="1153"/>
      <c r="AK157" s="1141"/>
      <c r="AL157" s="1153"/>
      <c r="AM157" s="1141"/>
      <c r="AN157" s="1153"/>
      <c r="AO157" s="1141"/>
      <c r="AP157" s="1153"/>
      <c r="AQ157" s="1141"/>
      <c r="AR157" s="1153"/>
    </row>
    <row r="158" spans="1:44" ht="14.5" customHeight="1" outlineLevel="1">
      <c r="B158" s="541"/>
      <c r="C158" s="544"/>
      <c r="D158" s="544"/>
      <c r="E158" s="544"/>
      <c r="F158" s="544"/>
      <c r="G158" s="544"/>
      <c r="H158" s="544"/>
      <c r="I158" s="544"/>
      <c r="J158" s="544"/>
      <c r="K158" s="547"/>
      <c r="L158" s="548"/>
      <c r="M158" s="370"/>
      <c r="N158" s="370"/>
      <c r="O158" s="71"/>
      <c r="P158" s="1195"/>
      <c r="Q158" s="1154"/>
      <c r="R158" s="395"/>
      <c r="S158" s="396"/>
      <c r="T158" s="1137"/>
      <c r="U158" s="1137"/>
      <c r="V158" s="1137"/>
      <c r="W158" s="1137"/>
      <c r="X158" s="1137"/>
      <c r="Y158" s="1137"/>
      <c r="Z158" s="1137"/>
      <c r="AA158" s="1137"/>
      <c r="AB158" s="1137"/>
      <c r="AC158" s="1137"/>
      <c r="AE158" s="1195"/>
      <c r="AF158" s="1154"/>
      <c r="AG158" s="395"/>
      <c r="AH158" s="396"/>
      <c r="AI158" s="1137"/>
      <c r="AJ158" s="1137"/>
      <c r="AK158" s="1137"/>
      <c r="AL158" s="1137"/>
      <c r="AM158" s="1137"/>
      <c r="AN158" s="1137"/>
      <c r="AO158" s="1137"/>
      <c r="AP158" s="1137"/>
      <c r="AQ158" s="1137"/>
      <c r="AR158" s="1137"/>
    </row>
    <row r="159" spans="1:44" outlineLevel="1">
      <c r="B159" s="541"/>
      <c r="C159" s="544"/>
      <c r="D159" s="544"/>
      <c r="E159" s="544"/>
      <c r="F159" s="544"/>
      <c r="G159" s="544"/>
      <c r="H159" s="544"/>
      <c r="I159" s="544"/>
      <c r="J159" s="544"/>
      <c r="K159" s="547"/>
      <c r="L159" s="548"/>
      <c r="M159" s="367"/>
      <c r="N159" s="367"/>
      <c r="O159" s="71"/>
      <c r="P159" s="1195"/>
      <c r="Q159" s="1155"/>
      <c r="R159" s="395"/>
      <c r="S159" s="396"/>
      <c r="T159" s="1138"/>
      <c r="U159" s="1138"/>
      <c r="V159" s="1138"/>
      <c r="W159" s="1138"/>
      <c r="X159" s="1138"/>
      <c r="Y159" s="1138"/>
      <c r="Z159" s="1138"/>
      <c r="AA159" s="1138"/>
      <c r="AB159" s="1138"/>
      <c r="AC159" s="1138"/>
      <c r="AE159" s="1195"/>
      <c r="AF159" s="1155"/>
      <c r="AG159" s="395"/>
      <c r="AH159" s="396"/>
      <c r="AI159" s="1138"/>
      <c r="AJ159" s="1138"/>
      <c r="AK159" s="1138"/>
      <c r="AL159" s="1138"/>
      <c r="AM159" s="1138"/>
      <c r="AN159" s="1138"/>
      <c r="AO159" s="1138"/>
      <c r="AP159" s="1138"/>
      <c r="AQ159" s="1138"/>
      <c r="AR159" s="1138"/>
    </row>
    <row r="160" spans="1:44" outlineLevel="1">
      <c r="B160" s="383"/>
      <c r="C160" s="397"/>
      <c r="D160" s="397"/>
      <c r="E160" s="397"/>
      <c r="F160" s="399"/>
      <c r="G160" s="399"/>
      <c r="H160" s="399"/>
      <c r="I160" s="399"/>
      <c r="J160" s="399"/>
      <c r="K160" s="372"/>
      <c r="L160" s="373"/>
      <c r="M160" s="363"/>
      <c r="N160" s="363"/>
      <c r="P160" s="1195"/>
      <c r="Q160" s="1155"/>
      <c r="R160" s="395"/>
      <c r="S160" s="396"/>
      <c r="T160" s="1138"/>
      <c r="U160" s="1138"/>
      <c r="V160" s="1138"/>
      <c r="W160" s="1138"/>
      <c r="X160" s="1138"/>
      <c r="Y160" s="1138"/>
      <c r="Z160" s="1138"/>
      <c r="AA160" s="1138"/>
      <c r="AB160" s="1138"/>
      <c r="AC160" s="1138"/>
      <c r="AE160" s="1195"/>
      <c r="AF160" s="1155"/>
      <c r="AG160" s="395"/>
      <c r="AH160" s="396"/>
      <c r="AI160" s="1138"/>
      <c r="AJ160" s="1138"/>
      <c r="AK160" s="1138"/>
      <c r="AL160" s="1138"/>
      <c r="AM160" s="1138"/>
      <c r="AN160" s="1138"/>
      <c r="AO160" s="1138"/>
      <c r="AP160" s="1138"/>
      <c r="AQ160" s="1138"/>
      <c r="AR160" s="1138"/>
    </row>
    <row r="161" spans="1:44" ht="16" outlineLevel="1" thickBot="1">
      <c r="B161" s="541"/>
      <c r="C161" s="544"/>
      <c r="D161" s="544"/>
      <c r="E161" s="544"/>
      <c r="F161" s="544"/>
      <c r="G161" s="544"/>
      <c r="H161" s="544"/>
      <c r="I161" s="544"/>
      <c r="J161" s="544"/>
      <c r="K161" s="372"/>
      <c r="L161" s="400"/>
      <c r="M161" s="363"/>
      <c r="N161" s="363"/>
      <c r="P161" s="1195"/>
      <c r="Q161" s="1155"/>
      <c r="R161" s="395"/>
      <c r="S161" s="396"/>
      <c r="T161" s="1138"/>
      <c r="U161" s="1138"/>
      <c r="V161" s="1138"/>
      <c r="W161" s="1138"/>
      <c r="X161" s="1138"/>
      <c r="Y161" s="1138"/>
      <c r="Z161" s="1138"/>
      <c r="AA161" s="1138"/>
      <c r="AB161" s="1138"/>
      <c r="AC161" s="1138"/>
      <c r="AE161" s="1195"/>
      <c r="AF161" s="1155"/>
      <c r="AG161" s="395"/>
      <c r="AH161" s="396"/>
      <c r="AI161" s="1138"/>
      <c r="AJ161" s="1138"/>
      <c r="AK161" s="1138"/>
      <c r="AL161" s="1138"/>
      <c r="AM161" s="1138"/>
      <c r="AN161" s="1138"/>
      <c r="AO161" s="1138"/>
      <c r="AP161" s="1138"/>
      <c r="AQ161" s="1138"/>
      <c r="AR161" s="1138"/>
    </row>
    <row r="162" spans="1:44" ht="16" outlineLevel="1" thickBot="1">
      <c r="B162" s="401"/>
      <c r="C162" s="402"/>
      <c r="D162" s="403"/>
      <c r="E162" s="404"/>
      <c r="F162" s="405"/>
      <c r="G162" s="406"/>
      <c r="H162" s="406"/>
      <c r="I162" s="406"/>
      <c r="J162" s="406"/>
      <c r="K162" s="407"/>
      <c r="L162" s="408"/>
      <c r="M162" s="363"/>
      <c r="N162" s="363"/>
      <c r="P162" s="1195"/>
      <c r="Q162" s="1155"/>
      <c r="R162" s="409"/>
      <c r="S162" s="410"/>
      <c r="T162" s="1139"/>
      <c r="U162" s="1139"/>
      <c r="V162" s="1139"/>
      <c r="W162" s="1139"/>
      <c r="X162" s="1139"/>
      <c r="Y162" s="1139"/>
      <c r="Z162" s="1139"/>
      <c r="AA162" s="1139"/>
      <c r="AB162" s="1139"/>
      <c r="AC162" s="1139"/>
      <c r="AE162" s="1195"/>
      <c r="AF162" s="1155"/>
      <c r="AG162" s="409"/>
      <c r="AH162" s="410"/>
      <c r="AI162" s="1139"/>
      <c r="AJ162" s="1139"/>
      <c r="AK162" s="1139"/>
      <c r="AL162" s="1139"/>
      <c r="AM162" s="1139"/>
      <c r="AN162" s="1139"/>
      <c r="AO162" s="1139"/>
      <c r="AP162" s="1139"/>
      <c r="AQ162" s="1139"/>
      <c r="AR162" s="1139"/>
    </row>
    <row r="163" spans="1:44" ht="16" outlineLevel="1" thickBot="1">
      <c r="B163" s="541"/>
      <c r="C163" s="544"/>
      <c r="D163" s="544"/>
      <c r="E163" s="544"/>
      <c r="F163" s="544"/>
      <c r="G163" s="545"/>
      <c r="H163" s="545"/>
      <c r="I163" s="545"/>
      <c r="J163" s="545"/>
      <c r="K163" s="547"/>
      <c r="L163" s="548"/>
      <c r="M163" s="363"/>
      <c r="N163" s="363"/>
      <c r="P163" s="1196"/>
      <c r="Q163" s="411"/>
      <c r="R163" s="412"/>
      <c r="S163" s="413"/>
      <c r="T163" s="414"/>
      <c r="U163" s="415"/>
      <c r="V163" s="416"/>
      <c r="W163" s="415"/>
      <c r="X163" s="416"/>
      <c r="Y163" s="415"/>
      <c r="Z163" s="416"/>
      <c r="AA163" s="415"/>
      <c r="AB163" s="416"/>
      <c r="AC163" s="417"/>
      <c r="AE163" s="1196"/>
      <c r="AF163" s="411"/>
      <c r="AG163" s="412"/>
      <c r="AH163" s="413"/>
      <c r="AI163" s="414"/>
      <c r="AJ163" s="415"/>
      <c r="AK163" s="416"/>
      <c r="AL163" s="415"/>
      <c r="AM163" s="416"/>
      <c r="AN163" s="415"/>
      <c r="AO163" s="416"/>
      <c r="AP163" s="415"/>
      <c r="AQ163" s="416"/>
      <c r="AR163" s="417"/>
    </row>
    <row r="164" spans="1:44" outlineLevel="1">
      <c r="B164" s="541"/>
      <c r="C164" s="544"/>
      <c r="D164" s="544"/>
      <c r="E164" s="544"/>
      <c r="F164" s="544"/>
      <c r="G164" s="549"/>
      <c r="H164" s="549"/>
      <c r="I164" s="549"/>
      <c r="J164" s="549"/>
      <c r="K164" s="550"/>
      <c r="L164" s="548"/>
      <c r="M164" s="363"/>
      <c r="N164" s="363"/>
    </row>
    <row r="165" spans="1:44" outlineLevel="1">
      <c r="B165" s="541"/>
      <c r="C165" s="544"/>
      <c r="D165" s="544"/>
      <c r="E165" s="544"/>
      <c r="F165" s="544"/>
      <c r="G165" s="549"/>
      <c r="H165" s="549"/>
      <c r="I165" s="549"/>
      <c r="J165" s="549"/>
      <c r="K165" s="550"/>
      <c r="L165" s="548"/>
      <c r="M165" s="420"/>
      <c r="N165" s="363"/>
    </row>
    <row r="166" spans="1:44" outlineLevel="1">
      <c r="B166" s="421"/>
      <c r="C166" s="399"/>
      <c r="D166" s="399"/>
      <c r="E166" s="399"/>
      <c r="F166" s="399"/>
      <c r="G166" s="422"/>
      <c r="H166" s="422"/>
      <c r="I166" s="422"/>
      <c r="J166" s="422"/>
      <c r="K166" s="423"/>
      <c r="L166" s="424"/>
      <c r="M166" s="420"/>
      <c r="N166" s="420"/>
    </row>
    <row r="167" spans="1:44" outlineLevel="1">
      <c r="B167" s="383"/>
      <c r="C167" s="397"/>
      <c r="D167" s="397"/>
      <c r="E167" s="397"/>
      <c r="F167" s="397"/>
      <c r="G167" s="422"/>
      <c r="H167" s="425"/>
      <c r="I167" s="425"/>
      <c r="J167" s="425"/>
      <c r="K167" s="426"/>
      <c r="L167" s="427"/>
      <c r="M167" s="428"/>
      <c r="N167" s="428"/>
    </row>
    <row r="168" spans="1:44" outlineLevel="1">
      <c r="B168" s="383"/>
      <c r="C168" s="397"/>
      <c r="D168" s="397"/>
      <c r="E168" s="397"/>
      <c r="F168" s="397"/>
      <c r="G168" s="425"/>
      <c r="H168" s="425"/>
      <c r="I168" s="425"/>
      <c r="J168" s="425"/>
      <c r="K168" s="423"/>
      <c r="L168" s="427"/>
      <c r="M168" s="428"/>
      <c r="N168" s="428"/>
    </row>
    <row r="169" spans="1:44" outlineLevel="1">
      <c r="B169" s="383"/>
      <c r="C169" s="397"/>
      <c r="D169" s="397"/>
      <c r="E169" s="397"/>
      <c r="F169" s="397"/>
      <c r="G169" s="425"/>
      <c r="H169" s="425"/>
      <c r="I169" s="425"/>
      <c r="J169" s="425"/>
      <c r="K169" s="423"/>
      <c r="L169" s="427"/>
      <c r="M169" s="428"/>
      <c r="N169" s="428"/>
    </row>
    <row r="170" spans="1:44" outlineLevel="1">
      <c r="B170" s="383"/>
      <c r="C170" s="397"/>
      <c r="D170" s="397"/>
      <c r="E170" s="397"/>
      <c r="F170" s="397"/>
      <c r="G170" s="425"/>
      <c r="H170" s="425"/>
      <c r="I170" s="425"/>
      <c r="J170" s="425"/>
      <c r="K170" s="423"/>
      <c r="L170" s="427"/>
      <c r="M170" s="428"/>
      <c r="N170" s="428"/>
    </row>
    <row r="171" spans="1:44" ht="16" outlineLevel="1" thickBot="1">
      <c r="B171" s="429"/>
      <c r="C171" s="430"/>
      <c r="D171" s="430"/>
      <c r="E171" s="430"/>
      <c r="F171" s="430"/>
      <c r="G171" s="425"/>
      <c r="H171" s="425"/>
      <c r="I171" s="425"/>
      <c r="J171" s="425"/>
      <c r="K171" s="423"/>
      <c r="L171" s="427"/>
      <c r="M171" s="428"/>
      <c r="N171" s="428"/>
    </row>
    <row r="172" spans="1:44" ht="16" outlineLevel="1" thickBot="1">
      <c r="B172" s="431"/>
      <c r="C172" s="432"/>
      <c r="D172" s="403"/>
      <c r="E172" s="403"/>
      <c r="F172" s="433"/>
      <c r="G172" s="434"/>
      <c r="H172" s="406"/>
      <c r="I172" s="406"/>
      <c r="J172" s="406"/>
      <c r="K172" s="407"/>
      <c r="L172" s="408"/>
      <c r="M172" s="428"/>
      <c r="N172" s="428"/>
    </row>
    <row r="173" spans="1:44" outlineLevel="1">
      <c r="A173" s="435"/>
      <c r="B173" s="436"/>
      <c r="C173" s="551"/>
      <c r="D173" s="438"/>
      <c r="E173" s="438"/>
      <c r="F173" s="439"/>
      <c r="G173" s="425"/>
      <c r="H173" s="425"/>
      <c r="I173" s="425"/>
      <c r="J173" s="425"/>
      <c r="K173" s="426"/>
      <c r="L173" s="440"/>
      <c r="M173" s="420"/>
      <c r="N173" s="420"/>
    </row>
    <row r="174" spans="1:44" outlineLevel="1">
      <c r="B174" s="441"/>
      <c r="C174" s="442"/>
      <c r="D174" s="443"/>
      <c r="E174" s="443"/>
      <c r="F174" s="443"/>
      <c r="G174" s="425"/>
      <c r="H174" s="425"/>
      <c r="I174" s="425"/>
      <c r="J174" s="425"/>
      <c r="K174" s="444"/>
      <c r="L174" s="373"/>
      <c r="M174" s="71"/>
      <c r="N174" s="420"/>
    </row>
    <row r="175" spans="1:44" outlineLevel="1">
      <c r="B175" s="441"/>
      <c r="C175" s="442"/>
      <c r="D175" s="442"/>
      <c r="E175" s="442"/>
      <c r="F175" s="442"/>
      <c r="G175" s="425"/>
      <c r="H175" s="425"/>
      <c r="I175" s="425"/>
      <c r="J175" s="425"/>
      <c r="K175" s="444"/>
      <c r="L175" s="373"/>
      <c r="M175" s="420"/>
      <c r="N175" s="420"/>
    </row>
    <row r="176" spans="1:44" outlineLevel="1">
      <c r="B176" s="383"/>
      <c r="C176" s="445"/>
      <c r="D176" s="446"/>
      <c r="E176" s="446"/>
      <c r="F176" s="447"/>
      <c r="G176" s="425"/>
      <c r="H176" s="425"/>
      <c r="I176" s="425"/>
      <c r="J176" s="425"/>
      <c r="K176" s="448"/>
      <c r="L176" s="373"/>
      <c r="M176" s="420"/>
      <c r="N176" s="420"/>
    </row>
    <row r="177" spans="2:30" outlineLevel="1">
      <c r="B177" s="383"/>
      <c r="C177" s="449"/>
      <c r="D177" s="449"/>
      <c r="E177" s="449"/>
      <c r="F177" s="449"/>
      <c r="G177" s="425"/>
      <c r="H177" s="425"/>
      <c r="I177" s="425"/>
      <c r="J177" s="425"/>
      <c r="K177" s="448"/>
      <c r="L177" s="373"/>
      <c r="M177" s="450"/>
      <c r="N177" s="361"/>
      <c r="P177" s="1142"/>
      <c r="Q177" s="1143"/>
      <c r="R177" s="1143"/>
      <c r="S177" s="1143"/>
      <c r="T177" s="1143"/>
      <c r="U177" s="1144"/>
    </row>
    <row r="178" spans="2:30" ht="16" outlineLevel="1" thickBot="1">
      <c r="B178" s="541"/>
      <c r="C178" s="552"/>
      <c r="D178" s="552"/>
      <c r="E178" s="552"/>
      <c r="F178" s="552"/>
      <c r="G178" s="553"/>
      <c r="H178" s="553"/>
      <c r="I178" s="553"/>
      <c r="J178" s="553"/>
      <c r="K178" s="547"/>
      <c r="L178" s="548"/>
      <c r="M178" s="450"/>
      <c r="N178" s="361"/>
      <c r="P178" s="1134"/>
      <c r="Q178" s="1135"/>
      <c r="R178" s="1135"/>
      <c r="S178" s="1135"/>
      <c r="T178" s="1135"/>
      <c r="U178" s="1136"/>
    </row>
    <row r="179" spans="2:30" outlineLevel="1">
      <c r="B179" s="541"/>
      <c r="C179" s="554"/>
      <c r="D179" s="554"/>
      <c r="E179" s="554"/>
      <c r="F179" s="554"/>
      <c r="G179" s="553"/>
      <c r="H179" s="553"/>
      <c r="I179" s="553"/>
      <c r="J179" s="553"/>
      <c r="K179" s="555"/>
      <c r="L179" s="548"/>
      <c r="M179" s="363"/>
      <c r="N179" s="363"/>
      <c r="P179" s="53"/>
    </row>
    <row r="180" spans="2:30" outlineLevel="1">
      <c r="B180" s="441"/>
      <c r="C180" s="456"/>
      <c r="D180" s="456"/>
      <c r="E180" s="456"/>
      <c r="F180" s="456"/>
      <c r="G180" s="425"/>
      <c r="H180" s="425"/>
      <c r="I180" s="425"/>
      <c r="J180" s="425"/>
      <c r="K180" s="444"/>
      <c r="L180" s="424"/>
      <c r="M180" s="367"/>
      <c r="N180" s="367"/>
      <c r="P180" s="46"/>
      <c r="Q180" s="46"/>
      <c r="R180" s="47"/>
      <c r="S180" s="47"/>
      <c r="T180" s="47"/>
      <c r="U180" s="48"/>
      <c r="V180" s="49"/>
      <c r="W180" s="49"/>
      <c r="X180" s="49"/>
      <c r="Y180" s="49"/>
      <c r="Z180" s="49"/>
      <c r="AA180" s="49"/>
      <c r="AB180" s="49"/>
      <c r="AC180" s="49"/>
      <c r="AD180" s="49"/>
    </row>
    <row r="181" spans="2:30" ht="16" outlineLevel="1" thickBot="1">
      <c r="B181" s="441"/>
      <c r="C181" s="442"/>
      <c r="D181" s="457"/>
      <c r="E181" s="457"/>
      <c r="F181" s="458"/>
      <c r="G181" s="425"/>
      <c r="H181" s="425"/>
      <c r="I181" s="425"/>
      <c r="J181" s="425"/>
      <c r="K181" s="448"/>
      <c r="L181" s="424"/>
      <c r="M181" s="363"/>
      <c r="N181" s="363"/>
      <c r="P181" s="50"/>
      <c r="Q181" s="50"/>
      <c r="R181" s="51"/>
      <c r="S181" s="51"/>
      <c r="T181" s="51"/>
      <c r="U181" s="51"/>
      <c r="V181" s="50"/>
      <c r="W181" s="50"/>
      <c r="X181" s="50"/>
      <c r="Y181" s="50"/>
      <c r="Z181" s="50"/>
      <c r="AA181" s="50"/>
      <c r="AB181" s="50"/>
      <c r="AC181" s="50"/>
      <c r="AD181" s="50"/>
    </row>
    <row r="182" spans="2:30" ht="16" outlineLevel="1" thickBot="1">
      <c r="B182" s="401"/>
      <c r="C182" s="402"/>
      <c r="D182" s="403"/>
      <c r="E182" s="404"/>
      <c r="F182" s="405"/>
      <c r="G182" s="406"/>
      <c r="H182" s="406"/>
      <c r="I182" s="406"/>
      <c r="J182" s="406"/>
      <c r="K182" s="459"/>
      <c r="L182" s="460"/>
      <c r="M182" s="363"/>
      <c r="N182" s="363"/>
      <c r="O182" s="461"/>
      <c r="P182" s="56"/>
      <c r="Q182" s="56"/>
      <c r="R182" s="57"/>
      <c r="S182" s="57"/>
      <c r="T182" s="57"/>
      <c r="U182" s="56"/>
      <c r="V182" s="56"/>
      <c r="W182" s="56"/>
      <c r="X182" s="56"/>
      <c r="Y182" s="56"/>
      <c r="Z182" s="56"/>
      <c r="AA182" s="56"/>
      <c r="AB182" s="56"/>
      <c r="AC182" s="56"/>
      <c r="AD182" s="56"/>
    </row>
    <row r="183" spans="2:30" outlineLevel="1">
      <c r="B183" s="556"/>
      <c r="C183" s="557"/>
      <c r="D183" s="557"/>
      <c r="E183" s="557"/>
      <c r="F183" s="557"/>
      <c r="G183" s="558"/>
      <c r="H183" s="558"/>
      <c r="I183" s="558"/>
      <c r="J183" s="558"/>
      <c r="K183" s="558"/>
      <c r="L183" s="559"/>
      <c r="M183" s="363"/>
      <c r="N183" s="363"/>
      <c r="O183" s="465"/>
      <c r="P183" s="466"/>
      <c r="Q183" s="58"/>
      <c r="R183" s="466"/>
      <c r="S183" s="58"/>
      <c r="T183" s="466"/>
      <c r="U183" s="467"/>
      <c r="V183" s="467"/>
      <c r="W183" s="467"/>
      <c r="X183" s="58"/>
      <c r="Y183" s="58"/>
      <c r="Z183" s="466"/>
      <c r="AA183" s="468"/>
      <c r="AB183" s="468"/>
      <c r="AC183" s="468"/>
      <c r="AD183" s="468"/>
    </row>
    <row r="184" spans="2:30" outlineLevel="1">
      <c r="B184" s="541"/>
      <c r="C184" s="560"/>
      <c r="D184" s="561"/>
      <c r="E184" s="561"/>
      <c r="F184" s="562"/>
      <c r="G184" s="562"/>
      <c r="H184" s="562"/>
      <c r="I184" s="562"/>
      <c r="J184" s="562"/>
      <c r="K184" s="563"/>
      <c r="L184" s="559"/>
      <c r="M184" s="363"/>
      <c r="N184" s="363"/>
      <c r="O184" s="465"/>
      <c r="P184" s="466"/>
      <c r="Q184" s="58"/>
      <c r="R184" s="466"/>
      <c r="S184" s="58"/>
      <c r="T184" s="466"/>
      <c r="U184" s="467"/>
      <c r="V184" s="467"/>
      <c r="W184" s="467"/>
      <c r="X184" s="58"/>
      <c r="Y184" s="58"/>
      <c r="Z184" s="466"/>
      <c r="AA184" s="468"/>
      <c r="AB184" s="468"/>
      <c r="AC184" s="468"/>
      <c r="AD184" s="468"/>
    </row>
    <row r="185" spans="2:30" outlineLevel="1">
      <c r="B185" s="541"/>
      <c r="C185" s="560"/>
      <c r="D185" s="561"/>
      <c r="E185" s="561"/>
      <c r="F185" s="562"/>
      <c r="G185" s="562"/>
      <c r="H185" s="562"/>
      <c r="I185" s="562"/>
      <c r="J185" s="562"/>
      <c r="K185" s="563"/>
      <c r="L185" s="559"/>
      <c r="M185" s="363"/>
      <c r="N185" s="363"/>
      <c r="O185" s="465"/>
      <c r="P185" s="466"/>
      <c r="Q185" s="58"/>
      <c r="R185" s="466"/>
      <c r="S185" s="58"/>
      <c r="T185" s="466"/>
      <c r="U185" s="467"/>
      <c r="V185" s="467"/>
      <c r="W185" s="467"/>
      <c r="X185" s="58"/>
      <c r="Y185" s="58"/>
      <c r="Z185" s="466"/>
      <c r="AA185" s="468"/>
      <c r="AB185" s="468"/>
      <c r="AC185" s="468"/>
      <c r="AD185" s="468"/>
    </row>
    <row r="186" spans="2:30" outlineLevel="1">
      <c r="B186" s="541"/>
      <c r="C186" s="564"/>
      <c r="D186" s="564"/>
      <c r="E186" s="564"/>
      <c r="F186" s="564"/>
      <c r="G186" s="565"/>
      <c r="H186" s="565"/>
      <c r="I186" s="565"/>
      <c r="J186" s="565"/>
      <c r="K186" s="565"/>
      <c r="L186" s="548"/>
      <c r="M186" s="363"/>
      <c r="N186" s="363"/>
      <c r="O186" s="465"/>
      <c r="P186" s="466"/>
      <c r="Q186" s="58"/>
      <c r="R186" s="466"/>
      <c r="S186" s="58"/>
      <c r="T186" s="466"/>
      <c r="U186" s="467"/>
      <c r="V186" s="467"/>
      <c r="W186" s="467"/>
      <c r="X186" s="58"/>
      <c r="Y186" s="58"/>
      <c r="Z186" s="466"/>
      <c r="AA186" s="468"/>
      <c r="AB186" s="468"/>
      <c r="AC186" s="468"/>
      <c r="AD186" s="468"/>
    </row>
    <row r="187" spans="2:30" outlineLevel="1">
      <c r="B187" s="566"/>
      <c r="C187" s="560"/>
      <c r="D187" s="561"/>
      <c r="E187" s="561"/>
      <c r="F187" s="562"/>
      <c r="G187" s="562"/>
      <c r="H187" s="562"/>
      <c r="I187" s="562"/>
      <c r="J187" s="562"/>
      <c r="K187" s="563"/>
      <c r="L187" s="559"/>
      <c r="M187" s="367"/>
      <c r="N187" s="367"/>
    </row>
    <row r="188" spans="2:30" outlineLevel="1">
      <c r="B188" s="566"/>
      <c r="C188" s="560"/>
      <c r="D188" s="561"/>
      <c r="E188" s="561"/>
      <c r="F188" s="562"/>
      <c r="G188" s="562"/>
      <c r="H188" s="562"/>
      <c r="I188" s="562"/>
      <c r="J188" s="562"/>
      <c r="K188" s="563"/>
      <c r="L188" s="559"/>
      <c r="M188" s="363"/>
      <c r="N188" s="363"/>
    </row>
    <row r="189" spans="2:30" ht="16" outlineLevel="1" thickBot="1">
      <c r="B189" s="567"/>
      <c r="C189" s="568"/>
      <c r="D189" s="568"/>
      <c r="E189" s="568"/>
      <c r="F189" s="568"/>
      <c r="G189" s="568"/>
      <c r="H189" s="568"/>
      <c r="I189" s="568"/>
      <c r="J189" s="568"/>
      <c r="K189" s="568"/>
      <c r="L189" s="569"/>
      <c r="M189" s="363"/>
      <c r="N189" s="363"/>
    </row>
    <row r="190" spans="2:30" outlineLevel="1">
      <c r="B190" s="461"/>
      <c r="C190" s="483"/>
      <c r="D190" s="483"/>
      <c r="E190" s="483"/>
      <c r="F190" s="483"/>
      <c r="G190" s="483"/>
      <c r="H190" s="484"/>
      <c r="I190" s="420"/>
      <c r="J190" s="420"/>
      <c r="K190" s="484"/>
      <c r="L190" s="484"/>
      <c r="N190" s="420"/>
    </row>
    <row r="191" spans="2:30" outlineLevel="1">
      <c r="B191" s="485"/>
      <c r="C191" s="486"/>
      <c r="D191" s="486"/>
      <c r="E191" s="486"/>
      <c r="F191" s="486"/>
      <c r="G191" s="486"/>
      <c r="H191" s="484"/>
      <c r="I191" s="71"/>
      <c r="J191" s="420"/>
      <c r="K191" s="484"/>
      <c r="L191" s="484"/>
      <c r="N191" s="420"/>
    </row>
    <row r="192" spans="2:30" outlineLevel="1">
      <c r="B192" s="461"/>
      <c r="C192" s="359"/>
      <c r="D192" s="359"/>
      <c r="E192" s="359"/>
      <c r="F192" s="359"/>
      <c r="G192" s="359"/>
      <c r="I192" s="420"/>
      <c r="J192" s="420"/>
      <c r="N192" s="420"/>
    </row>
    <row r="193" spans="1:16" outlineLevel="1">
      <c r="B193" s="461"/>
      <c r="C193" s="487"/>
      <c r="D193" s="487"/>
      <c r="E193" s="487"/>
      <c r="F193" s="487"/>
      <c r="G193" s="359"/>
      <c r="M193" s="420"/>
      <c r="N193" s="420"/>
    </row>
    <row r="194" spans="1:16" outlineLevel="1"/>
    <row r="195" spans="1:16" outlineLevel="1">
      <c r="A195" s="488"/>
      <c r="B195" s="489"/>
      <c r="D195" s="490"/>
      <c r="E195" s="490"/>
      <c r="F195" s="490"/>
      <c r="G195" s="358"/>
      <c r="H195" s="358"/>
      <c r="I195" s="358"/>
      <c r="J195" s="358"/>
      <c r="K195" s="358"/>
      <c r="L195" s="358"/>
      <c r="N195" s="570"/>
      <c r="O195" s="489"/>
      <c r="P195" s="490"/>
    </row>
    <row r="196" spans="1:16" outlineLevel="1">
      <c r="A196" s="491"/>
      <c r="B196" s="492"/>
      <c r="D196" s="490"/>
      <c r="E196" s="490"/>
      <c r="F196" s="490"/>
      <c r="G196" s="358"/>
      <c r="H196" s="358"/>
      <c r="I196" s="358"/>
      <c r="J196" s="358"/>
      <c r="K196" s="358"/>
      <c r="L196" s="358"/>
      <c r="N196" s="570"/>
      <c r="O196" s="489"/>
      <c r="P196" s="490"/>
    </row>
    <row r="197" spans="1:16" outlineLevel="1">
      <c r="A197" s="491"/>
      <c r="B197" s="493"/>
      <c r="D197" s="490"/>
      <c r="E197" s="490"/>
      <c r="F197" s="490"/>
      <c r="G197" s="358"/>
      <c r="H197" s="358"/>
      <c r="I197" s="358"/>
      <c r="J197" s="358"/>
      <c r="K197" s="358"/>
      <c r="L197" s="358"/>
      <c r="N197" s="570"/>
      <c r="O197" s="489"/>
      <c r="P197" s="490"/>
    </row>
    <row r="198" spans="1:16" outlineLevel="1">
      <c r="A198" s="491"/>
      <c r="B198" s="493"/>
      <c r="D198" s="490"/>
      <c r="E198" s="490"/>
      <c r="F198" s="490"/>
      <c r="G198" s="358"/>
      <c r="H198" s="358"/>
      <c r="I198" s="358"/>
      <c r="J198" s="358"/>
      <c r="K198" s="358"/>
      <c r="L198" s="358"/>
      <c r="N198" s="570"/>
      <c r="O198" s="489"/>
      <c r="P198" s="490"/>
    </row>
    <row r="199" spans="1:16" outlineLevel="1">
      <c r="A199" s="491"/>
      <c r="B199" s="493"/>
      <c r="D199" s="490"/>
      <c r="E199" s="490"/>
      <c r="F199" s="490"/>
      <c r="G199" s="358"/>
      <c r="H199" s="358"/>
      <c r="I199" s="358"/>
      <c r="J199" s="358"/>
      <c r="K199" s="358"/>
      <c r="L199" s="358"/>
      <c r="N199" s="570"/>
      <c r="O199" s="489"/>
      <c r="P199" s="490"/>
    </row>
    <row r="200" spans="1:16" outlineLevel="1">
      <c r="A200" s="358"/>
      <c r="B200" s="494"/>
      <c r="D200" s="490"/>
      <c r="E200" s="490"/>
      <c r="F200" s="490"/>
      <c r="G200" s="358"/>
      <c r="H200" s="358"/>
      <c r="I200" s="358"/>
      <c r="J200" s="358"/>
      <c r="K200" s="358"/>
      <c r="L200" s="358"/>
    </row>
    <row r="201" spans="1:16" outlineLevel="1">
      <c r="A201" s="358"/>
      <c r="B201" s="492"/>
      <c r="D201" s="490"/>
      <c r="E201" s="490"/>
      <c r="F201" s="490"/>
      <c r="G201" s="358"/>
      <c r="H201" s="358"/>
      <c r="I201" s="358"/>
      <c r="J201" s="358"/>
      <c r="K201" s="358"/>
      <c r="L201" s="358"/>
    </row>
    <row r="202" spans="1:16" outlineLevel="1">
      <c r="A202" s="358"/>
      <c r="B202" s="495"/>
      <c r="D202" s="490"/>
      <c r="E202" s="490"/>
      <c r="F202" s="490"/>
      <c r="G202" s="358"/>
      <c r="H202" s="358"/>
      <c r="I202" s="358"/>
      <c r="J202" s="358"/>
      <c r="K202" s="358"/>
      <c r="L202" s="358"/>
    </row>
    <row r="203" spans="1:16" outlineLevel="1">
      <c r="A203" s="358"/>
      <c r="B203" s="495"/>
      <c r="D203" s="490"/>
      <c r="E203" s="490"/>
      <c r="F203" s="490"/>
      <c r="G203" s="358"/>
      <c r="H203" s="358"/>
      <c r="I203" s="358"/>
      <c r="J203" s="358"/>
      <c r="K203" s="358"/>
      <c r="L203" s="358"/>
    </row>
    <row r="204" spans="1:16" outlineLevel="1">
      <c r="A204" s="358"/>
      <c r="B204" s="489"/>
      <c r="D204" s="490"/>
      <c r="E204" s="490"/>
      <c r="F204" s="490"/>
      <c r="G204" s="358"/>
      <c r="H204" s="358"/>
      <c r="I204" s="358"/>
      <c r="J204" s="358"/>
      <c r="K204" s="358"/>
      <c r="L204" s="358"/>
    </row>
    <row r="205" spans="1:16" outlineLevel="1">
      <c r="A205" s="358"/>
      <c r="B205" s="490"/>
      <c r="D205" s="490"/>
      <c r="E205" s="490"/>
      <c r="F205" s="490"/>
      <c r="G205" s="358"/>
      <c r="H205" s="358"/>
      <c r="I205" s="358"/>
      <c r="J205" s="358"/>
      <c r="K205" s="358"/>
      <c r="L205" s="358"/>
    </row>
    <row r="206" spans="1:16" outlineLevel="1">
      <c r="A206" s="488"/>
      <c r="B206" s="489"/>
      <c r="D206" s="490"/>
      <c r="E206" s="490"/>
      <c r="F206" s="490"/>
      <c r="G206" s="358"/>
      <c r="H206" s="358"/>
      <c r="I206" s="358"/>
      <c r="J206" s="358"/>
      <c r="K206" s="358"/>
      <c r="L206" s="358"/>
    </row>
    <row r="207" spans="1:16" outlineLevel="1">
      <c r="A207" s="496"/>
      <c r="B207" s="497"/>
      <c r="C207" s="490"/>
      <c r="D207" s="490"/>
      <c r="E207" s="490"/>
      <c r="F207" s="490"/>
      <c r="G207" s="358"/>
      <c r="H207" s="358"/>
      <c r="I207" s="358"/>
      <c r="J207" s="358"/>
      <c r="K207" s="358"/>
      <c r="L207" s="358"/>
      <c r="N207" s="570"/>
      <c r="O207" s="489"/>
      <c r="P207" s="490"/>
    </row>
    <row r="208" spans="1:16" outlineLevel="1">
      <c r="A208" s="496"/>
      <c r="B208" s="489"/>
      <c r="C208" s="490"/>
      <c r="D208" s="490"/>
      <c r="E208" s="490"/>
      <c r="F208" s="490"/>
      <c r="G208" s="358"/>
      <c r="H208" s="358"/>
      <c r="I208" s="358"/>
      <c r="J208" s="358"/>
      <c r="K208" s="358"/>
      <c r="L208" s="358"/>
      <c r="N208" s="571"/>
      <c r="O208" s="489"/>
      <c r="P208" s="490"/>
    </row>
    <row r="209" spans="1:44" outlineLevel="1">
      <c r="A209" s="496"/>
      <c r="B209" s="489"/>
      <c r="C209" s="490"/>
      <c r="D209" s="490"/>
      <c r="E209" s="490"/>
      <c r="F209" s="490"/>
      <c r="G209" s="358"/>
      <c r="H209" s="358"/>
      <c r="I209" s="358"/>
      <c r="J209" s="358"/>
      <c r="K209" s="358"/>
      <c r="L209" s="358"/>
      <c r="N209" s="572"/>
      <c r="O209" s="489"/>
      <c r="P209" s="490"/>
    </row>
    <row r="210" spans="1:44" outlineLevel="1">
      <c r="A210" s="496"/>
      <c r="B210" s="489"/>
      <c r="C210" s="490"/>
      <c r="D210" s="490"/>
      <c r="E210" s="490"/>
      <c r="F210" s="490"/>
      <c r="G210" s="358"/>
      <c r="H210" s="358"/>
      <c r="I210" s="358"/>
      <c r="J210" s="358"/>
      <c r="K210" s="358"/>
      <c r="L210" s="358"/>
      <c r="N210" s="573"/>
      <c r="O210" s="489"/>
      <c r="P210" s="490"/>
    </row>
    <row r="211" spans="1:44" outlineLevel="1">
      <c r="A211" s="496"/>
      <c r="B211" s="498"/>
      <c r="C211" s="490"/>
      <c r="D211" s="490"/>
      <c r="E211" s="490"/>
      <c r="F211" s="490"/>
      <c r="G211" s="358"/>
      <c r="H211" s="358"/>
      <c r="I211" s="358"/>
      <c r="J211" s="358"/>
      <c r="K211" s="358"/>
      <c r="L211" s="358"/>
      <c r="N211" s="573"/>
      <c r="O211" s="490"/>
      <c r="P211" s="490"/>
    </row>
    <row r="212" spans="1:44" outlineLevel="1">
      <c r="A212" s="496"/>
      <c r="B212" s="489"/>
      <c r="C212" s="490"/>
      <c r="D212" s="490"/>
      <c r="E212" s="490"/>
      <c r="F212" s="490"/>
      <c r="G212" s="358"/>
      <c r="H212" s="358"/>
      <c r="I212" s="358"/>
      <c r="J212" s="358"/>
      <c r="K212" s="358"/>
      <c r="L212" s="358"/>
      <c r="N212" s="489"/>
      <c r="O212" s="490"/>
      <c r="P212" s="490"/>
    </row>
    <row r="213" spans="1:44" outlineLevel="1">
      <c r="A213" s="496"/>
      <c r="B213" s="489"/>
      <c r="C213" s="490"/>
      <c r="D213" s="490"/>
      <c r="E213" s="490"/>
      <c r="F213" s="490"/>
      <c r="G213" s="358"/>
      <c r="H213" s="358"/>
      <c r="I213" s="358"/>
      <c r="J213" s="358"/>
      <c r="K213" s="358"/>
      <c r="L213" s="358"/>
      <c r="N213" s="490"/>
      <c r="O213" s="490"/>
      <c r="P213" s="490"/>
    </row>
    <row r="214" spans="1:44" outlineLevel="1"/>
    <row r="215" spans="1:44" outlineLevel="1"/>
    <row r="217" spans="1:44" ht="16" thickBot="1">
      <c r="A217" s="360"/>
    </row>
    <row r="218" spans="1:44" ht="20.5" customHeight="1" outlineLevel="1" thickBot="1">
      <c r="B218" s="362"/>
      <c r="C218" s="1186"/>
      <c r="D218" s="1205"/>
      <c r="E218" s="1205"/>
      <c r="F218" s="1205"/>
      <c r="G218" s="1205"/>
      <c r="H218" s="1205"/>
      <c r="I218" s="1205"/>
      <c r="J218" s="1205"/>
      <c r="K218" s="1205"/>
      <c r="L218" s="1206"/>
      <c r="M218" s="363"/>
      <c r="N218" s="363"/>
      <c r="P218" s="364"/>
      <c r="Q218" s="365"/>
      <c r="R218" s="366"/>
      <c r="S218" s="1176"/>
      <c r="T218" s="1160"/>
      <c r="U218" s="1161"/>
      <c r="V218" s="1160"/>
      <c r="W218" s="1161"/>
      <c r="X218" s="1160"/>
      <c r="Y218" s="1161"/>
      <c r="Z218" s="1160"/>
      <c r="AA218" s="1161"/>
      <c r="AB218" s="1160"/>
      <c r="AC218" s="1161"/>
      <c r="AE218" s="364"/>
      <c r="AF218" s="365"/>
      <c r="AG218" s="366"/>
      <c r="AH218" s="1176"/>
      <c r="AI218" s="1160"/>
      <c r="AJ218" s="1161"/>
      <c r="AK218" s="1160"/>
      <c r="AL218" s="1161"/>
      <c r="AM218" s="1160"/>
      <c r="AN218" s="1161"/>
      <c r="AO218" s="1160"/>
      <c r="AP218" s="1161"/>
      <c r="AQ218" s="1160"/>
      <c r="AR218" s="1161"/>
    </row>
    <row r="219" spans="1:44" ht="15" customHeight="1" outlineLevel="1" thickBot="1">
      <c r="B219" s="1164"/>
      <c r="C219" s="1166"/>
      <c r="D219" s="1166"/>
      <c r="E219" s="1166"/>
      <c r="F219" s="1166"/>
      <c r="G219" s="1168"/>
      <c r="H219" s="1169"/>
      <c r="I219" s="1168"/>
      <c r="J219" s="1169"/>
      <c r="K219" s="1189"/>
      <c r="L219" s="1189"/>
      <c r="M219" s="367"/>
      <c r="N219" s="367"/>
      <c r="P219" s="1180"/>
      <c r="Q219" s="368"/>
      <c r="R219" s="368"/>
      <c r="S219" s="1177"/>
      <c r="T219" s="1162"/>
      <c r="U219" s="1163"/>
      <c r="V219" s="1162"/>
      <c r="W219" s="1163"/>
      <c r="X219" s="1162"/>
      <c r="Y219" s="1163"/>
      <c r="Z219" s="1162"/>
      <c r="AA219" s="1163"/>
      <c r="AB219" s="1162"/>
      <c r="AC219" s="1163"/>
      <c r="AE219" s="1180"/>
      <c r="AF219" s="368"/>
      <c r="AG219" s="368"/>
      <c r="AH219" s="1177"/>
      <c r="AI219" s="1162"/>
      <c r="AJ219" s="1163"/>
      <c r="AK219" s="1162"/>
      <c r="AL219" s="1163"/>
      <c r="AM219" s="1162"/>
      <c r="AN219" s="1163"/>
      <c r="AO219" s="1162"/>
      <c r="AP219" s="1163"/>
      <c r="AQ219" s="1162"/>
      <c r="AR219" s="1163"/>
    </row>
    <row r="220" spans="1:44" ht="15" customHeight="1" outlineLevel="1" thickBot="1">
      <c r="B220" s="1165"/>
      <c r="C220" s="1167"/>
      <c r="D220" s="1167"/>
      <c r="E220" s="1167"/>
      <c r="F220" s="1167"/>
      <c r="G220" s="406"/>
      <c r="H220" s="406"/>
      <c r="I220" s="406"/>
      <c r="J220" s="406"/>
      <c r="K220" s="1190"/>
      <c r="L220" s="1190"/>
      <c r="M220" s="370"/>
      <c r="N220" s="370"/>
      <c r="P220" s="1181"/>
      <c r="Q220" s="1183"/>
      <c r="R220" s="1184"/>
      <c r="S220" s="1178"/>
      <c r="T220" s="1162"/>
      <c r="U220" s="1163"/>
      <c r="V220" s="1162"/>
      <c r="W220" s="1163"/>
      <c r="X220" s="1162"/>
      <c r="Y220" s="1163"/>
      <c r="Z220" s="1162"/>
      <c r="AA220" s="1163"/>
      <c r="AB220" s="1162"/>
      <c r="AC220" s="1163"/>
      <c r="AE220" s="1181"/>
      <c r="AF220" s="1197"/>
      <c r="AG220" s="1184"/>
      <c r="AH220" s="1178"/>
      <c r="AI220" s="1162"/>
      <c r="AJ220" s="1163"/>
      <c r="AK220" s="1162"/>
      <c r="AL220" s="1163"/>
      <c r="AM220" s="1162"/>
      <c r="AN220" s="1163"/>
      <c r="AO220" s="1162"/>
      <c r="AP220" s="1163"/>
      <c r="AQ220" s="1162"/>
      <c r="AR220" s="1163"/>
    </row>
    <row r="221" spans="1:44" ht="16" outlineLevel="1" thickBot="1">
      <c r="B221" s="371"/>
      <c r="C221" s="372"/>
      <c r="D221" s="372"/>
      <c r="E221" s="372"/>
      <c r="F221" s="372"/>
      <c r="G221" s="372"/>
      <c r="H221" s="372"/>
      <c r="I221" s="372"/>
      <c r="J221" s="372"/>
      <c r="K221" s="372"/>
      <c r="L221" s="373"/>
      <c r="M221" s="370"/>
      <c r="N221" s="370"/>
      <c r="O221" s="74"/>
      <c r="P221" s="1182"/>
      <c r="Q221" s="1179"/>
      <c r="R221" s="1185"/>
      <c r="S221" s="1179"/>
      <c r="T221" s="374"/>
      <c r="U221" s="375"/>
      <c r="V221" s="374"/>
      <c r="W221" s="375"/>
      <c r="X221" s="374"/>
      <c r="Y221" s="375"/>
      <c r="Z221" s="374"/>
      <c r="AA221" s="375"/>
      <c r="AB221" s="374"/>
      <c r="AC221" s="375"/>
      <c r="AE221" s="1182"/>
      <c r="AF221" s="1198"/>
      <c r="AG221" s="1185"/>
      <c r="AH221" s="1179"/>
      <c r="AI221" s="374"/>
      <c r="AJ221" s="375"/>
      <c r="AK221" s="374"/>
      <c r="AL221" s="375"/>
      <c r="AM221" s="374"/>
      <c r="AN221" s="375"/>
      <c r="AO221" s="374"/>
      <c r="AP221" s="375"/>
      <c r="AQ221" s="374"/>
      <c r="AR221" s="375"/>
    </row>
    <row r="222" spans="1:44" ht="14.5" customHeight="1" outlineLevel="1">
      <c r="B222" s="541"/>
      <c r="C222" s="542"/>
      <c r="D222" s="542"/>
      <c r="E222" s="543"/>
      <c r="F222" s="542"/>
      <c r="G222" s="542"/>
      <c r="H222" s="542"/>
      <c r="I222" s="542"/>
      <c r="J222" s="542"/>
      <c r="K222" s="547"/>
      <c r="L222" s="548"/>
      <c r="M222" s="370"/>
      <c r="N222" s="370"/>
      <c r="P222" s="1148"/>
      <c r="Q222" s="1154"/>
      <c r="R222" s="381"/>
      <c r="S222" s="382"/>
      <c r="T222" s="1137"/>
      <c r="U222" s="1151"/>
      <c r="V222" s="1137"/>
      <c r="W222" s="1151"/>
      <c r="X222" s="1137"/>
      <c r="Y222" s="1151"/>
      <c r="Z222" s="1137"/>
      <c r="AA222" s="1151"/>
      <c r="AB222" s="1137"/>
      <c r="AC222" s="1151"/>
      <c r="AE222" s="1148"/>
      <c r="AF222" s="1154"/>
      <c r="AG222" s="381"/>
      <c r="AH222" s="382"/>
      <c r="AI222" s="1137"/>
      <c r="AJ222" s="1151"/>
      <c r="AK222" s="1137"/>
      <c r="AL222" s="1151"/>
      <c r="AM222" s="1137"/>
      <c r="AN222" s="1151"/>
      <c r="AO222" s="1137"/>
      <c r="AP222" s="1151"/>
      <c r="AQ222" s="1137"/>
      <c r="AR222" s="1151"/>
    </row>
    <row r="223" spans="1:44" outlineLevel="1">
      <c r="B223" s="383"/>
      <c r="C223" s="384"/>
      <c r="D223" s="384"/>
      <c r="E223" s="384"/>
      <c r="F223" s="384"/>
      <c r="G223" s="505"/>
      <c r="H223" s="505"/>
      <c r="I223" s="505"/>
      <c r="J223" s="505"/>
      <c r="K223" s="372"/>
      <c r="L223" s="373"/>
      <c r="M223" s="370"/>
      <c r="N223" s="370"/>
      <c r="O223" s="71"/>
      <c r="P223" s="1195"/>
      <c r="Q223" s="1155"/>
      <c r="R223" s="388"/>
      <c r="S223" s="389"/>
      <c r="T223" s="1140"/>
      <c r="U223" s="1152"/>
      <c r="V223" s="1140"/>
      <c r="W223" s="1152"/>
      <c r="X223" s="1140"/>
      <c r="Y223" s="1152"/>
      <c r="Z223" s="1140"/>
      <c r="AA223" s="1152"/>
      <c r="AB223" s="1140"/>
      <c r="AC223" s="1152"/>
      <c r="AE223" s="1195"/>
      <c r="AF223" s="1155"/>
      <c r="AG223" s="388"/>
      <c r="AH223" s="389"/>
      <c r="AI223" s="1140"/>
      <c r="AJ223" s="1152"/>
      <c r="AK223" s="1140"/>
      <c r="AL223" s="1152"/>
      <c r="AM223" s="1140"/>
      <c r="AN223" s="1152"/>
      <c r="AO223" s="1140"/>
      <c r="AP223" s="1152"/>
      <c r="AQ223" s="1140"/>
      <c r="AR223" s="1152"/>
    </row>
    <row r="224" spans="1:44" ht="16" outlineLevel="1" thickBot="1">
      <c r="B224" s="541"/>
      <c r="C224" s="544"/>
      <c r="D224" s="545"/>
      <c r="E224" s="545"/>
      <c r="F224" s="546"/>
      <c r="G224" s="545"/>
      <c r="H224" s="545"/>
      <c r="I224" s="545"/>
      <c r="J224" s="545"/>
      <c r="K224" s="547"/>
      <c r="L224" s="548"/>
      <c r="M224" s="370"/>
      <c r="N224" s="370"/>
      <c r="O224" s="71"/>
      <c r="P224" s="1195"/>
      <c r="Q224" s="1156"/>
      <c r="R224" s="393"/>
      <c r="S224" s="394"/>
      <c r="T224" s="1141"/>
      <c r="U224" s="1153"/>
      <c r="V224" s="1141"/>
      <c r="W224" s="1153"/>
      <c r="X224" s="1141"/>
      <c r="Y224" s="1153"/>
      <c r="Z224" s="1141"/>
      <c r="AA224" s="1153"/>
      <c r="AB224" s="1141"/>
      <c r="AC224" s="1153"/>
      <c r="AE224" s="1195"/>
      <c r="AF224" s="1156"/>
      <c r="AG224" s="393"/>
      <c r="AH224" s="394"/>
      <c r="AI224" s="1141"/>
      <c r="AJ224" s="1153"/>
      <c r="AK224" s="1141"/>
      <c r="AL224" s="1153"/>
      <c r="AM224" s="1141"/>
      <c r="AN224" s="1153"/>
      <c r="AO224" s="1141"/>
      <c r="AP224" s="1153"/>
      <c r="AQ224" s="1141"/>
      <c r="AR224" s="1153"/>
    </row>
    <row r="225" spans="1:44" ht="14.5" customHeight="1" outlineLevel="1">
      <c r="B225" s="541"/>
      <c r="C225" s="544"/>
      <c r="D225" s="544"/>
      <c r="E225" s="544"/>
      <c r="F225" s="544"/>
      <c r="G225" s="544"/>
      <c r="H225" s="544"/>
      <c r="I225" s="544"/>
      <c r="J225" s="544"/>
      <c r="K225" s="547"/>
      <c r="L225" s="548"/>
      <c r="M225" s="370"/>
      <c r="N225" s="370"/>
      <c r="O225" s="71"/>
      <c r="P225" s="1195"/>
      <c r="Q225" s="1154"/>
      <c r="R225" s="395"/>
      <c r="S225" s="396"/>
      <c r="T225" s="1137"/>
      <c r="U225" s="1137"/>
      <c r="V225" s="1137"/>
      <c r="W225" s="1137"/>
      <c r="X225" s="1137"/>
      <c r="Y225" s="1137"/>
      <c r="Z225" s="1137"/>
      <c r="AA225" s="1137"/>
      <c r="AB225" s="1137"/>
      <c r="AC225" s="1137"/>
      <c r="AE225" s="1195"/>
      <c r="AF225" s="1154"/>
      <c r="AG225" s="395"/>
      <c r="AH225" s="396"/>
      <c r="AI225" s="1137"/>
      <c r="AJ225" s="1137"/>
      <c r="AK225" s="1137"/>
      <c r="AL225" s="1137"/>
      <c r="AM225" s="1137"/>
      <c r="AN225" s="1137"/>
      <c r="AO225" s="1137"/>
      <c r="AP225" s="1137"/>
      <c r="AQ225" s="1137"/>
      <c r="AR225" s="1137"/>
    </row>
    <row r="226" spans="1:44" outlineLevel="1">
      <c r="B226" s="541"/>
      <c r="C226" s="544"/>
      <c r="D226" s="544"/>
      <c r="E226" s="544"/>
      <c r="F226" s="544"/>
      <c r="G226" s="544"/>
      <c r="H226" s="544"/>
      <c r="I226" s="544"/>
      <c r="J226" s="544"/>
      <c r="K226" s="547"/>
      <c r="L226" s="548"/>
      <c r="M226" s="367"/>
      <c r="N226" s="367"/>
      <c r="O226" s="71"/>
      <c r="P226" s="1195"/>
      <c r="Q226" s="1155"/>
      <c r="R226" s="395"/>
      <c r="S226" s="396"/>
      <c r="T226" s="1138"/>
      <c r="U226" s="1138"/>
      <c r="V226" s="1138"/>
      <c r="W226" s="1138"/>
      <c r="X226" s="1138"/>
      <c r="Y226" s="1138"/>
      <c r="Z226" s="1138"/>
      <c r="AA226" s="1138"/>
      <c r="AB226" s="1138"/>
      <c r="AC226" s="1138"/>
      <c r="AE226" s="1195"/>
      <c r="AF226" s="1155"/>
      <c r="AG226" s="395"/>
      <c r="AH226" s="396"/>
      <c r="AI226" s="1138"/>
      <c r="AJ226" s="1138"/>
      <c r="AK226" s="1138"/>
      <c r="AL226" s="1138"/>
      <c r="AM226" s="1138"/>
      <c r="AN226" s="1138"/>
      <c r="AO226" s="1138"/>
      <c r="AP226" s="1138"/>
      <c r="AQ226" s="1138"/>
      <c r="AR226" s="1138"/>
    </row>
    <row r="227" spans="1:44" outlineLevel="1">
      <c r="B227" s="383"/>
      <c r="C227" s="397"/>
      <c r="D227" s="397"/>
      <c r="E227" s="397"/>
      <c r="F227" s="397"/>
      <c r="G227" s="399"/>
      <c r="H227" s="399"/>
      <c r="I227" s="399"/>
      <c r="J227" s="399"/>
      <c r="K227" s="372"/>
      <c r="L227" s="373"/>
      <c r="M227" s="363"/>
      <c r="N227" s="363"/>
      <c r="P227" s="1195"/>
      <c r="Q227" s="1155"/>
      <c r="R227" s="395"/>
      <c r="S227" s="396"/>
      <c r="T227" s="1138"/>
      <c r="U227" s="1138"/>
      <c r="V227" s="1138"/>
      <c r="W227" s="1138"/>
      <c r="X227" s="1138"/>
      <c r="Y227" s="1138"/>
      <c r="Z227" s="1138"/>
      <c r="AA227" s="1138"/>
      <c r="AB227" s="1138"/>
      <c r="AC227" s="1138"/>
      <c r="AE227" s="1195"/>
      <c r="AF227" s="1155"/>
      <c r="AG227" s="395"/>
      <c r="AH227" s="396"/>
      <c r="AI227" s="1138"/>
      <c r="AJ227" s="1138"/>
      <c r="AK227" s="1138"/>
      <c r="AL227" s="1138"/>
      <c r="AM227" s="1138"/>
      <c r="AN227" s="1138"/>
      <c r="AO227" s="1138"/>
      <c r="AP227" s="1138"/>
      <c r="AQ227" s="1138"/>
      <c r="AR227" s="1138"/>
    </row>
    <row r="228" spans="1:44" ht="16" outlineLevel="1" thickBot="1">
      <c r="B228" s="541"/>
      <c r="C228" s="544"/>
      <c r="D228" s="544"/>
      <c r="E228" s="544"/>
      <c r="F228" s="544"/>
      <c r="G228" s="544"/>
      <c r="H228" s="544"/>
      <c r="I228" s="544"/>
      <c r="J228" s="544"/>
      <c r="K228" s="547"/>
      <c r="L228" s="559"/>
      <c r="M228" s="363"/>
      <c r="N228" s="363"/>
      <c r="P228" s="1195"/>
      <c r="Q228" s="1155"/>
      <c r="R228" s="395"/>
      <c r="S228" s="396"/>
      <c r="T228" s="1138"/>
      <c r="U228" s="1138"/>
      <c r="V228" s="1138"/>
      <c r="W228" s="1138"/>
      <c r="X228" s="1138"/>
      <c r="Y228" s="1138"/>
      <c r="Z228" s="1138"/>
      <c r="AA228" s="1138"/>
      <c r="AB228" s="1138"/>
      <c r="AC228" s="1138"/>
      <c r="AE228" s="1195"/>
      <c r="AF228" s="1155"/>
      <c r="AG228" s="395"/>
      <c r="AH228" s="396"/>
      <c r="AI228" s="1138"/>
      <c r="AJ228" s="1138"/>
      <c r="AK228" s="1138"/>
      <c r="AL228" s="1138"/>
      <c r="AM228" s="1138"/>
      <c r="AN228" s="1138"/>
      <c r="AO228" s="1138"/>
      <c r="AP228" s="1138"/>
      <c r="AQ228" s="1138"/>
      <c r="AR228" s="1138"/>
    </row>
    <row r="229" spans="1:44" ht="16" outlineLevel="1" thickBot="1">
      <c r="B229" s="401"/>
      <c r="C229" s="402"/>
      <c r="D229" s="403"/>
      <c r="E229" s="404"/>
      <c r="F229" s="405"/>
      <c r="G229" s="406"/>
      <c r="H229" s="406"/>
      <c r="I229" s="406"/>
      <c r="J229" s="406"/>
      <c r="K229" s="407"/>
      <c r="L229" s="408"/>
      <c r="M229" s="363"/>
      <c r="N229" s="363"/>
      <c r="P229" s="1195"/>
      <c r="Q229" s="1155"/>
      <c r="R229" s="409"/>
      <c r="S229" s="410"/>
      <c r="T229" s="1139"/>
      <c r="U229" s="1139"/>
      <c r="V229" s="1139"/>
      <c r="W229" s="1139"/>
      <c r="X229" s="1139"/>
      <c r="Y229" s="1139"/>
      <c r="Z229" s="1139"/>
      <c r="AA229" s="1139"/>
      <c r="AB229" s="1139"/>
      <c r="AC229" s="1139"/>
      <c r="AE229" s="1195"/>
      <c r="AF229" s="1155"/>
      <c r="AG229" s="409"/>
      <c r="AH229" s="410"/>
      <c r="AI229" s="1139"/>
      <c r="AJ229" s="1139"/>
      <c r="AK229" s="1139"/>
      <c r="AL229" s="1139"/>
      <c r="AM229" s="1139"/>
      <c r="AN229" s="1139"/>
      <c r="AO229" s="1139"/>
      <c r="AP229" s="1139"/>
      <c r="AQ229" s="1139"/>
      <c r="AR229" s="1139"/>
    </row>
    <row r="230" spans="1:44" ht="16" outlineLevel="1" thickBot="1">
      <c r="B230" s="541"/>
      <c r="C230" s="544"/>
      <c r="D230" s="544"/>
      <c r="E230" s="544"/>
      <c r="F230" s="544"/>
      <c r="G230" s="545"/>
      <c r="H230" s="545"/>
      <c r="I230" s="545"/>
      <c r="J230" s="545"/>
      <c r="K230" s="547"/>
      <c r="L230" s="548"/>
      <c r="M230" s="363"/>
      <c r="N230" s="363"/>
      <c r="P230" s="1196"/>
      <c r="Q230" s="411"/>
      <c r="R230" s="412"/>
      <c r="S230" s="413"/>
      <c r="T230" s="414"/>
      <c r="U230" s="415"/>
      <c r="V230" s="414"/>
      <c r="W230" s="415"/>
      <c r="X230" s="414"/>
      <c r="Y230" s="415"/>
      <c r="Z230" s="414"/>
      <c r="AA230" s="415"/>
      <c r="AB230" s="414"/>
      <c r="AC230" s="417"/>
      <c r="AE230" s="1196"/>
      <c r="AF230" s="411"/>
      <c r="AG230" s="412"/>
      <c r="AH230" s="413"/>
      <c r="AI230" s="414"/>
      <c r="AJ230" s="415"/>
      <c r="AK230" s="414"/>
      <c r="AL230" s="415"/>
      <c r="AM230" s="414"/>
      <c r="AN230" s="415"/>
      <c r="AO230" s="414"/>
      <c r="AP230" s="415"/>
      <c r="AQ230" s="414"/>
      <c r="AR230" s="417"/>
    </row>
    <row r="231" spans="1:44" outlineLevel="1">
      <c r="B231" s="541"/>
      <c r="C231" s="544"/>
      <c r="D231" s="544"/>
      <c r="E231" s="544"/>
      <c r="F231" s="544"/>
      <c r="G231" s="549"/>
      <c r="H231" s="549"/>
      <c r="I231" s="549"/>
      <c r="J231" s="549"/>
      <c r="K231" s="550"/>
      <c r="L231" s="548"/>
      <c r="M231" s="363"/>
      <c r="N231" s="363"/>
    </row>
    <row r="232" spans="1:44" outlineLevel="1">
      <c r="B232" s="541"/>
      <c r="C232" s="544"/>
      <c r="D232" s="544"/>
      <c r="E232" s="544"/>
      <c r="F232" s="544"/>
      <c r="G232" s="549"/>
      <c r="H232" s="549"/>
      <c r="I232" s="549"/>
      <c r="J232" s="549"/>
      <c r="K232" s="550"/>
      <c r="L232" s="548"/>
      <c r="M232" s="420"/>
      <c r="N232" s="363"/>
    </row>
    <row r="233" spans="1:44" outlineLevel="1">
      <c r="B233" s="421"/>
      <c r="C233" s="399"/>
      <c r="D233" s="399"/>
      <c r="E233" s="399"/>
      <c r="F233" s="399"/>
      <c r="G233" s="422"/>
      <c r="H233" s="422"/>
      <c r="I233" s="422"/>
      <c r="J233" s="422"/>
      <c r="K233" s="423"/>
      <c r="L233" s="424"/>
      <c r="M233" s="420"/>
      <c r="N233" s="420"/>
    </row>
    <row r="234" spans="1:44" outlineLevel="1">
      <c r="B234" s="383"/>
      <c r="C234" s="397"/>
      <c r="D234" s="397"/>
      <c r="E234" s="397"/>
      <c r="F234" s="397"/>
      <c r="G234" s="422"/>
      <c r="H234" s="425"/>
      <c r="I234" s="425"/>
      <c r="J234" s="425"/>
      <c r="K234" s="426"/>
      <c r="L234" s="427"/>
      <c r="M234" s="428"/>
      <c r="N234" s="428"/>
    </row>
    <row r="235" spans="1:44" outlineLevel="1">
      <c r="B235" s="383"/>
      <c r="C235" s="397"/>
      <c r="D235" s="397"/>
      <c r="E235" s="397"/>
      <c r="F235" s="397"/>
      <c r="G235" s="425"/>
      <c r="H235" s="425"/>
      <c r="I235" s="425"/>
      <c r="J235" s="425"/>
      <c r="K235" s="423"/>
      <c r="L235" s="427"/>
      <c r="M235" s="428"/>
      <c r="N235" s="428"/>
    </row>
    <row r="236" spans="1:44" outlineLevel="1">
      <c r="B236" s="383"/>
      <c r="C236" s="397"/>
      <c r="D236" s="397"/>
      <c r="E236" s="397"/>
      <c r="F236" s="397"/>
      <c r="G236" s="425"/>
      <c r="H236" s="425"/>
      <c r="I236" s="425"/>
      <c r="J236" s="425"/>
      <c r="K236" s="423"/>
      <c r="L236" s="427"/>
      <c r="M236" s="428"/>
      <c r="N236" s="428"/>
    </row>
    <row r="237" spans="1:44" outlineLevel="1">
      <c r="B237" s="383"/>
      <c r="C237" s="397"/>
      <c r="D237" s="397"/>
      <c r="E237" s="397"/>
      <c r="F237" s="397"/>
      <c r="G237" s="425"/>
      <c r="H237" s="425"/>
      <c r="I237" s="425"/>
      <c r="J237" s="425"/>
      <c r="K237" s="423"/>
      <c r="L237" s="427"/>
      <c r="M237" s="428"/>
      <c r="N237" s="428"/>
    </row>
    <row r="238" spans="1:44" ht="16" outlineLevel="1" thickBot="1">
      <c r="B238" s="429"/>
      <c r="C238" s="430"/>
      <c r="D238" s="430"/>
      <c r="E238" s="430"/>
      <c r="F238" s="430"/>
      <c r="G238" s="425"/>
      <c r="H238" s="425"/>
      <c r="I238" s="425"/>
      <c r="J238" s="425"/>
      <c r="K238" s="423"/>
      <c r="L238" s="427"/>
      <c r="M238" s="428"/>
      <c r="N238" s="428"/>
    </row>
    <row r="239" spans="1:44" ht="16" outlineLevel="1" thickBot="1">
      <c r="B239" s="431"/>
      <c r="C239" s="432"/>
      <c r="D239" s="403"/>
      <c r="E239" s="403"/>
      <c r="F239" s="433"/>
      <c r="G239" s="434"/>
      <c r="H239" s="406"/>
      <c r="I239" s="406"/>
      <c r="J239" s="406"/>
      <c r="K239" s="407"/>
      <c r="L239" s="408"/>
      <c r="M239" s="428"/>
      <c r="N239" s="428"/>
    </row>
    <row r="240" spans="1:44" outlineLevel="1">
      <c r="A240" s="435"/>
      <c r="B240" s="436"/>
      <c r="C240" s="551"/>
      <c r="D240" s="512"/>
      <c r="E240" s="512"/>
      <c r="F240" s="513"/>
      <c r="G240" s="425"/>
      <c r="H240" s="425"/>
      <c r="I240" s="425"/>
      <c r="J240" s="425"/>
      <c r="K240" s="426"/>
      <c r="L240" s="440"/>
      <c r="M240" s="420"/>
      <c r="N240" s="420"/>
    </row>
    <row r="241" spans="2:30" outlineLevel="1">
      <c r="B241" s="441"/>
      <c r="C241" s="443"/>
      <c r="D241" s="442"/>
      <c r="E241" s="442"/>
      <c r="F241" s="442"/>
      <c r="G241" s="425"/>
      <c r="H241" s="425"/>
      <c r="I241" s="425"/>
      <c r="J241" s="425"/>
      <c r="K241" s="444"/>
      <c r="L241" s="373"/>
      <c r="M241" s="71"/>
      <c r="N241" s="420"/>
    </row>
    <row r="242" spans="2:30" outlineLevel="1">
      <c r="B242" s="441"/>
      <c r="C242" s="443"/>
      <c r="D242" s="443"/>
      <c r="E242" s="443"/>
      <c r="F242" s="443"/>
      <c r="G242" s="425"/>
      <c r="H242" s="425"/>
      <c r="I242" s="425"/>
      <c r="J242" s="425"/>
      <c r="K242" s="444"/>
      <c r="L242" s="373"/>
      <c r="M242" s="420"/>
      <c r="N242" s="420"/>
    </row>
    <row r="243" spans="2:30" outlineLevel="1">
      <c r="B243" s="383"/>
      <c r="C243" s="445"/>
      <c r="D243" s="446"/>
      <c r="E243" s="446"/>
      <c r="F243" s="447"/>
      <c r="G243" s="425"/>
      <c r="H243" s="425"/>
      <c r="I243" s="425"/>
      <c r="J243" s="425"/>
      <c r="K243" s="448"/>
      <c r="L243" s="373"/>
      <c r="M243" s="420"/>
      <c r="N243" s="420"/>
    </row>
    <row r="244" spans="2:30" outlineLevel="1">
      <c r="B244" s="383"/>
      <c r="C244" s="449"/>
      <c r="D244" s="449"/>
      <c r="E244" s="449"/>
      <c r="F244" s="449"/>
      <c r="G244" s="425"/>
      <c r="H244" s="425"/>
      <c r="I244" s="425"/>
      <c r="J244" s="425"/>
      <c r="K244" s="448"/>
      <c r="L244" s="373"/>
      <c r="M244" s="450"/>
      <c r="N244" s="361"/>
      <c r="P244" s="1142"/>
      <c r="Q244" s="1143"/>
      <c r="R244" s="1143"/>
      <c r="S244" s="1143"/>
      <c r="T244" s="1143"/>
      <c r="U244" s="1144"/>
    </row>
    <row r="245" spans="2:30" ht="16" outlineLevel="1" thickBot="1">
      <c r="B245" s="541"/>
      <c r="C245" s="552"/>
      <c r="D245" s="552"/>
      <c r="E245" s="552"/>
      <c r="F245" s="552"/>
      <c r="G245" s="425"/>
      <c r="H245" s="425"/>
      <c r="I245" s="425"/>
      <c r="J245" s="425"/>
      <c r="K245" s="444"/>
      <c r="L245" s="373"/>
      <c r="M245" s="450"/>
      <c r="N245" s="361"/>
      <c r="P245" s="1134"/>
      <c r="Q245" s="1135"/>
      <c r="R245" s="1135"/>
      <c r="S245" s="1135"/>
      <c r="T245" s="1135"/>
      <c r="U245" s="1136"/>
    </row>
    <row r="246" spans="2:30" outlineLevel="1">
      <c r="B246" s="541"/>
      <c r="C246" s="554"/>
      <c r="D246" s="554"/>
      <c r="E246" s="554"/>
      <c r="F246" s="554"/>
      <c r="G246" s="425"/>
      <c r="H246" s="425"/>
      <c r="I246" s="425"/>
      <c r="J246" s="425"/>
      <c r="K246" s="448"/>
      <c r="L246" s="373"/>
      <c r="M246" s="363"/>
      <c r="N246" s="363"/>
      <c r="P246" s="53"/>
    </row>
    <row r="247" spans="2:30" outlineLevel="1">
      <c r="B247" s="441"/>
      <c r="C247" s="518"/>
      <c r="D247" s="518"/>
      <c r="E247" s="518"/>
      <c r="F247" s="518"/>
      <c r="G247" s="425"/>
      <c r="H247" s="425"/>
      <c r="I247" s="425"/>
      <c r="J247" s="425"/>
      <c r="K247" s="444"/>
      <c r="L247" s="424"/>
      <c r="M247" s="367"/>
      <c r="N247" s="367"/>
      <c r="P247" s="46"/>
      <c r="Q247" s="46"/>
      <c r="R247" s="47"/>
      <c r="S247" s="47"/>
      <c r="T247" s="47"/>
      <c r="U247" s="48"/>
      <c r="V247" s="49"/>
      <c r="W247" s="49"/>
      <c r="X247" s="49"/>
      <c r="Y247" s="49"/>
      <c r="Z247" s="49"/>
      <c r="AA247" s="49"/>
      <c r="AB247" s="49"/>
      <c r="AC247" s="49"/>
      <c r="AD247" s="49"/>
    </row>
    <row r="248" spans="2:30" ht="16" outlineLevel="1" thickBot="1">
      <c r="B248" s="519"/>
      <c r="C248" s="442"/>
      <c r="D248" s="520"/>
      <c r="E248" s="520"/>
      <c r="F248" s="521"/>
      <c r="G248" s="425"/>
      <c r="H248" s="425"/>
      <c r="I248" s="425"/>
      <c r="J248" s="425"/>
      <c r="K248" s="448"/>
      <c r="L248" s="424"/>
      <c r="M248" s="363"/>
      <c r="N248" s="363"/>
      <c r="P248" s="50"/>
      <c r="Q248" s="50"/>
      <c r="R248" s="51"/>
      <c r="S248" s="51"/>
      <c r="T248" s="51"/>
      <c r="U248" s="51"/>
      <c r="V248" s="50"/>
      <c r="W248" s="50"/>
      <c r="X248" s="50"/>
      <c r="Y248" s="50"/>
      <c r="Z248" s="50"/>
      <c r="AA248" s="50"/>
      <c r="AB248" s="50"/>
      <c r="AC248" s="50"/>
      <c r="AD248" s="50"/>
    </row>
    <row r="249" spans="2:30" ht="16" outlineLevel="1" thickBot="1">
      <c r="B249" s="401"/>
      <c r="C249" s="402"/>
      <c r="D249" s="403"/>
      <c r="E249" s="404"/>
      <c r="F249" s="405"/>
      <c r="G249" s="406"/>
      <c r="H249" s="406"/>
      <c r="I249" s="406"/>
      <c r="J249" s="406"/>
      <c r="K249" s="459"/>
      <c r="L249" s="460"/>
      <c r="M249" s="363"/>
      <c r="N249" s="363"/>
      <c r="O249" s="461"/>
      <c r="P249" s="56"/>
      <c r="Q249" s="56"/>
      <c r="R249" s="57"/>
      <c r="S249" s="57"/>
      <c r="T249" s="57"/>
      <c r="U249" s="56"/>
      <c r="V249" s="56"/>
      <c r="W249" s="56"/>
      <c r="X249" s="56"/>
      <c r="Y249" s="56"/>
      <c r="Z249" s="56"/>
      <c r="AA249" s="56"/>
      <c r="AB249" s="56"/>
      <c r="AC249" s="56"/>
      <c r="AD249" s="56"/>
    </row>
    <row r="250" spans="2:30" outlineLevel="1">
      <c r="B250" s="556"/>
      <c r="C250" s="557"/>
      <c r="D250" s="557"/>
      <c r="E250" s="557"/>
      <c r="F250" s="557"/>
      <c r="G250" s="558"/>
      <c r="H250" s="558"/>
      <c r="I250" s="558"/>
      <c r="J250" s="558"/>
      <c r="K250" s="558"/>
      <c r="L250" s="559"/>
      <c r="M250" s="363"/>
      <c r="N250" s="363"/>
      <c r="O250" s="465"/>
      <c r="P250" s="466"/>
      <c r="Q250" s="58"/>
      <c r="R250" s="466"/>
      <c r="S250" s="58"/>
      <c r="T250" s="466"/>
      <c r="U250" s="467"/>
      <c r="V250" s="467"/>
      <c r="W250" s="467"/>
      <c r="X250" s="58"/>
      <c r="Y250" s="58"/>
      <c r="Z250" s="466"/>
      <c r="AA250" s="468"/>
      <c r="AB250" s="468"/>
      <c r="AC250" s="468"/>
      <c r="AD250" s="468"/>
    </row>
    <row r="251" spans="2:30" outlineLevel="1">
      <c r="B251" s="541"/>
      <c r="C251" s="560"/>
      <c r="D251" s="561"/>
      <c r="E251" s="561"/>
      <c r="F251" s="562"/>
      <c r="G251" s="562"/>
      <c r="H251" s="562"/>
      <c r="I251" s="562"/>
      <c r="J251" s="562"/>
      <c r="K251" s="563"/>
      <c r="L251" s="559"/>
      <c r="M251" s="363"/>
      <c r="N251" s="363"/>
      <c r="O251" s="465"/>
      <c r="P251" s="466"/>
      <c r="Q251" s="58"/>
      <c r="R251" s="466"/>
      <c r="S251" s="58"/>
      <c r="T251" s="466"/>
      <c r="U251" s="467"/>
      <c r="V251" s="467"/>
      <c r="W251" s="467"/>
      <c r="X251" s="58"/>
      <c r="Y251" s="58"/>
      <c r="Z251" s="466"/>
      <c r="AA251" s="468"/>
      <c r="AB251" s="468"/>
      <c r="AC251" s="468"/>
      <c r="AD251" s="468"/>
    </row>
    <row r="252" spans="2:30" outlineLevel="1">
      <c r="B252" s="541"/>
      <c r="C252" s="560"/>
      <c r="D252" s="561"/>
      <c r="E252" s="561"/>
      <c r="F252" s="562"/>
      <c r="G252" s="562"/>
      <c r="H252" s="562"/>
      <c r="I252" s="562"/>
      <c r="J252" s="562"/>
      <c r="K252" s="563"/>
      <c r="L252" s="559"/>
      <c r="M252" s="363"/>
      <c r="N252" s="363"/>
      <c r="O252" s="465"/>
      <c r="P252" s="466"/>
      <c r="Q252" s="58"/>
      <c r="R252" s="466"/>
      <c r="S252" s="58"/>
      <c r="T252" s="466"/>
      <c r="U252" s="467"/>
      <c r="V252" s="467"/>
      <c r="W252" s="467"/>
      <c r="X252" s="58"/>
      <c r="Y252" s="58"/>
      <c r="Z252" s="466"/>
      <c r="AA252" s="468"/>
      <c r="AB252" s="468"/>
      <c r="AC252" s="468"/>
      <c r="AD252" s="468"/>
    </row>
    <row r="253" spans="2:30" outlineLevel="1">
      <c r="B253" s="541"/>
      <c r="C253" s="564"/>
      <c r="D253" s="564"/>
      <c r="E253" s="564"/>
      <c r="F253" s="564"/>
      <c r="G253" s="565"/>
      <c r="H253" s="565"/>
      <c r="I253" s="565"/>
      <c r="J253" s="565"/>
      <c r="K253" s="565"/>
      <c r="L253" s="548"/>
      <c r="M253" s="363"/>
      <c r="N253" s="363"/>
      <c r="O253" s="465"/>
      <c r="P253" s="466"/>
      <c r="Q253" s="58"/>
      <c r="R253" s="466"/>
      <c r="S253" s="58"/>
      <c r="T253" s="466"/>
      <c r="U253" s="467"/>
      <c r="V253" s="467"/>
      <c r="W253" s="467"/>
      <c r="X253" s="58"/>
      <c r="Y253" s="58"/>
      <c r="Z253" s="466"/>
      <c r="AA253" s="468"/>
      <c r="AB253" s="468"/>
      <c r="AC253" s="468"/>
      <c r="AD253" s="468"/>
    </row>
    <row r="254" spans="2:30" outlineLevel="1">
      <c r="B254" s="566"/>
      <c r="C254" s="560"/>
      <c r="D254" s="561"/>
      <c r="E254" s="561"/>
      <c r="F254" s="562"/>
      <c r="G254" s="562"/>
      <c r="H254" s="562"/>
      <c r="I254" s="562"/>
      <c r="J254" s="562"/>
      <c r="K254" s="563"/>
      <c r="L254" s="559"/>
      <c r="M254" s="367"/>
      <c r="N254" s="367"/>
    </row>
    <row r="255" spans="2:30" outlineLevel="1">
      <c r="B255" s="566"/>
      <c r="C255" s="560"/>
      <c r="D255" s="561"/>
      <c r="E255" s="561"/>
      <c r="F255" s="562"/>
      <c r="G255" s="562"/>
      <c r="H255" s="562"/>
      <c r="I255" s="562"/>
      <c r="J255" s="562"/>
      <c r="K255" s="563"/>
      <c r="L255" s="559"/>
      <c r="M255" s="363"/>
      <c r="N255" s="363"/>
    </row>
    <row r="256" spans="2:30" ht="16" outlineLevel="1" thickBot="1">
      <c r="B256" s="567"/>
      <c r="C256" s="568"/>
      <c r="D256" s="568"/>
      <c r="E256" s="568"/>
      <c r="F256" s="568"/>
      <c r="G256" s="568"/>
      <c r="H256" s="568"/>
      <c r="I256" s="568"/>
      <c r="J256" s="568"/>
      <c r="K256" s="568"/>
      <c r="L256" s="569"/>
      <c r="M256" s="363"/>
      <c r="N256" s="363"/>
    </row>
    <row r="257" spans="1:15" outlineLevel="1">
      <c r="B257" s="461"/>
      <c r="C257" s="483"/>
      <c r="D257" s="483"/>
      <c r="E257" s="483"/>
      <c r="F257" s="483"/>
      <c r="G257" s="483"/>
      <c r="H257" s="484"/>
      <c r="I257" s="420"/>
      <c r="J257" s="420"/>
      <c r="K257" s="484"/>
      <c r="L257" s="484"/>
      <c r="N257" s="420"/>
    </row>
    <row r="258" spans="1:15" outlineLevel="1">
      <c r="B258" s="485"/>
      <c r="C258" s="486"/>
      <c r="D258" s="486"/>
      <c r="E258" s="486"/>
      <c r="F258" s="486"/>
      <c r="G258" s="486"/>
      <c r="H258" s="484"/>
      <c r="I258" s="71"/>
      <c r="J258" s="420"/>
      <c r="K258" s="484"/>
      <c r="L258" s="484"/>
      <c r="N258" s="420"/>
    </row>
    <row r="259" spans="1:15" outlineLevel="1">
      <c r="B259" s="461"/>
      <c r="C259" s="359"/>
      <c r="D259" s="359"/>
      <c r="E259" s="359"/>
      <c r="F259" s="359"/>
      <c r="G259" s="359"/>
      <c r="I259" s="420"/>
      <c r="J259" s="420"/>
      <c r="N259" s="420"/>
    </row>
    <row r="260" spans="1:15" outlineLevel="1">
      <c r="B260" s="461"/>
      <c r="C260" s="487"/>
      <c r="D260" s="487"/>
      <c r="E260" s="487"/>
      <c r="F260" s="487"/>
      <c r="G260" s="359"/>
      <c r="M260" s="420"/>
      <c r="N260" s="420"/>
    </row>
    <row r="261" spans="1:15" outlineLevel="1"/>
    <row r="262" spans="1:15" outlineLevel="1">
      <c r="A262" s="488"/>
      <c r="B262" s="489"/>
      <c r="D262" s="490"/>
      <c r="E262" s="490"/>
      <c r="F262" s="490"/>
      <c r="G262" s="358"/>
      <c r="H262" s="358"/>
      <c r="I262" s="358"/>
      <c r="J262" s="358"/>
      <c r="K262" s="358"/>
      <c r="L262" s="358"/>
    </row>
    <row r="263" spans="1:15" outlineLevel="1">
      <c r="A263" s="491"/>
      <c r="B263" s="492"/>
      <c r="D263" s="490"/>
      <c r="E263" s="490"/>
      <c r="F263" s="490"/>
      <c r="G263" s="358"/>
      <c r="H263" s="358"/>
      <c r="I263" s="358"/>
      <c r="J263" s="358"/>
      <c r="K263" s="358"/>
      <c r="L263" s="358"/>
    </row>
    <row r="264" spans="1:15" outlineLevel="1">
      <c r="A264" s="491"/>
      <c r="B264" s="493"/>
      <c r="D264" s="490"/>
      <c r="E264" s="490"/>
      <c r="F264" s="490"/>
      <c r="G264" s="358"/>
      <c r="H264" s="358"/>
      <c r="I264" s="358"/>
      <c r="J264" s="358"/>
      <c r="K264" s="358"/>
      <c r="L264" s="358"/>
    </row>
    <row r="265" spans="1:15" outlineLevel="1">
      <c r="A265" s="491"/>
      <c r="B265" s="493"/>
      <c r="D265" s="490"/>
      <c r="E265" s="490"/>
      <c r="F265" s="490"/>
      <c r="G265" s="358"/>
      <c r="H265" s="358"/>
      <c r="I265" s="358"/>
      <c r="J265" s="358"/>
      <c r="K265" s="358"/>
      <c r="L265" s="358"/>
    </row>
    <row r="266" spans="1:15" outlineLevel="1">
      <c r="A266" s="491"/>
      <c r="B266" s="493"/>
      <c r="D266" s="490"/>
      <c r="E266" s="490"/>
      <c r="F266" s="490"/>
      <c r="G266" s="358"/>
      <c r="H266" s="358"/>
      <c r="I266" s="358"/>
      <c r="J266" s="358"/>
      <c r="K266" s="358"/>
      <c r="L266" s="358"/>
    </row>
    <row r="267" spans="1:15" outlineLevel="1">
      <c r="A267" s="358"/>
      <c r="B267" s="494"/>
      <c r="D267" s="490"/>
      <c r="E267" s="490"/>
      <c r="F267" s="490"/>
      <c r="G267" s="358"/>
      <c r="H267" s="358"/>
      <c r="I267" s="358"/>
      <c r="J267" s="358"/>
      <c r="K267" s="358"/>
      <c r="L267" s="358"/>
      <c r="M267" s="570"/>
      <c r="N267" s="489"/>
      <c r="O267" s="490"/>
    </row>
    <row r="268" spans="1:15" outlineLevel="1">
      <c r="A268" s="358"/>
      <c r="B268" s="492"/>
      <c r="D268" s="490"/>
      <c r="E268" s="490"/>
      <c r="F268" s="490"/>
      <c r="G268" s="358"/>
      <c r="H268" s="358"/>
      <c r="I268" s="358"/>
      <c r="J268" s="358"/>
      <c r="K268" s="358"/>
      <c r="L268" s="358"/>
      <c r="O268" s="490"/>
    </row>
    <row r="269" spans="1:15" outlineLevel="1">
      <c r="A269" s="358"/>
      <c r="B269" s="495"/>
      <c r="D269" s="490"/>
      <c r="E269" s="490"/>
      <c r="F269" s="490"/>
      <c r="G269" s="358"/>
      <c r="H269" s="358"/>
      <c r="I269" s="358"/>
      <c r="J269" s="358"/>
      <c r="K269" s="358"/>
      <c r="L269" s="358"/>
      <c r="O269" s="490"/>
    </row>
    <row r="270" spans="1:15" outlineLevel="1">
      <c r="A270" s="358"/>
      <c r="B270" s="495"/>
      <c r="D270" s="490"/>
      <c r="E270" s="490"/>
      <c r="F270" s="490"/>
      <c r="G270" s="358"/>
      <c r="H270" s="358"/>
      <c r="I270" s="358"/>
      <c r="J270" s="358"/>
      <c r="K270" s="358"/>
      <c r="L270" s="358"/>
      <c r="O270" s="490"/>
    </row>
    <row r="271" spans="1:15" outlineLevel="1">
      <c r="A271" s="358"/>
      <c r="B271" s="489"/>
      <c r="D271" s="490"/>
      <c r="E271" s="490"/>
      <c r="F271" s="490"/>
      <c r="G271" s="358"/>
      <c r="H271" s="358"/>
      <c r="I271" s="358"/>
      <c r="J271" s="358"/>
      <c r="K271" s="358"/>
      <c r="L271" s="358"/>
      <c r="O271" s="490"/>
    </row>
    <row r="272" spans="1:15" outlineLevel="1">
      <c r="A272" s="358"/>
      <c r="B272" s="490"/>
      <c r="D272" s="490"/>
      <c r="E272" s="490"/>
      <c r="F272" s="490"/>
      <c r="G272" s="358"/>
      <c r="H272" s="358"/>
      <c r="I272" s="358"/>
      <c r="J272" s="358"/>
      <c r="K272" s="358"/>
      <c r="L272" s="358"/>
      <c r="O272" s="490"/>
    </row>
    <row r="273" spans="1:44" outlineLevel="1">
      <c r="A273" s="488"/>
      <c r="B273" s="489"/>
      <c r="D273" s="490"/>
      <c r="E273" s="490"/>
      <c r="F273" s="490"/>
      <c r="G273" s="358"/>
      <c r="H273" s="358"/>
      <c r="I273" s="358"/>
      <c r="J273" s="358"/>
      <c r="K273" s="358"/>
      <c r="L273" s="358"/>
      <c r="O273" s="490"/>
    </row>
    <row r="274" spans="1:44" outlineLevel="1">
      <c r="A274" s="496"/>
      <c r="B274" s="497"/>
      <c r="D274" s="490"/>
      <c r="E274" s="490"/>
      <c r="F274" s="490"/>
      <c r="G274" s="358"/>
      <c r="H274" s="358"/>
      <c r="I274" s="358"/>
      <c r="J274" s="358"/>
      <c r="K274" s="358"/>
      <c r="L274" s="358"/>
      <c r="M274" s="570"/>
      <c r="N274" s="489"/>
      <c r="O274" s="490"/>
    </row>
    <row r="275" spans="1:44" outlineLevel="1">
      <c r="A275" s="496"/>
      <c r="B275" s="489"/>
      <c r="D275" s="490"/>
      <c r="E275" s="490"/>
      <c r="F275" s="490"/>
      <c r="G275" s="358"/>
      <c r="H275" s="358"/>
      <c r="I275" s="358"/>
      <c r="J275" s="358"/>
      <c r="K275" s="358"/>
      <c r="L275" s="358"/>
      <c r="M275" s="571"/>
      <c r="N275" s="489"/>
      <c r="O275" s="490"/>
    </row>
    <row r="276" spans="1:44" outlineLevel="1">
      <c r="A276" s="496"/>
      <c r="B276" s="489"/>
      <c r="D276" s="490"/>
      <c r="E276" s="490"/>
      <c r="F276" s="490"/>
      <c r="G276" s="358"/>
      <c r="H276" s="358"/>
      <c r="I276" s="358"/>
      <c r="J276" s="358"/>
      <c r="K276" s="358"/>
      <c r="L276" s="358"/>
      <c r="M276" s="572"/>
      <c r="N276" s="489"/>
      <c r="O276" s="490"/>
    </row>
    <row r="277" spans="1:44" outlineLevel="1">
      <c r="A277" s="496"/>
      <c r="B277" s="498"/>
      <c r="D277" s="490"/>
      <c r="E277" s="490"/>
      <c r="F277" s="490"/>
      <c r="G277" s="358"/>
      <c r="H277" s="358"/>
      <c r="I277" s="358"/>
      <c r="J277" s="358"/>
      <c r="K277" s="358"/>
      <c r="L277" s="358"/>
      <c r="M277" s="573"/>
      <c r="N277" s="489"/>
      <c r="O277" s="490"/>
    </row>
    <row r="278" spans="1:44" outlineLevel="1">
      <c r="A278" s="496"/>
      <c r="B278" s="489"/>
      <c r="D278" s="490"/>
      <c r="E278" s="490"/>
      <c r="F278" s="490"/>
      <c r="G278" s="358"/>
      <c r="H278" s="358"/>
      <c r="I278" s="358"/>
      <c r="J278" s="358"/>
      <c r="K278" s="358"/>
      <c r="L278" s="358"/>
      <c r="M278" s="573"/>
      <c r="N278" s="490"/>
      <c r="O278" s="490"/>
    </row>
    <row r="279" spans="1:44" outlineLevel="1">
      <c r="A279" s="496"/>
      <c r="B279" s="489"/>
      <c r="D279" s="490"/>
      <c r="E279" s="490"/>
      <c r="F279" s="490"/>
      <c r="G279" s="358"/>
      <c r="H279" s="358"/>
      <c r="I279" s="358"/>
      <c r="J279" s="358"/>
      <c r="K279" s="358"/>
      <c r="L279" s="358"/>
      <c r="M279" s="489"/>
      <c r="N279" s="490"/>
      <c r="O279" s="490"/>
    </row>
    <row r="280" spans="1:44" outlineLevel="1"/>
    <row r="283" spans="1:44" ht="16" thickBot="1">
      <c r="A283" s="360"/>
    </row>
    <row r="284" spans="1:44" ht="20.5" customHeight="1" thickBot="1">
      <c r="B284" s="362"/>
      <c r="C284" s="1186"/>
      <c r="D284" s="1187"/>
      <c r="E284" s="1187"/>
      <c r="F284" s="1187"/>
      <c r="G284" s="1187"/>
      <c r="H284" s="1187"/>
      <c r="I284" s="1187"/>
      <c r="J284" s="1187"/>
      <c r="K284" s="1187"/>
      <c r="L284" s="1188"/>
      <c r="M284" s="363"/>
      <c r="N284" s="363"/>
      <c r="P284" s="364"/>
      <c r="Q284" s="365"/>
      <c r="R284" s="366"/>
      <c r="S284" s="1176"/>
      <c r="T284" s="1160"/>
      <c r="U284" s="1161"/>
      <c r="V284" s="1160"/>
      <c r="W284" s="1161"/>
      <c r="X284" s="1160"/>
      <c r="Y284" s="1161"/>
      <c r="Z284" s="1160"/>
      <c r="AA284" s="1161"/>
      <c r="AB284" s="1160"/>
      <c r="AC284" s="1161"/>
      <c r="AE284" s="364"/>
      <c r="AF284" s="365"/>
      <c r="AG284" s="366"/>
      <c r="AH284" s="1176"/>
      <c r="AI284" s="1160"/>
      <c r="AJ284" s="1161"/>
      <c r="AK284" s="1160"/>
      <c r="AL284" s="1161"/>
      <c r="AM284" s="1160"/>
      <c r="AN284" s="1161"/>
      <c r="AO284" s="1160"/>
      <c r="AP284" s="1161"/>
      <c r="AQ284" s="1160"/>
      <c r="AR284" s="1161"/>
    </row>
    <row r="285" spans="1:44" ht="15" customHeight="1" thickBot="1">
      <c r="B285" s="1164"/>
      <c r="C285" s="1166"/>
      <c r="D285" s="1166"/>
      <c r="E285" s="1166"/>
      <c r="F285" s="1166"/>
      <c r="G285" s="1168"/>
      <c r="H285" s="1169"/>
      <c r="I285" s="1168"/>
      <c r="J285" s="1169"/>
      <c r="K285" s="1189"/>
      <c r="L285" s="1189"/>
      <c r="M285" s="367"/>
      <c r="N285" s="367"/>
      <c r="P285" s="1180"/>
      <c r="Q285" s="368"/>
      <c r="R285" s="368"/>
      <c r="S285" s="1177"/>
      <c r="T285" s="1162"/>
      <c r="U285" s="1163"/>
      <c r="V285" s="1162"/>
      <c r="W285" s="1163"/>
      <c r="X285" s="1162"/>
      <c r="Y285" s="1163"/>
      <c r="Z285" s="1162"/>
      <c r="AA285" s="1163"/>
      <c r="AB285" s="1162"/>
      <c r="AC285" s="1163"/>
      <c r="AE285" s="1180"/>
      <c r="AF285" s="368"/>
      <c r="AG285" s="368"/>
      <c r="AH285" s="1177"/>
      <c r="AI285" s="1162"/>
      <c r="AJ285" s="1163"/>
      <c r="AK285" s="1162"/>
      <c r="AL285" s="1163"/>
      <c r="AM285" s="1162"/>
      <c r="AN285" s="1163"/>
      <c r="AO285" s="1162"/>
      <c r="AP285" s="1163"/>
      <c r="AQ285" s="1162"/>
      <c r="AR285" s="1163"/>
    </row>
    <row r="286" spans="1:44" ht="15" customHeight="1" thickBot="1">
      <c r="B286" s="1165"/>
      <c r="C286" s="1167"/>
      <c r="D286" s="1167"/>
      <c r="E286" s="1167"/>
      <c r="F286" s="1167"/>
      <c r="G286" s="406"/>
      <c r="H286" s="406"/>
      <c r="I286" s="406"/>
      <c r="J286" s="406"/>
      <c r="K286" s="1190"/>
      <c r="L286" s="1190"/>
      <c r="M286" s="370"/>
      <c r="N286" s="370"/>
      <c r="P286" s="1181"/>
      <c r="Q286" s="1183"/>
      <c r="R286" s="1184"/>
      <c r="S286" s="1178"/>
      <c r="T286" s="1162"/>
      <c r="U286" s="1163"/>
      <c r="V286" s="1162"/>
      <c r="W286" s="1163"/>
      <c r="X286" s="1162"/>
      <c r="Y286" s="1163"/>
      <c r="Z286" s="1162"/>
      <c r="AA286" s="1163"/>
      <c r="AB286" s="1162"/>
      <c r="AC286" s="1163"/>
      <c r="AE286" s="1181"/>
      <c r="AF286" s="1183"/>
      <c r="AG286" s="1184"/>
      <c r="AH286" s="1178"/>
      <c r="AI286" s="1162"/>
      <c r="AJ286" s="1163"/>
      <c r="AK286" s="1162"/>
      <c r="AL286" s="1163"/>
      <c r="AM286" s="1162"/>
      <c r="AN286" s="1163"/>
      <c r="AO286" s="1162"/>
      <c r="AP286" s="1163"/>
      <c r="AQ286" s="1162"/>
      <c r="AR286" s="1163"/>
    </row>
    <row r="287" spans="1:44" ht="16" thickBot="1">
      <c r="B287" s="371"/>
      <c r="C287" s="372"/>
      <c r="D287" s="372"/>
      <c r="E287" s="372"/>
      <c r="F287" s="372"/>
      <c r="G287" s="372"/>
      <c r="H287" s="372"/>
      <c r="I287" s="372"/>
      <c r="J287" s="372"/>
      <c r="K287" s="372"/>
      <c r="L287" s="373"/>
      <c r="M287" s="370"/>
      <c r="N287" s="370"/>
      <c r="O287" s="74"/>
      <c r="P287" s="1182"/>
      <c r="Q287" s="1179"/>
      <c r="R287" s="1185"/>
      <c r="S287" s="1179"/>
      <c r="T287" s="374"/>
      <c r="U287" s="375"/>
      <c r="V287" s="374"/>
      <c r="W287" s="375"/>
      <c r="X287" s="374"/>
      <c r="Y287" s="375"/>
      <c r="Z287" s="374"/>
      <c r="AA287" s="375"/>
      <c r="AB287" s="374"/>
      <c r="AC287" s="375"/>
      <c r="AE287" s="1182"/>
      <c r="AF287" s="1179"/>
      <c r="AG287" s="1185"/>
      <c r="AH287" s="1179"/>
      <c r="AI287" s="374"/>
      <c r="AJ287" s="375"/>
      <c r="AK287" s="374"/>
      <c r="AL287" s="375"/>
      <c r="AM287" s="374"/>
      <c r="AN287" s="375"/>
      <c r="AO287" s="374"/>
      <c r="AP287" s="375"/>
      <c r="AQ287" s="374"/>
      <c r="AR287" s="375"/>
    </row>
    <row r="288" spans="1:44" ht="14.5" customHeight="1">
      <c r="B288" s="574"/>
      <c r="C288" s="575"/>
      <c r="D288" s="575"/>
      <c r="E288" s="575"/>
      <c r="F288" s="575"/>
      <c r="G288" s="576"/>
      <c r="H288" s="576"/>
      <c r="I288" s="576"/>
      <c r="J288" s="576"/>
      <c r="K288" s="372"/>
      <c r="L288" s="373"/>
      <c r="M288" s="370"/>
      <c r="N288" s="370"/>
      <c r="P288" s="1148"/>
      <c r="Q288" s="1154"/>
      <c r="R288" s="381"/>
      <c r="S288" s="382"/>
      <c r="T288" s="1137"/>
      <c r="U288" s="1151"/>
      <c r="V288" s="1137"/>
      <c r="W288" s="1151"/>
      <c r="X288" s="1137"/>
      <c r="Y288" s="1151"/>
      <c r="Z288" s="1137"/>
      <c r="AA288" s="1151"/>
      <c r="AB288" s="1157"/>
      <c r="AC288" s="1151"/>
      <c r="AE288" s="1148"/>
      <c r="AF288" s="1154"/>
      <c r="AG288" s="381"/>
      <c r="AH288" s="382"/>
      <c r="AI288" s="1137"/>
      <c r="AJ288" s="1151"/>
      <c r="AK288" s="1137"/>
      <c r="AL288" s="1151"/>
      <c r="AM288" s="1137"/>
      <c r="AN288" s="1151"/>
      <c r="AO288" s="1137"/>
      <c r="AP288" s="1151"/>
      <c r="AQ288" s="1157"/>
      <c r="AR288" s="1151"/>
    </row>
    <row r="289" spans="2:44">
      <c r="B289" s="383"/>
      <c r="C289" s="577"/>
      <c r="D289" s="577"/>
      <c r="E289" s="577"/>
      <c r="F289" s="577"/>
      <c r="G289" s="576"/>
      <c r="H289" s="576"/>
      <c r="I289" s="576"/>
      <c r="J289" s="576"/>
      <c r="K289" s="372"/>
      <c r="L289" s="373"/>
      <c r="M289" s="370"/>
      <c r="N289" s="370"/>
      <c r="O289" s="71"/>
      <c r="P289" s="1149"/>
      <c r="Q289" s="1155"/>
      <c r="R289" s="388"/>
      <c r="S289" s="389"/>
      <c r="T289" s="1140"/>
      <c r="U289" s="1152"/>
      <c r="V289" s="1140"/>
      <c r="W289" s="1152"/>
      <c r="X289" s="1140"/>
      <c r="Y289" s="1152"/>
      <c r="Z289" s="1140"/>
      <c r="AA289" s="1152"/>
      <c r="AB289" s="1158"/>
      <c r="AC289" s="1152"/>
      <c r="AE289" s="1149"/>
      <c r="AF289" s="1155"/>
      <c r="AG289" s="388"/>
      <c r="AH289" s="389"/>
      <c r="AI289" s="1140"/>
      <c r="AJ289" s="1152"/>
      <c r="AK289" s="1140"/>
      <c r="AL289" s="1152"/>
      <c r="AM289" s="1140"/>
      <c r="AN289" s="1152"/>
      <c r="AO289" s="1140"/>
      <c r="AP289" s="1152"/>
      <c r="AQ289" s="1158"/>
      <c r="AR289" s="1152"/>
    </row>
    <row r="290" spans="2:44" ht="16" thickBot="1">
      <c r="B290" s="574"/>
      <c r="C290" s="578"/>
      <c r="D290" s="578"/>
      <c r="E290" s="578"/>
      <c r="F290" s="578"/>
      <c r="G290" s="578"/>
      <c r="H290" s="578"/>
      <c r="I290" s="578"/>
      <c r="J290" s="578"/>
      <c r="K290" s="579"/>
      <c r="L290" s="580"/>
      <c r="M290" s="370"/>
      <c r="N290" s="370"/>
      <c r="O290" s="71"/>
      <c r="P290" s="1149"/>
      <c r="Q290" s="1156"/>
      <c r="R290" s="393"/>
      <c r="S290" s="394"/>
      <c r="T290" s="1141"/>
      <c r="U290" s="1153"/>
      <c r="V290" s="1141"/>
      <c r="W290" s="1153"/>
      <c r="X290" s="1141"/>
      <c r="Y290" s="1153"/>
      <c r="Z290" s="1141"/>
      <c r="AA290" s="1153"/>
      <c r="AB290" s="1159"/>
      <c r="AC290" s="1153"/>
      <c r="AE290" s="1149"/>
      <c r="AF290" s="1156"/>
      <c r="AG290" s="393"/>
      <c r="AH290" s="394"/>
      <c r="AI290" s="1141"/>
      <c r="AJ290" s="1153"/>
      <c r="AK290" s="1141"/>
      <c r="AL290" s="1153"/>
      <c r="AM290" s="1141"/>
      <c r="AN290" s="1153"/>
      <c r="AO290" s="1141"/>
      <c r="AP290" s="1153"/>
      <c r="AQ290" s="1159"/>
      <c r="AR290" s="1153"/>
    </row>
    <row r="291" spans="2:44" ht="14.5" customHeight="1">
      <c r="B291" s="574"/>
      <c r="C291" s="581"/>
      <c r="D291" s="581"/>
      <c r="E291" s="581"/>
      <c r="F291" s="581"/>
      <c r="G291" s="581"/>
      <c r="H291" s="581"/>
      <c r="I291" s="581"/>
      <c r="J291" s="581"/>
      <c r="K291" s="579"/>
      <c r="L291" s="580"/>
      <c r="M291" s="370"/>
      <c r="N291" s="370"/>
      <c r="O291" s="71"/>
      <c r="P291" s="1149"/>
      <c r="Q291" s="1145"/>
      <c r="R291" s="395"/>
      <c r="S291" s="396"/>
      <c r="T291" s="1137"/>
      <c r="U291" s="1137"/>
      <c r="V291" s="1137"/>
      <c r="W291" s="1137"/>
      <c r="X291" s="1137"/>
      <c r="Y291" s="1137"/>
      <c r="Z291" s="1137"/>
      <c r="AA291" s="1137"/>
      <c r="AB291" s="1137"/>
      <c r="AC291" s="1137"/>
      <c r="AE291" s="1149"/>
      <c r="AF291" s="1145"/>
      <c r="AG291" s="395"/>
      <c r="AH291" s="396"/>
      <c r="AI291" s="1137"/>
      <c r="AJ291" s="1137"/>
      <c r="AK291" s="1137"/>
      <c r="AL291" s="1137"/>
      <c r="AM291" s="1137"/>
      <c r="AN291" s="1137"/>
      <c r="AO291" s="1137"/>
      <c r="AP291" s="1137"/>
      <c r="AQ291" s="1137"/>
      <c r="AR291" s="1137"/>
    </row>
    <row r="292" spans="2:44">
      <c r="B292" s="574"/>
      <c r="C292" s="582"/>
      <c r="D292" s="582"/>
      <c r="E292" s="582"/>
      <c r="F292" s="582"/>
      <c r="G292" s="582"/>
      <c r="H292" s="582"/>
      <c r="I292" s="582"/>
      <c r="J292" s="582"/>
      <c r="K292" s="579"/>
      <c r="L292" s="580"/>
      <c r="M292" s="367"/>
      <c r="N292" s="367"/>
      <c r="O292" s="71"/>
      <c r="P292" s="1149"/>
      <c r="Q292" s="1146"/>
      <c r="R292" s="395"/>
      <c r="S292" s="396"/>
      <c r="T292" s="1138"/>
      <c r="U292" s="1138"/>
      <c r="V292" s="1138"/>
      <c r="W292" s="1138"/>
      <c r="X292" s="1138"/>
      <c r="Y292" s="1138"/>
      <c r="Z292" s="1138"/>
      <c r="AA292" s="1138"/>
      <c r="AB292" s="1140"/>
      <c r="AC292" s="1138"/>
      <c r="AE292" s="1149"/>
      <c r="AF292" s="1146"/>
      <c r="AG292" s="395"/>
      <c r="AH292" s="396"/>
      <c r="AI292" s="1138"/>
      <c r="AJ292" s="1138"/>
      <c r="AK292" s="1138"/>
      <c r="AL292" s="1138"/>
      <c r="AM292" s="1138"/>
      <c r="AN292" s="1138"/>
      <c r="AO292" s="1138"/>
      <c r="AP292" s="1138"/>
      <c r="AQ292" s="1140"/>
      <c r="AR292" s="1138"/>
    </row>
    <row r="293" spans="2:44">
      <c r="B293" s="383"/>
      <c r="C293" s="397"/>
      <c r="D293" s="397"/>
      <c r="E293" s="397"/>
      <c r="F293" s="397"/>
      <c r="G293" s="398"/>
      <c r="H293" s="398"/>
      <c r="I293" s="398"/>
      <c r="J293" s="398"/>
      <c r="K293" s="372"/>
      <c r="L293" s="373"/>
      <c r="M293" s="363"/>
      <c r="N293" s="363"/>
      <c r="P293" s="1149"/>
      <c r="Q293" s="1146"/>
      <c r="R293" s="395"/>
      <c r="S293" s="396"/>
      <c r="T293" s="1138"/>
      <c r="U293" s="1138"/>
      <c r="V293" s="1138"/>
      <c r="W293" s="1138"/>
      <c r="X293" s="1138"/>
      <c r="Y293" s="1138"/>
      <c r="Z293" s="1138"/>
      <c r="AA293" s="1138"/>
      <c r="AB293" s="1140"/>
      <c r="AC293" s="1138"/>
      <c r="AE293" s="1149"/>
      <c r="AF293" s="1146"/>
      <c r="AG293" s="395"/>
      <c r="AH293" s="396"/>
      <c r="AI293" s="1138"/>
      <c r="AJ293" s="1138"/>
      <c r="AK293" s="1138"/>
      <c r="AL293" s="1138"/>
      <c r="AM293" s="1138"/>
      <c r="AN293" s="1138"/>
      <c r="AO293" s="1138"/>
      <c r="AP293" s="1138"/>
      <c r="AQ293" s="1140"/>
      <c r="AR293" s="1138"/>
    </row>
    <row r="294" spans="2:44" ht="16" thickBot="1">
      <c r="B294" s="574"/>
      <c r="C294" s="582"/>
      <c r="D294" s="582"/>
      <c r="E294" s="582"/>
      <c r="F294" s="582"/>
      <c r="G294" s="582"/>
      <c r="H294" s="582"/>
      <c r="I294" s="582"/>
      <c r="J294" s="582"/>
      <c r="K294" s="372"/>
      <c r="L294" s="373"/>
      <c r="M294" s="363"/>
      <c r="N294" s="363"/>
      <c r="P294" s="1149"/>
      <c r="Q294" s="1146"/>
      <c r="R294" s="395"/>
      <c r="S294" s="396"/>
      <c r="T294" s="1138"/>
      <c r="U294" s="1138"/>
      <c r="V294" s="1138"/>
      <c r="W294" s="1138"/>
      <c r="X294" s="1138"/>
      <c r="Y294" s="1138"/>
      <c r="Z294" s="1138"/>
      <c r="AA294" s="1138"/>
      <c r="AB294" s="1140"/>
      <c r="AC294" s="1138"/>
      <c r="AE294" s="1149"/>
      <c r="AF294" s="1146"/>
      <c r="AG294" s="395"/>
      <c r="AH294" s="396"/>
      <c r="AI294" s="1138"/>
      <c r="AJ294" s="1138"/>
      <c r="AK294" s="1138"/>
      <c r="AL294" s="1138"/>
      <c r="AM294" s="1138"/>
      <c r="AN294" s="1138"/>
      <c r="AO294" s="1138"/>
      <c r="AP294" s="1138"/>
      <c r="AQ294" s="1140"/>
      <c r="AR294" s="1138"/>
    </row>
    <row r="295" spans="2:44" ht="16" thickBot="1">
      <c r="B295" s="401"/>
      <c r="C295" s="583"/>
      <c r="D295" s="584"/>
      <c r="E295" s="585"/>
      <c r="F295" s="586"/>
      <c r="G295" s="406"/>
      <c r="H295" s="406"/>
      <c r="I295" s="406"/>
      <c r="J295" s="406"/>
      <c r="K295" s="407"/>
      <c r="L295" s="587"/>
      <c r="M295" s="363"/>
      <c r="N295" s="363"/>
      <c r="P295" s="1149"/>
      <c r="Q295" s="1147"/>
      <c r="R295" s="409"/>
      <c r="S295" s="410"/>
      <c r="T295" s="1139"/>
      <c r="U295" s="1139"/>
      <c r="V295" s="1139"/>
      <c r="W295" s="1139"/>
      <c r="X295" s="1139"/>
      <c r="Y295" s="1139"/>
      <c r="Z295" s="1139"/>
      <c r="AA295" s="1139"/>
      <c r="AB295" s="1141"/>
      <c r="AC295" s="1139"/>
      <c r="AE295" s="1149"/>
      <c r="AF295" s="1147"/>
      <c r="AG295" s="409"/>
      <c r="AH295" s="410"/>
      <c r="AI295" s="1139"/>
      <c r="AJ295" s="1139"/>
      <c r="AK295" s="1139"/>
      <c r="AL295" s="1139"/>
      <c r="AM295" s="1139"/>
      <c r="AN295" s="1139"/>
      <c r="AO295" s="1139"/>
      <c r="AP295" s="1139"/>
      <c r="AQ295" s="1141"/>
      <c r="AR295" s="1139"/>
    </row>
    <row r="296" spans="2:44" ht="16" thickBot="1">
      <c r="B296" s="574"/>
      <c r="C296" s="588"/>
      <c r="D296" s="588"/>
      <c r="E296" s="588"/>
      <c r="F296" s="588"/>
      <c r="G296" s="589"/>
      <c r="H296" s="589"/>
      <c r="I296" s="590"/>
      <c r="J296" s="590"/>
      <c r="K296" s="579"/>
      <c r="L296" s="580"/>
      <c r="M296" s="363"/>
      <c r="N296" s="363"/>
      <c r="P296" s="1150"/>
      <c r="Q296" s="411"/>
      <c r="R296" s="412"/>
      <c r="S296" s="413"/>
      <c r="T296" s="591"/>
      <c r="U296" s="592"/>
      <c r="V296" s="593"/>
      <c r="W296" s="592"/>
      <c r="X296" s="593"/>
      <c r="Y296" s="592"/>
      <c r="Z296" s="593"/>
      <c r="AA296" s="592"/>
      <c r="AB296" s="593"/>
      <c r="AC296" s="594"/>
      <c r="AE296" s="1150"/>
      <c r="AF296" s="411"/>
      <c r="AG296" s="412"/>
      <c r="AH296" s="413"/>
      <c r="AI296" s="591"/>
      <c r="AJ296" s="592"/>
      <c r="AK296" s="593"/>
      <c r="AL296" s="592"/>
      <c r="AM296" s="593"/>
      <c r="AN296" s="592"/>
      <c r="AO296" s="593"/>
      <c r="AP296" s="592"/>
      <c r="AQ296" s="593"/>
      <c r="AR296" s="594"/>
    </row>
    <row r="297" spans="2:44">
      <c r="B297" s="574"/>
      <c r="C297" s="582"/>
      <c r="D297" s="582"/>
      <c r="E297" s="582"/>
      <c r="F297" s="582"/>
      <c r="G297" s="595"/>
      <c r="H297" s="595"/>
      <c r="I297" s="595"/>
      <c r="J297" s="595"/>
      <c r="K297" s="596"/>
      <c r="L297" s="580"/>
      <c r="M297" s="363"/>
      <c r="N297" s="363"/>
    </row>
    <row r="298" spans="2:44">
      <c r="B298" s="574"/>
      <c r="C298" s="582"/>
      <c r="D298" s="582"/>
      <c r="E298" s="582"/>
      <c r="F298" s="582"/>
      <c r="G298" s="595"/>
      <c r="H298" s="595"/>
      <c r="I298" s="595"/>
      <c r="J298" s="595"/>
      <c r="K298" s="596"/>
      <c r="L298" s="580"/>
      <c r="M298" s="420"/>
      <c r="N298" s="363"/>
    </row>
    <row r="299" spans="2:44">
      <c r="B299" s="421"/>
      <c r="C299" s="399"/>
      <c r="D299" s="399"/>
      <c r="E299" s="399"/>
      <c r="F299" s="399"/>
      <c r="G299" s="422"/>
      <c r="H299" s="422"/>
      <c r="I299" s="422"/>
      <c r="J299" s="422"/>
      <c r="K299" s="423"/>
      <c r="L299" s="597"/>
      <c r="M299" s="420"/>
      <c r="N299" s="420"/>
    </row>
    <row r="300" spans="2:44">
      <c r="B300" s="383"/>
      <c r="C300" s="397"/>
      <c r="D300" s="397"/>
      <c r="E300" s="397"/>
      <c r="F300" s="397"/>
      <c r="G300" s="422"/>
      <c r="H300" s="425"/>
      <c r="I300" s="425"/>
      <c r="J300" s="425"/>
      <c r="K300" s="426"/>
      <c r="L300" s="427"/>
      <c r="M300" s="428"/>
      <c r="N300" s="428"/>
    </row>
    <row r="301" spans="2:44">
      <c r="B301" s="383"/>
      <c r="C301" s="397"/>
      <c r="D301" s="397"/>
      <c r="E301" s="397"/>
      <c r="F301" s="397"/>
      <c r="G301" s="425"/>
      <c r="H301" s="425"/>
      <c r="I301" s="425"/>
      <c r="J301" s="425"/>
      <c r="K301" s="423"/>
      <c r="L301" s="427"/>
      <c r="M301" s="428"/>
      <c r="N301" s="428"/>
    </row>
    <row r="302" spans="2:44">
      <c r="B302" s="383"/>
      <c r="C302" s="397"/>
      <c r="D302" s="397"/>
      <c r="E302" s="397"/>
      <c r="F302" s="397"/>
      <c r="G302" s="425"/>
      <c r="H302" s="425"/>
      <c r="I302" s="425"/>
      <c r="J302" s="425"/>
      <c r="K302" s="423"/>
      <c r="L302" s="427"/>
      <c r="M302" s="428"/>
      <c r="N302" s="428"/>
    </row>
    <row r="303" spans="2:44">
      <c r="B303" s="383"/>
      <c r="C303" s="397"/>
      <c r="D303" s="397"/>
      <c r="E303" s="397"/>
      <c r="F303" s="397"/>
      <c r="G303" s="425"/>
      <c r="H303" s="425"/>
      <c r="I303" s="425"/>
      <c r="J303" s="425"/>
      <c r="K303" s="423"/>
      <c r="L303" s="427"/>
      <c r="M303" s="428"/>
      <c r="N303" s="428"/>
    </row>
    <row r="304" spans="2:44" ht="16" thickBot="1">
      <c r="B304" s="429"/>
      <c r="C304" s="397"/>
      <c r="D304" s="397"/>
      <c r="E304" s="397"/>
      <c r="F304" s="397"/>
      <c r="G304" s="425"/>
      <c r="H304" s="425"/>
      <c r="I304" s="425"/>
      <c r="J304" s="425"/>
      <c r="K304" s="423"/>
      <c r="L304" s="427"/>
      <c r="M304" s="428"/>
      <c r="N304" s="428"/>
    </row>
    <row r="305" spans="1:30" ht="16" thickBot="1">
      <c r="B305" s="431"/>
      <c r="C305" s="598"/>
      <c r="D305" s="584"/>
      <c r="E305" s="584"/>
      <c r="F305" s="599"/>
      <c r="G305" s="434"/>
      <c r="H305" s="406"/>
      <c r="I305" s="406"/>
      <c r="J305" s="406"/>
      <c r="K305" s="407"/>
      <c r="L305" s="587"/>
      <c r="M305" s="428"/>
      <c r="N305" s="428"/>
    </row>
    <row r="306" spans="1:30">
      <c r="A306" s="435"/>
      <c r="B306" s="436"/>
      <c r="C306" s="600"/>
      <c r="D306" s="600"/>
      <c r="E306" s="600"/>
      <c r="F306" s="600"/>
      <c r="G306" s="425"/>
      <c r="H306" s="425"/>
      <c r="I306" s="425"/>
      <c r="J306" s="425"/>
      <c r="K306" s="426"/>
      <c r="L306" s="440"/>
      <c r="M306" s="420"/>
      <c r="N306" s="420"/>
    </row>
    <row r="307" spans="1:30">
      <c r="B307" s="441"/>
      <c r="C307" s="601"/>
      <c r="D307" s="601"/>
      <c r="E307" s="601"/>
      <c r="F307" s="601"/>
      <c r="G307" s="425"/>
      <c r="H307" s="425"/>
      <c r="I307" s="425"/>
      <c r="J307" s="425"/>
      <c r="K307" s="444"/>
      <c r="L307" s="373"/>
      <c r="M307" s="71"/>
      <c r="N307" s="420"/>
    </row>
    <row r="308" spans="1:30">
      <c r="B308" s="441"/>
      <c r="C308" s="601"/>
      <c r="D308" s="601"/>
      <c r="E308" s="601"/>
      <c r="F308" s="601"/>
      <c r="G308" s="425"/>
      <c r="H308" s="425"/>
      <c r="I308" s="425"/>
      <c r="J308" s="425"/>
      <c r="K308" s="444"/>
      <c r="L308" s="373"/>
      <c r="M308" s="420"/>
      <c r="N308" s="420"/>
    </row>
    <row r="309" spans="1:30">
      <c r="B309" s="383"/>
      <c r="C309" s="602"/>
      <c r="D309" s="603"/>
      <c r="E309" s="603"/>
      <c r="F309" s="604"/>
      <c r="G309" s="425"/>
      <c r="H309" s="425"/>
      <c r="I309" s="425"/>
      <c r="J309" s="425"/>
      <c r="K309" s="444"/>
      <c r="L309" s="373"/>
      <c r="M309" s="420"/>
      <c r="N309" s="420"/>
    </row>
    <row r="310" spans="1:30">
      <c r="B310" s="383"/>
      <c r="C310" s="605"/>
      <c r="D310" s="605"/>
      <c r="E310" s="605"/>
      <c r="F310" s="605"/>
      <c r="G310" s="425"/>
      <c r="H310" s="425"/>
      <c r="I310" s="425"/>
      <c r="J310" s="425"/>
      <c r="K310" s="444"/>
      <c r="L310" s="373"/>
      <c r="M310" s="450"/>
      <c r="N310" s="361"/>
      <c r="P310" s="1142"/>
      <c r="Q310" s="1143"/>
      <c r="R310" s="1143"/>
      <c r="S310" s="1143"/>
      <c r="T310" s="1143"/>
      <c r="U310" s="1144"/>
    </row>
    <row r="311" spans="1:30" ht="16" thickBot="1">
      <c r="B311" s="541"/>
      <c r="C311" s="552"/>
      <c r="D311" s="552"/>
      <c r="E311" s="552"/>
      <c r="F311" s="552"/>
      <c r="G311" s="553"/>
      <c r="H311" s="553"/>
      <c r="I311" s="553"/>
      <c r="J311" s="553"/>
      <c r="K311" s="547"/>
      <c r="L311" s="548"/>
      <c r="M311" s="450"/>
      <c r="N311" s="361"/>
      <c r="P311" s="1134"/>
      <c r="Q311" s="1135"/>
      <c r="R311" s="1135"/>
      <c r="S311" s="1135"/>
      <c r="T311" s="1135"/>
      <c r="U311" s="1136"/>
    </row>
    <row r="312" spans="1:30">
      <c r="B312" s="541"/>
      <c r="C312" s="606"/>
      <c r="D312" s="606"/>
      <c r="E312" s="606"/>
      <c r="F312" s="606"/>
      <c r="G312" s="553"/>
      <c r="H312" s="553"/>
      <c r="I312" s="553"/>
      <c r="J312" s="553"/>
      <c r="K312" s="547"/>
      <c r="L312" s="548"/>
      <c r="M312" s="363"/>
      <c r="N312" s="363"/>
      <c r="P312" s="53"/>
    </row>
    <row r="313" spans="1:30">
      <c r="B313" s="541"/>
      <c r="C313" s="607"/>
      <c r="D313" s="547"/>
      <c r="E313" s="547"/>
      <c r="F313" s="563"/>
      <c r="G313" s="550"/>
      <c r="H313" s="550"/>
      <c r="I313" s="550"/>
      <c r="J313" s="550"/>
      <c r="K313" s="547"/>
      <c r="L313" s="608"/>
      <c r="M313" s="367"/>
      <c r="N313" s="367"/>
      <c r="P313" s="46"/>
      <c r="Q313" s="46"/>
      <c r="R313" s="47"/>
      <c r="S313" s="47"/>
      <c r="T313" s="47"/>
      <c r="U313" s="48"/>
      <c r="V313" s="49"/>
      <c r="W313" s="49"/>
      <c r="X313" s="49"/>
      <c r="Y313" s="49"/>
      <c r="Z313" s="49"/>
      <c r="AA313" s="49"/>
      <c r="AB313" s="49"/>
      <c r="AC313" s="49"/>
      <c r="AD313" s="49"/>
    </row>
    <row r="314" spans="1:30" ht="16" thickBot="1">
      <c r="B314" s="566"/>
      <c r="C314" s="607"/>
      <c r="D314" s="609"/>
      <c r="E314" s="609"/>
      <c r="F314" s="610"/>
      <c r="G314" s="550"/>
      <c r="H314" s="550"/>
      <c r="I314" s="550"/>
      <c r="J314" s="550"/>
      <c r="K314" s="547"/>
      <c r="L314" s="608"/>
      <c r="M314" s="363"/>
      <c r="N314" s="363"/>
      <c r="O314" s="71"/>
      <c r="P314" s="50"/>
      <c r="Q314" s="50"/>
      <c r="R314" s="51"/>
      <c r="S314" s="51"/>
      <c r="T314" s="51"/>
      <c r="U314" s="51"/>
      <c r="V314" s="50"/>
      <c r="W314" s="50"/>
      <c r="X314" s="50"/>
      <c r="Y314" s="50"/>
      <c r="Z314" s="50"/>
      <c r="AA314" s="50"/>
      <c r="AB314" s="50"/>
      <c r="AC314" s="50"/>
      <c r="AD314" s="50"/>
    </row>
    <row r="315" spans="1:30" ht="16" thickBot="1">
      <c r="B315" s="611"/>
      <c r="C315" s="612"/>
      <c r="D315" s="613"/>
      <c r="E315" s="614"/>
      <c r="F315" s="615"/>
      <c r="G315" s="540"/>
      <c r="H315" s="540"/>
      <c r="I315" s="540"/>
      <c r="J315" s="540"/>
      <c r="K315" s="616"/>
      <c r="L315" s="617"/>
      <c r="M315" s="363"/>
      <c r="N315" s="363"/>
      <c r="O315" s="461"/>
      <c r="P315" s="56"/>
      <c r="Q315" s="56"/>
      <c r="R315" s="57"/>
      <c r="S315" s="57"/>
      <c r="T315" s="57"/>
      <c r="U315" s="56"/>
      <c r="V315" s="56"/>
      <c r="W315" s="56"/>
      <c r="X315" s="56"/>
      <c r="Y315" s="56"/>
      <c r="Z315" s="56"/>
      <c r="AA315" s="56"/>
      <c r="AB315" s="56"/>
      <c r="AC315" s="56"/>
      <c r="AD315" s="56"/>
    </row>
    <row r="316" spans="1:30">
      <c r="B316" s="556"/>
      <c r="C316" s="618"/>
      <c r="D316" s="618"/>
      <c r="E316" s="618"/>
      <c r="F316" s="618"/>
      <c r="G316" s="618"/>
      <c r="H316" s="618"/>
      <c r="I316" s="618"/>
      <c r="J316" s="618"/>
      <c r="K316" s="618"/>
      <c r="L316" s="619"/>
      <c r="M316" s="363"/>
      <c r="N316" s="363"/>
      <c r="O316" s="620"/>
      <c r="P316" s="466"/>
      <c r="Q316" s="58"/>
      <c r="R316" s="466"/>
      <c r="S316" s="58"/>
      <c r="T316" s="466"/>
      <c r="U316" s="467"/>
      <c r="V316" s="467"/>
      <c r="W316" s="467"/>
      <c r="X316" s="58"/>
      <c r="Y316" s="58"/>
      <c r="Z316" s="466"/>
      <c r="AA316" s="468"/>
      <c r="AB316" s="468"/>
      <c r="AC316" s="468"/>
      <c r="AD316" s="468"/>
    </row>
    <row r="317" spans="1:30">
      <c r="B317" s="541"/>
      <c r="C317" s="558"/>
      <c r="D317" s="558"/>
      <c r="E317" s="558"/>
      <c r="F317" s="558"/>
      <c r="G317" s="563"/>
      <c r="H317" s="563"/>
      <c r="I317" s="563"/>
      <c r="J317" s="563"/>
      <c r="K317" s="563"/>
      <c r="L317" s="548"/>
      <c r="M317" s="363"/>
      <c r="N317" s="363"/>
      <c r="O317" s="620"/>
      <c r="P317" s="466"/>
      <c r="Q317" s="58"/>
      <c r="R317" s="466"/>
      <c r="S317" s="58"/>
      <c r="T317" s="466"/>
      <c r="U317" s="467"/>
      <c r="V317" s="467"/>
      <c r="W317" s="467"/>
      <c r="X317" s="58"/>
      <c r="Y317" s="58"/>
      <c r="Z317" s="466"/>
      <c r="AA317" s="468"/>
      <c r="AB317" s="468"/>
      <c r="AC317" s="468"/>
      <c r="AD317" s="468"/>
    </row>
    <row r="318" spans="1:30">
      <c r="B318" s="541"/>
      <c r="C318" s="558"/>
      <c r="D318" s="558"/>
      <c r="E318" s="558"/>
      <c r="F318" s="558"/>
      <c r="G318" s="563"/>
      <c r="H318" s="563"/>
      <c r="I318" s="563"/>
      <c r="J318" s="563"/>
      <c r="K318" s="563"/>
      <c r="L318" s="548"/>
      <c r="M318" s="363"/>
      <c r="N318" s="363"/>
      <c r="O318" s="620"/>
      <c r="P318" s="466"/>
      <c r="Q318" s="58"/>
      <c r="R318" s="466"/>
      <c r="S318" s="58"/>
      <c r="T318" s="466"/>
      <c r="U318" s="467"/>
      <c r="V318" s="467"/>
      <c r="W318" s="467"/>
      <c r="X318" s="58"/>
      <c r="Y318" s="58"/>
      <c r="Z318" s="466"/>
      <c r="AA318" s="468"/>
      <c r="AB318" s="468"/>
      <c r="AC318" s="468"/>
      <c r="AD318" s="468"/>
    </row>
    <row r="319" spans="1:30">
      <c r="B319" s="541"/>
      <c r="C319" s="564"/>
      <c r="D319" s="564"/>
      <c r="E319" s="564"/>
      <c r="F319" s="564"/>
      <c r="G319" s="621"/>
      <c r="H319" s="621"/>
      <c r="I319" s="621"/>
      <c r="J319" s="621"/>
      <c r="K319" s="621"/>
      <c r="L319" s="548"/>
      <c r="M319" s="363"/>
      <c r="N319" s="363"/>
      <c r="O319" s="620"/>
      <c r="P319" s="466"/>
      <c r="Q319" s="58"/>
      <c r="R319" s="466"/>
      <c r="S319" s="58"/>
      <c r="T319" s="466"/>
      <c r="U319" s="467"/>
      <c r="V319" s="467"/>
      <c r="W319" s="467"/>
      <c r="X319" s="58"/>
      <c r="Y319" s="58"/>
      <c r="Z319" s="466"/>
      <c r="AA319" s="468"/>
      <c r="AB319" s="468"/>
      <c r="AC319" s="468"/>
      <c r="AD319" s="468"/>
    </row>
    <row r="320" spans="1:30">
      <c r="B320" s="566"/>
      <c r="C320" s="558"/>
      <c r="D320" s="558"/>
      <c r="E320" s="558"/>
      <c r="F320" s="558"/>
      <c r="G320" s="563"/>
      <c r="H320" s="563"/>
      <c r="I320" s="563"/>
      <c r="J320" s="563"/>
      <c r="K320" s="563"/>
      <c r="L320" s="548"/>
      <c r="M320" s="367"/>
      <c r="N320" s="367"/>
    </row>
    <row r="321" spans="1:14">
      <c r="B321" s="566"/>
      <c r="C321" s="558"/>
      <c r="D321" s="558"/>
      <c r="E321" s="558"/>
      <c r="F321" s="558"/>
      <c r="G321" s="563"/>
      <c r="H321" s="563"/>
      <c r="I321" s="563"/>
      <c r="J321" s="563"/>
      <c r="K321" s="563"/>
      <c r="L321" s="548"/>
      <c r="M321" s="363"/>
      <c r="N321" s="363"/>
    </row>
    <row r="322" spans="1:14" ht="16" thickBot="1">
      <c r="B322" s="567"/>
      <c r="C322" s="622"/>
      <c r="D322" s="622"/>
      <c r="E322" s="622"/>
      <c r="F322" s="622"/>
      <c r="G322" s="623"/>
      <c r="H322" s="623"/>
      <c r="I322" s="623"/>
      <c r="J322" s="623"/>
      <c r="K322" s="623"/>
      <c r="L322" s="624"/>
      <c r="M322" s="363"/>
      <c r="N322" s="363"/>
    </row>
    <row r="323" spans="1:14">
      <c r="B323" s="461"/>
      <c r="C323" s="483"/>
      <c r="D323" s="483"/>
      <c r="E323" s="483"/>
      <c r="F323" s="483"/>
      <c r="G323" s="483"/>
      <c r="H323" s="484"/>
      <c r="I323" s="420"/>
      <c r="J323" s="420"/>
      <c r="K323" s="484"/>
      <c r="L323" s="484"/>
      <c r="N323" s="420"/>
    </row>
    <row r="324" spans="1:14">
      <c r="B324" s="485"/>
      <c r="C324" s="486"/>
      <c r="D324" s="486"/>
      <c r="E324" s="486"/>
      <c r="F324" s="486"/>
      <c r="G324" s="486"/>
      <c r="H324" s="484"/>
      <c r="I324" s="71"/>
      <c r="J324" s="420"/>
      <c r="K324" s="484"/>
      <c r="L324" s="484"/>
      <c r="N324" s="420"/>
    </row>
    <row r="325" spans="1:14">
      <c r="B325" s="461"/>
      <c r="C325" s="359"/>
      <c r="D325" s="359"/>
      <c r="E325" s="359"/>
      <c r="F325" s="359"/>
      <c r="G325" s="359"/>
      <c r="I325" s="420"/>
      <c r="J325" s="420"/>
      <c r="N325" s="420"/>
    </row>
    <row r="326" spans="1:14">
      <c r="B326" s="461"/>
      <c r="C326" s="487"/>
      <c r="D326" s="487"/>
      <c r="E326" s="487"/>
      <c r="F326" s="487"/>
      <c r="G326" s="359"/>
      <c r="M326" s="420"/>
      <c r="N326" s="420"/>
    </row>
    <row r="329" spans="1:14">
      <c r="A329" s="488"/>
      <c r="B329" s="489"/>
      <c r="D329" s="358"/>
      <c r="E329" s="358"/>
      <c r="F329" s="358"/>
      <c r="G329" s="358"/>
      <c r="H329" s="358"/>
      <c r="I329" s="358"/>
      <c r="J329" s="358"/>
      <c r="K329" s="358"/>
    </row>
    <row r="330" spans="1:14">
      <c r="A330" s="358"/>
      <c r="B330" s="490"/>
      <c r="E330" s="358"/>
      <c r="F330" s="358"/>
      <c r="G330" s="358"/>
      <c r="H330" s="358"/>
      <c r="I330" s="358"/>
      <c r="J330" s="358"/>
      <c r="K330" s="358"/>
    </row>
    <row r="331" spans="1:14">
      <c r="A331" s="358"/>
      <c r="B331" s="490"/>
      <c r="E331" s="358"/>
      <c r="F331" s="358"/>
      <c r="G331" s="358"/>
      <c r="H331" s="358"/>
      <c r="I331" s="358"/>
      <c r="J331" s="358"/>
      <c r="K331" s="358"/>
    </row>
    <row r="332" spans="1:14">
      <c r="A332" s="358"/>
      <c r="B332" s="490"/>
      <c r="E332" s="358"/>
      <c r="F332" s="358"/>
      <c r="G332" s="358"/>
      <c r="H332" s="358"/>
      <c r="I332" s="358"/>
      <c r="J332" s="358"/>
      <c r="K332" s="358"/>
    </row>
    <row r="333" spans="1:14">
      <c r="A333" s="358"/>
      <c r="B333" s="490"/>
      <c r="E333" s="358"/>
      <c r="F333" s="358"/>
      <c r="G333" s="358"/>
      <c r="H333" s="358"/>
      <c r="I333" s="358"/>
      <c r="J333" s="358"/>
      <c r="K333" s="358"/>
    </row>
    <row r="334" spans="1:14">
      <c r="A334" s="358"/>
      <c r="B334" s="490"/>
      <c r="E334" s="358"/>
      <c r="F334" s="358"/>
      <c r="G334" s="358"/>
      <c r="H334" s="358"/>
      <c r="I334" s="358"/>
      <c r="J334" s="358"/>
      <c r="K334" s="358"/>
    </row>
    <row r="335" spans="1:14">
      <c r="A335" s="358"/>
      <c r="B335" s="490"/>
      <c r="E335" s="358"/>
      <c r="F335" s="358"/>
      <c r="G335" s="358"/>
      <c r="H335" s="358"/>
      <c r="I335" s="358"/>
      <c r="J335" s="358"/>
      <c r="K335" s="358"/>
    </row>
    <row r="336" spans="1:14">
      <c r="A336" s="358"/>
      <c r="B336" s="490"/>
      <c r="E336" s="358"/>
      <c r="F336" s="358"/>
      <c r="G336" s="358"/>
      <c r="H336" s="358"/>
      <c r="I336" s="358"/>
      <c r="J336" s="358"/>
      <c r="K336" s="358"/>
    </row>
    <row r="337" spans="1:11">
      <c r="A337" s="358"/>
      <c r="B337" s="625"/>
      <c r="E337" s="358"/>
      <c r="F337" s="358"/>
      <c r="G337" s="358"/>
      <c r="H337" s="358"/>
      <c r="I337" s="358"/>
      <c r="J337" s="358"/>
      <c r="K337" s="358"/>
    </row>
    <row r="338" spans="1:11">
      <c r="A338" s="358"/>
      <c r="B338" s="490"/>
      <c r="E338" s="358"/>
      <c r="F338" s="358"/>
      <c r="G338" s="358"/>
      <c r="H338" s="358"/>
      <c r="I338" s="358"/>
      <c r="J338" s="358"/>
      <c r="K338" s="358"/>
    </row>
    <row r="339" spans="1:11">
      <c r="A339" s="488"/>
      <c r="B339" s="489"/>
      <c r="E339" s="358"/>
      <c r="F339" s="358"/>
      <c r="G339" s="358"/>
      <c r="H339" s="358"/>
      <c r="I339" s="358"/>
      <c r="J339" s="358"/>
      <c r="K339" s="358"/>
    </row>
    <row r="340" spans="1:11">
      <c r="A340" s="496"/>
      <c r="B340" s="490"/>
      <c r="C340" s="489"/>
      <c r="E340" s="358"/>
      <c r="F340" s="358"/>
      <c r="G340" s="358"/>
      <c r="H340" s="358"/>
      <c r="I340" s="358"/>
      <c r="J340" s="358"/>
      <c r="K340" s="358"/>
    </row>
    <row r="341" spans="1:11">
      <c r="A341" s="496"/>
      <c r="B341" s="490"/>
      <c r="C341" s="489"/>
      <c r="E341" s="358"/>
      <c r="F341" s="358"/>
      <c r="G341" s="358"/>
      <c r="H341" s="358"/>
      <c r="I341" s="358"/>
      <c r="J341" s="358"/>
      <c r="K341" s="358"/>
    </row>
    <row r="342" spans="1:11">
      <c r="A342" s="496"/>
      <c r="B342" s="490"/>
      <c r="C342" s="489"/>
      <c r="E342" s="358"/>
      <c r="F342" s="358"/>
      <c r="G342" s="358"/>
      <c r="H342" s="358"/>
      <c r="I342" s="358"/>
      <c r="J342" s="358"/>
      <c r="K342" s="358"/>
    </row>
    <row r="343" spans="1:11">
      <c r="A343" s="496"/>
      <c r="B343" s="490"/>
      <c r="C343" s="489"/>
      <c r="E343" s="358"/>
      <c r="F343" s="358"/>
      <c r="G343" s="358"/>
      <c r="H343" s="358"/>
      <c r="I343" s="358"/>
      <c r="J343" s="358"/>
      <c r="K343" s="358"/>
    </row>
    <row r="344" spans="1:11" ht="15.75" customHeight="1">
      <c r="A344" s="496"/>
      <c r="B344" s="490"/>
      <c r="C344" s="489"/>
      <c r="E344" s="358"/>
      <c r="F344" s="358"/>
      <c r="G344" s="358"/>
      <c r="H344" s="358"/>
      <c r="I344" s="358"/>
      <c r="J344" s="358"/>
      <c r="K344" s="358"/>
    </row>
    <row r="345" spans="1:11" ht="15.75" customHeight="1">
      <c r="A345" s="496"/>
      <c r="B345" s="490"/>
      <c r="C345" s="489"/>
      <c r="E345" s="358"/>
      <c r="F345" s="358"/>
      <c r="G345" s="358"/>
      <c r="H345" s="358"/>
      <c r="I345" s="358"/>
      <c r="J345" s="358"/>
      <c r="K345" s="358"/>
    </row>
  </sheetData>
  <mergeCells count="396">
    <mergeCell ref="P310:U310"/>
    <mergeCell ref="P311:U311"/>
    <mergeCell ref="AM291:AM295"/>
    <mergeCell ref="AN291:AN295"/>
    <mergeCell ref="AO291:AO295"/>
    <mergeCell ref="AP291:AP295"/>
    <mergeCell ref="AQ291:AQ295"/>
    <mergeCell ref="AR291:AR295"/>
    <mergeCell ref="AC291:AC295"/>
    <mergeCell ref="AF291:AF295"/>
    <mergeCell ref="AI291:AI295"/>
    <mergeCell ref="AJ291:AJ295"/>
    <mergeCell ref="AK291:AK295"/>
    <mergeCell ref="AL291:AL295"/>
    <mergeCell ref="W291:W295"/>
    <mergeCell ref="X291:X295"/>
    <mergeCell ref="Y291:Y295"/>
    <mergeCell ref="Z291:Z295"/>
    <mergeCell ref="AA291:AA295"/>
    <mergeCell ref="AB291:AB295"/>
    <mergeCell ref="AM288:AM290"/>
    <mergeCell ref="AN288:AN290"/>
    <mergeCell ref="AO288:AO290"/>
    <mergeCell ref="AP288:AP290"/>
    <mergeCell ref="AQ288:AQ290"/>
    <mergeCell ref="AR288:AR290"/>
    <mergeCell ref="AE288:AE296"/>
    <mergeCell ref="AF288:AF290"/>
    <mergeCell ref="AI288:AI290"/>
    <mergeCell ref="AJ288:AJ290"/>
    <mergeCell ref="AK288:AK290"/>
    <mergeCell ref="AL288:AL290"/>
    <mergeCell ref="X288:X290"/>
    <mergeCell ref="Y288:Y290"/>
    <mergeCell ref="Z288:Z290"/>
    <mergeCell ref="AA288:AA290"/>
    <mergeCell ref="AB288:AB290"/>
    <mergeCell ref="AC288:AC290"/>
    <mergeCell ref="P288:P296"/>
    <mergeCell ref="Q288:Q290"/>
    <mergeCell ref="T288:T290"/>
    <mergeCell ref="U288:U290"/>
    <mergeCell ref="V288:V290"/>
    <mergeCell ref="W288:W290"/>
    <mergeCell ref="Q291:Q295"/>
    <mergeCell ref="T291:T295"/>
    <mergeCell ref="U291:U295"/>
    <mergeCell ref="V291:V295"/>
    <mergeCell ref="AQ284:AR286"/>
    <mergeCell ref="B285:B286"/>
    <mergeCell ref="C285:C286"/>
    <mergeCell ref="D285:D286"/>
    <mergeCell ref="E285:E286"/>
    <mergeCell ref="F285:F286"/>
    <mergeCell ref="G285:H285"/>
    <mergeCell ref="I285:J285"/>
    <mergeCell ref="K285:K286"/>
    <mergeCell ref="Z284:AA286"/>
    <mergeCell ref="AB284:AC286"/>
    <mergeCell ref="AH284:AH287"/>
    <mergeCell ref="AI284:AJ286"/>
    <mergeCell ref="AK284:AL286"/>
    <mergeCell ref="AM284:AN286"/>
    <mergeCell ref="AE285:AE287"/>
    <mergeCell ref="AF286:AF287"/>
    <mergeCell ref="AG286:AG287"/>
    <mergeCell ref="AN222:AN224"/>
    <mergeCell ref="AO222:AO224"/>
    <mergeCell ref="AP222:AP224"/>
    <mergeCell ref="P245:U245"/>
    <mergeCell ref="C284:L284"/>
    <mergeCell ref="S284:S287"/>
    <mergeCell ref="T284:U286"/>
    <mergeCell ref="V284:W286"/>
    <mergeCell ref="X284:Y286"/>
    <mergeCell ref="L285:L286"/>
    <mergeCell ref="P285:P287"/>
    <mergeCell ref="Q286:Q287"/>
    <mergeCell ref="R286:R287"/>
    <mergeCell ref="AO284:AP286"/>
    <mergeCell ref="P244:U244"/>
    <mergeCell ref="AF225:AF229"/>
    <mergeCell ref="AI225:AI229"/>
    <mergeCell ref="AJ225:AJ229"/>
    <mergeCell ref="AK225:AK229"/>
    <mergeCell ref="AL225:AL229"/>
    <mergeCell ref="AM225:AM229"/>
    <mergeCell ref="X225:X229"/>
    <mergeCell ref="Y225:Y229"/>
    <mergeCell ref="Z225:Z229"/>
    <mergeCell ref="AA225:AA229"/>
    <mergeCell ref="AB225:AB229"/>
    <mergeCell ref="AC225:AC229"/>
    <mergeCell ref="P222:P230"/>
    <mergeCell ref="Q222:Q224"/>
    <mergeCell ref="T222:T224"/>
    <mergeCell ref="U222:U224"/>
    <mergeCell ref="V222:V224"/>
    <mergeCell ref="W222:W224"/>
    <mergeCell ref="X222:X224"/>
    <mergeCell ref="AQ222:AQ224"/>
    <mergeCell ref="AR222:AR224"/>
    <mergeCell ref="Q225:Q229"/>
    <mergeCell ref="T225:T229"/>
    <mergeCell ref="U225:U229"/>
    <mergeCell ref="V225:V229"/>
    <mergeCell ref="W225:W229"/>
    <mergeCell ref="AF222:AF224"/>
    <mergeCell ref="AI222:AI224"/>
    <mergeCell ref="AJ222:AJ224"/>
    <mergeCell ref="AK222:AK224"/>
    <mergeCell ref="AL222:AL224"/>
    <mergeCell ref="AM222:AM224"/>
    <mergeCell ref="Y222:Y224"/>
    <mergeCell ref="Z222:Z224"/>
    <mergeCell ref="AA222:AA224"/>
    <mergeCell ref="AB222:AB224"/>
    <mergeCell ref="AC222:AC224"/>
    <mergeCell ref="AE222:AE230"/>
    <mergeCell ref="AN225:AN229"/>
    <mergeCell ref="AO225:AO229"/>
    <mergeCell ref="AP225:AP229"/>
    <mergeCell ref="AQ225:AQ229"/>
    <mergeCell ref="AR225:AR229"/>
    <mergeCell ref="AM218:AN220"/>
    <mergeCell ref="AO218:AP220"/>
    <mergeCell ref="AQ218:AR220"/>
    <mergeCell ref="B219:B220"/>
    <mergeCell ref="C219:C220"/>
    <mergeCell ref="D219:D220"/>
    <mergeCell ref="E219:E220"/>
    <mergeCell ref="F219:F220"/>
    <mergeCell ref="G219:H219"/>
    <mergeCell ref="I219:J219"/>
    <mergeCell ref="X218:Y220"/>
    <mergeCell ref="Z218:AA220"/>
    <mergeCell ref="AB218:AC220"/>
    <mergeCell ref="AH218:AH221"/>
    <mergeCell ref="AI218:AJ220"/>
    <mergeCell ref="AK218:AL220"/>
    <mergeCell ref="AE219:AE221"/>
    <mergeCell ref="R220:R221"/>
    <mergeCell ref="AF220:AF221"/>
    <mergeCell ref="AG220:AG221"/>
    <mergeCell ref="P177:U177"/>
    <mergeCell ref="P178:U178"/>
    <mergeCell ref="C218:L218"/>
    <mergeCell ref="S218:S221"/>
    <mergeCell ref="T218:U220"/>
    <mergeCell ref="V218:W220"/>
    <mergeCell ref="K219:K220"/>
    <mergeCell ref="L219:L220"/>
    <mergeCell ref="P219:P221"/>
    <mergeCell ref="Q220:Q221"/>
    <mergeCell ref="X158:X162"/>
    <mergeCell ref="Y158:Y162"/>
    <mergeCell ref="Z158:Z162"/>
    <mergeCell ref="AA158:AA162"/>
    <mergeCell ref="AB158:AB162"/>
    <mergeCell ref="AM155:AM157"/>
    <mergeCell ref="AN155:AN157"/>
    <mergeCell ref="AO155:AO157"/>
    <mergeCell ref="X155:X157"/>
    <mergeCell ref="Y155:Y157"/>
    <mergeCell ref="Z155:Z157"/>
    <mergeCell ref="AA155:AA157"/>
    <mergeCell ref="AB155:AB157"/>
    <mergeCell ref="AC155:AC157"/>
    <mergeCell ref="AM158:AM162"/>
    <mergeCell ref="AN158:AN162"/>
    <mergeCell ref="AO158:AO162"/>
    <mergeCell ref="AC158:AC162"/>
    <mergeCell ref="AF158:AF162"/>
    <mergeCell ref="AI158:AI162"/>
    <mergeCell ref="AJ158:AJ162"/>
    <mergeCell ref="AK158:AK162"/>
    <mergeCell ref="AL158:AL162"/>
    <mergeCell ref="AP155:AP157"/>
    <mergeCell ref="AQ155:AQ157"/>
    <mergeCell ref="AR155:AR157"/>
    <mergeCell ref="AE155:AE163"/>
    <mergeCell ref="AF155:AF157"/>
    <mergeCell ref="AI155:AI157"/>
    <mergeCell ref="AJ155:AJ157"/>
    <mergeCell ref="AK155:AK157"/>
    <mergeCell ref="AL155:AL157"/>
    <mergeCell ref="AP158:AP162"/>
    <mergeCell ref="AQ158:AQ162"/>
    <mergeCell ref="AR158:AR162"/>
    <mergeCell ref="P155:P163"/>
    <mergeCell ref="Q155:Q157"/>
    <mergeCell ref="T155:T157"/>
    <mergeCell ref="U155:U157"/>
    <mergeCell ref="V155:V157"/>
    <mergeCell ref="W155:W157"/>
    <mergeCell ref="Q158:Q162"/>
    <mergeCell ref="T158:T162"/>
    <mergeCell ref="U158:U162"/>
    <mergeCell ref="V158:V162"/>
    <mergeCell ref="W158:W162"/>
    <mergeCell ref="AQ151:AR153"/>
    <mergeCell ref="B152:B153"/>
    <mergeCell ref="C152:C153"/>
    <mergeCell ref="D152:D153"/>
    <mergeCell ref="E152:E153"/>
    <mergeCell ref="F152:F153"/>
    <mergeCell ref="G152:H152"/>
    <mergeCell ref="I152:J152"/>
    <mergeCell ref="K152:K153"/>
    <mergeCell ref="L152:L153"/>
    <mergeCell ref="AB151:AC153"/>
    <mergeCell ref="AH151:AH154"/>
    <mergeCell ref="AI151:AJ153"/>
    <mergeCell ref="AK151:AL153"/>
    <mergeCell ref="AM151:AN153"/>
    <mergeCell ref="AO151:AP153"/>
    <mergeCell ref="AE152:AE154"/>
    <mergeCell ref="AF153:AF154"/>
    <mergeCell ref="AG153:AG154"/>
    <mergeCell ref="C151:L151"/>
    <mergeCell ref="S151:S154"/>
    <mergeCell ref="T151:U153"/>
    <mergeCell ref="V151:W153"/>
    <mergeCell ref="X151:Y153"/>
    <mergeCell ref="Z151:AA153"/>
    <mergeCell ref="P152:P154"/>
    <mergeCell ref="Q153:Q154"/>
    <mergeCell ref="R153:R154"/>
    <mergeCell ref="P105:U105"/>
    <mergeCell ref="P106:U106"/>
    <mergeCell ref="B149:B150"/>
    <mergeCell ref="C149:M149"/>
    <mergeCell ref="P149:U149"/>
    <mergeCell ref="C150:M150"/>
    <mergeCell ref="P150:U150"/>
    <mergeCell ref="X86:X90"/>
    <mergeCell ref="Y86:Y90"/>
    <mergeCell ref="Z86:Z90"/>
    <mergeCell ref="AA86:AA90"/>
    <mergeCell ref="AB86:AB90"/>
    <mergeCell ref="AM83:AM85"/>
    <mergeCell ref="AN83:AN85"/>
    <mergeCell ref="AO83:AO85"/>
    <mergeCell ref="X83:X85"/>
    <mergeCell ref="Y83:Y85"/>
    <mergeCell ref="Z83:Z85"/>
    <mergeCell ref="AA83:AA85"/>
    <mergeCell ref="AB83:AB85"/>
    <mergeCell ref="AC83:AC85"/>
    <mergeCell ref="AM86:AM90"/>
    <mergeCell ref="AN86:AN90"/>
    <mergeCell ref="AO86:AO90"/>
    <mergeCell ref="AC86:AC90"/>
    <mergeCell ref="AF86:AF90"/>
    <mergeCell ref="AI86:AI90"/>
    <mergeCell ref="AJ86:AJ90"/>
    <mergeCell ref="AK86:AK90"/>
    <mergeCell ref="AL86:AL90"/>
    <mergeCell ref="AP83:AP85"/>
    <mergeCell ref="AQ83:AQ85"/>
    <mergeCell ref="AR83:AR85"/>
    <mergeCell ref="AE83:AE91"/>
    <mergeCell ref="AF83:AF85"/>
    <mergeCell ref="AI83:AI85"/>
    <mergeCell ref="AJ83:AJ85"/>
    <mergeCell ref="AK83:AK85"/>
    <mergeCell ref="AL83:AL85"/>
    <mergeCell ref="AP86:AP90"/>
    <mergeCell ref="AQ86:AQ90"/>
    <mergeCell ref="AR86:AR90"/>
    <mergeCell ref="P83:P91"/>
    <mergeCell ref="Q83:Q85"/>
    <mergeCell ref="T83:T85"/>
    <mergeCell ref="U83:U85"/>
    <mergeCell ref="V83:V85"/>
    <mergeCell ref="W83:W85"/>
    <mergeCell ref="Q86:Q90"/>
    <mergeCell ref="T86:T90"/>
    <mergeCell ref="U86:U90"/>
    <mergeCell ref="V86:V90"/>
    <mergeCell ref="W86:W90"/>
    <mergeCell ref="AQ79:AR81"/>
    <mergeCell ref="B80:B81"/>
    <mergeCell ref="C80:C81"/>
    <mergeCell ref="D80:D81"/>
    <mergeCell ref="E80:E81"/>
    <mergeCell ref="F80:F81"/>
    <mergeCell ref="G80:H80"/>
    <mergeCell ref="I80:J80"/>
    <mergeCell ref="K80:K81"/>
    <mergeCell ref="L80:L81"/>
    <mergeCell ref="AB79:AC81"/>
    <mergeCell ref="AH79:AH82"/>
    <mergeCell ref="AI79:AJ81"/>
    <mergeCell ref="AK79:AL81"/>
    <mergeCell ref="AM79:AN81"/>
    <mergeCell ref="AO79:AP81"/>
    <mergeCell ref="AE80:AE82"/>
    <mergeCell ref="AF81:AF82"/>
    <mergeCell ref="AG81:AG82"/>
    <mergeCell ref="C79:L79"/>
    <mergeCell ref="S79:S82"/>
    <mergeCell ref="T79:U81"/>
    <mergeCell ref="V79:W81"/>
    <mergeCell ref="X79:Y81"/>
    <mergeCell ref="Z79:AA81"/>
    <mergeCell ref="P80:P82"/>
    <mergeCell ref="Q81:Q82"/>
    <mergeCell ref="R81:R82"/>
    <mergeCell ref="C23:F27"/>
    <mergeCell ref="P33:U33"/>
    <mergeCell ref="P34:U34"/>
    <mergeCell ref="C42:F42"/>
    <mergeCell ref="B77:B78"/>
    <mergeCell ref="C77:M77"/>
    <mergeCell ref="P77:U77"/>
    <mergeCell ref="C78:M78"/>
    <mergeCell ref="X14:X18"/>
    <mergeCell ref="Y14:Y18"/>
    <mergeCell ref="Z14:Z18"/>
    <mergeCell ref="AA14:AA18"/>
    <mergeCell ref="AB14:AB18"/>
    <mergeCell ref="AM11:AM13"/>
    <mergeCell ref="AN11:AN13"/>
    <mergeCell ref="AO11:AO13"/>
    <mergeCell ref="X11:X13"/>
    <mergeCell ref="Y11:Y13"/>
    <mergeCell ref="Z11:Z13"/>
    <mergeCell ref="AA11:AA13"/>
    <mergeCell ref="AB11:AB13"/>
    <mergeCell ref="AC11:AC13"/>
    <mergeCell ref="AM14:AM18"/>
    <mergeCell ref="AN14:AN18"/>
    <mergeCell ref="AO14:AO18"/>
    <mergeCell ref="AC14:AC18"/>
    <mergeCell ref="AF14:AF18"/>
    <mergeCell ref="AI14:AI18"/>
    <mergeCell ref="AJ14:AJ18"/>
    <mergeCell ref="AK14:AK18"/>
    <mergeCell ref="AL14:AL18"/>
    <mergeCell ref="AP11:AP13"/>
    <mergeCell ref="AQ11:AQ13"/>
    <mergeCell ref="AR11:AR13"/>
    <mergeCell ref="AE11:AE19"/>
    <mergeCell ref="AF11:AF13"/>
    <mergeCell ref="AI11:AI13"/>
    <mergeCell ref="AJ11:AJ13"/>
    <mergeCell ref="AK11:AK13"/>
    <mergeCell ref="AL11:AL13"/>
    <mergeCell ref="AG19:AH19"/>
    <mergeCell ref="AP14:AP18"/>
    <mergeCell ref="AQ14:AQ18"/>
    <mergeCell ref="AR14:AR18"/>
    <mergeCell ref="P11:P19"/>
    <mergeCell ref="Q11:Q13"/>
    <mergeCell ref="T11:T13"/>
    <mergeCell ref="U11:U13"/>
    <mergeCell ref="V11:V13"/>
    <mergeCell ref="W11:W13"/>
    <mergeCell ref="Q14:Q18"/>
    <mergeCell ref="T14:T18"/>
    <mergeCell ref="U14:U18"/>
    <mergeCell ref="V14:V18"/>
    <mergeCell ref="W14:W18"/>
    <mergeCell ref="AQ7:AR9"/>
    <mergeCell ref="B8:B9"/>
    <mergeCell ref="C8:C9"/>
    <mergeCell ref="D8:D9"/>
    <mergeCell ref="E8:E9"/>
    <mergeCell ref="F8:F9"/>
    <mergeCell ref="G8:H8"/>
    <mergeCell ref="V7:W9"/>
    <mergeCell ref="X7:Y9"/>
    <mergeCell ref="Z7:AA9"/>
    <mergeCell ref="AB7:AC9"/>
    <mergeCell ref="AH7:AH10"/>
    <mergeCell ref="AI7:AJ9"/>
    <mergeCell ref="AG9:AG10"/>
    <mergeCell ref="L8:L9"/>
    <mergeCell ref="P8:P10"/>
    <mergeCell ref="AE8:AE10"/>
    <mergeCell ref="Q9:Q10"/>
    <mergeCell ref="R9:R10"/>
    <mergeCell ref="AF9:AF10"/>
    <mergeCell ref="AK7:AL9"/>
    <mergeCell ref="AM7:AN9"/>
    <mergeCell ref="AO7:AP9"/>
    <mergeCell ref="B5:B6"/>
    <mergeCell ref="C5:M5"/>
    <mergeCell ref="P5:U5"/>
    <mergeCell ref="C6:M6"/>
    <mergeCell ref="C7:L7"/>
    <mergeCell ref="S7:S10"/>
    <mergeCell ref="T7:U9"/>
    <mergeCell ref="I8:J8"/>
    <mergeCell ref="K8:K9"/>
  </mergeCells>
  <hyperlinks>
    <hyperlink ref="C57" r:id="rId1" xr:uid="{FCFA3928-FFA5-43A1-AE5D-5AB0F2CA2750}"/>
    <hyperlink ref="C129" r:id="rId2" xr:uid="{332C3EDC-FB5B-481E-8917-7720FAD39F1B}"/>
  </hyperlinks>
  <pageMargins left="0.7" right="0.7" top="0.75" bottom="0.75" header="0.3" footer="0.3"/>
  <pageSetup paperSize="9" orientation="portrait" r:id="rId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A9339-46CF-4919-A2AD-EFD5CDD24628}">
  <sheetPr>
    <tabColor theme="3"/>
  </sheetPr>
  <dimension ref="A2:AR345"/>
  <sheetViews>
    <sheetView topLeftCell="M4" zoomScale="85" zoomScaleNormal="85" workbookViewId="0">
      <selection activeCell="V29" sqref="V29"/>
    </sheetView>
  </sheetViews>
  <sheetFormatPr baseColWidth="10" defaultColWidth="8.83203125" defaultRowHeight="15" outlineLevelRow="1"/>
  <cols>
    <col min="1" max="1" width="27.33203125" style="224" bestFit="1" customWidth="1"/>
    <col min="2" max="2" width="63.5" style="224" bestFit="1" customWidth="1"/>
    <col min="3" max="6" width="11" style="224" bestFit="1" customWidth="1"/>
    <col min="7" max="12" width="11" style="224" customWidth="1"/>
    <col min="13" max="13" width="8.83203125" style="224"/>
    <col min="14" max="14" width="4.5" style="224" customWidth="1"/>
    <col min="15" max="15" width="15.83203125" style="224" customWidth="1"/>
    <col min="16" max="16384" width="8.83203125" style="224"/>
  </cols>
  <sheetData>
    <row r="2" spans="1:44">
      <c r="B2" s="638" t="str">
        <f>C7</f>
        <v>Booster heat pump, up to 150 °C, Temp lift = 130 K, steam</v>
      </c>
    </row>
    <row r="4" spans="1:44" ht="25" customHeight="1">
      <c r="E4" s="224" t="s">
        <v>358</v>
      </c>
      <c r="F4" s="359">
        <v>7.45</v>
      </c>
      <c r="G4" s="359" t="s">
        <v>328</v>
      </c>
    </row>
    <row r="5" spans="1:44" ht="15" customHeight="1">
      <c r="A5" s="360" t="s">
        <v>899</v>
      </c>
      <c r="B5" s="1207"/>
      <c r="C5" s="1143"/>
      <c r="D5" s="1143"/>
      <c r="E5" s="1143"/>
      <c r="F5" s="1143"/>
      <c r="G5" s="1143"/>
      <c r="H5" s="1143"/>
      <c r="I5" s="1143"/>
      <c r="J5" s="1143"/>
      <c r="K5" s="1143"/>
      <c r="L5" s="1143"/>
      <c r="M5" s="1143"/>
      <c r="N5" s="361"/>
      <c r="P5" s="1143"/>
      <c r="Q5" s="1143"/>
      <c r="R5" s="1143"/>
      <c r="S5" s="1143"/>
      <c r="T5" s="1143"/>
      <c r="U5" s="1143"/>
    </row>
    <row r="6" spans="1:44" ht="15.75" customHeight="1" outlineLevel="1" thickBot="1">
      <c r="B6" s="1207"/>
      <c r="C6" s="1143"/>
      <c r="D6" s="1143"/>
      <c r="E6" s="1143"/>
      <c r="F6" s="1143"/>
      <c r="G6" s="1143"/>
      <c r="H6" s="1143"/>
      <c r="I6" s="1143"/>
      <c r="J6" s="1143"/>
      <c r="K6" s="1143"/>
      <c r="L6" s="1143"/>
      <c r="M6" s="1143"/>
      <c r="N6" s="361"/>
      <c r="P6" s="692">
        <v>1</v>
      </c>
      <c r="Q6" s="692">
        <v>2</v>
      </c>
      <c r="R6" s="692">
        <v>3</v>
      </c>
      <c r="S6" s="692">
        <v>4</v>
      </c>
      <c r="T6" s="692">
        <v>5</v>
      </c>
      <c r="U6" s="692">
        <v>6</v>
      </c>
      <c r="V6" s="692">
        <v>7</v>
      </c>
      <c r="W6" s="692">
        <v>8</v>
      </c>
      <c r="X6" s="692">
        <v>9</v>
      </c>
      <c r="Y6" s="692">
        <v>10</v>
      </c>
      <c r="Z6" s="692">
        <v>11</v>
      </c>
      <c r="AA6" s="692">
        <v>12</v>
      </c>
      <c r="AB6" s="692">
        <v>13</v>
      </c>
      <c r="AC6" s="692">
        <v>14</v>
      </c>
    </row>
    <row r="7" spans="1:44" ht="20.25" customHeight="1" outlineLevel="1" thickBot="1">
      <c r="B7" s="362" t="s">
        <v>0</v>
      </c>
      <c r="C7" s="1223" t="s">
        <v>885</v>
      </c>
      <c r="D7" s="1224"/>
      <c r="E7" s="1224"/>
      <c r="F7" s="1224"/>
      <c r="G7" s="1224"/>
      <c r="H7" s="1224"/>
      <c r="I7" s="1224"/>
      <c r="J7" s="1224"/>
      <c r="K7" s="1224"/>
      <c r="L7" s="1225"/>
      <c r="M7" s="363"/>
      <c r="N7" s="363"/>
      <c r="P7" s="364" t="s">
        <v>713</v>
      </c>
      <c r="Q7" s="365"/>
      <c r="R7" s="366"/>
      <c r="S7" s="1176" t="s">
        <v>714</v>
      </c>
      <c r="T7" s="1160" t="s">
        <v>715</v>
      </c>
      <c r="U7" s="1161"/>
      <c r="V7" s="1160" t="s">
        <v>716</v>
      </c>
      <c r="W7" s="1161"/>
      <c r="X7" s="1160" t="s">
        <v>717</v>
      </c>
      <c r="Y7" s="1161"/>
      <c r="Z7" s="1160" t="s">
        <v>718</v>
      </c>
      <c r="AA7" s="1161"/>
      <c r="AB7" s="1160" t="s">
        <v>719</v>
      </c>
      <c r="AC7" s="1161"/>
      <c r="AE7" s="364" t="s">
        <v>720</v>
      </c>
      <c r="AF7" s="365"/>
      <c r="AG7" s="366"/>
      <c r="AH7" s="1176" t="s">
        <v>714</v>
      </c>
      <c r="AI7" s="1160" t="s">
        <v>715</v>
      </c>
      <c r="AJ7" s="1161"/>
      <c r="AK7" s="1160" t="s">
        <v>716</v>
      </c>
      <c r="AL7" s="1161"/>
      <c r="AM7" s="1160" t="s">
        <v>717</v>
      </c>
      <c r="AN7" s="1161"/>
      <c r="AO7" s="1160" t="s">
        <v>718</v>
      </c>
      <c r="AP7" s="1161"/>
      <c r="AQ7" s="1160" t="s">
        <v>719</v>
      </c>
      <c r="AR7" s="1161"/>
    </row>
    <row r="8" spans="1:44" ht="15" customHeight="1" outlineLevel="1" thickBot="1">
      <c r="B8" s="1164" t="s">
        <v>4</v>
      </c>
      <c r="C8" s="1166">
        <v>2020</v>
      </c>
      <c r="D8" s="1166">
        <v>2030</v>
      </c>
      <c r="E8" s="1166">
        <v>2040</v>
      </c>
      <c r="F8" s="1166">
        <v>2050</v>
      </c>
      <c r="G8" s="1230" t="s">
        <v>721</v>
      </c>
      <c r="H8" s="1218"/>
      <c r="I8" s="1217" t="s">
        <v>648</v>
      </c>
      <c r="J8" s="1226"/>
      <c r="K8" s="1219" t="s">
        <v>2</v>
      </c>
      <c r="L8" s="1219" t="s">
        <v>3</v>
      </c>
      <c r="M8" s="367"/>
      <c r="N8" s="367"/>
      <c r="P8" s="1180" t="s">
        <v>0</v>
      </c>
      <c r="Q8" s="368"/>
      <c r="R8" s="368"/>
      <c r="S8" s="1177"/>
      <c r="T8" s="1162"/>
      <c r="U8" s="1163"/>
      <c r="V8" s="1162"/>
      <c r="W8" s="1163"/>
      <c r="X8" s="1162"/>
      <c r="Y8" s="1163"/>
      <c r="Z8" s="1162"/>
      <c r="AA8" s="1163"/>
      <c r="AB8" s="1162"/>
      <c r="AC8" s="1163"/>
      <c r="AE8" s="1180" t="s">
        <v>0</v>
      </c>
      <c r="AF8" s="368"/>
      <c r="AG8" s="368"/>
      <c r="AH8" s="1177"/>
      <c r="AI8" s="1162"/>
      <c r="AJ8" s="1163"/>
      <c r="AK8" s="1162"/>
      <c r="AL8" s="1163"/>
      <c r="AM8" s="1162"/>
      <c r="AN8" s="1163"/>
      <c r="AO8" s="1162"/>
      <c r="AP8" s="1163"/>
      <c r="AQ8" s="1162"/>
      <c r="AR8" s="1163"/>
    </row>
    <row r="9" spans="1:44" ht="16" outlineLevel="1" thickBot="1">
      <c r="B9" s="1228"/>
      <c r="C9" s="1229"/>
      <c r="D9" s="1229"/>
      <c r="E9" s="1229"/>
      <c r="F9" s="1229"/>
      <c r="G9" s="369" t="s">
        <v>649</v>
      </c>
      <c r="H9" s="369" t="s">
        <v>650</v>
      </c>
      <c r="I9" s="369" t="s">
        <v>649</v>
      </c>
      <c r="J9" s="369" t="s">
        <v>650</v>
      </c>
      <c r="K9" s="1227"/>
      <c r="L9" s="1227"/>
      <c r="M9" s="370"/>
      <c r="N9" s="370"/>
      <c r="P9" s="1181"/>
      <c r="Q9" s="1183" t="s">
        <v>722</v>
      </c>
      <c r="R9" s="1184" t="s">
        <v>723</v>
      </c>
      <c r="S9" s="1178"/>
      <c r="T9" s="1162"/>
      <c r="U9" s="1163"/>
      <c r="V9" s="1162"/>
      <c r="W9" s="1163"/>
      <c r="X9" s="1162"/>
      <c r="Y9" s="1163"/>
      <c r="Z9" s="1162"/>
      <c r="AA9" s="1163"/>
      <c r="AB9" s="1162"/>
      <c r="AC9" s="1163"/>
      <c r="AE9" s="1181"/>
      <c r="AF9" s="1197" t="s">
        <v>722</v>
      </c>
      <c r="AG9" s="1184" t="s">
        <v>723</v>
      </c>
      <c r="AH9" s="1178"/>
      <c r="AI9" s="1162"/>
      <c r="AJ9" s="1163"/>
      <c r="AK9" s="1162"/>
      <c r="AL9" s="1163"/>
      <c r="AM9" s="1162"/>
      <c r="AN9" s="1163"/>
      <c r="AO9" s="1162"/>
      <c r="AP9" s="1163"/>
      <c r="AQ9" s="1162"/>
      <c r="AR9" s="1163"/>
    </row>
    <row r="10" spans="1:44" ht="54.5" customHeight="1" outlineLevel="1" thickBot="1">
      <c r="B10" s="371" t="s">
        <v>651</v>
      </c>
      <c r="C10" s="372">
        <v>4</v>
      </c>
      <c r="D10" s="372">
        <v>4</v>
      </c>
      <c r="E10" s="372">
        <v>4</v>
      </c>
      <c r="F10" s="372">
        <v>4</v>
      </c>
      <c r="G10" s="372">
        <v>1</v>
      </c>
      <c r="H10" s="372">
        <v>10</v>
      </c>
      <c r="I10" s="372">
        <v>1</v>
      </c>
      <c r="J10" s="372">
        <v>15</v>
      </c>
      <c r="K10" s="372" t="s">
        <v>6</v>
      </c>
      <c r="L10" s="373"/>
      <c r="M10" s="370"/>
      <c r="N10" s="370"/>
      <c r="O10" s="74"/>
      <c r="P10" s="1182"/>
      <c r="Q10" s="1179"/>
      <c r="R10" s="1185"/>
      <c r="S10" s="1179"/>
      <c r="T10" s="374" t="s">
        <v>726</v>
      </c>
      <c r="U10" s="375" t="s">
        <v>727</v>
      </c>
      <c r="V10" s="374" t="s">
        <v>726</v>
      </c>
      <c r="W10" s="375" t="s">
        <v>727</v>
      </c>
      <c r="X10" s="374" t="s">
        <v>726</v>
      </c>
      <c r="Y10" s="375" t="s">
        <v>727</v>
      </c>
      <c r="Z10" s="374" t="s">
        <v>726</v>
      </c>
      <c r="AA10" s="375" t="s">
        <v>727</v>
      </c>
      <c r="AB10" s="374" t="s">
        <v>726</v>
      </c>
      <c r="AC10" s="375" t="s">
        <v>727</v>
      </c>
      <c r="AE10" s="1182"/>
      <c r="AF10" s="1198"/>
      <c r="AG10" s="1185"/>
      <c r="AH10" s="1179"/>
      <c r="AI10" s="374" t="s">
        <v>726</v>
      </c>
      <c r="AJ10" s="375" t="s">
        <v>727</v>
      </c>
      <c r="AK10" s="374" t="s">
        <v>726</v>
      </c>
      <c r="AL10" s="375" t="s">
        <v>727</v>
      </c>
      <c r="AM10" s="374" t="s">
        <v>726</v>
      </c>
      <c r="AN10" s="375" t="s">
        <v>727</v>
      </c>
      <c r="AO10" s="374" t="s">
        <v>726</v>
      </c>
      <c r="AP10" s="375" t="s">
        <v>727</v>
      </c>
      <c r="AQ10" s="374" t="s">
        <v>726</v>
      </c>
      <c r="AR10" s="375" t="s">
        <v>727</v>
      </c>
    </row>
    <row r="11" spans="1:44" ht="24.5" customHeight="1" outlineLevel="1">
      <c r="B11" s="376" t="s">
        <v>728</v>
      </c>
      <c r="C11" s="377">
        <v>198</v>
      </c>
      <c r="D11" s="639">
        <v>203.94</v>
      </c>
      <c r="E11" s="640">
        <v>208.0188</v>
      </c>
      <c r="F11" s="639">
        <v>210.09898799999999</v>
      </c>
      <c r="G11" s="377">
        <v>198</v>
      </c>
      <c r="H11" s="639">
        <v>207.9</v>
      </c>
      <c r="I11" s="639">
        <v>203.79601835999998</v>
      </c>
      <c r="J11" s="639">
        <v>214.30096775999999</v>
      </c>
      <c r="K11" s="379" t="s">
        <v>838</v>
      </c>
      <c r="L11" s="380"/>
      <c r="M11" s="370"/>
      <c r="N11" s="370"/>
      <c r="P11" s="1199" t="str">
        <f>C7</f>
        <v>Booster heat pump, up to 150 °C, Temp lift = 130 K, steam</v>
      </c>
      <c r="Q11" s="1154" t="s">
        <v>730</v>
      </c>
      <c r="R11" s="381" t="s">
        <v>731</v>
      </c>
      <c r="S11" s="382" t="s">
        <v>842</v>
      </c>
      <c r="T11" s="1137">
        <v>0</v>
      </c>
      <c r="U11" s="1151">
        <v>0</v>
      </c>
      <c r="V11" s="1157">
        <v>0</v>
      </c>
      <c r="W11" s="1151">
        <v>0</v>
      </c>
      <c r="X11" s="1157">
        <v>0</v>
      </c>
      <c r="Y11" s="1151">
        <v>0</v>
      </c>
      <c r="Z11" s="1157">
        <v>0</v>
      </c>
      <c r="AA11" s="1151">
        <v>0</v>
      </c>
      <c r="AB11" s="1157">
        <v>0</v>
      </c>
      <c r="AC11" s="1151">
        <v>0</v>
      </c>
      <c r="AE11" s="1148" t="str">
        <f>P11</f>
        <v>Booster heat pump, up to 150 °C, Temp lift = 130 K, steam</v>
      </c>
      <c r="AF11" s="1154" t="s">
        <v>730</v>
      </c>
      <c r="AG11" s="381" t="s">
        <v>731</v>
      </c>
      <c r="AH11" s="382" t="str">
        <f t="shared" ref="AH11:AH13" si="0">S11</f>
        <v/>
      </c>
      <c r="AI11" s="1137">
        <v>0</v>
      </c>
      <c r="AJ11" s="1151">
        <v>0</v>
      </c>
      <c r="AK11" s="1157">
        <v>0</v>
      </c>
      <c r="AL11" s="1151">
        <v>0</v>
      </c>
      <c r="AM11" s="1157">
        <v>0</v>
      </c>
      <c r="AN11" s="1151">
        <v>0</v>
      </c>
      <c r="AO11" s="1157">
        <v>0</v>
      </c>
      <c r="AP11" s="1151">
        <v>0</v>
      </c>
      <c r="AQ11" s="1157">
        <v>0</v>
      </c>
      <c r="AR11" s="1151">
        <v>0</v>
      </c>
    </row>
    <row r="12" spans="1:44" ht="32.5" customHeight="1" outlineLevel="1">
      <c r="B12" s="383" t="s">
        <v>732</v>
      </c>
      <c r="C12" s="577">
        <v>193</v>
      </c>
      <c r="D12" s="577">
        <v>198.94</v>
      </c>
      <c r="E12" s="577">
        <v>203.0188</v>
      </c>
      <c r="F12" s="577">
        <v>205.09898799999999</v>
      </c>
      <c r="G12" s="641">
        <v>193</v>
      </c>
      <c r="H12" s="641">
        <v>202.9</v>
      </c>
      <c r="I12" s="641">
        <v>198.79601835999998</v>
      </c>
      <c r="J12" s="641">
        <v>209.30096775999999</v>
      </c>
      <c r="K12" s="386" t="s">
        <v>20</v>
      </c>
      <c r="L12" s="387"/>
      <c r="M12" s="370"/>
      <c r="N12" s="370"/>
      <c r="O12" s="71"/>
      <c r="P12" s="1195"/>
      <c r="Q12" s="1155"/>
      <c r="R12" s="388" t="s">
        <v>733</v>
      </c>
      <c r="S12" s="389" t="s">
        <v>842</v>
      </c>
      <c r="T12" s="1140"/>
      <c r="U12" s="1152"/>
      <c r="V12" s="1158"/>
      <c r="W12" s="1152"/>
      <c r="X12" s="1158"/>
      <c r="Y12" s="1152"/>
      <c r="Z12" s="1158"/>
      <c r="AA12" s="1152"/>
      <c r="AB12" s="1158"/>
      <c r="AC12" s="1152"/>
      <c r="AE12" s="1195"/>
      <c r="AF12" s="1155"/>
      <c r="AG12" s="388" t="s">
        <v>733</v>
      </c>
      <c r="AH12" s="389" t="str">
        <f t="shared" si="0"/>
        <v/>
      </c>
      <c r="AI12" s="1140"/>
      <c r="AJ12" s="1152"/>
      <c r="AK12" s="1158"/>
      <c r="AL12" s="1152"/>
      <c r="AM12" s="1158"/>
      <c r="AN12" s="1152"/>
      <c r="AO12" s="1158"/>
      <c r="AP12" s="1152"/>
      <c r="AQ12" s="1158"/>
      <c r="AR12" s="1152"/>
    </row>
    <row r="13" spans="1:44" ht="16" outlineLevel="1" thickBot="1">
      <c r="B13" s="376" t="s">
        <v>734</v>
      </c>
      <c r="C13" s="390">
        <v>2</v>
      </c>
      <c r="D13" s="391">
        <v>2</v>
      </c>
      <c r="E13" s="391">
        <v>2</v>
      </c>
      <c r="F13" s="392">
        <v>2</v>
      </c>
      <c r="G13" s="391">
        <v>1</v>
      </c>
      <c r="H13" s="391">
        <v>4</v>
      </c>
      <c r="I13" s="391">
        <v>1</v>
      </c>
      <c r="J13" s="391">
        <v>4</v>
      </c>
      <c r="K13" s="379" t="s">
        <v>76</v>
      </c>
      <c r="L13" s="380"/>
      <c r="M13" s="370"/>
      <c r="N13" s="370"/>
      <c r="O13" s="71"/>
      <c r="P13" s="1195"/>
      <c r="Q13" s="1156"/>
      <c r="R13" s="393" t="s">
        <v>735</v>
      </c>
      <c r="S13" s="394" t="s">
        <v>842</v>
      </c>
      <c r="T13" s="1141"/>
      <c r="U13" s="1153"/>
      <c r="V13" s="1159"/>
      <c r="W13" s="1153"/>
      <c r="X13" s="1159"/>
      <c r="Y13" s="1153"/>
      <c r="Z13" s="1159"/>
      <c r="AA13" s="1153"/>
      <c r="AB13" s="1159"/>
      <c r="AC13" s="1153"/>
      <c r="AE13" s="1195"/>
      <c r="AF13" s="1156"/>
      <c r="AG13" s="393" t="s">
        <v>735</v>
      </c>
      <c r="AH13" s="394" t="str">
        <f t="shared" si="0"/>
        <v/>
      </c>
      <c r="AI13" s="1141"/>
      <c r="AJ13" s="1153"/>
      <c r="AK13" s="1159"/>
      <c r="AL13" s="1153"/>
      <c r="AM13" s="1159"/>
      <c r="AN13" s="1153"/>
      <c r="AO13" s="1159"/>
      <c r="AP13" s="1153"/>
      <c r="AQ13" s="1159"/>
      <c r="AR13" s="1153"/>
    </row>
    <row r="14" spans="1:44" ht="15" customHeight="1" outlineLevel="1">
      <c r="B14" s="376" t="s">
        <v>657</v>
      </c>
      <c r="C14" s="390">
        <v>0</v>
      </c>
      <c r="D14" s="390">
        <v>0</v>
      </c>
      <c r="E14" s="390">
        <v>0</v>
      </c>
      <c r="F14" s="390">
        <v>0</v>
      </c>
      <c r="G14" s="390">
        <v>0</v>
      </c>
      <c r="H14" s="390">
        <v>1</v>
      </c>
      <c r="I14" s="390">
        <v>0</v>
      </c>
      <c r="J14" s="390">
        <v>1</v>
      </c>
      <c r="K14" s="379" t="s">
        <v>76</v>
      </c>
      <c r="L14" s="380"/>
      <c r="M14" s="370"/>
      <c r="N14" s="370"/>
      <c r="O14" s="71"/>
      <c r="P14" s="1195"/>
      <c r="Q14" s="1154" t="s">
        <v>736</v>
      </c>
      <c r="R14" s="395" t="s">
        <v>737</v>
      </c>
      <c r="S14" s="396" t="s">
        <v>738</v>
      </c>
      <c r="T14" s="1137">
        <v>0</v>
      </c>
      <c r="U14" s="1137">
        <v>0.63</v>
      </c>
      <c r="V14" s="1137">
        <v>0</v>
      </c>
      <c r="W14" s="1137">
        <v>0.36</v>
      </c>
      <c r="X14" s="1137">
        <v>0</v>
      </c>
      <c r="Y14" s="1137">
        <v>0.23</v>
      </c>
      <c r="Z14" s="1137">
        <v>0</v>
      </c>
      <c r="AA14" s="1137">
        <v>0.66</v>
      </c>
      <c r="AB14" s="1137">
        <v>0</v>
      </c>
      <c r="AC14" s="1151">
        <v>0.47</v>
      </c>
      <c r="AE14" s="1195"/>
      <c r="AF14" s="1154" t="s">
        <v>736</v>
      </c>
      <c r="AG14" s="395" t="s">
        <v>737</v>
      </c>
      <c r="AH14" s="396" t="str">
        <f>S14</f>
        <v>x</v>
      </c>
      <c r="AI14" s="1137">
        <v>0</v>
      </c>
      <c r="AJ14" s="1137">
        <f>U14/4</f>
        <v>0.1575</v>
      </c>
      <c r="AK14" s="1137">
        <v>0</v>
      </c>
      <c r="AL14" s="1137">
        <f>W14/4</f>
        <v>0.09</v>
      </c>
      <c r="AM14" s="1137">
        <v>0</v>
      </c>
      <c r="AN14" s="1137">
        <f>Y14/4</f>
        <v>5.7500000000000002E-2</v>
      </c>
      <c r="AO14" s="1137">
        <v>0</v>
      </c>
      <c r="AP14" s="1137">
        <f>AA14/4</f>
        <v>0.16500000000000001</v>
      </c>
      <c r="AQ14" s="1137">
        <v>0</v>
      </c>
      <c r="AR14" s="1151">
        <f>AC14/4</f>
        <v>0.11749999999999999</v>
      </c>
    </row>
    <row r="15" spans="1:44" outlineLevel="1">
      <c r="B15" s="376" t="s">
        <v>658</v>
      </c>
      <c r="C15" s="390">
        <v>1</v>
      </c>
      <c r="D15" s="390">
        <v>1</v>
      </c>
      <c r="E15" s="390">
        <v>1</v>
      </c>
      <c r="F15" s="390">
        <v>1</v>
      </c>
      <c r="G15" s="390">
        <v>0.5</v>
      </c>
      <c r="H15" s="390">
        <v>2</v>
      </c>
      <c r="I15" s="390">
        <v>0.5</v>
      </c>
      <c r="J15" s="390">
        <v>2</v>
      </c>
      <c r="K15" s="379" t="s">
        <v>76</v>
      </c>
      <c r="L15" s="380"/>
      <c r="M15" s="367"/>
      <c r="N15" s="367"/>
      <c r="O15" s="71"/>
      <c r="P15" s="1195"/>
      <c r="Q15" s="1155"/>
      <c r="R15" s="395" t="s">
        <v>739</v>
      </c>
      <c r="S15" s="396" t="s">
        <v>738</v>
      </c>
      <c r="T15" s="1191"/>
      <c r="U15" s="1191"/>
      <c r="V15" s="1191"/>
      <c r="W15" s="1191"/>
      <c r="X15" s="1191"/>
      <c r="Y15" s="1191"/>
      <c r="Z15" s="1191"/>
      <c r="AA15" s="1191"/>
      <c r="AB15" s="1191"/>
      <c r="AC15" s="1193"/>
      <c r="AE15" s="1195"/>
      <c r="AF15" s="1155"/>
      <c r="AG15" s="395" t="s">
        <v>739</v>
      </c>
      <c r="AH15" s="396" t="str">
        <f>S15</f>
        <v>x</v>
      </c>
      <c r="AI15" s="1191"/>
      <c r="AJ15" s="1191"/>
      <c r="AK15" s="1191"/>
      <c r="AL15" s="1191"/>
      <c r="AM15" s="1191"/>
      <c r="AN15" s="1191"/>
      <c r="AO15" s="1191"/>
      <c r="AP15" s="1191"/>
      <c r="AQ15" s="1191"/>
      <c r="AR15" s="1193"/>
    </row>
    <row r="16" spans="1:44" outlineLevel="1">
      <c r="B16" s="383" t="s">
        <v>11</v>
      </c>
      <c r="C16" s="397">
        <v>20</v>
      </c>
      <c r="D16" s="397">
        <v>20</v>
      </c>
      <c r="E16" s="397">
        <v>20</v>
      </c>
      <c r="F16" s="397">
        <v>20</v>
      </c>
      <c r="G16" s="398">
        <v>15</v>
      </c>
      <c r="H16" s="398">
        <v>30</v>
      </c>
      <c r="I16" s="398">
        <v>15</v>
      </c>
      <c r="J16" s="398">
        <v>30</v>
      </c>
      <c r="K16" s="372" t="s">
        <v>76</v>
      </c>
      <c r="L16" s="373"/>
      <c r="M16" s="363"/>
      <c r="N16" s="363"/>
      <c r="P16" s="1195"/>
      <c r="Q16" s="1155"/>
      <c r="R16" s="395" t="s">
        <v>741</v>
      </c>
      <c r="S16" s="396" t="s">
        <v>738</v>
      </c>
      <c r="T16" s="1191"/>
      <c r="U16" s="1191"/>
      <c r="V16" s="1191"/>
      <c r="W16" s="1191"/>
      <c r="X16" s="1191"/>
      <c r="Y16" s="1191"/>
      <c r="Z16" s="1191"/>
      <c r="AA16" s="1191"/>
      <c r="AB16" s="1191"/>
      <c r="AC16" s="1193"/>
      <c r="AE16" s="1195"/>
      <c r="AF16" s="1155"/>
      <c r="AG16" s="395" t="s">
        <v>741</v>
      </c>
      <c r="AH16" s="629" t="str">
        <f>S16</f>
        <v>x</v>
      </c>
      <c r="AI16" s="1191"/>
      <c r="AJ16" s="1191"/>
      <c r="AK16" s="1191"/>
      <c r="AL16" s="1191"/>
      <c r="AM16" s="1191"/>
      <c r="AN16" s="1191"/>
      <c r="AO16" s="1191"/>
      <c r="AP16" s="1191"/>
      <c r="AQ16" s="1191"/>
      <c r="AR16" s="1193"/>
    </row>
    <row r="17" spans="1:44" ht="16" outlineLevel="1" thickBot="1">
      <c r="B17" s="376" t="s">
        <v>273</v>
      </c>
      <c r="C17" s="399">
        <v>0.6</v>
      </c>
      <c r="D17" s="399">
        <v>0.6</v>
      </c>
      <c r="E17" s="399">
        <v>0.6</v>
      </c>
      <c r="F17" s="399">
        <v>0.6</v>
      </c>
      <c r="G17" s="399">
        <v>0.4</v>
      </c>
      <c r="H17" s="399">
        <v>0.8</v>
      </c>
      <c r="I17" s="399">
        <v>0.4</v>
      </c>
      <c r="J17" s="399">
        <v>0.8</v>
      </c>
      <c r="K17" s="372" t="s">
        <v>25</v>
      </c>
      <c r="L17" s="400"/>
      <c r="M17" s="363"/>
      <c r="N17" s="363"/>
      <c r="P17" s="1195"/>
      <c r="Q17" s="1155"/>
      <c r="R17" s="395" t="s">
        <v>742</v>
      </c>
      <c r="S17" s="396" t="s">
        <v>738</v>
      </c>
      <c r="T17" s="1191"/>
      <c r="U17" s="1191"/>
      <c r="V17" s="1191"/>
      <c r="W17" s="1191"/>
      <c r="X17" s="1191"/>
      <c r="Y17" s="1191"/>
      <c r="Z17" s="1191"/>
      <c r="AA17" s="1191"/>
      <c r="AB17" s="1191"/>
      <c r="AC17" s="1193"/>
      <c r="AE17" s="1195"/>
      <c r="AF17" s="1155"/>
      <c r="AG17" s="395" t="s">
        <v>742</v>
      </c>
      <c r="AH17" s="396" t="str">
        <f>S17</f>
        <v>x</v>
      </c>
      <c r="AI17" s="1191"/>
      <c r="AJ17" s="1191"/>
      <c r="AK17" s="1191"/>
      <c r="AL17" s="1191"/>
      <c r="AM17" s="1191"/>
      <c r="AN17" s="1191"/>
      <c r="AO17" s="1191"/>
      <c r="AP17" s="1191"/>
      <c r="AQ17" s="1191"/>
      <c r="AR17" s="1193"/>
    </row>
    <row r="18" spans="1:44" ht="16" outlineLevel="1" thickBot="1">
      <c r="B18" s="401" t="s">
        <v>743</v>
      </c>
      <c r="C18" s="402"/>
      <c r="D18" s="403"/>
      <c r="E18" s="404"/>
      <c r="F18" s="405"/>
      <c r="G18" s="406"/>
      <c r="H18" s="406"/>
      <c r="I18" s="406"/>
      <c r="J18" s="406"/>
      <c r="K18" s="407"/>
      <c r="L18" s="408"/>
      <c r="M18" s="363"/>
      <c r="N18" s="363"/>
      <c r="P18" s="1195"/>
      <c r="Q18" s="1156"/>
      <c r="R18" s="409" t="s">
        <v>863</v>
      </c>
      <c r="S18" s="410" t="s">
        <v>738</v>
      </c>
      <c r="T18" s="1192"/>
      <c r="U18" s="1192"/>
      <c r="V18" s="1192"/>
      <c r="W18" s="1192"/>
      <c r="X18" s="1192"/>
      <c r="Y18" s="1192"/>
      <c r="Z18" s="1192"/>
      <c r="AA18" s="1192"/>
      <c r="AB18" s="1192"/>
      <c r="AC18" s="1194"/>
      <c r="AE18" s="1195"/>
      <c r="AF18" s="1156"/>
      <c r="AG18" s="409" t="s">
        <v>863</v>
      </c>
      <c r="AH18" s="410" t="str">
        <f>S18</f>
        <v>x</v>
      </c>
      <c r="AI18" s="1192"/>
      <c r="AJ18" s="1192"/>
      <c r="AK18" s="1192"/>
      <c r="AL18" s="1192"/>
      <c r="AM18" s="1192"/>
      <c r="AN18" s="1192"/>
      <c r="AO18" s="1192"/>
      <c r="AP18" s="1192"/>
      <c r="AQ18" s="1192"/>
      <c r="AR18" s="1194"/>
    </row>
    <row r="19" spans="1:44" ht="33" outlineLevel="1" thickBot="1">
      <c r="B19" s="376" t="s">
        <v>663</v>
      </c>
      <c r="C19" s="390"/>
      <c r="D19" s="390"/>
      <c r="E19" s="390"/>
      <c r="F19" s="390"/>
      <c r="G19" s="391"/>
      <c r="H19" s="391"/>
      <c r="I19" s="391"/>
      <c r="J19" s="391"/>
      <c r="K19" s="379"/>
      <c r="L19" s="380">
        <v>1</v>
      </c>
      <c r="M19" s="363"/>
      <c r="N19" s="363"/>
      <c r="P19" s="1196"/>
      <c r="Q19" s="411" t="s">
        <v>745</v>
      </c>
      <c r="R19" s="412" t="s">
        <v>746</v>
      </c>
      <c r="S19" s="630" t="s">
        <v>738</v>
      </c>
      <c r="T19" s="416">
        <v>1</v>
      </c>
      <c r="U19" s="415">
        <v>1</v>
      </c>
      <c r="V19" s="416">
        <v>1</v>
      </c>
      <c r="W19" s="415">
        <v>1</v>
      </c>
      <c r="X19" s="416">
        <v>1</v>
      </c>
      <c r="Y19" s="415">
        <v>1</v>
      </c>
      <c r="Z19" s="416">
        <v>1</v>
      </c>
      <c r="AA19" s="415">
        <v>1</v>
      </c>
      <c r="AB19" s="416">
        <v>1</v>
      </c>
      <c r="AC19" s="417">
        <v>1</v>
      </c>
      <c r="AE19" s="1196"/>
      <c r="AF19" s="411" t="s">
        <v>745</v>
      </c>
      <c r="AG19" s="1249" t="s">
        <v>746</v>
      </c>
      <c r="AH19" s="1250" t="s">
        <v>738</v>
      </c>
      <c r="AI19" s="416">
        <v>1</v>
      </c>
      <c r="AJ19" s="415">
        <v>1</v>
      </c>
      <c r="AK19" s="416">
        <v>1</v>
      </c>
      <c r="AL19" s="415">
        <v>1</v>
      </c>
      <c r="AM19" s="416">
        <v>1</v>
      </c>
      <c r="AN19" s="415">
        <v>1</v>
      </c>
      <c r="AO19" s="416">
        <v>1</v>
      </c>
      <c r="AP19" s="415">
        <v>1</v>
      </c>
      <c r="AQ19" s="416">
        <v>1</v>
      </c>
      <c r="AR19" s="417">
        <v>1</v>
      </c>
    </row>
    <row r="20" spans="1:44" outlineLevel="1">
      <c r="B20" s="376" t="s">
        <v>664</v>
      </c>
      <c r="C20" s="390">
        <v>0.5</v>
      </c>
      <c r="D20" s="390">
        <v>0.5</v>
      </c>
      <c r="E20" s="390">
        <v>0.5</v>
      </c>
      <c r="F20" s="390">
        <v>0.5</v>
      </c>
      <c r="G20" s="418"/>
      <c r="H20" s="418"/>
      <c r="I20" s="418"/>
      <c r="J20" s="418"/>
      <c r="K20" s="419" t="s">
        <v>76</v>
      </c>
      <c r="L20" s="380"/>
      <c r="M20" s="363"/>
      <c r="N20" s="363"/>
    </row>
    <row r="21" spans="1:44" outlineLevel="1">
      <c r="B21" s="376" t="s">
        <v>666</v>
      </c>
      <c r="C21" s="390">
        <v>1</v>
      </c>
      <c r="D21" s="390">
        <v>1</v>
      </c>
      <c r="E21" s="390">
        <v>1</v>
      </c>
      <c r="F21" s="390">
        <v>1</v>
      </c>
      <c r="G21" s="418"/>
      <c r="H21" s="418"/>
      <c r="I21" s="418"/>
      <c r="J21" s="418"/>
      <c r="K21" s="419" t="s">
        <v>76</v>
      </c>
      <c r="L21" s="380"/>
      <c r="M21" s="420"/>
      <c r="N21" s="363"/>
    </row>
    <row r="22" spans="1:44" outlineLevel="1">
      <c r="B22" s="421" t="s">
        <v>12</v>
      </c>
      <c r="C22" s="399"/>
      <c r="D22" s="399"/>
      <c r="E22" s="399"/>
      <c r="F22" s="399"/>
      <c r="G22" s="422"/>
      <c r="H22" s="422"/>
      <c r="I22" s="422"/>
      <c r="J22" s="422"/>
      <c r="K22" s="423"/>
      <c r="L22" s="424"/>
      <c r="M22" s="420"/>
      <c r="N22" s="420"/>
    </row>
    <row r="23" spans="1:44" ht="38.25" customHeight="1" outlineLevel="1">
      <c r="B23" s="383" t="s">
        <v>843</v>
      </c>
      <c r="C23" s="1231" t="s">
        <v>669</v>
      </c>
      <c r="D23" s="1232"/>
      <c r="E23" s="1232"/>
      <c r="F23" s="1233"/>
      <c r="G23" s="422"/>
      <c r="H23" s="425"/>
      <c r="I23" s="425"/>
      <c r="J23" s="425"/>
      <c r="K23" s="426"/>
      <c r="L23" s="427"/>
      <c r="M23" s="428"/>
      <c r="N23" s="428"/>
    </row>
    <row r="24" spans="1:44" outlineLevel="1">
      <c r="B24" s="383" t="s">
        <v>749</v>
      </c>
      <c r="C24" s="1234"/>
      <c r="D24" s="1235"/>
      <c r="E24" s="1235"/>
      <c r="F24" s="1236"/>
      <c r="G24" s="425"/>
      <c r="H24" s="425"/>
      <c r="I24" s="425"/>
      <c r="J24" s="425"/>
      <c r="K24" s="423"/>
      <c r="L24" s="427"/>
      <c r="M24" s="428"/>
      <c r="N24" s="428"/>
    </row>
    <row r="25" spans="1:44" outlineLevel="1">
      <c r="B25" s="383" t="s">
        <v>844</v>
      </c>
      <c r="C25" s="1234"/>
      <c r="D25" s="1235"/>
      <c r="E25" s="1235"/>
      <c r="F25" s="1236"/>
      <c r="G25" s="425"/>
      <c r="H25" s="425"/>
      <c r="I25" s="425"/>
      <c r="J25" s="425"/>
      <c r="K25" s="423"/>
      <c r="L25" s="427"/>
      <c r="M25" s="428"/>
      <c r="N25" s="428"/>
    </row>
    <row r="26" spans="1:44" outlineLevel="1">
      <c r="B26" s="383" t="s">
        <v>366</v>
      </c>
      <c r="C26" s="1234"/>
      <c r="D26" s="1235"/>
      <c r="E26" s="1235"/>
      <c r="F26" s="1236"/>
      <c r="G26" s="425"/>
      <c r="H26" s="425"/>
      <c r="I26" s="425"/>
      <c r="J26" s="425"/>
      <c r="K26" s="423"/>
      <c r="L26" s="427"/>
      <c r="M26" s="428"/>
      <c r="N26" s="428"/>
    </row>
    <row r="27" spans="1:44" ht="16" outlineLevel="1" thickBot="1">
      <c r="B27" s="429" t="s">
        <v>367</v>
      </c>
      <c r="C27" s="1237"/>
      <c r="D27" s="1238"/>
      <c r="E27" s="1238"/>
      <c r="F27" s="1239"/>
      <c r="G27" s="425"/>
      <c r="H27" s="425"/>
      <c r="I27" s="425"/>
      <c r="J27" s="425"/>
      <c r="K27" s="423"/>
      <c r="L27" s="427"/>
      <c r="M27" s="428"/>
      <c r="N27" s="428"/>
    </row>
    <row r="28" spans="1:44" ht="16" outlineLevel="1" thickBot="1">
      <c r="B28" s="431" t="s">
        <v>674</v>
      </c>
      <c r="C28" s="432"/>
      <c r="D28" s="403"/>
      <c r="E28" s="403"/>
      <c r="F28" s="433"/>
      <c r="G28" s="434"/>
      <c r="H28" s="406"/>
      <c r="I28" s="406"/>
      <c r="J28" s="406"/>
      <c r="K28" s="407"/>
      <c r="L28" s="408"/>
      <c r="M28" s="428"/>
      <c r="N28" s="428"/>
    </row>
    <row r="29" spans="1:44" ht="52" customHeight="1" outlineLevel="1">
      <c r="A29" s="435"/>
      <c r="B29" s="436" t="s">
        <v>751</v>
      </c>
      <c r="C29" s="551">
        <v>1.6320658640726422</v>
      </c>
      <c r="D29" s="647">
        <v>1.3230944850997819</v>
      </c>
      <c r="E29" s="647">
        <v>1.0369854809541614</v>
      </c>
      <c r="F29" s="648">
        <v>0.93368259858177483</v>
      </c>
      <c r="G29" s="425"/>
      <c r="H29" s="425"/>
      <c r="I29" s="425"/>
      <c r="J29" s="425"/>
      <c r="K29" s="426" t="s">
        <v>33</v>
      </c>
      <c r="L29" s="440"/>
      <c r="M29" s="420"/>
      <c r="N29" s="420"/>
    </row>
    <row r="30" spans="1:44" outlineLevel="1">
      <c r="B30" s="441" t="s">
        <v>839</v>
      </c>
      <c r="C30" s="442">
        <v>50</v>
      </c>
      <c r="D30" s="442">
        <v>50</v>
      </c>
      <c r="E30" s="442">
        <v>50</v>
      </c>
      <c r="F30" s="442">
        <v>50</v>
      </c>
      <c r="G30" s="425"/>
      <c r="H30" s="425"/>
      <c r="I30" s="425"/>
      <c r="J30" s="425"/>
      <c r="K30" s="444" t="s">
        <v>51</v>
      </c>
      <c r="L30" s="373"/>
      <c r="M30" s="71"/>
      <c r="N30" s="420"/>
    </row>
    <row r="31" spans="1:44" outlineLevel="1">
      <c r="B31" s="441" t="s">
        <v>840</v>
      </c>
      <c r="C31" s="442">
        <v>50</v>
      </c>
      <c r="D31" s="442">
        <v>50</v>
      </c>
      <c r="E31" s="442">
        <v>50</v>
      </c>
      <c r="F31" s="442">
        <v>50</v>
      </c>
      <c r="G31" s="425"/>
      <c r="H31" s="425"/>
      <c r="I31" s="425"/>
      <c r="J31" s="425"/>
      <c r="K31" s="444" t="s">
        <v>52</v>
      </c>
      <c r="L31" s="373"/>
      <c r="M31" s="420"/>
      <c r="N31" s="420"/>
    </row>
    <row r="32" spans="1:44" outlineLevel="1">
      <c r="B32" s="383" t="s">
        <v>841</v>
      </c>
      <c r="C32" s="445">
        <v>2000</v>
      </c>
      <c r="D32" s="446">
        <v>2000</v>
      </c>
      <c r="E32" s="446">
        <v>2000</v>
      </c>
      <c r="F32" s="447">
        <v>2000</v>
      </c>
      <c r="G32" s="425"/>
      <c r="H32" s="425"/>
      <c r="I32" s="425"/>
      <c r="J32" s="425"/>
      <c r="K32" s="448" t="s">
        <v>76</v>
      </c>
      <c r="L32" s="373"/>
      <c r="M32" s="420"/>
      <c r="N32" s="420"/>
    </row>
    <row r="33" spans="2:30" ht="37" customHeight="1" outlineLevel="1" thickBot="1">
      <c r="B33" s="383" t="s">
        <v>679</v>
      </c>
      <c r="C33" s="449">
        <f>C34+C35</f>
        <v>3.4400000000000004</v>
      </c>
      <c r="D33" s="449">
        <f t="shared" ref="D33:F33" si="1">D34+D35</f>
        <v>3.37</v>
      </c>
      <c r="E33" s="449">
        <f t="shared" si="1"/>
        <v>3.335</v>
      </c>
      <c r="F33" s="449">
        <f t="shared" si="1"/>
        <v>3.2800000000000002</v>
      </c>
      <c r="G33" s="425"/>
      <c r="H33" s="425"/>
      <c r="I33" s="425"/>
      <c r="J33" s="425"/>
      <c r="K33" s="448"/>
      <c r="L33" s="373"/>
      <c r="M33" s="450"/>
      <c r="N33" s="361"/>
      <c r="P33" s="1142">
        <f>C33</f>
        <v>3.4400000000000004</v>
      </c>
      <c r="Q33" s="1143"/>
      <c r="R33" s="1143"/>
      <c r="S33" s="1143"/>
      <c r="T33" s="1143"/>
      <c r="U33" s="1144"/>
    </row>
    <row r="34" spans="2:30" ht="15.75" customHeight="1" outlineLevel="1" thickBot="1">
      <c r="B34" s="451" t="s">
        <v>758</v>
      </c>
      <c r="C34" s="452">
        <f>C13/100*73</f>
        <v>1.46</v>
      </c>
      <c r="D34" s="452">
        <f>D13/100*75</f>
        <v>1.5</v>
      </c>
      <c r="E34" s="452">
        <f>E13/100*76</f>
        <v>1.52</v>
      </c>
      <c r="F34" s="452">
        <f>F13/100*76</f>
        <v>1.52</v>
      </c>
      <c r="G34" s="453"/>
      <c r="H34" s="453"/>
      <c r="I34" s="453"/>
      <c r="J34" s="453"/>
      <c r="K34" s="379" t="s">
        <v>55</v>
      </c>
      <c r="L34" s="380"/>
      <c r="M34" s="450"/>
      <c r="N34" s="361"/>
      <c r="P34" s="1134">
        <f>C34</f>
        <v>1.46</v>
      </c>
      <c r="Q34" s="1135"/>
      <c r="R34" s="1135"/>
      <c r="S34" s="1135"/>
      <c r="T34" s="1135"/>
      <c r="U34" s="1136"/>
    </row>
    <row r="35" spans="2:30" outlineLevel="1">
      <c r="B35" s="451" t="s">
        <v>759</v>
      </c>
      <c r="C35" s="454">
        <v>1.9800000000000002</v>
      </c>
      <c r="D35" s="454">
        <v>1.87</v>
      </c>
      <c r="E35" s="454">
        <v>1.8149999999999999</v>
      </c>
      <c r="F35" s="454">
        <v>1.7600000000000002</v>
      </c>
      <c r="G35" s="453"/>
      <c r="H35" s="453"/>
      <c r="I35" s="453"/>
      <c r="J35" s="453"/>
      <c r="K35" s="455" t="s">
        <v>49</v>
      </c>
      <c r="L35" s="380"/>
      <c r="M35" s="363"/>
      <c r="N35" s="363"/>
      <c r="P35" s="53" t="s">
        <v>357</v>
      </c>
    </row>
    <row r="36" spans="2:30" ht="30" outlineLevel="1">
      <c r="B36" s="441"/>
      <c r="C36" s="642"/>
      <c r="D36" s="642"/>
      <c r="E36" s="642"/>
      <c r="F36" s="642"/>
      <c r="G36" s="425"/>
      <c r="H36" s="425"/>
      <c r="I36" s="425"/>
      <c r="J36" s="425"/>
      <c r="K36" s="444"/>
      <c r="L36" s="424"/>
      <c r="M36" s="367"/>
      <c r="N36" s="367"/>
      <c r="P36" s="46" t="s">
        <v>335</v>
      </c>
      <c r="Q36" s="46" t="s">
        <v>336</v>
      </c>
      <c r="R36" s="47" t="s">
        <v>337</v>
      </c>
      <c r="S36" s="47" t="s">
        <v>338</v>
      </c>
      <c r="T36" s="47" t="s">
        <v>339</v>
      </c>
      <c r="U36" s="48" t="s">
        <v>340</v>
      </c>
      <c r="V36" s="49" t="s">
        <v>341</v>
      </c>
      <c r="W36" s="49" t="s">
        <v>342</v>
      </c>
      <c r="X36" s="49" t="s">
        <v>343</v>
      </c>
      <c r="Y36" s="49" t="s">
        <v>344</v>
      </c>
      <c r="Z36" s="49" t="s">
        <v>345</v>
      </c>
      <c r="AA36" s="49" t="s">
        <v>346</v>
      </c>
      <c r="AB36" s="49" t="s">
        <v>347</v>
      </c>
      <c r="AC36" s="49" t="s">
        <v>348</v>
      </c>
      <c r="AD36" s="49" t="s">
        <v>349</v>
      </c>
    </row>
    <row r="37" spans="2:30" ht="35" customHeight="1" outlineLevel="1" thickBot="1">
      <c r="B37" s="441"/>
      <c r="C37" s="442"/>
      <c r="D37" s="457"/>
      <c r="E37" s="457"/>
      <c r="F37" s="458"/>
      <c r="G37" s="425"/>
      <c r="H37" s="425"/>
      <c r="I37" s="425"/>
      <c r="J37" s="425"/>
      <c r="K37" s="448"/>
      <c r="L37" s="424"/>
      <c r="M37" s="363"/>
      <c r="N37" s="363"/>
      <c r="P37" s="50"/>
      <c r="Q37" s="50"/>
      <c r="R37" s="51"/>
      <c r="S37" s="51"/>
      <c r="T37" s="51"/>
      <c r="U37" s="51" t="s">
        <v>760</v>
      </c>
      <c r="V37" s="50" t="s">
        <v>761</v>
      </c>
      <c r="W37" s="50"/>
      <c r="X37" s="50"/>
      <c r="Y37" s="50"/>
      <c r="Z37" s="50"/>
      <c r="AA37" s="50"/>
      <c r="AB37" s="50"/>
      <c r="AC37" s="50"/>
      <c r="AD37" s="50"/>
    </row>
    <row r="38" spans="2:30" ht="73" customHeight="1" outlineLevel="1" thickBot="1">
      <c r="B38" s="401" t="s">
        <v>682</v>
      </c>
      <c r="C38" s="402"/>
      <c r="D38" s="403"/>
      <c r="E38" s="404"/>
      <c r="F38" s="405"/>
      <c r="G38" s="406"/>
      <c r="H38" s="406"/>
      <c r="I38" s="406"/>
      <c r="J38" s="406"/>
      <c r="K38" s="459"/>
      <c r="L38" s="460"/>
      <c r="M38" s="363"/>
      <c r="N38" s="363"/>
      <c r="O38" s="461" t="s">
        <v>732</v>
      </c>
      <c r="P38" s="56"/>
      <c r="Q38" s="56"/>
      <c r="R38" s="57"/>
      <c r="S38" s="57"/>
      <c r="T38" s="57"/>
      <c r="U38" s="56" t="s">
        <v>350</v>
      </c>
      <c r="V38" s="56" t="s">
        <v>326</v>
      </c>
      <c r="W38" s="56" t="s">
        <v>327</v>
      </c>
      <c r="X38" s="56" t="s">
        <v>351</v>
      </c>
      <c r="Y38" s="56" t="s">
        <v>351</v>
      </c>
      <c r="Z38" s="56" t="s">
        <v>352</v>
      </c>
      <c r="AA38" s="56" t="s">
        <v>352</v>
      </c>
      <c r="AB38" s="56" t="s">
        <v>352</v>
      </c>
      <c r="AC38" s="56" t="s">
        <v>352</v>
      </c>
      <c r="AD38" s="56" t="s">
        <v>352</v>
      </c>
    </row>
    <row r="39" spans="2:30" outlineLevel="1">
      <c r="B39" s="451" t="s">
        <v>762</v>
      </c>
      <c r="C39" s="633">
        <v>0.32641317281452847</v>
      </c>
      <c r="D39" s="633">
        <v>0.26461889701995639</v>
      </c>
      <c r="E39" s="633">
        <v>0.2073970961908323</v>
      </c>
      <c r="F39" s="633">
        <v>0.18673651971635497</v>
      </c>
      <c r="G39" s="643"/>
      <c r="H39" s="643"/>
      <c r="I39" s="643"/>
      <c r="J39" s="643"/>
      <c r="K39" s="643" t="s">
        <v>374</v>
      </c>
      <c r="L39" s="464"/>
      <c r="M39" s="363"/>
      <c r="N39" s="363"/>
      <c r="O39" s="465">
        <f>C12</f>
        <v>193</v>
      </c>
      <c r="P39" s="466">
        <f>C8</f>
        <v>2020</v>
      </c>
      <c r="Q39" s="58">
        <f>P39</f>
        <v>2020</v>
      </c>
      <c r="R39" s="466">
        <f>O39/100</f>
        <v>1.93</v>
      </c>
      <c r="S39" s="58"/>
      <c r="T39" s="466">
        <f>C16</f>
        <v>20</v>
      </c>
      <c r="U39" s="467">
        <f>C46</f>
        <v>12158.890687341185</v>
      </c>
      <c r="V39" s="467">
        <f>C48</f>
        <v>14.9</v>
      </c>
      <c r="W39" s="467">
        <f>C49</f>
        <v>7.1188888888888897</v>
      </c>
      <c r="X39" s="58"/>
      <c r="Y39" s="58"/>
      <c r="Z39" s="466" t="str">
        <f>C23</f>
        <v>Cf. the utilized electricity</v>
      </c>
      <c r="AA39" s="468">
        <f>C25</f>
        <v>0</v>
      </c>
      <c r="AB39" s="468">
        <f>C26</f>
        <v>0</v>
      </c>
      <c r="AC39" s="468">
        <f>C27</f>
        <v>0</v>
      </c>
      <c r="AD39" s="468">
        <f>C24</f>
        <v>0</v>
      </c>
    </row>
    <row r="40" spans="2:30" ht="14.5" customHeight="1" outlineLevel="1">
      <c r="B40" s="376" t="s">
        <v>763</v>
      </c>
      <c r="C40" s="469" t="s">
        <v>36</v>
      </c>
      <c r="D40" s="470" t="s">
        <v>36</v>
      </c>
      <c r="E40" s="470" t="s">
        <v>36</v>
      </c>
      <c r="F40" s="471" t="s">
        <v>36</v>
      </c>
      <c r="G40" s="471"/>
      <c r="H40" s="471"/>
      <c r="I40" s="471"/>
      <c r="J40" s="471"/>
      <c r="K40" s="472" t="s">
        <v>886</v>
      </c>
      <c r="L40" s="464"/>
      <c r="M40" s="363"/>
      <c r="N40" s="363"/>
      <c r="O40" s="465">
        <f>D12</f>
        <v>198.94</v>
      </c>
      <c r="P40" s="466">
        <f>D8</f>
        <v>2030</v>
      </c>
      <c r="Q40" s="58"/>
      <c r="R40" s="466">
        <f>O40/100</f>
        <v>1.9894000000000001</v>
      </c>
      <c r="S40" s="58"/>
      <c r="T40" s="466">
        <f>D16</f>
        <v>20</v>
      </c>
      <c r="U40" s="467">
        <f>D46</f>
        <v>9857.0539139933753</v>
      </c>
      <c r="V40" s="467">
        <f>D48</f>
        <v>14.9</v>
      </c>
      <c r="W40" s="467">
        <f>D49</f>
        <v>6.9740277777777777</v>
      </c>
      <c r="X40" s="58"/>
      <c r="Y40" s="58"/>
      <c r="Z40" s="466">
        <f>D23</f>
        <v>0</v>
      </c>
      <c r="AA40" s="468">
        <f>D25</f>
        <v>0</v>
      </c>
      <c r="AB40" s="468">
        <f>D26</f>
        <v>0</v>
      </c>
      <c r="AC40" s="468">
        <f>D27</f>
        <v>0</v>
      </c>
      <c r="AD40" s="468">
        <f>D24</f>
        <v>0</v>
      </c>
    </row>
    <row r="41" spans="2:30" outlineLevel="1">
      <c r="B41" s="376" t="s">
        <v>764</v>
      </c>
      <c r="C41" s="469" t="s">
        <v>36</v>
      </c>
      <c r="D41" s="470" t="s">
        <v>36</v>
      </c>
      <c r="E41" s="470" t="s">
        <v>36</v>
      </c>
      <c r="F41" s="471" t="s">
        <v>36</v>
      </c>
      <c r="G41" s="453"/>
      <c r="H41" s="453"/>
      <c r="I41" s="453"/>
      <c r="J41" s="453"/>
      <c r="K41" s="453"/>
      <c r="L41" s="380"/>
      <c r="M41" s="363"/>
      <c r="N41" s="363"/>
      <c r="O41" s="465">
        <f>E12</f>
        <v>203.0188</v>
      </c>
      <c r="P41" s="466">
        <f>E8</f>
        <v>2040</v>
      </c>
      <c r="Q41" s="58"/>
      <c r="R41" s="466">
        <f>O41/100</f>
        <v>2.0301879999999999</v>
      </c>
      <c r="S41" s="58"/>
      <c r="T41" s="466">
        <f>E16</f>
        <v>20</v>
      </c>
      <c r="U41" s="467">
        <f>E46</f>
        <v>7725.5418331085029</v>
      </c>
      <c r="V41" s="467">
        <f>E48</f>
        <v>14.9</v>
      </c>
      <c r="W41" s="467">
        <f>E49</f>
        <v>6.9015972222222217</v>
      </c>
      <c r="X41" s="58"/>
      <c r="Y41" s="58"/>
      <c r="Z41" s="466">
        <f>E23</f>
        <v>0</v>
      </c>
      <c r="AA41" s="468">
        <f>E25</f>
        <v>0</v>
      </c>
      <c r="AB41" s="468">
        <f>E26</f>
        <v>0</v>
      </c>
      <c r="AC41" s="468">
        <f>E27</f>
        <v>0</v>
      </c>
      <c r="AD41" s="468">
        <f>E24</f>
        <v>0</v>
      </c>
    </row>
    <row r="42" spans="2:30" ht="14.5" customHeight="1" outlineLevel="1">
      <c r="B42" s="376" t="s">
        <v>765</v>
      </c>
      <c r="C42" s="1240" t="s">
        <v>669</v>
      </c>
      <c r="D42" s="1241"/>
      <c r="E42" s="1241"/>
      <c r="F42" s="1242"/>
      <c r="G42" s="474"/>
      <c r="H42" s="474"/>
      <c r="I42" s="474"/>
      <c r="J42" s="474"/>
      <c r="K42" s="474"/>
      <c r="L42" s="380"/>
      <c r="M42" s="363"/>
      <c r="N42" s="363"/>
      <c r="O42" s="465">
        <f>F12</f>
        <v>205.09898799999999</v>
      </c>
      <c r="P42" s="466">
        <f>F8</f>
        <v>2050</v>
      </c>
      <c r="Q42" s="58"/>
      <c r="R42" s="466">
        <f>O42/100</f>
        <v>2.0509898799999999</v>
      </c>
      <c r="S42" s="58"/>
      <c r="T42" s="466">
        <f>F16</f>
        <v>20</v>
      </c>
      <c r="U42" s="467">
        <f>F46</f>
        <v>6955.9353594342228</v>
      </c>
      <c r="V42" s="467">
        <f>F48</f>
        <v>14.9</v>
      </c>
      <c r="W42" s="467">
        <f>F49</f>
        <v>6.7877777777777784</v>
      </c>
      <c r="X42" s="58"/>
      <c r="Y42" s="58"/>
      <c r="Z42" s="466">
        <f>F23</f>
        <v>0</v>
      </c>
      <c r="AA42" s="468">
        <f>F25</f>
        <v>0</v>
      </c>
      <c r="AB42" s="468">
        <f>F26</f>
        <v>0</v>
      </c>
      <c r="AC42" s="468">
        <f>F27</f>
        <v>0</v>
      </c>
      <c r="AD42" s="468">
        <f>F24</f>
        <v>0</v>
      </c>
    </row>
    <row r="43" spans="2:30" outlineLevel="1">
      <c r="B43" s="475" t="s">
        <v>766</v>
      </c>
      <c r="C43" s="469">
        <v>30</v>
      </c>
      <c r="D43" s="470">
        <v>30</v>
      </c>
      <c r="E43" s="470">
        <v>30</v>
      </c>
      <c r="F43" s="471">
        <v>30</v>
      </c>
      <c r="G43" s="474"/>
      <c r="H43" s="474"/>
      <c r="I43" s="474"/>
      <c r="J43" s="474"/>
      <c r="K43" s="474" t="s">
        <v>887</v>
      </c>
      <c r="L43" s="476"/>
      <c r="M43" s="367"/>
      <c r="N43" s="367"/>
    </row>
    <row r="44" spans="2:30" outlineLevel="1">
      <c r="B44" s="475" t="s">
        <v>767</v>
      </c>
      <c r="C44" s="469">
        <v>20</v>
      </c>
      <c r="D44" s="470">
        <v>20</v>
      </c>
      <c r="E44" s="470">
        <v>20</v>
      </c>
      <c r="F44" s="471">
        <v>20</v>
      </c>
      <c r="G44" s="474"/>
      <c r="H44" s="474"/>
      <c r="I44" s="474"/>
      <c r="J44" s="474"/>
      <c r="K44" s="474" t="s">
        <v>887</v>
      </c>
      <c r="L44" s="476"/>
      <c r="M44" s="363"/>
      <c r="N44" s="363"/>
    </row>
    <row r="45" spans="2:30" ht="16" outlineLevel="1" thickBot="1">
      <c r="B45" s="477" t="s">
        <v>768</v>
      </c>
      <c r="C45" s="644" t="s">
        <v>36</v>
      </c>
      <c r="D45" s="645" t="s">
        <v>36</v>
      </c>
      <c r="E45" s="645" t="s">
        <v>36</v>
      </c>
      <c r="F45" s="646" t="s">
        <v>36</v>
      </c>
      <c r="G45" s="481"/>
      <c r="H45" s="481"/>
      <c r="I45" s="481"/>
      <c r="J45" s="481"/>
      <c r="K45" s="481"/>
      <c r="L45" s="482"/>
      <c r="M45" s="363"/>
      <c r="N45" s="363"/>
    </row>
    <row r="46" spans="2:30" ht="64" outlineLevel="1">
      <c r="B46" s="461" t="s">
        <v>769</v>
      </c>
      <c r="C46" s="483">
        <f>C29*$F$4*1000</f>
        <v>12158.890687341185</v>
      </c>
      <c r="D46" s="483">
        <f t="shared" ref="D46:F46" si="2">D29*$F$4*1000</f>
        <v>9857.0539139933753</v>
      </c>
      <c r="E46" s="483">
        <f t="shared" si="2"/>
        <v>7725.5418331085029</v>
      </c>
      <c r="F46" s="483">
        <f t="shared" si="2"/>
        <v>6955.9353594342228</v>
      </c>
      <c r="G46" s="483"/>
      <c r="H46" s="484"/>
      <c r="I46" s="420" t="s">
        <v>332</v>
      </c>
      <c r="J46" s="420"/>
      <c r="K46" s="484"/>
      <c r="L46" s="484"/>
      <c r="N46" s="420"/>
    </row>
    <row r="47" spans="2:30" outlineLevel="1">
      <c r="B47" s="485" t="s">
        <v>770</v>
      </c>
      <c r="C47" s="486">
        <f>C46*$I47</f>
        <v>6079445.3436705926</v>
      </c>
      <c r="D47" s="486">
        <f>D46*$I47</f>
        <v>4928526.9569966877</v>
      </c>
      <c r="E47" s="486">
        <f>E46*$I47</f>
        <v>3862770.9165542517</v>
      </c>
      <c r="F47" s="486">
        <f>F46*$I47</f>
        <v>3477967.6797171114</v>
      </c>
      <c r="G47" s="486"/>
      <c r="H47" s="484"/>
      <c r="I47" s="71">
        <v>500</v>
      </c>
      <c r="J47" s="420" t="s">
        <v>330</v>
      </c>
      <c r="K47" s="484"/>
      <c r="L47" s="484"/>
      <c r="N47" s="420"/>
    </row>
    <row r="48" spans="2:30" ht="48" outlineLevel="1">
      <c r="B48" s="461" t="s">
        <v>845</v>
      </c>
      <c r="C48" s="359">
        <f>C32*$F$4/1000</f>
        <v>14.9</v>
      </c>
      <c r="D48" s="359">
        <f t="shared" ref="D48:F48" si="3">D32*$F$4/1000</f>
        <v>14.9</v>
      </c>
      <c r="E48" s="359">
        <f t="shared" si="3"/>
        <v>14.9</v>
      </c>
      <c r="F48" s="359">
        <f t="shared" si="3"/>
        <v>14.9</v>
      </c>
      <c r="G48" s="359"/>
      <c r="I48" s="420" t="s">
        <v>333</v>
      </c>
      <c r="J48" s="420"/>
      <c r="N48" s="420"/>
    </row>
    <row r="49" spans="2:14" ht="48" outlineLevel="1">
      <c r="B49" s="461" t="s">
        <v>846</v>
      </c>
      <c r="C49" s="487">
        <f>C33*$F$4/3.6</f>
        <v>7.1188888888888897</v>
      </c>
      <c r="D49" s="487">
        <f t="shared" ref="D49:F49" si="4">D33*$F$4/3.6</f>
        <v>6.9740277777777777</v>
      </c>
      <c r="E49" s="487">
        <f t="shared" si="4"/>
        <v>6.9015972222222217</v>
      </c>
      <c r="F49" s="487">
        <f t="shared" si="4"/>
        <v>6.7877777777777784</v>
      </c>
      <c r="G49" s="359"/>
      <c r="M49" s="420"/>
      <c r="N49" s="420"/>
    </row>
    <row r="50" spans="2:14" outlineLevel="1"/>
    <row r="51" spans="2:14" outlineLevel="1"/>
    <row r="52" spans="2:14" outlineLevel="1"/>
    <row r="53" spans="2:14" outlineLevel="1"/>
    <row r="54" spans="2:14" outlineLevel="1">
      <c r="E54" s="358"/>
      <c r="F54" s="358"/>
      <c r="G54" s="358"/>
      <c r="H54" s="358"/>
      <c r="I54" s="358"/>
      <c r="J54" s="358"/>
      <c r="K54" s="358"/>
      <c r="L54" s="358"/>
    </row>
    <row r="55" spans="2:14" outlineLevel="1">
      <c r="B55" s="664" t="s">
        <v>773</v>
      </c>
      <c r="E55" s="358"/>
      <c r="F55" s="358"/>
      <c r="G55" s="358"/>
      <c r="H55" s="358"/>
      <c r="I55" s="358"/>
      <c r="J55" s="358"/>
      <c r="K55" s="358"/>
      <c r="L55" s="358"/>
    </row>
    <row r="56" spans="2:14" outlineLevel="1">
      <c r="B56" s="490">
        <v>1</v>
      </c>
      <c r="C56" s="636" t="s">
        <v>888</v>
      </c>
      <c r="D56" s="490"/>
      <c r="F56" s="358"/>
      <c r="G56" s="358"/>
      <c r="H56" s="358"/>
      <c r="I56" s="358"/>
      <c r="J56" s="358"/>
      <c r="K56" s="358"/>
      <c r="L56" s="358"/>
    </row>
    <row r="57" spans="2:14" outlineLevel="1">
      <c r="B57" s="490">
        <v>2</v>
      </c>
      <c r="C57" s="490" t="s">
        <v>850</v>
      </c>
      <c r="D57" s="490"/>
      <c r="F57" s="358"/>
      <c r="G57" s="358"/>
      <c r="H57" s="358"/>
      <c r="I57" s="358"/>
      <c r="J57" s="358"/>
      <c r="K57" s="358"/>
      <c r="L57" s="358"/>
    </row>
    <row r="58" spans="2:14" outlineLevel="1">
      <c r="B58" s="490">
        <v>3</v>
      </c>
      <c r="C58" s="490" t="s">
        <v>889</v>
      </c>
      <c r="D58" s="490"/>
      <c r="F58" s="358"/>
      <c r="G58" s="358"/>
      <c r="H58" s="358"/>
      <c r="I58" s="358"/>
      <c r="J58" s="358"/>
      <c r="K58" s="358"/>
      <c r="L58" s="358"/>
    </row>
    <row r="59" spans="2:14" outlineLevel="1">
      <c r="B59" s="224" t="s">
        <v>783</v>
      </c>
      <c r="F59" s="358"/>
      <c r="G59" s="358"/>
      <c r="H59" s="358"/>
      <c r="I59" s="358"/>
      <c r="J59" s="358"/>
      <c r="K59" s="358"/>
      <c r="L59" s="358"/>
    </row>
    <row r="60" spans="2:14" outlineLevel="1">
      <c r="B60" s="665" t="s">
        <v>6</v>
      </c>
      <c r="C60" s="490" t="s">
        <v>890</v>
      </c>
      <c r="D60" s="490"/>
      <c r="F60" s="358"/>
      <c r="G60" s="358"/>
      <c r="H60" s="358"/>
      <c r="I60" s="358"/>
      <c r="J60" s="358"/>
      <c r="K60" s="358"/>
      <c r="L60" s="358"/>
    </row>
    <row r="61" spans="2:14" outlineLevel="1">
      <c r="B61" s="665" t="s">
        <v>59</v>
      </c>
      <c r="C61" s="490" t="s">
        <v>891</v>
      </c>
      <c r="D61" s="490"/>
      <c r="F61" s="358"/>
      <c r="G61" s="358"/>
      <c r="H61" s="358"/>
      <c r="I61" s="358"/>
      <c r="J61" s="358"/>
      <c r="K61" s="358"/>
      <c r="L61" s="358"/>
    </row>
    <row r="62" spans="2:14" outlineLevel="1">
      <c r="B62" s="666" t="s">
        <v>16</v>
      </c>
      <c r="C62" s="490" t="s">
        <v>892</v>
      </c>
      <c r="D62" s="490"/>
      <c r="F62" s="358"/>
      <c r="G62" s="358"/>
      <c r="H62" s="358"/>
      <c r="I62" s="358"/>
      <c r="J62" s="358"/>
      <c r="K62" s="358"/>
      <c r="L62" s="358"/>
    </row>
    <row r="63" spans="2:14" outlineLevel="1">
      <c r="B63" s="665" t="s">
        <v>20</v>
      </c>
      <c r="C63" s="490" t="s">
        <v>872</v>
      </c>
      <c r="D63" s="490"/>
      <c r="F63" s="358"/>
      <c r="G63" s="358"/>
      <c r="H63" s="358"/>
      <c r="I63" s="358"/>
      <c r="J63" s="358"/>
      <c r="K63" s="358"/>
      <c r="L63" s="358"/>
    </row>
    <row r="64" spans="2:14" outlineLevel="1">
      <c r="B64" s="665" t="s">
        <v>76</v>
      </c>
      <c r="C64" s="490" t="s">
        <v>893</v>
      </c>
      <c r="D64" s="490"/>
      <c r="F64" s="358"/>
      <c r="G64" s="358"/>
      <c r="H64" s="358"/>
      <c r="I64" s="358"/>
      <c r="J64" s="358"/>
      <c r="K64" s="358"/>
      <c r="L64" s="358"/>
    </row>
    <row r="65" spans="1:44" outlineLevel="1">
      <c r="B65" s="665" t="s">
        <v>25</v>
      </c>
      <c r="C65" s="490" t="s">
        <v>894</v>
      </c>
      <c r="D65" s="490"/>
      <c r="F65" s="358"/>
      <c r="G65" s="358"/>
      <c r="H65" s="358"/>
      <c r="I65" s="358"/>
      <c r="J65" s="358"/>
      <c r="K65" s="358"/>
      <c r="L65" s="358"/>
    </row>
    <row r="66" spans="1:44" outlineLevel="1">
      <c r="B66" s="665" t="s">
        <v>33</v>
      </c>
      <c r="C66" s="490" t="str">
        <f>"From ["&amp;B57&amp;"], cost correlations and learing curves ["&amp;B58&amp;"] (Not commercially avaiable at the moment)"</f>
        <v>From [2], cost correlations and learing curves [3] (Not commercially avaiable at the moment)</v>
      </c>
      <c r="D66" s="490"/>
      <c r="F66" s="358"/>
      <c r="G66" s="358"/>
      <c r="H66" s="358"/>
      <c r="I66" s="358"/>
      <c r="J66" s="358"/>
      <c r="K66" s="358"/>
      <c r="L66" s="358"/>
    </row>
    <row r="67" spans="1:44" outlineLevel="1">
      <c r="B67" s="665" t="s">
        <v>51</v>
      </c>
      <c r="C67" s="490" t="s">
        <v>895</v>
      </c>
      <c r="D67" s="490"/>
      <c r="F67" s="358"/>
      <c r="G67" s="358"/>
      <c r="H67" s="358"/>
      <c r="I67" s="358"/>
      <c r="J67" s="358"/>
      <c r="K67" s="358"/>
      <c r="L67" s="358"/>
    </row>
    <row r="68" spans="1:44" outlineLevel="1">
      <c r="B68" s="665" t="s">
        <v>52</v>
      </c>
      <c r="C68" s="490" t="s">
        <v>896</v>
      </c>
      <c r="D68" s="490"/>
      <c r="F68" s="358"/>
      <c r="G68" s="358"/>
      <c r="H68" s="358"/>
      <c r="I68" s="358"/>
      <c r="J68" s="358"/>
      <c r="K68" s="358"/>
      <c r="L68" s="358"/>
    </row>
    <row r="69" spans="1:44" outlineLevel="1">
      <c r="B69" s="665" t="s">
        <v>55</v>
      </c>
      <c r="C69" s="498" t="s">
        <v>788</v>
      </c>
      <c r="D69" s="490"/>
      <c r="F69" s="358"/>
      <c r="G69" s="358"/>
      <c r="H69" s="358"/>
      <c r="I69" s="358"/>
      <c r="J69" s="358"/>
      <c r="K69" s="358"/>
      <c r="L69" s="358"/>
    </row>
    <row r="70" spans="1:44" outlineLevel="1">
      <c r="B70" s="665" t="s">
        <v>49</v>
      </c>
      <c r="C70" s="498" t="s">
        <v>897</v>
      </c>
      <c r="D70" s="490"/>
      <c r="G70" s="358"/>
      <c r="H70" s="358"/>
      <c r="I70" s="358"/>
      <c r="J70" s="358"/>
      <c r="K70" s="358"/>
      <c r="L70" s="358"/>
    </row>
    <row r="71" spans="1:44" outlineLevel="1">
      <c r="B71" s="665" t="s">
        <v>374</v>
      </c>
      <c r="C71" s="490" t="s">
        <v>898</v>
      </c>
      <c r="E71" s="490"/>
      <c r="F71" s="490"/>
    </row>
    <row r="72" spans="1:44" outlineLevel="1">
      <c r="B72" s="665" t="s">
        <v>886</v>
      </c>
      <c r="C72" s="490" t="s">
        <v>789</v>
      </c>
    </row>
    <row r="73" spans="1:44" outlineLevel="1">
      <c r="B73" s="637" t="s">
        <v>887</v>
      </c>
      <c r="C73" s="490" t="s">
        <v>860</v>
      </c>
    </row>
    <row r="74" spans="1:44" outlineLevel="1"/>
    <row r="77" spans="1:44">
      <c r="A77" s="360"/>
      <c r="B77" s="1207"/>
      <c r="C77" s="1143"/>
      <c r="D77" s="1143"/>
      <c r="E77" s="1143"/>
      <c r="F77" s="1143"/>
      <c r="G77" s="1143"/>
      <c r="H77" s="1143"/>
      <c r="I77" s="1143"/>
      <c r="J77" s="1143"/>
      <c r="K77" s="1143"/>
      <c r="L77" s="1143"/>
      <c r="M77" s="1143"/>
      <c r="N77" s="361"/>
      <c r="P77" s="1143"/>
      <c r="Q77" s="1143"/>
      <c r="R77" s="1143"/>
      <c r="S77" s="1143"/>
      <c r="T77" s="1143"/>
      <c r="U77" s="1143"/>
    </row>
    <row r="78" spans="1:44" ht="16" outlineLevel="1" thickBot="1">
      <c r="B78" s="1207"/>
      <c r="C78" s="1143"/>
      <c r="D78" s="1143"/>
      <c r="E78" s="1143"/>
      <c r="F78" s="1143"/>
      <c r="G78" s="1143"/>
      <c r="H78" s="1143"/>
      <c r="I78" s="1143"/>
      <c r="J78" s="1143"/>
      <c r="K78" s="1143"/>
      <c r="L78" s="1143"/>
      <c r="M78" s="1143"/>
      <c r="N78" s="361"/>
      <c r="P78" s="1143"/>
      <c r="Q78" s="1143"/>
      <c r="R78" s="1143"/>
      <c r="S78" s="1143"/>
      <c r="T78" s="1143"/>
      <c r="U78" s="1143"/>
    </row>
    <row r="79" spans="1:44" ht="20.5" customHeight="1" outlineLevel="1" thickBot="1">
      <c r="B79" s="362"/>
      <c r="C79" s="1186"/>
      <c r="D79" s="1205"/>
      <c r="E79" s="1205"/>
      <c r="F79" s="1205"/>
      <c r="G79" s="1205"/>
      <c r="H79" s="1205"/>
      <c r="I79" s="1205"/>
      <c r="J79" s="1205"/>
      <c r="K79" s="1205"/>
      <c r="L79" s="1206"/>
      <c r="M79" s="363"/>
      <c r="N79" s="363"/>
      <c r="P79" s="364"/>
      <c r="Q79" s="365"/>
      <c r="R79" s="366"/>
      <c r="S79" s="1176"/>
      <c r="T79" s="1160"/>
      <c r="U79" s="1161"/>
      <c r="V79" s="1160"/>
      <c r="W79" s="1161"/>
      <c r="X79" s="1160"/>
      <c r="Y79" s="1161"/>
      <c r="Z79" s="1160"/>
      <c r="AA79" s="1161"/>
      <c r="AB79" s="1160"/>
      <c r="AC79" s="1161"/>
      <c r="AE79" s="364"/>
      <c r="AF79" s="365"/>
      <c r="AG79" s="366"/>
      <c r="AH79" s="1176"/>
      <c r="AI79" s="1160"/>
      <c r="AJ79" s="1161"/>
      <c r="AK79" s="1160"/>
      <c r="AL79" s="1161"/>
      <c r="AM79" s="1160"/>
      <c r="AN79" s="1161"/>
      <c r="AO79" s="1160"/>
      <c r="AP79" s="1161"/>
      <c r="AQ79" s="1160"/>
      <c r="AR79" s="1161"/>
    </row>
    <row r="80" spans="1:44" ht="15" customHeight="1" outlineLevel="1" thickBot="1">
      <c r="B80" s="1164"/>
      <c r="C80" s="1166"/>
      <c r="D80" s="1166"/>
      <c r="E80" s="1166"/>
      <c r="F80" s="1166"/>
      <c r="G80" s="1200"/>
      <c r="H80" s="1201"/>
      <c r="I80" s="1200"/>
      <c r="J80" s="1201"/>
      <c r="K80" s="1202"/>
      <c r="L80" s="1202"/>
      <c r="M80" s="367"/>
      <c r="N80" s="367"/>
      <c r="P80" s="1180"/>
      <c r="Q80" s="368"/>
      <c r="R80" s="368"/>
      <c r="S80" s="1177"/>
      <c r="T80" s="1162"/>
      <c r="U80" s="1163"/>
      <c r="V80" s="1162"/>
      <c r="W80" s="1163"/>
      <c r="X80" s="1162"/>
      <c r="Y80" s="1163"/>
      <c r="Z80" s="1162"/>
      <c r="AA80" s="1163"/>
      <c r="AB80" s="1162"/>
      <c r="AC80" s="1163"/>
      <c r="AE80" s="1180"/>
      <c r="AF80" s="368"/>
      <c r="AG80" s="368"/>
      <c r="AH80" s="1177"/>
      <c r="AI80" s="1162"/>
      <c r="AJ80" s="1163"/>
      <c r="AK80" s="1162"/>
      <c r="AL80" s="1163"/>
      <c r="AM80" s="1162"/>
      <c r="AN80" s="1163"/>
      <c r="AO80" s="1162"/>
      <c r="AP80" s="1163"/>
      <c r="AQ80" s="1162"/>
      <c r="AR80" s="1163"/>
    </row>
    <row r="81" spans="2:44" ht="15" customHeight="1" outlineLevel="1" thickBot="1">
      <c r="B81" s="1165"/>
      <c r="C81" s="1167"/>
      <c r="D81" s="1167"/>
      <c r="E81" s="1167"/>
      <c r="F81" s="1167"/>
      <c r="G81" s="499"/>
      <c r="H81" s="499"/>
      <c r="I81" s="499"/>
      <c r="J81" s="499"/>
      <c r="K81" s="1203"/>
      <c r="L81" s="1203"/>
      <c r="M81" s="370"/>
      <c r="N81" s="370"/>
      <c r="P81" s="1181"/>
      <c r="Q81" s="1183"/>
      <c r="R81" s="1184"/>
      <c r="S81" s="1178"/>
      <c r="T81" s="1162"/>
      <c r="U81" s="1163"/>
      <c r="V81" s="1162"/>
      <c r="W81" s="1163"/>
      <c r="X81" s="1162"/>
      <c r="Y81" s="1163"/>
      <c r="Z81" s="1162"/>
      <c r="AA81" s="1163"/>
      <c r="AB81" s="1162"/>
      <c r="AC81" s="1163"/>
      <c r="AE81" s="1181"/>
      <c r="AF81" s="1197"/>
      <c r="AG81" s="1184"/>
      <c r="AH81" s="1178"/>
      <c r="AI81" s="1162"/>
      <c r="AJ81" s="1163"/>
      <c r="AK81" s="1162"/>
      <c r="AL81" s="1163"/>
      <c r="AM81" s="1162"/>
      <c r="AN81" s="1163"/>
      <c r="AO81" s="1162"/>
      <c r="AP81" s="1163"/>
      <c r="AQ81" s="1162"/>
      <c r="AR81" s="1163"/>
    </row>
    <row r="82" spans="2:44" ht="16" outlineLevel="1" thickBot="1">
      <c r="B82" s="371"/>
      <c r="C82" s="372"/>
      <c r="D82" s="372"/>
      <c r="E82" s="372"/>
      <c r="F82" s="372"/>
      <c r="G82" s="372"/>
      <c r="H82" s="372"/>
      <c r="I82" s="372"/>
      <c r="J82" s="372"/>
      <c r="K82" s="372"/>
      <c r="L82" s="373"/>
      <c r="M82" s="370"/>
      <c r="N82" s="370"/>
      <c r="O82" s="74"/>
      <c r="P82" s="1182"/>
      <c r="Q82" s="1179"/>
      <c r="R82" s="1185"/>
      <c r="S82" s="1179"/>
      <c r="T82" s="374"/>
      <c r="U82" s="375"/>
      <c r="V82" s="374"/>
      <c r="W82" s="375"/>
      <c r="X82" s="374"/>
      <c r="Y82" s="375"/>
      <c r="Z82" s="374"/>
      <c r="AA82" s="375"/>
      <c r="AB82" s="374"/>
      <c r="AC82" s="375"/>
      <c r="AE82" s="1182"/>
      <c r="AF82" s="1198"/>
      <c r="AG82" s="1185"/>
      <c r="AH82" s="1179"/>
      <c r="AI82" s="374"/>
      <c r="AJ82" s="375"/>
      <c r="AK82" s="374"/>
      <c r="AL82" s="375"/>
      <c r="AM82" s="374"/>
      <c r="AN82" s="375"/>
      <c r="AO82" s="374"/>
      <c r="AP82" s="375"/>
      <c r="AQ82" s="374"/>
      <c r="AR82" s="375"/>
    </row>
    <row r="83" spans="2:44" ht="15" customHeight="1" outlineLevel="1">
      <c r="B83" s="500"/>
      <c r="C83" s="501"/>
      <c r="D83" s="501"/>
      <c r="E83" s="502"/>
      <c r="F83" s="501"/>
      <c r="G83" s="501"/>
      <c r="H83" s="501"/>
      <c r="I83" s="501"/>
      <c r="J83" s="501"/>
      <c r="K83" s="503"/>
      <c r="L83" s="504"/>
      <c r="M83" s="370"/>
      <c r="N83" s="370"/>
      <c r="P83" s="1148"/>
      <c r="Q83" s="1154"/>
      <c r="R83" s="381"/>
      <c r="S83" s="382"/>
      <c r="T83" s="1137"/>
      <c r="U83" s="1151"/>
      <c r="V83" s="1137"/>
      <c r="W83" s="1151"/>
      <c r="X83" s="1137"/>
      <c r="Y83" s="1151"/>
      <c r="Z83" s="1137"/>
      <c r="AA83" s="1151"/>
      <c r="AB83" s="1137"/>
      <c r="AC83" s="1151"/>
      <c r="AE83" s="1148"/>
      <c r="AF83" s="1154"/>
      <c r="AG83" s="381"/>
      <c r="AH83" s="382"/>
      <c r="AI83" s="1137"/>
      <c r="AJ83" s="1151"/>
      <c r="AK83" s="1137"/>
      <c r="AL83" s="1151"/>
      <c r="AM83" s="1137"/>
      <c r="AN83" s="1151"/>
      <c r="AO83" s="1137"/>
      <c r="AP83" s="1151"/>
      <c r="AQ83" s="1137"/>
      <c r="AR83" s="1151"/>
    </row>
    <row r="84" spans="2:44" outlineLevel="1">
      <c r="B84" s="383"/>
      <c r="C84" s="384"/>
      <c r="D84" s="384"/>
      <c r="E84" s="384"/>
      <c r="F84" s="384"/>
      <c r="G84" s="505"/>
      <c r="H84" s="505"/>
      <c r="I84" s="505"/>
      <c r="J84" s="505"/>
      <c r="K84" s="372"/>
      <c r="L84" s="373"/>
      <c r="M84" s="370"/>
      <c r="N84" s="370"/>
      <c r="O84" s="71"/>
      <c r="P84" s="1195"/>
      <c r="Q84" s="1155"/>
      <c r="R84" s="388"/>
      <c r="S84" s="389"/>
      <c r="T84" s="1140"/>
      <c r="U84" s="1152"/>
      <c r="V84" s="1140"/>
      <c r="W84" s="1152"/>
      <c r="X84" s="1140"/>
      <c r="Y84" s="1152"/>
      <c r="Z84" s="1140"/>
      <c r="AA84" s="1152"/>
      <c r="AB84" s="1140"/>
      <c r="AC84" s="1152"/>
      <c r="AE84" s="1195"/>
      <c r="AF84" s="1155"/>
      <c r="AG84" s="388"/>
      <c r="AH84" s="389"/>
      <c r="AI84" s="1140"/>
      <c r="AJ84" s="1152"/>
      <c r="AK84" s="1140"/>
      <c r="AL84" s="1152"/>
      <c r="AM84" s="1140"/>
      <c r="AN84" s="1152"/>
      <c r="AO84" s="1140"/>
      <c r="AP84" s="1152"/>
      <c r="AQ84" s="1140"/>
      <c r="AR84" s="1152"/>
    </row>
    <row r="85" spans="2:44" ht="16" outlineLevel="1" thickBot="1">
      <c r="B85" s="500"/>
      <c r="C85" s="506"/>
      <c r="D85" s="507"/>
      <c r="E85" s="507"/>
      <c r="F85" s="508"/>
      <c r="G85" s="507"/>
      <c r="H85" s="507"/>
      <c r="I85" s="507"/>
      <c r="J85" s="507"/>
      <c r="K85" s="503"/>
      <c r="L85" s="504"/>
      <c r="M85" s="370"/>
      <c r="N85" s="370"/>
      <c r="O85" s="71"/>
      <c r="P85" s="1195"/>
      <c r="Q85" s="1156"/>
      <c r="R85" s="393"/>
      <c r="S85" s="394"/>
      <c r="T85" s="1141"/>
      <c r="U85" s="1153"/>
      <c r="V85" s="1141"/>
      <c r="W85" s="1153"/>
      <c r="X85" s="1141"/>
      <c r="Y85" s="1153"/>
      <c r="Z85" s="1141"/>
      <c r="AA85" s="1153"/>
      <c r="AB85" s="1141"/>
      <c r="AC85" s="1153"/>
      <c r="AE85" s="1195"/>
      <c r="AF85" s="1156"/>
      <c r="AG85" s="393"/>
      <c r="AH85" s="394"/>
      <c r="AI85" s="1141"/>
      <c r="AJ85" s="1153"/>
      <c r="AK85" s="1141"/>
      <c r="AL85" s="1153"/>
      <c r="AM85" s="1141"/>
      <c r="AN85" s="1153"/>
      <c r="AO85" s="1141"/>
      <c r="AP85" s="1153"/>
      <c r="AQ85" s="1141"/>
      <c r="AR85" s="1153"/>
    </row>
    <row r="86" spans="2:44" ht="15" customHeight="1" outlineLevel="1">
      <c r="B86" s="500"/>
      <c r="C86" s="506"/>
      <c r="D86" s="506"/>
      <c r="E86" s="506"/>
      <c r="F86" s="506"/>
      <c r="G86" s="506"/>
      <c r="H86" s="506"/>
      <c r="I86" s="506"/>
      <c r="J86" s="506"/>
      <c r="K86" s="503"/>
      <c r="L86" s="504"/>
      <c r="M86" s="370"/>
      <c r="N86" s="370"/>
      <c r="O86" s="71"/>
      <c r="P86" s="1195"/>
      <c r="Q86" s="1154"/>
      <c r="R86" s="395"/>
      <c r="S86" s="396"/>
      <c r="T86" s="1137"/>
      <c r="U86" s="1137"/>
      <c r="V86" s="1137"/>
      <c r="W86" s="1137"/>
      <c r="X86" s="1137"/>
      <c r="Y86" s="1137"/>
      <c r="Z86" s="1137"/>
      <c r="AA86" s="1137"/>
      <c r="AB86" s="1137"/>
      <c r="AC86" s="1137"/>
      <c r="AE86" s="1195"/>
      <c r="AF86" s="1154"/>
      <c r="AG86" s="395"/>
      <c r="AH86" s="396"/>
      <c r="AI86" s="1137"/>
      <c r="AJ86" s="1137"/>
      <c r="AK86" s="1137"/>
      <c r="AL86" s="1137"/>
      <c r="AM86" s="1137"/>
      <c r="AN86" s="1137"/>
      <c r="AO86" s="1137"/>
      <c r="AP86" s="1137"/>
      <c r="AQ86" s="1137"/>
      <c r="AR86" s="1137"/>
    </row>
    <row r="87" spans="2:44" outlineLevel="1">
      <c r="B87" s="500"/>
      <c r="C87" s="506"/>
      <c r="D87" s="506"/>
      <c r="E87" s="506"/>
      <c r="F87" s="506"/>
      <c r="G87" s="506"/>
      <c r="H87" s="506"/>
      <c r="I87" s="506"/>
      <c r="J87" s="506"/>
      <c r="K87" s="503"/>
      <c r="L87" s="504"/>
      <c r="M87" s="367"/>
      <c r="N87" s="367"/>
      <c r="O87" s="71"/>
      <c r="P87" s="1195"/>
      <c r="Q87" s="1155"/>
      <c r="R87" s="395"/>
      <c r="S87" s="396"/>
      <c r="T87" s="1138"/>
      <c r="U87" s="1138"/>
      <c r="V87" s="1138"/>
      <c r="W87" s="1138"/>
      <c r="X87" s="1138"/>
      <c r="Y87" s="1138"/>
      <c r="Z87" s="1138"/>
      <c r="AA87" s="1138"/>
      <c r="AB87" s="1138"/>
      <c r="AC87" s="1138"/>
      <c r="AE87" s="1195"/>
      <c r="AF87" s="1155"/>
      <c r="AG87" s="395"/>
      <c r="AH87" s="396"/>
      <c r="AI87" s="1138"/>
      <c r="AJ87" s="1138"/>
      <c r="AK87" s="1138"/>
      <c r="AL87" s="1138"/>
      <c r="AM87" s="1138"/>
      <c r="AN87" s="1138"/>
      <c r="AO87" s="1138"/>
      <c r="AP87" s="1138"/>
      <c r="AQ87" s="1138"/>
      <c r="AR87" s="1138"/>
    </row>
    <row r="88" spans="2:44" outlineLevel="1">
      <c r="B88" s="383"/>
      <c r="C88" s="397"/>
      <c r="D88" s="397"/>
      <c r="E88" s="397"/>
      <c r="F88" s="397"/>
      <c r="G88" s="399"/>
      <c r="H88" s="399"/>
      <c r="I88" s="399"/>
      <c r="J88" s="399"/>
      <c r="K88" s="372"/>
      <c r="L88" s="373"/>
      <c r="M88" s="363"/>
      <c r="N88" s="363"/>
      <c r="P88" s="1195"/>
      <c r="Q88" s="1155"/>
      <c r="R88" s="395"/>
      <c r="S88" s="396"/>
      <c r="T88" s="1138"/>
      <c r="U88" s="1138"/>
      <c r="V88" s="1138"/>
      <c r="W88" s="1138"/>
      <c r="X88" s="1138"/>
      <c r="Y88" s="1138"/>
      <c r="Z88" s="1138"/>
      <c r="AA88" s="1138"/>
      <c r="AB88" s="1138"/>
      <c r="AC88" s="1138"/>
      <c r="AE88" s="1195"/>
      <c r="AF88" s="1155"/>
      <c r="AG88" s="395"/>
      <c r="AH88" s="396"/>
      <c r="AI88" s="1138"/>
      <c r="AJ88" s="1138"/>
      <c r="AK88" s="1138"/>
      <c r="AL88" s="1138"/>
      <c r="AM88" s="1138"/>
      <c r="AN88" s="1138"/>
      <c r="AO88" s="1138"/>
      <c r="AP88" s="1138"/>
      <c r="AQ88" s="1138"/>
      <c r="AR88" s="1138"/>
    </row>
    <row r="89" spans="2:44" ht="16" outlineLevel="1" thickBot="1">
      <c r="B89" s="500"/>
      <c r="C89" s="506"/>
      <c r="D89" s="506"/>
      <c r="E89" s="506"/>
      <c r="F89" s="506"/>
      <c r="G89" s="506"/>
      <c r="H89" s="506"/>
      <c r="I89" s="506"/>
      <c r="J89" s="506"/>
      <c r="K89" s="372"/>
      <c r="L89" s="400"/>
      <c r="M89" s="363"/>
      <c r="N89" s="363"/>
      <c r="P89" s="1195"/>
      <c r="Q89" s="1155"/>
      <c r="R89" s="395"/>
      <c r="S89" s="396"/>
      <c r="T89" s="1138"/>
      <c r="U89" s="1138"/>
      <c r="V89" s="1138"/>
      <c r="W89" s="1138"/>
      <c r="X89" s="1138"/>
      <c r="Y89" s="1138"/>
      <c r="Z89" s="1138"/>
      <c r="AA89" s="1138"/>
      <c r="AB89" s="1138"/>
      <c r="AC89" s="1138"/>
      <c r="AE89" s="1195"/>
      <c r="AF89" s="1155"/>
      <c r="AG89" s="395"/>
      <c r="AH89" s="396"/>
      <c r="AI89" s="1138"/>
      <c r="AJ89" s="1138"/>
      <c r="AK89" s="1138"/>
      <c r="AL89" s="1138"/>
      <c r="AM89" s="1138"/>
      <c r="AN89" s="1138"/>
      <c r="AO89" s="1138"/>
      <c r="AP89" s="1138"/>
      <c r="AQ89" s="1138"/>
      <c r="AR89" s="1138"/>
    </row>
    <row r="90" spans="2:44" ht="16" outlineLevel="1" thickBot="1">
      <c r="B90" s="401"/>
      <c r="C90" s="402"/>
      <c r="D90" s="403"/>
      <c r="E90" s="404"/>
      <c r="F90" s="405"/>
      <c r="G90" s="406"/>
      <c r="H90" s="406"/>
      <c r="I90" s="406"/>
      <c r="J90" s="406"/>
      <c r="K90" s="407"/>
      <c r="L90" s="408"/>
      <c r="M90" s="363"/>
      <c r="N90" s="363"/>
      <c r="P90" s="1195"/>
      <c r="Q90" s="1155"/>
      <c r="R90" s="409"/>
      <c r="S90" s="410"/>
      <c r="T90" s="1139"/>
      <c r="U90" s="1139"/>
      <c r="V90" s="1139"/>
      <c r="W90" s="1139"/>
      <c r="X90" s="1139"/>
      <c r="Y90" s="1139"/>
      <c r="Z90" s="1139"/>
      <c r="AA90" s="1139"/>
      <c r="AB90" s="1139"/>
      <c r="AC90" s="1139"/>
      <c r="AE90" s="1195"/>
      <c r="AF90" s="1155"/>
      <c r="AG90" s="409"/>
      <c r="AH90" s="410"/>
      <c r="AI90" s="1139"/>
      <c r="AJ90" s="1139"/>
      <c r="AK90" s="1139"/>
      <c r="AL90" s="1139"/>
      <c r="AM90" s="1139"/>
      <c r="AN90" s="1139"/>
      <c r="AO90" s="1139"/>
      <c r="AP90" s="1139"/>
      <c r="AQ90" s="1139"/>
      <c r="AR90" s="1139"/>
    </row>
    <row r="91" spans="2:44" ht="16" outlineLevel="1" thickBot="1">
      <c r="B91" s="500"/>
      <c r="C91" s="506"/>
      <c r="D91" s="506"/>
      <c r="E91" s="506"/>
      <c r="F91" s="506"/>
      <c r="G91" s="507"/>
      <c r="H91" s="507"/>
      <c r="I91" s="507"/>
      <c r="J91" s="507"/>
      <c r="K91" s="503"/>
      <c r="L91" s="504"/>
      <c r="M91" s="363"/>
      <c r="N91" s="363"/>
      <c r="P91" s="1196"/>
      <c r="Q91" s="411"/>
      <c r="R91" s="412"/>
      <c r="S91" s="413"/>
      <c r="T91" s="414"/>
      <c r="U91" s="415"/>
      <c r="V91" s="416"/>
      <c r="W91" s="415"/>
      <c r="X91" s="416"/>
      <c r="Y91" s="415"/>
      <c r="Z91" s="416"/>
      <c r="AA91" s="415"/>
      <c r="AB91" s="416"/>
      <c r="AC91" s="417"/>
      <c r="AE91" s="1196"/>
      <c r="AF91" s="411"/>
      <c r="AG91" s="412"/>
      <c r="AH91" s="413"/>
      <c r="AI91" s="414"/>
      <c r="AJ91" s="415"/>
      <c r="AK91" s="414"/>
      <c r="AL91" s="415"/>
      <c r="AM91" s="414"/>
      <c r="AN91" s="415"/>
      <c r="AO91" s="414"/>
      <c r="AP91" s="415"/>
      <c r="AQ91" s="414"/>
      <c r="AR91" s="417"/>
    </row>
    <row r="92" spans="2:44" outlineLevel="1">
      <c r="B92" s="500"/>
      <c r="C92" s="506"/>
      <c r="D92" s="506"/>
      <c r="E92" s="506"/>
      <c r="F92" s="506"/>
      <c r="G92" s="509"/>
      <c r="H92" s="509"/>
      <c r="I92" s="509"/>
      <c r="J92" s="509"/>
      <c r="K92" s="510"/>
      <c r="L92" s="504"/>
      <c r="M92" s="363"/>
      <c r="N92" s="363"/>
    </row>
    <row r="93" spans="2:44" outlineLevel="1">
      <c r="B93" s="500"/>
      <c r="C93" s="506"/>
      <c r="D93" s="506"/>
      <c r="E93" s="506"/>
      <c r="F93" s="506"/>
      <c r="G93" s="509"/>
      <c r="H93" s="509"/>
      <c r="I93" s="509"/>
      <c r="J93" s="509"/>
      <c r="K93" s="510"/>
      <c r="L93" s="504"/>
      <c r="M93" s="420"/>
      <c r="N93" s="363"/>
    </row>
    <row r="94" spans="2:44" outlineLevel="1">
      <c r="B94" s="421"/>
      <c r="C94" s="399"/>
      <c r="D94" s="399"/>
      <c r="E94" s="399"/>
      <c r="F94" s="399"/>
      <c r="G94" s="422"/>
      <c r="H94" s="422"/>
      <c r="I94" s="422"/>
      <c r="J94" s="422"/>
      <c r="K94" s="423"/>
      <c r="L94" s="424"/>
      <c r="M94" s="420"/>
      <c r="N94" s="420"/>
    </row>
    <row r="95" spans="2:44" outlineLevel="1">
      <c r="B95" s="383"/>
      <c r="C95" s="397"/>
      <c r="D95" s="397"/>
      <c r="E95" s="397"/>
      <c r="F95" s="397"/>
      <c r="G95" s="422"/>
      <c r="H95" s="425"/>
      <c r="I95" s="425"/>
      <c r="J95" s="425"/>
      <c r="K95" s="426"/>
      <c r="L95" s="427"/>
      <c r="M95" s="428"/>
      <c r="N95" s="428"/>
    </row>
    <row r="96" spans="2:44" outlineLevel="1">
      <c r="B96" s="383"/>
      <c r="C96" s="397"/>
      <c r="D96" s="397"/>
      <c r="E96" s="397"/>
      <c r="F96" s="397"/>
      <c r="G96" s="425"/>
      <c r="H96" s="425"/>
      <c r="I96" s="425"/>
      <c r="J96" s="425"/>
      <c r="K96" s="423"/>
      <c r="L96" s="427"/>
      <c r="M96" s="428"/>
      <c r="N96" s="428"/>
    </row>
    <row r="97" spans="1:30" outlineLevel="1">
      <c r="B97" s="383"/>
      <c r="C97" s="397"/>
      <c r="D97" s="397"/>
      <c r="E97" s="397"/>
      <c r="F97" s="397"/>
      <c r="G97" s="425"/>
      <c r="H97" s="425"/>
      <c r="I97" s="425"/>
      <c r="J97" s="425"/>
      <c r="K97" s="423"/>
      <c r="L97" s="427"/>
      <c r="M97" s="428"/>
      <c r="N97" s="428"/>
    </row>
    <row r="98" spans="1:30" outlineLevel="1">
      <c r="B98" s="383"/>
      <c r="C98" s="397"/>
      <c r="D98" s="397"/>
      <c r="E98" s="397"/>
      <c r="F98" s="397"/>
      <c r="G98" s="425"/>
      <c r="H98" s="425"/>
      <c r="I98" s="425"/>
      <c r="J98" s="425"/>
      <c r="K98" s="423"/>
      <c r="L98" s="427"/>
      <c r="M98" s="428"/>
      <c r="N98" s="428"/>
    </row>
    <row r="99" spans="1:30" ht="16" outlineLevel="1" thickBot="1">
      <c r="B99" s="429"/>
      <c r="C99" s="430"/>
      <c r="D99" s="430"/>
      <c r="E99" s="430"/>
      <c r="F99" s="430"/>
      <c r="G99" s="425"/>
      <c r="H99" s="425"/>
      <c r="I99" s="425"/>
      <c r="J99" s="425"/>
      <c r="K99" s="423"/>
      <c r="L99" s="427"/>
      <c r="M99" s="428"/>
      <c r="N99" s="428"/>
    </row>
    <row r="100" spans="1:30" ht="16" outlineLevel="1" thickBot="1">
      <c r="B100" s="431"/>
      <c r="C100" s="432"/>
      <c r="D100" s="403"/>
      <c r="E100" s="403"/>
      <c r="F100" s="433"/>
      <c r="G100" s="434"/>
      <c r="H100" s="406"/>
      <c r="I100" s="406"/>
      <c r="J100" s="406"/>
      <c r="K100" s="407"/>
      <c r="L100" s="408"/>
      <c r="M100" s="428"/>
      <c r="N100" s="428"/>
    </row>
    <row r="101" spans="1:30" outlineLevel="1">
      <c r="A101" s="435"/>
      <c r="B101" s="436"/>
      <c r="C101" s="511"/>
      <c r="D101" s="512"/>
      <c r="E101" s="512"/>
      <c r="F101" s="513"/>
      <c r="G101" s="425"/>
      <c r="H101" s="425"/>
      <c r="I101" s="425"/>
      <c r="J101" s="425"/>
      <c r="K101" s="426"/>
      <c r="L101" s="440"/>
      <c r="M101" s="420"/>
      <c r="N101" s="420"/>
    </row>
    <row r="102" spans="1:30" outlineLevel="1">
      <c r="B102" s="441"/>
      <c r="C102" s="442"/>
      <c r="D102" s="442"/>
      <c r="E102" s="442"/>
      <c r="F102" s="442"/>
      <c r="G102" s="425"/>
      <c r="H102" s="425"/>
      <c r="I102" s="425"/>
      <c r="J102" s="425"/>
      <c r="K102" s="444"/>
      <c r="L102" s="373"/>
      <c r="M102" s="71"/>
      <c r="N102" s="420"/>
    </row>
    <row r="103" spans="1:30" outlineLevel="1">
      <c r="B103" s="441"/>
      <c r="C103" s="442"/>
      <c r="D103" s="442"/>
      <c r="E103" s="442"/>
      <c r="F103" s="442"/>
      <c r="G103" s="425"/>
      <c r="H103" s="425"/>
      <c r="I103" s="425"/>
      <c r="J103" s="425"/>
      <c r="K103" s="444"/>
      <c r="L103" s="373"/>
      <c r="M103" s="420"/>
      <c r="N103" s="420"/>
    </row>
    <row r="104" spans="1:30" outlineLevel="1">
      <c r="B104" s="383"/>
      <c r="C104" s="445"/>
      <c r="D104" s="446"/>
      <c r="E104" s="446"/>
      <c r="F104" s="447"/>
      <c r="G104" s="425"/>
      <c r="H104" s="425"/>
      <c r="I104" s="425"/>
      <c r="J104" s="425"/>
      <c r="K104" s="448"/>
      <c r="L104" s="373"/>
      <c r="M104" s="420"/>
      <c r="N104" s="420"/>
    </row>
    <row r="105" spans="1:30" outlineLevel="1">
      <c r="B105" s="383"/>
      <c r="C105" s="449"/>
      <c r="D105" s="449"/>
      <c r="E105" s="449"/>
      <c r="F105" s="449"/>
      <c r="G105" s="425"/>
      <c r="H105" s="425"/>
      <c r="I105" s="425"/>
      <c r="J105" s="425"/>
      <c r="K105" s="448"/>
      <c r="L105" s="373"/>
      <c r="M105" s="450"/>
      <c r="N105" s="361"/>
      <c r="P105" s="1142"/>
      <c r="Q105" s="1143"/>
      <c r="R105" s="1143"/>
      <c r="S105" s="1143"/>
      <c r="T105" s="1143"/>
      <c r="U105" s="1144"/>
    </row>
    <row r="106" spans="1:30" ht="16" outlineLevel="1" thickBot="1">
      <c r="B106" s="500"/>
      <c r="C106" s="514"/>
      <c r="D106" s="514"/>
      <c r="E106" s="514"/>
      <c r="F106" s="514"/>
      <c r="G106" s="515"/>
      <c r="H106" s="515"/>
      <c r="I106" s="515"/>
      <c r="J106" s="515"/>
      <c r="K106" s="503"/>
      <c r="L106" s="504"/>
      <c r="M106" s="450"/>
      <c r="N106" s="361"/>
      <c r="P106" s="1134"/>
      <c r="Q106" s="1135"/>
      <c r="R106" s="1135"/>
      <c r="S106" s="1135"/>
      <c r="T106" s="1135"/>
      <c r="U106" s="1136"/>
    </row>
    <row r="107" spans="1:30" outlineLevel="1">
      <c r="B107" s="500"/>
      <c r="C107" s="516"/>
      <c r="D107" s="516"/>
      <c r="E107" s="516"/>
      <c r="F107" s="516"/>
      <c r="G107" s="515"/>
      <c r="H107" s="515"/>
      <c r="I107" s="515"/>
      <c r="J107" s="515"/>
      <c r="K107" s="517"/>
      <c r="L107" s="504"/>
      <c r="M107" s="363"/>
      <c r="N107" s="363"/>
      <c r="P107" s="53"/>
    </row>
    <row r="108" spans="1:30" outlineLevel="1">
      <c r="B108" s="441"/>
      <c r="C108" s="518"/>
      <c r="D108" s="518"/>
      <c r="E108" s="518"/>
      <c r="F108" s="518"/>
      <c r="G108" s="425"/>
      <c r="H108" s="425"/>
      <c r="I108" s="425"/>
      <c r="J108" s="425"/>
      <c r="K108" s="444"/>
      <c r="L108" s="424"/>
      <c r="M108" s="367"/>
      <c r="N108" s="367"/>
      <c r="P108" s="46"/>
      <c r="Q108" s="46"/>
      <c r="R108" s="47"/>
      <c r="S108" s="47"/>
      <c r="T108" s="47"/>
      <c r="U108" s="48"/>
      <c r="V108" s="49"/>
      <c r="W108" s="49"/>
      <c r="X108" s="49"/>
      <c r="Y108" s="49"/>
      <c r="Z108" s="49"/>
      <c r="AA108" s="49"/>
      <c r="AB108" s="49"/>
      <c r="AC108" s="49"/>
      <c r="AD108" s="49"/>
    </row>
    <row r="109" spans="1:30" ht="16" outlineLevel="1" thickBot="1">
      <c r="B109" s="519"/>
      <c r="C109" s="442"/>
      <c r="D109" s="520"/>
      <c r="E109" s="520"/>
      <c r="F109" s="521"/>
      <c r="G109" s="425"/>
      <c r="H109" s="425"/>
      <c r="I109" s="425"/>
      <c r="J109" s="425"/>
      <c r="K109" s="448"/>
      <c r="L109" s="424"/>
      <c r="M109" s="363"/>
      <c r="N109" s="363"/>
      <c r="P109" s="50"/>
      <c r="Q109" s="50"/>
      <c r="R109" s="51"/>
      <c r="S109" s="51"/>
      <c r="T109" s="51"/>
      <c r="U109" s="51"/>
      <c r="V109" s="50"/>
      <c r="W109" s="50"/>
      <c r="X109" s="50"/>
      <c r="Y109" s="50"/>
      <c r="Z109" s="50"/>
      <c r="AA109" s="50"/>
      <c r="AB109" s="50"/>
      <c r="AC109" s="50"/>
      <c r="AD109" s="50"/>
    </row>
    <row r="110" spans="1:30" ht="16" outlineLevel="1" thickBot="1">
      <c r="B110" s="401"/>
      <c r="C110" s="402"/>
      <c r="D110" s="403"/>
      <c r="E110" s="404"/>
      <c r="F110" s="405"/>
      <c r="G110" s="406"/>
      <c r="H110" s="406"/>
      <c r="I110" s="406"/>
      <c r="J110" s="406"/>
      <c r="K110" s="459"/>
      <c r="L110" s="460"/>
      <c r="M110" s="363"/>
      <c r="N110" s="363"/>
      <c r="O110" s="461"/>
      <c r="P110" s="56"/>
      <c r="Q110" s="56"/>
      <c r="R110" s="57"/>
      <c r="S110" s="57"/>
      <c r="T110" s="57"/>
      <c r="U110" s="56"/>
      <c r="V110" s="56"/>
      <c r="W110" s="56"/>
      <c r="X110" s="56"/>
      <c r="Y110" s="56"/>
      <c r="Z110" s="56"/>
      <c r="AA110" s="56"/>
      <c r="AB110" s="56"/>
      <c r="AC110" s="56"/>
      <c r="AD110" s="56"/>
    </row>
    <row r="111" spans="1:30" outlineLevel="1">
      <c r="B111" s="522"/>
      <c r="C111" s="523"/>
      <c r="D111" s="523"/>
      <c r="E111" s="523"/>
      <c r="F111" s="523"/>
      <c r="G111" s="524"/>
      <c r="H111" s="524"/>
      <c r="I111" s="524"/>
      <c r="J111" s="524"/>
      <c r="K111" s="524"/>
      <c r="L111" s="525"/>
      <c r="M111" s="363"/>
      <c r="N111" s="363"/>
      <c r="O111" s="465"/>
      <c r="P111" s="466"/>
      <c r="Q111" s="58"/>
      <c r="R111" s="466"/>
      <c r="S111" s="58"/>
      <c r="T111" s="466"/>
      <c r="U111" s="467"/>
      <c r="V111" s="467"/>
      <c r="W111" s="467"/>
      <c r="X111" s="58"/>
      <c r="Y111" s="58"/>
      <c r="Z111" s="466"/>
      <c r="AA111" s="468"/>
      <c r="AB111" s="468"/>
      <c r="AC111" s="468"/>
      <c r="AD111" s="468"/>
    </row>
    <row r="112" spans="1:30" outlineLevel="1">
      <c r="B112" s="500"/>
      <c r="C112" s="526"/>
      <c r="D112" s="527"/>
      <c r="E112" s="527"/>
      <c r="F112" s="528"/>
      <c r="G112" s="528"/>
      <c r="H112" s="528"/>
      <c r="I112" s="528"/>
      <c r="J112" s="528"/>
      <c r="K112" s="529"/>
      <c r="L112" s="525"/>
      <c r="M112" s="363"/>
      <c r="N112" s="363"/>
      <c r="O112" s="465"/>
      <c r="P112" s="466"/>
      <c r="Q112" s="58"/>
      <c r="R112" s="466"/>
      <c r="S112" s="58"/>
      <c r="T112" s="466"/>
      <c r="U112" s="467"/>
      <c r="V112" s="467"/>
      <c r="W112" s="467"/>
      <c r="X112" s="58"/>
      <c r="Y112" s="58"/>
      <c r="Z112" s="466"/>
      <c r="AA112" s="468"/>
      <c r="AB112" s="468"/>
      <c r="AC112" s="468"/>
      <c r="AD112" s="468"/>
    </row>
    <row r="113" spans="2:30" outlineLevel="1">
      <c r="B113" s="500"/>
      <c r="C113" s="526"/>
      <c r="D113" s="527"/>
      <c r="E113" s="527"/>
      <c r="F113" s="528"/>
      <c r="G113" s="515"/>
      <c r="H113" s="515"/>
      <c r="I113" s="515"/>
      <c r="J113" s="515"/>
      <c r="K113" s="515"/>
      <c r="L113" s="504"/>
      <c r="M113" s="363"/>
      <c r="N113" s="363"/>
      <c r="O113" s="465"/>
      <c r="P113" s="466"/>
      <c r="Q113" s="58"/>
      <c r="R113" s="466"/>
      <c r="S113" s="58"/>
      <c r="T113" s="466"/>
      <c r="U113" s="467"/>
      <c r="V113" s="467"/>
      <c r="W113" s="467"/>
      <c r="X113" s="58"/>
      <c r="Y113" s="58"/>
      <c r="Z113" s="466"/>
      <c r="AA113" s="468"/>
      <c r="AB113" s="468"/>
      <c r="AC113" s="468"/>
      <c r="AD113" s="468"/>
    </row>
    <row r="114" spans="2:30" outlineLevel="1">
      <c r="B114" s="500"/>
      <c r="C114" s="530"/>
      <c r="D114" s="530"/>
      <c r="E114" s="530"/>
      <c r="F114" s="530"/>
      <c r="G114" s="531"/>
      <c r="H114" s="531"/>
      <c r="I114" s="531"/>
      <c r="J114" s="531"/>
      <c r="K114" s="531"/>
      <c r="L114" s="504"/>
      <c r="M114" s="363"/>
      <c r="N114" s="363"/>
      <c r="O114" s="465"/>
      <c r="P114" s="466"/>
      <c r="Q114" s="58"/>
      <c r="R114" s="466"/>
      <c r="S114" s="58"/>
      <c r="T114" s="466"/>
      <c r="U114" s="467"/>
      <c r="V114" s="467"/>
      <c r="W114" s="467"/>
      <c r="X114" s="58"/>
      <c r="Y114" s="58"/>
      <c r="Z114" s="466"/>
      <c r="AA114" s="468"/>
      <c r="AB114" s="468"/>
      <c r="AC114" s="468"/>
      <c r="AD114" s="468"/>
    </row>
    <row r="115" spans="2:30" outlineLevel="1">
      <c r="B115" s="532"/>
      <c r="C115" s="526"/>
      <c r="D115" s="527"/>
      <c r="E115" s="527"/>
      <c r="F115" s="528"/>
      <c r="G115" s="531"/>
      <c r="H115" s="531"/>
      <c r="I115" s="531"/>
      <c r="J115" s="531"/>
      <c r="K115" s="531"/>
      <c r="L115" s="533"/>
      <c r="M115" s="367"/>
      <c r="N115" s="367"/>
    </row>
    <row r="116" spans="2:30" outlineLevel="1">
      <c r="B116" s="532"/>
      <c r="C116" s="526"/>
      <c r="D116" s="527"/>
      <c r="E116" s="527"/>
      <c r="F116" s="528"/>
      <c r="G116" s="531"/>
      <c r="H116" s="531"/>
      <c r="I116" s="531"/>
      <c r="J116" s="531"/>
      <c r="K116" s="531"/>
      <c r="L116" s="533"/>
      <c r="M116" s="363"/>
      <c r="N116" s="363"/>
    </row>
    <row r="117" spans="2:30" ht="16" outlineLevel="1" thickBot="1">
      <c r="B117" s="534"/>
      <c r="C117" s="535"/>
      <c r="D117" s="536"/>
      <c r="E117" s="536"/>
      <c r="F117" s="537"/>
      <c r="G117" s="538"/>
      <c r="H117" s="538"/>
      <c r="I117" s="538"/>
      <c r="J117" s="538"/>
      <c r="K117" s="538"/>
      <c r="L117" s="539"/>
      <c r="M117" s="363"/>
      <c r="N117" s="363"/>
    </row>
    <row r="118" spans="2:30" outlineLevel="1">
      <c r="B118" s="461"/>
      <c r="C118" s="483"/>
      <c r="D118" s="483"/>
      <c r="E118" s="483"/>
      <c r="F118" s="483"/>
      <c r="G118" s="483"/>
      <c r="H118" s="484"/>
      <c r="I118" s="420"/>
      <c r="J118" s="420"/>
      <c r="K118" s="484"/>
      <c r="L118" s="484"/>
      <c r="N118" s="420"/>
    </row>
    <row r="119" spans="2:30" outlineLevel="1">
      <c r="B119" s="485"/>
      <c r="C119" s="486"/>
      <c r="D119" s="486"/>
      <c r="E119" s="486"/>
      <c r="F119" s="486"/>
      <c r="G119" s="486"/>
      <c r="H119" s="484"/>
      <c r="I119" s="71"/>
      <c r="J119" s="420"/>
      <c r="K119" s="484"/>
      <c r="L119" s="484"/>
      <c r="N119" s="420"/>
    </row>
    <row r="120" spans="2:30" outlineLevel="1">
      <c r="B120" s="461"/>
      <c r="C120" s="359"/>
      <c r="D120" s="359"/>
      <c r="E120" s="359"/>
      <c r="F120" s="359"/>
      <c r="G120" s="359"/>
      <c r="I120" s="420"/>
      <c r="J120" s="420"/>
      <c r="N120" s="420"/>
    </row>
    <row r="121" spans="2:30" outlineLevel="1">
      <c r="B121" s="461"/>
      <c r="C121" s="487"/>
      <c r="D121" s="487"/>
      <c r="E121" s="487"/>
      <c r="F121" s="487"/>
      <c r="G121" s="359"/>
      <c r="M121" s="420"/>
      <c r="N121" s="420"/>
    </row>
    <row r="122" spans="2:30" outlineLevel="1"/>
    <row r="123" spans="2:30" outlineLevel="1"/>
    <row r="124" spans="2:30" outlineLevel="1"/>
    <row r="125" spans="2:30" outlineLevel="1"/>
    <row r="126" spans="2:30" outlineLevel="1">
      <c r="B126" s="488"/>
      <c r="C126" s="489"/>
      <c r="D126" s="490"/>
      <c r="E126" s="490"/>
      <c r="F126" s="490"/>
    </row>
    <row r="127" spans="2:30" outlineLevel="1">
      <c r="B127" s="491"/>
      <c r="C127" s="492"/>
      <c r="E127" s="490"/>
      <c r="F127" s="490"/>
    </row>
    <row r="128" spans="2:30" outlineLevel="1">
      <c r="B128" s="491"/>
      <c r="C128" s="493"/>
      <c r="E128" s="490"/>
      <c r="F128" s="490"/>
    </row>
    <row r="129" spans="2:6" outlineLevel="1">
      <c r="B129" s="491"/>
      <c r="C129" s="493"/>
      <c r="E129" s="490"/>
      <c r="F129" s="490"/>
    </row>
    <row r="130" spans="2:6" outlineLevel="1">
      <c r="B130" s="491"/>
      <c r="C130" s="493"/>
      <c r="E130" s="490"/>
      <c r="F130" s="490"/>
    </row>
    <row r="131" spans="2:6" outlineLevel="1">
      <c r="B131" s="358"/>
      <c r="C131" s="494"/>
      <c r="D131" s="490"/>
      <c r="E131" s="490"/>
      <c r="F131" s="490"/>
    </row>
    <row r="132" spans="2:6" outlineLevel="1">
      <c r="B132" s="358"/>
      <c r="C132" s="492"/>
      <c r="D132" s="490"/>
      <c r="E132" s="490"/>
      <c r="F132" s="490"/>
    </row>
    <row r="133" spans="2:6" outlineLevel="1">
      <c r="B133" s="358"/>
      <c r="C133" s="495"/>
      <c r="D133" s="490"/>
      <c r="E133" s="490"/>
      <c r="F133" s="490"/>
    </row>
    <row r="134" spans="2:6" outlineLevel="1">
      <c r="B134" s="358"/>
      <c r="C134" s="495"/>
      <c r="D134" s="490"/>
      <c r="E134" s="490"/>
      <c r="F134" s="490"/>
    </row>
    <row r="135" spans="2:6" outlineLevel="1">
      <c r="B135" s="358"/>
      <c r="C135" s="489"/>
      <c r="D135" s="490"/>
      <c r="E135" s="490"/>
      <c r="F135" s="490"/>
    </row>
    <row r="136" spans="2:6" outlineLevel="1">
      <c r="B136" s="358"/>
      <c r="C136" s="490"/>
      <c r="D136" s="490"/>
      <c r="E136" s="490"/>
      <c r="F136" s="490"/>
    </row>
    <row r="137" spans="2:6" outlineLevel="1">
      <c r="B137" s="488"/>
      <c r="C137" s="489"/>
      <c r="D137" s="490"/>
      <c r="E137" s="490"/>
      <c r="F137" s="490"/>
    </row>
    <row r="138" spans="2:6" outlineLevel="1">
      <c r="B138" s="496"/>
      <c r="C138" s="497"/>
      <c r="E138" s="490"/>
      <c r="F138" s="490"/>
    </row>
    <row r="139" spans="2:6" outlineLevel="1">
      <c r="B139" s="496" t="s">
        <v>59</v>
      </c>
      <c r="C139" s="489" t="s">
        <v>785</v>
      </c>
      <c r="E139" s="490"/>
      <c r="F139" s="490"/>
    </row>
    <row r="140" spans="2:6" outlineLevel="1">
      <c r="B140" s="496" t="s">
        <v>16</v>
      </c>
      <c r="C140" s="489" t="s">
        <v>786</v>
      </c>
      <c r="E140" s="490"/>
      <c r="F140" s="490"/>
    </row>
    <row r="141" spans="2:6" outlineLevel="1">
      <c r="B141" s="496" t="s">
        <v>20</v>
      </c>
      <c r="C141" s="489" t="s">
        <v>787</v>
      </c>
      <c r="E141" s="490"/>
      <c r="F141" s="490"/>
    </row>
    <row r="142" spans="2:6" outlineLevel="1">
      <c r="B142" s="496" t="s">
        <v>76</v>
      </c>
      <c r="C142" s="498" t="s">
        <v>788</v>
      </c>
      <c r="E142" s="490"/>
      <c r="F142" s="490"/>
    </row>
    <row r="143" spans="2:6" outlineLevel="1">
      <c r="B143" s="496" t="s">
        <v>25</v>
      </c>
      <c r="C143" s="489" t="s">
        <v>789</v>
      </c>
      <c r="E143" s="490"/>
      <c r="F143" s="490"/>
    </row>
    <row r="144" spans="2:6" outlineLevel="1"/>
    <row r="145" spans="1:44" outlineLevel="1">
      <c r="M145" s="214"/>
    </row>
    <row r="146" spans="1:44" outlineLevel="1"/>
    <row r="149" spans="1:44">
      <c r="A149" s="360"/>
      <c r="B149" s="1207"/>
      <c r="C149" s="1143"/>
      <c r="D149" s="1143"/>
      <c r="E149" s="1143"/>
      <c r="F149" s="1143"/>
      <c r="G149" s="1143"/>
      <c r="H149" s="1143"/>
      <c r="I149" s="1143"/>
      <c r="J149" s="1143"/>
      <c r="K149" s="1143"/>
      <c r="L149" s="1143"/>
      <c r="M149" s="1143"/>
      <c r="N149" s="361"/>
      <c r="P149" s="1143"/>
      <c r="Q149" s="1143"/>
      <c r="R149" s="1143"/>
      <c r="S149" s="1143"/>
      <c r="T149" s="1143"/>
      <c r="U149" s="1143"/>
    </row>
    <row r="150" spans="1:44" ht="16" outlineLevel="1" thickBot="1">
      <c r="B150" s="1207"/>
      <c r="C150" s="1143"/>
      <c r="D150" s="1143"/>
      <c r="E150" s="1143"/>
      <c r="F150" s="1143"/>
      <c r="G150" s="1143"/>
      <c r="H150" s="1143"/>
      <c r="I150" s="1143"/>
      <c r="J150" s="1143"/>
      <c r="K150" s="1143"/>
      <c r="L150" s="1143"/>
      <c r="M150" s="1143"/>
      <c r="N150" s="361"/>
      <c r="P150" s="1143"/>
      <c r="Q150" s="1143"/>
      <c r="R150" s="1143"/>
      <c r="S150" s="1143"/>
      <c r="T150" s="1143"/>
      <c r="U150" s="1143"/>
    </row>
    <row r="151" spans="1:44" ht="20.5" customHeight="1" outlineLevel="1" thickBot="1">
      <c r="B151" s="362"/>
      <c r="C151" s="1186"/>
      <c r="D151" s="1205"/>
      <c r="E151" s="1205"/>
      <c r="F151" s="1205"/>
      <c r="G151" s="1205"/>
      <c r="H151" s="1205"/>
      <c r="I151" s="1205"/>
      <c r="J151" s="1205"/>
      <c r="K151" s="1205"/>
      <c r="L151" s="1206"/>
      <c r="M151" s="363"/>
      <c r="N151" s="363"/>
      <c r="P151" s="364"/>
      <c r="Q151" s="365"/>
      <c r="R151" s="366"/>
      <c r="S151" s="1176"/>
      <c r="T151" s="1160"/>
      <c r="U151" s="1161"/>
      <c r="V151" s="1160"/>
      <c r="W151" s="1161"/>
      <c r="X151" s="1160"/>
      <c r="Y151" s="1161"/>
      <c r="Z151" s="1160"/>
      <c r="AA151" s="1161"/>
      <c r="AB151" s="1160"/>
      <c r="AC151" s="1161"/>
      <c r="AE151" s="364"/>
      <c r="AF151" s="365"/>
      <c r="AG151" s="366"/>
      <c r="AH151" s="1176"/>
      <c r="AI151" s="1160"/>
      <c r="AJ151" s="1161"/>
      <c r="AK151" s="1160"/>
      <c r="AL151" s="1161"/>
      <c r="AM151" s="1160"/>
      <c r="AN151" s="1161"/>
      <c r="AO151" s="1160"/>
      <c r="AP151" s="1161"/>
      <c r="AQ151" s="1160"/>
      <c r="AR151" s="1161"/>
    </row>
    <row r="152" spans="1:44" ht="15" customHeight="1" outlineLevel="1" thickBot="1">
      <c r="B152" s="1164"/>
      <c r="C152" s="1166"/>
      <c r="D152" s="1166"/>
      <c r="E152" s="1166"/>
      <c r="F152" s="1166"/>
      <c r="G152" s="1221"/>
      <c r="H152" s="1222"/>
      <c r="I152" s="1221"/>
      <c r="J152" s="1222"/>
      <c r="K152" s="1189"/>
      <c r="L152" s="1189"/>
      <c r="M152" s="367"/>
      <c r="N152" s="367"/>
      <c r="P152" s="1180"/>
      <c r="Q152" s="368"/>
      <c r="R152" s="368"/>
      <c r="S152" s="1177"/>
      <c r="T152" s="1162"/>
      <c r="U152" s="1163"/>
      <c r="V152" s="1162"/>
      <c r="W152" s="1163"/>
      <c r="X152" s="1162"/>
      <c r="Y152" s="1163"/>
      <c r="Z152" s="1162"/>
      <c r="AA152" s="1163"/>
      <c r="AB152" s="1162"/>
      <c r="AC152" s="1163"/>
      <c r="AE152" s="1180"/>
      <c r="AF152" s="368"/>
      <c r="AG152" s="368"/>
      <c r="AH152" s="1177"/>
      <c r="AI152" s="1162"/>
      <c r="AJ152" s="1163"/>
      <c r="AK152" s="1162"/>
      <c r="AL152" s="1163"/>
      <c r="AM152" s="1162"/>
      <c r="AN152" s="1163"/>
      <c r="AO152" s="1162"/>
      <c r="AP152" s="1163"/>
      <c r="AQ152" s="1162"/>
      <c r="AR152" s="1163"/>
    </row>
    <row r="153" spans="1:44" ht="15" customHeight="1" outlineLevel="1" thickBot="1">
      <c r="B153" s="1165"/>
      <c r="C153" s="1167"/>
      <c r="D153" s="1167"/>
      <c r="E153" s="1167"/>
      <c r="F153" s="1167"/>
      <c r="G153" s="540"/>
      <c r="H153" s="540"/>
      <c r="I153" s="540"/>
      <c r="J153" s="540"/>
      <c r="K153" s="1190"/>
      <c r="L153" s="1190"/>
      <c r="M153" s="370"/>
      <c r="N153" s="370"/>
      <c r="P153" s="1181"/>
      <c r="Q153" s="1183"/>
      <c r="R153" s="1184"/>
      <c r="S153" s="1178"/>
      <c r="T153" s="1162"/>
      <c r="U153" s="1163"/>
      <c r="V153" s="1162"/>
      <c r="W153" s="1163"/>
      <c r="X153" s="1162"/>
      <c r="Y153" s="1163"/>
      <c r="Z153" s="1162"/>
      <c r="AA153" s="1163"/>
      <c r="AB153" s="1162"/>
      <c r="AC153" s="1163"/>
      <c r="AE153" s="1181"/>
      <c r="AF153" s="1197"/>
      <c r="AG153" s="1184"/>
      <c r="AH153" s="1178"/>
      <c r="AI153" s="1162"/>
      <c r="AJ153" s="1163"/>
      <c r="AK153" s="1162"/>
      <c r="AL153" s="1163"/>
      <c r="AM153" s="1162"/>
      <c r="AN153" s="1163"/>
      <c r="AO153" s="1162"/>
      <c r="AP153" s="1163"/>
      <c r="AQ153" s="1162"/>
      <c r="AR153" s="1163"/>
    </row>
    <row r="154" spans="1:44" ht="16" outlineLevel="1" thickBot="1">
      <c r="B154" s="371"/>
      <c r="C154" s="372"/>
      <c r="D154" s="372"/>
      <c r="E154" s="372"/>
      <c r="F154" s="372"/>
      <c r="G154" s="372"/>
      <c r="H154" s="372"/>
      <c r="I154" s="372"/>
      <c r="J154" s="372"/>
      <c r="K154" s="372"/>
      <c r="L154" s="373"/>
      <c r="M154" s="370"/>
      <c r="N154" s="370"/>
      <c r="O154" s="74"/>
      <c r="P154" s="1182"/>
      <c r="Q154" s="1179"/>
      <c r="R154" s="1185"/>
      <c r="S154" s="1179"/>
      <c r="T154" s="374"/>
      <c r="U154" s="375"/>
      <c r="V154" s="374"/>
      <c r="W154" s="375"/>
      <c r="X154" s="374"/>
      <c r="Y154" s="375"/>
      <c r="Z154" s="374"/>
      <c r="AA154" s="375"/>
      <c r="AB154" s="374"/>
      <c r="AC154" s="375"/>
      <c r="AE154" s="1182"/>
      <c r="AF154" s="1198"/>
      <c r="AG154" s="1185"/>
      <c r="AH154" s="1179"/>
      <c r="AI154" s="374"/>
      <c r="AJ154" s="375"/>
      <c r="AK154" s="374"/>
      <c r="AL154" s="375"/>
      <c r="AM154" s="374"/>
      <c r="AN154" s="375"/>
      <c r="AO154" s="374"/>
      <c r="AP154" s="375"/>
      <c r="AQ154" s="374"/>
      <c r="AR154" s="375"/>
    </row>
    <row r="155" spans="1:44" ht="14.5" customHeight="1" outlineLevel="1">
      <c r="B155" s="541"/>
      <c r="C155" s="542"/>
      <c r="D155" s="542"/>
      <c r="E155" s="543"/>
      <c r="F155" s="542"/>
      <c r="G155" s="542"/>
      <c r="H155" s="542"/>
      <c r="I155" s="542"/>
      <c r="J155" s="542"/>
      <c r="K155" s="372"/>
      <c r="L155" s="373"/>
      <c r="M155" s="370"/>
      <c r="N155" s="370"/>
      <c r="P155" s="1148"/>
      <c r="Q155" s="1154"/>
      <c r="R155" s="381"/>
      <c r="S155" s="382"/>
      <c r="T155" s="1137"/>
      <c r="U155" s="1151"/>
      <c r="V155" s="1137"/>
      <c r="W155" s="1151"/>
      <c r="X155" s="1137"/>
      <c r="Y155" s="1151"/>
      <c r="Z155" s="1137"/>
      <c r="AA155" s="1151"/>
      <c r="AB155" s="1137"/>
      <c r="AC155" s="1151"/>
      <c r="AE155" s="1148"/>
      <c r="AF155" s="1154"/>
      <c r="AG155" s="381"/>
      <c r="AH155" s="382"/>
      <c r="AI155" s="1137"/>
      <c r="AJ155" s="1151"/>
      <c r="AK155" s="1137"/>
      <c r="AL155" s="1151"/>
      <c r="AM155" s="1137"/>
      <c r="AN155" s="1151"/>
      <c r="AO155" s="1137"/>
      <c r="AP155" s="1151"/>
      <c r="AQ155" s="1137"/>
      <c r="AR155" s="1151"/>
    </row>
    <row r="156" spans="1:44" outlineLevel="1">
      <c r="B156" s="383"/>
      <c r="C156" s="384"/>
      <c r="D156" s="384"/>
      <c r="E156" s="384"/>
      <c r="F156" s="384"/>
      <c r="G156" s="505"/>
      <c r="H156" s="505"/>
      <c r="I156" s="505"/>
      <c r="J156" s="505"/>
      <c r="K156" s="372"/>
      <c r="L156" s="373"/>
      <c r="M156" s="370"/>
      <c r="N156" s="370"/>
      <c r="O156" s="71"/>
      <c r="P156" s="1195"/>
      <c r="Q156" s="1155"/>
      <c r="R156" s="388"/>
      <c r="S156" s="389"/>
      <c r="T156" s="1140"/>
      <c r="U156" s="1152"/>
      <c r="V156" s="1140"/>
      <c r="W156" s="1152"/>
      <c r="X156" s="1140"/>
      <c r="Y156" s="1152"/>
      <c r="Z156" s="1140"/>
      <c r="AA156" s="1152"/>
      <c r="AB156" s="1140"/>
      <c r="AC156" s="1152"/>
      <c r="AE156" s="1195"/>
      <c r="AF156" s="1155"/>
      <c r="AG156" s="388"/>
      <c r="AH156" s="389"/>
      <c r="AI156" s="1140"/>
      <c r="AJ156" s="1152"/>
      <c r="AK156" s="1140"/>
      <c r="AL156" s="1152"/>
      <c r="AM156" s="1140"/>
      <c r="AN156" s="1152"/>
      <c r="AO156" s="1140"/>
      <c r="AP156" s="1152"/>
      <c r="AQ156" s="1140"/>
      <c r="AR156" s="1152"/>
    </row>
    <row r="157" spans="1:44" ht="16" outlineLevel="1" thickBot="1">
      <c r="B157" s="541"/>
      <c r="C157" s="544"/>
      <c r="D157" s="545"/>
      <c r="E157" s="545"/>
      <c r="F157" s="546"/>
      <c r="G157" s="545"/>
      <c r="H157" s="545"/>
      <c r="I157" s="545"/>
      <c r="J157" s="545"/>
      <c r="K157" s="547"/>
      <c r="L157" s="548"/>
      <c r="M157" s="370"/>
      <c r="N157" s="370"/>
      <c r="O157" s="71"/>
      <c r="P157" s="1195"/>
      <c r="Q157" s="1156"/>
      <c r="R157" s="393"/>
      <c r="S157" s="394"/>
      <c r="T157" s="1141"/>
      <c r="U157" s="1153"/>
      <c r="V157" s="1141"/>
      <c r="W157" s="1153"/>
      <c r="X157" s="1141"/>
      <c r="Y157" s="1153"/>
      <c r="Z157" s="1141"/>
      <c r="AA157" s="1153"/>
      <c r="AB157" s="1141"/>
      <c r="AC157" s="1153"/>
      <c r="AE157" s="1195"/>
      <c r="AF157" s="1156"/>
      <c r="AG157" s="393"/>
      <c r="AH157" s="394"/>
      <c r="AI157" s="1141"/>
      <c r="AJ157" s="1153"/>
      <c r="AK157" s="1141"/>
      <c r="AL157" s="1153"/>
      <c r="AM157" s="1141"/>
      <c r="AN157" s="1153"/>
      <c r="AO157" s="1141"/>
      <c r="AP157" s="1153"/>
      <c r="AQ157" s="1141"/>
      <c r="AR157" s="1153"/>
    </row>
    <row r="158" spans="1:44" ht="14.5" customHeight="1" outlineLevel="1">
      <c r="B158" s="541"/>
      <c r="C158" s="544"/>
      <c r="D158" s="544"/>
      <c r="E158" s="544"/>
      <c r="F158" s="544"/>
      <c r="G158" s="544"/>
      <c r="H158" s="544"/>
      <c r="I158" s="544"/>
      <c r="J158" s="544"/>
      <c r="K158" s="547"/>
      <c r="L158" s="548"/>
      <c r="M158" s="370"/>
      <c r="N158" s="370"/>
      <c r="O158" s="71"/>
      <c r="P158" s="1195"/>
      <c r="Q158" s="1154"/>
      <c r="R158" s="395"/>
      <c r="S158" s="396"/>
      <c r="T158" s="1137"/>
      <c r="U158" s="1137"/>
      <c r="V158" s="1137"/>
      <c r="W158" s="1137"/>
      <c r="X158" s="1137"/>
      <c r="Y158" s="1137"/>
      <c r="Z158" s="1137"/>
      <c r="AA158" s="1137"/>
      <c r="AB158" s="1137"/>
      <c r="AC158" s="1137"/>
      <c r="AE158" s="1195"/>
      <c r="AF158" s="1154"/>
      <c r="AG158" s="395"/>
      <c r="AH158" s="396"/>
      <c r="AI158" s="1137"/>
      <c r="AJ158" s="1137"/>
      <c r="AK158" s="1137"/>
      <c r="AL158" s="1137"/>
      <c r="AM158" s="1137"/>
      <c r="AN158" s="1137"/>
      <c r="AO158" s="1137"/>
      <c r="AP158" s="1137"/>
      <c r="AQ158" s="1137"/>
      <c r="AR158" s="1137"/>
    </row>
    <row r="159" spans="1:44" outlineLevel="1">
      <c r="B159" s="541"/>
      <c r="C159" s="544"/>
      <c r="D159" s="544"/>
      <c r="E159" s="544"/>
      <c r="F159" s="544"/>
      <c r="G159" s="544"/>
      <c r="H159" s="544"/>
      <c r="I159" s="544"/>
      <c r="J159" s="544"/>
      <c r="K159" s="547"/>
      <c r="L159" s="548"/>
      <c r="M159" s="367"/>
      <c r="N159" s="367"/>
      <c r="O159" s="71"/>
      <c r="P159" s="1195"/>
      <c r="Q159" s="1155"/>
      <c r="R159" s="395"/>
      <c r="S159" s="396"/>
      <c r="T159" s="1138"/>
      <c r="U159" s="1138"/>
      <c r="V159" s="1138"/>
      <c r="W159" s="1138"/>
      <c r="X159" s="1138"/>
      <c r="Y159" s="1138"/>
      <c r="Z159" s="1138"/>
      <c r="AA159" s="1138"/>
      <c r="AB159" s="1138"/>
      <c r="AC159" s="1138"/>
      <c r="AE159" s="1195"/>
      <c r="AF159" s="1155"/>
      <c r="AG159" s="395"/>
      <c r="AH159" s="396"/>
      <c r="AI159" s="1138"/>
      <c r="AJ159" s="1138"/>
      <c r="AK159" s="1138"/>
      <c r="AL159" s="1138"/>
      <c r="AM159" s="1138"/>
      <c r="AN159" s="1138"/>
      <c r="AO159" s="1138"/>
      <c r="AP159" s="1138"/>
      <c r="AQ159" s="1138"/>
      <c r="AR159" s="1138"/>
    </row>
    <row r="160" spans="1:44" outlineLevel="1">
      <c r="B160" s="383"/>
      <c r="C160" s="397"/>
      <c r="D160" s="397"/>
      <c r="E160" s="397"/>
      <c r="F160" s="399"/>
      <c r="G160" s="399"/>
      <c r="H160" s="399"/>
      <c r="I160" s="399"/>
      <c r="J160" s="399"/>
      <c r="K160" s="372"/>
      <c r="L160" s="373"/>
      <c r="M160" s="363"/>
      <c r="N160" s="363"/>
      <c r="P160" s="1195"/>
      <c r="Q160" s="1155"/>
      <c r="R160" s="395"/>
      <c r="S160" s="396"/>
      <c r="T160" s="1138"/>
      <c r="U160" s="1138"/>
      <c r="V160" s="1138"/>
      <c r="W160" s="1138"/>
      <c r="X160" s="1138"/>
      <c r="Y160" s="1138"/>
      <c r="Z160" s="1138"/>
      <c r="AA160" s="1138"/>
      <c r="AB160" s="1138"/>
      <c r="AC160" s="1138"/>
      <c r="AE160" s="1195"/>
      <c r="AF160" s="1155"/>
      <c r="AG160" s="395"/>
      <c r="AH160" s="396"/>
      <c r="AI160" s="1138"/>
      <c r="AJ160" s="1138"/>
      <c r="AK160" s="1138"/>
      <c r="AL160" s="1138"/>
      <c r="AM160" s="1138"/>
      <c r="AN160" s="1138"/>
      <c r="AO160" s="1138"/>
      <c r="AP160" s="1138"/>
      <c r="AQ160" s="1138"/>
      <c r="AR160" s="1138"/>
    </row>
    <row r="161" spans="1:44" ht="16" outlineLevel="1" thickBot="1">
      <c r="B161" s="541"/>
      <c r="C161" s="544"/>
      <c r="D161" s="544"/>
      <c r="E161" s="544"/>
      <c r="F161" s="544"/>
      <c r="G161" s="544"/>
      <c r="H161" s="544"/>
      <c r="I161" s="544"/>
      <c r="J161" s="544"/>
      <c r="K161" s="372"/>
      <c r="L161" s="400"/>
      <c r="M161" s="363"/>
      <c r="N161" s="363"/>
      <c r="P161" s="1195"/>
      <c r="Q161" s="1155"/>
      <c r="R161" s="395"/>
      <c r="S161" s="396"/>
      <c r="T161" s="1138"/>
      <c r="U161" s="1138"/>
      <c r="V161" s="1138"/>
      <c r="W161" s="1138"/>
      <c r="X161" s="1138"/>
      <c r="Y161" s="1138"/>
      <c r="Z161" s="1138"/>
      <c r="AA161" s="1138"/>
      <c r="AB161" s="1138"/>
      <c r="AC161" s="1138"/>
      <c r="AE161" s="1195"/>
      <c r="AF161" s="1155"/>
      <c r="AG161" s="395"/>
      <c r="AH161" s="396"/>
      <c r="AI161" s="1138"/>
      <c r="AJ161" s="1138"/>
      <c r="AK161" s="1138"/>
      <c r="AL161" s="1138"/>
      <c r="AM161" s="1138"/>
      <c r="AN161" s="1138"/>
      <c r="AO161" s="1138"/>
      <c r="AP161" s="1138"/>
      <c r="AQ161" s="1138"/>
      <c r="AR161" s="1138"/>
    </row>
    <row r="162" spans="1:44" ht="16" outlineLevel="1" thickBot="1">
      <c r="B162" s="401"/>
      <c r="C162" s="402"/>
      <c r="D162" s="403"/>
      <c r="E162" s="404"/>
      <c r="F162" s="405"/>
      <c r="G162" s="406"/>
      <c r="H162" s="406"/>
      <c r="I162" s="406"/>
      <c r="J162" s="406"/>
      <c r="K162" s="407"/>
      <c r="L162" s="408"/>
      <c r="M162" s="363"/>
      <c r="N162" s="363"/>
      <c r="P162" s="1195"/>
      <c r="Q162" s="1155"/>
      <c r="R162" s="409"/>
      <c r="S162" s="410"/>
      <c r="T162" s="1139"/>
      <c r="U162" s="1139"/>
      <c r="V162" s="1139"/>
      <c r="W162" s="1139"/>
      <c r="X162" s="1139"/>
      <c r="Y162" s="1139"/>
      <c r="Z162" s="1139"/>
      <c r="AA162" s="1139"/>
      <c r="AB162" s="1139"/>
      <c r="AC162" s="1139"/>
      <c r="AE162" s="1195"/>
      <c r="AF162" s="1155"/>
      <c r="AG162" s="409"/>
      <c r="AH162" s="410"/>
      <c r="AI162" s="1139"/>
      <c r="AJ162" s="1139"/>
      <c r="AK162" s="1139"/>
      <c r="AL162" s="1139"/>
      <c r="AM162" s="1139"/>
      <c r="AN162" s="1139"/>
      <c r="AO162" s="1139"/>
      <c r="AP162" s="1139"/>
      <c r="AQ162" s="1139"/>
      <c r="AR162" s="1139"/>
    </row>
    <row r="163" spans="1:44" ht="16" outlineLevel="1" thickBot="1">
      <c r="B163" s="541"/>
      <c r="C163" s="544"/>
      <c r="D163" s="544"/>
      <c r="E163" s="544"/>
      <c r="F163" s="544"/>
      <c r="G163" s="545"/>
      <c r="H163" s="545"/>
      <c r="I163" s="545"/>
      <c r="J163" s="545"/>
      <c r="K163" s="547"/>
      <c r="L163" s="548"/>
      <c r="M163" s="363"/>
      <c r="N163" s="363"/>
      <c r="P163" s="1196"/>
      <c r="Q163" s="411"/>
      <c r="R163" s="412"/>
      <c r="S163" s="413"/>
      <c r="T163" s="414"/>
      <c r="U163" s="415"/>
      <c r="V163" s="416"/>
      <c r="W163" s="415"/>
      <c r="X163" s="416"/>
      <c r="Y163" s="415"/>
      <c r="Z163" s="416"/>
      <c r="AA163" s="415"/>
      <c r="AB163" s="416"/>
      <c r="AC163" s="417"/>
      <c r="AE163" s="1196"/>
      <c r="AF163" s="411"/>
      <c r="AG163" s="412"/>
      <c r="AH163" s="413"/>
      <c r="AI163" s="414"/>
      <c r="AJ163" s="415"/>
      <c r="AK163" s="416"/>
      <c r="AL163" s="415"/>
      <c r="AM163" s="416"/>
      <c r="AN163" s="415"/>
      <c r="AO163" s="416"/>
      <c r="AP163" s="415"/>
      <c r="AQ163" s="416"/>
      <c r="AR163" s="417"/>
    </row>
    <row r="164" spans="1:44" outlineLevel="1">
      <c r="B164" s="541"/>
      <c r="C164" s="544"/>
      <c r="D164" s="544"/>
      <c r="E164" s="544"/>
      <c r="F164" s="544"/>
      <c r="G164" s="549"/>
      <c r="H164" s="549"/>
      <c r="I164" s="549"/>
      <c r="J164" s="549"/>
      <c r="K164" s="550"/>
      <c r="L164" s="548"/>
      <c r="M164" s="363"/>
      <c r="N164" s="363"/>
    </row>
    <row r="165" spans="1:44" outlineLevel="1">
      <c r="B165" s="541"/>
      <c r="C165" s="544"/>
      <c r="D165" s="544"/>
      <c r="E165" s="544"/>
      <c r="F165" s="544"/>
      <c r="G165" s="549"/>
      <c r="H165" s="549"/>
      <c r="I165" s="549"/>
      <c r="J165" s="549"/>
      <c r="K165" s="550"/>
      <c r="L165" s="548"/>
      <c r="M165" s="420"/>
      <c r="N165" s="363"/>
    </row>
    <row r="166" spans="1:44" outlineLevel="1">
      <c r="B166" s="421"/>
      <c r="C166" s="399"/>
      <c r="D166" s="399"/>
      <c r="E166" s="399"/>
      <c r="F166" s="399"/>
      <c r="G166" s="422"/>
      <c r="H166" s="422"/>
      <c r="I166" s="422"/>
      <c r="J166" s="422"/>
      <c r="K166" s="423"/>
      <c r="L166" s="424"/>
      <c r="M166" s="420"/>
      <c r="N166" s="420"/>
    </row>
    <row r="167" spans="1:44" outlineLevel="1">
      <c r="B167" s="383"/>
      <c r="C167" s="397"/>
      <c r="D167" s="397"/>
      <c r="E167" s="397"/>
      <c r="F167" s="397"/>
      <c r="G167" s="422"/>
      <c r="H167" s="425"/>
      <c r="I167" s="425"/>
      <c r="J167" s="425"/>
      <c r="K167" s="426"/>
      <c r="L167" s="427"/>
      <c r="M167" s="428"/>
      <c r="N167" s="428"/>
    </row>
    <row r="168" spans="1:44" outlineLevel="1">
      <c r="B168" s="383"/>
      <c r="C168" s="397"/>
      <c r="D168" s="397"/>
      <c r="E168" s="397"/>
      <c r="F168" s="397"/>
      <c r="G168" s="425"/>
      <c r="H168" s="425"/>
      <c r="I168" s="425"/>
      <c r="J168" s="425"/>
      <c r="K168" s="423"/>
      <c r="L168" s="427"/>
      <c r="M168" s="428"/>
      <c r="N168" s="428"/>
    </row>
    <row r="169" spans="1:44" outlineLevel="1">
      <c r="B169" s="383"/>
      <c r="C169" s="397"/>
      <c r="D169" s="397"/>
      <c r="E169" s="397"/>
      <c r="F169" s="397"/>
      <c r="G169" s="425"/>
      <c r="H169" s="425"/>
      <c r="I169" s="425"/>
      <c r="J169" s="425"/>
      <c r="K169" s="423"/>
      <c r="L169" s="427"/>
      <c r="M169" s="428"/>
      <c r="N169" s="428"/>
    </row>
    <row r="170" spans="1:44" outlineLevel="1">
      <c r="B170" s="383"/>
      <c r="C170" s="397"/>
      <c r="D170" s="397"/>
      <c r="E170" s="397"/>
      <c r="F170" s="397"/>
      <c r="G170" s="425"/>
      <c r="H170" s="425"/>
      <c r="I170" s="425"/>
      <c r="J170" s="425"/>
      <c r="K170" s="423"/>
      <c r="L170" s="427"/>
      <c r="M170" s="428"/>
      <c r="N170" s="428"/>
    </row>
    <row r="171" spans="1:44" ht="16" outlineLevel="1" thickBot="1">
      <c r="B171" s="429"/>
      <c r="C171" s="430"/>
      <c r="D171" s="430"/>
      <c r="E171" s="430"/>
      <c r="F171" s="430"/>
      <c r="G171" s="425"/>
      <c r="H171" s="425"/>
      <c r="I171" s="425"/>
      <c r="J171" s="425"/>
      <c r="K171" s="423"/>
      <c r="L171" s="427"/>
      <c r="M171" s="428"/>
      <c r="N171" s="428"/>
    </row>
    <row r="172" spans="1:44" ht="16" outlineLevel="1" thickBot="1">
      <c r="B172" s="431"/>
      <c r="C172" s="432"/>
      <c r="D172" s="403"/>
      <c r="E172" s="403"/>
      <c r="F172" s="433"/>
      <c r="G172" s="434"/>
      <c r="H172" s="406"/>
      <c r="I172" s="406"/>
      <c r="J172" s="406"/>
      <c r="K172" s="407"/>
      <c r="L172" s="408"/>
      <c r="M172" s="428"/>
      <c r="N172" s="428"/>
    </row>
    <row r="173" spans="1:44" outlineLevel="1">
      <c r="A173" s="435"/>
      <c r="B173" s="436"/>
      <c r="C173" s="551"/>
      <c r="D173" s="438"/>
      <c r="E173" s="438"/>
      <c r="F173" s="439"/>
      <c r="G173" s="425"/>
      <c r="H173" s="425"/>
      <c r="I173" s="425"/>
      <c r="J173" s="425"/>
      <c r="K173" s="426"/>
      <c r="L173" s="440"/>
      <c r="M173" s="420"/>
      <c r="N173" s="420"/>
    </row>
    <row r="174" spans="1:44" outlineLevel="1">
      <c r="B174" s="441"/>
      <c r="C174" s="442"/>
      <c r="D174" s="443"/>
      <c r="E174" s="443"/>
      <c r="F174" s="443"/>
      <c r="G174" s="425"/>
      <c r="H174" s="425"/>
      <c r="I174" s="425"/>
      <c r="J174" s="425"/>
      <c r="K174" s="444"/>
      <c r="L174" s="373"/>
      <c r="M174" s="71"/>
      <c r="N174" s="420"/>
    </row>
    <row r="175" spans="1:44" outlineLevel="1">
      <c r="B175" s="441"/>
      <c r="C175" s="442"/>
      <c r="D175" s="442"/>
      <c r="E175" s="442"/>
      <c r="F175" s="442"/>
      <c r="G175" s="425"/>
      <c r="H175" s="425"/>
      <c r="I175" s="425"/>
      <c r="J175" s="425"/>
      <c r="K175" s="444"/>
      <c r="L175" s="373"/>
      <c r="M175" s="420"/>
      <c r="N175" s="420"/>
    </row>
    <row r="176" spans="1:44" outlineLevel="1">
      <c r="B176" s="383"/>
      <c r="C176" s="445"/>
      <c r="D176" s="446"/>
      <c r="E176" s="446"/>
      <c r="F176" s="447"/>
      <c r="G176" s="425"/>
      <c r="H176" s="425"/>
      <c r="I176" s="425"/>
      <c r="J176" s="425"/>
      <c r="K176" s="448"/>
      <c r="L176" s="373"/>
      <c r="M176" s="420"/>
      <c r="N176" s="420"/>
    </row>
    <row r="177" spans="2:30" outlineLevel="1">
      <c r="B177" s="383"/>
      <c r="C177" s="449"/>
      <c r="D177" s="449"/>
      <c r="E177" s="449"/>
      <c r="F177" s="449"/>
      <c r="G177" s="425"/>
      <c r="H177" s="425"/>
      <c r="I177" s="425"/>
      <c r="J177" s="425"/>
      <c r="K177" s="448"/>
      <c r="L177" s="373"/>
      <c r="M177" s="450"/>
      <c r="N177" s="361"/>
      <c r="P177" s="1142"/>
      <c r="Q177" s="1143"/>
      <c r="R177" s="1143"/>
      <c r="S177" s="1143"/>
      <c r="T177" s="1143"/>
      <c r="U177" s="1144"/>
    </row>
    <row r="178" spans="2:30" ht="16" outlineLevel="1" thickBot="1">
      <c r="B178" s="541"/>
      <c r="C178" s="552"/>
      <c r="D178" s="552"/>
      <c r="E178" s="552"/>
      <c r="F178" s="552"/>
      <c r="G178" s="553"/>
      <c r="H178" s="553"/>
      <c r="I178" s="553"/>
      <c r="J178" s="553"/>
      <c r="K178" s="547"/>
      <c r="L178" s="548"/>
      <c r="M178" s="450"/>
      <c r="N178" s="361"/>
      <c r="P178" s="1134"/>
      <c r="Q178" s="1135"/>
      <c r="R178" s="1135"/>
      <c r="S178" s="1135"/>
      <c r="T178" s="1135"/>
      <c r="U178" s="1136"/>
    </row>
    <row r="179" spans="2:30" outlineLevel="1">
      <c r="B179" s="541"/>
      <c r="C179" s="554"/>
      <c r="D179" s="554"/>
      <c r="E179" s="554"/>
      <c r="F179" s="554"/>
      <c r="G179" s="553"/>
      <c r="H179" s="553"/>
      <c r="I179" s="553"/>
      <c r="J179" s="553"/>
      <c r="K179" s="555"/>
      <c r="L179" s="548"/>
      <c r="M179" s="363"/>
      <c r="N179" s="363"/>
      <c r="P179" s="53"/>
    </row>
    <row r="180" spans="2:30" outlineLevel="1">
      <c r="B180" s="441"/>
      <c r="C180" s="456"/>
      <c r="D180" s="456"/>
      <c r="E180" s="456"/>
      <c r="F180" s="456"/>
      <c r="G180" s="425"/>
      <c r="H180" s="425"/>
      <c r="I180" s="425"/>
      <c r="J180" s="425"/>
      <c r="K180" s="444"/>
      <c r="L180" s="424"/>
      <c r="M180" s="367"/>
      <c r="N180" s="367"/>
      <c r="P180" s="46"/>
      <c r="Q180" s="46"/>
      <c r="R180" s="47"/>
      <c r="S180" s="47"/>
      <c r="T180" s="47"/>
      <c r="U180" s="48"/>
      <c r="V180" s="49"/>
      <c r="W180" s="49"/>
      <c r="X180" s="49"/>
      <c r="Y180" s="49"/>
      <c r="Z180" s="49"/>
      <c r="AA180" s="49"/>
      <c r="AB180" s="49"/>
      <c r="AC180" s="49"/>
      <c r="AD180" s="49"/>
    </row>
    <row r="181" spans="2:30" ht="16" outlineLevel="1" thickBot="1">
      <c r="B181" s="441"/>
      <c r="C181" s="442"/>
      <c r="D181" s="457"/>
      <c r="E181" s="457"/>
      <c r="F181" s="458"/>
      <c r="G181" s="425"/>
      <c r="H181" s="425"/>
      <c r="I181" s="425"/>
      <c r="J181" s="425"/>
      <c r="K181" s="448"/>
      <c r="L181" s="424"/>
      <c r="M181" s="363"/>
      <c r="N181" s="363"/>
      <c r="P181" s="50"/>
      <c r="Q181" s="50"/>
      <c r="R181" s="51"/>
      <c r="S181" s="51"/>
      <c r="T181" s="51"/>
      <c r="U181" s="51"/>
      <c r="V181" s="50"/>
      <c r="W181" s="50"/>
      <c r="X181" s="50"/>
      <c r="Y181" s="50"/>
      <c r="Z181" s="50"/>
      <c r="AA181" s="50"/>
      <c r="AB181" s="50"/>
      <c r="AC181" s="50"/>
      <c r="AD181" s="50"/>
    </row>
    <row r="182" spans="2:30" ht="16" outlineLevel="1" thickBot="1">
      <c r="B182" s="401"/>
      <c r="C182" s="402"/>
      <c r="D182" s="403"/>
      <c r="E182" s="404"/>
      <c r="F182" s="405"/>
      <c r="G182" s="406"/>
      <c r="H182" s="406"/>
      <c r="I182" s="406"/>
      <c r="J182" s="406"/>
      <c r="K182" s="459"/>
      <c r="L182" s="460"/>
      <c r="M182" s="363"/>
      <c r="N182" s="363"/>
      <c r="O182" s="461"/>
      <c r="P182" s="56"/>
      <c r="Q182" s="56"/>
      <c r="R182" s="57"/>
      <c r="S182" s="57"/>
      <c r="T182" s="57"/>
      <c r="U182" s="56"/>
      <c r="V182" s="56"/>
      <c r="W182" s="56"/>
      <c r="X182" s="56"/>
      <c r="Y182" s="56"/>
      <c r="Z182" s="56"/>
      <c r="AA182" s="56"/>
      <c r="AB182" s="56"/>
      <c r="AC182" s="56"/>
      <c r="AD182" s="56"/>
    </row>
    <row r="183" spans="2:30" outlineLevel="1">
      <c r="B183" s="556"/>
      <c r="C183" s="557"/>
      <c r="D183" s="557"/>
      <c r="E183" s="557"/>
      <c r="F183" s="557"/>
      <c r="G183" s="558"/>
      <c r="H183" s="558"/>
      <c r="I183" s="558"/>
      <c r="J183" s="558"/>
      <c r="K183" s="558"/>
      <c r="L183" s="559"/>
      <c r="M183" s="363"/>
      <c r="N183" s="363"/>
      <c r="O183" s="465"/>
      <c r="P183" s="466"/>
      <c r="Q183" s="58"/>
      <c r="R183" s="466"/>
      <c r="S183" s="58"/>
      <c r="T183" s="466"/>
      <c r="U183" s="467"/>
      <c r="V183" s="467"/>
      <c r="W183" s="467"/>
      <c r="X183" s="58"/>
      <c r="Y183" s="58"/>
      <c r="Z183" s="466"/>
      <c r="AA183" s="468"/>
      <c r="AB183" s="468"/>
      <c r="AC183" s="468"/>
      <c r="AD183" s="468"/>
    </row>
    <row r="184" spans="2:30" outlineLevel="1">
      <c r="B184" s="541"/>
      <c r="C184" s="560"/>
      <c r="D184" s="561"/>
      <c r="E184" s="561"/>
      <c r="F184" s="562"/>
      <c r="G184" s="562"/>
      <c r="H184" s="562"/>
      <c r="I184" s="562"/>
      <c r="J184" s="562"/>
      <c r="K184" s="563"/>
      <c r="L184" s="559"/>
      <c r="M184" s="363"/>
      <c r="N184" s="363"/>
      <c r="O184" s="465"/>
      <c r="P184" s="466"/>
      <c r="Q184" s="58"/>
      <c r="R184" s="466"/>
      <c r="S184" s="58"/>
      <c r="T184" s="466"/>
      <c r="U184" s="467"/>
      <c r="V184" s="467"/>
      <c r="W184" s="467"/>
      <c r="X184" s="58"/>
      <c r="Y184" s="58"/>
      <c r="Z184" s="466"/>
      <c r="AA184" s="468"/>
      <c r="AB184" s="468"/>
      <c r="AC184" s="468"/>
      <c r="AD184" s="468"/>
    </row>
    <row r="185" spans="2:30" outlineLevel="1">
      <c r="B185" s="541"/>
      <c r="C185" s="560"/>
      <c r="D185" s="561"/>
      <c r="E185" s="561"/>
      <c r="F185" s="562"/>
      <c r="G185" s="562"/>
      <c r="H185" s="562"/>
      <c r="I185" s="562"/>
      <c r="J185" s="562"/>
      <c r="K185" s="563"/>
      <c r="L185" s="559"/>
      <c r="M185" s="363"/>
      <c r="N185" s="363"/>
      <c r="O185" s="465"/>
      <c r="P185" s="466"/>
      <c r="Q185" s="58"/>
      <c r="R185" s="466"/>
      <c r="S185" s="58"/>
      <c r="T185" s="466"/>
      <c r="U185" s="467"/>
      <c r="V185" s="467"/>
      <c r="W185" s="467"/>
      <c r="X185" s="58"/>
      <c r="Y185" s="58"/>
      <c r="Z185" s="466"/>
      <c r="AA185" s="468"/>
      <c r="AB185" s="468"/>
      <c r="AC185" s="468"/>
      <c r="AD185" s="468"/>
    </row>
    <row r="186" spans="2:30" outlineLevel="1">
      <c r="B186" s="541"/>
      <c r="C186" s="564"/>
      <c r="D186" s="564"/>
      <c r="E186" s="564"/>
      <c r="F186" s="564"/>
      <c r="G186" s="565"/>
      <c r="H186" s="565"/>
      <c r="I186" s="565"/>
      <c r="J186" s="565"/>
      <c r="K186" s="565"/>
      <c r="L186" s="548"/>
      <c r="M186" s="363"/>
      <c r="N186" s="363"/>
      <c r="O186" s="465"/>
      <c r="P186" s="466"/>
      <c r="Q186" s="58"/>
      <c r="R186" s="466"/>
      <c r="S186" s="58"/>
      <c r="T186" s="466"/>
      <c r="U186" s="467"/>
      <c r="V186" s="467"/>
      <c r="W186" s="467"/>
      <c r="X186" s="58"/>
      <c r="Y186" s="58"/>
      <c r="Z186" s="466"/>
      <c r="AA186" s="468"/>
      <c r="AB186" s="468"/>
      <c r="AC186" s="468"/>
      <c r="AD186" s="468"/>
    </row>
    <row r="187" spans="2:30" outlineLevel="1">
      <c r="B187" s="566"/>
      <c r="C187" s="560"/>
      <c r="D187" s="561"/>
      <c r="E187" s="561"/>
      <c r="F187" s="562"/>
      <c r="G187" s="562"/>
      <c r="H187" s="562"/>
      <c r="I187" s="562"/>
      <c r="J187" s="562"/>
      <c r="K187" s="563"/>
      <c r="L187" s="559"/>
      <c r="M187" s="367"/>
      <c r="N187" s="367"/>
    </row>
    <row r="188" spans="2:30" outlineLevel="1">
      <c r="B188" s="566"/>
      <c r="C188" s="560"/>
      <c r="D188" s="561"/>
      <c r="E188" s="561"/>
      <c r="F188" s="562"/>
      <c r="G188" s="562"/>
      <c r="H188" s="562"/>
      <c r="I188" s="562"/>
      <c r="J188" s="562"/>
      <c r="K188" s="563"/>
      <c r="L188" s="559"/>
      <c r="M188" s="363"/>
      <c r="N188" s="363"/>
    </row>
    <row r="189" spans="2:30" ht="16" outlineLevel="1" thickBot="1">
      <c r="B189" s="567"/>
      <c r="C189" s="568"/>
      <c r="D189" s="568"/>
      <c r="E189" s="568"/>
      <c r="F189" s="568"/>
      <c r="G189" s="568"/>
      <c r="H189" s="568"/>
      <c r="I189" s="568"/>
      <c r="J189" s="568"/>
      <c r="K189" s="568"/>
      <c r="L189" s="569"/>
      <c r="M189" s="363"/>
      <c r="N189" s="363"/>
    </row>
    <row r="190" spans="2:30" outlineLevel="1">
      <c r="B190" s="461"/>
      <c r="C190" s="483"/>
      <c r="D190" s="483"/>
      <c r="E190" s="483"/>
      <c r="F190" s="483"/>
      <c r="G190" s="483"/>
      <c r="H190" s="484"/>
      <c r="I190" s="420"/>
      <c r="J190" s="420"/>
      <c r="K190" s="484"/>
      <c r="L190" s="484"/>
      <c r="N190" s="420"/>
    </row>
    <row r="191" spans="2:30" outlineLevel="1">
      <c r="B191" s="485"/>
      <c r="C191" s="486"/>
      <c r="D191" s="486"/>
      <c r="E191" s="486"/>
      <c r="F191" s="486"/>
      <c r="G191" s="486"/>
      <c r="H191" s="484"/>
      <c r="I191" s="71"/>
      <c r="J191" s="420"/>
      <c r="K191" s="484"/>
      <c r="L191" s="484"/>
      <c r="N191" s="420"/>
    </row>
    <row r="192" spans="2:30" outlineLevel="1">
      <c r="B192" s="461"/>
      <c r="C192" s="359"/>
      <c r="D192" s="359"/>
      <c r="E192" s="359"/>
      <c r="F192" s="359"/>
      <c r="G192" s="359"/>
      <c r="I192" s="420"/>
      <c r="J192" s="420"/>
      <c r="N192" s="420"/>
    </row>
    <row r="193" spans="1:16" outlineLevel="1">
      <c r="B193" s="461"/>
      <c r="C193" s="487"/>
      <c r="D193" s="487"/>
      <c r="E193" s="487"/>
      <c r="F193" s="487"/>
      <c r="G193" s="359"/>
      <c r="M193" s="420"/>
      <c r="N193" s="420"/>
    </row>
    <row r="194" spans="1:16" outlineLevel="1"/>
    <row r="195" spans="1:16" outlineLevel="1">
      <c r="A195" s="488"/>
      <c r="B195" s="489"/>
      <c r="D195" s="490"/>
      <c r="E195" s="490"/>
      <c r="F195" s="490"/>
      <c r="G195" s="358"/>
      <c r="H195" s="358"/>
      <c r="I195" s="358"/>
      <c r="J195" s="358"/>
      <c r="K195" s="358"/>
      <c r="L195" s="358"/>
      <c r="N195" s="570"/>
      <c r="O195" s="489"/>
      <c r="P195" s="490"/>
    </row>
    <row r="196" spans="1:16" outlineLevel="1">
      <c r="A196" s="491"/>
      <c r="B196" s="492"/>
      <c r="D196" s="490"/>
      <c r="E196" s="490"/>
      <c r="F196" s="490"/>
      <c r="G196" s="358"/>
      <c r="H196" s="358"/>
      <c r="I196" s="358"/>
      <c r="J196" s="358"/>
      <c r="K196" s="358"/>
      <c r="L196" s="358"/>
      <c r="N196" s="570"/>
      <c r="O196" s="489"/>
      <c r="P196" s="490"/>
    </row>
    <row r="197" spans="1:16" outlineLevel="1">
      <c r="A197" s="491"/>
      <c r="B197" s="493"/>
      <c r="D197" s="490"/>
      <c r="E197" s="490"/>
      <c r="F197" s="490"/>
      <c r="G197" s="358"/>
      <c r="H197" s="358"/>
      <c r="I197" s="358"/>
      <c r="J197" s="358"/>
      <c r="K197" s="358"/>
      <c r="L197" s="358"/>
      <c r="N197" s="570"/>
      <c r="O197" s="489"/>
      <c r="P197" s="490"/>
    </row>
    <row r="198" spans="1:16" outlineLevel="1">
      <c r="A198" s="491"/>
      <c r="B198" s="493"/>
      <c r="D198" s="490"/>
      <c r="E198" s="490"/>
      <c r="F198" s="490"/>
      <c r="G198" s="358"/>
      <c r="H198" s="358"/>
      <c r="I198" s="358"/>
      <c r="J198" s="358"/>
      <c r="K198" s="358"/>
      <c r="L198" s="358"/>
      <c r="N198" s="570"/>
      <c r="O198" s="489"/>
      <c r="P198" s="490"/>
    </row>
    <row r="199" spans="1:16" outlineLevel="1">
      <c r="A199" s="491"/>
      <c r="B199" s="493"/>
      <c r="D199" s="490"/>
      <c r="E199" s="490"/>
      <c r="F199" s="490"/>
      <c r="G199" s="358"/>
      <c r="H199" s="358"/>
      <c r="I199" s="358"/>
      <c r="J199" s="358"/>
      <c r="K199" s="358"/>
      <c r="L199" s="358"/>
      <c r="N199" s="570"/>
      <c r="O199" s="489"/>
      <c r="P199" s="490"/>
    </row>
    <row r="200" spans="1:16" outlineLevel="1">
      <c r="A200" s="358"/>
      <c r="B200" s="494"/>
      <c r="D200" s="490"/>
      <c r="E200" s="490"/>
      <c r="F200" s="490"/>
      <c r="G200" s="358"/>
      <c r="H200" s="358"/>
      <c r="I200" s="358"/>
      <c r="J200" s="358"/>
      <c r="K200" s="358"/>
      <c r="L200" s="358"/>
    </row>
    <row r="201" spans="1:16" outlineLevel="1">
      <c r="A201" s="358"/>
      <c r="B201" s="492"/>
      <c r="D201" s="490"/>
      <c r="E201" s="490"/>
      <c r="F201" s="490"/>
      <c r="G201" s="358"/>
      <c r="H201" s="358"/>
      <c r="I201" s="358"/>
      <c r="J201" s="358"/>
      <c r="K201" s="358"/>
      <c r="L201" s="358"/>
    </row>
    <row r="202" spans="1:16" outlineLevel="1">
      <c r="A202" s="358"/>
      <c r="B202" s="495"/>
      <c r="D202" s="490"/>
      <c r="E202" s="490"/>
      <c r="F202" s="490"/>
      <c r="G202" s="358"/>
      <c r="H202" s="358"/>
      <c r="I202" s="358"/>
      <c r="J202" s="358"/>
      <c r="K202" s="358"/>
      <c r="L202" s="358"/>
    </row>
    <row r="203" spans="1:16" outlineLevel="1">
      <c r="A203" s="358"/>
      <c r="B203" s="495"/>
      <c r="D203" s="490"/>
      <c r="E203" s="490"/>
      <c r="F203" s="490"/>
      <c r="G203" s="358"/>
      <c r="H203" s="358"/>
      <c r="I203" s="358"/>
      <c r="J203" s="358"/>
      <c r="K203" s="358"/>
      <c r="L203" s="358"/>
    </row>
    <row r="204" spans="1:16" outlineLevel="1">
      <c r="A204" s="358"/>
      <c r="B204" s="489"/>
      <c r="D204" s="490"/>
      <c r="E204" s="490"/>
      <c r="F204" s="490"/>
      <c r="G204" s="358"/>
      <c r="H204" s="358"/>
      <c r="I204" s="358"/>
      <c r="J204" s="358"/>
      <c r="K204" s="358"/>
      <c r="L204" s="358"/>
    </row>
    <row r="205" spans="1:16" outlineLevel="1">
      <c r="A205" s="358"/>
      <c r="B205" s="490"/>
      <c r="D205" s="490"/>
      <c r="E205" s="490"/>
      <c r="F205" s="490"/>
      <c r="G205" s="358"/>
      <c r="H205" s="358"/>
      <c r="I205" s="358"/>
      <c r="J205" s="358"/>
      <c r="K205" s="358"/>
      <c r="L205" s="358"/>
    </row>
    <row r="206" spans="1:16" outlineLevel="1">
      <c r="A206" s="488"/>
      <c r="B206" s="489"/>
      <c r="D206" s="490"/>
      <c r="E206" s="490"/>
      <c r="F206" s="490"/>
      <c r="G206" s="358"/>
      <c r="H206" s="358"/>
      <c r="I206" s="358"/>
      <c r="J206" s="358"/>
      <c r="K206" s="358"/>
      <c r="L206" s="358"/>
    </row>
    <row r="207" spans="1:16" outlineLevel="1">
      <c r="A207" s="496"/>
      <c r="B207" s="497"/>
      <c r="C207" s="490"/>
      <c r="D207" s="490"/>
      <c r="E207" s="490"/>
      <c r="F207" s="490"/>
      <c r="G207" s="358"/>
      <c r="H207" s="358"/>
      <c r="I207" s="358"/>
      <c r="J207" s="358"/>
      <c r="K207" s="358"/>
      <c r="L207" s="358"/>
      <c r="N207" s="570"/>
      <c r="O207" s="489"/>
      <c r="P207" s="490"/>
    </row>
    <row r="208" spans="1:16" outlineLevel="1">
      <c r="A208" s="496"/>
      <c r="B208" s="489"/>
      <c r="C208" s="490"/>
      <c r="D208" s="490"/>
      <c r="E208" s="490"/>
      <c r="F208" s="490"/>
      <c r="G208" s="358"/>
      <c r="H208" s="358"/>
      <c r="I208" s="358"/>
      <c r="J208" s="358"/>
      <c r="K208" s="358"/>
      <c r="L208" s="358"/>
      <c r="N208" s="571"/>
      <c r="O208" s="489"/>
      <c r="P208" s="490"/>
    </row>
    <row r="209" spans="1:44" outlineLevel="1">
      <c r="A209" s="496"/>
      <c r="B209" s="489"/>
      <c r="C209" s="490"/>
      <c r="D209" s="490"/>
      <c r="E209" s="490"/>
      <c r="F209" s="490"/>
      <c r="G209" s="358"/>
      <c r="H209" s="358"/>
      <c r="I209" s="358"/>
      <c r="J209" s="358"/>
      <c r="K209" s="358"/>
      <c r="L209" s="358"/>
      <c r="N209" s="572"/>
      <c r="O209" s="489"/>
      <c r="P209" s="490"/>
    </row>
    <row r="210" spans="1:44" outlineLevel="1">
      <c r="A210" s="496"/>
      <c r="B210" s="489"/>
      <c r="C210" s="490"/>
      <c r="D210" s="490"/>
      <c r="E210" s="490"/>
      <c r="F210" s="490"/>
      <c r="G210" s="358"/>
      <c r="H210" s="358"/>
      <c r="I210" s="358"/>
      <c r="J210" s="358"/>
      <c r="K210" s="358"/>
      <c r="L210" s="358"/>
      <c r="N210" s="573"/>
      <c r="O210" s="489"/>
      <c r="P210" s="490"/>
    </row>
    <row r="211" spans="1:44" outlineLevel="1">
      <c r="A211" s="496"/>
      <c r="B211" s="498"/>
      <c r="C211" s="490"/>
      <c r="D211" s="490"/>
      <c r="E211" s="490"/>
      <c r="F211" s="490"/>
      <c r="G211" s="358"/>
      <c r="H211" s="358"/>
      <c r="I211" s="358"/>
      <c r="J211" s="358"/>
      <c r="K211" s="358"/>
      <c r="L211" s="358"/>
      <c r="N211" s="573"/>
      <c r="O211" s="490"/>
      <c r="P211" s="490"/>
    </row>
    <row r="212" spans="1:44" outlineLevel="1">
      <c r="A212" s="496"/>
      <c r="B212" s="489"/>
      <c r="C212" s="490"/>
      <c r="D212" s="490"/>
      <c r="E212" s="490"/>
      <c r="F212" s="490"/>
      <c r="G212" s="358"/>
      <c r="H212" s="358"/>
      <c r="I212" s="358"/>
      <c r="J212" s="358"/>
      <c r="K212" s="358"/>
      <c r="L212" s="358"/>
      <c r="N212" s="489"/>
      <c r="O212" s="490"/>
      <c r="P212" s="490"/>
    </row>
    <row r="213" spans="1:44" outlineLevel="1">
      <c r="A213" s="496"/>
      <c r="B213" s="489"/>
      <c r="C213" s="490"/>
      <c r="D213" s="490"/>
      <c r="E213" s="490"/>
      <c r="F213" s="490"/>
      <c r="G213" s="358"/>
      <c r="H213" s="358"/>
      <c r="I213" s="358"/>
      <c r="J213" s="358"/>
      <c r="K213" s="358"/>
      <c r="L213" s="358"/>
      <c r="N213" s="490"/>
      <c r="O213" s="490"/>
      <c r="P213" s="490"/>
    </row>
    <row r="214" spans="1:44" outlineLevel="1"/>
    <row r="215" spans="1:44" outlineLevel="1"/>
    <row r="217" spans="1:44" ht="16" thickBot="1">
      <c r="A217" s="360"/>
    </row>
    <row r="218" spans="1:44" ht="20.5" customHeight="1" outlineLevel="1" thickBot="1">
      <c r="B218" s="362"/>
      <c r="C218" s="1186"/>
      <c r="D218" s="1205"/>
      <c r="E218" s="1205"/>
      <c r="F218" s="1205"/>
      <c r="G218" s="1205"/>
      <c r="H218" s="1205"/>
      <c r="I218" s="1205"/>
      <c r="J218" s="1205"/>
      <c r="K218" s="1205"/>
      <c r="L218" s="1206"/>
      <c r="M218" s="363"/>
      <c r="N218" s="363"/>
      <c r="P218" s="364"/>
      <c r="Q218" s="365"/>
      <c r="R218" s="366"/>
      <c r="S218" s="1176"/>
      <c r="T218" s="1160"/>
      <c r="U218" s="1161"/>
      <c r="V218" s="1160"/>
      <c r="W218" s="1161"/>
      <c r="X218" s="1160"/>
      <c r="Y218" s="1161"/>
      <c r="Z218" s="1160"/>
      <c r="AA218" s="1161"/>
      <c r="AB218" s="1160"/>
      <c r="AC218" s="1161"/>
      <c r="AE218" s="364"/>
      <c r="AF218" s="365"/>
      <c r="AG218" s="366"/>
      <c r="AH218" s="1176"/>
      <c r="AI218" s="1160"/>
      <c r="AJ218" s="1161"/>
      <c r="AK218" s="1160"/>
      <c r="AL218" s="1161"/>
      <c r="AM218" s="1160"/>
      <c r="AN218" s="1161"/>
      <c r="AO218" s="1160"/>
      <c r="AP218" s="1161"/>
      <c r="AQ218" s="1160"/>
      <c r="AR218" s="1161"/>
    </row>
    <row r="219" spans="1:44" ht="15" customHeight="1" outlineLevel="1" thickBot="1">
      <c r="B219" s="1164"/>
      <c r="C219" s="1166"/>
      <c r="D219" s="1166"/>
      <c r="E219" s="1166"/>
      <c r="F219" s="1166"/>
      <c r="G219" s="1168"/>
      <c r="H219" s="1169"/>
      <c r="I219" s="1168"/>
      <c r="J219" s="1169"/>
      <c r="K219" s="1189"/>
      <c r="L219" s="1189"/>
      <c r="M219" s="367"/>
      <c r="N219" s="367"/>
      <c r="P219" s="1180"/>
      <c r="Q219" s="368"/>
      <c r="R219" s="368"/>
      <c r="S219" s="1177"/>
      <c r="T219" s="1162"/>
      <c r="U219" s="1163"/>
      <c r="V219" s="1162"/>
      <c r="W219" s="1163"/>
      <c r="X219" s="1162"/>
      <c r="Y219" s="1163"/>
      <c r="Z219" s="1162"/>
      <c r="AA219" s="1163"/>
      <c r="AB219" s="1162"/>
      <c r="AC219" s="1163"/>
      <c r="AE219" s="1180"/>
      <c r="AF219" s="368"/>
      <c r="AG219" s="368"/>
      <c r="AH219" s="1177"/>
      <c r="AI219" s="1162"/>
      <c r="AJ219" s="1163"/>
      <c r="AK219" s="1162"/>
      <c r="AL219" s="1163"/>
      <c r="AM219" s="1162"/>
      <c r="AN219" s="1163"/>
      <c r="AO219" s="1162"/>
      <c r="AP219" s="1163"/>
      <c r="AQ219" s="1162"/>
      <c r="AR219" s="1163"/>
    </row>
    <row r="220" spans="1:44" ht="15" customHeight="1" outlineLevel="1" thickBot="1">
      <c r="B220" s="1165"/>
      <c r="C220" s="1167"/>
      <c r="D220" s="1167"/>
      <c r="E220" s="1167"/>
      <c r="F220" s="1167"/>
      <c r="G220" s="406"/>
      <c r="H220" s="406"/>
      <c r="I220" s="406"/>
      <c r="J220" s="406"/>
      <c r="K220" s="1190"/>
      <c r="L220" s="1190"/>
      <c r="M220" s="370"/>
      <c r="N220" s="370"/>
      <c r="P220" s="1181"/>
      <c r="Q220" s="1183"/>
      <c r="R220" s="1184"/>
      <c r="S220" s="1178"/>
      <c r="T220" s="1162"/>
      <c r="U220" s="1163"/>
      <c r="V220" s="1162"/>
      <c r="W220" s="1163"/>
      <c r="X220" s="1162"/>
      <c r="Y220" s="1163"/>
      <c r="Z220" s="1162"/>
      <c r="AA220" s="1163"/>
      <c r="AB220" s="1162"/>
      <c r="AC220" s="1163"/>
      <c r="AE220" s="1181"/>
      <c r="AF220" s="1197"/>
      <c r="AG220" s="1184"/>
      <c r="AH220" s="1178"/>
      <c r="AI220" s="1162"/>
      <c r="AJ220" s="1163"/>
      <c r="AK220" s="1162"/>
      <c r="AL220" s="1163"/>
      <c r="AM220" s="1162"/>
      <c r="AN220" s="1163"/>
      <c r="AO220" s="1162"/>
      <c r="AP220" s="1163"/>
      <c r="AQ220" s="1162"/>
      <c r="AR220" s="1163"/>
    </row>
    <row r="221" spans="1:44" ht="16" outlineLevel="1" thickBot="1">
      <c r="B221" s="371"/>
      <c r="C221" s="372"/>
      <c r="D221" s="372"/>
      <c r="E221" s="372"/>
      <c r="F221" s="372"/>
      <c r="G221" s="372"/>
      <c r="H221" s="372"/>
      <c r="I221" s="372"/>
      <c r="J221" s="372"/>
      <c r="K221" s="372"/>
      <c r="L221" s="373"/>
      <c r="M221" s="370"/>
      <c r="N221" s="370"/>
      <c r="O221" s="74"/>
      <c r="P221" s="1182"/>
      <c r="Q221" s="1179"/>
      <c r="R221" s="1185"/>
      <c r="S221" s="1179"/>
      <c r="T221" s="374"/>
      <c r="U221" s="375"/>
      <c r="V221" s="374"/>
      <c r="W221" s="375"/>
      <c r="X221" s="374"/>
      <c r="Y221" s="375"/>
      <c r="Z221" s="374"/>
      <c r="AA221" s="375"/>
      <c r="AB221" s="374"/>
      <c r="AC221" s="375"/>
      <c r="AE221" s="1182"/>
      <c r="AF221" s="1198"/>
      <c r="AG221" s="1185"/>
      <c r="AH221" s="1179"/>
      <c r="AI221" s="374"/>
      <c r="AJ221" s="375"/>
      <c r="AK221" s="374"/>
      <c r="AL221" s="375"/>
      <c r="AM221" s="374"/>
      <c r="AN221" s="375"/>
      <c r="AO221" s="374"/>
      <c r="AP221" s="375"/>
      <c r="AQ221" s="374"/>
      <c r="AR221" s="375"/>
    </row>
    <row r="222" spans="1:44" ht="14.5" customHeight="1" outlineLevel="1">
      <c r="B222" s="541"/>
      <c r="C222" s="542"/>
      <c r="D222" s="542"/>
      <c r="E222" s="543"/>
      <c r="F222" s="542"/>
      <c r="G222" s="542"/>
      <c r="H222" s="542"/>
      <c r="I222" s="542"/>
      <c r="J222" s="542"/>
      <c r="K222" s="547"/>
      <c r="L222" s="548"/>
      <c r="M222" s="370"/>
      <c r="N222" s="370"/>
      <c r="P222" s="1148"/>
      <c r="Q222" s="1154"/>
      <c r="R222" s="381"/>
      <c r="S222" s="382"/>
      <c r="T222" s="1137"/>
      <c r="U222" s="1151"/>
      <c r="V222" s="1137"/>
      <c r="W222" s="1151"/>
      <c r="X222" s="1137"/>
      <c r="Y222" s="1151"/>
      <c r="Z222" s="1137"/>
      <c r="AA222" s="1151"/>
      <c r="AB222" s="1137"/>
      <c r="AC222" s="1151"/>
      <c r="AE222" s="1148"/>
      <c r="AF222" s="1154"/>
      <c r="AG222" s="381"/>
      <c r="AH222" s="382"/>
      <c r="AI222" s="1137"/>
      <c r="AJ222" s="1151"/>
      <c r="AK222" s="1137"/>
      <c r="AL222" s="1151"/>
      <c r="AM222" s="1137"/>
      <c r="AN222" s="1151"/>
      <c r="AO222" s="1137"/>
      <c r="AP222" s="1151"/>
      <c r="AQ222" s="1137"/>
      <c r="AR222" s="1151"/>
    </row>
    <row r="223" spans="1:44" outlineLevel="1">
      <c r="B223" s="383"/>
      <c r="C223" s="384"/>
      <c r="D223" s="384"/>
      <c r="E223" s="384"/>
      <c r="F223" s="384"/>
      <c r="G223" s="505"/>
      <c r="H223" s="505"/>
      <c r="I223" s="505"/>
      <c r="J223" s="505"/>
      <c r="K223" s="372"/>
      <c r="L223" s="373"/>
      <c r="M223" s="370"/>
      <c r="N223" s="370"/>
      <c r="O223" s="71"/>
      <c r="P223" s="1195"/>
      <c r="Q223" s="1155"/>
      <c r="R223" s="388"/>
      <c r="S223" s="389"/>
      <c r="T223" s="1140"/>
      <c r="U223" s="1152"/>
      <c r="V223" s="1140"/>
      <c r="W223" s="1152"/>
      <c r="X223" s="1140"/>
      <c r="Y223" s="1152"/>
      <c r="Z223" s="1140"/>
      <c r="AA223" s="1152"/>
      <c r="AB223" s="1140"/>
      <c r="AC223" s="1152"/>
      <c r="AE223" s="1195"/>
      <c r="AF223" s="1155"/>
      <c r="AG223" s="388"/>
      <c r="AH223" s="389"/>
      <c r="AI223" s="1140"/>
      <c r="AJ223" s="1152"/>
      <c r="AK223" s="1140"/>
      <c r="AL223" s="1152"/>
      <c r="AM223" s="1140"/>
      <c r="AN223" s="1152"/>
      <c r="AO223" s="1140"/>
      <c r="AP223" s="1152"/>
      <c r="AQ223" s="1140"/>
      <c r="AR223" s="1152"/>
    </row>
    <row r="224" spans="1:44" ht="16" outlineLevel="1" thickBot="1">
      <c r="B224" s="541"/>
      <c r="C224" s="544"/>
      <c r="D224" s="545"/>
      <c r="E224" s="545"/>
      <c r="F224" s="546"/>
      <c r="G224" s="545"/>
      <c r="H224" s="545"/>
      <c r="I224" s="545"/>
      <c r="J224" s="545"/>
      <c r="K224" s="547"/>
      <c r="L224" s="548"/>
      <c r="M224" s="370"/>
      <c r="N224" s="370"/>
      <c r="O224" s="71"/>
      <c r="P224" s="1195"/>
      <c r="Q224" s="1156"/>
      <c r="R224" s="393"/>
      <c r="S224" s="394"/>
      <c r="T224" s="1141"/>
      <c r="U224" s="1153"/>
      <c r="V224" s="1141"/>
      <c r="W224" s="1153"/>
      <c r="X224" s="1141"/>
      <c r="Y224" s="1153"/>
      <c r="Z224" s="1141"/>
      <c r="AA224" s="1153"/>
      <c r="AB224" s="1141"/>
      <c r="AC224" s="1153"/>
      <c r="AE224" s="1195"/>
      <c r="AF224" s="1156"/>
      <c r="AG224" s="393"/>
      <c r="AH224" s="394"/>
      <c r="AI224" s="1141"/>
      <c r="AJ224" s="1153"/>
      <c r="AK224" s="1141"/>
      <c r="AL224" s="1153"/>
      <c r="AM224" s="1141"/>
      <c r="AN224" s="1153"/>
      <c r="AO224" s="1141"/>
      <c r="AP224" s="1153"/>
      <c r="AQ224" s="1141"/>
      <c r="AR224" s="1153"/>
    </row>
    <row r="225" spans="1:44" ht="14.5" customHeight="1" outlineLevel="1">
      <c r="B225" s="541"/>
      <c r="C225" s="544"/>
      <c r="D225" s="544"/>
      <c r="E225" s="544"/>
      <c r="F225" s="544"/>
      <c r="G225" s="544"/>
      <c r="H225" s="544"/>
      <c r="I225" s="544"/>
      <c r="J225" s="544"/>
      <c r="K225" s="547"/>
      <c r="L225" s="548"/>
      <c r="M225" s="370"/>
      <c r="N225" s="370"/>
      <c r="O225" s="71"/>
      <c r="P225" s="1195"/>
      <c r="Q225" s="1154"/>
      <c r="R225" s="395"/>
      <c r="S225" s="396"/>
      <c r="T225" s="1137"/>
      <c r="U225" s="1137"/>
      <c r="V225" s="1137"/>
      <c r="W225" s="1137"/>
      <c r="X225" s="1137"/>
      <c r="Y225" s="1137"/>
      <c r="Z225" s="1137"/>
      <c r="AA225" s="1137"/>
      <c r="AB225" s="1137"/>
      <c r="AC225" s="1137"/>
      <c r="AE225" s="1195"/>
      <c r="AF225" s="1154"/>
      <c r="AG225" s="395"/>
      <c r="AH225" s="396"/>
      <c r="AI225" s="1137"/>
      <c r="AJ225" s="1137"/>
      <c r="AK225" s="1137"/>
      <c r="AL225" s="1137"/>
      <c r="AM225" s="1137"/>
      <c r="AN225" s="1137"/>
      <c r="AO225" s="1137"/>
      <c r="AP225" s="1137"/>
      <c r="AQ225" s="1137"/>
      <c r="AR225" s="1137"/>
    </row>
    <row r="226" spans="1:44" outlineLevel="1">
      <c r="B226" s="541"/>
      <c r="C226" s="544"/>
      <c r="D226" s="544"/>
      <c r="E226" s="544"/>
      <c r="F226" s="544"/>
      <c r="G226" s="544"/>
      <c r="H226" s="544"/>
      <c r="I226" s="544"/>
      <c r="J226" s="544"/>
      <c r="K226" s="547"/>
      <c r="L226" s="548"/>
      <c r="M226" s="367"/>
      <c r="N226" s="367"/>
      <c r="O226" s="71"/>
      <c r="P226" s="1195"/>
      <c r="Q226" s="1155"/>
      <c r="R226" s="395"/>
      <c r="S226" s="396"/>
      <c r="T226" s="1138"/>
      <c r="U226" s="1138"/>
      <c r="V226" s="1138"/>
      <c r="W226" s="1138"/>
      <c r="X226" s="1138"/>
      <c r="Y226" s="1138"/>
      <c r="Z226" s="1138"/>
      <c r="AA226" s="1138"/>
      <c r="AB226" s="1138"/>
      <c r="AC226" s="1138"/>
      <c r="AE226" s="1195"/>
      <c r="AF226" s="1155"/>
      <c r="AG226" s="395"/>
      <c r="AH226" s="396"/>
      <c r="AI226" s="1138"/>
      <c r="AJ226" s="1138"/>
      <c r="AK226" s="1138"/>
      <c r="AL226" s="1138"/>
      <c r="AM226" s="1138"/>
      <c r="AN226" s="1138"/>
      <c r="AO226" s="1138"/>
      <c r="AP226" s="1138"/>
      <c r="AQ226" s="1138"/>
      <c r="AR226" s="1138"/>
    </row>
    <row r="227" spans="1:44" outlineLevel="1">
      <c r="B227" s="383"/>
      <c r="C227" s="397"/>
      <c r="D227" s="397"/>
      <c r="E227" s="397"/>
      <c r="F227" s="397"/>
      <c r="G227" s="399"/>
      <c r="H227" s="399"/>
      <c r="I227" s="399"/>
      <c r="J227" s="399"/>
      <c r="K227" s="372"/>
      <c r="L227" s="373"/>
      <c r="M227" s="363"/>
      <c r="N227" s="363"/>
      <c r="P227" s="1195"/>
      <c r="Q227" s="1155"/>
      <c r="R227" s="395"/>
      <c r="S227" s="396"/>
      <c r="T227" s="1138"/>
      <c r="U227" s="1138"/>
      <c r="V227" s="1138"/>
      <c r="W227" s="1138"/>
      <c r="X227" s="1138"/>
      <c r="Y227" s="1138"/>
      <c r="Z227" s="1138"/>
      <c r="AA227" s="1138"/>
      <c r="AB227" s="1138"/>
      <c r="AC227" s="1138"/>
      <c r="AE227" s="1195"/>
      <c r="AF227" s="1155"/>
      <c r="AG227" s="395"/>
      <c r="AH227" s="396"/>
      <c r="AI227" s="1138"/>
      <c r="AJ227" s="1138"/>
      <c r="AK227" s="1138"/>
      <c r="AL227" s="1138"/>
      <c r="AM227" s="1138"/>
      <c r="AN227" s="1138"/>
      <c r="AO227" s="1138"/>
      <c r="AP227" s="1138"/>
      <c r="AQ227" s="1138"/>
      <c r="AR227" s="1138"/>
    </row>
    <row r="228" spans="1:44" ht="16" outlineLevel="1" thickBot="1">
      <c r="B228" s="541"/>
      <c r="C228" s="544"/>
      <c r="D228" s="544"/>
      <c r="E228" s="544"/>
      <c r="F228" s="544"/>
      <c r="G228" s="544"/>
      <c r="H228" s="544"/>
      <c r="I228" s="544"/>
      <c r="J228" s="544"/>
      <c r="K228" s="547"/>
      <c r="L228" s="559"/>
      <c r="M228" s="363"/>
      <c r="N228" s="363"/>
      <c r="P228" s="1195"/>
      <c r="Q228" s="1155"/>
      <c r="R228" s="395"/>
      <c r="S228" s="396"/>
      <c r="T228" s="1138"/>
      <c r="U228" s="1138"/>
      <c r="V228" s="1138"/>
      <c r="W228" s="1138"/>
      <c r="X228" s="1138"/>
      <c r="Y228" s="1138"/>
      <c r="Z228" s="1138"/>
      <c r="AA228" s="1138"/>
      <c r="AB228" s="1138"/>
      <c r="AC228" s="1138"/>
      <c r="AE228" s="1195"/>
      <c r="AF228" s="1155"/>
      <c r="AG228" s="395"/>
      <c r="AH228" s="396"/>
      <c r="AI228" s="1138"/>
      <c r="AJ228" s="1138"/>
      <c r="AK228" s="1138"/>
      <c r="AL228" s="1138"/>
      <c r="AM228" s="1138"/>
      <c r="AN228" s="1138"/>
      <c r="AO228" s="1138"/>
      <c r="AP228" s="1138"/>
      <c r="AQ228" s="1138"/>
      <c r="AR228" s="1138"/>
    </row>
    <row r="229" spans="1:44" ht="16" outlineLevel="1" thickBot="1">
      <c r="B229" s="401"/>
      <c r="C229" s="402"/>
      <c r="D229" s="403"/>
      <c r="E229" s="404"/>
      <c r="F229" s="405"/>
      <c r="G229" s="406"/>
      <c r="H229" s="406"/>
      <c r="I229" s="406"/>
      <c r="J229" s="406"/>
      <c r="K229" s="407"/>
      <c r="L229" s="408"/>
      <c r="M229" s="363"/>
      <c r="N229" s="363"/>
      <c r="P229" s="1195"/>
      <c r="Q229" s="1155"/>
      <c r="R229" s="409"/>
      <c r="S229" s="410"/>
      <c r="T229" s="1139"/>
      <c r="U229" s="1139"/>
      <c r="V229" s="1139"/>
      <c r="W229" s="1139"/>
      <c r="X229" s="1139"/>
      <c r="Y229" s="1139"/>
      <c r="Z229" s="1139"/>
      <c r="AA229" s="1139"/>
      <c r="AB229" s="1139"/>
      <c r="AC229" s="1139"/>
      <c r="AE229" s="1195"/>
      <c r="AF229" s="1155"/>
      <c r="AG229" s="409"/>
      <c r="AH229" s="410"/>
      <c r="AI229" s="1139"/>
      <c r="AJ229" s="1139"/>
      <c r="AK229" s="1139"/>
      <c r="AL229" s="1139"/>
      <c r="AM229" s="1139"/>
      <c r="AN229" s="1139"/>
      <c r="AO229" s="1139"/>
      <c r="AP229" s="1139"/>
      <c r="AQ229" s="1139"/>
      <c r="AR229" s="1139"/>
    </row>
    <row r="230" spans="1:44" ht="16" outlineLevel="1" thickBot="1">
      <c r="B230" s="541"/>
      <c r="C230" s="544"/>
      <c r="D230" s="544"/>
      <c r="E230" s="544"/>
      <c r="F230" s="544"/>
      <c r="G230" s="545"/>
      <c r="H230" s="545"/>
      <c r="I230" s="545"/>
      <c r="J230" s="545"/>
      <c r="K230" s="547"/>
      <c r="L230" s="548"/>
      <c r="M230" s="363"/>
      <c r="N230" s="363"/>
      <c r="P230" s="1196"/>
      <c r="Q230" s="411"/>
      <c r="R230" s="412"/>
      <c r="S230" s="413"/>
      <c r="T230" s="414"/>
      <c r="U230" s="415"/>
      <c r="V230" s="414"/>
      <c r="W230" s="415"/>
      <c r="X230" s="414"/>
      <c r="Y230" s="415"/>
      <c r="Z230" s="414"/>
      <c r="AA230" s="415"/>
      <c r="AB230" s="414"/>
      <c r="AC230" s="417"/>
      <c r="AE230" s="1196"/>
      <c r="AF230" s="411"/>
      <c r="AG230" s="412"/>
      <c r="AH230" s="413"/>
      <c r="AI230" s="414"/>
      <c r="AJ230" s="415"/>
      <c r="AK230" s="414"/>
      <c r="AL230" s="415"/>
      <c r="AM230" s="414"/>
      <c r="AN230" s="415"/>
      <c r="AO230" s="414"/>
      <c r="AP230" s="415"/>
      <c r="AQ230" s="414"/>
      <c r="AR230" s="417"/>
    </row>
    <row r="231" spans="1:44" outlineLevel="1">
      <c r="B231" s="541"/>
      <c r="C231" s="544"/>
      <c r="D231" s="544"/>
      <c r="E231" s="544"/>
      <c r="F231" s="544"/>
      <c r="G231" s="549"/>
      <c r="H231" s="549"/>
      <c r="I231" s="549"/>
      <c r="J231" s="549"/>
      <c r="K231" s="550"/>
      <c r="L231" s="548"/>
      <c r="M231" s="363"/>
      <c r="N231" s="363"/>
    </row>
    <row r="232" spans="1:44" outlineLevel="1">
      <c r="B232" s="541"/>
      <c r="C232" s="544"/>
      <c r="D232" s="544"/>
      <c r="E232" s="544"/>
      <c r="F232" s="544"/>
      <c r="G232" s="549"/>
      <c r="H232" s="549"/>
      <c r="I232" s="549"/>
      <c r="J232" s="549"/>
      <c r="K232" s="550"/>
      <c r="L232" s="548"/>
      <c r="M232" s="420"/>
      <c r="N232" s="363"/>
    </row>
    <row r="233" spans="1:44" outlineLevel="1">
      <c r="B233" s="421"/>
      <c r="C233" s="399"/>
      <c r="D233" s="399"/>
      <c r="E233" s="399"/>
      <c r="F233" s="399"/>
      <c r="G233" s="422"/>
      <c r="H233" s="422"/>
      <c r="I233" s="422"/>
      <c r="J233" s="422"/>
      <c r="K233" s="423"/>
      <c r="L233" s="424"/>
      <c r="M233" s="420"/>
      <c r="N233" s="420"/>
    </row>
    <row r="234" spans="1:44" outlineLevel="1">
      <c r="B234" s="383"/>
      <c r="C234" s="397"/>
      <c r="D234" s="397"/>
      <c r="E234" s="397"/>
      <c r="F234" s="397"/>
      <c r="G234" s="422"/>
      <c r="H234" s="425"/>
      <c r="I234" s="425"/>
      <c r="J234" s="425"/>
      <c r="K234" s="426"/>
      <c r="L234" s="427"/>
      <c r="M234" s="428"/>
      <c r="N234" s="428"/>
    </row>
    <row r="235" spans="1:44" outlineLevel="1">
      <c r="B235" s="383"/>
      <c r="C235" s="397"/>
      <c r="D235" s="397"/>
      <c r="E235" s="397"/>
      <c r="F235" s="397"/>
      <c r="G235" s="425"/>
      <c r="H235" s="425"/>
      <c r="I235" s="425"/>
      <c r="J235" s="425"/>
      <c r="K235" s="423"/>
      <c r="L235" s="427"/>
      <c r="M235" s="428"/>
      <c r="N235" s="428"/>
    </row>
    <row r="236" spans="1:44" outlineLevel="1">
      <c r="B236" s="383"/>
      <c r="C236" s="397"/>
      <c r="D236" s="397"/>
      <c r="E236" s="397"/>
      <c r="F236" s="397"/>
      <c r="G236" s="425"/>
      <c r="H236" s="425"/>
      <c r="I236" s="425"/>
      <c r="J236" s="425"/>
      <c r="K236" s="423"/>
      <c r="L236" s="427"/>
      <c r="M236" s="428"/>
      <c r="N236" s="428"/>
    </row>
    <row r="237" spans="1:44" outlineLevel="1">
      <c r="B237" s="383"/>
      <c r="C237" s="397"/>
      <c r="D237" s="397"/>
      <c r="E237" s="397"/>
      <c r="F237" s="397"/>
      <c r="G237" s="425"/>
      <c r="H237" s="425"/>
      <c r="I237" s="425"/>
      <c r="J237" s="425"/>
      <c r="K237" s="423"/>
      <c r="L237" s="427"/>
      <c r="M237" s="428"/>
      <c r="N237" s="428"/>
    </row>
    <row r="238" spans="1:44" ht="16" outlineLevel="1" thickBot="1">
      <c r="B238" s="429"/>
      <c r="C238" s="430"/>
      <c r="D238" s="430"/>
      <c r="E238" s="430"/>
      <c r="F238" s="430"/>
      <c r="G238" s="425"/>
      <c r="H238" s="425"/>
      <c r="I238" s="425"/>
      <c r="J238" s="425"/>
      <c r="K238" s="423"/>
      <c r="L238" s="427"/>
      <c r="M238" s="428"/>
      <c r="N238" s="428"/>
    </row>
    <row r="239" spans="1:44" ht="16" outlineLevel="1" thickBot="1">
      <c r="B239" s="431"/>
      <c r="C239" s="432"/>
      <c r="D239" s="403"/>
      <c r="E239" s="403"/>
      <c r="F239" s="433"/>
      <c r="G239" s="434"/>
      <c r="H239" s="406"/>
      <c r="I239" s="406"/>
      <c r="J239" s="406"/>
      <c r="K239" s="407"/>
      <c r="L239" s="408"/>
      <c r="M239" s="428"/>
      <c r="N239" s="428"/>
    </row>
    <row r="240" spans="1:44" outlineLevel="1">
      <c r="A240" s="435"/>
      <c r="B240" s="436"/>
      <c r="C240" s="551"/>
      <c r="D240" s="512"/>
      <c r="E240" s="512"/>
      <c r="F240" s="513"/>
      <c r="G240" s="425"/>
      <c r="H240" s="425"/>
      <c r="I240" s="425"/>
      <c r="J240" s="425"/>
      <c r="K240" s="426"/>
      <c r="L240" s="440"/>
      <c r="M240" s="420"/>
      <c r="N240" s="420"/>
    </row>
    <row r="241" spans="2:30" outlineLevel="1">
      <c r="B241" s="441"/>
      <c r="C241" s="443"/>
      <c r="D241" s="442"/>
      <c r="E241" s="442"/>
      <c r="F241" s="442"/>
      <c r="G241" s="425"/>
      <c r="H241" s="425"/>
      <c r="I241" s="425"/>
      <c r="J241" s="425"/>
      <c r="K241" s="444"/>
      <c r="L241" s="373"/>
      <c r="M241" s="71"/>
      <c r="N241" s="420"/>
    </row>
    <row r="242" spans="2:30" outlineLevel="1">
      <c r="B242" s="441"/>
      <c r="C242" s="443"/>
      <c r="D242" s="443"/>
      <c r="E242" s="443"/>
      <c r="F242" s="443"/>
      <c r="G242" s="425"/>
      <c r="H242" s="425"/>
      <c r="I242" s="425"/>
      <c r="J242" s="425"/>
      <c r="K242" s="444"/>
      <c r="L242" s="373"/>
      <c r="M242" s="420"/>
      <c r="N242" s="420"/>
    </row>
    <row r="243" spans="2:30" outlineLevel="1">
      <c r="B243" s="383"/>
      <c r="C243" s="445"/>
      <c r="D243" s="446"/>
      <c r="E243" s="446"/>
      <c r="F243" s="447"/>
      <c r="G243" s="425"/>
      <c r="H243" s="425"/>
      <c r="I243" s="425"/>
      <c r="J243" s="425"/>
      <c r="K243" s="448"/>
      <c r="L243" s="373"/>
      <c r="M243" s="420"/>
      <c r="N243" s="420"/>
    </row>
    <row r="244" spans="2:30" outlineLevel="1">
      <c r="B244" s="383"/>
      <c r="C244" s="449"/>
      <c r="D244" s="449"/>
      <c r="E244" s="449"/>
      <c r="F244" s="449"/>
      <c r="G244" s="425"/>
      <c r="H244" s="425"/>
      <c r="I244" s="425"/>
      <c r="J244" s="425"/>
      <c r="K244" s="448"/>
      <c r="L244" s="373"/>
      <c r="M244" s="450"/>
      <c r="N244" s="361"/>
      <c r="P244" s="1142"/>
      <c r="Q244" s="1143"/>
      <c r="R244" s="1143"/>
      <c r="S244" s="1143"/>
      <c r="T244" s="1143"/>
      <c r="U244" s="1144"/>
    </row>
    <row r="245" spans="2:30" ht="16" outlineLevel="1" thickBot="1">
      <c r="B245" s="541"/>
      <c r="C245" s="552"/>
      <c r="D245" s="552"/>
      <c r="E245" s="552"/>
      <c r="F245" s="552"/>
      <c r="G245" s="425"/>
      <c r="H245" s="425"/>
      <c r="I245" s="425"/>
      <c r="J245" s="425"/>
      <c r="K245" s="444"/>
      <c r="L245" s="373"/>
      <c r="M245" s="450"/>
      <c r="N245" s="361"/>
      <c r="P245" s="1134"/>
      <c r="Q245" s="1135"/>
      <c r="R245" s="1135"/>
      <c r="S245" s="1135"/>
      <c r="T245" s="1135"/>
      <c r="U245" s="1136"/>
    </row>
    <row r="246" spans="2:30" outlineLevel="1">
      <c r="B246" s="541"/>
      <c r="C246" s="554"/>
      <c r="D246" s="554"/>
      <c r="E246" s="554"/>
      <c r="F246" s="554"/>
      <c r="G246" s="425"/>
      <c r="H246" s="425"/>
      <c r="I246" s="425"/>
      <c r="J246" s="425"/>
      <c r="K246" s="448"/>
      <c r="L246" s="373"/>
      <c r="M246" s="363"/>
      <c r="N246" s="363"/>
      <c r="P246" s="53"/>
    </row>
    <row r="247" spans="2:30" outlineLevel="1">
      <c r="B247" s="441"/>
      <c r="C247" s="518"/>
      <c r="D247" s="518"/>
      <c r="E247" s="518"/>
      <c r="F247" s="518"/>
      <c r="G247" s="425"/>
      <c r="H247" s="425"/>
      <c r="I247" s="425"/>
      <c r="J247" s="425"/>
      <c r="K247" s="444"/>
      <c r="L247" s="424"/>
      <c r="M247" s="367"/>
      <c r="N247" s="367"/>
      <c r="P247" s="46"/>
      <c r="Q247" s="46"/>
      <c r="R247" s="47"/>
      <c r="S247" s="47"/>
      <c r="T247" s="47"/>
      <c r="U247" s="48"/>
      <c r="V247" s="49"/>
      <c r="W247" s="49"/>
      <c r="X247" s="49"/>
      <c r="Y247" s="49"/>
      <c r="Z247" s="49"/>
      <c r="AA247" s="49"/>
      <c r="AB247" s="49"/>
      <c r="AC247" s="49"/>
      <c r="AD247" s="49"/>
    </row>
    <row r="248" spans="2:30" ht="16" outlineLevel="1" thickBot="1">
      <c r="B248" s="519"/>
      <c r="C248" s="442"/>
      <c r="D248" s="520"/>
      <c r="E248" s="520"/>
      <c r="F248" s="521"/>
      <c r="G248" s="425"/>
      <c r="H248" s="425"/>
      <c r="I248" s="425"/>
      <c r="J248" s="425"/>
      <c r="K248" s="448"/>
      <c r="L248" s="424"/>
      <c r="M248" s="363"/>
      <c r="N248" s="363"/>
      <c r="P248" s="50"/>
      <c r="Q248" s="50"/>
      <c r="R248" s="51"/>
      <c r="S248" s="51"/>
      <c r="T248" s="51"/>
      <c r="U248" s="51"/>
      <c r="V248" s="50"/>
      <c r="W248" s="50"/>
      <c r="X248" s="50"/>
      <c r="Y248" s="50"/>
      <c r="Z248" s="50"/>
      <c r="AA248" s="50"/>
      <c r="AB248" s="50"/>
      <c r="AC248" s="50"/>
      <c r="AD248" s="50"/>
    </row>
    <row r="249" spans="2:30" ht="16" outlineLevel="1" thickBot="1">
      <c r="B249" s="401"/>
      <c r="C249" s="402"/>
      <c r="D249" s="403"/>
      <c r="E249" s="404"/>
      <c r="F249" s="405"/>
      <c r="G249" s="406"/>
      <c r="H249" s="406"/>
      <c r="I249" s="406"/>
      <c r="J249" s="406"/>
      <c r="K249" s="459"/>
      <c r="L249" s="460"/>
      <c r="M249" s="363"/>
      <c r="N249" s="363"/>
      <c r="O249" s="461"/>
      <c r="P249" s="56"/>
      <c r="Q249" s="56"/>
      <c r="R249" s="57"/>
      <c r="S249" s="57"/>
      <c r="T249" s="57"/>
      <c r="U249" s="56"/>
      <c r="V249" s="56"/>
      <c r="W249" s="56"/>
      <c r="X249" s="56"/>
      <c r="Y249" s="56"/>
      <c r="Z249" s="56"/>
      <c r="AA249" s="56"/>
      <c r="AB249" s="56"/>
      <c r="AC249" s="56"/>
      <c r="AD249" s="56"/>
    </row>
    <row r="250" spans="2:30" outlineLevel="1">
      <c r="B250" s="556"/>
      <c r="C250" s="557"/>
      <c r="D250" s="557"/>
      <c r="E250" s="557"/>
      <c r="F250" s="557"/>
      <c r="G250" s="558"/>
      <c r="H250" s="558"/>
      <c r="I250" s="558"/>
      <c r="J250" s="558"/>
      <c r="K250" s="558"/>
      <c r="L250" s="559"/>
      <c r="M250" s="363"/>
      <c r="N250" s="363"/>
      <c r="O250" s="465"/>
      <c r="P250" s="466"/>
      <c r="Q250" s="58"/>
      <c r="R250" s="466"/>
      <c r="S250" s="58"/>
      <c r="T250" s="466"/>
      <c r="U250" s="467"/>
      <c r="V250" s="467"/>
      <c r="W250" s="467"/>
      <c r="X250" s="58"/>
      <c r="Y250" s="58"/>
      <c r="Z250" s="466"/>
      <c r="AA250" s="468"/>
      <c r="AB250" s="468"/>
      <c r="AC250" s="468"/>
      <c r="AD250" s="468"/>
    </row>
    <row r="251" spans="2:30" outlineLevel="1">
      <c r="B251" s="541"/>
      <c r="C251" s="560"/>
      <c r="D251" s="561"/>
      <c r="E251" s="561"/>
      <c r="F251" s="562"/>
      <c r="G251" s="562"/>
      <c r="H251" s="562"/>
      <c r="I251" s="562"/>
      <c r="J251" s="562"/>
      <c r="K251" s="563"/>
      <c r="L251" s="559"/>
      <c r="M251" s="363"/>
      <c r="N251" s="363"/>
      <c r="O251" s="465"/>
      <c r="P251" s="466"/>
      <c r="Q251" s="58"/>
      <c r="R251" s="466"/>
      <c r="S251" s="58"/>
      <c r="T251" s="466"/>
      <c r="U251" s="467"/>
      <c r="V251" s="467"/>
      <c r="W251" s="467"/>
      <c r="X251" s="58"/>
      <c r="Y251" s="58"/>
      <c r="Z251" s="466"/>
      <c r="AA251" s="468"/>
      <c r="AB251" s="468"/>
      <c r="AC251" s="468"/>
      <c r="AD251" s="468"/>
    </row>
    <row r="252" spans="2:30" outlineLevel="1">
      <c r="B252" s="541"/>
      <c r="C252" s="560"/>
      <c r="D252" s="561"/>
      <c r="E252" s="561"/>
      <c r="F252" s="562"/>
      <c r="G252" s="562"/>
      <c r="H252" s="562"/>
      <c r="I252" s="562"/>
      <c r="J252" s="562"/>
      <c r="K252" s="563"/>
      <c r="L252" s="559"/>
      <c r="M252" s="363"/>
      <c r="N252" s="363"/>
      <c r="O252" s="465"/>
      <c r="P252" s="466"/>
      <c r="Q252" s="58"/>
      <c r="R252" s="466"/>
      <c r="S252" s="58"/>
      <c r="T252" s="466"/>
      <c r="U252" s="467"/>
      <c r="V252" s="467"/>
      <c r="W252" s="467"/>
      <c r="X252" s="58"/>
      <c r="Y252" s="58"/>
      <c r="Z252" s="466"/>
      <c r="AA252" s="468"/>
      <c r="AB252" s="468"/>
      <c r="AC252" s="468"/>
      <c r="AD252" s="468"/>
    </row>
    <row r="253" spans="2:30" outlineLevel="1">
      <c r="B253" s="541"/>
      <c r="C253" s="564"/>
      <c r="D253" s="564"/>
      <c r="E253" s="564"/>
      <c r="F253" s="564"/>
      <c r="G253" s="565"/>
      <c r="H253" s="565"/>
      <c r="I253" s="565"/>
      <c r="J253" s="565"/>
      <c r="K253" s="565"/>
      <c r="L253" s="548"/>
      <c r="M253" s="363"/>
      <c r="N253" s="363"/>
      <c r="O253" s="465"/>
      <c r="P253" s="466"/>
      <c r="Q253" s="58"/>
      <c r="R253" s="466"/>
      <c r="S253" s="58"/>
      <c r="T253" s="466"/>
      <c r="U253" s="467"/>
      <c r="V253" s="467"/>
      <c r="W253" s="467"/>
      <c r="X253" s="58"/>
      <c r="Y253" s="58"/>
      <c r="Z253" s="466"/>
      <c r="AA253" s="468"/>
      <c r="AB253" s="468"/>
      <c r="AC253" s="468"/>
      <c r="AD253" s="468"/>
    </row>
    <row r="254" spans="2:30" outlineLevel="1">
      <c r="B254" s="566"/>
      <c r="C254" s="560"/>
      <c r="D254" s="561"/>
      <c r="E254" s="561"/>
      <c r="F254" s="562"/>
      <c r="G254" s="562"/>
      <c r="H254" s="562"/>
      <c r="I254" s="562"/>
      <c r="J254" s="562"/>
      <c r="K254" s="563"/>
      <c r="L254" s="559"/>
      <c r="M254" s="367"/>
      <c r="N254" s="367"/>
    </row>
    <row r="255" spans="2:30" outlineLevel="1">
      <c r="B255" s="566"/>
      <c r="C255" s="560"/>
      <c r="D255" s="561"/>
      <c r="E255" s="561"/>
      <c r="F255" s="562"/>
      <c r="G255" s="562"/>
      <c r="H255" s="562"/>
      <c r="I255" s="562"/>
      <c r="J255" s="562"/>
      <c r="K255" s="563"/>
      <c r="L255" s="559"/>
      <c r="M255" s="363"/>
      <c r="N255" s="363"/>
    </row>
    <row r="256" spans="2:30" ht="16" outlineLevel="1" thickBot="1">
      <c r="B256" s="567"/>
      <c r="C256" s="568"/>
      <c r="D256" s="568"/>
      <c r="E256" s="568"/>
      <c r="F256" s="568"/>
      <c r="G256" s="568"/>
      <c r="H256" s="568"/>
      <c r="I256" s="568"/>
      <c r="J256" s="568"/>
      <c r="K256" s="568"/>
      <c r="L256" s="569"/>
      <c r="M256" s="363"/>
      <c r="N256" s="363"/>
    </row>
    <row r="257" spans="1:15" outlineLevel="1">
      <c r="B257" s="461"/>
      <c r="C257" s="483"/>
      <c r="D257" s="483"/>
      <c r="E257" s="483"/>
      <c r="F257" s="483"/>
      <c r="G257" s="483"/>
      <c r="H257" s="484"/>
      <c r="I257" s="420"/>
      <c r="J257" s="420"/>
      <c r="K257" s="484"/>
      <c r="L257" s="484"/>
      <c r="N257" s="420"/>
    </row>
    <row r="258" spans="1:15" outlineLevel="1">
      <c r="B258" s="485"/>
      <c r="C258" s="486"/>
      <c r="D258" s="486"/>
      <c r="E258" s="486"/>
      <c r="F258" s="486"/>
      <c r="G258" s="486"/>
      <c r="H258" s="484"/>
      <c r="I258" s="71"/>
      <c r="J258" s="420"/>
      <c r="K258" s="484"/>
      <c r="L258" s="484"/>
      <c r="N258" s="420"/>
    </row>
    <row r="259" spans="1:15" outlineLevel="1">
      <c r="B259" s="461"/>
      <c r="C259" s="359"/>
      <c r="D259" s="359"/>
      <c r="E259" s="359"/>
      <c r="F259" s="359"/>
      <c r="G259" s="359"/>
      <c r="I259" s="420"/>
      <c r="J259" s="420"/>
      <c r="N259" s="420"/>
    </row>
    <row r="260" spans="1:15" outlineLevel="1">
      <c r="B260" s="461"/>
      <c r="C260" s="487"/>
      <c r="D260" s="487"/>
      <c r="E260" s="487"/>
      <c r="F260" s="487"/>
      <c r="G260" s="359"/>
      <c r="M260" s="420"/>
      <c r="N260" s="420"/>
    </row>
    <row r="261" spans="1:15" outlineLevel="1"/>
    <row r="262" spans="1:15" outlineLevel="1">
      <c r="A262" s="488"/>
      <c r="B262" s="489"/>
      <c r="D262" s="490"/>
      <c r="E262" s="490"/>
      <c r="F262" s="490"/>
      <c r="G262" s="358"/>
      <c r="H262" s="358"/>
      <c r="I262" s="358"/>
      <c r="J262" s="358"/>
      <c r="K262" s="358"/>
      <c r="L262" s="358"/>
    </row>
    <row r="263" spans="1:15" outlineLevel="1">
      <c r="A263" s="491"/>
      <c r="B263" s="492"/>
      <c r="D263" s="490"/>
      <c r="E263" s="490"/>
      <c r="F263" s="490"/>
      <c r="G263" s="358"/>
      <c r="H263" s="358"/>
      <c r="I263" s="358"/>
      <c r="J263" s="358"/>
      <c r="K263" s="358"/>
      <c r="L263" s="358"/>
    </row>
    <row r="264" spans="1:15" outlineLevel="1">
      <c r="A264" s="491"/>
      <c r="B264" s="493"/>
      <c r="D264" s="490"/>
      <c r="E264" s="490"/>
      <c r="F264" s="490"/>
      <c r="G264" s="358"/>
      <c r="H264" s="358"/>
      <c r="I264" s="358"/>
      <c r="J264" s="358"/>
      <c r="K264" s="358"/>
      <c r="L264" s="358"/>
    </row>
    <row r="265" spans="1:15" outlineLevel="1">
      <c r="A265" s="491"/>
      <c r="B265" s="493"/>
      <c r="D265" s="490"/>
      <c r="E265" s="490"/>
      <c r="F265" s="490"/>
      <c r="G265" s="358"/>
      <c r="H265" s="358"/>
      <c r="I265" s="358"/>
      <c r="J265" s="358"/>
      <c r="K265" s="358"/>
      <c r="L265" s="358"/>
    </row>
    <row r="266" spans="1:15" outlineLevel="1">
      <c r="A266" s="491"/>
      <c r="B266" s="493"/>
      <c r="D266" s="490"/>
      <c r="E266" s="490"/>
      <c r="F266" s="490"/>
      <c r="G266" s="358"/>
      <c r="H266" s="358"/>
      <c r="I266" s="358"/>
      <c r="J266" s="358"/>
      <c r="K266" s="358"/>
      <c r="L266" s="358"/>
    </row>
    <row r="267" spans="1:15" outlineLevel="1">
      <c r="A267" s="358"/>
      <c r="B267" s="494"/>
      <c r="D267" s="490"/>
      <c r="E267" s="490"/>
      <c r="F267" s="490"/>
      <c r="G267" s="358"/>
      <c r="H267" s="358"/>
      <c r="I267" s="358"/>
      <c r="J267" s="358"/>
      <c r="K267" s="358"/>
      <c r="L267" s="358"/>
      <c r="M267" s="570"/>
      <c r="N267" s="489"/>
      <c r="O267" s="490"/>
    </row>
    <row r="268" spans="1:15" outlineLevel="1">
      <c r="A268" s="358"/>
      <c r="B268" s="492"/>
      <c r="D268" s="490"/>
      <c r="E268" s="490"/>
      <c r="F268" s="490"/>
      <c r="G268" s="358"/>
      <c r="H268" s="358"/>
      <c r="I268" s="358"/>
      <c r="J268" s="358"/>
      <c r="K268" s="358"/>
      <c r="L268" s="358"/>
      <c r="O268" s="490"/>
    </row>
    <row r="269" spans="1:15" outlineLevel="1">
      <c r="A269" s="358"/>
      <c r="B269" s="495"/>
      <c r="D269" s="490"/>
      <c r="E269" s="490"/>
      <c r="F269" s="490"/>
      <c r="G269" s="358"/>
      <c r="H269" s="358"/>
      <c r="I269" s="358"/>
      <c r="J269" s="358"/>
      <c r="K269" s="358"/>
      <c r="L269" s="358"/>
      <c r="O269" s="490"/>
    </row>
    <row r="270" spans="1:15" outlineLevel="1">
      <c r="A270" s="358"/>
      <c r="B270" s="495"/>
      <c r="D270" s="490"/>
      <c r="E270" s="490"/>
      <c r="F270" s="490"/>
      <c r="G270" s="358"/>
      <c r="H270" s="358"/>
      <c r="I270" s="358"/>
      <c r="J270" s="358"/>
      <c r="K270" s="358"/>
      <c r="L270" s="358"/>
      <c r="O270" s="490"/>
    </row>
    <row r="271" spans="1:15" outlineLevel="1">
      <c r="A271" s="358"/>
      <c r="B271" s="489"/>
      <c r="D271" s="490"/>
      <c r="E271" s="490"/>
      <c r="F271" s="490"/>
      <c r="G271" s="358"/>
      <c r="H271" s="358"/>
      <c r="I271" s="358"/>
      <c r="J271" s="358"/>
      <c r="K271" s="358"/>
      <c r="L271" s="358"/>
      <c r="O271" s="490"/>
    </row>
    <row r="272" spans="1:15" outlineLevel="1">
      <c r="A272" s="358"/>
      <c r="B272" s="490"/>
      <c r="D272" s="490"/>
      <c r="E272" s="490"/>
      <c r="F272" s="490"/>
      <c r="G272" s="358"/>
      <c r="H272" s="358"/>
      <c r="I272" s="358"/>
      <c r="J272" s="358"/>
      <c r="K272" s="358"/>
      <c r="L272" s="358"/>
      <c r="O272" s="490"/>
    </row>
    <row r="273" spans="1:44" outlineLevel="1">
      <c r="A273" s="488"/>
      <c r="B273" s="489"/>
      <c r="D273" s="490"/>
      <c r="E273" s="490"/>
      <c r="F273" s="490"/>
      <c r="G273" s="358"/>
      <c r="H273" s="358"/>
      <c r="I273" s="358"/>
      <c r="J273" s="358"/>
      <c r="K273" s="358"/>
      <c r="L273" s="358"/>
      <c r="O273" s="490"/>
    </row>
    <row r="274" spans="1:44" outlineLevel="1">
      <c r="A274" s="496"/>
      <c r="B274" s="497"/>
      <c r="D274" s="490"/>
      <c r="E274" s="490"/>
      <c r="F274" s="490"/>
      <c r="G274" s="358"/>
      <c r="H274" s="358"/>
      <c r="I274" s="358"/>
      <c r="J274" s="358"/>
      <c r="K274" s="358"/>
      <c r="L274" s="358"/>
      <c r="M274" s="570"/>
      <c r="N274" s="489"/>
      <c r="O274" s="490"/>
    </row>
    <row r="275" spans="1:44" outlineLevel="1">
      <c r="A275" s="496"/>
      <c r="B275" s="489"/>
      <c r="D275" s="490"/>
      <c r="E275" s="490"/>
      <c r="F275" s="490"/>
      <c r="G275" s="358"/>
      <c r="H275" s="358"/>
      <c r="I275" s="358"/>
      <c r="J275" s="358"/>
      <c r="K275" s="358"/>
      <c r="L275" s="358"/>
      <c r="M275" s="571"/>
      <c r="N275" s="489"/>
      <c r="O275" s="490"/>
    </row>
    <row r="276" spans="1:44" outlineLevel="1">
      <c r="A276" s="496"/>
      <c r="B276" s="489"/>
      <c r="D276" s="490"/>
      <c r="E276" s="490"/>
      <c r="F276" s="490"/>
      <c r="G276" s="358"/>
      <c r="H276" s="358"/>
      <c r="I276" s="358"/>
      <c r="J276" s="358"/>
      <c r="K276" s="358"/>
      <c r="L276" s="358"/>
      <c r="M276" s="572"/>
      <c r="N276" s="489"/>
      <c r="O276" s="490"/>
    </row>
    <row r="277" spans="1:44" outlineLevel="1">
      <c r="A277" s="496"/>
      <c r="B277" s="498"/>
      <c r="D277" s="490"/>
      <c r="E277" s="490"/>
      <c r="F277" s="490"/>
      <c r="G277" s="358"/>
      <c r="H277" s="358"/>
      <c r="I277" s="358"/>
      <c r="J277" s="358"/>
      <c r="K277" s="358"/>
      <c r="L277" s="358"/>
      <c r="M277" s="573"/>
      <c r="N277" s="489"/>
      <c r="O277" s="490"/>
    </row>
    <row r="278" spans="1:44" outlineLevel="1">
      <c r="A278" s="496"/>
      <c r="B278" s="489"/>
      <c r="D278" s="490"/>
      <c r="E278" s="490"/>
      <c r="F278" s="490"/>
      <c r="G278" s="358"/>
      <c r="H278" s="358"/>
      <c r="I278" s="358"/>
      <c r="J278" s="358"/>
      <c r="K278" s="358"/>
      <c r="L278" s="358"/>
      <c r="M278" s="573"/>
      <c r="N278" s="490"/>
      <c r="O278" s="490"/>
    </row>
    <row r="279" spans="1:44" outlineLevel="1">
      <c r="A279" s="496"/>
      <c r="B279" s="489"/>
      <c r="D279" s="490"/>
      <c r="E279" s="490"/>
      <c r="F279" s="490"/>
      <c r="G279" s="358"/>
      <c r="H279" s="358"/>
      <c r="I279" s="358"/>
      <c r="J279" s="358"/>
      <c r="K279" s="358"/>
      <c r="L279" s="358"/>
      <c r="M279" s="489"/>
      <c r="N279" s="490"/>
      <c r="O279" s="490"/>
    </row>
    <row r="280" spans="1:44" outlineLevel="1"/>
    <row r="283" spans="1:44" ht="16" thickBot="1">
      <c r="A283" s="360"/>
    </row>
    <row r="284" spans="1:44" ht="20.5" customHeight="1" thickBot="1">
      <c r="B284" s="362"/>
      <c r="C284" s="1186"/>
      <c r="D284" s="1187"/>
      <c r="E284" s="1187"/>
      <c r="F284" s="1187"/>
      <c r="G284" s="1187"/>
      <c r="H284" s="1187"/>
      <c r="I284" s="1187"/>
      <c r="J284" s="1187"/>
      <c r="K284" s="1187"/>
      <c r="L284" s="1188"/>
      <c r="M284" s="363"/>
      <c r="N284" s="363"/>
      <c r="P284" s="364"/>
      <c r="Q284" s="365"/>
      <c r="R284" s="366"/>
      <c r="S284" s="1176"/>
      <c r="T284" s="1160"/>
      <c r="U284" s="1161"/>
      <c r="V284" s="1160"/>
      <c r="W284" s="1161"/>
      <c r="X284" s="1160"/>
      <c r="Y284" s="1161"/>
      <c r="Z284" s="1160"/>
      <c r="AA284" s="1161"/>
      <c r="AB284" s="1160"/>
      <c r="AC284" s="1161"/>
      <c r="AE284" s="364"/>
      <c r="AF284" s="365"/>
      <c r="AG284" s="366"/>
      <c r="AH284" s="1176"/>
      <c r="AI284" s="1160"/>
      <c r="AJ284" s="1161"/>
      <c r="AK284" s="1160"/>
      <c r="AL284" s="1161"/>
      <c r="AM284" s="1160"/>
      <c r="AN284" s="1161"/>
      <c r="AO284" s="1160"/>
      <c r="AP284" s="1161"/>
      <c r="AQ284" s="1160"/>
      <c r="AR284" s="1161"/>
    </row>
    <row r="285" spans="1:44" ht="15" customHeight="1" thickBot="1">
      <c r="B285" s="1164"/>
      <c r="C285" s="1166"/>
      <c r="D285" s="1166"/>
      <c r="E285" s="1166"/>
      <c r="F285" s="1166"/>
      <c r="G285" s="1168"/>
      <c r="H285" s="1169"/>
      <c r="I285" s="1168"/>
      <c r="J285" s="1169"/>
      <c r="K285" s="1189"/>
      <c r="L285" s="1189"/>
      <c r="M285" s="367"/>
      <c r="N285" s="367"/>
      <c r="P285" s="1180"/>
      <c r="Q285" s="368"/>
      <c r="R285" s="368"/>
      <c r="S285" s="1177"/>
      <c r="T285" s="1162"/>
      <c r="U285" s="1163"/>
      <c r="V285" s="1162"/>
      <c r="W285" s="1163"/>
      <c r="X285" s="1162"/>
      <c r="Y285" s="1163"/>
      <c r="Z285" s="1162"/>
      <c r="AA285" s="1163"/>
      <c r="AB285" s="1162"/>
      <c r="AC285" s="1163"/>
      <c r="AE285" s="1180"/>
      <c r="AF285" s="368"/>
      <c r="AG285" s="368"/>
      <c r="AH285" s="1177"/>
      <c r="AI285" s="1162"/>
      <c r="AJ285" s="1163"/>
      <c r="AK285" s="1162"/>
      <c r="AL285" s="1163"/>
      <c r="AM285" s="1162"/>
      <c r="AN285" s="1163"/>
      <c r="AO285" s="1162"/>
      <c r="AP285" s="1163"/>
      <c r="AQ285" s="1162"/>
      <c r="AR285" s="1163"/>
    </row>
    <row r="286" spans="1:44" ht="15" customHeight="1" thickBot="1">
      <c r="B286" s="1165"/>
      <c r="C286" s="1167"/>
      <c r="D286" s="1167"/>
      <c r="E286" s="1167"/>
      <c r="F286" s="1167"/>
      <c r="G286" s="406"/>
      <c r="H286" s="406"/>
      <c r="I286" s="406"/>
      <c r="J286" s="406"/>
      <c r="K286" s="1190"/>
      <c r="L286" s="1190"/>
      <c r="M286" s="370"/>
      <c r="N286" s="370"/>
      <c r="P286" s="1181"/>
      <c r="Q286" s="1183"/>
      <c r="R286" s="1184"/>
      <c r="S286" s="1178"/>
      <c r="T286" s="1162"/>
      <c r="U286" s="1163"/>
      <c r="V286" s="1162"/>
      <c r="W286" s="1163"/>
      <c r="X286" s="1162"/>
      <c r="Y286" s="1163"/>
      <c r="Z286" s="1162"/>
      <c r="AA286" s="1163"/>
      <c r="AB286" s="1162"/>
      <c r="AC286" s="1163"/>
      <c r="AE286" s="1181"/>
      <c r="AF286" s="1183"/>
      <c r="AG286" s="1184"/>
      <c r="AH286" s="1178"/>
      <c r="AI286" s="1162"/>
      <c r="AJ286" s="1163"/>
      <c r="AK286" s="1162"/>
      <c r="AL286" s="1163"/>
      <c r="AM286" s="1162"/>
      <c r="AN286" s="1163"/>
      <c r="AO286" s="1162"/>
      <c r="AP286" s="1163"/>
      <c r="AQ286" s="1162"/>
      <c r="AR286" s="1163"/>
    </row>
    <row r="287" spans="1:44" ht="16" thickBot="1">
      <c r="B287" s="371"/>
      <c r="C287" s="372"/>
      <c r="D287" s="372"/>
      <c r="E287" s="372"/>
      <c r="F287" s="372"/>
      <c r="G287" s="372"/>
      <c r="H287" s="372"/>
      <c r="I287" s="372"/>
      <c r="J287" s="372"/>
      <c r="K287" s="372"/>
      <c r="L287" s="373"/>
      <c r="M287" s="370"/>
      <c r="N287" s="370"/>
      <c r="O287" s="74"/>
      <c r="P287" s="1182"/>
      <c r="Q287" s="1179"/>
      <c r="R287" s="1185"/>
      <c r="S287" s="1179"/>
      <c r="T287" s="374"/>
      <c r="U287" s="375"/>
      <c r="V287" s="374"/>
      <c r="W287" s="375"/>
      <c r="X287" s="374"/>
      <c r="Y287" s="375"/>
      <c r="Z287" s="374"/>
      <c r="AA287" s="375"/>
      <c r="AB287" s="374"/>
      <c r="AC287" s="375"/>
      <c r="AE287" s="1182"/>
      <c r="AF287" s="1179"/>
      <c r="AG287" s="1185"/>
      <c r="AH287" s="1179"/>
      <c r="AI287" s="374"/>
      <c r="AJ287" s="375"/>
      <c r="AK287" s="374"/>
      <c r="AL287" s="375"/>
      <c r="AM287" s="374"/>
      <c r="AN287" s="375"/>
      <c r="AO287" s="374"/>
      <c r="AP287" s="375"/>
      <c r="AQ287" s="374"/>
      <c r="AR287" s="375"/>
    </row>
    <row r="288" spans="1:44" ht="14.5" customHeight="1">
      <c r="B288" s="574"/>
      <c r="C288" s="575"/>
      <c r="D288" s="575"/>
      <c r="E288" s="575"/>
      <c r="F288" s="575"/>
      <c r="G288" s="576"/>
      <c r="H288" s="576"/>
      <c r="I288" s="576"/>
      <c r="J288" s="576"/>
      <c r="K288" s="372"/>
      <c r="L288" s="373"/>
      <c r="M288" s="370"/>
      <c r="N288" s="370"/>
      <c r="P288" s="1148"/>
      <c r="Q288" s="1154"/>
      <c r="R288" s="381"/>
      <c r="S288" s="382"/>
      <c r="T288" s="1137"/>
      <c r="U288" s="1151"/>
      <c r="V288" s="1137"/>
      <c r="W288" s="1151"/>
      <c r="X288" s="1137"/>
      <c r="Y288" s="1151"/>
      <c r="Z288" s="1137"/>
      <c r="AA288" s="1151"/>
      <c r="AB288" s="1157"/>
      <c r="AC288" s="1151"/>
      <c r="AE288" s="1148"/>
      <c r="AF288" s="1154"/>
      <c r="AG288" s="381"/>
      <c r="AH288" s="382"/>
      <c r="AI288" s="1137"/>
      <c r="AJ288" s="1151"/>
      <c r="AK288" s="1137"/>
      <c r="AL288" s="1151"/>
      <c r="AM288" s="1137"/>
      <c r="AN288" s="1151"/>
      <c r="AO288" s="1137"/>
      <c r="AP288" s="1151"/>
      <c r="AQ288" s="1157"/>
      <c r="AR288" s="1151"/>
    </row>
    <row r="289" spans="2:44">
      <c r="B289" s="383"/>
      <c r="C289" s="577"/>
      <c r="D289" s="577"/>
      <c r="E289" s="577"/>
      <c r="F289" s="577"/>
      <c r="G289" s="576"/>
      <c r="H289" s="576"/>
      <c r="I289" s="576"/>
      <c r="J289" s="576"/>
      <c r="K289" s="372"/>
      <c r="L289" s="373"/>
      <c r="M289" s="370"/>
      <c r="N289" s="370"/>
      <c r="O289" s="71"/>
      <c r="P289" s="1149"/>
      <c r="Q289" s="1155"/>
      <c r="R289" s="388"/>
      <c r="S289" s="389"/>
      <c r="T289" s="1140"/>
      <c r="U289" s="1152"/>
      <c r="V289" s="1140"/>
      <c r="W289" s="1152"/>
      <c r="X289" s="1140"/>
      <c r="Y289" s="1152"/>
      <c r="Z289" s="1140"/>
      <c r="AA289" s="1152"/>
      <c r="AB289" s="1158"/>
      <c r="AC289" s="1152"/>
      <c r="AE289" s="1149"/>
      <c r="AF289" s="1155"/>
      <c r="AG289" s="388"/>
      <c r="AH289" s="389"/>
      <c r="AI289" s="1140"/>
      <c r="AJ289" s="1152"/>
      <c r="AK289" s="1140"/>
      <c r="AL289" s="1152"/>
      <c r="AM289" s="1140"/>
      <c r="AN289" s="1152"/>
      <c r="AO289" s="1140"/>
      <c r="AP289" s="1152"/>
      <c r="AQ289" s="1158"/>
      <c r="AR289" s="1152"/>
    </row>
    <row r="290" spans="2:44" ht="16" thickBot="1">
      <c r="B290" s="574"/>
      <c r="C290" s="578"/>
      <c r="D290" s="578"/>
      <c r="E290" s="578"/>
      <c r="F290" s="578"/>
      <c r="G290" s="578"/>
      <c r="H290" s="578"/>
      <c r="I290" s="578"/>
      <c r="J290" s="578"/>
      <c r="K290" s="579"/>
      <c r="L290" s="580"/>
      <c r="M290" s="370"/>
      <c r="N290" s="370"/>
      <c r="O290" s="71"/>
      <c r="P290" s="1149"/>
      <c r="Q290" s="1156"/>
      <c r="R290" s="393"/>
      <c r="S290" s="394"/>
      <c r="T290" s="1141"/>
      <c r="U290" s="1153"/>
      <c r="V290" s="1141"/>
      <c r="W290" s="1153"/>
      <c r="X290" s="1141"/>
      <c r="Y290" s="1153"/>
      <c r="Z290" s="1141"/>
      <c r="AA290" s="1153"/>
      <c r="AB290" s="1159"/>
      <c r="AC290" s="1153"/>
      <c r="AE290" s="1149"/>
      <c r="AF290" s="1156"/>
      <c r="AG290" s="393"/>
      <c r="AH290" s="394"/>
      <c r="AI290" s="1141"/>
      <c r="AJ290" s="1153"/>
      <c r="AK290" s="1141"/>
      <c r="AL290" s="1153"/>
      <c r="AM290" s="1141"/>
      <c r="AN290" s="1153"/>
      <c r="AO290" s="1141"/>
      <c r="AP290" s="1153"/>
      <c r="AQ290" s="1159"/>
      <c r="AR290" s="1153"/>
    </row>
    <row r="291" spans="2:44" ht="14.5" customHeight="1">
      <c r="B291" s="574"/>
      <c r="C291" s="581"/>
      <c r="D291" s="581"/>
      <c r="E291" s="581"/>
      <c r="F291" s="581"/>
      <c r="G291" s="581"/>
      <c r="H291" s="581"/>
      <c r="I291" s="581"/>
      <c r="J291" s="581"/>
      <c r="K291" s="579"/>
      <c r="L291" s="580"/>
      <c r="M291" s="370"/>
      <c r="N291" s="370"/>
      <c r="O291" s="71"/>
      <c r="P291" s="1149"/>
      <c r="Q291" s="1145"/>
      <c r="R291" s="395"/>
      <c r="S291" s="396"/>
      <c r="T291" s="1137"/>
      <c r="U291" s="1137"/>
      <c r="V291" s="1137"/>
      <c r="W291" s="1137"/>
      <c r="X291" s="1137"/>
      <c r="Y291" s="1137"/>
      <c r="Z291" s="1137"/>
      <c r="AA291" s="1137"/>
      <c r="AB291" s="1137"/>
      <c r="AC291" s="1137"/>
      <c r="AE291" s="1149"/>
      <c r="AF291" s="1145"/>
      <c r="AG291" s="395"/>
      <c r="AH291" s="396"/>
      <c r="AI291" s="1137"/>
      <c r="AJ291" s="1137"/>
      <c r="AK291" s="1137"/>
      <c r="AL291" s="1137"/>
      <c r="AM291" s="1137"/>
      <c r="AN291" s="1137"/>
      <c r="AO291" s="1137"/>
      <c r="AP291" s="1137"/>
      <c r="AQ291" s="1137"/>
      <c r="AR291" s="1137"/>
    </row>
    <row r="292" spans="2:44">
      <c r="B292" s="574"/>
      <c r="C292" s="582"/>
      <c r="D292" s="582"/>
      <c r="E292" s="582"/>
      <c r="F292" s="582"/>
      <c r="G292" s="582"/>
      <c r="H292" s="582"/>
      <c r="I292" s="582"/>
      <c r="J292" s="582"/>
      <c r="K292" s="579"/>
      <c r="L292" s="580"/>
      <c r="M292" s="367"/>
      <c r="N292" s="367"/>
      <c r="O292" s="71"/>
      <c r="P292" s="1149"/>
      <c r="Q292" s="1146"/>
      <c r="R292" s="395"/>
      <c r="S292" s="396"/>
      <c r="T292" s="1138"/>
      <c r="U292" s="1138"/>
      <c r="V292" s="1138"/>
      <c r="W292" s="1138"/>
      <c r="X292" s="1138"/>
      <c r="Y292" s="1138"/>
      <c r="Z292" s="1138"/>
      <c r="AA292" s="1138"/>
      <c r="AB292" s="1140"/>
      <c r="AC292" s="1138"/>
      <c r="AE292" s="1149"/>
      <c r="AF292" s="1146"/>
      <c r="AG292" s="395"/>
      <c r="AH292" s="396"/>
      <c r="AI292" s="1138"/>
      <c r="AJ292" s="1138"/>
      <c r="AK292" s="1138"/>
      <c r="AL292" s="1138"/>
      <c r="AM292" s="1138"/>
      <c r="AN292" s="1138"/>
      <c r="AO292" s="1138"/>
      <c r="AP292" s="1138"/>
      <c r="AQ292" s="1140"/>
      <c r="AR292" s="1138"/>
    </row>
    <row r="293" spans="2:44">
      <c r="B293" s="383"/>
      <c r="C293" s="397"/>
      <c r="D293" s="397"/>
      <c r="E293" s="397"/>
      <c r="F293" s="397"/>
      <c r="G293" s="398"/>
      <c r="H293" s="398"/>
      <c r="I293" s="398"/>
      <c r="J293" s="398"/>
      <c r="K293" s="372"/>
      <c r="L293" s="373"/>
      <c r="M293" s="363"/>
      <c r="N293" s="363"/>
      <c r="P293" s="1149"/>
      <c r="Q293" s="1146"/>
      <c r="R293" s="395"/>
      <c r="S293" s="396"/>
      <c r="T293" s="1138"/>
      <c r="U293" s="1138"/>
      <c r="V293" s="1138"/>
      <c r="W293" s="1138"/>
      <c r="X293" s="1138"/>
      <c r="Y293" s="1138"/>
      <c r="Z293" s="1138"/>
      <c r="AA293" s="1138"/>
      <c r="AB293" s="1140"/>
      <c r="AC293" s="1138"/>
      <c r="AE293" s="1149"/>
      <c r="AF293" s="1146"/>
      <c r="AG293" s="395"/>
      <c r="AH293" s="396"/>
      <c r="AI293" s="1138"/>
      <c r="AJ293" s="1138"/>
      <c r="AK293" s="1138"/>
      <c r="AL293" s="1138"/>
      <c r="AM293" s="1138"/>
      <c r="AN293" s="1138"/>
      <c r="AO293" s="1138"/>
      <c r="AP293" s="1138"/>
      <c r="AQ293" s="1140"/>
      <c r="AR293" s="1138"/>
    </row>
    <row r="294" spans="2:44" ht="16" thickBot="1">
      <c r="B294" s="574"/>
      <c r="C294" s="582"/>
      <c r="D294" s="582"/>
      <c r="E294" s="582"/>
      <c r="F294" s="582"/>
      <c r="G294" s="582"/>
      <c r="H294" s="582"/>
      <c r="I294" s="582"/>
      <c r="J294" s="582"/>
      <c r="K294" s="372"/>
      <c r="L294" s="373"/>
      <c r="M294" s="363"/>
      <c r="N294" s="363"/>
      <c r="P294" s="1149"/>
      <c r="Q294" s="1146"/>
      <c r="R294" s="395"/>
      <c r="S294" s="396"/>
      <c r="T294" s="1138"/>
      <c r="U294" s="1138"/>
      <c r="V294" s="1138"/>
      <c r="W294" s="1138"/>
      <c r="X294" s="1138"/>
      <c r="Y294" s="1138"/>
      <c r="Z294" s="1138"/>
      <c r="AA294" s="1138"/>
      <c r="AB294" s="1140"/>
      <c r="AC294" s="1138"/>
      <c r="AE294" s="1149"/>
      <c r="AF294" s="1146"/>
      <c r="AG294" s="395"/>
      <c r="AH294" s="396"/>
      <c r="AI294" s="1138"/>
      <c r="AJ294" s="1138"/>
      <c r="AK294" s="1138"/>
      <c r="AL294" s="1138"/>
      <c r="AM294" s="1138"/>
      <c r="AN294" s="1138"/>
      <c r="AO294" s="1138"/>
      <c r="AP294" s="1138"/>
      <c r="AQ294" s="1140"/>
      <c r="AR294" s="1138"/>
    </row>
    <row r="295" spans="2:44" ht="16" thickBot="1">
      <c r="B295" s="401"/>
      <c r="C295" s="583"/>
      <c r="D295" s="584"/>
      <c r="E295" s="585"/>
      <c r="F295" s="586"/>
      <c r="G295" s="406"/>
      <c r="H295" s="406"/>
      <c r="I295" s="406"/>
      <c r="J295" s="406"/>
      <c r="K295" s="407"/>
      <c r="L295" s="587"/>
      <c r="M295" s="363"/>
      <c r="N295" s="363"/>
      <c r="P295" s="1149"/>
      <c r="Q295" s="1147"/>
      <c r="R295" s="409"/>
      <c r="S295" s="410"/>
      <c r="T295" s="1139"/>
      <c r="U295" s="1139"/>
      <c r="V295" s="1139"/>
      <c r="W295" s="1139"/>
      <c r="X295" s="1139"/>
      <c r="Y295" s="1139"/>
      <c r="Z295" s="1139"/>
      <c r="AA295" s="1139"/>
      <c r="AB295" s="1141"/>
      <c r="AC295" s="1139"/>
      <c r="AE295" s="1149"/>
      <c r="AF295" s="1147"/>
      <c r="AG295" s="409"/>
      <c r="AH295" s="410"/>
      <c r="AI295" s="1139"/>
      <c r="AJ295" s="1139"/>
      <c r="AK295" s="1139"/>
      <c r="AL295" s="1139"/>
      <c r="AM295" s="1139"/>
      <c r="AN295" s="1139"/>
      <c r="AO295" s="1139"/>
      <c r="AP295" s="1139"/>
      <c r="AQ295" s="1141"/>
      <c r="AR295" s="1139"/>
    </row>
    <row r="296" spans="2:44" ht="16" thickBot="1">
      <c r="B296" s="574"/>
      <c r="C296" s="588"/>
      <c r="D296" s="588"/>
      <c r="E296" s="588"/>
      <c r="F296" s="588"/>
      <c r="G296" s="589"/>
      <c r="H296" s="589"/>
      <c r="I296" s="590"/>
      <c r="J296" s="590"/>
      <c r="K296" s="579"/>
      <c r="L296" s="580"/>
      <c r="M296" s="363"/>
      <c r="N296" s="363"/>
      <c r="P296" s="1150"/>
      <c r="Q296" s="411"/>
      <c r="R296" s="412"/>
      <c r="S296" s="413"/>
      <c r="T296" s="591"/>
      <c r="U296" s="592"/>
      <c r="V296" s="593"/>
      <c r="W296" s="592"/>
      <c r="X296" s="593"/>
      <c r="Y296" s="592"/>
      <c r="Z296" s="593"/>
      <c r="AA296" s="592"/>
      <c r="AB296" s="593"/>
      <c r="AC296" s="594"/>
      <c r="AE296" s="1150"/>
      <c r="AF296" s="411"/>
      <c r="AG296" s="412"/>
      <c r="AH296" s="413"/>
      <c r="AI296" s="591"/>
      <c r="AJ296" s="592"/>
      <c r="AK296" s="593"/>
      <c r="AL296" s="592"/>
      <c r="AM296" s="593"/>
      <c r="AN296" s="592"/>
      <c r="AO296" s="593"/>
      <c r="AP296" s="592"/>
      <c r="AQ296" s="593"/>
      <c r="AR296" s="594"/>
    </row>
    <row r="297" spans="2:44">
      <c r="B297" s="574"/>
      <c r="C297" s="582"/>
      <c r="D297" s="582"/>
      <c r="E297" s="582"/>
      <c r="F297" s="582"/>
      <c r="G297" s="595"/>
      <c r="H297" s="595"/>
      <c r="I297" s="595"/>
      <c r="J297" s="595"/>
      <c r="K297" s="596"/>
      <c r="L297" s="580"/>
      <c r="M297" s="363"/>
      <c r="N297" s="363"/>
    </row>
    <row r="298" spans="2:44">
      <c r="B298" s="574"/>
      <c r="C298" s="582"/>
      <c r="D298" s="582"/>
      <c r="E298" s="582"/>
      <c r="F298" s="582"/>
      <c r="G298" s="595"/>
      <c r="H298" s="595"/>
      <c r="I298" s="595"/>
      <c r="J298" s="595"/>
      <c r="K298" s="596"/>
      <c r="L298" s="580"/>
      <c r="M298" s="420"/>
      <c r="N298" s="363"/>
    </row>
    <row r="299" spans="2:44">
      <c r="B299" s="421"/>
      <c r="C299" s="399"/>
      <c r="D299" s="399"/>
      <c r="E299" s="399"/>
      <c r="F299" s="399"/>
      <c r="G299" s="422"/>
      <c r="H299" s="422"/>
      <c r="I299" s="422"/>
      <c r="J299" s="422"/>
      <c r="K299" s="423"/>
      <c r="L299" s="597"/>
      <c r="M299" s="420"/>
      <c r="N299" s="420"/>
    </row>
    <row r="300" spans="2:44">
      <c r="B300" s="383"/>
      <c r="C300" s="397"/>
      <c r="D300" s="397"/>
      <c r="E300" s="397"/>
      <c r="F300" s="397"/>
      <c r="G300" s="422"/>
      <c r="H300" s="425"/>
      <c r="I300" s="425"/>
      <c r="J300" s="425"/>
      <c r="K300" s="426"/>
      <c r="L300" s="427"/>
      <c r="M300" s="428"/>
      <c r="N300" s="428"/>
    </row>
    <row r="301" spans="2:44">
      <c r="B301" s="383"/>
      <c r="C301" s="397"/>
      <c r="D301" s="397"/>
      <c r="E301" s="397"/>
      <c r="F301" s="397"/>
      <c r="G301" s="425"/>
      <c r="H301" s="425"/>
      <c r="I301" s="425"/>
      <c r="J301" s="425"/>
      <c r="K301" s="423"/>
      <c r="L301" s="427"/>
      <c r="M301" s="428"/>
      <c r="N301" s="428"/>
    </row>
    <row r="302" spans="2:44">
      <c r="B302" s="383"/>
      <c r="C302" s="397"/>
      <c r="D302" s="397"/>
      <c r="E302" s="397"/>
      <c r="F302" s="397"/>
      <c r="G302" s="425"/>
      <c r="H302" s="425"/>
      <c r="I302" s="425"/>
      <c r="J302" s="425"/>
      <c r="K302" s="423"/>
      <c r="L302" s="427"/>
      <c r="M302" s="428"/>
      <c r="N302" s="428"/>
    </row>
    <row r="303" spans="2:44">
      <c r="B303" s="383"/>
      <c r="C303" s="397"/>
      <c r="D303" s="397"/>
      <c r="E303" s="397"/>
      <c r="F303" s="397"/>
      <c r="G303" s="425"/>
      <c r="H303" s="425"/>
      <c r="I303" s="425"/>
      <c r="J303" s="425"/>
      <c r="K303" s="423"/>
      <c r="L303" s="427"/>
      <c r="M303" s="428"/>
      <c r="N303" s="428"/>
    </row>
    <row r="304" spans="2:44" ht="16" thickBot="1">
      <c r="B304" s="429"/>
      <c r="C304" s="397"/>
      <c r="D304" s="397"/>
      <c r="E304" s="397"/>
      <c r="F304" s="397"/>
      <c r="G304" s="425"/>
      <c r="H304" s="425"/>
      <c r="I304" s="425"/>
      <c r="J304" s="425"/>
      <c r="K304" s="423"/>
      <c r="L304" s="427"/>
      <c r="M304" s="428"/>
      <c r="N304" s="428"/>
    </row>
    <row r="305" spans="1:30" ht="16" thickBot="1">
      <c r="B305" s="431"/>
      <c r="C305" s="598"/>
      <c r="D305" s="584"/>
      <c r="E305" s="584"/>
      <c r="F305" s="599"/>
      <c r="G305" s="434"/>
      <c r="H305" s="406"/>
      <c r="I305" s="406"/>
      <c r="J305" s="406"/>
      <c r="K305" s="407"/>
      <c r="L305" s="587"/>
      <c r="M305" s="428"/>
      <c r="N305" s="428"/>
    </row>
    <row r="306" spans="1:30">
      <c r="A306" s="435"/>
      <c r="B306" s="436"/>
      <c r="C306" s="600"/>
      <c r="D306" s="600"/>
      <c r="E306" s="600"/>
      <c r="F306" s="600"/>
      <c r="G306" s="425"/>
      <c r="H306" s="425"/>
      <c r="I306" s="425"/>
      <c r="J306" s="425"/>
      <c r="K306" s="426"/>
      <c r="L306" s="440"/>
      <c r="M306" s="420"/>
      <c r="N306" s="420"/>
    </row>
    <row r="307" spans="1:30">
      <c r="B307" s="441"/>
      <c r="C307" s="601"/>
      <c r="D307" s="601"/>
      <c r="E307" s="601"/>
      <c r="F307" s="601"/>
      <c r="G307" s="425"/>
      <c r="H307" s="425"/>
      <c r="I307" s="425"/>
      <c r="J307" s="425"/>
      <c r="K307" s="444"/>
      <c r="L307" s="373"/>
      <c r="M307" s="71"/>
      <c r="N307" s="420"/>
    </row>
    <row r="308" spans="1:30">
      <c r="B308" s="441"/>
      <c r="C308" s="601"/>
      <c r="D308" s="601"/>
      <c r="E308" s="601"/>
      <c r="F308" s="601"/>
      <c r="G308" s="425"/>
      <c r="H308" s="425"/>
      <c r="I308" s="425"/>
      <c r="J308" s="425"/>
      <c r="K308" s="444"/>
      <c r="L308" s="373"/>
      <c r="M308" s="420"/>
      <c r="N308" s="420"/>
    </row>
    <row r="309" spans="1:30">
      <c r="B309" s="383"/>
      <c r="C309" s="602"/>
      <c r="D309" s="603"/>
      <c r="E309" s="603"/>
      <c r="F309" s="604"/>
      <c r="G309" s="425"/>
      <c r="H309" s="425"/>
      <c r="I309" s="425"/>
      <c r="J309" s="425"/>
      <c r="K309" s="444"/>
      <c r="L309" s="373"/>
      <c r="M309" s="420"/>
      <c r="N309" s="420"/>
    </row>
    <row r="310" spans="1:30">
      <c r="B310" s="383"/>
      <c r="C310" s="605"/>
      <c r="D310" s="605"/>
      <c r="E310" s="605"/>
      <c r="F310" s="605"/>
      <c r="G310" s="425"/>
      <c r="H310" s="425"/>
      <c r="I310" s="425"/>
      <c r="J310" s="425"/>
      <c r="K310" s="444"/>
      <c r="L310" s="373"/>
      <c r="M310" s="450"/>
      <c r="N310" s="361"/>
      <c r="P310" s="1142"/>
      <c r="Q310" s="1143"/>
      <c r="R310" s="1143"/>
      <c r="S310" s="1143"/>
      <c r="T310" s="1143"/>
      <c r="U310" s="1144"/>
    </row>
    <row r="311" spans="1:30" ht="16" thickBot="1">
      <c r="B311" s="541"/>
      <c r="C311" s="552"/>
      <c r="D311" s="552"/>
      <c r="E311" s="552"/>
      <c r="F311" s="552"/>
      <c r="G311" s="553"/>
      <c r="H311" s="553"/>
      <c r="I311" s="553"/>
      <c r="J311" s="553"/>
      <c r="K311" s="547"/>
      <c r="L311" s="548"/>
      <c r="M311" s="450"/>
      <c r="N311" s="361"/>
      <c r="P311" s="1134"/>
      <c r="Q311" s="1135"/>
      <c r="R311" s="1135"/>
      <c r="S311" s="1135"/>
      <c r="T311" s="1135"/>
      <c r="U311" s="1136"/>
    </row>
    <row r="312" spans="1:30">
      <c r="B312" s="541"/>
      <c r="C312" s="606"/>
      <c r="D312" s="606"/>
      <c r="E312" s="606"/>
      <c r="F312" s="606"/>
      <c r="G312" s="553"/>
      <c r="H312" s="553"/>
      <c r="I312" s="553"/>
      <c r="J312" s="553"/>
      <c r="K312" s="547"/>
      <c r="L312" s="548"/>
      <c r="M312" s="363"/>
      <c r="N312" s="363"/>
      <c r="P312" s="53"/>
    </row>
    <row r="313" spans="1:30">
      <c r="B313" s="541"/>
      <c r="C313" s="607"/>
      <c r="D313" s="547"/>
      <c r="E313" s="547"/>
      <c r="F313" s="563"/>
      <c r="G313" s="550"/>
      <c r="H313" s="550"/>
      <c r="I313" s="550"/>
      <c r="J313" s="550"/>
      <c r="K313" s="547"/>
      <c r="L313" s="608"/>
      <c r="M313" s="367"/>
      <c r="N313" s="367"/>
      <c r="P313" s="46"/>
      <c r="Q313" s="46"/>
      <c r="R313" s="47"/>
      <c r="S313" s="47"/>
      <c r="T313" s="47"/>
      <c r="U313" s="48"/>
      <c r="V313" s="49"/>
      <c r="W313" s="49"/>
      <c r="X313" s="49"/>
      <c r="Y313" s="49"/>
      <c r="Z313" s="49"/>
      <c r="AA313" s="49"/>
      <c r="AB313" s="49"/>
      <c r="AC313" s="49"/>
      <c r="AD313" s="49"/>
    </row>
    <row r="314" spans="1:30" ht="16" thickBot="1">
      <c r="B314" s="566"/>
      <c r="C314" s="607"/>
      <c r="D314" s="609"/>
      <c r="E314" s="609"/>
      <c r="F314" s="610"/>
      <c r="G314" s="550"/>
      <c r="H314" s="550"/>
      <c r="I314" s="550"/>
      <c r="J314" s="550"/>
      <c r="K314" s="547"/>
      <c r="L314" s="608"/>
      <c r="M314" s="363"/>
      <c r="N314" s="363"/>
      <c r="O314" s="71"/>
      <c r="P314" s="50"/>
      <c r="Q314" s="50"/>
      <c r="R314" s="51"/>
      <c r="S314" s="51"/>
      <c r="T314" s="51"/>
      <c r="U314" s="51"/>
      <c r="V314" s="50"/>
      <c r="W314" s="50"/>
      <c r="X314" s="50"/>
      <c r="Y314" s="50"/>
      <c r="Z314" s="50"/>
      <c r="AA314" s="50"/>
      <c r="AB314" s="50"/>
      <c r="AC314" s="50"/>
      <c r="AD314" s="50"/>
    </row>
    <row r="315" spans="1:30" ht="16" thickBot="1">
      <c r="B315" s="611"/>
      <c r="C315" s="612"/>
      <c r="D315" s="613"/>
      <c r="E315" s="614"/>
      <c r="F315" s="615"/>
      <c r="G315" s="540"/>
      <c r="H315" s="540"/>
      <c r="I315" s="540"/>
      <c r="J315" s="540"/>
      <c r="K315" s="616"/>
      <c r="L315" s="617"/>
      <c r="M315" s="363"/>
      <c r="N315" s="363"/>
      <c r="O315" s="461"/>
      <c r="P315" s="56"/>
      <c r="Q315" s="56"/>
      <c r="R315" s="57"/>
      <c r="S315" s="57"/>
      <c r="T315" s="57"/>
      <c r="U315" s="56"/>
      <c r="V315" s="56"/>
      <c r="W315" s="56"/>
      <c r="X315" s="56"/>
      <c r="Y315" s="56"/>
      <c r="Z315" s="56"/>
      <c r="AA315" s="56"/>
      <c r="AB315" s="56"/>
      <c r="AC315" s="56"/>
      <c r="AD315" s="56"/>
    </row>
    <row r="316" spans="1:30">
      <c r="B316" s="556"/>
      <c r="C316" s="618"/>
      <c r="D316" s="618"/>
      <c r="E316" s="618"/>
      <c r="F316" s="618"/>
      <c r="G316" s="618"/>
      <c r="H316" s="618"/>
      <c r="I316" s="618"/>
      <c r="J316" s="618"/>
      <c r="K316" s="618"/>
      <c r="L316" s="619"/>
      <c r="M316" s="363"/>
      <c r="N316" s="363"/>
      <c r="O316" s="620"/>
      <c r="P316" s="466"/>
      <c r="Q316" s="58"/>
      <c r="R316" s="466"/>
      <c r="S316" s="58"/>
      <c r="T316" s="466"/>
      <c r="U316" s="467"/>
      <c r="V316" s="467"/>
      <c r="W316" s="467"/>
      <c r="X316" s="58"/>
      <c r="Y316" s="58"/>
      <c r="Z316" s="466"/>
      <c r="AA316" s="468"/>
      <c r="AB316" s="468"/>
      <c r="AC316" s="468"/>
      <c r="AD316" s="468"/>
    </row>
    <row r="317" spans="1:30">
      <c r="B317" s="541"/>
      <c r="C317" s="558"/>
      <c r="D317" s="558"/>
      <c r="E317" s="558"/>
      <c r="F317" s="558"/>
      <c r="G317" s="563"/>
      <c r="H317" s="563"/>
      <c r="I317" s="563"/>
      <c r="J317" s="563"/>
      <c r="K317" s="563"/>
      <c r="L317" s="548"/>
      <c r="M317" s="363"/>
      <c r="N317" s="363"/>
      <c r="O317" s="620"/>
      <c r="P317" s="466"/>
      <c r="Q317" s="58"/>
      <c r="R317" s="466"/>
      <c r="S317" s="58"/>
      <c r="T317" s="466"/>
      <c r="U317" s="467"/>
      <c r="V317" s="467"/>
      <c r="W317" s="467"/>
      <c r="X317" s="58"/>
      <c r="Y317" s="58"/>
      <c r="Z317" s="466"/>
      <c r="AA317" s="468"/>
      <c r="AB317" s="468"/>
      <c r="AC317" s="468"/>
      <c r="AD317" s="468"/>
    </row>
    <row r="318" spans="1:30">
      <c r="B318" s="541"/>
      <c r="C318" s="558"/>
      <c r="D318" s="558"/>
      <c r="E318" s="558"/>
      <c r="F318" s="558"/>
      <c r="G318" s="563"/>
      <c r="H318" s="563"/>
      <c r="I318" s="563"/>
      <c r="J318" s="563"/>
      <c r="K318" s="563"/>
      <c r="L318" s="548"/>
      <c r="M318" s="363"/>
      <c r="N318" s="363"/>
      <c r="O318" s="620"/>
      <c r="P318" s="466"/>
      <c r="Q318" s="58"/>
      <c r="R318" s="466"/>
      <c r="S318" s="58"/>
      <c r="T318" s="466"/>
      <c r="U318" s="467"/>
      <c r="V318" s="467"/>
      <c r="W318" s="467"/>
      <c r="X318" s="58"/>
      <c r="Y318" s="58"/>
      <c r="Z318" s="466"/>
      <c r="AA318" s="468"/>
      <c r="AB318" s="468"/>
      <c r="AC318" s="468"/>
      <c r="AD318" s="468"/>
    </row>
    <row r="319" spans="1:30">
      <c r="B319" s="541"/>
      <c r="C319" s="564"/>
      <c r="D319" s="564"/>
      <c r="E319" s="564"/>
      <c r="F319" s="564"/>
      <c r="G319" s="621"/>
      <c r="H319" s="621"/>
      <c r="I319" s="621"/>
      <c r="J319" s="621"/>
      <c r="K319" s="621"/>
      <c r="L319" s="548"/>
      <c r="M319" s="363"/>
      <c r="N319" s="363"/>
      <c r="O319" s="620"/>
      <c r="P319" s="466"/>
      <c r="Q319" s="58"/>
      <c r="R319" s="466"/>
      <c r="S319" s="58"/>
      <c r="T319" s="466"/>
      <c r="U319" s="467"/>
      <c r="V319" s="467"/>
      <c r="W319" s="467"/>
      <c r="X319" s="58"/>
      <c r="Y319" s="58"/>
      <c r="Z319" s="466"/>
      <c r="AA319" s="468"/>
      <c r="AB319" s="468"/>
      <c r="AC319" s="468"/>
      <c r="AD319" s="468"/>
    </row>
    <row r="320" spans="1:30">
      <c r="B320" s="566"/>
      <c r="C320" s="558"/>
      <c r="D320" s="558"/>
      <c r="E320" s="558"/>
      <c r="F320" s="558"/>
      <c r="G320" s="563"/>
      <c r="H320" s="563"/>
      <c r="I320" s="563"/>
      <c r="J320" s="563"/>
      <c r="K320" s="563"/>
      <c r="L320" s="548"/>
      <c r="M320" s="367"/>
      <c r="N320" s="367"/>
    </row>
    <row r="321" spans="1:14">
      <c r="B321" s="566"/>
      <c r="C321" s="558"/>
      <c r="D321" s="558"/>
      <c r="E321" s="558"/>
      <c r="F321" s="558"/>
      <c r="G321" s="563"/>
      <c r="H321" s="563"/>
      <c r="I321" s="563"/>
      <c r="J321" s="563"/>
      <c r="K321" s="563"/>
      <c r="L321" s="548"/>
      <c r="M321" s="363"/>
      <c r="N321" s="363"/>
    </row>
    <row r="322" spans="1:14" ht="16" thickBot="1">
      <c r="B322" s="567"/>
      <c r="C322" s="622"/>
      <c r="D322" s="622"/>
      <c r="E322" s="622"/>
      <c r="F322" s="622"/>
      <c r="G322" s="623"/>
      <c r="H322" s="623"/>
      <c r="I322" s="623"/>
      <c r="J322" s="623"/>
      <c r="K322" s="623"/>
      <c r="L322" s="624"/>
      <c r="M322" s="363"/>
      <c r="N322" s="363"/>
    </row>
    <row r="323" spans="1:14">
      <c r="B323" s="461"/>
      <c r="C323" s="483"/>
      <c r="D323" s="483"/>
      <c r="E323" s="483"/>
      <c r="F323" s="483"/>
      <c r="G323" s="483"/>
      <c r="H323" s="484"/>
      <c r="I323" s="420"/>
      <c r="J323" s="420"/>
      <c r="K323" s="484"/>
      <c r="L323" s="484"/>
      <c r="N323" s="420"/>
    </row>
    <row r="324" spans="1:14">
      <c r="B324" s="485"/>
      <c r="C324" s="486"/>
      <c r="D324" s="486"/>
      <c r="E324" s="486"/>
      <c r="F324" s="486"/>
      <c r="G324" s="486"/>
      <c r="H324" s="484"/>
      <c r="I324" s="71"/>
      <c r="J324" s="420"/>
      <c r="K324" s="484"/>
      <c r="L324" s="484"/>
      <c r="N324" s="420"/>
    </row>
    <row r="325" spans="1:14">
      <c r="B325" s="461"/>
      <c r="C325" s="359"/>
      <c r="D325" s="359"/>
      <c r="E325" s="359"/>
      <c r="F325" s="359"/>
      <c r="G325" s="359"/>
      <c r="I325" s="420"/>
      <c r="J325" s="420"/>
      <c r="N325" s="420"/>
    </row>
    <row r="326" spans="1:14">
      <c r="B326" s="461"/>
      <c r="C326" s="487"/>
      <c r="D326" s="487"/>
      <c r="E326" s="487"/>
      <c r="F326" s="487"/>
      <c r="G326" s="359"/>
      <c r="M326" s="420"/>
      <c r="N326" s="420"/>
    </row>
    <row r="329" spans="1:14">
      <c r="A329" s="488"/>
      <c r="B329" s="489"/>
      <c r="D329" s="358"/>
      <c r="E329" s="358"/>
      <c r="F329" s="358"/>
      <c r="G329" s="358"/>
      <c r="H329" s="358"/>
      <c r="I329" s="358"/>
      <c r="J329" s="358"/>
      <c r="K329" s="358"/>
    </row>
    <row r="330" spans="1:14">
      <c r="A330" s="358"/>
      <c r="B330" s="490"/>
      <c r="E330" s="358"/>
      <c r="F330" s="358"/>
      <c r="G330" s="358"/>
      <c r="H330" s="358"/>
      <c r="I330" s="358"/>
      <c r="J330" s="358"/>
      <c r="K330" s="358"/>
    </row>
    <row r="331" spans="1:14">
      <c r="A331" s="358"/>
      <c r="B331" s="490"/>
      <c r="E331" s="358"/>
      <c r="F331" s="358"/>
      <c r="G331" s="358"/>
      <c r="H331" s="358"/>
      <c r="I331" s="358"/>
      <c r="J331" s="358"/>
      <c r="K331" s="358"/>
    </row>
    <row r="332" spans="1:14">
      <c r="A332" s="358"/>
      <c r="B332" s="490"/>
      <c r="E332" s="358"/>
      <c r="F332" s="358"/>
      <c r="G332" s="358"/>
      <c r="H332" s="358"/>
      <c r="I332" s="358"/>
      <c r="J332" s="358"/>
      <c r="K332" s="358"/>
    </row>
    <row r="333" spans="1:14">
      <c r="A333" s="358"/>
      <c r="B333" s="490"/>
      <c r="E333" s="358"/>
      <c r="F333" s="358"/>
      <c r="G333" s="358"/>
      <c r="H333" s="358"/>
      <c r="I333" s="358"/>
      <c r="J333" s="358"/>
      <c r="K333" s="358"/>
    </row>
    <row r="334" spans="1:14">
      <c r="A334" s="358"/>
      <c r="B334" s="490"/>
      <c r="E334" s="358"/>
      <c r="F334" s="358"/>
      <c r="G334" s="358"/>
      <c r="H334" s="358"/>
      <c r="I334" s="358"/>
      <c r="J334" s="358"/>
      <c r="K334" s="358"/>
    </row>
    <row r="335" spans="1:14">
      <c r="A335" s="358"/>
      <c r="B335" s="490"/>
      <c r="E335" s="358"/>
      <c r="F335" s="358"/>
      <c r="G335" s="358"/>
      <c r="H335" s="358"/>
      <c r="I335" s="358"/>
      <c r="J335" s="358"/>
      <c r="K335" s="358"/>
    </row>
    <row r="336" spans="1:14">
      <c r="A336" s="358"/>
      <c r="B336" s="490"/>
      <c r="E336" s="358"/>
      <c r="F336" s="358"/>
      <c r="G336" s="358"/>
      <c r="H336" s="358"/>
      <c r="I336" s="358"/>
      <c r="J336" s="358"/>
      <c r="K336" s="358"/>
    </row>
    <row r="337" spans="1:11">
      <c r="A337" s="358"/>
      <c r="B337" s="625"/>
      <c r="E337" s="358"/>
      <c r="F337" s="358"/>
      <c r="G337" s="358"/>
      <c r="H337" s="358"/>
      <c r="I337" s="358"/>
      <c r="J337" s="358"/>
      <c r="K337" s="358"/>
    </row>
    <row r="338" spans="1:11">
      <c r="A338" s="358"/>
      <c r="B338" s="490"/>
      <c r="E338" s="358"/>
      <c r="F338" s="358"/>
      <c r="G338" s="358"/>
      <c r="H338" s="358"/>
      <c r="I338" s="358"/>
      <c r="J338" s="358"/>
      <c r="K338" s="358"/>
    </row>
    <row r="339" spans="1:11">
      <c r="A339" s="488"/>
      <c r="B339" s="489"/>
      <c r="E339" s="358"/>
      <c r="F339" s="358"/>
      <c r="G339" s="358"/>
      <c r="H339" s="358"/>
      <c r="I339" s="358"/>
      <c r="J339" s="358"/>
      <c r="K339" s="358"/>
    </row>
    <row r="340" spans="1:11">
      <c r="A340" s="496"/>
      <c r="B340" s="490"/>
      <c r="C340" s="489"/>
      <c r="E340" s="358"/>
      <c r="F340" s="358"/>
      <c r="G340" s="358"/>
      <c r="H340" s="358"/>
      <c r="I340" s="358"/>
      <c r="J340" s="358"/>
      <c r="K340" s="358"/>
    </row>
    <row r="341" spans="1:11">
      <c r="A341" s="496"/>
      <c r="B341" s="490"/>
      <c r="C341" s="489"/>
      <c r="E341" s="358"/>
      <c r="F341" s="358"/>
      <c r="G341" s="358"/>
      <c r="H341" s="358"/>
      <c r="I341" s="358"/>
      <c r="J341" s="358"/>
      <c r="K341" s="358"/>
    </row>
    <row r="342" spans="1:11">
      <c r="A342" s="496"/>
      <c r="B342" s="490"/>
      <c r="C342" s="489"/>
      <c r="E342" s="358"/>
      <c r="F342" s="358"/>
      <c r="G342" s="358"/>
      <c r="H342" s="358"/>
      <c r="I342" s="358"/>
      <c r="J342" s="358"/>
      <c r="K342" s="358"/>
    </row>
    <row r="343" spans="1:11">
      <c r="A343" s="496"/>
      <c r="B343" s="490"/>
      <c r="C343" s="489"/>
      <c r="E343" s="358"/>
      <c r="F343" s="358"/>
      <c r="G343" s="358"/>
      <c r="H343" s="358"/>
      <c r="I343" s="358"/>
      <c r="J343" s="358"/>
      <c r="K343" s="358"/>
    </row>
    <row r="344" spans="1:11" ht="15.75" customHeight="1">
      <c r="A344" s="496"/>
      <c r="B344" s="490"/>
      <c r="C344" s="489"/>
      <c r="E344" s="358"/>
      <c r="F344" s="358"/>
      <c r="G344" s="358"/>
      <c r="H344" s="358"/>
      <c r="I344" s="358"/>
      <c r="J344" s="358"/>
      <c r="K344" s="358"/>
    </row>
    <row r="345" spans="1:11" ht="15.75" customHeight="1">
      <c r="A345" s="496"/>
      <c r="B345" s="490"/>
      <c r="C345" s="489"/>
      <c r="E345" s="358"/>
      <c r="F345" s="358"/>
      <c r="G345" s="358"/>
      <c r="H345" s="358"/>
      <c r="I345" s="358"/>
      <c r="J345" s="358"/>
      <c r="K345" s="358"/>
    </row>
  </sheetData>
  <mergeCells count="397">
    <mergeCell ref="P310:U310"/>
    <mergeCell ref="P311:U311"/>
    <mergeCell ref="AM291:AM295"/>
    <mergeCell ref="AN291:AN295"/>
    <mergeCell ref="AO291:AO295"/>
    <mergeCell ref="AP291:AP295"/>
    <mergeCell ref="AQ291:AQ295"/>
    <mergeCell ref="AR291:AR295"/>
    <mergeCell ref="AC291:AC295"/>
    <mergeCell ref="AF291:AF295"/>
    <mergeCell ref="AI291:AI295"/>
    <mergeCell ref="AJ291:AJ295"/>
    <mergeCell ref="AK291:AK295"/>
    <mergeCell ref="AL291:AL295"/>
    <mergeCell ref="W291:W295"/>
    <mergeCell ref="X291:X295"/>
    <mergeCell ref="Y291:Y295"/>
    <mergeCell ref="Z291:Z295"/>
    <mergeCell ref="AA291:AA295"/>
    <mergeCell ref="AB291:AB295"/>
    <mergeCell ref="AM288:AM290"/>
    <mergeCell ref="AN288:AN290"/>
    <mergeCell ref="AO288:AO290"/>
    <mergeCell ref="AP288:AP290"/>
    <mergeCell ref="AQ288:AQ290"/>
    <mergeCell ref="AR288:AR290"/>
    <mergeCell ref="AE288:AE296"/>
    <mergeCell ref="AF288:AF290"/>
    <mergeCell ref="AI288:AI290"/>
    <mergeCell ref="AJ288:AJ290"/>
    <mergeCell ref="AK288:AK290"/>
    <mergeCell ref="AL288:AL290"/>
    <mergeCell ref="X288:X290"/>
    <mergeCell ref="Y288:Y290"/>
    <mergeCell ref="Z288:Z290"/>
    <mergeCell ref="AA288:AA290"/>
    <mergeCell ref="AB288:AB290"/>
    <mergeCell ref="AC288:AC290"/>
    <mergeCell ref="P288:P296"/>
    <mergeCell ref="Q288:Q290"/>
    <mergeCell ref="T288:T290"/>
    <mergeCell ref="U288:U290"/>
    <mergeCell ref="V288:V290"/>
    <mergeCell ref="W288:W290"/>
    <mergeCell ref="Q291:Q295"/>
    <mergeCell ref="T291:T295"/>
    <mergeCell ref="U291:U295"/>
    <mergeCell ref="V291:V295"/>
    <mergeCell ref="AQ284:AR286"/>
    <mergeCell ref="B285:B286"/>
    <mergeCell ref="C285:C286"/>
    <mergeCell ref="D285:D286"/>
    <mergeCell ref="E285:E286"/>
    <mergeCell ref="F285:F286"/>
    <mergeCell ref="G285:H285"/>
    <mergeCell ref="I285:J285"/>
    <mergeCell ref="K285:K286"/>
    <mergeCell ref="Z284:AA286"/>
    <mergeCell ref="AB284:AC286"/>
    <mergeCell ref="AH284:AH287"/>
    <mergeCell ref="AI284:AJ286"/>
    <mergeCell ref="AK284:AL286"/>
    <mergeCell ref="AM284:AN286"/>
    <mergeCell ref="AE285:AE287"/>
    <mergeCell ref="AF286:AF287"/>
    <mergeCell ref="AG286:AG287"/>
    <mergeCell ref="AN222:AN224"/>
    <mergeCell ref="AO222:AO224"/>
    <mergeCell ref="AP222:AP224"/>
    <mergeCell ref="P245:U245"/>
    <mergeCell ref="C284:L284"/>
    <mergeCell ref="S284:S287"/>
    <mergeCell ref="T284:U286"/>
    <mergeCell ref="V284:W286"/>
    <mergeCell ref="X284:Y286"/>
    <mergeCell ref="L285:L286"/>
    <mergeCell ref="P285:P287"/>
    <mergeCell ref="Q286:Q287"/>
    <mergeCell ref="R286:R287"/>
    <mergeCell ref="AO284:AP286"/>
    <mergeCell ref="P244:U244"/>
    <mergeCell ref="AF225:AF229"/>
    <mergeCell ref="AI225:AI229"/>
    <mergeCell ref="AJ225:AJ229"/>
    <mergeCell ref="AK225:AK229"/>
    <mergeCell ref="AL225:AL229"/>
    <mergeCell ref="AM225:AM229"/>
    <mergeCell ref="X225:X229"/>
    <mergeCell ref="Y225:Y229"/>
    <mergeCell ref="Z225:Z229"/>
    <mergeCell ref="AA225:AA229"/>
    <mergeCell ref="AB225:AB229"/>
    <mergeCell ref="AC225:AC229"/>
    <mergeCell ref="P222:P230"/>
    <mergeCell ref="Q222:Q224"/>
    <mergeCell ref="T222:T224"/>
    <mergeCell ref="U222:U224"/>
    <mergeCell ref="V222:V224"/>
    <mergeCell ref="W222:W224"/>
    <mergeCell ref="X222:X224"/>
    <mergeCell ref="AQ222:AQ224"/>
    <mergeCell ref="AR222:AR224"/>
    <mergeCell ref="Q225:Q229"/>
    <mergeCell ref="T225:T229"/>
    <mergeCell ref="U225:U229"/>
    <mergeCell ref="V225:V229"/>
    <mergeCell ref="W225:W229"/>
    <mergeCell ref="AF222:AF224"/>
    <mergeCell ref="AI222:AI224"/>
    <mergeCell ref="AJ222:AJ224"/>
    <mergeCell ref="AK222:AK224"/>
    <mergeCell ref="AL222:AL224"/>
    <mergeCell ref="AM222:AM224"/>
    <mergeCell ref="Y222:Y224"/>
    <mergeCell ref="Z222:Z224"/>
    <mergeCell ref="AA222:AA224"/>
    <mergeCell ref="AB222:AB224"/>
    <mergeCell ref="AC222:AC224"/>
    <mergeCell ref="AE222:AE230"/>
    <mergeCell ref="AN225:AN229"/>
    <mergeCell ref="AO225:AO229"/>
    <mergeCell ref="AP225:AP229"/>
    <mergeCell ref="AQ225:AQ229"/>
    <mergeCell ref="AR225:AR229"/>
    <mergeCell ref="AM218:AN220"/>
    <mergeCell ref="AO218:AP220"/>
    <mergeCell ref="AQ218:AR220"/>
    <mergeCell ref="B219:B220"/>
    <mergeCell ref="C219:C220"/>
    <mergeCell ref="D219:D220"/>
    <mergeCell ref="E219:E220"/>
    <mergeCell ref="F219:F220"/>
    <mergeCell ref="G219:H219"/>
    <mergeCell ref="I219:J219"/>
    <mergeCell ref="X218:Y220"/>
    <mergeCell ref="Z218:AA220"/>
    <mergeCell ref="AB218:AC220"/>
    <mergeCell ref="AH218:AH221"/>
    <mergeCell ref="AI218:AJ220"/>
    <mergeCell ref="AK218:AL220"/>
    <mergeCell ref="AE219:AE221"/>
    <mergeCell ref="R220:R221"/>
    <mergeCell ref="AF220:AF221"/>
    <mergeCell ref="AG220:AG221"/>
    <mergeCell ref="P177:U177"/>
    <mergeCell ref="P178:U178"/>
    <mergeCell ref="C218:L218"/>
    <mergeCell ref="S218:S221"/>
    <mergeCell ref="T218:U220"/>
    <mergeCell ref="V218:W220"/>
    <mergeCell ref="K219:K220"/>
    <mergeCell ref="L219:L220"/>
    <mergeCell ref="P219:P221"/>
    <mergeCell ref="Q220:Q221"/>
    <mergeCell ref="X158:X162"/>
    <mergeCell ref="Y158:Y162"/>
    <mergeCell ref="Z158:Z162"/>
    <mergeCell ref="AA158:AA162"/>
    <mergeCell ref="AB158:AB162"/>
    <mergeCell ref="AM155:AM157"/>
    <mergeCell ref="AN155:AN157"/>
    <mergeCell ref="AO155:AO157"/>
    <mergeCell ref="X155:X157"/>
    <mergeCell ref="Y155:Y157"/>
    <mergeCell ref="Z155:Z157"/>
    <mergeCell ref="AA155:AA157"/>
    <mergeCell ref="AB155:AB157"/>
    <mergeCell ref="AC155:AC157"/>
    <mergeCell ref="AM158:AM162"/>
    <mergeCell ref="AN158:AN162"/>
    <mergeCell ref="AO158:AO162"/>
    <mergeCell ref="AC158:AC162"/>
    <mergeCell ref="AF158:AF162"/>
    <mergeCell ref="AI158:AI162"/>
    <mergeCell ref="AJ158:AJ162"/>
    <mergeCell ref="AK158:AK162"/>
    <mergeCell ref="AL158:AL162"/>
    <mergeCell ref="AP155:AP157"/>
    <mergeCell ref="AQ155:AQ157"/>
    <mergeCell ref="AR155:AR157"/>
    <mergeCell ref="AE155:AE163"/>
    <mergeCell ref="AF155:AF157"/>
    <mergeCell ref="AI155:AI157"/>
    <mergeCell ref="AJ155:AJ157"/>
    <mergeCell ref="AK155:AK157"/>
    <mergeCell ref="AL155:AL157"/>
    <mergeCell ref="AP158:AP162"/>
    <mergeCell ref="AQ158:AQ162"/>
    <mergeCell ref="AR158:AR162"/>
    <mergeCell ref="P155:P163"/>
    <mergeCell ref="Q155:Q157"/>
    <mergeCell ref="T155:T157"/>
    <mergeCell ref="U155:U157"/>
    <mergeCell ref="V155:V157"/>
    <mergeCell ref="W155:W157"/>
    <mergeCell ref="Q158:Q162"/>
    <mergeCell ref="T158:T162"/>
    <mergeCell ref="U158:U162"/>
    <mergeCell ref="V158:V162"/>
    <mergeCell ref="W158:W162"/>
    <mergeCell ref="AQ151:AR153"/>
    <mergeCell ref="B152:B153"/>
    <mergeCell ref="C152:C153"/>
    <mergeCell ref="D152:D153"/>
    <mergeCell ref="E152:E153"/>
    <mergeCell ref="F152:F153"/>
    <mergeCell ref="G152:H152"/>
    <mergeCell ref="I152:J152"/>
    <mergeCell ref="K152:K153"/>
    <mergeCell ref="L152:L153"/>
    <mergeCell ref="AB151:AC153"/>
    <mergeCell ref="AH151:AH154"/>
    <mergeCell ref="AI151:AJ153"/>
    <mergeCell ref="AK151:AL153"/>
    <mergeCell ref="AM151:AN153"/>
    <mergeCell ref="AO151:AP153"/>
    <mergeCell ref="AE152:AE154"/>
    <mergeCell ref="AF153:AF154"/>
    <mergeCell ref="AG153:AG154"/>
    <mergeCell ref="C151:L151"/>
    <mergeCell ref="S151:S154"/>
    <mergeCell ref="T151:U153"/>
    <mergeCell ref="V151:W153"/>
    <mergeCell ref="X151:Y153"/>
    <mergeCell ref="Z151:AA153"/>
    <mergeCell ref="P152:P154"/>
    <mergeCell ref="Q153:Q154"/>
    <mergeCell ref="R153:R154"/>
    <mergeCell ref="P105:U105"/>
    <mergeCell ref="P106:U106"/>
    <mergeCell ref="B149:B150"/>
    <mergeCell ref="C149:M149"/>
    <mergeCell ref="P149:U149"/>
    <mergeCell ref="C150:M150"/>
    <mergeCell ref="P150:U150"/>
    <mergeCell ref="X86:X90"/>
    <mergeCell ref="Y86:Y90"/>
    <mergeCell ref="Z86:Z90"/>
    <mergeCell ref="AA86:AA90"/>
    <mergeCell ref="AB86:AB90"/>
    <mergeCell ref="AM83:AM85"/>
    <mergeCell ref="AN83:AN85"/>
    <mergeCell ref="AO83:AO85"/>
    <mergeCell ref="X83:X85"/>
    <mergeCell ref="Y83:Y85"/>
    <mergeCell ref="Z83:Z85"/>
    <mergeCell ref="AA83:AA85"/>
    <mergeCell ref="AB83:AB85"/>
    <mergeCell ref="AC83:AC85"/>
    <mergeCell ref="AM86:AM90"/>
    <mergeCell ref="AN86:AN90"/>
    <mergeCell ref="AO86:AO90"/>
    <mergeCell ref="AC86:AC90"/>
    <mergeCell ref="AF86:AF90"/>
    <mergeCell ref="AI86:AI90"/>
    <mergeCell ref="AJ86:AJ90"/>
    <mergeCell ref="AK86:AK90"/>
    <mergeCell ref="AL86:AL90"/>
    <mergeCell ref="AP83:AP85"/>
    <mergeCell ref="AQ83:AQ85"/>
    <mergeCell ref="AR83:AR85"/>
    <mergeCell ref="AE83:AE91"/>
    <mergeCell ref="AF83:AF85"/>
    <mergeCell ref="AI83:AI85"/>
    <mergeCell ref="AJ83:AJ85"/>
    <mergeCell ref="AK83:AK85"/>
    <mergeCell ref="AL83:AL85"/>
    <mergeCell ref="AP86:AP90"/>
    <mergeCell ref="AQ86:AQ90"/>
    <mergeCell ref="AR86:AR90"/>
    <mergeCell ref="P83:P91"/>
    <mergeCell ref="Q83:Q85"/>
    <mergeCell ref="T83:T85"/>
    <mergeCell ref="U83:U85"/>
    <mergeCell ref="V83:V85"/>
    <mergeCell ref="W83:W85"/>
    <mergeCell ref="Q86:Q90"/>
    <mergeCell ref="T86:T90"/>
    <mergeCell ref="U86:U90"/>
    <mergeCell ref="V86:V90"/>
    <mergeCell ref="W86:W90"/>
    <mergeCell ref="AQ79:AR81"/>
    <mergeCell ref="B80:B81"/>
    <mergeCell ref="C80:C81"/>
    <mergeCell ref="D80:D81"/>
    <mergeCell ref="E80:E81"/>
    <mergeCell ref="F80:F81"/>
    <mergeCell ref="G80:H80"/>
    <mergeCell ref="I80:J80"/>
    <mergeCell ref="K80:K81"/>
    <mergeCell ref="L80:L81"/>
    <mergeCell ref="AB79:AC81"/>
    <mergeCell ref="AH79:AH82"/>
    <mergeCell ref="AI79:AJ81"/>
    <mergeCell ref="AK79:AL81"/>
    <mergeCell ref="AM79:AN81"/>
    <mergeCell ref="AO79:AP81"/>
    <mergeCell ref="AE80:AE82"/>
    <mergeCell ref="AF81:AF82"/>
    <mergeCell ref="AG81:AG82"/>
    <mergeCell ref="C79:L79"/>
    <mergeCell ref="S79:S82"/>
    <mergeCell ref="T79:U81"/>
    <mergeCell ref="V79:W81"/>
    <mergeCell ref="X79:Y81"/>
    <mergeCell ref="Z79:AA81"/>
    <mergeCell ref="P80:P82"/>
    <mergeCell ref="Q81:Q82"/>
    <mergeCell ref="R81:R82"/>
    <mergeCell ref="C23:F27"/>
    <mergeCell ref="P33:U33"/>
    <mergeCell ref="P34:U34"/>
    <mergeCell ref="C42:F42"/>
    <mergeCell ref="B77:B78"/>
    <mergeCell ref="C77:M77"/>
    <mergeCell ref="P77:U77"/>
    <mergeCell ref="C78:M78"/>
    <mergeCell ref="P78:U78"/>
    <mergeCell ref="X14:X18"/>
    <mergeCell ref="Y14:Y18"/>
    <mergeCell ref="Z14:Z18"/>
    <mergeCell ref="AA14:AA18"/>
    <mergeCell ref="AB14:AB18"/>
    <mergeCell ref="AM11:AM13"/>
    <mergeCell ref="AN11:AN13"/>
    <mergeCell ref="AO11:AO13"/>
    <mergeCell ref="X11:X13"/>
    <mergeCell ref="Y11:Y13"/>
    <mergeCell ref="Z11:Z13"/>
    <mergeCell ref="AA11:AA13"/>
    <mergeCell ref="AB11:AB13"/>
    <mergeCell ref="AC11:AC13"/>
    <mergeCell ref="AM14:AM18"/>
    <mergeCell ref="AN14:AN18"/>
    <mergeCell ref="AO14:AO18"/>
    <mergeCell ref="AC14:AC18"/>
    <mergeCell ref="AF14:AF18"/>
    <mergeCell ref="AI14:AI18"/>
    <mergeCell ref="AJ14:AJ18"/>
    <mergeCell ref="AK14:AK18"/>
    <mergeCell ref="AL14:AL18"/>
    <mergeCell ref="AP11:AP13"/>
    <mergeCell ref="AQ11:AQ13"/>
    <mergeCell ref="AR11:AR13"/>
    <mergeCell ref="AE11:AE19"/>
    <mergeCell ref="AF11:AF13"/>
    <mergeCell ref="AI11:AI13"/>
    <mergeCell ref="AJ11:AJ13"/>
    <mergeCell ref="AK11:AK13"/>
    <mergeCell ref="AL11:AL13"/>
    <mergeCell ref="AG19:AH19"/>
    <mergeCell ref="AP14:AP18"/>
    <mergeCell ref="AQ14:AQ18"/>
    <mergeCell ref="AR14:AR18"/>
    <mergeCell ref="P11:P19"/>
    <mergeCell ref="Q11:Q13"/>
    <mergeCell ref="T11:T13"/>
    <mergeCell ref="U11:U13"/>
    <mergeCell ref="V11:V13"/>
    <mergeCell ref="W11:W13"/>
    <mergeCell ref="Q14:Q18"/>
    <mergeCell ref="T14:T18"/>
    <mergeCell ref="U14:U18"/>
    <mergeCell ref="V14:V18"/>
    <mergeCell ref="W14:W18"/>
    <mergeCell ref="AQ7:AR9"/>
    <mergeCell ref="B8:B9"/>
    <mergeCell ref="C8:C9"/>
    <mergeCell ref="D8:D9"/>
    <mergeCell ref="E8:E9"/>
    <mergeCell ref="F8:F9"/>
    <mergeCell ref="G8:H8"/>
    <mergeCell ref="V7:W9"/>
    <mergeCell ref="X7:Y9"/>
    <mergeCell ref="Z7:AA9"/>
    <mergeCell ref="AB7:AC9"/>
    <mergeCell ref="AH7:AH10"/>
    <mergeCell ref="AI7:AJ9"/>
    <mergeCell ref="AG9:AG10"/>
    <mergeCell ref="L8:L9"/>
    <mergeCell ref="P8:P10"/>
    <mergeCell ref="AE8:AE10"/>
    <mergeCell ref="Q9:Q10"/>
    <mergeCell ref="R9:R10"/>
    <mergeCell ref="AF9:AF10"/>
    <mergeCell ref="AK7:AL9"/>
    <mergeCell ref="AM7:AN9"/>
    <mergeCell ref="AO7:AP9"/>
    <mergeCell ref="B5:B6"/>
    <mergeCell ref="C5:M5"/>
    <mergeCell ref="P5:U5"/>
    <mergeCell ref="C6:M6"/>
    <mergeCell ref="C7:L7"/>
    <mergeCell ref="S7:S10"/>
    <mergeCell ref="T7:U9"/>
    <mergeCell ref="I8:J8"/>
    <mergeCell ref="K8:K9"/>
  </mergeCells>
  <hyperlinks>
    <hyperlink ref="C56" r:id="rId1" xr:uid="{5740F5FA-C62E-41E9-9228-DEBCAB387C1F}"/>
  </hyperlinks>
  <pageMargins left="0.7" right="0.7" top="0.75" bottom="0.75" header="0.3" footer="0.3"/>
  <pageSetup paperSize="9" orientation="portrait"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077F0A-5F9E-462F-9A60-8EB5A73D7FC2}">
  <sheetPr>
    <tabColor theme="3"/>
  </sheetPr>
  <dimension ref="A2:AR345"/>
  <sheetViews>
    <sheetView topLeftCell="M1" zoomScale="85" zoomScaleNormal="85" workbookViewId="0">
      <selection activeCell="AL26" sqref="AL26"/>
    </sheetView>
  </sheetViews>
  <sheetFormatPr baseColWidth="10" defaultColWidth="8.83203125" defaultRowHeight="15" outlineLevelRow="1"/>
  <cols>
    <col min="1" max="1" width="35" style="224" bestFit="1" customWidth="1"/>
    <col min="2" max="2" width="63.5" style="224" bestFit="1" customWidth="1"/>
    <col min="3" max="6" width="11" style="224" bestFit="1" customWidth="1"/>
    <col min="7" max="12" width="11" style="224" customWidth="1"/>
    <col min="13" max="13" width="8.83203125" style="224"/>
    <col min="14" max="14" width="4.5" style="224" customWidth="1"/>
    <col min="15" max="15" width="15.83203125" style="224" customWidth="1"/>
    <col min="16" max="16384" width="8.83203125" style="224"/>
  </cols>
  <sheetData>
    <row r="2" spans="1:44">
      <c r="B2" s="638" t="str">
        <f>C7</f>
        <v xml:space="preserve"> Mechanical vapor recompression</v>
      </c>
    </row>
    <row r="4" spans="1:44" ht="25" customHeight="1">
      <c r="E4" s="224" t="s">
        <v>358</v>
      </c>
      <c r="F4" s="359">
        <v>7.45</v>
      </c>
      <c r="G4" s="359" t="s">
        <v>328</v>
      </c>
    </row>
    <row r="5" spans="1:44" ht="15" customHeight="1">
      <c r="A5" s="360" t="s">
        <v>869</v>
      </c>
      <c r="B5" s="1207"/>
      <c r="C5" s="1143"/>
      <c r="D5" s="1143"/>
      <c r="E5" s="1143"/>
      <c r="F5" s="1143"/>
      <c r="G5" s="1143"/>
      <c r="H5" s="1143"/>
      <c r="I5" s="1143"/>
      <c r="J5" s="1143"/>
      <c r="K5" s="1143"/>
      <c r="L5" s="1143"/>
      <c r="M5" s="1143"/>
      <c r="N5" s="361"/>
      <c r="P5" s="1143"/>
      <c r="Q5" s="1143"/>
      <c r="R5" s="1143"/>
      <c r="S5" s="1143"/>
      <c r="T5" s="1143"/>
      <c r="U5" s="1143"/>
    </row>
    <row r="6" spans="1:44" ht="15.75" customHeight="1" outlineLevel="1" thickBot="1">
      <c r="B6" s="1207"/>
      <c r="C6" s="1143"/>
      <c r="D6" s="1143"/>
      <c r="E6" s="1143"/>
      <c r="F6" s="1143"/>
      <c r="G6" s="1143"/>
      <c r="H6" s="1143"/>
      <c r="I6" s="1143"/>
      <c r="J6" s="1143"/>
      <c r="K6" s="1143"/>
      <c r="L6" s="1143"/>
      <c r="M6" s="1143"/>
      <c r="N6" s="361"/>
      <c r="P6" s="692">
        <v>1</v>
      </c>
      <c r="Q6" s="692">
        <v>2</v>
      </c>
      <c r="R6" s="692">
        <v>3</v>
      </c>
      <c r="S6" s="692">
        <v>4</v>
      </c>
      <c r="T6" s="692">
        <v>5</v>
      </c>
      <c r="U6" s="692">
        <v>6</v>
      </c>
      <c r="V6" s="692">
        <v>7</v>
      </c>
      <c r="W6" s="692">
        <v>8</v>
      </c>
      <c r="X6" s="692">
        <v>9</v>
      </c>
      <c r="Y6" s="692">
        <v>10</v>
      </c>
      <c r="Z6" s="692">
        <v>11</v>
      </c>
      <c r="AA6" s="692">
        <v>12</v>
      </c>
      <c r="AB6" s="692">
        <v>13</v>
      </c>
      <c r="AC6" s="692">
        <v>14</v>
      </c>
    </row>
    <row r="7" spans="1:44" ht="20.25" customHeight="1" outlineLevel="1" thickBot="1">
      <c r="B7" s="362" t="s">
        <v>0</v>
      </c>
      <c r="C7" s="1223" t="s">
        <v>867</v>
      </c>
      <c r="D7" s="1224"/>
      <c r="E7" s="1224"/>
      <c r="F7" s="1224"/>
      <c r="G7" s="1224"/>
      <c r="H7" s="1224"/>
      <c r="I7" s="1224"/>
      <c r="J7" s="1224"/>
      <c r="K7" s="1224"/>
      <c r="L7" s="1225"/>
      <c r="M7" s="363"/>
      <c r="N7" s="363"/>
      <c r="P7" s="364" t="s">
        <v>713</v>
      </c>
      <c r="Q7" s="365"/>
      <c r="R7" s="366"/>
      <c r="S7" s="1176" t="s">
        <v>714</v>
      </c>
      <c r="T7" s="1160" t="s">
        <v>715</v>
      </c>
      <c r="U7" s="1161"/>
      <c r="V7" s="1160" t="s">
        <v>716</v>
      </c>
      <c r="W7" s="1161"/>
      <c r="X7" s="1160" t="s">
        <v>717</v>
      </c>
      <c r="Y7" s="1161"/>
      <c r="Z7" s="1160" t="s">
        <v>718</v>
      </c>
      <c r="AA7" s="1161"/>
      <c r="AB7" s="1160" t="s">
        <v>719</v>
      </c>
      <c r="AC7" s="1161"/>
      <c r="AE7" s="364" t="s">
        <v>720</v>
      </c>
      <c r="AF7" s="365"/>
      <c r="AG7" s="366"/>
      <c r="AH7" s="1176" t="s">
        <v>714</v>
      </c>
      <c r="AI7" s="1160" t="s">
        <v>715</v>
      </c>
      <c r="AJ7" s="1161"/>
      <c r="AK7" s="1160" t="s">
        <v>716</v>
      </c>
      <c r="AL7" s="1161"/>
      <c r="AM7" s="1160" t="s">
        <v>717</v>
      </c>
      <c r="AN7" s="1161"/>
      <c r="AO7" s="1160" t="s">
        <v>718</v>
      </c>
      <c r="AP7" s="1161"/>
      <c r="AQ7" s="1160" t="s">
        <v>719</v>
      </c>
      <c r="AR7" s="1161"/>
    </row>
    <row r="8" spans="1:44" ht="15" customHeight="1" outlineLevel="1" thickBot="1">
      <c r="B8" s="1164" t="s">
        <v>4</v>
      </c>
      <c r="C8" s="1166">
        <v>2020</v>
      </c>
      <c r="D8" s="1166">
        <v>2030</v>
      </c>
      <c r="E8" s="1166">
        <v>2040</v>
      </c>
      <c r="F8" s="1166">
        <v>2050</v>
      </c>
      <c r="G8" s="1230" t="s">
        <v>721</v>
      </c>
      <c r="H8" s="1218"/>
      <c r="I8" s="1217" t="s">
        <v>648</v>
      </c>
      <c r="J8" s="1226"/>
      <c r="K8" s="1219" t="s">
        <v>2</v>
      </c>
      <c r="L8" s="1219" t="s">
        <v>3</v>
      </c>
      <c r="M8" s="367"/>
      <c r="N8" s="367"/>
      <c r="P8" s="1180" t="s">
        <v>0</v>
      </c>
      <c r="Q8" s="368"/>
      <c r="R8" s="368"/>
      <c r="S8" s="1177"/>
      <c r="T8" s="1162"/>
      <c r="U8" s="1163"/>
      <c r="V8" s="1162"/>
      <c r="W8" s="1163"/>
      <c r="X8" s="1162"/>
      <c r="Y8" s="1163"/>
      <c r="Z8" s="1162"/>
      <c r="AA8" s="1163"/>
      <c r="AB8" s="1162"/>
      <c r="AC8" s="1163"/>
      <c r="AE8" s="1180" t="s">
        <v>0</v>
      </c>
      <c r="AF8" s="368"/>
      <c r="AG8" s="368"/>
      <c r="AH8" s="1177"/>
      <c r="AI8" s="1162"/>
      <c r="AJ8" s="1163"/>
      <c r="AK8" s="1162"/>
      <c r="AL8" s="1163"/>
      <c r="AM8" s="1162"/>
      <c r="AN8" s="1163"/>
      <c r="AO8" s="1162"/>
      <c r="AP8" s="1163"/>
      <c r="AQ8" s="1162"/>
      <c r="AR8" s="1163"/>
    </row>
    <row r="9" spans="1:44" ht="16" outlineLevel="1" thickBot="1">
      <c r="B9" s="1228"/>
      <c r="C9" s="1229"/>
      <c r="D9" s="1229"/>
      <c r="E9" s="1229"/>
      <c r="F9" s="1229"/>
      <c r="G9" s="369" t="s">
        <v>649</v>
      </c>
      <c r="H9" s="369" t="s">
        <v>650</v>
      </c>
      <c r="I9" s="369" t="s">
        <v>649</v>
      </c>
      <c r="J9" s="369" t="s">
        <v>650</v>
      </c>
      <c r="K9" s="1227"/>
      <c r="L9" s="1227"/>
      <c r="M9" s="370"/>
      <c r="N9" s="370"/>
      <c r="P9" s="1181"/>
      <c r="Q9" s="1183" t="s">
        <v>722</v>
      </c>
      <c r="R9" s="1184" t="s">
        <v>723</v>
      </c>
      <c r="S9" s="1178"/>
      <c r="T9" s="1162"/>
      <c r="U9" s="1163"/>
      <c r="V9" s="1162"/>
      <c r="W9" s="1163"/>
      <c r="X9" s="1162"/>
      <c r="Y9" s="1163"/>
      <c r="Z9" s="1162"/>
      <c r="AA9" s="1163"/>
      <c r="AB9" s="1162"/>
      <c r="AC9" s="1163"/>
      <c r="AE9" s="1181"/>
      <c r="AF9" s="1197" t="s">
        <v>722</v>
      </c>
      <c r="AG9" s="1184" t="s">
        <v>723</v>
      </c>
      <c r="AH9" s="1178"/>
      <c r="AI9" s="1162"/>
      <c r="AJ9" s="1163"/>
      <c r="AK9" s="1162"/>
      <c r="AL9" s="1163"/>
      <c r="AM9" s="1162"/>
      <c r="AN9" s="1163"/>
      <c r="AO9" s="1162"/>
      <c r="AP9" s="1163"/>
      <c r="AQ9" s="1162"/>
      <c r="AR9" s="1163"/>
    </row>
    <row r="10" spans="1:44" ht="54.5" customHeight="1" outlineLevel="1" thickBot="1">
      <c r="B10" s="371" t="s">
        <v>651</v>
      </c>
      <c r="C10" s="372">
        <v>20</v>
      </c>
      <c r="D10" s="372">
        <v>20</v>
      </c>
      <c r="E10" s="372">
        <v>20</v>
      </c>
      <c r="F10" s="372">
        <v>20</v>
      </c>
      <c r="G10" s="372">
        <v>5</v>
      </c>
      <c r="H10" s="372">
        <v>50</v>
      </c>
      <c r="I10" s="372">
        <v>5</v>
      </c>
      <c r="J10" s="372">
        <v>50</v>
      </c>
      <c r="K10" s="372" t="s">
        <v>6</v>
      </c>
      <c r="L10" s="373">
        <v>1</v>
      </c>
      <c r="M10" s="370"/>
      <c r="N10" s="370"/>
      <c r="O10" s="74"/>
      <c r="P10" s="1182"/>
      <c r="Q10" s="1179"/>
      <c r="R10" s="1185"/>
      <c r="S10" s="1179"/>
      <c r="T10" s="374" t="s">
        <v>726</v>
      </c>
      <c r="U10" s="375" t="s">
        <v>727</v>
      </c>
      <c r="V10" s="374" t="s">
        <v>726</v>
      </c>
      <c r="W10" s="375" t="s">
        <v>727</v>
      </c>
      <c r="X10" s="374" t="s">
        <v>726</v>
      </c>
      <c r="Y10" s="375" t="s">
        <v>727</v>
      </c>
      <c r="Z10" s="374" t="s">
        <v>726</v>
      </c>
      <c r="AA10" s="375" t="s">
        <v>727</v>
      </c>
      <c r="AB10" s="374" t="s">
        <v>726</v>
      </c>
      <c r="AC10" s="375" t="s">
        <v>727</v>
      </c>
      <c r="AE10" s="1182"/>
      <c r="AF10" s="1198"/>
      <c r="AG10" s="1185"/>
      <c r="AH10" s="1179"/>
      <c r="AI10" s="374" t="s">
        <v>726</v>
      </c>
      <c r="AJ10" s="375" t="s">
        <v>727</v>
      </c>
      <c r="AK10" s="374" t="s">
        <v>726</v>
      </c>
      <c r="AL10" s="375" t="s">
        <v>727</v>
      </c>
      <c r="AM10" s="374" t="s">
        <v>726</v>
      </c>
      <c r="AN10" s="375" t="s">
        <v>727</v>
      </c>
      <c r="AO10" s="374" t="s">
        <v>726</v>
      </c>
      <c r="AP10" s="375" t="s">
        <v>727</v>
      </c>
      <c r="AQ10" s="374" t="s">
        <v>726</v>
      </c>
      <c r="AR10" s="375" t="s">
        <v>727</v>
      </c>
    </row>
    <row r="11" spans="1:44" ht="24.5" customHeight="1" outlineLevel="1">
      <c r="B11" s="376" t="s">
        <v>728</v>
      </c>
      <c r="C11" s="377">
        <v>1260</v>
      </c>
      <c r="D11" s="377">
        <v>1320</v>
      </c>
      <c r="E11" s="378">
        <v>1380</v>
      </c>
      <c r="F11" s="377">
        <v>1430</v>
      </c>
      <c r="G11" s="377">
        <v>1000</v>
      </c>
      <c r="H11" s="377">
        <v>1512</v>
      </c>
      <c r="I11" s="377">
        <v>1056</v>
      </c>
      <c r="J11" s="377">
        <v>1716</v>
      </c>
      <c r="K11" s="379" t="s">
        <v>59</v>
      </c>
      <c r="L11" s="380">
        <v>1</v>
      </c>
      <c r="M11" s="370"/>
      <c r="N11" s="370"/>
      <c r="P11" s="1199" t="str">
        <f>C7</f>
        <v xml:space="preserve"> Mechanical vapor recompression</v>
      </c>
      <c r="Q11" s="1154" t="s">
        <v>730</v>
      </c>
      <c r="R11" s="381" t="s">
        <v>731</v>
      </c>
      <c r="S11" s="382"/>
      <c r="T11" s="1137">
        <v>0</v>
      </c>
      <c r="U11" s="1151">
        <v>0</v>
      </c>
      <c r="V11" s="1157">
        <v>0</v>
      </c>
      <c r="W11" s="1151">
        <v>0</v>
      </c>
      <c r="X11" s="1157">
        <v>0</v>
      </c>
      <c r="Y11" s="1151">
        <v>0</v>
      </c>
      <c r="Z11" s="1157">
        <v>0</v>
      </c>
      <c r="AA11" s="1151">
        <v>0</v>
      </c>
      <c r="AB11" s="1157">
        <v>0</v>
      </c>
      <c r="AC11" s="1151">
        <v>0</v>
      </c>
      <c r="AE11" s="1148" t="str">
        <f>P11</f>
        <v xml:space="preserve"> Mechanical vapor recompression</v>
      </c>
      <c r="AF11" s="1154" t="s">
        <v>730</v>
      </c>
      <c r="AG11" s="381" t="s">
        <v>731</v>
      </c>
      <c r="AH11" s="382"/>
      <c r="AI11" s="1137">
        <v>0</v>
      </c>
      <c r="AJ11" s="1151">
        <v>0</v>
      </c>
      <c r="AK11" s="1157">
        <v>0</v>
      </c>
      <c r="AL11" s="1151">
        <v>0</v>
      </c>
      <c r="AM11" s="1157">
        <v>0</v>
      </c>
      <c r="AN11" s="1151">
        <v>0</v>
      </c>
      <c r="AO11" s="1157">
        <v>0</v>
      </c>
      <c r="AP11" s="1151">
        <v>0</v>
      </c>
      <c r="AQ11" s="1157">
        <v>0</v>
      </c>
      <c r="AR11" s="1151">
        <v>0</v>
      </c>
    </row>
    <row r="12" spans="1:44" ht="32.5" customHeight="1" outlineLevel="1">
      <c r="B12" s="383" t="s">
        <v>732</v>
      </c>
      <c r="C12" s="384">
        <f t="shared" ref="C12:J12" si="0">C11-50</f>
        <v>1210</v>
      </c>
      <c r="D12" s="384">
        <f t="shared" si="0"/>
        <v>1270</v>
      </c>
      <c r="E12" s="384">
        <f t="shared" si="0"/>
        <v>1330</v>
      </c>
      <c r="F12" s="384">
        <f t="shared" si="0"/>
        <v>1380</v>
      </c>
      <c r="G12" s="385">
        <f t="shared" si="0"/>
        <v>950</v>
      </c>
      <c r="H12" s="385">
        <f t="shared" si="0"/>
        <v>1462</v>
      </c>
      <c r="I12" s="385">
        <f t="shared" si="0"/>
        <v>1006</v>
      </c>
      <c r="J12" s="385">
        <f t="shared" si="0"/>
        <v>1666</v>
      </c>
      <c r="K12" s="386"/>
      <c r="L12" s="387"/>
      <c r="M12" s="370"/>
      <c r="N12" s="370"/>
      <c r="O12" s="71"/>
      <c r="P12" s="1195"/>
      <c r="Q12" s="1155"/>
      <c r="R12" s="388" t="s">
        <v>733</v>
      </c>
      <c r="S12" s="389"/>
      <c r="T12" s="1140"/>
      <c r="U12" s="1152"/>
      <c r="V12" s="1158"/>
      <c r="W12" s="1152"/>
      <c r="X12" s="1158"/>
      <c r="Y12" s="1152"/>
      <c r="Z12" s="1158"/>
      <c r="AA12" s="1152"/>
      <c r="AB12" s="1158"/>
      <c r="AC12" s="1152"/>
      <c r="AE12" s="1195"/>
      <c r="AF12" s="1155"/>
      <c r="AG12" s="388" t="s">
        <v>733</v>
      </c>
      <c r="AH12" s="389"/>
      <c r="AI12" s="1140"/>
      <c r="AJ12" s="1152"/>
      <c r="AK12" s="1158"/>
      <c r="AL12" s="1152"/>
      <c r="AM12" s="1158"/>
      <c r="AN12" s="1152"/>
      <c r="AO12" s="1158"/>
      <c r="AP12" s="1152"/>
      <c r="AQ12" s="1158"/>
      <c r="AR12" s="1152"/>
    </row>
    <row r="13" spans="1:44" ht="16" outlineLevel="1" thickBot="1">
      <c r="B13" s="376" t="s">
        <v>734</v>
      </c>
      <c r="C13" s="390">
        <v>1</v>
      </c>
      <c r="D13" s="391">
        <v>1</v>
      </c>
      <c r="E13" s="391">
        <v>1</v>
      </c>
      <c r="F13" s="392">
        <v>1</v>
      </c>
      <c r="G13" s="391">
        <v>0</v>
      </c>
      <c r="H13" s="391">
        <v>2</v>
      </c>
      <c r="I13" s="391">
        <v>0</v>
      </c>
      <c r="J13" s="391">
        <v>2</v>
      </c>
      <c r="K13" s="379"/>
      <c r="L13" s="380">
        <v>3</v>
      </c>
      <c r="M13" s="370"/>
      <c r="N13" s="370"/>
      <c r="O13" s="71"/>
      <c r="P13" s="1195"/>
      <c r="Q13" s="1156"/>
      <c r="R13" s="393" t="s">
        <v>735</v>
      </c>
      <c r="S13" s="394"/>
      <c r="T13" s="1141"/>
      <c r="U13" s="1153"/>
      <c r="V13" s="1159"/>
      <c r="W13" s="1153"/>
      <c r="X13" s="1159"/>
      <c r="Y13" s="1153"/>
      <c r="Z13" s="1159"/>
      <c r="AA13" s="1153"/>
      <c r="AB13" s="1159"/>
      <c r="AC13" s="1153"/>
      <c r="AE13" s="1195"/>
      <c r="AF13" s="1156"/>
      <c r="AG13" s="393" t="s">
        <v>735</v>
      </c>
      <c r="AH13" s="394"/>
      <c r="AI13" s="1141"/>
      <c r="AJ13" s="1153"/>
      <c r="AK13" s="1159"/>
      <c r="AL13" s="1153"/>
      <c r="AM13" s="1159"/>
      <c r="AN13" s="1153"/>
      <c r="AO13" s="1159"/>
      <c r="AP13" s="1153"/>
      <c r="AQ13" s="1159"/>
      <c r="AR13" s="1153"/>
    </row>
    <row r="14" spans="1:44" ht="15" customHeight="1" outlineLevel="1">
      <c r="B14" s="376" t="s">
        <v>657</v>
      </c>
      <c r="C14" s="390">
        <v>0</v>
      </c>
      <c r="D14" s="390">
        <v>0</v>
      </c>
      <c r="E14" s="390">
        <v>0</v>
      </c>
      <c r="F14" s="390">
        <v>0</v>
      </c>
      <c r="G14" s="390">
        <v>0</v>
      </c>
      <c r="H14" s="390">
        <v>1</v>
      </c>
      <c r="I14" s="390">
        <v>0</v>
      </c>
      <c r="J14" s="390">
        <v>1</v>
      </c>
      <c r="K14" s="379"/>
      <c r="L14" s="380">
        <v>2</v>
      </c>
      <c r="M14" s="370"/>
      <c r="N14" s="370"/>
      <c r="O14" s="71"/>
      <c r="P14" s="1195"/>
      <c r="Q14" s="1154" t="s">
        <v>868</v>
      </c>
      <c r="R14" s="395" t="s">
        <v>737</v>
      </c>
      <c r="S14" s="396" t="s">
        <v>738</v>
      </c>
      <c r="T14" s="1137">
        <v>0</v>
      </c>
      <c r="U14" s="1137">
        <v>0.31</v>
      </c>
      <c r="V14" s="1137">
        <v>0</v>
      </c>
      <c r="W14" s="1137">
        <v>0.05</v>
      </c>
      <c r="X14" s="1137">
        <v>0</v>
      </c>
      <c r="Y14" s="1137">
        <v>0.37</v>
      </c>
      <c r="Z14" s="1137">
        <v>0</v>
      </c>
      <c r="AA14" s="1137">
        <v>0.41</v>
      </c>
      <c r="AB14" s="1137">
        <v>0</v>
      </c>
      <c r="AC14" s="1151">
        <v>0.06</v>
      </c>
      <c r="AE14" s="1195"/>
      <c r="AF14" s="1154" t="s">
        <v>868</v>
      </c>
      <c r="AG14" s="395" t="s">
        <v>737</v>
      </c>
      <c r="AH14" s="396" t="s">
        <v>738</v>
      </c>
      <c r="AI14" s="1137">
        <v>0</v>
      </c>
      <c r="AJ14" s="1137">
        <v>0.31</v>
      </c>
      <c r="AK14" s="1137">
        <v>0</v>
      </c>
      <c r="AL14" s="1137">
        <v>0.05</v>
      </c>
      <c r="AM14" s="1137">
        <v>0</v>
      </c>
      <c r="AN14" s="1137">
        <v>0.37</v>
      </c>
      <c r="AO14" s="1137">
        <v>0</v>
      </c>
      <c r="AP14" s="1137">
        <v>0.41</v>
      </c>
      <c r="AQ14" s="1137">
        <v>0</v>
      </c>
      <c r="AR14" s="1151">
        <v>0.06</v>
      </c>
    </row>
    <row r="15" spans="1:44" outlineLevel="1">
      <c r="B15" s="376" t="s">
        <v>658</v>
      </c>
      <c r="C15" s="390">
        <v>0.5</v>
      </c>
      <c r="D15" s="390">
        <v>0.5</v>
      </c>
      <c r="E15" s="390">
        <v>0.5</v>
      </c>
      <c r="F15" s="390">
        <v>0.5</v>
      </c>
      <c r="G15" s="390">
        <v>0</v>
      </c>
      <c r="H15" s="390">
        <v>1</v>
      </c>
      <c r="I15" s="390">
        <v>0</v>
      </c>
      <c r="J15" s="390">
        <v>1</v>
      </c>
      <c r="K15" s="379"/>
      <c r="L15" s="380">
        <v>2</v>
      </c>
      <c r="M15" s="367"/>
      <c r="N15" s="367"/>
      <c r="O15" s="71"/>
      <c r="P15" s="1195"/>
      <c r="Q15" s="1155"/>
      <c r="R15" s="395" t="s">
        <v>739</v>
      </c>
      <c r="S15" s="396" t="s">
        <v>738</v>
      </c>
      <c r="T15" s="1140"/>
      <c r="U15" s="1191"/>
      <c r="V15" s="1140"/>
      <c r="W15" s="1191"/>
      <c r="X15" s="1140"/>
      <c r="Y15" s="1191"/>
      <c r="Z15" s="1140"/>
      <c r="AA15" s="1191"/>
      <c r="AB15" s="1140"/>
      <c r="AC15" s="1193"/>
      <c r="AE15" s="1195"/>
      <c r="AF15" s="1155"/>
      <c r="AG15" s="395" t="s">
        <v>739</v>
      </c>
      <c r="AH15" s="396" t="s">
        <v>738</v>
      </c>
      <c r="AI15" s="1140"/>
      <c r="AJ15" s="1191"/>
      <c r="AK15" s="1140"/>
      <c r="AL15" s="1191"/>
      <c r="AM15" s="1140"/>
      <c r="AN15" s="1191"/>
      <c r="AO15" s="1140"/>
      <c r="AP15" s="1191"/>
      <c r="AQ15" s="1140"/>
      <c r="AR15" s="1193"/>
    </row>
    <row r="16" spans="1:44" outlineLevel="1">
      <c r="B16" s="383" t="s">
        <v>11</v>
      </c>
      <c r="C16" s="397">
        <v>25</v>
      </c>
      <c r="D16" s="397">
        <v>25</v>
      </c>
      <c r="E16" s="397">
        <v>25</v>
      </c>
      <c r="F16" s="397">
        <v>25</v>
      </c>
      <c r="G16" s="398">
        <v>15</v>
      </c>
      <c r="H16" s="398">
        <v>35</v>
      </c>
      <c r="I16" s="398">
        <v>15</v>
      </c>
      <c r="J16" s="398">
        <v>35</v>
      </c>
      <c r="K16" s="372"/>
      <c r="L16" s="373">
        <v>1.2</v>
      </c>
      <c r="M16" s="363"/>
      <c r="N16" s="363"/>
      <c r="P16" s="1195"/>
      <c r="Q16" s="1155"/>
      <c r="R16" s="395" t="s">
        <v>741</v>
      </c>
      <c r="S16" s="396" t="s">
        <v>738</v>
      </c>
      <c r="T16" s="1140"/>
      <c r="U16" s="1191"/>
      <c r="V16" s="1140"/>
      <c r="W16" s="1191"/>
      <c r="X16" s="1140"/>
      <c r="Y16" s="1191"/>
      <c r="Z16" s="1140"/>
      <c r="AA16" s="1191"/>
      <c r="AB16" s="1140"/>
      <c r="AC16" s="1193"/>
      <c r="AE16" s="1195"/>
      <c r="AF16" s="1155"/>
      <c r="AG16" s="395" t="s">
        <v>741</v>
      </c>
      <c r="AH16" s="629" t="s">
        <v>738</v>
      </c>
      <c r="AI16" s="1140"/>
      <c r="AJ16" s="1191"/>
      <c r="AK16" s="1140"/>
      <c r="AL16" s="1191"/>
      <c r="AM16" s="1140"/>
      <c r="AN16" s="1191"/>
      <c r="AO16" s="1140"/>
      <c r="AP16" s="1191"/>
      <c r="AQ16" s="1140"/>
      <c r="AR16" s="1193"/>
    </row>
    <row r="17" spans="1:44" ht="16" outlineLevel="1" thickBot="1">
      <c r="B17" s="376" t="s">
        <v>273</v>
      </c>
      <c r="C17" s="399">
        <v>0.1</v>
      </c>
      <c r="D17" s="399">
        <v>0.1</v>
      </c>
      <c r="E17" s="399">
        <v>0.1</v>
      </c>
      <c r="F17" s="399">
        <v>0.1</v>
      </c>
      <c r="G17" s="399">
        <v>0.05</v>
      </c>
      <c r="H17" s="399">
        <v>0.2</v>
      </c>
      <c r="I17" s="399">
        <v>0.05</v>
      </c>
      <c r="J17" s="399">
        <v>0.2</v>
      </c>
      <c r="K17" s="372"/>
      <c r="L17" s="400">
        <v>1.3</v>
      </c>
      <c r="M17" s="363"/>
      <c r="N17" s="363"/>
      <c r="P17" s="1195"/>
      <c r="Q17" s="1155"/>
      <c r="R17" s="395" t="s">
        <v>742</v>
      </c>
      <c r="S17" s="396" t="s">
        <v>738</v>
      </c>
      <c r="T17" s="1140"/>
      <c r="U17" s="1191"/>
      <c r="V17" s="1140"/>
      <c r="W17" s="1191"/>
      <c r="X17" s="1140"/>
      <c r="Y17" s="1191"/>
      <c r="Z17" s="1140"/>
      <c r="AA17" s="1191"/>
      <c r="AB17" s="1140"/>
      <c r="AC17" s="1193"/>
      <c r="AE17" s="1195"/>
      <c r="AF17" s="1155"/>
      <c r="AG17" s="395" t="s">
        <v>742</v>
      </c>
      <c r="AH17" s="396" t="s">
        <v>738</v>
      </c>
      <c r="AI17" s="1140"/>
      <c r="AJ17" s="1191"/>
      <c r="AK17" s="1140"/>
      <c r="AL17" s="1191"/>
      <c r="AM17" s="1140"/>
      <c r="AN17" s="1191"/>
      <c r="AO17" s="1140"/>
      <c r="AP17" s="1191"/>
      <c r="AQ17" s="1140"/>
      <c r="AR17" s="1193"/>
    </row>
    <row r="18" spans="1:44" ht="16" outlineLevel="1" thickBot="1">
      <c r="B18" s="401" t="s">
        <v>743</v>
      </c>
      <c r="C18" s="402"/>
      <c r="D18" s="403"/>
      <c r="E18" s="404"/>
      <c r="F18" s="405"/>
      <c r="G18" s="406"/>
      <c r="H18" s="406"/>
      <c r="I18" s="406"/>
      <c r="J18" s="406"/>
      <c r="K18" s="407"/>
      <c r="L18" s="408"/>
      <c r="M18" s="363"/>
      <c r="N18" s="363"/>
      <c r="P18" s="1195"/>
      <c r="Q18" s="1156"/>
      <c r="R18" s="409" t="s">
        <v>863</v>
      </c>
      <c r="S18" s="410" t="s">
        <v>738</v>
      </c>
      <c r="T18" s="1141"/>
      <c r="U18" s="1192"/>
      <c r="V18" s="1141"/>
      <c r="W18" s="1192"/>
      <c r="X18" s="1141"/>
      <c r="Y18" s="1192"/>
      <c r="Z18" s="1141"/>
      <c r="AA18" s="1192"/>
      <c r="AB18" s="1141"/>
      <c r="AC18" s="1194"/>
      <c r="AE18" s="1195"/>
      <c r="AF18" s="1156"/>
      <c r="AG18" s="409" t="s">
        <v>863</v>
      </c>
      <c r="AH18" s="410" t="s">
        <v>738</v>
      </c>
      <c r="AI18" s="1141"/>
      <c r="AJ18" s="1192"/>
      <c r="AK18" s="1141"/>
      <c r="AL18" s="1192"/>
      <c r="AM18" s="1141"/>
      <c r="AN18" s="1192"/>
      <c r="AO18" s="1141"/>
      <c r="AP18" s="1192"/>
      <c r="AQ18" s="1141"/>
      <c r="AR18" s="1194"/>
    </row>
    <row r="19" spans="1:44" ht="33" outlineLevel="1" thickBot="1">
      <c r="B19" s="376" t="s">
        <v>663</v>
      </c>
      <c r="C19" s="390">
        <v>15</v>
      </c>
      <c r="D19" s="390">
        <v>15</v>
      </c>
      <c r="E19" s="390">
        <v>15</v>
      </c>
      <c r="F19" s="390">
        <v>15</v>
      </c>
      <c r="G19" s="391"/>
      <c r="H19" s="391"/>
      <c r="I19" s="391"/>
      <c r="J19" s="391"/>
      <c r="K19" s="379"/>
      <c r="L19" s="380">
        <v>4</v>
      </c>
      <c r="M19" s="363"/>
      <c r="N19" s="363"/>
      <c r="P19" s="1196"/>
      <c r="Q19" s="411" t="s">
        <v>745</v>
      </c>
      <c r="R19" s="412" t="s">
        <v>746</v>
      </c>
      <c r="S19" s="630"/>
      <c r="T19" s="416">
        <v>0</v>
      </c>
      <c r="U19" s="415">
        <f>T19</f>
        <v>0</v>
      </c>
      <c r="V19" s="416">
        <v>0</v>
      </c>
      <c r="W19" s="415">
        <f>V19</f>
        <v>0</v>
      </c>
      <c r="X19" s="416">
        <v>0</v>
      </c>
      <c r="Y19" s="415">
        <f>X19</f>
        <v>0</v>
      </c>
      <c r="Z19" s="416">
        <v>0</v>
      </c>
      <c r="AA19" s="415">
        <f>Z19</f>
        <v>0</v>
      </c>
      <c r="AB19" s="416">
        <v>0</v>
      </c>
      <c r="AC19" s="417">
        <f>AB19</f>
        <v>0</v>
      </c>
      <c r="AE19" s="1196"/>
      <c r="AF19" s="411" t="s">
        <v>745</v>
      </c>
      <c r="AG19" s="631" t="s">
        <v>746</v>
      </c>
      <c r="AH19" s="632"/>
      <c r="AI19" s="416">
        <v>0</v>
      </c>
      <c r="AJ19" s="415">
        <f>AI19</f>
        <v>0</v>
      </c>
      <c r="AK19" s="416">
        <v>0</v>
      </c>
      <c r="AL19" s="415">
        <f>AK19</f>
        <v>0</v>
      </c>
      <c r="AM19" s="416">
        <v>0</v>
      </c>
      <c r="AN19" s="415">
        <f>AM19</f>
        <v>0</v>
      </c>
      <c r="AO19" s="416">
        <v>0</v>
      </c>
      <c r="AP19" s="415">
        <f>AO19</f>
        <v>0</v>
      </c>
      <c r="AQ19" s="416">
        <v>0</v>
      </c>
      <c r="AR19" s="417">
        <f>AQ19</f>
        <v>0</v>
      </c>
    </row>
    <row r="20" spans="1:44" outlineLevel="1">
      <c r="B20" s="376" t="s">
        <v>664</v>
      </c>
      <c r="C20" s="390">
        <v>0.5</v>
      </c>
      <c r="D20" s="390">
        <v>0.5</v>
      </c>
      <c r="E20" s="390">
        <v>0.5</v>
      </c>
      <c r="F20" s="390">
        <v>0.5</v>
      </c>
      <c r="G20" s="418"/>
      <c r="H20" s="418"/>
      <c r="I20" s="418"/>
      <c r="J20" s="418"/>
      <c r="K20" s="419"/>
      <c r="L20" s="380">
        <v>3</v>
      </c>
      <c r="M20" s="363"/>
      <c r="N20" s="363"/>
    </row>
    <row r="21" spans="1:44" outlineLevel="1">
      <c r="B21" s="376" t="s">
        <v>666</v>
      </c>
      <c r="C21" s="390">
        <v>1</v>
      </c>
      <c r="D21" s="390">
        <v>1</v>
      </c>
      <c r="E21" s="390">
        <v>1</v>
      </c>
      <c r="F21" s="390">
        <v>1</v>
      </c>
      <c r="G21" s="418"/>
      <c r="H21" s="418"/>
      <c r="I21" s="418"/>
      <c r="J21" s="418"/>
      <c r="K21" s="419"/>
      <c r="L21" s="380">
        <v>3</v>
      </c>
      <c r="M21" s="420"/>
      <c r="N21" s="363"/>
    </row>
    <row r="22" spans="1:44" outlineLevel="1">
      <c r="B22" s="421" t="s">
        <v>12</v>
      </c>
      <c r="C22" s="399"/>
      <c r="D22" s="399"/>
      <c r="E22" s="399"/>
      <c r="F22" s="399"/>
      <c r="G22" s="422"/>
      <c r="H22" s="422"/>
      <c r="I22" s="422"/>
      <c r="J22" s="422"/>
      <c r="K22" s="423"/>
      <c r="L22" s="424"/>
      <c r="M22" s="420"/>
      <c r="N22" s="420"/>
    </row>
    <row r="23" spans="1:44" ht="38.25" customHeight="1" outlineLevel="1">
      <c r="B23" s="383" t="s">
        <v>843</v>
      </c>
      <c r="C23" s="1231" t="s">
        <v>669</v>
      </c>
      <c r="D23" s="1232"/>
      <c r="E23" s="1232"/>
      <c r="F23" s="1233"/>
      <c r="G23" s="422"/>
      <c r="H23" s="425"/>
      <c r="I23" s="425"/>
      <c r="J23" s="425"/>
      <c r="K23" s="426"/>
      <c r="L23" s="427"/>
      <c r="M23" s="428"/>
      <c r="N23" s="428"/>
    </row>
    <row r="24" spans="1:44" outlineLevel="1">
      <c r="B24" s="383" t="s">
        <v>749</v>
      </c>
      <c r="C24" s="1234"/>
      <c r="D24" s="1235"/>
      <c r="E24" s="1235"/>
      <c r="F24" s="1236"/>
      <c r="G24" s="425"/>
      <c r="H24" s="425"/>
      <c r="I24" s="425"/>
      <c r="J24" s="425"/>
      <c r="K24" s="423"/>
      <c r="L24" s="427"/>
      <c r="M24" s="428"/>
      <c r="N24" s="428"/>
    </row>
    <row r="25" spans="1:44" outlineLevel="1">
      <c r="B25" s="383" t="s">
        <v>844</v>
      </c>
      <c r="C25" s="1234"/>
      <c r="D25" s="1235"/>
      <c r="E25" s="1235"/>
      <c r="F25" s="1236"/>
      <c r="G25" s="425"/>
      <c r="H25" s="425"/>
      <c r="I25" s="425"/>
      <c r="J25" s="425"/>
      <c r="K25" s="423"/>
      <c r="L25" s="427"/>
      <c r="M25" s="428"/>
      <c r="N25" s="428"/>
    </row>
    <row r="26" spans="1:44" outlineLevel="1">
      <c r="B26" s="383" t="s">
        <v>366</v>
      </c>
      <c r="C26" s="1234"/>
      <c r="D26" s="1235"/>
      <c r="E26" s="1235"/>
      <c r="F26" s="1236"/>
      <c r="G26" s="425"/>
      <c r="H26" s="425"/>
      <c r="I26" s="425"/>
      <c r="J26" s="425"/>
      <c r="K26" s="423"/>
      <c r="L26" s="427"/>
      <c r="M26" s="428"/>
      <c r="N26" s="428"/>
    </row>
    <row r="27" spans="1:44" ht="16" outlineLevel="1" thickBot="1">
      <c r="B27" s="429" t="s">
        <v>367</v>
      </c>
      <c r="C27" s="1237"/>
      <c r="D27" s="1238"/>
      <c r="E27" s="1238"/>
      <c r="F27" s="1239"/>
      <c r="G27" s="425"/>
      <c r="H27" s="425"/>
      <c r="I27" s="425"/>
      <c r="J27" s="425"/>
      <c r="K27" s="423"/>
      <c r="L27" s="427"/>
      <c r="M27" s="428"/>
      <c r="N27" s="428"/>
    </row>
    <row r="28" spans="1:44" ht="16" outlineLevel="1" thickBot="1">
      <c r="B28" s="431" t="s">
        <v>674</v>
      </c>
      <c r="C28" s="432"/>
      <c r="D28" s="403"/>
      <c r="E28" s="403"/>
      <c r="F28" s="433"/>
      <c r="G28" s="434"/>
      <c r="H28" s="406"/>
      <c r="I28" s="406"/>
      <c r="J28" s="406"/>
      <c r="K28" s="407"/>
      <c r="L28" s="408"/>
      <c r="M28" s="428"/>
      <c r="N28" s="428"/>
    </row>
    <row r="29" spans="1:44" ht="52" customHeight="1" outlineLevel="1">
      <c r="A29" s="435"/>
      <c r="B29" s="436" t="s">
        <v>751</v>
      </c>
      <c r="C29" s="551">
        <v>0.35</v>
      </c>
      <c r="D29" s="647">
        <v>0.33</v>
      </c>
      <c r="E29" s="647">
        <v>0.32</v>
      </c>
      <c r="F29" s="648">
        <v>0.31</v>
      </c>
      <c r="G29" s="425"/>
      <c r="H29" s="425"/>
      <c r="I29" s="425"/>
      <c r="J29" s="425"/>
      <c r="K29" s="426"/>
      <c r="L29" s="440">
        <v>1.5</v>
      </c>
      <c r="M29" s="420"/>
      <c r="N29" s="420"/>
    </row>
    <row r="30" spans="1:44" outlineLevel="1">
      <c r="B30" s="441" t="s">
        <v>839</v>
      </c>
      <c r="C30" s="442">
        <v>60</v>
      </c>
      <c r="D30" s="442">
        <v>60</v>
      </c>
      <c r="E30" s="442">
        <v>60</v>
      </c>
      <c r="F30" s="442">
        <v>60</v>
      </c>
      <c r="G30" s="425"/>
      <c r="H30" s="425"/>
      <c r="I30" s="425"/>
      <c r="J30" s="425"/>
      <c r="K30" s="444"/>
      <c r="L30" s="373">
        <v>1.5</v>
      </c>
      <c r="M30" s="71"/>
      <c r="N30" s="420"/>
    </row>
    <row r="31" spans="1:44" outlineLevel="1">
      <c r="B31" s="441" t="s">
        <v>840</v>
      </c>
      <c r="C31" s="443">
        <v>40</v>
      </c>
      <c r="D31" s="443">
        <v>40</v>
      </c>
      <c r="E31" s="443">
        <v>40</v>
      </c>
      <c r="F31" s="443">
        <v>40</v>
      </c>
      <c r="G31" s="425"/>
      <c r="H31" s="425"/>
      <c r="I31" s="425"/>
      <c r="J31" s="425"/>
      <c r="K31" s="444"/>
      <c r="L31" s="373">
        <v>1.5</v>
      </c>
      <c r="M31" s="420"/>
      <c r="N31" s="420"/>
    </row>
    <row r="32" spans="1:44" outlineLevel="1">
      <c r="B32" s="383" t="s">
        <v>841</v>
      </c>
      <c r="C32" s="445">
        <v>2000</v>
      </c>
      <c r="D32" s="446">
        <v>2000</v>
      </c>
      <c r="E32" s="446">
        <v>200</v>
      </c>
      <c r="F32" s="447">
        <v>2000</v>
      </c>
      <c r="G32" s="425"/>
      <c r="H32" s="425"/>
      <c r="I32" s="425"/>
      <c r="J32" s="425"/>
      <c r="K32" s="448"/>
      <c r="L32" s="373">
        <v>2</v>
      </c>
      <c r="M32" s="420"/>
      <c r="N32" s="420"/>
    </row>
    <row r="33" spans="2:30" ht="37" customHeight="1" outlineLevel="1" thickBot="1">
      <c r="B33" s="383" t="s">
        <v>679</v>
      </c>
      <c r="C33" s="449">
        <f>C34+C35</f>
        <v>2.5300000000000002</v>
      </c>
      <c r="D33" s="449">
        <f t="shared" ref="D33:F33" si="1">D34+D35</f>
        <v>2.4500000000000002</v>
      </c>
      <c r="E33" s="449">
        <f t="shared" si="1"/>
        <v>2.46</v>
      </c>
      <c r="F33" s="449">
        <f t="shared" si="1"/>
        <v>2.3600000000000003</v>
      </c>
      <c r="G33" s="425"/>
      <c r="H33" s="425"/>
      <c r="I33" s="425"/>
      <c r="J33" s="425"/>
      <c r="K33" s="448"/>
      <c r="L33" s="373">
        <v>2</v>
      </c>
      <c r="M33" s="450"/>
      <c r="N33" s="361"/>
      <c r="P33" s="1142">
        <f>C33</f>
        <v>2.5300000000000002</v>
      </c>
      <c r="Q33" s="1143"/>
      <c r="R33" s="1143"/>
      <c r="S33" s="1143"/>
      <c r="T33" s="1143"/>
      <c r="U33" s="1144"/>
    </row>
    <row r="34" spans="2:30" ht="15.75" customHeight="1" outlineLevel="1" thickBot="1">
      <c r="B34" s="451" t="s">
        <v>758</v>
      </c>
      <c r="C34" s="452">
        <f>C13/100*73</f>
        <v>0.73</v>
      </c>
      <c r="D34" s="452">
        <f>D13/100*75</f>
        <v>0.75</v>
      </c>
      <c r="E34" s="452">
        <f>E13/100*76</f>
        <v>0.76</v>
      </c>
      <c r="F34" s="452">
        <f>F13/100*76</f>
        <v>0.76</v>
      </c>
      <c r="G34" s="453"/>
      <c r="H34" s="453"/>
      <c r="I34" s="453"/>
      <c r="J34" s="453"/>
      <c r="K34" s="379" t="s">
        <v>16</v>
      </c>
      <c r="L34" s="380">
        <v>2</v>
      </c>
      <c r="M34" s="450"/>
      <c r="N34" s="361"/>
      <c r="P34" s="1134">
        <f>C34</f>
        <v>0.73</v>
      </c>
      <c r="Q34" s="1135"/>
      <c r="R34" s="1135"/>
      <c r="S34" s="1135"/>
      <c r="T34" s="1135"/>
      <c r="U34" s="1136"/>
    </row>
    <row r="35" spans="2:30" outlineLevel="1">
      <c r="B35" s="451" t="s">
        <v>759</v>
      </c>
      <c r="C35" s="454">
        <v>1.8</v>
      </c>
      <c r="D35" s="454">
        <v>1.7</v>
      </c>
      <c r="E35" s="454">
        <v>1.7</v>
      </c>
      <c r="F35" s="454">
        <v>1.6</v>
      </c>
      <c r="G35" s="453"/>
      <c r="H35" s="453"/>
      <c r="I35" s="453"/>
      <c r="J35" s="453"/>
      <c r="K35" s="455"/>
      <c r="L35" s="380">
        <v>2</v>
      </c>
      <c r="M35" s="363"/>
      <c r="N35" s="363"/>
      <c r="P35" s="53" t="s">
        <v>357</v>
      </c>
    </row>
    <row r="36" spans="2:30" ht="30" outlineLevel="1">
      <c r="B36" s="441"/>
      <c r="C36" s="642"/>
      <c r="D36" s="642"/>
      <c r="E36" s="642"/>
      <c r="F36" s="642"/>
      <c r="G36" s="425"/>
      <c r="H36" s="425"/>
      <c r="I36" s="425"/>
      <c r="J36" s="425"/>
      <c r="K36" s="444"/>
      <c r="L36" s="424"/>
      <c r="M36" s="367"/>
      <c r="N36" s="367"/>
      <c r="P36" s="46" t="s">
        <v>335</v>
      </c>
      <c r="Q36" s="46" t="s">
        <v>336</v>
      </c>
      <c r="R36" s="47" t="s">
        <v>337</v>
      </c>
      <c r="S36" s="47" t="s">
        <v>338</v>
      </c>
      <c r="T36" s="47" t="s">
        <v>339</v>
      </c>
      <c r="U36" s="48" t="s">
        <v>340</v>
      </c>
      <c r="V36" s="49" t="s">
        <v>341</v>
      </c>
      <c r="W36" s="49" t="s">
        <v>342</v>
      </c>
      <c r="X36" s="49" t="s">
        <v>343</v>
      </c>
      <c r="Y36" s="49" t="s">
        <v>344</v>
      </c>
      <c r="Z36" s="49" t="s">
        <v>345</v>
      </c>
      <c r="AA36" s="49" t="s">
        <v>346</v>
      </c>
      <c r="AB36" s="49" t="s">
        <v>347</v>
      </c>
      <c r="AC36" s="49" t="s">
        <v>348</v>
      </c>
      <c r="AD36" s="49" t="s">
        <v>349</v>
      </c>
    </row>
    <row r="37" spans="2:30" ht="35" customHeight="1" outlineLevel="1" thickBot="1">
      <c r="B37" s="441"/>
      <c r="C37" s="442"/>
      <c r="D37" s="457"/>
      <c r="E37" s="457"/>
      <c r="F37" s="458"/>
      <c r="G37" s="425"/>
      <c r="H37" s="425"/>
      <c r="I37" s="425"/>
      <c r="J37" s="425"/>
      <c r="K37" s="448"/>
      <c r="L37" s="424"/>
      <c r="M37" s="363"/>
      <c r="N37" s="363"/>
      <c r="P37" s="50"/>
      <c r="Q37" s="50"/>
      <c r="R37" s="51"/>
      <c r="S37" s="51"/>
      <c r="T37" s="51"/>
      <c r="U37" s="51" t="s">
        <v>760</v>
      </c>
      <c r="V37" s="50" t="s">
        <v>761</v>
      </c>
      <c r="W37" s="50"/>
      <c r="X37" s="50"/>
      <c r="Y37" s="50"/>
      <c r="Z37" s="50"/>
      <c r="AA37" s="50"/>
      <c r="AB37" s="50"/>
      <c r="AC37" s="50"/>
      <c r="AD37" s="50"/>
    </row>
    <row r="38" spans="2:30" ht="73" customHeight="1" outlineLevel="1" thickBot="1">
      <c r="B38" s="401" t="s">
        <v>682</v>
      </c>
      <c r="C38" s="402"/>
      <c r="D38" s="403"/>
      <c r="E38" s="404"/>
      <c r="F38" s="405"/>
      <c r="G38" s="406"/>
      <c r="H38" s="406"/>
      <c r="I38" s="406"/>
      <c r="J38" s="406"/>
      <c r="K38" s="459"/>
      <c r="L38" s="460"/>
      <c r="M38" s="363"/>
      <c r="N38" s="363"/>
      <c r="O38" s="461" t="s">
        <v>732</v>
      </c>
      <c r="P38" s="56"/>
      <c r="Q38" s="56"/>
      <c r="R38" s="57"/>
      <c r="S38" s="57"/>
      <c r="T38" s="57"/>
      <c r="U38" s="56" t="s">
        <v>350</v>
      </c>
      <c r="V38" s="56" t="s">
        <v>326</v>
      </c>
      <c r="W38" s="56" t="s">
        <v>327</v>
      </c>
      <c r="X38" s="56" t="s">
        <v>351</v>
      </c>
      <c r="Y38" s="56" t="s">
        <v>351</v>
      </c>
      <c r="Z38" s="56" t="s">
        <v>352</v>
      </c>
      <c r="AA38" s="56" t="s">
        <v>352</v>
      </c>
      <c r="AB38" s="56" t="s">
        <v>352</v>
      </c>
      <c r="AC38" s="56" t="s">
        <v>352</v>
      </c>
      <c r="AD38" s="56" t="s">
        <v>352</v>
      </c>
    </row>
    <row r="39" spans="2:30" outlineLevel="1">
      <c r="B39" s="451" t="s">
        <v>762</v>
      </c>
      <c r="C39" s="643" t="s">
        <v>36</v>
      </c>
      <c r="D39" s="643" t="s">
        <v>36</v>
      </c>
      <c r="E39" s="643" t="s">
        <v>36</v>
      </c>
      <c r="F39" s="643" t="s">
        <v>36</v>
      </c>
      <c r="G39" s="643"/>
      <c r="H39" s="643"/>
      <c r="I39" s="643"/>
      <c r="J39" s="643"/>
      <c r="K39" s="643" t="s">
        <v>20</v>
      </c>
      <c r="L39" s="464"/>
      <c r="M39" s="363"/>
      <c r="N39" s="363"/>
      <c r="O39" s="465">
        <f>C12</f>
        <v>1210</v>
      </c>
      <c r="P39" s="466">
        <f>C8</f>
        <v>2020</v>
      </c>
      <c r="Q39" s="58">
        <f>P39</f>
        <v>2020</v>
      </c>
      <c r="R39" s="466">
        <f>O39/100</f>
        <v>12.1</v>
      </c>
      <c r="S39" s="58"/>
      <c r="T39" s="466">
        <f>C16</f>
        <v>25</v>
      </c>
      <c r="U39" s="467">
        <f>C46</f>
        <v>2607.5</v>
      </c>
      <c r="V39" s="467">
        <f>C48</f>
        <v>14.9</v>
      </c>
      <c r="W39" s="467">
        <f>C49</f>
        <v>5.2356944444444444</v>
      </c>
      <c r="X39" s="58"/>
      <c r="Y39" s="58"/>
      <c r="Z39" s="466" t="str">
        <f>C23</f>
        <v>Cf. the utilized electricity</v>
      </c>
      <c r="AA39" s="468">
        <f>C25</f>
        <v>0</v>
      </c>
      <c r="AB39" s="468">
        <f>C26</f>
        <v>0</v>
      </c>
      <c r="AC39" s="468">
        <f>C27</f>
        <v>0</v>
      </c>
      <c r="AD39" s="468">
        <f>C24</f>
        <v>0</v>
      </c>
    </row>
    <row r="40" spans="2:30" ht="14.5" customHeight="1" outlineLevel="1">
      <c r="B40" s="376" t="s">
        <v>763</v>
      </c>
      <c r="C40" s="469" t="s">
        <v>36</v>
      </c>
      <c r="D40" s="470" t="s">
        <v>36</v>
      </c>
      <c r="E40" s="470" t="s">
        <v>36</v>
      </c>
      <c r="F40" s="471" t="s">
        <v>36</v>
      </c>
      <c r="G40" s="471"/>
      <c r="H40" s="471"/>
      <c r="I40" s="471"/>
      <c r="J40" s="471"/>
      <c r="K40" s="472" t="s">
        <v>20</v>
      </c>
      <c r="L40" s="464"/>
      <c r="M40" s="363"/>
      <c r="N40" s="363"/>
      <c r="O40" s="465">
        <f>D12</f>
        <v>1270</v>
      </c>
      <c r="P40" s="466">
        <f>D8</f>
        <v>2030</v>
      </c>
      <c r="Q40" s="58"/>
      <c r="R40" s="466">
        <f>O40/100</f>
        <v>12.7</v>
      </c>
      <c r="S40" s="58"/>
      <c r="T40" s="466">
        <f>D16</f>
        <v>25</v>
      </c>
      <c r="U40" s="467">
        <f>D46</f>
        <v>2458.5000000000005</v>
      </c>
      <c r="V40" s="467">
        <f>D48</f>
        <v>14.9</v>
      </c>
      <c r="W40" s="467">
        <f>D49</f>
        <v>5.0701388888888888</v>
      </c>
      <c r="X40" s="58"/>
      <c r="Y40" s="58"/>
      <c r="Z40" s="466">
        <f>D23</f>
        <v>0</v>
      </c>
      <c r="AA40" s="468">
        <f>D25</f>
        <v>0</v>
      </c>
      <c r="AB40" s="468">
        <f>D26</f>
        <v>0</v>
      </c>
      <c r="AC40" s="468">
        <f>D27</f>
        <v>0</v>
      </c>
      <c r="AD40" s="468">
        <f>D24</f>
        <v>0</v>
      </c>
    </row>
    <row r="41" spans="2:30" outlineLevel="1">
      <c r="B41" s="376" t="s">
        <v>764</v>
      </c>
      <c r="C41" s="469" t="s">
        <v>36</v>
      </c>
      <c r="D41" s="470" t="s">
        <v>36</v>
      </c>
      <c r="E41" s="470" t="s">
        <v>36</v>
      </c>
      <c r="F41" s="471" t="s">
        <v>36</v>
      </c>
      <c r="G41" s="453"/>
      <c r="H41" s="453"/>
      <c r="I41" s="453"/>
      <c r="J41" s="453"/>
      <c r="K41" s="453"/>
      <c r="L41" s="380"/>
      <c r="M41" s="363"/>
      <c r="N41" s="363"/>
      <c r="O41" s="465">
        <f>E12</f>
        <v>1330</v>
      </c>
      <c r="P41" s="466">
        <f>E8</f>
        <v>2040</v>
      </c>
      <c r="Q41" s="58"/>
      <c r="R41" s="466">
        <f>O41/100</f>
        <v>13.3</v>
      </c>
      <c r="S41" s="58"/>
      <c r="T41" s="466">
        <f>E16</f>
        <v>25</v>
      </c>
      <c r="U41" s="467">
        <f>E46</f>
        <v>2384</v>
      </c>
      <c r="V41" s="467">
        <f>E48</f>
        <v>1.49</v>
      </c>
      <c r="W41" s="467">
        <f>E49</f>
        <v>5.0908333333333333</v>
      </c>
      <c r="X41" s="58"/>
      <c r="Y41" s="58"/>
      <c r="Z41" s="466">
        <f>E23</f>
        <v>0</v>
      </c>
      <c r="AA41" s="468">
        <f>E25</f>
        <v>0</v>
      </c>
      <c r="AB41" s="468">
        <f>E26</f>
        <v>0</v>
      </c>
      <c r="AC41" s="468">
        <f>E27</f>
        <v>0</v>
      </c>
      <c r="AD41" s="468">
        <f>E24</f>
        <v>0</v>
      </c>
    </row>
    <row r="42" spans="2:30" ht="14.5" customHeight="1" outlineLevel="1">
      <c r="B42" s="376" t="s">
        <v>765</v>
      </c>
      <c r="C42" s="1240" t="s">
        <v>669</v>
      </c>
      <c r="D42" s="1241"/>
      <c r="E42" s="1241"/>
      <c r="F42" s="1242"/>
      <c r="G42" s="474"/>
      <c r="H42" s="474"/>
      <c r="I42" s="474"/>
      <c r="J42" s="474"/>
      <c r="K42" s="474"/>
      <c r="L42" s="380"/>
      <c r="M42" s="363"/>
      <c r="N42" s="363"/>
      <c r="O42" s="465">
        <f>F12</f>
        <v>1380</v>
      </c>
      <c r="P42" s="466">
        <f>F8</f>
        <v>2050</v>
      </c>
      <c r="Q42" s="58"/>
      <c r="R42" s="466">
        <f>O42/100</f>
        <v>13.8</v>
      </c>
      <c r="S42" s="58"/>
      <c r="T42" s="466">
        <f>F16</f>
        <v>25</v>
      </c>
      <c r="U42" s="467">
        <f>F46</f>
        <v>2309.5</v>
      </c>
      <c r="V42" s="467">
        <f>F48</f>
        <v>14.9</v>
      </c>
      <c r="W42" s="467">
        <f>F49</f>
        <v>4.8838888888888903</v>
      </c>
      <c r="X42" s="58"/>
      <c r="Y42" s="58"/>
      <c r="Z42" s="466">
        <f>F23</f>
        <v>0</v>
      </c>
      <c r="AA42" s="468">
        <f>F25</f>
        <v>0</v>
      </c>
      <c r="AB42" s="468">
        <f>F26</f>
        <v>0</v>
      </c>
      <c r="AC42" s="468">
        <f>F27</f>
        <v>0</v>
      </c>
      <c r="AD42" s="468">
        <f>F24</f>
        <v>0</v>
      </c>
    </row>
    <row r="43" spans="2:30" outlineLevel="1">
      <c r="B43" s="475" t="s">
        <v>766</v>
      </c>
      <c r="C43" s="469" t="s">
        <v>36</v>
      </c>
      <c r="D43" s="470" t="s">
        <v>36</v>
      </c>
      <c r="E43" s="470" t="s">
        <v>36</v>
      </c>
      <c r="F43" s="471" t="s">
        <v>36</v>
      </c>
      <c r="G43" s="474"/>
      <c r="H43" s="474"/>
      <c r="I43" s="474"/>
      <c r="J43" s="474"/>
      <c r="K43" s="474"/>
      <c r="L43" s="476"/>
      <c r="M43" s="367"/>
      <c r="N43" s="367"/>
    </row>
    <row r="44" spans="2:30" outlineLevel="1">
      <c r="B44" s="475" t="s">
        <v>767</v>
      </c>
      <c r="C44" s="469" t="s">
        <v>36</v>
      </c>
      <c r="D44" s="470" t="s">
        <v>36</v>
      </c>
      <c r="E44" s="470" t="s">
        <v>36</v>
      </c>
      <c r="F44" s="471" t="s">
        <v>36</v>
      </c>
      <c r="G44" s="474"/>
      <c r="H44" s="474"/>
      <c r="I44" s="474"/>
      <c r="J44" s="474"/>
      <c r="K44" s="474"/>
      <c r="L44" s="476"/>
      <c r="M44" s="363"/>
      <c r="N44" s="363"/>
    </row>
    <row r="45" spans="2:30" ht="16" outlineLevel="1" thickBot="1">
      <c r="B45" s="477" t="s">
        <v>768</v>
      </c>
      <c r="C45" s="478" t="s">
        <v>36</v>
      </c>
      <c r="D45" s="479" t="s">
        <v>36</v>
      </c>
      <c r="E45" s="479" t="s">
        <v>36</v>
      </c>
      <c r="F45" s="480" t="s">
        <v>36</v>
      </c>
      <c r="G45" s="481"/>
      <c r="H45" s="481"/>
      <c r="I45" s="481"/>
      <c r="J45" s="481"/>
      <c r="K45" s="481"/>
      <c r="L45" s="482"/>
      <c r="M45" s="363"/>
      <c r="N45" s="363"/>
    </row>
    <row r="46" spans="2:30" ht="64" outlineLevel="1">
      <c r="B46" s="461" t="s">
        <v>769</v>
      </c>
      <c r="C46" s="483">
        <f>C29*$F$4*1000</f>
        <v>2607.5</v>
      </c>
      <c r="D46" s="483">
        <f t="shared" ref="D46:F46" si="2">D29*$F$4*1000</f>
        <v>2458.5000000000005</v>
      </c>
      <c r="E46" s="483">
        <f t="shared" si="2"/>
        <v>2384</v>
      </c>
      <c r="F46" s="483">
        <f t="shared" si="2"/>
        <v>2309.5</v>
      </c>
      <c r="G46" s="483"/>
      <c r="H46" s="484"/>
      <c r="I46" s="420" t="s">
        <v>332</v>
      </c>
      <c r="J46" s="420"/>
      <c r="K46" s="484"/>
      <c r="L46" s="484"/>
      <c r="N46" s="420"/>
    </row>
    <row r="47" spans="2:30" outlineLevel="1">
      <c r="B47" s="485" t="s">
        <v>770</v>
      </c>
      <c r="C47" s="486">
        <f>C46*$I47</f>
        <v>1303750</v>
      </c>
      <c r="D47" s="486">
        <f>D46*$I47</f>
        <v>1229250.0000000002</v>
      </c>
      <c r="E47" s="486">
        <f>E46*$I47</f>
        <v>1192000</v>
      </c>
      <c r="F47" s="486">
        <f>F46*$I47</f>
        <v>1154750</v>
      </c>
      <c r="G47" s="486"/>
      <c r="H47" s="484"/>
      <c r="I47" s="71">
        <v>500</v>
      </c>
      <c r="J47" s="420" t="s">
        <v>330</v>
      </c>
      <c r="K47" s="484"/>
      <c r="L47" s="484"/>
      <c r="N47" s="420"/>
    </row>
    <row r="48" spans="2:30" ht="48" outlineLevel="1">
      <c r="B48" s="461" t="s">
        <v>845</v>
      </c>
      <c r="C48" s="359">
        <f>C32*$F$4/1000</f>
        <v>14.9</v>
      </c>
      <c r="D48" s="359">
        <f t="shared" ref="D48:F48" si="3">D32*$F$4/1000</f>
        <v>14.9</v>
      </c>
      <c r="E48" s="359">
        <f t="shared" si="3"/>
        <v>1.49</v>
      </c>
      <c r="F48" s="359">
        <f t="shared" si="3"/>
        <v>14.9</v>
      </c>
      <c r="G48" s="359"/>
      <c r="I48" s="420" t="s">
        <v>333</v>
      </c>
      <c r="J48" s="420"/>
      <c r="N48" s="420"/>
    </row>
    <row r="49" spans="2:14" ht="48" outlineLevel="1">
      <c r="B49" s="461" t="s">
        <v>846</v>
      </c>
      <c r="C49" s="487">
        <f>C33*$F$4/3.6</f>
        <v>5.2356944444444444</v>
      </c>
      <c r="D49" s="487">
        <f t="shared" ref="D49:F49" si="4">D33*$F$4/3.6</f>
        <v>5.0701388888888888</v>
      </c>
      <c r="E49" s="487">
        <f t="shared" si="4"/>
        <v>5.0908333333333333</v>
      </c>
      <c r="F49" s="487">
        <f t="shared" si="4"/>
        <v>4.8838888888888903</v>
      </c>
      <c r="G49" s="359"/>
      <c r="M49" s="420"/>
      <c r="N49" s="420"/>
    </row>
    <row r="50" spans="2:14" outlineLevel="1"/>
    <row r="51" spans="2:14" outlineLevel="1"/>
    <row r="52" spans="2:14" outlineLevel="1"/>
    <row r="53" spans="2:14" outlineLevel="1"/>
    <row r="54" spans="2:14" outlineLevel="1">
      <c r="E54" s="358"/>
      <c r="F54" s="358"/>
      <c r="G54" s="358"/>
      <c r="H54" s="358"/>
      <c r="I54" s="358"/>
      <c r="J54" s="358"/>
      <c r="K54" s="358"/>
      <c r="L54" s="358"/>
    </row>
    <row r="55" spans="2:14" outlineLevel="1">
      <c r="B55" s="657" t="s">
        <v>773</v>
      </c>
      <c r="C55" s="628"/>
      <c r="D55" s="490"/>
      <c r="E55" s="358"/>
      <c r="F55" s="358"/>
      <c r="G55" s="358"/>
      <c r="H55" s="358"/>
      <c r="I55" s="358"/>
      <c r="J55" s="358"/>
      <c r="K55" s="358"/>
      <c r="L55" s="358"/>
    </row>
    <row r="56" spans="2:14" outlineLevel="1">
      <c r="B56" s="628">
        <v>1</v>
      </c>
      <c r="C56" s="658" t="s">
        <v>876</v>
      </c>
      <c r="D56" s="490"/>
      <c r="F56" s="358"/>
      <c r="G56" s="358"/>
      <c r="H56" s="358"/>
      <c r="I56" s="358"/>
      <c r="J56" s="358"/>
      <c r="K56" s="358"/>
      <c r="L56" s="358"/>
    </row>
    <row r="57" spans="2:14" outlineLevel="1">
      <c r="B57" s="659">
        <v>2</v>
      </c>
      <c r="C57" s="658" t="s">
        <v>877</v>
      </c>
      <c r="D57" s="490"/>
      <c r="F57" s="358"/>
      <c r="G57" s="358"/>
      <c r="H57" s="358"/>
      <c r="I57" s="358"/>
      <c r="J57" s="358"/>
      <c r="K57" s="358"/>
      <c r="L57" s="358"/>
    </row>
    <row r="58" spans="2:14" outlineLevel="1">
      <c r="B58" s="660">
        <v>3</v>
      </c>
      <c r="C58" s="660" t="s">
        <v>878</v>
      </c>
      <c r="D58" s="490"/>
      <c r="F58" s="358"/>
      <c r="G58" s="358"/>
      <c r="H58" s="358"/>
      <c r="I58" s="358"/>
      <c r="J58" s="358"/>
      <c r="K58" s="358"/>
      <c r="L58" s="358"/>
    </row>
    <row r="59" spans="2:14" outlineLevel="1">
      <c r="B59" s="660">
        <v>4</v>
      </c>
      <c r="C59" s="660" t="s">
        <v>879</v>
      </c>
      <c r="D59" s="490"/>
      <c r="F59" s="358"/>
      <c r="G59" s="358"/>
      <c r="H59" s="358"/>
      <c r="I59" s="358"/>
      <c r="J59" s="358"/>
      <c r="K59" s="358"/>
      <c r="L59" s="358"/>
    </row>
    <row r="60" spans="2:14" outlineLevel="1">
      <c r="B60" s="660">
        <v>5</v>
      </c>
      <c r="C60" s="628" t="s">
        <v>880</v>
      </c>
      <c r="D60" s="490"/>
      <c r="F60" s="358"/>
      <c r="G60" s="358"/>
      <c r="H60" s="358"/>
      <c r="I60" s="358"/>
      <c r="J60" s="358"/>
      <c r="K60" s="358"/>
      <c r="L60" s="358"/>
    </row>
    <row r="61" spans="2:14" outlineLevel="1">
      <c r="B61" s="628" t="s">
        <v>783</v>
      </c>
      <c r="C61" s="628"/>
      <c r="D61" s="490"/>
      <c r="F61" s="358"/>
      <c r="G61" s="358"/>
      <c r="H61" s="358"/>
      <c r="I61" s="358"/>
      <c r="J61" s="358"/>
      <c r="K61" s="358"/>
      <c r="L61" s="358"/>
    </row>
    <row r="62" spans="2:14" outlineLevel="1">
      <c r="B62" s="661" t="s">
        <v>6</v>
      </c>
      <c r="C62" s="625" t="s">
        <v>881</v>
      </c>
      <c r="D62" s="490"/>
      <c r="F62" s="358"/>
      <c r="G62" s="358"/>
      <c r="H62" s="358"/>
      <c r="I62" s="358"/>
      <c r="J62" s="358"/>
      <c r="K62" s="358"/>
      <c r="L62" s="358"/>
    </row>
    <row r="63" spans="2:14" outlineLevel="1">
      <c r="B63" s="662" t="s">
        <v>59</v>
      </c>
      <c r="C63" s="625" t="s">
        <v>882</v>
      </c>
      <c r="D63" s="490"/>
      <c r="F63" s="358"/>
      <c r="G63" s="358"/>
      <c r="H63" s="358"/>
      <c r="I63" s="358"/>
      <c r="J63" s="358"/>
      <c r="K63" s="358"/>
      <c r="L63" s="358"/>
    </row>
    <row r="64" spans="2:14" outlineLevel="1">
      <c r="B64" s="662" t="s">
        <v>16</v>
      </c>
      <c r="C64" s="628" t="s">
        <v>788</v>
      </c>
      <c r="D64" s="490"/>
      <c r="F64" s="358"/>
      <c r="G64" s="358"/>
      <c r="H64" s="358"/>
      <c r="I64" s="358"/>
      <c r="J64" s="358"/>
      <c r="K64" s="358"/>
      <c r="L64" s="358"/>
    </row>
    <row r="65" spans="1:44" outlineLevel="1">
      <c r="B65" s="663" t="s">
        <v>20</v>
      </c>
      <c r="C65" s="628" t="s">
        <v>883</v>
      </c>
      <c r="D65" s="490"/>
      <c r="F65" s="358"/>
      <c r="G65" s="358"/>
      <c r="H65" s="358"/>
      <c r="I65" s="358"/>
      <c r="J65" s="358"/>
      <c r="K65" s="358"/>
      <c r="L65" s="358"/>
    </row>
    <row r="66" spans="1:44" outlineLevel="1">
      <c r="B66" s="637"/>
      <c r="C66" s="358"/>
      <c r="D66" s="490"/>
      <c r="F66" s="358"/>
      <c r="G66" s="358"/>
      <c r="H66" s="358"/>
      <c r="I66" s="358"/>
      <c r="J66" s="358"/>
      <c r="K66" s="358"/>
      <c r="L66" s="358"/>
    </row>
    <row r="67" spans="1:44" outlineLevel="1">
      <c r="B67" s="637"/>
      <c r="C67" s="490"/>
      <c r="D67" s="490"/>
      <c r="F67" s="358"/>
      <c r="G67" s="358"/>
      <c r="H67" s="358"/>
      <c r="I67" s="358"/>
      <c r="J67" s="358"/>
      <c r="K67" s="358"/>
      <c r="L67" s="358"/>
    </row>
    <row r="68" spans="1:44" outlineLevel="1">
      <c r="B68" s="637"/>
      <c r="C68" s="490"/>
      <c r="D68" s="358"/>
      <c r="F68" s="358"/>
      <c r="G68" s="358"/>
      <c r="H68" s="358"/>
      <c r="I68" s="358"/>
      <c r="J68" s="358"/>
      <c r="K68" s="358"/>
      <c r="L68" s="358"/>
    </row>
    <row r="69" spans="1:44" outlineLevel="1">
      <c r="B69" s="637"/>
      <c r="C69" s="489"/>
      <c r="D69" s="358"/>
      <c r="F69" s="358"/>
      <c r="G69" s="358"/>
      <c r="H69" s="358"/>
      <c r="I69" s="358"/>
      <c r="J69" s="358"/>
      <c r="K69" s="358"/>
      <c r="L69" s="358"/>
    </row>
    <row r="70" spans="1:44" outlineLevel="1">
      <c r="B70" s="637"/>
      <c r="C70" s="490"/>
      <c r="D70" s="358"/>
      <c r="G70" s="358"/>
      <c r="H70" s="358"/>
      <c r="I70" s="358"/>
      <c r="J70" s="358"/>
      <c r="K70" s="358"/>
      <c r="L70" s="358"/>
    </row>
    <row r="71" spans="1:44" outlineLevel="1">
      <c r="B71" s="637"/>
      <c r="C71" s="490"/>
      <c r="E71" s="490"/>
      <c r="F71" s="490"/>
    </row>
    <row r="72" spans="1:44" outlineLevel="1"/>
    <row r="73" spans="1:44" outlineLevel="1"/>
    <row r="74" spans="1:44" outlineLevel="1"/>
    <row r="77" spans="1:44">
      <c r="A77" s="360"/>
      <c r="B77" s="1207"/>
      <c r="C77" s="1143"/>
      <c r="D77" s="1143"/>
      <c r="E77" s="1143"/>
      <c r="F77" s="1143"/>
      <c r="G77" s="1143"/>
      <c r="H77" s="1143"/>
      <c r="I77" s="1143"/>
      <c r="J77" s="1143"/>
      <c r="K77" s="1143"/>
      <c r="L77" s="1143"/>
      <c r="M77" s="1143"/>
      <c r="N77" s="361"/>
      <c r="P77" s="1143"/>
      <c r="Q77" s="1143"/>
      <c r="R77" s="1143"/>
      <c r="S77" s="1143"/>
      <c r="T77" s="1143"/>
      <c r="U77" s="1143"/>
    </row>
    <row r="78" spans="1:44" ht="16" outlineLevel="1" thickBot="1">
      <c r="B78" s="1207"/>
      <c r="C78" s="1143"/>
      <c r="D78" s="1143"/>
      <c r="E78" s="1143"/>
      <c r="F78" s="1143"/>
      <c r="G78" s="1143"/>
      <c r="H78" s="1143"/>
      <c r="I78" s="1143"/>
      <c r="J78" s="1143"/>
      <c r="K78" s="1143"/>
      <c r="L78" s="1143"/>
      <c r="M78" s="1143"/>
      <c r="N78" s="361"/>
      <c r="P78" s="1143"/>
      <c r="Q78" s="1143"/>
      <c r="R78" s="1143"/>
      <c r="S78" s="1143"/>
      <c r="T78" s="1143"/>
      <c r="U78" s="1143"/>
    </row>
    <row r="79" spans="1:44" ht="20.5" customHeight="1" outlineLevel="1" thickBot="1">
      <c r="B79" s="362"/>
      <c r="C79" s="1186"/>
      <c r="D79" s="1205"/>
      <c r="E79" s="1205"/>
      <c r="F79" s="1205"/>
      <c r="G79" s="1205"/>
      <c r="H79" s="1205"/>
      <c r="I79" s="1205"/>
      <c r="J79" s="1205"/>
      <c r="K79" s="1205"/>
      <c r="L79" s="1206"/>
      <c r="M79" s="363"/>
      <c r="N79" s="363"/>
      <c r="P79" s="364"/>
      <c r="Q79" s="365"/>
      <c r="R79" s="366"/>
      <c r="S79" s="1176"/>
      <c r="T79" s="1160"/>
      <c r="U79" s="1161"/>
      <c r="V79" s="1160"/>
      <c r="W79" s="1161"/>
      <c r="X79" s="1160"/>
      <c r="Y79" s="1161"/>
      <c r="Z79" s="1160"/>
      <c r="AA79" s="1161"/>
      <c r="AB79" s="1160"/>
      <c r="AC79" s="1161"/>
      <c r="AE79" s="364"/>
      <c r="AF79" s="365"/>
      <c r="AG79" s="366"/>
      <c r="AH79" s="1176"/>
      <c r="AI79" s="1160"/>
      <c r="AJ79" s="1161"/>
      <c r="AK79" s="1160"/>
      <c r="AL79" s="1161"/>
      <c r="AM79" s="1160"/>
      <c r="AN79" s="1161"/>
      <c r="AO79" s="1160"/>
      <c r="AP79" s="1161"/>
      <c r="AQ79" s="1160"/>
      <c r="AR79" s="1161"/>
    </row>
    <row r="80" spans="1:44" ht="15" customHeight="1" outlineLevel="1" thickBot="1">
      <c r="B80" s="1164"/>
      <c r="C80" s="1166"/>
      <c r="D80" s="1166"/>
      <c r="E80" s="1166"/>
      <c r="F80" s="1166"/>
      <c r="G80" s="1200"/>
      <c r="H80" s="1201"/>
      <c r="I80" s="1200"/>
      <c r="J80" s="1201"/>
      <c r="K80" s="1202"/>
      <c r="L80" s="1202"/>
      <c r="M80" s="367"/>
      <c r="N80" s="367"/>
      <c r="P80" s="1180"/>
      <c r="Q80" s="368"/>
      <c r="R80" s="368"/>
      <c r="S80" s="1177"/>
      <c r="T80" s="1162"/>
      <c r="U80" s="1163"/>
      <c r="V80" s="1162"/>
      <c r="W80" s="1163"/>
      <c r="X80" s="1162"/>
      <c r="Y80" s="1163"/>
      <c r="Z80" s="1162"/>
      <c r="AA80" s="1163"/>
      <c r="AB80" s="1162"/>
      <c r="AC80" s="1163"/>
      <c r="AE80" s="1180"/>
      <c r="AF80" s="368"/>
      <c r="AG80" s="368"/>
      <c r="AH80" s="1177"/>
      <c r="AI80" s="1162"/>
      <c r="AJ80" s="1163"/>
      <c r="AK80" s="1162"/>
      <c r="AL80" s="1163"/>
      <c r="AM80" s="1162"/>
      <c r="AN80" s="1163"/>
      <c r="AO80" s="1162"/>
      <c r="AP80" s="1163"/>
      <c r="AQ80" s="1162"/>
      <c r="AR80" s="1163"/>
    </row>
    <row r="81" spans="2:44" ht="15" customHeight="1" outlineLevel="1" thickBot="1">
      <c r="B81" s="1165"/>
      <c r="C81" s="1167"/>
      <c r="D81" s="1167"/>
      <c r="E81" s="1167"/>
      <c r="F81" s="1167"/>
      <c r="G81" s="499"/>
      <c r="H81" s="499"/>
      <c r="I81" s="499"/>
      <c r="J81" s="499"/>
      <c r="K81" s="1203"/>
      <c r="L81" s="1203"/>
      <c r="M81" s="370"/>
      <c r="N81" s="370"/>
      <c r="P81" s="1181"/>
      <c r="Q81" s="1183"/>
      <c r="R81" s="1184"/>
      <c r="S81" s="1178"/>
      <c r="T81" s="1162"/>
      <c r="U81" s="1163"/>
      <c r="V81" s="1162"/>
      <c r="W81" s="1163"/>
      <c r="X81" s="1162"/>
      <c r="Y81" s="1163"/>
      <c r="Z81" s="1162"/>
      <c r="AA81" s="1163"/>
      <c r="AB81" s="1162"/>
      <c r="AC81" s="1163"/>
      <c r="AE81" s="1181"/>
      <c r="AF81" s="1197"/>
      <c r="AG81" s="1184"/>
      <c r="AH81" s="1178"/>
      <c r="AI81" s="1162"/>
      <c r="AJ81" s="1163"/>
      <c r="AK81" s="1162"/>
      <c r="AL81" s="1163"/>
      <c r="AM81" s="1162"/>
      <c r="AN81" s="1163"/>
      <c r="AO81" s="1162"/>
      <c r="AP81" s="1163"/>
      <c r="AQ81" s="1162"/>
      <c r="AR81" s="1163"/>
    </row>
    <row r="82" spans="2:44" ht="16" outlineLevel="1" thickBot="1">
      <c r="B82" s="371"/>
      <c r="C82" s="372"/>
      <c r="D82" s="372"/>
      <c r="E82" s="372"/>
      <c r="F82" s="372"/>
      <c r="G82" s="372"/>
      <c r="H82" s="372"/>
      <c r="I82" s="372"/>
      <c r="J82" s="372"/>
      <c r="K82" s="372"/>
      <c r="L82" s="373"/>
      <c r="M82" s="370"/>
      <c r="N82" s="370"/>
      <c r="O82" s="74"/>
      <c r="P82" s="1182"/>
      <c r="Q82" s="1179"/>
      <c r="R82" s="1185"/>
      <c r="S82" s="1179"/>
      <c r="T82" s="374"/>
      <c r="U82" s="375"/>
      <c r="V82" s="374"/>
      <c r="W82" s="375"/>
      <c r="X82" s="374"/>
      <c r="Y82" s="375"/>
      <c r="Z82" s="374"/>
      <c r="AA82" s="375"/>
      <c r="AB82" s="374"/>
      <c r="AC82" s="375"/>
      <c r="AE82" s="1182"/>
      <c r="AF82" s="1198"/>
      <c r="AG82" s="1185"/>
      <c r="AH82" s="1179"/>
      <c r="AI82" s="374"/>
      <c r="AJ82" s="375"/>
      <c r="AK82" s="374"/>
      <c r="AL82" s="375"/>
      <c r="AM82" s="374"/>
      <c r="AN82" s="375"/>
      <c r="AO82" s="374"/>
      <c r="AP82" s="375"/>
      <c r="AQ82" s="374"/>
      <c r="AR82" s="375"/>
    </row>
    <row r="83" spans="2:44" ht="15" customHeight="1" outlineLevel="1">
      <c r="B83" s="500"/>
      <c r="C83" s="501"/>
      <c r="D83" s="501"/>
      <c r="E83" s="502"/>
      <c r="F83" s="501"/>
      <c r="G83" s="501"/>
      <c r="H83" s="501"/>
      <c r="I83" s="501"/>
      <c r="J83" s="501"/>
      <c r="K83" s="503"/>
      <c r="L83" s="504"/>
      <c r="M83" s="370"/>
      <c r="N83" s="370"/>
      <c r="P83" s="1148"/>
      <c r="Q83" s="1154"/>
      <c r="R83" s="381"/>
      <c r="S83" s="382"/>
      <c r="T83" s="1137"/>
      <c r="U83" s="1151"/>
      <c r="V83" s="1137"/>
      <c r="W83" s="1151"/>
      <c r="X83" s="1137"/>
      <c r="Y83" s="1151"/>
      <c r="Z83" s="1137"/>
      <c r="AA83" s="1151"/>
      <c r="AB83" s="1137"/>
      <c r="AC83" s="1151"/>
      <c r="AE83" s="1148"/>
      <c r="AF83" s="1154"/>
      <c r="AG83" s="381"/>
      <c r="AH83" s="382"/>
      <c r="AI83" s="1137"/>
      <c r="AJ83" s="1151"/>
      <c r="AK83" s="1137"/>
      <c r="AL83" s="1151"/>
      <c r="AM83" s="1137"/>
      <c r="AN83" s="1151"/>
      <c r="AO83" s="1137"/>
      <c r="AP83" s="1151"/>
      <c r="AQ83" s="1137"/>
      <c r="AR83" s="1151"/>
    </row>
    <row r="84" spans="2:44" outlineLevel="1">
      <c r="B84" s="383"/>
      <c r="C84" s="384"/>
      <c r="D84" s="384"/>
      <c r="E84" s="384"/>
      <c r="F84" s="384"/>
      <c r="G84" s="505"/>
      <c r="H84" s="505"/>
      <c r="I84" s="505"/>
      <c r="J84" s="505"/>
      <c r="K84" s="372"/>
      <c r="L84" s="373"/>
      <c r="M84" s="370"/>
      <c r="N84" s="370"/>
      <c r="O84" s="71"/>
      <c r="P84" s="1195"/>
      <c r="Q84" s="1155"/>
      <c r="R84" s="388"/>
      <c r="S84" s="389"/>
      <c r="T84" s="1140"/>
      <c r="U84" s="1152"/>
      <c r="V84" s="1140"/>
      <c r="W84" s="1152"/>
      <c r="X84" s="1140"/>
      <c r="Y84" s="1152"/>
      <c r="Z84" s="1140"/>
      <c r="AA84" s="1152"/>
      <c r="AB84" s="1140"/>
      <c r="AC84" s="1152"/>
      <c r="AE84" s="1195"/>
      <c r="AF84" s="1155"/>
      <c r="AG84" s="388"/>
      <c r="AH84" s="389"/>
      <c r="AI84" s="1140"/>
      <c r="AJ84" s="1152"/>
      <c r="AK84" s="1140"/>
      <c r="AL84" s="1152"/>
      <c r="AM84" s="1140"/>
      <c r="AN84" s="1152"/>
      <c r="AO84" s="1140"/>
      <c r="AP84" s="1152"/>
      <c r="AQ84" s="1140"/>
      <c r="AR84" s="1152"/>
    </row>
    <row r="85" spans="2:44" ht="16" outlineLevel="1" thickBot="1">
      <c r="B85" s="500"/>
      <c r="C85" s="506"/>
      <c r="D85" s="507"/>
      <c r="E85" s="507"/>
      <c r="F85" s="508"/>
      <c r="G85" s="507"/>
      <c r="H85" s="507"/>
      <c r="I85" s="507"/>
      <c r="J85" s="507"/>
      <c r="K85" s="503"/>
      <c r="L85" s="504"/>
      <c r="M85" s="370"/>
      <c r="N85" s="370"/>
      <c r="O85" s="71"/>
      <c r="P85" s="1195"/>
      <c r="Q85" s="1156"/>
      <c r="R85" s="393"/>
      <c r="S85" s="394"/>
      <c r="T85" s="1141"/>
      <c r="U85" s="1153"/>
      <c r="V85" s="1141"/>
      <c r="W85" s="1153"/>
      <c r="X85" s="1141"/>
      <c r="Y85" s="1153"/>
      <c r="Z85" s="1141"/>
      <c r="AA85" s="1153"/>
      <c r="AB85" s="1141"/>
      <c r="AC85" s="1153"/>
      <c r="AE85" s="1195"/>
      <c r="AF85" s="1156"/>
      <c r="AG85" s="393"/>
      <c r="AH85" s="394"/>
      <c r="AI85" s="1141"/>
      <c r="AJ85" s="1153"/>
      <c r="AK85" s="1141"/>
      <c r="AL85" s="1153"/>
      <c r="AM85" s="1141"/>
      <c r="AN85" s="1153"/>
      <c r="AO85" s="1141"/>
      <c r="AP85" s="1153"/>
      <c r="AQ85" s="1141"/>
      <c r="AR85" s="1153"/>
    </row>
    <row r="86" spans="2:44" ht="15" customHeight="1" outlineLevel="1">
      <c r="B86" s="500"/>
      <c r="C86" s="506"/>
      <c r="D86" s="506"/>
      <c r="E86" s="506"/>
      <c r="F86" s="506"/>
      <c r="G86" s="506"/>
      <c r="H86" s="506"/>
      <c r="I86" s="506"/>
      <c r="J86" s="506"/>
      <c r="K86" s="503"/>
      <c r="L86" s="504"/>
      <c r="M86" s="370"/>
      <c r="N86" s="370"/>
      <c r="O86" s="71"/>
      <c r="P86" s="1195"/>
      <c r="Q86" s="1154"/>
      <c r="R86" s="395"/>
      <c r="S86" s="396"/>
      <c r="T86" s="1137"/>
      <c r="U86" s="1137"/>
      <c r="V86" s="1137"/>
      <c r="W86" s="1137"/>
      <c r="X86" s="1137"/>
      <c r="Y86" s="1137"/>
      <c r="Z86" s="1137"/>
      <c r="AA86" s="1137"/>
      <c r="AB86" s="1137"/>
      <c r="AC86" s="1137"/>
      <c r="AE86" s="1195"/>
      <c r="AF86" s="1154"/>
      <c r="AG86" s="395"/>
      <c r="AH86" s="396"/>
      <c r="AI86" s="1137"/>
      <c r="AJ86" s="1137"/>
      <c r="AK86" s="1137"/>
      <c r="AL86" s="1137"/>
      <c r="AM86" s="1137"/>
      <c r="AN86" s="1137"/>
      <c r="AO86" s="1137"/>
      <c r="AP86" s="1137"/>
      <c r="AQ86" s="1137"/>
      <c r="AR86" s="1137"/>
    </row>
    <row r="87" spans="2:44" outlineLevel="1">
      <c r="B87" s="500"/>
      <c r="C87" s="506"/>
      <c r="D87" s="506"/>
      <c r="E87" s="506"/>
      <c r="F87" s="506"/>
      <c r="G87" s="506"/>
      <c r="H87" s="506"/>
      <c r="I87" s="506"/>
      <c r="J87" s="506"/>
      <c r="K87" s="503"/>
      <c r="L87" s="504"/>
      <c r="M87" s="367"/>
      <c r="N87" s="367"/>
      <c r="O87" s="71"/>
      <c r="P87" s="1195"/>
      <c r="Q87" s="1155"/>
      <c r="R87" s="395"/>
      <c r="S87" s="396"/>
      <c r="T87" s="1138"/>
      <c r="U87" s="1138"/>
      <c r="V87" s="1138"/>
      <c r="W87" s="1138"/>
      <c r="X87" s="1138"/>
      <c r="Y87" s="1138"/>
      <c r="Z87" s="1138"/>
      <c r="AA87" s="1138"/>
      <c r="AB87" s="1138"/>
      <c r="AC87" s="1138"/>
      <c r="AE87" s="1195"/>
      <c r="AF87" s="1155"/>
      <c r="AG87" s="395"/>
      <c r="AH87" s="396"/>
      <c r="AI87" s="1138"/>
      <c r="AJ87" s="1138"/>
      <c r="AK87" s="1138"/>
      <c r="AL87" s="1138"/>
      <c r="AM87" s="1138"/>
      <c r="AN87" s="1138"/>
      <c r="AO87" s="1138"/>
      <c r="AP87" s="1138"/>
      <c r="AQ87" s="1138"/>
      <c r="AR87" s="1138"/>
    </row>
    <row r="88" spans="2:44" outlineLevel="1">
      <c r="B88" s="383"/>
      <c r="C88" s="397"/>
      <c r="D88" s="397"/>
      <c r="E88" s="397"/>
      <c r="F88" s="397"/>
      <c r="G88" s="399"/>
      <c r="H88" s="399"/>
      <c r="I88" s="399"/>
      <c r="J88" s="399"/>
      <c r="K88" s="372"/>
      <c r="L88" s="373"/>
      <c r="M88" s="363"/>
      <c r="N88" s="363"/>
      <c r="P88" s="1195"/>
      <c r="Q88" s="1155"/>
      <c r="R88" s="395"/>
      <c r="S88" s="396"/>
      <c r="T88" s="1138"/>
      <c r="U88" s="1138"/>
      <c r="V88" s="1138"/>
      <c r="W88" s="1138"/>
      <c r="X88" s="1138"/>
      <c r="Y88" s="1138"/>
      <c r="Z88" s="1138"/>
      <c r="AA88" s="1138"/>
      <c r="AB88" s="1138"/>
      <c r="AC88" s="1138"/>
      <c r="AE88" s="1195"/>
      <c r="AF88" s="1155"/>
      <c r="AG88" s="395"/>
      <c r="AH88" s="396"/>
      <c r="AI88" s="1138"/>
      <c r="AJ88" s="1138"/>
      <c r="AK88" s="1138"/>
      <c r="AL88" s="1138"/>
      <c r="AM88" s="1138"/>
      <c r="AN88" s="1138"/>
      <c r="AO88" s="1138"/>
      <c r="AP88" s="1138"/>
      <c r="AQ88" s="1138"/>
      <c r="AR88" s="1138"/>
    </row>
    <row r="89" spans="2:44" ht="16" outlineLevel="1" thickBot="1">
      <c r="B89" s="500"/>
      <c r="C89" s="506"/>
      <c r="D89" s="506"/>
      <c r="E89" s="506"/>
      <c r="F89" s="506"/>
      <c r="G89" s="506"/>
      <c r="H89" s="506"/>
      <c r="I89" s="506"/>
      <c r="J89" s="506"/>
      <c r="K89" s="372"/>
      <c r="L89" s="400"/>
      <c r="M89" s="363"/>
      <c r="N89" s="363"/>
      <c r="P89" s="1195"/>
      <c r="Q89" s="1155"/>
      <c r="R89" s="395"/>
      <c r="S89" s="396"/>
      <c r="T89" s="1138"/>
      <c r="U89" s="1138"/>
      <c r="V89" s="1138"/>
      <c r="W89" s="1138"/>
      <c r="X89" s="1138"/>
      <c r="Y89" s="1138"/>
      <c r="Z89" s="1138"/>
      <c r="AA89" s="1138"/>
      <c r="AB89" s="1138"/>
      <c r="AC89" s="1138"/>
      <c r="AE89" s="1195"/>
      <c r="AF89" s="1155"/>
      <c r="AG89" s="395"/>
      <c r="AH89" s="396"/>
      <c r="AI89" s="1138"/>
      <c r="AJ89" s="1138"/>
      <c r="AK89" s="1138"/>
      <c r="AL89" s="1138"/>
      <c r="AM89" s="1138"/>
      <c r="AN89" s="1138"/>
      <c r="AO89" s="1138"/>
      <c r="AP89" s="1138"/>
      <c r="AQ89" s="1138"/>
      <c r="AR89" s="1138"/>
    </row>
    <row r="90" spans="2:44" ht="16" outlineLevel="1" thickBot="1">
      <c r="B90" s="401"/>
      <c r="C90" s="402"/>
      <c r="D90" s="403"/>
      <c r="E90" s="404"/>
      <c r="F90" s="405"/>
      <c r="G90" s="406"/>
      <c r="H90" s="406"/>
      <c r="I90" s="406"/>
      <c r="J90" s="406"/>
      <c r="K90" s="407"/>
      <c r="L90" s="408"/>
      <c r="M90" s="363"/>
      <c r="N90" s="363"/>
      <c r="P90" s="1195"/>
      <c r="Q90" s="1155"/>
      <c r="R90" s="409"/>
      <c r="S90" s="410"/>
      <c r="T90" s="1139"/>
      <c r="U90" s="1139"/>
      <c r="V90" s="1139"/>
      <c r="W90" s="1139"/>
      <c r="X90" s="1139"/>
      <c r="Y90" s="1139"/>
      <c r="Z90" s="1139"/>
      <c r="AA90" s="1139"/>
      <c r="AB90" s="1139"/>
      <c r="AC90" s="1139"/>
      <c r="AE90" s="1195"/>
      <c r="AF90" s="1155"/>
      <c r="AG90" s="409"/>
      <c r="AH90" s="410"/>
      <c r="AI90" s="1139"/>
      <c r="AJ90" s="1139"/>
      <c r="AK90" s="1139"/>
      <c r="AL90" s="1139"/>
      <c r="AM90" s="1139"/>
      <c r="AN90" s="1139"/>
      <c r="AO90" s="1139"/>
      <c r="AP90" s="1139"/>
      <c r="AQ90" s="1139"/>
      <c r="AR90" s="1139"/>
    </row>
    <row r="91" spans="2:44" ht="16" outlineLevel="1" thickBot="1">
      <c r="B91" s="500"/>
      <c r="C91" s="506"/>
      <c r="D91" s="506"/>
      <c r="E91" s="506"/>
      <c r="F91" s="506"/>
      <c r="G91" s="507"/>
      <c r="H91" s="507"/>
      <c r="I91" s="507"/>
      <c r="J91" s="507"/>
      <c r="K91" s="503"/>
      <c r="L91" s="504"/>
      <c r="M91" s="363"/>
      <c r="N91" s="363"/>
      <c r="P91" s="1196"/>
      <c r="Q91" s="411"/>
      <c r="R91" s="412"/>
      <c r="S91" s="413"/>
      <c r="T91" s="414"/>
      <c r="U91" s="415"/>
      <c r="V91" s="416"/>
      <c r="W91" s="415"/>
      <c r="X91" s="416"/>
      <c r="Y91" s="415"/>
      <c r="Z91" s="416"/>
      <c r="AA91" s="415"/>
      <c r="AB91" s="416"/>
      <c r="AC91" s="417"/>
      <c r="AE91" s="1196"/>
      <c r="AF91" s="411"/>
      <c r="AG91" s="412"/>
      <c r="AH91" s="413"/>
      <c r="AI91" s="414"/>
      <c r="AJ91" s="415"/>
      <c r="AK91" s="414"/>
      <c r="AL91" s="415"/>
      <c r="AM91" s="414"/>
      <c r="AN91" s="415"/>
      <c r="AO91" s="414"/>
      <c r="AP91" s="415"/>
      <c r="AQ91" s="414"/>
      <c r="AR91" s="417"/>
    </row>
    <row r="92" spans="2:44" outlineLevel="1">
      <c r="B92" s="500"/>
      <c r="C92" s="506"/>
      <c r="D92" s="506"/>
      <c r="E92" s="506"/>
      <c r="F92" s="506"/>
      <c r="G92" s="509"/>
      <c r="H92" s="509"/>
      <c r="I92" s="509"/>
      <c r="J92" s="509"/>
      <c r="K92" s="510"/>
      <c r="L92" s="504"/>
      <c r="M92" s="363"/>
      <c r="N92" s="363"/>
    </row>
    <row r="93" spans="2:44" outlineLevel="1">
      <c r="B93" s="500"/>
      <c r="C93" s="506"/>
      <c r="D93" s="506"/>
      <c r="E93" s="506"/>
      <c r="F93" s="506"/>
      <c r="G93" s="509"/>
      <c r="H93" s="509"/>
      <c r="I93" s="509"/>
      <c r="J93" s="509"/>
      <c r="K93" s="510"/>
      <c r="L93" s="504"/>
      <c r="M93" s="420"/>
      <c r="N93" s="363"/>
    </row>
    <row r="94" spans="2:44" outlineLevel="1">
      <c r="B94" s="421"/>
      <c r="C94" s="399"/>
      <c r="D94" s="399"/>
      <c r="E94" s="399"/>
      <c r="F94" s="399"/>
      <c r="G94" s="422"/>
      <c r="H94" s="422"/>
      <c r="I94" s="422"/>
      <c r="J94" s="422"/>
      <c r="K94" s="423"/>
      <c r="L94" s="424"/>
      <c r="M94" s="420"/>
      <c r="N94" s="420"/>
    </row>
    <row r="95" spans="2:44" outlineLevel="1">
      <c r="B95" s="383"/>
      <c r="C95" s="397"/>
      <c r="D95" s="397"/>
      <c r="E95" s="397"/>
      <c r="F95" s="397"/>
      <c r="G95" s="422"/>
      <c r="H95" s="425"/>
      <c r="I95" s="425"/>
      <c r="J95" s="425"/>
      <c r="K95" s="426"/>
      <c r="L95" s="427"/>
      <c r="M95" s="428"/>
      <c r="N95" s="428"/>
    </row>
    <row r="96" spans="2:44" outlineLevel="1">
      <c r="B96" s="383"/>
      <c r="C96" s="397"/>
      <c r="D96" s="397"/>
      <c r="E96" s="397"/>
      <c r="F96" s="397"/>
      <c r="G96" s="425"/>
      <c r="H96" s="425"/>
      <c r="I96" s="425"/>
      <c r="J96" s="425"/>
      <c r="K96" s="423"/>
      <c r="L96" s="427"/>
      <c r="M96" s="428"/>
      <c r="N96" s="428"/>
    </row>
    <row r="97" spans="1:30" outlineLevel="1">
      <c r="B97" s="383"/>
      <c r="C97" s="397"/>
      <c r="D97" s="397"/>
      <c r="E97" s="397"/>
      <c r="F97" s="397"/>
      <c r="G97" s="425"/>
      <c r="H97" s="425"/>
      <c r="I97" s="425"/>
      <c r="J97" s="425"/>
      <c r="K97" s="423"/>
      <c r="L97" s="427"/>
      <c r="M97" s="428"/>
      <c r="N97" s="428"/>
    </row>
    <row r="98" spans="1:30" outlineLevel="1">
      <c r="B98" s="383"/>
      <c r="C98" s="397"/>
      <c r="D98" s="397"/>
      <c r="E98" s="397"/>
      <c r="F98" s="397"/>
      <c r="G98" s="425"/>
      <c r="H98" s="425"/>
      <c r="I98" s="425"/>
      <c r="J98" s="425"/>
      <c r="K98" s="423"/>
      <c r="L98" s="427"/>
      <c r="M98" s="428"/>
      <c r="N98" s="428"/>
    </row>
    <row r="99" spans="1:30" ht="16" outlineLevel="1" thickBot="1">
      <c r="B99" s="429"/>
      <c r="C99" s="430"/>
      <c r="D99" s="430"/>
      <c r="E99" s="430"/>
      <c r="F99" s="430"/>
      <c r="G99" s="425"/>
      <c r="H99" s="425"/>
      <c r="I99" s="425"/>
      <c r="J99" s="425"/>
      <c r="K99" s="423"/>
      <c r="L99" s="427"/>
      <c r="M99" s="428"/>
      <c r="N99" s="428"/>
    </row>
    <row r="100" spans="1:30" ht="16" outlineLevel="1" thickBot="1">
      <c r="B100" s="431"/>
      <c r="C100" s="432"/>
      <c r="D100" s="403"/>
      <c r="E100" s="403"/>
      <c r="F100" s="433"/>
      <c r="G100" s="434"/>
      <c r="H100" s="406"/>
      <c r="I100" s="406"/>
      <c r="J100" s="406"/>
      <c r="K100" s="407"/>
      <c r="L100" s="408"/>
      <c r="M100" s="428"/>
      <c r="N100" s="428"/>
    </row>
    <row r="101" spans="1:30" outlineLevel="1">
      <c r="A101" s="435"/>
      <c r="B101" s="436"/>
      <c r="C101" s="511"/>
      <c r="D101" s="512"/>
      <c r="E101" s="512"/>
      <c r="F101" s="513"/>
      <c r="G101" s="425"/>
      <c r="H101" s="425"/>
      <c r="I101" s="425"/>
      <c r="J101" s="425"/>
      <c r="K101" s="426"/>
      <c r="L101" s="440"/>
      <c r="M101" s="420"/>
      <c r="N101" s="420"/>
    </row>
    <row r="102" spans="1:30" outlineLevel="1">
      <c r="B102" s="441"/>
      <c r="C102" s="442"/>
      <c r="D102" s="442"/>
      <c r="E102" s="442"/>
      <c r="F102" s="442"/>
      <c r="G102" s="425"/>
      <c r="H102" s="425"/>
      <c r="I102" s="425"/>
      <c r="J102" s="425"/>
      <c r="K102" s="444"/>
      <c r="L102" s="373"/>
      <c r="M102" s="71"/>
      <c r="N102" s="420"/>
    </row>
    <row r="103" spans="1:30" outlineLevel="1">
      <c r="B103" s="441"/>
      <c r="C103" s="442"/>
      <c r="D103" s="442"/>
      <c r="E103" s="442"/>
      <c r="F103" s="442"/>
      <c r="G103" s="425"/>
      <c r="H103" s="425"/>
      <c r="I103" s="425"/>
      <c r="J103" s="425"/>
      <c r="K103" s="444"/>
      <c r="L103" s="373"/>
      <c r="M103" s="420"/>
      <c r="N103" s="420"/>
    </row>
    <row r="104" spans="1:30" outlineLevel="1">
      <c r="B104" s="383"/>
      <c r="C104" s="445"/>
      <c r="D104" s="446"/>
      <c r="E104" s="446"/>
      <c r="F104" s="447"/>
      <c r="G104" s="425"/>
      <c r="H104" s="425"/>
      <c r="I104" s="425"/>
      <c r="J104" s="425"/>
      <c r="K104" s="448"/>
      <c r="L104" s="373"/>
      <c r="M104" s="420"/>
      <c r="N104" s="420"/>
    </row>
    <row r="105" spans="1:30" outlineLevel="1">
      <c r="B105" s="383"/>
      <c r="C105" s="449"/>
      <c r="D105" s="449"/>
      <c r="E105" s="449"/>
      <c r="F105" s="449"/>
      <c r="G105" s="425"/>
      <c r="H105" s="425"/>
      <c r="I105" s="425"/>
      <c r="J105" s="425"/>
      <c r="K105" s="448"/>
      <c r="L105" s="373"/>
      <c r="M105" s="450"/>
      <c r="N105" s="361"/>
      <c r="P105" s="1142"/>
      <c r="Q105" s="1143"/>
      <c r="R105" s="1143"/>
      <c r="S105" s="1143"/>
      <c r="T105" s="1143"/>
      <c r="U105" s="1144"/>
    </row>
    <row r="106" spans="1:30" ht="16" outlineLevel="1" thickBot="1">
      <c r="B106" s="500"/>
      <c r="C106" s="514"/>
      <c r="D106" s="514"/>
      <c r="E106" s="514"/>
      <c r="F106" s="514"/>
      <c r="G106" s="515"/>
      <c r="H106" s="515"/>
      <c r="I106" s="515"/>
      <c r="J106" s="515"/>
      <c r="K106" s="503"/>
      <c r="L106" s="504"/>
      <c r="M106" s="450"/>
      <c r="N106" s="361"/>
      <c r="P106" s="1134"/>
      <c r="Q106" s="1135"/>
      <c r="R106" s="1135"/>
      <c r="S106" s="1135"/>
      <c r="T106" s="1135"/>
      <c r="U106" s="1136"/>
    </row>
    <row r="107" spans="1:30" outlineLevel="1">
      <c r="B107" s="500"/>
      <c r="C107" s="516"/>
      <c r="D107" s="516"/>
      <c r="E107" s="516"/>
      <c r="F107" s="516"/>
      <c r="G107" s="515"/>
      <c r="H107" s="515"/>
      <c r="I107" s="515"/>
      <c r="J107" s="515"/>
      <c r="K107" s="517"/>
      <c r="L107" s="504"/>
      <c r="M107" s="363"/>
      <c r="N107" s="363"/>
      <c r="P107" s="53"/>
    </row>
    <row r="108" spans="1:30" outlineLevel="1">
      <c r="B108" s="441"/>
      <c r="C108" s="518"/>
      <c r="D108" s="518"/>
      <c r="E108" s="518"/>
      <c r="F108" s="518"/>
      <c r="G108" s="425"/>
      <c r="H108" s="425"/>
      <c r="I108" s="425"/>
      <c r="J108" s="425"/>
      <c r="K108" s="444"/>
      <c r="L108" s="424"/>
      <c r="M108" s="367"/>
      <c r="N108" s="367"/>
      <c r="P108" s="46"/>
      <c r="Q108" s="46"/>
      <c r="R108" s="47"/>
      <c r="S108" s="47"/>
      <c r="T108" s="47"/>
      <c r="U108" s="48"/>
      <c r="V108" s="49"/>
      <c r="W108" s="49"/>
      <c r="X108" s="49"/>
      <c r="Y108" s="49"/>
      <c r="Z108" s="49"/>
      <c r="AA108" s="49"/>
      <c r="AB108" s="49"/>
      <c r="AC108" s="49"/>
      <c r="AD108" s="49"/>
    </row>
    <row r="109" spans="1:30" ht="16" outlineLevel="1" thickBot="1">
      <c r="B109" s="519"/>
      <c r="C109" s="442"/>
      <c r="D109" s="520"/>
      <c r="E109" s="520"/>
      <c r="F109" s="521"/>
      <c r="G109" s="425"/>
      <c r="H109" s="425"/>
      <c r="I109" s="425"/>
      <c r="J109" s="425"/>
      <c r="K109" s="448"/>
      <c r="L109" s="424"/>
      <c r="M109" s="363"/>
      <c r="N109" s="363"/>
      <c r="P109" s="50"/>
      <c r="Q109" s="50"/>
      <c r="R109" s="51"/>
      <c r="S109" s="51"/>
      <c r="T109" s="51"/>
      <c r="U109" s="51"/>
      <c r="V109" s="50"/>
      <c r="W109" s="50"/>
      <c r="X109" s="50"/>
      <c r="Y109" s="50"/>
      <c r="Z109" s="50"/>
      <c r="AA109" s="50"/>
      <c r="AB109" s="50"/>
      <c r="AC109" s="50"/>
      <c r="AD109" s="50"/>
    </row>
    <row r="110" spans="1:30" ht="16" outlineLevel="1" thickBot="1">
      <c r="B110" s="401"/>
      <c r="C110" s="402"/>
      <c r="D110" s="403"/>
      <c r="E110" s="404"/>
      <c r="F110" s="405"/>
      <c r="G110" s="406"/>
      <c r="H110" s="406"/>
      <c r="I110" s="406"/>
      <c r="J110" s="406"/>
      <c r="K110" s="459"/>
      <c r="L110" s="460"/>
      <c r="M110" s="363"/>
      <c r="N110" s="363"/>
      <c r="O110" s="461"/>
      <c r="P110" s="56"/>
      <c r="Q110" s="56"/>
      <c r="R110" s="57"/>
      <c r="S110" s="57"/>
      <c r="T110" s="57"/>
      <c r="U110" s="56"/>
      <c r="V110" s="56"/>
      <c r="W110" s="56"/>
      <c r="X110" s="56"/>
      <c r="Y110" s="56"/>
      <c r="Z110" s="56"/>
      <c r="AA110" s="56"/>
      <c r="AB110" s="56"/>
      <c r="AC110" s="56"/>
      <c r="AD110" s="56"/>
    </row>
    <row r="111" spans="1:30" outlineLevel="1">
      <c r="B111" s="522"/>
      <c r="C111" s="523"/>
      <c r="D111" s="523"/>
      <c r="E111" s="523"/>
      <c r="F111" s="523"/>
      <c r="G111" s="524"/>
      <c r="H111" s="524"/>
      <c r="I111" s="524"/>
      <c r="J111" s="524"/>
      <c r="K111" s="524"/>
      <c r="L111" s="525"/>
      <c r="M111" s="363"/>
      <c r="N111" s="363"/>
      <c r="O111" s="465"/>
      <c r="P111" s="466"/>
      <c r="Q111" s="58"/>
      <c r="R111" s="466"/>
      <c r="S111" s="58"/>
      <c r="T111" s="466"/>
      <c r="U111" s="467"/>
      <c r="V111" s="467"/>
      <c r="W111" s="467"/>
      <c r="X111" s="58"/>
      <c r="Y111" s="58"/>
      <c r="Z111" s="466"/>
      <c r="AA111" s="468"/>
      <c r="AB111" s="468"/>
      <c r="AC111" s="468"/>
      <c r="AD111" s="468"/>
    </row>
    <row r="112" spans="1:30" outlineLevel="1">
      <c r="B112" s="500"/>
      <c r="C112" s="526"/>
      <c r="D112" s="527"/>
      <c r="E112" s="527"/>
      <c r="F112" s="528"/>
      <c r="G112" s="528"/>
      <c r="H112" s="528"/>
      <c r="I112" s="528"/>
      <c r="J112" s="528"/>
      <c r="K112" s="529"/>
      <c r="L112" s="525"/>
      <c r="M112" s="363"/>
      <c r="N112" s="363"/>
      <c r="O112" s="465"/>
      <c r="P112" s="466"/>
      <c r="Q112" s="58"/>
      <c r="R112" s="466"/>
      <c r="S112" s="58"/>
      <c r="T112" s="466"/>
      <c r="U112" s="467"/>
      <c r="V112" s="467"/>
      <c r="W112" s="467"/>
      <c r="X112" s="58"/>
      <c r="Y112" s="58"/>
      <c r="Z112" s="466"/>
      <c r="AA112" s="468"/>
      <c r="AB112" s="468"/>
      <c r="AC112" s="468"/>
      <c r="AD112" s="468"/>
    </row>
    <row r="113" spans="2:30" outlineLevel="1">
      <c r="B113" s="500"/>
      <c r="C113" s="526"/>
      <c r="D113" s="527"/>
      <c r="E113" s="527"/>
      <c r="F113" s="528"/>
      <c r="G113" s="515"/>
      <c r="H113" s="515"/>
      <c r="I113" s="515"/>
      <c r="J113" s="515"/>
      <c r="K113" s="515"/>
      <c r="L113" s="504"/>
      <c r="M113" s="363"/>
      <c r="N113" s="363"/>
      <c r="O113" s="465"/>
      <c r="P113" s="466"/>
      <c r="Q113" s="58"/>
      <c r="R113" s="466"/>
      <c r="S113" s="58"/>
      <c r="T113" s="466"/>
      <c r="U113" s="467"/>
      <c r="V113" s="467"/>
      <c r="W113" s="467"/>
      <c r="X113" s="58"/>
      <c r="Y113" s="58"/>
      <c r="Z113" s="466"/>
      <c r="AA113" s="468"/>
      <c r="AB113" s="468"/>
      <c r="AC113" s="468"/>
      <c r="AD113" s="468"/>
    </row>
    <row r="114" spans="2:30" outlineLevel="1">
      <c r="B114" s="500"/>
      <c r="C114" s="530"/>
      <c r="D114" s="530"/>
      <c r="E114" s="530"/>
      <c r="F114" s="530"/>
      <c r="G114" s="531"/>
      <c r="H114" s="531"/>
      <c r="I114" s="531"/>
      <c r="J114" s="531"/>
      <c r="K114" s="531"/>
      <c r="L114" s="504"/>
      <c r="M114" s="363"/>
      <c r="N114" s="363"/>
      <c r="O114" s="465"/>
      <c r="P114" s="466"/>
      <c r="Q114" s="58"/>
      <c r="R114" s="466"/>
      <c r="S114" s="58"/>
      <c r="T114" s="466"/>
      <c r="U114" s="467"/>
      <c r="V114" s="467"/>
      <c r="W114" s="467"/>
      <c r="X114" s="58"/>
      <c r="Y114" s="58"/>
      <c r="Z114" s="466"/>
      <c r="AA114" s="468"/>
      <c r="AB114" s="468"/>
      <c r="AC114" s="468"/>
      <c r="AD114" s="468"/>
    </row>
    <row r="115" spans="2:30" outlineLevel="1">
      <c r="B115" s="532"/>
      <c r="C115" s="526"/>
      <c r="D115" s="527"/>
      <c r="E115" s="527"/>
      <c r="F115" s="528"/>
      <c r="G115" s="531"/>
      <c r="H115" s="531"/>
      <c r="I115" s="531"/>
      <c r="J115" s="531"/>
      <c r="K115" s="531"/>
      <c r="L115" s="533"/>
      <c r="M115" s="367"/>
      <c r="N115" s="367"/>
    </row>
    <row r="116" spans="2:30" outlineLevel="1">
      <c r="B116" s="532"/>
      <c r="C116" s="526"/>
      <c r="D116" s="527"/>
      <c r="E116" s="527"/>
      <c r="F116" s="528"/>
      <c r="G116" s="531"/>
      <c r="H116" s="531"/>
      <c r="I116" s="531"/>
      <c r="J116" s="531"/>
      <c r="K116" s="531"/>
      <c r="L116" s="533"/>
      <c r="M116" s="363"/>
      <c r="N116" s="363"/>
    </row>
    <row r="117" spans="2:30" ht="16" outlineLevel="1" thickBot="1">
      <c r="B117" s="534"/>
      <c r="C117" s="535"/>
      <c r="D117" s="536"/>
      <c r="E117" s="536"/>
      <c r="F117" s="537"/>
      <c r="G117" s="538"/>
      <c r="H117" s="538"/>
      <c r="I117" s="538"/>
      <c r="J117" s="538"/>
      <c r="K117" s="538"/>
      <c r="L117" s="539"/>
      <c r="M117" s="363"/>
      <c r="N117" s="363"/>
    </row>
    <row r="118" spans="2:30" outlineLevel="1">
      <c r="B118" s="461"/>
      <c r="C118" s="483"/>
      <c r="D118" s="483"/>
      <c r="E118" s="483"/>
      <c r="F118" s="483"/>
      <c r="G118" s="483"/>
      <c r="H118" s="484"/>
      <c r="I118" s="420"/>
      <c r="J118" s="420"/>
      <c r="K118" s="484"/>
      <c r="L118" s="484"/>
      <c r="N118" s="420"/>
    </row>
    <row r="119" spans="2:30" outlineLevel="1">
      <c r="B119" s="485"/>
      <c r="C119" s="486"/>
      <c r="D119" s="486"/>
      <c r="E119" s="486"/>
      <c r="F119" s="486"/>
      <c r="G119" s="486"/>
      <c r="H119" s="484"/>
      <c r="I119" s="71"/>
      <c r="J119" s="420"/>
      <c r="K119" s="484"/>
      <c r="L119" s="484"/>
      <c r="N119" s="420"/>
    </row>
    <row r="120" spans="2:30" outlineLevel="1">
      <c r="B120" s="461"/>
      <c r="C120" s="359"/>
      <c r="D120" s="359"/>
      <c r="E120" s="359"/>
      <c r="F120" s="359"/>
      <c r="G120" s="359"/>
      <c r="I120" s="420"/>
      <c r="J120" s="420"/>
      <c r="N120" s="420"/>
    </row>
    <row r="121" spans="2:30" outlineLevel="1">
      <c r="B121" s="461"/>
      <c r="C121" s="487"/>
      <c r="D121" s="487"/>
      <c r="E121" s="487"/>
      <c r="F121" s="487"/>
      <c r="G121" s="359"/>
      <c r="M121" s="420"/>
      <c r="N121" s="420"/>
    </row>
    <row r="122" spans="2:30" outlineLevel="1"/>
    <row r="123" spans="2:30" outlineLevel="1"/>
    <row r="124" spans="2:30" outlineLevel="1"/>
    <row r="125" spans="2:30" outlineLevel="1"/>
    <row r="126" spans="2:30" outlineLevel="1">
      <c r="B126" s="488"/>
      <c r="C126" s="489"/>
      <c r="D126" s="490"/>
      <c r="E126" s="490"/>
      <c r="F126" s="490"/>
    </row>
    <row r="127" spans="2:30" outlineLevel="1">
      <c r="B127" s="491"/>
      <c r="C127" s="492"/>
      <c r="E127" s="490"/>
      <c r="F127" s="490"/>
    </row>
    <row r="128" spans="2:30" outlineLevel="1">
      <c r="B128" s="491"/>
      <c r="C128" s="493"/>
      <c r="E128" s="490"/>
      <c r="F128" s="490"/>
    </row>
    <row r="129" spans="2:6" outlineLevel="1">
      <c r="B129" s="491"/>
      <c r="C129" s="493"/>
      <c r="E129" s="490"/>
      <c r="F129" s="490"/>
    </row>
    <row r="130" spans="2:6" outlineLevel="1">
      <c r="B130" s="491"/>
      <c r="C130" s="493"/>
      <c r="E130" s="490"/>
      <c r="F130" s="490"/>
    </row>
    <row r="131" spans="2:6" outlineLevel="1">
      <c r="B131" s="358"/>
      <c r="C131" s="494"/>
      <c r="D131" s="490"/>
      <c r="E131" s="490"/>
      <c r="F131" s="490"/>
    </row>
    <row r="132" spans="2:6" outlineLevel="1">
      <c r="B132" s="358"/>
      <c r="C132" s="492"/>
      <c r="D132" s="490"/>
      <c r="E132" s="490"/>
      <c r="F132" s="490"/>
    </row>
    <row r="133" spans="2:6" outlineLevel="1">
      <c r="B133" s="358"/>
      <c r="C133" s="495"/>
      <c r="D133" s="490"/>
      <c r="E133" s="490"/>
      <c r="F133" s="490"/>
    </row>
    <row r="134" spans="2:6" outlineLevel="1">
      <c r="B134" s="358"/>
      <c r="C134" s="495"/>
      <c r="D134" s="490"/>
      <c r="E134" s="490"/>
      <c r="F134" s="490"/>
    </row>
    <row r="135" spans="2:6" outlineLevel="1">
      <c r="B135" s="358"/>
      <c r="C135" s="489"/>
      <c r="D135" s="490"/>
      <c r="E135" s="490"/>
      <c r="F135" s="490"/>
    </row>
    <row r="136" spans="2:6" outlineLevel="1">
      <c r="B136" s="358"/>
      <c r="C136" s="490"/>
      <c r="D136" s="490"/>
      <c r="E136" s="490"/>
      <c r="F136" s="490"/>
    </row>
    <row r="137" spans="2:6" outlineLevel="1">
      <c r="B137" s="488"/>
      <c r="C137" s="489"/>
      <c r="D137" s="490"/>
      <c r="E137" s="490"/>
      <c r="F137" s="490"/>
    </row>
    <row r="138" spans="2:6" outlineLevel="1">
      <c r="B138" s="496"/>
      <c r="C138" s="497"/>
      <c r="E138" s="490"/>
      <c r="F138" s="490"/>
    </row>
    <row r="139" spans="2:6" outlineLevel="1">
      <c r="B139" s="496" t="s">
        <v>59</v>
      </c>
      <c r="C139" s="489" t="s">
        <v>785</v>
      </c>
      <c r="E139" s="490"/>
      <c r="F139" s="490"/>
    </row>
    <row r="140" spans="2:6" outlineLevel="1">
      <c r="B140" s="496" t="s">
        <v>16</v>
      </c>
      <c r="C140" s="489" t="s">
        <v>786</v>
      </c>
      <c r="E140" s="490"/>
      <c r="F140" s="490"/>
    </row>
    <row r="141" spans="2:6" outlineLevel="1">
      <c r="B141" s="496" t="s">
        <v>20</v>
      </c>
      <c r="C141" s="489" t="s">
        <v>787</v>
      </c>
      <c r="E141" s="490"/>
      <c r="F141" s="490"/>
    </row>
    <row r="142" spans="2:6" outlineLevel="1">
      <c r="B142" s="496" t="s">
        <v>76</v>
      </c>
      <c r="C142" s="498" t="s">
        <v>788</v>
      </c>
      <c r="E142" s="490"/>
      <c r="F142" s="490"/>
    </row>
    <row r="143" spans="2:6" outlineLevel="1">
      <c r="B143" s="496" t="s">
        <v>25</v>
      </c>
      <c r="C143" s="489" t="s">
        <v>789</v>
      </c>
      <c r="E143" s="490"/>
      <c r="F143" s="490"/>
    </row>
    <row r="144" spans="2:6" outlineLevel="1"/>
    <row r="145" spans="1:44" outlineLevel="1">
      <c r="M145" s="214"/>
    </row>
    <row r="146" spans="1:44" outlineLevel="1"/>
    <row r="149" spans="1:44">
      <c r="A149" s="360"/>
      <c r="B149" s="1207"/>
      <c r="C149" s="1143"/>
      <c r="D149" s="1143"/>
      <c r="E149" s="1143"/>
      <c r="F149" s="1143"/>
      <c r="G149" s="1143"/>
      <c r="H149" s="1143"/>
      <c r="I149" s="1143"/>
      <c r="J149" s="1143"/>
      <c r="K149" s="1143"/>
      <c r="L149" s="1143"/>
      <c r="M149" s="1143"/>
      <c r="N149" s="361"/>
      <c r="P149" s="1143"/>
      <c r="Q149" s="1143"/>
      <c r="R149" s="1143"/>
      <c r="S149" s="1143"/>
      <c r="T149" s="1143"/>
      <c r="U149" s="1143"/>
    </row>
    <row r="150" spans="1:44" ht="16" outlineLevel="1" thickBot="1">
      <c r="B150" s="1207"/>
      <c r="C150" s="1143"/>
      <c r="D150" s="1143"/>
      <c r="E150" s="1143"/>
      <c r="F150" s="1143"/>
      <c r="G150" s="1143"/>
      <c r="H150" s="1143"/>
      <c r="I150" s="1143"/>
      <c r="J150" s="1143"/>
      <c r="K150" s="1143"/>
      <c r="L150" s="1143"/>
      <c r="M150" s="1143"/>
      <c r="N150" s="361"/>
      <c r="P150" s="1143"/>
      <c r="Q150" s="1143"/>
      <c r="R150" s="1143"/>
      <c r="S150" s="1143"/>
      <c r="T150" s="1143"/>
      <c r="U150" s="1143"/>
    </row>
    <row r="151" spans="1:44" ht="20.5" customHeight="1" outlineLevel="1" thickBot="1">
      <c r="B151" s="362"/>
      <c r="C151" s="1186"/>
      <c r="D151" s="1205"/>
      <c r="E151" s="1205"/>
      <c r="F151" s="1205"/>
      <c r="G151" s="1205"/>
      <c r="H151" s="1205"/>
      <c r="I151" s="1205"/>
      <c r="J151" s="1205"/>
      <c r="K151" s="1205"/>
      <c r="L151" s="1206"/>
      <c r="M151" s="363"/>
      <c r="N151" s="363"/>
      <c r="P151" s="364"/>
      <c r="Q151" s="365"/>
      <c r="R151" s="366"/>
      <c r="S151" s="1176"/>
      <c r="T151" s="1160"/>
      <c r="U151" s="1161"/>
      <c r="V151" s="1160"/>
      <c r="W151" s="1161"/>
      <c r="X151" s="1160"/>
      <c r="Y151" s="1161"/>
      <c r="Z151" s="1160"/>
      <c r="AA151" s="1161"/>
      <c r="AB151" s="1160"/>
      <c r="AC151" s="1161"/>
      <c r="AE151" s="364"/>
      <c r="AF151" s="365"/>
      <c r="AG151" s="366"/>
      <c r="AH151" s="1176"/>
      <c r="AI151" s="1160"/>
      <c r="AJ151" s="1161"/>
      <c r="AK151" s="1160"/>
      <c r="AL151" s="1161"/>
      <c r="AM151" s="1160"/>
      <c r="AN151" s="1161"/>
      <c r="AO151" s="1160"/>
      <c r="AP151" s="1161"/>
      <c r="AQ151" s="1160"/>
      <c r="AR151" s="1161"/>
    </row>
    <row r="152" spans="1:44" ht="15" customHeight="1" outlineLevel="1" thickBot="1">
      <c r="B152" s="1164"/>
      <c r="C152" s="1166"/>
      <c r="D152" s="1166"/>
      <c r="E152" s="1166"/>
      <c r="F152" s="1166"/>
      <c r="G152" s="1221"/>
      <c r="H152" s="1222"/>
      <c r="I152" s="1221"/>
      <c r="J152" s="1222"/>
      <c r="K152" s="1189"/>
      <c r="L152" s="1189"/>
      <c r="M152" s="367"/>
      <c r="N152" s="367"/>
      <c r="P152" s="1180"/>
      <c r="Q152" s="368"/>
      <c r="R152" s="368"/>
      <c r="S152" s="1177"/>
      <c r="T152" s="1162"/>
      <c r="U152" s="1163"/>
      <c r="V152" s="1162"/>
      <c r="W152" s="1163"/>
      <c r="X152" s="1162"/>
      <c r="Y152" s="1163"/>
      <c r="Z152" s="1162"/>
      <c r="AA152" s="1163"/>
      <c r="AB152" s="1162"/>
      <c r="AC152" s="1163"/>
      <c r="AE152" s="1180"/>
      <c r="AF152" s="368"/>
      <c r="AG152" s="368"/>
      <c r="AH152" s="1177"/>
      <c r="AI152" s="1162"/>
      <c r="AJ152" s="1163"/>
      <c r="AK152" s="1162"/>
      <c r="AL152" s="1163"/>
      <c r="AM152" s="1162"/>
      <c r="AN152" s="1163"/>
      <c r="AO152" s="1162"/>
      <c r="AP152" s="1163"/>
      <c r="AQ152" s="1162"/>
      <c r="AR152" s="1163"/>
    </row>
    <row r="153" spans="1:44" ht="15" customHeight="1" outlineLevel="1" thickBot="1">
      <c r="B153" s="1165"/>
      <c r="C153" s="1167"/>
      <c r="D153" s="1167"/>
      <c r="E153" s="1167"/>
      <c r="F153" s="1167"/>
      <c r="G153" s="540"/>
      <c r="H153" s="540"/>
      <c r="I153" s="540"/>
      <c r="J153" s="540"/>
      <c r="K153" s="1190"/>
      <c r="L153" s="1190"/>
      <c r="M153" s="370"/>
      <c r="N153" s="370"/>
      <c r="P153" s="1181"/>
      <c r="Q153" s="1183"/>
      <c r="R153" s="1184"/>
      <c r="S153" s="1178"/>
      <c r="T153" s="1162"/>
      <c r="U153" s="1163"/>
      <c r="V153" s="1162"/>
      <c r="W153" s="1163"/>
      <c r="X153" s="1162"/>
      <c r="Y153" s="1163"/>
      <c r="Z153" s="1162"/>
      <c r="AA153" s="1163"/>
      <c r="AB153" s="1162"/>
      <c r="AC153" s="1163"/>
      <c r="AE153" s="1181"/>
      <c r="AF153" s="1197"/>
      <c r="AG153" s="1184"/>
      <c r="AH153" s="1178"/>
      <c r="AI153" s="1162"/>
      <c r="AJ153" s="1163"/>
      <c r="AK153" s="1162"/>
      <c r="AL153" s="1163"/>
      <c r="AM153" s="1162"/>
      <c r="AN153" s="1163"/>
      <c r="AO153" s="1162"/>
      <c r="AP153" s="1163"/>
      <c r="AQ153" s="1162"/>
      <c r="AR153" s="1163"/>
    </row>
    <row r="154" spans="1:44" ht="16" outlineLevel="1" thickBot="1">
      <c r="B154" s="371"/>
      <c r="C154" s="372"/>
      <c r="D154" s="372"/>
      <c r="E154" s="372"/>
      <c r="F154" s="372"/>
      <c r="G154" s="372"/>
      <c r="H154" s="372"/>
      <c r="I154" s="372"/>
      <c r="J154" s="372"/>
      <c r="K154" s="372"/>
      <c r="L154" s="373"/>
      <c r="M154" s="370"/>
      <c r="N154" s="370"/>
      <c r="O154" s="74"/>
      <c r="P154" s="1182"/>
      <c r="Q154" s="1179"/>
      <c r="R154" s="1185"/>
      <c r="S154" s="1179"/>
      <c r="T154" s="374"/>
      <c r="U154" s="375"/>
      <c r="V154" s="374"/>
      <c r="W154" s="375"/>
      <c r="X154" s="374"/>
      <c r="Y154" s="375"/>
      <c r="Z154" s="374"/>
      <c r="AA154" s="375"/>
      <c r="AB154" s="374"/>
      <c r="AC154" s="375"/>
      <c r="AE154" s="1182"/>
      <c r="AF154" s="1198"/>
      <c r="AG154" s="1185"/>
      <c r="AH154" s="1179"/>
      <c r="AI154" s="374"/>
      <c r="AJ154" s="375"/>
      <c r="AK154" s="374"/>
      <c r="AL154" s="375"/>
      <c r="AM154" s="374"/>
      <c r="AN154" s="375"/>
      <c r="AO154" s="374"/>
      <c r="AP154" s="375"/>
      <c r="AQ154" s="374"/>
      <c r="AR154" s="375"/>
    </row>
    <row r="155" spans="1:44" ht="14.5" customHeight="1" outlineLevel="1">
      <c r="B155" s="541"/>
      <c r="C155" s="542"/>
      <c r="D155" s="542"/>
      <c r="E155" s="543"/>
      <c r="F155" s="542"/>
      <c r="G155" s="542"/>
      <c r="H155" s="542"/>
      <c r="I155" s="542"/>
      <c r="J155" s="542"/>
      <c r="K155" s="372"/>
      <c r="L155" s="373"/>
      <c r="M155" s="370"/>
      <c r="N155" s="370"/>
      <c r="P155" s="1148"/>
      <c r="Q155" s="1154"/>
      <c r="R155" s="381"/>
      <c r="S155" s="382"/>
      <c r="T155" s="1137"/>
      <c r="U155" s="1151"/>
      <c r="V155" s="1137"/>
      <c r="W155" s="1151"/>
      <c r="X155" s="1137"/>
      <c r="Y155" s="1151"/>
      <c r="Z155" s="1137"/>
      <c r="AA155" s="1151"/>
      <c r="AB155" s="1137"/>
      <c r="AC155" s="1151"/>
      <c r="AE155" s="1148"/>
      <c r="AF155" s="1154"/>
      <c r="AG155" s="381"/>
      <c r="AH155" s="382"/>
      <c r="AI155" s="1137"/>
      <c r="AJ155" s="1151"/>
      <c r="AK155" s="1137"/>
      <c r="AL155" s="1151"/>
      <c r="AM155" s="1137"/>
      <c r="AN155" s="1151"/>
      <c r="AO155" s="1137"/>
      <c r="AP155" s="1151"/>
      <c r="AQ155" s="1137"/>
      <c r="AR155" s="1151"/>
    </row>
    <row r="156" spans="1:44" outlineLevel="1">
      <c r="B156" s="383"/>
      <c r="C156" s="384"/>
      <c r="D156" s="384"/>
      <c r="E156" s="384"/>
      <c r="F156" s="384"/>
      <c r="G156" s="505"/>
      <c r="H156" s="505"/>
      <c r="I156" s="505"/>
      <c r="J156" s="505"/>
      <c r="K156" s="372"/>
      <c r="L156" s="373"/>
      <c r="M156" s="370"/>
      <c r="N156" s="370"/>
      <c r="O156" s="71"/>
      <c r="P156" s="1195"/>
      <c r="Q156" s="1155"/>
      <c r="R156" s="388"/>
      <c r="S156" s="389"/>
      <c r="T156" s="1140"/>
      <c r="U156" s="1152"/>
      <c r="V156" s="1140"/>
      <c r="W156" s="1152"/>
      <c r="X156" s="1140"/>
      <c r="Y156" s="1152"/>
      <c r="Z156" s="1140"/>
      <c r="AA156" s="1152"/>
      <c r="AB156" s="1140"/>
      <c r="AC156" s="1152"/>
      <c r="AE156" s="1195"/>
      <c r="AF156" s="1155"/>
      <c r="AG156" s="388"/>
      <c r="AH156" s="389"/>
      <c r="AI156" s="1140"/>
      <c r="AJ156" s="1152"/>
      <c r="AK156" s="1140"/>
      <c r="AL156" s="1152"/>
      <c r="AM156" s="1140"/>
      <c r="AN156" s="1152"/>
      <c r="AO156" s="1140"/>
      <c r="AP156" s="1152"/>
      <c r="AQ156" s="1140"/>
      <c r="AR156" s="1152"/>
    </row>
    <row r="157" spans="1:44" ht="16" outlineLevel="1" thickBot="1">
      <c r="B157" s="541"/>
      <c r="C157" s="544"/>
      <c r="D157" s="545"/>
      <c r="E157" s="545"/>
      <c r="F157" s="546"/>
      <c r="G157" s="545"/>
      <c r="H157" s="545"/>
      <c r="I157" s="545"/>
      <c r="J157" s="545"/>
      <c r="K157" s="547"/>
      <c r="L157" s="548"/>
      <c r="M157" s="370"/>
      <c r="N157" s="370"/>
      <c r="O157" s="71"/>
      <c r="P157" s="1195"/>
      <c r="Q157" s="1156"/>
      <c r="R157" s="393"/>
      <c r="S157" s="394"/>
      <c r="T157" s="1141"/>
      <c r="U157" s="1153"/>
      <c r="V157" s="1141"/>
      <c r="W157" s="1153"/>
      <c r="X157" s="1141"/>
      <c r="Y157" s="1153"/>
      <c r="Z157" s="1141"/>
      <c r="AA157" s="1153"/>
      <c r="AB157" s="1141"/>
      <c r="AC157" s="1153"/>
      <c r="AE157" s="1195"/>
      <c r="AF157" s="1156"/>
      <c r="AG157" s="393"/>
      <c r="AH157" s="394"/>
      <c r="AI157" s="1141"/>
      <c r="AJ157" s="1153"/>
      <c r="AK157" s="1141"/>
      <c r="AL157" s="1153"/>
      <c r="AM157" s="1141"/>
      <c r="AN157" s="1153"/>
      <c r="AO157" s="1141"/>
      <c r="AP157" s="1153"/>
      <c r="AQ157" s="1141"/>
      <c r="AR157" s="1153"/>
    </row>
    <row r="158" spans="1:44" ht="14.5" customHeight="1" outlineLevel="1">
      <c r="B158" s="541"/>
      <c r="C158" s="544"/>
      <c r="D158" s="544"/>
      <c r="E158" s="544"/>
      <c r="F158" s="544"/>
      <c r="G158" s="544"/>
      <c r="H158" s="544"/>
      <c r="I158" s="544"/>
      <c r="J158" s="544"/>
      <c r="K158" s="547"/>
      <c r="L158" s="548"/>
      <c r="M158" s="370"/>
      <c r="N158" s="370"/>
      <c r="O158" s="71"/>
      <c r="P158" s="1195"/>
      <c r="Q158" s="1154"/>
      <c r="R158" s="395"/>
      <c r="S158" s="396"/>
      <c r="T158" s="1137"/>
      <c r="U158" s="1137"/>
      <c r="V158" s="1137"/>
      <c r="W158" s="1137"/>
      <c r="X158" s="1137"/>
      <c r="Y158" s="1137"/>
      <c r="Z158" s="1137"/>
      <c r="AA158" s="1137"/>
      <c r="AB158" s="1137"/>
      <c r="AC158" s="1137"/>
      <c r="AE158" s="1195"/>
      <c r="AF158" s="1154"/>
      <c r="AG158" s="395"/>
      <c r="AH158" s="396"/>
      <c r="AI158" s="1137"/>
      <c r="AJ158" s="1137"/>
      <c r="AK158" s="1137"/>
      <c r="AL158" s="1137"/>
      <c r="AM158" s="1137"/>
      <c r="AN158" s="1137"/>
      <c r="AO158" s="1137"/>
      <c r="AP158" s="1137"/>
      <c r="AQ158" s="1137"/>
      <c r="AR158" s="1137"/>
    </row>
    <row r="159" spans="1:44" outlineLevel="1">
      <c r="B159" s="541"/>
      <c r="C159" s="544"/>
      <c r="D159" s="544"/>
      <c r="E159" s="544"/>
      <c r="F159" s="544"/>
      <c r="G159" s="544"/>
      <c r="H159" s="544"/>
      <c r="I159" s="544"/>
      <c r="J159" s="544"/>
      <c r="K159" s="547"/>
      <c r="L159" s="548"/>
      <c r="M159" s="367"/>
      <c r="N159" s="367"/>
      <c r="O159" s="71"/>
      <c r="P159" s="1195"/>
      <c r="Q159" s="1155"/>
      <c r="R159" s="395"/>
      <c r="S159" s="396"/>
      <c r="T159" s="1138"/>
      <c r="U159" s="1138"/>
      <c r="V159" s="1138"/>
      <c r="W159" s="1138"/>
      <c r="X159" s="1138"/>
      <c r="Y159" s="1138"/>
      <c r="Z159" s="1138"/>
      <c r="AA159" s="1138"/>
      <c r="AB159" s="1138"/>
      <c r="AC159" s="1138"/>
      <c r="AE159" s="1195"/>
      <c r="AF159" s="1155"/>
      <c r="AG159" s="395"/>
      <c r="AH159" s="396"/>
      <c r="AI159" s="1138"/>
      <c r="AJ159" s="1138"/>
      <c r="AK159" s="1138"/>
      <c r="AL159" s="1138"/>
      <c r="AM159" s="1138"/>
      <c r="AN159" s="1138"/>
      <c r="AO159" s="1138"/>
      <c r="AP159" s="1138"/>
      <c r="AQ159" s="1138"/>
      <c r="AR159" s="1138"/>
    </row>
    <row r="160" spans="1:44" outlineLevel="1">
      <c r="B160" s="383"/>
      <c r="C160" s="397"/>
      <c r="D160" s="397"/>
      <c r="E160" s="397"/>
      <c r="F160" s="399"/>
      <c r="G160" s="399"/>
      <c r="H160" s="399"/>
      <c r="I160" s="399"/>
      <c r="J160" s="399"/>
      <c r="K160" s="372"/>
      <c r="L160" s="373"/>
      <c r="M160" s="363"/>
      <c r="N160" s="363"/>
      <c r="P160" s="1195"/>
      <c r="Q160" s="1155"/>
      <c r="R160" s="395"/>
      <c r="S160" s="396"/>
      <c r="T160" s="1138"/>
      <c r="U160" s="1138"/>
      <c r="V160" s="1138"/>
      <c r="W160" s="1138"/>
      <c r="X160" s="1138"/>
      <c r="Y160" s="1138"/>
      <c r="Z160" s="1138"/>
      <c r="AA160" s="1138"/>
      <c r="AB160" s="1138"/>
      <c r="AC160" s="1138"/>
      <c r="AE160" s="1195"/>
      <c r="AF160" s="1155"/>
      <c r="AG160" s="395"/>
      <c r="AH160" s="396"/>
      <c r="AI160" s="1138"/>
      <c r="AJ160" s="1138"/>
      <c r="AK160" s="1138"/>
      <c r="AL160" s="1138"/>
      <c r="AM160" s="1138"/>
      <c r="AN160" s="1138"/>
      <c r="AO160" s="1138"/>
      <c r="AP160" s="1138"/>
      <c r="AQ160" s="1138"/>
      <c r="AR160" s="1138"/>
    </row>
    <row r="161" spans="1:44" ht="16" outlineLevel="1" thickBot="1">
      <c r="B161" s="541"/>
      <c r="C161" s="544"/>
      <c r="D161" s="544"/>
      <c r="E161" s="544"/>
      <c r="F161" s="544"/>
      <c r="G161" s="544"/>
      <c r="H161" s="544"/>
      <c r="I161" s="544"/>
      <c r="J161" s="544"/>
      <c r="K161" s="372"/>
      <c r="L161" s="400"/>
      <c r="M161" s="363"/>
      <c r="N161" s="363"/>
      <c r="P161" s="1195"/>
      <c r="Q161" s="1155"/>
      <c r="R161" s="395"/>
      <c r="S161" s="396"/>
      <c r="T161" s="1138"/>
      <c r="U161" s="1138"/>
      <c r="V161" s="1138"/>
      <c r="W161" s="1138"/>
      <c r="X161" s="1138"/>
      <c r="Y161" s="1138"/>
      <c r="Z161" s="1138"/>
      <c r="AA161" s="1138"/>
      <c r="AB161" s="1138"/>
      <c r="AC161" s="1138"/>
      <c r="AE161" s="1195"/>
      <c r="AF161" s="1155"/>
      <c r="AG161" s="395"/>
      <c r="AH161" s="396"/>
      <c r="AI161" s="1138"/>
      <c r="AJ161" s="1138"/>
      <c r="AK161" s="1138"/>
      <c r="AL161" s="1138"/>
      <c r="AM161" s="1138"/>
      <c r="AN161" s="1138"/>
      <c r="AO161" s="1138"/>
      <c r="AP161" s="1138"/>
      <c r="AQ161" s="1138"/>
      <c r="AR161" s="1138"/>
    </row>
    <row r="162" spans="1:44" ht="16" outlineLevel="1" thickBot="1">
      <c r="B162" s="401"/>
      <c r="C162" s="402"/>
      <c r="D162" s="403"/>
      <c r="E162" s="404"/>
      <c r="F162" s="405"/>
      <c r="G162" s="406"/>
      <c r="H162" s="406"/>
      <c r="I162" s="406"/>
      <c r="J162" s="406"/>
      <c r="K162" s="407"/>
      <c r="L162" s="408"/>
      <c r="M162" s="363"/>
      <c r="N162" s="363"/>
      <c r="P162" s="1195"/>
      <c r="Q162" s="1155"/>
      <c r="R162" s="409"/>
      <c r="S162" s="410"/>
      <c r="T162" s="1139"/>
      <c r="U162" s="1139"/>
      <c r="V162" s="1139"/>
      <c r="W162" s="1139"/>
      <c r="X162" s="1139"/>
      <c r="Y162" s="1139"/>
      <c r="Z162" s="1139"/>
      <c r="AA162" s="1139"/>
      <c r="AB162" s="1139"/>
      <c r="AC162" s="1139"/>
      <c r="AE162" s="1195"/>
      <c r="AF162" s="1155"/>
      <c r="AG162" s="409"/>
      <c r="AH162" s="410"/>
      <c r="AI162" s="1139"/>
      <c r="AJ162" s="1139"/>
      <c r="AK162" s="1139"/>
      <c r="AL162" s="1139"/>
      <c r="AM162" s="1139"/>
      <c r="AN162" s="1139"/>
      <c r="AO162" s="1139"/>
      <c r="AP162" s="1139"/>
      <c r="AQ162" s="1139"/>
      <c r="AR162" s="1139"/>
    </row>
    <row r="163" spans="1:44" ht="16" outlineLevel="1" thickBot="1">
      <c r="B163" s="541"/>
      <c r="C163" s="544"/>
      <c r="D163" s="544"/>
      <c r="E163" s="544"/>
      <c r="F163" s="544"/>
      <c r="G163" s="545"/>
      <c r="H163" s="545"/>
      <c r="I163" s="545"/>
      <c r="J163" s="545"/>
      <c r="K163" s="547"/>
      <c r="L163" s="548"/>
      <c r="M163" s="363"/>
      <c r="N163" s="363"/>
      <c r="P163" s="1196"/>
      <c r="Q163" s="411"/>
      <c r="R163" s="412"/>
      <c r="S163" s="413"/>
      <c r="T163" s="414"/>
      <c r="U163" s="415"/>
      <c r="V163" s="416"/>
      <c r="W163" s="415"/>
      <c r="X163" s="416"/>
      <c r="Y163" s="415"/>
      <c r="Z163" s="416"/>
      <c r="AA163" s="415"/>
      <c r="AB163" s="416"/>
      <c r="AC163" s="417"/>
      <c r="AE163" s="1196"/>
      <c r="AF163" s="411"/>
      <c r="AG163" s="412"/>
      <c r="AH163" s="413"/>
      <c r="AI163" s="414"/>
      <c r="AJ163" s="415"/>
      <c r="AK163" s="416"/>
      <c r="AL163" s="415"/>
      <c r="AM163" s="416"/>
      <c r="AN163" s="415"/>
      <c r="AO163" s="416"/>
      <c r="AP163" s="415"/>
      <c r="AQ163" s="416"/>
      <c r="AR163" s="417"/>
    </row>
    <row r="164" spans="1:44" outlineLevel="1">
      <c r="B164" s="541"/>
      <c r="C164" s="544"/>
      <c r="D164" s="544"/>
      <c r="E164" s="544"/>
      <c r="F164" s="544"/>
      <c r="G164" s="549"/>
      <c r="H164" s="549"/>
      <c r="I164" s="549"/>
      <c r="J164" s="549"/>
      <c r="K164" s="550"/>
      <c r="L164" s="548"/>
      <c r="M164" s="363"/>
      <c r="N164" s="363"/>
    </row>
    <row r="165" spans="1:44" outlineLevel="1">
      <c r="B165" s="541"/>
      <c r="C165" s="544"/>
      <c r="D165" s="544"/>
      <c r="E165" s="544"/>
      <c r="F165" s="544"/>
      <c r="G165" s="549"/>
      <c r="H165" s="549"/>
      <c r="I165" s="549"/>
      <c r="J165" s="549"/>
      <c r="K165" s="550"/>
      <c r="L165" s="548"/>
      <c r="M165" s="420"/>
      <c r="N165" s="363"/>
    </row>
    <row r="166" spans="1:44" outlineLevel="1">
      <c r="B166" s="421"/>
      <c r="C166" s="399"/>
      <c r="D166" s="399"/>
      <c r="E166" s="399"/>
      <c r="F166" s="399"/>
      <c r="G166" s="422"/>
      <c r="H166" s="422"/>
      <c r="I166" s="422"/>
      <c r="J166" s="422"/>
      <c r="K166" s="423"/>
      <c r="L166" s="424"/>
      <c r="M166" s="420"/>
      <c r="N166" s="420"/>
    </row>
    <row r="167" spans="1:44" outlineLevel="1">
      <c r="B167" s="383"/>
      <c r="C167" s="397"/>
      <c r="D167" s="397"/>
      <c r="E167" s="397"/>
      <c r="F167" s="397"/>
      <c r="G167" s="422"/>
      <c r="H167" s="425"/>
      <c r="I167" s="425"/>
      <c r="J167" s="425"/>
      <c r="K167" s="426"/>
      <c r="L167" s="427"/>
      <c r="M167" s="428"/>
      <c r="N167" s="428"/>
    </row>
    <row r="168" spans="1:44" outlineLevel="1">
      <c r="B168" s="383"/>
      <c r="C168" s="397"/>
      <c r="D168" s="397"/>
      <c r="E168" s="397"/>
      <c r="F168" s="397"/>
      <c r="G168" s="425"/>
      <c r="H168" s="425"/>
      <c r="I168" s="425"/>
      <c r="J168" s="425"/>
      <c r="K168" s="423"/>
      <c r="L168" s="427"/>
      <c r="M168" s="428"/>
      <c r="N168" s="428"/>
    </row>
    <row r="169" spans="1:44" outlineLevel="1">
      <c r="B169" s="383"/>
      <c r="C169" s="397"/>
      <c r="D169" s="397"/>
      <c r="E169" s="397"/>
      <c r="F169" s="397"/>
      <c r="G169" s="425"/>
      <c r="H169" s="425"/>
      <c r="I169" s="425"/>
      <c r="J169" s="425"/>
      <c r="K169" s="423"/>
      <c r="L169" s="427"/>
      <c r="M169" s="428"/>
      <c r="N169" s="428"/>
    </row>
    <row r="170" spans="1:44" outlineLevel="1">
      <c r="B170" s="383"/>
      <c r="C170" s="397"/>
      <c r="D170" s="397"/>
      <c r="E170" s="397"/>
      <c r="F170" s="397"/>
      <c r="G170" s="425"/>
      <c r="H170" s="425"/>
      <c r="I170" s="425"/>
      <c r="J170" s="425"/>
      <c r="K170" s="423"/>
      <c r="L170" s="427"/>
      <c r="M170" s="428"/>
      <c r="N170" s="428"/>
    </row>
    <row r="171" spans="1:44" ht="16" outlineLevel="1" thickBot="1">
      <c r="B171" s="429"/>
      <c r="C171" s="430"/>
      <c r="D171" s="430"/>
      <c r="E171" s="430"/>
      <c r="F171" s="430"/>
      <c r="G171" s="425"/>
      <c r="H171" s="425"/>
      <c r="I171" s="425"/>
      <c r="J171" s="425"/>
      <c r="K171" s="423"/>
      <c r="L171" s="427"/>
      <c r="M171" s="428"/>
      <c r="N171" s="428"/>
    </row>
    <row r="172" spans="1:44" ht="16" outlineLevel="1" thickBot="1">
      <c r="B172" s="431"/>
      <c r="C172" s="432"/>
      <c r="D172" s="403"/>
      <c r="E172" s="403"/>
      <c r="F172" s="433"/>
      <c r="G172" s="434"/>
      <c r="H172" s="406"/>
      <c r="I172" s="406"/>
      <c r="J172" s="406"/>
      <c r="K172" s="407"/>
      <c r="L172" s="408"/>
      <c r="M172" s="428"/>
      <c r="N172" s="428"/>
    </row>
    <row r="173" spans="1:44" outlineLevel="1">
      <c r="A173" s="435"/>
      <c r="B173" s="436"/>
      <c r="C173" s="551"/>
      <c r="D173" s="438"/>
      <c r="E173" s="438"/>
      <c r="F173" s="439"/>
      <c r="G173" s="425"/>
      <c r="H173" s="425"/>
      <c r="I173" s="425"/>
      <c r="J173" s="425"/>
      <c r="K173" s="426"/>
      <c r="L173" s="440"/>
      <c r="M173" s="420"/>
      <c r="N173" s="420"/>
    </row>
    <row r="174" spans="1:44" outlineLevel="1">
      <c r="B174" s="441"/>
      <c r="C174" s="442"/>
      <c r="D174" s="443"/>
      <c r="E174" s="443"/>
      <c r="F174" s="443"/>
      <c r="G174" s="425"/>
      <c r="H174" s="425"/>
      <c r="I174" s="425"/>
      <c r="J174" s="425"/>
      <c r="K174" s="444"/>
      <c r="L174" s="373"/>
      <c r="M174" s="71"/>
      <c r="N174" s="420"/>
    </row>
    <row r="175" spans="1:44" outlineLevel="1">
      <c r="B175" s="441"/>
      <c r="C175" s="442"/>
      <c r="D175" s="442"/>
      <c r="E175" s="442"/>
      <c r="F175" s="442"/>
      <c r="G175" s="425"/>
      <c r="H175" s="425"/>
      <c r="I175" s="425"/>
      <c r="J175" s="425"/>
      <c r="K175" s="444"/>
      <c r="L175" s="373"/>
      <c r="M175" s="420"/>
      <c r="N175" s="420"/>
    </row>
    <row r="176" spans="1:44" outlineLevel="1">
      <c r="B176" s="383"/>
      <c r="C176" s="445"/>
      <c r="D176" s="446"/>
      <c r="E176" s="446"/>
      <c r="F176" s="447"/>
      <c r="G176" s="425"/>
      <c r="H176" s="425"/>
      <c r="I176" s="425"/>
      <c r="J176" s="425"/>
      <c r="K176" s="448"/>
      <c r="L176" s="373"/>
      <c r="M176" s="420"/>
      <c r="N176" s="420"/>
    </row>
    <row r="177" spans="2:30" outlineLevel="1">
      <c r="B177" s="383"/>
      <c r="C177" s="449"/>
      <c r="D177" s="449"/>
      <c r="E177" s="449"/>
      <c r="F177" s="449"/>
      <c r="G177" s="425"/>
      <c r="H177" s="425"/>
      <c r="I177" s="425"/>
      <c r="J177" s="425"/>
      <c r="K177" s="448"/>
      <c r="L177" s="373"/>
      <c r="M177" s="450"/>
      <c r="N177" s="361"/>
      <c r="P177" s="1142"/>
      <c r="Q177" s="1143"/>
      <c r="R177" s="1143"/>
      <c r="S177" s="1143"/>
      <c r="T177" s="1143"/>
      <c r="U177" s="1144"/>
    </row>
    <row r="178" spans="2:30" ht="16" outlineLevel="1" thickBot="1">
      <c r="B178" s="541"/>
      <c r="C178" s="552"/>
      <c r="D178" s="552"/>
      <c r="E178" s="552"/>
      <c r="F178" s="552"/>
      <c r="G178" s="553"/>
      <c r="H178" s="553"/>
      <c r="I178" s="553"/>
      <c r="J178" s="553"/>
      <c r="K178" s="547"/>
      <c r="L178" s="548"/>
      <c r="M178" s="450"/>
      <c r="N178" s="361"/>
      <c r="P178" s="1134"/>
      <c r="Q178" s="1135"/>
      <c r="R178" s="1135"/>
      <c r="S178" s="1135"/>
      <c r="T178" s="1135"/>
      <c r="U178" s="1136"/>
    </row>
    <row r="179" spans="2:30" outlineLevel="1">
      <c r="B179" s="541"/>
      <c r="C179" s="554"/>
      <c r="D179" s="554"/>
      <c r="E179" s="554"/>
      <c r="F179" s="554"/>
      <c r="G179" s="553"/>
      <c r="H179" s="553"/>
      <c r="I179" s="553"/>
      <c r="J179" s="553"/>
      <c r="K179" s="555"/>
      <c r="L179" s="548"/>
      <c r="M179" s="363"/>
      <c r="N179" s="363"/>
      <c r="P179" s="53"/>
    </row>
    <row r="180" spans="2:30" outlineLevel="1">
      <c r="B180" s="441"/>
      <c r="C180" s="456"/>
      <c r="D180" s="456"/>
      <c r="E180" s="456"/>
      <c r="F180" s="456"/>
      <c r="G180" s="425"/>
      <c r="H180" s="425"/>
      <c r="I180" s="425"/>
      <c r="J180" s="425"/>
      <c r="K180" s="444"/>
      <c r="L180" s="424"/>
      <c r="M180" s="367"/>
      <c r="N180" s="367"/>
      <c r="P180" s="46"/>
      <c r="Q180" s="46"/>
      <c r="R180" s="47"/>
      <c r="S180" s="47"/>
      <c r="T180" s="47"/>
      <c r="U180" s="48"/>
      <c r="V180" s="49"/>
      <c r="W180" s="49"/>
      <c r="X180" s="49"/>
      <c r="Y180" s="49"/>
      <c r="Z180" s="49"/>
      <c r="AA180" s="49"/>
      <c r="AB180" s="49"/>
      <c r="AC180" s="49"/>
      <c r="AD180" s="49"/>
    </row>
    <row r="181" spans="2:30" ht="16" outlineLevel="1" thickBot="1">
      <c r="B181" s="441"/>
      <c r="C181" s="442"/>
      <c r="D181" s="457"/>
      <c r="E181" s="457"/>
      <c r="F181" s="458"/>
      <c r="G181" s="425"/>
      <c r="H181" s="425"/>
      <c r="I181" s="425"/>
      <c r="J181" s="425"/>
      <c r="K181" s="448"/>
      <c r="L181" s="424"/>
      <c r="M181" s="363"/>
      <c r="N181" s="363"/>
      <c r="P181" s="50"/>
      <c r="Q181" s="50"/>
      <c r="R181" s="51"/>
      <c r="S181" s="51"/>
      <c r="T181" s="51"/>
      <c r="U181" s="51"/>
      <c r="V181" s="50"/>
      <c r="W181" s="50"/>
      <c r="X181" s="50"/>
      <c r="Y181" s="50"/>
      <c r="Z181" s="50"/>
      <c r="AA181" s="50"/>
      <c r="AB181" s="50"/>
      <c r="AC181" s="50"/>
      <c r="AD181" s="50"/>
    </row>
    <row r="182" spans="2:30" ht="16" outlineLevel="1" thickBot="1">
      <c r="B182" s="401"/>
      <c r="C182" s="402"/>
      <c r="D182" s="403"/>
      <c r="E182" s="404"/>
      <c r="F182" s="405"/>
      <c r="G182" s="406"/>
      <c r="H182" s="406"/>
      <c r="I182" s="406"/>
      <c r="J182" s="406"/>
      <c r="K182" s="459"/>
      <c r="L182" s="460"/>
      <c r="M182" s="363"/>
      <c r="N182" s="363"/>
      <c r="O182" s="461"/>
      <c r="P182" s="56"/>
      <c r="Q182" s="56"/>
      <c r="R182" s="57"/>
      <c r="S182" s="57"/>
      <c r="T182" s="57"/>
      <c r="U182" s="56"/>
      <c r="V182" s="56"/>
      <c r="W182" s="56"/>
      <c r="X182" s="56"/>
      <c r="Y182" s="56"/>
      <c r="Z182" s="56"/>
      <c r="AA182" s="56"/>
      <c r="AB182" s="56"/>
      <c r="AC182" s="56"/>
      <c r="AD182" s="56"/>
    </row>
    <row r="183" spans="2:30" outlineLevel="1">
      <c r="B183" s="556"/>
      <c r="C183" s="557"/>
      <c r="D183" s="557"/>
      <c r="E183" s="557"/>
      <c r="F183" s="557"/>
      <c r="G183" s="558"/>
      <c r="H183" s="558"/>
      <c r="I183" s="558"/>
      <c r="J183" s="558"/>
      <c r="K183" s="558"/>
      <c r="L183" s="559"/>
      <c r="M183" s="363"/>
      <c r="N183" s="363"/>
      <c r="O183" s="465"/>
      <c r="P183" s="466"/>
      <c r="Q183" s="58"/>
      <c r="R183" s="466"/>
      <c r="S183" s="58"/>
      <c r="T183" s="466"/>
      <c r="U183" s="467"/>
      <c r="V183" s="467"/>
      <c r="W183" s="467"/>
      <c r="X183" s="58"/>
      <c r="Y183" s="58"/>
      <c r="Z183" s="466"/>
      <c r="AA183" s="468"/>
      <c r="AB183" s="468"/>
      <c r="AC183" s="468"/>
      <c r="AD183" s="468"/>
    </row>
    <row r="184" spans="2:30" outlineLevel="1">
      <c r="B184" s="541"/>
      <c r="C184" s="560"/>
      <c r="D184" s="561"/>
      <c r="E184" s="561"/>
      <c r="F184" s="562"/>
      <c r="G184" s="562"/>
      <c r="H184" s="562"/>
      <c r="I184" s="562"/>
      <c r="J184" s="562"/>
      <c r="K184" s="563"/>
      <c r="L184" s="559"/>
      <c r="M184" s="363"/>
      <c r="N184" s="363"/>
      <c r="O184" s="465"/>
      <c r="P184" s="466"/>
      <c r="Q184" s="58"/>
      <c r="R184" s="466"/>
      <c r="S184" s="58"/>
      <c r="T184" s="466"/>
      <c r="U184" s="467"/>
      <c r="V184" s="467"/>
      <c r="W184" s="467"/>
      <c r="X184" s="58"/>
      <c r="Y184" s="58"/>
      <c r="Z184" s="466"/>
      <c r="AA184" s="468"/>
      <c r="AB184" s="468"/>
      <c r="AC184" s="468"/>
      <c r="AD184" s="468"/>
    </row>
    <row r="185" spans="2:30" outlineLevel="1">
      <c r="B185" s="541"/>
      <c r="C185" s="560"/>
      <c r="D185" s="561"/>
      <c r="E185" s="561"/>
      <c r="F185" s="562"/>
      <c r="G185" s="562"/>
      <c r="H185" s="562"/>
      <c r="I185" s="562"/>
      <c r="J185" s="562"/>
      <c r="K185" s="563"/>
      <c r="L185" s="559"/>
      <c r="M185" s="363"/>
      <c r="N185" s="363"/>
      <c r="O185" s="465"/>
      <c r="P185" s="466"/>
      <c r="Q185" s="58"/>
      <c r="R185" s="466"/>
      <c r="S185" s="58"/>
      <c r="T185" s="466"/>
      <c r="U185" s="467"/>
      <c r="V185" s="467"/>
      <c r="W185" s="467"/>
      <c r="X185" s="58"/>
      <c r="Y185" s="58"/>
      <c r="Z185" s="466"/>
      <c r="AA185" s="468"/>
      <c r="AB185" s="468"/>
      <c r="AC185" s="468"/>
      <c r="AD185" s="468"/>
    </row>
    <row r="186" spans="2:30" outlineLevel="1">
      <c r="B186" s="541"/>
      <c r="C186" s="564"/>
      <c r="D186" s="564"/>
      <c r="E186" s="564"/>
      <c r="F186" s="564"/>
      <c r="G186" s="565"/>
      <c r="H186" s="565"/>
      <c r="I186" s="565"/>
      <c r="J186" s="565"/>
      <c r="K186" s="565"/>
      <c r="L186" s="548"/>
      <c r="M186" s="363"/>
      <c r="N186" s="363"/>
      <c r="O186" s="465"/>
      <c r="P186" s="466"/>
      <c r="Q186" s="58"/>
      <c r="R186" s="466"/>
      <c r="S186" s="58"/>
      <c r="T186" s="466"/>
      <c r="U186" s="467"/>
      <c r="V186" s="467"/>
      <c r="W186" s="467"/>
      <c r="X186" s="58"/>
      <c r="Y186" s="58"/>
      <c r="Z186" s="466"/>
      <c r="AA186" s="468"/>
      <c r="AB186" s="468"/>
      <c r="AC186" s="468"/>
      <c r="AD186" s="468"/>
    </row>
    <row r="187" spans="2:30" outlineLevel="1">
      <c r="B187" s="566"/>
      <c r="C187" s="560"/>
      <c r="D187" s="561"/>
      <c r="E187" s="561"/>
      <c r="F187" s="562"/>
      <c r="G187" s="562"/>
      <c r="H187" s="562"/>
      <c r="I187" s="562"/>
      <c r="J187" s="562"/>
      <c r="K187" s="563"/>
      <c r="L187" s="559"/>
      <c r="M187" s="367"/>
      <c r="N187" s="367"/>
    </row>
    <row r="188" spans="2:30" outlineLevel="1">
      <c r="B188" s="566"/>
      <c r="C188" s="560"/>
      <c r="D188" s="561"/>
      <c r="E188" s="561"/>
      <c r="F188" s="562"/>
      <c r="G188" s="562"/>
      <c r="H188" s="562"/>
      <c r="I188" s="562"/>
      <c r="J188" s="562"/>
      <c r="K188" s="563"/>
      <c r="L188" s="559"/>
      <c r="M188" s="363"/>
      <c r="N188" s="363"/>
    </row>
    <row r="189" spans="2:30" ht="16" outlineLevel="1" thickBot="1">
      <c r="B189" s="567"/>
      <c r="C189" s="568"/>
      <c r="D189" s="568"/>
      <c r="E189" s="568"/>
      <c r="F189" s="568"/>
      <c r="G189" s="568"/>
      <c r="H189" s="568"/>
      <c r="I189" s="568"/>
      <c r="J189" s="568"/>
      <c r="K189" s="568"/>
      <c r="L189" s="569"/>
      <c r="M189" s="363"/>
      <c r="N189" s="363"/>
    </row>
    <row r="190" spans="2:30" outlineLevel="1">
      <c r="B190" s="461"/>
      <c r="C190" s="483"/>
      <c r="D190" s="483"/>
      <c r="E190" s="483"/>
      <c r="F190" s="483"/>
      <c r="G190" s="483"/>
      <c r="H190" s="484"/>
      <c r="I190" s="420"/>
      <c r="J190" s="420"/>
      <c r="K190" s="484"/>
      <c r="L190" s="484"/>
      <c r="N190" s="420"/>
    </row>
    <row r="191" spans="2:30" outlineLevel="1">
      <c r="B191" s="485"/>
      <c r="C191" s="486"/>
      <c r="D191" s="486"/>
      <c r="E191" s="486"/>
      <c r="F191" s="486"/>
      <c r="G191" s="486"/>
      <c r="H191" s="484"/>
      <c r="I191" s="71"/>
      <c r="J191" s="420"/>
      <c r="K191" s="484"/>
      <c r="L191" s="484"/>
      <c r="N191" s="420"/>
    </row>
    <row r="192" spans="2:30" outlineLevel="1">
      <c r="B192" s="461"/>
      <c r="C192" s="359"/>
      <c r="D192" s="359"/>
      <c r="E192" s="359"/>
      <c r="F192" s="359"/>
      <c r="G192" s="359"/>
      <c r="I192" s="420"/>
      <c r="J192" s="420"/>
      <c r="N192" s="420"/>
    </row>
    <row r="193" spans="1:16" outlineLevel="1">
      <c r="B193" s="461"/>
      <c r="C193" s="487"/>
      <c r="D193" s="487"/>
      <c r="E193" s="487"/>
      <c r="F193" s="487"/>
      <c r="G193" s="359"/>
      <c r="M193" s="420"/>
      <c r="N193" s="420"/>
    </row>
    <row r="194" spans="1:16" outlineLevel="1"/>
    <row r="195" spans="1:16" outlineLevel="1">
      <c r="A195" s="488"/>
      <c r="B195" s="489"/>
      <c r="D195" s="490"/>
      <c r="E195" s="490"/>
      <c r="F195" s="490"/>
      <c r="G195" s="358"/>
      <c r="H195" s="358"/>
      <c r="I195" s="358"/>
      <c r="J195" s="358"/>
      <c r="K195" s="358"/>
      <c r="L195" s="358"/>
      <c r="N195" s="570"/>
      <c r="O195" s="489"/>
      <c r="P195" s="490"/>
    </row>
    <row r="196" spans="1:16" outlineLevel="1">
      <c r="A196" s="491"/>
      <c r="B196" s="492"/>
      <c r="D196" s="490"/>
      <c r="E196" s="490"/>
      <c r="F196" s="490"/>
      <c r="G196" s="358"/>
      <c r="H196" s="358"/>
      <c r="I196" s="358"/>
      <c r="J196" s="358"/>
      <c r="K196" s="358"/>
      <c r="L196" s="358"/>
      <c r="N196" s="570"/>
      <c r="O196" s="489"/>
      <c r="P196" s="490"/>
    </row>
    <row r="197" spans="1:16" outlineLevel="1">
      <c r="A197" s="491"/>
      <c r="B197" s="493"/>
      <c r="D197" s="490"/>
      <c r="E197" s="490"/>
      <c r="F197" s="490"/>
      <c r="G197" s="358"/>
      <c r="H197" s="358"/>
      <c r="I197" s="358"/>
      <c r="J197" s="358"/>
      <c r="K197" s="358"/>
      <c r="L197" s="358"/>
      <c r="N197" s="570"/>
      <c r="O197" s="489"/>
      <c r="P197" s="490"/>
    </row>
    <row r="198" spans="1:16" outlineLevel="1">
      <c r="A198" s="491"/>
      <c r="B198" s="493"/>
      <c r="D198" s="490"/>
      <c r="E198" s="490"/>
      <c r="F198" s="490"/>
      <c r="G198" s="358"/>
      <c r="H198" s="358"/>
      <c r="I198" s="358"/>
      <c r="J198" s="358"/>
      <c r="K198" s="358"/>
      <c r="L198" s="358"/>
      <c r="N198" s="570"/>
      <c r="O198" s="489"/>
      <c r="P198" s="490"/>
    </row>
    <row r="199" spans="1:16" outlineLevel="1">
      <c r="A199" s="491"/>
      <c r="B199" s="493"/>
      <c r="D199" s="490"/>
      <c r="E199" s="490"/>
      <c r="F199" s="490"/>
      <c r="G199" s="358"/>
      <c r="H199" s="358"/>
      <c r="I199" s="358"/>
      <c r="J199" s="358"/>
      <c r="K199" s="358"/>
      <c r="L199" s="358"/>
      <c r="N199" s="570"/>
      <c r="O199" s="489"/>
      <c r="P199" s="490"/>
    </row>
    <row r="200" spans="1:16" outlineLevel="1">
      <c r="A200" s="358"/>
      <c r="B200" s="494"/>
      <c r="D200" s="490"/>
      <c r="E200" s="490"/>
      <c r="F200" s="490"/>
      <c r="G200" s="358"/>
      <c r="H200" s="358"/>
      <c r="I200" s="358"/>
      <c r="J200" s="358"/>
      <c r="K200" s="358"/>
      <c r="L200" s="358"/>
    </row>
    <row r="201" spans="1:16" outlineLevel="1">
      <c r="A201" s="358"/>
      <c r="B201" s="492"/>
      <c r="D201" s="490"/>
      <c r="E201" s="490"/>
      <c r="F201" s="490"/>
      <c r="G201" s="358"/>
      <c r="H201" s="358"/>
      <c r="I201" s="358"/>
      <c r="J201" s="358"/>
      <c r="K201" s="358"/>
      <c r="L201" s="358"/>
    </row>
    <row r="202" spans="1:16" outlineLevel="1">
      <c r="A202" s="358"/>
      <c r="B202" s="495"/>
      <c r="D202" s="490"/>
      <c r="E202" s="490"/>
      <c r="F202" s="490"/>
      <c r="G202" s="358"/>
      <c r="H202" s="358"/>
      <c r="I202" s="358"/>
      <c r="J202" s="358"/>
      <c r="K202" s="358"/>
      <c r="L202" s="358"/>
    </row>
    <row r="203" spans="1:16" outlineLevel="1">
      <c r="A203" s="358"/>
      <c r="B203" s="495"/>
      <c r="D203" s="490"/>
      <c r="E203" s="490"/>
      <c r="F203" s="490"/>
      <c r="G203" s="358"/>
      <c r="H203" s="358"/>
      <c r="I203" s="358"/>
      <c r="J203" s="358"/>
      <c r="K203" s="358"/>
      <c r="L203" s="358"/>
    </row>
    <row r="204" spans="1:16" outlineLevel="1">
      <c r="A204" s="358"/>
      <c r="B204" s="489"/>
      <c r="D204" s="490"/>
      <c r="E204" s="490"/>
      <c r="F204" s="490"/>
      <c r="G204" s="358"/>
      <c r="H204" s="358"/>
      <c r="I204" s="358"/>
      <c r="J204" s="358"/>
      <c r="K204" s="358"/>
      <c r="L204" s="358"/>
    </row>
    <row r="205" spans="1:16" outlineLevel="1">
      <c r="A205" s="358"/>
      <c r="B205" s="490"/>
      <c r="D205" s="490"/>
      <c r="E205" s="490"/>
      <c r="F205" s="490"/>
      <c r="G205" s="358"/>
      <c r="H205" s="358"/>
      <c r="I205" s="358"/>
      <c r="J205" s="358"/>
      <c r="K205" s="358"/>
      <c r="L205" s="358"/>
    </row>
    <row r="206" spans="1:16" outlineLevel="1">
      <c r="A206" s="488"/>
      <c r="B206" s="489"/>
      <c r="D206" s="490"/>
      <c r="E206" s="490"/>
      <c r="F206" s="490"/>
      <c r="G206" s="358"/>
      <c r="H206" s="358"/>
      <c r="I206" s="358"/>
      <c r="J206" s="358"/>
      <c r="K206" s="358"/>
      <c r="L206" s="358"/>
    </row>
    <row r="207" spans="1:16" outlineLevel="1">
      <c r="A207" s="496"/>
      <c r="B207" s="497"/>
      <c r="C207" s="490"/>
      <c r="D207" s="490"/>
      <c r="E207" s="490"/>
      <c r="F207" s="490"/>
      <c r="G207" s="358"/>
      <c r="H207" s="358"/>
      <c r="I207" s="358"/>
      <c r="J207" s="358"/>
      <c r="K207" s="358"/>
      <c r="L207" s="358"/>
      <c r="N207" s="570"/>
      <c r="O207" s="489"/>
      <c r="P207" s="490"/>
    </row>
    <row r="208" spans="1:16" outlineLevel="1">
      <c r="A208" s="496"/>
      <c r="B208" s="489"/>
      <c r="C208" s="490"/>
      <c r="D208" s="490"/>
      <c r="E208" s="490"/>
      <c r="F208" s="490"/>
      <c r="G208" s="358"/>
      <c r="H208" s="358"/>
      <c r="I208" s="358"/>
      <c r="J208" s="358"/>
      <c r="K208" s="358"/>
      <c r="L208" s="358"/>
      <c r="N208" s="571"/>
      <c r="O208" s="489"/>
      <c r="P208" s="490"/>
    </row>
    <row r="209" spans="1:44" outlineLevel="1">
      <c r="A209" s="496"/>
      <c r="B209" s="489"/>
      <c r="C209" s="490"/>
      <c r="D209" s="490"/>
      <c r="E209" s="490"/>
      <c r="F209" s="490"/>
      <c r="G209" s="358"/>
      <c r="H209" s="358"/>
      <c r="I209" s="358"/>
      <c r="J209" s="358"/>
      <c r="K209" s="358"/>
      <c r="L209" s="358"/>
      <c r="N209" s="572"/>
      <c r="O209" s="489"/>
      <c r="P209" s="490"/>
    </row>
    <row r="210" spans="1:44" outlineLevel="1">
      <c r="A210" s="496"/>
      <c r="B210" s="489"/>
      <c r="C210" s="490"/>
      <c r="D210" s="490"/>
      <c r="E210" s="490"/>
      <c r="F210" s="490"/>
      <c r="G210" s="358"/>
      <c r="H210" s="358"/>
      <c r="I210" s="358"/>
      <c r="J210" s="358"/>
      <c r="K210" s="358"/>
      <c r="L210" s="358"/>
      <c r="N210" s="573"/>
      <c r="O210" s="489"/>
      <c r="P210" s="490"/>
    </row>
    <row r="211" spans="1:44" outlineLevel="1">
      <c r="A211" s="496"/>
      <c r="B211" s="498"/>
      <c r="C211" s="490"/>
      <c r="D211" s="490"/>
      <c r="E211" s="490"/>
      <c r="F211" s="490"/>
      <c r="G211" s="358"/>
      <c r="H211" s="358"/>
      <c r="I211" s="358"/>
      <c r="J211" s="358"/>
      <c r="K211" s="358"/>
      <c r="L211" s="358"/>
      <c r="N211" s="573"/>
      <c r="O211" s="490"/>
      <c r="P211" s="490"/>
    </row>
    <row r="212" spans="1:44" outlineLevel="1">
      <c r="A212" s="496"/>
      <c r="B212" s="489"/>
      <c r="C212" s="490"/>
      <c r="D212" s="490"/>
      <c r="E212" s="490"/>
      <c r="F212" s="490"/>
      <c r="G212" s="358"/>
      <c r="H212" s="358"/>
      <c r="I212" s="358"/>
      <c r="J212" s="358"/>
      <c r="K212" s="358"/>
      <c r="L212" s="358"/>
      <c r="N212" s="489"/>
      <c r="O212" s="490"/>
      <c r="P212" s="490"/>
    </row>
    <row r="213" spans="1:44" outlineLevel="1">
      <c r="A213" s="496"/>
      <c r="B213" s="489"/>
      <c r="C213" s="490"/>
      <c r="D213" s="490"/>
      <c r="E213" s="490"/>
      <c r="F213" s="490"/>
      <c r="G213" s="358"/>
      <c r="H213" s="358"/>
      <c r="I213" s="358"/>
      <c r="J213" s="358"/>
      <c r="K213" s="358"/>
      <c r="L213" s="358"/>
      <c r="N213" s="490"/>
      <c r="O213" s="490"/>
      <c r="P213" s="490"/>
    </row>
    <row r="214" spans="1:44" outlineLevel="1"/>
    <row r="215" spans="1:44" outlineLevel="1"/>
    <row r="217" spans="1:44" ht="16" thickBot="1">
      <c r="A217" s="360"/>
    </row>
    <row r="218" spans="1:44" ht="20.5" customHeight="1" outlineLevel="1" thickBot="1">
      <c r="B218" s="362"/>
      <c r="C218" s="1186"/>
      <c r="D218" s="1205"/>
      <c r="E218" s="1205"/>
      <c r="F218" s="1205"/>
      <c r="G218" s="1205"/>
      <c r="H218" s="1205"/>
      <c r="I218" s="1205"/>
      <c r="J218" s="1205"/>
      <c r="K218" s="1205"/>
      <c r="L218" s="1206"/>
      <c r="M218" s="363"/>
      <c r="N218" s="363"/>
      <c r="P218" s="364"/>
      <c r="Q218" s="365"/>
      <c r="R218" s="366"/>
      <c r="S218" s="1176"/>
      <c r="T218" s="1160"/>
      <c r="U218" s="1161"/>
      <c r="V218" s="1160"/>
      <c r="W218" s="1161"/>
      <c r="X218" s="1160"/>
      <c r="Y218" s="1161"/>
      <c r="Z218" s="1160"/>
      <c r="AA218" s="1161"/>
      <c r="AB218" s="1160"/>
      <c r="AC218" s="1161"/>
      <c r="AE218" s="364"/>
      <c r="AF218" s="365"/>
      <c r="AG218" s="366"/>
      <c r="AH218" s="1176"/>
      <c r="AI218" s="1160"/>
      <c r="AJ218" s="1161"/>
      <c r="AK218" s="1160"/>
      <c r="AL218" s="1161"/>
      <c r="AM218" s="1160"/>
      <c r="AN218" s="1161"/>
      <c r="AO218" s="1160"/>
      <c r="AP218" s="1161"/>
      <c r="AQ218" s="1160"/>
      <c r="AR218" s="1161"/>
    </row>
    <row r="219" spans="1:44" ht="15" customHeight="1" outlineLevel="1" thickBot="1">
      <c r="B219" s="1164"/>
      <c r="C219" s="1166"/>
      <c r="D219" s="1166"/>
      <c r="E219" s="1166"/>
      <c r="F219" s="1166"/>
      <c r="G219" s="1168"/>
      <c r="H219" s="1169"/>
      <c r="I219" s="1168"/>
      <c r="J219" s="1169"/>
      <c r="K219" s="1189"/>
      <c r="L219" s="1189"/>
      <c r="M219" s="367"/>
      <c r="N219" s="367"/>
      <c r="P219" s="1180"/>
      <c r="Q219" s="368"/>
      <c r="R219" s="368"/>
      <c r="S219" s="1177"/>
      <c r="T219" s="1162"/>
      <c r="U219" s="1163"/>
      <c r="V219" s="1162"/>
      <c r="W219" s="1163"/>
      <c r="X219" s="1162"/>
      <c r="Y219" s="1163"/>
      <c r="Z219" s="1162"/>
      <c r="AA219" s="1163"/>
      <c r="AB219" s="1162"/>
      <c r="AC219" s="1163"/>
      <c r="AE219" s="1180"/>
      <c r="AF219" s="368"/>
      <c r="AG219" s="368"/>
      <c r="AH219" s="1177"/>
      <c r="AI219" s="1162"/>
      <c r="AJ219" s="1163"/>
      <c r="AK219" s="1162"/>
      <c r="AL219" s="1163"/>
      <c r="AM219" s="1162"/>
      <c r="AN219" s="1163"/>
      <c r="AO219" s="1162"/>
      <c r="AP219" s="1163"/>
      <c r="AQ219" s="1162"/>
      <c r="AR219" s="1163"/>
    </row>
    <row r="220" spans="1:44" ht="15" customHeight="1" outlineLevel="1" thickBot="1">
      <c r="B220" s="1165"/>
      <c r="C220" s="1167"/>
      <c r="D220" s="1167"/>
      <c r="E220" s="1167"/>
      <c r="F220" s="1167"/>
      <c r="G220" s="406"/>
      <c r="H220" s="406"/>
      <c r="I220" s="406"/>
      <c r="J220" s="406"/>
      <c r="K220" s="1190"/>
      <c r="L220" s="1190"/>
      <c r="M220" s="370"/>
      <c r="N220" s="370"/>
      <c r="P220" s="1181"/>
      <c r="Q220" s="1183"/>
      <c r="R220" s="1184"/>
      <c r="S220" s="1178"/>
      <c r="T220" s="1162"/>
      <c r="U220" s="1163"/>
      <c r="V220" s="1162"/>
      <c r="W220" s="1163"/>
      <c r="X220" s="1162"/>
      <c r="Y220" s="1163"/>
      <c r="Z220" s="1162"/>
      <c r="AA220" s="1163"/>
      <c r="AB220" s="1162"/>
      <c r="AC220" s="1163"/>
      <c r="AE220" s="1181"/>
      <c r="AF220" s="1197"/>
      <c r="AG220" s="1184"/>
      <c r="AH220" s="1178"/>
      <c r="AI220" s="1162"/>
      <c r="AJ220" s="1163"/>
      <c r="AK220" s="1162"/>
      <c r="AL220" s="1163"/>
      <c r="AM220" s="1162"/>
      <c r="AN220" s="1163"/>
      <c r="AO220" s="1162"/>
      <c r="AP220" s="1163"/>
      <c r="AQ220" s="1162"/>
      <c r="AR220" s="1163"/>
    </row>
    <row r="221" spans="1:44" ht="16" outlineLevel="1" thickBot="1">
      <c r="B221" s="371"/>
      <c r="C221" s="372"/>
      <c r="D221" s="372"/>
      <c r="E221" s="372"/>
      <c r="F221" s="372"/>
      <c r="G221" s="372"/>
      <c r="H221" s="372"/>
      <c r="I221" s="372"/>
      <c r="J221" s="372"/>
      <c r="K221" s="372"/>
      <c r="L221" s="373"/>
      <c r="M221" s="370"/>
      <c r="N221" s="370"/>
      <c r="O221" s="74"/>
      <c r="P221" s="1182"/>
      <c r="Q221" s="1179"/>
      <c r="R221" s="1185"/>
      <c r="S221" s="1179"/>
      <c r="T221" s="374"/>
      <c r="U221" s="375"/>
      <c r="V221" s="374"/>
      <c r="W221" s="375"/>
      <c r="X221" s="374"/>
      <c r="Y221" s="375"/>
      <c r="Z221" s="374"/>
      <c r="AA221" s="375"/>
      <c r="AB221" s="374"/>
      <c r="AC221" s="375"/>
      <c r="AE221" s="1182"/>
      <c r="AF221" s="1198"/>
      <c r="AG221" s="1185"/>
      <c r="AH221" s="1179"/>
      <c r="AI221" s="374"/>
      <c r="AJ221" s="375"/>
      <c r="AK221" s="374"/>
      <c r="AL221" s="375"/>
      <c r="AM221" s="374"/>
      <c r="AN221" s="375"/>
      <c r="AO221" s="374"/>
      <c r="AP221" s="375"/>
      <c r="AQ221" s="374"/>
      <c r="AR221" s="375"/>
    </row>
    <row r="222" spans="1:44" ht="14.5" customHeight="1" outlineLevel="1">
      <c r="B222" s="541"/>
      <c r="C222" s="542"/>
      <c r="D222" s="542"/>
      <c r="E222" s="543"/>
      <c r="F222" s="542"/>
      <c r="G222" s="542"/>
      <c r="H222" s="542"/>
      <c r="I222" s="542"/>
      <c r="J222" s="542"/>
      <c r="K222" s="547"/>
      <c r="L222" s="548"/>
      <c r="M222" s="370"/>
      <c r="N222" s="370"/>
      <c r="P222" s="1148"/>
      <c r="Q222" s="1154"/>
      <c r="R222" s="381"/>
      <c r="S222" s="382"/>
      <c r="T222" s="1137"/>
      <c r="U222" s="1151"/>
      <c r="V222" s="1137"/>
      <c r="W222" s="1151"/>
      <c r="X222" s="1137"/>
      <c r="Y222" s="1151"/>
      <c r="Z222" s="1137"/>
      <c r="AA222" s="1151"/>
      <c r="AB222" s="1137"/>
      <c r="AC222" s="1151"/>
      <c r="AE222" s="1148"/>
      <c r="AF222" s="1154"/>
      <c r="AG222" s="381"/>
      <c r="AH222" s="382"/>
      <c r="AI222" s="1137"/>
      <c r="AJ222" s="1151"/>
      <c r="AK222" s="1137"/>
      <c r="AL222" s="1151"/>
      <c r="AM222" s="1137"/>
      <c r="AN222" s="1151"/>
      <c r="AO222" s="1137"/>
      <c r="AP222" s="1151"/>
      <c r="AQ222" s="1137"/>
      <c r="AR222" s="1151"/>
    </row>
    <row r="223" spans="1:44" outlineLevel="1">
      <c r="B223" s="383"/>
      <c r="C223" s="384"/>
      <c r="D223" s="384"/>
      <c r="E223" s="384"/>
      <c r="F223" s="384"/>
      <c r="G223" s="505"/>
      <c r="H223" s="505"/>
      <c r="I223" s="505"/>
      <c r="J223" s="505"/>
      <c r="K223" s="372"/>
      <c r="L223" s="373"/>
      <c r="M223" s="370"/>
      <c r="N223" s="370"/>
      <c r="O223" s="71"/>
      <c r="P223" s="1195"/>
      <c r="Q223" s="1155"/>
      <c r="R223" s="388"/>
      <c r="S223" s="389"/>
      <c r="T223" s="1140"/>
      <c r="U223" s="1152"/>
      <c r="V223" s="1140"/>
      <c r="W223" s="1152"/>
      <c r="X223" s="1140"/>
      <c r="Y223" s="1152"/>
      <c r="Z223" s="1140"/>
      <c r="AA223" s="1152"/>
      <c r="AB223" s="1140"/>
      <c r="AC223" s="1152"/>
      <c r="AE223" s="1195"/>
      <c r="AF223" s="1155"/>
      <c r="AG223" s="388"/>
      <c r="AH223" s="389"/>
      <c r="AI223" s="1140"/>
      <c r="AJ223" s="1152"/>
      <c r="AK223" s="1140"/>
      <c r="AL223" s="1152"/>
      <c r="AM223" s="1140"/>
      <c r="AN223" s="1152"/>
      <c r="AO223" s="1140"/>
      <c r="AP223" s="1152"/>
      <c r="AQ223" s="1140"/>
      <c r="AR223" s="1152"/>
    </row>
    <row r="224" spans="1:44" ht="16" outlineLevel="1" thickBot="1">
      <c r="B224" s="541"/>
      <c r="C224" s="544"/>
      <c r="D224" s="545"/>
      <c r="E224" s="545"/>
      <c r="F224" s="546"/>
      <c r="G224" s="545"/>
      <c r="H224" s="545"/>
      <c r="I224" s="545"/>
      <c r="J224" s="545"/>
      <c r="K224" s="547"/>
      <c r="L224" s="548"/>
      <c r="M224" s="370"/>
      <c r="N224" s="370"/>
      <c r="O224" s="71"/>
      <c r="P224" s="1195"/>
      <c r="Q224" s="1156"/>
      <c r="R224" s="393"/>
      <c r="S224" s="394"/>
      <c r="T224" s="1141"/>
      <c r="U224" s="1153"/>
      <c r="V224" s="1141"/>
      <c r="W224" s="1153"/>
      <c r="X224" s="1141"/>
      <c r="Y224" s="1153"/>
      <c r="Z224" s="1141"/>
      <c r="AA224" s="1153"/>
      <c r="AB224" s="1141"/>
      <c r="AC224" s="1153"/>
      <c r="AE224" s="1195"/>
      <c r="AF224" s="1156"/>
      <c r="AG224" s="393"/>
      <c r="AH224" s="394"/>
      <c r="AI224" s="1141"/>
      <c r="AJ224" s="1153"/>
      <c r="AK224" s="1141"/>
      <c r="AL224" s="1153"/>
      <c r="AM224" s="1141"/>
      <c r="AN224" s="1153"/>
      <c r="AO224" s="1141"/>
      <c r="AP224" s="1153"/>
      <c r="AQ224" s="1141"/>
      <c r="AR224" s="1153"/>
    </row>
    <row r="225" spans="1:44" ht="14.5" customHeight="1" outlineLevel="1">
      <c r="B225" s="541"/>
      <c r="C225" s="544"/>
      <c r="D225" s="544"/>
      <c r="E225" s="544"/>
      <c r="F225" s="544"/>
      <c r="G225" s="544"/>
      <c r="H225" s="544"/>
      <c r="I225" s="544"/>
      <c r="J225" s="544"/>
      <c r="K225" s="547"/>
      <c r="L225" s="548"/>
      <c r="M225" s="370"/>
      <c r="N225" s="370"/>
      <c r="O225" s="71"/>
      <c r="P225" s="1195"/>
      <c r="Q225" s="1154"/>
      <c r="R225" s="395"/>
      <c r="S225" s="396"/>
      <c r="T225" s="1137"/>
      <c r="U225" s="1137"/>
      <c r="V225" s="1137"/>
      <c r="W225" s="1137"/>
      <c r="X225" s="1137"/>
      <c r="Y225" s="1137"/>
      <c r="Z225" s="1137"/>
      <c r="AA225" s="1137"/>
      <c r="AB225" s="1137"/>
      <c r="AC225" s="1137"/>
      <c r="AE225" s="1195"/>
      <c r="AF225" s="1154"/>
      <c r="AG225" s="395"/>
      <c r="AH225" s="396"/>
      <c r="AI225" s="1137"/>
      <c r="AJ225" s="1137"/>
      <c r="AK225" s="1137"/>
      <c r="AL225" s="1137"/>
      <c r="AM225" s="1137"/>
      <c r="AN225" s="1137"/>
      <c r="AO225" s="1137"/>
      <c r="AP225" s="1137"/>
      <c r="AQ225" s="1137"/>
      <c r="AR225" s="1137"/>
    </row>
    <row r="226" spans="1:44" outlineLevel="1">
      <c r="B226" s="541"/>
      <c r="C226" s="544"/>
      <c r="D226" s="544"/>
      <c r="E226" s="544"/>
      <c r="F226" s="544"/>
      <c r="G226" s="544"/>
      <c r="H226" s="544"/>
      <c r="I226" s="544"/>
      <c r="J226" s="544"/>
      <c r="K226" s="547"/>
      <c r="L226" s="548"/>
      <c r="M226" s="367"/>
      <c r="N226" s="367"/>
      <c r="O226" s="71"/>
      <c r="P226" s="1195"/>
      <c r="Q226" s="1155"/>
      <c r="R226" s="395"/>
      <c r="S226" s="396"/>
      <c r="T226" s="1138"/>
      <c r="U226" s="1138"/>
      <c r="V226" s="1138"/>
      <c r="W226" s="1138"/>
      <c r="X226" s="1138"/>
      <c r="Y226" s="1138"/>
      <c r="Z226" s="1138"/>
      <c r="AA226" s="1138"/>
      <c r="AB226" s="1138"/>
      <c r="AC226" s="1138"/>
      <c r="AE226" s="1195"/>
      <c r="AF226" s="1155"/>
      <c r="AG226" s="395"/>
      <c r="AH226" s="396"/>
      <c r="AI226" s="1138"/>
      <c r="AJ226" s="1138"/>
      <c r="AK226" s="1138"/>
      <c r="AL226" s="1138"/>
      <c r="AM226" s="1138"/>
      <c r="AN226" s="1138"/>
      <c r="AO226" s="1138"/>
      <c r="AP226" s="1138"/>
      <c r="AQ226" s="1138"/>
      <c r="AR226" s="1138"/>
    </row>
    <row r="227" spans="1:44" outlineLevel="1">
      <c r="B227" s="383"/>
      <c r="C227" s="397"/>
      <c r="D227" s="397"/>
      <c r="E227" s="397"/>
      <c r="F227" s="397"/>
      <c r="G227" s="399"/>
      <c r="H227" s="399"/>
      <c r="I227" s="399"/>
      <c r="J227" s="399"/>
      <c r="K227" s="372"/>
      <c r="L227" s="373"/>
      <c r="M227" s="363"/>
      <c r="N227" s="363"/>
      <c r="P227" s="1195"/>
      <c r="Q227" s="1155"/>
      <c r="R227" s="395"/>
      <c r="S227" s="396"/>
      <c r="T227" s="1138"/>
      <c r="U227" s="1138"/>
      <c r="V227" s="1138"/>
      <c r="W227" s="1138"/>
      <c r="X227" s="1138"/>
      <c r="Y227" s="1138"/>
      <c r="Z227" s="1138"/>
      <c r="AA227" s="1138"/>
      <c r="AB227" s="1138"/>
      <c r="AC227" s="1138"/>
      <c r="AE227" s="1195"/>
      <c r="AF227" s="1155"/>
      <c r="AG227" s="395"/>
      <c r="AH227" s="396"/>
      <c r="AI227" s="1138"/>
      <c r="AJ227" s="1138"/>
      <c r="AK227" s="1138"/>
      <c r="AL227" s="1138"/>
      <c r="AM227" s="1138"/>
      <c r="AN227" s="1138"/>
      <c r="AO227" s="1138"/>
      <c r="AP227" s="1138"/>
      <c r="AQ227" s="1138"/>
      <c r="AR227" s="1138"/>
    </row>
    <row r="228" spans="1:44" ht="16" outlineLevel="1" thickBot="1">
      <c r="B228" s="541"/>
      <c r="C228" s="544"/>
      <c r="D228" s="544"/>
      <c r="E228" s="544"/>
      <c r="F228" s="544"/>
      <c r="G228" s="544"/>
      <c r="H228" s="544"/>
      <c r="I228" s="544"/>
      <c r="J228" s="544"/>
      <c r="K228" s="547"/>
      <c r="L228" s="559"/>
      <c r="M228" s="363"/>
      <c r="N228" s="363"/>
      <c r="P228" s="1195"/>
      <c r="Q228" s="1155"/>
      <c r="R228" s="395"/>
      <c r="S228" s="396"/>
      <c r="T228" s="1138"/>
      <c r="U228" s="1138"/>
      <c r="V228" s="1138"/>
      <c r="W228" s="1138"/>
      <c r="X228" s="1138"/>
      <c r="Y228" s="1138"/>
      <c r="Z228" s="1138"/>
      <c r="AA228" s="1138"/>
      <c r="AB228" s="1138"/>
      <c r="AC228" s="1138"/>
      <c r="AE228" s="1195"/>
      <c r="AF228" s="1155"/>
      <c r="AG228" s="395"/>
      <c r="AH228" s="396"/>
      <c r="AI228" s="1138"/>
      <c r="AJ228" s="1138"/>
      <c r="AK228" s="1138"/>
      <c r="AL228" s="1138"/>
      <c r="AM228" s="1138"/>
      <c r="AN228" s="1138"/>
      <c r="AO228" s="1138"/>
      <c r="AP228" s="1138"/>
      <c r="AQ228" s="1138"/>
      <c r="AR228" s="1138"/>
    </row>
    <row r="229" spans="1:44" ht="16" outlineLevel="1" thickBot="1">
      <c r="B229" s="401"/>
      <c r="C229" s="402"/>
      <c r="D229" s="403"/>
      <c r="E229" s="404"/>
      <c r="F229" s="405"/>
      <c r="G229" s="406"/>
      <c r="H229" s="406"/>
      <c r="I229" s="406"/>
      <c r="J229" s="406"/>
      <c r="K229" s="407"/>
      <c r="L229" s="408"/>
      <c r="M229" s="363"/>
      <c r="N229" s="363"/>
      <c r="P229" s="1195"/>
      <c r="Q229" s="1155"/>
      <c r="R229" s="409"/>
      <c r="S229" s="410"/>
      <c r="T229" s="1139"/>
      <c r="U229" s="1139"/>
      <c r="V229" s="1139"/>
      <c r="W229" s="1139"/>
      <c r="X229" s="1139"/>
      <c r="Y229" s="1139"/>
      <c r="Z229" s="1139"/>
      <c r="AA229" s="1139"/>
      <c r="AB229" s="1139"/>
      <c r="AC229" s="1139"/>
      <c r="AE229" s="1195"/>
      <c r="AF229" s="1155"/>
      <c r="AG229" s="409"/>
      <c r="AH229" s="410"/>
      <c r="AI229" s="1139"/>
      <c r="AJ229" s="1139"/>
      <c r="AK229" s="1139"/>
      <c r="AL229" s="1139"/>
      <c r="AM229" s="1139"/>
      <c r="AN229" s="1139"/>
      <c r="AO229" s="1139"/>
      <c r="AP229" s="1139"/>
      <c r="AQ229" s="1139"/>
      <c r="AR229" s="1139"/>
    </row>
    <row r="230" spans="1:44" ht="16" outlineLevel="1" thickBot="1">
      <c r="B230" s="541"/>
      <c r="C230" s="544"/>
      <c r="D230" s="544"/>
      <c r="E230" s="544"/>
      <c r="F230" s="544"/>
      <c r="G230" s="545"/>
      <c r="H230" s="545"/>
      <c r="I230" s="545"/>
      <c r="J230" s="545"/>
      <c r="K230" s="547"/>
      <c r="L230" s="548"/>
      <c r="M230" s="363"/>
      <c r="N230" s="363"/>
      <c r="P230" s="1196"/>
      <c r="Q230" s="411"/>
      <c r="R230" s="412"/>
      <c r="S230" s="413"/>
      <c r="T230" s="414"/>
      <c r="U230" s="415"/>
      <c r="V230" s="414"/>
      <c r="W230" s="415"/>
      <c r="X230" s="414"/>
      <c r="Y230" s="415"/>
      <c r="Z230" s="414"/>
      <c r="AA230" s="415"/>
      <c r="AB230" s="414"/>
      <c r="AC230" s="417"/>
      <c r="AE230" s="1196"/>
      <c r="AF230" s="411"/>
      <c r="AG230" s="412"/>
      <c r="AH230" s="413"/>
      <c r="AI230" s="414"/>
      <c r="AJ230" s="415"/>
      <c r="AK230" s="414"/>
      <c r="AL230" s="415"/>
      <c r="AM230" s="414"/>
      <c r="AN230" s="415"/>
      <c r="AO230" s="414"/>
      <c r="AP230" s="415"/>
      <c r="AQ230" s="414"/>
      <c r="AR230" s="417"/>
    </row>
    <row r="231" spans="1:44" outlineLevel="1">
      <c r="B231" s="541"/>
      <c r="C231" s="544"/>
      <c r="D231" s="544"/>
      <c r="E231" s="544"/>
      <c r="F231" s="544"/>
      <c r="G231" s="549"/>
      <c r="H231" s="549"/>
      <c r="I231" s="549"/>
      <c r="J231" s="549"/>
      <c r="K231" s="550"/>
      <c r="L231" s="548"/>
      <c r="M231" s="363"/>
      <c r="N231" s="363"/>
    </row>
    <row r="232" spans="1:44" outlineLevel="1">
      <c r="B232" s="541"/>
      <c r="C232" s="544"/>
      <c r="D232" s="544"/>
      <c r="E232" s="544"/>
      <c r="F232" s="544"/>
      <c r="G232" s="549"/>
      <c r="H232" s="549"/>
      <c r="I232" s="549"/>
      <c r="J232" s="549"/>
      <c r="K232" s="550"/>
      <c r="L232" s="548"/>
      <c r="M232" s="420"/>
      <c r="N232" s="363"/>
    </row>
    <row r="233" spans="1:44" outlineLevel="1">
      <c r="B233" s="421"/>
      <c r="C233" s="399"/>
      <c r="D233" s="399"/>
      <c r="E233" s="399"/>
      <c r="F233" s="399"/>
      <c r="G233" s="422"/>
      <c r="H233" s="422"/>
      <c r="I233" s="422"/>
      <c r="J233" s="422"/>
      <c r="K233" s="423"/>
      <c r="L233" s="424"/>
      <c r="M233" s="420"/>
      <c r="N233" s="420"/>
    </row>
    <row r="234" spans="1:44" outlineLevel="1">
      <c r="B234" s="383"/>
      <c r="C234" s="397"/>
      <c r="D234" s="397"/>
      <c r="E234" s="397"/>
      <c r="F234" s="397"/>
      <c r="G234" s="422"/>
      <c r="H234" s="425"/>
      <c r="I234" s="425"/>
      <c r="J234" s="425"/>
      <c r="K234" s="426"/>
      <c r="L234" s="427"/>
      <c r="M234" s="428"/>
      <c r="N234" s="428"/>
    </row>
    <row r="235" spans="1:44" outlineLevel="1">
      <c r="B235" s="383"/>
      <c r="C235" s="397"/>
      <c r="D235" s="397"/>
      <c r="E235" s="397"/>
      <c r="F235" s="397"/>
      <c r="G235" s="425"/>
      <c r="H235" s="425"/>
      <c r="I235" s="425"/>
      <c r="J235" s="425"/>
      <c r="K235" s="423"/>
      <c r="L235" s="427"/>
      <c r="M235" s="428"/>
      <c r="N235" s="428"/>
    </row>
    <row r="236" spans="1:44" outlineLevel="1">
      <c r="B236" s="383"/>
      <c r="C236" s="397"/>
      <c r="D236" s="397"/>
      <c r="E236" s="397"/>
      <c r="F236" s="397"/>
      <c r="G236" s="425"/>
      <c r="H236" s="425"/>
      <c r="I236" s="425"/>
      <c r="J236" s="425"/>
      <c r="K236" s="423"/>
      <c r="L236" s="427"/>
      <c r="M236" s="428"/>
      <c r="N236" s="428"/>
    </row>
    <row r="237" spans="1:44" outlineLevel="1">
      <c r="B237" s="383"/>
      <c r="C237" s="397"/>
      <c r="D237" s="397"/>
      <c r="E237" s="397"/>
      <c r="F237" s="397"/>
      <c r="G237" s="425"/>
      <c r="H237" s="425"/>
      <c r="I237" s="425"/>
      <c r="J237" s="425"/>
      <c r="K237" s="423"/>
      <c r="L237" s="427"/>
      <c r="M237" s="428"/>
      <c r="N237" s="428"/>
    </row>
    <row r="238" spans="1:44" ht="16" outlineLevel="1" thickBot="1">
      <c r="B238" s="429"/>
      <c r="C238" s="430"/>
      <c r="D238" s="430"/>
      <c r="E238" s="430"/>
      <c r="F238" s="430"/>
      <c r="G238" s="425"/>
      <c r="H238" s="425"/>
      <c r="I238" s="425"/>
      <c r="J238" s="425"/>
      <c r="K238" s="423"/>
      <c r="L238" s="427"/>
      <c r="M238" s="428"/>
      <c r="N238" s="428"/>
    </row>
    <row r="239" spans="1:44" ht="16" outlineLevel="1" thickBot="1">
      <c r="B239" s="431"/>
      <c r="C239" s="432"/>
      <c r="D239" s="403"/>
      <c r="E239" s="403"/>
      <c r="F239" s="433"/>
      <c r="G239" s="434"/>
      <c r="H239" s="406"/>
      <c r="I239" s="406"/>
      <c r="J239" s="406"/>
      <c r="K239" s="407"/>
      <c r="L239" s="408"/>
      <c r="M239" s="428"/>
      <c r="N239" s="428"/>
    </row>
    <row r="240" spans="1:44" outlineLevel="1">
      <c r="A240" s="435"/>
      <c r="B240" s="436"/>
      <c r="C240" s="551"/>
      <c r="D240" s="512"/>
      <c r="E240" s="512"/>
      <c r="F240" s="513"/>
      <c r="G240" s="425"/>
      <c r="H240" s="425"/>
      <c r="I240" s="425"/>
      <c r="J240" s="425"/>
      <c r="K240" s="426"/>
      <c r="L240" s="440"/>
      <c r="M240" s="420"/>
      <c r="N240" s="420"/>
    </row>
    <row r="241" spans="2:30" outlineLevel="1">
      <c r="B241" s="441"/>
      <c r="C241" s="443"/>
      <c r="D241" s="442"/>
      <c r="E241" s="442"/>
      <c r="F241" s="442"/>
      <c r="G241" s="425"/>
      <c r="H241" s="425"/>
      <c r="I241" s="425"/>
      <c r="J241" s="425"/>
      <c r="K241" s="444"/>
      <c r="L241" s="373"/>
      <c r="M241" s="71"/>
      <c r="N241" s="420"/>
    </row>
    <row r="242" spans="2:30" outlineLevel="1">
      <c r="B242" s="441"/>
      <c r="C242" s="443"/>
      <c r="D242" s="443"/>
      <c r="E242" s="443"/>
      <c r="F242" s="443"/>
      <c r="G242" s="425"/>
      <c r="H242" s="425"/>
      <c r="I242" s="425"/>
      <c r="J242" s="425"/>
      <c r="K242" s="444"/>
      <c r="L242" s="373"/>
      <c r="M242" s="420"/>
      <c r="N242" s="420"/>
    </row>
    <row r="243" spans="2:30" outlineLevel="1">
      <c r="B243" s="383"/>
      <c r="C243" s="445"/>
      <c r="D243" s="446"/>
      <c r="E243" s="446"/>
      <c r="F243" s="447"/>
      <c r="G243" s="425"/>
      <c r="H243" s="425"/>
      <c r="I243" s="425"/>
      <c r="J243" s="425"/>
      <c r="K243" s="448"/>
      <c r="L243" s="373"/>
      <c r="M243" s="420"/>
      <c r="N243" s="420"/>
    </row>
    <row r="244" spans="2:30" outlineLevel="1">
      <c r="B244" s="383"/>
      <c r="C244" s="449"/>
      <c r="D244" s="449"/>
      <c r="E244" s="449"/>
      <c r="F244" s="449"/>
      <c r="G244" s="425"/>
      <c r="H244" s="425"/>
      <c r="I244" s="425"/>
      <c r="J244" s="425"/>
      <c r="K244" s="448"/>
      <c r="L244" s="373"/>
      <c r="M244" s="450"/>
      <c r="N244" s="361"/>
      <c r="P244" s="1142"/>
      <c r="Q244" s="1143"/>
      <c r="R244" s="1143"/>
      <c r="S244" s="1143"/>
      <c r="T244" s="1143"/>
      <c r="U244" s="1144"/>
    </row>
    <row r="245" spans="2:30" ht="16" outlineLevel="1" thickBot="1">
      <c r="B245" s="541"/>
      <c r="C245" s="552"/>
      <c r="D245" s="552"/>
      <c r="E245" s="552"/>
      <c r="F245" s="552"/>
      <c r="G245" s="425"/>
      <c r="H245" s="425"/>
      <c r="I245" s="425"/>
      <c r="J245" s="425"/>
      <c r="K245" s="444"/>
      <c r="L245" s="373"/>
      <c r="M245" s="450"/>
      <c r="N245" s="361"/>
      <c r="P245" s="1134"/>
      <c r="Q245" s="1135"/>
      <c r="R245" s="1135"/>
      <c r="S245" s="1135"/>
      <c r="T245" s="1135"/>
      <c r="U245" s="1136"/>
    </row>
    <row r="246" spans="2:30" outlineLevel="1">
      <c r="B246" s="541"/>
      <c r="C246" s="554"/>
      <c r="D246" s="554"/>
      <c r="E246" s="554"/>
      <c r="F246" s="554"/>
      <c r="G246" s="425"/>
      <c r="H246" s="425"/>
      <c r="I246" s="425"/>
      <c r="J246" s="425"/>
      <c r="K246" s="448"/>
      <c r="L246" s="373"/>
      <c r="M246" s="363"/>
      <c r="N246" s="363"/>
      <c r="P246" s="53"/>
    </row>
    <row r="247" spans="2:30" outlineLevel="1">
      <c r="B247" s="441"/>
      <c r="C247" s="518"/>
      <c r="D247" s="518"/>
      <c r="E247" s="518"/>
      <c r="F247" s="518"/>
      <c r="G247" s="425"/>
      <c r="H247" s="425"/>
      <c r="I247" s="425"/>
      <c r="J247" s="425"/>
      <c r="K247" s="444"/>
      <c r="L247" s="424"/>
      <c r="M247" s="367"/>
      <c r="N247" s="367"/>
      <c r="P247" s="46"/>
      <c r="Q247" s="46"/>
      <c r="R247" s="47"/>
      <c r="S247" s="47"/>
      <c r="T247" s="47"/>
      <c r="U247" s="48"/>
      <c r="V247" s="49"/>
      <c r="W247" s="49"/>
      <c r="X247" s="49"/>
      <c r="Y247" s="49"/>
      <c r="Z247" s="49"/>
      <c r="AA247" s="49"/>
      <c r="AB247" s="49"/>
      <c r="AC247" s="49"/>
      <c r="AD247" s="49"/>
    </row>
    <row r="248" spans="2:30" ht="16" outlineLevel="1" thickBot="1">
      <c r="B248" s="519"/>
      <c r="C248" s="442"/>
      <c r="D248" s="520"/>
      <c r="E248" s="520"/>
      <c r="F248" s="521"/>
      <c r="G248" s="425"/>
      <c r="H248" s="425"/>
      <c r="I248" s="425"/>
      <c r="J248" s="425"/>
      <c r="K248" s="448"/>
      <c r="L248" s="424"/>
      <c r="M248" s="363"/>
      <c r="N248" s="363"/>
      <c r="P248" s="50"/>
      <c r="Q248" s="50"/>
      <c r="R248" s="51"/>
      <c r="S248" s="51"/>
      <c r="T248" s="51"/>
      <c r="U248" s="51"/>
      <c r="V248" s="50"/>
      <c r="W248" s="50"/>
      <c r="X248" s="50"/>
      <c r="Y248" s="50"/>
      <c r="Z248" s="50"/>
      <c r="AA248" s="50"/>
      <c r="AB248" s="50"/>
      <c r="AC248" s="50"/>
      <c r="AD248" s="50"/>
    </row>
    <row r="249" spans="2:30" ht="16" outlineLevel="1" thickBot="1">
      <c r="B249" s="401"/>
      <c r="C249" s="402"/>
      <c r="D249" s="403"/>
      <c r="E249" s="404"/>
      <c r="F249" s="405"/>
      <c r="G249" s="406"/>
      <c r="H249" s="406"/>
      <c r="I249" s="406"/>
      <c r="J249" s="406"/>
      <c r="K249" s="459"/>
      <c r="L249" s="460"/>
      <c r="M249" s="363"/>
      <c r="N249" s="363"/>
      <c r="O249" s="461"/>
      <c r="P249" s="56"/>
      <c r="Q249" s="56"/>
      <c r="R249" s="57"/>
      <c r="S249" s="57"/>
      <c r="T249" s="57"/>
      <c r="U249" s="56"/>
      <c r="V249" s="56"/>
      <c r="W249" s="56"/>
      <c r="X249" s="56"/>
      <c r="Y249" s="56"/>
      <c r="Z249" s="56"/>
      <c r="AA249" s="56"/>
      <c r="AB249" s="56"/>
      <c r="AC249" s="56"/>
      <c r="AD249" s="56"/>
    </row>
    <row r="250" spans="2:30" outlineLevel="1">
      <c r="B250" s="556"/>
      <c r="C250" s="557"/>
      <c r="D250" s="557"/>
      <c r="E250" s="557"/>
      <c r="F250" s="557"/>
      <c r="G250" s="558"/>
      <c r="H250" s="558"/>
      <c r="I250" s="558"/>
      <c r="J250" s="558"/>
      <c r="K250" s="558"/>
      <c r="L250" s="559"/>
      <c r="M250" s="363"/>
      <c r="N250" s="363"/>
      <c r="O250" s="465"/>
      <c r="P250" s="466"/>
      <c r="Q250" s="58"/>
      <c r="R250" s="466"/>
      <c r="S250" s="58"/>
      <c r="T250" s="466"/>
      <c r="U250" s="467"/>
      <c r="V250" s="467"/>
      <c r="W250" s="467"/>
      <c r="X250" s="58"/>
      <c r="Y250" s="58"/>
      <c r="Z250" s="466"/>
      <c r="AA250" s="468"/>
      <c r="AB250" s="468"/>
      <c r="AC250" s="468"/>
      <c r="AD250" s="468"/>
    </row>
    <row r="251" spans="2:30" outlineLevel="1">
      <c r="B251" s="541"/>
      <c r="C251" s="560"/>
      <c r="D251" s="561"/>
      <c r="E251" s="561"/>
      <c r="F251" s="562"/>
      <c r="G251" s="562"/>
      <c r="H251" s="562"/>
      <c r="I251" s="562"/>
      <c r="J251" s="562"/>
      <c r="K251" s="563"/>
      <c r="L251" s="559"/>
      <c r="M251" s="363"/>
      <c r="N251" s="363"/>
      <c r="O251" s="465"/>
      <c r="P251" s="466"/>
      <c r="Q251" s="58"/>
      <c r="R251" s="466"/>
      <c r="S251" s="58"/>
      <c r="T251" s="466"/>
      <c r="U251" s="467"/>
      <c r="V251" s="467"/>
      <c r="W251" s="467"/>
      <c r="X251" s="58"/>
      <c r="Y251" s="58"/>
      <c r="Z251" s="466"/>
      <c r="AA251" s="468"/>
      <c r="AB251" s="468"/>
      <c r="AC251" s="468"/>
      <c r="AD251" s="468"/>
    </row>
    <row r="252" spans="2:30" outlineLevel="1">
      <c r="B252" s="541"/>
      <c r="C252" s="560"/>
      <c r="D252" s="561"/>
      <c r="E252" s="561"/>
      <c r="F252" s="562"/>
      <c r="G252" s="562"/>
      <c r="H252" s="562"/>
      <c r="I252" s="562"/>
      <c r="J252" s="562"/>
      <c r="K252" s="563"/>
      <c r="L252" s="559"/>
      <c r="M252" s="363"/>
      <c r="N252" s="363"/>
      <c r="O252" s="465"/>
      <c r="P252" s="466"/>
      <c r="Q252" s="58"/>
      <c r="R252" s="466"/>
      <c r="S252" s="58"/>
      <c r="T252" s="466"/>
      <c r="U252" s="467"/>
      <c r="V252" s="467"/>
      <c r="W252" s="467"/>
      <c r="X252" s="58"/>
      <c r="Y252" s="58"/>
      <c r="Z252" s="466"/>
      <c r="AA252" s="468"/>
      <c r="AB252" s="468"/>
      <c r="AC252" s="468"/>
      <c r="AD252" s="468"/>
    </row>
    <row r="253" spans="2:30" outlineLevel="1">
      <c r="B253" s="541"/>
      <c r="C253" s="564"/>
      <c r="D253" s="564"/>
      <c r="E253" s="564"/>
      <c r="F253" s="564"/>
      <c r="G253" s="565"/>
      <c r="H253" s="565"/>
      <c r="I253" s="565"/>
      <c r="J253" s="565"/>
      <c r="K253" s="565"/>
      <c r="L253" s="548"/>
      <c r="M253" s="363"/>
      <c r="N253" s="363"/>
      <c r="O253" s="465"/>
      <c r="P253" s="466"/>
      <c r="Q253" s="58"/>
      <c r="R253" s="466"/>
      <c r="S253" s="58"/>
      <c r="T253" s="466"/>
      <c r="U253" s="467"/>
      <c r="V253" s="467"/>
      <c r="W253" s="467"/>
      <c r="X253" s="58"/>
      <c r="Y253" s="58"/>
      <c r="Z253" s="466"/>
      <c r="AA253" s="468"/>
      <c r="AB253" s="468"/>
      <c r="AC253" s="468"/>
      <c r="AD253" s="468"/>
    </row>
    <row r="254" spans="2:30" outlineLevel="1">
      <c r="B254" s="566"/>
      <c r="C254" s="560"/>
      <c r="D254" s="561"/>
      <c r="E254" s="561"/>
      <c r="F254" s="562"/>
      <c r="G254" s="562"/>
      <c r="H254" s="562"/>
      <c r="I254" s="562"/>
      <c r="J254" s="562"/>
      <c r="K254" s="563"/>
      <c r="L254" s="559"/>
      <c r="M254" s="367"/>
      <c r="N254" s="367"/>
    </row>
    <row r="255" spans="2:30" outlineLevel="1">
      <c r="B255" s="566"/>
      <c r="C255" s="560"/>
      <c r="D255" s="561"/>
      <c r="E255" s="561"/>
      <c r="F255" s="562"/>
      <c r="G255" s="562"/>
      <c r="H255" s="562"/>
      <c r="I255" s="562"/>
      <c r="J255" s="562"/>
      <c r="K255" s="563"/>
      <c r="L255" s="559"/>
      <c r="M255" s="363"/>
      <c r="N255" s="363"/>
    </row>
    <row r="256" spans="2:30" ht="16" outlineLevel="1" thickBot="1">
      <c r="B256" s="567"/>
      <c r="C256" s="568"/>
      <c r="D256" s="568"/>
      <c r="E256" s="568"/>
      <c r="F256" s="568"/>
      <c r="G256" s="568"/>
      <c r="H256" s="568"/>
      <c r="I256" s="568"/>
      <c r="J256" s="568"/>
      <c r="K256" s="568"/>
      <c r="L256" s="569"/>
      <c r="M256" s="363"/>
      <c r="N256" s="363"/>
    </row>
    <row r="257" spans="1:15" outlineLevel="1">
      <c r="B257" s="461"/>
      <c r="C257" s="483"/>
      <c r="D257" s="483"/>
      <c r="E257" s="483"/>
      <c r="F257" s="483"/>
      <c r="G257" s="483"/>
      <c r="H257" s="484"/>
      <c r="I257" s="420"/>
      <c r="J257" s="420"/>
      <c r="K257" s="484"/>
      <c r="L257" s="484"/>
      <c r="N257" s="420"/>
    </row>
    <row r="258" spans="1:15" outlineLevel="1">
      <c r="B258" s="485"/>
      <c r="C258" s="486"/>
      <c r="D258" s="486"/>
      <c r="E258" s="486"/>
      <c r="F258" s="486"/>
      <c r="G258" s="486"/>
      <c r="H258" s="484"/>
      <c r="I258" s="71"/>
      <c r="J258" s="420"/>
      <c r="K258" s="484"/>
      <c r="L258" s="484"/>
      <c r="N258" s="420"/>
    </row>
    <row r="259" spans="1:15" outlineLevel="1">
      <c r="B259" s="461"/>
      <c r="C259" s="359"/>
      <c r="D259" s="359"/>
      <c r="E259" s="359"/>
      <c r="F259" s="359"/>
      <c r="G259" s="359"/>
      <c r="I259" s="420"/>
      <c r="J259" s="420"/>
      <c r="N259" s="420"/>
    </row>
    <row r="260" spans="1:15" outlineLevel="1">
      <c r="B260" s="461"/>
      <c r="C260" s="487"/>
      <c r="D260" s="487"/>
      <c r="E260" s="487"/>
      <c r="F260" s="487"/>
      <c r="G260" s="359"/>
      <c r="M260" s="420"/>
      <c r="N260" s="420"/>
    </row>
    <row r="261" spans="1:15" outlineLevel="1"/>
    <row r="262" spans="1:15" outlineLevel="1">
      <c r="A262" s="488"/>
      <c r="B262" s="489"/>
      <c r="D262" s="490"/>
      <c r="E262" s="490"/>
      <c r="F262" s="490"/>
      <c r="G262" s="358"/>
      <c r="H262" s="358"/>
      <c r="I262" s="358"/>
      <c r="J262" s="358"/>
      <c r="K262" s="358"/>
      <c r="L262" s="358"/>
    </row>
    <row r="263" spans="1:15" outlineLevel="1">
      <c r="A263" s="491"/>
      <c r="B263" s="492"/>
      <c r="D263" s="490"/>
      <c r="E263" s="490"/>
      <c r="F263" s="490"/>
      <c r="G263" s="358"/>
      <c r="H263" s="358"/>
      <c r="I263" s="358"/>
      <c r="J263" s="358"/>
      <c r="K263" s="358"/>
      <c r="L263" s="358"/>
    </row>
    <row r="264" spans="1:15" outlineLevel="1">
      <c r="A264" s="491"/>
      <c r="B264" s="493"/>
      <c r="D264" s="490"/>
      <c r="E264" s="490"/>
      <c r="F264" s="490"/>
      <c r="G264" s="358"/>
      <c r="H264" s="358"/>
      <c r="I264" s="358"/>
      <c r="J264" s="358"/>
      <c r="K264" s="358"/>
      <c r="L264" s="358"/>
    </row>
    <row r="265" spans="1:15" outlineLevel="1">
      <c r="A265" s="491"/>
      <c r="B265" s="493"/>
      <c r="D265" s="490"/>
      <c r="E265" s="490"/>
      <c r="F265" s="490"/>
      <c r="G265" s="358"/>
      <c r="H265" s="358"/>
      <c r="I265" s="358"/>
      <c r="J265" s="358"/>
      <c r="K265" s="358"/>
      <c r="L265" s="358"/>
    </row>
    <row r="266" spans="1:15" outlineLevel="1">
      <c r="A266" s="491"/>
      <c r="B266" s="493"/>
      <c r="D266" s="490"/>
      <c r="E266" s="490"/>
      <c r="F266" s="490"/>
      <c r="G266" s="358"/>
      <c r="H266" s="358"/>
      <c r="I266" s="358"/>
      <c r="J266" s="358"/>
      <c r="K266" s="358"/>
      <c r="L266" s="358"/>
    </row>
    <row r="267" spans="1:15" outlineLevel="1">
      <c r="A267" s="358"/>
      <c r="B267" s="494"/>
      <c r="D267" s="490"/>
      <c r="E267" s="490"/>
      <c r="F267" s="490"/>
      <c r="G267" s="358"/>
      <c r="H267" s="358"/>
      <c r="I267" s="358"/>
      <c r="J267" s="358"/>
      <c r="K267" s="358"/>
      <c r="L267" s="358"/>
      <c r="M267" s="570"/>
      <c r="N267" s="489"/>
      <c r="O267" s="490"/>
    </row>
    <row r="268" spans="1:15" outlineLevel="1">
      <c r="A268" s="358"/>
      <c r="B268" s="492"/>
      <c r="D268" s="490"/>
      <c r="E268" s="490"/>
      <c r="F268" s="490"/>
      <c r="G268" s="358"/>
      <c r="H268" s="358"/>
      <c r="I268" s="358"/>
      <c r="J268" s="358"/>
      <c r="K268" s="358"/>
      <c r="L268" s="358"/>
      <c r="O268" s="490"/>
    </row>
    <row r="269" spans="1:15" outlineLevel="1">
      <c r="A269" s="358"/>
      <c r="B269" s="495"/>
      <c r="D269" s="490"/>
      <c r="E269" s="490"/>
      <c r="F269" s="490"/>
      <c r="G269" s="358"/>
      <c r="H269" s="358"/>
      <c r="I269" s="358"/>
      <c r="J269" s="358"/>
      <c r="K269" s="358"/>
      <c r="L269" s="358"/>
      <c r="O269" s="490"/>
    </row>
    <row r="270" spans="1:15" outlineLevel="1">
      <c r="A270" s="358"/>
      <c r="B270" s="495"/>
      <c r="D270" s="490"/>
      <c r="E270" s="490"/>
      <c r="F270" s="490"/>
      <c r="G270" s="358"/>
      <c r="H270" s="358"/>
      <c r="I270" s="358"/>
      <c r="J270" s="358"/>
      <c r="K270" s="358"/>
      <c r="L270" s="358"/>
      <c r="O270" s="490"/>
    </row>
    <row r="271" spans="1:15" outlineLevel="1">
      <c r="A271" s="358"/>
      <c r="B271" s="489"/>
      <c r="D271" s="490"/>
      <c r="E271" s="490"/>
      <c r="F271" s="490"/>
      <c r="G271" s="358"/>
      <c r="H271" s="358"/>
      <c r="I271" s="358"/>
      <c r="J271" s="358"/>
      <c r="K271" s="358"/>
      <c r="L271" s="358"/>
      <c r="O271" s="490"/>
    </row>
    <row r="272" spans="1:15" outlineLevel="1">
      <c r="A272" s="358"/>
      <c r="B272" s="490"/>
      <c r="D272" s="490"/>
      <c r="E272" s="490"/>
      <c r="F272" s="490"/>
      <c r="G272" s="358"/>
      <c r="H272" s="358"/>
      <c r="I272" s="358"/>
      <c r="J272" s="358"/>
      <c r="K272" s="358"/>
      <c r="L272" s="358"/>
      <c r="O272" s="490"/>
    </row>
    <row r="273" spans="1:44" outlineLevel="1">
      <c r="A273" s="488"/>
      <c r="B273" s="489"/>
      <c r="D273" s="490"/>
      <c r="E273" s="490"/>
      <c r="F273" s="490"/>
      <c r="G273" s="358"/>
      <c r="H273" s="358"/>
      <c r="I273" s="358"/>
      <c r="J273" s="358"/>
      <c r="K273" s="358"/>
      <c r="L273" s="358"/>
      <c r="O273" s="490"/>
    </row>
    <row r="274" spans="1:44" outlineLevel="1">
      <c r="A274" s="496"/>
      <c r="B274" s="497"/>
      <c r="D274" s="490"/>
      <c r="E274" s="490"/>
      <c r="F274" s="490"/>
      <c r="G274" s="358"/>
      <c r="H274" s="358"/>
      <c r="I274" s="358"/>
      <c r="J274" s="358"/>
      <c r="K274" s="358"/>
      <c r="L274" s="358"/>
      <c r="M274" s="570"/>
      <c r="N274" s="489"/>
      <c r="O274" s="490"/>
    </row>
    <row r="275" spans="1:44" outlineLevel="1">
      <c r="A275" s="496"/>
      <c r="B275" s="489"/>
      <c r="D275" s="490"/>
      <c r="E275" s="490"/>
      <c r="F275" s="490"/>
      <c r="G275" s="358"/>
      <c r="H275" s="358"/>
      <c r="I275" s="358"/>
      <c r="J275" s="358"/>
      <c r="K275" s="358"/>
      <c r="L275" s="358"/>
      <c r="M275" s="571"/>
      <c r="N275" s="489"/>
      <c r="O275" s="490"/>
    </row>
    <row r="276" spans="1:44" outlineLevel="1">
      <c r="A276" s="496"/>
      <c r="B276" s="489"/>
      <c r="D276" s="490"/>
      <c r="E276" s="490"/>
      <c r="F276" s="490"/>
      <c r="G276" s="358"/>
      <c r="H276" s="358"/>
      <c r="I276" s="358"/>
      <c r="J276" s="358"/>
      <c r="K276" s="358"/>
      <c r="L276" s="358"/>
      <c r="M276" s="572"/>
      <c r="N276" s="489"/>
      <c r="O276" s="490"/>
    </row>
    <row r="277" spans="1:44" outlineLevel="1">
      <c r="A277" s="496"/>
      <c r="B277" s="498"/>
      <c r="D277" s="490"/>
      <c r="E277" s="490"/>
      <c r="F277" s="490"/>
      <c r="G277" s="358"/>
      <c r="H277" s="358"/>
      <c r="I277" s="358"/>
      <c r="J277" s="358"/>
      <c r="K277" s="358"/>
      <c r="L277" s="358"/>
      <c r="M277" s="573"/>
      <c r="N277" s="489"/>
      <c r="O277" s="490"/>
    </row>
    <row r="278" spans="1:44" outlineLevel="1">
      <c r="A278" s="496"/>
      <c r="B278" s="489"/>
      <c r="D278" s="490"/>
      <c r="E278" s="490"/>
      <c r="F278" s="490"/>
      <c r="G278" s="358"/>
      <c r="H278" s="358"/>
      <c r="I278" s="358"/>
      <c r="J278" s="358"/>
      <c r="K278" s="358"/>
      <c r="L278" s="358"/>
      <c r="M278" s="573"/>
      <c r="N278" s="490"/>
      <c r="O278" s="490"/>
    </row>
    <row r="279" spans="1:44" outlineLevel="1">
      <c r="A279" s="496"/>
      <c r="B279" s="489"/>
      <c r="D279" s="490"/>
      <c r="E279" s="490"/>
      <c r="F279" s="490"/>
      <c r="G279" s="358"/>
      <c r="H279" s="358"/>
      <c r="I279" s="358"/>
      <c r="J279" s="358"/>
      <c r="K279" s="358"/>
      <c r="L279" s="358"/>
      <c r="M279" s="489"/>
      <c r="N279" s="490"/>
      <c r="O279" s="490"/>
    </row>
    <row r="280" spans="1:44" outlineLevel="1"/>
    <row r="283" spans="1:44" ht="16" thickBot="1">
      <c r="A283" s="360"/>
    </row>
    <row r="284" spans="1:44" ht="20.5" customHeight="1" thickBot="1">
      <c r="B284" s="362"/>
      <c r="C284" s="1186"/>
      <c r="D284" s="1187"/>
      <c r="E284" s="1187"/>
      <c r="F284" s="1187"/>
      <c r="G284" s="1187"/>
      <c r="H284" s="1187"/>
      <c r="I284" s="1187"/>
      <c r="J284" s="1187"/>
      <c r="K284" s="1187"/>
      <c r="L284" s="1188"/>
      <c r="M284" s="363"/>
      <c r="N284" s="363"/>
      <c r="P284" s="364"/>
      <c r="Q284" s="365"/>
      <c r="R284" s="366"/>
      <c r="S284" s="1176"/>
      <c r="T284" s="1160"/>
      <c r="U284" s="1161"/>
      <c r="V284" s="1160"/>
      <c r="W284" s="1161"/>
      <c r="X284" s="1160"/>
      <c r="Y284" s="1161"/>
      <c r="Z284" s="1160"/>
      <c r="AA284" s="1161"/>
      <c r="AB284" s="1160"/>
      <c r="AC284" s="1161"/>
      <c r="AE284" s="364"/>
      <c r="AF284" s="365"/>
      <c r="AG284" s="366"/>
      <c r="AH284" s="1176"/>
      <c r="AI284" s="1160"/>
      <c r="AJ284" s="1161"/>
      <c r="AK284" s="1160"/>
      <c r="AL284" s="1161"/>
      <c r="AM284" s="1160"/>
      <c r="AN284" s="1161"/>
      <c r="AO284" s="1160"/>
      <c r="AP284" s="1161"/>
      <c r="AQ284" s="1160"/>
      <c r="AR284" s="1161"/>
    </row>
    <row r="285" spans="1:44" ht="15" customHeight="1" thickBot="1">
      <c r="B285" s="1164"/>
      <c r="C285" s="1166"/>
      <c r="D285" s="1166"/>
      <c r="E285" s="1166"/>
      <c r="F285" s="1166"/>
      <c r="G285" s="1168"/>
      <c r="H285" s="1169"/>
      <c r="I285" s="1168"/>
      <c r="J285" s="1169"/>
      <c r="K285" s="1189"/>
      <c r="L285" s="1189"/>
      <c r="M285" s="367"/>
      <c r="N285" s="367"/>
      <c r="P285" s="1180"/>
      <c r="Q285" s="368"/>
      <c r="R285" s="368"/>
      <c r="S285" s="1177"/>
      <c r="T285" s="1162"/>
      <c r="U285" s="1163"/>
      <c r="V285" s="1162"/>
      <c r="W285" s="1163"/>
      <c r="X285" s="1162"/>
      <c r="Y285" s="1163"/>
      <c r="Z285" s="1162"/>
      <c r="AA285" s="1163"/>
      <c r="AB285" s="1162"/>
      <c r="AC285" s="1163"/>
      <c r="AE285" s="1180"/>
      <c r="AF285" s="368"/>
      <c r="AG285" s="368"/>
      <c r="AH285" s="1177"/>
      <c r="AI285" s="1162"/>
      <c r="AJ285" s="1163"/>
      <c r="AK285" s="1162"/>
      <c r="AL285" s="1163"/>
      <c r="AM285" s="1162"/>
      <c r="AN285" s="1163"/>
      <c r="AO285" s="1162"/>
      <c r="AP285" s="1163"/>
      <c r="AQ285" s="1162"/>
      <c r="AR285" s="1163"/>
    </row>
    <row r="286" spans="1:44" ht="15" customHeight="1" thickBot="1">
      <c r="B286" s="1165"/>
      <c r="C286" s="1167"/>
      <c r="D286" s="1167"/>
      <c r="E286" s="1167"/>
      <c r="F286" s="1167"/>
      <c r="G286" s="406"/>
      <c r="H286" s="406"/>
      <c r="I286" s="406"/>
      <c r="J286" s="406"/>
      <c r="K286" s="1190"/>
      <c r="L286" s="1190"/>
      <c r="M286" s="370"/>
      <c r="N286" s="370"/>
      <c r="P286" s="1181"/>
      <c r="Q286" s="1183"/>
      <c r="R286" s="1184"/>
      <c r="S286" s="1178"/>
      <c r="T286" s="1162"/>
      <c r="U286" s="1163"/>
      <c r="V286" s="1162"/>
      <c r="W286" s="1163"/>
      <c r="X286" s="1162"/>
      <c r="Y286" s="1163"/>
      <c r="Z286" s="1162"/>
      <c r="AA286" s="1163"/>
      <c r="AB286" s="1162"/>
      <c r="AC286" s="1163"/>
      <c r="AE286" s="1181"/>
      <c r="AF286" s="1183"/>
      <c r="AG286" s="1184"/>
      <c r="AH286" s="1178"/>
      <c r="AI286" s="1162"/>
      <c r="AJ286" s="1163"/>
      <c r="AK286" s="1162"/>
      <c r="AL286" s="1163"/>
      <c r="AM286" s="1162"/>
      <c r="AN286" s="1163"/>
      <c r="AO286" s="1162"/>
      <c r="AP286" s="1163"/>
      <c r="AQ286" s="1162"/>
      <c r="AR286" s="1163"/>
    </row>
    <row r="287" spans="1:44" ht="16" thickBot="1">
      <c r="B287" s="371"/>
      <c r="C287" s="372"/>
      <c r="D287" s="372"/>
      <c r="E287" s="372"/>
      <c r="F287" s="372"/>
      <c r="G287" s="372"/>
      <c r="H287" s="372"/>
      <c r="I287" s="372"/>
      <c r="J287" s="372"/>
      <c r="K287" s="372"/>
      <c r="L287" s="373"/>
      <c r="M287" s="370"/>
      <c r="N287" s="370"/>
      <c r="O287" s="74"/>
      <c r="P287" s="1182"/>
      <c r="Q287" s="1179"/>
      <c r="R287" s="1185"/>
      <c r="S287" s="1179"/>
      <c r="T287" s="374"/>
      <c r="U287" s="375"/>
      <c r="V287" s="374"/>
      <c r="W287" s="375"/>
      <c r="X287" s="374"/>
      <c r="Y287" s="375"/>
      <c r="Z287" s="374"/>
      <c r="AA287" s="375"/>
      <c r="AB287" s="374"/>
      <c r="AC287" s="375"/>
      <c r="AE287" s="1182"/>
      <c r="AF287" s="1179"/>
      <c r="AG287" s="1185"/>
      <c r="AH287" s="1179"/>
      <c r="AI287" s="374"/>
      <c r="AJ287" s="375"/>
      <c r="AK287" s="374"/>
      <c r="AL287" s="375"/>
      <c r="AM287" s="374"/>
      <c r="AN287" s="375"/>
      <c r="AO287" s="374"/>
      <c r="AP287" s="375"/>
      <c r="AQ287" s="374"/>
      <c r="AR287" s="375"/>
    </row>
    <row r="288" spans="1:44" ht="14.5" customHeight="1">
      <c r="B288" s="574"/>
      <c r="C288" s="575"/>
      <c r="D288" s="575"/>
      <c r="E288" s="575"/>
      <c r="F288" s="575"/>
      <c r="G288" s="576"/>
      <c r="H288" s="576"/>
      <c r="I288" s="576"/>
      <c r="J288" s="576"/>
      <c r="K288" s="372"/>
      <c r="L288" s="373"/>
      <c r="M288" s="370"/>
      <c r="N288" s="370"/>
      <c r="P288" s="1148"/>
      <c r="Q288" s="1154"/>
      <c r="R288" s="381"/>
      <c r="S288" s="382"/>
      <c r="T288" s="1137"/>
      <c r="U288" s="1151"/>
      <c r="V288" s="1137"/>
      <c r="W288" s="1151"/>
      <c r="X288" s="1137"/>
      <c r="Y288" s="1151"/>
      <c r="Z288" s="1137"/>
      <c r="AA288" s="1151"/>
      <c r="AB288" s="1157"/>
      <c r="AC288" s="1151"/>
      <c r="AE288" s="1148"/>
      <c r="AF288" s="1154"/>
      <c r="AG288" s="381"/>
      <c r="AH288" s="382"/>
      <c r="AI288" s="1137"/>
      <c r="AJ288" s="1151"/>
      <c r="AK288" s="1137"/>
      <c r="AL288" s="1151"/>
      <c r="AM288" s="1137"/>
      <c r="AN288" s="1151"/>
      <c r="AO288" s="1137"/>
      <c r="AP288" s="1151"/>
      <c r="AQ288" s="1157"/>
      <c r="AR288" s="1151"/>
    </row>
    <row r="289" spans="2:44">
      <c r="B289" s="383"/>
      <c r="C289" s="577"/>
      <c r="D289" s="577"/>
      <c r="E289" s="577"/>
      <c r="F289" s="577"/>
      <c r="G289" s="576"/>
      <c r="H289" s="576"/>
      <c r="I289" s="576"/>
      <c r="J289" s="576"/>
      <c r="K289" s="372"/>
      <c r="L289" s="373"/>
      <c r="M289" s="370"/>
      <c r="N289" s="370"/>
      <c r="O289" s="71"/>
      <c r="P289" s="1149"/>
      <c r="Q289" s="1155"/>
      <c r="R289" s="388"/>
      <c r="S289" s="389"/>
      <c r="T289" s="1140"/>
      <c r="U289" s="1152"/>
      <c r="V289" s="1140"/>
      <c r="W289" s="1152"/>
      <c r="X289" s="1140"/>
      <c r="Y289" s="1152"/>
      <c r="Z289" s="1140"/>
      <c r="AA289" s="1152"/>
      <c r="AB289" s="1158"/>
      <c r="AC289" s="1152"/>
      <c r="AE289" s="1149"/>
      <c r="AF289" s="1155"/>
      <c r="AG289" s="388"/>
      <c r="AH289" s="389"/>
      <c r="AI289" s="1140"/>
      <c r="AJ289" s="1152"/>
      <c r="AK289" s="1140"/>
      <c r="AL289" s="1152"/>
      <c r="AM289" s="1140"/>
      <c r="AN289" s="1152"/>
      <c r="AO289" s="1140"/>
      <c r="AP289" s="1152"/>
      <c r="AQ289" s="1158"/>
      <c r="AR289" s="1152"/>
    </row>
    <row r="290" spans="2:44" ht="16" thickBot="1">
      <c r="B290" s="574"/>
      <c r="C290" s="578"/>
      <c r="D290" s="578"/>
      <c r="E290" s="578"/>
      <c r="F290" s="578"/>
      <c r="G290" s="578"/>
      <c r="H290" s="578"/>
      <c r="I290" s="578"/>
      <c r="J290" s="578"/>
      <c r="K290" s="579"/>
      <c r="L290" s="580"/>
      <c r="M290" s="370"/>
      <c r="N290" s="370"/>
      <c r="O290" s="71"/>
      <c r="P290" s="1149"/>
      <c r="Q290" s="1156"/>
      <c r="R290" s="393"/>
      <c r="S290" s="394"/>
      <c r="T290" s="1141"/>
      <c r="U290" s="1153"/>
      <c r="V290" s="1141"/>
      <c r="W290" s="1153"/>
      <c r="X290" s="1141"/>
      <c r="Y290" s="1153"/>
      <c r="Z290" s="1141"/>
      <c r="AA290" s="1153"/>
      <c r="AB290" s="1159"/>
      <c r="AC290" s="1153"/>
      <c r="AE290" s="1149"/>
      <c r="AF290" s="1156"/>
      <c r="AG290" s="393"/>
      <c r="AH290" s="394"/>
      <c r="AI290" s="1141"/>
      <c r="AJ290" s="1153"/>
      <c r="AK290" s="1141"/>
      <c r="AL290" s="1153"/>
      <c r="AM290" s="1141"/>
      <c r="AN290" s="1153"/>
      <c r="AO290" s="1141"/>
      <c r="AP290" s="1153"/>
      <c r="AQ290" s="1159"/>
      <c r="AR290" s="1153"/>
    </row>
    <row r="291" spans="2:44" ht="14.5" customHeight="1">
      <c r="B291" s="574"/>
      <c r="C291" s="581"/>
      <c r="D291" s="581"/>
      <c r="E291" s="581"/>
      <c r="F291" s="581"/>
      <c r="G291" s="581"/>
      <c r="H291" s="581"/>
      <c r="I291" s="581"/>
      <c r="J291" s="581"/>
      <c r="K291" s="579"/>
      <c r="L291" s="580"/>
      <c r="M291" s="370"/>
      <c r="N291" s="370"/>
      <c r="O291" s="71"/>
      <c r="P291" s="1149"/>
      <c r="Q291" s="1145"/>
      <c r="R291" s="395"/>
      <c r="S291" s="396"/>
      <c r="T291" s="1137"/>
      <c r="U291" s="1137"/>
      <c r="V291" s="1137"/>
      <c r="W291" s="1137"/>
      <c r="X291" s="1137"/>
      <c r="Y291" s="1137"/>
      <c r="Z291" s="1137"/>
      <c r="AA291" s="1137"/>
      <c r="AB291" s="1137"/>
      <c r="AC291" s="1137"/>
      <c r="AE291" s="1149"/>
      <c r="AF291" s="1145"/>
      <c r="AG291" s="395"/>
      <c r="AH291" s="396"/>
      <c r="AI291" s="1137"/>
      <c r="AJ291" s="1137"/>
      <c r="AK291" s="1137"/>
      <c r="AL291" s="1137"/>
      <c r="AM291" s="1137"/>
      <c r="AN291" s="1137"/>
      <c r="AO291" s="1137"/>
      <c r="AP291" s="1137"/>
      <c r="AQ291" s="1137"/>
      <c r="AR291" s="1137"/>
    </row>
    <row r="292" spans="2:44">
      <c r="B292" s="574"/>
      <c r="C292" s="582"/>
      <c r="D292" s="582"/>
      <c r="E292" s="582"/>
      <c r="F292" s="582"/>
      <c r="G292" s="582"/>
      <c r="H292" s="582"/>
      <c r="I292" s="582"/>
      <c r="J292" s="582"/>
      <c r="K292" s="579"/>
      <c r="L292" s="580"/>
      <c r="M292" s="367"/>
      <c r="N292" s="367"/>
      <c r="O292" s="71"/>
      <c r="P292" s="1149"/>
      <c r="Q292" s="1146"/>
      <c r="R292" s="395"/>
      <c r="S292" s="396"/>
      <c r="T292" s="1138"/>
      <c r="U292" s="1138"/>
      <c r="V292" s="1138"/>
      <c r="W292" s="1138"/>
      <c r="X292" s="1138"/>
      <c r="Y292" s="1138"/>
      <c r="Z292" s="1138"/>
      <c r="AA292" s="1138"/>
      <c r="AB292" s="1140"/>
      <c r="AC292" s="1138"/>
      <c r="AE292" s="1149"/>
      <c r="AF292" s="1146"/>
      <c r="AG292" s="395"/>
      <c r="AH292" s="396"/>
      <c r="AI292" s="1138"/>
      <c r="AJ292" s="1138"/>
      <c r="AK292" s="1138"/>
      <c r="AL292" s="1138"/>
      <c r="AM292" s="1138"/>
      <c r="AN292" s="1138"/>
      <c r="AO292" s="1138"/>
      <c r="AP292" s="1138"/>
      <c r="AQ292" s="1140"/>
      <c r="AR292" s="1138"/>
    </row>
    <row r="293" spans="2:44">
      <c r="B293" s="383"/>
      <c r="C293" s="397"/>
      <c r="D293" s="397"/>
      <c r="E293" s="397"/>
      <c r="F293" s="397"/>
      <c r="G293" s="398"/>
      <c r="H293" s="398"/>
      <c r="I293" s="398"/>
      <c r="J293" s="398"/>
      <c r="K293" s="372"/>
      <c r="L293" s="373"/>
      <c r="M293" s="363"/>
      <c r="N293" s="363"/>
      <c r="P293" s="1149"/>
      <c r="Q293" s="1146"/>
      <c r="R293" s="395"/>
      <c r="S293" s="396"/>
      <c r="T293" s="1138"/>
      <c r="U293" s="1138"/>
      <c r="V293" s="1138"/>
      <c r="W293" s="1138"/>
      <c r="X293" s="1138"/>
      <c r="Y293" s="1138"/>
      <c r="Z293" s="1138"/>
      <c r="AA293" s="1138"/>
      <c r="AB293" s="1140"/>
      <c r="AC293" s="1138"/>
      <c r="AE293" s="1149"/>
      <c r="AF293" s="1146"/>
      <c r="AG293" s="395"/>
      <c r="AH293" s="396"/>
      <c r="AI293" s="1138"/>
      <c r="AJ293" s="1138"/>
      <c r="AK293" s="1138"/>
      <c r="AL293" s="1138"/>
      <c r="AM293" s="1138"/>
      <c r="AN293" s="1138"/>
      <c r="AO293" s="1138"/>
      <c r="AP293" s="1138"/>
      <c r="AQ293" s="1140"/>
      <c r="AR293" s="1138"/>
    </row>
    <row r="294" spans="2:44" ht="16" thickBot="1">
      <c r="B294" s="574"/>
      <c r="C294" s="582"/>
      <c r="D294" s="582"/>
      <c r="E294" s="582"/>
      <c r="F294" s="582"/>
      <c r="G294" s="582"/>
      <c r="H294" s="582"/>
      <c r="I294" s="582"/>
      <c r="J294" s="582"/>
      <c r="K294" s="372"/>
      <c r="L294" s="373"/>
      <c r="M294" s="363"/>
      <c r="N294" s="363"/>
      <c r="P294" s="1149"/>
      <c r="Q294" s="1146"/>
      <c r="R294" s="395"/>
      <c r="S294" s="396"/>
      <c r="T294" s="1138"/>
      <c r="U294" s="1138"/>
      <c r="V294" s="1138"/>
      <c r="W294" s="1138"/>
      <c r="X294" s="1138"/>
      <c r="Y294" s="1138"/>
      <c r="Z294" s="1138"/>
      <c r="AA294" s="1138"/>
      <c r="AB294" s="1140"/>
      <c r="AC294" s="1138"/>
      <c r="AE294" s="1149"/>
      <c r="AF294" s="1146"/>
      <c r="AG294" s="395"/>
      <c r="AH294" s="396"/>
      <c r="AI294" s="1138"/>
      <c r="AJ294" s="1138"/>
      <c r="AK294" s="1138"/>
      <c r="AL294" s="1138"/>
      <c r="AM294" s="1138"/>
      <c r="AN294" s="1138"/>
      <c r="AO294" s="1138"/>
      <c r="AP294" s="1138"/>
      <c r="AQ294" s="1140"/>
      <c r="AR294" s="1138"/>
    </row>
    <row r="295" spans="2:44" ht="16" thickBot="1">
      <c r="B295" s="401"/>
      <c r="C295" s="583"/>
      <c r="D295" s="584"/>
      <c r="E295" s="585"/>
      <c r="F295" s="586"/>
      <c r="G295" s="406"/>
      <c r="H295" s="406"/>
      <c r="I295" s="406"/>
      <c r="J295" s="406"/>
      <c r="K295" s="407"/>
      <c r="L295" s="587"/>
      <c r="M295" s="363"/>
      <c r="N295" s="363"/>
      <c r="P295" s="1149"/>
      <c r="Q295" s="1147"/>
      <c r="R295" s="409"/>
      <c r="S295" s="410"/>
      <c r="T295" s="1139"/>
      <c r="U295" s="1139"/>
      <c r="V295" s="1139"/>
      <c r="W295" s="1139"/>
      <c r="X295" s="1139"/>
      <c r="Y295" s="1139"/>
      <c r="Z295" s="1139"/>
      <c r="AA295" s="1139"/>
      <c r="AB295" s="1141"/>
      <c r="AC295" s="1139"/>
      <c r="AE295" s="1149"/>
      <c r="AF295" s="1147"/>
      <c r="AG295" s="409"/>
      <c r="AH295" s="410"/>
      <c r="AI295" s="1139"/>
      <c r="AJ295" s="1139"/>
      <c r="AK295" s="1139"/>
      <c r="AL295" s="1139"/>
      <c r="AM295" s="1139"/>
      <c r="AN295" s="1139"/>
      <c r="AO295" s="1139"/>
      <c r="AP295" s="1139"/>
      <c r="AQ295" s="1141"/>
      <c r="AR295" s="1139"/>
    </row>
    <row r="296" spans="2:44" ht="16" thickBot="1">
      <c r="B296" s="574"/>
      <c r="C296" s="588"/>
      <c r="D296" s="588"/>
      <c r="E296" s="588"/>
      <c r="F296" s="588"/>
      <c r="G296" s="589"/>
      <c r="H296" s="589"/>
      <c r="I296" s="590"/>
      <c r="J296" s="590"/>
      <c r="K296" s="579"/>
      <c r="L296" s="580"/>
      <c r="M296" s="363"/>
      <c r="N296" s="363"/>
      <c r="P296" s="1150"/>
      <c r="Q296" s="411"/>
      <c r="R296" s="412"/>
      <c r="S296" s="413"/>
      <c r="T296" s="591"/>
      <c r="U296" s="592"/>
      <c r="V296" s="593"/>
      <c r="W296" s="592"/>
      <c r="X296" s="593"/>
      <c r="Y296" s="592"/>
      <c r="Z296" s="593"/>
      <c r="AA296" s="592"/>
      <c r="AB296" s="593"/>
      <c r="AC296" s="594"/>
      <c r="AE296" s="1150"/>
      <c r="AF296" s="411"/>
      <c r="AG296" s="412"/>
      <c r="AH296" s="413"/>
      <c r="AI296" s="591"/>
      <c r="AJ296" s="592"/>
      <c r="AK296" s="593"/>
      <c r="AL296" s="592"/>
      <c r="AM296" s="593"/>
      <c r="AN296" s="592"/>
      <c r="AO296" s="593"/>
      <c r="AP296" s="592"/>
      <c r="AQ296" s="593"/>
      <c r="AR296" s="594"/>
    </row>
    <row r="297" spans="2:44">
      <c r="B297" s="574"/>
      <c r="C297" s="582"/>
      <c r="D297" s="582"/>
      <c r="E297" s="582"/>
      <c r="F297" s="582"/>
      <c r="G297" s="595"/>
      <c r="H297" s="595"/>
      <c r="I297" s="595"/>
      <c r="J297" s="595"/>
      <c r="K297" s="596"/>
      <c r="L297" s="580"/>
      <c r="M297" s="363"/>
      <c r="N297" s="363"/>
    </row>
    <row r="298" spans="2:44">
      <c r="B298" s="574"/>
      <c r="C298" s="582"/>
      <c r="D298" s="582"/>
      <c r="E298" s="582"/>
      <c r="F298" s="582"/>
      <c r="G298" s="595"/>
      <c r="H298" s="595"/>
      <c r="I298" s="595"/>
      <c r="J298" s="595"/>
      <c r="K298" s="596"/>
      <c r="L298" s="580"/>
      <c r="M298" s="420"/>
      <c r="N298" s="363"/>
    </row>
    <row r="299" spans="2:44">
      <c r="B299" s="421"/>
      <c r="C299" s="399"/>
      <c r="D299" s="399"/>
      <c r="E299" s="399"/>
      <c r="F299" s="399"/>
      <c r="G299" s="422"/>
      <c r="H299" s="422"/>
      <c r="I299" s="422"/>
      <c r="J299" s="422"/>
      <c r="K299" s="423"/>
      <c r="L299" s="597"/>
      <c r="M299" s="420"/>
      <c r="N299" s="420"/>
    </row>
    <row r="300" spans="2:44">
      <c r="B300" s="383"/>
      <c r="C300" s="397"/>
      <c r="D300" s="397"/>
      <c r="E300" s="397"/>
      <c r="F300" s="397"/>
      <c r="G300" s="422"/>
      <c r="H300" s="425"/>
      <c r="I300" s="425"/>
      <c r="J300" s="425"/>
      <c r="K300" s="426"/>
      <c r="L300" s="427"/>
      <c r="M300" s="428"/>
      <c r="N300" s="428"/>
    </row>
    <row r="301" spans="2:44">
      <c r="B301" s="383"/>
      <c r="C301" s="397"/>
      <c r="D301" s="397"/>
      <c r="E301" s="397"/>
      <c r="F301" s="397"/>
      <c r="G301" s="425"/>
      <c r="H301" s="425"/>
      <c r="I301" s="425"/>
      <c r="J301" s="425"/>
      <c r="K301" s="423"/>
      <c r="L301" s="427"/>
      <c r="M301" s="428"/>
      <c r="N301" s="428"/>
    </row>
    <row r="302" spans="2:44">
      <c r="B302" s="383"/>
      <c r="C302" s="397"/>
      <c r="D302" s="397"/>
      <c r="E302" s="397"/>
      <c r="F302" s="397"/>
      <c r="G302" s="425"/>
      <c r="H302" s="425"/>
      <c r="I302" s="425"/>
      <c r="J302" s="425"/>
      <c r="K302" s="423"/>
      <c r="L302" s="427"/>
      <c r="M302" s="428"/>
      <c r="N302" s="428"/>
    </row>
    <row r="303" spans="2:44">
      <c r="B303" s="383"/>
      <c r="C303" s="397"/>
      <c r="D303" s="397"/>
      <c r="E303" s="397"/>
      <c r="F303" s="397"/>
      <c r="G303" s="425"/>
      <c r="H303" s="425"/>
      <c r="I303" s="425"/>
      <c r="J303" s="425"/>
      <c r="K303" s="423"/>
      <c r="L303" s="427"/>
      <c r="M303" s="428"/>
      <c r="N303" s="428"/>
    </row>
    <row r="304" spans="2:44" ht="16" thickBot="1">
      <c r="B304" s="429"/>
      <c r="C304" s="397"/>
      <c r="D304" s="397"/>
      <c r="E304" s="397"/>
      <c r="F304" s="397"/>
      <c r="G304" s="425"/>
      <c r="H304" s="425"/>
      <c r="I304" s="425"/>
      <c r="J304" s="425"/>
      <c r="K304" s="423"/>
      <c r="L304" s="427"/>
      <c r="M304" s="428"/>
      <c r="N304" s="428"/>
    </row>
    <row r="305" spans="1:30" ht="16" thickBot="1">
      <c r="B305" s="431"/>
      <c r="C305" s="598"/>
      <c r="D305" s="584"/>
      <c r="E305" s="584"/>
      <c r="F305" s="599"/>
      <c r="G305" s="434"/>
      <c r="H305" s="406"/>
      <c r="I305" s="406"/>
      <c r="J305" s="406"/>
      <c r="K305" s="407"/>
      <c r="L305" s="587"/>
      <c r="M305" s="428"/>
      <c r="N305" s="428"/>
    </row>
    <row r="306" spans="1:30">
      <c r="A306" s="435"/>
      <c r="B306" s="436"/>
      <c r="C306" s="600"/>
      <c r="D306" s="600"/>
      <c r="E306" s="600"/>
      <c r="F306" s="600"/>
      <c r="G306" s="425"/>
      <c r="H306" s="425"/>
      <c r="I306" s="425"/>
      <c r="J306" s="425"/>
      <c r="K306" s="426"/>
      <c r="L306" s="440"/>
      <c r="M306" s="420"/>
      <c r="N306" s="420"/>
    </row>
    <row r="307" spans="1:30">
      <c r="B307" s="441"/>
      <c r="C307" s="601"/>
      <c r="D307" s="601"/>
      <c r="E307" s="601"/>
      <c r="F307" s="601"/>
      <c r="G307" s="425"/>
      <c r="H307" s="425"/>
      <c r="I307" s="425"/>
      <c r="J307" s="425"/>
      <c r="K307" s="444"/>
      <c r="L307" s="373"/>
      <c r="M307" s="71"/>
      <c r="N307" s="420"/>
    </row>
    <row r="308" spans="1:30">
      <c r="B308" s="441"/>
      <c r="C308" s="601"/>
      <c r="D308" s="601"/>
      <c r="E308" s="601"/>
      <c r="F308" s="601"/>
      <c r="G308" s="425"/>
      <c r="H308" s="425"/>
      <c r="I308" s="425"/>
      <c r="J308" s="425"/>
      <c r="K308" s="444"/>
      <c r="L308" s="373"/>
      <c r="M308" s="420"/>
      <c r="N308" s="420"/>
    </row>
    <row r="309" spans="1:30">
      <c r="B309" s="383"/>
      <c r="C309" s="602"/>
      <c r="D309" s="603"/>
      <c r="E309" s="603"/>
      <c r="F309" s="604"/>
      <c r="G309" s="425"/>
      <c r="H309" s="425"/>
      <c r="I309" s="425"/>
      <c r="J309" s="425"/>
      <c r="K309" s="444"/>
      <c r="L309" s="373"/>
      <c r="M309" s="420"/>
      <c r="N309" s="420"/>
    </row>
    <row r="310" spans="1:30">
      <c r="B310" s="383"/>
      <c r="C310" s="605"/>
      <c r="D310" s="605"/>
      <c r="E310" s="605"/>
      <c r="F310" s="605"/>
      <c r="G310" s="425"/>
      <c r="H310" s="425"/>
      <c r="I310" s="425"/>
      <c r="J310" s="425"/>
      <c r="K310" s="444"/>
      <c r="L310" s="373"/>
      <c r="M310" s="450"/>
      <c r="N310" s="361"/>
      <c r="P310" s="1142"/>
      <c r="Q310" s="1143"/>
      <c r="R310" s="1143"/>
      <c r="S310" s="1143"/>
      <c r="T310" s="1143"/>
      <c r="U310" s="1144"/>
    </row>
    <row r="311" spans="1:30" ht="16" thickBot="1">
      <c r="B311" s="541"/>
      <c r="C311" s="552"/>
      <c r="D311" s="552"/>
      <c r="E311" s="552"/>
      <c r="F311" s="552"/>
      <c r="G311" s="553"/>
      <c r="H311" s="553"/>
      <c r="I311" s="553"/>
      <c r="J311" s="553"/>
      <c r="K311" s="547"/>
      <c r="L311" s="548"/>
      <c r="M311" s="450"/>
      <c r="N311" s="361"/>
      <c r="P311" s="1134"/>
      <c r="Q311" s="1135"/>
      <c r="R311" s="1135"/>
      <c r="S311" s="1135"/>
      <c r="T311" s="1135"/>
      <c r="U311" s="1136"/>
    </row>
    <row r="312" spans="1:30">
      <c r="B312" s="541"/>
      <c r="C312" s="606"/>
      <c r="D312" s="606"/>
      <c r="E312" s="606"/>
      <c r="F312" s="606"/>
      <c r="G312" s="553"/>
      <c r="H312" s="553"/>
      <c r="I312" s="553"/>
      <c r="J312" s="553"/>
      <c r="K312" s="547"/>
      <c r="L312" s="548"/>
      <c r="M312" s="363"/>
      <c r="N312" s="363"/>
      <c r="P312" s="53"/>
    </row>
    <row r="313" spans="1:30">
      <c r="B313" s="541"/>
      <c r="C313" s="607"/>
      <c r="D313" s="547"/>
      <c r="E313" s="547"/>
      <c r="F313" s="563"/>
      <c r="G313" s="550"/>
      <c r="H313" s="550"/>
      <c r="I313" s="550"/>
      <c r="J313" s="550"/>
      <c r="K313" s="547"/>
      <c r="L313" s="608"/>
      <c r="M313" s="367"/>
      <c r="N313" s="367"/>
      <c r="P313" s="46"/>
      <c r="Q313" s="46"/>
      <c r="R313" s="47"/>
      <c r="S313" s="47"/>
      <c r="T313" s="47"/>
      <c r="U313" s="48"/>
      <c r="V313" s="49"/>
      <c r="W313" s="49"/>
      <c r="X313" s="49"/>
      <c r="Y313" s="49"/>
      <c r="Z313" s="49"/>
      <c r="AA313" s="49"/>
      <c r="AB313" s="49"/>
      <c r="AC313" s="49"/>
      <c r="AD313" s="49"/>
    </row>
    <row r="314" spans="1:30" ht="16" thickBot="1">
      <c r="B314" s="566"/>
      <c r="C314" s="607"/>
      <c r="D314" s="609"/>
      <c r="E314" s="609"/>
      <c r="F314" s="610"/>
      <c r="G314" s="550"/>
      <c r="H314" s="550"/>
      <c r="I314" s="550"/>
      <c r="J314" s="550"/>
      <c r="K314" s="547"/>
      <c r="L314" s="608"/>
      <c r="M314" s="363"/>
      <c r="N314" s="363"/>
      <c r="O314" s="71"/>
      <c r="P314" s="50"/>
      <c r="Q314" s="50"/>
      <c r="R314" s="51"/>
      <c r="S314" s="51"/>
      <c r="T314" s="51"/>
      <c r="U314" s="51"/>
      <c r="V314" s="50"/>
      <c r="W314" s="50"/>
      <c r="X314" s="50"/>
      <c r="Y314" s="50"/>
      <c r="Z314" s="50"/>
      <c r="AA314" s="50"/>
      <c r="AB314" s="50"/>
      <c r="AC314" s="50"/>
      <c r="AD314" s="50"/>
    </row>
    <row r="315" spans="1:30" ht="16" thickBot="1">
      <c r="B315" s="611"/>
      <c r="C315" s="612"/>
      <c r="D315" s="613"/>
      <c r="E315" s="614"/>
      <c r="F315" s="615"/>
      <c r="G315" s="540"/>
      <c r="H315" s="540"/>
      <c r="I315" s="540"/>
      <c r="J315" s="540"/>
      <c r="K315" s="616"/>
      <c r="L315" s="617"/>
      <c r="M315" s="363"/>
      <c r="N315" s="363"/>
      <c r="O315" s="461"/>
      <c r="P315" s="56"/>
      <c r="Q315" s="56"/>
      <c r="R315" s="57"/>
      <c r="S315" s="57"/>
      <c r="T315" s="57"/>
      <c r="U315" s="56"/>
      <c r="V315" s="56"/>
      <c r="W315" s="56"/>
      <c r="X315" s="56"/>
      <c r="Y315" s="56"/>
      <c r="Z315" s="56"/>
      <c r="AA315" s="56"/>
      <c r="AB315" s="56"/>
      <c r="AC315" s="56"/>
      <c r="AD315" s="56"/>
    </row>
    <row r="316" spans="1:30">
      <c r="B316" s="556"/>
      <c r="C316" s="618"/>
      <c r="D316" s="618"/>
      <c r="E316" s="618"/>
      <c r="F316" s="618"/>
      <c r="G316" s="618"/>
      <c r="H316" s="618"/>
      <c r="I316" s="618"/>
      <c r="J316" s="618"/>
      <c r="K316" s="618"/>
      <c r="L316" s="619"/>
      <c r="M316" s="363"/>
      <c r="N316" s="363"/>
      <c r="O316" s="620"/>
      <c r="P316" s="466"/>
      <c r="Q316" s="58"/>
      <c r="R316" s="466"/>
      <c r="S316" s="58"/>
      <c r="T316" s="466"/>
      <c r="U316" s="467"/>
      <c r="V316" s="467"/>
      <c r="W316" s="467"/>
      <c r="X316" s="58"/>
      <c r="Y316" s="58"/>
      <c r="Z316" s="466"/>
      <c r="AA316" s="468"/>
      <c r="AB316" s="468"/>
      <c r="AC316" s="468"/>
      <c r="AD316" s="468"/>
    </row>
    <row r="317" spans="1:30">
      <c r="B317" s="541"/>
      <c r="C317" s="558"/>
      <c r="D317" s="558"/>
      <c r="E317" s="558"/>
      <c r="F317" s="558"/>
      <c r="G317" s="563"/>
      <c r="H317" s="563"/>
      <c r="I317" s="563"/>
      <c r="J317" s="563"/>
      <c r="K317" s="563"/>
      <c r="L317" s="548"/>
      <c r="M317" s="363"/>
      <c r="N317" s="363"/>
      <c r="O317" s="620"/>
      <c r="P317" s="466"/>
      <c r="Q317" s="58"/>
      <c r="R317" s="466"/>
      <c r="S317" s="58"/>
      <c r="T317" s="466"/>
      <c r="U317" s="467"/>
      <c r="V317" s="467"/>
      <c r="W317" s="467"/>
      <c r="X317" s="58"/>
      <c r="Y317" s="58"/>
      <c r="Z317" s="466"/>
      <c r="AA317" s="468"/>
      <c r="AB317" s="468"/>
      <c r="AC317" s="468"/>
      <c r="AD317" s="468"/>
    </row>
    <row r="318" spans="1:30">
      <c r="B318" s="541"/>
      <c r="C318" s="558"/>
      <c r="D318" s="558"/>
      <c r="E318" s="558"/>
      <c r="F318" s="558"/>
      <c r="G318" s="563"/>
      <c r="H318" s="563"/>
      <c r="I318" s="563"/>
      <c r="J318" s="563"/>
      <c r="K318" s="563"/>
      <c r="L318" s="548"/>
      <c r="M318" s="363"/>
      <c r="N318" s="363"/>
      <c r="O318" s="620"/>
      <c r="P318" s="466"/>
      <c r="Q318" s="58"/>
      <c r="R318" s="466"/>
      <c r="S318" s="58"/>
      <c r="T318" s="466"/>
      <c r="U318" s="467"/>
      <c r="V318" s="467"/>
      <c r="W318" s="467"/>
      <c r="X318" s="58"/>
      <c r="Y318" s="58"/>
      <c r="Z318" s="466"/>
      <c r="AA318" s="468"/>
      <c r="AB318" s="468"/>
      <c r="AC318" s="468"/>
      <c r="AD318" s="468"/>
    </row>
    <row r="319" spans="1:30">
      <c r="B319" s="541"/>
      <c r="C319" s="564"/>
      <c r="D319" s="564"/>
      <c r="E319" s="564"/>
      <c r="F319" s="564"/>
      <c r="G319" s="621"/>
      <c r="H319" s="621"/>
      <c r="I319" s="621"/>
      <c r="J319" s="621"/>
      <c r="K319" s="621"/>
      <c r="L319" s="548"/>
      <c r="M319" s="363"/>
      <c r="N319" s="363"/>
      <c r="O319" s="620"/>
      <c r="P319" s="466"/>
      <c r="Q319" s="58"/>
      <c r="R319" s="466"/>
      <c r="S319" s="58"/>
      <c r="T319" s="466"/>
      <c r="U319" s="467"/>
      <c r="V319" s="467"/>
      <c r="W319" s="467"/>
      <c r="X319" s="58"/>
      <c r="Y319" s="58"/>
      <c r="Z319" s="466"/>
      <c r="AA319" s="468"/>
      <c r="AB319" s="468"/>
      <c r="AC319" s="468"/>
      <c r="AD319" s="468"/>
    </row>
    <row r="320" spans="1:30">
      <c r="B320" s="566"/>
      <c r="C320" s="558"/>
      <c r="D320" s="558"/>
      <c r="E320" s="558"/>
      <c r="F320" s="558"/>
      <c r="G320" s="563"/>
      <c r="H320" s="563"/>
      <c r="I320" s="563"/>
      <c r="J320" s="563"/>
      <c r="K320" s="563"/>
      <c r="L320" s="548"/>
      <c r="M320" s="367"/>
      <c r="N320" s="367"/>
    </row>
    <row r="321" spans="1:14">
      <c r="B321" s="566"/>
      <c r="C321" s="558"/>
      <c r="D321" s="558"/>
      <c r="E321" s="558"/>
      <c r="F321" s="558"/>
      <c r="G321" s="563"/>
      <c r="H321" s="563"/>
      <c r="I321" s="563"/>
      <c r="J321" s="563"/>
      <c r="K321" s="563"/>
      <c r="L321" s="548"/>
      <c r="M321" s="363"/>
      <c r="N321" s="363"/>
    </row>
    <row r="322" spans="1:14" ht="16" thickBot="1">
      <c r="B322" s="567"/>
      <c r="C322" s="622"/>
      <c r="D322" s="622"/>
      <c r="E322" s="622"/>
      <c r="F322" s="622"/>
      <c r="G322" s="623"/>
      <c r="H322" s="623"/>
      <c r="I322" s="623"/>
      <c r="J322" s="623"/>
      <c r="K322" s="623"/>
      <c r="L322" s="624"/>
      <c r="M322" s="363"/>
      <c r="N322" s="363"/>
    </row>
    <row r="323" spans="1:14">
      <c r="B323" s="461"/>
      <c r="C323" s="483"/>
      <c r="D323" s="483"/>
      <c r="E323" s="483"/>
      <c r="F323" s="483"/>
      <c r="G323" s="483"/>
      <c r="H323" s="484"/>
      <c r="I323" s="420"/>
      <c r="J323" s="420"/>
      <c r="K323" s="484"/>
      <c r="L323" s="484"/>
      <c r="N323" s="420"/>
    </row>
    <row r="324" spans="1:14">
      <c r="B324" s="485"/>
      <c r="C324" s="486"/>
      <c r="D324" s="486"/>
      <c r="E324" s="486"/>
      <c r="F324" s="486"/>
      <c r="G324" s="486"/>
      <c r="H324" s="484"/>
      <c r="I324" s="71"/>
      <c r="J324" s="420"/>
      <c r="K324" s="484"/>
      <c r="L324" s="484"/>
      <c r="N324" s="420"/>
    </row>
    <row r="325" spans="1:14">
      <c r="B325" s="461"/>
      <c r="C325" s="359"/>
      <c r="D325" s="359"/>
      <c r="E325" s="359"/>
      <c r="F325" s="359"/>
      <c r="G325" s="359"/>
      <c r="I325" s="420"/>
      <c r="J325" s="420"/>
      <c r="N325" s="420"/>
    </row>
    <row r="326" spans="1:14">
      <c r="B326" s="461"/>
      <c r="C326" s="487"/>
      <c r="D326" s="487"/>
      <c r="E326" s="487"/>
      <c r="F326" s="487"/>
      <c r="G326" s="359"/>
      <c r="M326" s="420"/>
      <c r="N326" s="420"/>
    </row>
    <row r="329" spans="1:14">
      <c r="A329" s="488"/>
      <c r="B329" s="489"/>
      <c r="D329" s="358"/>
      <c r="E329" s="358"/>
      <c r="F329" s="358"/>
      <c r="G329" s="358"/>
      <c r="H329" s="358"/>
      <c r="I329" s="358"/>
      <c r="J329" s="358"/>
      <c r="K329" s="358"/>
    </row>
    <row r="330" spans="1:14">
      <c r="A330" s="358"/>
      <c r="B330" s="490"/>
      <c r="E330" s="358"/>
      <c r="F330" s="358"/>
      <c r="G330" s="358"/>
      <c r="H330" s="358"/>
      <c r="I330" s="358"/>
      <c r="J330" s="358"/>
      <c r="K330" s="358"/>
    </row>
    <row r="331" spans="1:14">
      <c r="A331" s="358"/>
      <c r="B331" s="490"/>
      <c r="E331" s="358"/>
      <c r="F331" s="358"/>
      <c r="G331" s="358"/>
      <c r="H331" s="358"/>
      <c r="I331" s="358"/>
      <c r="J331" s="358"/>
      <c r="K331" s="358"/>
    </row>
    <row r="332" spans="1:14">
      <c r="A332" s="358"/>
      <c r="B332" s="490"/>
      <c r="E332" s="358"/>
      <c r="F332" s="358"/>
      <c r="G332" s="358"/>
      <c r="H332" s="358"/>
      <c r="I332" s="358"/>
      <c r="J332" s="358"/>
      <c r="K332" s="358"/>
    </row>
    <row r="333" spans="1:14">
      <c r="A333" s="358"/>
      <c r="B333" s="490"/>
      <c r="E333" s="358"/>
      <c r="F333" s="358"/>
      <c r="G333" s="358"/>
      <c r="H333" s="358"/>
      <c r="I333" s="358"/>
      <c r="J333" s="358"/>
      <c r="K333" s="358"/>
    </row>
    <row r="334" spans="1:14">
      <c r="A334" s="358"/>
      <c r="B334" s="490"/>
      <c r="E334" s="358"/>
      <c r="F334" s="358"/>
      <c r="G334" s="358"/>
      <c r="H334" s="358"/>
      <c r="I334" s="358"/>
      <c r="J334" s="358"/>
      <c r="K334" s="358"/>
    </row>
    <row r="335" spans="1:14">
      <c r="A335" s="358"/>
      <c r="B335" s="490"/>
      <c r="E335" s="358"/>
      <c r="F335" s="358"/>
      <c r="G335" s="358"/>
      <c r="H335" s="358"/>
      <c r="I335" s="358"/>
      <c r="J335" s="358"/>
      <c r="K335" s="358"/>
    </row>
    <row r="336" spans="1:14">
      <c r="A336" s="358"/>
      <c r="B336" s="490"/>
      <c r="E336" s="358"/>
      <c r="F336" s="358"/>
      <c r="G336" s="358"/>
      <c r="H336" s="358"/>
      <c r="I336" s="358"/>
      <c r="J336" s="358"/>
      <c r="K336" s="358"/>
    </row>
    <row r="337" spans="1:11">
      <c r="A337" s="358"/>
      <c r="B337" s="625"/>
      <c r="E337" s="358"/>
      <c r="F337" s="358"/>
      <c r="G337" s="358"/>
      <c r="H337" s="358"/>
      <c r="I337" s="358"/>
      <c r="J337" s="358"/>
      <c r="K337" s="358"/>
    </row>
    <row r="338" spans="1:11">
      <c r="A338" s="358"/>
      <c r="B338" s="490"/>
      <c r="E338" s="358"/>
      <c r="F338" s="358"/>
      <c r="G338" s="358"/>
      <c r="H338" s="358"/>
      <c r="I338" s="358"/>
      <c r="J338" s="358"/>
      <c r="K338" s="358"/>
    </row>
    <row r="339" spans="1:11">
      <c r="A339" s="488"/>
      <c r="B339" s="489"/>
      <c r="E339" s="358"/>
      <c r="F339" s="358"/>
      <c r="G339" s="358"/>
      <c r="H339" s="358"/>
      <c r="I339" s="358"/>
      <c r="J339" s="358"/>
      <c r="K339" s="358"/>
    </row>
    <row r="340" spans="1:11">
      <c r="A340" s="496"/>
      <c r="B340" s="490"/>
      <c r="C340" s="489"/>
      <c r="E340" s="358"/>
      <c r="F340" s="358"/>
      <c r="G340" s="358"/>
      <c r="H340" s="358"/>
      <c r="I340" s="358"/>
      <c r="J340" s="358"/>
      <c r="K340" s="358"/>
    </row>
    <row r="341" spans="1:11">
      <c r="A341" s="496"/>
      <c r="B341" s="490"/>
      <c r="C341" s="489"/>
      <c r="E341" s="358"/>
      <c r="F341" s="358"/>
      <c r="G341" s="358"/>
      <c r="H341" s="358"/>
      <c r="I341" s="358"/>
      <c r="J341" s="358"/>
      <c r="K341" s="358"/>
    </row>
    <row r="342" spans="1:11">
      <c r="A342" s="496"/>
      <c r="B342" s="490"/>
      <c r="C342" s="489"/>
      <c r="E342" s="358"/>
      <c r="F342" s="358"/>
      <c r="G342" s="358"/>
      <c r="H342" s="358"/>
      <c r="I342" s="358"/>
      <c r="J342" s="358"/>
      <c r="K342" s="358"/>
    </row>
    <row r="343" spans="1:11">
      <c r="A343" s="496"/>
      <c r="B343" s="490"/>
      <c r="C343" s="489"/>
      <c r="E343" s="358"/>
      <c r="F343" s="358"/>
      <c r="G343" s="358"/>
      <c r="H343" s="358"/>
      <c r="I343" s="358"/>
      <c r="J343" s="358"/>
      <c r="K343" s="358"/>
    </row>
    <row r="344" spans="1:11" ht="15.75" customHeight="1">
      <c r="A344" s="496"/>
      <c r="B344" s="490"/>
      <c r="C344" s="489"/>
      <c r="E344" s="358"/>
      <c r="F344" s="358"/>
      <c r="G344" s="358"/>
      <c r="H344" s="358"/>
      <c r="I344" s="358"/>
      <c r="J344" s="358"/>
      <c r="K344" s="358"/>
    </row>
    <row r="345" spans="1:11" ht="15.75" customHeight="1">
      <c r="A345" s="496"/>
      <c r="B345" s="490"/>
      <c r="C345" s="489"/>
      <c r="E345" s="358"/>
      <c r="F345" s="358"/>
      <c r="G345" s="358"/>
      <c r="H345" s="358"/>
      <c r="I345" s="358"/>
      <c r="J345" s="358"/>
      <c r="K345" s="358"/>
    </row>
  </sheetData>
  <mergeCells count="396">
    <mergeCell ref="P310:U310"/>
    <mergeCell ref="P311:U311"/>
    <mergeCell ref="AM291:AM295"/>
    <mergeCell ref="AN291:AN295"/>
    <mergeCell ref="AO291:AO295"/>
    <mergeCell ref="AP291:AP295"/>
    <mergeCell ref="AQ291:AQ295"/>
    <mergeCell ref="AR291:AR295"/>
    <mergeCell ref="AC291:AC295"/>
    <mergeCell ref="AF291:AF295"/>
    <mergeCell ref="AI291:AI295"/>
    <mergeCell ref="AJ291:AJ295"/>
    <mergeCell ref="AK291:AK295"/>
    <mergeCell ref="AL291:AL295"/>
    <mergeCell ref="W291:W295"/>
    <mergeCell ref="X291:X295"/>
    <mergeCell ref="Y291:Y295"/>
    <mergeCell ref="Z291:Z295"/>
    <mergeCell ref="AA291:AA295"/>
    <mergeCell ref="AB291:AB295"/>
    <mergeCell ref="AM288:AM290"/>
    <mergeCell ref="AN288:AN290"/>
    <mergeCell ref="AO288:AO290"/>
    <mergeCell ref="AP288:AP290"/>
    <mergeCell ref="AQ288:AQ290"/>
    <mergeCell ref="AR288:AR290"/>
    <mergeCell ref="AE288:AE296"/>
    <mergeCell ref="AF288:AF290"/>
    <mergeCell ref="AI288:AI290"/>
    <mergeCell ref="AJ288:AJ290"/>
    <mergeCell ref="AK288:AK290"/>
    <mergeCell ref="AL288:AL290"/>
    <mergeCell ref="X288:X290"/>
    <mergeCell ref="Y288:Y290"/>
    <mergeCell ref="Z288:Z290"/>
    <mergeCell ref="AA288:AA290"/>
    <mergeCell ref="AB288:AB290"/>
    <mergeCell ref="AC288:AC290"/>
    <mergeCell ref="P288:P296"/>
    <mergeCell ref="Q288:Q290"/>
    <mergeCell ref="T288:T290"/>
    <mergeCell ref="U288:U290"/>
    <mergeCell ref="V288:V290"/>
    <mergeCell ref="W288:W290"/>
    <mergeCell ref="Q291:Q295"/>
    <mergeCell ref="T291:T295"/>
    <mergeCell ref="U291:U295"/>
    <mergeCell ref="V291:V295"/>
    <mergeCell ref="AQ284:AR286"/>
    <mergeCell ref="B285:B286"/>
    <mergeCell ref="C285:C286"/>
    <mergeCell ref="D285:D286"/>
    <mergeCell ref="E285:E286"/>
    <mergeCell ref="F285:F286"/>
    <mergeCell ref="G285:H285"/>
    <mergeCell ref="I285:J285"/>
    <mergeCell ref="K285:K286"/>
    <mergeCell ref="Z284:AA286"/>
    <mergeCell ref="AB284:AC286"/>
    <mergeCell ref="AH284:AH287"/>
    <mergeCell ref="AI284:AJ286"/>
    <mergeCell ref="AK284:AL286"/>
    <mergeCell ref="AM284:AN286"/>
    <mergeCell ref="AE285:AE287"/>
    <mergeCell ref="AF286:AF287"/>
    <mergeCell ref="AG286:AG287"/>
    <mergeCell ref="AN222:AN224"/>
    <mergeCell ref="AO222:AO224"/>
    <mergeCell ref="AP222:AP224"/>
    <mergeCell ref="P245:U245"/>
    <mergeCell ref="C284:L284"/>
    <mergeCell ref="S284:S287"/>
    <mergeCell ref="T284:U286"/>
    <mergeCell ref="V284:W286"/>
    <mergeCell ref="X284:Y286"/>
    <mergeCell ref="L285:L286"/>
    <mergeCell ref="P285:P287"/>
    <mergeCell ref="Q286:Q287"/>
    <mergeCell ref="R286:R287"/>
    <mergeCell ref="AO284:AP286"/>
    <mergeCell ref="P244:U244"/>
    <mergeCell ref="AF225:AF229"/>
    <mergeCell ref="AI225:AI229"/>
    <mergeCell ref="AJ225:AJ229"/>
    <mergeCell ref="AK225:AK229"/>
    <mergeCell ref="AL225:AL229"/>
    <mergeCell ref="AM225:AM229"/>
    <mergeCell ref="X225:X229"/>
    <mergeCell ref="Y225:Y229"/>
    <mergeCell ref="Z225:Z229"/>
    <mergeCell ref="AA225:AA229"/>
    <mergeCell ref="AB225:AB229"/>
    <mergeCell ref="AC225:AC229"/>
    <mergeCell ref="P222:P230"/>
    <mergeCell ref="Q222:Q224"/>
    <mergeCell ref="T222:T224"/>
    <mergeCell ref="U222:U224"/>
    <mergeCell ref="V222:V224"/>
    <mergeCell ref="W222:W224"/>
    <mergeCell ref="X222:X224"/>
    <mergeCell ref="AQ222:AQ224"/>
    <mergeCell ref="AR222:AR224"/>
    <mergeCell ref="Q225:Q229"/>
    <mergeCell ref="T225:T229"/>
    <mergeCell ref="U225:U229"/>
    <mergeCell ref="V225:V229"/>
    <mergeCell ref="W225:W229"/>
    <mergeCell ref="AF222:AF224"/>
    <mergeCell ref="AI222:AI224"/>
    <mergeCell ref="AJ222:AJ224"/>
    <mergeCell ref="AK222:AK224"/>
    <mergeCell ref="AL222:AL224"/>
    <mergeCell ref="AM222:AM224"/>
    <mergeCell ref="Y222:Y224"/>
    <mergeCell ref="Z222:Z224"/>
    <mergeCell ref="AA222:AA224"/>
    <mergeCell ref="AB222:AB224"/>
    <mergeCell ref="AC222:AC224"/>
    <mergeCell ref="AE222:AE230"/>
    <mergeCell ref="AN225:AN229"/>
    <mergeCell ref="AO225:AO229"/>
    <mergeCell ref="AP225:AP229"/>
    <mergeCell ref="AQ225:AQ229"/>
    <mergeCell ref="AR225:AR229"/>
    <mergeCell ref="AM218:AN220"/>
    <mergeCell ref="AO218:AP220"/>
    <mergeCell ref="AQ218:AR220"/>
    <mergeCell ref="B219:B220"/>
    <mergeCell ref="C219:C220"/>
    <mergeCell ref="D219:D220"/>
    <mergeCell ref="E219:E220"/>
    <mergeCell ref="F219:F220"/>
    <mergeCell ref="G219:H219"/>
    <mergeCell ref="I219:J219"/>
    <mergeCell ref="X218:Y220"/>
    <mergeCell ref="Z218:AA220"/>
    <mergeCell ref="AB218:AC220"/>
    <mergeCell ref="AH218:AH221"/>
    <mergeCell ref="AI218:AJ220"/>
    <mergeCell ref="AK218:AL220"/>
    <mergeCell ref="AE219:AE221"/>
    <mergeCell ref="R220:R221"/>
    <mergeCell ref="AF220:AF221"/>
    <mergeCell ref="AG220:AG221"/>
    <mergeCell ref="P177:U177"/>
    <mergeCell ref="P178:U178"/>
    <mergeCell ref="C218:L218"/>
    <mergeCell ref="S218:S221"/>
    <mergeCell ref="T218:U220"/>
    <mergeCell ref="V218:W220"/>
    <mergeCell ref="K219:K220"/>
    <mergeCell ref="L219:L220"/>
    <mergeCell ref="P219:P221"/>
    <mergeCell ref="Q220:Q221"/>
    <mergeCell ref="X158:X162"/>
    <mergeCell ref="Y158:Y162"/>
    <mergeCell ref="Z158:Z162"/>
    <mergeCell ref="AA158:AA162"/>
    <mergeCell ref="AB158:AB162"/>
    <mergeCell ref="AM155:AM157"/>
    <mergeCell ref="AN155:AN157"/>
    <mergeCell ref="AO155:AO157"/>
    <mergeCell ref="X155:X157"/>
    <mergeCell ref="Y155:Y157"/>
    <mergeCell ref="Z155:Z157"/>
    <mergeCell ref="AA155:AA157"/>
    <mergeCell ref="AB155:AB157"/>
    <mergeCell ref="AC155:AC157"/>
    <mergeCell ref="AM158:AM162"/>
    <mergeCell ref="AN158:AN162"/>
    <mergeCell ref="AO158:AO162"/>
    <mergeCell ref="AC158:AC162"/>
    <mergeCell ref="AF158:AF162"/>
    <mergeCell ref="AI158:AI162"/>
    <mergeCell ref="AJ158:AJ162"/>
    <mergeCell ref="AK158:AK162"/>
    <mergeCell ref="AL158:AL162"/>
    <mergeCell ref="AP155:AP157"/>
    <mergeCell ref="AQ155:AQ157"/>
    <mergeCell ref="AR155:AR157"/>
    <mergeCell ref="AE155:AE163"/>
    <mergeCell ref="AF155:AF157"/>
    <mergeCell ref="AI155:AI157"/>
    <mergeCell ref="AJ155:AJ157"/>
    <mergeCell ref="AK155:AK157"/>
    <mergeCell ref="AL155:AL157"/>
    <mergeCell ref="AP158:AP162"/>
    <mergeCell ref="AQ158:AQ162"/>
    <mergeCell ref="AR158:AR162"/>
    <mergeCell ref="P155:P163"/>
    <mergeCell ref="Q155:Q157"/>
    <mergeCell ref="T155:T157"/>
    <mergeCell ref="U155:U157"/>
    <mergeCell ref="V155:V157"/>
    <mergeCell ref="W155:W157"/>
    <mergeCell ref="Q158:Q162"/>
    <mergeCell ref="T158:T162"/>
    <mergeCell ref="U158:U162"/>
    <mergeCell ref="V158:V162"/>
    <mergeCell ref="W158:W162"/>
    <mergeCell ref="AQ151:AR153"/>
    <mergeCell ref="B152:B153"/>
    <mergeCell ref="C152:C153"/>
    <mergeCell ref="D152:D153"/>
    <mergeCell ref="E152:E153"/>
    <mergeCell ref="F152:F153"/>
    <mergeCell ref="G152:H152"/>
    <mergeCell ref="I152:J152"/>
    <mergeCell ref="K152:K153"/>
    <mergeCell ref="L152:L153"/>
    <mergeCell ref="AB151:AC153"/>
    <mergeCell ref="AH151:AH154"/>
    <mergeCell ref="AI151:AJ153"/>
    <mergeCell ref="AK151:AL153"/>
    <mergeCell ref="AM151:AN153"/>
    <mergeCell ref="AO151:AP153"/>
    <mergeCell ref="AE152:AE154"/>
    <mergeCell ref="AF153:AF154"/>
    <mergeCell ref="AG153:AG154"/>
    <mergeCell ref="C151:L151"/>
    <mergeCell ref="S151:S154"/>
    <mergeCell ref="T151:U153"/>
    <mergeCell ref="V151:W153"/>
    <mergeCell ref="X151:Y153"/>
    <mergeCell ref="Z151:AA153"/>
    <mergeCell ref="P152:P154"/>
    <mergeCell ref="Q153:Q154"/>
    <mergeCell ref="R153:R154"/>
    <mergeCell ref="P105:U105"/>
    <mergeCell ref="P106:U106"/>
    <mergeCell ref="B149:B150"/>
    <mergeCell ref="C149:M149"/>
    <mergeCell ref="P149:U149"/>
    <mergeCell ref="C150:M150"/>
    <mergeCell ref="P150:U150"/>
    <mergeCell ref="X86:X90"/>
    <mergeCell ref="Y86:Y90"/>
    <mergeCell ref="Z86:Z90"/>
    <mergeCell ref="AA86:AA90"/>
    <mergeCell ref="AB86:AB90"/>
    <mergeCell ref="AM83:AM85"/>
    <mergeCell ref="AN83:AN85"/>
    <mergeCell ref="AO83:AO85"/>
    <mergeCell ref="X83:X85"/>
    <mergeCell ref="Y83:Y85"/>
    <mergeCell ref="Z83:Z85"/>
    <mergeCell ref="AA83:AA85"/>
    <mergeCell ref="AB83:AB85"/>
    <mergeCell ref="AC83:AC85"/>
    <mergeCell ref="AM86:AM90"/>
    <mergeCell ref="AN86:AN90"/>
    <mergeCell ref="AO86:AO90"/>
    <mergeCell ref="AC86:AC90"/>
    <mergeCell ref="AF86:AF90"/>
    <mergeCell ref="AI86:AI90"/>
    <mergeCell ref="AJ86:AJ90"/>
    <mergeCell ref="AK86:AK90"/>
    <mergeCell ref="AL86:AL90"/>
    <mergeCell ref="AP83:AP85"/>
    <mergeCell ref="AQ83:AQ85"/>
    <mergeCell ref="AR83:AR85"/>
    <mergeCell ref="AE83:AE91"/>
    <mergeCell ref="AF83:AF85"/>
    <mergeCell ref="AI83:AI85"/>
    <mergeCell ref="AJ83:AJ85"/>
    <mergeCell ref="AK83:AK85"/>
    <mergeCell ref="AL83:AL85"/>
    <mergeCell ref="AP86:AP90"/>
    <mergeCell ref="AQ86:AQ90"/>
    <mergeCell ref="AR86:AR90"/>
    <mergeCell ref="P83:P91"/>
    <mergeCell ref="Q83:Q85"/>
    <mergeCell ref="T83:T85"/>
    <mergeCell ref="U83:U85"/>
    <mergeCell ref="V83:V85"/>
    <mergeCell ref="W83:W85"/>
    <mergeCell ref="Q86:Q90"/>
    <mergeCell ref="T86:T90"/>
    <mergeCell ref="U86:U90"/>
    <mergeCell ref="V86:V90"/>
    <mergeCell ref="W86:W90"/>
    <mergeCell ref="AQ79:AR81"/>
    <mergeCell ref="B80:B81"/>
    <mergeCell ref="C80:C81"/>
    <mergeCell ref="D80:D81"/>
    <mergeCell ref="E80:E81"/>
    <mergeCell ref="F80:F81"/>
    <mergeCell ref="G80:H80"/>
    <mergeCell ref="I80:J80"/>
    <mergeCell ref="K80:K81"/>
    <mergeCell ref="L80:L81"/>
    <mergeCell ref="AB79:AC81"/>
    <mergeCell ref="AH79:AH82"/>
    <mergeCell ref="AI79:AJ81"/>
    <mergeCell ref="AK79:AL81"/>
    <mergeCell ref="AM79:AN81"/>
    <mergeCell ref="AO79:AP81"/>
    <mergeCell ref="AE80:AE82"/>
    <mergeCell ref="AF81:AF82"/>
    <mergeCell ref="AG81:AG82"/>
    <mergeCell ref="C79:L79"/>
    <mergeCell ref="S79:S82"/>
    <mergeCell ref="T79:U81"/>
    <mergeCell ref="V79:W81"/>
    <mergeCell ref="X79:Y81"/>
    <mergeCell ref="Z79:AA81"/>
    <mergeCell ref="P80:P82"/>
    <mergeCell ref="Q81:Q82"/>
    <mergeCell ref="R81:R82"/>
    <mergeCell ref="C23:F27"/>
    <mergeCell ref="P33:U33"/>
    <mergeCell ref="P34:U34"/>
    <mergeCell ref="C42:F42"/>
    <mergeCell ref="B77:B78"/>
    <mergeCell ref="C77:M77"/>
    <mergeCell ref="P77:U77"/>
    <mergeCell ref="C78:M78"/>
    <mergeCell ref="P78:U78"/>
    <mergeCell ref="X14:X18"/>
    <mergeCell ref="Y14:Y18"/>
    <mergeCell ref="Z14:Z18"/>
    <mergeCell ref="AA14:AA18"/>
    <mergeCell ref="AB14:AB18"/>
    <mergeCell ref="AM11:AM13"/>
    <mergeCell ref="AN11:AN13"/>
    <mergeCell ref="AO11:AO13"/>
    <mergeCell ref="X11:X13"/>
    <mergeCell ref="Y11:Y13"/>
    <mergeCell ref="Z11:Z13"/>
    <mergeCell ref="AA11:AA13"/>
    <mergeCell ref="AB11:AB13"/>
    <mergeCell ref="AC11:AC13"/>
    <mergeCell ref="AM14:AM18"/>
    <mergeCell ref="AN14:AN18"/>
    <mergeCell ref="AO14:AO18"/>
    <mergeCell ref="AC14:AC18"/>
    <mergeCell ref="AF14:AF18"/>
    <mergeCell ref="AI14:AI18"/>
    <mergeCell ref="AJ14:AJ18"/>
    <mergeCell ref="AK14:AK18"/>
    <mergeCell ref="AL14:AL18"/>
    <mergeCell ref="AP11:AP13"/>
    <mergeCell ref="AQ11:AQ13"/>
    <mergeCell ref="AR11:AR13"/>
    <mergeCell ref="AE11:AE19"/>
    <mergeCell ref="AF11:AF13"/>
    <mergeCell ref="AI11:AI13"/>
    <mergeCell ref="AJ11:AJ13"/>
    <mergeCell ref="AK11:AK13"/>
    <mergeCell ref="AL11:AL13"/>
    <mergeCell ref="AP14:AP18"/>
    <mergeCell ref="AQ14:AQ18"/>
    <mergeCell ref="AR14:AR18"/>
    <mergeCell ref="P11:P19"/>
    <mergeCell ref="Q11:Q13"/>
    <mergeCell ref="T11:T13"/>
    <mergeCell ref="U11:U13"/>
    <mergeCell ref="V11:V13"/>
    <mergeCell ref="W11:W13"/>
    <mergeCell ref="Q14:Q18"/>
    <mergeCell ref="T14:T18"/>
    <mergeCell ref="U14:U18"/>
    <mergeCell ref="V14:V18"/>
    <mergeCell ref="W14:W18"/>
    <mergeCell ref="AQ7:AR9"/>
    <mergeCell ref="B8:B9"/>
    <mergeCell ref="C8:C9"/>
    <mergeCell ref="D8:D9"/>
    <mergeCell ref="E8:E9"/>
    <mergeCell ref="F8:F9"/>
    <mergeCell ref="G8:H8"/>
    <mergeCell ref="V7:W9"/>
    <mergeCell ref="X7:Y9"/>
    <mergeCell ref="Z7:AA9"/>
    <mergeCell ref="AB7:AC9"/>
    <mergeCell ref="AH7:AH10"/>
    <mergeCell ref="AI7:AJ9"/>
    <mergeCell ref="AG9:AG10"/>
    <mergeCell ref="L8:L9"/>
    <mergeCell ref="P8:P10"/>
    <mergeCell ref="AE8:AE10"/>
    <mergeCell ref="Q9:Q10"/>
    <mergeCell ref="R9:R10"/>
    <mergeCell ref="AF9:AF10"/>
    <mergeCell ref="AK7:AL9"/>
    <mergeCell ref="AM7:AN9"/>
    <mergeCell ref="AO7:AP9"/>
    <mergeCell ref="B5:B6"/>
    <mergeCell ref="C5:M5"/>
    <mergeCell ref="P5:U5"/>
    <mergeCell ref="C6:M6"/>
    <mergeCell ref="C7:L7"/>
    <mergeCell ref="S7:S10"/>
    <mergeCell ref="T7:U9"/>
    <mergeCell ref="I8:J8"/>
    <mergeCell ref="K8:K9"/>
  </mergeCells>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E75FB9-0252-4A71-8065-78144AA0A5A9}">
  <sheetPr>
    <tabColor theme="3"/>
  </sheetPr>
  <dimension ref="A2:AR345"/>
  <sheetViews>
    <sheetView topLeftCell="M10" zoomScale="85" zoomScaleNormal="85" workbookViewId="0">
      <selection activeCell="AE29" sqref="AE29"/>
    </sheetView>
  </sheetViews>
  <sheetFormatPr baseColWidth="10" defaultColWidth="8.83203125" defaultRowHeight="15" outlineLevelRow="1"/>
  <cols>
    <col min="1" max="1" width="35" style="224" bestFit="1" customWidth="1"/>
    <col min="2" max="2" width="63.5" style="224" bestFit="1" customWidth="1"/>
    <col min="3" max="6" width="11" style="224" bestFit="1" customWidth="1"/>
    <col min="7" max="12" width="11" style="224" customWidth="1"/>
    <col min="13" max="13" width="8.83203125" style="224"/>
    <col min="14" max="14" width="4.5" style="224" customWidth="1"/>
    <col min="15" max="15" width="15.83203125" style="224" customWidth="1"/>
    <col min="16" max="16384" width="8.83203125" style="224"/>
  </cols>
  <sheetData>
    <row r="2" spans="1:44">
      <c r="B2" s="638" t="str">
        <f>C7</f>
        <v>Hotdisc</v>
      </c>
    </row>
    <row r="4" spans="1:44" ht="25" customHeight="1">
      <c r="E4" s="224" t="s">
        <v>358</v>
      </c>
      <c r="F4" s="359">
        <v>7.45</v>
      </c>
      <c r="G4" s="359" t="s">
        <v>328</v>
      </c>
    </row>
    <row r="5" spans="1:44" ht="15" customHeight="1">
      <c r="A5" s="360" t="s">
        <v>970</v>
      </c>
      <c r="B5" s="1207"/>
      <c r="C5" s="1143"/>
      <c r="D5" s="1143"/>
      <c r="E5" s="1143"/>
      <c r="F5" s="1143"/>
      <c r="G5" s="1143"/>
      <c r="H5" s="1143"/>
      <c r="I5" s="1143"/>
      <c r="J5" s="1143"/>
      <c r="K5" s="1143"/>
      <c r="L5" s="1143"/>
      <c r="M5" s="1143"/>
      <c r="N5" s="361"/>
      <c r="P5" s="1143"/>
      <c r="Q5" s="1143"/>
      <c r="R5" s="1143"/>
      <c r="S5" s="1143"/>
      <c r="T5" s="1143"/>
      <c r="U5" s="1143"/>
    </row>
    <row r="6" spans="1:44" ht="15.75" customHeight="1" outlineLevel="1" thickBot="1">
      <c r="B6" s="1207"/>
      <c r="C6" s="1143"/>
      <c r="D6" s="1143"/>
      <c r="E6" s="1143"/>
      <c r="F6" s="1143"/>
      <c r="G6" s="1143"/>
      <c r="H6" s="1143"/>
      <c r="I6" s="1143"/>
      <c r="J6" s="1143"/>
      <c r="K6" s="1143"/>
      <c r="L6" s="1143"/>
      <c r="M6" s="1143"/>
      <c r="N6" s="361"/>
      <c r="P6" s="692">
        <v>1</v>
      </c>
      <c r="Q6" s="692">
        <v>2</v>
      </c>
      <c r="R6" s="692">
        <v>3</v>
      </c>
      <c r="S6" s="692">
        <v>4</v>
      </c>
      <c r="T6" s="692">
        <v>5</v>
      </c>
      <c r="U6" s="692">
        <v>6</v>
      </c>
      <c r="V6" s="692">
        <v>7</v>
      </c>
      <c r="W6" s="692">
        <v>8</v>
      </c>
      <c r="X6" s="692">
        <v>9</v>
      </c>
      <c r="Y6" s="692">
        <v>10</v>
      </c>
      <c r="Z6" s="692">
        <v>11</v>
      </c>
      <c r="AA6" s="692">
        <v>12</v>
      </c>
      <c r="AB6" s="692">
        <v>13</v>
      </c>
      <c r="AC6" s="692">
        <v>14</v>
      </c>
    </row>
    <row r="7" spans="1:44" ht="20.25" customHeight="1" outlineLevel="1" thickBot="1">
      <c r="B7" s="362" t="s">
        <v>0</v>
      </c>
      <c r="C7" s="1223" t="s">
        <v>920</v>
      </c>
      <c r="D7" s="1224"/>
      <c r="E7" s="1224"/>
      <c r="F7" s="1224"/>
      <c r="G7" s="1224"/>
      <c r="H7" s="1224"/>
      <c r="I7" s="1224"/>
      <c r="J7" s="1224"/>
      <c r="K7" s="1224"/>
      <c r="L7" s="1225"/>
      <c r="M7" s="363"/>
      <c r="N7" s="363"/>
      <c r="P7" s="364" t="s">
        <v>713</v>
      </c>
      <c r="Q7" s="365"/>
      <c r="R7" s="366"/>
      <c r="S7" s="1176" t="s">
        <v>714</v>
      </c>
      <c r="T7" s="1160" t="s">
        <v>715</v>
      </c>
      <c r="U7" s="1161"/>
      <c r="V7" s="1160" t="s">
        <v>716</v>
      </c>
      <c r="W7" s="1161"/>
      <c r="X7" s="1160" t="s">
        <v>717</v>
      </c>
      <c r="Y7" s="1161"/>
      <c r="Z7" s="1160" t="s">
        <v>718</v>
      </c>
      <c r="AA7" s="1161"/>
      <c r="AB7" s="1160" t="s">
        <v>719</v>
      </c>
      <c r="AC7" s="1161"/>
      <c r="AE7" s="364" t="s">
        <v>720</v>
      </c>
      <c r="AF7" s="365"/>
      <c r="AG7" s="366"/>
      <c r="AH7" s="1176" t="s">
        <v>714</v>
      </c>
      <c r="AI7" s="1160" t="s">
        <v>715</v>
      </c>
      <c r="AJ7" s="1161"/>
      <c r="AK7" s="1160" t="s">
        <v>716</v>
      </c>
      <c r="AL7" s="1161"/>
      <c r="AM7" s="1160" t="s">
        <v>717</v>
      </c>
      <c r="AN7" s="1161"/>
      <c r="AO7" s="1160" t="s">
        <v>718</v>
      </c>
      <c r="AP7" s="1161"/>
      <c r="AQ7" s="1160" t="s">
        <v>719</v>
      </c>
      <c r="AR7" s="1161"/>
    </row>
    <row r="8" spans="1:44" ht="15" customHeight="1" outlineLevel="1" thickBot="1">
      <c r="B8" s="1164" t="s">
        <v>4</v>
      </c>
      <c r="C8" s="1166">
        <v>2020</v>
      </c>
      <c r="D8" s="1166">
        <v>2030</v>
      </c>
      <c r="E8" s="1166">
        <v>2040</v>
      </c>
      <c r="F8" s="1166">
        <v>2050</v>
      </c>
      <c r="G8" s="1230" t="s">
        <v>721</v>
      </c>
      <c r="H8" s="1218"/>
      <c r="I8" s="1217" t="s">
        <v>648</v>
      </c>
      <c r="J8" s="1226"/>
      <c r="K8" s="1219" t="s">
        <v>2</v>
      </c>
      <c r="L8" s="1219" t="s">
        <v>3</v>
      </c>
      <c r="M8" s="367"/>
      <c r="N8" s="367"/>
      <c r="P8" s="1180" t="s">
        <v>0</v>
      </c>
      <c r="Q8" s="368"/>
      <c r="R8" s="368"/>
      <c r="S8" s="1177"/>
      <c r="T8" s="1162"/>
      <c r="U8" s="1163"/>
      <c r="V8" s="1162"/>
      <c r="W8" s="1163"/>
      <c r="X8" s="1162"/>
      <c r="Y8" s="1163"/>
      <c r="Z8" s="1162"/>
      <c r="AA8" s="1163"/>
      <c r="AB8" s="1162"/>
      <c r="AC8" s="1163"/>
      <c r="AE8" s="1180" t="s">
        <v>0</v>
      </c>
      <c r="AF8" s="368"/>
      <c r="AG8" s="368"/>
      <c r="AH8" s="1177"/>
      <c r="AI8" s="1162"/>
      <c r="AJ8" s="1163"/>
      <c r="AK8" s="1162"/>
      <c r="AL8" s="1163"/>
      <c r="AM8" s="1162"/>
      <c r="AN8" s="1163"/>
      <c r="AO8" s="1162"/>
      <c r="AP8" s="1163"/>
      <c r="AQ8" s="1162"/>
      <c r="AR8" s="1163"/>
    </row>
    <row r="9" spans="1:44" ht="16" outlineLevel="1" thickBot="1">
      <c r="B9" s="1228"/>
      <c r="C9" s="1229"/>
      <c r="D9" s="1229"/>
      <c r="E9" s="1229"/>
      <c r="F9" s="1229"/>
      <c r="G9" s="369" t="s">
        <v>649</v>
      </c>
      <c r="H9" s="369" t="s">
        <v>650</v>
      </c>
      <c r="I9" s="369" t="s">
        <v>649</v>
      </c>
      <c r="J9" s="369" t="s">
        <v>650</v>
      </c>
      <c r="K9" s="1227"/>
      <c r="L9" s="1227"/>
      <c r="M9" s="370"/>
      <c r="N9" s="370"/>
      <c r="P9" s="1181"/>
      <c r="Q9" s="1183" t="s">
        <v>722</v>
      </c>
      <c r="R9" s="1184" t="s">
        <v>723</v>
      </c>
      <c r="S9" s="1178"/>
      <c r="T9" s="1162"/>
      <c r="U9" s="1163"/>
      <c r="V9" s="1162"/>
      <c r="W9" s="1163"/>
      <c r="X9" s="1162"/>
      <c r="Y9" s="1163"/>
      <c r="Z9" s="1162"/>
      <c r="AA9" s="1163"/>
      <c r="AB9" s="1162"/>
      <c r="AC9" s="1163"/>
      <c r="AE9" s="1181"/>
      <c r="AF9" s="1197" t="s">
        <v>722</v>
      </c>
      <c r="AG9" s="1184" t="s">
        <v>723</v>
      </c>
      <c r="AH9" s="1178"/>
      <c r="AI9" s="1162"/>
      <c r="AJ9" s="1163"/>
      <c r="AK9" s="1162"/>
      <c r="AL9" s="1163"/>
      <c r="AM9" s="1162"/>
      <c r="AN9" s="1163"/>
      <c r="AO9" s="1162"/>
      <c r="AP9" s="1163"/>
      <c r="AQ9" s="1162"/>
      <c r="AR9" s="1163"/>
    </row>
    <row r="10" spans="1:44" ht="54.5" customHeight="1" outlineLevel="1" thickBot="1">
      <c r="B10" s="371" t="s">
        <v>651</v>
      </c>
      <c r="C10" s="372">
        <v>50</v>
      </c>
      <c r="D10" s="372">
        <v>50</v>
      </c>
      <c r="E10" s="372">
        <v>50</v>
      </c>
      <c r="F10" s="372">
        <v>50</v>
      </c>
      <c r="G10" s="372">
        <v>10</v>
      </c>
      <c r="H10" s="372">
        <v>100</v>
      </c>
      <c r="I10" s="372">
        <v>10</v>
      </c>
      <c r="J10" s="372">
        <v>100</v>
      </c>
      <c r="K10" s="372" t="s">
        <v>6</v>
      </c>
      <c r="L10" s="373">
        <v>1</v>
      </c>
      <c r="M10" s="370"/>
      <c r="N10" s="370"/>
      <c r="O10" s="74"/>
      <c r="P10" s="1182"/>
      <c r="Q10" s="1179"/>
      <c r="R10" s="1185"/>
      <c r="S10" s="1179"/>
      <c r="T10" s="374" t="s">
        <v>726</v>
      </c>
      <c r="U10" s="375" t="s">
        <v>727</v>
      </c>
      <c r="V10" s="374" t="s">
        <v>726</v>
      </c>
      <c r="W10" s="375" t="s">
        <v>727</v>
      </c>
      <c r="X10" s="374" t="s">
        <v>726</v>
      </c>
      <c r="Y10" s="375" t="s">
        <v>727</v>
      </c>
      <c r="Z10" s="374" t="s">
        <v>726</v>
      </c>
      <c r="AA10" s="375" t="s">
        <v>727</v>
      </c>
      <c r="AB10" s="374" t="s">
        <v>726</v>
      </c>
      <c r="AC10" s="375" t="s">
        <v>727</v>
      </c>
      <c r="AE10" s="1182"/>
      <c r="AF10" s="1198"/>
      <c r="AG10" s="1185"/>
      <c r="AH10" s="1179"/>
      <c r="AI10" s="374" t="s">
        <v>726</v>
      </c>
      <c r="AJ10" s="375" t="s">
        <v>727</v>
      </c>
      <c r="AK10" s="374" t="s">
        <v>726</v>
      </c>
      <c r="AL10" s="375" t="s">
        <v>727</v>
      </c>
      <c r="AM10" s="374" t="s">
        <v>726</v>
      </c>
      <c r="AN10" s="375" t="s">
        <v>727</v>
      </c>
      <c r="AO10" s="374" t="s">
        <v>726</v>
      </c>
      <c r="AP10" s="375" t="s">
        <v>727</v>
      </c>
      <c r="AQ10" s="374" t="s">
        <v>726</v>
      </c>
      <c r="AR10" s="375" t="s">
        <v>727</v>
      </c>
    </row>
    <row r="11" spans="1:44" ht="24.5" customHeight="1" outlineLevel="1">
      <c r="B11" s="376" t="s">
        <v>728</v>
      </c>
      <c r="C11" s="377">
        <v>90</v>
      </c>
      <c r="D11" s="377">
        <v>91</v>
      </c>
      <c r="E11" s="378">
        <v>92</v>
      </c>
      <c r="F11" s="377">
        <v>93</v>
      </c>
      <c r="G11" s="377">
        <v>90</v>
      </c>
      <c r="H11" s="639">
        <v>98</v>
      </c>
      <c r="I11" s="377">
        <v>90</v>
      </c>
      <c r="J11" s="639">
        <v>98</v>
      </c>
      <c r="K11" s="379"/>
      <c r="L11" s="380">
        <v>1</v>
      </c>
      <c r="M11" s="370"/>
      <c r="N11" s="370"/>
      <c r="P11" s="1199" t="str">
        <f>C7</f>
        <v>Hotdisc</v>
      </c>
      <c r="Q11" s="1154" t="s">
        <v>730</v>
      </c>
      <c r="R11" s="381" t="s">
        <v>731</v>
      </c>
      <c r="S11" s="382" t="s">
        <v>738</v>
      </c>
      <c r="T11" s="1137">
        <v>0</v>
      </c>
      <c r="U11" s="1151">
        <v>0</v>
      </c>
      <c r="V11" s="1157">
        <v>0</v>
      </c>
      <c r="W11" s="1151">
        <v>0</v>
      </c>
      <c r="X11" s="1157">
        <v>0.15</v>
      </c>
      <c r="Y11" s="1151">
        <v>0</v>
      </c>
      <c r="Z11" s="1157">
        <v>0</v>
      </c>
      <c r="AA11" s="1151">
        <v>0</v>
      </c>
      <c r="AB11" s="1157">
        <v>0</v>
      </c>
      <c r="AC11" s="1151">
        <v>0</v>
      </c>
      <c r="AE11" s="1148" t="str">
        <f>P11</f>
        <v>Hotdisc</v>
      </c>
      <c r="AF11" s="1154" t="s">
        <v>730</v>
      </c>
      <c r="AG11" s="381" t="s">
        <v>731</v>
      </c>
      <c r="AH11" s="382" t="s">
        <v>738</v>
      </c>
      <c r="AI11" s="1137">
        <v>0</v>
      </c>
      <c r="AJ11" s="1151">
        <v>0</v>
      </c>
      <c r="AK11" s="1157">
        <v>0</v>
      </c>
      <c r="AL11" s="1151">
        <v>0</v>
      </c>
      <c r="AM11" s="1157">
        <v>0</v>
      </c>
      <c r="AN11" s="1151">
        <v>0</v>
      </c>
      <c r="AO11" s="1157">
        <v>0</v>
      </c>
      <c r="AP11" s="1151">
        <v>0</v>
      </c>
      <c r="AQ11" s="1157">
        <v>0</v>
      </c>
      <c r="AR11" s="1151">
        <v>0</v>
      </c>
    </row>
    <row r="12" spans="1:44" ht="32.5" customHeight="1" outlineLevel="1">
      <c r="B12" s="383" t="s">
        <v>732</v>
      </c>
      <c r="C12" s="577">
        <v>90</v>
      </c>
      <c r="D12" s="577">
        <v>91</v>
      </c>
      <c r="E12" s="577">
        <v>92</v>
      </c>
      <c r="F12" s="577">
        <v>93</v>
      </c>
      <c r="G12" s="641">
        <v>90</v>
      </c>
      <c r="H12" s="641">
        <v>98</v>
      </c>
      <c r="I12" s="641">
        <v>90</v>
      </c>
      <c r="J12" s="641">
        <v>98</v>
      </c>
      <c r="K12" s="386"/>
      <c r="L12" s="387">
        <v>1</v>
      </c>
      <c r="M12" s="370"/>
      <c r="N12" s="370"/>
      <c r="O12" s="71"/>
      <c r="P12" s="1195"/>
      <c r="Q12" s="1155"/>
      <c r="R12" s="388" t="s">
        <v>733</v>
      </c>
      <c r="S12" s="389"/>
      <c r="T12" s="1140"/>
      <c r="U12" s="1152"/>
      <c r="V12" s="1158"/>
      <c r="W12" s="1152"/>
      <c r="X12" s="1158"/>
      <c r="Y12" s="1152"/>
      <c r="Z12" s="1158"/>
      <c r="AA12" s="1152"/>
      <c r="AB12" s="1158"/>
      <c r="AC12" s="1152"/>
      <c r="AE12" s="1195"/>
      <c r="AF12" s="1155"/>
      <c r="AG12" s="388" t="s">
        <v>733</v>
      </c>
      <c r="AH12" s="389"/>
      <c r="AI12" s="1140"/>
      <c r="AJ12" s="1152"/>
      <c r="AK12" s="1158"/>
      <c r="AL12" s="1152"/>
      <c r="AM12" s="1158"/>
      <c r="AN12" s="1152"/>
      <c r="AO12" s="1158"/>
      <c r="AP12" s="1152"/>
      <c r="AQ12" s="1158"/>
      <c r="AR12" s="1152"/>
    </row>
    <row r="13" spans="1:44" ht="16" outlineLevel="1" thickBot="1">
      <c r="B13" s="376" t="s">
        <v>734</v>
      </c>
      <c r="C13" s="390">
        <v>1</v>
      </c>
      <c r="D13" s="391">
        <v>1</v>
      </c>
      <c r="E13" s="391">
        <v>1</v>
      </c>
      <c r="F13" s="392">
        <v>1</v>
      </c>
      <c r="G13" s="391">
        <v>1</v>
      </c>
      <c r="H13" s="391">
        <v>1</v>
      </c>
      <c r="I13" s="391">
        <v>1</v>
      </c>
      <c r="J13" s="391">
        <v>1</v>
      </c>
      <c r="K13" s="379"/>
      <c r="L13" s="380">
        <v>1</v>
      </c>
      <c r="M13" s="370"/>
      <c r="N13" s="370"/>
      <c r="O13" s="71"/>
      <c r="P13" s="1195"/>
      <c r="Q13" s="1156"/>
      <c r="R13" s="393" t="s">
        <v>735</v>
      </c>
      <c r="S13" s="394"/>
      <c r="T13" s="1141"/>
      <c r="U13" s="1153"/>
      <c r="V13" s="1159"/>
      <c r="W13" s="1153"/>
      <c r="X13" s="1159"/>
      <c r="Y13" s="1153"/>
      <c r="Z13" s="1159"/>
      <c r="AA13" s="1153"/>
      <c r="AB13" s="1159"/>
      <c r="AC13" s="1153"/>
      <c r="AE13" s="1195"/>
      <c r="AF13" s="1156"/>
      <c r="AG13" s="393" t="s">
        <v>735</v>
      </c>
      <c r="AH13" s="394"/>
      <c r="AI13" s="1141"/>
      <c r="AJ13" s="1153"/>
      <c r="AK13" s="1159"/>
      <c r="AL13" s="1153"/>
      <c r="AM13" s="1159"/>
      <c r="AN13" s="1153"/>
      <c r="AO13" s="1159"/>
      <c r="AP13" s="1153"/>
      <c r="AQ13" s="1159"/>
      <c r="AR13" s="1153"/>
    </row>
    <row r="14" spans="1:44" ht="15" customHeight="1" outlineLevel="1">
      <c r="B14" s="376" t="s">
        <v>657</v>
      </c>
      <c r="C14" s="390">
        <v>0</v>
      </c>
      <c r="D14" s="390">
        <v>0</v>
      </c>
      <c r="E14" s="390">
        <v>0</v>
      </c>
      <c r="F14" s="390">
        <v>0</v>
      </c>
      <c r="G14" s="390">
        <v>0</v>
      </c>
      <c r="H14" s="390">
        <v>1</v>
      </c>
      <c r="I14" s="390">
        <v>0</v>
      </c>
      <c r="J14" s="390">
        <v>1</v>
      </c>
      <c r="K14" s="379"/>
      <c r="L14" s="380">
        <v>1</v>
      </c>
      <c r="M14" s="370"/>
      <c r="N14" s="370"/>
      <c r="O14" s="71"/>
      <c r="P14" s="1195"/>
      <c r="Q14" s="1154" t="s">
        <v>736</v>
      </c>
      <c r="R14" s="395" t="s">
        <v>737</v>
      </c>
      <c r="S14" s="396"/>
      <c r="T14" s="1137">
        <v>0</v>
      </c>
      <c r="U14" s="1137">
        <v>0</v>
      </c>
      <c r="V14" s="1137">
        <v>0</v>
      </c>
      <c r="W14" s="1137">
        <v>0</v>
      </c>
      <c r="X14" s="1137">
        <v>0</v>
      </c>
      <c r="Y14" s="1137">
        <v>0</v>
      </c>
      <c r="Z14" s="1137">
        <v>0</v>
      </c>
      <c r="AA14" s="1137">
        <v>0</v>
      </c>
      <c r="AB14" s="1137">
        <v>0</v>
      </c>
      <c r="AC14" s="1151">
        <v>0</v>
      </c>
      <c r="AE14" s="1195"/>
      <c r="AF14" s="1154" t="s">
        <v>736</v>
      </c>
      <c r="AG14" s="395" t="s">
        <v>737</v>
      </c>
      <c r="AH14" s="396"/>
      <c r="AI14" s="1137">
        <v>0</v>
      </c>
      <c r="AJ14" s="1137">
        <f>U14/4</f>
        <v>0</v>
      </c>
      <c r="AK14" s="1137">
        <v>0</v>
      </c>
      <c r="AL14" s="1137">
        <f>W14/4</f>
        <v>0</v>
      </c>
      <c r="AM14" s="1137">
        <v>0</v>
      </c>
      <c r="AN14" s="1137">
        <f>Y14/4</f>
        <v>0</v>
      </c>
      <c r="AO14" s="1137">
        <v>0</v>
      </c>
      <c r="AP14" s="1137">
        <f>AA14/4</f>
        <v>0</v>
      </c>
      <c r="AQ14" s="1137">
        <v>0</v>
      </c>
      <c r="AR14" s="1151">
        <f>AC14/4</f>
        <v>0</v>
      </c>
    </row>
    <row r="15" spans="1:44" outlineLevel="1">
      <c r="B15" s="376" t="s">
        <v>658</v>
      </c>
      <c r="C15" s="390">
        <v>4</v>
      </c>
      <c r="D15" s="390">
        <v>4</v>
      </c>
      <c r="E15" s="390">
        <v>4</v>
      </c>
      <c r="F15" s="390">
        <v>4</v>
      </c>
      <c r="G15" s="390">
        <v>4</v>
      </c>
      <c r="H15" s="390">
        <v>4</v>
      </c>
      <c r="I15" s="390">
        <v>4</v>
      </c>
      <c r="J15" s="390">
        <v>4</v>
      </c>
      <c r="K15" s="379"/>
      <c r="L15" s="380">
        <v>1</v>
      </c>
      <c r="M15" s="367"/>
      <c r="N15" s="367"/>
      <c r="O15" s="71"/>
      <c r="P15" s="1195"/>
      <c r="Q15" s="1155"/>
      <c r="R15" s="395" t="s">
        <v>739</v>
      </c>
      <c r="S15" s="396"/>
      <c r="T15" s="1191"/>
      <c r="U15" s="1191"/>
      <c r="V15" s="1191"/>
      <c r="W15" s="1191"/>
      <c r="X15" s="1191"/>
      <c r="Y15" s="1191"/>
      <c r="Z15" s="1191"/>
      <c r="AA15" s="1191"/>
      <c r="AB15" s="1191"/>
      <c r="AC15" s="1193"/>
      <c r="AE15" s="1195"/>
      <c r="AF15" s="1155"/>
      <c r="AG15" s="395" t="s">
        <v>739</v>
      </c>
      <c r="AH15" s="396"/>
      <c r="AI15" s="1191"/>
      <c r="AJ15" s="1191"/>
      <c r="AK15" s="1191"/>
      <c r="AL15" s="1191"/>
      <c r="AM15" s="1191"/>
      <c r="AN15" s="1191"/>
      <c r="AO15" s="1191"/>
      <c r="AP15" s="1191"/>
      <c r="AQ15" s="1191"/>
      <c r="AR15" s="1193"/>
    </row>
    <row r="16" spans="1:44" outlineLevel="1">
      <c r="B16" s="383" t="s">
        <v>11</v>
      </c>
      <c r="C16" s="397">
        <v>20</v>
      </c>
      <c r="D16" s="397">
        <v>20</v>
      </c>
      <c r="E16" s="397">
        <v>20</v>
      </c>
      <c r="F16" s="397">
        <v>20</v>
      </c>
      <c r="G16" s="398">
        <v>20</v>
      </c>
      <c r="H16" s="398">
        <v>30</v>
      </c>
      <c r="I16" s="398">
        <v>20</v>
      </c>
      <c r="J16" s="398">
        <v>30</v>
      </c>
      <c r="K16" s="372"/>
      <c r="L16" s="373">
        <v>1</v>
      </c>
      <c r="M16" s="363"/>
      <c r="N16" s="363"/>
      <c r="P16" s="1195"/>
      <c r="Q16" s="1155"/>
      <c r="R16" s="395" t="s">
        <v>741</v>
      </c>
      <c r="S16" s="396"/>
      <c r="T16" s="1191"/>
      <c r="U16" s="1191"/>
      <c r="V16" s="1191"/>
      <c r="W16" s="1191"/>
      <c r="X16" s="1191"/>
      <c r="Y16" s="1191"/>
      <c r="Z16" s="1191"/>
      <c r="AA16" s="1191"/>
      <c r="AB16" s="1191"/>
      <c r="AC16" s="1193"/>
      <c r="AE16" s="1195"/>
      <c r="AF16" s="1155"/>
      <c r="AG16" s="395" t="s">
        <v>741</v>
      </c>
      <c r="AH16" s="629"/>
      <c r="AI16" s="1191"/>
      <c r="AJ16" s="1191"/>
      <c r="AK16" s="1191"/>
      <c r="AL16" s="1191"/>
      <c r="AM16" s="1191"/>
      <c r="AN16" s="1191"/>
      <c r="AO16" s="1191"/>
      <c r="AP16" s="1191"/>
      <c r="AQ16" s="1191"/>
      <c r="AR16" s="1193"/>
    </row>
    <row r="17" spans="1:44" ht="16" outlineLevel="1" thickBot="1">
      <c r="B17" s="376" t="s">
        <v>273</v>
      </c>
      <c r="C17" s="399">
        <v>0.75</v>
      </c>
      <c r="D17" s="399">
        <v>0.75</v>
      </c>
      <c r="E17" s="399">
        <v>0.75</v>
      </c>
      <c r="F17" s="399">
        <v>0.75</v>
      </c>
      <c r="G17" s="399">
        <v>0.75</v>
      </c>
      <c r="H17" s="399">
        <v>1</v>
      </c>
      <c r="I17" s="399">
        <v>0.75</v>
      </c>
      <c r="J17" s="399">
        <v>1</v>
      </c>
      <c r="K17" s="372"/>
      <c r="L17" s="400">
        <v>1</v>
      </c>
      <c r="M17" s="363"/>
      <c r="N17" s="363"/>
      <c r="P17" s="1195"/>
      <c r="Q17" s="1155"/>
      <c r="R17" s="395" t="s">
        <v>742</v>
      </c>
      <c r="S17" s="396"/>
      <c r="T17" s="1191"/>
      <c r="U17" s="1191"/>
      <c r="V17" s="1191"/>
      <c r="W17" s="1191"/>
      <c r="X17" s="1191"/>
      <c r="Y17" s="1191"/>
      <c r="Z17" s="1191"/>
      <c r="AA17" s="1191"/>
      <c r="AB17" s="1191"/>
      <c r="AC17" s="1193"/>
      <c r="AE17" s="1195"/>
      <c r="AF17" s="1155"/>
      <c r="AG17" s="395" t="s">
        <v>742</v>
      </c>
      <c r="AH17" s="396"/>
      <c r="AI17" s="1191"/>
      <c r="AJ17" s="1191"/>
      <c r="AK17" s="1191"/>
      <c r="AL17" s="1191"/>
      <c r="AM17" s="1191"/>
      <c r="AN17" s="1191"/>
      <c r="AO17" s="1191"/>
      <c r="AP17" s="1191"/>
      <c r="AQ17" s="1191"/>
      <c r="AR17" s="1193"/>
    </row>
    <row r="18" spans="1:44" ht="16" outlineLevel="1" thickBot="1">
      <c r="B18" s="401" t="s">
        <v>743</v>
      </c>
      <c r="C18" s="402"/>
      <c r="D18" s="403"/>
      <c r="E18" s="404"/>
      <c r="F18" s="405"/>
      <c r="G18" s="406"/>
      <c r="H18" s="406"/>
      <c r="I18" s="406"/>
      <c r="J18" s="406"/>
      <c r="K18" s="407"/>
      <c r="L18" s="408"/>
      <c r="M18" s="363"/>
      <c r="N18" s="363"/>
      <c r="P18" s="1195"/>
      <c r="Q18" s="1156"/>
      <c r="R18" s="409" t="s">
        <v>863</v>
      </c>
      <c r="S18" s="410"/>
      <c r="T18" s="1192"/>
      <c r="U18" s="1192"/>
      <c r="V18" s="1192"/>
      <c r="W18" s="1192"/>
      <c r="X18" s="1192"/>
      <c r="Y18" s="1192"/>
      <c r="Z18" s="1192"/>
      <c r="AA18" s="1192"/>
      <c r="AB18" s="1192"/>
      <c r="AC18" s="1194"/>
      <c r="AE18" s="1195"/>
      <c r="AF18" s="1156"/>
      <c r="AG18" s="409" t="s">
        <v>863</v>
      </c>
      <c r="AH18" s="410"/>
      <c r="AI18" s="1192"/>
      <c r="AJ18" s="1192"/>
      <c r="AK18" s="1192"/>
      <c r="AL18" s="1192"/>
      <c r="AM18" s="1192"/>
      <c r="AN18" s="1192"/>
      <c r="AO18" s="1192"/>
      <c r="AP18" s="1192"/>
      <c r="AQ18" s="1192"/>
      <c r="AR18" s="1194"/>
    </row>
    <row r="19" spans="1:44" ht="33" outlineLevel="1" thickBot="1">
      <c r="B19" s="376" t="s">
        <v>663</v>
      </c>
      <c r="C19" s="390">
        <v>10</v>
      </c>
      <c r="D19" s="390">
        <v>10</v>
      </c>
      <c r="E19" s="390">
        <v>10</v>
      </c>
      <c r="F19" s="390">
        <v>10</v>
      </c>
      <c r="G19" s="391"/>
      <c r="H19" s="391"/>
      <c r="I19" s="391"/>
      <c r="J19" s="391"/>
      <c r="K19" s="379"/>
      <c r="L19" s="380">
        <v>1</v>
      </c>
      <c r="M19" s="363"/>
      <c r="N19" s="363"/>
      <c r="P19" s="1196"/>
      <c r="Q19" s="411" t="s">
        <v>745</v>
      </c>
      <c r="R19" s="412" t="s">
        <v>746</v>
      </c>
      <c r="S19" s="630"/>
      <c r="T19" s="416">
        <v>0</v>
      </c>
      <c r="U19" s="415">
        <v>0</v>
      </c>
      <c r="V19" s="416">
        <v>0</v>
      </c>
      <c r="W19" s="415">
        <v>0</v>
      </c>
      <c r="X19" s="416">
        <v>0</v>
      </c>
      <c r="Y19" s="415">
        <v>0</v>
      </c>
      <c r="Z19" s="416">
        <v>0</v>
      </c>
      <c r="AA19" s="415">
        <v>0</v>
      </c>
      <c r="AB19" s="416">
        <v>0</v>
      </c>
      <c r="AC19" s="417">
        <v>0</v>
      </c>
      <c r="AE19" s="1196"/>
      <c r="AF19" s="411" t="s">
        <v>745</v>
      </c>
      <c r="AG19" s="631" t="s">
        <v>746</v>
      </c>
      <c r="AH19" s="632"/>
      <c r="AI19" s="416">
        <v>0</v>
      </c>
      <c r="AJ19" s="415">
        <v>0</v>
      </c>
      <c r="AK19" s="416">
        <v>0</v>
      </c>
      <c r="AL19" s="415">
        <v>0</v>
      </c>
      <c r="AM19" s="416">
        <v>0</v>
      </c>
      <c r="AN19" s="415">
        <v>0</v>
      </c>
      <c r="AO19" s="416">
        <v>0</v>
      </c>
      <c r="AP19" s="415">
        <v>0</v>
      </c>
      <c r="AQ19" s="416">
        <v>0</v>
      </c>
      <c r="AR19" s="417">
        <v>0</v>
      </c>
    </row>
    <row r="20" spans="1:44" outlineLevel="1">
      <c r="B20" s="376" t="s">
        <v>664</v>
      </c>
      <c r="C20" s="390">
        <v>0</v>
      </c>
      <c r="D20" s="390">
        <v>0</v>
      </c>
      <c r="E20" s="390">
        <v>0</v>
      </c>
      <c r="F20" s="390">
        <v>0</v>
      </c>
      <c r="G20" s="418"/>
      <c r="H20" s="418"/>
      <c r="I20" s="418"/>
      <c r="J20" s="418"/>
      <c r="K20" s="419"/>
      <c r="L20" s="380">
        <v>1</v>
      </c>
      <c r="M20" s="363"/>
      <c r="N20" s="363"/>
    </row>
    <row r="21" spans="1:44" outlineLevel="1">
      <c r="B21" s="376" t="s">
        <v>666</v>
      </c>
      <c r="C21" s="390">
        <v>54</v>
      </c>
      <c r="D21" s="390">
        <v>54</v>
      </c>
      <c r="E21" s="390">
        <v>54</v>
      </c>
      <c r="F21" s="390">
        <v>54</v>
      </c>
      <c r="G21" s="418"/>
      <c r="H21" s="418"/>
      <c r="I21" s="418"/>
      <c r="J21" s="418"/>
      <c r="K21" s="419" t="s">
        <v>59</v>
      </c>
      <c r="L21" s="380">
        <v>1</v>
      </c>
      <c r="M21" s="420"/>
      <c r="N21" s="363"/>
    </row>
    <row r="22" spans="1:44" outlineLevel="1">
      <c r="B22" s="421" t="s">
        <v>12</v>
      </c>
      <c r="C22" s="399"/>
      <c r="D22" s="399"/>
      <c r="E22" s="399"/>
      <c r="F22" s="399"/>
      <c r="G22" s="422"/>
      <c r="H22" s="422"/>
      <c r="I22" s="422"/>
      <c r="J22" s="422"/>
      <c r="K22" s="423"/>
      <c r="L22" s="424"/>
      <c r="M22" s="420"/>
      <c r="N22" s="420"/>
    </row>
    <row r="23" spans="1:44" ht="38.25" customHeight="1" outlineLevel="1">
      <c r="B23" s="383" t="s">
        <v>843</v>
      </c>
      <c r="C23" s="1231">
        <v>8.3000000000000007</v>
      </c>
      <c r="D23" s="1232">
        <v>8.3000000000000007</v>
      </c>
      <c r="E23" s="1232">
        <v>8.3000000000000007</v>
      </c>
      <c r="F23" s="1233">
        <v>8.3000000000000007</v>
      </c>
      <c r="G23" s="422"/>
      <c r="H23" s="425"/>
      <c r="I23" s="425"/>
      <c r="J23" s="425"/>
      <c r="K23" s="426" t="s">
        <v>16</v>
      </c>
      <c r="L23" s="427">
        <v>2</v>
      </c>
      <c r="M23" s="428"/>
      <c r="N23" s="428"/>
    </row>
    <row r="24" spans="1:44" outlineLevel="1">
      <c r="B24" s="383" t="s">
        <v>749</v>
      </c>
      <c r="C24" s="1234">
        <v>0.28999999999999998</v>
      </c>
      <c r="D24" s="1235">
        <v>0.28999999999999998</v>
      </c>
      <c r="E24" s="1235">
        <v>0.28999999999999998</v>
      </c>
      <c r="F24" s="1236">
        <v>0.28999999999999998</v>
      </c>
      <c r="G24" s="425"/>
      <c r="H24" s="425"/>
      <c r="I24" s="425"/>
      <c r="J24" s="425"/>
      <c r="K24" s="423" t="s">
        <v>16</v>
      </c>
      <c r="L24" s="427">
        <v>2</v>
      </c>
      <c r="M24" s="428"/>
      <c r="N24" s="428"/>
    </row>
    <row r="25" spans="1:44" outlineLevel="1">
      <c r="B25" s="383" t="s">
        <v>844</v>
      </c>
      <c r="C25" s="1234">
        <v>56</v>
      </c>
      <c r="D25" s="1235">
        <v>45</v>
      </c>
      <c r="E25" s="1235">
        <v>28</v>
      </c>
      <c r="F25" s="1236">
        <v>11</v>
      </c>
      <c r="G25" s="425"/>
      <c r="H25" s="425"/>
      <c r="I25" s="425"/>
      <c r="J25" s="425"/>
      <c r="K25" s="423" t="s">
        <v>16</v>
      </c>
      <c r="L25" s="427">
        <v>3</v>
      </c>
      <c r="M25" s="428"/>
      <c r="N25" s="428"/>
    </row>
    <row r="26" spans="1:44" outlineLevel="1">
      <c r="B26" s="383" t="s">
        <v>366</v>
      </c>
      <c r="C26" s="1234">
        <v>0.1</v>
      </c>
      <c r="D26" s="1235">
        <v>0.1</v>
      </c>
      <c r="E26" s="1235">
        <v>0.1</v>
      </c>
      <c r="F26" s="1236">
        <v>0.1</v>
      </c>
      <c r="G26" s="425"/>
      <c r="H26" s="425"/>
      <c r="I26" s="425"/>
      <c r="J26" s="425"/>
      <c r="K26" s="423" t="s">
        <v>16</v>
      </c>
      <c r="L26" s="427">
        <v>3</v>
      </c>
      <c r="M26" s="428"/>
      <c r="N26" s="428"/>
    </row>
    <row r="27" spans="1:44" ht="16" outlineLevel="1" thickBot="1">
      <c r="B27" s="429" t="s">
        <v>367</v>
      </c>
      <c r="C27" s="1237">
        <v>1</v>
      </c>
      <c r="D27" s="1238">
        <v>1</v>
      </c>
      <c r="E27" s="1238">
        <v>1</v>
      </c>
      <c r="F27" s="1239">
        <v>1</v>
      </c>
      <c r="G27" s="425"/>
      <c r="H27" s="425"/>
      <c r="I27" s="425"/>
      <c r="J27" s="425"/>
      <c r="K27" s="423" t="s">
        <v>16</v>
      </c>
      <c r="L27" s="427">
        <v>3</v>
      </c>
      <c r="M27" s="428"/>
      <c r="N27" s="428"/>
    </row>
    <row r="28" spans="1:44" ht="16" outlineLevel="1" thickBot="1">
      <c r="B28" s="431" t="s">
        <v>674</v>
      </c>
      <c r="C28" s="432"/>
      <c r="D28" s="403"/>
      <c r="E28" s="403"/>
      <c r="F28" s="433"/>
      <c r="G28" s="434"/>
      <c r="H28" s="406"/>
      <c r="I28" s="406"/>
      <c r="J28" s="406"/>
      <c r="K28" s="407"/>
      <c r="L28" s="408"/>
      <c r="M28" s="428"/>
      <c r="N28" s="428"/>
    </row>
    <row r="29" spans="1:44" ht="52" customHeight="1" outlineLevel="1">
      <c r="A29" s="435"/>
      <c r="B29" s="436" t="s">
        <v>751</v>
      </c>
      <c r="C29" s="551">
        <v>0.5</v>
      </c>
      <c r="D29" s="647">
        <v>0.46500000000000002</v>
      </c>
      <c r="E29" s="647">
        <v>0.48499999999999999</v>
      </c>
      <c r="F29" s="648">
        <v>0.45</v>
      </c>
      <c r="G29" s="425"/>
      <c r="H29" s="425"/>
      <c r="I29" s="425"/>
      <c r="J29" s="425"/>
      <c r="K29" s="426" t="s">
        <v>20</v>
      </c>
      <c r="L29" s="440"/>
      <c r="M29" s="420"/>
      <c r="N29" s="420"/>
    </row>
    <row r="30" spans="1:44" outlineLevel="1">
      <c r="B30" s="441" t="s">
        <v>839</v>
      </c>
      <c r="C30" s="442">
        <v>50</v>
      </c>
      <c r="D30" s="442">
        <v>50</v>
      </c>
      <c r="E30" s="442">
        <v>50</v>
      </c>
      <c r="F30" s="442">
        <v>50</v>
      </c>
      <c r="G30" s="425"/>
      <c r="H30" s="425"/>
      <c r="I30" s="425"/>
      <c r="J30" s="425"/>
      <c r="K30" s="444"/>
      <c r="L30" s="373"/>
      <c r="M30" s="71"/>
      <c r="N30" s="420"/>
    </row>
    <row r="31" spans="1:44" outlineLevel="1">
      <c r="B31" s="441" t="s">
        <v>840</v>
      </c>
      <c r="C31" s="442">
        <v>50</v>
      </c>
      <c r="D31" s="442">
        <v>50</v>
      </c>
      <c r="E31" s="442">
        <v>50</v>
      </c>
      <c r="F31" s="442">
        <v>50</v>
      </c>
      <c r="G31" s="425"/>
      <c r="H31" s="425"/>
      <c r="I31" s="425"/>
      <c r="J31" s="425"/>
      <c r="K31" s="444"/>
      <c r="L31" s="373"/>
      <c r="M31" s="420"/>
      <c r="N31" s="420"/>
    </row>
    <row r="32" spans="1:44" outlineLevel="1">
      <c r="B32" s="383" t="s">
        <v>841</v>
      </c>
      <c r="C32" s="445">
        <v>400</v>
      </c>
      <c r="D32" s="446">
        <v>400</v>
      </c>
      <c r="E32" s="446">
        <v>400</v>
      </c>
      <c r="F32" s="447">
        <v>400</v>
      </c>
      <c r="G32" s="425"/>
      <c r="H32" s="425"/>
      <c r="I32" s="425"/>
      <c r="J32" s="425"/>
      <c r="K32" s="448"/>
      <c r="L32" s="373"/>
      <c r="M32" s="420"/>
      <c r="N32" s="420"/>
    </row>
    <row r="33" spans="2:30" ht="37" customHeight="1" outlineLevel="1" thickBot="1">
      <c r="B33" s="383" t="s">
        <v>679</v>
      </c>
      <c r="C33" s="449">
        <f>C34+C35</f>
        <v>1.175</v>
      </c>
      <c r="D33" s="449">
        <f t="shared" ref="D33:F33" si="0">D34+D35</f>
        <v>1.1950000000000001</v>
      </c>
      <c r="E33" s="449">
        <f t="shared" si="0"/>
        <v>1.2050000000000001</v>
      </c>
      <c r="F33" s="449">
        <f t="shared" si="0"/>
        <v>1.2050000000000001</v>
      </c>
      <c r="G33" s="425"/>
      <c r="H33" s="425"/>
      <c r="I33" s="425"/>
      <c r="J33" s="425"/>
      <c r="K33" s="448"/>
      <c r="L33" s="373"/>
      <c r="M33" s="450"/>
      <c r="N33" s="361"/>
      <c r="P33" s="1142">
        <f>C33</f>
        <v>1.175</v>
      </c>
      <c r="Q33" s="1143"/>
      <c r="R33" s="1143"/>
      <c r="S33" s="1143"/>
      <c r="T33" s="1143"/>
      <c r="U33" s="1144"/>
    </row>
    <row r="34" spans="2:30" ht="15.75" customHeight="1" outlineLevel="1" thickBot="1">
      <c r="B34" s="451" t="s">
        <v>758</v>
      </c>
      <c r="C34" s="452">
        <f>C13/100*73</f>
        <v>0.73</v>
      </c>
      <c r="D34" s="452">
        <f>D13/100*75</f>
        <v>0.75</v>
      </c>
      <c r="E34" s="452">
        <f>E13/100*76</f>
        <v>0.76</v>
      </c>
      <c r="F34" s="452">
        <f>F13/100*76</f>
        <v>0.76</v>
      </c>
      <c r="G34" s="453"/>
      <c r="H34" s="453"/>
      <c r="I34" s="453"/>
      <c r="J34" s="453"/>
      <c r="K34" s="379"/>
      <c r="L34" s="380"/>
      <c r="M34" s="450"/>
      <c r="N34" s="361"/>
      <c r="P34" s="1134">
        <f>C34</f>
        <v>0.73</v>
      </c>
      <c r="Q34" s="1135"/>
      <c r="R34" s="1135"/>
      <c r="S34" s="1135"/>
      <c r="T34" s="1135"/>
      <c r="U34" s="1136"/>
    </row>
    <row r="35" spans="2:30" outlineLevel="1">
      <c r="B35" s="451" t="s">
        <v>759</v>
      </c>
      <c r="C35" s="655">
        <v>0.44500000000000001</v>
      </c>
      <c r="D35" s="655">
        <v>0.44500000000000001</v>
      </c>
      <c r="E35" s="655">
        <v>0.44500000000000001</v>
      </c>
      <c r="F35" s="655">
        <v>0.44500000000000001</v>
      </c>
      <c r="G35" s="453"/>
      <c r="H35" s="453"/>
      <c r="I35" s="453"/>
      <c r="J35" s="453"/>
      <c r="K35" s="455"/>
      <c r="L35" s="380"/>
      <c r="M35" s="363"/>
      <c r="N35" s="363"/>
      <c r="P35" s="53" t="s">
        <v>357</v>
      </c>
    </row>
    <row r="36" spans="2:30" ht="30" outlineLevel="1">
      <c r="B36" s="441"/>
      <c r="C36" s="642"/>
      <c r="D36" s="642"/>
      <c r="E36" s="642"/>
      <c r="F36" s="642"/>
      <c r="G36" s="425"/>
      <c r="H36" s="425"/>
      <c r="I36" s="425"/>
      <c r="J36" s="425"/>
      <c r="K36" s="444"/>
      <c r="L36" s="424"/>
      <c r="M36" s="367"/>
      <c r="N36" s="367"/>
      <c r="P36" s="46" t="s">
        <v>335</v>
      </c>
      <c r="Q36" s="46" t="s">
        <v>336</v>
      </c>
      <c r="R36" s="47" t="s">
        <v>337</v>
      </c>
      <c r="S36" s="47" t="s">
        <v>338</v>
      </c>
      <c r="T36" s="47" t="s">
        <v>339</v>
      </c>
      <c r="U36" s="48" t="s">
        <v>340</v>
      </c>
      <c r="V36" s="49" t="s">
        <v>341</v>
      </c>
      <c r="W36" s="49" t="s">
        <v>342</v>
      </c>
      <c r="X36" s="49" t="s">
        <v>343</v>
      </c>
      <c r="Y36" s="49" t="s">
        <v>344</v>
      </c>
      <c r="Z36" s="49" t="s">
        <v>345</v>
      </c>
      <c r="AA36" s="49" t="s">
        <v>346</v>
      </c>
      <c r="AB36" s="49" t="s">
        <v>347</v>
      </c>
      <c r="AC36" s="49" t="s">
        <v>348</v>
      </c>
      <c r="AD36" s="49" t="s">
        <v>349</v>
      </c>
    </row>
    <row r="37" spans="2:30" ht="35" customHeight="1" outlineLevel="1" thickBot="1">
      <c r="B37" s="441"/>
      <c r="C37" s="442"/>
      <c r="D37" s="457"/>
      <c r="E37" s="457"/>
      <c r="F37" s="458"/>
      <c r="G37" s="425"/>
      <c r="H37" s="425"/>
      <c r="I37" s="425"/>
      <c r="J37" s="425"/>
      <c r="K37" s="448"/>
      <c r="L37" s="424"/>
      <c r="M37" s="363"/>
      <c r="N37" s="363"/>
      <c r="P37" s="50"/>
      <c r="Q37" s="50"/>
      <c r="R37" s="51"/>
      <c r="S37" s="51"/>
      <c r="T37" s="51"/>
      <c r="U37" s="51" t="s">
        <v>760</v>
      </c>
      <c r="V37" s="50" t="s">
        <v>761</v>
      </c>
      <c r="W37" s="50"/>
      <c r="X37" s="50"/>
      <c r="Y37" s="50"/>
      <c r="Z37" s="50"/>
      <c r="AA37" s="50"/>
      <c r="AB37" s="50"/>
      <c r="AC37" s="50"/>
      <c r="AD37" s="50"/>
    </row>
    <row r="38" spans="2:30" ht="73" customHeight="1" outlineLevel="1" thickBot="1">
      <c r="B38" s="401" t="s">
        <v>682</v>
      </c>
      <c r="C38" s="402"/>
      <c r="D38" s="403"/>
      <c r="E38" s="404"/>
      <c r="F38" s="405"/>
      <c r="G38" s="406"/>
      <c r="H38" s="406"/>
      <c r="I38" s="406"/>
      <c r="J38" s="406"/>
      <c r="K38" s="459"/>
      <c r="L38" s="460"/>
      <c r="M38" s="363"/>
      <c r="N38" s="363"/>
      <c r="O38" s="461" t="s">
        <v>732</v>
      </c>
      <c r="P38" s="56"/>
      <c r="Q38" s="56"/>
      <c r="R38" s="57"/>
      <c r="S38" s="57"/>
      <c r="T38" s="57"/>
      <c r="U38" s="56" t="s">
        <v>350</v>
      </c>
      <c r="V38" s="56" t="s">
        <v>326</v>
      </c>
      <c r="W38" s="56" t="s">
        <v>327</v>
      </c>
      <c r="X38" s="56" t="s">
        <v>351</v>
      </c>
      <c r="Y38" s="56" t="s">
        <v>351</v>
      </c>
      <c r="Z38" s="56" t="s">
        <v>352</v>
      </c>
      <c r="AA38" s="56" t="s">
        <v>352</v>
      </c>
      <c r="AB38" s="56" t="s">
        <v>352</v>
      </c>
      <c r="AC38" s="56" t="s">
        <v>352</v>
      </c>
      <c r="AD38" s="56" t="s">
        <v>352</v>
      </c>
    </row>
    <row r="39" spans="2:30" outlineLevel="1">
      <c r="B39" s="451" t="s">
        <v>762</v>
      </c>
      <c r="C39" s="643">
        <v>0.18</v>
      </c>
      <c r="D39" s="643">
        <v>0.18</v>
      </c>
      <c r="E39" s="643">
        <v>0.18</v>
      </c>
      <c r="F39" s="643">
        <v>0.18</v>
      </c>
      <c r="G39" s="643"/>
      <c r="H39" s="643"/>
      <c r="I39" s="643"/>
      <c r="J39" s="643"/>
      <c r="K39" s="643" t="s">
        <v>76</v>
      </c>
      <c r="L39" s="464"/>
      <c r="M39" s="363"/>
      <c r="N39" s="363"/>
      <c r="O39" s="465">
        <f>C12</f>
        <v>90</v>
      </c>
      <c r="P39" s="466">
        <f>C8</f>
        <v>2020</v>
      </c>
      <c r="Q39" s="58">
        <f>P39</f>
        <v>2020</v>
      </c>
      <c r="R39" s="466">
        <f>O39/100</f>
        <v>0.9</v>
      </c>
      <c r="S39" s="58"/>
      <c r="T39" s="466">
        <f>C16</f>
        <v>20</v>
      </c>
      <c r="U39" s="467">
        <f>C46</f>
        <v>3725</v>
      </c>
      <c r="V39" s="467">
        <f>C48</f>
        <v>2.98</v>
      </c>
      <c r="W39" s="467">
        <f>C49</f>
        <v>2.4315972222222224</v>
      </c>
      <c r="X39" s="58"/>
      <c r="Y39" s="58"/>
      <c r="Z39" s="466">
        <f>C23</f>
        <v>8.3000000000000007</v>
      </c>
      <c r="AA39" s="468">
        <f>C25</f>
        <v>56</v>
      </c>
      <c r="AB39" s="468">
        <f>C26</f>
        <v>0.1</v>
      </c>
      <c r="AC39" s="468">
        <f>C27</f>
        <v>1</v>
      </c>
      <c r="AD39" s="468">
        <f>C24</f>
        <v>0.28999999999999998</v>
      </c>
    </row>
    <row r="40" spans="2:30" ht="14.5" customHeight="1" outlineLevel="1">
      <c r="B40" s="376" t="s">
        <v>763</v>
      </c>
      <c r="C40" s="469" t="s">
        <v>36</v>
      </c>
      <c r="D40" s="470" t="s">
        <v>36</v>
      </c>
      <c r="E40" s="470" t="s">
        <v>36</v>
      </c>
      <c r="F40" s="471" t="s">
        <v>36</v>
      </c>
      <c r="G40" s="471"/>
      <c r="H40" s="471"/>
      <c r="I40" s="471"/>
      <c r="J40" s="471"/>
      <c r="K40" s="472"/>
      <c r="L40" s="464"/>
      <c r="M40" s="363"/>
      <c r="N40" s="363"/>
      <c r="O40" s="465">
        <f>D12</f>
        <v>91</v>
      </c>
      <c r="P40" s="466">
        <f>D8</f>
        <v>2030</v>
      </c>
      <c r="Q40" s="58"/>
      <c r="R40" s="466">
        <f>O40/100</f>
        <v>0.91</v>
      </c>
      <c r="S40" s="58"/>
      <c r="T40" s="466">
        <f>D16</f>
        <v>20</v>
      </c>
      <c r="U40" s="467">
        <f>D46</f>
        <v>3464.2500000000005</v>
      </c>
      <c r="V40" s="467">
        <f>D48</f>
        <v>2.98</v>
      </c>
      <c r="W40" s="467">
        <f>D49</f>
        <v>2.4729861111111116</v>
      </c>
      <c r="X40" s="58"/>
      <c r="Y40" s="58"/>
      <c r="Z40" s="466">
        <f>D23</f>
        <v>8.3000000000000007</v>
      </c>
      <c r="AA40" s="468">
        <f>D25</f>
        <v>45</v>
      </c>
      <c r="AB40" s="468">
        <f>D26</f>
        <v>0.1</v>
      </c>
      <c r="AC40" s="468">
        <f>D27</f>
        <v>1</v>
      </c>
      <c r="AD40" s="468">
        <f>D24</f>
        <v>0.28999999999999998</v>
      </c>
    </row>
    <row r="41" spans="2:30" outlineLevel="1">
      <c r="B41" s="376" t="s">
        <v>764</v>
      </c>
      <c r="C41" s="469"/>
      <c r="D41" s="470"/>
      <c r="E41" s="470"/>
      <c r="F41" s="471"/>
      <c r="G41" s="453"/>
      <c r="H41" s="453"/>
      <c r="I41" s="453"/>
      <c r="J41" s="453"/>
      <c r="K41" s="453"/>
      <c r="L41" s="380"/>
      <c r="M41" s="363"/>
      <c r="N41" s="363"/>
      <c r="O41" s="465">
        <f>E12</f>
        <v>92</v>
      </c>
      <c r="P41" s="466">
        <f>E8</f>
        <v>2040</v>
      </c>
      <c r="Q41" s="58"/>
      <c r="R41" s="466">
        <f>O41/100</f>
        <v>0.92</v>
      </c>
      <c r="S41" s="58"/>
      <c r="T41" s="466">
        <f>E16</f>
        <v>20</v>
      </c>
      <c r="U41" s="467">
        <f>E46</f>
        <v>3613.25</v>
      </c>
      <c r="V41" s="467">
        <f>E48</f>
        <v>2.98</v>
      </c>
      <c r="W41" s="467">
        <f>E49</f>
        <v>2.4936805555555561</v>
      </c>
      <c r="X41" s="58"/>
      <c r="Y41" s="58"/>
      <c r="Z41" s="466">
        <f>E23</f>
        <v>8.3000000000000007</v>
      </c>
      <c r="AA41" s="468">
        <f>E25</f>
        <v>28</v>
      </c>
      <c r="AB41" s="468">
        <f>E26</f>
        <v>0.1</v>
      </c>
      <c r="AC41" s="468">
        <f>E27</f>
        <v>1</v>
      </c>
      <c r="AD41" s="468">
        <f>E24</f>
        <v>0.28999999999999998</v>
      </c>
    </row>
    <row r="42" spans="2:30" ht="14.5" customHeight="1" outlineLevel="1">
      <c r="B42" s="376" t="s">
        <v>765</v>
      </c>
      <c r="C42" s="1240">
        <v>90</v>
      </c>
      <c r="D42" s="1241">
        <v>90</v>
      </c>
      <c r="E42" s="1241">
        <v>90</v>
      </c>
      <c r="F42" s="1242">
        <v>90</v>
      </c>
      <c r="G42" s="474"/>
      <c r="H42" s="474"/>
      <c r="I42" s="474"/>
      <c r="J42" s="474"/>
      <c r="K42" s="474" t="s">
        <v>25</v>
      </c>
      <c r="L42" s="380" t="s">
        <v>921</v>
      </c>
      <c r="M42" s="363"/>
      <c r="N42" s="363"/>
      <c r="O42" s="465">
        <f>F12</f>
        <v>93</v>
      </c>
      <c r="P42" s="466">
        <f>F8</f>
        <v>2050</v>
      </c>
      <c r="Q42" s="58"/>
      <c r="R42" s="466">
        <f>O42/100</f>
        <v>0.93</v>
      </c>
      <c r="S42" s="58"/>
      <c r="T42" s="466">
        <f>F16</f>
        <v>20</v>
      </c>
      <c r="U42" s="467">
        <f>F46</f>
        <v>3352.5</v>
      </c>
      <c r="V42" s="467">
        <f>F48</f>
        <v>2.98</v>
      </c>
      <c r="W42" s="467">
        <f>F49</f>
        <v>2.4936805555555561</v>
      </c>
      <c r="X42" s="58"/>
      <c r="Y42" s="58"/>
      <c r="Z42" s="466">
        <f>F23</f>
        <v>8.3000000000000007</v>
      </c>
      <c r="AA42" s="468">
        <f>F25</f>
        <v>11</v>
      </c>
      <c r="AB42" s="468">
        <f>F26</f>
        <v>0.1</v>
      </c>
      <c r="AC42" s="468">
        <f>F27</f>
        <v>1</v>
      </c>
      <c r="AD42" s="468">
        <f>F24</f>
        <v>0.28999999999999998</v>
      </c>
    </row>
    <row r="43" spans="2:30" outlineLevel="1">
      <c r="B43" s="475" t="s">
        <v>766</v>
      </c>
      <c r="C43" s="469" t="s">
        <v>36</v>
      </c>
      <c r="D43" s="470" t="s">
        <v>36</v>
      </c>
      <c r="E43" s="470" t="s">
        <v>36</v>
      </c>
      <c r="F43" s="471" t="s">
        <v>36</v>
      </c>
      <c r="G43" s="474"/>
      <c r="H43" s="474"/>
      <c r="I43" s="474"/>
      <c r="J43" s="474"/>
      <c r="K43" s="474"/>
      <c r="L43" s="476"/>
      <c r="M43" s="367"/>
      <c r="N43" s="367"/>
    </row>
    <row r="44" spans="2:30" outlineLevel="1">
      <c r="B44" s="475" t="s">
        <v>767</v>
      </c>
      <c r="C44" s="469" t="s">
        <v>36</v>
      </c>
      <c r="D44" s="470" t="s">
        <v>36</v>
      </c>
      <c r="E44" s="470" t="s">
        <v>36</v>
      </c>
      <c r="F44" s="471" t="s">
        <v>36</v>
      </c>
      <c r="G44" s="474"/>
      <c r="H44" s="474"/>
      <c r="I44" s="474"/>
      <c r="J44" s="474"/>
      <c r="K44" s="474"/>
      <c r="L44" s="476"/>
      <c r="M44" s="363"/>
      <c r="N44" s="363"/>
    </row>
    <row r="45" spans="2:30" ht="16" outlineLevel="1" thickBot="1">
      <c r="B45" s="477" t="s">
        <v>768</v>
      </c>
      <c r="C45" s="478" t="s">
        <v>36</v>
      </c>
      <c r="D45" s="479" t="s">
        <v>36</v>
      </c>
      <c r="E45" s="479" t="s">
        <v>36</v>
      </c>
      <c r="F45" s="480" t="s">
        <v>36</v>
      </c>
      <c r="G45" s="481"/>
      <c r="H45" s="481"/>
      <c r="I45" s="481"/>
      <c r="J45" s="481"/>
      <c r="K45" s="481"/>
      <c r="L45" s="482"/>
      <c r="M45" s="363"/>
      <c r="N45" s="363"/>
    </row>
    <row r="46" spans="2:30" ht="64" outlineLevel="1">
      <c r="B46" s="461" t="s">
        <v>769</v>
      </c>
      <c r="C46" s="483">
        <f>C29*$F$4*1000</f>
        <v>3725</v>
      </c>
      <c r="D46" s="483">
        <f t="shared" ref="D46:F46" si="1">D29*$F$4*1000</f>
        <v>3464.2500000000005</v>
      </c>
      <c r="E46" s="483">
        <f t="shared" si="1"/>
        <v>3613.25</v>
      </c>
      <c r="F46" s="483">
        <f t="shared" si="1"/>
        <v>3352.5</v>
      </c>
      <c r="G46" s="483"/>
      <c r="H46" s="484"/>
      <c r="I46" s="420" t="s">
        <v>332</v>
      </c>
      <c r="J46" s="420"/>
      <c r="K46" s="484"/>
      <c r="L46" s="484"/>
      <c r="N46" s="420"/>
    </row>
    <row r="47" spans="2:30" outlineLevel="1">
      <c r="B47" s="485" t="s">
        <v>770</v>
      </c>
      <c r="C47" s="486">
        <f>C46*$I47</f>
        <v>1862500</v>
      </c>
      <c r="D47" s="486">
        <f>D46*$I47</f>
        <v>1732125.0000000002</v>
      </c>
      <c r="E47" s="486">
        <f>E46*$I47</f>
        <v>1806625</v>
      </c>
      <c r="F47" s="486">
        <f>F46*$I47</f>
        <v>1676250</v>
      </c>
      <c r="G47" s="486"/>
      <c r="H47" s="484"/>
      <c r="I47" s="71">
        <v>500</v>
      </c>
      <c r="J47" s="420" t="s">
        <v>330</v>
      </c>
      <c r="K47" s="484"/>
      <c r="L47" s="484"/>
      <c r="N47" s="420"/>
    </row>
    <row r="48" spans="2:30" ht="48" outlineLevel="1">
      <c r="B48" s="461" t="s">
        <v>845</v>
      </c>
      <c r="C48" s="359">
        <f>C32*$F$4/1000</f>
        <v>2.98</v>
      </c>
      <c r="D48" s="359">
        <f t="shared" ref="D48:F48" si="2">D32*$F$4/1000</f>
        <v>2.98</v>
      </c>
      <c r="E48" s="359">
        <f t="shared" si="2"/>
        <v>2.98</v>
      </c>
      <c r="F48" s="359">
        <f t="shared" si="2"/>
        <v>2.98</v>
      </c>
      <c r="G48" s="359"/>
      <c r="I48" s="420" t="s">
        <v>333</v>
      </c>
      <c r="J48" s="420"/>
      <c r="N48" s="420"/>
    </row>
    <row r="49" spans="2:14" ht="48" outlineLevel="1">
      <c r="B49" s="461" t="s">
        <v>846</v>
      </c>
      <c r="C49" s="487">
        <f>C33*$F$4/3.6</f>
        <v>2.4315972222222224</v>
      </c>
      <c r="D49" s="487">
        <f t="shared" ref="D49:F49" si="3">D33*$F$4/3.6</f>
        <v>2.4729861111111116</v>
      </c>
      <c r="E49" s="487">
        <f t="shared" si="3"/>
        <v>2.4936805555555561</v>
      </c>
      <c r="F49" s="487">
        <f t="shared" si="3"/>
        <v>2.4936805555555561</v>
      </c>
      <c r="G49" s="359"/>
      <c r="M49" s="420"/>
      <c r="N49" s="420"/>
    </row>
    <row r="50" spans="2:14" outlineLevel="1"/>
    <row r="51" spans="2:14" outlineLevel="1"/>
    <row r="52" spans="2:14" outlineLevel="1"/>
    <row r="53" spans="2:14" outlineLevel="1"/>
    <row r="54" spans="2:14" outlineLevel="1">
      <c r="E54" s="358"/>
      <c r="F54" s="358"/>
      <c r="G54" s="358"/>
      <c r="H54" s="358"/>
      <c r="I54" s="358"/>
      <c r="J54" s="358"/>
      <c r="K54" s="358"/>
      <c r="L54" s="358"/>
    </row>
    <row r="55" spans="2:14" outlineLevel="1">
      <c r="B55" s="488" t="s">
        <v>773</v>
      </c>
      <c r="C55" s="489"/>
      <c r="E55" s="358"/>
      <c r="F55" s="358"/>
      <c r="G55" s="358"/>
      <c r="H55" s="358"/>
      <c r="I55" s="358"/>
      <c r="J55" s="358"/>
      <c r="K55" s="358"/>
      <c r="L55" s="358"/>
    </row>
    <row r="56" spans="2:14" outlineLevel="1">
      <c r="B56" s="358">
        <v>1</v>
      </c>
      <c r="C56" s="660" t="s">
        <v>940</v>
      </c>
      <c r="F56" s="358"/>
      <c r="G56" s="358"/>
      <c r="H56" s="358"/>
      <c r="I56" s="358"/>
      <c r="J56" s="358"/>
      <c r="K56" s="358"/>
      <c r="L56" s="358"/>
    </row>
    <row r="57" spans="2:14" outlineLevel="1">
      <c r="B57" s="358">
        <v>2</v>
      </c>
      <c r="C57" s="658" t="s">
        <v>781</v>
      </c>
      <c r="F57" s="358"/>
      <c r="G57" s="358"/>
      <c r="H57" s="358"/>
      <c r="I57" s="358"/>
      <c r="J57" s="358"/>
      <c r="K57" s="358"/>
      <c r="L57" s="358"/>
    </row>
    <row r="58" spans="2:14" outlineLevel="1">
      <c r="B58" s="358">
        <v>3</v>
      </c>
      <c r="C58" s="660" t="s">
        <v>850</v>
      </c>
      <c r="F58" s="358"/>
      <c r="G58" s="358"/>
      <c r="H58" s="358"/>
      <c r="I58" s="358"/>
      <c r="J58" s="358"/>
      <c r="K58" s="358"/>
      <c r="L58" s="358"/>
    </row>
    <row r="59" spans="2:14" outlineLevel="1">
      <c r="B59" s="358">
        <v>4</v>
      </c>
      <c r="C59" s="658" t="s">
        <v>941</v>
      </c>
      <c r="F59" s="358"/>
      <c r="G59" s="358"/>
      <c r="H59" s="358"/>
      <c r="I59" s="358"/>
      <c r="J59" s="358"/>
      <c r="K59" s="358"/>
      <c r="L59" s="358"/>
    </row>
    <row r="60" spans="2:14" outlineLevel="1">
      <c r="B60" s="358">
        <v>5</v>
      </c>
      <c r="C60" s="658" t="s">
        <v>942</v>
      </c>
      <c r="D60" s="489"/>
      <c r="F60" s="358"/>
      <c r="G60" s="358"/>
      <c r="H60" s="358"/>
      <c r="I60" s="358"/>
      <c r="J60" s="358"/>
      <c r="K60" s="358"/>
      <c r="L60" s="358"/>
    </row>
    <row r="61" spans="2:14" outlineLevel="1">
      <c r="B61" s="488" t="s">
        <v>783</v>
      </c>
      <c r="C61" s="625"/>
      <c r="D61" s="489"/>
      <c r="F61" s="358"/>
      <c r="G61" s="358"/>
      <c r="H61" s="358"/>
      <c r="I61" s="358"/>
      <c r="J61" s="358"/>
      <c r="K61" s="358"/>
      <c r="L61" s="358"/>
    </row>
    <row r="62" spans="2:14" outlineLevel="1">
      <c r="B62" s="496" t="s">
        <v>6</v>
      </c>
      <c r="C62" s="660" t="s">
        <v>943</v>
      </c>
      <c r="D62" s="489"/>
      <c r="F62" s="358"/>
      <c r="G62" s="358"/>
      <c r="H62" s="358"/>
      <c r="I62" s="358"/>
      <c r="J62" s="358"/>
      <c r="K62" s="358"/>
      <c r="L62" s="358"/>
    </row>
    <row r="63" spans="2:14" outlineLevel="1">
      <c r="B63" s="496" t="s">
        <v>59</v>
      </c>
      <c r="C63" s="660" t="s">
        <v>944</v>
      </c>
      <c r="D63" s="489"/>
      <c r="F63" s="358"/>
      <c r="G63" s="358"/>
      <c r="H63" s="358"/>
      <c r="I63" s="358"/>
      <c r="J63" s="358"/>
      <c r="K63" s="358"/>
      <c r="L63" s="358"/>
    </row>
    <row r="64" spans="2:14" outlineLevel="1">
      <c r="B64" s="496" t="s">
        <v>16</v>
      </c>
      <c r="C64" s="658" t="s">
        <v>945</v>
      </c>
      <c r="D64" s="489"/>
      <c r="F64" s="358"/>
      <c r="G64" s="358"/>
      <c r="H64" s="358"/>
      <c r="I64" s="358"/>
      <c r="J64" s="358"/>
      <c r="K64" s="358"/>
      <c r="L64" s="358"/>
    </row>
    <row r="65" spans="1:44" outlineLevel="1">
      <c r="B65" s="496" t="s">
        <v>20</v>
      </c>
      <c r="C65" s="658" t="s">
        <v>946</v>
      </c>
      <c r="D65" s="489"/>
      <c r="F65" s="358"/>
      <c r="G65" s="358"/>
      <c r="H65" s="358"/>
      <c r="I65" s="358"/>
      <c r="J65" s="358"/>
      <c r="K65" s="358"/>
      <c r="L65" s="358"/>
    </row>
    <row r="66" spans="1:44" outlineLevel="1">
      <c r="B66" s="496" t="s">
        <v>76</v>
      </c>
      <c r="C66" s="628" t="s">
        <v>947</v>
      </c>
      <c r="D66" s="490"/>
      <c r="F66" s="358"/>
      <c r="G66" s="358"/>
      <c r="H66" s="358"/>
      <c r="I66" s="358"/>
      <c r="J66" s="358"/>
      <c r="K66" s="358"/>
      <c r="L66" s="358"/>
    </row>
    <row r="67" spans="1:44" outlineLevel="1">
      <c r="B67" s="496" t="s">
        <v>25</v>
      </c>
      <c r="C67" s="660" t="s">
        <v>948</v>
      </c>
      <c r="D67" s="490"/>
      <c r="F67" s="358"/>
      <c r="G67" s="358"/>
      <c r="H67" s="358"/>
      <c r="I67" s="358"/>
      <c r="J67" s="358"/>
      <c r="K67" s="358"/>
      <c r="L67" s="358"/>
    </row>
    <row r="68" spans="1:44" outlineLevel="1">
      <c r="B68" s="496" t="s">
        <v>33</v>
      </c>
      <c r="C68" s="625" t="s">
        <v>949</v>
      </c>
      <c r="D68" s="358"/>
      <c r="F68" s="358"/>
      <c r="G68" s="358"/>
      <c r="H68" s="358"/>
      <c r="I68" s="358"/>
      <c r="J68" s="358"/>
      <c r="K68" s="358"/>
      <c r="L68" s="358"/>
    </row>
    <row r="69" spans="1:44" outlineLevel="1">
      <c r="B69" s="637"/>
      <c r="C69" s="489"/>
      <c r="D69" s="358"/>
      <c r="F69" s="358"/>
      <c r="G69" s="358"/>
      <c r="H69" s="358"/>
      <c r="I69" s="358"/>
      <c r="J69" s="358"/>
      <c r="K69" s="358"/>
      <c r="L69" s="358"/>
    </row>
    <row r="70" spans="1:44" outlineLevel="1">
      <c r="B70" s="637"/>
      <c r="C70" s="490"/>
      <c r="D70" s="358"/>
      <c r="G70" s="358"/>
      <c r="H70" s="358"/>
      <c r="I70" s="358"/>
      <c r="J70" s="358"/>
      <c r="K70" s="358"/>
      <c r="L70" s="358"/>
    </row>
    <row r="71" spans="1:44" outlineLevel="1">
      <c r="B71" s="637"/>
      <c r="C71" s="490"/>
      <c r="E71" s="490"/>
      <c r="F71" s="490"/>
    </row>
    <row r="72" spans="1:44" outlineLevel="1"/>
    <row r="73" spans="1:44" outlineLevel="1"/>
    <row r="74" spans="1:44" outlineLevel="1"/>
    <row r="77" spans="1:44">
      <c r="A77" s="360"/>
      <c r="B77" s="1207"/>
      <c r="C77" s="1143"/>
      <c r="D77" s="1143"/>
      <c r="E77" s="1143"/>
      <c r="F77" s="1143"/>
      <c r="G77" s="1143"/>
      <c r="H77" s="1143"/>
      <c r="I77" s="1143"/>
      <c r="J77" s="1143"/>
      <c r="K77" s="1143"/>
      <c r="L77" s="1143"/>
      <c r="M77" s="1143"/>
      <c r="N77" s="361"/>
      <c r="P77" s="1143"/>
      <c r="Q77" s="1143"/>
      <c r="R77" s="1143"/>
      <c r="S77" s="1143"/>
      <c r="T77" s="1143"/>
      <c r="U77" s="1143"/>
    </row>
    <row r="78" spans="1:44" ht="16" outlineLevel="1" thickBot="1">
      <c r="B78" s="1207"/>
      <c r="C78" s="1143"/>
      <c r="D78" s="1143"/>
      <c r="E78" s="1143"/>
      <c r="F78" s="1143"/>
      <c r="G78" s="1143"/>
      <c r="H78" s="1143"/>
      <c r="I78" s="1143"/>
      <c r="J78" s="1143"/>
      <c r="K78" s="1143"/>
      <c r="L78" s="1143"/>
      <c r="M78" s="1143"/>
      <c r="N78" s="361"/>
      <c r="P78" s="1143"/>
      <c r="Q78" s="1143"/>
      <c r="R78" s="1143"/>
      <c r="S78" s="1143"/>
      <c r="T78" s="1143"/>
      <c r="U78" s="1143"/>
    </row>
    <row r="79" spans="1:44" ht="20.5" customHeight="1" outlineLevel="1" thickBot="1">
      <c r="B79" s="362"/>
      <c r="C79" s="1186"/>
      <c r="D79" s="1205"/>
      <c r="E79" s="1205"/>
      <c r="F79" s="1205"/>
      <c r="G79" s="1205"/>
      <c r="H79" s="1205"/>
      <c r="I79" s="1205"/>
      <c r="J79" s="1205"/>
      <c r="K79" s="1205"/>
      <c r="L79" s="1206"/>
      <c r="M79" s="363"/>
      <c r="N79" s="363"/>
      <c r="P79" s="364"/>
      <c r="Q79" s="365"/>
      <c r="R79" s="366"/>
      <c r="S79" s="1176"/>
      <c r="T79" s="1160"/>
      <c r="U79" s="1161"/>
      <c r="V79" s="1160"/>
      <c r="W79" s="1161"/>
      <c r="X79" s="1160"/>
      <c r="Y79" s="1161"/>
      <c r="Z79" s="1160"/>
      <c r="AA79" s="1161"/>
      <c r="AB79" s="1160"/>
      <c r="AC79" s="1161"/>
      <c r="AE79" s="364"/>
      <c r="AF79" s="365"/>
      <c r="AG79" s="366"/>
      <c r="AH79" s="1176"/>
      <c r="AI79" s="1160"/>
      <c r="AJ79" s="1161"/>
      <c r="AK79" s="1160"/>
      <c r="AL79" s="1161"/>
      <c r="AM79" s="1160"/>
      <c r="AN79" s="1161"/>
      <c r="AO79" s="1160"/>
      <c r="AP79" s="1161"/>
      <c r="AQ79" s="1160"/>
      <c r="AR79" s="1161"/>
    </row>
    <row r="80" spans="1:44" ht="15" customHeight="1" outlineLevel="1" thickBot="1">
      <c r="B80" s="1164"/>
      <c r="C80" s="1166"/>
      <c r="D80" s="1166"/>
      <c r="E80" s="1166"/>
      <c r="F80" s="1166"/>
      <c r="G80" s="1200"/>
      <c r="H80" s="1201"/>
      <c r="I80" s="1200"/>
      <c r="J80" s="1201"/>
      <c r="K80" s="1202"/>
      <c r="L80" s="1202"/>
      <c r="M80" s="367"/>
      <c r="N80" s="367"/>
      <c r="P80" s="1180"/>
      <c r="Q80" s="368"/>
      <c r="R80" s="368"/>
      <c r="S80" s="1177"/>
      <c r="T80" s="1162"/>
      <c r="U80" s="1163"/>
      <c r="V80" s="1162"/>
      <c r="W80" s="1163"/>
      <c r="X80" s="1162"/>
      <c r="Y80" s="1163"/>
      <c r="Z80" s="1162"/>
      <c r="AA80" s="1163"/>
      <c r="AB80" s="1162"/>
      <c r="AC80" s="1163"/>
      <c r="AE80" s="1180"/>
      <c r="AF80" s="368"/>
      <c r="AG80" s="368"/>
      <c r="AH80" s="1177"/>
      <c r="AI80" s="1162"/>
      <c r="AJ80" s="1163"/>
      <c r="AK80" s="1162"/>
      <c r="AL80" s="1163"/>
      <c r="AM80" s="1162"/>
      <c r="AN80" s="1163"/>
      <c r="AO80" s="1162"/>
      <c r="AP80" s="1163"/>
      <c r="AQ80" s="1162"/>
      <c r="AR80" s="1163"/>
    </row>
    <row r="81" spans="2:44" ht="15" customHeight="1" outlineLevel="1" thickBot="1">
      <c r="B81" s="1165"/>
      <c r="C81" s="1167"/>
      <c r="D81" s="1167"/>
      <c r="E81" s="1167"/>
      <c r="F81" s="1167"/>
      <c r="G81" s="499"/>
      <c r="H81" s="499"/>
      <c r="I81" s="499"/>
      <c r="J81" s="499"/>
      <c r="K81" s="1203"/>
      <c r="L81" s="1203"/>
      <c r="M81" s="370"/>
      <c r="N81" s="370"/>
      <c r="P81" s="1181"/>
      <c r="Q81" s="1183"/>
      <c r="R81" s="1184"/>
      <c r="S81" s="1178"/>
      <c r="T81" s="1162"/>
      <c r="U81" s="1163"/>
      <c r="V81" s="1162"/>
      <c r="W81" s="1163"/>
      <c r="X81" s="1162"/>
      <c r="Y81" s="1163"/>
      <c r="Z81" s="1162"/>
      <c r="AA81" s="1163"/>
      <c r="AB81" s="1162"/>
      <c r="AC81" s="1163"/>
      <c r="AE81" s="1181"/>
      <c r="AF81" s="1197"/>
      <c r="AG81" s="1184"/>
      <c r="AH81" s="1178"/>
      <c r="AI81" s="1162"/>
      <c r="AJ81" s="1163"/>
      <c r="AK81" s="1162"/>
      <c r="AL81" s="1163"/>
      <c r="AM81" s="1162"/>
      <c r="AN81" s="1163"/>
      <c r="AO81" s="1162"/>
      <c r="AP81" s="1163"/>
      <c r="AQ81" s="1162"/>
      <c r="AR81" s="1163"/>
    </row>
    <row r="82" spans="2:44" ht="16" outlineLevel="1" thickBot="1">
      <c r="B82" s="371"/>
      <c r="C82" s="372"/>
      <c r="D82" s="372"/>
      <c r="E82" s="372"/>
      <c r="F82" s="372"/>
      <c r="G82" s="372"/>
      <c r="H82" s="372"/>
      <c r="I82" s="372"/>
      <c r="J82" s="372"/>
      <c r="K82" s="372"/>
      <c r="L82" s="373"/>
      <c r="M82" s="370"/>
      <c r="N82" s="370"/>
      <c r="O82" s="74"/>
      <c r="P82" s="1182"/>
      <c r="Q82" s="1179"/>
      <c r="R82" s="1185"/>
      <c r="S82" s="1179"/>
      <c r="T82" s="374"/>
      <c r="U82" s="375"/>
      <c r="V82" s="374"/>
      <c r="W82" s="375"/>
      <c r="X82" s="374"/>
      <c r="Y82" s="375"/>
      <c r="Z82" s="374"/>
      <c r="AA82" s="375"/>
      <c r="AB82" s="374"/>
      <c r="AC82" s="375"/>
      <c r="AE82" s="1182"/>
      <c r="AF82" s="1198"/>
      <c r="AG82" s="1185"/>
      <c r="AH82" s="1179"/>
      <c r="AI82" s="374"/>
      <c r="AJ82" s="375"/>
      <c r="AK82" s="374"/>
      <c r="AL82" s="375"/>
      <c r="AM82" s="374"/>
      <c r="AN82" s="375"/>
      <c r="AO82" s="374"/>
      <c r="AP82" s="375"/>
      <c r="AQ82" s="374"/>
      <c r="AR82" s="375"/>
    </row>
    <row r="83" spans="2:44" ht="15" customHeight="1" outlineLevel="1">
      <c r="B83" s="500"/>
      <c r="C83" s="501"/>
      <c r="D83" s="501"/>
      <c r="E83" s="502"/>
      <c r="F83" s="501"/>
      <c r="G83" s="501"/>
      <c r="H83" s="501"/>
      <c r="I83" s="501"/>
      <c r="J83" s="501"/>
      <c r="K83" s="503"/>
      <c r="L83" s="504"/>
      <c r="M83" s="370"/>
      <c r="N83" s="370"/>
      <c r="P83" s="1148"/>
      <c r="Q83" s="1154"/>
      <c r="R83" s="381"/>
      <c r="S83" s="382"/>
      <c r="T83" s="1137"/>
      <c r="U83" s="1151"/>
      <c r="V83" s="1137"/>
      <c r="W83" s="1151"/>
      <c r="X83" s="1137"/>
      <c r="Y83" s="1151"/>
      <c r="Z83" s="1137"/>
      <c r="AA83" s="1151"/>
      <c r="AB83" s="1137"/>
      <c r="AC83" s="1151"/>
      <c r="AE83" s="1148"/>
      <c r="AF83" s="1154"/>
      <c r="AG83" s="381"/>
      <c r="AH83" s="382"/>
      <c r="AI83" s="1137"/>
      <c r="AJ83" s="1151"/>
      <c r="AK83" s="1137"/>
      <c r="AL83" s="1151"/>
      <c r="AM83" s="1137"/>
      <c r="AN83" s="1151"/>
      <c r="AO83" s="1137"/>
      <c r="AP83" s="1151"/>
      <c r="AQ83" s="1137"/>
      <c r="AR83" s="1151"/>
    </row>
    <row r="84" spans="2:44" outlineLevel="1">
      <c r="B84" s="383"/>
      <c r="C84" s="384"/>
      <c r="D84" s="384"/>
      <c r="E84" s="384"/>
      <c r="F84" s="384"/>
      <c r="G84" s="505"/>
      <c r="H84" s="505"/>
      <c r="I84" s="505"/>
      <c r="J84" s="505"/>
      <c r="K84" s="372"/>
      <c r="L84" s="373"/>
      <c r="M84" s="370"/>
      <c r="N84" s="370"/>
      <c r="O84" s="71"/>
      <c r="P84" s="1195"/>
      <c r="Q84" s="1155"/>
      <c r="R84" s="388"/>
      <c r="S84" s="389"/>
      <c r="T84" s="1140"/>
      <c r="U84" s="1152"/>
      <c r="V84" s="1140"/>
      <c r="W84" s="1152"/>
      <c r="X84" s="1140"/>
      <c r="Y84" s="1152"/>
      <c r="Z84" s="1140"/>
      <c r="AA84" s="1152"/>
      <c r="AB84" s="1140"/>
      <c r="AC84" s="1152"/>
      <c r="AE84" s="1195"/>
      <c r="AF84" s="1155"/>
      <c r="AG84" s="388"/>
      <c r="AH84" s="389"/>
      <c r="AI84" s="1140"/>
      <c r="AJ84" s="1152"/>
      <c r="AK84" s="1140"/>
      <c r="AL84" s="1152"/>
      <c r="AM84" s="1140"/>
      <c r="AN84" s="1152"/>
      <c r="AO84" s="1140"/>
      <c r="AP84" s="1152"/>
      <c r="AQ84" s="1140"/>
      <c r="AR84" s="1152"/>
    </row>
    <row r="85" spans="2:44" ht="16" outlineLevel="1" thickBot="1">
      <c r="B85" s="500"/>
      <c r="C85" s="506"/>
      <c r="D85" s="507"/>
      <c r="E85" s="507"/>
      <c r="F85" s="508"/>
      <c r="G85" s="507"/>
      <c r="H85" s="507"/>
      <c r="I85" s="507"/>
      <c r="J85" s="507"/>
      <c r="K85" s="503"/>
      <c r="L85" s="504"/>
      <c r="M85" s="370"/>
      <c r="N85" s="370"/>
      <c r="O85" s="71"/>
      <c r="P85" s="1195"/>
      <c r="Q85" s="1156"/>
      <c r="R85" s="393"/>
      <c r="S85" s="394"/>
      <c r="T85" s="1141"/>
      <c r="U85" s="1153"/>
      <c r="V85" s="1141"/>
      <c r="W85" s="1153"/>
      <c r="X85" s="1141"/>
      <c r="Y85" s="1153"/>
      <c r="Z85" s="1141"/>
      <c r="AA85" s="1153"/>
      <c r="AB85" s="1141"/>
      <c r="AC85" s="1153"/>
      <c r="AE85" s="1195"/>
      <c r="AF85" s="1156"/>
      <c r="AG85" s="393"/>
      <c r="AH85" s="394"/>
      <c r="AI85" s="1141"/>
      <c r="AJ85" s="1153"/>
      <c r="AK85" s="1141"/>
      <c r="AL85" s="1153"/>
      <c r="AM85" s="1141"/>
      <c r="AN85" s="1153"/>
      <c r="AO85" s="1141"/>
      <c r="AP85" s="1153"/>
      <c r="AQ85" s="1141"/>
      <c r="AR85" s="1153"/>
    </row>
    <row r="86" spans="2:44" ht="15" customHeight="1" outlineLevel="1">
      <c r="B86" s="500"/>
      <c r="C86" s="506"/>
      <c r="D86" s="506"/>
      <c r="E86" s="506"/>
      <c r="F86" s="506"/>
      <c r="G86" s="506"/>
      <c r="H86" s="506"/>
      <c r="I86" s="506"/>
      <c r="J86" s="506"/>
      <c r="K86" s="503"/>
      <c r="L86" s="504"/>
      <c r="M86" s="370"/>
      <c r="N86" s="370"/>
      <c r="O86" s="71"/>
      <c r="P86" s="1195"/>
      <c r="Q86" s="1154"/>
      <c r="R86" s="395"/>
      <c r="S86" s="396"/>
      <c r="T86" s="1137"/>
      <c r="U86" s="1137"/>
      <c r="V86" s="1137"/>
      <c r="W86" s="1137"/>
      <c r="X86" s="1137"/>
      <c r="Y86" s="1137"/>
      <c r="Z86" s="1137"/>
      <c r="AA86" s="1137"/>
      <c r="AB86" s="1137"/>
      <c r="AC86" s="1137"/>
      <c r="AE86" s="1195"/>
      <c r="AF86" s="1154"/>
      <c r="AG86" s="395"/>
      <c r="AH86" s="396"/>
      <c r="AI86" s="1137"/>
      <c r="AJ86" s="1137"/>
      <c r="AK86" s="1137"/>
      <c r="AL86" s="1137"/>
      <c r="AM86" s="1137"/>
      <c r="AN86" s="1137"/>
      <c r="AO86" s="1137"/>
      <c r="AP86" s="1137"/>
      <c r="AQ86" s="1137"/>
      <c r="AR86" s="1137"/>
    </row>
    <row r="87" spans="2:44" outlineLevel="1">
      <c r="B87" s="500"/>
      <c r="C87" s="506"/>
      <c r="D87" s="506"/>
      <c r="E87" s="506"/>
      <c r="F87" s="506"/>
      <c r="G87" s="506"/>
      <c r="H87" s="506"/>
      <c r="I87" s="506"/>
      <c r="J87" s="506"/>
      <c r="K87" s="503"/>
      <c r="L87" s="504"/>
      <c r="M87" s="367"/>
      <c r="N87" s="367"/>
      <c r="O87" s="71"/>
      <c r="P87" s="1195"/>
      <c r="Q87" s="1155"/>
      <c r="R87" s="395"/>
      <c r="S87" s="396"/>
      <c r="T87" s="1138"/>
      <c r="U87" s="1138"/>
      <c r="V87" s="1138"/>
      <c r="W87" s="1138"/>
      <c r="X87" s="1138"/>
      <c r="Y87" s="1138"/>
      <c r="Z87" s="1138"/>
      <c r="AA87" s="1138"/>
      <c r="AB87" s="1138"/>
      <c r="AC87" s="1138"/>
      <c r="AE87" s="1195"/>
      <c r="AF87" s="1155"/>
      <c r="AG87" s="395"/>
      <c r="AH87" s="396"/>
      <c r="AI87" s="1138"/>
      <c r="AJ87" s="1138"/>
      <c r="AK87" s="1138"/>
      <c r="AL87" s="1138"/>
      <c r="AM87" s="1138"/>
      <c r="AN87" s="1138"/>
      <c r="AO87" s="1138"/>
      <c r="AP87" s="1138"/>
      <c r="AQ87" s="1138"/>
      <c r="AR87" s="1138"/>
    </row>
    <row r="88" spans="2:44" outlineLevel="1">
      <c r="B88" s="383"/>
      <c r="C88" s="397"/>
      <c r="D88" s="397"/>
      <c r="E88" s="397"/>
      <c r="F88" s="397"/>
      <c r="G88" s="399"/>
      <c r="H88" s="399"/>
      <c r="I88" s="399"/>
      <c r="J88" s="399"/>
      <c r="K88" s="372"/>
      <c r="L88" s="373"/>
      <c r="M88" s="363"/>
      <c r="N88" s="363"/>
      <c r="P88" s="1195"/>
      <c r="Q88" s="1155"/>
      <c r="R88" s="395"/>
      <c r="S88" s="396"/>
      <c r="T88" s="1138"/>
      <c r="U88" s="1138"/>
      <c r="V88" s="1138"/>
      <c r="W88" s="1138"/>
      <c r="X88" s="1138"/>
      <c r="Y88" s="1138"/>
      <c r="Z88" s="1138"/>
      <c r="AA88" s="1138"/>
      <c r="AB88" s="1138"/>
      <c r="AC88" s="1138"/>
      <c r="AE88" s="1195"/>
      <c r="AF88" s="1155"/>
      <c r="AG88" s="395"/>
      <c r="AH88" s="396"/>
      <c r="AI88" s="1138"/>
      <c r="AJ88" s="1138"/>
      <c r="AK88" s="1138"/>
      <c r="AL88" s="1138"/>
      <c r="AM88" s="1138"/>
      <c r="AN88" s="1138"/>
      <c r="AO88" s="1138"/>
      <c r="AP88" s="1138"/>
      <c r="AQ88" s="1138"/>
      <c r="AR88" s="1138"/>
    </row>
    <row r="89" spans="2:44" ht="16" outlineLevel="1" thickBot="1">
      <c r="B89" s="500"/>
      <c r="C89" s="506"/>
      <c r="D89" s="506"/>
      <c r="E89" s="506"/>
      <c r="F89" s="506"/>
      <c r="G89" s="506"/>
      <c r="H89" s="506"/>
      <c r="I89" s="506"/>
      <c r="J89" s="506"/>
      <c r="K89" s="372"/>
      <c r="L89" s="400"/>
      <c r="M89" s="363"/>
      <c r="N89" s="363"/>
      <c r="P89" s="1195"/>
      <c r="Q89" s="1155"/>
      <c r="R89" s="395"/>
      <c r="S89" s="396"/>
      <c r="T89" s="1138"/>
      <c r="U89" s="1138"/>
      <c r="V89" s="1138"/>
      <c r="W89" s="1138"/>
      <c r="X89" s="1138"/>
      <c r="Y89" s="1138"/>
      <c r="Z89" s="1138"/>
      <c r="AA89" s="1138"/>
      <c r="AB89" s="1138"/>
      <c r="AC89" s="1138"/>
      <c r="AE89" s="1195"/>
      <c r="AF89" s="1155"/>
      <c r="AG89" s="395"/>
      <c r="AH89" s="396"/>
      <c r="AI89" s="1138"/>
      <c r="AJ89" s="1138"/>
      <c r="AK89" s="1138"/>
      <c r="AL89" s="1138"/>
      <c r="AM89" s="1138"/>
      <c r="AN89" s="1138"/>
      <c r="AO89" s="1138"/>
      <c r="AP89" s="1138"/>
      <c r="AQ89" s="1138"/>
      <c r="AR89" s="1138"/>
    </row>
    <row r="90" spans="2:44" ht="16" outlineLevel="1" thickBot="1">
      <c r="B90" s="401"/>
      <c r="C90" s="402"/>
      <c r="D90" s="403"/>
      <c r="E90" s="404"/>
      <c r="F90" s="405"/>
      <c r="G90" s="406"/>
      <c r="H90" s="406"/>
      <c r="I90" s="406"/>
      <c r="J90" s="406"/>
      <c r="K90" s="407"/>
      <c r="L90" s="408"/>
      <c r="M90" s="363"/>
      <c r="N90" s="363"/>
      <c r="P90" s="1195"/>
      <c r="Q90" s="1155"/>
      <c r="R90" s="409"/>
      <c r="S90" s="410"/>
      <c r="T90" s="1139"/>
      <c r="U90" s="1139"/>
      <c r="V90" s="1139"/>
      <c r="W90" s="1139"/>
      <c r="X90" s="1139"/>
      <c r="Y90" s="1139"/>
      <c r="Z90" s="1139"/>
      <c r="AA90" s="1139"/>
      <c r="AB90" s="1139"/>
      <c r="AC90" s="1139"/>
      <c r="AE90" s="1195"/>
      <c r="AF90" s="1155"/>
      <c r="AG90" s="409"/>
      <c r="AH90" s="410"/>
      <c r="AI90" s="1139"/>
      <c r="AJ90" s="1139"/>
      <c r="AK90" s="1139"/>
      <c r="AL90" s="1139"/>
      <c r="AM90" s="1139"/>
      <c r="AN90" s="1139"/>
      <c r="AO90" s="1139"/>
      <c r="AP90" s="1139"/>
      <c r="AQ90" s="1139"/>
      <c r="AR90" s="1139"/>
    </row>
    <row r="91" spans="2:44" ht="16" outlineLevel="1" thickBot="1">
      <c r="B91" s="500"/>
      <c r="C91" s="506"/>
      <c r="D91" s="506"/>
      <c r="E91" s="506"/>
      <c r="F91" s="506"/>
      <c r="G91" s="507"/>
      <c r="H91" s="507"/>
      <c r="I91" s="507"/>
      <c r="J91" s="507"/>
      <c r="K91" s="503"/>
      <c r="L91" s="504"/>
      <c r="M91" s="363"/>
      <c r="N91" s="363"/>
      <c r="P91" s="1196"/>
      <c r="Q91" s="411"/>
      <c r="R91" s="412"/>
      <c r="S91" s="413"/>
      <c r="T91" s="414"/>
      <c r="U91" s="415"/>
      <c r="V91" s="416"/>
      <c r="W91" s="415"/>
      <c r="X91" s="416"/>
      <c r="Y91" s="415"/>
      <c r="Z91" s="416"/>
      <c r="AA91" s="415"/>
      <c r="AB91" s="416"/>
      <c r="AC91" s="417"/>
      <c r="AE91" s="1196"/>
      <c r="AF91" s="411"/>
      <c r="AG91" s="412"/>
      <c r="AH91" s="413"/>
      <c r="AI91" s="414"/>
      <c r="AJ91" s="415"/>
      <c r="AK91" s="414"/>
      <c r="AL91" s="415"/>
      <c r="AM91" s="414"/>
      <c r="AN91" s="415"/>
      <c r="AO91" s="414"/>
      <c r="AP91" s="415"/>
      <c r="AQ91" s="414"/>
      <c r="AR91" s="417"/>
    </row>
    <row r="92" spans="2:44" outlineLevel="1">
      <c r="B92" s="500"/>
      <c r="C92" s="506"/>
      <c r="D92" s="506"/>
      <c r="E92" s="506"/>
      <c r="F92" s="506"/>
      <c r="G92" s="509"/>
      <c r="H92" s="509"/>
      <c r="I92" s="509"/>
      <c r="J92" s="509"/>
      <c r="K92" s="510"/>
      <c r="L92" s="504"/>
      <c r="M92" s="363"/>
      <c r="N92" s="363"/>
    </row>
    <row r="93" spans="2:44" outlineLevel="1">
      <c r="B93" s="500"/>
      <c r="C93" s="506"/>
      <c r="D93" s="506"/>
      <c r="E93" s="506"/>
      <c r="F93" s="506"/>
      <c r="G93" s="509"/>
      <c r="H93" s="509"/>
      <c r="I93" s="509"/>
      <c r="J93" s="509"/>
      <c r="K93" s="510"/>
      <c r="L93" s="504"/>
      <c r="M93" s="420"/>
      <c r="N93" s="363"/>
    </row>
    <row r="94" spans="2:44" outlineLevel="1">
      <c r="B94" s="421"/>
      <c r="C94" s="399"/>
      <c r="D94" s="399"/>
      <c r="E94" s="399"/>
      <c r="F94" s="399"/>
      <c r="G94" s="422"/>
      <c r="H94" s="422"/>
      <c r="I94" s="422"/>
      <c r="J94" s="422"/>
      <c r="K94" s="423"/>
      <c r="L94" s="424"/>
      <c r="M94" s="420"/>
      <c r="N94" s="420"/>
    </row>
    <row r="95" spans="2:44" outlineLevel="1">
      <c r="B95" s="383"/>
      <c r="C95" s="397"/>
      <c r="D95" s="397"/>
      <c r="E95" s="397"/>
      <c r="F95" s="397"/>
      <c r="G95" s="422"/>
      <c r="H95" s="425"/>
      <c r="I95" s="425"/>
      <c r="J95" s="425"/>
      <c r="K95" s="426"/>
      <c r="L95" s="427"/>
      <c r="M95" s="428"/>
      <c r="N95" s="428"/>
    </row>
    <row r="96" spans="2:44" outlineLevel="1">
      <c r="B96" s="383"/>
      <c r="C96" s="397"/>
      <c r="D96" s="397"/>
      <c r="E96" s="397"/>
      <c r="F96" s="397"/>
      <c r="G96" s="425"/>
      <c r="H96" s="425"/>
      <c r="I96" s="425"/>
      <c r="J96" s="425"/>
      <c r="K96" s="423"/>
      <c r="L96" s="427"/>
      <c r="M96" s="428"/>
      <c r="N96" s="428"/>
    </row>
    <row r="97" spans="1:30" outlineLevel="1">
      <c r="B97" s="383"/>
      <c r="C97" s="397"/>
      <c r="D97" s="397"/>
      <c r="E97" s="397"/>
      <c r="F97" s="397"/>
      <c r="G97" s="425"/>
      <c r="H97" s="425"/>
      <c r="I97" s="425"/>
      <c r="J97" s="425"/>
      <c r="K97" s="423"/>
      <c r="L97" s="427"/>
      <c r="M97" s="428"/>
      <c r="N97" s="428"/>
    </row>
    <row r="98" spans="1:30" outlineLevel="1">
      <c r="B98" s="383"/>
      <c r="C98" s="397"/>
      <c r="D98" s="397"/>
      <c r="E98" s="397"/>
      <c r="F98" s="397"/>
      <c r="G98" s="425"/>
      <c r="H98" s="425"/>
      <c r="I98" s="425"/>
      <c r="J98" s="425"/>
      <c r="K98" s="423"/>
      <c r="L98" s="427"/>
      <c r="M98" s="428"/>
      <c r="N98" s="428"/>
    </row>
    <row r="99" spans="1:30" ht="16" outlineLevel="1" thickBot="1">
      <c r="B99" s="429"/>
      <c r="C99" s="430"/>
      <c r="D99" s="430"/>
      <c r="E99" s="430"/>
      <c r="F99" s="430"/>
      <c r="G99" s="425"/>
      <c r="H99" s="425"/>
      <c r="I99" s="425"/>
      <c r="J99" s="425"/>
      <c r="K99" s="423"/>
      <c r="L99" s="427"/>
      <c r="M99" s="428"/>
      <c r="N99" s="428"/>
    </row>
    <row r="100" spans="1:30" ht="16" outlineLevel="1" thickBot="1">
      <c r="B100" s="431"/>
      <c r="C100" s="432"/>
      <c r="D100" s="403"/>
      <c r="E100" s="403"/>
      <c r="F100" s="433"/>
      <c r="G100" s="434"/>
      <c r="H100" s="406"/>
      <c r="I100" s="406"/>
      <c r="J100" s="406"/>
      <c r="K100" s="407"/>
      <c r="L100" s="408"/>
      <c r="M100" s="428"/>
      <c r="N100" s="428"/>
    </row>
    <row r="101" spans="1:30" outlineLevel="1">
      <c r="A101" s="435"/>
      <c r="B101" s="436"/>
      <c r="C101" s="511"/>
      <c r="D101" s="512"/>
      <c r="E101" s="512"/>
      <c r="F101" s="513"/>
      <c r="G101" s="425"/>
      <c r="H101" s="425"/>
      <c r="I101" s="425"/>
      <c r="J101" s="425"/>
      <c r="K101" s="426"/>
      <c r="L101" s="440"/>
      <c r="M101" s="420"/>
      <c r="N101" s="420"/>
    </row>
    <row r="102" spans="1:30" outlineLevel="1">
      <c r="B102" s="441"/>
      <c r="C102" s="442"/>
      <c r="D102" s="442"/>
      <c r="E102" s="442"/>
      <c r="F102" s="442"/>
      <c r="G102" s="425"/>
      <c r="H102" s="425"/>
      <c r="I102" s="425"/>
      <c r="J102" s="425"/>
      <c r="K102" s="444"/>
      <c r="L102" s="373"/>
      <c r="M102" s="71"/>
      <c r="N102" s="420"/>
    </row>
    <row r="103" spans="1:30" outlineLevel="1">
      <c r="B103" s="441"/>
      <c r="C103" s="442"/>
      <c r="D103" s="442"/>
      <c r="E103" s="442"/>
      <c r="F103" s="442"/>
      <c r="G103" s="425"/>
      <c r="H103" s="425"/>
      <c r="I103" s="425"/>
      <c r="J103" s="425"/>
      <c r="K103" s="444"/>
      <c r="L103" s="373"/>
      <c r="M103" s="420"/>
      <c r="N103" s="420"/>
    </row>
    <row r="104" spans="1:30" outlineLevel="1">
      <c r="B104" s="383"/>
      <c r="C104" s="445"/>
      <c r="D104" s="446"/>
      <c r="E104" s="446"/>
      <c r="F104" s="447"/>
      <c r="G104" s="425"/>
      <c r="H104" s="425"/>
      <c r="I104" s="425"/>
      <c r="J104" s="425"/>
      <c r="K104" s="448"/>
      <c r="L104" s="373"/>
      <c r="M104" s="420"/>
      <c r="N104" s="420"/>
    </row>
    <row r="105" spans="1:30" outlineLevel="1">
      <c r="B105" s="383"/>
      <c r="C105" s="449"/>
      <c r="D105" s="449"/>
      <c r="E105" s="449"/>
      <c r="F105" s="449"/>
      <c r="G105" s="425"/>
      <c r="H105" s="425"/>
      <c r="I105" s="425"/>
      <c r="J105" s="425"/>
      <c r="K105" s="448"/>
      <c r="L105" s="373"/>
      <c r="M105" s="450"/>
      <c r="N105" s="361"/>
      <c r="P105" s="1142"/>
      <c r="Q105" s="1143"/>
      <c r="R105" s="1143"/>
      <c r="S105" s="1143"/>
      <c r="T105" s="1143"/>
      <c r="U105" s="1144"/>
    </row>
    <row r="106" spans="1:30" ht="16" outlineLevel="1" thickBot="1">
      <c r="B106" s="500"/>
      <c r="C106" s="514"/>
      <c r="D106" s="514"/>
      <c r="E106" s="514"/>
      <c r="F106" s="514"/>
      <c r="G106" s="515"/>
      <c r="H106" s="515"/>
      <c r="I106" s="515"/>
      <c r="J106" s="515"/>
      <c r="K106" s="503"/>
      <c r="L106" s="504"/>
      <c r="M106" s="450"/>
      <c r="N106" s="361"/>
      <c r="P106" s="1134"/>
      <c r="Q106" s="1135"/>
      <c r="R106" s="1135"/>
      <c r="S106" s="1135"/>
      <c r="T106" s="1135"/>
      <c r="U106" s="1136"/>
    </row>
    <row r="107" spans="1:30" outlineLevel="1">
      <c r="B107" s="500"/>
      <c r="C107" s="516"/>
      <c r="D107" s="516"/>
      <c r="E107" s="516"/>
      <c r="F107" s="516"/>
      <c r="G107" s="515"/>
      <c r="H107" s="515"/>
      <c r="I107" s="515"/>
      <c r="J107" s="515"/>
      <c r="K107" s="517"/>
      <c r="L107" s="504"/>
      <c r="M107" s="363"/>
      <c r="N107" s="363"/>
      <c r="P107" s="53"/>
    </row>
    <row r="108" spans="1:30" outlineLevel="1">
      <c r="B108" s="441"/>
      <c r="C108" s="518"/>
      <c r="D108" s="518"/>
      <c r="E108" s="518"/>
      <c r="F108" s="518"/>
      <c r="G108" s="425"/>
      <c r="H108" s="425"/>
      <c r="I108" s="425"/>
      <c r="J108" s="425"/>
      <c r="K108" s="444"/>
      <c r="L108" s="424"/>
      <c r="M108" s="367"/>
      <c r="N108" s="367"/>
      <c r="P108" s="46"/>
      <c r="Q108" s="46"/>
      <c r="R108" s="47"/>
      <c r="S108" s="47"/>
      <c r="T108" s="47"/>
      <c r="U108" s="48"/>
      <c r="V108" s="49"/>
      <c r="W108" s="49"/>
      <c r="X108" s="49"/>
      <c r="Y108" s="49"/>
      <c r="Z108" s="49"/>
      <c r="AA108" s="49"/>
      <c r="AB108" s="49"/>
      <c r="AC108" s="49"/>
      <c r="AD108" s="49"/>
    </row>
    <row r="109" spans="1:30" ht="16" outlineLevel="1" thickBot="1">
      <c r="B109" s="519"/>
      <c r="C109" s="442"/>
      <c r="D109" s="520"/>
      <c r="E109" s="520"/>
      <c r="F109" s="521"/>
      <c r="G109" s="425"/>
      <c r="H109" s="425"/>
      <c r="I109" s="425"/>
      <c r="J109" s="425"/>
      <c r="K109" s="448"/>
      <c r="L109" s="424"/>
      <c r="M109" s="363"/>
      <c r="N109" s="363"/>
      <c r="P109" s="50"/>
      <c r="Q109" s="50"/>
      <c r="R109" s="51"/>
      <c r="S109" s="51"/>
      <c r="T109" s="51"/>
      <c r="U109" s="51"/>
      <c r="V109" s="50"/>
      <c r="W109" s="50"/>
      <c r="X109" s="50"/>
      <c r="Y109" s="50"/>
      <c r="Z109" s="50"/>
      <c r="AA109" s="50"/>
      <c r="AB109" s="50"/>
      <c r="AC109" s="50"/>
      <c r="AD109" s="50"/>
    </row>
    <row r="110" spans="1:30" ht="16" outlineLevel="1" thickBot="1">
      <c r="B110" s="401"/>
      <c r="C110" s="402"/>
      <c r="D110" s="403"/>
      <c r="E110" s="404"/>
      <c r="F110" s="405"/>
      <c r="G110" s="406"/>
      <c r="H110" s="406"/>
      <c r="I110" s="406"/>
      <c r="J110" s="406"/>
      <c r="K110" s="459"/>
      <c r="L110" s="460"/>
      <c r="M110" s="363"/>
      <c r="N110" s="363"/>
      <c r="O110" s="461"/>
      <c r="P110" s="56"/>
      <c r="Q110" s="56"/>
      <c r="R110" s="57"/>
      <c r="S110" s="57"/>
      <c r="T110" s="57"/>
      <c r="U110" s="56"/>
      <c r="V110" s="56"/>
      <c r="W110" s="56"/>
      <c r="X110" s="56"/>
      <c r="Y110" s="56"/>
      <c r="Z110" s="56"/>
      <c r="AA110" s="56"/>
      <c r="AB110" s="56"/>
      <c r="AC110" s="56"/>
      <c r="AD110" s="56"/>
    </row>
    <row r="111" spans="1:30" outlineLevel="1">
      <c r="B111" s="522"/>
      <c r="C111" s="523"/>
      <c r="D111" s="523"/>
      <c r="E111" s="523"/>
      <c r="F111" s="523"/>
      <c r="G111" s="524"/>
      <c r="H111" s="524"/>
      <c r="I111" s="524"/>
      <c r="J111" s="524"/>
      <c r="K111" s="524"/>
      <c r="L111" s="525"/>
      <c r="M111" s="363"/>
      <c r="N111" s="363"/>
      <c r="O111" s="465"/>
      <c r="P111" s="466"/>
      <c r="Q111" s="58"/>
      <c r="R111" s="466"/>
      <c r="S111" s="58"/>
      <c r="T111" s="466"/>
      <c r="U111" s="467"/>
      <c r="V111" s="467"/>
      <c r="W111" s="467"/>
      <c r="X111" s="58"/>
      <c r="Y111" s="58"/>
      <c r="Z111" s="466"/>
      <c r="AA111" s="468"/>
      <c r="AB111" s="468"/>
      <c r="AC111" s="468"/>
      <c r="AD111" s="468"/>
    </row>
    <row r="112" spans="1:30" outlineLevel="1">
      <c r="B112" s="500"/>
      <c r="C112" s="526"/>
      <c r="D112" s="527"/>
      <c r="E112" s="527"/>
      <c r="F112" s="528"/>
      <c r="G112" s="528"/>
      <c r="H112" s="528"/>
      <c r="I112" s="528"/>
      <c r="J112" s="528"/>
      <c r="K112" s="529"/>
      <c r="L112" s="525"/>
      <c r="M112" s="363"/>
      <c r="N112" s="363"/>
      <c r="O112" s="465"/>
      <c r="P112" s="466"/>
      <c r="Q112" s="58"/>
      <c r="R112" s="466"/>
      <c r="S112" s="58"/>
      <c r="T112" s="466"/>
      <c r="U112" s="467"/>
      <c r="V112" s="467"/>
      <c r="W112" s="467"/>
      <c r="X112" s="58"/>
      <c r="Y112" s="58"/>
      <c r="Z112" s="466"/>
      <c r="AA112" s="468"/>
      <c r="AB112" s="468"/>
      <c r="AC112" s="468"/>
      <c r="AD112" s="468"/>
    </row>
    <row r="113" spans="2:30" outlineLevel="1">
      <c r="B113" s="500"/>
      <c r="C113" s="526"/>
      <c r="D113" s="527"/>
      <c r="E113" s="527"/>
      <c r="F113" s="528"/>
      <c r="G113" s="515"/>
      <c r="H113" s="515"/>
      <c r="I113" s="515"/>
      <c r="J113" s="515"/>
      <c r="K113" s="515"/>
      <c r="L113" s="504"/>
      <c r="M113" s="363"/>
      <c r="N113" s="363"/>
      <c r="O113" s="465"/>
      <c r="P113" s="466"/>
      <c r="Q113" s="58"/>
      <c r="R113" s="466"/>
      <c r="S113" s="58"/>
      <c r="T113" s="466"/>
      <c r="U113" s="467"/>
      <c r="V113" s="467"/>
      <c r="W113" s="467"/>
      <c r="X113" s="58"/>
      <c r="Y113" s="58"/>
      <c r="Z113" s="466"/>
      <c r="AA113" s="468"/>
      <c r="AB113" s="468"/>
      <c r="AC113" s="468"/>
      <c r="AD113" s="468"/>
    </row>
    <row r="114" spans="2:30" outlineLevel="1">
      <c r="B114" s="500"/>
      <c r="C114" s="530"/>
      <c r="D114" s="530"/>
      <c r="E114" s="530"/>
      <c r="F114" s="530"/>
      <c r="G114" s="531"/>
      <c r="H114" s="531"/>
      <c r="I114" s="531"/>
      <c r="J114" s="531"/>
      <c r="K114" s="531"/>
      <c r="L114" s="504"/>
      <c r="M114" s="363"/>
      <c r="N114" s="363"/>
      <c r="O114" s="465"/>
      <c r="P114" s="466"/>
      <c r="Q114" s="58"/>
      <c r="R114" s="466"/>
      <c r="S114" s="58"/>
      <c r="T114" s="466"/>
      <c r="U114" s="467"/>
      <c r="V114" s="467"/>
      <c r="W114" s="467"/>
      <c r="X114" s="58"/>
      <c r="Y114" s="58"/>
      <c r="Z114" s="466"/>
      <c r="AA114" s="468"/>
      <c r="AB114" s="468"/>
      <c r="AC114" s="468"/>
      <c r="AD114" s="468"/>
    </row>
    <row r="115" spans="2:30" outlineLevel="1">
      <c r="B115" s="532"/>
      <c r="C115" s="526"/>
      <c r="D115" s="527"/>
      <c r="E115" s="527"/>
      <c r="F115" s="528"/>
      <c r="G115" s="531"/>
      <c r="H115" s="531"/>
      <c r="I115" s="531"/>
      <c r="J115" s="531"/>
      <c r="K115" s="531"/>
      <c r="L115" s="533"/>
      <c r="M115" s="367"/>
      <c r="N115" s="367"/>
    </row>
    <row r="116" spans="2:30" outlineLevel="1">
      <c r="B116" s="532"/>
      <c r="C116" s="526"/>
      <c r="D116" s="527"/>
      <c r="E116" s="527"/>
      <c r="F116" s="528"/>
      <c r="G116" s="531"/>
      <c r="H116" s="531"/>
      <c r="I116" s="531"/>
      <c r="J116" s="531"/>
      <c r="K116" s="531"/>
      <c r="L116" s="533"/>
      <c r="M116" s="363"/>
      <c r="N116" s="363"/>
    </row>
    <row r="117" spans="2:30" ht="16" outlineLevel="1" thickBot="1">
      <c r="B117" s="534"/>
      <c r="C117" s="535"/>
      <c r="D117" s="536"/>
      <c r="E117" s="536"/>
      <c r="F117" s="537"/>
      <c r="G117" s="538"/>
      <c r="H117" s="538"/>
      <c r="I117" s="538"/>
      <c r="J117" s="538"/>
      <c r="K117" s="538"/>
      <c r="L117" s="539"/>
      <c r="M117" s="363"/>
      <c r="N117" s="363"/>
    </row>
    <row r="118" spans="2:30" outlineLevel="1">
      <c r="B118" s="461"/>
      <c r="C118" s="483"/>
      <c r="D118" s="483"/>
      <c r="E118" s="483"/>
      <c r="F118" s="483"/>
      <c r="G118" s="483"/>
      <c r="H118" s="484"/>
      <c r="I118" s="420"/>
      <c r="J118" s="420"/>
      <c r="K118" s="484"/>
      <c r="L118" s="484"/>
      <c r="N118" s="420"/>
    </row>
    <row r="119" spans="2:30" outlineLevel="1">
      <c r="B119" s="485"/>
      <c r="C119" s="486"/>
      <c r="D119" s="486"/>
      <c r="E119" s="486"/>
      <c r="F119" s="486"/>
      <c r="G119" s="486"/>
      <c r="H119" s="484"/>
      <c r="I119" s="71"/>
      <c r="J119" s="420"/>
      <c r="K119" s="484"/>
      <c r="L119" s="484"/>
      <c r="N119" s="420"/>
    </row>
    <row r="120" spans="2:30" outlineLevel="1">
      <c r="B120" s="461"/>
      <c r="C120" s="359"/>
      <c r="D120" s="359"/>
      <c r="E120" s="359"/>
      <c r="F120" s="359"/>
      <c r="G120" s="359"/>
      <c r="I120" s="420"/>
      <c r="J120" s="420"/>
      <c r="N120" s="420"/>
    </row>
    <row r="121" spans="2:30" outlineLevel="1">
      <c r="B121" s="461"/>
      <c r="C121" s="487"/>
      <c r="D121" s="487"/>
      <c r="E121" s="487"/>
      <c r="F121" s="487"/>
      <c r="G121" s="359"/>
      <c r="M121" s="420"/>
      <c r="N121" s="420"/>
    </row>
    <row r="122" spans="2:30" outlineLevel="1"/>
    <row r="123" spans="2:30" outlineLevel="1"/>
    <row r="124" spans="2:30" outlineLevel="1"/>
    <row r="125" spans="2:30" outlineLevel="1"/>
    <row r="126" spans="2:30" outlineLevel="1">
      <c r="B126" s="488"/>
      <c r="C126" s="489"/>
      <c r="D126" s="490"/>
      <c r="E126" s="490"/>
      <c r="F126" s="490"/>
    </row>
    <row r="127" spans="2:30" outlineLevel="1">
      <c r="B127" s="491"/>
      <c r="C127" s="492"/>
      <c r="E127" s="490"/>
      <c r="F127" s="490"/>
    </row>
    <row r="128" spans="2:30" outlineLevel="1">
      <c r="B128" s="491"/>
      <c r="C128" s="493"/>
      <c r="E128" s="490"/>
      <c r="F128" s="490"/>
    </row>
    <row r="129" spans="2:6" outlineLevel="1">
      <c r="B129" s="491"/>
      <c r="C129" s="493"/>
      <c r="E129" s="490"/>
      <c r="F129" s="490"/>
    </row>
    <row r="130" spans="2:6" outlineLevel="1">
      <c r="B130" s="491"/>
      <c r="C130" s="493"/>
      <c r="E130" s="490"/>
      <c r="F130" s="490"/>
    </row>
    <row r="131" spans="2:6" outlineLevel="1">
      <c r="B131" s="358"/>
      <c r="C131" s="494"/>
      <c r="D131" s="490"/>
      <c r="E131" s="490"/>
      <c r="F131" s="490"/>
    </row>
    <row r="132" spans="2:6" outlineLevel="1">
      <c r="B132" s="358"/>
      <c r="C132" s="492"/>
      <c r="D132" s="490"/>
      <c r="E132" s="490"/>
      <c r="F132" s="490"/>
    </row>
    <row r="133" spans="2:6" outlineLevel="1">
      <c r="B133" s="358"/>
      <c r="C133" s="495"/>
      <c r="D133" s="490"/>
      <c r="E133" s="490"/>
      <c r="F133" s="490"/>
    </row>
    <row r="134" spans="2:6" outlineLevel="1">
      <c r="B134" s="358"/>
      <c r="C134" s="495"/>
      <c r="D134" s="490"/>
      <c r="E134" s="490"/>
      <c r="F134" s="490"/>
    </row>
    <row r="135" spans="2:6" outlineLevel="1">
      <c r="B135" s="358"/>
      <c r="C135" s="489"/>
      <c r="D135" s="490"/>
      <c r="E135" s="490"/>
      <c r="F135" s="490"/>
    </row>
    <row r="136" spans="2:6" outlineLevel="1">
      <c r="B136" s="358"/>
      <c r="C136" s="490"/>
      <c r="D136" s="490"/>
      <c r="E136" s="490"/>
      <c r="F136" s="490"/>
    </row>
    <row r="137" spans="2:6" outlineLevel="1">
      <c r="B137" s="488"/>
      <c r="C137" s="489"/>
      <c r="D137" s="490"/>
      <c r="E137" s="490"/>
      <c r="F137" s="490"/>
    </row>
    <row r="138" spans="2:6" outlineLevel="1">
      <c r="B138" s="496"/>
      <c r="C138" s="497"/>
      <c r="E138" s="490"/>
      <c r="F138" s="490"/>
    </row>
    <row r="139" spans="2:6" outlineLevel="1">
      <c r="B139" s="496" t="s">
        <v>59</v>
      </c>
      <c r="C139" s="489" t="s">
        <v>785</v>
      </c>
      <c r="E139" s="490"/>
      <c r="F139" s="490"/>
    </row>
    <row r="140" spans="2:6" outlineLevel="1">
      <c r="B140" s="496" t="s">
        <v>16</v>
      </c>
      <c r="C140" s="489" t="s">
        <v>786</v>
      </c>
      <c r="E140" s="490"/>
      <c r="F140" s="490"/>
    </row>
    <row r="141" spans="2:6" outlineLevel="1">
      <c r="B141" s="496" t="s">
        <v>20</v>
      </c>
      <c r="C141" s="489" t="s">
        <v>787</v>
      </c>
      <c r="E141" s="490"/>
      <c r="F141" s="490"/>
    </row>
    <row r="142" spans="2:6" outlineLevel="1">
      <c r="B142" s="496" t="s">
        <v>76</v>
      </c>
      <c r="C142" s="498" t="s">
        <v>788</v>
      </c>
      <c r="E142" s="490"/>
      <c r="F142" s="490"/>
    </row>
    <row r="143" spans="2:6" outlineLevel="1">
      <c r="B143" s="496" t="s">
        <v>25</v>
      </c>
      <c r="C143" s="489" t="s">
        <v>789</v>
      </c>
      <c r="E143" s="490"/>
      <c r="F143" s="490"/>
    </row>
    <row r="144" spans="2:6" outlineLevel="1"/>
    <row r="145" spans="1:44" outlineLevel="1">
      <c r="M145" s="214"/>
    </row>
    <row r="146" spans="1:44" outlineLevel="1"/>
    <row r="149" spans="1:44">
      <c r="A149" s="360"/>
      <c r="B149" s="1207"/>
      <c r="C149" s="1143"/>
      <c r="D149" s="1143"/>
      <c r="E149" s="1143"/>
      <c r="F149" s="1143"/>
      <c r="G149" s="1143"/>
      <c r="H149" s="1143"/>
      <c r="I149" s="1143"/>
      <c r="J149" s="1143"/>
      <c r="K149" s="1143"/>
      <c r="L149" s="1143"/>
      <c r="M149" s="1143"/>
      <c r="N149" s="361"/>
      <c r="P149" s="1143"/>
      <c r="Q149" s="1143"/>
      <c r="R149" s="1143"/>
      <c r="S149" s="1143"/>
      <c r="T149" s="1143"/>
      <c r="U149" s="1143"/>
    </row>
    <row r="150" spans="1:44" ht="16" outlineLevel="1" thickBot="1">
      <c r="B150" s="1207"/>
      <c r="C150" s="1143"/>
      <c r="D150" s="1143"/>
      <c r="E150" s="1143"/>
      <c r="F150" s="1143"/>
      <c r="G150" s="1143"/>
      <c r="H150" s="1143"/>
      <c r="I150" s="1143"/>
      <c r="J150" s="1143"/>
      <c r="K150" s="1143"/>
      <c r="L150" s="1143"/>
      <c r="M150" s="1143"/>
      <c r="N150" s="361"/>
      <c r="P150" s="1143"/>
      <c r="Q150" s="1143"/>
      <c r="R150" s="1143"/>
      <c r="S150" s="1143"/>
      <c r="T150" s="1143"/>
      <c r="U150" s="1143"/>
    </row>
    <row r="151" spans="1:44" ht="20.5" customHeight="1" outlineLevel="1" thickBot="1">
      <c r="B151" s="362"/>
      <c r="C151" s="1186"/>
      <c r="D151" s="1205"/>
      <c r="E151" s="1205"/>
      <c r="F151" s="1205"/>
      <c r="G151" s="1205"/>
      <c r="H151" s="1205"/>
      <c r="I151" s="1205"/>
      <c r="J151" s="1205"/>
      <c r="K151" s="1205"/>
      <c r="L151" s="1206"/>
      <c r="M151" s="363"/>
      <c r="N151" s="363"/>
      <c r="P151" s="364"/>
      <c r="Q151" s="365"/>
      <c r="R151" s="366"/>
      <c r="S151" s="1176"/>
      <c r="T151" s="1160"/>
      <c r="U151" s="1161"/>
      <c r="V151" s="1160"/>
      <c r="W151" s="1161"/>
      <c r="X151" s="1160"/>
      <c r="Y151" s="1161"/>
      <c r="Z151" s="1160"/>
      <c r="AA151" s="1161"/>
      <c r="AB151" s="1160"/>
      <c r="AC151" s="1161"/>
      <c r="AE151" s="364"/>
      <c r="AF151" s="365"/>
      <c r="AG151" s="366"/>
      <c r="AH151" s="1176"/>
      <c r="AI151" s="1160"/>
      <c r="AJ151" s="1161"/>
      <c r="AK151" s="1160"/>
      <c r="AL151" s="1161"/>
      <c r="AM151" s="1160"/>
      <c r="AN151" s="1161"/>
      <c r="AO151" s="1160"/>
      <c r="AP151" s="1161"/>
      <c r="AQ151" s="1160"/>
      <c r="AR151" s="1161"/>
    </row>
    <row r="152" spans="1:44" ht="15" customHeight="1" outlineLevel="1" thickBot="1">
      <c r="B152" s="1164"/>
      <c r="C152" s="1166"/>
      <c r="D152" s="1166"/>
      <c r="E152" s="1166"/>
      <c r="F152" s="1166"/>
      <c r="G152" s="1221"/>
      <c r="H152" s="1222"/>
      <c r="I152" s="1221"/>
      <c r="J152" s="1222"/>
      <c r="K152" s="1189"/>
      <c r="L152" s="1189"/>
      <c r="M152" s="367"/>
      <c r="N152" s="367"/>
      <c r="P152" s="1180"/>
      <c r="Q152" s="368"/>
      <c r="R152" s="368"/>
      <c r="S152" s="1177"/>
      <c r="T152" s="1162"/>
      <c r="U152" s="1163"/>
      <c r="V152" s="1162"/>
      <c r="W152" s="1163"/>
      <c r="X152" s="1162"/>
      <c r="Y152" s="1163"/>
      <c r="Z152" s="1162"/>
      <c r="AA152" s="1163"/>
      <c r="AB152" s="1162"/>
      <c r="AC152" s="1163"/>
      <c r="AE152" s="1180"/>
      <c r="AF152" s="368"/>
      <c r="AG152" s="368"/>
      <c r="AH152" s="1177"/>
      <c r="AI152" s="1162"/>
      <c r="AJ152" s="1163"/>
      <c r="AK152" s="1162"/>
      <c r="AL152" s="1163"/>
      <c r="AM152" s="1162"/>
      <c r="AN152" s="1163"/>
      <c r="AO152" s="1162"/>
      <c r="AP152" s="1163"/>
      <c r="AQ152" s="1162"/>
      <c r="AR152" s="1163"/>
    </row>
    <row r="153" spans="1:44" ht="15" customHeight="1" outlineLevel="1" thickBot="1">
      <c r="B153" s="1165"/>
      <c r="C153" s="1167"/>
      <c r="D153" s="1167"/>
      <c r="E153" s="1167"/>
      <c r="F153" s="1167"/>
      <c r="G153" s="540"/>
      <c r="H153" s="540"/>
      <c r="I153" s="540"/>
      <c r="J153" s="540"/>
      <c r="K153" s="1190"/>
      <c r="L153" s="1190"/>
      <c r="M153" s="370"/>
      <c r="N153" s="370"/>
      <c r="P153" s="1181"/>
      <c r="Q153" s="1183"/>
      <c r="R153" s="1184"/>
      <c r="S153" s="1178"/>
      <c r="T153" s="1162"/>
      <c r="U153" s="1163"/>
      <c r="V153" s="1162"/>
      <c r="W153" s="1163"/>
      <c r="X153" s="1162"/>
      <c r="Y153" s="1163"/>
      <c r="Z153" s="1162"/>
      <c r="AA153" s="1163"/>
      <c r="AB153" s="1162"/>
      <c r="AC153" s="1163"/>
      <c r="AE153" s="1181"/>
      <c r="AF153" s="1197"/>
      <c r="AG153" s="1184"/>
      <c r="AH153" s="1178"/>
      <c r="AI153" s="1162"/>
      <c r="AJ153" s="1163"/>
      <c r="AK153" s="1162"/>
      <c r="AL153" s="1163"/>
      <c r="AM153" s="1162"/>
      <c r="AN153" s="1163"/>
      <c r="AO153" s="1162"/>
      <c r="AP153" s="1163"/>
      <c r="AQ153" s="1162"/>
      <c r="AR153" s="1163"/>
    </row>
    <row r="154" spans="1:44" ht="16" outlineLevel="1" thickBot="1">
      <c r="B154" s="371"/>
      <c r="C154" s="372"/>
      <c r="D154" s="372"/>
      <c r="E154" s="372"/>
      <c r="F154" s="372"/>
      <c r="G154" s="372"/>
      <c r="H154" s="372"/>
      <c r="I154" s="372"/>
      <c r="J154" s="372"/>
      <c r="K154" s="372"/>
      <c r="L154" s="373"/>
      <c r="M154" s="370"/>
      <c r="N154" s="370"/>
      <c r="O154" s="74"/>
      <c r="P154" s="1182"/>
      <c r="Q154" s="1179"/>
      <c r="R154" s="1185"/>
      <c r="S154" s="1179"/>
      <c r="T154" s="374"/>
      <c r="U154" s="375"/>
      <c r="V154" s="374"/>
      <c r="W154" s="375"/>
      <c r="X154" s="374"/>
      <c r="Y154" s="375"/>
      <c r="Z154" s="374"/>
      <c r="AA154" s="375"/>
      <c r="AB154" s="374"/>
      <c r="AC154" s="375"/>
      <c r="AE154" s="1182"/>
      <c r="AF154" s="1198"/>
      <c r="AG154" s="1185"/>
      <c r="AH154" s="1179"/>
      <c r="AI154" s="374"/>
      <c r="AJ154" s="375"/>
      <c r="AK154" s="374"/>
      <c r="AL154" s="375"/>
      <c r="AM154" s="374"/>
      <c r="AN154" s="375"/>
      <c r="AO154" s="374"/>
      <c r="AP154" s="375"/>
      <c r="AQ154" s="374"/>
      <c r="AR154" s="375"/>
    </row>
    <row r="155" spans="1:44" ht="14.5" customHeight="1" outlineLevel="1">
      <c r="B155" s="541"/>
      <c r="C155" s="542"/>
      <c r="D155" s="542"/>
      <c r="E155" s="543"/>
      <c r="F155" s="542"/>
      <c r="G155" s="542"/>
      <c r="H155" s="542"/>
      <c r="I155" s="542"/>
      <c r="J155" s="542"/>
      <c r="K155" s="372"/>
      <c r="L155" s="373"/>
      <c r="M155" s="370"/>
      <c r="N155" s="370"/>
      <c r="P155" s="1148"/>
      <c r="Q155" s="1154"/>
      <c r="R155" s="381"/>
      <c r="S155" s="382"/>
      <c r="T155" s="1137"/>
      <c r="U155" s="1151"/>
      <c r="V155" s="1137"/>
      <c r="W155" s="1151"/>
      <c r="X155" s="1137"/>
      <c r="Y155" s="1151"/>
      <c r="Z155" s="1137"/>
      <c r="AA155" s="1151"/>
      <c r="AB155" s="1137"/>
      <c r="AC155" s="1151"/>
      <c r="AE155" s="1148"/>
      <c r="AF155" s="1154"/>
      <c r="AG155" s="381"/>
      <c r="AH155" s="382"/>
      <c r="AI155" s="1137"/>
      <c r="AJ155" s="1151"/>
      <c r="AK155" s="1137"/>
      <c r="AL155" s="1151"/>
      <c r="AM155" s="1137"/>
      <c r="AN155" s="1151"/>
      <c r="AO155" s="1137"/>
      <c r="AP155" s="1151"/>
      <c r="AQ155" s="1137"/>
      <c r="AR155" s="1151"/>
    </row>
    <row r="156" spans="1:44" outlineLevel="1">
      <c r="B156" s="383"/>
      <c r="C156" s="384"/>
      <c r="D156" s="384"/>
      <c r="E156" s="384"/>
      <c r="F156" s="384"/>
      <c r="G156" s="505"/>
      <c r="H156" s="505"/>
      <c r="I156" s="505"/>
      <c r="J156" s="505"/>
      <c r="K156" s="372"/>
      <c r="L156" s="373"/>
      <c r="M156" s="370"/>
      <c r="N156" s="370"/>
      <c r="O156" s="71"/>
      <c r="P156" s="1195"/>
      <c r="Q156" s="1155"/>
      <c r="R156" s="388"/>
      <c r="S156" s="389"/>
      <c r="T156" s="1140"/>
      <c r="U156" s="1152"/>
      <c r="V156" s="1140"/>
      <c r="W156" s="1152"/>
      <c r="X156" s="1140"/>
      <c r="Y156" s="1152"/>
      <c r="Z156" s="1140"/>
      <c r="AA156" s="1152"/>
      <c r="AB156" s="1140"/>
      <c r="AC156" s="1152"/>
      <c r="AE156" s="1195"/>
      <c r="AF156" s="1155"/>
      <c r="AG156" s="388"/>
      <c r="AH156" s="389"/>
      <c r="AI156" s="1140"/>
      <c r="AJ156" s="1152"/>
      <c r="AK156" s="1140"/>
      <c r="AL156" s="1152"/>
      <c r="AM156" s="1140"/>
      <c r="AN156" s="1152"/>
      <c r="AO156" s="1140"/>
      <c r="AP156" s="1152"/>
      <c r="AQ156" s="1140"/>
      <c r="AR156" s="1152"/>
    </row>
    <row r="157" spans="1:44" ht="16" outlineLevel="1" thickBot="1">
      <c r="B157" s="541"/>
      <c r="C157" s="544"/>
      <c r="D157" s="545"/>
      <c r="E157" s="545"/>
      <c r="F157" s="546"/>
      <c r="G157" s="545"/>
      <c r="H157" s="545"/>
      <c r="I157" s="545"/>
      <c r="J157" s="545"/>
      <c r="K157" s="547"/>
      <c r="L157" s="548"/>
      <c r="M157" s="370"/>
      <c r="N157" s="370"/>
      <c r="O157" s="71"/>
      <c r="P157" s="1195"/>
      <c r="Q157" s="1156"/>
      <c r="R157" s="393"/>
      <c r="S157" s="394"/>
      <c r="T157" s="1141"/>
      <c r="U157" s="1153"/>
      <c r="V157" s="1141"/>
      <c r="W157" s="1153"/>
      <c r="X157" s="1141"/>
      <c r="Y157" s="1153"/>
      <c r="Z157" s="1141"/>
      <c r="AA157" s="1153"/>
      <c r="AB157" s="1141"/>
      <c r="AC157" s="1153"/>
      <c r="AE157" s="1195"/>
      <c r="AF157" s="1156"/>
      <c r="AG157" s="393"/>
      <c r="AH157" s="394"/>
      <c r="AI157" s="1141"/>
      <c r="AJ157" s="1153"/>
      <c r="AK157" s="1141"/>
      <c r="AL157" s="1153"/>
      <c r="AM157" s="1141"/>
      <c r="AN157" s="1153"/>
      <c r="AO157" s="1141"/>
      <c r="AP157" s="1153"/>
      <c r="AQ157" s="1141"/>
      <c r="AR157" s="1153"/>
    </row>
    <row r="158" spans="1:44" ht="14.5" customHeight="1" outlineLevel="1">
      <c r="B158" s="541"/>
      <c r="C158" s="544"/>
      <c r="D158" s="544"/>
      <c r="E158" s="544"/>
      <c r="F158" s="544"/>
      <c r="G158" s="544"/>
      <c r="H158" s="544"/>
      <c r="I158" s="544"/>
      <c r="J158" s="544"/>
      <c r="K158" s="547"/>
      <c r="L158" s="548"/>
      <c r="M158" s="370"/>
      <c r="N158" s="370"/>
      <c r="O158" s="71"/>
      <c r="P158" s="1195"/>
      <c r="Q158" s="1154"/>
      <c r="R158" s="395"/>
      <c r="S158" s="396"/>
      <c r="T158" s="1137"/>
      <c r="U158" s="1137"/>
      <c r="V158" s="1137"/>
      <c r="W158" s="1137"/>
      <c r="X158" s="1137"/>
      <c r="Y158" s="1137"/>
      <c r="Z158" s="1137"/>
      <c r="AA158" s="1137"/>
      <c r="AB158" s="1137"/>
      <c r="AC158" s="1137"/>
      <c r="AE158" s="1195"/>
      <c r="AF158" s="1154"/>
      <c r="AG158" s="395"/>
      <c r="AH158" s="396"/>
      <c r="AI158" s="1137"/>
      <c r="AJ158" s="1137"/>
      <c r="AK158" s="1137"/>
      <c r="AL158" s="1137"/>
      <c r="AM158" s="1137"/>
      <c r="AN158" s="1137"/>
      <c r="AO158" s="1137"/>
      <c r="AP158" s="1137"/>
      <c r="AQ158" s="1137"/>
      <c r="AR158" s="1137"/>
    </row>
    <row r="159" spans="1:44" outlineLevel="1">
      <c r="B159" s="541"/>
      <c r="C159" s="544"/>
      <c r="D159" s="544"/>
      <c r="E159" s="544"/>
      <c r="F159" s="544"/>
      <c r="G159" s="544"/>
      <c r="H159" s="544"/>
      <c r="I159" s="544"/>
      <c r="J159" s="544"/>
      <c r="K159" s="547"/>
      <c r="L159" s="548"/>
      <c r="M159" s="367"/>
      <c r="N159" s="367"/>
      <c r="O159" s="71"/>
      <c r="P159" s="1195"/>
      <c r="Q159" s="1155"/>
      <c r="R159" s="395"/>
      <c r="S159" s="396"/>
      <c r="T159" s="1138"/>
      <c r="U159" s="1138"/>
      <c r="V159" s="1138"/>
      <c r="W159" s="1138"/>
      <c r="X159" s="1138"/>
      <c r="Y159" s="1138"/>
      <c r="Z159" s="1138"/>
      <c r="AA159" s="1138"/>
      <c r="AB159" s="1138"/>
      <c r="AC159" s="1138"/>
      <c r="AE159" s="1195"/>
      <c r="AF159" s="1155"/>
      <c r="AG159" s="395"/>
      <c r="AH159" s="396"/>
      <c r="AI159" s="1138"/>
      <c r="AJ159" s="1138"/>
      <c r="AK159" s="1138"/>
      <c r="AL159" s="1138"/>
      <c r="AM159" s="1138"/>
      <c r="AN159" s="1138"/>
      <c r="AO159" s="1138"/>
      <c r="AP159" s="1138"/>
      <c r="AQ159" s="1138"/>
      <c r="AR159" s="1138"/>
    </row>
    <row r="160" spans="1:44" outlineLevel="1">
      <c r="B160" s="383"/>
      <c r="C160" s="397"/>
      <c r="D160" s="397"/>
      <c r="E160" s="397"/>
      <c r="F160" s="399"/>
      <c r="G160" s="399"/>
      <c r="H160" s="399"/>
      <c r="I160" s="399"/>
      <c r="J160" s="399"/>
      <c r="K160" s="372"/>
      <c r="L160" s="373"/>
      <c r="M160" s="363"/>
      <c r="N160" s="363"/>
      <c r="P160" s="1195"/>
      <c r="Q160" s="1155"/>
      <c r="R160" s="395"/>
      <c r="S160" s="396"/>
      <c r="T160" s="1138"/>
      <c r="U160" s="1138"/>
      <c r="V160" s="1138"/>
      <c r="W160" s="1138"/>
      <c r="X160" s="1138"/>
      <c r="Y160" s="1138"/>
      <c r="Z160" s="1138"/>
      <c r="AA160" s="1138"/>
      <c r="AB160" s="1138"/>
      <c r="AC160" s="1138"/>
      <c r="AE160" s="1195"/>
      <c r="AF160" s="1155"/>
      <c r="AG160" s="395"/>
      <c r="AH160" s="396"/>
      <c r="AI160" s="1138"/>
      <c r="AJ160" s="1138"/>
      <c r="AK160" s="1138"/>
      <c r="AL160" s="1138"/>
      <c r="AM160" s="1138"/>
      <c r="AN160" s="1138"/>
      <c r="AO160" s="1138"/>
      <c r="AP160" s="1138"/>
      <c r="AQ160" s="1138"/>
      <c r="AR160" s="1138"/>
    </row>
    <row r="161" spans="1:44" ht="16" outlineLevel="1" thickBot="1">
      <c r="B161" s="541"/>
      <c r="C161" s="544"/>
      <c r="D161" s="544"/>
      <c r="E161" s="544"/>
      <c r="F161" s="544"/>
      <c r="G161" s="544"/>
      <c r="H161" s="544"/>
      <c r="I161" s="544"/>
      <c r="J161" s="544"/>
      <c r="K161" s="372"/>
      <c r="L161" s="400"/>
      <c r="M161" s="363"/>
      <c r="N161" s="363"/>
      <c r="P161" s="1195"/>
      <c r="Q161" s="1155"/>
      <c r="R161" s="395"/>
      <c r="S161" s="396"/>
      <c r="T161" s="1138"/>
      <c r="U161" s="1138"/>
      <c r="V161" s="1138"/>
      <c r="W161" s="1138"/>
      <c r="X161" s="1138"/>
      <c r="Y161" s="1138"/>
      <c r="Z161" s="1138"/>
      <c r="AA161" s="1138"/>
      <c r="AB161" s="1138"/>
      <c r="AC161" s="1138"/>
      <c r="AE161" s="1195"/>
      <c r="AF161" s="1155"/>
      <c r="AG161" s="395"/>
      <c r="AH161" s="396"/>
      <c r="AI161" s="1138"/>
      <c r="AJ161" s="1138"/>
      <c r="AK161" s="1138"/>
      <c r="AL161" s="1138"/>
      <c r="AM161" s="1138"/>
      <c r="AN161" s="1138"/>
      <c r="AO161" s="1138"/>
      <c r="AP161" s="1138"/>
      <c r="AQ161" s="1138"/>
      <c r="AR161" s="1138"/>
    </row>
    <row r="162" spans="1:44" ht="16" outlineLevel="1" thickBot="1">
      <c r="B162" s="401"/>
      <c r="C162" s="402"/>
      <c r="D162" s="403"/>
      <c r="E162" s="404"/>
      <c r="F162" s="405"/>
      <c r="G162" s="406"/>
      <c r="H162" s="406"/>
      <c r="I162" s="406"/>
      <c r="J162" s="406"/>
      <c r="K162" s="407"/>
      <c r="L162" s="408"/>
      <c r="M162" s="363"/>
      <c r="N162" s="363"/>
      <c r="P162" s="1195"/>
      <c r="Q162" s="1155"/>
      <c r="R162" s="409"/>
      <c r="S162" s="410"/>
      <c r="T162" s="1139"/>
      <c r="U162" s="1139"/>
      <c r="V162" s="1139"/>
      <c r="W162" s="1139"/>
      <c r="X162" s="1139"/>
      <c r="Y162" s="1139"/>
      <c r="Z162" s="1139"/>
      <c r="AA162" s="1139"/>
      <c r="AB162" s="1139"/>
      <c r="AC162" s="1139"/>
      <c r="AE162" s="1195"/>
      <c r="AF162" s="1155"/>
      <c r="AG162" s="409"/>
      <c r="AH162" s="410"/>
      <c r="AI162" s="1139"/>
      <c r="AJ162" s="1139"/>
      <c r="AK162" s="1139"/>
      <c r="AL162" s="1139"/>
      <c r="AM162" s="1139"/>
      <c r="AN162" s="1139"/>
      <c r="AO162" s="1139"/>
      <c r="AP162" s="1139"/>
      <c r="AQ162" s="1139"/>
      <c r="AR162" s="1139"/>
    </row>
    <row r="163" spans="1:44" ht="16" outlineLevel="1" thickBot="1">
      <c r="B163" s="541"/>
      <c r="C163" s="544"/>
      <c r="D163" s="544"/>
      <c r="E163" s="544"/>
      <c r="F163" s="544"/>
      <c r="G163" s="545"/>
      <c r="H163" s="545"/>
      <c r="I163" s="545"/>
      <c r="J163" s="545"/>
      <c r="K163" s="547"/>
      <c r="L163" s="548"/>
      <c r="M163" s="363"/>
      <c r="N163" s="363"/>
      <c r="P163" s="1196"/>
      <c r="Q163" s="411"/>
      <c r="R163" s="412"/>
      <c r="S163" s="413"/>
      <c r="T163" s="414"/>
      <c r="U163" s="415"/>
      <c r="V163" s="416"/>
      <c r="W163" s="415"/>
      <c r="X163" s="416"/>
      <c r="Y163" s="415"/>
      <c r="Z163" s="416"/>
      <c r="AA163" s="415"/>
      <c r="AB163" s="416"/>
      <c r="AC163" s="417"/>
      <c r="AE163" s="1196"/>
      <c r="AF163" s="411"/>
      <c r="AG163" s="412"/>
      <c r="AH163" s="413"/>
      <c r="AI163" s="414"/>
      <c r="AJ163" s="415"/>
      <c r="AK163" s="416"/>
      <c r="AL163" s="415"/>
      <c r="AM163" s="416"/>
      <c r="AN163" s="415"/>
      <c r="AO163" s="416"/>
      <c r="AP163" s="415"/>
      <c r="AQ163" s="416"/>
      <c r="AR163" s="417"/>
    </row>
    <row r="164" spans="1:44" outlineLevel="1">
      <c r="B164" s="541"/>
      <c r="C164" s="544"/>
      <c r="D164" s="544"/>
      <c r="E164" s="544"/>
      <c r="F164" s="544"/>
      <c r="G164" s="549"/>
      <c r="H164" s="549"/>
      <c r="I164" s="549"/>
      <c r="J164" s="549"/>
      <c r="K164" s="550"/>
      <c r="L164" s="548"/>
      <c r="M164" s="363"/>
      <c r="N164" s="363"/>
    </row>
    <row r="165" spans="1:44" outlineLevel="1">
      <c r="B165" s="541"/>
      <c r="C165" s="544"/>
      <c r="D165" s="544"/>
      <c r="E165" s="544"/>
      <c r="F165" s="544"/>
      <c r="G165" s="549"/>
      <c r="H165" s="549"/>
      <c r="I165" s="549"/>
      <c r="J165" s="549"/>
      <c r="K165" s="550"/>
      <c r="L165" s="548"/>
      <c r="M165" s="420"/>
      <c r="N165" s="363"/>
    </row>
    <row r="166" spans="1:44" outlineLevel="1">
      <c r="B166" s="421"/>
      <c r="C166" s="399"/>
      <c r="D166" s="399"/>
      <c r="E166" s="399"/>
      <c r="F166" s="399"/>
      <c r="G166" s="422"/>
      <c r="H166" s="422"/>
      <c r="I166" s="422"/>
      <c r="J166" s="422"/>
      <c r="K166" s="423"/>
      <c r="L166" s="424"/>
      <c r="M166" s="420"/>
      <c r="N166" s="420"/>
    </row>
    <row r="167" spans="1:44" outlineLevel="1">
      <c r="B167" s="383"/>
      <c r="C167" s="397"/>
      <c r="D167" s="397"/>
      <c r="E167" s="397"/>
      <c r="F167" s="397"/>
      <c r="G167" s="422"/>
      <c r="H167" s="425"/>
      <c r="I167" s="425"/>
      <c r="J167" s="425"/>
      <c r="K167" s="426"/>
      <c r="L167" s="427"/>
      <c r="M167" s="428"/>
      <c r="N167" s="428"/>
    </row>
    <row r="168" spans="1:44" outlineLevel="1">
      <c r="B168" s="383"/>
      <c r="C168" s="397"/>
      <c r="D168" s="397"/>
      <c r="E168" s="397"/>
      <c r="F168" s="397"/>
      <c r="G168" s="425"/>
      <c r="H168" s="425"/>
      <c r="I168" s="425"/>
      <c r="J168" s="425"/>
      <c r="K168" s="423"/>
      <c r="L168" s="427"/>
      <c r="M168" s="428"/>
      <c r="N168" s="428"/>
    </row>
    <row r="169" spans="1:44" outlineLevel="1">
      <c r="B169" s="383"/>
      <c r="C169" s="397"/>
      <c r="D169" s="397"/>
      <c r="E169" s="397"/>
      <c r="F169" s="397"/>
      <c r="G169" s="425"/>
      <c r="H169" s="425"/>
      <c r="I169" s="425"/>
      <c r="J169" s="425"/>
      <c r="K169" s="423"/>
      <c r="L169" s="427"/>
      <c r="M169" s="428"/>
      <c r="N169" s="428"/>
    </row>
    <row r="170" spans="1:44" outlineLevel="1">
      <c r="B170" s="383"/>
      <c r="C170" s="397"/>
      <c r="D170" s="397"/>
      <c r="E170" s="397"/>
      <c r="F170" s="397"/>
      <c r="G170" s="425"/>
      <c r="H170" s="425"/>
      <c r="I170" s="425"/>
      <c r="J170" s="425"/>
      <c r="K170" s="423"/>
      <c r="L170" s="427"/>
      <c r="M170" s="428"/>
      <c r="N170" s="428"/>
    </row>
    <row r="171" spans="1:44" ht="16" outlineLevel="1" thickBot="1">
      <c r="B171" s="429"/>
      <c r="C171" s="430"/>
      <c r="D171" s="430"/>
      <c r="E171" s="430"/>
      <c r="F171" s="430"/>
      <c r="G171" s="425"/>
      <c r="H171" s="425"/>
      <c r="I171" s="425"/>
      <c r="J171" s="425"/>
      <c r="K171" s="423"/>
      <c r="L171" s="427"/>
      <c r="M171" s="428"/>
      <c r="N171" s="428"/>
    </row>
    <row r="172" spans="1:44" ht="16" outlineLevel="1" thickBot="1">
      <c r="B172" s="431"/>
      <c r="C172" s="432"/>
      <c r="D172" s="403"/>
      <c r="E172" s="403"/>
      <c r="F172" s="433"/>
      <c r="G172" s="434"/>
      <c r="H172" s="406"/>
      <c r="I172" s="406"/>
      <c r="J172" s="406"/>
      <c r="K172" s="407"/>
      <c r="L172" s="408"/>
      <c r="M172" s="428"/>
      <c r="N172" s="428"/>
    </row>
    <row r="173" spans="1:44" outlineLevel="1">
      <c r="A173" s="435"/>
      <c r="B173" s="436"/>
      <c r="C173" s="551"/>
      <c r="D173" s="438"/>
      <c r="E173" s="438"/>
      <c r="F173" s="439"/>
      <c r="G173" s="425"/>
      <c r="H173" s="425"/>
      <c r="I173" s="425"/>
      <c r="J173" s="425"/>
      <c r="K173" s="426"/>
      <c r="L173" s="440"/>
      <c r="M173" s="420"/>
      <c r="N173" s="420"/>
    </row>
    <row r="174" spans="1:44" outlineLevel="1">
      <c r="B174" s="441"/>
      <c r="C174" s="442"/>
      <c r="D174" s="443"/>
      <c r="E174" s="443"/>
      <c r="F174" s="443"/>
      <c r="G174" s="425"/>
      <c r="H174" s="425"/>
      <c r="I174" s="425"/>
      <c r="J174" s="425"/>
      <c r="K174" s="444"/>
      <c r="L174" s="373"/>
      <c r="M174" s="71"/>
      <c r="N174" s="420"/>
    </row>
    <row r="175" spans="1:44" outlineLevel="1">
      <c r="B175" s="441"/>
      <c r="C175" s="442"/>
      <c r="D175" s="442"/>
      <c r="E175" s="442"/>
      <c r="F175" s="442"/>
      <c r="G175" s="425"/>
      <c r="H175" s="425"/>
      <c r="I175" s="425"/>
      <c r="J175" s="425"/>
      <c r="K175" s="444"/>
      <c r="L175" s="373"/>
      <c r="M175" s="420"/>
      <c r="N175" s="420"/>
    </row>
    <row r="176" spans="1:44" outlineLevel="1">
      <c r="B176" s="383"/>
      <c r="C176" s="445"/>
      <c r="D176" s="446"/>
      <c r="E176" s="446"/>
      <c r="F176" s="447"/>
      <c r="G176" s="425"/>
      <c r="H176" s="425"/>
      <c r="I176" s="425"/>
      <c r="J176" s="425"/>
      <c r="K176" s="448"/>
      <c r="L176" s="373"/>
      <c r="M176" s="420"/>
      <c r="N176" s="420"/>
    </row>
    <row r="177" spans="2:30" outlineLevel="1">
      <c r="B177" s="383"/>
      <c r="C177" s="449"/>
      <c r="D177" s="449"/>
      <c r="E177" s="449"/>
      <c r="F177" s="449"/>
      <c r="G177" s="425"/>
      <c r="H177" s="425"/>
      <c r="I177" s="425"/>
      <c r="J177" s="425"/>
      <c r="K177" s="448"/>
      <c r="L177" s="373"/>
      <c r="M177" s="450"/>
      <c r="N177" s="361"/>
      <c r="P177" s="1142"/>
      <c r="Q177" s="1143"/>
      <c r="R177" s="1143"/>
      <c r="S177" s="1143"/>
      <c r="T177" s="1143"/>
      <c r="U177" s="1144"/>
    </row>
    <row r="178" spans="2:30" ht="16" outlineLevel="1" thickBot="1">
      <c r="B178" s="541"/>
      <c r="C178" s="552"/>
      <c r="D178" s="552"/>
      <c r="E178" s="552"/>
      <c r="F178" s="552"/>
      <c r="G178" s="553"/>
      <c r="H178" s="553"/>
      <c r="I178" s="553"/>
      <c r="J178" s="553"/>
      <c r="K178" s="547"/>
      <c r="L178" s="548"/>
      <c r="M178" s="450"/>
      <c r="N178" s="361"/>
      <c r="P178" s="1134"/>
      <c r="Q178" s="1135"/>
      <c r="R178" s="1135"/>
      <c r="S178" s="1135"/>
      <c r="T178" s="1135"/>
      <c r="U178" s="1136"/>
    </row>
    <row r="179" spans="2:30" outlineLevel="1">
      <c r="B179" s="541"/>
      <c r="C179" s="554"/>
      <c r="D179" s="554"/>
      <c r="E179" s="554"/>
      <c r="F179" s="554"/>
      <c r="G179" s="553"/>
      <c r="H179" s="553"/>
      <c r="I179" s="553"/>
      <c r="J179" s="553"/>
      <c r="K179" s="555"/>
      <c r="L179" s="548"/>
      <c r="M179" s="363"/>
      <c r="N179" s="363"/>
      <c r="P179" s="53"/>
    </row>
    <row r="180" spans="2:30" outlineLevel="1">
      <c r="B180" s="441"/>
      <c r="C180" s="456"/>
      <c r="D180" s="456"/>
      <c r="E180" s="456"/>
      <c r="F180" s="456"/>
      <c r="G180" s="425"/>
      <c r="H180" s="425"/>
      <c r="I180" s="425"/>
      <c r="J180" s="425"/>
      <c r="K180" s="444"/>
      <c r="L180" s="424"/>
      <c r="M180" s="367"/>
      <c r="N180" s="367"/>
      <c r="P180" s="46"/>
      <c r="Q180" s="46"/>
      <c r="R180" s="47"/>
      <c r="S180" s="47"/>
      <c r="T180" s="47"/>
      <c r="U180" s="48"/>
      <c r="V180" s="49"/>
      <c r="W180" s="49"/>
      <c r="X180" s="49"/>
      <c r="Y180" s="49"/>
      <c r="Z180" s="49"/>
      <c r="AA180" s="49"/>
      <c r="AB180" s="49"/>
      <c r="AC180" s="49"/>
      <c r="AD180" s="49"/>
    </row>
    <row r="181" spans="2:30" ht="16" outlineLevel="1" thickBot="1">
      <c r="B181" s="441"/>
      <c r="C181" s="442"/>
      <c r="D181" s="457"/>
      <c r="E181" s="457"/>
      <c r="F181" s="458"/>
      <c r="G181" s="425"/>
      <c r="H181" s="425"/>
      <c r="I181" s="425"/>
      <c r="J181" s="425"/>
      <c r="K181" s="448"/>
      <c r="L181" s="424"/>
      <c r="M181" s="363"/>
      <c r="N181" s="363"/>
      <c r="P181" s="50"/>
      <c r="Q181" s="50"/>
      <c r="R181" s="51"/>
      <c r="S181" s="51"/>
      <c r="T181" s="51"/>
      <c r="U181" s="51"/>
      <c r="V181" s="50"/>
      <c r="W181" s="50"/>
      <c r="X181" s="50"/>
      <c r="Y181" s="50"/>
      <c r="Z181" s="50"/>
      <c r="AA181" s="50"/>
      <c r="AB181" s="50"/>
      <c r="AC181" s="50"/>
      <c r="AD181" s="50"/>
    </row>
    <row r="182" spans="2:30" ht="16" outlineLevel="1" thickBot="1">
      <c r="B182" s="401"/>
      <c r="C182" s="402"/>
      <c r="D182" s="403"/>
      <c r="E182" s="404"/>
      <c r="F182" s="405"/>
      <c r="G182" s="406"/>
      <c r="H182" s="406"/>
      <c r="I182" s="406"/>
      <c r="J182" s="406"/>
      <c r="K182" s="459"/>
      <c r="L182" s="460"/>
      <c r="M182" s="363"/>
      <c r="N182" s="363"/>
      <c r="O182" s="461"/>
      <c r="P182" s="56"/>
      <c r="Q182" s="56"/>
      <c r="R182" s="57"/>
      <c r="S182" s="57"/>
      <c r="T182" s="57"/>
      <c r="U182" s="56"/>
      <c r="V182" s="56"/>
      <c r="W182" s="56"/>
      <c r="X182" s="56"/>
      <c r="Y182" s="56"/>
      <c r="Z182" s="56"/>
      <c r="AA182" s="56"/>
      <c r="AB182" s="56"/>
      <c r="AC182" s="56"/>
      <c r="AD182" s="56"/>
    </row>
    <row r="183" spans="2:30" outlineLevel="1">
      <c r="B183" s="556"/>
      <c r="C183" s="557"/>
      <c r="D183" s="557"/>
      <c r="E183" s="557"/>
      <c r="F183" s="557"/>
      <c r="G183" s="558"/>
      <c r="H183" s="558"/>
      <c r="I183" s="558"/>
      <c r="J183" s="558"/>
      <c r="K183" s="558"/>
      <c r="L183" s="559"/>
      <c r="M183" s="363"/>
      <c r="N183" s="363"/>
      <c r="O183" s="465"/>
      <c r="P183" s="466"/>
      <c r="Q183" s="58"/>
      <c r="R183" s="466"/>
      <c r="S183" s="58"/>
      <c r="T183" s="466"/>
      <c r="U183" s="467"/>
      <c r="V183" s="467"/>
      <c r="W183" s="467"/>
      <c r="X183" s="58"/>
      <c r="Y183" s="58"/>
      <c r="Z183" s="466"/>
      <c r="AA183" s="468"/>
      <c r="AB183" s="468"/>
      <c r="AC183" s="468"/>
      <c r="AD183" s="468"/>
    </row>
    <row r="184" spans="2:30" outlineLevel="1">
      <c r="B184" s="541"/>
      <c r="C184" s="560"/>
      <c r="D184" s="561"/>
      <c r="E184" s="561"/>
      <c r="F184" s="562"/>
      <c r="G184" s="562"/>
      <c r="H184" s="562"/>
      <c r="I184" s="562"/>
      <c r="J184" s="562"/>
      <c r="K184" s="563"/>
      <c r="L184" s="559"/>
      <c r="M184" s="363"/>
      <c r="N184" s="363"/>
      <c r="O184" s="465"/>
      <c r="P184" s="466"/>
      <c r="Q184" s="58"/>
      <c r="R184" s="466"/>
      <c r="S184" s="58"/>
      <c r="T184" s="466"/>
      <c r="U184" s="467"/>
      <c r="V184" s="467"/>
      <c r="W184" s="467"/>
      <c r="X184" s="58"/>
      <c r="Y184" s="58"/>
      <c r="Z184" s="466"/>
      <c r="AA184" s="468"/>
      <c r="AB184" s="468"/>
      <c r="AC184" s="468"/>
      <c r="AD184" s="468"/>
    </row>
    <row r="185" spans="2:30" outlineLevel="1">
      <c r="B185" s="541"/>
      <c r="C185" s="560"/>
      <c r="D185" s="561"/>
      <c r="E185" s="561"/>
      <c r="F185" s="562"/>
      <c r="G185" s="562"/>
      <c r="H185" s="562"/>
      <c r="I185" s="562"/>
      <c r="J185" s="562"/>
      <c r="K185" s="563"/>
      <c r="L185" s="559"/>
      <c r="M185" s="363"/>
      <c r="N185" s="363"/>
      <c r="O185" s="465"/>
      <c r="P185" s="466"/>
      <c r="Q185" s="58"/>
      <c r="R185" s="466"/>
      <c r="S185" s="58"/>
      <c r="T185" s="466"/>
      <c r="U185" s="467"/>
      <c r="V185" s="467"/>
      <c r="W185" s="467"/>
      <c r="X185" s="58"/>
      <c r="Y185" s="58"/>
      <c r="Z185" s="466"/>
      <c r="AA185" s="468"/>
      <c r="AB185" s="468"/>
      <c r="AC185" s="468"/>
      <c r="AD185" s="468"/>
    </row>
    <row r="186" spans="2:30" outlineLevel="1">
      <c r="B186" s="541"/>
      <c r="C186" s="564"/>
      <c r="D186" s="564"/>
      <c r="E186" s="564"/>
      <c r="F186" s="564"/>
      <c r="G186" s="565"/>
      <c r="H186" s="565"/>
      <c r="I186" s="565"/>
      <c r="J186" s="565"/>
      <c r="K186" s="565"/>
      <c r="L186" s="548"/>
      <c r="M186" s="363"/>
      <c r="N186" s="363"/>
      <c r="O186" s="465"/>
      <c r="P186" s="466"/>
      <c r="Q186" s="58"/>
      <c r="R186" s="466"/>
      <c r="S186" s="58"/>
      <c r="T186" s="466"/>
      <c r="U186" s="467"/>
      <c r="V186" s="467"/>
      <c r="W186" s="467"/>
      <c r="X186" s="58"/>
      <c r="Y186" s="58"/>
      <c r="Z186" s="466"/>
      <c r="AA186" s="468"/>
      <c r="AB186" s="468"/>
      <c r="AC186" s="468"/>
      <c r="AD186" s="468"/>
    </row>
    <row r="187" spans="2:30" outlineLevel="1">
      <c r="B187" s="566"/>
      <c r="C187" s="560"/>
      <c r="D187" s="561"/>
      <c r="E187" s="561"/>
      <c r="F187" s="562"/>
      <c r="G187" s="562"/>
      <c r="H187" s="562"/>
      <c r="I187" s="562"/>
      <c r="J187" s="562"/>
      <c r="K187" s="563"/>
      <c r="L187" s="559"/>
      <c r="M187" s="367"/>
      <c r="N187" s="367"/>
    </row>
    <row r="188" spans="2:30" outlineLevel="1">
      <c r="B188" s="566"/>
      <c r="C188" s="560"/>
      <c r="D188" s="561"/>
      <c r="E188" s="561"/>
      <c r="F188" s="562"/>
      <c r="G188" s="562"/>
      <c r="H188" s="562"/>
      <c r="I188" s="562"/>
      <c r="J188" s="562"/>
      <c r="K188" s="563"/>
      <c r="L188" s="559"/>
      <c r="M188" s="363"/>
      <c r="N188" s="363"/>
    </row>
    <row r="189" spans="2:30" ht="16" outlineLevel="1" thickBot="1">
      <c r="B189" s="567"/>
      <c r="C189" s="568"/>
      <c r="D189" s="568"/>
      <c r="E189" s="568"/>
      <c r="F189" s="568"/>
      <c r="G189" s="568"/>
      <c r="H189" s="568"/>
      <c r="I189" s="568"/>
      <c r="J189" s="568"/>
      <c r="K189" s="568"/>
      <c r="L189" s="569"/>
      <c r="M189" s="363"/>
      <c r="N189" s="363"/>
    </row>
    <row r="190" spans="2:30" outlineLevel="1">
      <c r="B190" s="461"/>
      <c r="C190" s="483"/>
      <c r="D190" s="483"/>
      <c r="E190" s="483"/>
      <c r="F190" s="483"/>
      <c r="G190" s="483"/>
      <c r="H190" s="484"/>
      <c r="I190" s="420"/>
      <c r="J190" s="420"/>
      <c r="K190" s="484"/>
      <c r="L190" s="484"/>
      <c r="N190" s="420"/>
    </row>
    <row r="191" spans="2:30" outlineLevel="1">
      <c r="B191" s="485"/>
      <c r="C191" s="486"/>
      <c r="D191" s="486"/>
      <c r="E191" s="486"/>
      <c r="F191" s="486"/>
      <c r="G191" s="486"/>
      <c r="H191" s="484"/>
      <c r="I191" s="71"/>
      <c r="J191" s="420"/>
      <c r="K191" s="484"/>
      <c r="L191" s="484"/>
      <c r="N191" s="420"/>
    </row>
    <row r="192" spans="2:30" outlineLevel="1">
      <c r="B192" s="461"/>
      <c r="C192" s="359"/>
      <c r="D192" s="359"/>
      <c r="E192" s="359"/>
      <c r="F192" s="359"/>
      <c r="G192" s="359"/>
      <c r="I192" s="420"/>
      <c r="J192" s="420"/>
      <c r="N192" s="420"/>
    </row>
    <row r="193" spans="1:16" outlineLevel="1">
      <c r="B193" s="461"/>
      <c r="C193" s="487"/>
      <c r="D193" s="487"/>
      <c r="E193" s="487"/>
      <c r="F193" s="487"/>
      <c r="G193" s="359"/>
      <c r="M193" s="420"/>
      <c r="N193" s="420"/>
    </row>
    <row r="194" spans="1:16" outlineLevel="1"/>
    <row r="195" spans="1:16" outlineLevel="1">
      <c r="A195" s="488"/>
      <c r="B195" s="489"/>
      <c r="D195" s="490"/>
      <c r="E195" s="490"/>
      <c r="F195" s="490"/>
      <c r="G195" s="358"/>
      <c r="H195" s="358"/>
      <c r="I195" s="358"/>
      <c r="J195" s="358"/>
      <c r="K195" s="358"/>
      <c r="L195" s="358"/>
      <c r="N195" s="570"/>
      <c r="O195" s="489"/>
      <c r="P195" s="490"/>
    </row>
    <row r="196" spans="1:16" outlineLevel="1">
      <c r="A196" s="491"/>
      <c r="B196" s="492"/>
      <c r="D196" s="490"/>
      <c r="E196" s="490"/>
      <c r="F196" s="490"/>
      <c r="G196" s="358"/>
      <c r="H196" s="358"/>
      <c r="I196" s="358"/>
      <c r="J196" s="358"/>
      <c r="K196" s="358"/>
      <c r="L196" s="358"/>
      <c r="N196" s="570"/>
      <c r="O196" s="489"/>
      <c r="P196" s="490"/>
    </row>
    <row r="197" spans="1:16" outlineLevel="1">
      <c r="A197" s="491"/>
      <c r="B197" s="493"/>
      <c r="D197" s="490"/>
      <c r="E197" s="490"/>
      <c r="F197" s="490"/>
      <c r="G197" s="358"/>
      <c r="H197" s="358"/>
      <c r="I197" s="358"/>
      <c r="J197" s="358"/>
      <c r="K197" s="358"/>
      <c r="L197" s="358"/>
      <c r="N197" s="570"/>
      <c r="O197" s="489"/>
      <c r="P197" s="490"/>
    </row>
    <row r="198" spans="1:16" outlineLevel="1">
      <c r="A198" s="491"/>
      <c r="B198" s="493"/>
      <c r="D198" s="490"/>
      <c r="E198" s="490"/>
      <c r="F198" s="490"/>
      <c r="G198" s="358"/>
      <c r="H198" s="358"/>
      <c r="I198" s="358"/>
      <c r="J198" s="358"/>
      <c r="K198" s="358"/>
      <c r="L198" s="358"/>
      <c r="N198" s="570"/>
      <c r="O198" s="489"/>
      <c r="P198" s="490"/>
    </row>
    <row r="199" spans="1:16" outlineLevel="1">
      <c r="A199" s="491"/>
      <c r="B199" s="493"/>
      <c r="D199" s="490"/>
      <c r="E199" s="490"/>
      <c r="F199" s="490"/>
      <c r="G199" s="358"/>
      <c r="H199" s="358"/>
      <c r="I199" s="358"/>
      <c r="J199" s="358"/>
      <c r="K199" s="358"/>
      <c r="L199" s="358"/>
      <c r="N199" s="570"/>
      <c r="O199" s="489"/>
      <c r="P199" s="490"/>
    </row>
    <row r="200" spans="1:16" outlineLevel="1">
      <c r="A200" s="358"/>
      <c r="B200" s="494"/>
      <c r="D200" s="490"/>
      <c r="E200" s="490"/>
      <c r="F200" s="490"/>
      <c r="G200" s="358"/>
      <c r="H200" s="358"/>
      <c r="I200" s="358"/>
      <c r="J200" s="358"/>
      <c r="K200" s="358"/>
      <c r="L200" s="358"/>
    </row>
    <row r="201" spans="1:16" outlineLevel="1">
      <c r="A201" s="358"/>
      <c r="B201" s="492"/>
      <c r="D201" s="490"/>
      <c r="E201" s="490"/>
      <c r="F201" s="490"/>
      <c r="G201" s="358"/>
      <c r="H201" s="358"/>
      <c r="I201" s="358"/>
      <c r="J201" s="358"/>
      <c r="K201" s="358"/>
      <c r="L201" s="358"/>
    </row>
    <row r="202" spans="1:16" outlineLevel="1">
      <c r="A202" s="358"/>
      <c r="B202" s="495"/>
      <c r="D202" s="490"/>
      <c r="E202" s="490"/>
      <c r="F202" s="490"/>
      <c r="G202" s="358"/>
      <c r="H202" s="358"/>
      <c r="I202" s="358"/>
      <c r="J202" s="358"/>
      <c r="K202" s="358"/>
      <c r="L202" s="358"/>
    </row>
    <row r="203" spans="1:16" outlineLevel="1">
      <c r="A203" s="358"/>
      <c r="B203" s="495"/>
      <c r="D203" s="490"/>
      <c r="E203" s="490"/>
      <c r="F203" s="490"/>
      <c r="G203" s="358"/>
      <c r="H203" s="358"/>
      <c r="I203" s="358"/>
      <c r="J203" s="358"/>
      <c r="K203" s="358"/>
      <c r="L203" s="358"/>
    </row>
    <row r="204" spans="1:16" outlineLevel="1">
      <c r="A204" s="358"/>
      <c r="B204" s="489"/>
      <c r="D204" s="490"/>
      <c r="E204" s="490"/>
      <c r="F204" s="490"/>
      <c r="G204" s="358"/>
      <c r="H204" s="358"/>
      <c r="I204" s="358"/>
      <c r="J204" s="358"/>
      <c r="K204" s="358"/>
      <c r="L204" s="358"/>
    </row>
    <row r="205" spans="1:16" outlineLevel="1">
      <c r="A205" s="358"/>
      <c r="B205" s="490"/>
      <c r="D205" s="490"/>
      <c r="E205" s="490"/>
      <c r="F205" s="490"/>
      <c r="G205" s="358"/>
      <c r="H205" s="358"/>
      <c r="I205" s="358"/>
      <c r="J205" s="358"/>
      <c r="K205" s="358"/>
      <c r="L205" s="358"/>
    </row>
    <row r="206" spans="1:16" outlineLevel="1">
      <c r="A206" s="488"/>
      <c r="B206" s="489"/>
      <c r="D206" s="490"/>
      <c r="E206" s="490"/>
      <c r="F206" s="490"/>
      <c r="G206" s="358"/>
      <c r="H206" s="358"/>
      <c r="I206" s="358"/>
      <c r="J206" s="358"/>
      <c r="K206" s="358"/>
      <c r="L206" s="358"/>
    </row>
    <row r="207" spans="1:16" outlineLevel="1">
      <c r="A207" s="496"/>
      <c r="B207" s="497"/>
      <c r="C207" s="490"/>
      <c r="D207" s="490"/>
      <c r="E207" s="490"/>
      <c r="F207" s="490"/>
      <c r="G207" s="358"/>
      <c r="H207" s="358"/>
      <c r="I207" s="358"/>
      <c r="J207" s="358"/>
      <c r="K207" s="358"/>
      <c r="L207" s="358"/>
      <c r="N207" s="570"/>
      <c r="O207" s="489"/>
      <c r="P207" s="490"/>
    </row>
    <row r="208" spans="1:16" outlineLevel="1">
      <c r="A208" s="496"/>
      <c r="B208" s="489"/>
      <c r="C208" s="490"/>
      <c r="D208" s="490"/>
      <c r="E208" s="490"/>
      <c r="F208" s="490"/>
      <c r="G208" s="358"/>
      <c r="H208" s="358"/>
      <c r="I208" s="358"/>
      <c r="J208" s="358"/>
      <c r="K208" s="358"/>
      <c r="L208" s="358"/>
      <c r="N208" s="571"/>
      <c r="O208" s="489"/>
      <c r="P208" s="490"/>
    </row>
    <row r="209" spans="1:44" outlineLevel="1">
      <c r="A209" s="496"/>
      <c r="B209" s="489"/>
      <c r="C209" s="490"/>
      <c r="D209" s="490"/>
      <c r="E209" s="490"/>
      <c r="F209" s="490"/>
      <c r="G209" s="358"/>
      <c r="H209" s="358"/>
      <c r="I209" s="358"/>
      <c r="J209" s="358"/>
      <c r="K209" s="358"/>
      <c r="L209" s="358"/>
      <c r="N209" s="572"/>
      <c r="O209" s="489"/>
      <c r="P209" s="490"/>
    </row>
    <row r="210" spans="1:44" outlineLevel="1">
      <c r="A210" s="496"/>
      <c r="B210" s="489"/>
      <c r="C210" s="490"/>
      <c r="D210" s="490"/>
      <c r="E210" s="490"/>
      <c r="F210" s="490"/>
      <c r="G210" s="358"/>
      <c r="H210" s="358"/>
      <c r="I210" s="358"/>
      <c r="J210" s="358"/>
      <c r="K210" s="358"/>
      <c r="L210" s="358"/>
      <c r="N210" s="573"/>
      <c r="O210" s="489"/>
      <c r="P210" s="490"/>
    </row>
    <row r="211" spans="1:44" outlineLevel="1">
      <c r="A211" s="496"/>
      <c r="B211" s="498"/>
      <c r="C211" s="490"/>
      <c r="D211" s="490"/>
      <c r="E211" s="490"/>
      <c r="F211" s="490"/>
      <c r="G211" s="358"/>
      <c r="H211" s="358"/>
      <c r="I211" s="358"/>
      <c r="J211" s="358"/>
      <c r="K211" s="358"/>
      <c r="L211" s="358"/>
      <c r="N211" s="573"/>
      <c r="O211" s="490"/>
      <c r="P211" s="490"/>
    </row>
    <row r="212" spans="1:44" outlineLevel="1">
      <c r="A212" s="496"/>
      <c r="B212" s="489"/>
      <c r="C212" s="490"/>
      <c r="D212" s="490"/>
      <c r="E212" s="490"/>
      <c r="F212" s="490"/>
      <c r="G212" s="358"/>
      <c r="H212" s="358"/>
      <c r="I212" s="358"/>
      <c r="J212" s="358"/>
      <c r="K212" s="358"/>
      <c r="L212" s="358"/>
      <c r="N212" s="489"/>
      <c r="O212" s="490"/>
      <c r="P212" s="490"/>
    </row>
    <row r="213" spans="1:44" outlineLevel="1">
      <c r="A213" s="496"/>
      <c r="B213" s="489"/>
      <c r="C213" s="490"/>
      <c r="D213" s="490"/>
      <c r="E213" s="490"/>
      <c r="F213" s="490"/>
      <c r="G213" s="358"/>
      <c r="H213" s="358"/>
      <c r="I213" s="358"/>
      <c r="J213" s="358"/>
      <c r="K213" s="358"/>
      <c r="L213" s="358"/>
      <c r="N213" s="490"/>
      <c r="O213" s="490"/>
      <c r="P213" s="490"/>
    </row>
    <row r="214" spans="1:44" outlineLevel="1"/>
    <row r="215" spans="1:44" outlineLevel="1"/>
    <row r="217" spans="1:44" ht="16" thickBot="1">
      <c r="A217" s="360"/>
    </row>
    <row r="218" spans="1:44" ht="20.5" customHeight="1" outlineLevel="1" thickBot="1">
      <c r="B218" s="362"/>
      <c r="C218" s="1186"/>
      <c r="D218" s="1205"/>
      <c r="E218" s="1205"/>
      <c r="F218" s="1205"/>
      <c r="G218" s="1205"/>
      <c r="H218" s="1205"/>
      <c r="I218" s="1205"/>
      <c r="J218" s="1205"/>
      <c r="K218" s="1205"/>
      <c r="L218" s="1206"/>
      <c r="M218" s="363"/>
      <c r="N218" s="363"/>
      <c r="P218" s="364"/>
      <c r="Q218" s="365"/>
      <c r="R218" s="366"/>
      <c r="S218" s="1176"/>
      <c r="T218" s="1160"/>
      <c r="U218" s="1161"/>
      <c r="V218" s="1160"/>
      <c r="W218" s="1161"/>
      <c r="X218" s="1160"/>
      <c r="Y218" s="1161"/>
      <c r="Z218" s="1160"/>
      <c r="AA218" s="1161"/>
      <c r="AB218" s="1160"/>
      <c r="AC218" s="1161"/>
      <c r="AE218" s="364"/>
      <c r="AF218" s="365"/>
      <c r="AG218" s="366"/>
      <c r="AH218" s="1176"/>
      <c r="AI218" s="1160"/>
      <c r="AJ218" s="1161"/>
      <c r="AK218" s="1160"/>
      <c r="AL218" s="1161"/>
      <c r="AM218" s="1160"/>
      <c r="AN218" s="1161"/>
      <c r="AO218" s="1160"/>
      <c r="AP218" s="1161"/>
      <c r="AQ218" s="1160"/>
      <c r="AR218" s="1161"/>
    </row>
    <row r="219" spans="1:44" ht="15" customHeight="1" outlineLevel="1" thickBot="1">
      <c r="B219" s="1164"/>
      <c r="C219" s="1166"/>
      <c r="D219" s="1166"/>
      <c r="E219" s="1166"/>
      <c r="F219" s="1166"/>
      <c r="G219" s="1168"/>
      <c r="H219" s="1169"/>
      <c r="I219" s="1168"/>
      <c r="J219" s="1169"/>
      <c r="K219" s="1189"/>
      <c r="L219" s="1189"/>
      <c r="M219" s="367"/>
      <c r="N219" s="367"/>
      <c r="P219" s="1180"/>
      <c r="Q219" s="368"/>
      <c r="R219" s="368"/>
      <c r="S219" s="1177"/>
      <c r="T219" s="1162"/>
      <c r="U219" s="1163"/>
      <c r="V219" s="1162"/>
      <c r="W219" s="1163"/>
      <c r="X219" s="1162"/>
      <c r="Y219" s="1163"/>
      <c r="Z219" s="1162"/>
      <c r="AA219" s="1163"/>
      <c r="AB219" s="1162"/>
      <c r="AC219" s="1163"/>
      <c r="AE219" s="1180"/>
      <c r="AF219" s="368"/>
      <c r="AG219" s="368"/>
      <c r="AH219" s="1177"/>
      <c r="AI219" s="1162"/>
      <c r="AJ219" s="1163"/>
      <c r="AK219" s="1162"/>
      <c r="AL219" s="1163"/>
      <c r="AM219" s="1162"/>
      <c r="AN219" s="1163"/>
      <c r="AO219" s="1162"/>
      <c r="AP219" s="1163"/>
      <c r="AQ219" s="1162"/>
      <c r="AR219" s="1163"/>
    </row>
    <row r="220" spans="1:44" ht="15" customHeight="1" outlineLevel="1" thickBot="1">
      <c r="B220" s="1165"/>
      <c r="C220" s="1167"/>
      <c r="D220" s="1167"/>
      <c r="E220" s="1167"/>
      <c r="F220" s="1167"/>
      <c r="G220" s="406"/>
      <c r="H220" s="406"/>
      <c r="I220" s="406"/>
      <c r="J220" s="406"/>
      <c r="K220" s="1190"/>
      <c r="L220" s="1190"/>
      <c r="M220" s="370"/>
      <c r="N220" s="370"/>
      <c r="P220" s="1181"/>
      <c r="Q220" s="1183"/>
      <c r="R220" s="1184"/>
      <c r="S220" s="1178"/>
      <c r="T220" s="1162"/>
      <c r="U220" s="1163"/>
      <c r="V220" s="1162"/>
      <c r="W220" s="1163"/>
      <c r="X220" s="1162"/>
      <c r="Y220" s="1163"/>
      <c r="Z220" s="1162"/>
      <c r="AA220" s="1163"/>
      <c r="AB220" s="1162"/>
      <c r="AC220" s="1163"/>
      <c r="AE220" s="1181"/>
      <c r="AF220" s="1197"/>
      <c r="AG220" s="1184"/>
      <c r="AH220" s="1178"/>
      <c r="AI220" s="1162"/>
      <c r="AJ220" s="1163"/>
      <c r="AK220" s="1162"/>
      <c r="AL220" s="1163"/>
      <c r="AM220" s="1162"/>
      <c r="AN220" s="1163"/>
      <c r="AO220" s="1162"/>
      <c r="AP220" s="1163"/>
      <c r="AQ220" s="1162"/>
      <c r="AR220" s="1163"/>
    </row>
    <row r="221" spans="1:44" ht="16" outlineLevel="1" thickBot="1">
      <c r="B221" s="371"/>
      <c r="C221" s="372"/>
      <c r="D221" s="372"/>
      <c r="E221" s="372"/>
      <c r="F221" s="372"/>
      <c r="G221" s="372"/>
      <c r="H221" s="372"/>
      <c r="I221" s="372"/>
      <c r="J221" s="372"/>
      <c r="K221" s="372"/>
      <c r="L221" s="373"/>
      <c r="M221" s="370"/>
      <c r="N221" s="370"/>
      <c r="O221" s="74"/>
      <c r="P221" s="1182"/>
      <c r="Q221" s="1179"/>
      <c r="R221" s="1185"/>
      <c r="S221" s="1179"/>
      <c r="T221" s="374"/>
      <c r="U221" s="375"/>
      <c r="V221" s="374"/>
      <c r="W221" s="375"/>
      <c r="X221" s="374"/>
      <c r="Y221" s="375"/>
      <c r="Z221" s="374"/>
      <c r="AA221" s="375"/>
      <c r="AB221" s="374"/>
      <c r="AC221" s="375"/>
      <c r="AE221" s="1182"/>
      <c r="AF221" s="1198"/>
      <c r="AG221" s="1185"/>
      <c r="AH221" s="1179"/>
      <c r="AI221" s="374"/>
      <c r="AJ221" s="375"/>
      <c r="AK221" s="374"/>
      <c r="AL221" s="375"/>
      <c r="AM221" s="374"/>
      <c r="AN221" s="375"/>
      <c r="AO221" s="374"/>
      <c r="AP221" s="375"/>
      <c r="AQ221" s="374"/>
      <c r="AR221" s="375"/>
    </row>
    <row r="222" spans="1:44" ht="14.5" customHeight="1" outlineLevel="1">
      <c r="B222" s="541"/>
      <c r="C222" s="542"/>
      <c r="D222" s="542"/>
      <c r="E222" s="543"/>
      <c r="F222" s="542"/>
      <c r="G222" s="542"/>
      <c r="H222" s="542"/>
      <c r="I222" s="542"/>
      <c r="J222" s="542"/>
      <c r="K222" s="547"/>
      <c r="L222" s="548"/>
      <c r="M222" s="370"/>
      <c r="N222" s="370"/>
      <c r="P222" s="1148"/>
      <c r="Q222" s="1154"/>
      <c r="R222" s="381"/>
      <c r="S222" s="382"/>
      <c r="T222" s="1137"/>
      <c r="U222" s="1151"/>
      <c r="V222" s="1137"/>
      <c r="W222" s="1151"/>
      <c r="X222" s="1137"/>
      <c r="Y222" s="1151"/>
      <c r="Z222" s="1137"/>
      <c r="AA222" s="1151"/>
      <c r="AB222" s="1137"/>
      <c r="AC222" s="1151"/>
      <c r="AE222" s="1148"/>
      <c r="AF222" s="1154"/>
      <c r="AG222" s="381"/>
      <c r="AH222" s="382"/>
      <c r="AI222" s="1137"/>
      <c r="AJ222" s="1151"/>
      <c r="AK222" s="1137"/>
      <c r="AL222" s="1151"/>
      <c r="AM222" s="1137"/>
      <c r="AN222" s="1151"/>
      <c r="AO222" s="1137"/>
      <c r="AP222" s="1151"/>
      <c r="AQ222" s="1137"/>
      <c r="AR222" s="1151"/>
    </row>
    <row r="223" spans="1:44" outlineLevel="1">
      <c r="B223" s="383"/>
      <c r="C223" s="384"/>
      <c r="D223" s="384"/>
      <c r="E223" s="384"/>
      <c r="F223" s="384"/>
      <c r="G223" s="505"/>
      <c r="H223" s="505"/>
      <c r="I223" s="505"/>
      <c r="J223" s="505"/>
      <c r="K223" s="372"/>
      <c r="L223" s="373"/>
      <c r="M223" s="370"/>
      <c r="N223" s="370"/>
      <c r="O223" s="71"/>
      <c r="P223" s="1195"/>
      <c r="Q223" s="1155"/>
      <c r="R223" s="388"/>
      <c r="S223" s="389"/>
      <c r="T223" s="1140"/>
      <c r="U223" s="1152"/>
      <c r="V223" s="1140"/>
      <c r="W223" s="1152"/>
      <c r="X223" s="1140"/>
      <c r="Y223" s="1152"/>
      <c r="Z223" s="1140"/>
      <c r="AA223" s="1152"/>
      <c r="AB223" s="1140"/>
      <c r="AC223" s="1152"/>
      <c r="AE223" s="1195"/>
      <c r="AF223" s="1155"/>
      <c r="AG223" s="388"/>
      <c r="AH223" s="389"/>
      <c r="AI223" s="1140"/>
      <c r="AJ223" s="1152"/>
      <c r="AK223" s="1140"/>
      <c r="AL223" s="1152"/>
      <c r="AM223" s="1140"/>
      <c r="AN223" s="1152"/>
      <c r="AO223" s="1140"/>
      <c r="AP223" s="1152"/>
      <c r="AQ223" s="1140"/>
      <c r="AR223" s="1152"/>
    </row>
    <row r="224" spans="1:44" ht="16" outlineLevel="1" thickBot="1">
      <c r="B224" s="541"/>
      <c r="C224" s="544"/>
      <c r="D224" s="545"/>
      <c r="E224" s="545"/>
      <c r="F224" s="546"/>
      <c r="G224" s="545"/>
      <c r="H224" s="545"/>
      <c r="I224" s="545"/>
      <c r="J224" s="545"/>
      <c r="K224" s="547"/>
      <c r="L224" s="548"/>
      <c r="M224" s="370"/>
      <c r="N224" s="370"/>
      <c r="O224" s="71"/>
      <c r="P224" s="1195"/>
      <c r="Q224" s="1156"/>
      <c r="R224" s="393"/>
      <c r="S224" s="394"/>
      <c r="T224" s="1141"/>
      <c r="U224" s="1153"/>
      <c r="V224" s="1141"/>
      <c r="W224" s="1153"/>
      <c r="X224" s="1141"/>
      <c r="Y224" s="1153"/>
      <c r="Z224" s="1141"/>
      <c r="AA224" s="1153"/>
      <c r="AB224" s="1141"/>
      <c r="AC224" s="1153"/>
      <c r="AE224" s="1195"/>
      <c r="AF224" s="1156"/>
      <c r="AG224" s="393"/>
      <c r="AH224" s="394"/>
      <c r="AI224" s="1141"/>
      <c r="AJ224" s="1153"/>
      <c r="AK224" s="1141"/>
      <c r="AL224" s="1153"/>
      <c r="AM224" s="1141"/>
      <c r="AN224" s="1153"/>
      <c r="AO224" s="1141"/>
      <c r="AP224" s="1153"/>
      <c r="AQ224" s="1141"/>
      <c r="AR224" s="1153"/>
    </row>
    <row r="225" spans="1:44" ht="14.5" customHeight="1" outlineLevel="1">
      <c r="B225" s="541"/>
      <c r="C225" s="544"/>
      <c r="D225" s="544"/>
      <c r="E225" s="544"/>
      <c r="F225" s="544"/>
      <c r="G225" s="544"/>
      <c r="H225" s="544"/>
      <c r="I225" s="544"/>
      <c r="J225" s="544"/>
      <c r="K225" s="547"/>
      <c r="L225" s="548"/>
      <c r="M225" s="370"/>
      <c r="N225" s="370"/>
      <c r="O225" s="71"/>
      <c r="P225" s="1195"/>
      <c r="Q225" s="1154"/>
      <c r="R225" s="395"/>
      <c r="S225" s="396"/>
      <c r="T225" s="1137"/>
      <c r="U225" s="1137"/>
      <c r="V225" s="1137"/>
      <c r="W225" s="1137"/>
      <c r="X225" s="1137"/>
      <c r="Y225" s="1137"/>
      <c r="Z225" s="1137"/>
      <c r="AA225" s="1137"/>
      <c r="AB225" s="1137"/>
      <c r="AC225" s="1137"/>
      <c r="AE225" s="1195"/>
      <c r="AF225" s="1154"/>
      <c r="AG225" s="395"/>
      <c r="AH225" s="396"/>
      <c r="AI225" s="1137"/>
      <c r="AJ225" s="1137"/>
      <c r="AK225" s="1137"/>
      <c r="AL225" s="1137"/>
      <c r="AM225" s="1137"/>
      <c r="AN225" s="1137"/>
      <c r="AO225" s="1137"/>
      <c r="AP225" s="1137"/>
      <c r="AQ225" s="1137"/>
      <c r="AR225" s="1137"/>
    </row>
    <row r="226" spans="1:44" outlineLevel="1">
      <c r="B226" s="541"/>
      <c r="C226" s="544"/>
      <c r="D226" s="544"/>
      <c r="E226" s="544"/>
      <c r="F226" s="544"/>
      <c r="G226" s="544"/>
      <c r="H226" s="544"/>
      <c r="I226" s="544"/>
      <c r="J226" s="544"/>
      <c r="K226" s="547"/>
      <c r="L226" s="548"/>
      <c r="M226" s="367"/>
      <c r="N226" s="367"/>
      <c r="O226" s="71"/>
      <c r="P226" s="1195"/>
      <c r="Q226" s="1155"/>
      <c r="R226" s="395"/>
      <c r="S226" s="396"/>
      <c r="T226" s="1138"/>
      <c r="U226" s="1138"/>
      <c r="V226" s="1138"/>
      <c r="W226" s="1138"/>
      <c r="X226" s="1138"/>
      <c r="Y226" s="1138"/>
      <c r="Z226" s="1138"/>
      <c r="AA226" s="1138"/>
      <c r="AB226" s="1138"/>
      <c r="AC226" s="1138"/>
      <c r="AE226" s="1195"/>
      <c r="AF226" s="1155"/>
      <c r="AG226" s="395"/>
      <c r="AH226" s="396"/>
      <c r="AI226" s="1138"/>
      <c r="AJ226" s="1138"/>
      <c r="AK226" s="1138"/>
      <c r="AL226" s="1138"/>
      <c r="AM226" s="1138"/>
      <c r="AN226" s="1138"/>
      <c r="AO226" s="1138"/>
      <c r="AP226" s="1138"/>
      <c r="AQ226" s="1138"/>
      <c r="AR226" s="1138"/>
    </row>
    <row r="227" spans="1:44" outlineLevel="1">
      <c r="B227" s="383"/>
      <c r="C227" s="397"/>
      <c r="D227" s="397"/>
      <c r="E227" s="397"/>
      <c r="F227" s="397"/>
      <c r="G227" s="399"/>
      <c r="H227" s="399"/>
      <c r="I227" s="399"/>
      <c r="J227" s="399"/>
      <c r="K227" s="372"/>
      <c r="L227" s="373"/>
      <c r="M227" s="363"/>
      <c r="N227" s="363"/>
      <c r="P227" s="1195"/>
      <c r="Q227" s="1155"/>
      <c r="R227" s="395"/>
      <c r="S227" s="396"/>
      <c r="T227" s="1138"/>
      <c r="U227" s="1138"/>
      <c r="V227" s="1138"/>
      <c r="W227" s="1138"/>
      <c r="X227" s="1138"/>
      <c r="Y227" s="1138"/>
      <c r="Z227" s="1138"/>
      <c r="AA227" s="1138"/>
      <c r="AB227" s="1138"/>
      <c r="AC227" s="1138"/>
      <c r="AE227" s="1195"/>
      <c r="AF227" s="1155"/>
      <c r="AG227" s="395"/>
      <c r="AH227" s="396"/>
      <c r="AI227" s="1138"/>
      <c r="AJ227" s="1138"/>
      <c r="AK227" s="1138"/>
      <c r="AL227" s="1138"/>
      <c r="AM227" s="1138"/>
      <c r="AN227" s="1138"/>
      <c r="AO227" s="1138"/>
      <c r="AP227" s="1138"/>
      <c r="AQ227" s="1138"/>
      <c r="AR227" s="1138"/>
    </row>
    <row r="228" spans="1:44" ht="16" outlineLevel="1" thickBot="1">
      <c r="B228" s="541"/>
      <c r="C228" s="544"/>
      <c r="D228" s="544"/>
      <c r="E228" s="544"/>
      <c r="F228" s="544"/>
      <c r="G228" s="544"/>
      <c r="H228" s="544"/>
      <c r="I228" s="544"/>
      <c r="J228" s="544"/>
      <c r="K228" s="547"/>
      <c r="L228" s="559"/>
      <c r="M228" s="363"/>
      <c r="N228" s="363"/>
      <c r="P228" s="1195"/>
      <c r="Q228" s="1155"/>
      <c r="R228" s="395"/>
      <c r="S228" s="396"/>
      <c r="T228" s="1138"/>
      <c r="U228" s="1138"/>
      <c r="V228" s="1138"/>
      <c r="W228" s="1138"/>
      <c r="X228" s="1138"/>
      <c r="Y228" s="1138"/>
      <c r="Z228" s="1138"/>
      <c r="AA228" s="1138"/>
      <c r="AB228" s="1138"/>
      <c r="AC228" s="1138"/>
      <c r="AE228" s="1195"/>
      <c r="AF228" s="1155"/>
      <c r="AG228" s="395"/>
      <c r="AH228" s="396"/>
      <c r="AI228" s="1138"/>
      <c r="AJ228" s="1138"/>
      <c r="AK228" s="1138"/>
      <c r="AL228" s="1138"/>
      <c r="AM228" s="1138"/>
      <c r="AN228" s="1138"/>
      <c r="AO228" s="1138"/>
      <c r="AP228" s="1138"/>
      <c r="AQ228" s="1138"/>
      <c r="AR228" s="1138"/>
    </row>
    <row r="229" spans="1:44" ht="16" outlineLevel="1" thickBot="1">
      <c r="B229" s="401"/>
      <c r="C229" s="402"/>
      <c r="D229" s="403"/>
      <c r="E229" s="404"/>
      <c r="F229" s="405"/>
      <c r="G229" s="406"/>
      <c r="H229" s="406"/>
      <c r="I229" s="406"/>
      <c r="J229" s="406"/>
      <c r="K229" s="407"/>
      <c r="L229" s="408"/>
      <c r="M229" s="363"/>
      <c r="N229" s="363"/>
      <c r="P229" s="1195"/>
      <c r="Q229" s="1155"/>
      <c r="R229" s="409"/>
      <c r="S229" s="410"/>
      <c r="T229" s="1139"/>
      <c r="U229" s="1139"/>
      <c r="V229" s="1139"/>
      <c r="W229" s="1139"/>
      <c r="X229" s="1139"/>
      <c r="Y229" s="1139"/>
      <c r="Z229" s="1139"/>
      <c r="AA229" s="1139"/>
      <c r="AB229" s="1139"/>
      <c r="AC229" s="1139"/>
      <c r="AE229" s="1195"/>
      <c r="AF229" s="1155"/>
      <c r="AG229" s="409"/>
      <c r="AH229" s="410"/>
      <c r="AI229" s="1139"/>
      <c r="AJ229" s="1139"/>
      <c r="AK229" s="1139"/>
      <c r="AL229" s="1139"/>
      <c r="AM229" s="1139"/>
      <c r="AN229" s="1139"/>
      <c r="AO229" s="1139"/>
      <c r="AP229" s="1139"/>
      <c r="AQ229" s="1139"/>
      <c r="AR229" s="1139"/>
    </row>
    <row r="230" spans="1:44" ht="16" outlineLevel="1" thickBot="1">
      <c r="B230" s="541"/>
      <c r="C230" s="544"/>
      <c r="D230" s="544"/>
      <c r="E230" s="544"/>
      <c r="F230" s="544"/>
      <c r="G230" s="545"/>
      <c r="H230" s="545"/>
      <c r="I230" s="545"/>
      <c r="J230" s="545"/>
      <c r="K230" s="547"/>
      <c r="L230" s="548"/>
      <c r="M230" s="363"/>
      <c r="N230" s="363"/>
      <c r="P230" s="1196"/>
      <c r="Q230" s="411"/>
      <c r="R230" s="412"/>
      <c r="S230" s="413"/>
      <c r="T230" s="414"/>
      <c r="U230" s="415"/>
      <c r="V230" s="414"/>
      <c r="W230" s="415"/>
      <c r="X230" s="414"/>
      <c r="Y230" s="415"/>
      <c r="Z230" s="414"/>
      <c r="AA230" s="415"/>
      <c r="AB230" s="414"/>
      <c r="AC230" s="417"/>
      <c r="AE230" s="1196"/>
      <c r="AF230" s="411"/>
      <c r="AG230" s="412"/>
      <c r="AH230" s="413"/>
      <c r="AI230" s="414"/>
      <c r="AJ230" s="415"/>
      <c r="AK230" s="414"/>
      <c r="AL230" s="415"/>
      <c r="AM230" s="414"/>
      <c r="AN230" s="415"/>
      <c r="AO230" s="414"/>
      <c r="AP230" s="415"/>
      <c r="AQ230" s="414"/>
      <c r="AR230" s="417"/>
    </row>
    <row r="231" spans="1:44" outlineLevel="1">
      <c r="B231" s="541"/>
      <c r="C231" s="544"/>
      <c r="D231" s="544"/>
      <c r="E231" s="544"/>
      <c r="F231" s="544"/>
      <c r="G231" s="549"/>
      <c r="H231" s="549"/>
      <c r="I231" s="549"/>
      <c r="J231" s="549"/>
      <c r="K231" s="550"/>
      <c r="L231" s="548"/>
      <c r="M231" s="363"/>
      <c r="N231" s="363"/>
    </row>
    <row r="232" spans="1:44" outlineLevel="1">
      <c r="B232" s="541"/>
      <c r="C232" s="544"/>
      <c r="D232" s="544"/>
      <c r="E232" s="544"/>
      <c r="F232" s="544"/>
      <c r="G232" s="549"/>
      <c r="H232" s="549"/>
      <c r="I232" s="549"/>
      <c r="J232" s="549"/>
      <c r="K232" s="550"/>
      <c r="L232" s="548"/>
      <c r="M232" s="420"/>
      <c r="N232" s="363"/>
    </row>
    <row r="233" spans="1:44" outlineLevel="1">
      <c r="B233" s="421"/>
      <c r="C233" s="399"/>
      <c r="D233" s="399"/>
      <c r="E233" s="399"/>
      <c r="F233" s="399"/>
      <c r="G233" s="422"/>
      <c r="H233" s="422"/>
      <c r="I233" s="422"/>
      <c r="J233" s="422"/>
      <c r="K233" s="423"/>
      <c r="L233" s="424"/>
      <c r="M233" s="420"/>
      <c r="N233" s="420"/>
    </row>
    <row r="234" spans="1:44" outlineLevel="1">
      <c r="B234" s="383"/>
      <c r="C234" s="397"/>
      <c r="D234" s="397"/>
      <c r="E234" s="397"/>
      <c r="F234" s="397"/>
      <c r="G234" s="422"/>
      <c r="H234" s="425"/>
      <c r="I234" s="425"/>
      <c r="J234" s="425"/>
      <c r="K234" s="426"/>
      <c r="L234" s="427"/>
      <c r="M234" s="428"/>
      <c r="N234" s="428"/>
    </row>
    <row r="235" spans="1:44" outlineLevel="1">
      <c r="B235" s="383"/>
      <c r="C235" s="397"/>
      <c r="D235" s="397"/>
      <c r="E235" s="397"/>
      <c r="F235" s="397"/>
      <c r="G235" s="425"/>
      <c r="H235" s="425"/>
      <c r="I235" s="425"/>
      <c r="J235" s="425"/>
      <c r="K235" s="423"/>
      <c r="L235" s="427"/>
      <c r="M235" s="428"/>
      <c r="N235" s="428"/>
    </row>
    <row r="236" spans="1:44" outlineLevel="1">
      <c r="B236" s="383"/>
      <c r="C236" s="397"/>
      <c r="D236" s="397"/>
      <c r="E236" s="397"/>
      <c r="F236" s="397"/>
      <c r="G236" s="425"/>
      <c r="H236" s="425"/>
      <c r="I236" s="425"/>
      <c r="J236" s="425"/>
      <c r="K236" s="423"/>
      <c r="L236" s="427"/>
      <c r="M236" s="428"/>
      <c r="N236" s="428"/>
    </row>
    <row r="237" spans="1:44" outlineLevel="1">
      <c r="B237" s="383"/>
      <c r="C237" s="397"/>
      <c r="D237" s="397"/>
      <c r="E237" s="397"/>
      <c r="F237" s="397"/>
      <c r="G237" s="425"/>
      <c r="H237" s="425"/>
      <c r="I237" s="425"/>
      <c r="J237" s="425"/>
      <c r="K237" s="423"/>
      <c r="L237" s="427"/>
      <c r="M237" s="428"/>
      <c r="N237" s="428"/>
    </row>
    <row r="238" spans="1:44" ht="16" outlineLevel="1" thickBot="1">
      <c r="B238" s="429"/>
      <c r="C238" s="430"/>
      <c r="D238" s="430"/>
      <c r="E238" s="430"/>
      <c r="F238" s="430"/>
      <c r="G238" s="425"/>
      <c r="H238" s="425"/>
      <c r="I238" s="425"/>
      <c r="J238" s="425"/>
      <c r="K238" s="423"/>
      <c r="L238" s="427"/>
      <c r="M238" s="428"/>
      <c r="N238" s="428"/>
    </row>
    <row r="239" spans="1:44" ht="16" outlineLevel="1" thickBot="1">
      <c r="B239" s="431"/>
      <c r="C239" s="432"/>
      <c r="D239" s="403"/>
      <c r="E239" s="403"/>
      <c r="F239" s="433"/>
      <c r="G239" s="434"/>
      <c r="H239" s="406"/>
      <c r="I239" s="406"/>
      <c r="J239" s="406"/>
      <c r="K239" s="407"/>
      <c r="L239" s="408"/>
      <c r="M239" s="428"/>
      <c r="N239" s="428"/>
    </row>
    <row r="240" spans="1:44" outlineLevel="1">
      <c r="A240" s="435"/>
      <c r="B240" s="436"/>
      <c r="C240" s="551"/>
      <c r="D240" s="512"/>
      <c r="E240" s="512"/>
      <c r="F240" s="513"/>
      <c r="G240" s="425"/>
      <c r="H240" s="425"/>
      <c r="I240" s="425"/>
      <c r="J240" s="425"/>
      <c r="K240" s="426"/>
      <c r="L240" s="440"/>
      <c r="M240" s="420"/>
      <c r="N240" s="420"/>
    </row>
    <row r="241" spans="2:30" outlineLevel="1">
      <c r="B241" s="441"/>
      <c r="C241" s="443"/>
      <c r="D241" s="442"/>
      <c r="E241" s="442"/>
      <c r="F241" s="442"/>
      <c r="G241" s="425"/>
      <c r="H241" s="425"/>
      <c r="I241" s="425"/>
      <c r="J241" s="425"/>
      <c r="K241" s="444"/>
      <c r="L241" s="373"/>
      <c r="M241" s="71"/>
      <c r="N241" s="420"/>
    </row>
    <row r="242" spans="2:30" outlineLevel="1">
      <c r="B242" s="441"/>
      <c r="C242" s="443"/>
      <c r="D242" s="443"/>
      <c r="E242" s="443"/>
      <c r="F242" s="443"/>
      <c r="G242" s="425"/>
      <c r="H242" s="425"/>
      <c r="I242" s="425"/>
      <c r="J242" s="425"/>
      <c r="K242" s="444"/>
      <c r="L242" s="373"/>
      <c r="M242" s="420"/>
      <c r="N242" s="420"/>
    </row>
    <row r="243" spans="2:30" outlineLevel="1">
      <c r="B243" s="383"/>
      <c r="C243" s="445"/>
      <c r="D243" s="446"/>
      <c r="E243" s="446"/>
      <c r="F243" s="447"/>
      <c r="G243" s="425"/>
      <c r="H243" s="425"/>
      <c r="I243" s="425"/>
      <c r="J243" s="425"/>
      <c r="K243" s="448"/>
      <c r="L243" s="373"/>
      <c r="M243" s="420"/>
      <c r="N243" s="420"/>
    </row>
    <row r="244" spans="2:30" outlineLevel="1">
      <c r="B244" s="383"/>
      <c r="C244" s="449"/>
      <c r="D244" s="449"/>
      <c r="E244" s="449"/>
      <c r="F244" s="449"/>
      <c r="G244" s="425"/>
      <c r="H244" s="425"/>
      <c r="I244" s="425"/>
      <c r="J244" s="425"/>
      <c r="K244" s="448"/>
      <c r="L244" s="373"/>
      <c r="M244" s="450"/>
      <c r="N244" s="361"/>
      <c r="P244" s="1142"/>
      <c r="Q244" s="1143"/>
      <c r="R244" s="1143"/>
      <c r="S244" s="1143"/>
      <c r="T244" s="1143"/>
      <c r="U244" s="1144"/>
    </row>
    <row r="245" spans="2:30" ht="16" outlineLevel="1" thickBot="1">
      <c r="B245" s="541"/>
      <c r="C245" s="552"/>
      <c r="D245" s="552"/>
      <c r="E245" s="552"/>
      <c r="F245" s="552"/>
      <c r="G245" s="425"/>
      <c r="H245" s="425"/>
      <c r="I245" s="425"/>
      <c r="J245" s="425"/>
      <c r="K245" s="444"/>
      <c r="L245" s="373"/>
      <c r="M245" s="450"/>
      <c r="N245" s="361"/>
      <c r="P245" s="1134"/>
      <c r="Q245" s="1135"/>
      <c r="R245" s="1135"/>
      <c r="S245" s="1135"/>
      <c r="T245" s="1135"/>
      <c r="U245" s="1136"/>
    </row>
    <row r="246" spans="2:30" outlineLevel="1">
      <c r="B246" s="541"/>
      <c r="C246" s="554"/>
      <c r="D246" s="554"/>
      <c r="E246" s="554"/>
      <c r="F246" s="554"/>
      <c r="G246" s="425"/>
      <c r="H246" s="425"/>
      <c r="I246" s="425"/>
      <c r="J246" s="425"/>
      <c r="K246" s="448"/>
      <c r="L246" s="373"/>
      <c r="M246" s="363"/>
      <c r="N246" s="363"/>
      <c r="P246" s="53"/>
    </row>
    <row r="247" spans="2:30" outlineLevel="1">
      <c r="B247" s="441"/>
      <c r="C247" s="518"/>
      <c r="D247" s="518"/>
      <c r="E247" s="518"/>
      <c r="F247" s="518"/>
      <c r="G247" s="425"/>
      <c r="H247" s="425"/>
      <c r="I247" s="425"/>
      <c r="J247" s="425"/>
      <c r="K247" s="444"/>
      <c r="L247" s="424"/>
      <c r="M247" s="367"/>
      <c r="N247" s="367"/>
      <c r="P247" s="46"/>
      <c r="Q247" s="46"/>
      <c r="R247" s="47"/>
      <c r="S247" s="47"/>
      <c r="T247" s="47"/>
      <c r="U247" s="48"/>
      <c r="V247" s="49"/>
      <c r="W247" s="49"/>
      <c r="X247" s="49"/>
      <c r="Y247" s="49"/>
      <c r="Z247" s="49"/>
      <c r="AA247" s="49"/>
      <c r="AB247" s="49"/>
      <c r="AC247" s="49"/>
      <c r="AD247" s="49"/>
    </row>
    <row r="248" spans="2:30" ht="16" outlineLevel="1" thickBot="1">
      <c r="B248" s="519"/>
      <c r="C248" s="442"/>
      <c r="D248" s="520"/>
      <c r="E248" s="520"/>
      <c r="F248" s="521"/>
      <c r="G248" s="425"/>
      <c r="H248" s="425"/>
      <c r="I248" s="425"/>
      <c r="J248" s="425"/>
      <c r="K248" s="448"/>
      <c r="L248" s="424"/>
      <c r="M248" s="363"/>
      <c r="N248" s="363"/>
      <c r="P248" s="50"/>
      <c r="Q248" s="50"/>
      <c r="R248" s="51"/>
      <c r="S248" s="51"/>
      <c r="T248" s="51"/>
      <c r="U248" s="51"/>
      <c r="V248" s="50"/>
      <c r="W248" s="50"/>
      <c r="X248" s="50"/>
      <c r="Y248" s="50"/>
      <c r="Z248" s="50"/>
      <c r="AA248" s="50"/>
      <c r="AB248" s="50"/>
      <c r="AC248" s="50"/>
      <c r="AD248" s="50"/>
    </row>
    <row r="249" spans="2:30" ht="16" outlineLevel="1" thickBot="1">
      <c r="B249" s="401"/>
      <c r="C249" s="402"/>
      <c r="D249" s="403"/>
      <c r="E249" s="404"/>
      <c r="F249" s="405"/>
      <c r="G249" s="406"/>
      <c r="H249" s="406"/>
      <c r="I249" s="406"/>
      <c r="J249" s="406"/>
      <c r="K249" s="459"/>
      <c r="L249" s="460"/>
      <c r="M249" s="363"/>
      <c r="N249" s="363"/>
      <c r="O249" s="461"/>
      <c r="P249" s="56"/>
      <c r="Q249" s="56"/>
      <c r="R249" s="57"/>
      <c r="S249" s="57"/>
      <c r="T249" s="57"/>
      <c r="U249" s="56"/>
      <c r="V249" s="56"/>
      <c r="W249" s="56"/>
      <c r="X249" s="56"/>
      <c r="Y249" s="56"/>
      <c r="Z249" s="56"/>
      <c r="AA249" s="56"/>
      <c r="AB249" s="56"/>
      <c r="AC249" s="56"/>
      <c r="AD249" s="56"/>
    </row>
    <row r="250" spans="2:30" outlineLevel="1">
      <c r="B250" s="556"/>
      <c r="C250" s="557"/>
      <c r="D250" s="557"/>
      <c r="E250" s="557"/>
      <c r="F250" s="557"/>
      <c r="G250" s="558"/>
      <c r="H250" s="558"/>
      <c r="I250" s="558"/>
      <c r="J250" s="558"/>
      <c r="K250" s="558"/>
      <c r="L250" s="559"/>
      <c r="M250" s="363"/>
      <c r="N250" s="363"/>
      <c r="O250" s="465"/>
      <c r="P250" s="466"/>
      <c r="Q250" s="58"/>
      <c r="R250" s="466"/>
      <c r="S250" s="58"/>
      <c r="T250" s="466"/>
      <c r="U250" s="467"/>
      <c r="V250" s="467"/>
      <c r="W250" s="467"/>
      <c r="X250" s="58"/>
      <c r="Y250" s="58"/>
      <c r="Z250" s="466"/>
      <c r="AA250" s="468"/>
      <c r="AB250" s="468"/>
      <c r="AC250" s="468"/>
      <c r="AD250" s="468"/>
    </row>
    <row r="251" spans="2:30" outlineLevel="1">
      <c r="B251" s="541"/>
      <c r="C251" s="560"/>
      <c r="D251" s="561"/>
      <c r="E251" s="561"/>
      <c r="F251" s="562"/>
      <c r="G251" s="562"/>
      <c r="H251" s="562"/>
      <c r="I251" s="562"/>
      <c r="J251" s="562"/>
      <c r="K251" s="563"/>
      <c r="L251" s="559"/>
      <c r="M251" s="363"/>
      <c r="N251" s="363"/>
      <c r="O251" s="465"/>
      <c r="P251" s="466"/>
      <c r="Q251" s="58"/>
      <c r="R251" s="466"/>
      <c r="S251" s="58"/>
      <c r="T251" s="466"/>
      <c r="U251" s="467"/>
      <c r="V251" s="467"/>
      <c r="W251" s="467"/>
      <c r="X251" s="58"/>
      <c r="Y251" s="58"/>
      <c r="Z251" s="466"/>
      <c r="AA251" s="468"/>
      <c r="AB251" s="468"/>
      <c r="AC251" s="468"/>
      <c r="AD251" s="468"/>
    </row>
    <row r="252" spans="2:30" outlineLevel="1">
      <c r="B252" s="541"/>
      <c r="C252" s="560"/>
      <c r="D252" s="561"/>
      <c r="E252" s="561"/>
      <c r="F252" s="562"/>
      <c r="G252" s="562"/>
      <c r="H252" s="562"/>
      <c r="I252" s="562"/>
      <c r="J252" s="562"/>
      <c r="K252" s="563"/>
      <c r="L252" s="559"/>
      <c r="M252" s="363"/>
      <c r="N252" s="363"/>
      <c r="O252" s="465"/>
      <c r="P252" s="466"/>
      <c r="Q252" s="58"/>
      <c r="R252" s="466"/>
      <c r="S252" s="58"/>
      <c r="T252" s="466"/>
      <c r="U252" s="467"/>
      <c r="V252" s="467"/>
      <c r="W252" s="467"/>
      <c r="X252" s="58"/>
      <c r="Y252" s="58"/>
      <c r="Z252" s="466"/>
      <c r="AA252" s="468"/>
      <c r="AB252" s="468"/>
      <c r="AC252" s="468"/>
      <c r="AD252" s="468"/>
    </row>
    <row r="253" spans="2:30" outlineLevel="1">
      <c r="B253" s="541"/>
      <c r="C253" s="564"/>
      <c r="D253" s="564"/>
      <c r="E253" s="564"/>
      <c r="F253" s="564"/>
      <c r="G253" s="565"/>
      <c r="H253" s="565"/>
      <c r="I253" s="565"/>
      <c r="J253" s="565"/>
      <c r="K253" s="565"/>
      <c r="L253" s="548"/>
      <c r="M253" s="363"/>
      <c r="N253" s="363"/>
      <c r="O253" s="465"/>
      <c r="P253" s="466"/>
      <c r="Q253" s="58"/>
      <c r="R253" s="466"/>
      <c r="S253" s="58"/>
      <c r="T253" s="466"/>
      <c r="U253" s="467"/>
      <c r="V253" s="467"/>
      <c r="W253" s="467"/>
      <c r="X253" s="58"/>
      <c r="Y253" s="58"/>
      <c r="Z253" s="466"/>
      <c r="AA253" s="468"/>
      <c r="AB253" s="468"/>
      <c r="AC253" s="468"/>
      <c r="AD253" s="468"/>
    </row>
    <row r="254" spans="2:30" outlineLevel="1">
      <c r="B254" s="566"/>
      <c r="C254" s="560"/>
      <c r="D254" s="561"/>
      <c r="E254" s="561"/>
      <c r="F254" s="562"/>
      <c r="G254" s="562"/>
      <c r="H254" s="562"/>
      <c r="I254" s="562"/>
      <c r="J254" s="562"/>
      <c r="K254" s="563"/>
      <c r="L254" s="559"/>
      <c r="M254" s="367"/>
      <c r="N254" s="367"/>
    </row>
    <row r="255" spans="2:30" outlineLevel="1">
      <c r="B255" s="566"/>
      <c r="C255" s="560"/>
      <c r="D255" s="561"/>
      <c r="E255" s="561"/>
      <c r="F255" s="562"/>
      <c r="G255" s="562"/>
      <c r="H255" s="562"/>
      <c r="I255" s="562"/>
      <c r="J255" s="562"/>
      <c r="K255" s="563"/>
      <c r="L255" s="559"/>
      <c r="M255" s="363"/>
      <c r="N255" s="363"/>
    </row>
    <row r="256" spans="2:30" ht="16" outlineLevel="1" thickBot="1">
      <c r="B256" s="567"/>
      <c r="C256" s="568"/>
      <c r="D256" s="568"/>
      <c r="E256" s="568"/>
      <c r="F256" s="568"/>
      <c r="G256" s="568"/>
      <c r="H256" s="568"/>
      <c r="I256" s="568"/>
      <c r="J256" s="568"/>
      <c r="K256" s="568"/>
      <c r="L256" s="569"/>
      <c r="M256" s="363"/>
      <c r="N256" s="363"/>
    </row>
    <row r="257" spans="1:15" outlineLevel="1">
      <c r="B257" s="461"/>
      <c r="C257" s="483"/>
      <c r="D257" s="483"/>
      <c r="E257" s="483"/>
      <c r="F257" s="483"/>
      <c r="G257" s="483"/>
      <c r="H257" s="484"/>
      <c r="I257" s="420"/>
      <c r="J257" s="420"/>
      <c r="K257" s="484"/>
      <c r="L257" s="484"/>
      <c r="N257" s="420"/>
    </row>
    <row r="258" spans="1:15" outlineLevel="1">
      <c r="B258" s="485"/>
      <c r="C258" s="486"/>
      <c r="D258" s="486"/>
      <c r="E258" s="486"/>
      <c r="F258" s="486"/>
      <c r="G258" s="486"/>
      <c r="H258" s="484"/>
      <c r="I258" s="71"/>
      <c r="J258" s="420"/>
      <c r="K258" s="484"/>
      <c r="L258" s="484"/>
      <c r="N258" s="420"/>
    </row>
    <row r="259" spans="1:15" outlineLevel="1">
      <c r="B259" s="461"/>
      <c r="C259" s="359"/>
      <c r="D259" s="359"/>
      <c r="E259" s="359"/>
      <c r="F259" s="359"/>
      <c r="G259" s="359"/>
      <c r="I259" s="420"/>
      <c r="J259" s="420"/>
      <c r="N259" s="420"/>
    </row>
    <row r="260" spans="1:15" outlineLevel="1">
      <c r="B260" s="461"/>
      <c r="C260" s="487"/>
      <c r="D260" s="487"/>
      <c r="E260" s="487"/>
      <c r="F260" s="487"/>
      <c r="G260" s="359"/>
      <c r="M260" s="420"/>
      <c r="N260" s="420"/>
    </row>
    <row r="261" spans="1:15" outlineLevel="1"/>
    <row r="262" spans="1:15" outlineLevel="1">
      <c r="A262" s="488"/>
      <c r="B262" s="489"/>
      <c r="D262" s="490"/>
      <c r="E262" s="490"/>
      <c r="F262" s="490"/>
      <c r="G262" s="358"/>
      <c r="H262" s="358"/>
      <c r="I262" s="358"/>
      <c r="J262" s="358"/>
      <c r="K262" s="358"/>
      <c r="L262" s="358"/>
    </row>
    <row r="263" spans="1:15" outlineLevel="1">
      <c r="A263" s="491"/>
      <c r="B263" s="492"/>
      <c r="D263" s="490"/>
      <c r="E263" s="490"/>
      <c r="F263" s="490"/>
      <c r="G263" s="358"/>
      <c r="H263" s="358"/>
      <c r="I263" s="358"/>
      <c r="J263" s="358"/>
      <c r="K263" s="358"/>
      <c r="L263" s="358"/>
    </row>
    <row r="264" spans="1:15" outlineLevel="1">
      <c r="A264" s="491"/>
      <c r="B264" s="493"/>
      <c r="D264" s="490"/>
      <c r="E264" s="490"/>
      <c r="F264" s="490"/>
      <c r="G264" s="358"/>
      <c r="H264" s="358"/>
      <c r="I264" s="358"/>
      <c r="J264" s="358"/>
      <c r="K264" s="358"/>
      <c r="L264" s="358"/>
    </row>
    <row r="265" spans="1:15" outlineLevel="1">
      <c r="A265" s="491"/>
      <c r="B265" s="493"/>
      <c r="D265" s="490"/>
      <c r="E265" s="490"/>
      <c r="F265" s="490"/>
      <c r="G265" s="358"/>
      <c r="H265" s="358"/>
      <c r="I265" s="358"/>
      <c r="J265" s="358"/>
      <c r="K265" s="358"/>
      <c r="L265" s="358"/>
    </row>
    <row r="266" spans="1:15" outlineLevel="1">
      <c r="A266" s="491"/>
      <c r="B266" s="493"/>
      <c r="D266" s="490"/>
      <c r="E266" s="490"/>
      <c r="F266" s="490"/>
      <c r="G266" s="358"/>
      <c r="H266" s="358"/>
      <c r="I266" s="358"/>
      <c r="J266" s="358"/>
      <c r="K266" s="358"/>
      <c r="L266" s="358"/>
    </row>
    <row r="267" spans="1:15" outlineLevel="1">
      <c r="A267" s="358"/>
      <c r="B267" s="494"/>
      <c r="D267" s="490"/>
      <c r="E267" s="490"/>
      <c r="F267" s="490"/>
      <c r="G267" s="358"/>
      <c r="H267" s="358"/>
      <c r="I267" s="358"/>
      <c r="J267" s="358"/>
      <c r="K267" s="358"/>
      <c r="L267" s="358"/>
      <c r="M267" s="570"/>
      <c r="N267" s="489"/>
      <c r="O267" s="490"/>
    </row>
    <row r="268" spans="1:15" outlineLevel="1">
      <c r="A268" s="358"/>
      <c r="B268" s="492"/>
      <c r="D268" s="490"/>
      <c r="E268" s="490"/>
      <c r="F268" s="490"/>
      <c r="G268" s="358"/>
      <c r="H268" s="358"/>
      <c r="I268" s="358"/>
      <c r="J268" s="358"/>
      <c r="K268" s="358"/>
      <c r="L268" s="358"/>
      <c r="O268" s="490"/>
    </row>
    <row r="269" spans="1:15" outlineLevel="1">
      <c r="A269" s="358"/>
      <c r="B269" s="495"/>
      <c r="D269" s="490"/>
      <c r="E269" s="490"/>
      <c r="F269" s="490"/>
      <c r="G269" s="358"/>
      <c r="H269" s="358"/>
      <c r="I269" s="358"/>
      <c r="J269" s="358"/>
      <c r="K269" s="358"/>
      <c r="L269" s="358"/>
      <c r="O269" s="490"/>
    </row>
    <row r="270" spans="1:15" outlineLevel="1">
      <c r="A270" s="358"/>
      <c r="B270" s="495"/>
      <c r="D270" s="490"/>
      <c r="E270" s="490"/>
      <c r="F270" s="490"/>
      <c r="G270" s="358"/>
      <c r="H270" s="358"/>
      <c r="I270" s="358"/>
      <c r="J270" s="358"/>
      <c r="K270" s="358"/>
      <c r="L270" s="358"/>
      <c r="O270" s="490"/>
    </row>
    <row r="271" spans="1:15" outlineLevel="1">
      <c r="A271" s="358"/>
      <c r="B271" s="489"/>
      <c r="D271" s="490"/>
      <c r="E271" s="490"/>
      <c r="F271" s="490"/>
      <c r="G271" s="358"/>
      <c r="H271" s="358"/>
      <c r="I271" s="358"/>
      <c r="J271" s="358"/>
      <c r="K271" s="358"/>
      <c r="L271" s="358"/>
      <c r="O271" s="490"/>
    </row>
    <row r="272" spans="1:15" outlineLevel="1">
      <c r="A272" s="358"/>
      <c r="B272" s="490"/>
      <c r="D272" s="490"/>
      <c r="E272" s="490"/>
      <c r="F272" s="490"/>
      <c r="G272" s="358"/>
      <c r="H272" s="358"/>
      <c r="I272" s="358"/>
      <c r="J272" s="358"/>
      <c r="K272" s="358"/>
      <c r="L272" s="358"/>
      <c r="O272" s="490"/>
    </row>
    <row r="273" spans="1:44" outlineLevel="1">
      <c r="A273" s="488"/>
      <c r="B273" s="489"/>
      <c r="D273" s="490"/>
      <c r="E273" s="490"/>
      <c r="F273" s="490"/>
      <c r="G273" s="358"/>
      <c r="H273" s="358"/>
      <c r="I273" s="358"/>
      <c r="J273" s="358"/>
      <c r="K273" s="358"/>
      <c r="L273" s="358"/>
      <c r="O273" s="490"/>
    </row>
    <row r="274" spans="1:44" outlineLevel="1">
      <c r="A274" s="496"/>
      <c r="B274" s="497"/>
      <c r="D274" s="490"/>
      <c r="E274" s="490"/>
      <c r="F274" s="490"/>
      <c r="G274" s="358"/>
      <c r="H274" s="358"/>
      <c r="I274" s="358"/>
      <c r="J274" s="358"/>
      <c r="K274" s="358"/>
      <c r="L274" s="358"/>
      <c r="M274" s="570"/>
      <c r="N274" s="489"/>
      <c r="O274" s="490"/>
    </row>
    <row r="275" spans="1:44" outlineLevel="1">
      <c r="A275" s="496"/>
      <c r="B275" s="489"/>
      <c r="D275" s="490"/>
      <c r="E275" s="490"/>
      <c r="F275" s="490"/>
      <c r="G275" s="358"/>
      <c r="H275" s="358"/>
      <c r="I275" s="358"/>
      <c r="J275" s="358"/>
      <c r="K275" s="358"/>
      <c r="L275" s="358"/>
      <c r="M275" s="571"/>
      <c r="N275" s="489"/>
      <c r="O275" s="490"/>
    </row>
    <row r="276" spans="1:44" outlineLevel="1">
      <c r="A276" s="496"/>
      <c r="B276" s="489"/>
      <c r="D276" s="490"/>
      <c r="E276" s="490"/>
      <c r="F276" s="490"/>
      <c r="G276" s="358"/>
      <c r="H276" s="358"/>
      <c r="I276" s="358"/>
      <c r="J276" s="358"/>
      <c r="K276" s="358"/>
      <c r="L276" s="358"/>
      <c r="M276" s="572"/>
      <c r="N276" s="489"/>
      <c r="O276" s="490"/>
    </row>
    <row r="277" spans="1:44" outlineLevel="1">
      <c r="A277" s="496"/>
      <c r="B277" s="498"/>
      <c r="D277" s="490"/>
      <c r="E277" s="490"/>
      <c r="F277" s="490"/>
      <c r="G277" s="358"/>
      <c r="H277" s="358"/>
      <c r="I277" s="358"/>
      <c r="J277" s="358"/>
      <c r="K277" s="358"/>
      <c r="L277" s="358"/>
      <c r="M277" s="573"/>
      <c r="N277" s="489"/>
      <c r="O277" s="490"/>
    </row>
    <row r="278" spans="1:44" outlineLevel="1">
      <c r="A278" s="496"/>
      <c r="B278" s="489"/>
      <c r="D278" s="490"/>
      <c r="E278" s="490"/>
      <c r="F278" s="490"/>
      <c r="G278" s="358"/>
      <c r="H278" s="358"/>
      <c r="I278" s="358"/>
      <c r="J278" s="358"/>
      <c r="K278" s="358"/>
      <c r="L278" s="358"/>
      <c r="M278" s="573"/>
      <c r="N278" s="490"/>
      <c r="O278" s="490"/>
    </row>
    <row r="279" spans="1:44" outlineLevel="1">
      <c r="A279" s="496"/>
      <c r="B279" s="489"/>
      <c r="D279" s="490"/>
      <c r="E279" s="490"/>
      <c r="F279" s="490"/>
      <c r="G279" s="358"/>
      <c r="H279" s="358"/>
      <c r="I279" s="358"/>
      <c r="J279" s="358"/>
      <c r="K279" s="358"/>
      <c r="L279" s="358"/>
      <c r="M279" s="489"/>
      <c r="N279" s="490"/>
      <c r="O279" s="490"/>
    </row>
    <row r="280" spans="1:44" outlineLevel="1"/>
    <row r="283" spans="1:44" ht="16" thickBot="1">
      <c r="A283" s="360"/>
    </row>
    <row r="284" spans="1:44" ht="20.5" customHeight="1" thickBot="1">
      <c r="B284" s="362"/>
      <c r="C284" s="1186"/>
      <c r="D284" s="1187"/>
      <c r="E284" s="1187"/>
      <c r="F284" s="1187"/>
      <c r="G284" s="1187"/>
      <c r="H284" s="1187"/>
      <c r="I284" s="1187"/>
      <c r="J284" s="1187"/>
      <c r="K284" s="1187"/>
      <c r="L284" s="1188"/>
      <c r="M284" s="363"/>
      <c r="N284" s="363"/>
      <c r="P284" s="364"/>
      <c r="Q284" s="365"/>
      <c r="R284" s="366"/>
      <c r="S284" s="1176"/>
      <c r="T284" s="1160"/>
      <c r="U284" s="1161"/>
      <c r="V284" s="1160"/>
      <c r="W284" s="1161"/>
      <c r="X284" s="1160"/>
      <c r="Y284" s="1161"/>
      <c r="Z284" s="1160"/>
      <c r="AA284" s="1161"/>
      <c r="AB284" s="1160"/>
      <c r="AC284" s="1161"/>
      <c r="AE284" s="364"/>
      <c r="AF284" s="365"/>
      <c r="AG284" s="366"/>
      <c r="AH284" s="1176"/>
      <c r="AI284" s="1160"/>
      <c r="AJ284" s="1161"/>
      <c r="AK284" s="1160"/>
      <c r="AL284" s="1161"/>
      <c r="AM284" s="1160"/>
      <c r="AN284" s="1161"/>
      <c r="AO284" s="1160"/>
      <c r="AP284" s="1161"/>
      <c r="AQ284" s="1160"/>
      <c r="AR284" s="1161"/>
    </row>
    <row r="285" spans="1:44" ht="15" customHeight="1" thickBot="1">
      <c r="B285" s="1164"/>
      <c r="C285" s="1166"/>
      <c r="D285" s="1166"/>
      <c r="E285" s="1166"/>
      <c r="F285" s="1166"/>
      <c r="G285" s="1168"/>
      <c r="H285" s="1169"/>
      <c r="I285" s="1168"/>
      <c r="J285" s="1169"/>
      <c r="K285" s="1189"/>
      <c r="L285" s="1189"/>
      <c r="M285" s="367"/>
      <c r="N285" s="367"/>
      <c r="P285" s="1180"/>
      <c r="Q285" s="368"/>
      <c r="R285" s="368"/>
      <c r="S285" s="1177"/>
      <c r="T285" s="1162"/>
      <c r="U285" s="1163"/>
      <c r="V285" s="1162"/>
      <c r="W285" s="1163"/>
      <c r="X285" s="1162"/>
      <c r="Y285" s="1163"/>
      <c r="Z285" s="1162"/>
      <c r="AA285" s="1163"/>
      <c r="AB285" s="1162"/>
      <c r="AC285" s="1163"/>
      <c r="AE285" s="1180"/>
      <c r="AF285" s="368"/>
      <c r="AG285" s="368"/>
      <c r="AH285" s="1177"/>
      <c r="AI285" s="1162"/>
      <c r="AJ285" s="1163"/>
      <c r="AK285" s="1162"/>
      <c r="AL285" s="1163"/>
      <c r="AM285" s="1162"/>
      <c r="AN285" s="1163"/>
      <c r="AO285" s="1162"/>
      <c r="AP285" s="1163"/>
      <c r="AQ285" s="1162"/>
      <c r="AR285" s="1163"/>
    </row>
    <row r="286" spans="1:44" ht="15" customHeight="1" thickBot="1">
      <c r="B286" s="1165"/>
      <c r="C286" s="1167"/>
      <c r="D286" s="1167"/>
      <c r="E286" s="1167"/>
      <c r="F286" s="1167"/>
      <c r="G286" s="406"/>
      <c r="H286" s="406"/>
      <c r="I286" s="406"/>
      <c r="J286" s="406"/>
      <c r="K286" s="1190"/>
      <c r="L286" s="1190"/>
      <c r="M286" s="370"/>
      <c r="N286" s="370"/>
      <c r="P286" s="1181"/>
      <c r="Q286" s="1183"/>
      <c r="R286" s="1184"/>
      <c r="S286" s="1178"/>
      <c r="T286" s="1162"/>
      <c r="U286" s="1163"/>
      <c r="V286" s="1162"/>
      <c r="W286" s="1163"/>
      <c r="X286" s="1162"/>
      <c r="Y286" s="1163"/>
      <c r="Z286" s="1162"/>
      <c r="AA286" s="1163"/>
      <c r="AB286" s="1162"/>
      <c r="AC286" s="1163"/>
      <c r="AE286" s="1181"/>
      <c r="AF286" s="1183"/>
      <c r="AG286" s="1184"/>
      <c r="AH286" s="1178"/>
      <c r="AI286" s="1162"/>
      <c r="AJ286" s="1163"/>
      <c r="AK286" s="1162"/>
      <c r="AL286" s="1163"/>
      <c r="AM286" s="1162"/>
      <c r="AN286" s="1163"/>
      <c r="AO286" s="1162"/>
      <c r="AP286" s="1163"/>
      <c r="AQ286" s="1162"/>
      <c r="AR286" s="1163"/>
    </row>
    <row r="287" spans="1:44" ht="16" thickBot="1">
      <c r="B287" s="371"/>
      <c r="C287" s="372"/>
      <c r="D287" s="372"/>
      <c r="E287" s="372"/>
      <c r="F287" s="372"/>
      <c r="G287" s="372"/>
      <c r="H287" s="372"/>
      <c r="I287" s="372"/>
      <c r="J287" s="372"/>
      <c r="K287" s="372"/>
      <c r="L287" s="373"/>
      <c r="M287" s="370"/>
      <c r="N287" s="370"/>
      <c r="O287" s="74"/>
      <c r="P287" s="1182"/>
      <c r="Q287" s="1179"/>
      <c r="R287" s="1185"/>
      <c r="S287" s="1179"/>
      <c r="T287" s="374"/>
      <c r="U287" s="375"/>
      <c r="V287" s="374"/>
      <c r="W287" s="375"/>
      <c r="X287" s="374"/>
      <c r="Y287" s="375"/>
      <c r="Z287" s="374"/>
      <c r="AA287" s="375"/>
      <c r="AB287" s="374"/>
      <c r="AC287" s="375"/>
      <c r="AE287" s="1182"/>
      <c r="AF287" s="1179"/>
      <c r="AG287" s="1185"/>
      <c r="AH287" s="1179"/>
      <c r="AI287" s="374"/>
      <c r="AJ287" s="375"/>
      <c r="AK287" s="374"/>
      <c r="AL287" s="375"/>
      <c r="AM287" s="374"/>
      <c r="AN287" s="375"/>
      <c r="AO287" s="374"/>
      <c r="AP287" s="375"/>
      <c r="AQ287" s="374"/>
      <c r="AR287" s="375"/>
    </row>
    <row r="288" spans="1:44" ht="14.5" customHeight="1">
      <c r="B288" s="574"/>
      <c r="C288" s="575"/>
      <c r="D288" s="575"/>
      <c r="E288" s="575"/>
      <c r="F288" s="575"/>
      <c r="G288" s="576"/>
      <c r="H288" s="576"/>
      <c r="I288" s="576"/>
      <c r="J288" s="576"/>
      <c r="K288" s="372"/>
      <c r="L288" s="373"/>
      <c r="M288" s="370"/>
      <c r="N288" s="370"/>
      <c r="P288" s="1148"/>
      <c r="Q288" s="1154"/>
      <c r="R288" s="381"/>
      <c r="S288" s="382"/>
      <c r="T288" s="1137"/>
      <c r="U288" s="1151"/>
      <c r="V288" s="1137"/>
      <c r="W288" s="1151"/>
      <c r="X288" s="1137"/>
      <c r="Y288" s="1151"/>
      <c r="Z288" s="1137"/>
      <c r="AA288" s="1151"/>
      <c r="AB288" s="1157"/>
      <c r="AC288" s="1151"/>
      <c r="AE288" s="1148"/>
      <c r="AF288" s="1154"/>
      <c r="AG288" s="381"/>
      <c r="AH288" s="382"/>
      <c r="AI288" s="1137"/>
      <c r="AJ288" s="1151"/>
      <c r="AK288" s="1137"/>
      <c r="AL288" s="1151"/>
      <c r="AM288" s="1137"/>
      <c r="AN288" s="1151"/>
      <c r="AO288" s="1137"/>
      <c r="AP288" s="1151"/>
      <c r="AQ288" s="1157"/>
      <c r="AR288" s="1151"/>
    </row>
    <row r="289" spans="2:44">
      <c r="B289" s="383"/>
      <c r="C289" s="577"/>
      <c r="D289" s="577"/>
      <c r="E289" s="577"/>
      <c r="F289" s="577"/>
      <c r="G289" s="576"/>
      <c r="H289" s="576"/>
      <c r="I289" s="576"/>
      <c r="J289" s="576"/>
      <c r="K289" s="372"/>
      <c r="L289" s="373"/>
      <c r="M289" s="370"/>
      <c r="N289" s="370"/>
      <c r="O289" s="71"/>
      <c r="P289" s="1149"/>
      <c r="Q289" s="1155"/>
      <c r="R289" s="388"/>
      <c r="S289" s="389"/>
      <c r="T289" s="1140"/>
      <c r="U289" s="1152"/>
      <c r="V289" s="1140"/>
      <c r="W289" s="1152"/>
      <c r="X289" s="1140"/>
      <c r="Y289" s="1152"/>
      <c r="Z289" s="1140"/>
      <c r="AA289" s="1152"/>
      <c r="AB289" s="1158"/>
      <c r="AC289" s="1152"/>
      <c r="AE289" s="1149"/>
      <c r="AF289" s="1155"/>
      <c r="AG289" s="388"/>
      <c r="AH289" s="389"/>
      <c r="AI289" s="1140"/>
      <c r="AJ289" s="1152"/>
      <c r="AK289" s="1140"/>
      <c r="AL289" s="1152"/>
      <c r="AM289" s="1140"/>
      <c r="AN289" s="1152"/>
      <c r="AO289" s="1140"/>
      <c r="AP289" s="1152"/>
      <c r="AQ289" s="1158"/>
      <c r="AR289" s="1152"/>
    </row>
    <row r="290" spans="2:44" ht="16" thickBot="1">
      <c r="B290" s="574"/>
      <c r="C290" s="578"/>
      <c r="D290" s="578"/>
      <c r="E290" s="578"/>
      <c r="F290" s="578"/>
      <c r="G290" s="578"/>
      <c r="H290" s="578"/>
      <c r="I290" s="578"/>
      <c r="J290" s="578"/>
      <c r="K290" s="579"/>
      <c r="L290" s="580"/>
      <c r="M290" s="370"/>
      <c r="N290" s="370"/>
      <c r="O290" s="71"/>
      <c r="P290" s="1149"/>
      <c r="Q290" s="1156"/>
      <c r="R290" s="393"/>
      <c r="S290" s="394"/>
      <c r="T290" s="1141"/>
      <c r="U290" s="1153"/>
      <c r="V290" s="1141"/>
      <c r="W290" s="1153"/>
      <c r="X290" s="1141"/>
      <c r="Y290" s="1153"/>
      <c r="Z290" s="1141"/>
      <c r="AA290" s="1153"/>
      <c r="AB290" s="1159"/>
      <c r="AC290" s="1153"/>
      <c r="AE290" s="1149"/>
      <c r="AF290" s="1156"/>
      <c r="AG290" s="393"/>
      <c r="AH290" s="394"/>
      <c r="AI290" s="1141"/>
      <c r="AJ290" s="1153"/>
      <c r="AK290" s="1141"/>
      <c r="AL290" s="1153"/>
      <c r="AM290" s="1141"/>
      <c r="AN290" s="1153"/>
      <c r="AO290" s="1141"/>
      <c r="AP290" s="1153"/>
      <c r="AQ290" s="1159"/>
      <c r="AR290" s="1153"/>
    </row>
    <row r="291" spans="2:44" ht="14.5" customHeight="1">
      <c r="B291" s="574"/>
      <c r="C291" s="581"/>
      <c r="D291" s="581"/>
      <c r="E291" s="581"/>
      <c r="F291" s="581"/>
      <c r="G291" s="581"/>
      <c r="H291" s="581"/>
      <c r="I291" s="581"/>
      <c r="J291" s="581"/>
      <c r="K291" s="579"/>
      <c r="L291" s="580"/>
      <c r="M291" s="370"/>
      <c r="N291" s="370"/>
      <c r="O291" s="71"/>
      <c r="P291" s="1149"/>
      <c r="Q291" s="1145"/>
      <c r="R291" s="395"/>
      <c r="S291" s="396"/>
      <c r="T291" s="1137"/>
      <c r="U291" s="1137"/>
      <c r="V291" s="1137"/>
      <c r="W291" s="1137"/>
      <c r="X291" s="1137"/>
      <c r="Y291" s="1137"/>
      <c r="Z291" s="1137"/>
      <c r="AA291" s="1137"/>
      <c r="AB291" s="1137"/>
      <c r="AC291" s="1137"/>
      <c r="AE291" s="1149"/>
      <c r="AF291" s="1145"/>
      <c r="AG291" s="395"/>
      <c r="AH291" s="396"/>
      <c r="AI291" s="1137"/>
      <c r="AJ291" s="1137"/>
      <c r="AK291" s="1137"/>
      <c r="AL291" s="1137"/>
      <c r="AM291" s="1137"/>
      <c r="AN291" s="1137"/>
      <c r="AO291" s="1137"/>
      <c r="AP291" s="1137"/>
      <c r="AQ291" s="1137"/>
      <c r="AR291" s="1137"/>
    </row>
    <row r="292" spans="2:44">
      <c r="B292" s="574"/>
      <c r="C292" s="582"/>
      <c r="D292" s="582"/>
      <c r="E292" s="582"/>
      <c r="F292" s="582"/>
      <c r="G292" s="582"/>
      <c r="H292" s="582"/>
      <c r="I292" s="582"/>
      <c r="J292" s="582"/>
      <c r="K292" s="579"/>
      <c r="L292" s="580"/>
      <c r="M292" s="367"/>
      <c r="N292" s="367"/>
      <c r="O292" s="71"/>
      <c r="P292" s="1149"/>
      <c r="Q292" s="1146"/>
      <c r="R292" s="395"/>
      <c r="S292" s="396"/>
      <c r="T292" s="1138"/>
      <c r="U292" s="1138"/>
      <c r="V292" s="1138"/>
      <c r="W292" s="1138"/>
      <c r="X292" s="1138"/>
      <c r="Y292" s="1138"/>
      <c r="Z292" s="1138"/>
      <c r="AA292" s="1138"/>
      <c r="AB292" s="1140"/>
      <c r="AC292" s="1138"/>
      <c r="AE292" s="1149"/>
      <c r="AF292" s="1146"/>
      <c r="AG292" s="395"/>
      <c r="AH292" s="396"/>
      <c r="AI292" s="1138"/>
      <c r="AJ292" s="1138"/>
      <c r="AK292" s="1138"/>
      <c r="AL292" s="1138"/>
      <c r="AM292" s="1138"/>
      <c r="AN292" s="1138"/>
      <c r="AO292" s="1138"/>
      <c r="AP292" s="1138"/>
      <c r="AQ292" s="1140"/>
      <c r="AR292" s="1138"/>
    </row>
    <row r="293" spans="2:44">
      <c r="B293" s="383"/>
      <c r="C293" s="397"/>
      <c r="D293" s="397"/>
      <c r="E293" s="397"/>
      <c r="F293" s="397"/>
      <c r="G293" s="398"/>
      <c r="H293" s="398"/>
      <c r="I293" s="398"/>
      <c r="J293" s="398"/>
      <c r="K293" s="372"/>
      <c r="L293" s="373"/>
      <c r="M293" s="363"/>
      <c r="N293" s="363"/>
      <c r="P293" s="1149"/>
      <c r="Q293" s="1146"/>
      <c r="R293" s="395"/>
      <c r="S293" s="396"/>
      <c r="T293" s="1138"/>
      <c r="U293" s="1138"/>
      <c r="V293" s="1138"/>
      <c r="W293" s="1138"/>
      <c r="X293" s="1138"/>
      <c r="Y293" s="1138"/>
      <c r="Z293" s="1138"/>
      <c r="AA293" s="1138"/>
      <c r="AB293" s="1140"/>
      <c r="AC293" s="1138"/>
      <c r="AE293" s="1149"/>
      <c r="AF293" s="1146"/>
      <c r="AG293" s="395"/>
      <c r="AH293" s="396"/>
      <c r="AI293" s="1138"/>
      <c r="AJ293" s="1138"/>
      <c r="AK293" s="1138"/>
      <c r="AL293" s="1138"/>
      <c r="AM293" s="1138"/>
      <c r="AN293" s="1138"/>
      <c r="AO293" s="1138"/>
      <c r="AP293" s="1138"/>
      <c r="AQ293" s="1140"/>
      <c r="AR293" s="1138"/>
    </row>
    <row r="294" spans="2:44" ht="16" thickBot="1">
      <c r="B294" s="574"/>
      <c r="C294" s="582"/>
      <c r="D294" s="582"/>
      <c r="E294" s="582"/>
      <c r="F294" s="582"/>
      <c r="G294" s="582"/>
      <c r="H294" s="582"/>
      <c r="I294" s="582"/>
      <c r="J294" s="582"/>
      <c r="K294" s="372"/>
      <c r="L294" s="373"/>
      <c r="M294" s="363"/>
      <c r="N294" s="363"/>
      <c r="P294" s="1149"/>
      <c r="Q294" s="1146"/>
      <c r="R294" s="395"/>
      <c r="S294" s="396"/>
      <c r="T294" s="1138"/>
      <c r="U294" s="1138"/>
      <c r="V294" s="1138"/>
      <c r="W294" s="1138"/>
      <c r="X294" s="1138"/>
      <c r="Y294" s="1138"/>
      <c r="Z294" s="1138"/>
      <c r="AA294" s="1138"/>
      <c r="AB294" s="1140"/>
      <c r="AC294" s="1138"/>
      <c r="AE294" s="1149"/>
      <c r="AF294" s="1146"/>
      <c r="AG294" s="395"/>
      <c r="AH294" s="396"/>
      <c r="AI294" s="1138"/>
      <c r="AJ294" s="1138"/>
      <c r="AK294" s="1138"/>
      <c r="AL294" s="1138"/>
      <c r="AM294" s="1138"/>
      <c r="AN294" s="1138"/>
      <c r="AO294" s="1138"/>
      <c r="AP294" s="1138"/>
      <c r="AQ294" s="1140"/>
      <c r="AR294" s="1138"/>
    </row>
    <row r="295" spans="2:44" ht="16" thickBot="1">
      <c r="B295" s="401"/>
      <c r="C295" s="583"/>
      <c r="D295" s="584"/>
      <c r="E295" s="585"/>
      <c r="F295" s="586"/>
      <c r="G295" s="406"/>
      <c r="H295" s="406"/>
      <c r="I295" s="406"/>
      <c r="J295" s="406"/>
      <c r="K295" s="407"/>
      <c r="L295" s="587"/>
      <c r="M295" s="363"/>
      <c r="N295" s="363"/>
      <c r="P295" s="1149"/>
      <c r="Q295" s="1147"/>
      <c r="R295" s="409"/>
      <c r="S295" s="410"/>
      <c r="T295" s="1139"/>
      <c r="U295" s="1139"/>
      <c r="V295" s="1139"/>
      <c r="W295" s="1139"/>
      <c r="X295" s="1139"/>
      <c r="Y295" s="1139"/>
      <c r="Z295" s="1139"/>
      <c r="AA295" s="1139"/>
      <c r="AB295" s="1141"/>
      <c r="AC295" s="1139"/>
      <c r="AE295" s="1149"/>
      <c r="AF295" s="1147"/>
      <c r="AG295" s="409"/>
      <c r="AH295" s="410"/>
      <c r="AI295" s="1139"/>
      <c r="AJ295" s="1139"/>
      <c r="AK295" s="1139"/>
      <c r="AL295" s="1139"/>
      <c r="AM295" s="1139"/>
      <c r="AN295" s="1139"/>
      <c r="AO295" s="1139"/>
      <c r="AP295" s="1139"/>
      <c r="AQ295" s="1141"/>
      <c r="AR295" s="1139"/>
    </row>
    <row r="296" spans="2:44" ht="16" thickBot="1">
      <c r="B296" s="574"/>
      <c r="C296" s="588"/>
      <c r="D296" s="588"/>
      <c r="E296" s="588"/>
      <c r="F296" s="588"/>
      <c r="G296" s="589"/>
      <c r="H296" s="589"/>
      <c r="I296" s="590"/>
      <c r="J296" s="590"/>
      <c r="K296" s="579"/>
      <c r="L296" s="580"/>
      <c r="M296" s="363"/>
      <c r="N296" s="363"/>
      <c r="P296" s="1150"/>
      <c r="Q296" s="411"/>
      <c r="R296" s="412"/>
      <c r="S296" s="413"/>
      <c r="T296" s="591"/>
      <c r="U296" s="592"/>
      <c r="V296" s="593"/>
      <c r="W296" s="592"/>
      <c r="X296" s="593"/>
      <c r="Y296" s="592"/>
      <c r="Z296" s="593"/>
      <c r="AA296" s="592"/>
      <c r="AB296" s="593"/>
      <c r="AC296" s="594"/>
      <c r="AE296" s="1150"/>
      <c r="AF296" s="411"/>
      <c r="AG296" s="412"/>
      <c r="AH296" s="413"/>
      <c r="AI296" s="591"/>
      <c r="AJ296" s="592"/>
      <c r="AK296" s="593"/>
      <c r="AL296" s="592"/>
      <c r="AM296" s="593"/>
      <c r="AN296" s="592"/>
      <c r="AO296" s="593"/>
      <c r="AP296" s="592"/>
      <c r="AQ296" s="593"/>
      <c r="AR296" s="594"/>
    </row>
    <row r="297" spans="2:44">
      <c r="B297" s="574"/>
      <c r="C297" s="582"/>
      <c r="D297" s="582"/>
      <c r="E297" s="582"/>
      <c r="F297" s="582"/>
      <c r="G297" s="595"/>
      <c r="H297" s="595"/>
      <c r="I297" s="595"/>
      <c r="J297" s="595"/>
      <c r="K297" s="596"/>
      <c r="L297" s="580"/>
      <c r="M297" s="363"/>
      <c r="N297" s="363"/>
    </row>
    <row r="298" spans="2:44">
      <c r="B298" s="574"/>
      <c r="C298" s="582"/>
      <c r="D298" s="582"/>
      <c r="E298" s="582"/>
      <c r="F298" s="582"/>
      <c r="G298" s="595"/>
      <c r="H298" s="595"/>
      <c r="I298" s="595"/>
      <c r="J298" s="595"/>
      <c r="K298" s="596"/>
      <c r="L298" s="580"/>
      <c r="M298" s="420"/>
      <c r="N298" s="363"/>
    </row>
    <row r="299" spans="2:44">
      <c r="B299" s="421"/>
      <c r="C299" s="399"/>
      <c r="D299" s="399"/>
      <c r="E299" s="399"/>
      <c r="F299" s="399"/>
      <c r="G299" s="422"/>
      <c r="H299" s="422"/>
      <c r="I299" s="422"/>
      <c r="J299" s="422"/>
      <c r="K299" s="423"/>
      <c r="L299" s="597"/>
      <c r="M299" s="420"/>
      <c r="N299" s="420"/>
    </row>
    <row r="300" spans="2:44">
      <c r="B300" s="383"/>
      <c r="C300" s="397"/>
      <c r="D300" s="397"/>
      <c r="E300" s="397"/>
      <c r="F300" s="397"/>
      <c r="G300" s="422"/>
      <c r="H300" s="425"/>
      <c r="I300" s="425"/>
      <c r="J300" s="425"/>
      <c r="K300" s="426"/>
      <c r="L300" s="427"/>
      <c r="M300" s="428"/>
      <c r="N300" s="428"/>
    </row>
    <row r="301" spans="2:44">
      <c r="B301" s="383"/>
      <c r="C301" s="397"/>
      <c r="D301" s="397"/>
      <c r="E301" s="397"/>
      <c r="F301" s="397"/>
      <c r="G301" s="425"/>
      <c r="H301" s="425"/>
      <c r="I301" s="425"/>
      <c r="J301" s="425"/>
      <c r="K301" s="423"/>
      <c r="L301" s="427"/>
      <c r="M301" s="428"/>
      <c r="N301" s="428"/>
    </row>
    <row r="302" spans="2:44">
      <c r="B302" s="383"/>
      <c r="C302" s="397"/>
      <c r="D302" s="397"/>
      <c r="E302" s="397"/>
      <c r="F302" s="397"/>
      <c r="G302" s="425"/>
      <c r="H302" s="425"/>
      <c r="I302" s="425"/>
      <c r="J302" s="425"/>
      <c r="K302" s="423"/>
      <c r="L302" s="427"/>
      <c r="M302" s="428"/>
      <c r="N302" s="428"/>
    </row>
    <row r="303" spans="2:44">
      <c r="B303" s="383"/>
      <c r="C303" s="397"/>
      <c r="D303" s="397"/>
      <c r="E303" s="397"/>
      <c r="F303" s="397"/>
      <c r="G303" s="425"/>
      <c r="H303" s="425"/>
      <c r="I303" s="425"/>
      <c r="J303" s="425"/>
      <c r="K303" s="423"/>
      <c r="L303" s="427"/>
      <c r="M303" s="428"/>
      <c r="N303" s="428"/>
    </row>
    <row r="304" spans="2:44" ht="16" thickBot="1">
      <c r="B304" s="429"/>
      <c r="C304" s="397"/>
      <c r="D304" s="397"/>
      <c r="E304" s="397"/>
      <c r="F304" s="397"/>
      <c r="G304" s="425"/>
      <c r="H304" s="425"/>
      <c r="I304" s="425"/>
      <c r="J304" s="425"/>
      <c r="K304" s="423"/>
      <c r="L304" s="427"/>
      <c r="M304" s="428"/>
      <c r="N304" s="428"/>
    </row>
    <row r="305" spans="1:30" ht="16" thickBot="1">
      <c r="B305" s="431"/>
      <c r="C305" s="598"/>
      <c r="D305" s="584"/>
      <c r="E305" s="584"/>
      <c r="F305" s="599"/>
      <c r="G305" s="434"/>
      <c r="H305" s="406"/>
      <c r="I305" s="406"/>
      <c r="J305" s="406"/>
      <c r="K305" s="407"/>
      <c r="L305" s="587"/>
      <c r="M305" s="428"/>
      <c r="N305" s="428"/>
    </row>
    <row r="306" spans="1:30">
      <c r="A306" s="435"/>
      <c r="B306" s="436"/>
      <c r="C306" s="600"/>
      <c r="D306" s="600"/>
      <c r="E306" s="600"/>
      <c r="F306" s="600"/>
      <c r="G306" s="425"/>
      <c r="H306" s="425"/>
      <c r="I306" s="425"/>
      <c r="J306" s="425"/>
      <c r="K306" s="426"/>
      <c r="L306" s="440"/>
      <c r="M306" s="420"/>
      <c r="N306" s="420"/>
    </row>
    <row r="307" spans="1:30">
      <c r="B307" s="441"/>
      <c r="C307" s="601"/>
      <c r="D307" s="601"/>
      <c r="E307" s="601"/>
      <c r="F307" s="601"/>
      <c r="G307" s="425"/>
      <c r="H307" s="425"/>
      <c r="I307" s="425"/>
      <c r="J307" s="425"/>
      <c r="K307" s="444"/>
      <c r="L307" s="373"/>
      <c r="M307" s="71"/>
      <c r="N307" s="420"/>
    </row>
    <row r="308" spans="1:30">
      <c r="B308" s="441"/>
      <c r="C308" s="601"/>
      <c r="D308" s="601"/>
      <c r="E308" s="601"/>
      <c r="F308" s="601"/>
      <c r="G308" s="425"/>
      <c r="H308" s="425"/>
      <c r="I308" s="425"/>
      <c r="J308" s="425"/>
      <c r="K308" s="444"/>
      <c r="L308" s="373"/>
      <c r="M308" s="420"/>
      <c r="N308" s="420"/>
    </row>
    <row r="309" spans="1:30">
      <c r="B309" s="383"/>
      <c r="C309" s="602"/>
      <c r="D309" s="603"/>
      <c r="E309" s="603"/>
      <c r="F309" s="604"/>
      <c r="G309" s="425"/>
      <c r="H309" s="425"/>
      <c r="I309" s="425"/>
      <c r="J309" s="425"/>
      <c r="K309" s="444"/>
      <c r="L309" s="373"/>
      <c r="M309" s="420"/>
      <c r="N309" s="420"/>
    </row>
    <row r="310" spans="1:30">
      <c r="B310" s="383"/>
      <c r="C310" s="605"/>
      <c r="D310" s="605"/>
      <c r="E310" s="605"/>
      <c r="F310" s="605"/>
      <c r="G310" s="425"/>
      <c r="H310" s="425"/>
      <c r="I310" s="425"/>
      <c r="J310" s="425"/>
      <c r="K310" s="444"/>
      <c r="L310" s="373"/>
      <c r="M310" s="450"/>
      <c r="N310" s="361"/>
      <c r="P310" s="1142"/>
      <c r="Q310" s="1143"/>
      <c r="R310" s="1143"/>
      <c r="S310" s="1143"/>
      <c r="T310" s="1143"/>
      <c r="U310" s="1144"/>
    </row>
    <row r="311" spans="1:30" ht="16" thickBot="1">
      <c r="B311" s="541"/>
      <c r="C311" s="552"/>
      <c r="D311" s="552"/>
      <c r="E311" s="552"/>
      <c r="F311" s="552"/>
      <c r="G311" s="553"/>
      <c r="H311" s="553"/>
      <c r="I311" s="553"/>
      <c r="J311" s="553"/>
      <c r="K311" s="547"/>
      <c r="L311" s="548"/>
      <c r="M311" s="450"/>
      <c r="N311" s="361"/>
      <c r="P311" s="1134"/>
      <c r="Q311" s="1135"/>
      <c r="R311" s="1135"/>
      <c r="S311" s="1135"/>
      <c r="T311" s="1135"/>
      <c r="U311" s="1136"/>
    </row>
    <row r="312" spans="1:30">
      <c r="B312" s="541"/>
      <c r="C312" s="606"/>
      <c r="D312" s="606"/>
      <c r="E312" s="606"/>
      <c r="F312" s="606"/>
      <c r="G312" s="553"/>
      <c r="H312" s="553"/>
      <c r="I312" s="553"/>
      <c r="J312" s="553"/>
      <c r="K312" s="547"/>
      <c r="L312" s="548"/>
      <c r="M312" s="363"/>
      <c r="N312" s="363"/>
      <c r="P312" s="53"/>
    </row>
    <row r="313" spans="1:30">
      <c r="B313" s="541"/>
      <c r="C313" s="607"/>
      <c r="D313" s="547"/>
      <c r="E313" s="547"/>
      <c r="F313" s="563"/>
      <c r="G313" s="550"/>
      <c r="H313" s="550"/>
      <c r="I313" s="550"/>
      <c r="J313" s="550"/>
      <c r="K313" s="547"/>
      <c r="L313" s="608"/>
      <c r="M313" s="367"/>
      <c r="N313" s="367"/>
      <c r="P313" s="46"/>
      <c r="Q313" s="46"/>
      <c r="R313" s="47"/>
      <c r="S313" s="47"/>
      <c r="T313" s="47"/>
      <c r="U313" s="48"/>
      <c r="V313" s="49"/>
      <c r="W313" s="49"/>
      <c r="X313" s="49"/>
      <c r="Y313" s="49"/>
      <c r="Z313" s="49"/>
      <c r="AA313" s="49"/>
      <c r="AB313" s="49"/>
      <c r="AC313" s="49"/>
      <c r="AD313" s="49"/>
    </row>
    <row r="314" spans="1:30" ht="16" thickBot="1">
      <c r="B314" s="566"/>
      <c r="C314" s="607"/>
      <c r="D314" s="609"/>
      <c r="E314" s="609"/>
      <c r="F314" s="610"/>
      <c r="G314" s="550"/>
      <c r="H314" s="550"/>
      <c r="I314" s="550"/>
      <c r="J314" s="550"/>
      <c r="K314" s="547"/>
      <c r="L314" s="608"/>
      <c r="M314" s="363"/>
      <c r="N314" s="363"/>
      <c r="O314" s="71"/>
      <c r="P314" s="50"/>
      <c r="Q314" s="50"/>
      <c r="R314" s="51"/>
      <c r="S314" s="51"/>
      <c r="T314" s="51"/>
      <c r="U314" s="51"/>
      <c r="V314" s="50"/>
      <c r="W314" s="50"/>
      <c r="X314" s="50"/>
      <c r="Y314" s="50"/>
      <c r="Z314" s="50"/>
      <c r="AA314" s="50"/>
      <c r="AB314" s="50"/>
      <c r="AC314" s="50"/>
      <c r="AD314" s="50"/>
    </row>
    <row r="315" spans="1:30" ht="16" thickBot="1">
      <c r="B315" s="611"/>
      <c r="C315" s="612"/>
      <c r="D315" s="613"/>
      <c r="E315" s="614"/>
      <c r="F315" s="615"/>
      <c r="G315" s="540"/>
      <c r="H315" s="540"/>
      <c r="I315" s="540"/>
      <c r="J315" s="540"/>
      <c r="K315" s="616"/>
      <c r="L315" s="617"/>
      <c r="M315" s="363"/>
      <c r="N315" s="363"/>
      <c r="O315" s="461"/>
      <c r="P315" s="56"/>
      <c r="Q315" s="56"/>
      <c r="R315" s="57"/>
      <c r="S315" s="57"/>
      <c r="T315" s="57"/>
      <c r="U315" s="56"/>
      <c r="V315" s="56"/>
      <c r="W315" s="56"/>
      <c r="X315" s="56"/>
      <c r="Y315" s="56"/>
      <c r="Z315" s="56"/>
      <c r="AA315" s="56"/>
      <c r="AB315" s="56"/>
      <c r="AC315" s="56"/>
      <c r="AD315" s="56"/>
    </row>
    <row r="316" spans="1:30">
      <c r="B316" s="556"/>
      <c r="C316" s="618"/>
      <c r="D316" s="618"/>
      <c r="E316" s="618"/>
      <c r="F316" s="618"/>
      <c r="G316" s="618"/>
      <c r="H316" s="618"/>
      <c r="I316" s="618"/>
      <c r="J316" s="618"/>
      <c r="K316" s="618"/>
      <c r="L316" s="619"/>
      <c r="M316" s="363"/>
      <c r="N316" s="363"/>
      <c r="O316" s="620"/>
      <c r="P316" s="466"/>
      <c r="Q316" s="58"/>
      <c r="R316" s="466"/>
      <c r="S316" s="58"/>
      <c r="T316" s="466"/>
      <c r="U316" s="467"/>
      <c r="V316" s="467"/>
      <c r="W316" s="467"/>
      <c r="X316" s="58"/>
      <c r="Y316" s="58"/>
      <c r="Z316" s="466"/>
      <c r="AA316" s="468"/>
      <c r="AB316" s="468"/>
      <c r="AC316" s="468"/>
      <c r="AD316" s="468"/>
    </row>
    <row r="317" spans="1:30">
      <c r="B317" s="541"/>
      <c r="C317" s="558"/>
      <c r="D317" s="558"/>
      <c r="E317" s="558"/>
      <c r="F317" s="558"/>
      <c r="G317" s="563"/>
      <c r="H317" s="563"/>
      <c r="I317" s="563"/>
      <c r="J317" s="563"/>
      <c r="K317" s="563"/>
      <c r="L317" s="548"/>
      <c r="M317" s="363"/>
      <c r="N317" s="363"/>
      <c r="O317" s="620"/>
      <c r="P317" s="466"/>
      <c r="Q317" s="58"/>
      <c r="R317" s="466"/>
      <c r="S317" s="58"/>
      <c r="T317" s="466"/>
      <c r="U317" s="467"/>
      <c r="V317" s="467"/>
      <c r="W317" s="467"/>
      <c r="X317" s="58"/>
      <c r="Y317" s="58"/>
      <c r="Z317" s="466"/>
      <c r="AA317" s="468"/>
      <c r="AB317" s="468"/>
      <c r="AC317" s="468"/>
      <c r="AD317" s="468"/>
    </row>
    <row r="318" spans="1:30">
      <c r="B318" s="541"/>
      <c r="C318" s="558"/>
      <c r="D318" s="558"/>
      <c r="E318" s="558"/>
      <c r="F318" s="558"/>
      <c r="G318" s="563"/>
      <c r="H318" s="563"/>
      <c r="I318" s="563"/>
      <c r="J318" s="563"/>
      <c r="K318" s="563"/>
      <c r="L318" s="548"/>
      <c r="M318" s="363"/>
      <c r="N318" s="363"/>
      <c r="O318" s="620"/>
      <c r="P318" s="466"/>
      <c r="Q318" s="58"/>
      <c r="R318" s="466"/>
      <c r="S318" s="58"/>
      <c r="T318" s="466"/>
      <c r="U318" s="467"/>
      <c r="V318" s="467"/>
      <c r="W318" s="467"/>
      <c r="X318" s="58"/>
      <c r="Y318" s="58"/>
      <c r="Z318" s="466"/>
      <c r="AA318" s="468"/>
      <c r="AB318" s="468"/>
      <c r="AC318" s="468"/>
      <c r="AD318" s="468"/>
    </row>
    <row r="319" spans="1:30">
      <c r="B319" s="541"/>
      <c r="C319" s="564"/>
      <c r="D319" s="564"/>
      <c r="E319" s="564"/>
      <c r="F319" s="564"/>
      <c r="G319" s="621"/>
      <c r="H319" s="621"/>
      <c r="I319" s="621"/>
      <c r="J319" s="621"/>
      <c r="K319" s="621"/>
      <c r="L319" s="548"/>
      <c r="M319" s="363"/>
      <c r="N319" s="363"/>
      <c r="O319" s="620"/>
      <c r="P319" s="466"/>
      <c r="Q319" s="58"/>
      <c r="R319" s="466"/>
      <c r="S319" s="58"/>
      <c r="T319" s="466"/>
      <c r="U319" s="467"/>
      <c r="V319" s="467"/>
      <c r="W319" s="467"/>
      <c r="X319" s="58"/>
      <c r="Y319" s="58"/>
      <c r="Z319" s="466"/>
      <c r="AA319" s="468"/>
      <c r="AB319" s="468"/>
      <c r="AC319" s="468"/>
      <c r="AD319" s="468"/>
    </row>
    <row r="320" spans="1:30">
      <c r="B320" s="566"/>
      <c r="C320" s="558"/>
      <c r="D320" s="558"/>
      <c r="E320" s="558"/>
      <c r="F320" s="558"/>
      <c r="G320" s="563"/>
      <c r="H320" s="563"/>
      <c r="I320" s="563"/>
      <c r="J320" s="563"/>
      <c r="K320" s="563"/>
      <c r="L320" s="548"/>
      <c r="M320" s="367"/>
      <c r="N320" s="367"/>
    </row>
    <row r="321" spans="1:14">
      <c r="B321" s="566"/>
      <c r="C321" s="558"/>
      <c r="D321" s="558"/>
      <c r="E321" s="558"/>
      <c r="F321" s="558"/>
      <c r="G321" s="563"/>
      <c r="H321" s="563"/>
      <c r="I321" s="563"/>
      <c r="J321" s="563"/>
      <c r="K321" s="563"/>
      <c r="L321" s="548"/>
      <c r="M321" s="363"/>
      <c r="N321" s="363"/>
    </row>
    <row r="322" spans="1:14" ht="16" thickBot="1">
      <c r="B322" s="567"/>
      <c r="C322" s="622"/>
      <c r="D322" s="622"/>
      <c r="E322" s="622"/>
      <c r="F322" s="622"/>
      <c r="G322" s="623"/>
      <c r="H322" s="623"/>
      <c r="I322" s="623"/>
      <c r="J322" s="623"/>
      <c r="K322" s="623"/>
      <c r="L322" s="624"/>
      <c r="M322" s="363"/>
      <c r="N322" s="363"/>
    </row>
    <row r="323" spans="1:14">
      <c r="B323" s="461"/>
      <c r="C323" s="483"/>
      <c r="D323" s="483"/>
      <c r="E323" s="483"/>
      <c r="F323" s="483"/>
      <c r="G323" s="483"/>
      <c r="H323" s="484"/>
      <c r="I323" s="420"/>
      <c r="J323" s="420"/>
      <c r="K323" s="484"/>
      <c r="L323" s="484"/>
      <c r="N323" s="420"/>
    </row>
    <row r="324" spans="1:14">
      <c r="B324" s="485"/>
      <c r="C324" s="486"/>
      <c r="D324" s="486"/>
      <c r="E324" s="486"/>
      <c r="F324" s="486"/>
      <c r="G324" s="486"/>
      <c r="H324" s="484"/>
      <c r="I324" s="71"/>
      <c r="J324" s="420"/>
      <c r="K324" s="484"/>
      <c r="L324" s="484"/>
      <c r="N324" s="420"/>
    </row>
    <row r="325" spans="1:14">
      <c r="B325" s="461"/>
      <c r="C325" s="359"/>
      <c r="D325" s="359"/>
      <c r="E325" s="359"/>
      <c r="F325" s="359"/>
      <c r="G325" s="359"/>
      <c r="I325" s="420"/>
      <c r="J325" s="420"/>
      <c r="N325" s="420"/>
    </row>
    <row r="326" spans="1:14">
      <c r="B326" s="461"/>
      <c r="C326" s="487"/>
      <c r="D326" s="487"/>
      <c r="E326" s="487"/>
      <c r="F326" s="487"/>
      <c r="G326" s="359"/>
      <c r="M326" s="420"/>
      <c r="N326" s="420"/>
    </row>
    <row r="329" spans="1:14">
      <c r="A329" s="488"/>
      <c r="B329" s="489"/>
      <c r="D329" s="358"/>
      <c r="E329" s="358"/>
      <c r="F329" s="358"/>
      <c r="G329" s="358"/>
      <c r="H329" s="358"/>
      <c r="I329" s="358"/>
      <c r="J329" s="358"/>
      <c r="K329" s="358"/>
    </row>
    <row r="330" spans="1:14">
      <c r="A330" s="358"/>
      <c r="B330" s="490"/>
      <c r="E330" s="358"/>
      <c r="F330" s="358"/>
      <c r="G330" s="358"/>
      <c r="H330" s="358"/>
      <c r="I330" s="358"/>
      <c r="J330" s="358"/>
      <c r="K330" s="358"/>
    </row>
    <row r="331" spans="1:14">
      <c r="A331" s="358"/>
      <c r="B331" s="490"/>
      <c r="E331" s="358"/>
      <c r="F331" s="358"/>
      <c r="G331" s="358"/>
      <c r="H331" s="358"/>
      <c r="I331" s="358"/>
      <c r="J331" s="358"/>
      <c r="K331" s="358"/>
    </row>
    <row r="332" spans="1:14">
      <c r="A332" s="358"/>
      <c r="B332" s="490"/>
      <c r="E332" s="358"/>
      <c r="F332" s="358"/>
      <c r="G332" s="358"/>
      <c r="H332" s="358"/>
      <c r="I332" s="358"/>
      <c r="J332" s="358"/>
      <c r="K332" s="358"/>
    </row>
    <row r="333" spans="1:14">
      <c r="A333" s="358"/>
      <c r="B333" s="490"/>
      <c r="E333" s="358"/>
      <c r="F333" s="358"/>
      <c r="G333" s="358"/>
      <c r="H333" s="358"/>
      <c r="I333" s="358"/>
      <c r="J333" s="358"/>
      <c r="K333" s="358"/>
    </row>
    <row r="334" spans="1:14">
      <c r="A334" s="358"/>
      <c r="B334" s="490"/>
      <c r="E334" s="358"/>
      <c r="F334" s="358"/>
      <c r="G334" s="358"/>
      <c r="H334" s="358"/>
      <c r="I334" s="358"/>
      <c r="J334" s="358"/>
      <c r="K334" s="358"/>
    </row>
    <row r="335" spans="1:14">
      <c r="A335" s="358"/>
      <c r="B335" s="490"/>
      <c r="E335" s="358"/>
      <c r="F335" s="358"/>
      <c r="G335" s="358"/>
      <c r="H335" s="358"/>
      <c r="I335" s="358"/>
      <c r="J335" s="358"/>
      <c r="K335" s="358"/>
    </row>
    <row r="336" spans="1:14">
      <c r="A336" s="358"/>
      <c r="B336" s="490"/>
      <c r="E336" s="358"/>
      <c r="F336" s="358"/>
      <c r="G336" s="358"/>
      <c r="H336" s="358"/>
      <c r="I336" s="358"/>
      <c r="J336" s="358"/>
      <c r="K336" s="358"/>
    </row>
    <row r="337" spans="1:11">
      <c r="A337" s="358"/>
      <c r="B337" s="625"/>
      <c r="E337" s="358"/>
      <c r="F337" s="358"/>
      <c r="G337" s="358"/>
      <c r="H337" s="358"/>
      <c r="I337" s="358"/>
      <c r="J337" s="358"/>
      <c r="K337" s="358"/>
    </row>
    <row r="338" spans="1:11">
      <c r="A338" s="358"/>
      <c r="B338" s="490"/>
      <c r="E338" s="358"/>
      <c r="F338" s="358"/>
      <c r="G338" s="358"/>
      <c r="H338" s="358"/>
      <c r="I338" s="358"/>
      <c r="J338" s="358"/>
      <c r="K338" s="358"/>
    </row>
    <row r="339" spans="1:11">
      <c r="A339" s="488"/>
      <c r="B339" s="489"/>
      <c r="E339" s="358"/>
      <c r="F339" s="358"/>
      <c r="G339" s="358"/>
      <c r="H339" s="358"/>
      <c r="I339" s="358"/>
      <c r="J339" s="358"/>
      <c r="K339" s="358"/>
    </row>
    <row r="340" spans="1:11">
      <c r="A340" s="496"/>
      <c r="B340" s="490"/>
      <c r="C340" s="489"/>
      <c r="E340" s="358"/>
      <c r="F340" s="358"/>
      <c r="G340" s="358"/>
      <c r="H340" s="358"/>
      <c r="I340" s="358"/>
      <c r="J340" s="358"/>
      <c r="K340" s="358"/>
    </row>
    <row r="341" spans="1:11">
      <c r="A341" s="496"/>
      <c r="B341" s="490"/>
      <c r="C341" s="489"/>
      <c r="E341" s="358"/>
      <c r="F341" s="358"/>
      <c r="G341" s="358"/>
      <c r="H341" s="358"/>
      <c r="I341" s="358"/>
      <c r="J341" s="358"/>
      <c r="K341" s="358"/>
    </row>
    <row r="342" spans="1:11">
      <c r="A342" s="496"/>
      <c r="B342" s="490"/>
      <c r="C342" s="489"/>
      <c r="E342" s="358"/>
      <c r="F342" s="358"/>
      <c r="G342" s="358"/>
      <c r="H342" s="358"/>
      <c r="I342" s="358"/>
      <c r="J342" s="358"/>
      <c r="K342" s="358"/>
    </row>
    <row r="343" spans="1:11">
      <c r="A343" s="496"/>
      <c r="B343" s="490"/>
      <c r="C343" s="489"/>
      <c r="E343" s="358"/>
      <c r="F343" s="358"/>
      <c r="G343" s="358"/>
      <c r="H343" s="358"/>
      <c r="I343" s="358"/>
      <c r="J343" s="358"/>
      <c r="K343" s="358"/>
    </row>
    <row r="344" spans="1:11" ht="15.75" customHeight="1">
      <c r="A344" s="496"/>
      <c r="B344" s="490"/>
      <c r="C344" s="489"/>
      <c r="E344" s="358"/>
      <c r="F344" s="358"/>
      <c r="G344" s="358"/>
      <c r="H344" s="358"/>
      <c r="I344" s="358"/>
      <c r="J344" s="358"/>
      <c r="K344" s="358"/>
    </row>
    <row r="345" spans="1:11" ht="15.75" customHeight="1">
      <c r="A345" s="496"/>
      <c r="B345" s="490"/>
      <c r="C345" s="489"/>
      <c r="E345" s="358"/>
      <c r="F345" s="358"/>
      <c r="G345" s="358"/>
      <c r="H345" s="358"/>
      <c r="I345" s="358"/>
      <c r="J345" s="358"/>
      <c r="K345" s="358"/>
    </row>
  </sheetData>
  <mergeCells count="396">
    <mergeCell ref="P310:U310"/>
    <mergeCell ref="P311:U311"/>
    <mergeCell ref="AM291:AM295"/>
    <mergeCell ref="AN291:AN295"/>
    <mergeCell ref="AO291:AO295"/>
    <mergeCell ref="AP291:AP295"/>
    <mergeCell ref="AQ291:AQ295"/>
    <mergeCell ref="AR291:AR295"/>
    <mergeCell ref="AC291:AC295"/>
    <mergeCell ref="AF291:AF295"/>
    <mergeCell ref="AI291:AI295"/>
    <mergeCell ref="AJ291:AJ295"/>
    <mergeCell ref="AK291:AK295"/>
    <mergeCell ref="AL291:AL295"/>
    <mergeCell ref="W291:W295"/>
    <mergeCell ref="X291:X295"/>
    <mergeCell ref="Y291:Y295"/>
    <mergeCell ref="Z291:Z295"/>
    <mergeCell ref="AA291:AA295"/>
    <mergeCell ref="AB291:AB295"/>
    <mergeCell ref="AM288:AM290"/>
    <mergeCell ref="AN288:AN290"/>
    <mergeCell ref="AO288:AO290"/>
    <mergeCell ref="AP288:AP290"/>
    <mergeCell ref="AQ288:AQ290"/>
    <mergeCell ref="AR288:AR290"/>
    <mergeCell ref="AE288:AE296"/>
    <mergeCell ref="AF288:AF290"/>
    <mergeCell ref="AI288:AI290"/>
    <mergeCell ref="AJ288:AJ290"/>
    <mergeCell ref="AK288:AK290"/>
    <mergeCell ref="AL288:AL290"/>
    <mergeCell ref="X288:X290"/>
    <mergeCell ref="Y288:Y290"/>
    <mergeCell ref="Z288:Z290"/>
    <mergeCell ref="AA288:AA290"/>
    <mergeCell ref="AB288:AB290"/>
    <mergeCell ref="AC288:AC290"/>
    <mergeCell ref="P288:P296"/>
    <mergeCell ref="Q288:Q290"/>
    <mergeCell ref="T288:T290"/>
    <mergeCell ref="U288:U290"/>
    <mergeCell ref="V288:V290"/>
    <mergeCell ref="W288:W290"/>
    <mergeCell ref="Q291:Q295"/>
    <mergeCell ref="T291:T295"/>
    <mergeCell ref="U291:U295"/>
    <mergeCell ref="V291:V295"/>
    <mergeCell ref="AQ284:AR286"/>
    <mergeCell ref="B285:B286"/>
    <mergeCell ref="C285:C286"/>
    <mergeCell ref="D285:D286"/>
    <mergeCell ref="E285:E286"/>
    <mergeCell ref="F285:F286"/>
    <mergeCell ref="G285:H285"/>
    <mergeCell ref="I285:J285"/>
    <mergeCell ref="K285:K286"/>
    <mergeCell ref="Z284:AA286"/>
    <mergeCell ref="AB284:AC286"/>
    <mergeCell ref="AH284:AH287"/>
    <mergeCell ref="AI284:AJ286"/>
    <mergeCell ref="AK284:AL286"/>
    <mergeCell ref="AM284:AN286"/>
    <mergeCell ref="AE285:AE287"/>
    <mergeCell ref="AF286:AF287"/>
    <mergeCell ref="AG286:AG287"/>
    <mergeCell ref="AN222:AN224"/>
    <mergeCell ref="AO222:AO224"/>
    <mergeCell ref="AP222:AP224"/>
    <mergeCell ref="P245:U245"/>
    <mergeCell ref="C284:L284"/>
    <mergeCell ref="S284:S287"/>
    <mergeCell ref="T284:U286"/>
    <mergeCell ref="V284:W286"/>
    <mergeCell ref="X284:Y286"/>
    <mergeCell ref="L285:L286"/>
    <mergeCell ref="P285:P287"/>
    <mergeCell ref="Q286:Q287"/>
    <mergeCell ref="R286:R287"/>
    <mergeCell ref="AO284:AP286"/>
    <mergeCell ref="P244:U244"/>
    <mergeCell ref="AF225:AF229"/>
    <mergeCell ref="AI225:AI229"/>
    <mergeCell ref="AJ225:AJ229"/>
    <mergeCell ref="AK225:AK229"/>
    <mergeCell ref="AL225:AL229"/>
    <mergeCell ref="AM225:AM229"/>
    <mergeCell ref="X225:X229"/>
    <mergeCell ref="Y225:Y229"/>
    <mergeCell ref="Z225:Z229"/>
    <mergeCell ref="AA225:AA229"/>
    <mergeCell ref="AB225:AB229"/>
    <mergeCell ref="AC225:AC229"/>
    <mergeCell ref="P222:P230"/>
    <mergeCell ref="Q222:Q224"/>
    <mergeCell ref="T222:T224"/>
    <mergeCell ref="U222:U224"/>
    <mergeCell ref="V222:V224"/>
    <mergeCell ref="W222:W224"/>
    <mergeCell ref="X222:X224"/>
    <mergeCell ref="AQ222:AQ224"/>
    <mergeCell ref="AR222:AR224"/>
    <mergeCell ref="Q225:Q229"/>
    <mergeCell ref="T225:T229"/>
    <mergeCell ref="U225:U229"/>
    <mergeCell ref="V225:V229"/>
    <mergeCell ref="W225:W229"/>
    <mergeCell ref="AF222:AF224"/>
    <mergeCell ref="AI222:AI224"/>
    <mergeCell ref="AJ222:AJ224"/>
    <mergeCell ref="AK222:AK224"/>
    <mergeCell ref="AL222:AL224"/>
    <mergeCell ref="AM222:AM224"/>
    <mergeCell ref="Y222:Y224"/>
    <mergeCell ref="Z222:Z224"/>
    <mergeCell ref="AA222:AA224"/>
    <mergeCell ref="AB222:AB224"/>
    <mergeCell ref="AC222:AC224"/>
    <mergeCell ref="AE222:AE230"/>
    <mergeCell ref="AN225:AN229"/>
    <mergeCell ref="AO225:AO229"/>
    <mergeCell ref="AP225:AP229"/>
    <mergeCell ref="AQ225:AQ229"/>
    <mergeCell ref="AR225:AR229"/>
    <mergeCell ref="AM218:AN220"/>
    <mergeCell ref="AO218:AP220"/>
    <mergeCell ref="AQ218:AR220"/>
    <mergeCell ref="B219:B220"/>
    <mergeCell ref="C219:C220"/>
    <mergeCell ref="D219:D220"/>
    <mergeCell ref="E219:E220"/>
    <mergeCell ref="F219:F220"/>
    <mergeCell ref="G219:H219"/>
    <mergeCell ref="I219:J219"/>
    <mergeCell ref="X218:Y220"/>
    <mergeCell ref="Z218:AA220"/>
    <mergeCell ref="AB218:AC220"/>
    <mergeCell ref="AH218:AH221"/>
    <mergeCell ref="AI218:AJ220"/>
    <mergeCell ref="AK218:AL220"/>
    <mergeCell ref="AE219:AE221"/>
    <mergeCell ref="R220:R221"/>
    <mergeCell ref="AF220:AF221"/>
    <mergeCell ref="AG220:AG221"/>
    <mergeCell ref="P177:U177"/>
    <mergeCell ref="P178:U178"/>
    <mergeCell ref="C218:L218"/>
    <mergeCell ref="S218:S221"/>
    <mergeCell ref="T218:U220"/>
    <mergeCell ref="V218:W220"/>
    <mergeCell ref="K219:K220"/>
    <mergeCell ref="L219:L220"/>
    <mergeCell ref="P219:P221"/>
    <mergeCell ref="Q220:Q221"/>
    <mergeCell ref="X158:X162"/>
    <mergeCell ref="Y158:Y162"/>
    <mergeCell ref="Z158:Z162"/>
    <mergeCell ref="AA158:AA162"/>
    <mergeCell ref="AB158:AB162"/>
    <mergeCell ref="AM155:AM157"/>
    <mergeCell ref="AN155:AN157"/>
    <mergeCell ref="AO155:AO157"/>
    <mergeCell ref="X155:X157"/>
    <mergeCell ref="Y155:Y157"/>
    <mergeCell ref="Z155:Z157"/>
    <mergeCell ref="AA155:AA157"/>
    <mergeCell ref="AB155:AB157"/>
    <mergeCell ref="AC155:AC157"/>
    <mergeCell ref="AM158:AM162"/>
    <mergeCell ref="AN158:AN162"/>
    <mergeCell ref="AO158:AO162"/>
    <mergeCell ref="AC158:AC162"/>
    <mergeCell ref="AF158:AF162"/>
    <mergeCell ref="AI158:AI162"/>
    <mergeCell ref="AJ158:AJ162"/>
    <mergeCell ref="AK158:AK162"/>
    <mergeCell ref="AL158:AL162"/>
    <mergeCell ref="AP155:AP157"/>
    <mergeCell ref="AQ155:AQ157"/>
    <mergeCell ref="AR155:AR157"/>
    <mergeCell ref="AE155:AE163"/>
    <mergeCell ref="AF155:AF157"/>
    <mergeCell ref="AI155:AI157"/>
    <mergeCell ref="AJ155:AJ157"/>
    <mergeCell ref="AK155:AK157"/>
    <mergeCell ref="AL155:AL157"/>
    <mergeCell ref="AP158:AP162"/>
    <mergeCell ref="AQ158:AQ162"/>
    <mergeCell ref="AR158:AR162"/>
    <mergeCell ref="P155:P163"/>
    <mergeCell ref="Q155:Q157"/>
    <mergeCell ref="T155:T157"/>
    <mergeCell ref="U155:U157"/>
    <mergeCell ref="V155:V157"/>
    <mergeCell ref="W155:W157"/>
    <mergeCell ref="Q158:Q162"/>
    <mergeCell ref="T158:T162"/>
    <mergeCell ref="U158:U162"/>
    <mergeCell ref="V158:V162"/>
    <mergeCell ref="W158:W162"/>
    <mergeCell ref="AQ151:AR153"/>
    <mergeCell ref="B152:B153"/>
    <mergeCell ref="C152:C153"/>
    <mergeCell ref="D152:D153"/>
    <mergeCell ref="E152:E153"/>
    <mergeCell ref="F152:F153"/>
    <mergeCell ref="G152:H152"/>
    <mergeCell ref="I152:J152"/>
    <mergeCell ref="K152:K153"/>
    <mergeCell ref="L152:L153"/>
    <mergeCell ref="AB151:AC153"/>
    <mergeCell ref="AH151:AH154"/>
    <mergeCell ref="AI151:AJ153"/>
    <mergeCell ref="AK151:AL153"/>
    <mergeCell ref="AM151:AN153"/>
    <mergeCell ref="AO151:AP153"/>
    <mergeCell ref="AE152:AE154"/>
    <mergeCell ref="AF153:AF154"/>
    <mergeCell ref="AG153:AG154"/>
    <mergeCell ref="C151:L151"/>
    <mergeCell ref="S151:S154"/>
    <mergeCell ref="T151:U153"/>
    <mergeCell ref="V151:W153"/>
    <mergeCell ref="X151:Y153"/>
    <mergeCell ref="Z151:AA153"/>
    <mergeCell ref="P152:P154"/>
    <mergeCell ref="Q153:Q154"/>
    <mergeCell ref="R153:R154"/>
    <mergeCell ref="P105:U105"/>
    <mergeCell ref="P106:U106"/>
    <mergeCell ref="B149:B150"/>
    <mergeCell ref="C149:M149"/>
    <mergeCell ref="P149:U149"/>
    <mergeCell ref="C150:M150"/>
    <mergeCell ref="P150:U150"/>
    <mergeCell ref="X86:X90"/>
    <mergeCell ref="Y86:Y90"/>
    <mergeCell ref="Z86:Z90"/>
    <mergeCell ref="AA86:AA90"/>
    <mergeCell ref="AB86:AB90"/>
    <mergeCell ref="AM83:AM85"/>
    <mergeCell ref="AN83:AN85"/>
    <mergeCell ref="AO83:AO85"/>
    <mergeCell ref="X83:X85"/>
    <mergeCell ref="Y83:Y85"/>
    <mergeCell ref="Z83:Z85"/>
    <mergeCell ref="AA83:AA85"/>
    <mergeCell ref="AB83:AB85"/>
    <mergeCell ref="AC83:AC85"/>
    <mergeCell ref="AM86:AM90"/>
    <mergeCell ref="AN86:AN90"/>
    <mergeCell ref="AO86:AO90"/>
    <mergeCell ref="AC86:AC90"/>
    <mergeCell ref="AF86:AF90"/>
    <mergeCell ref="AI86:AI90"/>
    <mergeCell ref="AJ86:AJ90"/>
    <mergeCell ref="AK86:AK90"/>
    <mergeCell ref="AL86:AL90"/>
    <mergeCell ref="AP83:AP85"/>
    <mergeCell ref="AQ83:AQ85"/>
    <mergeCell ref="AR83:AR85"/>
    <mergeCell ref="AE83:AE91"/>
    <mergeCell ref="AF83:AF85"/>
    <mergeCell ref="AI83:AI85"/>
    <mergeCell ref="AJ83:AJ85"/>
    <mergeCell ref="AK83:AK85"/>
    <mergeCell ref="AL83:AL85"/>
    <mergeCell ref="AP86:AP90"/>
    <mergeCell ref="AQ86:AQ90"/>
    <mergeCell ref="AR86:AR90"/>
    <mergeCell ref="P83:P91"/>
    <mergeCell ref="Q83:Q85"/>
    <mergeCell ref="T83:T85"/>
    <mergeCell ref="U83:U85"/>
    <mergeCell ref="V83:V85"/>
    <mergeCell ref="W83:W85"/>
    <mergeCell ref="Q86:Q90"/>
    <mergeCell ref="T86:T90"/>
    <mergeCell ref="U86:U90"/>
    <mergeCell ref="V86:V90"/>
    <mergeCell ref="W86:W90"/>
    <mergeCell ref="AQ79:AR81"/>
    <mergeCell ref="B80:B81"/>
    <mergeCell ref="C80:C81"/>
    <mergeCell ref="D80:D81"/>
    <mergeCell ref="E80:E81"/>
    <mergeCell ref="F80:F81"/>
    <mergeCell ref="G80:H80"/>
    <mergeCell ref="I80:J80"/>
    <mergeCell ref="K80:K81"/>
    <mergeCell ref="L80:L81"/>
    <mergeCell ref="AB79:AC81"/>
    <mergeCell ref="AH79:AH82"/>
    <mergeCell ref="AI79:AJ81"/>
    <mergeCell ref="AK79:AL81"/>
    <mergeCell ref="AM79:AN81"/>
    <mergeCell ref="AO79:AP81"/>
    <mergeCell ref="AE80:AE82"/>
    <mergeCell ref="AF81:AF82"/>
    <mergeCell ref="AG81:AG82"/>
    <mergeCell ref="C79:L79"/>
    <mergeCell ref="S79:S82"/>
    <mergeCell ref="T79:U81"/>
    <mergeCell ref="V79:W81"/>
    <mergeCell ref="X79:Y81"/>
    <mergeCell ref="Z79:AA81"/>
    <mergeCell ref="P80:P82"/>
    <mergeCell ref="Q81:Q82"/>
    <mergeCell ref="R81:R82"/>
    <mergeCell ref="C23:F27"/>
    <mergeCell ref="P33:U33"/>
    <mergeCell ref="P34:U34"/>
    <mergeCell ref="C42:F42"/>
    <mergeCell ref="B77:B78"/>
    <mergeCell ref="C77:M77"/>
    <mergeCell ref="P77:U77"/>
    <mergeCell ref="C78:M78"/>
    <mergeCell ref="P78:U78"/>
    <mergeCell ref="X14:X18"/>
    <mergeCell ref="Y14:Y18"/>
    <mergeCell ref="Z14:Z18"/>
    <mergeCell ref="AA14:AA18"/>
    <mergeCell ref="AB14:AB18"/>
    <mergeCell ref="AM11:AM13"/>
    <mergeCell ref="AN11:AN13"/>
    <mergeCell ref="AO11:AO13"/>
    <mergeCell ref="X11:X13"/>
    <mergeCell ref="Y11:Y13"/>
    <mergeCell ref="Z11:Z13"/>
    <mergeCell ref="AA11:AA13"/>
    <mergeCell ref="AB11:AB13"/>
    <mergeCell ref="AC11:AC13"/>
    <mergeCell ref="AM14:AM18"/>
    <mergeCell ref="AN14:AN18"/>
    <mergeCell ref="AO14:AO18"/>
    <mergeCell ref="AC14:AC18"/>
    <mergeCell ref="AF14:AF18"/>
    <mergeCell ref="AI14:AI18"/>
    <mergeCell ref="AJ14:AJ18"/>
    <mergeCell ref="AK14:AK18"/>
    <mergeCell ref="AL14:AL18"/>
    <mergeCell ref="AP11:AP13"/>
    <mergeCell ref="AQ11:AQ13"/>
    <mergeCell ref="AR11:AR13"/>
    <mergeCell ref="AE11:AE19"/>
    <mergeCell ref="AF11:AF13"/>
    <mergeCell ref="AI11:AI13"/>
    <mergeCell ref="AJ11:AJ13"/>
    <mergeCell ref="AK11:AK13"/>
    <mergeCell ref="AL11:AL13"/>
    <mergeCell ref="AP14:AP18"/>
    <mergeCell ref="AQ14:AQ18"/>
    <mergeCell ref="AR14:AR18"/>
    <mergeCell ref="P11:P19"/>
    <mergeCell ref="Q11:Q13"/>
    <mergeCell ref="T11:T13"/>
    <mergeCell ref="U11:U13"/>
    <mergeCell ref="V11:V13"/>
    <mergeCell ref="W11:W13"/>
    <mergeCell ref="Q14:Q18"/>
    <mergeCell ref="T14:T18"/>
    <mergeCell ref="U14:U18"/>
    <mergeCell ref="V14:V18"/>
    <mergeCell ref="W14:W18"/>
    <mergeCell ref="AQ7:AR9"/>
    <mergeCell ref="B8:B9"/>
    <mergeCell ref="C8:C9"/>
    <mergeCell ref="D8:D9"/>
    <mergeCell ref="E8:E9"/>
    <mergeCell ref="F8:F9"/>
    <mergeCell ref="G8:H8"/>
    <mergeCell ref="V7:W9"/>
    <mergeCell ref="X7:Y9"/>
    <mergeCell ref="Z7:AA9"/>
    <mergeCell ref="AB7:AC9"/>
    <mergeCell ref="AH7:AH10"/>
    <mergeCell ref="AI7:AJ9"/>
    <mergeCell ref="AG9:AG10"/>
    <mergeCell ref="L8:L9"/>
    <mergeCell ref="P8:P10"/>
    <mergeCell ref="AE8:AE10"/>
    <mergeCell ref="Q9:Q10"/>
    <mergeCell ref="R9:R10"/>
    <mergeCell ref="AF9:AF10"/>
    <mergeCell ref="AK7:AL9"/>
    <mergeCell ref="AM7:AN9"/>
    <mergeCell ref="AO7:AP9"/>
    <mergeCell ref="B5:B6"/>
    <mergeCell ref="C5:M5"/>
    <mergeCell ref="P5:U5"/>
    <mergeCell ref="C6:M6"/>
    <mergeCell ref="C7:L7"/>
    <mergeCell ref="S7:S10"/>
    <mergeCell ref="T7:U9"/>
    <mergeCell ref="I8:J8"/>
    <mergeCell ref="K8:K9"/>
  </mergeCells>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E09F6-21BA-4777-B9D5-C80108D8D2BF}">
  <sheetPr>
    <tabColor theme="3"/>
  </sheetPr>
  <dimension ref="A2:AR345"/>
  <sheetViews>
    <sheetView topLeftCell="D1" zoomScale="85" zoomScaleNormal="85" workbookViewId="0">
      <selection activeCell="AA11" sqref="AA11:AA13"/>
    </sheetView>
  </sheetViews>
  <sheetFormatPr baseColWidth="10" defaultColWidth="8.83203125" defaultRowHeight="15" outlineLevelRow="1"/>
  <cols>
    <col min="1" max="1" width="35" style="224" bestFit="1" customWidth="1"/>
    <col min="2" max="2" width="63.5" style="224" bestFit="1" customWidth="1"/>
    <col min="3" max="6" width="11" style="224" bestFit="1" customWidth="1"/>
    <col min="7" max="12" width="11" style="224" customWidth="1"/>
    <col min="13" max="13" width="8.83203125" style="224"/>
    <col min="14" max="14" width="4.5" style="224" customWidth="1"/>
    <col min="15" max="15" width="15.83203125" style="224" customWidth="1"/>
    <col min="16" max="16384" width="8.83203125" style="224"/>
  </cols>
  <sheetData>
    <row r="2" spans="1:44">
      <c r="B2" s="638" t="str">
        <f>C7</f>
        <v>Dielectric heating</v>
      </c>
    </row>
    <row r="4" spans="1:44" ht="25" customHeight="1">
      <c r="E4" s="224" t="s">
        <v>358</v>
      </c>
      <c r="F4" s="359">
        <v>7.45</v>
      </c>
      <c r="G4" s="359" t="s">
        <v>328</v>
      </c>
    </row>
    <row r="5" spans="1:44" ht="15" customHeight="1">
      <c r="A5" s="360" t="s">
        <v>969</v>
      </c>
      <c r="B5" s="1207"/>
      <c r="C5" s="1143"/>
      <c r="D5" s="1143"/>
      <c r="E5" s="1143"/>
      <c r="F5" s="1143"/>
      <c r="G5" s="1143"/>
      <c r="H5" s="1143"/>
      <c r="I5" s="1143"/>
      <c r="J5" s="1143"/>
      <c r="K5" s="1143"/>
      <c r="L5" s="1143"/>
      <c r="M5" s="1143"/>
      <c r="N5" s="361"/>
      <c r="P5" s="1143"/>
      <c r="Q5" s="1143"/>
      <c r="R5" s="1143"/>
      <c r="S5" s="1143"/>
      <c r="T5" s="1143"/>
      <c r="U5" s="1143"/>
    </row>
    <row r="6" spans="1:44" ht="15.75" customHeight="1" outlineLevel="1" thickBot="1">
      <c r="B6" s="1207"/>
      <c r="C6" s="1143"/>
      <c r="D6" s="1143"/>
      <c r="E6" s="1143"/>
      <c r="F6" s="1143"/>
      <c r="G6" s="1143"/>
      <c r="H6" s="1143"/>
      <c r="I6" s="1143"/>
      <c r="J6" s="1143"/>
      <c r="K6" s="1143"/>
      <c r="L6" s="1143"/>
      <c r="M6" s="1143"/>
      <c r="N6" s="361"/>
      <c r="P6" s="692">
        <v>1</v>
      </c>
      <c r="Q6" s="692">
        <v>2</v>
      </c>
      <c r="R6" s="692">
        <v>3</v>
      </c>
      <c r="S6" s="692">
        <v>4</v>
      </c>
      <c r="T6" s="692">
        <v>5</v>
      </c>
      <c r="U6" s="692">
        <v>6</v>
      </c>
      <c r="V6" s="692">
        <v>7</v>
      </c>
      <c r="W6" s="692">
        <v>8</v>
      </c>
      <c r="X6" s="692">
        <v>9</v>
      </c>
      <c r="Y6" s="692">
        <v>10</v>
      </c>
      <c r="Z6" s="692">
        <v>11</v>
      </c>
      <c r="AA6" s="692">
        <v>12</v>
      </c>
      <c r="AB6" s="692">
        <v>13</v>
      </c>
      <c r="AC6" s="692">
        <v>14</v>
      </c>
    </row>
    <row r="7" spans="1:44" ht="20.25" customHeight="1" outlineLevel="1" thickBot="1">
      <c r="B7" s="362" t="s">
        <v>0</v>
      </c>
      <c r="C7" s="1223" t="s">
        <v>922</v>
      </c>
      <c r="D7" s="1224"/>
      <c r="E7" s="1224"/>
      <c r="F7" s="1224"/>
      <c r="G7" s="1224"/>
      <c r="H7" s="1224"/>
      <c r="I7" s="1224"/>
      <c r="J7" s="1224"/>
      <c r="K7" s="1224"/>
      <c r="L7" s="1225"/>
      <c r="M7" s="363"/>
      <c r="N7" s="363"/>
      <c r="P7" s="364" t="s">
        <v>713</v>
      </c>
      <c r="Q7" s="365"/>
      <c r="R7" s="366"/>
      <c r="S7" s="1176" t="s">
        <v>714</v>
      </c>
      <c r="T7" s="1160" t="s">
        <v>715</v>
      </c>
      <c r="U7" s="1161"/>
      <c r="V7" s="1160" t="s">
        <v>716</v>
      </c>
      <c r="W7" s="1161"/>
      <c r="X7" s="1160" t="s">
        <v>717</v>
      </c>
      <c r="Y7" s="1161"/>
      <c r="Z7" s="1160" t="s">
        <v>718</v>
      </c>
      <c r="AA7" s="1161"/>
      <c r="AB7" s="1160" t="s">
        <v>719</v>
      </c>
      <c r="AC7" s="1161"/>
      <c r="AE7" s="364" t="s">
        <v>720</v>
      </c>
      <c r="AF7" s="365"/>
      <c r="AG7" s="366"/>
      <c r="AH7" s="1176" t="s">
        <v>714</v>
      </c>
      <c r="AI7" s="1160" t="s">
        <v>715</v>
      </c>
      <c r="AJ7" s="1161"/>
      <c r="AK7" s="1160" t="s">
        <v>716</v>
      </c>
      <c r="AL7" s="1161"/>
      <c r="AM7" s="1160" t="s">
        <v>717</v>
      </c>
      <c r="AN7" s="1161"/>
      <c r="AO7" s="1160" t="s">
        <v>718</v>
      </c>
      <c r="AP7" s="1161"/>
      <c r="AQ7" s="1160" t="s">
        <v>719</v>
      </c>
      <c r="AR7" s="1161"/>
    </row>
    <row r="8" spans="1:44" ht="15" customHeight="1" outlineLevel="1" thickBot="1">
      <c r="B8" s="1164" t="s">
        <v>4</v>
      </c>
      <c r="C8" s="1166">
        <v>2020</v>
      </c>
      <c r="D8" s="1166">
        <v>2030</v>
      </c>
      <c r="E8" s="1166">
        <v>2040</v>
      </c>
      <c r="F8" s="1166">
        <v>2050</v>
      </c>
      <c r="G8" s="1230" t="s">
        <v>721</v>
      </c>
      <c r="H8" s="1218"/>
      <c r="I8" s="1217" t="s">
        <v>648</v>
      </c>
      <c r="J8" s="1226"/>
      <c r="K8" s="1219" t="s">
        <v>2</v>
      </c>
      <c r="L8" s="1219" t="s">
        <v>3</v>
      </c>
      <c r="M8" s="367"/>
      <c r="N8" s="367"/>
      <c r="P8" s="1180" t="s">
        <v>0</v>
      </c>
      <c r="Q8" s="368"/>
      <c r="R8" s="368"/>
      <c r="S8" s="1177"/>
      <c r="T8" s="1162"/>
      <c r="U8" s="1163"/>
      <c r="V8" s="1162"/>
      <c r="W8" s="1163"/>
      <c r="X8" s="1162"/>
      <c r="Y8" s="1163"/>
      <c r="Z8" s="1162"/>
      <c r="AA8" s="1163"/>
      <c r="AB8" s="1162"/>
      <c r="AC8" s="1163"/>
      <c r="AE8" s="1180" t="s">
        <v>0</v>
      </c>
      <c r="AF8" s="368"/>
      <c r="AG8" s="368"/>
      <c r="AH8" s="1177"/>
      <c r="AI8" s="1162"/>
      <c r="AJ8" s="1163"/>
      <c r="AK8" s="1162"/>
      <c r="AL8" s="1163"/>
      <c r="AM8" s="1162"/>
      <c r="AN8" s="1163"/>
      <c r="AO8" s="1162"/>
      <c r="AP8" s="1163"/>
      <c r="AQ8" s="1162"/>
      <c r="AR8" s="1163"/>
    </row>
    <row r="9" spans="1:44" ht="16" outlineLevel="1" thickBot="1">
      <c r="B9" s="1228"/>
      <c r="C9" s="1229"/>
      <c r="D9" s="1229"/>
      <c r="E9" s="1229"/>
      <c r="F9" s="1229"/>
      <c r="G9" s="369" t="s">
        <v>649</v>
      </c>
      <c r="H9" s="369" t="s">
        <v>650</v>
      </c>
      <c r="I9" s="369" t="s">
        <v>649</v>
      </c>
      <c r="J9" s="369" t="s">
        <v>650</v>
      </c>
      <c r="K9" s="1227"/>
      <c r="L9" s="1227"/>
      <c r="M9" s="370"/>
      <c r="N9" s="370"/>
      <c r="P9" s="1181"/>
      <c r="Q9" s="1183" t="s">
        <v>722</v>
      </c>
      <c r="R9" s="1184" t="s">
        <v>723</v>
      </c>
      <c r="S9" s="1178"/>
      <c r="T9" s="1162"/>
      <c r="U9" s="1163"/>
      <c r="V9" s="1162"/>
      <c r="W9" s="1163"/>
      <c r="X9" s="1162"/>
      <c r="Y9" s="1163"/>
      <c r="Z9" s="1162"/>
      <c r="AA9" s="1163"/>
      <c r="AB9" s="1162"/>
      <c r="AC9" s="1163"/>
      <c r="AE9" s="1181"/>
      <c r="AF9" s="1197" t="s">
        <v>722</v>
      </c>
      <c r="AG9" s="1184" t="s">
        <v>723</v>
      </c>
      <c r="AH9" s="1178"/>
      <c r="AI9" s="1162"/>
      <c r="AJ9" s="1163"/>
      <c r="AK9" s="1162"/>
      <c r="AL9" s="1163"/>
      <c r="AM9" s="1162"/>
      <c r="AN9" s="1163"/>
      <c r="AO9" s="1162"/>
      <c r="AP9" s="1163"/>
      <c r="AQ9" s="1162"/>
      <c r="AR9" s="1163"/>
    </row>
    <row r="10" spans="1:44" ht="54.5" customHeight="1" outlineLevel="1" thickBot="1">
      <c r="B10" s="371" t="s">
        <v>651</v>
      </c>
      <c r="C10" s="372">
        <v>0.1</v>
      </c>
      <c r="D10" s="372">
        <v>0.1</v>
      </c>
      <c r="E10" s="372">
        <v>0.1</v>
      </c>
      <c r="F10" s="372">
        <v>0.1</v>
      </c>
      <c r="G10" s="372">
        <v>0.01</v>
      </c>
      <c r="H10" s="372">
        <v>0.2</v>
      </c>
      <c r="I10" s="372">
        <v>0.01</v>
      </c>
      <c r="J10" s="372">
        <v>0.2</v>
      </c>
      <c r="K10" s="372" t="s">
        <v>6</v>
      </c>
      <c r="L10" s="373">
        <v>1</v>
      </c>
      <c r="M10" s="370"/>
      <c r="N10" s="370"/>
      <c r="O10" s="74"/>
      <c r="P10" s="1182"/>
      <c r="Q10" s="1179"/>
      <c r="R10" s="1185"/>
      <c r="S10" s="1179"/>
      <c r="T10" s="374" t="s">
        <v>726</v>
      </c>
      <c r="U10" s="375" t="s">
        <v>727</v>
      </c>
      <c r="V10" s="374" t="s">
        <v>726</v>
      </c>
      <c r="W10" s="375" t="s">
        <v>727</v>
      </c>
      <c r="X10" s="374" t="s">
        <v>726</v>
      </c>
      <c r="Y10" s="375" t="s">
        <v>727</v>
      </c>
      <c r="Z10" s="374" t="s">
        <v>726</v>
      </c>
      <c r="AA10" s="375" t="s">
        <v>727</v>
      </c>
      <c r="AB10" s="374" t="s">
        <v>726</v>
      </c>
      <c r="AC10" s="375" t="s">
        <v>727</v>
      </c>
      <c r="AE10" s="1182"/>
      <c r="AF10" s="1198"/>
      <c r="AG10" s="1185"/>
      <c r="AH10" s="1179"/>
      <c r="AI10" s="374" t="s">
        <v>726</v>
      </c>
      <c r="AJ10" s="375" t="s">
        <v>727</v>
      </c>
      <c r="AK10" s="374" t="s">
        <v>726</v>
      </c>
      <c r="AL10" s="375" t="s">
        <v>727</v>
      </c>
      <c r="AM10" s="374" t="s">
        <v>726</v>
      </c>
      <c r="AN10" s="375" t="s">
        <v>727</v>
      </c>
      <c r="AO10" s="374" t="s">
        <v>726</v>
      </c>
      <c r="AP10" s="375" t="s">
        <v>727</v>
      </c>
      <c r="AQ10" s="374" t="s">
        <v>726</v>
      </c>
      <c r="AR10" s="375" t="s">
        <v>727</v>
      </c>
    </row>
    <row r="11" spans="1:44" ht="24.5" customHeight="1" outlineLevel="1">
      <c r="B11" s="376" t="s">
        <v>728</v>
      </c>
      <c r="C11" s="377">
        <v>95</v>
      </c>
      <c r="D11" s="377">
        <v>95</v>
      </c>
      <c r="E11" s="378">
        <v>95</v>
      </c>
      <c r="F11" s="377">
        <v>95</v>
      </c>
      <c r="G11" s="377">
        <v>85</v>
      </c>
      <c r="H11" s="377">
        <v>100</v>
      </c>
      <c r="I11" s="377">
        <v>85</v>
      </c>
      <c r="J11" s="377">
        <v>100</v>
      </c>
      <c r="K11" s="379" t="s">
        <v>59</v>
      </c>
      <c r="L11" s="380">
        <v>2</v>
      </c>
      <c r="M11" s="370"/>
      <c r="N11" s="370"/>
      <c r="P11" s="1199" t="str">
        <f>C7</f>
        <v>Dielectric heating</v>
      </c>
      <c r="Q11" s="1154" t="s">
        <v>730</v>
      </c>
      <c r="R11" s="381" t="s">
        <v>731</v>
      </c>
      <c r="S11" s="382"/>
      <c r="T11" s="1137">
        <v>0</v>
      </c>
      <c r="U11" s="1151">
        <v>0</v>
      </c>
      <c r="V11" s="1157">
        <v>0</v>
      </c>
      <c r="W11" s="1151">
        <v>0</v>
      </c>
      <c r="X11" s="1157">
        <v>0</v>
      </c>
      <c r="Y11" s="1151">
        <v>0</v>
      </c>
      <c r="Z11" s="1157">
        <v>0</v>
      </c>
      <c r="AA11" s="1151">
        <v>0</v>
      </c>
      <c r="AB11" s="1157">
        <v>0</v>
      </c>
      <c r="AC11" s="1151">
        <v>0</v>
      </c>
      <c r="AE11" s="1148" t="str">
        <f>P11</f>
        <v>Dielectric heating</v>
      </c>
      <c r="AF11" s="1154" t="s">
        <v>730</v>
      </c>
      <c r="AG11" s="381" t="s">
        <v>731</v>
      </c>
      <c r="AH11" s="382"/>
      <c r="AI11" s="1137">
        <v>0</v>
      </c>
      <c r="AJ11" s="1151">
        <v>0</v>
      </c>
      <c r="AK11" s="1157">
        <v>0</v>
      </c>
      <c r="AL11" s="1151">
        <v>0</v>
      </c>
      <c r="AM11" s="1157">
        <v>0</v>
      </c>
      <c r="AN11" s="1151">
        <v>0</v>
      </c>
      <c r="AO11" s="1157">
        <v>0</v>
      </c>
      <c r="AP11" s="1151">
        <v>0</v>
      </c>
      <c r="AQ11" s="1157">
        <v>0</v>
      </c>
      <c r="AR11" s="1151">
        <v>0</v>
      </c>
    </row>
    <row r="12" spans="1:44" ht="32.5" customHeight="1" outlineLevel="1">
      <c r="B12" s="383" t="s">
        <v>732</v>
      </c>
      <c r="C12" s="384">
        <v>95</v>
      </c>
      <c r="D12" s="384">
        <v>95</v>
      </c>
      <c r="E12" s="384">
        <v>95</v>
      </c>
      <c r="F12" s="384">
        <v>95</v>
      </c>
      <c r="G12" s="385">
        <v>85</v>
      </c>
      <c r="H12" s="385">
        <v>100</v>
      </c>
      <c r="I12" s="385">
        <v>85</v>
      </c>
      <c r="J12" s="385">
        <v>100</v>
      </c>
      <c r="K12" s="386"/>
      <c r="L12" s="387"/>
      <c r="M12" s="370"/>
      <c r="N12" s="370"/>
      <c r="O12" s="71"/>
      <c r="P12" s="1195"/>
      <c r="Q12" s="1155"/>
      <c r="R12" s="388" t="s">
        <v>733</v>
      </c>
      <c r="S12" s="389"/>
      <c r="T12" s="1140"/>
      <c r="U12" s="1152"/>
      <c r="V12" s="1158"/>
      <c r="W12" s="1152"/>
      <c r="X12" s="1158"/>
      <c r="Y12" s="1152"/>
      <c r="Z12" s="1158"/>
      <c r="AA12" s="1152"/>
      <c r="AB12" s="1158"/>
      <c r="AC12" s="1152"/>
      <c r="AE12" s="1195"/>
      <c r="AF12" s="1155"/>
      <c r="AG12" s="388" t="s">
        <v>733</v>
      </c>
      <c r="AH12" s="389"/>
      <c r="AI12" s="1140"/>
      <c r="AJ12" s="1152"/>
      <c r="AK12" s="1158"/>
      <c r="AL12" s="1152"/>
      <c r="AM12" s="1158"/>
      <c r="AN12" s="1152"/>
      <c r="AO12" s="1158"/>
      <c r="AP12" s="1152"/>
      <c r="AQ12" s="1158"/>
      <c r="AR12" s="1152"/>
    </row>
    <row r="13" spans="1:44" ht="16" outlineLevel="1" thickBot="1">
      <c r="B13" s="376" t="s">
        <v>734</v>
      </c>
      <c r="C13" s="390">
        <v>0.1</v>
      </c>
      <c r="D13" s="391">
        <v>0.1</v>
      </c>
      <c r="E13" s="391">
        <v>0.1</v>
      </c>
      <c r="F13" s="392">
        <v>0.1</v>
      </c>
      <c r="G13" s="391">
        <v>0</v>
      </c>
      <c r="H13" s="391">
        <v>0.2</v>
      </c>
      <c r="I13" s="391">
        <v>0</v>
      </c>
      <c r="J13" s="391">
        <v>0.2</v>
      </c>
      <c r="K13" s="379"/>
      <c r="L13" s="380">
        <v>3</v>
      </c>
      <c r="M13" s="370"/>
      <c r="N13" s="370"/>
      <c r="O13" s="71"/>
      <c r="P13" s="1195"/>
      <c r="Q13" s="1156"/>
      <c r="R13" s="393" t="s">
        <v>735</v>
      </c>
      <c r="S13" s="394"/>
      <c r="T13" s="1141"/>
      <c r="U13" s="1153"/>
      <c r="V13" s="1159"/>
      <c r="W13" s="1153"/>
      <c r="X13" s="1159"/>
      <c r="Y13" s="1153"/>
      <c r="Z13" s="1159"/>
      <c r="AA13" s="1153"/>
      <c r="AB13" s="1159"/>
      <c r="AC13" s="1153"/>
      <c r="AE13" s="1195"/>
      <c r="AF13" s="1156"/>
      <c r="AG13" s="393" t="s">
        <v>735</v>
      </c>
      <c r="AH13" s="394"/>
      <c r="AI13" s="1141"/>
      <c r="AJ13" s="1153"/>
      <c r="AK13" s="1159"/>
      <c r="AL13" s="1153"/>
      <c r="AM13" s="1159"/>
      <c r="AN13" s="1153"/>
      <c r="AO13" s="1159"/>
      <c r="AP13" s="1153"/>
      <c r="AQ13" s="1159"/>
      <c r="AR13" s="1153"/>
    </row>
    <row r="14" spans="1:44" ht="15" customHeight="1" outlineLevel="1">
      <c r="B14" s="376" t="s">
        <v>657</v>
      </c>
      <c r="C14" s="390">
        <v>0.1</v>
      </c>
      <c r="D14" s="390">
        <v>0.1</v>
      </c>
      <c r="E14" s="390">
        <v>0.1</v>
      </c>
      <c r="F14" s="390">
        <v>0.1</v>
      </c>
      <c r="G14" s="390">
        <v>0</v>
      </c>
      <c r="H14" s="390">
        <v>0.2</v>
      </c>
      <c r="I14" s="390">
        <v>0</v>
      </c>
      <c r="J14" s="390">
        <v>0.2</v>
      </c>
      <c r="K14" s="379"/>
      <c r="L14" s="380">
        <v>3</v>
      </c>
      <c r="M14" s="370"/>
      <c r="N14" s="370"/>
      <c r="O14" s="71"/>
      <c r="P14" s="1195"/>
      <c r="Q14" s="1154" t="s">
        <v>736</v>
      </c>
      <c r="R14" s="395" t="s">
        <v>737</v>
      </c>
      <c r="S14" s="396" t="s">
        <v>738</v>
      </c>
      <c r="T14" s="1137">
        <v>0.05</v>
      </c>
      <c r="U14" s="1137">
        <v>0.04</v>
      </c>
      <c r="V14" s="1137">
        <v>0.05</v>
      </c>
      <c r="W14" s="1137">
        <v>0.05</v>
      </c>
      <c r="X14" s="1137">
        <v>0.05</v>
      </c>
      <c r="Y14" s="1137">
        <v>0.02</v>
      </c>
      <c r="Z14" s="1137">
        <v>0.03</v>
      </c>
      <c r="AA14" s="1137">
        <v>0.01</v>
      </c>
      <c r="AB14" s="1137">
        <v>0</v>
      </c>
      <c r="AC14" s="1151">
        <v>0</v>
      </c>
      <c r="AE14" s="1195"/>
      <c r="AF14" s="1154" t="s">
        <v>736</v>
      </c>
      <c r="AG14" s="395" t="s">
        <v>737</v>
      </c>
      <c r="AH14" s="396" t="s">
        <v>738</v>
      </c>
      <c r="AI14" s="1137">
        <v>0.05</v>
      </c>
      <c r="AJ14" s="1137">
        <v>0.04</v>
      </c>
      <c r="AK14" s="1137">
        <v>0.05</v>
      </c>
      <c r="AL14" s="1137">
        <v>0.05</v>
      </c>
      <c r="AM14" s="1137">
        <v>0.05</v>
      </c>
      <c r="AN14" s="1137">
        <v>0.02</v>
      </c>
      <c r="AO14" s="1137">
        <v>0.03</v>
      </c>
      <c r="AP14" s="1137">
        <v>0.01</v>
      </c>
      <c r="AQ14" s="1137">
        <v>0</v>
      </c>
      <c r="AR14" s="1151">
        <v>0</v>
      </c>
    </row>
    <row r="15" spans="1:44" outlineLevel="1">
      <c r="B15" s="376" t="s">
        <v>658</v>
      </c>
      <c r="C15" s="390">
        <v>0</v>
      </c>
      <c r="D15" s="390">
        <v>0</v>
      </c>
      <c r="E15" s="390">
        <v>0</v>
      </c>
      <c r="F15" s="390">
        <v>0</v>
      </c>
      <c r="G15" s="390">
        <v>0</v>
      </c>
      <c r="H15" s="390">
        <v>0.1</v>
      </c>
      <c r="I15" s="390">
        <v>0</v>
      </c>
      <c r="J15" s="390">
        <v>0.1</v>
      </c>
      <c r="K15" s="379"/>
      <c r="L15" s="380">
        <v>3</v>
      </c>
      <c r="M15" s="367"/>
      <c r="N15" s="367"/>
      <c r="O15" s="71"/>
      <c r="P15" s="1195"/>
      <c r="Q15" s="1155"/>
      <c r="R15" s="395" t="s">
        <v>739</v>
      </c>
      <c r="S15" s="396" t="s">
        <v>738</v>
      </c>
      <c r="T15" s="1191"/>
      <c r="U15" s="1191"/>
      <c r="V15" s="1191"/>
      <c r="W15" s="1191"/>
      <c r="X15" s="1191"/>
      <c r="Y15" s="1191"/>
      <c r="Z15" s="1191"/>
      <c r="AA15" s="1191"/>
      <c r="AB15" s="1191"/>
      <c r="AC15" s="1193"/>
      <c r="AE15" s="1195"/>
      <c r="AF15" s="1155"/>
      <c r="AG15" s="395" t="s">
        <v>739</v>
      </c>
      <c r="AH15" s="396" t="s">
        <v>738</v>
      </c>
      <c r="AI15" s="1191"/>
      <c r="AJ15" s="1191"/>
      <c r="AK15" s="1191"/>
      <c r="AL15" s="1191"/>
      <c r="AM15" s="1191"/>
      <c r="AN15" s="1191"/>
      <c r="AO15" s="1191"/>
      <c r="AP15" s="1191"/>
      <c r="AQ15" s="1191"/>
      <c r="AR15" s="1193"/>
    </row>
    <row r="16" spans="1:44" outlineLevel="1">
      <c r="B16" s="383" t="s">
        <v>11</v>
      </c>
      <c r="C16" s="397">
        <v>30</v>
      </c>
      <c r="D16" s="397">
        <v>30</v>
      </c>
      <c r="E16" s="397">
        <v>30</v>
      </c>
      <c r="F16" s="397">
        <v>30</v>
      </c>
      <c r="G16" s="398">
        <v>20</v>
      </c>
      <c r="H16" s="398">
        <v>35</v>
      </c>
      <c r="I16" s="398">
        <v>20</v>
      </c>
      <c r="J16" s="398">
        <v>35</v>
      </c>
      <c r="K16" s="372"/>
      <c r="L16" s="373">
        <v>4</v>
      </c>
      <c r="M16" s="363"/>
      <c r="N16" s="363"/>
      <c r="P16" s="1195"/>
      <c r="Q16" s="1155"/>
      <c r="R16" s="395" t="s">
        <v>741</v>
      </c>
      <c r="S16" s="396"/>
      <c r="T16" s="1191"/>
      <c r="U16" s="1191"/>
      <c r="V16" s="1191"/>
      <c r="W16" s="1191"/>
      <c r="X16" s="1191"/>
      <c r="Y16" s="1191"/>
      <c r="Z16" s="1191"/>
      <c r="AA16" s="1191"/>
      <c r="AB16" s="1191"/>
      <c r="AC16" s="1193"/>
      <c r="AE16" s="1195"/>
      <c r="AF16" s="1155"/>
      <c r="AG16" s="395" t="s">
        <v>741</v>
      </c>
      <c r="AH16" s="629"/>
      <c r="AI16" s="1191"/>
      <c r="AJ16" s="1191"/>
      <c r="AK16" s="1191"/>
      <c r="AL16" s="1191"/>
      <c r="AM16" s="1191"/>
      <c r="AN16" s="1191"/>
      <c r="AO16" s="1191"/>
      <c r="AP16" s="1191"/>
      <c r="AQ16" s="1191"/>
      <c r="AR16" s="1193"/>
    </row>
    <row r="17" spans="1:44" ht="16" outlineLevel="1" thickBot="1">
      <c r="B17" s="376" t="s">
        <v>273</v>
      </c>
      <c r="C17" s="399">
        <v>0.1</v>
      </c>
      <c r="D17" s="399">
        <v>0.1</v>
      </c>
      <c r="E17" s="399">
        <v>0.1</v>
      </c>
      <c r="F17" s="399">
        <v>0.1</v>
      </c>
      <c r="G17" s="399">
        <v>0.05</v>
      </c>
      <c r="H17" s="399">
        <v>0.1</v>
      </c>
      <c r="I17" s="399">
        <v>0.05</v>
      </c>
      <c r="J17" s="399">
        <v>0.1</v>
      </c>
      <c r="K17" s="372"/>
      <c r="L17" s="400">
        <v>3</v>
      </c>
      <c r="M17" s="363"/>
      <c r="N17" s="363"/>
      <c r="P17" s="1195"/>
      <c r="Q17" s="1155"/>
      <c r="R17" s="395" t="s">
        <v>742</v>
      </c>
      <c r="S17" s="396"/>
      <c r="T17" s="1191"/>
      <c r="U17" s="1191"/>
      <c r="V17" s="1191"/>
      <c r="W17" s="1191"/>
      <c r="X17" s="1191"/>
      <c r="Y17" s="1191"/>
      <c r="Z17" s="1191"/>
      <c r="AA17" s="1191"/>
      <c r="AB17" s="1191"/>
      <c r="AC17" s="1193"/>
      <c r="AE17" s="1195"/>
      <c r="AF17" s="1155"/>
      <c r="AG17" s="395" t="s">
        <v>742</v>
      </c>
      <c r="AH17" s="396"/>
      <c r="AI17" s="1191"/>
      <c r="AJ17" s="1191"/>
      <c r="AK17" s="1191"/>
      <c r="AL17" s="1191"/>
      <c r="AM17" s="1191"/>
      <c r="AN17" s="1191"/>
      <c r="AO17" s="1191"/>
      <c r="AP17" s="1191"/>
      <c r="AQ17" s="1191"/>
      <c r="AR17" s="1193"/>
    </row>
    <row r="18" spans="1:44" ht="16" outlineLevel="1" thickBot="1">
      <c r="B18" s="401" t="s">
        <v>743</v>
      </c>
      <c r="C18" s="402"/>
      <c r="D18" s="403"/>
      <c r="E18" s="404"/>
      <c r="F18" s="405"/>
      <c r="G18" s="406"/>
      <c r="H18" s="406"/>
      <c r="I18" s="406"/>
      <c r="J18" s="406"/>
      <c r="K18" s="407"/>
      <c r="L18" s="408"/>
      <c r="M18" s="363"/>
      <c r="N18" s="363"/>
      <c r="P18" s="1195"/>
      <c r="Q18" s="1156"/>
      <c r="R18" s="409" t="s">
        <v>863</v>
      </c>
      <c r="S18" s="410"/>
      <c r="T18" s="1192"/>
      <c r="U18" s="1192"/>
      <c r="V18" s="1192"/>
      <c r="W18" s="1192"/>
      <c r="X18" s="1192"/>
      <c r="Y18" s="1192"/>
      <c r="Z18" s="1192"/>
      <c r="AA18" s="1192"/>
      <c r="AB18" s="1192"/>
      <c r="AC18" s="1194"/>
      <c r="AE18" s="1195"/>
      <c r="AF18" s="1156"/>
      <c r="AG18" s="409" t="s">
        <v>863</v>
      </c>
      <c r="AH18" s="410"/>
      <c r="AI18" s="1192"/>
      <c r="AJ18" s="1192"/>
      <c r="AK18" s="1192"/>
      <c r="AL18" s="1192"/>
      <c r="AM18" s="1192"/>
      <c r="AN18" s="1192"/>
      <c r="AO18" s="1192"/>
      <c r="AP18" s="1192"/>
      <c r="AQ18" s="1192"/>
      <c r="AR18" s="1194"/>
    </row>
    <row r="19" spans="1:44" ht="33" outlineLevel="1" thickBot="1">
      <c r="B19" s="376" t="s">
        <v>663</v>
      </c>
      <c r="C19" s="390">
        <v>10</v>
      </c>
      <c r="D19" s="390">
        <v>10</v>
      </c>
      <c r="E19" s="390">
        <v>10</v>
      </c>
      <c r="F19" s="390">
        <v>10</v>
      </c>
      <c r="G19" s="391"/>
      <c r="H19" s="391"/>
      <c r="I19" s="391"/>
      <c r="J19" s="391"/>
      <c r="K19" s="379" t="s">
        <v>16</v>
      </c>
      <c r="L19" s="380">
        <v>5</v>
      </c>
      <c r="M19" s="363"/>
      <c r="N19" s="363"/>
      <c r="P19" s="1196"/>
      <c r="Q19" s="411" t="s">
        <v>745</v>
      </c>
      <c r="R19" s="412" t="s">
        <v>746</v>
      </c>
      <c r="S19" s="630"/>
      <c r="T19" s="416">
        <v>0</v>
      </c>
      <c r="U19" s="415">
        <v>0</v>
      </c>
      <c r="V19" s="416">
        <v>0</v>
      </c>
      <c r="W19" s="415">
        <v>0</v>
      </c>
      <c r="X19" s="416">
        <v>0</v>
      </c>
      <c r="Y19" s="415">
        <v>0</v>
      </c>
      <c r="Z19" s="416">
        <v>0</v>
      </c>
      <c r="AA19" s="415">
        <v>0</v>
      </c>
      <c r="AB19" s="416">
        <v>0</v>
      </c>
      <c r="AC19" s="417">
        <v>0</v>
      </c>
      <c r="AE19" s="1196"/>
      <c r="AF19" s="411" t="s">
        <v>745</v>
      </c>
      <c r="AG19" s="631" t="s">
        <v>746</v>
      </c>
      <c r="AH19" s="632"/>
      <c r="AI19" s="416">
        <v>0</v>
      </c>
      <c r="AJ19" s="415">
        <v>0</v>
      </c>
      <c r="AK19" s="416">
        <v>0</v>
      </c>
      <c r="AL19" s="415">
        <v>0</v>
      </c>
      <c r="AM19" s="416">
        <v>0</v>
      </c>
      <c r="AN19" s="415">
        <v>0</v>
      </c>
      <c r="AO19" s="416">
        <v>0</v>
      </c>
      <c r="AP19" s="415">
        <v>0</v>
      </c>
      <c r="AQ19" s="416">
        <v>0</v>
      </c>
      <c r="AR19" s="417">
        <v>0</v>
      </c>
    </row>
    <row r="20" spans="1:44" outlineLevel="1">
      <c r="B20" s="376" t="s">
        <v>664</v>
      </c>
      <c r="C20" s="390">
        <v>0</v>
      </c>
      <c r="D20" s="390">
        <v>0</v>
      </c>
      <c r="E20" s="390">
        <v>0</v>
      </c>
      <c r="F20" s="390">
        <v>0</v>
      </c>
      <c r="G20" s="418"/>
      <c r="H20" s="418"/>
      <c r="I20" s="418"/>
      <c r="J20" s="418"/>
      <c r="K20" s="419"/>
      <c r="L20" s="380">
        <v>5</v>
      </c>
      <c r="M20" s="363"/>
      <c r="N20" s="363"/>
    </row>
    <row r="21" spans="1:44" outlineLevel="1">
      <c r="B21" s="376" t="s">
        <v>666</v>
      </c>
      <c r="C21" s="390">
        <v>0</v>
      </c>
      <c r="D21" s="390">
        <v>0</v>
      </c>
      <c r="E21" s="390">
        <v>0</v>
      </c>
      <c r="F21" s="390">
        <v>0</v>
      </c>
      <c r="G21" s="418"/>
      <c r="H21" s="418"/>
      <c r="I21" s="418"/>
      <c r="J21" s="418"/>
      <c r="K21" s="419"/>
      <c r="L21" s="380">
        <v>5</v>
      </c>
      <c r="M21" s="420"/>
      <c r="N21" s="363"/>
    </row>
    <row r="22" spans="1:44" outlineLevel="1">
      <c r="B22" s="421" t="s">
        <v>12</v>
      </c>
      <c r="C22" s="399"/>
      <c r="D22" s="399"/>
      <c r="E22" s="399"/>
      <c r="F22" s="399"/>
      <c r="G22" s="422"/>
      <c r="H22" s="422"/>
      <c r="I22" s="422"/>
      <c r="J22" s="422"/>
      <c r="K22" s="423"/>
      <c r="L22" s="424"/>
      <c r="M22" s="420"/>
      <c r="N22" s="420"/>
    </row>
    <row r="23" spans="1:44" ht="38.25" customHeight="1" outlineLevel="1">
      <c r="B23" s="383" t="s">
        <v>843</v>
      </c>
      <c r="C23" s="1231" t="s">
        <v>669</v>
      </c>
      <c r="D23" s="1232"/>
      <c r="E23" s="1232"/>
      <c r="F23" s="1233"/>
      <c r="G23" s="422"/>
      <c r="H23" s="425"/>
      <c r="I23" s="425"/>
      <c r="J23" s="425"/>
      <c r="K23" s="426"/>
      <c r="L23" s="427"/>
      <c r="M23" s="428"/>
      <c r="N23" s="428"/>
    </row>
    <row r="24" spans="1:44" outlineLevel="1">
      <c r="B24" s="383" t="s">
        <v>749</v>
      </c>
      <c r="C24" s="1234"/>
      <c r="D24" s="1235"/>
      <c r="E24" s="1235"/>
      <c r="F24" s="1236"/>
      <c r="G24" s="425"/>
      <c r="H24" s="425"/>
      <c r="I24" s="425"/>
      <c r="J24" s="425"/>
      <c r="K24" s="423"/>
      <c r="L24" s="427"/>
      <c r="M24" s="428"/>
      <c r="N24" s="428"/>
    </row>
    <row r="25" spans="1:44" outlineLevel="1">
      <c r="B25" s="383" t="s">
        <v>844</v>
      </c>
      <c r="C25" s="1234"/>
      <c r="D25" s="1235"/>
      <c r="E25" s="1235"/>
      <c r="F25" s="1236"/>
      <c r="G25" s="425"/>
      <c r="H25" s="425"/>
      <c r="I25" s="425"/>
      <c r="J25" s="425"/>
      <c r="K25" s="423"/>
      <c r="L25" s="427"/>
      <c r="M25" s="428"/>
      <c r="N25" s="428"/>
    </row>
    <row r="26" spans="1:44" outlineLevel="1">
      <c r="B26" s="383" t="s">
        <v>366</v>
      </c>
      <c r="C26" s="1234"/>
      <c r="D26" s="1235"/>
      <c r="E26" s="1235"/>
      <c r="F26" s="1236"/>
      <c r="G26" s="425"/>
      <c r="H26" s="425"/>
      <c r="I26" s="425"/>
      <c r="J26" s="425"/>
      <c r="K26" s="423"/>
      <c r="L26" s="427"/>
      <c r="M26" s="428"/>
      <c r="N26" s="428"/>
    </row>
    <row r="27" spans="1:44" ht="16" outlineLevel="1" thickBot="1">
      <c r="B27" s="429" t="s">
        <v>367</v>
      </c>
      <c r="C27" s="1237"/>
      <c r="D27" s="1238"/>
      <c r="E27" s="1238"/>
      <c r="F27" s="1239"/>
      <c r="G27" s="425"/>
      <c r="H27" s="425"/>
      <c r="I27" s="425"/>
      <c r="J27" s="425"/>
      <c r="K27" s="423"/>
      <c r="L27" s="427"/>
      <c r="M27" s="428"/>
      <c r="N27" s="428"/>
    </row>
    <row r="28" spans="1:44" ht="16" outlineLevel="1" thickBot="1">
      <c r="B28" s="431" t="s">
        <v>674</v>
      </c>
      <c r="C28" s="432"/>
      <c r="D28" s="403"/>
      <c r="E28" s="403"/>
      <c r="F28" s="433"/>
      <c r="G28" s="434"/>
      <c r="H28" s="406"/>
      <c r="I28" s="406"/>
      <c r="J28" s="406"/>
      <c r="K28" s="407"/>
      <c r="L28" s="408"/>
      <c r="M28" s="428"/>
      <c r="N28" s="428"/>
    </row>
    <row r="29" spans="1:44" ht="52" customHeight="1" outlineLevel="1">
      <c r="A29" s="435"/>
      <c r="B29" s="436" t="s">
        <v>751</v>
      </c>
      <c r="C29" s="551">
        <v>2.7</v>
      </c>
      <c r="D29" s="647">
        <v>2.6190000000000002</v>
      </c>
      <c r="E29" s="647">
        <v>2.5379999999999998</v>
      </c>
      <c r="F29" s="648">
        <v>2.4300000000000002</v>
      </c>
      <c r="G29" s="425"/>
      <c r="H29" s="425"/>
      <c r="I29" s="425"/>
      <c r="J29" s="425"/>
      <c r="K29" s="426" t="s">
        <v>20</v>
      </c>
      <c r="L29" s="440" t="s">
        <v>923</v>
      </c>
      <c r="M29" s="420"/>
      <c r="N29" s="420"/>
    </row>
    <row r="30" spans="1:44" outlineLevel="1">
      <c r="B30" s="441" t="s">
        <v>839</v>
      </c>
      <c r="C30" s="442">
        <v>85</v>
      </c>
      <c r="D30" s="442">
        <v>85</v>
      </c>
      <c r="E30" s="442">
        <v>85</v>
      </c>
      <c r="F30" s="442">
        <v>85</v>
      </c>
      <c r="G30" s="425"/>
      <c r="H30" s="425"/>
      <c r="I30" s="425"/>
      <c r="J30" s="425"/>
      <c r="K30" s="444"/>
      <c r="L30" s="373">
        <v>9</v>
      </c>
      <c r="M30" s="71"/>
      <c r="N30" s="420"/>
    </row>
    <row r="31" spans="1:44" outlineLevel="1">
      <c r="B31" s="441" t="s">
        <v>840</v>
      </c>
      <c r="C31" s="442">
        <v>15</v>
      </c>
      <c r="D31" s="442">
        <v>15</v>
      </c>
      <c r="E31" s="442">
        <v>15</v>
      </c>
      <c r="F31" s="442">
        <v>15</v>
      </c>
      <c r="G31" s="425"/>
      <c r="H31" s="425"/>
      <c r="I31" s="425"/>
      <c r="J31" s="425"/>
      <c r="K31" s="444"/>
      <c r="L31" s="373">
        <v>9</v>
      </c>
      <c r="M31" s="420"/>
      <c r="N31" s="420"/>
    </row>
    <row r="32" spans="1:44" outlineLevel="1">
      <c r="B32" s="383" t="s">
        <v>841</v>
      </c>
      <c r="C32" s="602">
        <v>0</v>
      </c>
      <c r="D32" s="603">
        <v>0</v>
      </c>
      <c r="E32" s="603">
        <v>0</v>
      </c>
      <c r="F32" s="604">
        <v>0</v>
      </c>
      <c r="G32" s="425"/>
      <c r="H32" s="425"/>
      <c r="I32" s="425"/>
      <c r="J32" s="425"/>
      <c r="K32" s="448"/>
      <c r="L32" s="373"/>
      <c r="M32" s="420"/>
      <c r="N32" s="420"/>
    </row>
    <row r="33" spans="2:30" ht="37" customHeight="1" outlineLevel="1" thickBot="1">
      <c r="B33" s="383" t="s">
        <v>679</v>
      </c>
      <c r="C33" s="449">
        <f>C34+C35</f>
        <v>45.823</v>
      </c>
      <c r="D33" s="449">
        <f t="shared" ref="D33:F33" si="0">D34+D35</f>
        <v>45.825000000000003</v>
      </c>
      <c r="E33" s="449">
        <f t="shared" si="0"/>
        <v>45.826000000000001</v>
      </c>
      <c r="F33" s="449">
        <f t="shared" si="0"/>
        <v>45.826000000000001</v>
      </c>
      <c r="G33" s="425"/>
      <c r="H33" s="425"/>
      <c r="I33" s="425"/>
      <c r="J33" s="425"/>
      <c r="K33" s="448"/>
      <c r="L33" s="373"/>
      <c r="M33" s="450"/>
      <c r="N33" s="361"/>
      <c r="P33" s="1142">
        <f>C33</f>
        <v>45.823</v>
      </c>
      <c r="Q33" s="1143"/>
      <c r="R33" s="1143"/>
      <c r="S33" s="1143"/>
      <c r="T33" s="1143"/>
      <c r="U33" s="1144"/>
    </row>
    <row r="34" spans="2:30" ht="15.75" customHeight="1" outlineLevel="1" thickBot="1">
      <c r="B34" s="451" t="s">
        <v>758</v>
      </c>
      <c r="C34" s="452">
        <f>C13/100*73</f>
        <v>7.2999999999999995E-2</v>
      </c>
      <c r="D34" s="452">
        <f>D13/100*75</f>
        <v>7.4999999999999997E-2</v>
      </c>
      <c r="E34" s="452">
        <f>E13/100*76</f>
        <v>7.5999999999999998E-2</v>
      </c>
      <c r="F34" s="452">
        <f>F13/100*76</f>
        <v>7.5999999999999998E-2</v>
      </c>
      <c r="G34" s="453"/>
      <c r="H34" s="453"/>
      <c r="I34" s="453"/>
      <c r="J34" s="453"/>
      <c r="K34" s="379" t="s">
        <v>76</v>
      </c>
      <c r="L34" s="380"/>
      <c r="M34" s="450"/>
      <c r="N34" s="361"/>
      <c r="P34" s="1134">
        <f>C34</f>
        <v>7.2999999999999995E-2</v>
      </c>
      <c r="Q34" s="1135"/>
      <c r="R34" s="1135"/>
      <c r="S34" s="1135"/>
      <c r="T34" s="1135"/>
      <c r="U34" s="1136"/>
    </row>
    <row r="35" spans="2:30" outlineLevel="1">
      <c r="B35" s="451" t="s">
        <v>759</v>
      </c>
      <c r="C35" s="454">
        <v>45.75</v>
      </c>
      <c r="D35" s="454">
        <v>45.75</v>
      </c>
      <c r="E35" s="454">
        <v>45.75</v>
      </c>
      <c r="F35" s="454">
        <v>45.75</v>
      </c>
      <c r="G35" s="453"/>
      <c r="H35" s="453"/>
      <c r="I35" s="453"/>
      <c r="J35" s="453"/>
      <c r="K35" s="455" t="s">
        <v>25</v>
      </c>
      <c r="L35" s="380">
        <v>6</v>
      </c>
      <c r="M35" s="363"/>
      <c r="N35" s="363"/>
      <c r="P35" s="53" t="s">
        <v>357</v>
      </c>
    </row>
    <row r="36" spans="2:30" ht="30" outlineLevel="1">
      <c r="B36" s="441"/>
      <c r="C36" s="642"/>
      <c r="D36" s="642"/>
      <c r="E36" s="642"/>
      <c r="F36" s="642"/>
      <c r="G36" s="425"/>
      <c r="H36" s="425"/>
      <c r="I36" s="425"/>
      <c r="J36" s="425"/>
      <c r="K36" s="444"/>
      <c r="L36" s="424"/>
      <c r="M36" s="367"/>
      <c r="N36" s="367"/>
      <c r="P36" s="46" t="s">
        <v>335</v>
      </c>
      <c r="Q36" s="46" t="s">
        <v>336</v>
      </c>
      <c r="R36" s="47" t="s">
        <v>337</v>
      </c>
      <c r="S36" s="47" t="s">
        <v>338</v>
      </c>
      <c r="T36" s="47" t="s">
        <v>339</v>
      </c>
      <c r="U36" s="48" t="s">
        <v>340</v>
      </c>
      <c r="V36" s="49" t="s">
        <v>341</v>
      </c>
      <c r="W36" s="49" t="s">
        <v>342</v>
      </c>
      <c r="X36" s="49" t="s">
        <v>343</v>
      </c>
      <c r="Y36" s="49" t="s">
        <v>344</v>
      </c>
      <c r="Z36" s="49" t="s">
        <v>345</v>
      </c>
      <c r="AA36" s="49" t="s">
        <v>346</v>
      </c>
      <c r="AB36" s="49" t="s">
        <v>347</v>
      </c>
      <c r="AC36" s="49" t="s">
        <v>348</v>
      </c>
      <c r="AD36" s="49" t="s">
        <v>349</v>
      </c>
    </row>
    <row r="37" spans="2:30" ht="35" customHeight="1" outlineLevel="1" thickBot="1">
      <c r="B37" s="441"/>
      <c r="C37" s="442"/>
      <c r="D37" s="457"/>
      <c r="E37" s="457"/>
      <c r="F37" s="458"/>
      <c r="G37" s="425"/>
      <c r="H37" s="425"/>
      <c r="I37" s="425"/>
      <c r="J37" s="425"/>
      <c r="K37" s="448"/>
      <c r="L37" s="424"/>
      <c r="M37" s="363"/>
      <c r="N37" s="363"/>
      <c r="P37" s="50"/>
      <c r="Q37" s="50"/>
      <c r="R37" s="51"/>
      <c r="S37" s="51"/>
      <c r="T37" s="51"/>
      <c r="U37" s="51" t="s">
        <v>760</v>
      </c>
      <c r="V37" s="50" t="s">
        <v>761</v>
      </c>
      <c r="W37" s="50"/>
      <c r="X37" s="50"/>
      <c r="Y37" s="50"/>
      <c r="Z37" s="50"/>
      <c r="AA37" s="50"/>
      <c r="AB37" s="50"/>
      <c r="AC37" s="50"/>
      <c r="AD37" s="50"/>
    </row>
    <row r="38" spans="2:30" ht="73" customHeight="1" outlineLevel="1" thickBot="1">
      <c r="B38" s="401" t="s">
        <v>682</v>
      </c>
      <c r="C38" s="402"/>
      <c r="D38" s="403"/>
      <c r="E38" s="404"/>
      <c r="F38" s="405"/>
      <c r="G38" s="406"/>
      <c r="H38" s="406"/>
      <c r="I38" s="406"/>
      <c r="J38" s="406"/>
      <c r="K38" s="459"/>
      <c r="L38" s="460"/>
      <c r="M38" s="363"/>
      <c r="N38" s="363"/>
      <c r="O38" s="461" t="s">
        <v>732</v>
      </c>
      <c r="P38" s="56"/>
      <c r="Q38" s="56"/>
      <c r="R38" s="57"/>
      <c r="S38" s="57"/>
      <c r="T38" s="57"/>
      <c r="U38" s="56" t="s">
        <v>350</v>
      </c>
      <c r="V38" s="56" t="s">
        <v>326</v>
      </c>
      <c r="W38" s="56" t="s">
        <v>327</v>
      </c>
      <c r="X38" s="56" t="s">
        <v>351</v>
      </c>
      <c r="Y38" s="56" t="s">
        <v>351</v>
      </c>
      <c r="Z38" s="56" t="s">
        <v>352</v>
      </c>
      <c r="AA38" s="56" t="s">
        <v>352</v>
      </c>
      <c r="AB38" s="56" t="s">
        <v>352</v>
      </c>
      <c r="AC38" s="56" t="s">
        <v>352</v>
      </c>
      <c r="AD38" s="56" t="s">
        <v>352</v>
      </c>
    </row>
    <row r="39" spans="2:30" outlineLevel="1">
      <c r="B39" s="451" t="s">
        <v>762</v>
      </c>
      <c r="C39" s="633" t="s">
        <v>36</v>
      </c>
      <c r="D39" s="633" t="s">
        <v>36</v>
      </c>
      <c r="E39" s="633" t="s">
        <v>36</v>
      </c>
      <c r="F39" s="633" t="s">
        <v>36</v>
      </c>
      <c r="G39" s="463"/>
      <c r="H39" s="463"/>
      <c r="I39" s="463"/>
      <c r="J39" s="463"/>
      <c r="K39" s="463" t="s">
        <v>33</v>
      </c>
      <c r="L39" s="464"/>
      <c r="M39" s="363"/>
      <c r="N39" s="363"/>
      <c r="O39" s="465">
        <f>C12</f>
        <v>95</v>
      </c>
      <c r="P39" s="466">
        <f>C8</f>
        <v>2020</v>
      </c>
      <c r="Q39" s="58">
        <f>P39</f>
        <v>2020</v>
      </c>
      <c r="R39" s="466">
        <f>O39/100</f>
        <v>0.95</v>
      </c>
      <c r="S39" s="58"/>
      <c r="T39" s="466">
        <f>C16</f>
        <v>30</v>
      </c>
      <c r="U39" s="467">
        <f>C46</f>
        <v>20115.000000000004</v>
      </c>
      <c r="V39" s="467">
        <f>C48</f>
        <v>0</v>
      </c>
      <c r="W39" s="467">
        <f>C49</f>
        <v>94.828152777777774</v>
      </c>
      <c r="X39" s="58"/>
      <c r="Y39" s="58"/>
      <c r="Z39" s="466" t="str">
        <f>C23</f>
        <v>Cf. the utilized electricity</v>
      </c>
      <c r="AA39" s="468">
        <f>C25</f>
        <v>0</v>
      </c>
      <c r="AB39" s="468">
        <f>C26</f>
        <v>0</v>
      </c>
      <c r="AC39" s="468">
        <f>C27</f>
        <v>0</v>
      </c>
      <c r="AD39" s="468">
        <f>C24</f>
        <v>0</v>
      </c>
    </row>
    <row r="40" spans="2:30" ht="14.5" customHeight="1" outlineLevel="1">
      <c r="B40" s="376" t="s">
        <v>763</v>
      </c>
      <c r="C40" s="469" t="s">
        <v>36</v>
      </c>
      <c r="D40" s="470" t="s">
        <v>36</v>
      </c>
      <c r="E40" s="470" t="s">
        <v>36</v>
      </c>
      <c r="F40" s="471" t="s">
        <v>36</v>
      </c>
      <c r="G40" s="471"/>
      <c r="H40" s="471"/>
      <c r="I40" s="471"/>
      <c r="J40" s="471"/>
      <c r="K40" s="472" t="s">
        <v>924</v>
      </c>
      <c r="L40" s="464"/>
      <c r="M40" s="363"/>
      <c r="N40" s="363"/>
      <c r="O40" s="465">
        <f>D12</f>
        <v>95</v>
      </c>
      <c r="P40" s="466">
        <f>D8</f>
        <v>2030</v>
      </c>
      <c r="Q40" s="58"/>
      <c r="R40" s="466">
        <f>O40/100</f>
        <v>0.95</v>
      </c>
      <c r="S40" s="58"/>
      <c r="T40" s="466">
        <f>D16</f>
        <v>30</v>
      </c>
      <c r="U40" s="467">
        <f>D46</f>
        <v>19511.550000000003</v>
      </c>
      <c r="V40" s="467">
        <f>D48</f>
        <v>0</v>
      </c>
      <c r="W40" s="467">
        <f>D49</f>
        <v>94.832291666666663</v>
      </c>
      <c r="X40" s="58"/>
      <c r="Y40" s="58"/>
      <c r="Z40" s="466">
        <f>D23</f>
        <v>0</v>
      </c>
      <c r="AA40" s="468">
        <f>D25</f>
        <v>0</v>
      </c>
      <c r="AB40" s="468">
        <f>D26</f>
        <v>0</v>
      </c>
      <c r="AC40" s="468">
        <f>D27</f>
        <v>0</v>
      </c>
      <c r="AD40" s="468">
        <f>D24</f>
        <v>0</v>
      </c>
    </row>
    <row r="41" spans="2:30" outlineLevel="1">
      <c r="B41" s="376" t="s">
        <v>764</v>
      </c>
      <c r="C41" s="469" t="s">
        <v>36</v>
      </c>
      <c r="D41" s="470" t="s">
        <v>36</v>
      </c>
      <c r="E41" s="470" t="s">
        <v>36</v>
      </c>
      <c r="F41" s="471" t="s">
        <v>36</v>
      </c>
      <c r="G41" s="453"/>
      <c r="H41" s="453"/>
      <c r="I41" s="453"/>
      <c r="J41" s="453"/>
      <c r="K41" s="453"/>
      <c r="L41" s="380"/>
      <c r="M41" s="363"/>
      <c r="N41" s="363"/>
      <c r="O41" s="465">
        <f>E12</f>
        <v>95</v>
      </c>
      <c r="P41" s="466">
        <f>E8</f>
        <v>2040</v>
      </c>
      <c r="Q41" s="58"/>
      <c r="R41" s="466">
        <f>O41/100</f>
        <v>0.95</v>
      </c>
      <c r="S41" s="58"/>
      <c r="T41" s="466">
        <f>E16</f>
        <v>30</v>
      </c>
      <c r="U41" s="467">
        <f>E46</f>
        <v>18908.099999999999</v>
      </c>
      <c r="V41" s="467">
        <f>E48</f>
        <v>0</v>
      </c>
      <c r="W41" s="467">
        <f>E49</f>
        <v>94.834361111111107</v>
      </c>
      <c r="X41" s="58"/>
      <c r="Y41" s="58"/>
      <c r="Z41" s="466">
        <f>E23</f>
        <v>0</v>
      </c>
      <c r="AA41" s="468">
        <f>E25</f>
        <v>0</v>
      </c>
      <c r="AB41" s="468">
        <f>E26</f>
        <v>0</v>
      </c>
      <c r="AC41" s="468">
        <f>E27</f>
        <v>0</v>
      </c>
      <c r="AD41" s="468">
        <f>E24</f>
        <v>0</v>
      </c>
    </row>
    <row r="42" spans="2:30" ht="14.5" customHeight="1" outlineLevel="1">
      <c r="B42" s="376" t="s">
        <v>765</v>
      </c>
      <c r="C42" s="1240" t="s">
        <v>669</v>
      </c>
      <c r="D42" s="1241"/>
      <c r="E42" s="1241"/>
      <c r="F42" s="1242"/>
      <c r="G42" s="474"/>
      <c r="H42" s="474"/>
      <c r="I42" s="474"/>
      <c r="J42" s="474"/>
      <c r="K42" s="474"/>
      <c r="L42" s="380"/>
      <c r="M42" s="363"/>
      <c r="N42" s="363"/>
      <c r="O42" s="465">
        <f>F12</f>
        <v>95</v>
      </c>
      <c r="P42" s="466">
        <f>F8</f>
        <v>2050</v>
      </c>
      <c r="Q42" s="58"/>
      <c r="R42" s="466">
        <f>O42/100</f>
        <v>0.95</v>
      </c>
      <c r="S42" s="58"/>
      <c r="T42" s="466">
        <f>F16</f>
        <v>30</v>
      </c>
      <c r="U42" s="467">
        <f>F46</f>
        <v>18103.5</v>
      </c>
      <c r="V42" s="467">
        <f>F48</f>
        <v>0</v>
      </c>
      <c r="W42" s="467">
        <f>F49</f>
        <v>94.834361111111107</v>
      </c>
      <c r="X42" s="58"/>
      <c r="Y42" s="58"/>
      <c r="Z42" s="466">
        <f>F23</f>
        <v>0</v>
      </c>
      <c r="AA42" s="468">
        <f>F25</f>
        <v>0</v>
      </c>
      <c r="AB42" s="468">
        <f>F26</f>
        <v>0</v>
      </c>
      <c r="AC42" s="468">
        <f>F27</f>
        <v>0</v>
      </c>
      <c r="AD42" s="468">
        <f>F24</f>
        <v>0</v>
      </c>
    </row>
    <row r="43" spans="2:30" outlineLevel="1">
      <c r="B43" s="475" t="s">
        <v>766</v>
      </c>
      <c r="C43" s="469" t="s">
        <v>36</v>
      </c>
      <c r="D43" s="470" t="s">
        <v>36</v>
      </c>
      <c r="E43" s="470" t="s">
        <v>36</v>
      </c>
      <c r="F43" s="471" t="s">
        <v>36</v>
      </c>
      <c r="G43" s="474"/>
      <c r="H43" s="474"/>
      <c r="I43" s="474"/>
      <c r="J43" s="474"/>
      <c r="K43" s="474"/>
      <c r="L43" s="476"/>
      <c r="M43" s="367"/>
      <c r="N43" s="367"/>
    </row>
    <row r="44" spans="2:30" outlineLevel="1">
      <c r="B44" s="475" t="s">
        <v>767</v>
      </c>
      <c r="C44" s="469" t="s">
        <v>36</v>
      </c>
      <c r="D44" s="470" t="s">
        <v>36</v>
      </c>
      <c r="E44" s="470" t="s">
        <v>36</v>
      </c>
      <c r="F44" s="471" t="s">
        <v>36</v>
      </c>
      <c r="G44" s="474"/>
      <c r="H44" s="474"/>
      <c r="I44" s="474"/>
      <c r="J44" s="474"/>
      <c r="K44" s="474"/>
      <c r="L44" s="476"/>
      <c r="M44" s="363"/>
      <c r="N44" s="363"/>
    </row>
    <row r="45" spans="2:30" ht="16" outlineLevel="1" thickBot="1">
      <c r="B45" s="477" t="s">
        <v>768</v>
      </c>
      <c r="C45" s="478" t="s">
        <v>36</v>
      </c>
      <c r="D45" s="479" t="s">
        <v>36</v>
      </c>
      <c r="E45" s="479" t="s">
        <v>36</v>
      </c>
      <c r="F45" s="480" t="s">
        <v>36</v>
      </c>
      <c r="G45" s="481"/>
      <c r="H45" s="481"/>
      <c r="I45" s="481"/>
      <c r="J45" s="481"/>
      <c r="K45" s="481"/>
      <c r="L45" s="482"/>
      <c r="M45" s="363"/>
      <c r="N45" s="363"/>
    </row>
    <row r="46" spans="2:30" ht="64" outlineLevel="1">
      <c r="B46" s="461" t="s">
        <v>769</v>
      </c>
      <c r="C46" s="483">
        <f>C29*$F$4*1000</f>
        <v>20115.000000000004</v>
      </c>
      <c r="D46" s="483">
        <f t="shared" ref="D46:F46" si="1">D29*$F$4*1000</f>
        <v>19511.550000000003</v>
      </c>
      <c r="E46" s="483">
        <f t="shared" si="1"/>
        <v>18908.099999999999</v>
      </c>
      <c r="F46" s="483">
        <f t="shared" si="1"/>
        <v>18103.5</v>
      </c>
      <c r="G46" s="483"/>
      <c r="H46" s="484"/>
      <c r="I46" s="420" t="s">
        <v>332</v>
      </c>
      <c r="J46" s="420"/>
      <c r="K46" s="484"/>
      <c r="L46" s="484"/>
      <c r="N46" s="420"/>
    </row>
    <row r="47" spans="2:30" outlineLevel="1">
      <c r="B47" s="485" t="s">
        <v>770</v>
      </c>
      <c r="C47" s="486">
        <f>C46*$I47</f>
        <v>10057500.000000002</v>
      </c>
      <c r="D47" s="486">
        <f>D46*$I47</f>
        <v>9755775.0000000019</v>
      </c>
      <c r="E47" s="486">
        <f>E46*$I47</f>
        <v>9454050</v>
      </c>
      <c r="F47" s="486">
        <f>F46*$I47</f>
        <v>9051750</v>
      </c>
      <c r="G47" s="486"/>
      <c r="H47" s="484"/>
      <c r="I47" s="71">
        <v>500</v>
      </c>
      <c r="J47" s="420" t="s">
        <v>330</v>
      </c>
      <c r="K47" s="484"/>
      <c r="L47" s="484"/>
      <c r="N47" s="420"/>
    </row>
    <row r="48" spans="2:30" ht="48" outlineLevel="1">
      <c r="B48" s="461" t="s">
        <v>845</v>
      </c>
      <c r="C48" s="359">
        <f>C32*$F$4/1000</f>
        <v>0</v>
      </c>
      <c r="D48" s="359">
        <f t="shared" ref="D48:F48" si="2">D32*$F$4/1000</f>
        <v>0</v>
      </c>
      <c r="E48" s="359">
        <f t="shared" si="2"/>
        <v>0</v>
      </c>
      <c r="F48" s="359">
        <f t="shared" si="2"/>
        <v>0</v>
      </c>
      <c r="G48" s="359"/>
      <c r="I48" s="420" t="s">
        <v>333</v>
      </c>
      <c r="J48" s="420"/>
      <c r="N48" s="420"/>
    </row>
    <row r="49" spans="2:14" ht="48" outlineLevel="1">
      <c r="B49" s="461" t="s">
        <v>846</v>
      </c>
      <c r="C49" s="487">
        <f>C33*$F$4/3.6</f>
        <v>94.828152777777774</v>
      </c>
      <c r="D49" s="487">
        <f t="shared" ref="D49:F49" si="3">D33*$F$4/3.6</f>
        <v>94.832291666666663</v>
      </c>
      <c r="E49" s="487">
        <f t="shared" si="3"/>
        <v>94.834361111111107</v>
      </c>
      <c r="F49" s="487">
        <f t="shared" si="3"/>
        <v>94.834361111111107</v>
      </c>
      <c r="G49" s="359"/>
      <c r="M49" s="420"/>
      <c r="N49" s="420"/>
    </row>
    <row r="50" spans="2:14" outlineLevel="1"/>
    <row r="51" spans="2:14" outlineLevel="1"/>
    <row r="52" spans="2:14" outlineLevel="1"/>
    <row r="53" spans="2:14" outlineLevel="1"/>
    <row r="54" spans="2:14" outlineLevel="1">
      <c r="E54" s="358"/>
      <c r="F54" s="358"/>
      <c r="G54" s="358"/>
      <c r="H54" s="358"/>
      <c r="I54" s="358"/>
      <c r="J54" s="358"/>
      <c r="K54" s="358"/>
      <c r="L54" s="358"/>
    </row>
    <row r="55" spans="2:14" outlineLevel="1">
      <c r="B55" s="488" t="s">
        <v>773</v>
      </c>
      <c r="C55" s="489"/>
      <c r="E55" s="358"/>
      <c r="F55" s="358"/>
      <c r="G55" s="358"/>
      <c r="H55" s="358"/>
      <c r="I55" s="358"/>
      <c r="J55" s="358"/>
      <c r="K55" s="358"/>
      <c r="L55" s="358"/>
    </row>
    <row r="56" spans="2:14" outlineLevel="1">
      <c r="B56" s="358">
        <v>1</v>
      </c>
      <c r="C56" s="490" t="s">
        <v>925</v>
      </c>
      <c r="F56" s="358"/>
      <c r="G56" s="358"/>
      <c r="H56" s="358"/>
      <c r="I56" s="358"/>
      <c r="J56" s="358"/>
      <c r="K56" s="358"/>
      <c r="L56" s="358"/>
    </row>
    <row r="57" spans="2:14" outlineLevel="1">
      <c r="B57" s="358">
        <v>2</v>
      </c>
      <c r="C57" s="490" t="s">
        <v>926</v>
      </c>
      <c r="F57" s="358"/>
      <c r="G57" s="358"/>
      <c r="H57" s="358"/>
      <c r="I57" s="358"/>
      <c r="J57" s="358"/>
      <c r="K57" s="358"/>
      <c r="L57" s="358"/>
    </row>
    <row r="58" spans="2:14" outlineLevel="1">
      <c r="B58" s="358">
        <v>3</v>
      </c>
      <c r="C58" s="490" t="s">
        <v>878</v>
      </c>
      <c r="F58" s="358"/>
      <c r="G58" s="358"/>
      <c r="H58" s="358"/>
      <c r="I58" s="358"/>
      <c r="J58" s="358"/>
      <c r="K58" s="358"/>
      <c r="L58" s="358"/>
    </row>
    <row r="59" spans="2:14" outlineLevel="1">
      <c r="B59" s="358">
        <v>4</v>
      </c>
      <c r="C59" s="490" t="s">
        <v>927</v>
      </c>
      <c r="F59" s="358"/>
      <c r="G59" s="358"/>
      <c r="H59" s="358"/>
      <c r="I59" s="358"/>
      <c r="J59" s="358"/>
      <c r="K59" s="358"/>
      <c r="L59" s="358"/>
    </row>
    <row r="60" spans="2:14" outlineLevel="1">
      <c r="B60" s="358">
        <v>5</v>
      </c>
      <c r="C60" s="490" t="s">
        <v>928</v>
      </c>
      <c r="F60" s="358"/>
      <c r="G60" s="358"/>
      <c r="H60" s="358"/>
      <c r="I60" s="358"/>
      <c r="J60" s="358"/>
      <c r="K60" s="358"/>
      <c r="L60" s="358"/>
    </row>
    <row r="61" spans="2:14" outlineLevel="1">
      <c r="B61" s="358">
        <v>6</v>
      </c>
      <c r="C61" s="490" t="s">
        <v>929</v>
      </c>
      <c r="F61" s="358"/>
      <c r="G61" s="358"/>
      <c r="H61" s="358"/>
      <c r="I61" s="358"/>
      <c r="J61" s="358"/>
      <c r="K61" s="358"/>
      <c r="L61" s="358"/>
    </row>
    <row r="62" spans="2:14" outlineLevel="1">
      <c r="B62" s="358">
        <v>7</v>
      </c>
      <c r="C62" s="490" t="s">
        <v>930</v>
      </c>
      <c r="F62" s="358"/>
      <c r="G62" s="358"/>
      <c r="H62" s="358"/>
      <c r="I62" s="358"/>
      <c r="J62" s="358"/>
      <c r="K62" s="358"/>
      <c r="L62" s="358"/>
    </row>
    <row r="63" spans="2:14" outlineLevel="1">
      <c r="B63" s="358">
        <v>8</v>
      </c>
      <c r="C63" s="625" t="s">
        <v>931</v>
      </c>
      <c r="F63" s="358"/>
      <c r="G63" s="358"/>
      <c r="H63" s="358"/>
      <c r="I63" s="358"/>
      <c r="J63" s="358"/>
      <c r="K63" s="358"/>
      <c r="L63" s="358"/>
    </row>
    <row r="64" spans="2:14" outlineLevel="1">
      <c r="B64" s="358">
        <v>9</v>
      </c>
      <c r="C64" s="490" t="s">
        <v>932</v>
      </c>
      <c r="F64" s="358"/>
      <c r="G64" s="358"/>
      <c r="H64" s="358"/>
      <c r="I64" s="358"/>
      <c r="J64" s="358"/>
      <c r="K64" s="358"/>
      <c r="L64" s="358"/>
    </row>
    <row r="65" spans="1:44" outlineLevel="1">
      <c r="B65" s="488" t="s">
        <v>783</v>
      </c>
      <c r="C65" s="489"/>
      <c r="F65" s="358"/>
      <c r="G65" s="358"/>
      <c r="H65" s="358"/>
      <c r="I65" s="358"/>
      <c r="J65" s="358"/>
      <c r="K65" s="358"/>
      <c r="L65" s="358"/>
    </row>
    <row r="66" spans="1:44" outlineLevel="1">
      <c r="B66" s="496" t="s">
        <v>6</v>
      </c>
      <c r="C66" s="490" t="s">
        <v>933</v>
      </c>
      <c r="D66" s="489"/>
      <c r="F66" s="358"/>
      <c r="G66" s="358"/>
      <c r="H66" s="358"/>
      <c r="I66" s="358"/>
      <c r="J66" s="358"/>
      <c r="K66" s="358"/>
      <c r="L66" s="358"/>
    </row>
    <row r="67" spans="1:44" outlineLevel="1">
      <c r="B67" s="496" t="s">
        <v>59</v>
      </c>
      <c r="C67" s="490" t="s">
        <v>934</v>
      </c>
      <c r="D67" s="489"/>
      <c r="F67" s="358"/>
      <c r="G67" s="358"/>
      <c r="H67" s="358"/>
      <c r="I67" s="358"/>
      <c r="J67" s="358"/>
      <c r="K67" s="358"/>
      <c r="L67" s="358"/>
    </row>
    <row r="68" spans="1:44" outlineLevel="1">
      <c r="B68" s="496" t="s">
        <v>16</v>
      </c>
      <c r="C68" s="490" t="s">
        <v>935</v>
      </c>
      <c r="D68" s="489"/>
      <c r="F68" s="358"/>
      <c r="G68" s="358"/>
      <c r="H68" s="358"/>
      <c r="I68" s="358"/>
      <c r="J68" s="358"/>
      <c r="K68" s="358"/>
      <c r="L68" s="358"/>
    </row>
    <row r="69" spans="1:44" outlineLevel="1">
      <c r="B69" s="496" t="s">
        <v>20</v>
      </c>
      <c r="C69" s="490" t="s">
        <v>936</v>
      </c>
      <c r="D69" s="489"/>
      <c r="F69" s="358"/>
      <c r="G69" s="358"/>
      <c r="H69" s="358"/>
      <c r="I69" s="358"/>
      <c r="J69" s="358"/>
      <c r="K69" s="358"/>
      <c r="L69" s="358"/>
    </row>
    <row r="70" spans="1:44" outlineLevel="1">
      <c r="B70" s="496" t="s">
        <v>76</v>
      </c>
      <c r="C70" s="628" t="s">
        <v>788</v>
      </c>
      <c r="D70" s="489"/>
      <c r="G70" s="358"/>
      <c r="H70" s="358"/>
      <c r="I70" s="358"/>
      <c r="J70" s="358"/>
      <c r="K70" s="358"/>
      <c r="L70" s="358"/>
    </row>
    <row r="71" spans="1:44" outlineLevel="1">
      <c r="B71" s="496" t="s">
        <v>25</v>
      </c>
      <c r="C71" s="490" t="s">
        <v>937</v>
      </c>
      <c r="D71" s="489"/>
      <c r="E71" s="490"/>
      <c r="F71" s="490"/>
    </row>
    <row r="72" spans="1:44" outlineLevel="1">
      <c r="B72" s="496" t="s">
        <v>33</v>
      </c>
      <c r="C72" s="490" t="s">
        <v>883</v>
      </c>
      <c r="D72" s="489"/>
    </row>
    <row r="73" spans="1:44" outlineLevel="1">
      <c r="B73" s="496" t="s">
        <v>51</v>
      </c>
      <c r="C73" s="490" t="s">
        <v>938</v>
      </c>
      <c r="D73" s="489"/>
    </row>
    <row r="74" spans="1:44" outlineLevel="1">
      <c r="B74" s="496" t="s">
        <v>52</v>
      </c>
      <c r="C74" s="490" t="s">
        <v>939</v>
      </c>
      <c r="D74" s="489"/>
    </row>
    <row r="75" spans="1:44">
      <c r="B75" s="496"/>
      <c r="C75" s="498"/>
      <c r="D75" s="489"/>
    </row>
    <row r="77" spans="1:44">
      <c r="A77" s="360"/>
      <c r="B77" s="1207"/>
      <c r="C77" s="1143"/>
      <c r="D77" s="1143"/>
      <c r="E77" s="1143"/>
      <c r="F77" s="1143"/>
      <c r="G77" s="1143"/>
      <c r="H77" s="1143"/>
      <c r="I77" s="1143"/>
      <c r="J77" s="1143"/>
      <c r="K77" s="1143"/>
      <c r="L77" s="1143"/>
      <c r="M77" s="1143"/>
      <c r="N77" s="361"/>
      <c r="P77" s="1143"/>
      <c r="Q77" s="1143"/>
      <c r="R77" s="1143"/>
      <c r="S77" s="1143"/>
      <c r="T77" s="1143"/>
      <c r="U77" s="1143"/>
    </row>
    <row r="78" spans="1:44" ht="16" outlineLevel="1" thickBot="1">
      <c r="B78" s="1207"/>
      <c r="C78" s="1143"/>
      <c r="D78" s="1143"/>
      <c r="E78" s="1143"/>
      <c r="F78" s="1143"/>
      <c r="G78" s="1143"/>
      <c r="H78" s="1143"/>
      <c r="I78" s="1143"/>
      <c r="J78" s="1143"/>
      <c r="K78" s="1143"/>
      <c r="L78" s="1143"/>
      <c r="M78" s="1143"/>
      <c r="N78" s="361"/>
      <c r="P78" s="1143"/>
      <c r="Q78" s="1143"/>
      <c r="R78" s="1143"/>
      <c r="S78" s="1143"/>
      <c r="T78" s="1143"/>
      <c r="U78" s="1143"/>
    </row>
    <row r="79" spans="1:44" ht="20.5" customHeight="1" outlineLevel="1" thickBot="1">
      <c r="B79" s="362"/>
      <c r="C79" s="1186"/>
      <c r="D79" s="1205"/>
      <c r="E79" s="1205"/>
      <c r="F79" s="1205"/>
      <c r="G79" s="1205"/>
      <c r="H79" s="1205"/>
      <c r="I79" s="1205"/>
      <c r="J79" s="1205"/>
      <c r="K79" s="1205"/>
      <c r="L79" s="1206"/>
      <c r="M79" s="363"/>
      <c r="N79" s="363"/>
      <c r="P79" s="364"/>
      <c r="Q79" s="365"/>
      <c r="R79" s="366"/>
      <c r="S79" s="1176"/>
      <c r="T79" s="1160"/>
      <c r="U79" s="1161"/>
      <c r="V79" s="1160"/>
      <c r="W79" s="1161"/>
      <c r="X79" s="1160"/>
      <c r="Y79" s="1161"/>
      <c r="Z79" s="1160"/>
      <c r="AA79" s="1161"/>
      <c r="AB79" s="1160"/>
      <c r="AC79" s="1161"/>
      <c r="AE79" s="364"/>
      <c r="AF79" s="365"/>
      <c r="AG79" s="366"/>
      <c r="AH79" s="1176"/>
      <c r="AI79" s="1160"/>
      <c r="AJ79" s="1161"/>
      <c r="AK79" s="1160"/>
      <c r="AL79" s="1161"/>
      <c r="AM79" s="1160"/>
      <c r="AN79" s="1161"/>
      <c r="AO79" s="1160"/>
      <c r="AP79" s="1161"/>
      <c r="AQ79" s="1160"/>
      <c r="AR79" s="1161"/>
    </row>
    <row r="80" spans="1:44" ht="15" customHeight="1" outlineLevel="1" thickBot="1">
      <c r="B80" s="1164"/>
      <c r="C80" s="1166"/>
      <c r="D80" s="1166"/>
      <c r="E80" s="1166"/>
      <c r="F80" s="1166"/>
      <c r="G80" s="1200"/>
      <c r="H80" s="1201"/>
      <c r="I80" s="1200"/>
      <c r="J80" s="1201"/>
      <c r="K80" s="1202"/>
      <c r="L80" s="1202"/>
      <c r="M80" s="367"/>
      <c r="N80" s="367"/>
      <c r="P80" s="1180"/>
      <c r="Q80" s="368"/>
      <c r="R80" s="368"/>
      <c r="S80" s="1177"/>
      <c r="T80" s="1162"/>
      <c r="U80" s="1163"/>
      <c r="V80" s="1162"/>
      <c r="W80" s="1163"/>
      <c r="X80" s="1162"/>
      <c r="Y80" s="1163"/>
      <c r="Z80" s="1162"/>
      <c r="AA80" s="1163"/>
      <c r="AB80" s="1162"/>
      <c r="AC80" s="1163"/>
      <c r="AE80" s="1180"/>
      <c r="AF80" s="368"/>
      <c r="AG80" s="368"/>
      <c r="AH80" s="1177"/>
      <c r="AI80" s="1162"/>
      <c r="AJ80" s="1163"/>
      <c r="AK80" s="1162"/>
      <c r="AL80" s="1163"/>
      <c r="AM80" s="1162"/>
      <c r="AN80" s="1163"/>
      <c r="AO80" s="1162"/>
      <c r="AP80" s="1163"/>
      <c r="AQ80" s="1162"/>
      <c r="AR80" s="1163"/>
    </row>
    <row r="81" spans="2:44" ht="15" customHeight="1" outlineLevel="1" thickBot="1">
      <c r="B81" s="1165"/>
      <c r="C81" s="1167"/>
      <c r="D81" s="1167"/>
      <c r="E81" s="1167"/>
      <c r="F81" s="1167"/>
      <c r="G81" s="499"/>
      <c r="H81" s="499"/>
      <c r="I81" s="499"/>
      <c r="J81" s="499"/>
      <c r="K81" s="1203"/>
      <c r="L81" s="1203"/>
      <c r="M81" s="370"/>
      <c r="N81" s="370"/>
      <c r="P81" s="1181"/>
      <c r="Q81" s="1183"/>
      <c r="R81" s="1184"/>
      <c r="S81" s="1178"/>
      <c r="T81" s="1162"/>
      <c r="U81" s="1163"/>
      <c r="V81" s="1162"/>
      <c r="W81" s="1163"/>
      <c r="X81" s="1162"/>
      <c r="Y81" s="1163"/>
      <c r="Z81" s="1162"/>
      <c r="AA81" s="1163"/>
      <c r="AB81" s="1162"/>
      <c r="AC81" s="1163"/>
      <c r="AE81" s="1181"/>
      <c r="AF81" s="1197"/>
      <c r="AG81" s="1184"/>
      <c r="AH81" s="1178"/>
      <c r="AI81" s="1162"/>
      <c r="AJ81" s="1163"/>
      <c r="AK81" s="1162"/>
      <c r="AL81" s="1163"/>
      <c r="AM81" s="1162"/>
      <c r="AN81" s="1163"/>
      <c r="AO81" s="1162"/>
      <c r="AP81" s="1163"/>
      <c r="AQ81" s="1162"/>
      <c r="AR81" s="1163"/>
    </row>
    <row r="82" spans="2:44" ht="16" outlineLevel="1" thickBot="1">
      <c r="B82" s="371"/>
      <c r="C82" s="372"/>
      <c r="D82" s="372"/>
      <c r="E82" s="372"/>
      <c r="F82" s="372"/>
      <c r="G82" s="372"/>
      <c r="H82" s="372"/>
      <c r="I82" s="372"/>
      <c r="J82" s="372"/>
      <c r="K82" s="372"/>
      <c r="L82" s="373"/>
      <c r="M82" s="370"/>
      <c r="N82" s="370"/>
      <c r="O82" s="74"/>
      <c r="P82" s="1182"/>
      <c r="Q82" s="1179"/>
      <c r="R82" s="1185"/>
      <c r="S82" s="1179"/>
      <c r="T82" s="374"/>
      <c r="U82" s="375"/>
      <c r="V82" s="374"/>
      <c r="W82" s="375"/>
      <c r="X82" s="374"/>
      <c r="Y82" s="375"/>
      <c r="Z82" s="374"/>
      <c r="AA82" s="375"/>
      <c r="AB82" s="374"/>
      <c r="AC82" s="375"/>
      <c r="AE82" s="1182"/>
      <c r="AF82" s="1198"/>
      <c r="AG82" s="1185"/>
      <c r="AH82" s="1179"/>
      <c r="AI82" s="374"/>
      <c r="AJ82" s="375"/>
      <c r="AK82" s="374"/>
      <c r="AL82" s="375"/>
      <c r="AM82" s="374"/>
      <c r="AN82" s="375"/>
      <c r="AO82" s="374"/>
      <c r="AP82" s="375"/>
      <c r="AQ82" s="374"/>
      <c r="AR82" s="375"/>
    </row>
    <row r="83" spans="2:44" ht="15" customHeight="1" outlineLevel="1">
      <c r="B83" s="500"/>
      <c r="C83" s="501"/>
      <c r="D83" s="501"/>
      <c r="E83" s="502"/>
      <c r="F83" s="501"/>
      <c r="G83" s="501"/>
      <c r="H83" s="501"/>
      <c r="I83" s="501"/>
      <c r="J83" s="501"/>
      <c r="K83" s="503"/>
      <c r="L83" s="504"/>
      <c r="M83" s="370"/>
      <c r="N83" s="370"/>
      <c r="P83" s="1148"/>
      <c r="Q83" s="1154"/>
      <c r="R83" s="381"/>
      <c r="S83" s="382"/>
      <c r="T83" s="1137"/>
      <c r="U83" s="1151"/>
      <c r="V83" s="1137"/>
      <c r="W83" s="1151"/>
      <c r="X83" s="1137"/>
      <c r="Y83" s="1151"/>
      <c r="Z83" s="1137"/>
      <c r="AA83" s="1151"/>
      <c r="AB83" s="1137"/>
      <c r="AC83" s="1151"/>
      <c r="AE83" s="1148"/>
      <c r="AF83" s="1154"/>
      <c r="AG83" s="381"/>
      <c r="AH83" s="382"/>
      <c r="AI83" s="1137"/>
      <c r="AJ83" s="1151"/>
      <c r="AK83" s="1137"/>
      <c r="AL83" s="1151"/>
      <c r="AM83" s="1137"/>
      <c r="AN83" s="1151"/>
      <c r="AO83" s="1137"/>
      <c r="AP83" s="1151"/>
      <c r="AQ83" s="1137"/>
      <c r="AR83" s="1151"/>
    </row>
    <row r="84" spans="2:44" outlineLevel="1">
      <c r="B84" s="383"/>
      <c r="C84" s="384"/>
      <c r="D84" s="384"/>
      <c r="E84" s="384"/>
      <c r="F84" s="384"/>
      <c r="G84" s="505"/>
      <c r="H84" s="505"/>
      <c r="I84" s="505"/>
      <c r="J84" s="505"/>
      <c r="K84" s="372"/>
      <c r="L84" s="373"/>
      <c r="M84" s="370"/>
      <c r="N84" s="370"/>
      <c r="O84" s="71"/>
      <c r="P84" s="1195"/>
      <c r="Q84" s="1155"/>
      <c r="R84" s="388"/>
      <c r="S84" s="389"/>
      <c r="T84" s="1140"/>
      <c r="U84" s="1152"/>
      <c r="V84" s="1140"/>
      <c r="W84" s="1152"/>
      <c r="X84" s="1140"/>
      <c r="Y84" s="1152"/>
      <c r="Z84" s="1140"/>
      <c r="AA84" s="1152"/>
      <c r="AB84" s="1140"/>
      <c r="AC84" s="1152"/>
      <c r="AE84" s="1195"/>
      <c r="AF84" s="1155"/>
      <c r="AG84" s="388"/>
      <c r="AH84" s="389"/>
      <c r="AI84" s="1140"/>
      <c r="AJ84" s="1152"/>
      <c r="AK84" s="1140"/>
      <c r="AL84" s="1152"/>
      <c r="AM84" s="1140"/>
      <c r="AN84" s="1152"/>
      <c r="AO84" s="1140"/>
      <c r="AP84" s="1152"/>
      <c r="AQ84" s="1140"/>
      <c r="AR84" s="1152"/>
    </row>
    <row r="85" spans="2:44" ht="16" outlineLevel="1" thickBot="1">
      <c r="B85" s="500"/>
      <c r="C85" s="506"/>
      <c r="D85" s="507"/>
      <c r="E85" s="507"/>
      <c r="F85" s="508"/>
      <c r="G85" s="507"/>
      <c r="H85" s="507"/>
      <c r="I85" s="507"/>
      <c r="J85" s="507"/>
      <c r="K85" s="503"/>
      <c r="L85" s="504"/>
      <c r="M85" s="370"/>
      <c r="N85" s="370"/>
      <c r="O85" s="71"/>
      <c r="P85" s="1195"/>
      <c r="Q85" s="1156"/>
      <c r="R85" s="393"/>
      <c r="S85" s="394"/>
      <c r="T85" s="1141"/>
      <c r="U85" s="1153"/>
      <c r="V85" s="1141"/>
      <c r="W85" s="1153"/>
      <c r="X85" s="1141"/>
      <c r="Y85" s="1153"/>
      <c r="Z85" s="1141"/>
      <c r="AA85" s="1153"/>
      <c r="AB85" s="1141"/>
      <c r="AC85" s="1153"/>
      <c r="AE85" s="1195"/>
      <c r="AF85" s="1156"/>
      <c r="AG85" s="393"/>
      <c r="AH85" s="394"/>
      <c r="AI85" s="1141"/>
      <c r="AJ85" s="1153"/>
      <c r="AK85" s="1141"/>
      <c r="AL85" s="1153"/>
      <c r="AM85" s="1141"/>
      <c r="AN85" s="1153"/>
      <c r="AO85" s="1141"/>
      <c r="AP85" s="1153"/>
      <c r="AQ85" s="1141"/>
      <c r="AR85" s="1153"/>
    </row>
    <row r="86" spans="2:44" ht="15" customHeight="1" outlineLevel="1">
      <c r="B86" s="500"/>
      <c r="C86" s="506"/>
      <c r="D86" s="506"/>
      <c r="E86" s="506"/>
      <c r="F86" s="506"/>
      <c r="G86" s="506"/>
      <c r="H86" s="506"/>
      <c r="I86" s="506"/>
      <c r="J86" s="506"/>
      <c r="K86" s="503"/>
      <c r="L86" s="504"/>
      <c r="M86" s="370"/>
      <c r="N86" s="370"/>
      <c r="O86" s="71"/>
      <c r="P86" s="1195"/>
      <c r="Q86" s="1154"/>
      <c r="R86" s="395"/>
      <c r="S86" s="396"/>
      <c r="T86" s="1137"/>
      <c r="U86" s="1137"/>
      <c r="V86" s="1137"/>
      <c r="W86" s="1137"/>
      <c r="X86" s="1137"/>
      <c r="Y86" s="1137"/>
      <c r="Z86" s="1137"/>
      <c r="AA86" s="1137"/>
      <c r="AB86" s="1137"/>
      <c r="AC86" s="1137"/>
      <c r="AE86" s="1195"/>
      <c r="AF86" s="1154"/>
      <c r="AG86" s="395"/>
      <c r="AH86" s="396"/>
      <c r="AI86" s="1137"/>
      <c r="AJ86" s="1137"/>
      <c r="AK86" s="1137"/>
      <c r="AL86" s="1137"/>
      <c r="AM86" s="1137"/>
      <c r="AN86" s="1137"/>
      <c r="AO86" s="1137"/>
      <c r="AP86" s="1137"/>
      <c r="AQ86" s="1137"/>
      <c r="AR86" s="1137"/>
    </row>
    <row r="87" spans="2:44" outlineLevel="1">
      <c r="B87" s="500"/>
      <c r="C87" s="506"/>
      <c r="D87" s="506"/>
      <c r="E87" s="506"/>
      <c r="F87" s="506"/>
      <c r="G87" s="506"/>
      <c r="H87" s="506"/>
      <c r="I87" s="506"/>
      <c r="J87" s="506"/>
      <c r="K87" s="503"/>
      <c r="L87" s="504"/>
      <c r="M87" s="367"/>
      <c r="N87" s="367"/>
      <c r="O87" s="71"/>
      <c r="P87" s="1195"/>
      <c r="Q87" s="1155"/>
      <c r="R87" s="395"/>
      <c r="S87" s="396"/>
      <c r="T87" s="1138"/>
      <c r="U87" s="1138"/>
      <c r="V87" s="1138"/>
      <c r="W87" s="1138"/>
      <c r="X87" s="1138"/>
      <c r="Y87" s="1138"/>
      <c r="Z87" s="1138"/>
      <c r="AA87" s="1138"/>
      <c r="AB87" s="1138"/>
      <c r="AC87" s="1138"/>
      <c r="AE87" s="1195"/>
      <c r="AF87" s="1155"/>
      <c r="AG87" s="395"/>
      <c r="AH87" s="396"/>
      <c r="AI87" s="1138"/>
      <c r="AJ87" s="1138"/>
      <c r="AK87" s="1138"/>
      <c r="AL87" s="1138"/>
      <c r="AM87" s="1138"/>
      <c r="AN87" s="1138"/>
      <c r="AO87" s="1138"/>
      <c r="AP87" s="1138"/>
      <c r="AQ87" s="1138"/>
      <c r="AR87" s="1138"/>
    </row>
    <row r="88" spans="2:44" outlineLevel="1">
      <c r="B88" s="383"/>
      <c r="C88" s="397"/>
      <c r="D88" s="397"/>
      <c r="E88" s="397"/>
      <c r="F88" s="397"/>
      <c r="G88" s="399"/>
      <c r="H88" s="399"/>
      <c r="I88" s="399"/>
      <c r="J88" s="399"/>
      <c r="K88" s="372"/>
      <c r="L88" s="373"/>
      <c r="M88" s="363"/>
      <c r="N88" s="363"/>
      <c r="P88" s="1195"/>
      <c r="Q88" s="1155"/>
      <c r="R88" s="395"/>
      <c r="S88" s="396"/>
      <c r="T88" s="1138"/>
      <c r="U88" s="1138"/>
      <c r="V88" s="1138"/>
      <c r="W88" s="1138"/>
      <c r="X88" s="1138"/>
      <c r="Y88" s="1138"/>
      <c r="Z88" s="1138"/>
      <c r="AA88" s="1138"/>
      <c r="AB88" s="1138"/>
      <c r="AC88" s="1138"/>
      <c r="AE88" s="1195"/>
      <c r="AF88" s="1155"/>
      <c r="AG88" s="395"/>
      <c r="AH88" s="396"/>
      <c r="AI88" s="1138"/>
      <c r="AJ88" s="1138"/>
      <c r="AK88" s="1138"/>
      <c r="AL88" s="1138"/>
      <c r="AM88" s="1138"/>
      <c r="AN88" s="1138"/>
      <c r="AO88" s="1138"/>
      <c r="AP88" s="1138"/>
      <c r="AQ88" s="1138"/>
      <c r="AR88" s="1138"/>
    </row>
    <row r="89" spans="2:44" ht="16" outlineLevel="1" thickBot="1">
      <c r="B89" s="500"/>
      <c r="C89" s="506"/>
      <c r="D89" s="506"/>
      <c r="E89" s="506"/>
      <c r="F89" s="506"/>
      <c r="G89" s="506"/>
      <c r="H89" s="506"/>
      <c r="I89" s="506"/>
      <c r="J89" s="506"/>
      <c r="K89" s="372"/>
      <c r="L89" s="400"/>
      <c r="M89" s="363"/>
      <c r="N89" s="363"/>
      <c r="P89" s="1195"/>
      <c r="Q89" s="1155"/>
      <c r="R89" s="395"/>
      <c r="S89" s="396"/>
      <c r="T89" s="1138"/>
      <c r="U89" s="1138"/>
      <c r="V89" s="1138"/>
      <c r="W89" s="1138"/>
      <c r="X89" s="1138"/>
      <c r="Y89" s="1138"/>
      <c r="Z89" s="1138"/>
      <c r="AA89" s="1138"/>
      <c r="AB89" s="1138"/>
      <c r="AC89" s="1138"/>
      <c r="AE89" s="1195"/>
      <c r="AF89" s="1155"/>
      <c r="AG89" s="395"/>
      <c r="AH89" s="396"/>
      <c r="AI89" s="1138"/>
      <c r="AJ89" s="1138"/>
      <c r="AK89" s="1138"/>
      <c r="AL89" s="1138"/>
      <c r="AM89" s="1138"/>
      <c r="AN89" s="1138"/>
      <c r="AO89" s="1138"/>
      <c r="AP89" s="1138"/>
      <c r="AQ89" s="1138"/>
      <c r="AR89" s="1138"/>
    </row>
    <row r="90" spans="2:44" ht="16" outlineLevel="1" thickBot="1">
      <c r="B90" s="401"/>
      <c r="C90" s="402"/>
      <c r="D90" s="403"/>
      <c r="E90" s="404"/>
      <c r="F90" s="405"/>
      <c r="G90" s="406"/>
      <c r="H90" s="406"/>
      <c r="I90" s="406"/>
      <c r="J90" s="406"/>
      <c r="K90" s="407"/>
      <c r="L90" s="408"/>
      <c r="M90" s="363"/>
      <c r="N90" s="363"/>
      <c r="P90" s="1195"/>
      <c r="Q90" s="1155"/>
      <c r="R90" s="409"/>
      <c r="S90" s="410"/>
      <c r="T90" s="1139"/>
      <c r="U90" s="1139"/>
      <c r="V90" s="1139"/>
      <c r="W90" s="1139"/>
      <c r="X90" s="1139"/>
      <c r="Y90" s="1139"/>
      <c r="Z90" s="1139"/>
      <c r="AA90" s="1139"/>
      <c r="AB90" s="1139"/>
      <c r="AC90" s="1139"/>
      <c r="AE90" s="1195"/>
      <c r="AF90" s="1155"/>
      <c r="AG90" s="409"/>
      <c r="AH90" s="410"/>
      <c r="AI90" s="1139"/>
      <c r="AJ90" s="1139"/>
      <c r="AK90" s="1139"/>
      <c r="AL90" s="1139"/>
      <c r="AM90" s="1139"/>
      <c r="AN90" s="1139"/>
      <c r="AO90" s="1139"/>
      <c r="AP90" s="1139"/>
      <c r="AQ90" s="1139"/>
      <c r="AR90" s="1139"/>
    </row>
    <row r="91" spans="2:44" ht="16" outlineLevel="1" thickBot="1">
      <c r="B91" s="500"/>
      <c r="C91" s="506"/>
      <c r="D91" s="506"/>
      <c r="E91" s="506"/>
      <c r="F91" s="506"/>
      <c r="G91" s="507"/>
      <c r="H91" s="507"/>
      <c r="I91" s="507"/>
      <c r="J91" s="507"/>
      <c r="K91" s="503"/>
      <c r="L91" s="504"/>
      <c r="M91" s="363"/>
      <c r="N91" s="363"/>
      <c r="P91" s="1196"/>
      <c r="Q91" s="411"/>
      <c r="R91" s="412"/>
      <c r="S91" s="413"/>
      <c r="T91" s="414"/>
      <c r="U91" s="415"/>
      <c r="V91" s="416"/>
      <c r="W91" s="415"/>
      <c r="X91" s="416"/>
      <c r="Y91" s="415"/>
      <c r="Z91" s="416"/>
      <c r="AA91" s="415"/>
      <c r="AB91" s="416"/>
      <c r="AC91" s="417"/>
      <c r="AE91" s="1196"/>
      <c r="AF91" s="411"/>
      <c r="AG91" s="412"/>
      <c r="AH91" s="413"/>
      <c r="AI91" s="414"/>
      <c r="AJ91" s="415"/>
      <c r="AK91" s="414"/>
      <c r="AL91" s="415"/>
      <c r="AM91" s="414"/>
      <c r="AN91" s="415"/>
      <c r="AO91" s="414"/>
      <c r="AP91" s="415"/>
      <c r="AQ91" s="414"/>
      <c r="AR91" s="417"/>
    </row>
    <row r="92" spans="2:44" outlineLevel="1">
      <c r="B92" s="500"/>
      <c r="C92" s="506"/>
      <c r="D92" s="506"/>
      <c r="E92" s="506"/>
      <c r="F92" s="506"/>
      <c r="G92" s="509"/>
      <c r="H92" s="509"/>
      <c r="I92" s="509"/>
      <c r="J92" s="509"/>
      <c r="K92" s="510"/>
      <c r="L92" s="504"/>
      <c r="M92" s="363"/>
      <c r="N92" s="363"/>
    </row>
    <row r="93" spans="2:44" outlineLevel="1">
      <c r="B93" s="500"/>
      <c r="C93" s="506"/>
      <c r="D93" s="506"/>
      <c r="E93" s="506"/>
      <c r="F93" s="506"/>
      <c r="G93" s="509"/>
      <c r="H93" s="509"/>
      <c r="I93" s="509"/>
      <c r="J93" s="509"/>
      <c r="K93" s="510"/>
      <c r="L93" s="504"/>
      <c r="M93" s="420"/>
      <c r="N93" s="363"/>
    </row>
    <row r="94" spans="2:44" outlineLevel="1">
      <c r="B94" s="421"/>
      <c r="C94" s="399"/>
      <c r="D94" s="399"/>
      <c r="E94" s="399"/>
      <c r="F94" s="399"/>
      <c r="G94" s="422"/>
      <c r="H94" s="422"/>
      <c r="I94" s="422"/>
      <c r="J94" s="422"/>
      <c r="K94" s="423"/>
      <c r="L94" s="424"/>
      <c r="M94" s="420"/>
      <c r="N94" s="420"/>
    </row>
    <row r="95" spans="2:44" outlineLevel="1">
      <c r="B95" s="383"/>
      <c r="C95" s="397"/>
      <c r="D95" s="397"/>
      <c r="E95" s="397"/>
      <c r="F95" s="397"/>
      <c r="G95" s="422"/>
      <c r="H95" s="425"/>
      <c r="I95" s="425"/>
      <c r="J95" s="425"/>
      <c r="K95" s="426"/>
      <c r="L95" s="427"/>
      <c r="M95" s="428"/>
      <c r="N95" s="428"/>
    </row>
    <row r="96" spans="2:44" outlineLevel="1">
      <c r="B96" s="383"/>
      <c r="C96" s="397"/>
      <c r="D96" s="397"/>
      <c r="E96" s="397"/>
      <c r="F96" s="397"/>
      <c r="G96" s="425"/>
      <c r="H96" s="425"/>
      <c r="I96" s="425"/>
      <c r="J96" s="425"/>
      <c r="K96" s="423"/>
      <c r="L96" s="427"/>
      <c r="M96" s="428"/>
      <c r="N96" s="428"/>
    </row>
    <row r="97" spans="1:30" outlineLevel="1">
      <c r="B97" s="383"/>
      <c r="C97" s="397"/>
      <c r="D97" s="397"/>
      <c r="E97" s="397"/>
      <c r="F97" s="397"/>
      <c r="G97" s="425"/>
      <c r="H97" s="425"/>
      <c r="I97" s="425"/>
      <c r="J97" s="425"/>
      <c r="K97" s="423"/>
      <c r="L97" s="427"/>
      <c r="M97" s="428"/>
      <c r="N97" s="428"/>
    </row>
    <row r="98" spans="1:30" outlineLevel="1">
      <c r="B98" s="383"/>
      <c r="C98" s="397"/>
      <c r="D98" s="397"/>
      <c r="E98" s="397"/>
      <c r="F98" s="397"/>
      <c r="G98" s="425"/>
      <c r="H98" s="425"/>
      <c r="I98" s="425"/>
      <c r="J98" s="425"/>
      <c r="K98" s="423"/>
      <c r="L98" s="427"/>
      <c r="M98" s="428"/>
      <c r="N98" s="428"/>
    </row>
    <row r="99" spans="1:30" ht="16" outlineLevel="1" thickBot="1">
      <c r="B99" s="429"/>
      <c r="C99" s="430"/>
      <c r="D99" s="430"/>
      <c r="E99" s="430"/>
      <c r="F99" s="430"/>
      <c r="G99" s="425"/>
      <c r="H99" s="425"/>
      <c r="I99" s="425"/>
      <c r="J99" s="425"/>
      <c r="K99" s="423"/>
      <c r="L99" s="427"/>
      <c r="M99" s="428"/>
      <c r="N99" s="428"/>
    </row>
    <row r="100" spans="1:30" ht="16" outlineLevel="1" thickBot="1">
      <c r="B100" s="431"/>
      <c r="C100" s="432"/>
      <c r="D100" s="403"/>
      <c r="E100" s="403"/>
      <c r="F100" s="433"/>
      <c r="G100" s="434"/>
      <c r="H100" s="406"/>
      <c r="I100" s="406"/>
      <c r="J100" s="406"/>
      <c r="K100" s="407"/>
      <c r="L100" s="408"/>
      <c r="M100" s="428"/>
      <c r="N100" s="428"/>
    </row>
    <row r="101" spans="1:30" outlineLevel="1">
      <c r="A101" s="435"/>
      <c r="B101" s="436"/>
      <c r="C101" s="511"/>
      <c r="D101" s="512"/>
      <c r="E101" s="512"/>
      <c r="F101" s="513"/>
      <c r="G101" s="425"/>
      <c r="H101" s="425"/>
      <c r="I101" s="425"/>
      <c r="J101" s="425"/>
      <c r="K101" s="426"/>
      <c r="L101" s="440"/>
      <c r="M101" s="420"/>
      <c r="N101" s="420"/>
    </row>
    <row r="102" spans="1:30" outlineLevel="1">
      <c r="B102" s="441"/>
      <c r="C102" s="442"/>
      <c r="D102" s="442"/>
      <c r="E102" s="442"/>
      <c r="F102" s="442"/>
      <c r="G102" s="425"/>
      <c r="H102" s="425"/>
      <c r="I102" s="425"/>
      <c r="J102" s="425"/>
      <c r="K102" s="444"/>
      <c r="L102" s="373"/>
      <c r="M102" s="71"/>
      <c r="N102" s="420"/>
    </row>
    <row r="103" spans="1:30" outlineLevel="1">
      <c r="B103" s="441"/>
      <c r="C103" s="442"/>
      <c r="D103" s="442"/>
      <c r="E103" s="442"/>
      <c r="F103" s="442"/>
      <c r="G103" s="425"/>
      <c r="H103" s="425"/>
      <c r="I103" s="425"/>
      <c r="J103" s="425"/>
      <c r="K103" s="444"/>
      <c r="L103" s="373"/>
      <c r="M103" s="420"/>
      <c r="N103" s="420"/>
    </row>
    <row r="104" spans="1:30" outlineLevel="1">
      <c r="B104" s="383"/>
      <c r="C104" s="445"/>
      <c r="D104" s="446"/>
      <c r="E104" s="446"/>
      <c r="F104" s="447"/>
      <c r="G104" s="425"/>
      <c r="H104" s="425"/>
      <c r="I104" s="425"/>
      <c r="J104" s="425"/>
      <c r="K104" s="448"/>
      <c r="L104" s="373"/>
      <c r="M104" s="420"/>
      <c r="N104" s="420"/>
    </row>
    <row r="105" spans="1:30" outlineLevel="1">
      <c r="B105" s="383"/>
      <c r="C105" s="449"/>
      <c r="D105" s="449"/>
      <c r="E105" s="449"/>
      <c r="F105" s="449"/>
      <c r="G105" s="425"/>
      <c r="H105" s="425"/>
      <c r="I105" s="425"/>
      <c r="J105" s="425"/>
      <c r="K105" s="448"/>
      <c r="L105" s="373"/>
      <c r="M105" s="450"/>
      <c r="N105" s="361"/>
      <c r="P105" s="1142"/>
      <c r="Q105" s="1143"/>
      <c r="R105" s="1143"/>
      <c r="S105" s="1143"/>
      <c r="T105" s="1143"/>
      <c r="U105" s="1144"/>
    </row>
    <row r="106" spans="1:30" ht="16" outlineLevel="1" thickBot="1">
      <c r="B106" s="500"/>
      <c r="C106" s="514"/>
      <c r="D106" s="514"/>
      <c r="E106" s="514"/>
      <c r="F106" s="514"/>
      <c r="G106" s="515"/>
      <c r="H106" s="515"/>
      <c r="I106" s="515"/>
      <c r="J106" s="515"/>
      <c r="K106" s="503"/>
      <c r="L106" s="504"/>
      <c r="M106" s="450"/>
      <c r="N106" s="361"/>
      <c r="P106" s="1134"/>
      <c r="Q106" s="1135"/>
      <c r="R106" s="1135"/>
      <c r="S106" s="1135"/>
      <c r="T106" s="1135"/>
      <c r="U106" s="1136"/>
    </row>
    <row r="107" spans="1:30" outlineLevel="1">
      <c r="B107" s="500"/>
      <c r="C107" s="516"/>
      <c r="D107" s="516"/>
      <c r="E107" s="516"/>
      <c r="F107" s="516"/>
      <c r="G107" s="515"/>
      <c r="H107" s="515"/>
      <c r="I107" s="515"/>
      <c r="J107" s="515"/>
      <c r="K107" s="517"/>
      <c r="L107" s="504"/>
      <c r="M107" s="363"/>
      <c r="N107" s="363"/>
      <c r="P107" s="53"/>
    </row>
    <row r="108" spans="1:30" outlineLevel="1">
      <c r="B108" s="441"/>
      <c r="C108" s="518"/>
      <c r="D108" s="518"/>
      <c r="E108" s="518"/>
      <c r="F108" s="518"/>
      <c r="G108" s="425"/>
      <c r="H108" s="425"/>
      <c r="I108" s="425"/>
      <c r="J108" s="425"/>
      <c r="K108" s="444"/>
      <c r="L108" s="424"/>
      <c r="M108" s="367"/>
      <c r="N108" s="367"/>
      <c r="P108" s="46"/>
      <c r="Q108" s="46"/>
      <c r="R108" s="47"/>
      <c r="S108" s="47"/>
      <c r="T108" s="47"/>
      <c r="U108" s="48"/>
      <c r="V108" s="49"/>
      <c r="W108" s="49"/>
      <c r="X108" s="49"/>
      <c r="Y108" s="49"/>
      <c r="Z108" s="49"/>
      <c r="AA108" s="49"/>
      <c r="AB108" s="49"/>
      <c r="AC108" s="49"/>
      <c r="AD108" s="49"/>
    </row>
    <row r="109" spans="1:30" ht="16" outlineLevel="1" thickBot="1">
      <c r="B109" s="519"/>
      <c r="C109" s="442"/>
      <c r="D109" s="520"/>
      <c r="E109" s="520"/>
      <c r="F109" s="521"/>
      <c r="G109" s="425"/>
      <c r="H109" s="425"/>
      <c r="I109" s="425"/>
      <c r="J109" s="425"/>
      <c r="K109" s="448"/>
      <c r="L109" s="424"/>
      <c r="M109" s="363"/>
      <c r="N109" s="363"/>
      <c r="P109" s="50"/>
      <c r="Q109" s="50"/>
      <c r="R109" s="51"/>
      <c r="S109" s="51"/>
      <c r="T109" s="51"/>
      <c r="U109" s="51"/>
      <c r="V109" s="50"/>
      <c r="W109" s="50"/>
      <c r="X109" s="50"/>
      <c r="Y109" s="50"/>
      <c r="Z109" s="50"/>
      <c r="AA109" s="50"/>
      <c r="AB109" s="50"/>
      <c r="AC109" s="50"/>
      <c r="AD109" s="50"/>
    </row>
    <row r="110" spans="1:30" ht="16" outlineLevel="1" thickBot="1">
      <c r="B110" s="401"/>
      <c r="C110" s="402"/>
      <c r="D110" s="403"/>
      <c r="E110" s="404"/>
      <c r="F110" s="405"/>
      <c r="G110" s="406"/>
      <c r="H110" s="406"/>
      <c r="I110" s="406"/>
      <c r="J110" s="406"/>
      <c r="K110" s="459"/>
      <c r="L110" s="460"/>
      <c r="M110" s="363"/>
      <c r="N110" s="363"/>
      <c r="O110" s="461"/>
      <c r="P110" s="56"/>
      <c r="Q110" s="56"/>
      <c r="R110" s="57"/>
      <c r="S110" s="57"/>
      <c r="T110" s="57"/>
      <c r="U110" s="56"/>
      <c r="V110" s="56"/>
      <c r="W110" s="56"/>
      <c r="X110" s="56"/>
      <c r="Y110" s="56"/>
      <c r="Z110" s="56"/>
      <c r="AA110" s="56"/>
      <c r="AB110" s="56"/>
      <c r="AC110" s="56"/>
      <c r="AD110" s="56"/>
    </row>
    <row r="111" spans="1:30" outlineLevel="1">
      <c r="B111" s="522"/>
      <c r="C111" s="523"/>
      <c r="D111" s="523"/>
      <c r="E111" s="523"/>
      <c r="F111" s="523"/>
      <c r="G111" s="524"/>
      <c r="H111" s="524"/>
      <c r="I111" s="524"/>
      <c r="J111" s="524"/>
      <c r="K111" s="524"/>
      <c r="L111" s="525"/>
      <c r="M111" s="363"/>
      <c r="N111" s="363"/>
      <c r="O111" s="465"/>
      <c r="P111" s="466"/>
      <c r="Q111" s="58"/>
      <c r="R111" s="466"/>
      <c r="S111" s="58"/>
      <c r="T111" s="466"/>
      <c r="U111" s="467"/>
      <c r="V111" s="467"/>
      <c r="W111" s="467"/>
      <c r="X111" s="58"/>
      <c r="Y111" s="58"/>
      <c r="Z111" s="466"/>
      <c r="AA111" s="468"/>
      <c r="AB111" s="468"/>
      <c r="AC111" s="468"/>
      <c r="AD111" s="468"/>
    </row>
    <row r="112" spans="1:30" outlineLevel="1">
      <c r="B112" s="500"/>
      <c r="C112" s="526"/>
      <c r="D112" s="527"/>
      <c r="E112" s="527"/>
      <c r="F112" s="528"/>
      <c r="G112" s="528"/>
      <c r="H112" s="528"/>
      <c r="I112" s="528"/>
      <c r="J112" s="528"/>
      <c r="K112" s="529"/>
      <c r="L112" s="525"/>
      <c r="M112" s="363"/>
      <c r="N112" s="363"/>
      <c r="O112" s="465"/>
      <c r="P112" s="466"/>
      <c r="Q112" s="58"/>
      <c r="R112" s="466"/>
      <c r="S112" s="58"/>
      <c r="T112" s="466"/>
      <c r="U112" s="467"/>
      <c r="V112" s="467"/>
      <c r="W112" s="467"/>
      <c r="X112" s="58"/>
      <c r="Y112" s="58"/>
      <c r="Z112" s="466"/>
      <c r="AA112" s="468"/>
      <c r="AB112" s="468"/>
      <c r="AC112" s="468"/>
      <c r="AD112" s="468"/>
    </row>
    <row r="113" spans="2:30" outlineLevel="1">
      <c r="B113" s="500"/>
      <c r="C113" s="526"/>
      <c r="D113" s="527"/>
      <c r="E113" s="527"/>
      <c r="F113" s="528"/>
      <c r="G113" s="515"/>
      <c r="H113" s="515"/>
      <c r="I113" s="515"/>
      <c r="J113" s="515"/>
      <c r="K113" s="515"/>
      <c r="L113" s="504"/>
      <c r="M113" s="363"/>
      <c r="N113" s="363"/>
      <c r="O113" s="465"/>
      <c r="P113" s="466"/>
      <c r="Q113" s="58"/>
      <c r="R113" s="466"/>
      <c r="S113" s="58"/>
      <c r="T113" s="466"/>
      <c r="U113" s="467"/>
      <c r="V113" s="467"/>
      <c r="W113" s="467"/>
      <c r="X113" s="58"/>
      <c r="Y113" s="58"/>
      <c r="Z113" s="466"/>
      <c r="AA113" s="468"/>
      <c r="AB113" s="468"/>
      <c r="AC113" s="468"/>
      <c r="AD113" s="468"/>
    </row>
    <row r="114" spans="2:30" outlineLevel="1">
      <c r="B114" s="500"/>
      <c r="C114" s="530"/>
      <c r="D114" s="530"/>
      <c r="E114" s="530"/>
      <c r="F114" s="530"/>
      <c r="G114" s="531"/>
      <c r="H114" s="531"/>
      <c r="I114" s="531"/>
      <c r="J114" s="531"/>
      <c r="K114" s="531"/>
      <c r="L114" s="504"/>
      <c r="M114" s="363"/>
      <c r="N114" s="363"/>
      <c r="O114" s="465"/>
      <c r="P114" s="466"/>
      <c r="Q114" s="58"/>
      <c r="R114" s="466"/>
      <c r="S114" s="58"/>
      <c r="T114" s="466"/>
      <c r="U114" s="467"/>
      <c r="V114" s="467"/>
      <c r="W114" s="467"/>
      <c r="X114" s="58"/>
      <c r="Y114" s="58"/>
      <c r="Z114" s="466"/>
      <c r="AA114" s="468"/>
      <c r="AB114" s="468"/>
      <c r="AC114" s="468"/>
      <c r="AD114" s="468"/>
    </row>
    <row r="115" spans="2:30" outlineLevel="1">
      <c r="B115" s="532"/>
      <c r="C115" s="526"/>
      <c r="D115" s="527"/>
      <c r="E115" s="527"/>
      <c r="F115" s="528"/>
      <c r="G115" s="531"/>
      <c r="H115" s="531"/>
      <c r="I115" s="531"/>
      <c r="J115" s="531"/>
      <c r="K115" s="531"/>
      <c r="L115" s="533"/>
      <c r="M115" s="367"/>
      <c r="N115" s="367"/>
    </row>
    <row r="116" spans="2:30" outlineLevel="1">
      <c r="B116" s="532"/>
      <c r="C116" s="526"/>
      <c r="D116" s="527"/>
      <c r="E116" s="527"/>
      <c r="F116" s="528"/>
      <c r="G116" s="531"/>
      <c r="H116" s="531"/>
      <c r="I116" s="531"/>
      <c r="J116" s="531"/>
      <c r="K116" s="531"/>
      <c r="L116" s="533"/>
      <c r="M116" s="363"/>
      <c r="N116" s="363"/>
    </row>
    <row r="117" spans="2:30" ht="16" outlineLevel="1" thickBot="1">
      <c r="B117" s="534"/>
      <c r="C117" s="535"/>
      <c r="D117" s="536"/>
      <c r="E117" s="536"/>
      <c r="F117" s="537"/>
      <c r="G117" s="538"/>
      <c r="H117" s="538"/>
      <c r="I117" s="538"/>
      <c r="J117" s="538"/>
      <c r="K117" s="538"/>
      <c r="L117" s="539"/>
      <c r="M117" s="363"/>
      <c r="N117" s="363"/>
    </row>
    <row r="118" spans="2:30" outlineLevel="1">
      <c r="B118" s="461"/>
      <c r="C118" s="483"/>
      <c r="D118" s="483"/>
      <c r="E118" s="483"/>
      <c r="F118" s="483"/>
      <c r="G118" s="483"/>
      <c r="H118" s="484"/>
      <c r="I118" s="420"/>
      <c r="J118" s="420"/>
      <c r="K118" s="484"/>
      <c r="L118" s="484"/>
      <c r="N118" s="420"/>
    </row>
    <row r="119" spans="2:30" outlineLevel="1">
      <c r="B119" s="485"/>
      <c r="C119" s="486"/>
      <c r="D119" s="486"/>
      <c r="E119" s="486"/>
      <c r="F119" s="486"/>
      <c r="G119" s="486"/>
      <c r="H119" s="484"/>
      <c r="I119" s="71"/>
      <c r="J119" s="420"/>
      <c r="K119" s="484"/>
      <c r="L119" s="484"/>
      <c r="N119" s="420"/>
    </row>
    <row r="120" spans="2:30" outlineLevel="1">
      <c r="B120" s="461"/>
      <c r="C120" s="359"/>
      <c r="D120" s="359"/>
      <c r="E120" s="359"/>
      <c r="F120" s="359"/>
      <c r="G120" s="359"/>
      <c r="I120" s="420"/>
      <c r="J120" s="420"/>
      <c r="N120" s="420"/>
    </row>
    <row r="121" spans="2:30" outlineLevel="1">
      <c r="B121" s="461"/>
      <c r="C121" s="487"/>
      <c r="D121" s="487"/>
      <c r="E121" s="487"/>
      <c r="F121" s="487"/>
      <c r="G121" s="359"/>
      <c r="M121" s="420"/>
      <c r="N121" s="420"/>
    </row>
    <row r="122" spans="2:30" outlineLevel="1"/>
    <row r="123" spans="2:30" outlineLevel="1"/>
    <row r="124" spans="2:30" outlineLevel="1"/>
    <row r="125" spans="2:30" outlineLevel="1"/>
    <row r="126" spans="2:30" outlineLevel="1">
      <c r="B126" s="488"/>
      <c r="C126" s="489"/>
      <c r="D126" s="490"/>
      <c r="E126" s="490"/>
      <c r="F126" s="490"/>
    </row>
    <row r="127" spans="2:30" outlineLevel="1">
      <c r="B127" s="491"/>
      <c r="C127" s="492"/>
      <c r="E127" s="490"/>
      <c r="F127" s="490"/>
    </row>
    <row r="128" spans="2:30" outlineLevel="1">
      <c r="B128" s="491"/>
      <c r="C128" s="493"/>
      <c r="E128" s="490"/>
      <c r="F128" s="490"/>
    </row>
    <row r="129" spans="2:6" outlineLevel="1">
      <c r="B129" s="491"/>
      <c r="C129" s="493"/>
      <c r="E129" s="490"/>
      <c r="F129" s="490"/>
    </row>
    <row r="130" spans="2:6" outlineLevel="1">
      <c r="B130" s="491"/>
      <c r="C130" s="493"/>
      <c r="E130" s="490"/>
      <c r="F130" s="490"/>
    </row>
    <row r="131" spans="2:6" outlineLevel="1">
      <c r="B131" s="358"/>
      <c r="C131" s="494"/>
      <c r="D131" s="490"/>
      <c r="E131" s="490"/>
      <c r="F131" s="490"/>
    </row>
    <row r="132" spans="2:6" outlineLevel="1">
      <c r="B132" s="358"/>
      <c r="C132" s="492"/>
      <c r="D132" s="490"/>
      <c r="E132" s="490"/>
      <c r="F132" s="490"/>
    </row>
    <row r="133" spans="2:6" outlineLevel="1">
      <c r="B133" s="358"/>
      <c r="C133" s="495"/>
      <c r="D133" s="490"/>
      <c r="E133" s="490"/>
      <c r="F133" s="490"/>
    </row>
    <row r="134" spans="2:6" outlineLevel="1">
      <c r="B134" s="358"/>
      <c r="C134" s="495"/>
      <c r="D134" s="490"/>
      <c r="E134" s="490"/>
      <c r="F134" s="490"/>
    </row>
    <row r="135" spans="2:6" outlineLevel="1">
      <c r="B135" s="358"/>
      <c r="C135" s="489"/>
      <c r="D135" s="490"/>
      <c r="E135" s="490"/>
      <c r="F135" s="490"/>
    </row>
    <row r="136" spans="2:6" outlineLevel="1">
      <c r="B136" s="358"/>
      <c r="C136" s="490"/>
      <c r="D136" s="490"/>
      <c r="E136" s="490"/>
      <c r="F136" s="490"/>
    </row>
    <row r="137" spans="2:6" outlineLevel="1">
      <c r="B137" s="488"/>
      <c r="C137" s="489"/>
      <c r="D137" s="490"/>
      <c r="E137" s="490"/>
      <c r="F137" s="490"/>
    </row>
    <row r="138" spans="2:6" outlineLevel="1">
      <c r="B138" s="496"/>
      <c r="C138" s="497"/>
      <c r="E138" s="490"/>
      <c r="F138" s="490"/>
    </row>
    <row r="139" spans="2:6" outlineLevel="1">
      <c r="B139" s="496" t="s">
        <v>59</v>
      </c>
      <c r="C139" s="489" t="s">
        <v>785</v>
      </c>
      <c r="E139" s="490"/>
      <c r="F139" s="490"/>
    </row>
    <row r="140" spans="2:6" outlineLevel="1">
      <c r="B140" s="496" t="s">
        <v>16</v>
      </c>
      <c r="C140" s="489" t="s">
        <v>786</v>
      </c>
      <c r="E140" s="490"/>
      <c r="F140" s="490"/>
    </row>
    <row r="141" spans="2:6" outlineLevel="1">
      <c r="B141" s="496" t="s">
        <v>20</v>
      </c>
      <c r="C141" s="489" t="s">
        <v>787</v>
      </c>
      <c r="E141" s="490"/>
      <c r="F141" s="490"/>
    </row>
    <row r="142" spans="2:6" outlineLevel="1">
      <c r="B142" s="496" t="s">
        <v>76</v>
      </c>
      <c r="C142" s="498" t="s">
        <v>788</v>
      </c>
      <c r="E142" s="490"/>
      <c r="F142" s="490"/>
    </row>
    <row r="143" spans="2:6" outlineLevel="1">
      <c r="B143" s="496" t="s">
        <v>25</v>
      </c>
      <c r="C143" s="489" t="s">
        <v>789</v>
      </c>
      <c r="E143" s="490"/>
      <c r="F143" s="490"/>
    </row>
    <row r="144" spans="2:6" outlineLevel="1"/>
    <row r="145" spans="1:44" outlineLevel="1">
      <c r="M145" s="214"/>
    </row>
    <row r="146" spans="1:44" outlineLevel="1"/>
    <row r="149" spans="1:44">
      <c r="A149" s="360"/>
      <c r="B149" s="1207"/>
      <c r="C149" s="1143"/>
      <c r="D149" s="1143"/>
      <c r="E149" s="1143"/>
      <c r="F149" s="1143"/>
      <c r="G149" s="1143"/>
      <c r="H149" s="1143"/>
      <c r="I149" s="1143"/>
      <c r="J149" s="1143"/>
      <c r="K149" s="1143"/>
      <c r="L149" s="1143"/>
      <c r="M149" s="1143"/>
      <c r="N149" s="361"/>
      <c r="P149" s="1143"/>
      <c r="Q149" s="1143"/>
      <c r="R149" s="1143"/>
      <c r="S149" s="1143"/>
      <c r="T149" s="1143"/>
      <c r="U149" s="1143"/>
    </row>
    <row r="150" spans="1:44" ht="16" outlineLevel="1" thickBot="1">
      <c r="B150" s="1207"/>
      <c r="C150" s="1143"/>
      <c r="D150" s="1143"/>
      <c r="E150" s="1143"/>
      <c r="F150" s="1143"/>
      <c r="G150" s="1143"/>
      <c r="H150" s="1143"/>
      <c r="I150" s="1143"/>
      <c r="J150" s="1143"/>
      <c r="K150" s="1143"/>
      <c r="L150" s="1143"/>
      <c r="M150" s="1143"/>
      <c r="N150" s="361"/>
      <c r="P150" s="1143"/>
      <c r="Q150" s="1143"/>
      <c r="R150" s="1143"/>
      <c r="S150" s="1143"/>
      <c r="T150" s="1143"/>
      <c r="U150" s="1143"/>
    </row>
    <row r="151" spans="1:44" ht="20.5" customHeight="1" outlineLevel="1" thickBot="1">
      <c r="B151" s="362"/>
      <c r="C151" s="1186"/>
      <c r="D151" s="1205"/>
      <c r="E151" s="1205"/>
      <c r="F151" s="1205"/>
      <c r="G151" s="1205"/>
      <c r="H151" s="1205"/>
      <c r="I151" s="1205"/>
      <c r="J151" s="1205"/>
      <c r="K151" s="1205"/>
      <c r="L151" s="1206"/>
      <c r="M151" s="363"/>
      <c r="N151" s="363"/>
      <c r="P151" s="364"/>
      <c r="Q151" s="365"/>
      <c r="R151" s="366"/>
      <c r="S151" s="1176"/>
      <c r="T151" s="1160"/>
      <c r="U151" s="1161"/>
      <c r="V151" s="1160"/>
      <c r="W151" s="1161"/>
      <c r="X151" s="1160"/>
      <c r="Y151" s="1161"/>
      <c r="Z151" s="1160"/>
      <c r="AA151" s="1161"/>
      <c r="AB151" s="1160"/>
      <c r="AC151" s="1161"/>
      <c r="AE151" s="364"/>
      <c r="AF151" s="365"/>
      <c r="AG151" s="366"/>
      <c r="AH151" s="1176"/>
      <c r="AI151" s="1160"/>
      <c r="AJ151" s="1161"/>
      <c r="AK151" s="1160"/>
      <c r="AL151" s="1161"/>
      <c r="AM151" s="1160"/>
      <c r="AN151" s="1161"/>
      <c r="AO151" s="1160"/>
      <c r="AP151" s="1161"/>
      <c r="AQ151" s="1160"/>
      <c r="AR151" s="1161"/>
    </row>
    <row r="152" spans="1:44" ht="15" customHeight="1" outlineLevel="1" thickBot="1">
      <c r="B152" s="1164"/>
      <c r="C152" s="1166"/>
      <c r="D152" s="1166"/>
      <c r="E152" s="1166"/>
      <c r="F152" s="1166"/>
      <c r="G152" s="1221"/>
      <c r="H152" s="1222"/>
      <c r="I152" s="1221"/>
      <c r="J152" s="1222"/>
      <c r="K152" s="1189"/>
      <c r="L152" s="1189"/>
      <c r="M152" s="367"/>
      <c r="N152" s="367"/>
      <c r="P152" s="1180"/>
      <c r="Q152" s="368"/>
      <c r="R152" s="368"/>
      <c r="S152" s="1177"/>
      <c r="T152" s="1162"/>
      <c r="U152" s="1163"/>
      <c r="V152" s="1162"/>
      <c r="W152" s="1163"/>
      <c r="X152" s="1162"/>
      <c r="Y152" s="1163"/>
      <c r="Z152" s="1162"/>
      <c r="AA152" s="1163"/>
      <c r="AB152" s="1162"/>
      <c r="AC152" s="1163"/>
      <c r="AE152" s="1180"/>
      <c r="AF152" s="368"/>
      <c r="AG152" s="368"/>
      <c r="AH152" s="1177"/>
      <c r="AI152" s="1162"/>
      <c r="AJ152" s="1163"/>
      <c r="AK152" s="1162"/>
      <c r="AL152" s="1163"/>
      <c r="AM152" s="1162"/>
      <c r="AN152" s="1163"/>
      <c r="AO152" s="1162"/>
      <c r="AP152" s="1163"/>
      <c r="AQ152" s="1162"/>
      <c r="AR152" s="1163"/>
    </row>
    <row r="153" spans="1:44" ht="15" customHeight="1" outlineLevel="1" thickBot="1">
      <c r="B153" s="1165"/>
      <c r="C153" s="1167"/>
      <c r="D153" s="1167"/>
      <c r="E153" s="1167"/>
      <c r="F153" s="1167"/>
      <c r="G153" s="540"/>
      <c r="H153" s="540"/>
      <c r="I153" s="540"/>
      <c r="J153" s="540"/>
      <c r="K153" s="1190"/>
      <c r="L153" s="1190"/>
      <c r="M153" s="370"/>
      <c r="N153" s="370"/>
      <c r="P153" s="1181"/>
      <c r="Q153" s="1183"/>
      <c r="R153" s="1184"/>
      <c r="S153" s="1178"/>
      <c r="T153" s="1162"/>
      <c r="U153" s="1163"/>
      <c r="V153" s="1162"/>
      <c r="W153" s="1163"/>
      <c r="X153" s="1162"/>
      <c r="Y153" s="1163"/>
      <c r="Z153" s="1162"/>
      <c r="AA153" s="1163"/>
      <c r="AB153" s="1162"/>
      <c r="AC153" s="1163"/>
      <c r="AE153" s="1181"/>
      <c r="AF153" s="1197"/>
      <c r="AG153" s="1184"/>
      <c r="AH153" s="1178"/>
      <c r="AI153" s="1162"/>
      <c r="AJ153" s="1163"/>
      <c r="AK153" s="1162"/>
      <c r="AL153" s="1163"/>
      <c r="AM153" s="1162"/>
      <c r="AN153" s="1163"/>
      <c r="AO153" s="1162"/>
      <c r="AP153" s="1163"/>
      <c r="AQ153" s="1162"/>
      <c r="AR153" s="1163"/>
    </row>
    <row r="154" spans="1:44" ht="16" outlineLevel="1" thickBot="1">
      <c r="B154" s="371"/>
      <c r="C154" s="372"/>
      <c r="D154" s="372"/>
      <c r="E154" s="372"/>
      <c r="F154" s="372"/>
      <c r="G154" s="372"/>
      <c r="H154" s="372"/>
      <c r="I154" s="372"/>
      <c r="J154" s="372"/>
      <c r="K154" s="372"/>
      <c r="L154" s="373"/>
      <c r="M154" s="370"/>
      <c r="N154" s="370"/>
      <c r="O154" s="74"/>
      <c r="P154" s="1182"/>
      <c r="Q154" s="1179"/>
      <c r="R154" s="1185"/>
      <c r="S154" s="1179"/>
      <c r="T154" s="374"/>
      <c r="U154" s="375"/>
      <c r="V154" s="374"/>
      <c r="W154" s="375"/>
      <c r="X154" s="374"/>
      <c r="Y154" s="375"/>
      <c r="Z154" s="374"/>
      <c r="AA154" s="375"/>
      <c r="AB154" s="374"/>
      <c r="AC154" s="375"/>
      <c r="AE154" s="1182"/>
      <c r="AF154" s="1198"/>
      <c r="AG154" s="1185"/>
      <c r="AH154" s="1179"/>
      <c r="AI154" s="374"/>
      <c r="AJ154" s="375"/>
      <c r="AK154" s="374"/>
      <c r="AL154" s="375"/>
      <c r="AM154" s="374"/>
      <c r="AN154" s="375"/>
      <c r="AO154" s="374"/>
      <c r="AP154" s="375"/>
      <c r="AQ154" s="374"/>
      <c r="AR154" s="375"/>
    </row>
    <row r="155" spans="1:44" ht="14.5" customHeight="1" outlineLevel="1">
      <c r="B155" s="541"/>
      <c r="C155" s="542"/>
      <c r="D155" s="542"/>
      <c r="E155" s="543"/>
      <c r="F155" s="542"/>
      <c r="G155" s="542"/>
      <c r="H155" s="542"/>
      <c r="I155" s="542"/>
      <c r="J155" s="542"/>
      <c r="K155" s="372"/>
      <c r="L155" s="373"/>
      <c r="M155" s="370"/>
      <c r="N155" s="370"/>
      <c r="P155" s="1148"/>
      <c r="Q155" s="1154"/>
      <c r="R155" s="381"/>
      <c r="S155" s="382"/>
      <c r="T155" s="1137"/>
      <c r="U155" s="1151"/>
      <c r="V155" s="1137"/>
      <c r="W155" s="1151"/>
      <c r="X155" s="1137"/>
      <c r="Y155" s="1151"/>
      <c r="Z155" s="1137"/>
      <c r="AA155" s="1151"/>
      <c r="AB155" s="1137"/>
      <c r="AC155" s="1151"/>
      <c r="AE155" s="1148"/>
      <c r="AF155" s="1154"/>
      <c r="AG155" s="381"/>
      <c r="AH155" s="382"/>
      <c r="AI155" s="1137"/>
      <c r="AJ155" s="1151"/>
      <c r="AK155" s="1137"/>
      <c r="AL155" s="1151"/>
      <c r="AM155" s="1137"/>
      <c r="AN155" s="1151"/>
      <c r="AO155" s="1137"/>
      <c r="AP155" s="1151"/>
      <c r="AQ155" s="1137"/>
      <c r="AR155" s="1151"/>
    </row>
    <row r="156" spans="1:44" outlineLevel="1">
      <c r="B156" s="383"/>
      <c r="C156" s="384"/>
      <c r="D156" s="384"/>
      <c r="E156" s="384"/>
      <c r="F156" s="384"/>
      <c r="G156" s="505"/>
      <c r="H156" s="505"/>
      <c r="I156" s="505"/>
      <c r="J156" s="505"/>
      <c r="K156" s="372"/>
      <c r="L156" s="373"/>
      <c r="M156" s="370"/>
      <c r="N156" s="370"/>
      <c r="O156" s="71"/>
      <c r="P156" s="1195"/>
      <c r="Q156" s="1155"/>
      <c r="R156" s="388"/>
      <c r="S156" s="389"/>
      <c r="T156" s="1140"/>
      <c r="U156" s="1152"/>
      <c r="V156" s="1140"/>
      <c r="W156" s="1152"/>
      <c r="X156" s="1140"/>
      <c r="Y156" s="1152"/>
      <c r="Z156" s="1140"/>
      <c r="AA156" s="1152"/>
      <c r="AB156" s="1140"/>
      <c r="AC156" s="1152"/>
      <c r="AE156" s="1195"/>
      <c r="AF156" s="1155"/>
      <c r="AG156" s="388"/>
      <c r="AH156" s="389"/>
      <c r="AI156" s="1140"/>
      <c r="AJ156" s="1152"/>
      <c r="AK156" s="1140"/>
      <c r="AL156" s="1152"/>
      <c r="AM156" s="1140"/>
      <c r="AN156" s="1152"/>
      <c r="AO156" s="1140"/>
      <c r="AP156" s="1152"/>
      <c r="AQ156" s="1140"/>
      <c r="AR156" s="1152"/>
    </row>
    <row r="157" spans="1:44" ht="16" outlineLevel="1" thickBot="1">
      <c r="B157" s="541"/>
      <c r="C157" s="544"/>
      <c r="D157" s="545"/>
      <c r="E157" s="545"/>
      <c r="F157" s="546"/>
      <c r="G157" s="545"/>
      <c r="H157" s="545"/>
      <c r="I157" s="545"/>
      <c r="J157" s="545"/>
      <c r="K157" s="547"/>
      <c r="L157" s="548"/>
      <c r="M157" s="370"/>
      <c r="N157" s="370"/>
      <c r="O157" s="71"/>
      <c r="P157" s="1195"/>
      <c r="Q157" s="1156"/>
      <c r="R157" s="393"/>
      <c r="S157" s="394"/>
      <c r="T157" s="1141"/>
      <c r="U157" s="1153"/>
      <c r="V157" s="1141"/>
      <c r="W157" s="1153"/>
      <c r="X157" s="1141"/>
      <c r="Y157" s="1153"/>
      <c r="Z157" s="1141"/>
      <c r="AA157" s="1153"/>
      <c r="AB157" s="1141"/>
      <c r="AC157" s="1153"/>
      <c r="AE157" s="1195"/>
      <c r="AF157" s="1156"/>
      <c r="AG157" s="393"/>
      <c r="AH157" s="394"/>
      <c r="AI157" s="1141"/>
      <c r="AJ157" s="1153"/>
      <c r="AK157" s="1141"/>
      <c r="AL157" s="1153"/>
      <c r="AM157" s="1141"/>
      <c r="AN157" s="1153"/>
      <c r="AO157" s="1141"/>
      <c r="AP157" s="1153"/>
      <c r="AQ157" s="1141"/>
      <c r="AR157" s="1153"/>
    </row>
    <row r="158" spans="1:44" ht="14.5" customHeight="1" outlineLevel="1">
      <c r="B158" s="541"/>
      <c r="C158" s="544"/>
      <c r="D158" s="544"/>
      <c r="E158" s="544"/>
      <c r="F158" s="544"/>
      <c r="G158" s="544"/>
      <c r="H158" s="544"/>
      <c r="I158" s="544"/>
      <c r="J158" s="544"/>
      <c r="K158" s="547"/>
      <c r="L158" s="548"/>
      <c r="M158" s="370"/>
      <c r="N158" s="370"/>
      <c r="O158" s="71"/>
      <c r="P158" s="1195"/>
      <c r="Q158" s="1154"/>
      <c r="R158" s="395"/>
      <c r="S158" s="396"/>
      <c r="T158" s="1137"/>
      <c r="U158" s="1137"/>
      <c r="V158" s="1137"/>
      <c r="W158" s="1137"/>
      <c r="X158" s="1137"/>
      <c r="Y158" s="1137"/>
      <c r="Z158" s="1137"/>
      <c r="AA158" s="1137"/>
      <c r="AB158" s="1137"/>
      <c r="AC158" s="1137"/>
      <c r="AE158" s="1195"/>
      <c r="AF158" s="1154"/>
      <c r="AG158" s="395"/>
      <c r="AH158" s="396"/>
      <c r="AI158" s="1137"/>
      <c r="AJ158" s="1137"/>
      <c r="AK158" s="1137"/>
      <c r="AL158" s="1137"/>
      <c r="AM158" s="1137"/>
      <c r="AN158" s="1137"/>
      <c r="AO158" s="1137"/>
      <c r="AP158" s="1137"/>
      <c r="AQ158" s="1137"/>
      <c r="AR158" s="1137"/>
    </row>
    <row r="159" spans="1:44" outlineLevel="1">
      <c r="B159" s="541"/>
      <c r="C159" s="544"/>
      <c r="D159" s="544"/>
      <c r="E159" s="544"/>
      <c r="F159" s="544"/>
      <c r="G159" s="544"/>
      <c r="H159" s="544"/>
      <c r="I159" s="544"/>
      <c r="J159" s="544"/>
      <c r="K159" s="547"/>
      <c r="L159" s="548"/>
      <c r="M159" s="367"/>
      <c r="N159" s="367"/>
      <c r="O159" s="71"/>
      <c r="P159" s="1195"/>
      <c r="Q159" s="1155"/>
      <c r="R159" s="395"/>
      <c r="S159" s="396"/>
      <c r="T159" s="1138"/>
      <c r="U159" s="1138"/>
      <c r="V159" s="1138"/>
      <c r="W159" s="1138"/>
      <c r="X159" s="1138"/>
      <c r="Y159" s="1138"/>
      <c r="Z159" s="1138"/>
      <c r="AA159" s="1138"/>
      <c r="AB159" s="1138"/>
      <c r="AC159" s="1138"/>
      <c r="AE159" s="1195"/>
      <c r="AF159" s="1155"/>
      <c r="AG159" s="395"/>
      <c r="AH159" s="396"/>
      <c r="AI159" s="1138"/>
      <c r="AJ159" s="1138"/>
      <c r="AK159" s="1138"/>
      <c r="AL159" s="1138"/>
      <c r="AM159" s="1138"/>
      <c r="AN159" s="1138"/>
      <c r="AO159" s="1138"/>
      <c r="AP159" s="1138"/>
      <c r="AQ159" s="1138"/>
      <c r="AR159" s="1138"/>
    </row>
    <row r="160" spans="1:44" outlineLevel="1">
      <c r="B160" s="383"/>
      <c r="C160" s="397"/>
      <c r="D160" s="397"/>
      <c r="E160" s="397"/>
      <c r="F160" s="399"/>
      <c r="G160" s="399"/>
      <c r="H160" s="399"/>
      <c r="I160" s="399"/>
      <c r="J160" s="399"/>
      <c r="K160" s="372"/>
      <c r="L160" s="373"/>
      <c r="M160" s="363"/>
      <c r="N160" s="363"/>
      <c r="P160" s="1195"/>
      <c r="Q160" s="1155"/>
      <c r="R160" s="395"/>
      <c r="S160" s="396"/>
      <c r="T160" s="1138"/>
      <c r="U160" s="1138"/>
      <c r="V160" s="1138"/>
      <c r="W160" s="1138"/>
      <c r="X160" s="1138"/>
      <c r="Y160" s="1138"/>
      <c r="Z160" s="1138"/>
      <c r="AA160" s="1138"/>
      <c r="AB160" s="1138"/>
      <c r="AC160" s="1138"/>
      <c r="AE160" s="1195"/>
      <c r="AF160" s="1155"/>
      <c r="AG160" s="395"/>
      <c r="AH160" s="396"/>
      <c r="AI160" s="1138"/>
      <c r="AJ160" s="1138"/>
      <c r="AK160" s="1138"/>
      <c r="AL160" s="1138"/>
      <c r="AM160" s="1138"/>
      <c r="AN160" s="1138"/>
      <c r="AO160" s="1138"/>
      <c r="AP160" s="1138"/>
      <c r="AQ160" s="1138"/>
      <c r="AR160" s="1138"/>
    </row>
    <row r="161" spans="1:44" ht="16" outlineLevel="1" thickBot="1">
      <c r="B161" s="541"/>
      <c r="C161" s="544"/>
      <c r="D161" s="544"/>
      <c r="E161" s="544"/>
      <c r="F161" s="544"/>
      <c r="G161" s="544"/>
      <c r="H161" s="544"/>
      <c r="I161" s="544"/>
      <c r="J161" s="544"/>
      <c r="K161" s="372"/>
      <c r="L161" s="400"/>
      <c r="M161" s="363"/>
      <c r="N161" s="363"/>
      <c r="P161" s="1195"/>
      <c r="Q161" s="1155"/>
      <c r="R161" s="395"/>
      <c r="S161" s="396"/>
      <c r="T161" s="1138"/>
      <c r="U161" s="1138"/>
      <c r="V161" s="1138"/>
      <c r="W161" s="1138"/>
      <c r="X161" s="1138"/>
      <c r="Y161" s="1138"/>
      <c r="Z161" s="1138"/>
      <c r="AA161" s="1138"/>
      <c r="AB161" s="1138"/>
      <c r="AC161" s="1138"/>
      <c r="AE161" s="1195"/>
      <c r="AF161" s="1155"/>
      <c r="AG161" s="395"/>
      <c r="AH161" s="396"/>
      <c r="AI161" s="1138"/>
      <c r="AJ161" s="1138"/>
      <c r="AK161" s="1138"/>
      <c r="AL161" s="1138"/>
      <c r="AM161" s="1138"/>
      <c r="AN161" s="1138"/>
      <c r="AO161" s="1138"/>
      <c r="AP161" s="1138"/>
      <c r="AQ161" s="1138"/>
      <c r="AR161" s="1138"/>
    </row>
    <row r="162" spans="1:44" ht="16" outlineLevel="1" thickBot="1">
      <c r="B162" s="401"/>
      <c r="C162" s="402"/>
      <c r="D162" s="403"/>
      <c r="E162" s="404"/>
      <c r="F162" s="405"/>
      <c r="G162" s="406"/>
      <c r="H162" s="406"/>
      <c r="I162" s="406"/>
      <c r="J162" s="406"/>
      <c r="K162" s="407"/>
      <c r="L162" s="408"/>
      <c r="M162" s="363"/>
      <c r="N162" s="363"/>
      <c r="P162" s="1195"/>
      <c r="Q162" s="1155"/>
      <c r="R162" s="409"/>
      <c r="S162" s="410"/>
      <c r="T162" s="1139"/>
      <c r="U162" s="1139"/>
      <c r="V162" s="1139"/>
      <c r="W162" s="1139"/>
      <c r="X162" s="1139"/>
      <c r="Y162" s="1139"/>
      <c r="Z162" s="1139"/>
      <c r="AA162" s="1139"/>
      <c r="AB162" s="1139"/>
      <c r="AC162" s="1139"/>
      <c r="AE162" s="1195"/>
      <c r="AF162" s="1155"/>
      <c r="AG162" s="409"/>
      <c r="AH162" s="410"/>
      <c r="AI162" s="1139"/>
      <c r="AJ162" s="1139"/>
      <c r="AK162" s="1139"/>
      <c r="AL162" s="1139"/>
      <c r="AM162" s="1139"/>
      <c r="AN162" s="1139"/>
      <c r="AO162" s="1139"/>
      <c r="AP162" s="1139"/>
      <c r="AQ162" s="1139"/>
      <c r="AR162" s="1139"/>
    </row>
    <row r="163" spans="1:44" ht="16" outlineLevel="1" thickBot="1">
      <c r="B163" s="541"/>
      <c r="C163" s="544"/>
      <c r="D163" s="544"/>
      <c r="E163" s="544"/>
      <c r="F163" s="544"/>
      <c r="G163" s="545"/>
      <c r="H163" s="545"/>
      <c r="I163" s="545"/>
      <c r="J163" s="545"/>
      <c r="K163" s="547"/>
      <c r="L163" s="548"/>
      <c r="M163" s="363"/>
      <c r="N163" s="363"/>
      <c r="P163" s="1196"/>
      <c r="Q163" s="411"/>
      <c r="R163" s="412"/>
      <c r="S163" s="413"/>
      <c r="T163" s="414"/>
      <c r="U163" s="415"/>
      <c r="V163" s="416"/>
      <c r="W163" s="415"/>
      <c r="X163" s="416"/>
      <c r="Y163" s="415"/>
      <c r="Z163" s="416"/>
      <c r="AA163" s="415"/>
      <c r="AB163" s="416"/>
      <c r="AC163" s="417"/>
      <c r="AE163" s="1196"/>
      <c r="AF163" s="411"/>
      <c r="AG163" s="412"/>
      <c r="AH163" s="413"/>
      <c r="AI163" s="414"/>
      <c r="AJ163" s="415"/>
      <c r="AK163" s="416"/>
      <c r="AL163" s="415"/>
      <c r="AM163" s="416"/>
      <c r="AN163" s="415"/>
      <c r="AO163" s="416"/>
      <c r="AP163" s="415"/>
      <c r="AQ163" s="416"/>
      <c r="AR163" s="417"/>
    </row>
    <row r="164" spans="1:44" outlineLevel="1">
      <c r="B164" s="541"/>
      <c r="C164" s="544"/>
      <c r="D164" s="544"/>
      <c r="E164" s="544"/>
      <c r="F164" s="544"/>
      <c r="G164" s="549"/>
      <c r="H164" s="549"/>
      <c r="I164" s="549"/>
      <c r="J164" s="549"/>
      <c r="K164" s="550"/>
      <c r="L164" s="548"/>
      <c r="M164" s="363"/>
      <c r="N164" s="363"/>
    </row>
    <row r="165" spans="1:44" outlineLevel="1">
      <c r="B165" s="541"/>
      <c r="C165" s="544"/>
      <c r="D165" s="544"/>
      <c r="E165" s="544"/>
      <c r="F165" s="544"/>
      <c r="G165" s="549"/>
      <c r="H165" s="549"/>
      <c r="I165" s="549"/>
      <c r="J165" s="549"/>
      <c r="K165" s="550"/>
      <c r="L165" s="548"/>
      <c r="M165" s="420"/>
      <c r="N165" s="363"/>
    </row>
    <row r="166" spans="1:44" outlineLevel="1">
      <c r="B166" s="421"/>
      <c r="C166" s="399"/>
      <c r="D166" s="399"/>
      <c r="E166" s="399"/>
      <c r="F166" s="399"/>
      <c r="G166" s="422"/>
      <c r="H166" s="422"/>
      <c r="I166" s="422"/>
      <c r="J166" s="422"/>
      <c r="K166" s="423"/>
      <c r="L166" s="424"/>
      <c r="M166" s="420"/>
      <c r="N166" s="420"/>
    </row>
    <row r="167" spans="1:44" outlineLevel="1">
      <c r="B167" s="383"/>
      <c r="C167" s="397"/>
      <c r="D167" s="397"/>
      <c r="E167" s="397"/>
      <c r="F167" s="397"/>
      <c r="G167" s="422"/>
      <c r="H167" s="425"/>
      <c r="I167" s="425"/>
      <c r="J167" s="425"/>
      <c r="K167" s="426"/>
      <c r="L167" s="427"/>
      <c r="M167" s="428"/>
      <c r="N167" s="428"/>
    </row>
    <row r="168" spans="1:44" outlineLevel="1">
      <c r="B168" s="383"/>
      <c r="C168" s="397"/>
      <c r="D168" s="397"/>
      <c r="E168" s="397"/>
      <c r="F168" s="397"/>
      <c r="G168" s="425"/>
      <c r="H168" s="425"/>
      <c r="I168" s="425"/>
      <c r="J168" s="425"/>
      <c r="K168" s="423"/>
      <c r="L168" s="427"/>
      <c r="M168" s="428"/>
      <c r="N168" s="428"/>
    </row>
    <row r="169" spans="1:44" outlineLevel="1">
      <c r="B169" s="383"/>
      <c r="C169" s="397"/>
      <c r="D169" s="397"/>
      <c r="E169" s="397"/>
      <c r="F169" s="397"/>
      <c r="G169" s="425"/>
      <c r="H169" s="425"/>
      <c r="I169" s="425"/>
      <c r="J169" s="425"/>
      <c r="K169" s="423"/>
      <c r="L169" s="427"/>
      <c r="M169" s="428"/>
      <c r="N169" s="428"/>
    </row>
    <row r="170" spans="1:44" outlineLevel="1">
      <c r="B170" s="383"/>
      <c r="C170" s="397"/>
      <c r="D170" s="397"/>
      <c r="E170" s="397"/>
      <c r="F170" s="397"/>
      <c r="G170" s="425"/>
      <c r="H170" s="425"/>
      <c r="I170" s="425"/>
      <c r="J170" s="425"/>
      <c r="K170" s="423"/>
      <c r="L170" s="427"/>
      <c r="M170" s="428"/>
      <c r="N170" s="428"/>
    </row>
    <row r="171" spans="1:44" ht="16" outlineLevel="1" thickBot="1">
      <c r="B171" s="429"/>
      <c r="C171" s="430"/>
      <c r="D171" s="430"/>
      <c r="E171" s="430"/>
      <c r="F171" s="430"/>
      <c r="G171" s="425"/>
      <c r="H171" s="425"/>
      <c r="I171" s="425"/>
      <c r="J171" s="425"/>
      <c r="K171" s="423"/>
      <c r="L171" s="427"/>
      <c r="M171" s="428"/>
      <c r="N171" s="428"/>
    </row>
    <row r="172" spans="1:44" ht="16" outlineLevel="1" thickBot="1">
      <c r="B172" s="431"/>
      <c r="C172" s="432"/>
      <c r="D172" s="403"/>
      <c r="E172" s="403"/>
      <c r="F172" s="433"/>
      <c r="G172" s="434"/>
      <c r="H172" s="406"/>
      <c r="I172" s="406"/>
      <c r="J172" s="406"/>
      <c r="K172" s="407"/>
      <c r="L172" s="408"/>
      <c r="M172" s="428"/>
      <c r="N172" s="428"/>
    </row>
    <row r="173" spans="1:44" outlineLevel="1">
      <c r="A173" s="435"/>
      <c r="B173" s="436"/>
      <c r="C173" s="551"/>
      <c r="D173" s="438"/>
      <c r="E173" s="438"/>
      <c r="F173" s="439"/>
      <c r="G173" s="425"/>
      <c r="H173" s="425"/>
      <c r="I173" s="425"/>
      <c r="J173" s="425"/>
      <c r="K173" s="426"/>
      <c r="L173" s="440"/>
      <c r="M173" s="420"/>
      <c r="N173" s="420"/>
    </row>
    <row r="174" spans="1:44" outlineLevel="1">
      <c r="B174" s="441"/>
      <c r="C174" s="442"/>
      <c r="D174" s="443"/>
      <c r="E174" s="443"/>
      <c r="F174" s="443"/>
      <c r="G174" s="425"/>
      <c r="H174" s="425"/>
      <c r="I174" s="425"/>
      <c r="J174" s="425"/>
      <c r="K174" s="444"/>
      <c r="L174" s="373"/>
      <c r="M174" s="71"/>
      <c r="N174" s="420"/>
    </row>
    <row r="175" spans="1:44" outlineLevel="1">
      <c r="B175" s="441"/>
      <c r="C175" s="442"/>
      <c r="D175" s="442"/>
      <c r="E175" s="442"/>
      <c r="F175" s="442"/>
      <c r="G175" s="425"/>
      <c r="H175" s="425"/>
      <c r="I175" s="425"/>
      <c r="J175" s="425"/>
      <c r="K175" s="444"/>
      <c r="L175" s="373"/>
      <c r="M175" s="420"/>
      <c r="N175" s="420"/>
    </row>
    <row r="176" spans="1:44" outlineLevel="1">
      <c r="B176" s="383"/>
      <c r="C176" s="445"/>
      <c r="D176" s="446"/>
      <c r="E176" s="446"/>
      <c r="F176" s="447"/>
      <c r="G176" s="425"/>
      <c r="H176" s="425"/>
      <c r="I176" s="425"/>
      <c r="J176" s="425"/>
      <c r="K176" s="448"/>
      <c r="L176" s="373"/>
      <c r="M176" s="420"/>
      <c r="N176" s="420"/>
    </row>
    <row r="177" spans="2:30" outlineLevel="1">
      <c r="B177" s="383"/>
      <c r="C177" s="449"/>
      <c r="D177" s="449"/>
      <c r="E177" s="449"/>
      <c r="F177" s="449"/>
      <c r="G177" s="425"/>
      <c r="H177" s="425"/>
      <c r="I177" s="425"/>
      <c r="J177" s="425"/>
      <c r="K177" s="448"/>
      <c r="L177" s="373"/>
      <c r="M177" s="450"/>
      <c r="N177" s="361"/>
      <c r="P177" s="1142"/>
      <c r="Q177" s="1143"/>
      <c r="R177" s="1143"/>
      <c r="S177" s="1143"/>
      <c r="T177" s="1143"/>
      <c r="U177" s="1144"/>
    </row>
    <row r="178" spans="2:30" ht="16" outlineLevel="1" thickBot="1">
      <c r="B178" s="541"/>
      <c r="C178" s="552"/>
      <c r="D178" s="552"/>
      <c r="E178" s="552"/>
      <c r="F178" s="552"/>
      <c r="G178" s="553"/>
      <c r="H178" s="553"/>
      <c r="I178" s="553"/>
      <c r="J178" s="553"/>
      <c r="K178" s="547"/>
      <c r="L178" s="548"/>
      <c r="M178" s="450"/>
      <c r="N178" s="361"/>
      <c r="P178" s="1134"/>
      <c r="Q178" s="1135"/>
      <c r="R178" s="1135"/>
      <c r="S178" s="1135"/>
      <c r="T178" s="1135"/>
      <c r="U178" s="1136"/>
    </row>
    <row r="179" spans="2:30" outlineLevel="1">
      <c r="B179" s="541"/>
      <c r="C179" s="554"/>
      <c r="D179" s="554"/>
      <c r="E179" s="554"/>
      <c r="F179" s="554"/>
      <c r="G179" s="553"/>
      <c r="H179" s="553"/>
      <c r="I179" s="553"/>
      <c r="J179" s="553"/>
      <c r="K179" s="555"/>
      <c r="L179" s="548"/>
      <c r="M179" s="363"/>
      <c r="N179" s="363"/>
      <c r="P179" s="53"/>
    </row>
    <row r="180" spans="2:30" outlineLevel="1">
      <c r="B180" s="441"/>
      <c r="C180" s="456"/>
      <c r="D180" s="456"/>
      <c r="E180" s="456"/>
      <c r="F180" s="456"/>
      <c r="G180" s="425"/>
      <c r="H180" s="425"/>
      <c r="I180" s="425"/>
      <c r="J180" s="425"/>
      <c r="K180" s="444"/>
      <c r="L180" s="424"/>
      <c r="M180" s="367"/>
      <c r="N180" s="367"/>
      <c r="P180" s="46"/>
      <c r="Q180" s="46"/>
      <c r="R180" s="47"/>
      <c r="S180" s="47"/>
      <c r="T180" s="47"/>
      <c r="U180" s="48"/>
      <c r="V180" s="49"/>
      <c r="W180" s="49"/>
      <c r="X180" s="49"/>
      <c r="Y180" s="49"/>
      <c r="Z180" s="49"/>
      <c r="AA180" s="49"/>
      <c r="AB180" s="49"/>
      <c r="AC180" s="49"/>
      <c r="AD180" s="49"/>
    </row>
    <row r="181" spans="2:30" ht="16" outlineLevel="1" thickBot="1">
      <c r="B181" s="441"/>
      <c r="C181" s="442"/>
      <c r="D181" s="457"/>
      <c r="E181" s="457"/>
      <c r="F181" s="458"/>
      <c r="G181" s="425"/>
      <c r="H181" s="425"/>
      <c r="I181" s="425"/>
      <c r="J181" s="425"/>
      <c r="K181" s="448"/>
      <c r="L181" s="424"/>
      <c r="M181" s="363"/>
      <c r="N181" s="363"/>
      <c r="P181" s="50"/>
      <c r="Q181" s="50"/>
      <c r="R181" s="51"/>
      <c r="S181" s="51"/>
      <c r="T181" s="51"/>
      <c r="U181" s="51"/>
      <c r="V181" s="50"/>
      <c r="W181" s="50"/>
      <c r="X181" s="50"/>
      <c r="Y181" s="50"/>
      <c r="Z181" s="50"/>
      <c r="AA181" s="50"/>
      <c r="AB181" s="50"/>
      <c r="AC181" s="50"/>
      <c r="AD181" s="50"/>
    </row>
    <row r="182" spans="2:30" ht="16" outlineLevel="1" thickBot="1">
      <c r="B182" s="401"/>
      <c r="C182" s="402"/>
      <c r="D182" s="403"/>
      <c r="E182" s="404"/>
      <c r="F182" s="405"/>
      <c r="G182" s="406"/>
      <c r="H182" s="406"/>
      <c r="I182" s="406"/>
      <c r="J182" s="406"/>
      <c r="K182" s="459"/>
      <c r="L182" s="460"/>
      <c r="M182" s="363"/>
      <c r="N182" s="363"/>
      <c r="O182" s="461"/>
      <c r="P182" s="56"/>
      <c r="Q182" s="56"/>
      <c r="R182" s="57"/>
      <c r="S182" s="57"/>
      <c r="T182" s="57"/>
      <c r="U182" s="56"/>
      <c r="V182" s="56"/>
      <c r="W182" s="56"/>
      <c r="X182" s="56"/>
      <c r="Y182" s="56"/>
      <c r="Z182" s="56"/>
      <c r="AA182" s="56"/>
      <c r="AB182" s="56"/>
      <c r="AC182" s="56"/>
      <c r="AD182" s="56"/>
    </row>
    <row r="183" spans="2:30" outlineLevel="1">
      <c r="B183" s="556"/>
      <c r="C183" s="557"/>
      <c r="D183" s="557"/>
      <c r="E183" s="557"/>
      <c r="F183" s="557"/>
      <c r="G183" s="558"/>
      <c r="H183" s="558"/>
      <c r="I183" s="558"/>
      <c r="J183" s="558"/>
      <c r="K183" s="558"/>
      <c r="L183" s="559"/>
      <c r="M183" s="363"/>
      <c r="N183" s="363"/>
      <c r="O183" s="465"/>
      <c r="P183" s="466"/>
      <c r="Q183" s="58"/>
      <c r="R183" s="466"/>
      <c r="S183" s="58"/>
      <c r="T183" s="466"/>
      <c r="U183" s="467"/>
      <c r="V183" s="467"/>
      <c r="W183" s="467"/>
      <c r="X183" s="58"/>
      <c r="Y183" s="58"/>
      <c r="Z183" s="466"/>
      <c r="AA183" s="468"/>
      <c r="AB183" s="468"/>
      <c r="AC183" s="468"/>
      <c r="AD183" s="468"/>
    </row>
    <row r="184" spans="2:30" outlineLevel="1">
      <c r="B184" s="541"/>
      <c r="C184" s="560"/>
      <c r="D184" s="561"/>
      <c r="E184" s="561"/>
      <c r="F184" s="562"/>
      <c r="G184" s="562"/>
      <c r="H184" s="562"/>
      <c r="I184" s="562"/>
      <c r="J184" s="562"/>
      <c r="K184" s="563"/>
      <c r="L184" s="559"/>
      <c r="M184" s="363"/>
      <c r="N184" s="363"/>
      <c r="O184" s="465"/>
      <c r="P184" s="466"/>
      <c r="Q184" s="58"/>
      <c r="R184" s="466"/>
      <c r="S184" s="58"/>
      <c r="T184" s="466"/>
      <c r="U184" s="467"/>
      <c r="V184" s="467"/>
      <c r="W184" s="467"/>
      <c r="X184" s="58"/>
      <c r="Y184" s="58"/>
      <c r="Z184" s="466"/>
      <c r="AA184" s="468"/>
      <c r="AB184" s="468"/>
      <c r="AC184" s="468"/>
      <c r="AD184" s="468"/>
    </row>
    <row r="185" spans="2:30" outlineLevel="1">
      <c r="B185" s="541"/>
      <c r="C185" s="560"/>
      <c r="D185" s="561"/>
      <c r="E185" s="561"/>
      <c r="F185" s="562"/>
      <c r="G185" s="562"/>
      <c r="H185" s="562"/>
      <c r="I185" s="562"/>
      <c r="J185" s="562"/>
      <c r="K185" s="563"/>
      <c r="L185" s="559"/>
      <c r="M185" s="363"/>
      <c r="N185" s="363"/>
      <c r="O185" s="465"/>
      <c r="P185" s="466"/>
      <c r="Q185" s="58"/>
      <c r="R185" s="466"/>
      <c r="S185" s="58"/>
      <c r="T185" s="466"/>
      <c r="U185" s="467"/>
      <c r="V185" s="467"/>
      <c r="W185" s="467"/>
      <c r="X185" s="58"/>
      <c r="Y185" s="58"/>
      <c r="Z185" s="466"/>
      <c r="AA185" s="468"/>
      <c r="AB185" s="468"/>
      <c r="AC185" s="468"/>
      <c r="AD185" s="468"/>
    </row>
    <row r="186" spans="2:30" outlineLevel="1">
      <c r="B186" s="541"/>
      <c r="C186" s="564"/>
      <c r="D186" s="564"/>
      <c r="E186" s="564"/>
      <c r="F186" s="564"/>
      <c r="G186" s="565"/>
      <c r="H186" s="565"/>
      <c r="I186" s="565"/>
      <c r="J186" s="565"/>
      <c r="K186" s="565"/>
      <c r="L186" s="548"/>
      <c r="M186" s="363"/>
      <c r="N186" s="363"/>
      <c r="O186" s="465"/>
      <c r="P186" s="466"/>
      <c r="Q186" s="58"/>
      <c r="R186" s="466"/>
      <c r="S186" s="58"/>
      <c r="T186" s="466"/>
      <c r="U186" s="467"/>
      <c r="V186" s="467"/>
      <c r="W186" s="467"/>
      <c r="X186" s="58"/>
      <c r="Y186" s="58"/>
      <c r="Z186" s="466"/>
      <c r="AA186" s="468"/>
      <c r="AB186" s="468"/>
      <c r="AC186" s="468"/>
      <c r="AD186" s="468"/>
    </row>
    <row r="187" spans="2:30" outlineLevel="1">
      <c r="B187" s="566"/>
      <c r="C187" s="560"/>
      <c r="D187" s="561"/>
      <c r="E187" s="561"/>
      <c r="F187" s="562"/>
      <c r="G187" s="562"/>
      <c r="H187" s="562"/>
      <c r="I187" s="562"/>
      <c r="J187" s="562"/>
      <c r="K187" s="563"/>
      <c r="L187" s="559"/>
      <c r="M187" s="367"/>
      <c r="N187" s="367"/>
    </row>
    <row r="188" spans="2:30" outlineLevel="1">
      <c r="B188" s="566"/>
      <c r="C188" s="560"/>
      <c r="D188" s="561"/>
      <c r="E188" s="561"/>
      <c r="F188" s="562"/>
      <c r="G188" s="562"/>
      <c r="H188" s="562"/>
      <c r="I188" s="562"/>
      <c r="J188" s="562"/>
      <c r="K188" s="563"/>
      <c r="L188" s="559"/>
      <c r="M188" s="363"/>
      <c r="N188" s="363"/>
    </row>
    <row r="189" spans="2:30" ht="16" outlineLevel="1" thickBot="1">
      <c r="B189" s="567"/>
      <c r="C189" s="568"/>
      <c r="D189" s="568"/>
      <c r="E189" s="568"/>
      <c r="F189" s="568"/>
      <c r="G189" s="568"/>
      <c r="H189" s="568"/>
      <c r="I189" s="568"/>
      <c r="J189" s="568"/>
      <c r="K189" s="568"/>
      <c r="L189" s="569"/>
      <c r="M189" s="363"/>
      <c r="N189" s="363"/>
    </row>
    <row r="190" spans="2:30" outlineLevel="1">
      <c r="B190" s="461"/>
      <c r="C190" s="483"/>
      <c r="D190" s="483"/>
      <c r="E190" s="483"/>
      <c r="F190" s="483"/>
      <c r="G190" s="483"/>
      <c r="H190" s="484"/>
      <c r="I190" s="420"/>
      <c r="J190" s="420"/>
      <c r="K190" s="484"/>
      <c r="L190" s="484"/>
      <c r="N190" s="420"/>
    </row>
    <row r="191" spans="2:30" outlineLevel="1">
      <c r="B191" s="485"/>
      <c r="C191" s="486"/>
      <c r="D191" s="486"/>
      <c r="E191" s="486"/>
      <c r="F191" s="486"/>
      <c r="G191" s="486"/>
      <c r="H191" s="484"/>
      <c r="I191" s="71"/>
      <c r="J191" s="420"/>
      <c r="K191" s="484"/>
      <c r="L191" s="484"/>
      <c r="N191" s="420"/>
    </row>
    <row r="192" spans="2:30" outlineLevel="1">
      <c r="B192" s="461"/>
      <c r="C192" s="359"/>
      <c r="D192" s="359"/>
      <c r="E192" s="359"/>
      <c r="F192" s="359"/>
      <c r="G192" s="359"/>
      <c r="I192" s="420"/>
      <c r="J192" s="420"/>
      <c r="N192" s="420"/>
    </row>
    <row r="193" spans="1:16" outlineLevel="1">
      <c r="B193" s="461"/>
      <c r="C193" s="487"/>
      <c r="D193" s="487"/>
      <c r="E193" s="487"/>
      <c r="F193" s="487"/>
      <c r="G193" s="359"/>
      <c r="M193" s="420"/>
      <c r="N193" s="420"/>
    </row>
    <row r="194" spans="1:16" outlineLevel="1"/>
    <row r="195" spans="1:16" outlineLevel="1">
      <c r="A195" s="488"/>
      <c r="B195" s="489"/>
      <c r="D195" s="490"/>
      <c r="E195" s="490"/>
      <c r="F195" s="490"/>
      <c r="G195" s="358"/>
      <c r="H195" s="358"/>
      <c r="I195" s="358"/>
      <c r="J195" s="358"/>
      <c r="K195" s="358"/>
      <c r="L195" s="358"/>
      <c r="N195" s="570"/>
      <c r="O195" s="489"/>
      <c r="P195" s="490"/>
    </row>
    <row r="196" spans="1:16" outlineLevel="1">
      <c r="A196" s="491"/>
      <c r="B196" s="492"/>
      <c r="D196" s="490"/>
      <c r="E196" s="490"/>
      <c r="F196" s="490"/>
      <c r="G196" s="358"/>
      <c r="H196" s="358"/>
      <c r="I196" s="358"/>
      <c r="J196" s="358"/>
      <c r="K196" s="358"/>
      <c r="L196" s="358"/>
      <c r="N196" s="570"/>
      <c r="O196" s="489"/>
      <c r="P196" s="490"/>
    </row>
    <row r="197" spans="1:16" outlineLevel="1">
      <c r="A197" s="491"/>
      <c r="B197" s="493"/>
      <c r="D197" s="490"/>
      <c r="E197" s="490"/>
      <c r="F197" s="490"/>
      <c r="G197" s="358"/>
      <c r="H197" s="358"/>
      <c r="I197" s="358"/>
      <c r="J197" s="358"/>
      <c r="K197" s="358"/>
      <c r="L197" s="358"/>
      <c r="N197" s="570"/>
      <c r="O197" s="489"/>
      <c r="P197" s="490"/>
    </row>
    <row r="198" spans="1:16" outlineLevel="1">
      <c r="A198" s="491"/>
      <c r="B198" s="493"/>
      <c r="D198" s="490"/>
      <c r="E198" s="490"/>
      <c r="F198" s="490"/>
      <c r="G198" s="358"/>
      <c r="H198" s="358"/>
      <c r="I198" s="358"/>
      <c r="J198" s="358"/>
      <c r="K198" s="358"/>
      <c r="L198" s="358"/>
      <c r="N198" s="570"/>
      <c r="O198" s="489"/>
      <c r="P198" s="490"/>
    </row>
    <row r="199" spans="1:16" outlineLevel="1">
      <c r="A199" s="491"/>
      <c r="B199" s="493"/>
      <c r="D199" s="490"/>
      <c r="E199" s="490"/>
      <c r="F199" s="490"/>
      <c r="G199" s="358"/>
      <c r="H199" s="358"/>
      <c r="I199" s="358"/>
      <c r="J199" s="358"/>
      <c r="K199" s="358"/>
      <c r="L199" s="358"/>
      <c r="N199" s="570"/>
      <c r="O199" s="489"/>
      <c r="P199" s="490"/>
    </row>
    <row r="200" spans="1:16" outlineLevel="1">
      <c r="A200" s="358"/>
      <c r="B200" s="494"/>
      <c r="D200" s="490"/>
      <c r="E200" s="490"/>
      <c r="F200" s="490"/>
      <c r="G200" s="358"/>
      <c r="H200" s="358"/>
      <c r="I200" s="358"/>
      <c r="J200" s="358"/>
      <c r="K200" s="358"/>
      <c r="L200" s="358"/>
    </row>
    <row r="201" spans="1:16" outlineLevel="1">
      <c r="A201" s="358"/>
      <c r="B201" s="492"/>
      <c r="D201" s="490"/>
      <c r="E201" s="490"/>
      <c r="F201" s="490"/>
      <c r="G201" s="358"/>
      <c r="H201" s="358"/>
      <c r="I201" s="358"/>
      <c r="J201" s="358"/>
      <c r="K201" s="358"/>
      <c r="L201" s="358"/>
    </row>
    <row r="202" spans="1:16" outlineLevel="1">
      <c r="A202" s="358"/>
      <c r="B202" s="495"/>
      <c r="D202" s="490"/>
      <c r="E202" s="490"/>
      <c r="F202" s="490"/>
      <c r="G202" s="358"/>
      <c r="H202" s="358"/>
      <c r="I202" s="358"/>
      <c r="J202" s="358"/>
      <c r="K202" s="358"/>
      <c r="L202" s="358"/>
    </row>
    <row r="203" spans="1:16" outlineLevel="1">
      <c r="A203" s="358"/>
      <c r="B203" s="495"/>
      <c r="D203" s="490"/>
      <c r="E203" s="490"/>
      <c r="F203" s="490"/>
      <c r="G203" s="358"/>
      <c r="H203" s="358"/>
      <c r="I203" s="358"/>
      <c r="J203" s="358"/>
      <c r="K203" s="358"/>
      <c r="L203" s="358"/>
    </row>
    <row r="204" spans="1:16" outlineLevel="1">
      <c r="A204" s="358"/>
      <c r="B204" s="489"/>
      <c r="D204" s="490"/>
      <c r="E204" s="490"/>
      <c r="F204" s="490"/>
      <c r="G204" s="358"/>
      <c r="H204" s="358"/>
      <c r="I204" s="358"/>
      <c r="J204" s="358"/>
      <c r="K204" s="358"/>
      <c r="L204" s="358"/>
    </row>
    <row r="205" spans="1:16" outlineLevel="1">
      <c r="A205" s="358"/>
      <c r="B205" s="490"/>
      <c r="D205" s="490"/>
      <c r="E205" s="490"/>
      <c r="F205" s="490"/>
      <c r="G205" s="358"/>
      <c r="H205" s="358"/>
      <c r="I205" s="358"/>
      <c r="J205" s="358"/>
      <c r="K205" s="358"/>
      <c r="L205" s="358"/>
    </row>
    <row r="206" spans="1:16" outlineLevel="1">
      <c r="A206" s="488"/>
      <c r="B206" s="489"/>
      <c r="D206" s="490"/>
      <c r="E206" s="490"/>
      <c r="F206" s="490"/>
      <c r="G206" s="358"/>
      <c r="H206" s="358"/>
      <c r="I206" s="358"/>
      <c r="J206" s="358"/>
      <c r="K206" s="358"/>
      <c r="L206" s="358"/>
    </row>
    <row r="207" spans="1:16" outlineLevel="1">
      <c r="A207" s="496"/>
      <c r="B207" s="497"/>
      <c r="C207" s="490"/>
      <c r="D207" s="490"/>
      <c r="E207" s="490"/>
      <c r="F207" s="490"/>
      <c r="G207" s="358"/>
      <c r="H207" s="358"/>
      <c r="I207" s="358"/>
      <c r="J207" s="358"/>
      <c r="K207" s="358"/>
      <c r="L207" s="358"/>
      <c r="N207" s="570"/>
      <c r="O207" s="489"/>
      <c r="P207" s="490"/>
    </row>
    <row r="208" spans="1:16" outlineLevel="1">
      <c r="A208" s="496"/>
      <c r="B208" s="489"/>
      <c r="C208" s="490"/>
      <c r="D208" s="490"/>
      <c r="E208" s="490"/>
      <c r="F208" s="490"/>
      <c r="G208" s="358"/>
      <c r="H208" s="358"/>
      <c r="I208" s="358"/>
      <c r="J208" s="358"/>
      <c r="K208" s="358"/>
      <c r="L208" s="358"/>
      <c r="N208" s="571"/>
      <c r="O208" s="489"/>
      <c r="P208" s="490"/>
    </row>
    <row r="209" spans="1:44" outlineLevel="1">
      <c r="A209" s="496"/>
      <c r="B209" s="489"/>
      <c r="C209" s="490"/>
      <c r="D209" s="490"/>
      <c r="E209" s="490"/>
      <c r="F209" s="490"/>
      <c r="G209" s="358"/>
      <c r="H209" s="358"/>
      <c r="I209" s="358"/>
      <c r="J209" s="358"/>
      <c r="K209" s="358"/>
      <c r="L209" s="358"/>
      <c r="N209" s="572"/>
      <c r="O209" s="489"/>
      <c r="P209" s="490"/>
    </row>
    <row r="210" spans="1:44" outlineLevel="1">
      <c r="A210" s="496"/>
      <c r="B210" s="489"/>
      <c r="C210" s="490"/>
      <c r="D210" s="490"/>
      <c r="E210" s="490"/>
      <c r="F210" s="490"/>
      <c r="G210" s="358"/>
      <c r="H210" s="358"/>
      <c r="I210" s="358"/>
      <c r="J210" s="358"/>
      <c r="K210" s="358"/>
      <c r="L210" s="358"/>
      <c r="N210" s="573"/>
      <c r="O210" s="489"/>
      <c r="P210" s="490"/>
    </row>
    <row r="211" spans="1:44" outlineLevel="1">
      <c r="A211" s="496"/>
      <c r="B211" s="498"/>
      <c r="C211" s="490"/>
      <c r="D211" s="490"/>
      <c r="E211" s="490"/>
      <c r="F211" s="490"/>
      <c r="G211" s="358"/>
      <c r="H211" s="358"/>
      <c r="I211" s="358"/>
      <c r="J211" s="358"/>
      <c r="K211" s="358"/>
      <c r="L211" s="358"/>
      <c r="N211" s="573"/>
      <c r="O211" s="490"/>
      <c r="P211" s="490"/>
    </row>
    <row r="212" spans="1:44" outlineLevel="1">
      <c r="A212" s="496"/>
      <c r="B212" s="489"/>
      <c r="C212" s="490"/>
      <c r="D212" s="490"/>
      <c r="E212" s="490"/>
      <c r="F212" s="490"/>
      <c r="G212" s="358"/>
      <c r="H212" s="358"/>
      <c r="I212" s="358"/>
      <c r="J212" s="358"/>
      <c r="K212" s="358"/>
      <c r="L212" s="358"/>
      <c r="N212" s="489"/>
      <c r="O212" s="490"/>
      <c r="P212" s="490"/>
    </row>
    <row r="213" spans="1:44" outlineLevel="1">
      <c r="A213" s="496"/>
      <c r="B213" s="489"/>
      <c r="C213" s="490"/>
      <c r="D213" s="490"/>
      <c r="E213" s="490"/>
      <c r="F213" s="490"/>
      <c r="G213" s="358"/>
      <c r="H213" s="358"/>
      <c r="I213" s="358"/>
      <c r="J213" s="358"/>
      <c r="K213" s="358"/>
      <c r="L213" s="358"/>
      <c r="N213" s="490"/>
      <c r="O213" s="490"/>
      <c r="P213" s="490"/>
    </row>
    <row r="214" spans="1:44" outlineLevel="1"/>
    <row r="215" spans="1:44" outlineLevel="1"/>
    <row r="217" spans="1:44" ht="16" thickBot="1">
      <c r="A217" s="360"/>
    </row>
    <row r="218" spans="1:44" ht="20.5" customHeight="1" outlineLevel="1" thickBot="1">
      <c r="B218" s="362"/>
      <c r="C218" s="1186"/>
      <c r="D218" s="1205"/>
      <c r="E218" s="1205"/>
      <c r="F218" s="1205"/>
      <c r="G218" s="1205"/>
      <c r="H218" s="1205"/>
      <c r="I218" s="1205"/>
      <c r="J218" s="1205"/>
      <c r="K218" s="1205"/>
      <c r="L218" s="1206"/>
      <c r="M218" s="363"/>
      <c r="N218" s="363"/>
      <c r="P218" s="364"/>
      <c r="Q218" s="365"/>
      <c r="R218" s="366"/>
      <c r="S218" s="1176"/>
      <c r="T218" s="1160"/>
      <c r="U218" s="1161"/>
      <c r="V218" s="1160"/>
      <c r="W218" s="1161"/>
      <c r="X218" s="1160"/>
      <c r="Y218" s="1161"/>
      <c r="Z218" s="1160"/>
      <c r="AA218" s="1161"/>
      <c r="AB218" s="1160"/>
      <c r="AC218" s="1161"/>
      <c r="AE218" s="364"/>
      <c r="AF218" s="365"/>
      <c r="AG218" s="366"/>
      <c r="AH218" s="1176"/>
      <c r="AI218" s="1160"/>
      <c r="AJ218" s="1161"/>
      <c r="AK218" s="1160"/>
      <c r="AL218" s="1161"/>
      <c r="AM218" s="1160"/>
      <c r="AN218" s="1161"/>
      <c r="AO218" s="1160"/>
      <c r="AP218" s="1161"/>
      <c r="AQ218" s="1160"/>
      <c r="AR218" s="1161"/>
    </row>
    <row r="219" spans="1:44" ht="15" customHeight="1" outlineLevel="1" thickBot="1">
      <c r="B219" s="1164"/>
      <c r="C219" s="1166"/>
      <c r="D219" s="1166"/>
      <c r="E219" s="1166"/>
      <c r="F219" s="1166"/>
      <c r="G219" s="1168"/>
      <c r="H219" s="1169"/>
      <c r="I219" s="1168"/>
      <c r="J219" s="1169"/>
      <c r="K219" s="1189"/>
      <c r="L219" s="1189"/>
      <c r="M219" s="367"/>
      <c r="N219" s="367"/>
      <c r="P219" s="1180"/>
      <c r="Q219" s="368"/>
      <c r="R219" s="368"/>
      <c r="S219" s="1177"/>
      <c r="T219" s="1162"/>
      <c r="U219" s="1163"/>
      <c r="V219" s="1162"/>
      <c r="W219" s="1163"/>
      <c r="X219" s="1162"/>
      <c r="Y219" s="1163"/>
      <c r="Z219" s="1162"/>
      <c r="AA219" s="1163"/>
      <c r="AB219" s="1162"/>
      <c r="AC219" s="1163"/>
      <c r="AE219" s="1180"/>
      <c r="AF219" s="368"/>
      <c r="AG219" s="368"/>
      <c r="AH219" s="1177"/>
      <c r="AI219" s="1162"/>
      <c r="AJ219" s="1163"/>
      <c r="AK219" s="1162"/>
      <c r="AL219" s="1163"/>
      <c r="AM219" s="1162"/>
      <c r="AN219" s="1163"/>
      <c r="AO219" s="1162"/>
      <c r="AP219" s="1163"/>
      <c r="AQ219" s="1162"/>
      <c r="AR219" s="1163"/>
    </row>
    <row r="220" spans="1:44" ht="15" customHeight="1" outlineLevel="1" thickBot="1">
      <c r="B220" s="1165"/>
      <c r="C220" s="1167"/>
      <c r="D220" s="1167"/>
      <c r="E220" s="1167"/>
      <c r="F220" s="1167"/>
      <c r="G220" s="406"/>
      <c r="H220" s="406"/>
      <c r="I220" s="406"/>
      <c r="J220" s="406"/>
      <c r="K220" s="1190"/>
      <c r="L220" s="1190"/>
      <c r="M220" s="370"/>
      <c r="N220" s="370"/>
      <c r="P220" s="1181"/>
      <c r="Q220" s="1183"/>
      <c r="R220" s="1184"/>
      <c r="S220" s="1178"/>
      <c r="T220" s="1162"/>
      <c r="U220" s="1163"/>
      <c r="V220" s="1162"/>
      <c r="W220" s="1163"/>
      <c r="X220" s="1162"/>
      <c r="Y220" s="1163"/>
      <c r="Z220" s="1162"/>
      <c r="AA220" s="1163"/>
      <c r="AB220" s="1162"/>
      <c r="AC220" s="1163"/>
      <c r="AE220" s="1181"/>
      <c r="AF220" s="1197"/>
      <c r="AG220" s="1184"/>
      <c r="AH220" s="1178"/>
      <c r="AI220" s="1162"/>
      <c r="AJ220" s="1163"/>
      <c r="AK220" s="1162"/>
      <c r="AL220" s="1163"/>
      <c r="AM220" s="1162"/>
      <c r="AN220" s="1163"/>
      <c r="AO220" s="1162"/>
      <c r="AP220" s="1163"/>
      <c r="AQ220" s="1162"/>
      <c r="AR220" s="1163"/>
    </row>
    <row r="221" spans="1:44" ht="16" outlineLevel="1" thickBot="1">
      <c r="B221" s="371"/>
      <c r="C221" s="372"/>
      <c r="D221" s="372"/>
      <c r="E221" s="372"/>
      <c r="F221" s="372"/>
      <c r="G221" s="372"/>
      <c r="H221" s="372"/>
      <c r="I221" s="372"/>
      <c r="J221" s="372"/>
      <c r="K221" s="372"/>
      <c r="L221" s="373"/>
      <c r="M221" s="370"/>
      <c r="N221" s="370"/>
      <c r="O221" s="74"/>
      <c r="P221" s="1182"/>
      <c r="Q221" s="1179"/>
      <c r="R221" s="1185"/>
      <c r="S221" s="1179"/>
      <c r="T221" s="374"/>
      <c r="U221" s="375"/>
      <c r="V221" s="374"/>
      <c r="W221" s="375"/>
      <c r="X221" s="374"/>
      <c r="Y221" s="375"/>
      <c r="Z221" s="374"/>
      <c r="AA221" s="375"/>
      <c r="AB221" s="374"/>
      <c r="AC221" s="375"/>
      <c r="AE221" s="1182"/>
      <c r="AF221" s="1198"/>
      <c r="AG221" s="1185"/>
      <c r="AH221" s="1179"/>
      <c r="AI221" s="374"/>
      <c r="AJ221" s="375"/>
      <c r="AK221" s="374"/>
      <c r="AL221" s="375"/>
      <c r="AM221" s="374"/>
      <c r="AN221" s="375"/>
      <c r="AO221" s="374"/>
      <c r="AP221" s="375"/>
      <c r="AQ221" s="374"/>
      <c r="AR221" s="375"/>
    </row>
    <row r="222" spans="1:44" ht="14.5" customHeight="1" outlineLevel="1">
      <c r="B222" s="541"/>
      <c r="C222" s="542"/>
      <c r="D222" s="542"/>
      <c r="E222" s="543"/>
      <c r="F222" s="542"/>
      <c r="G222" s="542"/>
      <c r="H222" s="542"/>
      <c r="I222" s="542"/>
      <c r="J222" s="542"/>
      <c r="K222" s="547"/>
      <c r="L222" s="548"/>
      <c r="M222" s="370"/>
      <c r="N222" s="370"/>
      <c r="P222" s="1148"/>
      <c r="Q222" s="1154"/>
      <c r="R222" s="381"/>
      <c r="S222" s="382"/>
      <c r="T222" s="1137"/>
      <c r="U222" s="1151"/>
      <c r="V222" s="1137"/>
      <c r="W222" s="1151"/>
      <c r="X222" s="1137"/>
      <c r="Y222" s="1151"/>
      <c r="Z222" s="1137"/>
      <c r="AA222" s="1151"/>
      <c r="AB222" s="1137"/>
      <c r="AC222" s="1151"/>
      <c r="AE222" s="1148"/>
      <c r="AF222" s="1154"/>
      <c r="AG222" s="381"/>
      <c r="AH222" s="382"/>
      <c r="AI222" s="1137"/>
      <c r="AJ222" s="1151"/>
      <c r="AK222" s="1137"/>
      <c r="AL222" s="1151"/>
      <c r="AM222" s="1137"/>
      <c r="AN222" s="1151"/>
      <c r="AO222" s="1137"/>
      <c r="AP222" s="1151"/>
      <c r="AQ222" s="1137"/>
      <c r="AR222" s="1151"/>
    </row>
    <row r="223" spans="1:44" outlineLevel="1">
      <c r="B223" s="383"/>
      <c r="C223" s="384"/>
      <c r="D223" s="384"/>
      <c r="E223" s="384"/>
      <c r="F223" s="384"/>
      <c r="G223" s="505"/>
      <c r="H223" s="505"/>
      <c r="I223" s="505"/>
      <c r="J223" s="505"/>
      <c r="K223" s="372"/>
      <c r="L223" s="373"/>
      <c r="M223" s="370"/>
      <c r="N223" s="370"/>
      <c r="O223" s="71"/>
      <c r="P223" s="1195"/>
      <c r="Q223" s="1155"/>
      <c r="R223" s="388"/>
      <c r="S223" s="389"/>
      <c r="T223" s="1140"/>
      <c r="U223" s="1152"/>
      <c r="V223" s="1140"/>
      <c r="W223" s="1152"/>
      <c r="X223" s="1140"/>
      <c r="Y223" s="1152"/>
      <c r="Z223" s="1140"/>
      <c r="AA223" s="1152"/>
      <c r="AB223" s="1140"/>
      <c r="AC223" s="1152"/>
      <c r="AE223" s="1195"/>
      <c r="AF223" s="1155"/>
      <c r="AG223" s="388"/>
      <c r="AH223" s="389"/>
      <c r="AI223" s="1140"/>
      <c r="AJ223" s="1152"/>
      <c r="AK223" s="1140"/>
      <c r="AL223" s="1152"/>
      <c r="AM223" s="1140"/>
      <c r="AN223" s="1152"/>
      <c r="AO223" s="1140"/>
      <c r="AP223" s="1152"/>
      <c r="AQ223" s="1140"/>
      <c r="AR223" s="1152"/>
    </row>
    <row r="224" spans="1:44" ht="16" outlineLevel="1" thickBot="1">
      <c r="B224" s="541"/>
      <c r="C224" s="544"/>
      <c r="D224" s="545"/>
      <c r="E224" s="545"/>
      <c r="F224" s="546"/>
      <c r="G224" s="545"/>
      <c r="H224" s="545"/>
      <c r="I224" s="545"/>
      <c r="J224" s="545"/>
      <c r="K224" s="547"/>
      <c r="L224" s="548"/>
      <c r="M224" s="370"/>
      <c r="N224" s="370"/>
      <c r="O224" s="71"/>
      <c r="P224" s="1195"/>
      <c r="Q224" s="1156"/>
      <c r="R224" s="393"/>
      <c r="S224" s="394"/>
      <c r="T224" s="1141"/>
      <c r="U224" s="1153"/>
      <c r="V224" s="1141"/>
      <c r="W224" s="1153"/>
      <c r="X224" s="1141"/>
      <c r="Y224" s="1153"/>
      <c r="Z224" s="1141"/>
      <c r="AA224" s="1153"/>
      <c r="AB224" s="1141"/>
      <c r="AC224" s="1153"/>
      <c r="AE224" s="1195"/>
      <c r="AF224" s="1156"/>
      <c r="AG224" s="393"/>
      <c r="AH224" s="394"/>
      <c r="AI224" s="1141"/>
      <c r="AJ224" s="1153"/>
      <c r="AK224" s="1141"/>
      <c r="AL224" s="1153"/>
      <c r="AM224" s="1141"/>
      <c r="AN224" s="1153"/>
      <c r="AO224" s="1141"/>
      <c r="AP224" s="1153"/>
      <c r="AQ224" s="1141"/>
      <c r="AR224" s="1153"/>
    </row>
    <row r="225" spans="1:44" ht="14.5" customHeight="1" outlineLevel="1">
      <c r="B225" s="541"/>
      <c r="C225" s="544"/>
      <c r="D225" s="544"/>
      <c r="E225" s="544"/>
      <c r="F225" s="544"/>
      <c r="G225" s="544"/>
      <c r="H225" s="544"/>
      <c r="I225" s="544"/>
      <c r="J225" s="544"/>
      <c r="K225" s="547"/>
      <c r="L225" s="548"/>
      <c r="M225" s="370"/>
      <c r="N225" s="370"/>
      <c r="O225" s="71"/>
      <c r="P225" s="1195"/>
      <c r="Q225" s="1154"/>
      <c r="R225" s="395"/>
      <c r="S225" s="396"/>
      <c r="T225" s="1137"/>
      <c r="U225" s="1137"/>
      <c r="V225" s="1137"/>
      <c r="W225" s="1137"/>
      <c r="X225" s="1137"/>
      <c r="Y225" s="1137"/>
      <c r="Z225" s="1137"/>
      <c r="AA225" s="1137"/>
      <c r="AB225" s="1137"/>
      <c r="AC225" s="1137"/>
      <c r="AE225" s="1195"/>
      <c r="AF225" s="1154"/>
      <c r="AG225" s="395"/>
      <c r="AH225" s="396"/>
      <c r="AI225" s="1137"/>
      <c r="AJ225" s="1137"/>
      <c r="AK225" s="1137"/>
      <c r="AL225" s="1137"/>
      <c r="AM225" s="1137"/>
      <c r="AN225" s="1137"/>
      <c r="AO225" s="1137"/>
      <c r="AP225" s="1137"/>
      <c r="AQ225" s="1137"/>
      <c r="AR225" s="1137"/>
    </row>
    <row r="226" spans="1:44" outlineLevel="1">
      <c r="B226" s="541"/>
      <c r="C226" s="544"/>
      <c r="D226" s="544"/>
      <c r="E226" s="544"/>
      <c r="F226" s="544"/>
      <c r="G226" s="544"/>
      <c r="H226" s="544"/>
      <c r="I226" s="544"/>
      <c r="J226" s="544"/>
      <c r="K226" s="547"/>
      <c r="L226" s="548"/>
      <c r="M226" s="367"/>
      <c r="N226" s="367"/>
      <c r="O226" s="71"/>
      <c r="P226" s="1195"/>
      <c r="Q226" s="1155"/>
      <c r="R226" s="395"/>
      <c r="S226" s="396"/>
      <c r="T226" s="1138"/>
      <c r="U226" s="1138"/>
      <c r="V226" s="1138"/>
      <c r="W226" s="1138"/>
      <c r="X226" s="1138"/>
      <c r="Y226" s="1138"/>
      <c r="Z226" s="1138"/>
      <c r="AA226" s="1138"/>
      <c r="AB226" s="1138"/>
      <c r="AC226" s="1138"/>
      <c r="AE226" s="1195"/>
      <c r="AF226" s="1155"/>
      <c r="AG226" s="395"/>
      <c r="AH226" s="396"/>
      <c r="AI226" s="1138"/>
      <c r="AJ226" s="1138"/>
      <c r="AK226" s="1138"/>
      <c r="AL226" s="1138"/>
      <c r="AM226" s="1138"/>
      <c r="AN226" s="1138"/>
      <c r="AO226" s="1138"/>
      <c r="AP226" s="1138"/>
      <c r="AQ226" s="1138"/>
      <c r="AR226" s="1138"/>
    </row>
    <row r="227" spans="1:44" outlineLevel="1">
      <c r="B227" s="383"/>
      <c r="C227" s="397"/>
      <c r="D227" s="397"/>
      <c r="E227" s="397"/>
      <c r="F227" s="397"/>
      <c r="G227" s="399"/>
      <c r="H227" s="399"/>
      <c r="I227" s="399"/>
      <c r="J227" s="399"/>
      <c r="K227" s="372"/>
      <c r="L227" s="373"/>
      <c r="M227" s="363"/>
      <c r="N227" s="363"/>
      <c r="P227" s="1195"/>
      <c r="Q227" s="1155"/>
      <c r="R227" s="395"/>
      <c r="S227" s="396"/>
      <c r="T227" s="1138"/>
      <c r="U227" s="1138"/>
      <c r="V227" s="1138"/>
      <c r="W227" s="1138"/>
      <c r="X227" s="1138"/>
      <c r="Y227" s="1138"/>
      <c r="Z227" s="1138"/>
      <c r="AA227" s="1138"/>
      <c r="AB227" s="1138"/>
      <c r="AC227" s="1138"/>
      <c r="AE227" s="1195"/>
      <c r="AF227" s="1155"/>
      <c r="AG227" s="395"/>
      <c r="AH227" s="396"/>
      <c r="AI227" s="1138"/>
      <c r="AJ227" s="1138"/>
      <c r="AK227" s="1138"/>
      <c r="AL227" s="1138"/>
      <c r="AM227" s="1138"/>
      <c r="AN227" s="1138"/>
      <c r="AO227" s="1138"/>
      <c r="AP227" s="1138"/>
      <c r="AQ227" s="1138"/>
      <c r="AR227" s="1138"/>
    </row>
    <row r="228" spans="1:44" ht="16" outlineLevel="1" thickBot="1">
      <c r="B228" s="541"/>
      <c r="C228" s="544"/>
      <c r="D228" s="544"/>
      <c r="E228" s="544"/>
      <c r="F228" s="544"/>
      <c r="G228" s="544"/>
      <c r="H228" s="544"/>
      <c r="I228" s="544"/>
      <c r="J228" s="544"/>
      <c r="K228" s="547"/>
      <c r="L228" s="559"/>
      <c r="M228" s="363"/>
      <c r="N228" s="363"/>
      <c r="P228" s="1195"/>
      <c r="Q228" s="1155"/>
      <c r="R228" s="395"/>
      <c r="S228" s="396"/>
      <c r="T228" s="1138"/>
      <c r="U228" s="1138"/>
      <c r="V228" s="1138"/>
      <c r="W228" s="1138"/>
      <c r="X228" s="1138"/>
      <c r="Y228" s="1138"/>
      <c r="Z228" s="1138"/>
      <c r="AA228" s="1138"/>
      <c r="AB228" s="1138"/>
      <c r="AC228" s="1138"/>
      <c r="AE228" s="1195"/>
      <c r="AF228" s="1155"/>
      <c r="AG228" s="395"/>
      <c r="AH228" s="396"/>
      <c r="AI228" s="1138"/>
      <c r="AJ228" s="1138"/>
      <c r="AK228" s="1138"/>
      <c r="AL228" s="1138"/>
      <c r="AM228" s="1138"/>
      <c r="AN228" s="1138"/>
      <c r="AO228" s="1138"/>
      <c r="AP228" s="1138"/>
      <c r="AQ228" s="1138"/>
      <c r="AR228" s="1138"/>
    </row>
    <row r="229" spans="1:44" ht="16" outlineLevel="1" thickBot="1">
      <c r="B229" s="401"/>
      <c r="C229" s="402"/>
      <c r="D229" s="403"/>
      <c r="E229" s="404"/>
      <c r="F229" s="405"/>
      <c r="G229" s="406"/>
      <c r="H229" s="406"/>
      <c r="I229" s="406"/>
      <c r="J229" s="406"/>
      <c r="K229" s="407"/>
      <c r="L229" s="408"/>
      <c r="M229" s="363"/>
      <c r="N229" s="363"/>
      <c r="P229" s="1195"/>
      <c r="Q229" s="1155"/>
      <c r="R229" s="409"/>
      <c r="S229" s="410"/>
      <c r="T229" s="1139"/>
      <c r="U229" s="1139"/>
      <c r="V229" s="1139"/>
      <c r="W229" s="1139"/>
      <c r="X229" s="1139"/>
      <c r="Y229" s="1139"/>
      <c r="Z229" s="1139"/>
      <c r="AA229" s="1139"/>
      <c r="AB229" s="1139"/>
      <c r="AC229" s="1139"/>
      <c r="AE229" s="1195"/>
      <c r="AF229" s="1155"/>
      <c r="AG229" s="409"/>
      <c r="AH229" s="410"/>
      <c r="AI229" s="1139"/>
      <c r="AJ229" s="1139"/>
      <c r="AK229" s="1139"/>
      <c r="AL229" s="1139"/>
      <c r="AM229" s="1139"/>
      <c r="AN229" s="1139"/>
      <c r="AO229" s="1139"/>
      <c r="AP229" s="1139"/>
      <c r="AQ229" s="1139"/>
      <c r="AR229" s="1139"/>
    </row>
    <row r="230" spans="1:44" ht="16" outlineLevel="1" thickBot="1">
      <c r="B230" s="541"/>
      <c r="C230" s="544"/>
      <c r="D230" s="544"/>
      <c r="E230" s="544"/>
      <c r="F230" s="544"/>
      <c r="G230" s="545"/>
      <c r="H230" s="545"/>
      <c r="I230" s="545"/>
      <c r="J230" s="545"/>
      <c r="K230" s="547"/>
      <c r="L230" s="548"/>
      <c r="M230" s="363"/>
      <c r="N230" s="363"/>
      <c r="P230" s="1196"/>
      <c r="Q230" s="411"/>
      <c r="R230" s="412"/>
      <c r="S230" s="413"/>
      <c r="T230" s="414"/>
      <c r="U230" s="415"/>
      <c r="V230" s="414"/>
      <c r="W230" s="415"/>
      <c r="X230" s="414"/>
      <c r="Y230" s="415"/>
      <c r="Z230" s="414"/>
      <c r="AA230" s="415"/>
      <c r="AB230" s="414"/>
      <c r="AC230" s="417"/>
      <c r="AE230" s="1196"/>
      <c r="AF230" s="411"/>
      <c r="AG230" s="412"/>
      <c r="AH230" s="413"/>
      <c r="AI230" s="414"/>
      <c r="AJ230" s="415"/>
      <c r="AK230" s="414"/>
      <c r="AL230" s="415"/>
      <c r="AM230" s="414"/>
      <c r="AN230" s="415"/>
      <c r="AO230" s="414"/>
      <c r="AP230" s="415"/>
      <c r="AQ230" s="414"/>
      <c r="AR230" s="417"/>
    </row>
    <row r="231" spans="1:44" outlineLevel="1">
      <c r="B231" s="541"/>
      <c r="C231" s="544"/>
      <c r="D231" s="544"/>
      <c r="E231" s="544"/>
      <c r="F231" s="544"/>
      <c r="G231" s="549"/>
      <c r="H231" s="549"/>
      <c r="I231" s="549"/>
      <c r="J231" s="549"/>
      <c r="K231" s="550"/>
      <c r="L231" s="548"/>
      <c r="M231" s="363"/>
      <c r="N231" s="363"/>
    </row>
    <row r="232" spans="1:44" outlineLevel="1">
      <c r="B232" s="541"/>
      <c r="C232" s="544"/>
      <c r="D232" s="544"/>
      <c r="E232" s="544"/>
      <c r="F232" s="544"/>
      <c r="G232" s="549"/>
      <c r="H232" s="549"/>
      <c r="I232" s="549"/>
      <c r="J232" s="549"/>
      <c r="K232" s="550"/>
      <c r="L232" s="548"/>
      <c r="M232" s="420"/>
      <c r="N232" s="363"/>
    </row>
    <row r="233" spans="1:44" outlineLevel="1">
      <c r="B233" s="421"/>
      <c r="C233" s="399"/>
      <c r="D233" s="399"/>
      <c r="E233" s="399"/>
      <c r="F233" s="399"/>
      <c r="G233" s="422"/>
      <c r="H233" s="422"/>
      <c r="I233" s="422"/>
      <c r="J233" s="422"/>
      <c r="K233" s="423"/>
      <c r="L233" s="424"/>
      <c r="M233" s="420"/>
      <c r="N233" s="420"/>
    </row>
    <row r="234" spans="1:44" outlineLevel="1">
      <c r="B234" s="383"/>
      <c r="C234" s="397"/>
      <c r="D234" s="397"/>
      <c r="E234" s="397"/>
      <c r="F234" s="397"/>
      <c r="G234" s="422"/>
      <c r="H234" s="425"/>
      <c r="I234" s="425"/>
      <c r="J234" s="425"/>
      <c r="K234" s="426"/>
      <c r="L234" s="427"/>
      <c r="M234" s="428"/>
      <c r="N234" s="428"/>
    </row>
    <row r="235" spans="1:44" outlineLevel="1">
      <c r="B235" s="383"/>
      <c r="C235" s="397"/>
      <c r="D235" s="397"/>
      <c r="E235" s="397"/>
      <c r="F235" s="397"/>
      <c r="G235" s="425"/>
      <c r="H235" s="425"/>
      <c r="I235" s="425"/>
      <c r="J235" s="425"/>
      <c r="K235" s="423"/>
      <c r="L235" s="427"/>
      <c r="M235" s="428"/>
      <c r="N235" s="428"/>
    </row>
    <row r="236" spans="1:44" outlineLevel="1">
      <c r="B236" s="383"/>
      <c r="C236" s="397"/>
      <c r="D236" s="397"/>
      <c r="E236" s="397"/>
      <c r="F236" s="397"/>
      <c r="G236" s="425"/>
      <c r="H236" s="425"/>
      <c r="I236" s="425"/>
      <c r="J236" s="425"/>
      <c r="K236" s="423"/>
      <c r="L236" s="427"/>
      <c r="M236" s="428"/>
      <c r="N236" s="428"/>
    </row>
    <row r="237" spans="1:44" outlineLevel="1">
      <c r="B237" s="383"/>
      <c r="C237" s="397"/>
      <c r="D237" s="397"/>
      <c r="E237" s="397"/>
      <c r="F237" s="397"/>
      <c r="G237" s="425"/>
      <c r="H237" s="425"/>
      <c r="I237" s="425"/>
      <c r="J237" s="425"/>
      <c r="K237" s="423"/>
      <c r="L237" s="427"/>
      <c r="M237" s="428"/>
      <c r="N237" s="428"/>
    </row>
    <row r="238" spans="1:44" ht="16" outlineLevel="1" thickBot="1">
      <c r="B238" s="429"/>
      <c r="C238" s="430"/>
      <c r="D238" s="430"/>
      <c r="E238" s="430"/>
      <c r="F238" s="430"/>
      <c r="G238" s="425"/>
      <c r="H238" s="425"/>
      <c r="I238" s="425"/>
      <c r="J238" s="425"/>
      <c r="K238" s="423"/>
      <c r="L238" s="427"/>
      <c r="M238" s="428"/>
      <c r="N238" s="428"/>
    </row>
    <row r="239" spans="1:44" ht="16" outlineLevel="1" thickBot="1">
      <c r="B239" s="431"/>
      <c r="C239" s="432"/>
      <c r="D239" s="403"/>
      <c r="E239" s="403"/>
      <c r="F239" s="433"/>
      <c r="G239" s="434"/>
      <c r="H239" s="406"/>
      <c r="I239" s="406"/>
      <c r="J239" s="406"/>
      <c r="K239" s="407"/>
      <c r="L239" s="408"/>
      <c r="M239" s="428"/>
      <c r="N239" s="428"/>
    </row>
    <row r="240" spans="1:44" outlineLevel="1">
      <c r="A240" s="435"/>
      <c r="B240" s="436"/>
      <c r="C240" s="551"/>
      <c r="D240" s="512"/>
      <c r="E240" s="512"/>
      <c r="F240" s="513"/>
      <c r="G240" s="425"/>
      <c r="H240" s="425"/>
      <c r="I240" s="425"/>
      <c r="J240" s="425"/>
      <c r="K240" s="426"/>
      <c r="L240" s="440"/>
      <c r="M240" s="420"/>
      <c r="N240" s="420"/>
    </row>
    <row r="241" spans="2:30" outlineLevel="1">
      <c r="B241" s="441"/>
      <c r="C241" s="443"/>
      <c r="D241" s="442"/>
      <c r="E241" s="442"/>
      <c r="F241" s="442"/>
      <c r="G241" s="425"/>
      <c r="H241" s="425"/>
      <c r="I241" s="425"/>
      <c r="J241" s="425"/>
      <c r="K241" s="444"/>
      <c r="L241" s="373"/>
      <c r="M241" s="71"/>
      <c r="N241" s="420"/>
    </row>
    <row r="242" spans="2:30" outlineLevel="1">
      <c r="B242" s="441"/>
      <c r="C242" s="443"/>
      <c r="D242" s="443"/>
      <c r="E242" s="443"/>
      <c r="F242" s="443"/>
      <c r="G242" s="425"/>
      <c r="H242" s="425"/>
      <c r="I242" s="425"/>
      <c r="J242" s="425"/>
      <c r="K242" s="444"/>
      <c r="L242" s="373"/>
      <c r="M242" s="420"/>
      <c r="N242" s="420"/>
    </row>
    <row r="243" spans="2:30" outlineLevel="1">
      <c r="B243" s="383"/>
      <c r="C243" s="445"/>
      <c r="D243" s="446"/>
      <c r="E243" s="446"/>
      <c r="F243" s="447"/>
      <c r="G243" s="425"/>
      <c r="H243" s="425"/>
      <c r="I243" s="425"/>
      <c r="J243" s="425"/>
      <c r="K243" s="448"/>
      <c r="L243" s="373"/>
      <c r="M243" s="420"/>
      <c r="N243" s="420"/>
    </row>
    <row r="244" spans="2:30" outlineLevel="1">
      <c r="B244" s="383"/>
      <c r="C244" s="449"/>
      <c r="D244" s="449"/>
      <c r="E244" s="449"/>
      <c r="F244" s="449"/>
      <c r="G244" s="425"/>
      <c r="H244" s="425"/>
      <c r="I244" s="425"/>
      <c r="J244" s="425"/>
      <c r="K244" s="448"/>
      <c r="L244" s="373"/>
      <c r="M244" s="450"/>
      <c r="N244" s="361"/>
      <c r="P244" s="1142"/>
      <c r="Q244" s="1143"/>
      <c r="R244" s="1143"/>
      <c r="S244" s="1143"/>
      <c r="T244" s="1143"/>
      <c r="U244" s="1144"/>
    </row>
    <row r="245" spans="2:30" ht="16" outlineLevel="1" thickBot="1">
      <c r="B245" s="541"/>
      <c r="C245" s="552"/>
      <c r="D245" s="552"/>
      <c r="E245" s="552"/>
      <c r="F245" s="552"/>
      <c r="G245" s="425"/>
      <c r="H245" s="425"/>
      <c r="I245" s="425"/>
      <c r="J245" s="425"/>
      <c r="K245" s="444"/>
      <c r="L245" s="373"/>
      <c r="M245" s="450"/>
      <c r="N245" s="361"/>
      <c r="P245" s="1134"/>
      <c r="Q245" s="1135"/>
      <c r="R245" s="1135"/>
      <c r="S245" s="1135"/>
      <c r="T245" s="1135"/>
      <c r="U245" s="1136"/>
    </row>
    <row r="246" spans="2:30" outlineLevel="1">
      <c r="B246" s="541"/>
      <c r="C246" s="554"/>
      <c r="D246" s="554"/>
      <c r="E246" s="554"/>
      <c r="F246" s="554"/>
      <c r="G246" s="425"/>
      <c r="H246" s="425"/>
      <c r="I246" s="425"/>
      <c r="J246" s="425"/>
      <c r="K246" s="448"/>
      <c r="L246" s="373"/>
      <c r="M246" s="363"/>
      <c r="N246" s="363"/>
      <c r="P246" s="53"/>
    </row>
    <row r="247" spans="2:30" outlineLevel="1">
      <c r="B247" s="441"/>
      <c r="C247" s="518"/>
      <c r="D247" s="518"/>
      <c r="E247" s="518"/>
      <c r="F247" s="518"/>
      <c r="G247" s="425"/>
      <c r="H247" s="425"/>
      <c r="I247" s="425"/>
      <c r="J247" s="425"/>
      <c r="K247" s="444"/>
      <c r="L247" s="424"/>
      <c r="M247" s="367"/>
      <c r="N247" s="367"/>
      <c r="P247" s="46"/>
      <c r="Q247" s="46"/>
      <c r="R247" s="47"/>
      <c r="S247" s="47"/>
      <c r="T247" s="47"/>
      <c r="U247" s="48"/>
      <c r="V247" s="49"/>
      <c r="W247" s="49"/>
      <c r="X247" s="49"/>
      <c r="Y247" s="49"/>
      <c r="Z247" s="49"/>
      <c r="AA247" s="49"/>
      <c r="AB247" s="49"/>
      <c r="AC247" s="49"/>
      <c r="AD247" s="49"/>
    </row>
    <row r="248" spans="2:30" ht="16" outlineLevel="1" thickBot="1">
      <c r="B248" s="519"/>
      <c r="C248" s="442"/>
      <c r="D248" s="520"/>
      <c r="E248" s="520"/>
      <c r="F248" s="521"/>
      <c r="G248" s="425"/>
      <c r="H248" s="425"/>
      <c r="I248" s="425"/>
      <c r="J248" s="425"/>
      <c r="K248" s="448"/>
      <c r="L248" s="424"/>
      <c r="M248" s="363"/>
      <c r="N248" s="363"/>
      <c r="P248" s="50"/>
      <c r="Q248" s="50"/>
      <c r="R248" s="51"/>
      <c r="S248" s="51"/>
      <c r="T248" s="51"/>
      <c r="U248" s="51"/>
      <c r="V248" s="50"/>
      <c r="W248" s="50"/>
      <c r="X248" s="50"/>
      <c r="Y248" s="50"/>
      <c r="Z248" s="50"/>
      <c r="AA248" s="50"/>
      <c r="AB248" s="50"/>
      <c r="AC248" s="50"/>
      <c r="AD248" s="50"/>
    </row>
    <row r="249" spans="2:30" ht="16" outlineLevel="1" thickBot="1">
      <c r="B249" s="401"/>
      <c r="C249" s="402"/>
      <c r="D249" s="403"/>
      <c r="E249" s="404"/>
      <c r="F249" s="405"/>
      <c r="G249" s="406"/>
      <c r="H249" s="406"/>
      <c r="I249" s="406"/>
      <c r="J249" s="406"/>
      <c r="K249" s="459"/>
      <c r="L249" s="460"/>
      <c r="M249" s="363"/>
      <c r="N249" s="363"/>
      <c r="O249" s="461"/>
      <c r="P249" s="56"/>
      <c r="Q249" s="56"/>
      <c r="R249" s="57"/>
      <c r="S249" s="57"/>
      <c r="T249" s="57"/>
      <c r="U249" s="56"/>
      <c r="V249" s="56"/>
      <c r="W249" s="56"/>
      <c r="X249" s="56"/>
      <c r="Y249" s="56"/>
      <c r="Z249" s="56"/>
      <c r="AA249" s="56"/>
      <c r="AB249" s="56"/>
      <c r="AC249" s="56"/>
      <c r="AD249" s="56"/>
    </row>
    <row r="250" spans="2:30" outlineLevel="1">
      <c r="B250" s="556"/>
      <c r="C250" s="557"/>
      <c r="D250" s="557"/>
      <c r="E250" s="557"/>
      <c r="F250" s="557"/>
      <c r="G250" s="558"/>
      <c r="H250" s="558"/>
      <c r="I250" s="558"/>
      <c r="J250" s="558"/>
      <c r="K250" s="558"/>
      <c r="L250" s="559"/>
      <c r="M250" s="363"/>
      <c r="N250" s="363"/>
      <c r="O250" s="465"/>
      <c r="P250" s="466"/>
      <c r="Q250" s="58"/>
      <c r="R250" s="466"/>
      <c r="S250" s="58"/>
      <c r="T250" s="466"/>
      <c r="U250" s="467"/>
      <c r="V250" s="467"/>
      <c r="W250" s="467"/>
      <c r="X250" s="58"/>
      <c r="Y250" s="58"/>
      <c r="Z250" s="466"/>
      <c r="AA250" s="468"/>
      <c r="AB250" s="468"/>
      <c r="AC250" s="468"/>
      <c r="AD250" s="468"/>
    </row>
    <row r="251" spans="2:30" outlineLevel="1">
      <c r="B251" s="541"/>
      <c r="C251" s="560"/>
      <c r="D251" s="561"/>
      <c r="E251" s="561"/>
      <c r="F251" s="562"/>
      <c r="G251" s="562"/>
      <c r="H251" s="562"/>
      <c r="I251" s="562"/>
      <c r="J251" s="562"/>
      <c r="K251" s="563"/>
      <c r="L251" s="559"/>
      <c r="M251" s="363"/>
      <c r="N251" s="363"/>
      <c r="O251" s="465"/>
      <c r="P251" s="466"/>
      <c r="Q251" s="58"/>
      <c r="R251" s="466"/>
      <c r="S251" s="58"/>
      <c r="T251" s="466"/>
      <c r="U251" s="467"/>
      <c r="V251" s="467"/>
      <c r="W251" s="467"/>
      <c r="X251" s="58"/>
      <c r="Y251" s="58"/>
      <c r="Z251" s="466"/>
      <c r="AA251" s="468"/>
      <c r="AB251" s="468"/>
      <c r="AC251" s="468"/>
      <c r="AD251" s="468"/>
    </row>
    <row r="252" spans="2:30" outlineLevel="1">
      <c r="B252" s="541"/>
      <c r="C252" s="560"/>
      <c r="D252" s="561"/>
      <c r="E252" s="561"/>
      <c r="F252" s="562"/>
      <c r="G252" s="562"/>
      <c r="H252" s="562"/>
      <c r="I252" s="562"/>
      <c r="J252" s="562"/>
      <c r="K252" s="563"/>
      <c r="L252" s="559"/>
      <c r="M252" s="363"/>
      <c r="N252" s="363"/>
      <c r="O252" s="465"/>
      <c r="P252" s="466"/>
      <c r="Q252" s="58"/>
      <c r="R252" s="466"/>
      <c r="S252" s="58"/>
      <c r="T252" s="466"/>
      <c r="U252" s="467"/>
      <c r="V252" s="467"/>
      <c r="W252" s="467"/>
      <c r="X252" s="58"/>
      <c r="Y252" s="58"/>
      <c r="Z252" s="466"/>
      <c r="AA252" s="468"/>
      <c r="AB252" s="468"/>
      <c r="AC252" s="468"/>
      <c r="AD252" s="468"/>
    </row>
    <row r="253" spans="2:30" outlineLevel="1">
      <c r="B253" s="541"/>
      <c r="C253" s="564"/>
      <c r="D253" s="564"/>
      <c r="E253" s="564"/>
      <c r="F253" s="564"/>
      <c r="G253" s="565"/>
      <c r="H253" s="565"/>
      <c r="I253" s="565"/>
      <c r="J253" s="565"/>
      <c r="K253" s="565"/>
      <c r="L253" s="548"/>
      <c r="M253" s="363"/>
      <c r="N253" s="363"/>
      <c r="O253" s="465"/>
      <c r="P253" s="466"/>
      <c r="Q253" s="58"/>
      <c r="R253" s="466"/>
      <c r="S253" s="58"/>
      <c r="T253" s="466"/>
      <c r="U253" s="467"/>
      <c r="V253" s="467"/>
      <c r="W253" s="467"/>
      <c r="X253" s="58"/>
      <c r="Y253" s="58"/>
      <c r="Z253" s="466"/>
      <c r="AA253" s="468"/>
      <c r="AB253" s="468"/>
      <c r="AC253" s="468"/>
      <c r="AD253" s="468"/>
    </row>
    <row r="254" spans="2:30" outlineLevel="1">
      <c r="B254" s="566"/>
      <c r="C254" s="560"/>
      <c r="D254" s="561"/>
      <c r="E254" s="561"/>
      <c r="F254" s="562"/>
      <c r="G254" s="562"/>
      <c r="H254" s="562"/>
      <c r="I254" s="562"/>
      <c r="J254" s="562"/>
      <c r="K254" s="563"/>
      <c r="L254" s="559"/>
      <c r="M254" s="367"/>
      <c r="N254" s="367"/>
    </row>
    <row r="255" spans="2:30" outlineLevel="1">
      <c r="B255" s="566"/>
      <c r="C255" s="560"/>
      <c r="D255" s="561"/>
      <c r="E255" s="561"/>
      <c r="F255" s="562"/>
      <c r="G255" s="562"/>
      <c r="H255" s="562"/>
      <c r="I255" s="562"/>
      <c r="J255" s="562"/>
      <c r="K255" s="563"/>
      <c r="L255" s="559"/>
      <c r="M255" s="363"/>
      <c r="N255" s="363"/>
    </row>
    <row r="256" spans="2:30" ht="16" outlineLevel="1" thickBot="1">
      <c r="B256" s="567"/>
      <c r="C256" s="568"/>
      <c r="D256" s="568"/>
      <c r="E256" s="568"/>
      <c r="F256" s="568"/>
      <c r="G256" s="568"/>
      <c r="H256" s="568"/>
      <c r="I256" s="568"/>
      <c r="J256" s="568"/>
      <c r="K256" s="568"/>
      <c r="L256" s="569"/>
      <c r="M256" s="363"/>
      <c r="N256" s="363"/>
    </row>
    <row r="257" spans="1:15" outlineLevel="1">
      <c r="B257" s="461"/>
      <c r="C257" s="483"/>
      <c r="D257" s="483"/>
      <c r="E257" s="483"/>
      <c r="F257" s="483"/>
      <c r="G257" s="483"/>
      <c r="H257" s="484"/>
      <c r="I257" s="420"/>
      <c r="J257" s="420"/>
      <c r="K257" s="484"/>
      <c r="L257" s="484"/>
      <c r="N257" s="420"/>
    </row>
    <row r="258" spans="1:15" outlineLevel="1">
      <c r="B258" s="485"/>
      <c r="C258" s="486"/>
      <c r="D258" s="486"/>
      <c r="E258" s="486"/>
      <c r="F258" s="486"/>
      <c r="G258" s="486"/>
      <c r="H258" s="484"/>
      <c r="I258" s="71"/>
      <c r="J258" s="420"/>
      <c r="K258" s="484"/>
      <c r="L258" s="484"/>
      <c r="N258" s="420"/>
    </row>
    <row r="259" spans="1:15" outlineLevel="1">
      <c r="B259" s="461"/>
      <c r="C259" s="359"/>
      <c r="D259" s="359"/>
      <c r="E259" s="359"/>
      <c r="F259" s="359"/>
      <c r="G259" s="359"/>
      <c r="I259" s="420"/>
      <c r="J259" s="420"/>
      <c r="N259" s="420"/>
    </row>
    <row r="260" spans="1:15" outlineLevel="1">
      <c r="B260" s="461"/>
      <c r="C260" s="487"/>
      <c r="D260" s="487"/>
      <c r="E260" s="487"/>
      <c r="F260" s="487"/>
      <c r="G260" s="359"/>
      <c r="M260" s="420"/>
      <c r="N260" s="420"/>
    </row>
    <row r="261" spans="1:15" outlineLevel="1"/>
    <row r="262" spans="1:15" outlineLevel="1">
      <c r="A262" s="488"/>
      <c r="B262" s="489"/>
      <c r="D262" s="490"/>
      <c r="E262" s="490"/>
      <c r="F262" s="490"/>
      <c r="G262" s="358"/>
      <c r="H262" s="358"/>
      <c r="I262" s="358"/>
      <c r="J262" s="358"/>
      <c r="K262" s="358"/>
      <c r="L262" s="358"/>
    </row>
    <row r="263" spans="1:15" outlineLevel="1">
      <c r="A263" s="491"/>
      <c r="B263" s="492"/>
      <c r="D263" s="490"/>
      <c r="E263" s="490"/>
      <c r="F263" s="490"/>
      <c r="G263" s="358"/>
      <c r="H263" s="358"/>
      <c r="I263" s="358"/>
      <c r="J263" s="358"/>
      <c r="K263" s="358"/>
      <c r="L263" s="358"/>
    </row>
    <row r="264" spans="1:15" outlineLevel="1">
      <c r="A264" s="491"/>
      <c r="B264" s="493"/>
      <c r="D264" s="490"/>
      <c r="E264" s="490"/>
      <c r="F264" s="490"/>
      <c r="G264" s="358"/>
      <c r="H264" s="358"/>
      <c r="I264" s="358"/>
      <c r="J264" s="358"/>
      <c r="K264" s="358"/>
      <c r="L264" s="358"/>
    </row>
    <row r="265" spans="1:15" outlineLevel="1">
      <c r="A265" s="491"/>
      <c r="B265" s="493"/>
      <c r="D265" s="490"/>
      <c r="E265" s="490"/>
      <c r="F265" s="490"/>
      <c r="G265" s="358"/>
      <c r="H265" s="358"/>
      <c r="I265" s="358"/>
      <c r="J265" s="358"/>
      <c r="K265" s="358"/>
      <c r="L265" s="358"/>
    </row>
    <row r="266" spans="1:15" outlineLevel="1">
      <c r="A266" s="491"/>
      <c r="B266" s="493"/>
      <c r="D266" s="490"/>
      <c r="E266" s="490"/>
      <c r="F266" s="490"/>
      <c r="G266" s="358"/>
      <c r="H266" s="358"/>
      <c r="I266" s="358"/>
      <c r="J266" s="358"/>
      <c r="K266" s="358"/>
      <c r="L266" s="358"/>
    </row>
    <row r="267" spans="1:15" outlineLevel="1">
      <c r="A267" s="358"/>
      <c r="B267" s="494"/>
      <c r="D267" s="490"/>
      <c r="E267" s="490"/>
      <c r="F267" s="490"/>
      <c r="G267" s="358"/>
      <c r="H267" s="358"/>
      <c r="I267" s="358"/>
      <c r="J267" s="358"/>
      <c r="K267" s="358"/>
      <c r="L267" s="358"/>
      <c r="M267" s="570"/>
      <c r="N267" s="489"/>
      <c r="O267" s="490"/>
    </row>
    <row r="268" spans="1:15" outlineLevel="1">
      <c r="A268" s="358"/>
      <c r="B268" s="492"/>
      <c r="D268" s="490"/>
      <c r="E268" s="490"/>
      <c r="F268" s="490"/>
      <c r="G268" s="358"/>
      <c r="H268" s="358"/>
      <c r="I268" s="358"/>
      <c r="J268" s="358"/>
      <c r="K268" s="358"/>
      <c r="L268" s="358"/>
      <c r="O268" s="490"/>
    </row>
    <row r="269" spans="1:15" outlineLevel="1">
      <c r="A269" s="358"/>
      <c r="B269" s="495"/>
      <c r="D269" s="490"/>
      <c r="E269" s="490"/>
      <c r="F269" s="490"/>
      <c r="G269" s="358"/>
      <c r="H269" s="358"/>
      <c r="I269" s="358"/>
      <c r="J269" s="358"/>
      <c r="K269" s="358"/>
      <c r="L269" s="358"/>
      <c r="O269" s="490"/>
    </row>
    <row r="270" spans="1:15" outlineLevel="1">
      <c r="A270" s="358"/>
      <c r="B270" s="495"/>
      <c r="D270" s="490"/>
      <c r="E270" s="490"/>
      <c r="F270" s="490"/>
      <c r="G270" s="358"/>
      <c r="H270" s="358"/>
      <c r="I270" s="358"/>
      <c r="J270" s="358"/>
      <c r="K270" s="358"/>
      <c r="L270" s="358"/>
      <c r="O270" s="490"/>
    </row>
    <row r="271" spans="1:15" outlineLevel="1">
      <c r="A271" s="358"/>
      <c r="B271" s="489"/>
      <c r="D271" s="490"/>
      <c r="E271" s="490"/>
      <c r="F271" s="490"/>
      <c r="G271" s="358"/>
      <c r="H271" s="358"/>
      <c r="I271" s="358"/>
      <c r="J271" s="358"/>
      <c r="K271" s="358"/>
      <c r="L271" s="358"/>
      <c r="O271" s="490"/>
    </row>
    <row r="272" spans="1:15" outlineLevel="1">
      <c r="A272" s="358"/>
      <c r="B272" s="490"/>
      <c r="D272" s="490"/>
      <c r="E272" s="490"/>
      <c r="F272" s="490"/>
      <c r="G272" s="358"/>
      <c r="H272" s="358"/>
      <c r="I272" s="358"/>
      <c r="J272" s="358"/>
      <c r="K272" s="358"/>
      <c r="L272" s="358"/>
      <c r="O272" s="490"/>
    </row>
    <row r="273" spans="1:44" outlineLevel="1">
      <c r="A273" s="488"/>
      <c r="B273" s="489"/>
      <c r="D273" s="490"/>
      <c r="E273" s="490"/>
      <c r="F273" s="490"/>
      <c r="G273" s="358"/>
      <c r="H273" s="358"/>
      <c r="I273" s="358"/>
      <c r="J273" s="358"/>
      <c r="K273" s="358"/>
      <c r="L273" s="358"/>
      <c r="O273" s="490"/>
    </row>
    <row r="274" spans="1:44" outlineLevel="1">
      <c r="A274" s="496"/>
      <c r="B274" s="497"/>
      <c r="D274" s="490"/>
      <c r="E274" s="490"/>
      <c r="F274" s="490"/>
      <c r="G274" s="358"/>
      <c r="H274" s="358"/>
      <c r="I274" s="358"/>
      <c r="J274" s="358"/>
      <c r="K274" s="358"/>
      <c r="L274" s="358"/>
      <c r="M274" s="570"/>
      <c r="N274" s="489"/>
      <c r="O274" s="490"/>
    </row>
    <row r="275" spans="1:44" outlineLevel="1">
      <c r="A275" s="496"/>
      <c r="B275" s="489"/>
      <c r="D275" s="490"/>
      <c r="E275" s="490"/>
      <c r="F275" s="490"/>
      <c r="G275" s="358"/>
      <c r="H275" s="358"/>
      <c r="I275" s="358"/>
      <c r="J275" s="358"/>
      <c r="K275" s="358"/>
      <c r="L275" s="358"/>
      <c r="M275" s="571"/>
      <c r="N275" s="489"/>
      <c r="O275" s="490"/>
    </row>
    <row r="276" spans="1:44" outlineLevel="1">
      <c r="A276" s="496"/>
      <c r="B276" s="489"/>
      <c r="D276" s="490"/>
      <c r="E276" s="490"/>
      <c r="F276" s="490"/>
      <c r="G276" s="358"/>
      <c r="H276" s="358"/>
      <c r="I276" s="358"/>
      <c r="J276" s="358"/>
      <c r="K276" s="358"/>
      <c r="L276" s="358"/>
      <c r="M276" s="572"/>
      <c r="N276" s="489"/>
      <c r="O276" s="490"/>
    </row>
    <row r="277" spans="1:44" outlineLevel="1">
      <c r="A277" s="496"/>
      <c r="B277" s="498"/>
      <c r="D277" s="490"/>
      <c r="E277" s="490"/>
      <c r="F277" s="490"/>
      <c r="G277" s="358"/>
      <c r="H277" s="358"/>
      <c r="I277" s="358"/>
      <c r="J277" s="358"/>
      <c r="K277" s="358"/>
      <c r="L277" s="358"/>
      <c r="M277" s="573"/>
      <c r="N277" s="489"/>
      <c r="O277" s="490"/>
    </row>
    <row r="278" spans="1:44" outlineLevel="1">
      <c r="A278" s="496"/>
      <c r="B278" s="489"/>
      <c r="D278" s="490"/>
      <c r="E278" s="490"/>
      <c r="F278" s="490"/>
      <c r="G278" s="358"/>
      <c r="H278" s="358"/>
      <c r="I278" s="358"/>
      <c r="J278" s="358"/>
      <c r="K278" s="358"/>
      <c r="L278" s="358"/>
      <c r="M278" s="573"/>
      <c r="N278" s="490"/>
      <c r="O278" s="490"/>
    </row>
    <row r="279" spans="1:44" outlineLevel="1">
      <c r="A279" s="496"/>
      <c r="B279" s="489"/>
      <c r="D279" s="490"/>
      <c r="E279" s="490"/>
      <c r="F279" s="490"/>
      <c r="G279" s="358"/>
      <c r="H279" s="358"/>
      <c r="I279" s="358"/>
      <c r="J279" s="358"/>
      <c r="K279" s="358"/>
      <c r="L279" s="358"/>
      <c r="M279" s="489"/>
      <c r="N279" s="490"/>
      <c r="O279" s="490"/>
    </row>
    <row r="280" spans="1:44" outlineLevel="1"/>
    <row r="283" spans="1:44" ht="16" thickBot="1">
      <c r="A283" s="360"/>
    </row>
    <row r="284" spans="1:44" ht="20.5" customHeight="1" thickBot="1">
      <c r="B284" s="362"/>
      <c r="C284" s="1186"/>
      <c r="D284" s="1187"/>
      <c r="E284" s="1187"/>
      <c r="F284" s="1187"/>
      <c r="G284" s="1187"/>
      <c r="H284" s="1187"/>
      <c r="I284" s="1187"/>
      <c r="J284" s="1187"/>
      <c r="K284" s="1187"/>
      <c r="L284" s="1188"/>
      <c r="M284" s="363"/>
      <c r="N284" s="363"/>
      <c r="P284" s="364"/>
      <c r="Q284" s="365"/>
      <c r="R284" s="366"/>
      <c r="S284" s="1176"/>
      <c r="T284" s="1160"/>
      <c r="U284" s="1161"/>
      <c r="V284" s="1160"/>
      <c r="W284" s="1161"/>
      <c r="X284" s="1160"/>
      <c r="Y284" s="1161"/>
      <c r="Z284" s="1160"/>
      <c r="AA284" s="1161"/>
      <c r="AB284" s="1160"/>
      <c r="AC284" s="1161"/>
      <c r="AE284" s="364"/>
      <c r="AF284" s="365"/>
      <c r="AG284" s="366"/>
      <c r="AH284" s="1176"/>
      <c r="AI284" s="1160"/>
      <c r="AJ284" s="1161"/>
      <c r="AK284" s="1160"/>
      <c r="AL284" s="1161"/>
      <c r="AM284" s="1160"/>
      <c r="AN284" s="1161"/>
      <c r="AO284" s="1160"/>
      <c r="AP284" s="1161"/>
      <c r="AQ284" s="1160"/>
      <c r="AR284" s="1161"/>
    </row>
    <row r="285" spans="1:44" ht="15" customHeight="1" thickBot="1">
      <c r="B285" s="1164"/>
      <c r="C285" s="1166"/>
      <c r="D285" s="1166"/>
      <c r="E285" s="1166"/>
      <c r="F285" s="1166"/>
      <c r="G285" s="1168"/>
      <c r="H285" s="1169"/>
      <c r="I285" s="1168"/>
      <c r="J285" s="1169"/>
      <c r="K285" s="1189"/>
      <c r="L285" s="1189"/>
      <c r="M285" s="367"/>
      <c r="N285" s="367"/>
      <c r="P285" s="1180"/>
      <c r="Q285" s="368"/>
      <c r="R285" s="368"/>
      <c r="S285" s="1177"/>
      <c r="T285" s="1162"/>
      <c r="U285" s="1163"/>
      <c r="V285" s="1162"/>
      <c r="W285" s="1163"/>
      <c r="X285" s="1162"/>
      <c r="Y285" s="1163"/>
      <c r="Z285" s="1162"/>
      <c r="AA285" s="1163"/>
      <c r="AB285" s="1162"/>
      <c r="AC285" s="1163"/>
      <c r="AE285" s="1180"/>
      <c r="AF285" s="368"/>
      <c r="AG285" s="368"/>
      <c r="AH285" s="1177"/>
      <c r="AI285" s="1162"/>
      <c r="AJ285" s="1163"/>
      <c r="AK285" s="1162"/>
      <c r="AL285" s="1163"/>
      <c r="AM285" s="1162"/>
      <c r="AN285" s="1163"/>
      <c r="AO285" s="1162"/>
      <c r="AP285" s="1163"/>
      <c r="AQ285" s="1162"/>
      <c r="AR285" s="1163"/>
    </row>
    <row r="286" spans="1:44" ht="15" customHeight="1" thickBot="1">
      <c r="B286" s="1165"/>
      <c r="C286" s="1167"/>
      <c r="D286" s="1167"/>
      <c r="E286" s="1167"/>
      <c r="F286" s="1167"/>
      <c r="G286" s="406"/>
      <c r="H286" s="406"/>
      <c r="I286" s="406"/>
      <c r="J286" s="406"/>
      <c r="K286" s="1190"/>
      <c r="L286" s="1190"/>
      <c r="M286" s="370"/>
      <c r="N286" s="370"/>
      <c r="P286" s="1181"/>
      <c r="Q286" s="1183"/>
      <c r="R286" s="1184"/>
      <c r="S286" s="1178"/>
      <c r="T286" s="1162"/>
      <c r="U286" s="1163"/>
      <c r="V286" s="1162"/>
      <c r="W286" s="1163"/>
      <c r="X286" s="1162"/>
      <c r="Y286" s="1163"/>
      <c r="Z286" s="1162"/>
      <c r="AA286" s="1163"/>
      <c r="AB286" s="1162"/>
      <c r="AC286" s="1163"/>
      <c r="AE286" s="1181"/>
      <c r="AF286" s="1183"/>
      <c r="AG286" s="1184"/>
      <c r="AH286" s="1178"/>
      <c r="AI286" s="1162"/>
      <c r="AJ286" s="1163"/>
      <c r="AK286" s="1162"/>
      <c r="AL286" s="1163"/>
      <c r="AM286" s="1162"/>
      <c r="AN286" s="1163"/>
      <c r="AO286" s="1162"/>
      <c r="AP286" s="1163"/>
      <c r="AQ286" s="1162"/>
      <c r="AR286" s="1163"/>
    </row>
    <row r="287" spans="1:44" ht="16" thickBot="1">
      <c r="B287" s="371"/>
      <c r="C287" s="372"/>
      <c r="D287" s="372"/>
      <c r="E287" s="372"/>
      <c r="F287" s="372"/>
      <c r="G287" s="372"/>
      <c r="H287" s="372"/>
      <c r="I287" s="372"/>
      <c r="J287" s="372"/>
      <c r="K287" s="372"/>
      <c r="L287" s="373"/>
      <c r="M287" s="370"/>
      <c r="N287" s="370"/>
      <c r="O287" s="74"/>
      <c r="P287" s="1182"/>
      <c r="Q287" s="1179"/>
      <c r="R287" s="1185"/>
      <c r="S287" s="1179"/>
      <c r="T287" s="374"/>
      <c r="U287" s="375"/>
      <c r="V287" s="374"/>
      <c r="W287" s="375"/>
      <c r="X287" s="374"/>
      <c r="Y287" s="375"/>
      <c r="Z287" s="374"/>
      <c r="AA287" s="375"/>
      <c r="AB287" s="374"/>
      <c r="AC287" s="375"/>
      <c r="AE287" s="1182"/>
      <c r="AF287" s="1179"/>
      <c r="AG287" s="1185"/>
      <c r="AH287" s="1179"/>
      <c r="AI287" s="374"/>
      <c r="AJ287" s="375"/>
      <c r="AK287" s="374"/>
      <c r="AL287" s="375"/>
      <c r="AM287" s="374"/>
      <c r="AN287" s="375"/>
      <c r="AO287" s="374"/>
      <c r="AP287" s="375"/>
      <c r="AQ287" s="374"/>
      <c r="AR287" s="375"/>
    </row>
    <row r="288" spans="1:44" ht="14.5" customHeight="1">
      <c r="B288" s="574"/>
      <c r="C288" s="575"/>
      <c r="D288" s="575"/>
      <c r="E288" s="575"/>
      <c r="F288" s="575"/>
      <c r="G288" s="576"/>
      <c r="H288" s="576"/>
      <c r="I288" s="576"/>
      <c r="J288" s="576"/>
      <c r="K288" s="372"/>
      <c r="L288" s="373"/>
      <c r="M288" s="370"/>
      <c r="N288" s="370"/>
      <c r="P288" s="1148"/>
      <c r="Q288" s="1154"/>
      <c r="R288" s="381"/>
      <c r="S288" s="382"/>
      <c r="T288" s="1137"/>
      <c r="U288" s="1151"/>
      <c r="V288" s="1137"/>
      <c r="W288" s="1151"/>
      <c r="X288" s="1137"/>
      <c r="Y288" s="1151"/>
      <c r="Z288" s="1137"/>
      <c r="AA288" s="1151"/>
      <c r="AB288" s="1157"/>
      <c r="AC288" s="1151"/>
      <c r="AE288" s="1148"/>
      <c r="AF288" s="1154"/>
      <c r="AG288" s="381"/>
      <c r="AH288" s="382"/>
      <c r="AI288" s="1137"/>
      <c r="AJ288" s="1151"/>
      <c r="AK288" s="1137"/>
      <c r="AL288" s="1151"/>
      <c r="AM288" s="1137"/>
      <c r="AN288" s="1151"/>
      <c r="AO288" s="1137"/>
      <c r="AP288" s="1151"/>
      <c r="AQ288" s="1157"/>
      <c r="AR288" s="1151"/>
    </row>
    <row r="289" spans="2:44">
      <c r="B289" s="383"/>
      <c r="C289" s="577"/>
      <c r="D289" s="577"/>
      <c r="E289" s="577"/>
      <c r="F289" s="577"/>
      <c r="G289" s="576"/>
      <c r="H289" s="576"/>
      <c r="I289" s="576"/>
      <c r="J289" s="576"/>
      <c r="K289" s="372"/>
      <c r="L289" s="373"/>
      <c r="M289" s="370"/>
      <c r="N289" s="370"/>
      <c r="O289" s="71"/>
      <c r="P289" s="1149"/>
      <c r="Q289" s="1155"/>
      <c r="R289" s="388"/>
      <c r="S289" s="389"/>
      <c r="T289" s="1140"/>
      <c r="U289" s="1152"/>
      <c r="V289" s="1140"/>
      <c r="W289" s="1152"/>
      <c r="X289" s="1140"/>
      <c r="Y289" s="1152"/>
      <c r="Z289" s="1140"/>
      <c r="AA289" s="1152"/>
      <c r="AB289" s="1158"/>
      <c r="AC289" s="1152"/>
      <c r="AE289" s="1149"/>
      <c r="AF289" s="1155"/>
      <c r="AG289" s="388"/>
      <c r="AH289" s="389"/>
      <c r="AI289" s="1140"/>
      <c r="AJ289" s="1152"/>
      <c r="AK289" s="1140"/>
      <c r="AL289" s="1152"/>
      <c r="AM289" s="1140"/>
      <c r="AN289" s="1152"/>
      <c r="AO289" s="1140"/>
      <c r="AP289" s="1152"/>
      <c r="AQ289" s="1158"/>
      <c r="AR289" s="1152"/>
    </row>
    <row r="290" spans="2:44" ht="16" thickBot="1">
      <c r="B290" s="574"/>
      <c r="C290" s="578"/>
      <c r="D290" s="578"/>
      <c r="E290" s="578"/>
      <c r="F290" s="578"/>
      <c r="G290" s="578"/>
      <c r="H290" s="578"/>
      <c r="I290" s="578"/>
      <c r="J290" s="578"/>
      <c r="K290" s="579"/>
      <c r="L290" s="580"/>
      <c r="M290" s="370"/>
      <c r="N290" s="370"/>
      <c r="O290" s="71"/>
      <c r="P290" s="1149"/>
      <c r="Q290" s="1156"/>
      <c r="R290" s="393"/>
      <c r="S290" s="394"/>
      <c r="T290" s="1141"/>
      <c r="U290" s="1153"/>
      <c r="V290" s="1141"/>
      <c r="W290" s="1153"/>
      <c r="X290" s="1141"/>
      <c r="Y290" s="1153"/>
      <c r="Z290" s="1141"/>
      <c r="AA290" s="1153"/>
      <c r="AB290" s="1159"/>
      <c r="AC290" s="1153"/>
      <c r="AE290" s="1149"/>
      <c r="AF290" s="1156"/>
      <c r="AG290" s="393"/>
      <c r="AH290" s="394"/>
      <c r="AI290" s="1141"/>
      <c r="AJ290" s="1153"/>
      <c r="AK290" s="1141"/>
      <c r="AL290" s="1153"/>
      <c r="AM290" s="1141"/>
      <c r="AN290" s="1153"/>
      <c r="AO290" s="1141"/>
      <c r="AP290" s="1153"/>
      <c r="AQ290" s="1159"/>
      <c r="AR290" s="1153"/>
    </row>
    <row r="291" spans="2:44" ht="14.5" customHeight="1">
      <c r="B291" s="574"/>
      <c r="C291" s="581"/>
      <c r="D291" s="581"/>
      <c r="E291" s="581"/>
      <c r="F291" s="581"/>
      <c r="G291" s="581"/>
      <c r="H291" s="581"/>
      <c r="I291" s="581"/>
      <c r="J291" s="581"/>
      <c r="K291" s="579"/>
      <c r="L291" s="580"/>
      <c r="M291" s="370"/>
      <c r="N291" s="370"/>
      <c r="O291" s="71"/>
      <c r="P291" s="1149"/>
      <c r="Q291" s="1145"/>
      <c r="R291" s="395"/>
      <c r="S291" s="396"/>
      <c r="T291" s="1137"/>
      <c r="U291" s="1137"/>
      <c r="V291" s="1137"/>
      <c r="W291" s="1137"/>
      <c r="X291" s="1137"/>
      <c r="Y291" s="1137"/>
      <c r="Z291" s="1137"/>
      <c r="AA291" s="1137"/>
      <c r="AB291" s="1137"/>
      <c r="AC291" s="1137"/>
      <c r="AE291" s="1149"/>
      <c r="AF291" s="1145"/>
      <c r="AG291" s="395"/>
      <c r="AH291" s="396"/>
      <c r="AI291" s="1137"/>
      <c r="AJ291" s="1137"/>
      <c r="AK291" s="1137"/>
      <c r="AL291" s="1137"/>
      <c r="AM291" s="1137"/>
      <c r="AN291" s="1137"/>
      <c r="AO291" s="1137"/>
      <c r="AP291" s="1137"/>
      <c r="AQ291" s="1137"/>
      <c r="AR291" s="1137"/>
    </row>
    <row r="292" spans="2:44">
      <c r="B292" s="574"/>
      <c r="C292" s="582"/>
      <c r="D292" s="582"/>
      <c r="E292" s="582"/>
      <c r="F292" s="582"/>
      <c r="G292" s="582"/>
      <c r="H292" s="582"/>
      <c r="I292" s="582"/>
      <c r="J292" s="582"/>
      <c r="K292" s="579"/>
      <c r="L292" s="580"/>
      <c r="M292" s="367"/>
      <c r="N292" s="367"/>
      <c r="O292" s="71"/>
      <c r="P292" s="1149"/>
      <c r="Q292" s="1146"/>
      <c r="R292" s="395"/>
      <c r="S292" s="396"/>
      <c r="T292" s="1138"/>
      <c r="U292" s="1138"/>
      <c r="V292" s="1138"/>
      <c r="W292" s="1138"/>
      <c r="X292" s="1138"/>
      <c r="Y292" s="1138"/>
      <c r="Z292" s="1138"/>
      <c r="AA292" s="1138"/>
      <c r="AB292" s="1140"/>
      <c r="AC292" s="1138"/>
      <c r="AE292" s="1149"/>
      <c r="AF292" s="1146"/>
      <c r="AG292" s="395"/>
      <c r="AH292" s="396"/>
      <c r="AI292" s="1138"/>
      <c r="AJ292" s="1138"/>
      <c r="AK292" s="1138"/>
      <c r="AL292" s="1138"/>
      <c r="AM292" s="1138"/>
      <c r="AN292" s="1138"/>
      <c r="AO292" s="1138"/>
      <c r="AP292" s="1138"/>
      <c r="AQ292" s="1140"/>
      <c r="AR292" s="1138"/>
    </row>
    <row r="293" spans="2:44">
      <c r="B293" s="383"/>
      <c r="C293" s="397"/>
      <c r="D293" s="397"/>
      <c r="E293" s="397"/>
      <c r="F293" s="397"/>
      <c r="G293" s="398"/>
      <c r="H293" s="398"/>
      <c r="I293" s="398"/>
      <c r="J293" s="398"/>
      <c r="K293" s="372"/>
      <c r="L293" s="373"/>
      <c r="M293" s="363"/>
      <c r="N293" s="363"/>
      <c r="P293" s="1149"/>
      <c r="Q293" s="1146"/>
      <c r="R293" s="395"/>
      <c r="S293" s="396"/>
      <c r="T293" s="1138"/>
      <c r="U293" s="1138"/>
      <c r="V293" s="1138"/>
      <c r="W293" s="1138"/>
      <c r="X293" s="1138"/>
      <c r="Y293" s="1138"/>
      <c r="Z293" s="1138"/>
      <c r="AA293" s="1138"/>
      <c r="AB293" s="1140"/>
      <c r="AC293" s="1138"/>
      <c r="AE293" s="1149"/>
      <c r="AF293" s="1146"/>
      <c r="AG293" s="395"/>
      <c r="AH293" s="396"/>
      <c r="AI293" s="1138"/>
      <c r="AJ293" s="1138"/>
      <c r="AK293" s="1138"/>
      <c r="AL293" s="1138"/>
      <c r="AM293" s="1138"/>
      <c r="AN293" s="1138"/>
      <c r="AO293" s="1138"/>
      <c r="AP293" s="1138"/>
      <c r="AQ293" s="1140"/>
      <c r="AR293" s="1138"/>
    </row>
    <row r="294" spans="2:44" ht="16" thickBot="1">
      <c r="B294" s="574"/>
      <c r="C294" s="582"/>
      <c r="D294" s="582"/>
      <c r="E294" s="582"/>
      <c r="F294" s="582"/>
      <c r="G294" s="582"/>
      <c r="H294" s="582"/>
      <c r="I294" s="582"/>
      <c r="J294" s="582"/>
      <c r="K294" s="372"/>
      <c r="L294" s="373"/>
      <c r="M294" s="363"/>
      <c r="N294" s="363"/>
      <c r="P294" s="1149"/>
      <c r="Q294" s="1146"/>
      <c r="R294" s="395"/>
      <c r="S294" s="396"/>
      <c r="T294" s="1138"/>
      <c r="U294" s="1138"/>
      <c r="V294" s="1138"/>
      <c r="W294" s="1138"/>
      <c r="X294" s="1138"/>
      <c r="Y294" s="1138"/>
      <c r="Z294" s="1138"/>
      <c r="AA294" s="1138"/>
      <c r="AB294" s="1140"/>
      <c r="AC294" s="1138"/>
      <c r="AE294" s="1149"/>
      <c r="AF294" s="1146"/>
      <c r="AG294" s="395"/>
      <c r="AH294" s="396"/>
      <c r="AI294" s="1138"/>
      <c r="AJ294" s="1138"/>
      <c r="AK294" s="1138"/>
      <c r="AL294" s="1138"/>
      <c r="AM294" s="1138"/>
      <c r="AN294" s="1138"/>
      <c r="AO294" s="1138"/>
      <c r="AP294" s="1138"/>
      <c r="AQ294" s="1140"/>
      <c r="AR294" s="1138"/>
    </row>
    <row r="295" spans="2:44" ht="16" thickBot="1">
      <c r="B295" s="401"/>
      <c r="C295" s="583"/>
      <c r="D295" s="584"/>
      <c r="E295" s="585"/>
      <c r="F295" s="586"/>
      <c r="G295" s="406"/>
      <c r="H295" s="406"/>
      <c r="I295" s="406"/>
      <c r="J295" s="406"/>
      <c r="K295" s="407"/>
      <c r="L295" s="587"/>
      <c r="M295" s="363"/>
      <c r="N295" s="363"/>
      <c r="P295" s="1149"/>
      <c r="Q295" s="1147"/>
      <c r="R295" s="409"/>
      <c r="S295" s="410"/>
      <c r="T295" s="1139"/>
      <c r="U295" s="1139"/>
      <c r="V295" s="1139"/>
      <c r="W295" s="1139"/>
      <c r="X295" s="1139"/>
      <c r="Y295" s="1139"/>
      <c r="Z295" s="1139"/>
      <c r="AA295" s="1139"/>
      <c r="AB295" s="1141"/>
      <c r="AC295" s="1139"/>
      <c r="AE295" s="1149"/>
      <c r="AF295" s="1147"/>
      <c r="AG295" s="409"/>
      <c r="AH295" s="410"/>
      <c r="AI295" s="1139"/>
      <c r="AJ295" s="1139"/>
      <c r="AK295" s="1139"/>
      <c r="AL295" s="1139"/>
      <c r="AM295" s="1139"/>
      <c r="AN295" s="1139"/>
      <c r="AO295" s="1139"/>
      <c r="AP295" s="1139"/>
      <c r="AQ295" s="1141"/>
      <c r="AR295" s="1139"/>
    </row>
    <row r="296" spans="2:44" ht="16" thickBot="1">
      <c r="B296" s="574"/>
      <c r="C296" s="588"/>
      <c r="D296" s="588"/>
      <c r="E296" s="588"/>
      <c r="F296" s="588"/>
      <c r="G296" s="589"/>
      <c r="H296" s="589"/>
      <c r="I296" s="590"/>
      <c r="J296" s="590"/>
      <c r="K296" s="579"/>
      <c r="L296" s="580"/>
      <c r="M296" s="363"/>
      <c r="N296" s="363"/>
      <c r="P296" s="1150"/>
      <c r="Q296" s="411"/>
      <c r="R296" s="412"/>
      <c r="S296" s="413"/>
      <c r="T296" s="591"/>
      <c r="U296" s="592"/>
      <c r="V296" s="593"/>
      <c r="W296" s="592"/>
      <c r="X296" s="593"/>
      <c r="Y296" s="592"/>
      <c r="Z296" s="593"/>
      <c r="AA296" s="592"/>
      <c r="AB296" s="593"/>
      <c r="AC296" s="594"/>
      <c r="AE296" s="1150"/>
      <c r="AF296" s="411"/>
      <c r="AG296" s="412"/>
      <c r="AH296" s="413"/>
      <c r="AI296" s="591"/>
      <c r="AJ296" s="592"/>
      <c r="AK296" s="593"/>
      <c r="AL296" s="592"/>
      <c r="AM296" s="593"/>
      <c r="AN296" s="592"/>
      <c r="AO296" s="593"/>
      <c r="AP296" s="592"/>
      <c r="AQ296" s="593"/>
      <c r="AR296" s="594"/>
    </row>
    <row r="297" spans="2:44">
      <c r="B297" s="574"/>
      <c r="C297" s="582"/>
      <c r="D297" s="582"/>
      <c r="E297" s="582"/>
      <c r="F297" s="582"/>
      <c r="G297" s="595"/>
      <c r="H297" s="595"/>
      <c r="I297" s="595"/>
      <c r="J297" s="595"/>
      <c r="K297" s="596"/>
      <c r="L297" s="580"/>
      <c r="M297" s="363"/>
      <c r="N297" s="363"/>
    </row>
    <row r="298" spans="2:44">
      <c r="B298" s="574"/>
      <c r="C298" s="582"/>
      <c r="D298" s="582"/>
      <c r="E298" s="582"/>
      <c r="F298" s="582"/>
      <c r="G298" s="595"/>
      <c r="H298" s="595"/>
      <c r="I298" s="595"/>
      <c r="J298" s="595"/>
      <c r="K298" s="596"/>
      <c r="L298" s="580"/>
      <c r="M298" s="420"/>
      <c r="N298" s="363"/>
    </row>
    <row r="299" spans="2:44">
      <c r="B299" s="421"/>
      <c r="C299" s="399"/>
      <c r="D299" s="399"/>
      <c r="E299" s="399"/>
      <c r="F299" s="399"/>
      <c r="G299" s="422"/>
      <c r="H299" s="422"/>
      <c r="I299" s="422"/>
      <c r="J299" s="422"/>
      <c r="K299" s="423"/>
      <c r="L299" s="597"/>
      <c r="M299" s="420"/>
      <c r="N299" s="420"/>
    </row>
    <row r="300" spans="2:44">
      <c r="B300" s="383"/>
      <c r="C300" s="397"/>
      <c r="D300" s="397"/>
      <c r="E300" s="397"/>
      <c r="F300" s="397"/>
      <c r="G300" s="422"/>
      <c r="H300" s="425"/>
      <c r="I300" s="425"/>
      <c r="J300" s="425"/>
      <c r="K300" s="426"/>
      <c r="L300" s="427"/>
      <c r="M300" s="428"/>
      <c r="N300" s="428"/>
    </row>
    <row r="301" spans="2:44">
      <c r="B301" s="383"/>
      <c r="C301" s="397"/>
      <c r="D301" s="397"/>
      <c r="E301" s="397"/>
      <c r="F301" s="397"/>
      <c r="G301" s="425"/>
      <c r="H301" s="425"/>
      <c r="I301" s="425"/>
      <c r="J301" s="425"/>
      <c r="K301" s="423"/>
      <c r="L301" s="427"/>
      <c r="M301" s="428"/>
      <c r="N301" s="428"/>
    </row>
    <row r="302" spans="2:44">
      <c r="B302" s="383"/>
      <c r="C302" s="397"/>
      <c r="D302" s="397"/>
      <c r="E302" s="397"/>
      <c r="F302" s="397"/>
      <c r="G302" s="425"/>
      <c r="H302" s="425"/>
      <c r="I302" s="425"/>
      <c r="J302" s="425"/>
      <c r="K302" s="423"/>
      <c r="L302" s="427"/>
      <c r="M302" s="428"/>
      <c r="N302" s="428"/>
    </row>
    <row r="303" spans="2:44">
      <c r="B303" s="383"/>
      <c r="C303" s="397"/>
      <c r="D303" s="397"/>
      <c r="E303" s="397"/>
      <c r="F303" s="397"/>
      <c r="G303" s="425"/>
      <c r="H303" s="425"/>
      <c r="I303" s="425"/>
      <c r="J303" s="425"/>
      <c r="K303" s="423"/>
      <c r="L303" s="427"/>
      <c r="M303" s="428"/>
      <c r="N303" s="428"/>
    </row>
    <row r="304" spans="2:44" ht="16" thickBot="1">
      <c r="B304" s="429"/>
      <c r="C304" s="397"/>
      <c r="D304" s="397"/>
      <c r="E304" s="397"/>
      <c r="F304" s="397"/>
      <c r="G304" s="425"/>
      <c r="H304" s="425"/>
      <c r="I304" s="425"/>
      <c r="J304" s="425"/>
      <c r="K304" s="423"/>
      <c r="L304" s="427"/>
      <c r="M304" s="428"/>
      <c r="N304" s="428"/>
    </row>
    <row r="305" spans="1:30" ht="16" thickBot="1">
      <c r="B305" s="431"/>
      <c r="C305" s="598"/>
      <c r="D305" s="584"/>
      <c r="E305" s="584"/>
      <c r="F305" s="599"/>
      <c r="G305" s="434"/>
      <c r="H305" s="406"/>
      <c r="I305" s="406"/>
      <c r="J305" s="406"/>
      <c r="K305" s="407"/>
      <c r="L305" s="587"/>
      <c r="M305" s="428"/>
      <c r="N305" s="428"/>
    </row>
    <row r="306" spans="1:30">
      <c r="A306" s="435"/>
      <c r="B306" s="436"/>
      <c r="C306" s="600"/>
      <c r="D306" s="600"/>
      <c r="E306" s="600"/>
      <c r="F306" s="600"/>
      <c r="G306" s="425"/>
      <c r="H306" s="425"/>
      <c r="I306" s="425"/>
      <c r="J306" s="425"/>
      <c r="K306" s="426"/>
      <c r="L306" s="440"/>
      <c r="M306" s="420"/>
      <c r="N306" s="420"/>
    </row>
    <row r="307" spans="1:30">
      <c r="B307" s="441"/>
      <c r="C307" s="601"/>
      <c r="D307" s="601"/>
      <c r="E307" s="601"/>
      <c r="F307" s="601"/>
      <c r="G307" s="425"/>
      <c r="H307" s="425"/>
      <c r="I307" s="425"/>
      <c r="J307" s="425"/>
      <c r="K307" s="444"/>
      <c r="L307" s="373"/>
      <c r="M307" s="71"/>
      <c r="N307" s="420"/>
    </row>
    <row r="308" spans="1:30">
      <c r="B308" s="441"/>
      <c r="C308" s="601"/>
      <c r="D308" s="601"/>
      <c r="E308" s="601"/>
      <c r="F308" s="601"/>
      <c r="G308" s="425"/>
      <c r="H308" s="425"/>
      <c r="I308" s="425"/>
      <c r="J308" s="425"/>
      <c r="K308" s="444"/>
      <c r="L308" s="373"/>
      <c r="M308" s="420"/>
      <c r="N308" s="420"/>
    </row>
    <row r="309" spans="1:30">
      <c r="B309" s="383"/>
      <c r="C309" s="602"/>
      <c r="D309" s="603"/>
      <c r="E309" s="603"/>
      <c r="F309" s="604"/>
      <c r="G309" s="425"/>
      <c r="H309" s="425"/>
      <c r="I309" s="425"/>
      <c r="J309" s="425"/>
      <c r="K309" s="444"/>
      <c r="L309" s="373"/>
      <c r="M309" s="420"/>
      <c r="N309" s="420"/>
    </row>
    <row r="310" spans="1:30">
      <c r="B310" s="383"/>
      <c r="C310" s="605"/>
      <c r="D310" s="605"/>
      <c r="E310" s="605"/>
      <c r="F310" s="605"/>
      <c r="G310" s="425"/>
      <c r="H310" s="425"/>
      <c r="I310" s="425"/>
      <c r="J310" s="425"/>
      <c r="K310" s="444"/>
      <c r="L310" s="373"/>
      <c r="M310" s="450"/>
      <c r="N310" s="361"/>
      <c r="P310" s="1142"/>
      <c r="Q310" s="1143"/>
      <c r="R310" s="1143"/>
      <c r="S310" s="1143"/>
      <c r="T310" s="1143"/>
      <c r="U310" s="1144"/>
    </row>
    <row r="311" spans="1:30" ht="16" thickBot="1">
      <c r="B311" s="541"/>
      <c r="C311" s="552"/>
      <c r="D311" s="552"/>
      <c r="E311" s="552"/>
      <c r="F311" s="552"/>
      <c r="G311" s="553"/>
      <c r="H311" s="553"/>
      <c r="I311" s="553"/>
      <c r="J311" s="553"/>
      <c r="K311" s="547"/>
      <c r="L311" s="548"/>
      <c r="M311" s="450"/>
      <c r="N311" s="361"/>
      <c r="P311" s="1134"/>
      <c r="Q311" s="1135"/>
      <c r="R311" s="1135"/>
      <c r="S311" s="1135"/>
      <c r="T311" s="1135"/>
      <c r="U311" s="1136"/>
    </row>
    <row r="312" spans="1:30">
      <c r="B312" s="541"/>
      <c r="C312" s="606"/>
      <c r="D312" s="606"/>
      <c r="E312" s="606"/>
      <c r="F312" s="606"/>
      <c r="G312" s="553"/>
      <c r="H312" s="553"/>
      <c r="I312" s="553"/>
      <c r="J312" s="553"/>
      <c r="K312" s="547"/>
      <c r="L312" s="548"/>
      <c r="M312" s="363"/>
      <c r="N312" s="363"/>
      <c r="P312" s="53"/>
    </row>
    <row r="313" spans="1:30">
      <c r="B313" s="541"/>
      <c r="C313" s="607"/>
      <c r="D313" s="547"/>
      <c r="E313" s="547"/>
      <c r="F313" s="563"/>
      <c r="G313" s="550"/>
      <c r="H313" s="550"/>
      <c r="I313" s="550"/>
      <c r="J313" s="550"/>
      <c r="K313" s="547"/>
      <c r="L313" s="608"/>
      <c r="M313" s="367"/>
      <c r="N313" s="367"/>
      <c r="P313" s="46"/>
      <c r="Q313" s="46"/>
      <c r="R313" s="47"/>
      <c r="S313" s="47"/>
      <c r="T313" s="47"/>
      <c r="U313" s="48"/>
      <c r="V313" s="49"/>
      <c r="W313" s="49"/>
      <c r="X313" s="49"/>
      <c r="Y313" s="49"/>
      <c r="Z313" s="49"/>
      <c r="AA313" s="49"/>
      <c r="AB313" s="49"/>
      <c r="AC313" s="49"/>
      <c r="AD313" s="49"/>
    </row>
    <row r="314" spans="1:30" ht="16" thickBot="1">
      <c r="B314" s="566"/>
      <c r="C314" s="607"/>
      <c r="D314" s="609"/>
      <c r="E314" s="609"/>
      <c r="F314" s="610"/>
      <c r="G314" s="550"/>
      <c r="H314" s="550"/>
      <c r="I314" s="550"/>
      <c r="J314" s="550"/>
      <c r="K314" s="547"/>
      <c r="L314" s="608"/>
      <c r="M314" s="363"/>
      <c r="N314" s="363"/>
      <c r="O314" s="71"/>
      <c r="P314" s="50"/>
      <c r="Q314" s="50"/>
      <c r="R314" s="51"/>
      <c r="S314" s="51"/>
      <c r="T314" s="51"/>
      <c r="U314" s="51"/>
      <c r="V314" s="50"/>
      <c r="W314" s="50"/>
      <c r="X314" s="50"/>
      <c r="Y314" s="50"/>
      <c r="Z314" s="50"/>
      <c r="AA314" s="50"/>
      <c r="AB314" s="50"/>
      <c r="AC314" s="50"/>
      <c r="AD314" s="50"/>
    </row>
    <row r="315" spans="1:30" ht="16" thickBot="1">
      <c r="B315" s="611"/>
      <c r="C315" s="612"/>
      <c r="D315" s="613"/>
      <c r="E315" s="614"/>
      <c r="F315" s="615"/>
      <c r="G315" s="540"/>
      <c r="H315" s="540"/>
      <c r="I315" s="540"/>
      <c r="J315" s="540"/>
      <c r="K315" s="616"/>
      <c r="L315" s="617"/>
      <c r="M315" s="363"/>
      <c r="N315" s="363"/>
      <c r="O315" s="461"/>
      <c r="P315" s="56"/>
      <c r="Q315" s="56"/>
      <c r="R315" s="57"/>
      <c r="S315" s="57"/>
      <c r="T315" s="57"/>
      <c r="U315" s="56"/>
      <c r="V315" s="56"/>
      <c r="W315" s="56"/>
      <c r="X315" s="56"/>
      <c r="Y315" s="56"/>
      <c r="Z315" s="56"/>
      <c r="AA315" s="56"/>
      <c r="AB315" s="56"/>
      <c r="AC315" s="56"/>
      <c r="AD315" s="56"/>
    </row>
    <row r="316" spans="1:30">
      <c r="B316" s="556"/>
      <c r="C316" s="618"/>
      <c r="D316" s="618"/>
      <c r="E316" s="618"/>
      <c r="F316" s="618"/>
      <c r="G316" s="618"/>
      <c r="H316" s="618"/>
      <c r="I316" s="618"/>
      <c r="J316" s="618"/>
      <c r="K316" s="618"/>
      <c r="L316" s="619"/>
      <c r="M316" s="363"/>
      <c r="N316" s="363"/>
      <c r="O316" s="620"/>
      <c r="P316" s="466"/>
      <c r="Q316" s="58"/>
      <c r="R316" s="466"/>
      <c r="S316" s="58"/>
      <c r="T316" s="466"/>
      <c r="U316" s="467"/>
      <c r="V316" s="467"/>
      <c r="W316" s="467"/>
      <c r="X316" s="58"/>
      <c r="Y316" s="58"/>
      <c r="Z316" s="466"/>
      <c r="AA316" s="468"/>
      <c r="AB316" s="468"/>
      <c r="AC316" s="468"/>
      <c r="AD316" s="468"/>
    </row>
    <row r="317" spans="1:30">
      <c r="B317" s="541"/>
      <c r="C317" s="558"/>
      <c r="D317" s="558"/>
      <c r="E317" s="558"/>
      <c r="F317" s="558"/>
      <c r="G317" s="563"/>
      <c r="H317" s="563"/>
      <c r="I317" s="563"/>
      <c r="J317" s="563"/>
      <c r="K317" s="563"/>
      <c r="L317" s="548"/>
      <c r="M317" s="363"/>
      <c r="N317" s="363"/>
      <c r="O317" s="620"/>
      <c r="P317" s="466"/>
      <c r="Q317" s="58"/>
      <c r="R317" s="466"/>
      <c r="S317" s="58"/>
      <c r="T317" s="466"/>
      <c r="U317" s="467"/>
      <c r="V317" s="467"/>
      <c r="W317" s="467"/>
      <c r="X317" s="58"/>
      <c r="Y317" s="58"/>
      <c r="Z317" s="466"/>
      <c r="AA317" s="468"/>
      <c r="AB317" s="468"/>
      <c r="AC317" s="468"/>
      <c r="AD317" s="468"/>
    </row>
    <row r="318" spans="1:30">
      <c r="B318" s="541"/>
      <c r="C318" s="558"/>
      <c r="D318" s="558"/>
      <c r="E318" s="558"/>
      <c r="F318" s="558"/>
      <c r="G318" s="563"/>
      <c r="H318" s="563"/>
      <c r="I318" s="563"/>
      <c r="J318" s="563"/>
      <c r="K318" s="563"/>
      <c r="L318" s="548"/>
      <c r="M318" s="363"/>
      <c r="N318" s="363"/>
      <c r="O318" s="620"/>
      <c r="P318" s="466"/>
      <c r="Q318" s="58"/>
      <c r="R318" s="466"/>
      <c r="S318" s="58"/>
      <c r="T318" s="466"/>
      <c r="U318" s="467"/>
      <c r="V318" s="467"/>
      <c r="W318" s="467"/>
      <c r="X318" s="58"/>
      <c r="Y318" s="58"/>
      <c r="Z318" s="466"/>
      <c r="AA318" s="468"/>
      <c r="AB318" s="468"/>
      <c r="AC318" s="468"/>
      <c r="AD318" s="468"/>
    </row>
    <row r="319" spans="1:30">
      <c r="B319" s="541"/>
      <c r="C319" s="564"/>
      <c r="D319" s="564"/>
      <c r="E319" s="564"/>
      <c r="F319" s="564"/>
      <c r="G319" s="621"/>
      <c r="H319" s="621"/>
      <c r="I319" s="621"/>
      <c r="J319" s="621"/>
      <c r="K319" s="621"/>
      <c r="L319" s="548"/>
      <c r="M319" s="363"/>
      <c r="N319" s="363"/>
      <c r="O319" s="620"/>
      <c r="P319" s="466"/>
      <c r="Q319" s="58"/>
      <c r="R319" s="466"/>
      <c r="S319" s="58"/>
      <c r="T319" s="466"/>
      <c r="U319" s="467"/>
      <c r="V319" s="467"/>
      <c r="W319" s="467"/>
      <c r="X319" s="58"/>
      <c r="Y319" s="58"/>
      <c r="Z319" s="466"/>
      <c r="AA319" s="468"/>
      <c r="AB319" s="468"/>
      <c r="AC319" s="468"/>
      <c r="AD319" s="468"/>
    </row>
    <row r="320" spans="1:30">
      <c r="B320" s="566"/>
      <c r="C320" s="558"/>
      <c r="D320" s="558"/>
      <c r="E320" s="558"/>
      <c r="F320" s="558"/>
      <c r="G320" s="563"/>
      <c r="H320" s="563"/>
      <c r="I320" s="563"/>
      <c r="J320" s="563"/>
      <c r="K320" s="563"/>
      <c r="L320" s="548"/>
      <c r="M320" s="367"/>
      <c r="N320" s="367"/>
    </row>
    <row r="321" spans="1:14">
      <c r="B321" s="566"/>
      <c r="C321" s="558"/>
      <c r="D321" s="558"/>
      <c r="E321" s="558"/>
      <c r="F321" s="558"/>
      <c r="G321" s="563"/>
      <c r="H321" s="563"/>
      <c r="I321" s="563"/>
      <c r="J321" s="563"/>
      <c r="K321" s="563"/>
      <c r="L321" s="548"/>
      <c r="M321" s="363"/>
      <c r="N321" s="363"/>
    </row>
    <row r="322" spans="1:14" ht="16" thickBot="1">
      <c r="B322" s="567"/>
      <c r="C322" s="622"/>
      <c r="D322" s="622"/>
      <c r="E322" s="622"/>
      <c r="F322" s="622"/>
      <c r="G322" s="623"/>
      <c r="H322" s="623"/>
      <c r="I322" s="623"/>
      <c r="J322" s="623"/>
      <c r="K322" s="623"/>
      <c r="L322" s="624"/>
      <c r="M322" s="363"/>
      <c r="N322" s="363"/>
    </row>
    <row r="323" spans="1:14">
      <c r="B323" s="461"/>
      <c r="C323" s="483"/>
      <c r="D323" s="483"/>
      <c r="E323" s="483"/>
      <c r="F323" s="483"/>
      <c r="G323" s="483"/>
      <c r="H323" s="484"/>
      <c r="I323" s="420"/>
      <c r="J323" s="420"/>
      <c r="K323" s="484"/>
      <c r="L323" s="484"/>
      <c r="N323" s="420"/>
    </row>
    <row r="324" spans="1:14">
      <c r="B324" s="485"/>
      <c r="C324" s="486"/>
      <c r="D324" s="486"/>
      <c r="E324" s="486"/>
      <c r="F324" s="486"/>
      <c r="G324" s="486"/>
      <c r="H324" s="484"/>
      <c r="I324" s="71"/>
      <c r="J324" s="420"/>
      <c r="K324" s="484"/>
      <c r="L324" s="484"/>
      <c r="N324" s="420"/>
    </row>
    <row r="325" spans="1:14">
      <c r="B325" s="461"/>
      <c r="C325" s="359"/>
      <c r="D325" s="359"/>
      <c r="E325" s="359"/>
      <c r="F325" s="359"/>
      <c r="G325" s="359"/>
      <c r="I325" s="420"/>
      <c r="J325" s="420"/>
      <c r="N325" s="420"/>
    </row>
    <row r="326" spans="1:14">
      <c r="B326" s="461"/>
      <c r="C326" s="487"/>
      <c r="D326" s="487"/>
      <c r="E326" s="487"/>
      <c r="F326" s="487"/>
      <c r="G326" s="359"/>
      <c r="M326" s="420"/>
      <c r="N326" s="420"/>
    </row>
    <row r="329" spans="1:14">
      <c r="A329" s="488"/>
      <c r="B329" s="489"/>
      <c r="D329" s="358"/>
      <c r="E329" s="358"/>
      <c r="F329" s="358"/>
      <c r="G329" s="358"/>
      <c r="H329" s="358"/>
      <c r="I329" s="358"/>
      <c r="J329" s="358"/>
      <c r="K329" s="358"/>
    </row>
    <row r="330" spans="1:14">
      <c r="A330" s="358"/>
      <c r="B330" s="490"/>
      <c r="E330" s="358"/>
      <c r="F330" s="358"/>
      <c r="G330" s="358"/>
      <c r="H330" s="358"/>
      <c r="I330" s="358"/>
      <c r="J330" s="358"/>
      <c r="K330" s="358"/>
    </row>
    <row r="331" spans="1:14">
      <c r="A331" s="358"/>
      <c r="B331" s="490"/>
      <c r="E331" s="358"/>
      <c r="F331" s="358"/>
      <c r="G331" s="358"/>
      <c r="H331" s="358"/>
      <c r="I331" s="358"/>
      <c r="J331" s="358"/>
      <c r="K331" s="358"/>
    </row>
    <row r="332" spans="1:14">
      <c r="A332" s="358"/>
      <c r="B332" s="490"/>
      <c r="E332" s="358"/>
      <c r="F332" s="358"/>
      <c r="G332" s="358"/>
      <c r="H332" s="358"/>
      <c r="I332" s="358"/>
      <c r="J332" s="358"/>
      <c r="K332" s="358"/>
    </row>
    <row r="333" spans="1:14">
      <c r="A333" s="358"/>
      <c r="B333" s="490"/>
      <c r="E333" s="358"/>
      <c r="F333" s="358"/>
      <c r="G333" s="358"/>
      <c r="H333" s="358"/>
      <c r="I333" s="358"/>
      <c r="J333" s="358"/>
      <c r="K333" s="358"/>
    </row>
    <row r="334" spans="1:14">
      <c r="A334" s="358"/>
      <c r="B334" s="490"/>
      <c r="E334" s="358"/>
      <c r="F334" s="358"/>
      <c r="G334" s="358"/>
      <c r="H334" s="358"/>
      <c r="I334" s="358"/>
      <c r="J334" s="358"/>
      <c r="K334" s="358"/>
    </row>
    <row r="335" spans="1:14">
      <c r="A335" s="358"/>
      <c r="B335" s="490"/>
      <c r="E335" s="358"/>
      <c r="F335" s="358"/>
      <c r="G335" s="358"/>
      <c r="H335" s="358"/>
      <c r="I335" s="358"/>
      <c r="J335" s="358"/>
      <c r="K335" s="358"/>
    </row>
    <row r="336" spans="1:14">
      <c r="A336" s="358"/>
      <c r="B336" s="490"/>
      <c r="E336" s="358"/>
      <c r="F336" s="358"/>
      <c r="G336" s="358"/>
      <c r="H336" s="358"/>
      <c r="I336" s="358"/>
      <c r="J336" s="358"/>
      <c r="K336" s="358"/>
    </row>
    <row r="337" spans="1:11">
      <c r="A337" s="358"/>
      <c r="B337" s="625"/>
      <c r="E337" s="358"/>
      <c r="F337" s="358"/>
      <c r="G337" s="358"/>
      <c r="H337" s="358"/>
      <c r="I337" s="358"/>
      <c r="J337" s="358"/>
      <c r="K337" s="358"/>
    </row>
    <row r="338" spans="1:11">
      <c r="A338" s="358"/>
      <c r="B338" s="490"/>
      <c r="E338" s="358"/>
      <c r="F338" s="358"/>
      <c r="G338" s="358"/>
      <c r="H338" s="358"/>
      <c r="I338" s="358"/>
      <c r="J338" s="358"/>
      <c r="K338" s="358"/>
    </row>
    <row r="339" spans="1:11">
      <c r="A339" s="488"/>
      <c r="B339" s="489"/>
      <c r="E339" s="358"/>
      <c r="F339" s="358"/>
      <c r="G339" s="358"/>
      <c r="H339" s="358"/>
      <c r="I339" s="358"/>
      <c r="J339" s="358"/>
      <c r="K339" s="358"/>
    </row>
    <row r="340" spans="1:11">
      <c r="A340" s="496"/>
      <c r="B340" s="490"/>
      <c r="C340" s="489"/>
      <c r="E340" s="358"/>
      <c r="F340" s="358"/>
      <c r="G340" s="358"/>
      <c r="H340" s="358"/>
      <c r="I340" s="358"/>
      <c r="J340" s="358"/>
      <c r="K340" s="358"/>
    </row>
    <row r="341" spans="1:11">
      <c r="A341" s="496"/>
      <c r="B341" s="490"/>
      <c r="C341" s="489"/>
      <c r="E341" s="358"/>
      <c r="F341" s="358"/>
      <c r="G341" s="358"/>
      <c r="H341" s="358"/>
      <c r="I341" s="358"/>
      <c r="J341" s="358"/>
      <c r="K341" s="358"/>
    </row>
    <row r="342" spans="1:11">
      <c r="A342" s="496"/>
      <c r="B342" s="490"/>
      <c r="C342" s="489"/>
      <c r="E342" s="358"/>
      <c r="F342" s="358"/>
      <c r="G342" s="358"/>
      <c r="H342" s="358"/>
      <c r="I342" s="358"/>
      <c r="J342" s="358"/>
      <c r="K342" s="358"/>
    </row>
    <row r="343" spans="1:11">
      <c r="A343" s="496"/>
      <c r="B343" s="490"/>
      <c r="C343" s="489"/>
      <c r="E343" s="358"/>
      <c r="F343" s="358"/>
      <c r="G343" s="358"/>
      <c r="H343" s="358"/>
      <c r="I343" s="358"/>
      <c r="J343" s="358"/>
      <c r="K343" s="358"/>
    </row>
    <row r="344" spans="1:11" ht="15.75" customHeight="1">
      <c r="A344" s="496"/>
      <c r="B344" s="490"/>
      <c r="C344" s="489"/>
      <c r="E344" s="358"/>
      <c r="F344" s="358"/>
      <c r="G344" s="358"/>
      <c r="H344" s="358"/>
      <c r="I344" s="358"/>
      <c r="J344" s="358"/>
      <c r="K344" s="358"/>
    </row>
    <row r="345" spans="1:11" ht="15.75" customHeight="1">
      <c r="A345" s="496"/>
      <c r="B345" s="490"/>
      <c r="C345" s="489"/>
      <c r="E345" s="358"/>
      <c r="F345" s="358"/>
      <c r="G345" s="358"/>
      <c r="H345" s="358"/>
      <c r="I345" s="358"/>
      <c r="J345" s="358"/>
      <c r="K345" s="358"/>
    </row>
  </sheetData>
  <mergeCells count="396">
    <mergeCell ref="P310:U310"/>
    <mergeCell ref="P311:U311"/>
    <mergeCell ref="AM291:AM295"/>
    <mergeCell ref="AN291:AN295"/>
    <mergeCell ref="AO291:AO295"/>
    <mergeCell ref="AP291:AP295"/>
    <mergeCell ref="AQ291:AQ295"/>
    <mergeCell ref="AR291:AR295"/>
    <mergeCell ref="AC291:AC295"/>
    <mergeCell ref="AF291:AF295"/>
    <mergeCell ref="AI291:AI295"/>
    <mergeCell ref="AJ291:AJ295"/>
    <mergeCell ref="AK291:AK295"/>
    <mergeCell ref="AL291:AL295"/>
    <mergeCell ref="W291:W295"/>
    <mergeCell ref="X291:X295"/>
    <mergeCell ref="Y291:Y295"/>
    <mergeCell ref="Z291:Z295"/>
    <mergeCell ref="AA291:AA295"/>
    <mergeCell ref="AB291:AB295"/>
    <mergeCell ref="AM288:AM290"/>
    <mergeCell ref="AN288:AN290"/>
    <mergeCell ref="AO288:AO290"/>
    <mergeCell ref="AP288:AP290"/>
    <mergeCell ref="AQ288:AQ290"/>
    <mergeCell ref="AR288:AR290"/>
    <mergeCell ref="AE288:AE296"/>
    <mergeCell ref="AF288:AF290"/>
    <mergeCell ref="AI288:AI290"/>
    <mergeCell ref="AJ288:AJ290"/>
    <mergeCell ref="AK288:AK290"/>
    <mergeCell ref="AL288:AL290"/>
    <mergeCell ref="X288:X290"/>
    <mergeCell ref="Y288:Y290"/>
    <mergeCell ref="Z288:Z290"/>
    <mergeCell ref="AA288:AA290"/>
    <mergeCell ref="AB288:AB290"/>
    <mergeCell ref="AC288:AC290"/>
    <mergeCell ref="P288:P296"/>
    <mergeCell ref="Q288:Q290"/>
    <mergeCell ref="T288:T290"/>
    <mergeCell ref="U288:U290"/>
    <mergeCell ref="V288:V290"/>
    <mergeCell ref="W288:W290"/>
    <mergeCell ref="Q291:Q295"/>
    <mergeCell ref="T291:T295"/>
    <mergeCell ref="U291:U295"/>
    <mergeCell ref="V291:V295"/>
    <mergeCell ref="AQ284:AR286"/>
    <mergeCell ref="B285:B286"/>
    <mergeCell ref="C285:C286"/>
    <mergeCell ref="D285:D286"/>
    <mergeCell ref="E285:E286"/>
    <mergeCell ref="F285:F286"/>
    <mergeCell ref="G285:H285"/>
    <mergeCell ref="I285:J285"/>
    <mergeCell ref="K285:K286"/>
    <mergeCell ref="Z284:AA286"/>
    <mergeCell ref="AB284:AC286"/>
    <mergeCell ref="AH284:AH287"/>
    <mergeCell ref="AI284:AJ286"/>
    <mergeCell ref="AK284:AL286"/>
    <mergeCell ref="AM284:AN286"/>
    <mergeCell ref="AE285:AE287"/>
    <mergeCell ref="AF286:AF287"/>
    <mergeCell ref="AG286:AG287"/>
    <mergeCell ref="AN222:AN224"/>
    <mergeCell ref="AO222:AO224"/>
    <mergeCell ref="AP222:AP224"/>
    <mergeCell ref="P245:U245"/>
    <mergeCell ref="C284:L284"/>
    <mergeCell ref="S284:S287"/>
    <mergeCell ref="T284:U286"/>
    <mergeCell ref="V284:W286"/>
    <mergeCell ref="X284:Y286"/>
    <mergeCell ref="L285:L286"/>
    <mergeCell ref="P285:P287"/>
    <mergeCell ref="Q286:Q287"/>
    <mergeCell ref="R286:R287"/>
    <mergeCell ref="AO284:AP286"/>
    <mergeCell ref="P244:U244"/>
    <mergeCell ref="AF225:AF229"/>
    <mergeCell ref="AI225:AI229"/>
    <mergeCell ref="AJ225:AJ229"/>
    <mergeCell ref="AK225:AK229"/>
    <mergeCell ref="AL225:AL229"/>
    <mergeCell ref="AM225:AM229"/>
    <mergeCell ref="X225:X229"/>
    <mergeCell ref="Y225:Y229"/>
    <mergeCell ref="Z225:Z229"/>
    <mergeCell ref="AA225:AA229"/>
    <mergeCell ref="AB225:AB229"/>
    <mergeCell ref="AC225:AC229"/>
    <mergeCell ref="P222:P230"/>
    <mergeCell ref="Q222:Q224"/>
    <mergeCell ref="T222:T224"/>
    <mergeCell ref="U222:U224"/>
    <mergeCell ref="V222:V224"/>
    <mergeCell ref="W222:W224"/>
    <mergeCell ref="X222:X224"/>
    <mergeCell ref="AQ222:AQ224"/>
    <mergeCell ref="AR222:AR224"/>
    <mergeCell ref="Q225:Q229"/>
    <mergeCell ref="T225:T229"/>
    <mergeCell ref="U225:U229"/>
    <mergeCell ref="V225:V229"/>
    <mergeCell ref="W225:W229"/>
    <mergeCell ref="AF222:AF224"/>
    <mergeCell ref="AI222:AI224"/>
    <mergeCell ref="AJ222:AJ224"/>
    <mergeCell ref="AK222:AK224"/>
    <mergeCell ref="AL222:AL224"/>
    <mergeCell ref="AM222:AM224"/>
    <mergeCell ref="Y222:Y224"/>
    <mergeCell ref="Z222:Z224"/>
    <mergeCell ref="AA222:AA224"/>
    <mergeCell ref="AB222:AB224"/>
    <mergeCell ref="AC222:AC224"/>
    <mergeCell ref="AE222:AE230"/>
    <mergeCell ref="AN225:AN229"/>
    <mergeCell ref="AO225:AO229"/>
    <mergeCell ref="AP225:AP229"/>
    <mergeCell ref="AQ225:AQ229"/>
    <mergeCell ref="AR225:AR229"/>
    <mergeCell ref="AM218:AN220"/>
    <mergeCell ref="AO218:AP220"/>
    <mergeCell ref="AQ218:AR220"/>
    <mergeCell ref="B219:B220"/>
    <mergeCell ref="C219:C220"/>
    <mergeCell ref="D219:D220"/>
    <mergeCell ref="E219:E220"/>
    <mergeCell ref="F219:F220"/>
    <mergeCell ref="G219:H219"/>
    <mergeCell ref="I219:J219"/>
    <mergeCell ref="X218:Y220"/>
    <mergeCell ref="Z218:AA220"/>
    <mergeCell ref="AB218:AC220"/>
    <mergeCell ref="AH218:AH221"/>
    <mergeCell ref="AI218:AJ220"/>
    <mergeCell ref="AK218:AL220"/>
    <mergeCell ref="AE219:AE221"/>
    <mergeCell ref="R220:R221"/>
    <mergeCell ref="AF220:AF221"/>
    <mergeCell ref="AG220:AG221"/>
    <mergeCell ref="P177:U177"/>
    <mergeCell ref="P178:U178"/>
    <mergeCell ref="C218:L218"/>
    <mergeCell ref="S218:S221"/>
    <mergeCell ref="T218:U220"/>
    <mergeCell ref="V218:W220"/>
    <mergeCell ref="K219:K220"/>
    <mergeCell ref="L219:L220"/>
    <mergeCell ref="P219:P221"/>
    <mergeCell ref="Q220:Q221"/>
    <mergeCell ref="X158:X162"/>
    <mergeCell ref="Y158:Y162"/>
    <mergeCell ref="Z158:Z162"/>
    <mergeCell ref="AA158:AA162"/>
    <mergeCell ref="AB158:AB162"/>
    <mergeCell ref="AM155:AM157"/>
    <mergeCell ref="AN155:AN157"/>
    <mergeCell ref="AO155:AO157"/>
    <mergeCell ref="X155:X157"/>
    <mergeCell ref="Y155:Y157"/>
    <mergeCell ref="Z155:Z157"/>
    <mergeCell ref="AA155:AA157"/>
    <mergeCell ref="AB155:AB157"/>
    <mergeCell ref="AC155:AC157"/>
    <mergeCell ref="AM158:AM162"/>
    <mergeCell ref="AN158:AN162"/>
    <mergeCell ref="AO158:AO162"/>
    <mergeCell ref="AC158:AC162"/>
    <mergeCell ref="AF158:AF162"/>
    <mergeCell ref="AI158:AI162"/>
    <mergeCell ref="AJ158:AJ162"/>
    <mergeCell ref="AK158:AK162"/>
    <mergeCell ref="AL158:AL162"/>
    <mergeCell ref="AP155:AP157"/>
    <mergeCell ref="AQ155:AQ157"/>
    <mergeCell ref="AR155:AR157"/>
    <mergeCell ref="AE155:AE163"/>
    <mergeCell ref="AF155:AF157"/>
    <mergeCell ref="AI155:AI157"/>
    <mergeCell ref="AJ155:AJ157"/>
    <mergeCell ref="AK155:AK157"/>
    <mergeCell ref="AL155:AL157"/>
    <mergeCell ref="AP158:AP162"/>
    <mergeCell ref="AQ158:AQ162"/>
    <mergeCell ref="AR158:AR162"/>
    <mergeCell ref="P155:P163"/>
    <mergeCell ref="Q155:Q157"/>
    <mergeCell ref="T155:T157"/>
    <mergeCell ref="U155:U157"/>
    <mergeCell ref="V155:V157"/>
    <mergeCell ref="W155:W157"/>
    <mergeCell ref="Q158:Q162"/>
    <mergeCell ref="T158:T162"/>
    <mergeCell ref="U158:U162"/>
    <mergeCell ref="V158:V162"/>
    <mergeCell ref="W158:W162"/>
    <mergeCell ref="AQ151:AR153"/>
    <mergeCell ref="B152:B153"/>
    <mergeCell ref="C152:C153"/>
    <mergeCell ref="D152:D153"/>
    <mergeCell ref="E152:E153"/>
    <mergeCell ref="F152:F153"/>
    <mergeCell ref="G152:H152"/>
    <mergeCell ref="I152:J152"/>
    <mergeCell ref="K152:K153"/>
    <mergeCell ref="L152:L153"/>
    <mergeCell ref="AB151:AC153"/>
    <mergeCell ref="AH151:AH154"/>
    <mergeCell ref="AI151:AJ153"/>
    <mergeCell ref="AK151:AL153"/>
    <mergeCell ref="AM151:AN153"/>
    <mergeCell ref="AO151:AP153"/>
    <mergeCell ref="AE152:AE154"/>
    <mergeCell ref="AF153:AF154"/>
    <mergeCell ref="AG153:AG154"/>
    <mergeCell ref="C151:L151"/>
    <mergeCell ref="S151:S154"/>
    <mergeCell ref="T151:U153"/>
    <mergeCell ref="V151:W153"/>
    <mergeCell ref="X151:Y153"/>
    <mergeCell ref="Z151:AA153"/>
    <mergeCell ref="P152:P154"/>
    <mergeCell ref="Q153:Q154"/>
    <mergeCell ref="R153:R154"/>
    <mergeCell ref="P105:U105"/>
    <mergeCell ref="P106:U106"/>
    <mergeCell ref="B149:B150"/>
    <mergeCell ref="C149:M149"/>
    <mergeCell ref="P149:U149"/>
    <mergeCell ref="C150:M150"/>
    <mergeCell ref="P150:U150"/>
    <mergeCell ref="X86:X90"/>
    <mergeCell ref="Y86:Y90"/>
    <mergeCell ref="Z86:Z90"/>
    <mergeCell ref="AA86:AA90"/>
    <mergeCell ref="AB86:AB90"/>
    <mergeCell ref="AM83:AM85"/>
    <mergeCell ref="AN83:AN85"/>
    <mergeCell ref="AO83:AO85"/>
    <mergeCell ref="X83:X85"/>
    <mergeCell ref="Y83:Y85"/>
    <mergeCell ref="Z83:Z85"/>
    <mergeCell ref="AA83:AA85"/>
    <mergeCell ref="AB83:AB85"/>
    <mergeCell ref="AC83:AC85"/>
    <mergeCell ref="AM86:AM90"/>
    <mergeCell ref="AN86:AN90"/>
    <mergeCell ref="AO86:AO90"/>
    <mergeCell ref="AC86:AC90"/>
    <mergeCell ref="AF86:AF90"/>
    <mergeCell ref="AI86:AI90"/>
    <mergeCell ref="AJ86:AJ90"/>
    <mergeCell ref="AK86:AK90"/>
    <mergeCell ref="AL86:AL90"/>
    <mergeCell ref="AP83:AP85"/>
    <mergeCell ref="AQ83:AQ85"/>
    <mergeCell ref="AR83:AR85"/>
    <mergeCell ref="AE83:AE91"/>
    <mergeCell ref="AF83:AF85"/>
    <mergeCell ref="AI83:AI85"/>
    <mergeCell ref="AJ83:AJ85"/>
    <mergeCell ref="AK83:AK85"/>
    <mergeCell ref="AL83:AL85"/>
    <mergeCell ref="AP86:AP90"/>
    <mergeCell ref="AQ86:AQ90"/>
    <mergeCell ref="AR86:AR90"/>
    <mergeCell ref="P83:P91"/>
    <mergeCell ref="Q83:Q85"/>
    <mergeCell ref="T83:T85"/>
    <mergeCell ref="U83:U85"/>
    <mergeCell ref="V83:V85"/>
    <mergeCell ref="W83:W85"/>
    <mergeCell ref="Q86:Q90"/>
    <mergeCell ref="T86:T90"/>
    <mergeCell ref="U86:U90"/>
    <mergeCell ref="V86:V90"/>
    <mergeCell ref="W86:W90"/>
    <mergeCell ref="AQ79:AR81"/>
    <mergeCell ref="B80:B81"/>
    <mergeCell ref="C80:C81"/>
    <mergeCell ref="D80:D81"/>
    <mergeCell ref="E80:E81"/>
    <mergeCell ref="F80:F81"/>
    <mergeCell ref="G80:H80"/>
    <mergeCell ref="I80:J80"/>
    <mergeCell ref="K80:K81"/>
    <mergeCell ref="L80:L81"/>
    <mergeCell ref="AB79:AC81"/>
    <mergeCell ref="AH79:AH82"/>
    <mergeCell ref="AI79:AJ81"/>
    <mergeCell ref="AK79:AL81"/>
    <mergeCell ref="AM79:AN81"/>
    <mergeCell ref="AO79:AP81"/>
    <mergeCell ref="AE80:AE82"/>
    <mergeCell ref="AF81:AF82"/>
    <mergeCell ref="AG81:AG82"/>
    <mergeCell ref="C79:L79"/>
    <mergeCell ref="S79:S82"/>
    <mergeCell ref="T79:U81"/>
    <mergeCell ref="V79:W81"/>
    <mergeCell ref="X79:Y81"/>
    <mergeCell ref="Z79:AA81"/>
    <mergeCell ref="P80:P82"/>
    <mergeCell ref="Q81:Q82"/>
    <mergeCell ref="R81:R82"/>
    <mergeCell ref="C23:F27"/>
    <mergeCell ref="P33:U33"/>
    <mergeCell ref="P34:U34"/>
    <mergeCell ref="C42:F42"/>
    <mergeCell ref="B77:B78"/>
    <mergeCell ref="C77:M77"/>
    <mergeCell ref="P77:U77"/>
    <mergeCell ref="C78:M78"/>
    <mergeCell ref="P78:U78"/>
    <mergeCell ref="X14:X18"/>
    <mergeCell ref="Y14:Y18"/>
    <mergeCell ref="Z14:Z18"/>
    <mergeCell ref="AA14:AA18"/>
    <mergeCell ref="AB14:AB18"/>
    <mergeCell ref="AM11:AM13"/>
    <mergeCell ref="AN11:AN13"/>
    <mergeCell ref="AO11:AO13"/>
    <mergeCell ref="X11:X13"/>
    <mergeCell ref="Y11:Y13"/>
    <mergeCell ref="Z11:Z13"/>
    <mergeCell ref="AA11:AA13"/>
    <mergeCell ref="AB11:AB13"/>
    <mergeCell ref="AC11:AC13"/>
    <mergeCell ref="AM14:AM18"/>
    <mergeCell ref="AN14:AN18"/>
    <mergeCell ref="AO14:AO18"/>
    <mergeCell ref="AC14:AC18"/>
    <mergeCell ref="AF14:AF18"/>
    <mergeCell ref="AI14:AI18"/>
    <mergeCell ref="AJ14:AJ18"/>
    <mergeCell ref="AK14:AK18"/>
    <mergeCell ref="AL14:AL18"/>
    <mergeCell ref="AP11:AP13"/>
    <mergeCell ref="AQ11:AQ13"/>
    <mergeCell ref="AR11:AR13"/>
    <mergeCell ref="AE11:AE19"/>
    <mergeCell ref="AF11:AF13"/>
    <mergeCell ref="AI11:AI13"/>
    <mergeCell ref="AJ11:AJ13"/>
    <mergeCell ref="AK11:AK13"/>
    <mergeCell ref="AL11:AL13"/>
    <mergeCell ref="AP14:AP18"/>
    <mergeCell ref="AQ14:AQ18"/>
    <mergeCell ref="AR14:AR18"/>
    <mergeCell ref="P11:P19"/>
    <mergeCell ref="Q11:Q13"/>
    <mergeCell ref="T11:T13"/>
    <mergeCell ref="U11:U13"/>
    <mergeCell ref="V11:V13"/>
    <mergeCell ref="W11:W13"/>
    <mergeCell ref="Q14:Q18"/>
    <mergeCell ref="T14:T18"/>
    <mergeCell ref="U14:U18"/>
    <mergeCell ref="V14:V18"/>
    <mergeCell ref="W14:W18"/>
    <mergeCell ref="AQ7:AR9"/>
    <mergeCell ref="B8:B9"/>
    <mergeCell ref="C8:C9"/>
    <mergeCell ref="D8:D9"/>
    <mergeCell ref="E8:E9"/>
    <mergeCell ref="F8:F9"/>
    <mergeCell ref="G8:H8"/>
    <mergeCell ref="V7:W9"/>
    <mergeCell ref="X7:Y9"/>
    <mergeCell ref="Z7:AA9"/>
    <mergeCell ref="AB7:AC9"/>
    <mergeCell ref="AH7:AH10"/>
    <mergeCell ref="AI7:AJ9"/>
    <mergeCell ref="AG9:AG10"/>
    <mergeCell ref="L8:L9"/>
    <mergeCell ref="P8:P10"/>
    <mergeCell ref="AE8:AE10"/>
    <mergeCell ref="Q9:Q10"/>
    <mergeCell ref="R9:R10"/>
    <mergeCell ref="AF9:AF10"/>
    <mergeCell ref="AK7:AL9"/>
    <mergeCell ref="AM7:AN9"/>
    <mergeCell ref="AO7:AP9"/>
    <mergeCell ref="B5:B6"/>
    <mergeCell ref="C5:M5"/>
    <mergeCell ref="P5:U5"/>
    <mergeCell ref="C6:M6"/>
    <mergeCell ref="C7:L7"/>
    <mergeCell ref="S7:S10"/>
    <mergeCell ref="T7:U9"/>
    <mergeCell ref="I8:J8"/>
    <mergeCell ref="K8:K9"/>
  </mergeCells>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127977-0B47-4F6B-B049-E5C915C334F5}">
  <sheetPr>
    <tabColor theme="3"/>
  </sheetPr>
  <dimension ref="A2:AR345"/>
  <sheetViews>
    <sheetView zoomScale="70" zoomScaleNormal="70" workbookViewId="0">
      <selection activeCell="C33" sqref="C33"/>
    </sheetView>
  </sheetViews>
  <sheetFormatPr baseColWidth="10" defaultColWidth="8.83203125" defaultRowHeight="15" outlineLevelRow="1"/>
  <cols>
    <col min="1" max="1" width="35" style="224" bestFit="1" customWidth="1"/>
    <col min="2" max="2" width="63.5" style="224" bestFit="1" customWidth="1"/>
    <col min="3" max="6" width="11" style="224" bestFit="1" customWidth="1"/>
    <col min="7" max="12" width="11" style="224" customWidth="1"/>
    <col min="13" max="13" width="8.83203125" style="224"/>
    <col min="14" max="14" width="4.5" style="224" customWidth="1"/>
    <col min="15" max="15" width="15.83203125" style="224" customWidth="1"/>
    <col min="16" max="16384" width="8.83203125" style="224"/>
  </cols>
  <sheetData>
    <row r="2" spans="1:44">
      <c r="B2" s="638" t="str">
        <f>C7</f>
        <v>Infrared heating</v>
      </c>
    </row>
    <row r="4" spans="1:44" ht="25" customHeight="1">
      <c r="E4" s="224" t="s">
        <v>358</v>
      </c>
      <c r="F4" s="359">
        <v>7.45</v>
      </c>
      <c r="G4" s="359" t="s">
        <v>328</v>
      </c>
    </row>
    <row r="5" spans="1:44" ht="15" customHeight="1">
      <c r="A5" s="360" t="s">
        <v>968</v>
      </c>
      <c r="B5" s="1207"/>
      <c r="C5" s="1143"/>
      <c r="D5" s="1143"/>
      <c r="E5" s="1143"/>
      <c r="F5" s="1143"/>
      <c r="G5" s="1143"/>
      <c r="H5" s="1143"/>
      <c r="I5" s="1143"/>
      <c r="J5" s="1143"/>
      <c r="K5" s="1143"/>
      <c r="L5" s="1143"/>
      <c r="M5" s="1143"/>
      <c r="N5" s="361"/>
      <c r="P5" s="1143"/>
      <c r="Q5" s="1143"/>
      <c r="R5" s="1143"/>
      <c r="S5" s="1143"/>
      <c r="T5" s="1143"/>
      <c r="U5" s="1143"/>
    </row>
    <row r="6" spans="1:44" ht="15.75" customHeight="1" outlineLevel="1" thickBot="1">
      <c r="B6" s="1207"/>
      <c r="C6" s="1143"/>
      <c r="D6" s="1143"/>
      <c r="E6" s="1143"/>
      <c r="F6" s="1143"/>
      <c r="G6" s="1143"/>
      <c r="H6" s="1143"/>
      <c r="I6" s="1143"/>
      <c r="J6" s="1143"/>
      <c r="K6" s="1143"/>
      <c r="L6" s="1143"/>
      <c r="M6" s="1143"/>
      <c r="N6" s="361"/>
      <c r="P6" s="692">
        <v>1</v>
      </c>
      <c r="Q6" s="692">
        <v>2</v>
      </c>
      <c r="R6" s="692">
        <v>3</v>
      </c>
      <c r="S6" s="692">
        <v>4</v>
      </c>
      <c r="T6" s="692">
        <v>5</v>
      </c>
      <c r="U6" s="692">
        <v>6</v>
      </c>
      <c r="V6" s="692">
        <v>7</v>
      </c>
      <c r="W6" s="692">
        <v>8</v>
      </c>
      <c r="X6" s="692">
        <v>9</v>
      </c>
      <c r="Y6" s="692">
        <v>10</v>
      </c>
      <c r="Z6" s="692">
        <v>11</v>
      </c>
      <c r="AA6" s="692">
        <v>12</v>
      </c>
      <c r="AB6" s="692">
        <v>13</v>
      </c>
      <c r="AC6" s="692">
        <v>14</v>
      </c>
    </row>
    <row r="7" spans="1:44" ht="20.25" customHeight="1" outlineLevel="1" thickBot="1">
      <c r="B7" s="362" t="s">
        <v>0</v>
      </c>
      <c r="C7" s="1223" t="s">
        <v>950</v>
      </c>
      <c r="D7" s="1224"/>
      <c r="E7" s="1224"/>
      <c r="F7" s="1224"/>
      <c r="G7" s="1224"/>
      <c r="H7" s="1224"/>
      <c r="I7" s="1224"/>
      <c r="J7" s="1224"/>
      <c r="K7" s="1224"/>
      <c r="L7" s="1225"/>
      <c r="M7" s="363"/>
      <c r="N7" s="363"/>
      <c r="P7" s="364" t="s">
        <v>713</v>
      </c>
      <c r="Q7" s="365"/>
      <c r="R7" s="366"/>
      <c r="S7" s="1176" t="s">
        <v>714</v>
      </c>
      <c r="T7" s="1160" t="s">
        <v>715</v>
      </c>
      <c r="U7" s="1161"/>
      <c r="V7" s="1160" t="s">
        <v>716</v>
      </c>
      <c r="W7" s="1161"/>
      <c r="X7" s="1160" t="s">
        <v>717</v>
      </c>
      <c r="Y7" s="1161"/>
      <c r="Z7" s="1160" t="s">
        <v>718</v>
      </c>
      <c r="AA7" s="1161"/>
      <c r="AB7" s="1160" t="s">
        <v>719</v>
      </c>
      <c r="AC7" s="1161"/>
      <c r="AE7" s="364" t="s">
        <v>720</v>
      </c>
      <c r="AF7" s="365"/>
      <c r="AG7" s="366"/>
      <c r="AH7" s="1176" t="s">
        <v>714</v>
      </c>
      <c r="AI7" s="1160" t="s">
        <v>715</v>
      </c>
      <c r="AJ7" s="1161"/>
      <c r="AK7" s="1160" t="s">
        <v>716</v>
      </c>
      <c r="AL7" s="1161"/>
      <c r="AM7" s="1160" t="s">
        <v>717</v>
      </c>
      <c r="AN7" s="1161"/>
      <c r="AO7" s="1160" t="s">
        <v>718</v>
      </c>
      <c r="AP7" s="1161"/>
      <c r="AQ7" s="1160" t="s">
        <v>719</v>
      </c>
      <c r="AR7" s="1161"/>
    </row>
    <row r="8" spans="1:44" ht="15" customHeight="1" outlineLevel="1" thickBot="1">
      <c r="B8" s="1164" t="s">
        <v>4</v>
      </c>
      <c r="C8" s="1166">
        <v>2020</v>
      </c>
      <c r="D8" s="1166">
        <v>2030</v>
      </c>
      <c r="E8" s="1166">
        <v>2040</v>
      </c>
      <c r="F8" s="1166">
        <v>2050</v>
      </c>
      <c r="G8" s="1230" t="s">
        <v>721</v>
      </c>
      <c r="H8" s="1218"/>
      <c r="I8" s="1217" t="s">
        <v>648</v>
      </c>
      <c r="J8" s="1226"/>
      <c r="K8" s="1219" t="s">
        <v>2</v>
      </c>
      <c r="L8" s="1219" t="s">
        <v>3</v>
      </c>
      <c r="M8" s="367"/>
      <c r="N8" s="367"/>
      <c r="P8" s="1180" t="s">
        <v>0</v>
      </c>
      <c r="Q8" s="368"/>
      <c r="R8" s="368"/>
      <c r="S8" s="1177"/>
      <c r="T8" s="1162"/>
      <c r="U8" s="1163"/>
      <c r="V8" s="1162"/>
      <c r="W8" s="1163"/>
      <c r="X8" s="1162"/>
      <c r="Y8" s="1163"/>
      <c r="Z8" s="1162"/>
      <c r="AA8" s="1163"/>
      <c r="AB8" s="1162"/>
      <c r="AC8" s="1163"/>
      <c r="AE8" s="1180" t="s">
        <v>0</v>
      </c>
      <c r="AF8" s="368"/>
      <c r="AG8" s="368"/>
      <c r="AH8" s="1177"/>
      <c r="AI8" s="1162"/>
      <c r="AJ8" s="1163"/>
      <c r="AK8" s="1162"/>
      <c r="AL8" s="1163"/>
      <c r="AM8" s="1162"/>
      <c r="AN8" s="1163"/>
      <c r="AO8" s="1162"/>
      <c r="AP8" s="1163"/>
      <c r="AQ8" s="1162"/>
      <c r="AR8" s="1163"/>
    </row>
    <row r="9" spans="1:44" ht="16" outlineLevel="1" thickBot="1">
      <c r="B9" s="1228"/>
      <c r="C9" s="1229"/>
      <c r="D9" s="1229"/>
      <c r="E9" s="1229"/>
      <c r="F9" s="1229"/>
      <c r="G9" s="369" t="s">
        <v>649</v>
      </c>
      <c r="H9" s="369" t="s">
        <v>650</v>
      </c>
      <c r="I9" s="369" t="s">
        <v>649</v>
      </c>
      <c r="J9" s="369" t="s">
        <v>650</v>
      </c>
      <c r="K9" s="1227"/>
      <c r="L9" s="1227"/>
      <c r="M9" s="370"/>
      <c r="N9" s="370"/>
      <c r="P9" s="1181"/>
      <c r="Q9" s="1183" t="s">
        <v>722</v>
      </c>
      <c r="R9" s="1184" t="s">
        <v>723</v>
      </c>
      <c r="S9" s="1178"/>
      <c r="T9" s="1162"/>
      <c r="U9" s="1163"/>
      <c r="V9" s="1162"/>
      <c r="W9" s="1163"/>
      <c r="X9" s="1162"/>
      <c r="Y9" s="1163"/>
      <c r="Z9" s="1162"/>
      <c r="AA9" s="1163"/>
      <c r="AB9" s="1162"/>
      <c r="AC9" s="1163"/>
      <c r="AE9" s="1181"/>
      <c r="AF9" s="1197" t="s">
        <v>722</v>
      </c>
      <c r="AG9" s="1184" t="s">
        <v>723</v>
      </c>
      <c r="AH9" s="1178"/>
      <c r="AI9" s="1162"/>
      <c r="AJ9" s="1163"/>
      <c r="AK9" s="1162"/>
      <c r="AL9" s="1163"/>
      <c r="AM9" s="1162"/>
      <c r="AN9" s="1163"/>
      <c r="AO9" s="1162"/>
      <c r="AP9" s="1163"/>
      <c r="AQ9" s="1162"/>
      <c r="AR9" s="1163"/>
    </row>
    <row r="10" spans="1:44" ht="54.5" customHeight="1" outlineLevel="1" thickBot="1">
      <c r="B10" s="371" t="s">
        <v>651</v>
      </c>
      <c r="C10" s="372">
        <v>0.1</v>
      </c>
      <c r="D10" s="372">
        <v>0.1</v>
      </c>
      <c r="E10" s="372">
        <v>0.1</v>
      </c>
      <c r="F10" s="372">
        <v>0.1</v>
      </c>
      <c r="G10" s="372">
        <v>0.01</v>
      </c>
      <c r="H10" s="372">
        <v>0.2</v>
      </c>
      <c r="I10" s="372">
        <v>0.01</v>
      </c>
      <c r="J10" s="372">
        <v>0.2</v>
      </c>
      <c r="K10" s="372" t="s">
        <v>6</v>
      </c>
      <c r="L10" s="373">
        <v>1</v>
      </c>
      <c r="M10" s="370"/>
      <c r="N10" s="370"/>
      <c r="O10" s="74"/>
      <c r="P10" s="1182"/>
      <c r="Q10" s="1179"/>
      <c r="R10" s="1185"/>
      <c r="S10" s="1179"/>
      <c r="T10" s="374" t="s">
        <v>726</v>
      </c>
      <c r="U10" s="375" t="s">
        <v>727</v>
      </c>
      <c r="V10" s="374" t="s">
        <v>726</v>
      </c>
      <c r="W10" s="375" t="s">
        <v>727</v>
      </c>
      <c r="X10" s="374" t="s">
        <v>726</v>
      </c>
      <c r="Y10" s="375" t="s">
        <v>727</v>
      </c>
      <c r="Z10" s="374" t="s">
        <v>726</v>
      </c>
      <c r="AA10" s="375" t="s">
        <v>727</v>
      </c>
      <c r="AB10" s="374" t="s">
        <v>726</v>
      </c>
      <c r="AC10" s="375" t="s">
        <v>727</v>
      </c>
      <c r="AE10" s="1182"/>
      <c r="AF10" s="1198"/>
      <c r="AG10" s="1185"/>
      <c r="AH10" s="1179"/>
      <c r="AI10" s="374" t="s">
        <v>726</v>
      </c>
      <c r="AJ10" s="375" t="s">
        <v>727</v>
      </c>
      <c r="AK10" s="374" t="s">
        <v>726</v>
      </c>
      <c r="AL10" s="375" t="s">
        <v>727</v>
      </c>
      <c r="AM10" s="374" t="s">
        <v>726</v>
      </c>
      <c r="AN10" s="375" t="s">
        <v>727</v>
      </c>
      <c r="AO10" s="374" t="s">
        <v>726</v>
      </c>
      <c r="AP10" s="375" t="s">
        <v>727</v>
      </c>
      <c r="AQ10" s="374" t="s">
        <v>726</v>
      </c>
      <c r="AR10" s="375" t="s">
        <v>727</v>
      </c>
    </row>
    <row r="11" spans="1:44" ht="24.5" customHeight="1" outlineLevel="1">
      <c r="B11" s="376" t="s">
        <v>728</v>
      </c>
      <c r="C11" s="377">
        <v>96</v>
      </c>
      <c r="D11" s="377">
        <v>96</v>
      </c>
      <c r="E11" s="378">
        <v>96</v>
      </c>
      <c r="F11" s="377">
        <v>96</v>
      </c>
      <c r="G11" s="377">
        <v>90</v>
      </c>
      <c r="H11" s="377">
        <v>100</v>
      </c>
      <c r="I11" s="377">
        <v>90</v>
      </c>
      <c r="J11" s="377">
        <v>100</v>
      </c>
      <c r="K11" s="379" t="s">
        <v>838</v>
      </c>
      <c r="L11" s="380">
        <v>2</v>
      </c>
      <c r="M11" s="370"/>
      <c r="N11" s="370"/>
      <c r="P11" s="1199" t="str">
        <f>C7</f>
        <v>Infrared heating</v>
      </c>
      <c r="Q11" s="1154" t="s">
        <v>730</v>
      </c>
      <c r="R11" s="381" t="s">
        <v>731</v>
      </c>
      <c r="S11" s="382"/>
      <c r="T11" s="1137">
        <v>0</v>
      </c>
      <c r="U11" s="1151">
        <v>0</v>
      </c>
      <c r="V11" s="1157">
        <v>0</v>
      </c>
      <c r="W11" s="1151">
        <v>0</v>
      </c>
      <c r="X11" s="1157">
        <v>0</v>
      </c>
      <c r="Y11" s="1151">
        <v>0</v>
      </c>
      <c r="Z11" s="1157">
        <v>0</v>
      </c>
      <c r="AA11" s="1151">
        <v>0</v>
      </c>
      <c r="AB11" s="1157">
        <v>0</v>
      </c>
      <c r="AC11" s="1151">
        <v>0</v>
      </c>
      <c r="AE11" s="1148" t="str">
        <f>P11</f>
        <v>Infrared heating</v>
      </c>
      <c r="AF11" s="1154" t="s">
        <v>730</v>
      </c>
      <c r="AG11" s="381" t="s">
        <v>731</v>
      </c>
      <c r="AH11" s="382"/>
      <c r="AI11" s="1137">
        <v>0</v>
      </c>
      <c r="AJ11" s="1151">
        <v>0</v>
      </c>
      <c r="AK11" s="1157">
        <v>0</v>
      </c>
      <c r="AL11" s="1151">
        <v>0</v>
      </c>
      <c r="AM11" s="1157">
        <v>0</v>
      </c>
      <c r="AN11" s="1151">
        <v>0</v>
      </c>
      <c r="AO11" s="1157">
        <v>0</v>
      </c>
      <c r="AP11" s="1151">
        <v>0</v>
      </c>
      <c r="AQ11" s="1157">
        <v>0</v>
      </c>
      <c r="AR11" s="1151">
        <v>0</v>
      </c>
    </row>
    <row r="12" spans="1:44" ht="32.5" customHeight="1" outlineLevel="1">
      <c r="B12" s="383" t="s">
        <v>732</v>
      </c>
      <c r="C12" s="384">
        <v>96</v>
      </c>
      <c r="D12" s="384">
        <v>96</v>
      </c>
      <c r="E12" s="384">
        <v>96</v>
      </c>
      <c r="F12" s="384">
        <v>96</v>
      </c>
      <c r="G12" s="385">
        <v>90</v>
      </c>
      <c r="H12" s="385">
        <v>100</v>
      </c>
      <c r="I12" s="385">
        <v>90</v>
      </c>
      <c r="J12" s="385">
        <v>100</v>
      </c>
      <c r="K12" s="386"/>
      <c r="L12" s="387"/>
      <c r="M12" s="370"/>
      <c r="N12" s="370"/>
      <c r="O12" s="71"/>
      <c r="P12" s="1195"/>
      <c r="Q12" s="1155"/>
      <c r="R12" s="388" t="s">
        <v>733</v>
      </c>
      <c r="S12" s="389"/>
      <c r="T12" s="1140"/>
      <c r="U12" s="1152"/>
      <c r="V12" s="1158"/>
      <c r="W12" s="1152"/>
      <c r="X12" s="1158"/>
      <c r="Y12" s="1152"/>
      <c r="Z12" s="1158"/>
      <c r="AA12" s="1152"/>
      <c r="AB12" s="1158"/>
      <c r="AC12" s="1152"/>
      <c r="AE12" s="1195"/>
      <c r="AF12" s="1155"/>
      <c r="AG12" s="388" t="s">
        <v>733</v>
      </c>
      <c r="AH12" s="389"/>
      <c r="AI12" s="1140"/>
      <c r="AJ12" s="1152"/>
      <c r="AK12" s="1158"/>
      <c r="AL12" s="1152"/>
      <c r="AM12" s="1158"/>
      <c r="AN12" s="1152"/>
      <c r="AO12" s="1158"/>
      <c r="AP12" s="1152"/>
      <c r="AQ12" s="1158"/>
      <c r="AR12" s="1152"/>
    </row>
    <row r="13" spans="1:44" ht="16" outlineLevel="1" thickBot="1">
      <c r="B13" s="376" t="s">
        <v>734</v>
      </c>
      <c r="C13" s="390">
        <v>0.1</v>
      </c>
      <c r="D13" s="391">
        <v>0.1</v>
      </c>
      <c r="E13" s="391">
        <v>0.1</v>
      </c>
      <c r="F13" s="392">
        <v>0.1</v>
      </c>
      <c r="G13" s="391">
        <v>0</v>
      </c>
      <c r="H13" s="391">
        <v>0.2</v>
      </c>
      <c r="I13" s="391">
        <v>0</v>
      </c>
      <c r="J13" s="391">
        <v>0.2</v>
      </c>
      <c r="K13" s="379"/>
      <c r="L13" s="380">
        <v>3</v>
      </c>
      <c r="M13" s="370"/>
      <c r="N13" s="370"/>
      <c r="O13" s="71"/>
      <c r="P13" s="1195"/>
      <c r="Q13" s="1156"/>
      <c r="R13" s="393" t="s">
        <v>735</v>
      </c>
      <c r="S13" s="394"/>
      <c r="T13" s="1141"/>
      <c r="U13" s="1153"/>
      <c r="V13" s="1159"/>
      <c r="W13" s="1153"/>
      <c r="X13" s="1159"/>
      <c r="Y13" s="1153"/>
      <c r="Z13" s="1159"/>
      <c r="AA13" s="1153"/>
      <c r="AB13" s="1159"/>
      <c r="AC13" s="1153"/>
      <c r="AE13" s="1195"/>
      <c r="AF13" s="1156"/>
      <c r="AG13" s="393" t="s">
        <v>735</v>
      </c>
      <c r="AH13" s="394"/>
      <c r="AI13" s="1141"/>
      <c r="AJ13" s="1153"/>
      <c r="AK13" s="1159"/>
      <c r="AL13" s="1153"/>
      <c r="AM13" s="1159"/>
      <c r="AN13" s="1153"/>
      <c r="AO13" s="1159"/>
      <c r="AP13" s="1153"/>
      <c r="AQ13" s="1159"/>
      <c r="AR13" s="1153"/>
    </row>
    <row r="14" spans="1:44" ht="15" customHeight="1" outlineLevel="1">
      <c r="B14" s="376" t="s">
        <v>657</v>
      </c>
      <c r="C14" s="390">
        <v>0.1</v>
      </c>
      <c r="D14" s="390">
        <v>0.1</v>
      </c>
      <c r="E14" s="390">
        <v>0.1</v>
      </c>
      <c r="F14" s="390">
        <v>0.1</v>
      </c>
      <c r="G14" s="390">
        <v>0</v>
      </c>
      <c r="H14" s="390">
        <v>0.2</v>
      </c>
      <c r="I14" s="390">
        <v>0</v>
      </c>
      <c r="J14" s="390">
        <v>0.2</v>
      </c>
      <c r="K14" s="379"/>
      <c r="L14" s="380">
        <v>3</v>
      </c>
      <c r="M14" s="370"/>
      <c r="N14" s="370"/>
      <c r="O14" s="71"/>
      <c r="P14" s="1195"/>
      <c r="Q14" s="1154" t="s">
        <v>736</v>
      </c>
      <c r="R14" s="395" t="s">
        <v>737</v>
      </c>
      <c r="S14" s="396" t="s">
        <v>738</v>
      </c>
      <c r="T14" s="1137">
        <v>0.05</v>
      </c>
      <c r="U14" s="1137">
        <v>0.04</v>
      </c>
      <c r="V14" s="1137">
        <v>0.05</v>
      </c>
      <c r="W14" s="1137">
        <v>0.05</v>
      </c>
      <c r="X14" s="1137">
        <v>0.03</v>
      </c>
      <c r="Y14" s="1137">
        <v>0.02</v>
      </c>
      <c r="Z14" s="1137">
        <v>0.03</v>
      </c>
      <c r="AA14" s="1137">
        <v>0.01</v>
      </c>
      <c r="AB14" s="1137">
        <v>0</v>
      </c>
      <c r="AC14" s="1151">
        <v>0.05</v>
      </c>
      <c r="AE14" s="1195"/>
      <c r="AF14" s="1154" t="s">
        <v>736</v>
      </c>
      <c r="AG14" s="395" t="s">
        <v>737</v>
      </c>
      <c r="AH14" s="396" t="s">
        <v>738</v>
      </c>
      <c r="AI14" s="1137">
        <v>0.05</v>
      </c>
      <c r="AJ14" s="1137">
        <v>0.04</v>
      </c>
      <c r="AK14" s="1137">
        <v>0.05</v>
      </c>
      <c r="AL14" s="1137">
        <v>0.05</v>
      </c>
      <c r="AM14" s="1137">
        <v>0.03</v>
      </c>
      <c r="AN14" s="1137">
        <v>0.02</v>
      </c>
      <c r="AO14" s="1137">
        <v>0.03</v>
      </c>
      <c r="AP14" s="1137">
        <v>0.01</v>
      </c>
      <c r="AQ14" s="1137">
        <v>0</v>
      </c>
      <c r="AR14" s="1151">
        <v>0.05</v>
      </c>
    </row>
    <row r="15" spans="1:44" outlineLevel="1">
      <c r="B15" s="376" t="s">
        <v>658</v>
      </c>
      <c r="C15" s="390">
        <v>0</v>
      </c>
      <c r="D15" s="390">
        <v>0</v>
      </c>
      <c r="E15" s="390">
        <v>0</v>
      </c>
      <c r="F15" s="390">
        <v>0</v>
      </c>
      <c r="G15" s="390">
        <v>0</v>
      </c>
      <c r="H15" s="390">
        <v>0.1</v>
      </c>
      <c r="I15" s="390">
        <v>0</v>
      </c>
      <c r="J15" s="390">
        <v>0.1</v>
      </c>
      <c r="K15" s="379"/>
      <c r="L15" s="380">
        <v>3</v>
      </c>
      <c r="M15" s="367"/>
      <c r="N15" s="367"/>
      <c r="O15" s="71"/>
      <c r="P15" s="1195"/>
      <c r="Q15" s="1155"/>
      <c r="R15" s="395" t="s">
        <v>739</v>
      </c>
      <c r="S15" s="396" t="s">
        <v>738</v>
      </c>
      <c r="T15" s="1191"/>
      <c r="U15" s="1191"/>
      <c r="V15" s="1191"/>
      <c r="W15" s="1191"/>
      <c r="X15" s="1191"/>
      <c r="Y15" s="1191"/>
      <c r="Z15" s="1191"/>
      <c r="AA15" s="1191"/>
      <c r="AB15" s="1191"/>
      <c r="AC15" s="1193"/>
      <c r="AE15" s="1195"/>
      <c r="AF15" s="1155"/>
      <c r="AG15" s="395" t="s">
        <v>739</v>
      </c>
      <c r="AH15" s="396" t="s">
        <v>738</v>
      </c>
      <c r="AI15" s="1191"/>
      <c r="AJ15" s="1191"/>
      <c r="AK15" s="1191"/>
      <c r="AL15" s="1191"/>
      <c r="AM15" s="1191"/>
      <c r="AN15" s="1191"/>
      <c r="AO15" s="1191"/>
      <c r="AP15" s="1191"/>
      <c r="AQ15" s="1191"/>
      <c r="AR15" s="1193"/>
    </row>
    <row r="16" spans="1:44" outlineLevel="1">
      <c r="B16" s="383" t="s">
        <v>11</v>
      </c>
      <c r="C16" s="397">
        <v>30</v>
      </c>
      <c r="D16" s="397">
        <v>30</v>
      </c>
      <c r="E16" s="397">
        <v>30</v>
      </c>
      <c r="F16" s="397">
        <v>30</v>
      </c>
      <c r="G16" s="398">
        <v>20</v>
      </c>
      <c r="H16" s="398">
        <v>35</v>
      </c>
      <c r="I16" s="398">
        <v>20</v>
      </c>
      <c r="J16" s="398">
        <v>35</v>
      </c>
      <c r="K16" s="372"/>
      <c r="L16" s="373">
        <v>4</v>
      </c>
      <c r="M16" s="363"/>
      <c r="N16" s="363"/>
      <c r="P16" s="1195"/>
      <c r="Q16" s="1155"/>
      <c r="R16" s="395" t="s">
        <v>741</v>
      </c>
      <c r="S16" s="396"/>
      <c r="T16" s="1191"/>
      <c r="U16" s="1191"/>
      <c r="V16" s="1191"/>
      <c r="W16" s="1191"/>
      <c r="X16" s="1191"/>
      <c r="Y16" s="1191"/>
      <c r="Z16" s="1191"/>
      <c r="AA16" s="1191"/>
      <c r="AB16" s="1191"/>
      <c r="AC16" s="1193"/>
      <c r="AE16" s="1195"/>
      <c r="AF16" s="1155"/>
      <c r="AG16" s="395" t="s">
        <v>741</v>
      </c>
      <c r="AH16" s="629"/>
      <c r="AI16" s="1191"/>
      <c r="AJ16" s="1191"/>
      <c r="AK16" s="1191"/>
      <c r="AL16" s="1191"/>
      <c r="AM16" s="1191"/>
      <c r="AN16" s="1191"/>
      <c r="AO16" s="1191"/>
      <c r="AP16" s="1191"/>
      <c r="AQ16" s="1191"/>
      <c r="AR16" s="1193"/>
    </row>
    <row r="17" spans="1:44" ht="16" outlineLevel="1" thickBot="1">
      <c r="B17" s="376" t="s">
        <v>273</v>
      </c>
      <c r="C17" s="399">
        <v>0.1</v>
      </c>
      <c r="D17" s="399">
        <v>0.1</v>
      </c>
      <c r="E17" s="399">
        <v>0.1</v>
      </c>
      <c r="F17" s="399">
        <v>0.1</v>
      </c>
      <c r="G17" s="399">
        <v>0.05</v>
      </c>
      <c r="H17" s="399">
        <v>0.1</v>
      </c>
      <c r="I17" s="399">
        <v>0.05</v>
      </c>
      <c r="J17" s="399">
        <v>0.1</v>
      </c>
      <c r="K17" s="372"/>
      <c r="L17" s="400">
        <v>3</v>
      </c>
      <c r="M17" s="363"/>
      <c r="N17" s="363"/>
      <c r="P17" s="1195"/>
      <c r="Q17" s="1155"/>
      <c r="R17" s="395" t="s">
        <v>742</v>
      </c>
      <c r="S17" s="396"/>
      <c r="T17" s="1191"/>
      <c r="U17" s="1191"/>
      <c r="V17" s="1191"/>
      <c r="W17" s="1191"/>
      <c r="X17" s="1191"/>
      <c r="Y17" s="1191"/>
      <c r="Z17" s="1191"/>
      <c r="AA17" s="1191"/>
      <c r="AB17" s="1191"/>
      <c r="AC17" s="1193"/>
      <c r="AE17" s="1195"/>
      <c r="AF17" s="1155"/>
      <c r="AG17" s="395" t="s">
        <v>742</v>
      </c>
      <c r="AH17" s="396"/>
      <c r="AI17" s="1191"/>
      <c r="AJ17" s="1191"/>
      <c r="AK17" s="1191"/>
      <c r="AL17" s="1191"/>
      <c r="AM17" s="1191"/>
      <c r="AN17" s="1191"/>
      <c r="AO17" s="1191"/>
      <c r="AP17" s="1191"/>
      <c r="AQ17" s="1191"/>
      <c r="AR17" s="1193"/>
    </row>
    <row r="18" spans="1:44" ht="16" outlineLevel="1" thickBot="1">
      <c r="B18" s="401" t="s">
        <v>743</v>
      </c>
      <c r="C18" s="402"/>
      <c r="D18" s="403"/>
      <c r="E18" s="404"/>
      <c r="F18" s="405"/>
      <c r="G18" s="406"/>
      <c r="H18" s="406"/>
      <c r="I18" s="406"/>
      <c r="J18" s="406"/>
      <c r="K18" s="407"/>
      <c r="L18" s="408"/>
      <c r="M18" s="363"/>
      <c r="N18" s="363"/>
      <c r="P18" s="1195"/>
      <c r="Q18" s="1156"/>
      <c r="R18" s="409" t="s">
        <v>863</v>
      </c>
      <c r="S18" s="410"/>
      <c r="T18" s="1192"/>
      <c r="U18" s="1192"/>
      <c r="V18" s="1192"/>
      <c r="W18" s="1192"/>
      <c r="X18" s="1192"/>
      <c r="Y18" s="1192"/>
      <c r="Z18" s="1192"/>
      <c r="AA18" s="1192"/>
      <c r="AB18" s="1192"/>
      <c r="AC18" s="1194"/>
      <c r="AE18" s="1195"/>
      <c r="AF18" s="1156"/>
      <c r="AG18" s="409" t="s">
        <v>863</v>
      </c>
      <c r="AH18" s="410"/>
      <c r="AI18" s="1192"/>
      <c r="AJ18" s="1192"/>
      <c r="AK18" s="1192"/>
      <c r="AL18" s="1192"/>
      <c r="AM18" s="1192"/>
      <c r="AN18" s="1192"/>
      <c r="AO18" s="1192"/>
      <c r="AP18" s="1192"/>
      <c r="AQ18" s="1192"/>
      <c r="AR18" s="1194"/>
    </row>
    <row r="19" spans="1:44" ht="33" outlineLevel="1" thickBot="1">
      <c r="B19" s="376" t="s">
        <v>663</v>
      </c>
      <c r="C19" s="390">
        <v>10</v>
      </c>
      <c r="D19" s="390">
        <v>10</v>
      </c>
      <c r="E19" s="390">
        <v>10</v>
      </c>
      <c r="F19" s="390">
        <v>10</v>
      </c>
      <c r="G19" s="391"/>
      <c r="H19" s="391"/>
      <c r="I19" s="391"/>
      <c r="J19" s="391"/>
      <c r="K19" s="379" t="s">
        <v>20</v>
      </c>
      <c r="L19" s="380"/>
      <c r="M19" s="363"/>
      <c r="N19" s="363"/>
      <c r="P19" s="1196"/>
      <c r="Q19" s="411" t="s">
        <v>745</v>
      </c>
      <c r="R19" s="412" t="s">
        <v>746</v>
      </c>
      <c r="S19" s="630"/>
      <c r="T19" s="416">
        <v>0</v>
      </c>
      <c r="U19" s="415">
        <v>0</v>
      </c>
      <c r="V19" s="416">
        <v>0</v>
      </c>
      <c r="W19" s="415">
        <v>0</v>
      </c>
      <c r="X19" s="416">
        <v>0</v>
      </c>
      <c r="Y19" s="415">
        <v>0</v>
      </c>
      <c r="Z19" s="416">
        <v>0</v>
      </c>
      <c r="AA19" s="415">
        <v>0</v>
      </c>
      <c r="AB19" s="416">
        <v>0</v>
      </c>
      <c r="AC19" s="417">
        <v>0</v>
      </c>
      <c r="AE19" s="1196"/>
      <c r="AF19" s="411" t="s">
        <v>745</v>
      </c>
      <c r="AG19" s="631" t="s">
        <v>746</v>
      </c>
      <c r="AH19" s="632"/>
      <c r="AI19" s="416">
        <v>0</v>
      </c>
      <c r="AJ19" s="415">
        <v>0</v>
      </c>
      <c r="AK19" s="416">
        <v>0</v>
      </c>
      <c r="AL19" s="415">
        <v>0</v>
      </c>
      <c r="AM19" s="416">
        <v>0</v>
      </c>
      <c r="AN19" s="415">
        <v>0</v>
      </c>
      <c r="AO19" s="416">
        <v>0</v>
      </c>
      <c r="AP19" s="415">
        <v>0</v>
      </c>
      <c r="AQ19" s="416">
        <v>0</v>
      </c>
      <c r="AR19" s="417">
        <v>0</v>
      </c>
    </row>
    <row r="20" spans="1:44" outlineLevel="1">
      <c r="B20" s="376" t="s">
        <v>664</v>
      </c>
      <c r="C20" s="390">
        <v>0</v>
      </c>
      <c r="D20" s="390">
        <v>0</v>
      </c>
      <c r="E20" s="390">
        <v>0</v>
      </c>
      <c r="F20" s="390">
        <v>0</v>
      </c>
      <c r="G20" s="418"/>
      <c r="H20" s="418"/>
      <c r="I20" s="418"/>
      <c r="J20" s="418"/>
      <c r="K20" s="419"/>
      <c r="L20" s="380">
        <v>2</v>
      </c>
      <c r="M20" s="363"/>
      <c r="N20" s="363"/>
    </row>
    <row r="21" spans="1:44" outlineLevel="1">
      <c r="B21" s="376" t="s">
        <v>666</v>
      </c>
      <c r="C21" s="390">
        <v>0</v>
      </c>
      <c r="D21" s="390">
        <v>0</v>
      </c>
      <c r="E21" s="390">
        <v>0</v>
      </c>
      <c r="F21" s="390">
        <v>0</v>
      </c>
      <c r="G21" s="418"/>
      <c r="H21" s="418"/>
      <c r="I21" s="418"/>
      <c r="J21" s="418"/>
      <c r="K21" s="419"/>
      <c r="L21" s="380">
        <v>2</v>
      </c>
      <c r="M21" s="420"/>
      <c r="N21" s="363"/>
    </row>
    <row r="22" spans="1:44" outlineLevel="1">
      <c r="B22" s="421" t="s">
        <v>12</v>
      </c>
      <c r="C22" s="399"/>
      <c r="D22" s="399"/>
      <c r="E22" s="399"/>
      <c r="F22" s="399"/>
      <c r="G22" s="422"/>
      <c r="H22" s="422"/>
      <c r="I22" s="422"/>
      <c r="J22" s="422"/>
      <c r="K22" s="423"/>
      <c r="L22" s="424"/>
      <c r="M22" s="420"/>
      <c r="N22" s="420"/>
    </row>
    <row r="23" spans="1:44" ht="38.25" customHeight="1" outlineLevel="1">
      <c r="B23" s="383" t="s">
        <v>843</v>
      </c>
      <c r="C23" s="1231" t="s">
        <v>669</v>
      </c>
      <c r="D23" s="1232"/>
      <c r="E23" s="1232"/>
      <c r="F23" s="1233"/>
      <c r="G23" s="422"/>
      <c r="H23" s="425"/>
      <c r="I23" s="425"/>
      <c r="J23" s="425"/>
      <c r="K23" s="426"/>
      <c r="L23" s="427"/>
      <c r="M23" s="428"/>
      <c r="N23" s="428"/>
    </row>
    <row r="24" spans="1:44" outlineLevel="1">
      <c r="B24" s="383" t="s">
        <v>749</v>
      </c>
      <c r="C24" s="1234"/>
      <c r="D24" s="1235"/>
      <c r="E24" s="1235"/>
      <c r="F24" s="1236"/>
      <c r="G24" s="425"/>
      <c r="H24" s="425"/>
      <c r="I24" s="425"/>
      <c r="J24" s="425"/>
      <c r="K24" s="423"/>
      <c r="L24" s="427"/>
      <c r="M24" s="428"/>
      <c r="N24" s="428"/>
    </row>
    <row r="25" spans="1:44" outlineLevel="1">
      <c r="B25" s="383" t="s">
        <v>844</v>
      </c>
      <c r="C25" s="1234"/>
      <c r="D25" s="1235"/>
      <c r="E25" s="1235"/>
      <c r="F25" s="1236"/>
      <c r="G25" s="425"/>
      <c r="H25" s="425"/>
      <c r="I25" s="425"/>
      <c r="J25" s="425"/>
      <c r="K25" s="423"/>
      <c r="L25" s="427"/>
      <c r="M25" s="428"/>
      <c r="N25" s="428"/>
    </row>
    <row r="26" spans="1:44" outlineLevel="1">
      <c r="B26" s="383" t="s">
        <v>366</v>
      </c>
      <c r="C26" s="1234"/>
      <c r="D26" s="1235"/>
      <c r="E26" s="1235"/>
      <c r="F26" s="1236"/>
      <c r="G26" s="425"/>
      <c r="H26" s="425"/>
      <c r="I26" s="425"/>
      <c r="J26" s="425"/>
      <c r="K26" s="423"/>
      <c r="L26" s="427"/>
      <c r="M26" s="428"/>
      <c r="N26" s="428"/>
    </row>
    <row r="27" spans="1:44" ht="16" outlineLevel="1" thickBot="1">
      <c r="B27" s="429" t="s">
        <v>367</v>
      </c>
      <c r="C27" s="1237"/>
      <c r="D27" s="1238"/>
      <c r="E27" s="1238"/>
      <c r="F27" s="1239"/>
      <c r="G27" s="425"/>
      <c r="H27" s="425"/>
      <c r="I27" s="425"/>
      <c r="J27" s="425"/>
      <c r="K27" s="423"/>
      <c r="L27" s="427"/>
      <c r="M27" s="428"/>
      <c r="N27" s="428"/>
    </row>
    <row r="28" spans="1:44" ht="16" outlineLevel="1" thickBot="1">
      <c r="B28" s="431" t="s">
        <v>674</v>
      </c>
      <c r="C28" s="432"/>
      <c r="D28" s="403"/>
      <c r="E28" s="403"/>
      <c r="F28" s="433"/>
      <c r="G28" s="434"/>
      <c r="H28" s="406"/>
      <c r="I28" s="406"/>
      <c r="J28" s="406"/>
      <c r="K28" s="407"/>
      <c r="L28" s="408"/>
      <c r="M28" s="428"/>
      <c r="N28" s="428"/>
    </row>
    <row r="29" spans="1:44" ht="52" customHeight="1" outlineLevel="1">
      <c r="A29" s="435"/>
      <c r="B29" s="436" t="s">
        <v>751</v>
      </c>
      <c r="C29" s="551">
        <v>0.35</v>
      </c>
      <c r="D29" s="647">
        <v>0.34</v>
      </c>
      <c r="E29" s="647">
        <v>0.33</v>
      </c>
      <c r="F29" s="648">
        <v>0.315</v>
      </c>
      <c r="G29" s="425"/>
      <c r="H29" s="425"/>
      <c r="I29" s="425"/>
      <c r="J29" s="425"/>
      <c r="K29" s="426" t="s">
        <v>76</v>
      </c>
      <c r="L29" s="440">
        <v>1</v>
      </c>
      <c r="M29" s="420"/>
      <c r="N29" s="420"/>
    </row>
    <row r="30" spans="1:44" outlineLevel="1">
      <c r="B30" s="441" t="s">
        <v>839</v>
      </c>
      <c r="C30" s="442">
        <v>85</v>
      </c>
      <c r="D30" s="442">
        <v>85</v>
      </c>
      <c r="E30" s="442">
        <v>85</v>
      </c>
      <c r="F30" s="442">
        <v>85</v>
      </c>
      <c r="G30" s="425"/>
      <c r="H30" s="425"/>
      <c r="I30" s="425"/>
      <c r="J30" s="425"/>
      <c r="K30" s="444" t="s">
        <v>76</v>
      </c>
      <c r="L30" s="373">
        <v>2</v>
      </c>
      <c r="M30" s="71"/>
      <c r="N30" s="420"/>
    </row>
    <row r="31" spans="1:44" outlineLevel="1">
      <c r="B31" s="441" t="s">
        <v>840</v>
      </c>
      <c r="C31" s="442">
        <v>15</v>
      </c>
      <c r="D31" s="442">
        <v>15</v>
      </c>
      <c r="E31" s="442">
        <v>15</v>
      </c>
      <c r="F31" s="442">
        <v>15</v>
      </c>
      <c r="G31" s="425"/>
      <c r="H31" s="425"/>
      <c r="I31" s="425"/>
      <c r="J31" s="425"/>
      <c r="K31" s="444" t="s">
        <v>76</v>
      </c>
      <c r="L31" s="373">
        <v>2</v>
      </c>
      <c r="M31" s="420"/>
      <c r="N31" s="420"/>
    </row>
    <row r="32" spans="1:44" outlineLevel="1">
      <c r="B32" s="383" t="s">
        <v>841</v>
      </c>
      <c r="C32" s="602">
        <v>0</v>
      </c>
      <c r="D32" s="603">
        <v>0</v>
      </c>
      <c r="E32" s="603">
        <v>0</v>
      </c>
      <c r="F32" s="604">
        <v>0</v>
      </c>
      <c r="G32" s="425"/>
      <c r="H32" s="425"/>
      <c r="I32" s="425"/>
      <c r="J32" s="425"/>
      <c r="K32" s="448"/>
      <c r="L32" s="373"/>
      <c r="M32" s="420"/>
      <c r="N32" s="420"/>
    </row>
    <row r="33" spans="2:30" ht="37" customHeight="1" outlineLevel="1" thickBot="1">
      <c r="B33" s="383" t="s">
        <v>679</v>
      </c>
      <c r="C33" s="449">
        <f>C34+C35</f>
        <v>117.07299999999999</v>
      </c>
      <c r="D33" s="449">
        <f t="shared" ref="D33:F33" si="0">D34+D35</f>
        <v>117.075</v>
      </c>
      <c r="E33" s="449">
        <f t="shared" si="0"/>
        <v>117.07599999999999</v>
      </c>
      <c r="F33" s="449">
        <f t="shared" si="0"/>
        <v>117.07599999999999</v>
      </c>
      <c r="G33" s="425"/>
      <c r="H33" s="425"/>
      <c r="I33" s="425"/>
      <c r="J33" s="425"/>
      <c r="K33" s="448"/>
      <c r="L33" s="373"/>
      <c r="M33" s="450"/>
      <c r="N33" s="361"/>
      <c r="P33" s="1142">
        <f>C33</f>
        <v>117.07299999999999</v>
      </c>
      <c r="Q33" s="1143"/>
      <c r="R33" s="1143"/>
      <c r="S33" s="1143"/>
      <c r="T33" s="1143"/>
      <c r="U33" s="1144"/>
    </row>
    <row r="34" spans="2:30" ht="15.75" customHeight="1" outlineLevel="1" thickBot="1">
      <c r="B34" s="451" t="s">
        <v>758</v>
      </c>
      <c r="C34" s="452">
        <f>C13/100*73</f>
        <v>7.2999999999999995E-2</v>
      </c>
      <c r="D34" s="452">
        <f>D13/100*75</f>
        <v>7.4999999999999997E-2</v>
      </c>
      <c r="E34" s="452">
        <f>E13/100*76</f>
        <v>7.5999999999999998E-2</v>
      </c>
      <c r="F34" s="452">
        <f>F13/100*76</f>
        <v>7.5999999999999998E-2</v>
      </c>
      <c r="G34" s="453"/>
      <c r="H34" s="453"/>
      <c r="I34" s="453"/>
      <c r="J34" s="453"/>
      <c r="K34" s="379" t="s">
        <v>25</v>
      </c>
      <c r="L34" s="380"/>
      <c r="M34" s="450"/>
      <c r="N34" s="361"/>
      <c r="P34" s="1134">
        <f>C34</f>
        <v>7.2999999999999995E-2</v>
      </c>
      <c r="Q34" s="1135"/>
      <c r="R34" s="1135"/>
      <c r="S34" s="1135"/>
      <c r="T34" s="1135"/>
      <c r="U34" s="1136"/>
    </row>
    <row r="35" spans="2:30" outlineLevel="1">
      <c r="B35" s="451" t="s">
        <v>759</v>
      </c>
      <c r="C35" s="454">
        <v>117</v>
      </c>
      <c r="D35" s="454">
        <v>117</v>
      </c>
      <c r="E35" s="454">
        <v>117</v>
      </c>
      <c r="F35" s="454">
        <v>117</v>
      </c>
      <c r="G35" s="453"/>
      <c r="H35" s="453"/>
      <c r="I35" s="453"/>
      <c r="J35" s="453"/>
      <c r="K35" s="455" t="s">
        <v>33</v>
      </c>
      <c r="L35" s="380">
        <v>1</v>
      </c>
      <c r="M35" s="363"/>
      <c r="N35" s="363"/>
      <c r="P35" s="53" t="s">
        <v>357</v>
      </c>
    </row>
    <row r="36" spans="2:30" ht="30" outlineLevel="1">
      <c r="B36" s="441"/>
      <c r="C36" s="642"/>
      <c r="D36" s="642"/>
      <c r="E36" s="642"/>
      <c r="F36" s="642"/>
      <c r="G36" s="425"/>
      <c r="H36" s="425"/>
      <c r="I36" s="425"/>
      <c r="J36" s="425"/>
      <c r="K36" s="444"/>
      <c r="L36" s="424"/>
      <c r="M36" s="367"/>
      <c r="N36" s="367"/>
      <c r="P36" s="46" t="s">
        <v>335</v>
      </c>
      <c r="Q36" s="46" t="s">
        <v>336</v>
      </c>
      <c r="R36" s="47" t="s">
        <v>337</v>
      </c>
      <c r="S36" s="47" t="s">
        <v>338</v>
      </c>
      <c r="T36" s="47" t="s">
        <v>339</v>
      </c>
      <c r="U36" s="48" t="s">
        <v>340</v>
      </c>
      <c r="V36" s="49" t="s">
        <v>341</v>
      </c>
      <c r="W36" s="49" t="s">
        <v>342</v>
      </c>
      <c r="X36" s="49" t="s">
        <v>343</v>
      </c>
      <c r="Y36" s="49" t="s">
        <v>344</v>
      </c>
      <c r="Z36" s="49" t="s">
        <v>345</v>
      </c>
      <c r="AA36" s="49" t="s">
        <v>346</v>
      </c>
      <c r="AB36" s="49" t="s">
        <v>347</v>
      </c>
      <c r="AC36" s="49" t="s">
        <v>348</v>
      </c>
      <c r="AD36" s="49" t="s">
        <v>349</v>
      </c>
    </row>
    <row r="37" spans="2:30" ht="35" customHeight="1" outlineLevel="1" thickBot="1">
      <c r="B37" s="441"/>
      <c r="C37" s="442"/>
      <c r="D37" s="457"/>
      <c r="E37" s="457"/>
      <c r="F37" s="458"/>
      <c r="G37" s="425"/>
      <c r="H37" s="425"/>
      <c r="I37" s="425"/>
      <c r="J37" s="425"/>
      <c r="K37" s="448"/>
      <c r="L37" s="424"/>
      <c r="M37" s="363"/>
      <c r="N37" s="363"/>
      <c r="P37" s="50"/>
      <c r="Q37" s="50"/>
      <c r="R37" s="51"/>
      <c r="S37" s="51"/>
      <c r="T37" s="51"/>
      <c r="U37" s="51" t="s">
        <v>760</v>
      </c>
      <c r="V37" s="50" t="s">
        <v>761</v>
      </c>
      <c r="W37" s="50"/>
      <c r="X37" s="50"/>
      <c r="Y37" s="50"/>
      <c r="Z37" s="50"/>
      <c r="AA37" s="50"/>
      <c r="AB37" s="50"/>
      <c r="AC37" s="50"/>
      <c r="AD37" s="50"/>
    </row>
    <row r="38" spans="2:30" ht="73" customHeight="1" outlineLevel="1" thickBot="1">
      <c r="B38" s="401" t="s">
        <v>682</v>
      </c>
      <c r="C38" s="402"/>
      <c r="D38" s="403"/>
      <c r="E38" s="404"/>
      <c r="F38" s="405"/>
      <c r="G38" s="406"/>
      <c r="H38" s="406"/>
      <c r="I38" s="406"/>
      <c r="J38" s="406"/>
      <c r="K38" s="459"/>
      <c r="L38" s="460"/>
      <c r="M38" s="363"/>
      <c r="N38" s="363"/>
      <c r="O38" s="461" t="s">
        <v>732</v>
      </c>
      <c r="P38" s="56"/>
      <c r="Q38" s="56"/>
      <c r="R38" s="57"/>
      <c r="S38" s="57"/>
      <c r="T38" s="57"/>
      <c r="U38" s="56" t="s">
        <v>350</v>
      </c>
      <c r="V38" s="56" t="s">
        <v>326</v>
      </c>
      <c r="W38" s="56" t="s">
        <v>327</v>
      </c>
      <c r="X38" s="56" t="s">
        <v>351</v>
      </c>
      <c r="Y38" s="56" t="s">
        <v>351</v>
      </c>
      <c r="Z38" s="56" t="s">
        <v>352</v>
      </c>
      <c r="AA38" s="56" t="s">
        <v>352</v>
      </c>
      <c r="AB38" s="56" t="s">
        <v>352</v>
      </c>
      <c r="AC38" s="56" t="s">
        <v>352</v>
      </c>
      <c r="AD38" s="56" t="s">
        <v>352</v>
      </c>
    </row>
    <row r="39" spans="2:30" outlineLevel="1">
      <c r="B39" s="451" t="s">
        <v>762</v>
      </c>
      <c r="C39" s="633" t="s">
        <v>36</v>
      </c>
      <c r="D39" s="633" t="s">
        <v>36</v>
      </c>
      <c r="E39" s="633" t="s">
        <v>36</v>
      </c>
      <c r="F39" s="633" t="s">
        <v>36</v>
      </c>
      <c r="G39" s="463"/>
      <c r="H39" s="463"/>
      <c r="I39" s="463"/>
      <c r="J39" s="463"/>
      <c r="K39" s="463" t="s">
        <v>51</v>
      </c>
      <c r="L39" s="464"/>
      <c r="M39" s="363"/>
      <c r="N39" s="363"/>
      <c r="O39" s="465">
        <f>C12</f>
        <v>96</v>
      </c>
      <c r="P39" s="466">
        <f>C8</f>
        <v>2020</v>
      </c>
      <c r="Q39" s="58">
        <f>P39</f>
        <v>2020</v>
      </c>
      <c r="R39" s="466">
        <f>O39/100</f>
        <v>0.96</v>
      </c>
      <c r="S39" s="58"/>
      <c r="T39" s="466">
        <f>C16</f>
        <v>30</v>
      </c>
      <c r="U39" s="467">
        <f>C46</f>
        <v>2607.5</v>
      </c>
      <c r="V39" s="467">
        <f>C48</f>
        <v>0</v>
      </c>
      <c r="W39" s="467">
        <f>C49</f>
        <v>242.27606944444443</v>
      </c>
      <c r="X39" s="58"/>
      <c r="Y39" s="58"/>
      <c r="Z39" s="466" t="str">
        <f>C23</f>
        <v>Cf. the utilized electricity</v>
      </c>
      <c r="AA39" s="468">
        <f>C25</f>
        <v>0</v>
      </c>
      <c r="AB39" s="468">
        <f>C26</f>
        <v>0</v>
      </c>
      <c r="AC39" s="468">
        <f>C27</f>
        <v>0</v>
      </c>
      <c r="AD39" s="468">
        <f>C24</f>
        <v>0</v>
      </c>
    </row>
    <row r="40" spans="2:30" ht="14.5" customHeight="1" outlineLevel="1">
      <c r="B40" s="376" t="s">
        <v>763</v>
      </c>
      <c r="C40" s="469" t="s">
        <v>36</v>
      </c>
      <c r="D40" s="470" t="s">
        <v>36</v>
      </c>
      <c r="E40" s="470" t="s">
        <v>36</v>
      </c>
      <c r="F40" s="471" t="s">
        <v>36</v>
      </c>
      <c r="G40" s="471"/>
      <c r="H40" s="471"/>
      <c r="I40" s="471"/>
      <c r="J40" s="471"/>
      <c r="K40" s="472" t="s">
        <v>951</v>
      </c>
      <c r="L40" s="464"/>
      <c r="M40" s="363"/>
      <c r="N40" s="363"/>
      <c r="O40" s="465">
        <f>D12</f>
        <v>96</v>
      </c>
      <c r="P40" s="466">
        <f>D8</f>
        <v>2030</v>
      </c>
      <c r="Q40" s="58"/>
      <c r="R40" s="466">
        <f>O40/100</f>
        <v>0.96</v>
      </c>
      <c r="S40" s="58"/>
      <c r="T40" s="466">
        <f>D16</f>
        <v>30</v>
      </c>
      <c r="U40" s="467">
        <f>D46</f>
        <v>2533.0000000000005</v>
      </c>
      <c r="V40" s="467">
        <f>D48</f>
        <v>0</v>
      </c>
      <c r="W40" s="467">
        <f>D49</f>
        <v>242.28020833333332</v>
      </c>
      <c r="X40" s="58"/>
      <c r="Y40" s="58"/>
      <c r="Z40" s="466">
        <f>D23</f>
        <v>0</v>
      </c>
      <c r="AA40" s="468">
        <f>D25</f>
        <v>0</v>
      </c>
      <c r="AB40" s="468">
        <f>D26</f>
        <v>0</v>
      </c>
      <c r="AC40" s="468">
        <f>D27</f>
        <v>0</v>
      </c>
      <c r="AD40" s="468">
        <f>D24</f>
        <v>0</v>
      </c>
    </row>
    <row r="41" spans="2:30" outlineLevel="1">
      <c r="B41" s="376" t="s">
        <v>764</v>
      </c>
      <c r="C41" s="469" t="s">
        <v>36</v>
      </c>
      <c r="D41" s="470" t="s">
        <v>36</v>
      </c>
      <c r="E41" s="470" t="s">
        <v>36</v>
      </c>
      <c r="F41" s="471" t="s">
        <v>36</v>
      </c>
      <c r="G41" s="453"/>
      <c r="H41" s="453"/>
      <c r="I41" s="453"/>
      <c r="J41" s="453"/>
      <c r="K41" s="453"/>
      <c r="L41" s="380"/>
      <c r="M41" s="363"/>
      <c r="N41" s="363"/>
      <c r="O41" s="465">
        <f>E12</f>
        <v>96</v>
      </c>
      <c r="P41" s="466">
        <f>E8</f>
        <v>2040</v>
      </c>
      <c r="Q41" s="58"/>
      <c r="R41" s="466">
        <f>O41/100</f>
        <v>0.96</v>
      </c>
      <c r="S41" s="58"/>
      <c r="T41" s="466">
        <f>E16</f>
        <v>30</v>
      </c>
      <c r="U41" s="467">
        <f>E46</f>
        <v>2458.5000000000005</v>
      </c>
      <c r="V41" s="467">
        <f>E48</f>
        <v>0</v>
      </c>
      <c r="W41" s="467">
        <f>E49</f>
        <v>242.28227777777775</v>
      </c>
      <c r="X41" s="58"/>
      <c r="Y41" s="58"/>
      <c r="Z41" s="466">
        <f>E23</f>
        <v>0</v>
      </c>
      <c r="AA41" s="468">
        <f>E25</f>
        <v>0</v>
      </c>
      <c r="AB41" s="468">
        <f>E26</f>
        <v>0</v>
      </c>
      <c r="AC41" s="468">
        <f>E27</f>
        <v>0</v>
      </c>
      <c r="AD41" s="468">
        <f>E24</f>
        <v>0</v>
      </c>
    </row>
    <row r="42" spans="2:30" ht="14.5" customHeight="1" outlineLevel="1">
      <c r="B42" s="376" t="s">
        <v>765</v>
      </c>
      <c r="C42" s="1240" t="s">
        <v>669</v>
      </c>
      <c r="D42" s="1241"/>
      <c r="E42" s="1241"/>
      <c r="F42" s="1242"/>
      <c r="G42" s="474"/>
      <c r="H42" s="474"/>
      <c r="I42" s="474"/>
      <c r="J42" s="474"/>
      <c r="K42" s="474"/>
      <c r="L42" s="380"/>
      <c r="M42" s="363"/>
      <c r="N42" s="363"/>
      <c r="O42" s="465">
        <f>F12</f>
        <v>96</v>
      </c>
      <c r="P42" s="466">
        <f>F8</f>
        <v>2050</v>
      </c>
      <c r="Q42" s="58"/>
      <c r="R42" s="466">
        <f>O42/100</f>
        <v>0.96</v>
      </c>
      <c r="S42" s="58"/>
      <c r="T42" s="466">
        <f>F16</f>
        <v>30</v>
      </c>
      <c r="U42" s="467">
        <f>F46</f>
        <v>2346.75</v>
      </c>
      <c r="V42" s="467">
        <f>F48</f>
        <v>0</v>
      </c>
      <c r="W42" s="467">
        <f>F49</f>
        <v>242.28227777777775</v>
      </c>
      <c r="X42" s="58"/>
      <c r="Y42" s="58"/>
      <c r="Z42" s="466">
        <f>F23</f>
        <v>0</v>
      </c>
      <c r="AA42" s="468">
        <f>F25</f>
        <v>0</v>
      </c>
      <c r="AB42" s="468">
        <f>F26</f>
        <v>0</v>
      </c>
      <c r="AC42" s="468">
        <f>F27</f>
        <v>0</v>
      </c>
      <c r="AD42" s="468">
        <f>F24</f>
        <v>0</v>
      </c>
    </row>
    <row r="43" spans="2:30" outlineLevel="1">
      <c r="B43" s="475" t="s">
        <v>766</v>
      </c>
      <c r="C43" s="469" t="s">
        <v>36</v>
      </c>
      <c r="D43" s="470" t="s">
        <v>36</v>
      </c>
      <c r="E43" s="470" t="s">
        <v>36</v>
      </c>
      <c r="F43" s="471" t="s">
        <v>36</v>
      </c>
      <c r="G43" s="474"/>
      <c r="H43" s="474"/>
      <c r="I43" s="474"/>
      <c r="J43" s="474"/>
      <c r="K43" s="474"/>
      <c r="L43" s="476"/>
      <c r="M43" s="367"/>
      <c r="N43" s="367"/>
    </row>
    <row r="44" spans="2:30" outlineLevel="1">
      <c r="B44" s="475" t="s">
        <v>767</v>
      </c>
      <c r="C44" s="469" t="s">
        <v>36</v>
      </c>
      <c r="D44" s="470" t="s">
        <v>36</v>
      </c>
      <c r="E44" s="470" t="s">
        <v>36</v>
      </c>
      <c r="F44" s="471" t="s">
        <v>36</v>
      </c>
      <c r="G44" s="474"/>
      <c r="H44" s="474"/>
      <c r="I44" s="474"/>
      <c r="J44" s="474"/>
      <c r="K44" s="474"/>
      <c r="L44" s="476"/>
      <c r="M44" s="363"/>
      <c r="N44" s="363"/>
    </row>
    <row r="45" spans="2:30" ht="16" outlineLevel="1" thickBot="1">
      <c r="B45" s="477" t="s">
        <v>768</v>
      </c>
      <c r="C45" s="478" t="s">
        <v>36</v>
      </c>
      <c r="D45" s="479" t="s">
        <v>36</v>
      </c>
      <c r="E45" s="479" t="s">
        <v>36</v>
      </c>
      <c r="F45" s="480" t="s">
        <v>36</v>
      </c>
      <c r="G45" s="481"/>
      <c r="H45" s="481"/>
      <c r="I45" s="481"/>
      <c r="J45" s="481"/>
      <c r="K45" s="481"/>
      <c r="L45" s="482"/>
      <c r="M45" s="363"/>
      <c r="N45" s="363"/>
    </row>
    <row r="46" spans="2:30" ht="64" outlineLevel="1">
      <c r="B46" s="461" t="s">
        <v>769</v>
      </c>
      <c r="C46" s="483">
        <f>C29*$F$4*1000</f>
        <v>2607.5</v>
      </c>
      <c r="D46" s="483">
        <f t="shared" ref="D46:F46" si="1">D29*$F$4*1000</f>
        <v>2533.0000000000005</v>
      </c>
      <c r="E46" s="483">
        <f t="shared" si="1"/>
        <v>2458.5000000000005</v>
      </c>
      <c r="F46" s="483">
        <f t="shared" si="1"/>
        <v>2346.75</v>
      </c>
      <c r="G46" s="483"/>
      <c r="H46" s="484"/>
      <c r="I46" s="420" t="s">
        <v>332</v>
      </c>
      <c r="J46" s="420"/>
      <c r="K46" s="484"/>
      <c r="L46" s="484"/>
      <c r="N46" s="420"/>
    </row>
    <row r="47" spans="2:30" outlineLevel="1">
      <c r="B47" s="485" t="s">
        <v>770</v>
      </c>
      <c r="C47" s="486">
        <f>C46*$I47</f>
        <v>1303750</v>
      </c>
      <c r="D47" s="486">
        <f>D46*$I47</f>
        <v>1266500.0000000002</v>
      </c>
      <c r="E47" s="486">
        <f>E46*$I47</f>
        <v>1229250.0000000002</v>
      </c>
      <c r="F47" s="486">
        <f>F46*$I47</f>
        <v>1173375</v>
      </c>
      <c r="G47" s="486"/>
      <c r="H47" s="484"/>
      <c r="I47" s="71">
        <v>500</v>
      </c>
      <c r="J47" s="420" t="s">
        <v>330</v>
      </c>
      <c r="K47" s="484"/>
      <c r="L47" s="484"/>
      <c r="N47" s="420"/>
    </row>
    <row r="48" spans="2:30" ht="48" outlineLevel="1">
      <c r="B48" s="461" t="s">
        <v>845</v>
      </c>
      <c r="C48" s="359">
        <f>C32*$F$4/1000</f>
        <v>0</v>
      </c>
      <c r="D48" s="359">
        <f t="shared" ref="D48:F48" si="2">D32*$F$4/1000</f>
        <v>0</v>
      </c>
      <c r="E48" s="359">
        <f t="shared" si="2"/>
        <v>0</v>
      </c>
      <c r="F48" s="359">
        <f t="shared" si="2"/>
        <v>0</v>
      </c>
      <c r="G48" s="359"/>
      <c r="I48" s="420" t="s">
        <v>333</v>
      </c>
      <c r="J48" s="420"/>
      <c r="N48" s="420"/>
    </row>
    <row r="49" spans="2:14" ht="48" outlineLevel="1">
      <c r="B49" s="461" t="s">
        <v>846</v>
      </c>
      <c r="C49" s="487">
        <f>C33*$F$4/3.6</f>
        <v>242.27606944444443</v>
      </c>
      <c r="D49" s="487">
        <f t="shared" ref="D49:F49" si="3">D33*$F$4/3.6</f>
        <v>242.28020833333332</v>
      </c>
      <c r="E49" s="487">
        <f t="shared" si="3"/>
        <v>242.28227777777775</v>
      </c>
      <c r="F49" s="487">
        <f t="shared" si="3"/>
        <v>242.28227777777775</v>
      </c>
      <c r="G49" s="359"/>
      <c r="M49" s="420"/>
      <c r="N49" s="420"/>
    </row>
    <row r="50" spans="2:14" outlineLevel="1"/>
    <row r="51" spans="2:14" outlineLevel="1"/>
    <row r="52" spans="2:14" outlineLevel="1"/>
    <row r="53" spans="2:14" outlineLevel="1"/>
    <row r="54" spans="2:14" outlineLevel="1">
      <c r="E54" s="358"/>
      <c r="F54" s="358"/>
      <c r="G54" s="358"/>
      <c r="H54" s="358"/>
      <c r="I54" s="358"/>
      <c r="J54" s="358"/>
      <c r="K54" s="358"/>
      <c r="L54" s="358"/>
    </row>
    <row r="55" spans="2:14" outlineLevel="1">
      <c r="B55" s="488" t="s">
        <v>773</v>
      </c>
      <c r="C55" s="489"/>
      <c r="E55" s="358"/>
      <c r="F55" s="358"/>
      <c r="G55" s="358"/>
      <c r="H55" s="358"/>
      <c r="I55" s="358"/>
      <c r="J55" s="358"/>
      <c r="K55" s="358"/>
      <c r="L55" s="358"/>
    </row>
    <row r="56" spans="2:14" outlineLevel="1">
      <c r="B56" s="358">
        <v>1</v>
      </c>
      <c r="C56" s="490" t="s">
        <v>952</v>
      </c>
      <c r="F56" s="358"/>
      <c r="G56" s="358"/>
      <c r="H56" s="358"/>
      <c r="I56" s="358"/>
      <c r="J56" s="358"/>
      <c r="K56" s="358"/>
      <c r="L56" s="358"/>
    </row>
    <row r="57" spans="2:14" outlineLevel="1">
      <c r="B57" s="358">
        <v>2</v>
      </c>
      <c r="C57" s="490" t="s">
        <v>932</v>
      </c>
      <c r="F57" s="358"/>
      <c r="G57" s="358"/>
      <c r="H57" s="358"/>
      <c r="I57" s="358"/>
      <c r="J57" s="358"/>
      <c r="K57" s="358"/>
      <c r="L57" s="358"/>
    </row>
    <row r="58" spans="2:14" outlineLevel="1">
      <c r="B58" s="358">
        <v>3</v>
      </c>
      <c r="C58" s="490" t="s">
        <v>878</v>
      </c>
      <c r="F58" s="358"/>
      <c r="G58" s="358"/>
      <c r="H58" s="358"/>
      <c r="I58" s="358"/>
      <c r="J58" s="358"/>
      <c r="K58" s="358"/>
      <c r="L58" s="358"/>
    </row>
    <row r="59" spans="2:14" outlineLevel="1">
      <c r="B59" s="358">
        <v>4</v>
      </c>
      <c r="C59" s="490" t="s">
        <v>953</v>
      </c>
      <c r="F59" s="358"/>
      <c r="G59" s="358"/>
      <c r="H59" s="358"/>
      <c r="I59" s="358"/>
      <c r="J59" s="358"/>
      <c r="K59" s="358"/>
      <c r="L59" s="358"/>
    </row>
    <row r="60" spans="2:14" outlineLevel="1">
      <c r="B60" s="358">
        <v>5</v>
      </c>
      <c r="C60" s="676" t="s">
        <v>954</v>
      </c>
      <c r="F60" s="358"/>
      <c r="G60" s="358"/>
      <c r="H60" s="358"/>
      <c r="I60" s="358"/>
      <c r="J60" s="358"/>
      <c r="K60" s="358"/>
      <c r="L60" s="358"/>
    </row>
    <row r="61" spans="2:14" outlineLevel="1">
      <c r="B61" s="488" t="s">
        <v>783</v>
      </c>
      <c r="C61" s="489"/>
      <c r="F61" s="358"/>
      <c r="G61" s="358"/>
      <c r="H61" s="358"/>
      <c r="I61" s="358"/>
      <c r="J61" s="358"/>
      <c r="K61" s="358"/>
      <c r="L61" s="358"/>
    </row>
    <row r="62" spans="2:14" outlineLevel="1">
      <c r="B62" s="496" t="s">
        <v>6</v>
      </c>
      <c r="C62" s="497" t="s">
        <v>933</v>
      </c>
      <c r="D62" s="489"/>
      <c r="F62" s="358"/>
      <c r="G62" s="358"/>
      <c r="H62" s="358"/>
      <c r="I62" s="358"/>
      <c r="J62" s="358"/>
      <c r="K62" s="358"/>
      <c r="L62" s="358"/>
    </row>
    <row r="63" spans="2:14" outlineLevel="1">
      <c r="B63" s="496" t="s">
        <v>59</v>
      </c>
      <c r="C63" s="489" t="s">
        <v>955</v>
      </c>
      <c r="D63" s="489"/>
      <c r="F63" s="358"/>
      <c r="G63" s="358"/>
      <c r="H63" s="358"/>
      <c r="I63" s="358"/>
      <c r="J63" s="358"/>
      <c r="K63" s="358"/>
      <c r="L63" s="358"/>
    </row>
    <row r="64" spans="2:14" outlineLevel="1">
      <c r="B64" s="496" t="s">
        <v>16</v>
      </c>
      <c r="C64" s="489" t="s">
        <v>956</v>
      </c>
      <c r="D64" s="489"/>
      <c r="F64" s="358"/>
      <c r="G64" s="358"/>
      <c r="H64" s="358"/>
      <c r="I64" s="358"/>
      <c r="J64" s="358"/>
      <c r="K64" s="358"/>
      <c r="L64" s="358"/>
    </row>
    <row r="65" spans="1:44" outlineLevel="1">
      <c r="B65" s="496" t="s">
        <v>20</v>
      </c>
      <c r="C65" s="489" t="s">
        <v>957</v>
      </c>
      <c r="D65" s="489"/>
      <c r="F65" s="358"/>
      <c r="G65" s="358"/>
      <c r="H65" s="358"/>
      <c r="I65" s="358"/>
      <c r="J65" s="358"/>
      <c r="K65" s="358"/>
      <c r="L65" s="358"/>
    </row>
    <row r="66" spans="1:44" outlineLevel="1">
      <c r="B66" s="496" t="s">
        <v>76</v>
      </c>
      <c r="C66" s="489" t="s">
        <v>936</v>
      </c>
      <c r="D66" s="489"/>
      <c r="F66" s="358"/>
      <c r="G66" s="358"/>
      <c r="H66" s="358"/>
      <c r="I66" s="358"/>
      <c r="J66" s="358"/>
      <c r="K66" s="358"/>
      <c r="L66" s="358"/>
    </row>
    <row r="67" spans="1:44" outlineLevel="1">
      <c r="B67" s="496" t="s">
        <v>25</v>
      </c>
      <c r="C67" s="489" t="s">
        <v>788</v>
      </c>
      <c r="D67" s="489"/>
      <c r="F67" s="358"/>
      <c r="G67" s="358"/>
      <c r="H67" s="358"/>
      <c r="I67" s="358"/>
      <c r="J67" s="358"/>
      <c r="K67" s="358"/>
      <c r="L67" s="358"/>
    </row>
    <row r="68" spans="1:44" outlineLevel="1">
      <c r="B68" s="496" t="s">
        <v>33</v>
      </c>
      <c r="C68" s="489" t="s">
        <v>958</v>
      </c>
      <c r="D68" s="489"/>
      <c r="F68" s="358"/>
      <c r="G68" s="358"/>
      <c r="H68" s="358"/>
      <c r="I68" s="358"/>
      <c r="J68" s="358"/>
      <c r="K68" s="358"/>
      <c r="L68" s="358"/>
    </row>
    <row r="69" spans="1:44" outlineLevel="1">
      <c r="B69" s="496" t="s">
        <v>51</v>
      </c>
      <c r="C69" s="489" t="s">
        <v>883</v>
      </c>
      <c r="D69" s="489"/>
      <c r="F69" s="358"/>
      <c r="G69" s="358"/>
      <c r="H69" s="358"/>
      <c r="I69" s="358"/>
      <c r="J69" s="358"/>
      <c r="K69" s="358"/>
      <c r="L69" s="358"/>
    </row>
    <row r="70" spans="1:44" outlineLevel="1">
      <c r="B70" s="496" t="s">
        <v>52</v>
      </c>
      <c r="C70" s="489" t="s">
        <v>938</v>
      </c>
      <c r="D70" s="489"/>
      <c r="G70" s="358"/>
      <c r="H70" s="358"/>
      <c r="I70" s="358"/>
      <c r="J70" s="358"/>
      <c r="K70" s="358"/>
      <c r="L70" s="358"/>
    </row>
    <row r="71" spans="1:44" outlineLevel="1">
      <c r="B71" s="496" t="s">
        <v>55</v>
      </c>
      <c r="C71" s="498" t="s">
        <v>959</v>
      </c>
      <c r="D71" s="489"/>
      <c r="E71" s="490"/>
      <c r="F71" s="490"/>
    </row>
    <row r="72" spans="1:44" outlineLevel="1">
      <c r="B72" s="496"/>
      <c r="C72" s="489"/>
      <c r="D72" s="489"/>
    </row>
    <row r="73" spans="1:44" outlineLevel="1">
      <c r="B73" s="496"/>
      <c r="C73" s="489"/>
      <c r="D73" s="489"/>
    </row>
    <row r="74" spans="1:44" outlineLevel="1"/>
    <row r="77" spans="1:44">
      <c r="A77" s="360"/>
      <c r="B77" s="1207"/>
      <c r="C77" s="1143"/>
      <c r="D77" s="1143"/>
      <c r="E77" s="1143"/>
      <c r="F77" s="1143"/>
      <c r="G77" s="1143"/>
      <c r="H77" s="1143"/>
      <c r="I77" s="1143"/>
      <c r="J77" s="1143"/>
      <c r="K77" s="1143"/>
      <c r="L77" s="1143"/>
      <c r="M77" s="1143"/>
      <c r="N77" s="361"/>
      <c r="P77" s="1143"/>
      <c r="Q77" s="1143"/>
      <c r="R77" s="1143"/>
      <c r="S77" s="1143"/>
      <c r="T77" s="1143"/>
      <c r="U77" s="1143"/>
    </row>
    <row r="78" spans="1:44" ht="16" outlineLevel="1" thickBot="1">
      <c r="B78" s="1207"/>
      <c r="C78" s="1143"/>
      <c r="D78" s="1143"/>
      <c r="E78" s="1143"/>
      <c r="F78" s="1143"/>
      <c r="G78" s="1143"/>
      <c r="H78" s="1143"/>
      <c r="I78" s="1143"/>
      <c r="J78" s="1143"/>
      <c r="K78" s="1143"/>
      <c r="L78" s="1143"/>
      <c r="M78" s="1143"/>
      <c r="N78" s="361"/>
      <c r="P78" s="1143"/>
      <c r="Q78" s="1143"/>
      <c r="R78" s="1143"/>
      <c r="S78" s="1143"/>
      <c r="T78" s="1143"/>
      <c r="U78" s="1143"/>
    </row>
    <row r="79" spans="1:44" ht="20.5" customHeight="1" outlineLevel="1" thickBot="1">
      <c r="B79" s="362"/>
      <c r="C79" s="1186"/>
      <c r="D79" s="1205"/>
      <c r="E79" s="1205"/>
      <c r="F79" s="1205"/>
      <c r="G79" s="1205"/>
      <c r="H79" s="1205"/>
      <c r="I79" s="1205"/>
      <c r="J79" s="1205"/>
      <c r="K79" s="1205"/>
      <c r="L79" s="1206"/>
      <c r="M79" s="363"/>
      <c r="N79" s="363"/>
      <c r="P79" s="364"/>
      <c r="Q79" s="365"/>
      <c r="R79" s="366"/>
      <c r="S79" s="1176"/>
      <c r="T79" s="1160"/>
      <c r="U79" s="1161"/>
      <c r="V79" s="1160"/>
      <c r="W79" s="1161"/>
      <c r="X79" s="1160"/>
      <c r="Y79" s="1161"/>
      <c r="Z79" s="1160"/>
      <c r="AA79" s="1161"/>
      <c r="AB79" s="1160"/>
      <c r="AC79" s="1161"/>
      <c r="AE79" s="364"/>
      <c r="AF79" s="365"/>
      <c r="AG79" s="366"/>
      <c r="AH79" s="1176"/>
      <c r="AI79" s="1160"/>
      <c r="AJ79" s="1161"/>
      <c r="AK79" s="1160"/>
      <c r="AL79" s="1161"/>
      <c r="AM79" s="1160"/>
      <c r="AN79" s="1161"/>
      <c r="AO79" s="1160"/>
      <c r="AP79" s="1161"/>
      <c r="AQ79" s="1160"/>
      <c r="AR79" s="1161"/>
    </row>
    <row r="80" spans="1:44" ht="15" customHeight="1" outlineLevel="1" thickBot="1">
      <c r="B80" s="1164"/>
      <c r="C80" s="1166"/>
      <c r="D80" s="1166"/>
      <c r="E80" s="1166"/>
      <c r="F80" s="1166"/>
      <c r="G80" s="1200"/>
      <c r="H80" s="1201"/>
      <c r="I80" s="1200"/>
      <c r="J80" s="1201"/>
      <c r="K80" s="1202"/>
      <c r="L80" s="1202"/>
      <c r="M80" s="367"/>
      <c r="N80" s="367"/>
      <c r="P80" s="1180"/>
      <c r="Q80" s="368"/>
      <c r="R80" s="368"/>
      <c r="S80" s="1177"/>
      <c r="T80" s="1162"/>
      <c r="U80" s="1163"/>
      <c r="V80" s="1162"/>
      <c r="W80" s="1163"/>
      <c r="X80" s="1162"/>
      <c r="Y80" s="1163"/>
      <c r="Z80" s="1162"/>
      <c r="AA80" s="1163"/>
      <c r="AB80" s="1162"/>
      <c r="AC80" s="1163"/>
      <c r="AE80" s="1180"/>
      <c r="AF80" s="368"/>
      <c r="AG80" s="368"/>
      <c r="AH80" s="1177"/>
      <c r="AI80" s="1162"/>
      <c r="AJ80" s="1163"/>
      <c r="AK80" s="1162"/>
      <c r="AL80" s="1163"/>
      <c r="AM80" s="1162"/>
      <c r="AN80" s="1163"/>
      <c r="AO80" s="1162"/>
      <c r="AP80" s="1163"/>
      <c r="AQ80" s="1162"/>
      <c r="AR80" s="1163"/>
    </row>
    <row r="81" spans="2:44" ht="15" customHeight="1" outlineLevel="1" thickBot="1">
      <c r="B81" s="1165"/>
      <c r="C81" s="1167"/>
      <c r="D81" s="1167"/>
      <c r="E81" s="1167"/>
      <c r="F81" s="1167"/>
      <c r="G81" s="499"/>
      <c r="H81" s="499"/>
      <c r="I81" s="499"/>
      <c r="J81" s="499"/>
      <c r="K81" s="1203"/>
      <c r="L81" s="1203"/>
      <c r="M81" s="370"/>
      <c r="N81" s="370"/>
      <c r="P81" s="1181"/>
      <c r="Q81" s="1183"/>
      <c r="R81" s="1184"/>
      <c r="S81" s="1178"/>
      <c r="T81" s="1162"/>
      <c r="U81" s="1163"/>
      <c r="V81" s="1162"/>
      <c r="W81" s="1163"/>
      <c r="X81" s="1162"/>
      <c r="Y81" s="1163"/>
      <c r="Z81" s="1162"/>
      <c r="AA81" s="1163"/>
      <c r="AB81" s="1162"/>
      <c r="AC81" s="1163"/>
      <c r="AE81" s="1181"/>
      <c r="AF81" s="1197"/>
      <c r="AG81" s="1184"/>
      <c r="AH81" s="1178"/>
      <c r="AI81" s="1162"/>
      <c r="AJ81" s="1163"/>
      <c r="AK81" s="1162"/>
      <c r="AL81" s="1163"/>
      <c r="AM81" s="1162"/>
      <c r="AN81" s="1163"/>
      <c r="AO81" s="1162"/>
      <c r="AP81" s="1163"/>
      <c r="AQ81" s="1162"/>
      <c r="AR81" s="1163"/>
    </row>
    <row r="82" spans="2:44" ht="16" outlineLevel="1" thickBot="1">
      <c r="B82" s="371"/>
      <c r="C82" s="372"/>
      <c r="D82" s="372"/>
      <c r="E82" s="372"/>
      <c r="F82" s="372"/>
      <c r="G82" s="372"/>
      <c r="H82" s="372"/>
      <c r="I82" s="372"/>
      <c r="J82" s="372"/>
      <c r="K82" s="372"/>
      <c r="L82" s="373"/>
      <c r="M82" s="370"/>
      <c r="N82" s="370"/>
      <c r="O82" s="74"/>
      <c r="P82" s="1182"/>
      <c r="Q82" s="1179"/>
      <c r="R82" s="1185"/>
      <c r="S82" s="1179"/>
      <c r="T82" s="374"/>
      <c r="U82" s="375"/>
      <c r="V82" s="374"/>
      <c r="W82" s="375"/>
      <c r="X82" s="374"/>
      <c r="Y82" s="375"/>
      <c r="Z82" s="374"/>
      <c r="AA82" s="375"/>
      <c r="AB82" s="374"/>
      <c r="AC82" s="375"/>
      <c r="AE82" s="1182"/>
      <c r="AF82" s="1198"/>
      <c r="AG82" s="1185"/>
      <c r="AH82" s="1179"/>
      <c r="AI82" s="374"/>
      <c r="AJ82" s="375"/>
      <c r="AK82" s="374"/>
      <c r="AL82" s="375"/>
      <c r="AM82" s="374"/>
      <c r="AN82" s="375"/>
      <c r="AO82" s="374"/>
      <c r="AP82" s="375"/>
      <c r="AQ82" s="374"/>
      <c r="AR82" s="375"/>
    </row>
    <row r="83" spans="2:44" ht="15" customHeight="1" outlineLevel="1">
      <c r="B83" s="500"/>
      <c r="C83" s="501"/>
      <c r="D83" s="501"/>
      <c r="E83" s="502"/>
      <c r="F83" s="501"/>
      <c r="G83" s="501"/>
      <c r="H83" s="501"/>
      <c r="I83" s="501"/>
      <c r="J83" s="501"/>
      <c r="K83" s="503"/>
      <c r="L83" s="504"/>
      <c r="M83" s="370"/>
      <c r="N83" s="370"/>
      <c r="P83" s="1148"/>
      <c r="Q83" s="1154"/>
      <c r="R83" s="381"/>
      <c r="S83" s="382"/>
      <c r="T83" s="1137"/>
      <c r="U83" s="1151"/>
      <c r="V83" s="1137"/>
      <c r="W83" s="1151"/>
      <c r="X83" s="1137"/>
      <c r="Y83" s="1151"/>
      <c r="Z83" s="1137"/>
      <c r="AA83" s="1151"/>
      <c r="AB83" s="1137"/>
      <c r="AC83" s="1151"/>
      <c r="AE83" s="1148"/>
      <c r="AF83" s="1154"/>
      <c r="AG83" s="381"/>
      <c r="AH83" s="382"/>
      <c r="AI83" s="1137"/>
      <c r="AJ83" s="1151"/>
      <c r="AK83" s="1137"/>
      <c r="AL83" s="1151"/>
      <c r="AM83" s="1137"/>
      <c r="AN83" s="1151"/>
      <c r="AO83" s="1137"/>
      <c r="AP83" s="1151"/>
      <c r="AQ83" s="1137"/>
      <c r="AR83" s="1151"/>
    </row>
    <row r="84" spans="2:44" outlineLevel="1">
      <c r="B84" s="383"/>
      <c r="C84" s="384"/>
      <c r="D84" s="384"/>
      <c r="E84" s="384"/>
      <c r="F84" s="384"/>
      <c r="G84" s="505"/>
      <c r="H84" s="505"/>
      <c r="I84" s="505"/>
      <c r="J84" s="505"/>
      <c r="K84" s="372"/>
      <c r="L84" s="373"/>
      <c r="M84" s="370"/>
      <c r="N84" s="370"/>
      <c r="O84" s="71"/>
      <c r="P84" s="1195"/>
      <c r="Q84" s="1155"/>
      <c r="R84" s="388"/>
      <c r="S84" s="389"/>
      <c r="T84" s="1140"/>
      <c r="U84" s="1152"/>
      <c r="V84" s="1140"/>
      <c r="W84" s="1152"/>
      <c r="X84" s="1140"/>
      <c r="Y84" s="1152"/>
      <c r="Z84" s="1140"/>
      <c r="AA84" s="1152"/>
      <c r="AB84" s="1140"/>
      <c r="AC84" s="1152"/>
      <c r="AE84" s="1195"/>
      <c r="AF84" s="1155"/>
      <c r="AG84" s="388"/>
      <c r="AH84" s="389"/>
      <c r="AI84" s="1140"/>
      <c r="AJ84" s="1152"/>
      <c r="AK84" s="1140"/>
      <c r="AL84" s="1152"/>
      <c r="AM84" s="1140"/>
      <c r="AN84" s="1152"/>
      <c r="AO84" s="1140"/>
      <c r="AP84" s="1152"/>
      <c r="AQ84" s="1140"/>
      <c r="AR84" s="1152"/>
    </row>
    <row r="85" spans="2:44" ht="16" outlineLevel="1" thickBot="1">
      <c r="B85" s="500"/>
      <c r="C85" s="506"/>
      <c r="D85" s="507"/>
      <c r="E85" s="507"/>
      <c r="F85" s="508"/>
      <c r="G85" s="507"/>
      <c r="H85" s="507"/>
      <c r="I85" s="507"/>
      <c r="J85" s="507"/>
      <c r="K85" s="503"/>
      <c r="L85" s="504"/>
      <c r="M85" s="370"/>
      <c r="N85" s="370"/>
      <c r="O85" s="71"/>
      <c r="P85" s="1195"/>
      <c r="Q85" s="1156"/>
      <c r="R85" s="393"/>
      <c r="S85" s="394"/>
      <c r="T85" s="1141"/>
      <c r="U85" s="1153"/>
      <c r="V85" s="1141"/>
      <c r="W85" s="1153"/>
      <c r="X85" s="1141"/>
      <c r="Y85" s="1153"/>
      <c r="Z85" s="1141"/>
      <c r="AA85" s="1153"/>
      <c r="AB85" s="1141"/>
      <c r="AC85" s="1153"/>
      <c r="AE85" s="1195"/>
      <c r="AF85" s="1156"/>
      <c r="AG85" s="393"/>
      <c r="AH85" s="394"/>
      <c r="AI85" s="1141"/>
      <c r="AJ85" s="1153"/>
      <c r="AK85" s="1141"/>
      <c r="AL85" s="1153"/>
      <c r="AM85" s="1141"/>
      <c r="AN85" s="1153"/>
      <c r="AO85" s="1141"/>
      <c r="AP85" s="1153"/>
      <c r="AQ85" s="1141"/>
      <c r="AR85" s="1153"/>
    </row>
    <row r="86" spans="2:44" ht="15" customHeight="1" outlineLevel="1">
      <c r="B86" s="500"/>
      <c r="C86" s="506"/>
      <c r="D86" s="506"/>
      <c r="E86" s="506"/>
      <c r="F86" s="506"/>
      <c r="G86" s="506"/>
      <c r="H86" s="506"/>
      <c r="I86" s="506"/>
      <c r="J86" s="506"/>
      <c r="K86" s="503"/>
      <c r="L86" s="504"/>
      <c r="M86" s="370"/>
      <c r="N86" s="370"/>
      <c r="O86" s="71"/>
      <c r="P86" s="1195"/>
      <c r="Q86" s="1154"/>
      <c r="R86" s="395"/>
      <c r="S86" s="396"/>
      <c r="T86" s="1137"/>
      <c r="U86" s="1137"/>
      <c r="V86" s="1137"/>
      <c r="W86" s="1137"/>
      <c r="X86" s="1137"/>
      <c r="Y86" s="1137"/>
      <c r="Z86" s="1137"/>
      <c r="AA86" s="1137"/>
      <c r="AB86" s="1137"/>
      <c r="AC86" s="1137"/>
      <c r="AE86" s="1195"/>
      <c r="AF86" s="1154"/>
      <c r="AG86" s="395"/>
      <c r="AH86" s="396"/>
      <c r="AI86" s="1137"/>
      <c r="AJ86" s="1137"/>
      <c r="AK86" s="1137"/>
      <c r="AL86" s="1137"/>
      <c r="AM86" s="1137"/>
      <c r="AN86" s="1137"/>
      <c r="AO86" s="1137"/>
      <c r="AP86" s="1137"/>
      <c r="AQ86" s="1137"/>
      <c r="AR86" s="1137"/>
    </row>
    <row r="87" spans="2:44" outlineLevel="1">
      <c r="B87" s="500"/>
      <c r="C87" s="506"/>
      <c r="D87" s="506"/>
      <c r="E87" s="506"/>
      <c r="F87" s="506"/>
      <c r="G87" s="506"/>
      <c r="H87" s="506"/>
      <c r="I87" s="506"/>
      <c r="J87" s="506"/>
      <c r="K87" s="503"/>
      <c r="L87" s="504"/>
      <c r="M87" s="367"/>
      <c r="N87" s="367"/>
      <c r="O87" s="71"/>
      <c r="P87" s="1195"/>
      <c r="Q87" s="1155"/>
      <c r="R87" s="395"/>
      <c r="S87" s="396"/>
      <c r="T87" s="1138"/>
      <c r="U87" s="1138"/>
      <c r="V87" s="1138"/>
      <c r="W87" s="1138"/>
      <c r="X87" s="1138"/>
      <c r="Y87" s="1138"/>
      <c r="Z87" s="1138"/>
      <c r="AA87" s="1138"/>
      <c r="AB87" s="1138"/>
      <c r="AC87" s="1138"/>
      <c r="AE87" s="1195"/>
      <c r="AF87" s="1155"/>
      <c r="AG87" s="395"/>
      <c r="AH87" s="396"/>
      <c r="AI87" s="1138"/>
      <c r="AJ87" s="1138"/>
      <c r="AK87" s="1138"/>
      <c r="AL87" s="1138"/>
      <c r="AM87" s="1138"/>
      <c r="AN87" s="1138"/>
      <c r="AO87" s="1138"/>
      <c r="AP87" s="1138"/>
      <c r="AQ87" s="1138"/>
      <c r="AR87" s="1138"/>
    </row>
    <row r="88" spans="2:44" outlineLevel="1">
      <c r="B88" s="383"/>
      <c r="C88" s="397"/>
      <c r="D88" s="397"/>
      <c r="E88" s="397"/>
      <c r="F88" s="397"/>
      <c r="G88" s="399"/>
      <c r="H88" s="399"/>
      <c r="I88" s="399"/>
      <c r="J88" s="399"/>
      <c r="K88" s="372"/>
      <c r="L88" s="373"/>
      <c r="M88" s="363"/>
      <c r="N88" s="363"/>
      <c r="P88" s="1195"/>
      <c r="Q88" s="1155"/>
      <c r="R88" s="395"/>
      <c r="S88" s="396"/>
      <c r="T88" s="1138"/>
      <c r="U88" s="1138"/>
      <c r="V88" s="1138"/>
      <c r="W88" s="1138"/>
      <c r="X88" s="1138"/>
      <c r="Y88" s="1138"/>
      <c r="Z88" s="1138"/>
      <c r="AA88" s="1138"/>
      <c r="AB88" s="1138"/>
      <c r="AC88" s="1138"/>
      <c r="AE88" s="1195"/>
      <c r="AF88" s="1155"/>
      <c r="AG88" s="395"/>
      <c r="AH88" s="396"/>
      <c r="AI88" s="1138"/>
      <c r="AJ88" s="1138"/>
      <c r="AK88" s="1138"/>
      <c r="AL88" s="1138"/>
      <c r="AM88" s="1138"/>
      <c r="AN88" s="1138"/>
      <c r="AO88" s="1138"/>
      <c r="AP88" s="1138"/>
      <c r="AQ88" s="1138"/>
      <c r="AR88" s="1138"/>
    </row>
    <row r="89" spans="2:44" ht="16" outlineLevel="1" thickBot="1">
      <c r="B89" s="500"/>
      <c r="C89" s="506"/>
      <c r="D89" s="506"/>
      <c r="E89" s="506"/>
      <c r="F89" s="506"/>
      <c r="G89" s="506"/>
      <c r="H89" s="506"/>
      <c r="I89" s="506"/>
      <c r="J89" s="506"/>
      <c r="K89" s="372"/>
      <c r="L89" s="400"/>
      <c r="M89" s="363"/>
      <c r="N89" s="363"/>
      <c r="P89" s="1195"/>
      <c r="Q89" s="1155"/>
      <c r="R89" s="395"/>
      <c r="S89" s="396"/>
      <c r="T89" s="1138"/>
      <c r="U89" s="1138"/>
      <c r="V89" s="1138"/>
      <c r="W89" s="1138"/>
      <c r="X89" s="1138"/>
      <c r="Y89" s="1138"/>
      <c r="Z89" s="1138"/>
      <c r="AA89" s="1138"/>
      <c r="AB89" s="1138"/>
      <c r="AC89" s="1138"/>
      <c r="AE89" s="1195"/>
      <c r="AF89" s="1155"/>
      <c r="AG89" s="395"/>
      <c r="AH89" s="396"/>
      <c r="AI89" s="1138"/>
      <c r="AJ89" s="1138"/>
      <c r="AK89" s="1138"/>
      <c r="AL89" s="1138"/>
      <c r="AM89" s="1138"/>
      <c r="AN89" s="1138"/>
      <c r="AO89" s="1138"/>
      <c r="AP89" s="1138"/>
      <c r="AQ89" s="1138"/>
      <c r="AR89" s="1138"/>
    </row>
    <row r="90" spans="2:44" ht="16" outlineLevel="1" thickBot="1">
      <c r="B90" s="401"/>
      <c r="C90" s="402"/>
      <c r="D90" s="403"/>
      <c r="E90" s="404"/>
      <c r="F90" s="405"/>
      <c r="G90" s="406"/>
      <c r="H90" s="406"/>
      <c r="I90" s="406"/>
      <c r="J90" s="406"/>
      <c r="K90" s="407"/>
      <c r="L90" s="408"/>
      <c r="M90" s="363"/>
      <c r="N90" s="363"/>
      <c r="P90" s="1195"/>
      <c r="Q90" s="1155"/>
      <c r="R90" s="409"/>
      <c r="S90" s="410"/>
      <c r="T90" s="1139"/>
      <c r="U90" s="1139"/>
      <c r="V90" s="1139"/>
      <c r="W90" s="1139"/>
      <c r="X90" s="1139"/>
      <c r="Y90" s="1139"/>
      <c r="Z90" s="1139"/>
      <c r="AA90" s="1139"/>
      <c r="AB90" s="1139"/>
      <c r="AC90" s="1139"/>
      <c r="AE90" s="1195"/>
      <c r="AF90" s="1155"/>
      <c r="AG90" s="409"/>
      <c r="AH90" s="410"/>
      <c r="AI90" s="1139"/>
      <c r="AJ90" s="1139"/>
      <c r="AK90" s="1139"/>
      <c r="AL90" s="1139"/>
      <c r="AM90" s="1139"/>
      <c r="AN90" s="1139"/>
      <c r="AO90" s="1139"/>
      <c r="AP90" s="1139"/>
      <c r="AQ90" s="1139"/>
      <c r="AR90" s="1139"/>
    </row>
    <row r="91" spans="2:44" ht="16" outlineLevel="1" thickBot="1">
      <c r="B91" s="500"/>
      <c r="C91" s="506"/>
      <c r="D91" s="506"/>
      <c r="E91" s="506"/>
      <c r="F91" s="506"/>
      <c r="G91" s="507"/>
      <c r="H91" s="507"/>
      <c r="I91" s="507"/>
      <c r="J91" s="507"/>
      <c r="K91" s="503"/>
      <c r="L91" s="504"/>
      <c r="M91" s="363"/>
      <c r="N91" s="363"/>
      <c r="P91" s="1196"/>
      <c r="Q91" s="411"/>
      <c r="R91" s="412"/>
      <c r="S91" s="413"/>
      <c r="T91" s="414"/>
      <c r="U91" s="415"/>
      <c r="V91" s="416"/>
      <c r="W91" s="415"/>
      <c r="X91" s="416"/>
      <c r="Y91" s="415"/>
      <c r="Z91" s="416"/>
      <c r="AA91" s="415"/>
      <c r="AB91" s="416"/>
      <c r="AC91" s="417"/>
      <c r="AE91" s="1196"/>
      <c r="AF91" s="411"/>
      <c r="AG91" s="412"/>
      <c r="AH91" s="413"/>
      <c r="AI91" s="414"/>
      <c r="AJ91" s="415"/>
      <c r="AK91" s="414"/>
      <c r="AL91" s="415"/>
      <c r="AM91" s="414"/>
      <c r="AN91" s="415"/>
      <c r="AO91" s="414"/>
      <c r="AP91" s="415"/>
      <c r="AQ91" s="414"/>
      <c r="AR91" s="417"/>
    </row>
    <row r="92" spans="2:44" outlineLevel="1">
      <c r="B92" s="500"/>
      <c r="C92" s="506"/>
      <c r="D92" s="506"/>
      <c r="E92" s="506"/>
      <c r="F92" s="506"/>
      <c r="G92" s="509"/>
      <c r="H92" s="509"/>
      <c r="I92" s="509"/>
      <c r="J92" s="509"/>
      <c r="K92" s="510"/>
      <c r="L92" s="504"/>
      <c r="M92" s="363"/>
      <c r="N92" s="363"/>
    </row>
    <row r="93" spans="2:44" outlineLevel="1">
      <c r="B93" s="500"/>
      <c r="C93" s="506"/>
      <c r="D93" s="506"/>
      <c r="E93" s="506"/>
      <c r="F93" s="506"/>
      <c r="G93" s="509"/>
      <c r="H93" s="509"/>
      <c r="I93" s="509"/>
      <c r="J93" s="509"/>
      <c r="K93" s="510"/>
      <c r="L93" s="504"/>
      <c r="M93" s="420"/>
      <c r="N93" s="363"/>
    </row>
    <row r="94" spans="2:44" outlineLevel="1">
      <c r="B94" s="421"/>
      <c r="C94" s="399"/>
      <c r="D94" s="399"/>
      <c r="E94" s="399"/>
      <c r="F94" s="399"/>
      <c r="G94" s="422"/>
      <c r="H94" s="422"/>
      <c r="I94" s="422"/>
      <c r="J94" s="422"/>
      <c r="K94" s="423"/>
      <c r="L94" s="424"/>
      <c r="M94" s="420"/>
      <c r="N94" s="420"/>
    </row>
    <row r="95" spans="2:44" outlineLevel="1">
      <c r="B95" s="383"/>
      <c r="C95" s="397"/>
      <c r="D95" s="397"/>
      <c r="E95" s="397"/>
      <c r="F95" s="397"/>
      <c r="G95" s="422"/>
      <c r="H95" s="425"/>
      <c r="I95" s="425"/>
      <c r="J95" s="425"/>
      <c r="K95" s="426"/>
      <c r="L95" s="427"/>
      <c r="M95" s="428"/>
      <c r="N95" s="428"/>
    </row>
    <row r="96" spans="2:44" outlineLevel="1">
      <c r="B96" s="383"/>
      <c r="C96" s="397"/>
      <c r="D96" s="397"/>
      <c r="E96" s="397"/>
      <c r="F96" s="397"/>
      <c r="G96" s="425"/>
      <c r="H96" s="425"/>
      <c r="I96" s="425"/>
      <c r="J96" s="425"/>
      <c r="K96" s="423"/>
      <c r="L96" s="427"/>
      <c r="M96" s="428"/>
      <c r="N96" s="428"/>
    </row>
    <row r="97" spans="1:30" outlineLevel="1">
      <c r="B97" s="383"/>
      <c r="C97" s="397"/>
      <c r="D97" s="397"/>
      <c r="E97" s="397"/>
      <c r="F97" s="397"/>
      <c r="G97" s="425"/>
      <c r="H97" s="425"/>
      <c r="I97" s="425"/>
      <c r="J97" s="425"/>
      <c r="K97" s="423"/>
      <c r="L97" s="427"/>
      <c r="M97" s="428"/>
      <c r="N97" s="428"/>
    </row>
    <row r="98" spans="1:30" outlineLevel="1">
      <c r="B98" s="383"/>
      <c r="C98" s="397"/>
      <c r="D98" s="397"/>
      <c r="E98" s="397"/>
      <c r="F98" s="397"/>
      <c r="G98" s="425"/>
      <c r="H98" s="425"/>
      <c r="I98" s="425"/>
      <c r="J98" s="425"/>
      <c r="K98" s="423"/>
      <c r="L98" s="427"/>
      <c r="M98" s="428"/>
      <c r="N98" s="428"/>
    </row>
    <row r="99" spans="1:30" ht="16" outlineLevel="1" thickBot="1">
      <c r="B99" s="429"/>
      <c r="C99" s="430"/>
      <c r="D99" s="430"/>
      <c r="E99" s="430"/>
      <c r="F99" s="430"/>
      <c r="G99" s="425"/>
      <c r="H99" s="425"/>
      <c r="I99" s="425"/>
      <c r="J99" s="425"/>
      <c r="K99" s="423"/>
      <c r="L99" s="427"/>
      <c r="M99" s="428"/>
      <c r="N99" s="428"/>
    </row>
    <row r="100" spans="1:30" ht="16" outlineLevel="1" thickBot="1">
      <c r="B100" s="431"/>
      <c r="C100" s="432"/>
      <c r="D100" s="403"/>
      <c r="E100" s="403"/>
      <c r="F100" s="433"/>
      <c r="G100" s="434"/>
      <c r="H100" s="406"/>
      <c r="I100" s="406"/>
      <c r="J100" s="406"/>
      <c r="K100" s="407"/>
      <c r="L100" s="408"/>
      <c r="M100" s="428"/>
      <c r="N100" s="428"/>
    </row>
    <row r="101" spans="1:30" outlineLevel="1">
      <c r="A101" s="435"/>
      <c r="B101" s="436"/>
      <c r="C101" s="511"/>
      <c r="D101" s="512"/>
      <c r="E101" s="512"/>
      <c r="F101" s="513"/>
      <c r="G101" s="425"/>
      <c r="H101" s="425"/>
      <c r="I101" s="425"/>
      <c r="J101" s="425"/>
      <c r="K101" s="426"/>
      <c r="L101" s="440"/>
      <c r="M101" s="420"/>
      <c r="N101" s="420"/>
    </row>
    <row r="102" spans="1:30" outlineLevel="1">
      <c r="B102" s="441"/>
      <c r="C102" s="442"/>
      <c r="D102" s="442"/>
      <c r="E102" s="442"/>
      <c r="F102" s="442"/>
      <c r="G102" s="425"/>
      <c r="H102" s="425"/>
      <c r="I102" s="425"/>
      <c r="J102" s="425"/>
      <c r="K102" s="444"/>
      <c r="L102" s="373"/>
      <c r="M102" s="71"/>
      <c r="N102" s="420"/>
    </row>
    <row r="103" spans="1:30" outlineLevel="1">
      <c r="B103" s="441"/>
      <c r="C103" s="442"/>
      <c r="D103" s="442"/>
      <c r="E103" s="442"/>
      <c r="F103" s="442"/>
      <c r="G103" s="425"/>
      <c r="H103" s="425"/>
      <c r="I103" s="425"/>
      <c r="J103" s="425"/>
      <c r="K103" s="444"/>
      <c r="L103" s="373"/>
      <c r="M103" s="420"/>
      <c r="N103" s="420"/>
    </row>
    <row r="104" spans="1:30" outlineLevel="1">
      <c r="B104" s="383"/>
      <c r="C104" s="445"/>
      <c r="D104" s="446"/>
      <c r="E104" s="446"/>
      <c r="F104" s="447"/>
      <c r="G104" s="425"/>
      <c r="H104" s="425"/>
      <c r="I104" s="425"/>
      <c r="J104" s="425"/>
      <c r="K104" s="448"/>
      <c r="L104" s="373"/>
      <c r="M104" s="420"/>
      <c r="N104" s="420"/>
    </row>
    <row r="105" spans="1:30" outlineLevel="1">
      <c r="B105" s="383"/>
      <c r="C105" s="449"/>
      <c r="D105" s="449"/>
      <c r="E105" s="449"/>
      <c r="F105" s="449"/>
      <c r="G105" s="425"/>
      <c r="H105" s="425"/>
      <c r="I105" s="425"/>
      <c r="J105" s="425"/>
      <c r="K105" s="448"/>
      <c r="L105" s="373"/>
      <c r="M105" s="450"/>
      <c r="N105" s="361"/>
      <c r="P105" s="1142"/>
      <c r="Q105" s="1143"/>
      <c r="R105" s="1143"/>
      <c r="S105" s="1143"/>
      <c r="T105" s="1143"/>
      <c r="U105" s="1144"/>
    </row>
    <row r="106" spans="1:30" ht="16" outlineLevel="1" thickBot="1">
      <c r="B106" s="500"/>
      <c r="C106" s="514"/>
      <c r="D106" s="514"/>
      <c r="E106" s="514"/>
      <c r="F106" s="514"/>
      <c r="G106" s="515"/>
      <c r="H106" s="515"/>
      <c r="I106" s="515"/>
      <c r="J106" s="515"/>
      <c r="K106" s="503"/>
      <c r="L106" s="504"/>
      <c r="M106" s="450"/>
      <c r="N106" s="361"/>
      <c r="P106" s="1134"/>
      <c r="Q106" s="1135"/>
      <c r="R106" s="1135"/>
      <c r="S106" s="1135"/>
      <c r="T106" s="1135"/>
      <c r="U106" s="1136"/>
    </row>
    <row r="107" spans="1:30" outlineLevel="1">
      <c r="B107" s="500"/>
      <c r="C107" s="516"/>
      <c r="D107" s="516"/>
      <c r="E107" s="516"/>
      <c r="F107" s="516"/>
      <c r="G107" s="515"/>
      <c r="H107" s="515"/>
      <c r="I107" s="515"/>
      <c r="J107" s="515"/>
      <c r="K107" s="517"/>
      <c r="L107" s="504"/>
      <c r="M107" s="363"/>
      <c r="N107" s="363"/>
      <c r="P107" s="53"/>
    </row>
    <row r="108" spans="1:30" outlineLevel="1">
      <c r="B108" s="441"/>
      <c r="C108" s="518"/>
      <c r="D108" s="518"/>
      <c r="E108" s="518"/>
      <c r="F108" s="518"/>
      <c r="G108" s="425"/>
      <c r="H108" s="425"/>
      <c r="I108" s="425"/>
      <c r="J108" s="425"/>
      <c r="K108" s="444"/>
      <c r="L108" s="424"/>
      <c r="M108" s="367"/>
      <c r="N108" s="367"/>
      <c r="P108" s="46"/>
      <c r="Q108" s="46"/>
      <c r="R108" s="47"/>
      <c r="S108" s="47"/>
      <c r="T108" s="47"/>
      <c r="U108" s="48"/>
      <c r="V108" s="49"/>
      <c r="W108" s="49"/>
      <c r="X108" s="49"/>
      <c r="Y108" s="49"/>
      <c r="Z108" s="49"/>
      <c r="AA108" s="49"/>
      <c r="AB108" s="49"/>
      <c r="AC108" s="49"/>
      <c r="AD108" s="49"/>
    </row>
    <row r="109" spans="1:30" ht="16" outlineLevel="1" thickBot="1">
      <c r="B109" s="519"/>
      <c r="C109" s="442"/>
      <c r="D109" s="520"/>
      <c r="E109" s="520"/>
      <c r="F109" s="521"/>
      <c r="G109" s="425"/>
      <c r="H109" s="425"/>
      <c r="I109" s="425"/>
      <c r="J109" s="425"/>
      <c r="K109" s="448"/>
      <c r="L109" s="424"/>
      <c r="M109" s="363"/>
      <c r="N109" s="363"/>
      <c r="P109" s="50"/>
      <c r="Q109" s="50"/>
      <c r="R109" s="51"/>
      <c r="S109" s="51"/>
      <c r="T109" s="51"/>
      <c r="U109" s="51"/>
      <c r="V109" s="50"/>
      <c r="W109" s="50"/>
      <c r="X109" s="50"/>
      <c r="Y109" s="50"/>
      <c r="Z109" s="50"/>
      <c r="AA109" s="50"/>
      <c r="AB109" s="50"/>
      <c r="AC109" s="50"/>
      <c r="AD109" s="50"/>
    </row>
    <row r="110" spans="1:30" ht="16" outlineLevel="1" thickBot="1">
      <c r="B110" s="401"/>
      <c r="C110" s="402"/>
      <c r="D110" s="403"/>
      <c r="E110" s="404"/>
      <c r="F110" s="405"/>
      <c r="G110" s="406"/>
      <c r="H110" s="406"/>
      <c r="I110" s="406"/>
      <c r="J110" s="406"/>
      <c r="K110" s="459"/>
      <c r="L110" s="460"/>
      <c r="M110" s="363"/>
      <c r="N110" s="363"/>
      <c r="O110" s="461"/>
      <c r="P110" s="56"/>
      <c r="Q110" s="56"/>
      <c r="R110" s="57"/>
      <c r="S110" s="57"/>
      <c r="T110" s="57"/>
      <c r="U110" s="56"/>
      <c r="V110" s="56"/>
      <c r="W110" s="56"/>
      <c r="X110" s="56"/>
      <c r="Y110" s="56"/>
      <c r="Z110" s="56"/>
      <c r="AA110" s="56"/>
      <c r="AB110" s="56"/>
      <c r="AC110" s="56"/>
      <c r="AD110" s="56"/>
    </row>
    <row r="111" spans="1:30" outlineLevel="1">
      <c r="B111" s="522"/>
      <c r="C111" s="523"/>
      <c r="D111" s="523"/>
      <c r="E111" s="523"/>
      <c r="F111" s="523"/>
      <c r="G111" s="524"/>
      <c r="H111" s="524"/>
      <c r="I111" s="524"/>
      <c r="J111" s="524"/>
      <c r="K111" s="524"/>
      <c r="L111" s="525"/>
      <c r="M111" s="363"/>
      <c r="N111" s="363"/>
      <c r="O111" s="465"/>
      <c r="P111" s="466"/>
      <c r="Q111" s="58"/>
      <c r="R111" s="466"/>
      <c r="S111" s="58"/>
      <c r="T111" s="466"/>
      <c r="U111" s="467"/>
      <c r="V111" s="467"/>
      <c r="W111" s="467"/>
      <c r="X111" s="58"/>
      <c r="Y111" s="58"/>
      <c r="Z111" s="466"/>
      <c r="AA111" s="468"/>
      <c r="AB111" s="468"/>
      <c r="AC111" s="468"/>
      <c r="AD111" s="468"/>
    </row>
    <row r="112" spans="1:30" outlineLevel="1">
      <c r="B112" s="500"/>
      <c r="C112" s="526"/>
      <c r="D112" s="527"/>
      <c r="E112" s="527"/>
      <c r="F112" s="528"/>
      <c r="G112" s="528"/>
      <c r="H112" s="528"/>
      <c r="I112" s="528"/>
      <c r="J112" s="528"/>
      <c r="K112" s="529"/>
      <c r="L112" s="525"/>
      <c r="M112" s="363"/>
      <c r="N112" s="363"/>
      <c r="O112" s="465"/>
      <c r="P112" s="466"/>
      <c r="Q112" s="58"/>
      <c r="R112" s="466"/>
      <c r="S112" s="58"/>
      <c r="T112" s="466"/>
      <c r="U112" s="467"/>
      <c r="V112" s="467"/>
      <c r="W112" s="467"/>
      <c r="X112" s="58"/>
      <c r="Y112" s="58"/>
      <c r="Z112" s="466"/>
      <c r="AA112" s="468"/>
      <c r="AB112" s="468"/>
      <c r="AC112" s="468"/>
      <c r="AD112" s="468"/>
    </row>
    <row r="113" spans="2:30" outlineLevel="1">
      <c r="B113" s="500"/>
      <c r="C113" s="526"/>
      <c r="D113" s="527"/>
      <c r="E113" s="527"/>
      <c r="F113" s="528"/>
      <c r="G113" s="515"/>
      <c r="H113" s="515"/>
      <c r="I113" s="515"/>
      <c r="J113" s="515"/>
      <c r="K113" s="515"/>
      <c r="L113" s="504"/>
      <c r="M113" s="363"/>
      <c r="N113" s="363"/>
      <c r="O113" s="465"/>
      <c r="P113" s="466"/>
      <c r="Q113" s="58"/>
      <c r="R113" s="466"/>
      <c r="S113" s="58"/>
      <c r="T113" s="466"/>
      <c r="U113" s="467"/>
      <c r="V113" s="467"/>
      <c r="W113" s="467"/>
      <c r="X113" s="58"/>
      <c r="Y113" s="58"/>
      <c r="Z113" s="466"/>
      <c r="AA113" s="468"/>
      <c r="AB113" s="468"/>
      <c r="AC113" s="468"/>
      <c r="AD113" s="468"/>
    </row>
    <row r="114" spans="2:30" outlineLevel="1">
      <c r="B114" s="500"/>
      <c r="C114" s="530"/>
      <c r="D114" s="530"/>
      <c r="E114" s="530"/>
      <c r="F114" s="530"/>
      <c r="G114" s="531"/>
      <c r="H114" s="531"/>
      <c r="I114" s="531"/>
      <c r="J114" s="531"/>
      <c r="K114" s="531"/>
      <c r="L114" s="504"/>
      <c r="M114" s="363"/>
      <c r="N114" s="363"/>
      <c r="O114" s="465"/>
      <c r="P114" s="466"/>
      <c r="Q114" s="58"/>
      <c r="R114" s="466"/>
      <c r="S114" s="58"/>
      <c r="T114" s="466"/>
      <c r="U114" s="467"/>
      <c r="V114" s="467"/>
      <c r="W114" s="467"/>
      <c r="X114" s="58"/>
      <c r="Y114" s="58"/>
      <c r="Z114" s="466"/>
      <c r="AA114" s="468"/>
      <c r="AB114" s="468"/>
      <c r="AC114" s="468"/>
      <c r="AD114" s="468"/>
    </row>
    <row r="115" spans="2:30" outlineLevel="1">
      <c r="B115" s="532"/>
      <c r="C115" s="526"/>
      <c r="D115" s="527"/>
      <c r="E115" s="527"/>
      <c r="F115" s="528"/>
      <c r="G115" s="531"/>
      <c r="H115" s="531"/>
      <c r="I115" s="531"/>
      <c r="J115" s="531"/>
      <c r="K115" s="531"/>
      <c r="L115" s="533"/>
      <c r="M115" s="367"/>
      <c r="N115" s="367"/>
    </row>
    <row r="116" spans="2:30" outlineLevel="1">
      <c r="B116" s="532"/>
      <c r="C116" s="526"/>
      <c r="D116" s="527"/>
      <c r="E116" s="527"/>
      <c r="F116" s="528"/>
      <c r="G116" s="531"/>
      <c r="H116" s="531"/>
      <c r="I116" s="531"/>
      <c r="J116" s="531"/>
      <c r="K116" s="531"/>
      <c r="L116" s="533"/>
      <c r="M116" s="363"/>
      <c r="N116" s="363"/>
    </row>
    <row r="117" spans="2:30" ht="16" outlineLevel="1" thickBot="1">
      <c r="B117" s="534"/>
      <c r="C117" s="535"/>
      <c r="D117" s="536"/>
      <c r="E117" s="536"/>
      <c r="F117" s="537"/>
      <c r="G117" s="538"/>
      <c r="H117" s="538"/>
      <c r="I117" s="538"/>
      <c r="J117" s="538"/>
      <c r="K117" s="538"/>
      <c r="L117" s="539"/>
      <c r="M117" s="363"/>
      <c r="N117" s="363"/>
    </row>
    <row r="118" spans="2:30" outlineLevel="1">
      <c r="B118" s="461"/>
      <c r="C118" s="483"/>
      <c r="D118" s="483"/>
      <c r="E118" s="483"/>
      <c r="F118" s="483"/>
      <c r="G118" s="483"/>
      <c r="H118" s="484"/>
      <c r="I118" s="420"/>
      <c r="J118" s="420"/>
      <c r="K118" s="484"/>
      <c r="L118" s="484"/>
      <c r="N118" s="420"/>
    </row>
    <row r="119" spans="2:30" outlineLevel="1">
      <c r="B119" s="485"/>
      <c r="C119" s="486"/>
      <c r="D119" s="486"/>
      <c r="E119" s="486"/>
      <c r="F119" s="486"/>
      <c r="G119" s="486"/>
      <c r="H119" s="484"/>
      <c r="I119" s="71"/>
      <c r="J119" s="420"/>
      <c r="K119" s="484"/>
      <c r="L119" s="484"/>
      <c r="N119" s="420"/>
    </row>
    <row r="120" spans="2:30" outlineLevel="1">
      <c r="B120" s="461"/>
      <c r="C120" s="359"/>
      <c r="D120" s="359"/>
      <c r="E120" s="359"/>
      <c r="F120" s="359"/>
      <c r="G120" s="359"/>
      <c r="I120" s="420"/>
      <c r="J120" s="420"/>
      <c r="N120" s="420"/>
    </row>
    <row r="121" spans="2:30" outlineLevel="1">
      <c r="B121" s="461"/>
      <c r="C121" s="487"/>
      <c r="D121" s="487"/>
      <c r="E121" s="487"/>
      <c r="F121" s="487"/>
      <c r="G121" s="359"/>
      <c r="M121" s="420"/>
      <c r="N121" s="420"/>
    </row>
    <row r="122" spans="2:30" outlineLevel="1"/>
    <row r="123" spans="2:30" outlineLevel="1"/>
    <row r="124" spans="2:30" outlineLevel="1"/>
    <row r="125" spans="2:30" outlineLevel="1"/>
    <row r="126" spans="2:30" outlineLevel="1">
      <c r="B126" s="488"/>
      <c r="C126" s="489"/>
      <c r="D126" s="490"/>
      <c r="E126" s="490"/>
      <c r="F126" s="490"/>
    </row>
    <row r="127" spans="2:30" outlineLevel="1">
      <c r="B127" s="491"/>
      <c r="C127" s="492"/>
      <c r="E127" s="490"/>
      <c r="F127" s="490"/>
    </row>
    <row r="128" spans="2:30" outlineLevel="1">
      <c r="B128" s="491"/>
      <c r="C128" s="493"/>
      <c r="E128" s="490"/>
      <c r="F128" s="490"/>
    </row>
    <row r="129" spans="2:6" outlineLevel="1">
      <c r="B129" s="491"/>
      <c r="C129" s="493"/>
      <c r="E129" s="490"/>
      <c r="F129" s="490"/>
    </row>
    <row r="130" spans="2:6" outlineLevel="1">
      <c r="B130" s="491"/>
      <c r="C130" s="493"/>
      <c r="E130" s="490"/>
      <c r="F130" s="490"/>
    </row>
    <row r="131" spans="2:6" outlineLevel="1">
      <c r="B131" s="358"/>
      <c r="C131" s="494"/>
      <c r="D131" s="490"/>
      <c r="E131" s="490"/>
      <c r="F131" s="490"/>
    </row>
    <row r="132" spans="2:6" outlineLevel="1">
      <c r="B132" s="358"/>
      <c r="C132" s="492"/>
      <c r="D132" s="490"/>
      <c r="E132" s="490"/>
      <c r="F132" s="490"/>
    </row>
    <row r="133" spans="2:6" outlineLevel="1">
      <c r="B133" s="358"/>
      <c r="C133" s="495"/>
      <c r="D133" s="490"/>
      <c r="E133" s="490"/>
      <c r="F133" s="490"/>
    </row>
    <row r="134" spans="2:6" outlineLevel="1">
      <c r="B134" s="358"/>
      <c r="C134" s="495"/>
      <c r="D134" s="490"/>
      <c r="E134" s="490"/>
      <c r="F134" s="490"/>
    </row>
    <row r="135" spans="2:6" outlineLevel="1">
      <c r="B135" s="358"/>
      <c r="C135" s="489"/>
      <c r="D135" s="490"/>
      <c r="E135" s="490"/>
      <c r="F135" s="490"/>
    </row>
    <row r="136" spans="2:6" outlineLevel="1">
      <c r="B136" s="358"/>
      <c r="C136" s="490"/>
      <c r="D136" s="490"/>
      <c r="E136" s="490"/>
      <c r="F136" s="490"/>
    </row>
    <row r="137" spans="2:6" outlineLevel="1">
      <c r="B137" s="488"/>
      <c r="C137" s="489"/>
      <c r="D137" s="490"/>
      <c r="E137" s="490"/>
      <c r="F137" s="490"/>
    </row>
    <row r="138" spans="2:6" outlineLevel="1">
      <c r="B138" s="496"/>
      <c r="C138" s="497"/>
      <c r="E138" s="490"/>
      <c r="F138" s="490"/>
    </row>
    <row r="139" spans="2:6" outlineLevel="1">
      <c r="B139" s="496" t="s">
        <v>59</v>
      </c>
      <c r="C139" s="489" t="s">
        <v>785</v>
      </c>
      <c r="E139" s="490"/>
      <c r="F139" s="490"/>
    </row>
    <row r="140" spans="2:6" outlineLevel="1">
      <c r="B140" s="496" t="s">
        <v>16</v>
      </c>
      <c r="C140" s="489" t="s">
        <v>786</v>
      </c>
      <c r="E140" s="490"/>
      <c r="F140" s="490"/>
    </row>
    <row r="141" spans="2:6" outlineLevel="1">
      <c r="B141" s="496" t="s">
        <v>20</v>
      </c>
      <c r="C141" s="489" t="s">
        <v>787</v>
      </c>
      <c r="E141" s="490"/>
      <c r="F141" s="490"/>
    </row>
    <row r="142" spans="2:6" outlineLevel="1">
      <c r="B142" s="496" t="s">
        <v>76</v>
      </c>
      <c r="C142" s="498" t="s">
        <v>788</v>
      </c>
      <c r="E142" s="490"/>
      <c r="F142" s="490"/>
    </row>
    <row r="143" spans="2:6" outlineLevel="1">
      <c r="B143" s="496" t="s">
        <v>25</v>
      </c>
      <c r="C143" s="489" t="s">
        <v>789</v>
      </c>
      <c r="E143" s="490"/>
      <c r="F143" s="490"/>
    </row>
    <row r="144" spans="2:6" outlineLevel="1"/>
    <row r="145" spans="1:44" outlineLevel="1">
      <c r="M145" s="214"/>
    </row>
    <row r="146" spans="1:44" outlineLevel="1"/>
    <row r="149" spans="1:44">
      <c r="A149" s="360"/>
      <c r="B149" s="1207"/>
      <c r="C149" s="1143"/>
      <c r="D149" s="1143"/>
      <c r="E149" s="1143"/>
      <c r="F149" s="1143"/>
      <c r="G149" s="1143"/>
      <c r="H149" s="1143"/>
      <c r="I149" s="1143"/>
      <c r="J149" s="1143"/>
      <c r="K149" s="1143"/>
      <c r="L149" s="1143"/>
      <c r="M149" s="1143"/>
      <c r="N149" s="361"/>
      <c r="P149" s="1143"/>
      <c r="Q149" s="1143"/>
      <c r="R149" s="1143"/>
      <c r="S149" s="1143"/>
      <c r="T149" s="1143"/>
      <c r="U149" s="1143"/>
    </row>
    <row r="150" spans="1:44" ht="16" outlineLevel="1" thickBot="1">
      <c r="B150" s="1207"/>
      <c r="C150" s="1143"/>
      <c r="D150" s="1143"/>
      <c r="E150" s="1143"/>
      <c r="F150" s="1143"/>
      <c r="G150" s="1143"/>
      <c r="H150" s="1143"/>
      <c r="I150" s="1143"/>
      <c r="J150" s="1143"/>
      <c r="K150" s="1143"/>
      <c r="L150" s="1143"/>
      <c r="M150" s="1143"/>
      <c r="N150" s="361"/>
      <c r="P150" s="1143"/>
      <c r="Q150" s="1143"/>
      <c r="R150" s="1143"/>
      <c r="S150" s="1143"/>
      <c r="T150" s="1143"/>
      <c r="U150" s="1143"/>
    </row>
    <row r="151" spans="1:44" ht="20.5" customHeight="1" outlineLevel="1" thickBot="1">
      <c r="B151" s="362"/>
      <c r="C151" s="1186"/>
      <c r="D151" s="1205"/>
      <c r="E151" s="1205"/>
      <c r="F151" s="1205"/>
      <c r="G151" s="1205"/>
      <c r="H151" s="1205"/>
      <c r="I151" s="1205"/>
      <c r="J151" s="1205"/>
      <c r="K151" s="1205"/>
      <c r="L151" s="1206"/>
      <c r="M151" s="363"/>
      <c r="N151" s="363"/>
      <c r="P151" s="364"/>
      <c r="Q151" s="365"/>
      <c r="R151" s="366"/>
      <c r="S151" s="1176"/>
      <c r="T151" s="1160"/>
      <c r="U151" s="1161"/>
      <c r="V151" s="1160"/>
      <c r="W151" s="1161"/>
      <c r="X151" s="1160"/>
      <c r="Y151" s="1161"/>
      <c r="Z151" s="1160"/>
      <c r="AA151" s="1161"/>
      <c r="AB151" s="1160"/>
      <c r="AC151" s="1161"/>
      <c r="AE151" s="364"/>
      <c r="AF151" s="365"/>
      <c r="AG151" s="366"/>
      <c r="AH151" s="1176"/>
      <c r="AI151" s="1160"/>
      <c r="AJ151" s="1161"/>
      <c r="AK151" s="1160"/>
      <c r="AL151" s="1161"/>
      <c r="AM151" s="1160"/>
      <c r="AN151" s="1161"/>
      <c r="AO151" s="1160"/>
      <c r="AP151" s="1161"/>
      <c r="AQ151" s="1160"/>
      <c r="AR151" s="1161"/>
    </row>
    <row r="152" spans="1:44" ht="15" customHeight="1" outlineLevel="1" thickBot="1">
      <c r="B152" s="1164"/>
      <c r="C152" s="1166"/>
      <c r="D152" s="1166"/>
      <c r="E152" s="1166"/>
      <c r="F152" s="1166"/>
      <c r="G152" s="1221"/>
      <c r="H152" s="1222"/>
      <c r="I152" s="1221"/>
      <c r="J152" s="1222"/>
      <c r="K152" s="1189"/>
      <c r="L152" s="1189"/>
      <c r="M152" s="367"/>
      <c r="N152" s="367"/>
      <c r="P152" s="1180"/>
      <c r="Q152" s="368"/>
      <c r="R152" s="368"/>
      <c r="S152" s="1177"/>
      <c r="T152" s="1162"/>
      <c r="U152" s="1163"/>
      <c r="V152" s="1162"/>
      <c r="W152" s="1163"/>
      <c r="X152" s="1162"/>
      <c r="Y152" s="1163"/>
      <c r="Z152" s="1162"/>
      <c r="AA152" s="1163"/>
      <c r="AB152" s="1162"/>
      <c r="AC152" s="1163"/>
      <c r="AE152" s="1180"/>
      <c r="AF152" s="368"/>
      <c r="AG152" s="368"/>
      <c r="AH152" s="1177"/>
      <c r="AI152" s="1162"/>
      <c r="AJ152" s="1163"/>
      <c r="AK152" s="1162"/>
      <c r="AL152" s="1163"/>
      <c r="AM152" s="1162"/>
      <c r="AN152" s="1163"/>
      <c r="AO152" s="1162"/>
      <c r="AP152" s="1163"/>
      <c r="AQ152" s="1162"/>
      <c r="AR152" s="1163"/>
    </row>
    <row r="153" spans="1:44" ht="15" customHeight="1" outlineLevel="1" thickBot="1">
      <c r="B153" s="1165"/>
      <c r="C153" s="1167"/>
      <c r="D153" s="1167"/>
      <c r="E153" s="1167"/>
      <c r="F153" s="1167"/>
      <c r="G153" s="540"/>
      <c r="H153" s="540"/>
      <c r="I153" s="540"/>
      <c r="J153" s="540"/>
      <c r="K153" s="1190"/>
      <c r="L153" s="1190"/>
      <c r="M153" s="370"/>
      <c r="N153" s="370"/>
      <c r="P153" s="1181"/>
      <c r="Q153" s="1183"/>
      <c r="R153" s="1184"/>
      <c r="S153" s="1178"/>
      <c r="T153" s="1162"/>
      <c r="U153" s="1163"/>
      <c r="V153" s="1162"/>
      <c r="W153" s="1163"/>
      <c r="X153" s="1162"/>
      <c r="Y153" s="1163"/>
      <c r="Z153" s="1162"/>
      <c r="AA153" s="1163"/>
      <c r="AB153" s="1162"/>
      <c r="AC153" s="1163"/>
      <c r="AE153" s="1181"/>
      <c r="AF153" s="1197"/>
      <c r="AG153" s="1184"/>
      <c r="AH153" s="1178"/>
      <c r="AI153" s="1162"/>
      <c r="AJ153" s="1163"/>
      <c r="AK153" s="1162"/>
      <c r="AL153" s="1163"/>
      <c r="AM153" s="1162"/>
      <c r="AN153" s="1163"/>
      <c r="AO153" s="1162"/>
      <c r="AP153" s="1163"/>
      <c r="AQ153" s="1162"/>
      <c r="AR153" s="1163"/>
    </row>
    <row r="154" spans="1:44" ht="16" outlineLevel="1" thickBot="1">
      <c r="B154" s="371"/>
      <c r="C154" s="372"/>
      <c r="D154" s="372"/>
      <c r="E154" s="372"/>
      <c r="F154" s="372"/>
      <c r="G154" s="372"/>
      <c r="H154" s="372"/>
      <c r="I154" s="372"/>
      <c r="J154" s="372"/>
      <c r="K154" s="372"/>
      <c r="L154" s="373"/>
      <c r="M154" s="370"/>
      <c r="N154" s="370"/>
      <c r="O154" s="74"/>
      <c r="P154" s="1182"/>
      <c r="Q154" s="1179"/>
      <c r="R154" s="1185"/>
      <c r="S154" s="1179"/>
      <c r="T154" s="374"/>
      <c r="U154" s="375"/>
      <c r="V154" s="374"/>
      <c r="W154" s="375"/>
      <c r="X154" s="374"/>
      <c r="Y154" s="375"/>
      <c r="Z154" s="374"/>
      <c r="AA154" s="375"/>
      <c r="AB154" s="374"/>
      <c r="AC154" s="375"/>
      <c r="AE154" s="1182"/>
      <c r="AF154" s="1198"/>
      <c r="AG154" s="1185"/>
      <c r="AH154" s="1179"/>
      <c r="AI154" s="374"/>
      <c r="AJ154" s="375"/>
      <c r="AK154" s="374"/>
      <c r="AL154" s="375"/>
      <c r="AM154" s="374"/>
      <c r="AN154" s="375"/>
      <c r="AO154" s="374"/>
      <c r="AP154" s="375"/>
      <c r="AQ154" s="374"/>
      <c r="AR154" s="375"/>
    </row>
    <row r="155" spans="1:44" ht="14.5" customHeight="1" outlineLevel="1">
      <c r="B155" s="541"/>
      <c r="C155" s="542"/>
      <c r="D155" s="542"/>
      <c r="E155" s="543"/>
      <c r="F155" s="542"/>
      <c r="G155" s="542"/>
      <c r="H155" s="542"/>
      <c r="I155" s="542"/>
      <c r="J155" s="542"/>
      <c r="K155" s="372"/>
      <c r="L155" s="373"/>
      <c r="M155" s="370"/>
      <c r="N155" s="370"/>
      <c r="P155" s="1148"/>
      <c r="Q155" s="1154"/>
      <c r="R155" s="381"/>
      <c r="S155" s="382"/>
      <c r="T155" s="1137"/>
      <c r="U155" s="1151"/>
      <c r="V155" s="1137"/>
      <c r="W155" s="1151"/>
      <c r="X155" s="1137"/>
      <c r="Y155" s="1151"/>
      <c r="Z155" s="1137"/>
      <c r="AA155" s="1151"/>
      <c r="AB155" s="1137"/>
      <c r="AC155" s="1151"/>
      <c r="AE155" s="1148"/>
      <c r="AF155" s="1154"/>
      <c r="AG155" s="381"/>
      <c r="AH155" s="382"/>
      <c r="AI155" s="1137"/>
      <c r="AJ155" s="1151"/>
      <c r="AK155" s="1137"/>
      <c r="AL155" s="1151"/>
      <c r="AM155" s="1137"/>
      <c r="AN155" s="1151"/>
      <c r="AO155" s="1137"/>
      <c r="AP155" s="1151"/>
      <c r="AQ155" s="1137"/>
      <c r="AR155" s="1151"/>
    </row>
    <row r="156" spans="1:44" outlineLevel="1">
      <c r="B156" s="383"/>
      <c r="C156" s="384"/>
      <c r="D156" s="384"/>
      <c r="E156" s="384"/>
      <c r="F156" s="384"/>
      <c r="G156" s="505"/>
      <c r="H156" s="505"/>
      <c r="I156" s="505"/>
      <c r="J156" s="505"/>
      <c r="K156" s="372"/>
      <c r="L156" s="373"/>
      <c r="M156" s="370"/>
      <c r="N156" s="370"/>
      <c r="O156" s="71"/>
      <c r="P156" s="1195"/>
      <c r="Q156" s="1155"/>
      <c r="R156" s="388"/>
      <c r="S156" s="389"/>
      <c r="T156" s="1140"/>
      <c r="U156" s="1152"/>
      <c r="V156" s="1140"/>
      <c r="W156" s="1152"/>
      <c r="X156" s="1140"/>
      <c r="Y156" s="1152"/>
      <c r="Z156" s="1140"/>
      <c r="AA156" s="1152"/>
      <c r="AB156" s="1140"/>
      <c r="AC156" s="1152"/>
      <c r="AE156" s="1195"/>
      <c r="AF156" s="1155"/>
      <c r="AG156" s="388"/>
      <c r="AH156" s="389"/>
      <c r="AI156" s="1140"/>
      <c r="AJ156" s="1152"/>
      <c r="AK156" s="1140"/>
      <c r="AL156" s="1152"/>
      <c r="AM156" s="1140"/>
      <c r="AN156" s="1152"/>
      <c r="AO156" s="1140"/>
      <c r="AP156" s="1152"/>
      <c r="AQ156" s="1140"/>
      <c r="AR156" s="1152"/>
    </row>
    <row r="157" spans="1:44" ht="16" outlineLevel="1" thickBot="1">
      <c r="B157" s="541"/>
      <c r="C157" s="544"/>
      <c r="D157" s="545"/>
      <c r="E157" s="545"/>
      <c r="F157" s="546"/>
      <c r="G157" s="545"/>
      <c r="H157" s="545"/>
      <c r="I157" s="545"/>
      <c r="J157" s="545"/>
      <c r="K157" s="547"/>
      <c r="L157" s="548"/>
      <c r="M157" s="370"/>
      <c r="N157" s="370"/>
      <c r="O157" s="71"/>
      <c r="P157" s="1195"/>
      <c r="Q157" s="1156"/>
      <c r="R157" s="393"/>
      <c r="S157" s="394"/>
      <c r="T157" s="1141"/>
      <c r="U157" s="1153"/>
      <c r="V157" s="1141"/>
      <c r="W157" s="1153"/>
      <c r="X157" s="1141"/>
      <c r="Y157" s="1153"/>
      <c r="Z157" s="1141"/>
      <c r="AA157" s="1153"/>
      <c r="AB157" s="1141"/>
      <c r="AC157" s="1153"/>
      <c r="AE157" s="1195"/>
      <c r="AF157" s="1156"/>
      <c r="AG157" s="393"/>
      <c r="AH157" s="394"/>
      <c r="AI157" s="1141"/>
      <c r="AJ157" s="1153"/>
      <c r="AK157" s="1141"/>
      <c r="AL157" s="1153"/>
      <c r="AM157" s="1141"/>
      <c r="AN157" s="1153"/>
      <c r="AO157" s="1141"/>
      <c r="AP157" s="1153"/>
      <c r="AQ157" s="1141"/>
      <c r="AR157" s="1153"/>
    </row>
    <row r="158" spans="1:44" ht="14.5" customHeight="1" outlineLevel="1">
      <c r="B158" s="541"/>
      <c r="C158" s="544"/>
      <c r="D158" s="544"/>
      <c r="E158" s="544"/>
      <c r="F158" s="544"/>
      <c r="G158" s="544"/>
      <c r="H158" s="544"/>
      <c r="I158" s="544"/>
      <c r="J158" s="544"/>
      <c r="K158" s="547"/>
      <c r="L158" s="548"/>
      <c r="M158" s="370"/>
      <c r="N158" s="370"/>
      <c r="O158" s="71"/>
      <c r="P158" s="1195"/>
      <c r="Q158" s="1154"/>
      <c r="R158" s="395"/>
      <c r="S158" s="396"/>
      <c r="T158" s="1137"/>
      <c r="U158" s="1137"/>
      <c r="V158" s="1137"/>
      <c r="W158" s="1137"/>
      <c r="X158" s="1137"/>
      <c r="Y158" s="1137"/>
      <c r="Z158" s="1137"/>
      <c r="AA158" s="1137"/>
      <c r="AB158" s="1137"/>
      <c r="AC158" s="1137"/>
      <c r="AE158" s="1195"/>
      <c r="AF158" s="1154"/>
      <c r="AG158" s="395"/>
      <c r="AH158" s="396"/>
      <c r="AI158" s="1137"/>
      <c r="AJ158" s="1137"/>
      <c r="AK158" s="1137"/>
      <c r="AL158" s="1137"/>
      <c r="AM158" s="1137"/>
      <c r="AN158" s="1137"/>
      <c r="AO158" s="1137"/>
      <c r="AP158" s="1137"/>
      <c r="AQ158" s="1137"/>
      <c r="AR158" s="1137"/>
    </row>
    <row r="159" spans="1:44" outlineLevel="1">
      <c r="B159" s="541"/>
      <c r="C159" s="544"/>
      <c r="D159" s="544"/>
      <c r="E159" s="544"/>
      <c r="F159" s="544"/>
      <c r="G159" s="544"/>
      <c r="H159" s="544"/>
      <c r="I159" s="544"/>
      <c r="J159" s="544"/>
      <c r="K159" s="547"/>
      <c r="L159" s="548"/>
      <c r="M159" s="367"/>
      <c r="N159" s="367"/>
      <c r="O159" s="71"/>
      <c r="P159" s="1195"/>
      <c r="Q159" s="1155"/>
      <c r="R159" s="395"/>
      <c r="S159" s="396"/>
      <c r="T159" s="1138"/>
      <c r="U159" s="1138"/>
      <c r="V159" s="1138"/>
      <c r="W159" s="1138"/>
      <c r="X159" s="1138"/>
      <c r="Y159" s="1138"/>
      <c r="Z159" s="1138"/>
      <c r="AA159" s="1138"/>
      <c r="AB159" s="1138"/>
      <c r="AC159" s="1138"/>
      <c r="AE159" s="1195"/>
      <c r="AF159" s="1155"/>
      <c r="AG159" s="395"/>
      <c r="AH159" s="396"/>
      <c r="AI159" s="1138"/>
      <c r="AJ159" s="1138"/>
      <c r="AK159" s="1138"/>
      <c r="AL159" s="1138"/>
      <c r="AM159" s="1138"/>
      <c r="AN159" s="1138"/>
      <c r="AO159" s="1138"/>
      <c r="AP159" s="1138"/>
      <c r="AQ159" s="1138"/>
      <c r="AR159" s="1138"/>
    </row>
    <row r="160" spans="1:44" outlineLevel="1">
      <c r="B160" s="383"/>
      <c r="C160" s="397"/>
      <c r="D160" s="397"/>
      <c r="E160" s="397"/>
      <c r="F160" s="399"/>
      <c r="G160" s="399"/>
      <c r="H160" s="399"/>
      <c r="I160" s="399"/>
      <c r="J160" s="399"/>
      <c r="K160" s="372"/>
      <c r="L160" s="373"/>
      <c r="M160" s="363"/>
      <c r="N160" s="363"/>
      <c r="P160" s="1195"/>
      <c r="Q160" s="1155"/>
      <c r="R160" s="395"/>
      <c r="S160" s="396"/>
      <c r="T160" s="1138"/>
      <c r="U160" s="1138"/>
      <c r="V160" s="1138"/>
      <c r="W160" s="1138"/>
      <c r="X160" s="1138"/>
      <c r="Y160" s="1138"/>
      <c r="Z160" s="1138"/>
      <c r="AA160" s="1138"/>
      <c r="AB160" s="1138"/>
      <c r="AC160" s="1138"/>
      <c r="AE160" s="1195"/>
      <c r="AF160" s="1155"/>
      <c r="AG160" s="395"/>
      <c r="AH160" s="396"/>
      <c r="AI160" s="1138"/>
      <c r="AJ160" s="1138"/>
      <c r="AK160" s="1138"/>
      <c r="AL160" s="1138"/>
      <c r="AM160" s="1138"/>
      <c r="AN160" s="1138"/>
      <c r="AO160" s="1138"/>
      <c r="AP160" s="1138"/>
      <c r="AQ160" s="1138"/>
      <c r="AR160" s="1138"/>
    </row>
    <row r="161" spans="1:44" ht="16" outlineLevel="1" thickBot="1">
      <c r="B161" s="541"/>
      <c r="C161" s="544"/>
      <c r="D161" s="544"/>
      <c r="E161" s="544"/>
      <c r="F161" s="544"/>
      <c r="G161" s="544"/>
      <c r="H161" s="544"/>
      <c r="I161" s="544"/>
      <c r="J161" s="544"/>
      <c r="K161" s="372"/>
      <c r="L161" s="400"/>
      <c r="M161" s="363"/>
      <c r="N161" s="363"/>
      <c r="P161" s="1195"/>
      <c r="Q161" s="1155"/>
      <c r="R161" s="395"/>
      <c r="S161" s="396"/>
      <c r="T161" s="1138"/>
      <c r="U161" s="1138"/>
      <c r="V161" s="1138"/>
      <c r="W161" s="1138"/>
      <c r="X161" s="1138"/>
      <c r="Y161" s="1138"/>
      <c r="Z161" s="1138"/>
      <c r="AA161" s="1138"/>
      <c r="AB161" s="1138"/>
      <c r="AC161" s="1138"/>
      <c r="AE161" s="1195"/>
      <c r="AF161" s="1155"/>
      <c r="AG161" s="395"/>
      <c r="AH161" s="396"/>
      <c r="AI161" s="1138"/>
      <c r="AJ161" s="1138"/>
      <c r="AK161" s="1138"/>
      <c r="AL161" s="1138"/>
      <c r="AM161" s="1138"/>
      <c r="AN161" s="1138"/>
      <c r="AO161" s="1138"/>
      <c r="AP161" s="1138"/>
      <c r="AQ161" s="1138"/>
      <c r="AR161" s="1138"/>
    </row>
    <row r="162" spans="1:44" ht="16" outlineLevel="1" thickBot="1">
      <c r="B162" s="401"/>
      <c r="C162" s="402"/>
      <c r="D162" s="403"/>
      <c r="E162" s="404"/>
      <c r="F162" s="405"/>
      <c r="G162" s="406"/>
      <c r="H162" s="406"/>
      <c r="I162" s="406"/>
      <c r="J162" s="406"/>
      <c r="K162" s="407"/>
      <c r="L162" s="408"/>
      <c r="M162" s="363"/>
      <c r="N162" s="363"/>
      <c r="P162" s="1195"/>
      <c r="Q162" s="1155"/>
      <c r="R162" s="409"/>
      <c r="S162" s="410"/>
      <c r="T162" s="1139"/>
      <c r="U162" s="1139"/>
      <c r="V162" s="1139"/>
      <c r="W162" s="1139"/>
      <c r="X162" s="1139"/>
      <c r="Y162" s="1139"/>
      <c r="Z162" s="1139"/>
      <c r="AA162" s="1139"/>
      <c r="AB162" s="1139"/>
      <c r="AC162" s="1139"/>
      <c r="AE162" s="1195"/>
      <c r="AF162" s="1155"/>
      <c r="AG162" s="409"/>
      <c r="AH162" s="410"/>
      <c r="AI162" s="1139"/>
      <c r="AJ162" s="1139"/>
      <c r="AK162" s="1139"/>
      <c r="AL162" s="1139"/>
      <c r="AM162" s="1139"/>
      <c r="AN162" s="1139"/>
      <c r="AO162" s="1139"/>
      <c r="AP162" s="1139"/>
      <c r="AQ162" s="1139"/>
      <c r="AR162" s="1139"/>
    </row>
    <row r="163" spans="1:44" ht="16" outlineLevel="1" thickBot="1">
      <c r="B163" s="541"/>
      <c r="C163" s="544"/>
      <c r="D163" s="544"/>
      <c r="E163" s="544"/>
      <c r="F163" s="544"/>
      <c r="G163" s="545"/>
      <c r="H163" s="545"/>
      <c r="I163" s="545"/>
      <c r="J163" s="545"/>
      <c r="K163" s="547"/>
      <c r="L163" s="548"/>
      <c r="M163" s="363"/>
      <c r="N163" s="363"/>
      <c r="P163" s="1196"/>
      <c r="Q163" s="411"/>
      <c r="R163" s="412"/>
      <c r="S163" s="413"/>
      <c r="T163" s="414"/>
      <c r="U163" s="415"/>
      <c r="V163" s="416"/>
      <c r="W163" s="415"/>
      <c r="X163" s="416"/>
      <c r="Y163" s="415"/>
      <c r="Z163" s="416"/>
      <c r="AA163" s="415"/>
      <c r="AB163" s="416"/>
      <c r="AC163" s="417"/>
      <c r="AE163" s="1196"/>
      <c r="AF163" s="411"/>
      <c r="AG163" s="412"/>
      <c r="AH163" s="413"/>
      <c r="AI163" s="414"/>
      <c r="AJ163" s="415"/>
      <c r="AK163" s="416"/>
      <c r="AL163" s="415"/>
      <c r="AM163" s="416"/>
      <c r="AN163" s="415"/>
      <c r="AO163" s="416"/>
      <c r="AP163" s="415"/>
      <c r="AQ163" s="416"/>
      <c r="AR163" s="417"/>
    </row>
    <row r="164" spans="1:44" outlineLevel="1">
      <c r="B164" s="541"/>
      <c r="C164" s="544"/>
      <c r="D164" s="544"/>
      <c r="E164" s="544"/>
      <c r="F164" s="544"/>
      <c r="G164" s="549"/>
      <c r="H164" s="549"/>
      <c r="I164" s="549"/>
      <c r="J164" s="549"/>
      <c r="K164" s="550"/>
      <c r="L164" s="548"/>
      <c r="M164" s="363"/>
      <c r="N164" s="363"/>
    </row>
    <row r="165" spans="1:44" outlineLevel="1">
      <c r="B165" s="541"/>
      <c r="C165" s="544"/>
      <c r="D165" s="544"/>
      <c r="E165" s="544"/>
      <c r="F165" s="544"/>
      <c r="G165" s="549"/>
      <c r="H165" s="549"/>
      <c r="I165" s="549"/>
      <c r="J165" s="549"/>
      <c r="K165" s="550"/>
      <c r="L165" s="548"/>
      <c r="M165" s="420"/>
      <c r="N165" s="363"/>
    </row>
    <row r="166" spans="1:44" outlineLevel="1">
      <c r="B166" s="421"/>
      <c r="C166" s="399"/>
      <c r="D166" s="399"/>
      <c r="E166" s="399"/>
      <c r="F166" s="399"/>
      <c r="G166" s="422"/>
      <c r="H166" s="422"/>
      <c r="I166" s="422"/>
      <c r="J166" s="422"/>
      <c r="K166" s="423"/>
      <c r="L166" s="424"/>
      <c r="M166" s="420"/>
      <c r="N166" s="420"/>
    </row>
    <row r="167" spans="1:44" outlineLevel="1">
      <c r="B167" s="383"/>
      <c r="C167" s="397"/>
      <c r="D167" s="397"/>
      <c r="E167" s="397"/>
      <c r="F167" s="397"/>
      <c r="G167" s="422"/>
      <c r="H167" s="425"/>
      <c r="I167" s="425"/>
      <c r="J167" s="425"/>
      <c r="K167" s="426"/>
      <c r="L167" s="427"/>
      <c r="M167" s="428"/>
      <c r="N167" s="428"/>
    </row>
    <row r="168" spans="1:44" outlineLevel="1">
      <c r="B168" s="383"/>
      <c r="C168" s="397"/>
      <c r="D168" s="397"/>
      <c r="E168" s="397"/>
      <c r="F168" s="397"/>
      <c r="G168" s="425"/>
      <c r="H168" s="425"/>
      <c r="I168" s="425"/>
      <c r="J168" s="425"/>
      <c r="K168" s="423"/>
      <c r="L168" s="427"/>
      <c r="M168" s="428"/>
      <c r="N168" s="428"/>
    </row>
    <row r="169" spans="1:44" outlineLevel="1">
      <c r="B169" s="383"/>
      <c r="C169" s="397"/>
      <c r="D169" s="397"/>
      <c r="E169" s="397"/>
      <c r="F169" s="397"/>
      <c r="G169" s="425"/>
      <c r="H169" s="425"/>
      <c r="I169" s="425"/>
      <c r="J169" s="425"/>
      <c r="K169" s="423"/>
      <c r="L169" s="427"/>
      <c r="M169" s="428"/>
      <c r="N169" s="428"/>
    </row>
    <row r="170" spans="1:44" outlineLevel="1">
      <c r="B170" s="383"/>
      <c r="C170" s="397"/>
      <c r="D170" s="397"/>
      <c r="E170" s="397"/>
      <c r="F170" s="397"/>
      <c r="G170" s="425"/>
      <c r="H170" s="425"/>
      <c r="I170" s="425"/>
      <c r="J170" s="425"/>
      <c r="K170" s="423"/>
      <c r="L170" s="427"/>
      <c r="M170" s="428"/>
      <c r="N170" s="428"/>
    </row>
    <row r="171" spans="1:44" ht="16" outlineLevel="1" thickBot="1">
      <c r="B171" s="429"/>
      <c r="C171" s="430"/>
      <c r="D171" s="430"/>
      <c r="E171" s="430"/>
      <c r="F171" s="430"/>
      <c r="G171" s="425"/>
      <c r="H171" s="425"/>
      <c r="I171" s="425"/>
      <c r="J171" s="425"/>
      <c r="K171" s="423"/>
      <c r="L171" s="427"/>
      <c r="M171" s="428"/>
      <c r="N171" s="428"/>
    </row>
    <row r="172" spans="1:44" ht="16" outlineLevel="1" thickBot="1">
      <c r="B172" s="431"/>
      <c r="C172" s="432"/>
      <c r="D172" s="403"/>
      <c r="E172" s="403"/>
      <c r="F172" s="433"/>
      <c r="G172" s="434"/>
      <c r="H172" s="406"/>
      <c r="I172" s="406"/>
      <c r="J172" s="406"/>
      <c r="K172" s="407"/>
      <c r="L172" s="408"/>
      <c r="M172" s="428"/>
      <c r="N172" s="428"/>
    </row>
    <row r="173" spans="1:44" outlineLevel="1">
      <c r="A173" s="435"/>
      <c r="B173" s="436"/>
      <c r="C173" s="551"/>
      <c r="D173" s="438"/>
      <c r="E173" s="438"/>
      <c r="F173" s="439"/>
      <c r="G173" s="425"/>
      <c r="H173" s="425"/>
      <c r="I173" s="425"/>
      <c r="J173" s="425"/>
      <c r="K173" s="426"/>
      <c r="L173" s="440"/>
      <c r="M173" s="420"/>
      <c r="N173" s="420"/>
    </row>
    <row r="174" spans="1:44" outlineLevel="1">
      <c r="B174" s="441"/>
      <c r="C174" s="442"/>
      <c r="D174" s="443"/>
      <c r="E174" s="443"/>
      <c r="F174" s="443"/>
      <c r="G174" s="425"/>
      <c r="H174" s="425"/>
      <c r="I174" s="425"/>
      <c r="J174" s="425"/>
      <c r="K174" s="444"/>
      <c r="L174" s="373"/>
      <c r="M174" s="71"/>
      <c r="N174" s="420"/>
    </row>
    <row r="175" spans="1:44" outlineLevel="1">
      <c r="B175" s="441"/>
      <c r="C175" s="442"/>
      <c r="D175" s="442"/>
      <c r="E175" s="442"/>
      <c r="F175" s="442"/>
      <c r="G175" s="425"/>
      <c r="H175" s="425"/>
      <c r="I175" s="425"/>
      <c r="J175" s="425"/>
      <c r="K175" s="444"/>
      <c r="L175" s="373"/>
      <c r="M175" s="420"/>
      <c r="N175" s="420"/>
    </row>
    <row r="176" spans="1:44" outlineLevel="1">
      <c r="B176" s="383"/>
      <c r="C176" s="445"/>
      <c r="D176" s="446"/>
      <c r="E176" s="446"/>
      <c r="F176" s="447"/>
      <c r="G176" s="425"/>
      <c r="H176" s="425"/>
      <c r="I176" s="425"/>
      <c r="J176" s="425"/>
      <c r="K176" s="448"/>
      <c r="L176" s="373"/>
      <c r="M176" s="420"/>
      <c r="N176" s="420"/>
    </row>
    <row r="177" spans="2:30" outlineLevel="1">
      <c r="B177" s="383"/>
      <c r="C177" s="449"/>
      <c r="D177" s="449"/>
      <c r="E177" s="449"/>
      <c r="F177" s="449"/>
      <c r="G177" s="425"/>
      <c r="H177" s="425"/>
      <c r="I177" s="425"/>
      <c r="J177" s="425"/>
      <c r="K177" s="448"/>
      <c r="L177" s="373"/>
      <c r="M177" s="450"/>
      <c r="N177" s="361"/>
      <c r="P177" s="1142"/>
      <c r="Q177" s="1143"/>
      <c r="R177" s="1143"/>
      <c r="S177" s="1143"/>
      <c r="T177" s="1143"/>
      <c r="U177" s="1144"/>
    </row>
    <row r="178" spans="2:30" ht="16" outlineLevel="1" thickBot="1">
      <c r="B178" s="541"/>
      <c r="C178" s="552"/>
      <c r="D178" s="552"/>
      <c r="E178" s="552"/>
      <c r="F178" s="552"/>
      <c r="G178" s="553"/>
      <c r="H178" s="553"/>
      <c r="I178" s="553"/>
      <c r="J178" s="553"/>
      <c r="K178" s="547"/>
      <c r="L178" s="548"/>
      <c r="M178" s="450"/>
      <c r="N178" s="361"/>
      <c r="P178" s="1134"/>
      <c r="Q178" s="1135"/>
      <c r="R178" s="1135"/>
      <c r="S178" s="1135"/>
      <c r="T178" s="1135"/>
      <c r="U178" s="1136"/>
    </row>
    <row r="179" spans="2:30" outlineLevel="1">
      <c r="B179" s="541"/>
      <c r="C179" s="554"/>
      <c r="D179" s="554"/>
      <c r="E179" s="554"/>
      <c r="F179" s="554"/>
      <c r="G179" s="553"/>
      <c r="H179" s="553"/>
      <c r="I179" s="553"/>
      <c r="J179" s="553"/>
      <c r="K179" s="555"/>
      <c r="L179" s="548"/>
      <c r="M179" s="363"/>
      <c r="N179" s="363"/>
      <c r="P179" s="53"/>
    </row>
    <row r="180" spans="2:30" outlineLevel="1">
      <c r="B180" s="441"/>
      <c r="C180" s="456"/>
      <c r="D180" s="456"/>
      <c r="E180" s="456"/>
      <c r="F180" s="456"/>
      <c r="G180" s="425"/>
      <c r="H180" s="425"/>
      <c r="I180" s="425"/>
      <c r="J180" s="425"/>
      <c r="K180" s="444"/>
      <c r="L180" s="424"/>
      <c r="M180" s="367"/>
      <c r="N180" s="367"/>
      <c r="P180" s="46"/>
      <c r="Q180" s="46"/>
      <c r="R180" s="47"/>
      <c r="S180" s="47"/>
      <c r="T180" s="47"/>
      <c r="U180" s="48"/>
      <c r="V180" s="49"/>
      <c r="W180" s="49"/>
      <c r="X180" s="49"/>
      <c r="Y180" s="49"/>
      <c r="Z180" s="49"/>
      <c r="AA180" s="49"/>
      <c r="AB180" s="49"/>
      <c r="AC180" s="49"/>
      <c r="AD180" s="49"/>
    </row>
    <row r="181" spans="2:30" ht="16" outlineLevel="1" thickBot="1">
      <c r="B181" s="441"/>
      <c r="C181" s="442"/>
      <c r="D181" s="457"/>
      <c r="E181" s="457"/>
      <c r="F181" s="458"/>
      <c r="G181" s="425"/>
      <c r="H181" s="425"/>
      <c r="I181" s="425"/>
      <c r="J181" s="425"/>
      <c r="K181" s="448"/>
      <c r="L181" s="424"/>
      <c r="M181" s="363"/>
      <c r="N181" s="363"/>
      <c r="P181" s="50"/>
      <c r="Q181" s="50"/>
      <c r="R181" s="51"/>
      <c r="S181" s="51"/>
      <c r="T181" s="51"/>
      <c r="U181" s="51"/>
      <c r="V181" s="50"/>
      <c r="W181" s="50"/>
      <c r="X181" s="50"/>
      <c r="Y181" s="50"/>
      <c r="Z181" s="50"/>
      <c r="AA181" s="50"/>
      <c r="AB181" s="50"/>
      <c r="AC181" s="50"/>
      <c r="AD181" s="50"/>
    </row>
    <row r="182" spans="2:30" ht="16" outlineLevel="1" thickBot="1">
      <c r="B182" s="401"/>
      <c r="C182" s="402"/>
      <c r="D182" s="403"/>
      <c r="E182" s="404"/>
      <c r="F182" s="405"/>
      <c r="G182" s="406"/>
      <c r="H182" s="406"/>
      <c r="I182" s="406"/>
      <c r="J182" s="406"/>
      <c r="K182" s="459"/>
      <c r="L182" s="460"/>
      <c r="M182" s="363"/>
      <c r="N182" s="363"/>
      <c r="O182" s="461"/>
      <c r="P182" s="56"/>
      <c r="Q182" s="56"/>
      <c r="R182" s="57"/>
      <c r="S182" s="57"/>
      <c r="T182" s="57"/>
      <c r="U182" s="56"/>
      <c r="V182" s="56"/>
      <c r="W182" s="56"/>
      <c r="X182" s="56"/>
      <c r="Y182" s="56"/>
      <c r="Z182" s="56"/>
      <c r="AA182" s="56"/>
      <c r="AB182" s="56"/>
      <c r="AC182" s="56"/>
      <c r="AD182" s="56"/>
    </row>
    <row r="183" spans="2:30" outlineLevel="1">
      <c r="B183" s="556"/>
      <c r="C183" s="557"/>
      <c r="D183" s="557"/>
      <c r="E183" s="557"/>
      <c r="F183" s="557"/>
      <c r="G183" s="558"/>
      <c r="H183" s="558"/>
      <c r="I183" s="558"/>
      <c r="J183" s="558"/>
      <c r="K183" s="558"/>
      <c r="L183" s="559"/>
      <c r="M183" s="363"/>
      <c r="N183" s="363"/>
      <c r="O183" s="465"/>
      <c r="P183" s="466"/>
      <c r="Q183" s="58"/>
      <c r="R183" s="466"/>
      <c r="S183" s="58"/>
      <c r="T183" s="466"/>
      <c r="U183" s="467"/>
      <c r="V183" s="467"/>
      <c r="W183" s="467"/>
      <c r="X183" s="58"/>
      <c r="Y183" s="58"/>
      <c r="Z183" s="466"/>
      <c r="AA183" s="468"/>
      <c r="AB183" s="468"/>
      <c r="AC183" s="468"/>
      <c r="AD183" s="468"/>
    </row>
    <row r="184" spans="2:30" outlineLevel="1">
      <c r="B184" s="541"/>
      <c r="C184" s="560"/>
      <c r="D184" s="561"/>
      <c r="E184" s="561"/>
      <c r="F184" s="562"/>
      <c r="G184" s="562"/>
      <c r="H184" s="562"/>
      <c r="I184" s="562"/>
      <c r="J184" s="562"/>
      <c r="K184" s="563"/>
      <c r="L184" s="559"/>
      <c r="M184" s="363"/>
      <c r="N184" s="363"/>
      <c r="O184" s="465"/>
      <c r="P184" s="466"/>
      <c r="Q184" s="58"/>
      <c r="R184" s="466"/>
      <c r="S184" s="58"/>
      <c r="T184" s="466"/>
      <c r="U184" s="467"/>
      <c r="V184" s="467"/>
      <c r="W184" s="467"/>
      <c r="X184" s="58"/>
      <c r="Y184" s="58"/>
      <c r="Z184" s="466"/>
      <c r="AA184" s="468"/>
      <c r="AB184" s="468"/>
      <c r="AC184" s="468"/>
      <c r="AD184" s="468"/>
    </row>
    <row r="185" spans="2:30" outlineLevel="1">
      <c r="B185" s="541"/>
      <c r="C185" s="560"/>
      <c r="D185" s="561"/>
      <c r="E185" s="561"/>
      <c r="F185" s="562"/>
      <c r="G185" s="562"/>
      <c r="H185" s="562"/>
      <c r="I185" s="562"/>
      <c r="J185" s="562"/>
      <c r="K185" s="563"/>
      <c r="L185" s="559"/>
      <c r="M185" s="363"/>
      <c r="N185" s="363"/>
      <c r="O185" s="465"/>
      <c r="P185" s="466"/>
      <c r="Q185" s="58"/>
      <c r="R185" s="466"/>
      <c r="S185" s="58"/>
      <c r="T185" s="466"/>
      <c r="U185" s="467"/>
      <c r="V185" s="467"/>
      <c r="W185" s="467"/>
      <c r="X185" s="58"/>
      <c r="Y185" s="58"/>
      <c r="Z185" s="466"/>
      <c r="AA185" s="468"/>
      <c r="AB185" s="468"/>
      <c r="AC185" s="468"/>
      <c r="AD185" s="468"/>
    </row>
    <row r="186" spans="2:30" outlineLevel="1">
      <c r="B186" s="541"/>
      <c r="C186" s="564"/>
      <c r="D186" s="564"/>
      <c r="E186" s="564"/>
      <c r="F186" s="564"/>
      <c r="G186" s="565"/>
      <c r="H186" s="565"/>
      <c r="I186" s="565"/>
      <c r="J186" s="565"/>
      <c r="K186" s="565"/>
      <c r="L186" s="548"/>
      <c r="M186" s="363"/>
      <c r="N186" s="363"/>
      <c r="O186" s="465"/>
      <c r="P186" s="466"/>
      <c r="Q186" s="58"/>
      <c r="R186" s="466"/>
      <c r="S186" s="58"/>
      <c r="T186" s="466"/>
      <c r="U186" s="467"/>
      <c r="V186" s="467"/>
      <c r="W186" s="467"/>
      <c r="X186" s="58"/>
      <c r="Y186" s="58"/>
      <c r="Z186" s="466"/>
      <c r="AA186" s="468"/>
      <c r="AB186" s="468"/>
      <c r="AC186" s="468"/>
      <c r="AD186" s="468"/>
    </row>
    <row r="187" spans="2:30" outlineLevel="1">
      <c r="B187" s="566"/>
      <c r="C187" s="560"/>
      <c r="D187" s="561"/>
      <c r="E187" s="561"/>
      <c r="F187" s="562"/>
      <c r="G187" s="562"/>
      <c r="H187" s="562"/>
      <c r="I187" s="562"/>
      <c r="J187" s="562"/>
      <c r="K187" s="563"/>
      <c r="L187" s="559"/>
      <c r="M187" s="367"/>
      <c r="N187" s="367"/>
    </row>
    <row r="188" spans="2:30" outlineLevel="1">
      <c r="B188" s="566"/>
      <c r="C188" s="560"/>
      <c r="D188" s="561"/>
      <c r="E188" s="561"/>
      <c r="F188" s="562"/>
      <c r="G188" s="562"/>
      <c r="H188" s="562"/>
      <c r="I188" s="562"/>
      <c r="J188" s="562"/>
      <c r="K188" s="563"/>
      <c r="L188" s="559"/>
      <c r="M188" s="363"/>
      <c r="N188" s="363"/>
    </row>
    <row r="189" spans="2:30" ht="16" outlineLevel="1" thickBot="1">
      <c r="B189" s="567"/>
      <c r="C189" s="568"/>
      <c r="D189" s="568"/>
      <c r="E189" s="568"/>
      <c r="F189" s="568"/>
      <c r="G189" s="568"/>
      <c r="H189" s="568"/>
      <c r="I189" s="568"/>
      <c r="J189" s="568"/>
      <c r="K189" s="568"/>
      <c r="L189" s="569"/>
      <c r="M189" s="363"/>
      <c r="N189" s="363"/>
    </row>
    <row r="190" spans="2:30" outlineLevel="1">
      <c r="B190" s="461"/>
      <c r="C190" s="483"/>
      <c r="D190" s="483"/>
      <c r="E190" s="483"/>
      <c r="F190" s="483"/>
      <c r="G190" s="483"/>
      <c r="H190" s="484"/>
      <c r="I190" s="420"/>
      <c r="J190" s="420"/>
      <c r="K190" s="484"/>
      <c r="L190" s="484"/>
      <c r="N190" s="420"/>
    </row>
    <row r="191" spans="2:30" outlineLevel="1">
      <c r="B191" s="485"/>
      <c r="C191" s="486"/>
      <c r="D191" s="486"/>
      <c r="E191" s="486"/>
      <c r="F191" s="486"/>
      <c r="G191" s="486"/>
      <c r="H191" s="484"/>
      <c r="I191" s="71"/>
      <c r="J191" s="420"/>
      <c r="K191" s="484"/>
      <c r="L191" s="484"/>
      <c r="N191" s="420"/>
    </row>
    <row r="192" spans="2:30" outlineLevel="1">
      <c r="B192" s="461"/>
      <c r="C192" s="359"/>
      <c r="D192" s="359"/>
      <c r="E192" s="359"/>
      <c r="F192" s="359"/>
      <c r="G192" s="359"/>
      <c r="I192" s="420"/>
      <c r="J192" s="420"/>
      <c r="N192" s="420"/>
    </row>
    <row r="193" spans="1:16" outlineLevel="1">
      <c r="B193" s="461"/>
      <c r="C193" s="487"/>
      <c r="D193" s="487"/>
      <c r="E193" s="487"/>
      <c r="F193" s="487"/>
      <c r="G193" s="359"/>
      <c r="M193" s="420"/>
      <c r="N193" s="420"/>
    </row>
    <row r="194" spans="1:16" outlineLevel="1"/>
    <row r="195" spans="1:16" outlineLevel="1">
      <c r="A195" s="488"/>
      <c r="B195" s="489"/>
      <c r="D195" s="490"/>
      <c r="E195" s="490"/>
      <c r="F195" s="490"/>
      <c r="G195" s="358"/>
      <c r="H195" s="358"/>
      <c r="I195" s="358"/>
      <c r="J195" s="358"/>
      <c r="K195" s="358"/>
      <c r="L195" s="358"/>
      <c r="N195" s="570"/>
      <c r="O195" s="489"/>
      <c r="P195" s="490"/>
    </row>
    <row r="196" spans="1:16" outlineLevel="1">
      <c r="A196" s="491"/>
      <c r="B196" s="492"/>
      <c r="D196" s="490"/>
      <c r="E196" s="490"/>
      <c r="F196" s="490"/>
      <c r="G196" s="358"/>
      <c r="H196" s="358"/>
      <c r="I196" s="358"/>
      <c r="J196" s="358"/>
      <c r="K196" s="358"/>
      <c r="L196" s="358"/>
      <c r="N196" s="570"/>
      <c r="O196" s="489"/>
      <c r="P196" s="490"/>
    </row>
    <row r="197" spans="1:16" outlineLevel="1">
      <c r="A197" s="491"/>
      <c r="B197" s="493"/>
      <c r="D197" s="490"/>
      <c r="E197" s="490"/>
      <c r="F197" s="490"/>
      <c r="G197" s="358"/>
      <c r="H197" s="358"/>
      <c r="I197" s="358"/>
      <c r="J197" s="358"/>
      <c r="K197" s="358"/>
      <c r="L197" s="358"/>
      <c r="N197" s="570"/>
      <c r="O197" s="489"/>
      <c r="P197" s="490"/>
    </row>
    <row r="198" spans="1:16" outlineLevel="1">
      <c r="A198" s="491"/>
      <c r="B198" s="493"/>
      <c r="D198" s="490"/>
      <c r="E198" s="490"/>
      <c r="F198" s="490"/>
      <c r="G198" s="358"/>
      <c r="H198" s="358"/>
      <c r="I198" s="358"/>
      <c r="J198" s="358"/>
      <c r="K198" s="358"/>
      <c r="L198" s="358"/>
      <c r="N198" s="570"/>
      <c r="O198" s="489"/>
      <c r="P198" s="490"/>
    </row>
    <row r="199" spans="1:16" outlineLevel="1">
      <c r="A199" s="491"/>
      <c r="B199" s="493"/>
      <c r="D199" s="490"/>
      <c r="E199" s="490"/>
      <c r="F199" s="490"/>
      <c r="G199" s="358"/>
      <c r="H199" s="358"/>
      <c r="I199" s="358"/>
      <c r="J199" s="358"/>
      <c r="K199" s="358"/>
      <c r="L199" s="358"/>
      <c r="N199" s="570"/>
      <c r="O199" s="489"/>
      <c r="P199" s="490"/>
    </row>
    <row r="200" spans="1:16" outlineLevel="1">
      <c r="A200" s="358"/>
      <c r="B200" s="494"/>
      <c r="D200" s="490"/>
      <c r="E200" s="490"/>
      <c r="F200" s="490"/>
      <c r="G200" s="358"/>
      <c r="H200" s="358"/>
      <c r="I200" s="358"/>
      <c r="J200" s="358"/>
      <c r="K200" s="358"/>
      <c r="L200" s="358"/>
    </row>
    <row r="201" spans="1:16" outlineLevel="1">
      <c r="A201" s="358"/>
      <c r="B201" s="492"/>
      <c r="D201" s="490"/>
      <c r="E201" s="490"/>
      <c r="F201" s="490"/>
      <c r="G201" s="358"/>
      <c r="H201" s="358"/>
      <c r="I201" s="358"/>
      <c r="J201" s="358"/>
      <c r="K201" s="358"/>
      <c r="L201" s="358"/>
    </row>
    <row r="202" spans="1:16" outlineLevel="1">
      <c r="A202" s="358"/>
      <c r="B202" s="495"/>
      <c r="D202" s="490"/>
      <c r="E202" s="490"/>
      <c r="F202" s="490"/>
      <c r="G202" s="358"/>
      <c r="H202" s="358"/>
      <c r="I202" s="358"/>
      <c r="J202" s="358"/>
      <c r="K202" s="358"/>
      <c r="L202" s="358"/>
    </row>
    <row r="203" spans="1:16" outlineLevel="1">
      <c r="A203" s="358"/>
      <c r="B203" s="495"/>
      <c r="D203" s="490"/>
      <c r="E203" s="490"/>
      <c r="F203" s="490"/>
      <c r="G203" s="358"/>
      <c r="H203" s="358"/>
      <c r="I203" s="358"/>
      <c r="J203" s="358"/>
      <c r="K203" s="358"/>
      <c r="L203" s="358"/>
    </row>
    <row r="204" spans="1:16" outlineLevel="1">
      <c r="A204" s="358"/>
      <c r="B204" s="489"/>
      <c r="D204" s="490"/>
      <c r="E204" s="490"/>
      <c r="F204" s="490"/>
      <c r="G204" s="358"/>
      <c r="H204" s="358"/>
      <c r="I204" s="358"/>
      <c r="J204" s="358"/>
      <c r="K204" s="358"/>
      <c r="L204" s="358"/>
    </row>
    <row r="205" spans="1:16" outlineLevel="1">
      <c r="A205" s="358"/>
      <c r="B205" s="490"/>
      <c r="D205" s="490"/>
      <c r="E205" s="490"/>
      <c r="F205" s="490"/>
      <c r="G205" s="358"/>
      <c r="H205" s="358"/>
      <c r="I205" s="358"/>
      <c r="J205" s="358"/>
      <c r="K205" s="358"/>
      <c r="L205" s="358"/>
    </row>
    <row r="206" spans="1:16" outlineLevel="1">
      <c r="A206" s="488"/>
      <c r="B206" s="489"/>
      <c r="D206" s="490"/>
      <c r="E206" s="490"/>
      <c r="F206" s="490"/>
      <c r="G206" s="358"/>
      <c r="H206" s="358"/>
      <c r="I206" s="358"/>
      <c r="J206" s="358"/>
      <c r="K206" s="358"/>
      <c r="L206" s="358"/>
    </row>
    <row r="207" spans="1:16" outlineLevel="1">
      <c r="A207" s="496"/>
      <c r="B207" s="497"/>
      <c r="C207" s="490"/>
      <c r="D207" s="490"/>
      <c r="E207" s="490"/>
      <c r="F207" s="490"/>
      <c r="G207" s="358"/>
      <c r="H207" s="358"/>
      <c r="I207" s="358"/>
      <c r="J207" s="358"/>
      <c r="K207" s="358"/>
      <c r="L207" s="358"/>
      <c r="N207" s="570"/>
      <c r="O207" s="489"/>
      <c r="P207" s="490"/>
    </row>
    <row r="208" spans="1:16" outlineLevel="1">
      <c r="A208" s="496"/>
      <c r="B208" s="489"/>
      <c r="C208" s="490"/>
      <c r="D208" s="490"/>
      <c r="E208" s="490"/>
      <c r="F208" s="490"/>
      <c r="G208" s="358"/>
      <c r="H208" s="358"/>
      <c r="I208" s="358"/>
      <c r="J208" s="358"/>
      <c r="K208" s="358"/>
      <c r="L208" s="358"/>
      <c r="N208" s="571"/>
      <c r="O208" s="489"/>
      <c r="P208" s="490"/>
    </row>
    <row r="209" spans="1:44" outlineLevel="1">
      <c r="A209" s="496"/>
      <c r="B209" s="489"/>
      <c r="C209" s="490"/>
      <c r="D209" s="490"/>
      <c r="E209" s="490"/>
      <c r="F209" s="490"/>
      <c r="G209" s="358"/>
      <c r="H209" s="358"/>
      <c r="I209" s="358"/>
      <c r="J209" s="358"/>
      <c r="K209" s="358"/>
      <c r="L209" s="358"/>
      <c r="N209" s="572"/>
      <c r="O209" s="489"/>
      <c r="P209" s="490"/>
    </row>
    <row r="210" spans="1:44" outlineLevel="1">
      <c r="A210" s="496"/>
      <c r="B210" s="489"/>
      <c r="C210" s="490"/>
      <c r="D210" s="490"/>
      <c r="E210" s="490"/>
      <c r="F210" s="490"/>
      <c r="G210" s="358"/>
      <c r="H210" s="358"/>
      <c r="I210" s="358"/>
      <c r="J210" s="358"/>
      <c r="K210" s="358"/>
      <c r="L210" s="358"/>
      <c r="N210" s="573"/>
      <c r="O210" s="489"/>
      <c r="P210" s="490"/>
    </row>
    <row r="211" spans="1:44" outlineLevel="1">
      <c r="A211" s="496"/>
      <c r="B211" s="498"/>
      <c r="C211" s="490"/>
      <c r="D211" s="490"/>
      <c r="E211" s="490"/>
      <c r="F211" s="490"/>
      <c r="G211" s="358"/>
      <c r="H211" s="358"/>
      <c r="I211" s="358"/>
      <c r="J211" s="358"/>
      <c r="K211" s="358"/>
      <c r="L211" s="358"/>
      <c r="N211" s="573"/>
      <c r="O211" s="490"/>
      <c r="P211" s="490"/>
    </row>
    <row r="212" spans="1:44" outlineLevel="1">
      <c r="A212" s="496"/>
      <c r="B212" s="489"/>
      <c r="C212" s="490"/>
      <c r="D212" s="490"/>
      <c r="E212" s="490"/>
      <c r="F212" s="490"/>
      <c r="G212" s="358"/>
      <c r="H212" s="358"/>
      <c r="I212" s="358"/>
      <c r="J212" s="358"/>
      <c r="K212" s="358"/>
      <c r="L212" s="358"/>
      <c r="N212" s="489"/>
      <c r="O212" s="490"/>
      <c r="P212" s="490"/>
    </row>
    <row r="213" spans="1:44" outlineLevel="1">
      <c r="A213" s="496"/>
      <c r="B213" s="489"/>
      <c r="C213" s="490"/>
      <c r="D213" s="490"/>
      <c r="E213" s="490"/>
      <c r="F213" s="490"/>
      <c r="G213" s="358"/>
      <c r="H213" s="358"/>
      <c r="I213" s="358"/>
      <c r="J213" s="358"/>
      <c r="K213" s="358"/>
      <c r="L213" s="358"/>
      <c r="N213" s="490"/>
      <c r="O213" s="490"/>
      <c r="P213" s="490"/>
    </row>
    <row r="214" spans="1:44" outlineLevel="1"/>
    <row r="215" spans="1:44" outlineLevel="1"/>
    <row r="217" spans="1:44" ht="16" thickBot="1">
      <c r="A217" s="360"/>
    </row>
    <row r="218" spans="1:44" ht="20.5" customHeight="1" outlineLevel="1" thickBot="1">
      <c r="B218" s="362"/>
      <c r="C218" s="1186"/>
      <c r="D218" s="1205"/>
      <c r="E218" s="1205"/>
      <c r="F218" s="1205"/>
      <c r="G218" s="1205"/>
      <c r="H218" s="1205"/>
      <c r="I218" s="1205"/>
      <c r="J218" s="1205"/>
      <c r="K218" s="1205"/>
      <c r="L218" s="1206"/>
      <c r="M218" s="363"/>
      <c r="N218" s="363"/>
      <c r="P218" s="364"/>
      <c r="Q218" s="365"/>
      <c r="R218" s="366"/>
      <c r="S218" s="1176"/>
      <c r="T218" s="1160"/>
      <c r="U218" s="1161"/>
      <c r="V218" s="1160"/>
      <c r="W218" s="1161"/>
      <c r="X218" s="1160"/>
      <c r="Y218" s="1161"/>
      <c r="Z218" s="1160"/>
      <c r="AA218" s="1161"/>
      <c r="AB218" s="1160"/>
      <c r="AC218" s="1161"/>
      <c r="AE218" s="364"/>
      <c r="AF218" s="365"/>
      <c r="AG218" s="366"/>
      <c r="AH218" s="1176"/>
      <c r="AI218" s="1160"/>
      <c r="AJ218" s="1161"/>
      <c r="AK218" s="1160"/>
      <c r="AL218" s="1161"/>
      <c r="AM218" s="1160"/>
      <c r="AN218" s="1161"/>
      <c r="AO218" s="1160"/>
      <c r="AP218" s="1161"/>
      <c r="AQ218" s="1160"/>
      <c r="AR218" s="1161"/>
    </row>
    <row r="219" spans="1:44" ht="15" customHeight="1" outlineLevel="1" thickBot="1">
      <c r="B219" s="1164"/>
      <c r="C219" s="1166"/>
      <c r="D219" s="1166"/>
      <c r="E219" s="1166"/>
      <c r="F219" s="1166"/>
      <c r="G219" s="1168"/>
      <c r="H219" s="1169"/>
      <c r="I219" s="1168"/>
      <c r="J219" s="1169"/>
      <c r="K219" s="1189"/>
      <c r="L219" s="1189"/>
      <c r="M219" s="367"/>
      <c r="N219" s="367"/>
      <c r="P219" s="1180"/>
      <c r="Q219" s="368"/>
      <c r="R219" s="368"/>
      <c r="S219" s="1177"/>
      <c r="T219" s="1162"/>
      <c r="U219" s="1163"/>
      <c r="V219" s="1162"/>
      <c r="W219" s="1163"/>
      <c r="X219" s="1162"/>
      <c r="Y219" s="1163"/>
      <c r="Z219" s="1162"/>
      <c r="AA219" s="1163"/>
      <c r="AB219" s="1162"/>
      <c r="AC219" s="1163"/>
      <c r="AE219" s="1180"/>
      <c r="AF219" s="368"/>
      <c r="AG219" s="368"/>
      <c r="AH219" s="1177"/>
      <c r="AI219" s="1162"/>
      <c r="AJ219" s="1163"/>
      <c r="AK219" s="1162"/>
      <c r="AL219" s="1163"/>
      <c r="AM219" s="1162"/>
      <c r="AN219" s="1163"/>
      <c r="AO219" s="1162"/>
      <c r="AP219" s="1163"/>
      <c r="AQ219" s="1162"/>
      <c r="AR219" s="1163"/>
    </row>
    <row r="220" spans="1:44" ht="15" customHeight="1" outlineLevel="1" thickBot="1">
      <c r="B220" s="1165"/>
      <c r="C220" s="1167"/>
      <c r="D220" s="1167"/>
      <c r="E220" s="1167"/>
      <c r="F220" s="1167"/>
      <c r="G220" s="406"/>
      <c r="H220" s="406"/>
      <c r="I220" s="406"/>
      <c r="J220" s="406"/>
      <c r="K220" s="1190"/>
      <c r="L220" s="1190"/>
      <c r="M220" s="370"/>
      <c r="N220" s="370"/>
      <c r="P220" s="1181"/>
      <c r="Q220" s="1183"/>
      <c r="R220" s="1184"/>
      <c r="S220" s="1178"/>
      <c r="T220" s="1162"/>
      <c r="U220" s="1163"/>
      <c r="V220" s="1162"/>
      <c r="W220" s="1163"/>
      <c r="X220" s="1162"/>
      <c r="Y220" s="1163"/>
      <c r="Z220" s="1162"/>
      <c r="AA220" s="1163"/>
      <c r="AB220" s="1162"/>
      <c r="AC220" s="1163"/>
      <c r="AE220" s="1181"/>
      <c r="AF220" s="1197"/>
      <c r="AG220" s="1184"/>
      <c r="AH220" s="1178"/>
      <c r="AI220" s="1162"/>
      <c r="AJ220" s="1163"/>
      <c r="AK220" s="1162"/>
      <c r="AL220" s="1163"/>
      <c r="AM220" s="1162"/>
      <c r="AN220" s="1163"/>
      <c r="AO220" s="1162"/>
      <c r="AP220" s="1163"/>
      <c r="AQ220" s="1162"/>
      <c r="AR220" s="1163"/>
    </row>
    <row r="221" spans="1:44" ht="16" outlineLevel="1" thickBot="1">
      <c r="B221" s="371"/>
      <c r="C221" s="372"/>
      <c r="D221" s="372"/>
      <c r="E221" s="372"/>
      <c r="F221" s="372"/>
      <c r="G221" s="372"/>
      <c r="H221" s="372"/>
      <c r="I221" s="372"/>
      <c r="J221" s="372"/>
      <c r="K221" s="372"/>
      <c r="L221" s="373"/>
      <c r="M221" s="370"/>
      <c r="N221" s="370"/>
      <c r="O221" s="74"/>
      <c r="P221" s="1182"/>
      <c r="Q221" s="1179"/>
      <c r="R221" s="1185"/>
      <c r="S221" s="1179"/>
      <c r="T221" s="374"/>
      <c r="U221" s="375"/>
      <c r="V221" s="374"/>
      <c r="W221" s="375"/>
      <c r="X221" s="374"/>
      <c r="Y221" s="375"/>
      <c r="Z221" s="374"/>
      <c r="AA221" s="375"/>
      <c r="AB221" s="374"/>
      <c r="AC221" s="375"/>
      <c r="AE221" s="1182"/>
      <c r="AF221" s="1198"/>
      <c r="AG221" s="1185"/>
      <c r="AH221" s="1179"/>
      <c r="AI221" s="374"/>
      <c r="AJ221" s="375"/>
      <c r="AK221" s="374"/>
      <c r="AL221" s="375"/>
      <c r="AM221" s="374"/>
      <c r="AN221" s="375"/>
      <c r="AO221" s="374"/>
      <c r="AP221" s="375"/>
      <c r="AQ221" s="374"/>
      <c r="AR221" s="375"/>
    </row>
    <row r="222" spans="1:44" ht="14.5" customHeight="1" outlineLevel="1">
      <c r="B222" s="541"/>
      <c r="C222" s="542"/>
      <c r="D222" s="542"/>
      <c r="E222" s="543"/>
      <c r="F222" s="542"/>
      <c r="G222" s="542"/>
      <c r="H222" s="542"/>
      <c r="I222" s="542"/>
      <c r="J222" s="542"/>
      <c r="K222" s="547"/>
      <c r="L222" s="548"/>
      <c r="M222" s="370"/>
      <c r="N222" s="370"/>
      <c r="P222" s="1148"/>
      <c r="Q222" s="1154"/>
      <c r="R222" s="381"/>
      <c r="S222" s="382"/>
      <c r="T222" s="1137"/>
      <c r="U222" s="1151"/>
      <c r="V222" s="1137"/>
      <c r="W222" s="1151"/>
      <c r="X222" s="1137"/>
      <c r="Y222" s="1151"/>
      <c r="Z222" s="1137"/>
      <c r="AA222" s="1151"/>
      <c r="AB222" s="1137"/>
      <c r="AC222" s="1151"/>
      <c r="AE222" s="1148"/>
      <c r="AF222" s="1154"/>
      <c r="AG222" s="381"/>
      <c r="AH222" s="382"/>
      <c r="AI222" s="1137"/>
      <c r="AJ222" s="1151"/>
      <c r="AK222" s="1137"/>
      <c r="AL222" s="1151"/>
      <c r="AM222" s="1137"/>
      <c r="AN222" s="1151"/>
      <c r="AO222" s="1137"/>
      <c r="AP222" s="1151"/>
      <c r="AQ222" s="1137"/>
      <c r="AR222" s="1151"/>
    </row>
    <row r="223" spans="1:44" outlineLevel="1">
      <c r="B223" s="383"/>
      <c r="C223" s="384"/>
      <c r="D223" s="384"/>
      <c r="E223" s="384"/>
      <c r="F223" s="384"/>
      <c r="G223" s="505"/>
      <c r="H223" s="505"/>
      <c r="I223" s="505"/>
      <c r="J223" s="505"/>
      <c r="K223" s="372"/>
      <c r="L223" s="373"/>
      <c r="M223" s="370"/>
      <c r="N223" s="370"/>
      <c r="O223" s="71"/>
      <c r="P223" s="1195"/>
      <c r="Q223" s="1155"/>
      <c r="R223" s="388"/>
      <c r="S223" s="389"/>
      <c r="T223" s="1140"/>
      <c r="U223" s="1152"/>
      <c r="V223" s="1140"/>
      <c r="W223" s="1152"/>
      <c r="X223" s="1140"/>
      <c r="Y223" s="1152"/>
      <c r="Z223" s="1140"/>
      <c r="AA223" s="1152"/>
      <c r="AB223" s="1140"/>
      <c r="AC223" s="1152"/>
      <c r="AE223" s="1195"/>
      <c r="AF223" s="1155"/>
      <c r="AG223" s="388"/>
      <c r="AH223" s="389"/>
      <c r="AI223" s="1140"/>
      <c r="AJ223" s="1152"/>
      <c r="AK223" s="1140"/>
      <c r="AL223" s="1152"/>
      <c r="AM223" s="1140"/>
      <c r="AN223" s="1152"/>
      <c r="AO223" s="1140"/>
      <c r="AP223" s="1152"/>
      <c r="AQ223" s="1140"/>
      <c r="AR223" s="1152"/>
    </row>
    <row r="224" spans="1:44" ht="16" outlineLevel="1" thickBot="1">
      <c r="B224" s="541"/>
      <c r="C224" s="544"/>
      <c r="D224" s="545"/>
      <c r="E224" s="545"/>
      <c r="F224" s="546"/>
      <c r="G224" s="545"/>
      <c r="H224" s="545"/>
      <c r="I224" s="545"/>
      <c r="J224" s="545"/>
      <c r="K224" s="547"/>
      <c r="L224" s="548"/>
      <c r="M224" s="370"/>
      <c r="N224" s="370"/>
      <c r="O224" s="71"/>
      <c r="P224" s="1195"/>
      <c r="Q224" s="1156"/>
      <c r="R224" s="393"/>
      <c r="S224" s="394"/>
      <c r="T224" s="1141"/>
      <c r="U224" s="1153"/>
      <c r="V224" s="1141"/>
      <c r="W224" s="1153"/>
      <c r="X224" s="1141"/>
      <c r="Y224" s="1153"/>
      <c r="Z224" s="1141"/>
      <c r="AA224" s="1153"/>
      <c r="AB224" s="1141"/>
      <c r="AC224" s="1153"/>
      <c r="AE224" s="1195"/>
      <c r="AF224" s="1156"/>
      <c r="AG224" s="393"/>
      <c r="AH224" s="394"/>
      <c r="AI224" s="1141"/>
      <c r="AJ224" s="1153"/>
      <c r="AK224" s="1141"/>
      <c r="AL224" s="1153"/>
      <c r="AM224" s="1141"/>
      <c r="AN224" s="1153"/>
      <c r="AO224" s="1141"/>
      <c r="AP224" s="1153"/>
      <c r="AQ224" s="1141"/>
      <c r="AR224" s="1153"/>
    </row>
    <row r="225" spans="1:44" ht="14.5" customHeight="1" outlineLevel="1">
      <c r="B225" s="541"/>
      <c r="C225" s="544"/>
      <c r="D225" s="544"/>
      <c r="E225" s="544"/>
      <c r="F225" s="544"/>
      <c r="G225" s="544"/>
      <c r="H225" s="544"/>
      <c r="I225" s="544"/>
      <c r="J225" s="544"/>
      <c r="K225" s="547"/>
      <c r="L225" s="548"/>
      <c r="M225" s="370"/>
      <c r="N225" s="370"/>
      <c r="O225" s="71"/>
      <c r="P225" s="1195"/>
      <c r="Q225" s="1154"/>
      <c r="R225" s="395"/>
      <c r="S225" s="396"/>
      <c r="T225" s="1137"/>
      <c r="U225" s="1137"/>
      <c r="V225" s="1137"/>
      <c r="W225" s="1137"/>
      <c r="X225" s="1137"/>
      <c r="Y225" s="1137"/>
      <c r="Z225" s="1137"/>
      <c r="AA225" s="1137"/>
      <c r="AB225" s="1137"/>
      <c r="AC225" s="1137"/>
      <c r="AE225" s="1195"/>
      <c r="AF225" s="1154"/>
      <c r="AG225" s="395"/>
      <c r="AH225" s="396"/>
      <c r="AI225" s="1137"/>
      <c r="AJ225" s="1137"/>
      <c r="AK225" s="1137"/>
      <c r="AL225" s="1137"/>
      <c r="AM225" s="1137"/>
      <c r="AN225" s="1137"/>
      <c r="AO225" s="1137"/>
      <c r="AP225" s="1137"/>
      <c r="AQ225" s="1137"/>
      <c r="AR225" s="1137"/>
    </row>
    <row r="226" spans="1:44" outlineLevel="1">
      <c r="B226" s="541"/>
      <c r="C226" s="544"/>
      <c r="D226" s="544"/>
      <c r="E226" s="544"/>
      <c r="F226" s="544"/>
      <c r="G226" s="544"/>
      <c r="H226" s="544"/>
      <c r="I226" s="544"/>
      <c r="J226" s="544"/>
      <c r="K226" s="547"/>
      <c r="L226" s="548"/>
      <c r="M226" s="367"/>
      <c r="N226" s="367"/>
      <c r="O226" s="71"/>
      <c r="P226" s="1195"/>
      <c r="Q226" s="1155"/>
      <c r="R226" s="395"/>
      <c r="S226" s="396"/>
      <c r="T226" s="1138"/>
      <c r="U226" s="1138"/>
      <c r="V226" s="1138"/>
      <c r="W226" s="1138"/>
      <c r="X226" s="1138"/>
      <c r="Y226" s="1138"/>
      <c r="Z226" s="1138"/>
      <c r="AA226" s="1138"/>
      <c r="AB226" s="1138"/>
      <c r="AC226" s="1138"/>
      <c r="AE226" s="1195"/>
      <c r="AF226" s="1155"/>
      <c r="AG226" s="395"/>
      <c r="AH226" s="396"/>
      <c r="AI226" s="1138"/>
      <c r="AJ226" s="1138"/>
      <c r="AK226" s="1138"/>
      <c r="AL226" s="1138"/>
      <c r="AM226" s="1138"/>
      <c r="AN226" s="1138"/>
      <c r="AO226" s="1138"/>
      <c r="AP226" s="1138"/>
      <c r="AQ226" s="1138"/>
      <c r="AR226" s="1138"/>
    </row>
    <row r="227" spans="1:44" outlineLevel="1">
      <c r="B227" s="383"/>
      <c r="C227" s="397"/>
      <c r="D227" s="397"/>
      <c r="E227" s="397"/>
      <c r="F227" s="397"/>
      <c r="G227" s="399"/>
      <c r="H227" s="399"/>
      <c r="I227" s="399"/>
      <c r="J227" s="399"/>
      <c r="K227" s="372"/>
      <c r="L227" s="373"/>
      <c r="M227" s="363"/>
      <c r="N227" s="363"/>
      <c r="P227" s="1195"/>
      <c r="Q227" s="1155"/>
      <c r="R227" s="395"/>
      <c r="S227" s="396"/>
      <c r="T227" s="1138"/>
      <c r="U227" s="1138"/>
      <c r="V227" s="1138"/>
      <c r="W227" s="1138"/>
      <c r="X227" s="1138"/>
      <c r="Y227" s="1138"/>
      <c r="Z227" s="1138"/>
      <c r="AA227" s="1138"/>
      <c r="AB227" s="1138"/>
      <c r="AC227" s="1138"/>
      <c r="AE227" s="1195"/>
      <c r="AF227" s="1155"/>
      <c r="AG227" s="395"/>
      <c r="AH227" s="396"/>
      <c r="AI227" s="1138"/>
      <c r="AJ227" s="1138"/>
      <c r="AK227" s="1138"/>
      <c r="AL227" s="1138"/>
      <c r="AM227" s="1138"/>
      <c r="AN227" s="1138"/>
      <c r="AO227" s="1138"/>
      <c r="AP227" s="1138"/>
      <c r="AQ227" s="1138"/>
      <c r="AR227" s="1138"/>
    </row>
    <row r="228" spans="1:44" ht="16" outlineLevel="1" thickBot="1">
      <c r="B228" s="541"/>
      <c r="C228" s="544"/>
      <c r="D228" s="544"/>
      <c r="E228" s="544"/>
      <c r="F228" s="544"/>
      <c r="G228" s="544"/>
      <c r="H228" s="544"/>
      <c r="I228" s="544"/>
      <c r="J228" s="544"/>
      <c r="K228" s="547"/>
      <c r="L228" s="559"/>
      <c r="M228" s="363"/>
      <c r="N228" s="363"/>
      <c r="P228" s="1195"/>
      <c r="Q228" s="1155"/>
      <c r="R228" s="395"/>
      <c r="S228" s="396"/>
      <c r="T228" s="1138"/>
      <c r="U228" s="1138"/>
      <c r="V228" s="1138"/>
      <c r="W228" s="1138"/>
      <c r="X228" s="1138"/>
      <c r="Y228" s="1138"/>
      <c r="Z228" s="1138"/>
      <c r="AA228" s="1138"/>
      <c r="AB228" s="1138"/>
      <c r="AC228" s="1138"/>
      <c r="AE228" s="1195"/>
      <c r="AF228" s="1155"/>
      <c r="AG228" s="395"/>
      <c r="AH228" s="396"/>
      <c r="AI228" s="1138"/>
      <c r="AJ228" s="1138"/>
      <c r="AK228" s="1138"/>
      <c r="AL228" s="1138"/>
      <c r="AM228" s="1138"/>
      <c r="AN228" s="1138"/>
      <c r="AO228" s="1138"/>
      <c r="AP228" s="1138"/>
      <c r="AQ228" s="1138"/>
      <c r="AR228" s="1138"/>
    </row>
    <row r="229" spans="1:44" ht="16" outlineLevel="1" thickBot="1">
      <c r="B229" s="401"/>
      <c r="C229" s="402"/>
      <c r="D229" s="403"/>
      <c r="E229" s="404"/>
      <c r="F229" s="405"/>
      <c r="G229" s="406"/>
      <c r="H229" s="406"/>
      <c r="I229" s="406"/>
      <c r="J229" s="406"/>
      <c r="K229" s="407"/>
      <c r="L229" s="408"/>
      <c r="M229" s="363"/>
      <c r="N229" s="363"/>
      <c r="P229" s="1195"/>
      <c r="Q229" s="1155"/>
      <c r="R229" s="409"/>
      <c r="S229" s="410"/>
      <c r="T229" s="1139"/>
      <c r="U229" s="1139"/>
      <c r="V229" s="1139"/>
      <c r="W229" s="1139"/>
      <c r="X229" s="1139"/>
      <c r="Y229" s="1139"/>
      <c r="Z229" s="1139"/>
      <c r="AA229" s="1139"/>
      <c r="AB229" s="1139"/>
      <c r="AC229" s="1139"/>
      <c r="AE229" s="1195"/>
      <c r="AF229" s="1155"/>
      <c r="AG229" s="409"/>
      <c r="AH229" s="410"/>
      <c r="AI229" s="1139"/>
      <c r="AJ229" s="1139"/>
      <c r="AK229" s="1139"/>
      <c r="AL229" s="1139"/>
      <c r="AM229" s="1139"/>
      <c r="AN229" s="1139"/>
      <c r="AO229" s="1139"/>
      <c r="AP229" s="1139"/>
      <c r="AQ229" s="1139"/>
      <c r="AR229" s="1139"/>
    </row>
    <row r="230" spans="1:44" ht="16" outlineLevel="1" thickBot="1">
      <c r="B230" s="541"/>
      <c r="C230" s="544"/>
      <c r="D230" s="544"/>
      <c r="E230" s="544"/>
      <c r="F230" s="544"/>
      <c r="G230" s="545"/>
      <c r="H230" s="545"/>
      <c r="I230" s="545"/>
      <c r="J230" s="545"/>
      <c r="K230" s="547"/>
      <c r="L230" s="548"/>
      <c r="M230" s="363"/>
      <c r="N230" s="363"/>
      <c r="P230" s="1196"/>
      <c r="Q230" s="411"/>
      <c r="R230" s="412"/>
      <c r="S230" s="413"/>
      <c r="T230" s="414"/>
      <c r="U230" s="415"/>
      <c r="V230" s="414"/>
      <c r="W230" s="415"/>
      <c r="X230" s="414"/>
      <c r="Y230" s="415"/>
      <c r="Z230" s="414"/>
      <c r="AA230" s="415"/>
      <c r="AB230" s="414"/>
      <c r="AC230" s="417"/>
      <c r="AE230" s="1196"/>
      <c r="AF230" s="411"/>
      <c r="AG230" s="412"/>
      <c r="AH230" s="413"/>
      <c r="AI230" s="414"/>
      <c r="AJ230" s="415"/>
      <c r="AK230" s="414"/>
      <c r="AL230" s="415"/>
      <c r="AM230" s="414"/>
      <c r="AN230" s="415"/>
      <c r="AO230" s="414"/>
      <c r="AP230" s="415"/>
      <c r="AQ230" s="414"/>
      <c r="AR230" s="417"/>
    </row>
    <row r="231" spans="1:44" outlineLevel="1">
      <c r="B231" s="541"/>
      <c r="C231" s="544"/>
      <c r="D231" s="544"/>
      <c r="E231" s="544"/>
      <c r="F231" s="544"/>
      <c r="G231" s="549"/>
      <c r="H231" s="549"/>
      <c r="I231" s="549"/>
      <c r="J231" s="549"/>
      <c r="K231" s="550"/>
      <c r="L231" s="548"/>
      <c r="M231" s="363"/>
      <c r="N231" s="363"/>
    </row>
    <row r="232" spans="1:44" outlineLevel="1">
      <c r="B232" s="541"/>
      <c r="C232" s="544"/>
      <c r="D232" s="544"/>
      <c r="E232" s="544"/>
      <c r="F232" s="544"/>
      <c r="G232" s="549"/>
      <c r="H232" s="549"/>
      <c r="I232" s="549"/>
      <c r="J232" s="549"/>
      <c r="K232" s="550"/>
      <c r="L232" s="548"/>
      <c r="M232" s="420"/>
      <c r="N232" s="363"/>
    </row>
    <row r="233" spans="1:44" outlineLevel="1">
      <c r="B233" s="421"/>
      <c r="C233" s="399"/>
      <c r="D233" s="399"/>
      <c r="E233" s="399"/>
      <c r="F233" s="399"/>
      <c r="G233" s="422"/>
      <c r="H233" s="422"/>
      <c r="I233" s="422"/>
      <c r="J233" s="422"/>
      <c r="K233" s="423"/>
      <c r="L233" s="424"/>
      <c r="M233" s="420"/>
      <c r="N233" s="420"/>
    </row>
    <row r="234" spans="1:44" outlineLevel="1">
      <c r="B234" s="383"/>
      <c r="C234" s="397"/>
      <c r="D234" s="397"/>
      <c r="E234" s="397"/>
      <c r="F234" s="397"/>
      <c r="G234" s="422"/>
      <c r="H234" s="425"/>
      <c r="I234" s="425"/>
      <c r="J234" s="425"/>
      <c r="K234" s="426"/>
      <c r="L234" s="427"/>
      <c r="M234" s="428"/>
      <c r="N234" s="428"/>
    </row>
    <row r="235" spans="1:44" outlineLevel="1">
      <c r="B235" s="383"/>
      <c r="C235" s="397"/>
      <c r="D235" s="397"/>
      <c r="E235" s="397"/>
      <c r="F235" s="397"/>
      <c r="G235" s="425"/>
      <c r="H235" s="425"/>
      <c r="I235" s="425"/>
      <c r="J235" s="425"/>
      <c r="K235" s="423"/>
      <c r="L235" s="427"/>
      <c r="M235" s="428"/>
      <c r="N235" s="428"/>
    </row>
    <row r="236" spans="1:44" outlineLevel="1">
      <c r="B236" s="383"/>
      <c r="C236" s="397"/>
      <c r="D236" s="397"/>
      <c r="E236" s="397"/>
      <c r="F236" s="397"/>
      <c r="G236" s="425"/>
      <c r="H236" s="425"/>
      <c r="I236" s="425"/>
      <c r="J236" s="425"/>
      <c r="K236" s="423"/>
      <c r="L236" s="427"/>
      <c r="M236" s="428"/>
      <c r="N236" s="428"/>
    </row>
    <row r="237" spans="1:44" outlineLevel="1">
      <c r="B237" s="383"/>
      <c r="C237" s="397"/>
      <c r="D237" s="397"/>
      <c r="E237" s="397"/>
      <c r="F237" s="397"/>
      <c r="G237" s="425"/>
      <c r="H237" s="425"/>
      <c r="I237" s="425"/>
      <c r="J237" s="425"/>
      <c r="K237" s="423"/>
      <c r="L237" s="427"/>
      <c r="M237" s="428"/>
      <c r="N237" s="428"/>
    </row>
    <row r="238" spans="1:44" ht="16" outlineLevel="1" thickBot="1">
      <c r="B238" s="429"/>
      <c r="C238" s="430"/>
      <c r="D238" s="430"/>
      <c r="E238" s="430"/>
      <c r="F238" s="430"/>
      <c r="G238" s="425"/>
      <c r="H238" s="425"/>
      <c r="I238" s="425"/>
      <c r="J238" s="425"/>
      <c r="K238" s="423"/>
      <c r="L238" s="427"/>
      <c r="M238" s="428"/>
      <c r="N238" s="428"/>
    </row>
    <row r="239" spans="1:44" ht="16" outlineLevel="1" thickBot="1">
      <c r="B239" s="431"/>
      <c r="C239" s="432"/>
      <c r="D239" s="403"/>
      <c r="E239" s="403"/>
      <c r="F239" s="433"/>
      <c r="G239" s="434"/>
      <c r="H239" s="406"/>
      <c r="I239" s="406"/>
      <c r="J239" s="406"/>
      <c r="K239" s="407"/>
      <c r="L239" s="408"/>
      <c r="M239" s="428"/>
      <c r="N239" s="428"/>
    </row>
    <row r="240" spans="1:44" outlineLevel="1">
      <c r="A240" s="435"/>
      <c r="B240" s="436"/>
      <c r="C240" s="551"/>
      <c r="D240" s="512"/>
      <c r="E240" s="512"/>
      <c r="F240" s="513"/>
      <c r="G240" s="425"/>
      <c r="H240" s="425"/>
      <c r="I240" s="425"/>
      <c r="J240" s="425"/>
      <c r="K240" s="426"/>
      <c r="L240" s="440"/>
      <c r="M240" s="420"/>
      <c r="N240" s="420"/>
    </row>
    <row r="241" spans="2:30" outlineLevel="1">
      <c r="B241" s="441"/>
      <c r="C241" s="443"/>
      <c r="D241" s="442"/>
      <c r="E241" s="442"/>
      <c r="F241" s="442"/>
      <c r="G241" s="425"/>
      <c r="H241" s="425"/>
      <c r="I241" s="425"/>
      <c r="J241" s="425"/>
      <c r="K241" s="444"/>
      <c r="L241" s="373"/>
      <c r="M241" s="71"/>
      <c r="N241" s="420"/>
    </row>
    <row r="242" spans="2:30" outlineLevel="1">
      <c r="B242" s="441"/>
      <c r="C242" s="443"/>
      <c r="D242" s="443"/>
      <c r="E242" s="443"/>
      <c r="F242" s="443"/>
      <c r="G242" s="425"/>
      <c r="H242" s="425"/>
      <c r="I242" s="425"/>
      <c r="J242" s="425"/>
      <c r="K242" s="444"/>
      <c r="L242" s="373"/>
      <c r="M242" s="420"/>
      <c r="N242" s="420"/>
    </row>
    <row r="243" spans="2:30" outlineLevel="1">
      <c r="B243" s="383"/>
      <c r="C243" s="445"/>
      <c r="D243" s="446"/>
      <c r="E243" s="446"/>
      <c r="F243" s="447"/>
      <c r="G243" s="425"/>
      <c r="H243" s="425"/>
      <c r="I243" s="425"/>
      <c r="J243" s="425"/>
      <c r="K243" s="448"/>
      <c r="L243" s="373"/>
      <c r="M243" s="420"/>
      <c r="N243" s="420"/>
    </row>
    <row r="244" spans="2:30" outlineLevel="1">
      <c r="B244" s="383"/>
      <c r="C244" s="449"/>
      <c r="D244" s="449"/>
      <c r="E244" s="449"/>
      <c r="F244" s="449"/>
      <c r="G244" s="425"/>
      <c r="H244" s="425"/>
      <c r="I244" s="425"/>
      <c r="J244" s="425"/>
      <c r="K244" s="448"/>
      <c r="L244" s="373"/>
      <c r="M244" s="450"/>
      <c r="N244" s="361"/>
      <c r="P244" s="1142"/>
      <c r="Q244" s="1143"/>
      <c r="R244" s="1143"/>
      <c r="S244" s="1143"/>
      <c r="T244" s="1143"/>
      <c r="U244" s="1144"/>
    </row>
    <row r="245" spans="2:30" ht="16" outlineLevel="1" thickBot="1">
      <c r="B245" s="541"/>
      <c r="C245" s="552"/>
      <c r="D245" s="552"/>
      <c r="E245" s="552"/>
      <c r="F245" s="552"/>
      <c r="G245" s="425"/>
      <c r="H245" s="425"/>
      <c r="I245" s="425"/>
      <c r="J245" s="425"/>
      <c r="K245" s="444"/>
      <c r="L245" s="373"/>
      <c r="M245" s="450"/>
      <c r="N245" s="361"/>
      <c r="P245" s="1134"/>
      <c r="Q245" s="1135"/>
      <c r="R245" s="1135"/>
      <c r="S245" s="1135"/>
      <c r="T245" s="1135"/>
      <c r="U245" s="1136"/>
    </row>
    <row r="246" spans="2:30" outlineLevel="1">
      <c r="B246" s="541"/>
      <c r="C246" s="554"/>
      <c r="D246" s="554"/>
      <c r="E246" s="554"/>
      <c r="F246" s="554"/>
      <c r="G246" s="425"/>
      <c r="H246" s="425"/>
      <c r="I246" s="425"/>
      <c r="J246" s="425"/>
      <c r="K246" s="448"/>
      <c r="L246" s="373"/>
      <c r="M246" s="363"/>
      <c r="N246" s="363"/>
      <c r="P246" s="53"/>
    </row>
    <row r="247" spans="2:30" outlineLevel="1">
      <c r="B247" s="441"/>
      <c r="C247" s="518"/>
      <c r="D247" s="518"/>
      <c r="E247" s="518"/>
      <c r="F247" s="518"/>
      <c r="G247" s="425"/>
      <c r="H247" s="425"/>
      <c r="I247" s="425"/>
      <c r="J247" s="425"/>
      <c r="K247" s="444"/>
      <c r="L247" s="424"/>
      <c r="M247" s="367"/>
      <c r="N247" s="367"/>
      <c r="P247" s="46"/>
      <c r="Q247" s="46"/>
      <c r="R247" s="47"/>
      <c r="S247" s="47"/>
      <c r="T247" s="47"/>
      <c r="U247" s="48"/>
      <c r="V247" s="49"/>
      <c r="W247" s="49"/>
      <c r="X247" s="49"/>
      <c r="Y247" s="49"/>
      <c r="Z247" s="49"/>
      <c r="AA247" s="49"/>
      <c r="AB247" s="49"/>
      <c r="AC247" s="49"/>
      <c r="AD247" s="49"/>
    </row>
    <row r="248" spans="2:30" ht="16" outlineLevel="1" thickBot="1">
      <c r="B248" s="519"/>
      <c r="C248" s="442"/>
      <c r="D248" s="520"/>
      <c r="E248" s="520"/>
      <c r="F248" s="521"/>
      <c r="G248" s="425"/>
      <c r="H248" s="425"/>
      <c r="I248" s="425"/>
      <c r="J248" s="425"/>
      <c r="K248" s="448"/>
      <c r="L248" s="424"/>
      <c r="M248" s="363"/>
      <c r="N248" s="363"/>
      <c r="P248" s="50"/>
      <c r="Q248" s="50"/>
      <c r="R248" s="51"/>
      <c r="S248" s="51"/>
      <c r="T248" s="51"/>
      <c r="U248" s="51"/>
      <c r="V248" s="50"/>
      <c r="W248" s="50"/>
      <c r="X248" s="50"/>
      <c r="Y248" s="50"/>
      <c r="Z248" s="50"/>
      <c r="AA248" s="50"/>
      <c r="AB248" s="50"/>
      <c r="AC248" s="50"/>
      <c r="AD248" s="50"/>
    </row>
    <row r="249" spans="2:30" ht="16" outlineLevel="1" thickBot="1">
      <c r="B249" s="401"/>
      <c r="C249" s="402"/>
      <c r="D249" s="403"/>
      <c r="E249" s="404"/>
      <c r="F249" s="405"/>
      <c r="G249" s="406"/>
      <c r="H249" s="406"/>
      <c r="I249" s="406"/>
      <c r="J249" s="406"/>
      <c r="K249" s="459"/>
      <c r="L249" s="460"/>
      <c r="M249" s="363"/>
      <c r="N249" s="363"/>
      <c r="O249" s="461"/>
      <c r="P249" s="56"/>
      <c r="Q249" s="56"/>
      <c r="R249" s="57"/>
      <c r="S249" s="57"/>
      <c r="T249" s="57"/>
      <c r="U249" s="56"/>
      <c r="V249" s="56"/>
      <c r="W249" s="56"/>
      <c r="X249" s="56"/>
      <c r="Y249" s="56"/>
      <c r="Z249" s="56"/>
      <c r="AA249" s="56"/>
      <c r="AB249" s="56"/>
      <c r="AC249" s="56"/>
      <c r="AD249" s="56"/>
    </row>
    <row r="250" spans="2:30" outlineLevel="1">
      <c r="B250" s="556"/>
      <c r="C250" s="557"/>
      <c r="D250" s="557"/>
      <c r="E250" s="557"/>
      <c r="F250" s="557"/>
      <c r="G250" s="558"/>
      <c r="H250" s="558"/>
      <c r="I250" s="558"/>
      <c r="J250" s="558"/>
      <c r="K250" s="558"/>
      <c r="L250" s="559"/>
      <c r="M250" s="363"/>
      <c r="N250" s="363"/>
      <c r="O250" s="465"/>
      <c r="P250" s="466"/>
      <c r="Q250" s="58"/>
      <c r="R250" s="466"/>
      <c r="S250" s="58"/>
      <c r="T250" s="466"/>
      <c r="U250" s="467"/>
      <c r="V250" s="467"/>
      <c r="W250" s="467"/>
      <c r="X250" s="58"/>
      <c r="Y250" s="58"/>
      <c r="Z250" s="466"/>
      <c r="AA250" s="468"/>
      <c r="AB250" s="468"/>
      <c r="AC250" s="468"/>
      <c r="AD250" s="468"/>
    </row>
    <row r="251" spans="2:30" outlineLevel="1">
      <c r="B251" s="541"/>
      <c r="C251" s="560"/>
      <c r="D251" s="561"/>
      <c r="E251" s="561"/>
      <c r="F251" s="562"/>
      <c r="G251" s="562"/>
      <c r="H251" s="562"/>
      <c r="I251" s="562"/>
      <c r="J251" s="562"/>
      <c r="K251" s="563"/>
      <c r="L251" s="559"/>
      <c r="M251" s="363"/>
      <c r="N251" s="363"/>
      <c r="O251" s="465"/>
      <c r="P251" s="466"/>
      <c r="Q251" s="58"/>
      <c r="R251" s="466"/>
      <c r="S251" s="58"/>
      <c r="T251" s="466"/>
      <c r="U251" s="467"/>
      <c r="V251" s="467"/>
      <c r="W251" s="467"/>
      <c r="X251" s="58"/>
      <c r="Y251" s="58"/>
      <c r="Z251" s="466"/>
      <c r="AA251" s="468"/>
      <c r="AB251" s="468"/>
      <c r="AC251" s="468"/>
      <c r="AD251" s="468"/>
    </row>
    <row r="252" spans="2:30" outlineLevel="1">
      <c r="B252" s="541"/>
      <c r="C252" s="560"/>
      <c r="D252" s="561"/>
      <c r="E252" s="561"/>
      <c r="F252" s="562"/>
      <c r="G252" s="562"/>
      <c r="H252" s="562"/>
      <c r="I252" s="562"/>
      <c r="J252" s="562"/>
      <c r="K252" s="563"/>
      <c r="L252" s="559"/>
      <c r="M252" s="363"/>
      <c r="N252" s="363"/>
      <c r="O252" s="465"/>
      <c r="P252" s="466"/>
      <c r="Q252" s="58"/>
      <c r="R252" s="466"/>
      <c r="S252" s="58"/>
      <c r="T252" s="466"/>
      <c r="U252" s="467"/>
      <c r="V252" s="467"/>
      <c r="W252" s="467"/>
      <c r="X252" s="58"/>
      <c r="Y252" s="58"/>
      <c r="Z252" s="466"/>
      <c r="AA252" s="468"/>
      <c r="AB252" s="468"/>
      <c r="AC252" s="468"/>
      <c r="AD252" s="468"/>
    </row>
    <row r="253" spans="2:30" outlineLevel="1">
      <c r="B253" s="541"/>
      <c r="C253" s="564"/>
      <c r="D253" s="564"/>
      <c r="E253" s="564"/>
      <c r="F253" s="564"/>
      <c r="G253" s="565"/>
      <c r="H253" s="565"/>
      <c r="I253" s="565"/>
      <c r="J253" s="565"/>
      <c r="K253" s="565"/>
      <c r="L253" s="548"/>
      <c r="M253" s="363"/>
      <c r="N253" s="363"/>
      <c r="O253" s="465"/>
      <c r="P253" s="466"/>
      <c r="Q253" s="58"/>
      <c r="R253" s="466"/>
      <c r="S253" s="58"/>
      <c r="T253" s="466"/>
      <c r="U253" s="467"/>
      <c r="V253" s="467"/>
      <c r="W253" s="467"/>
      <c r="X253" s="58"/>
      <c r="Y253" s="58"/>
      <c r="Z253" s="466"/>
      <c r="AA253" s="468"/>
      <c r="AB253" s="468"/>
      <c r="AC253" s="468"/>
      <c r="AD253" s="468"/>
    </row>
    <row r="254" spans="2:30" outlineLevel="1">
      <c r="B254" s="566"/>
      <c r="C254" s="560"/>
      <c r="D254" s="561"/>
      <c r="E254" s="561"/>
      <c r="F254" s="562"/>
      <c r="G254" s="562"/>
      <c r="H254" s="562"/>
      <c r="I254" s="562"/>
      <c r="J254" s="562"/>
      <c r="K254" s="563"/>
      <c r="L254" s="559"/>
      <c r="M254" s="367"/>
      <c r="N254" s="367"/>
    </row>
    <row r="255" spans="2:30" outlineLevel="1">
      <c r="B255" s="566"/>
      <c r="C255" s="560"/>
      <c r="D255" s="561"/>
      <c r="E255" s="561"/>
      <c r="F255" s="562"/>
      <c r="G255" s="562"/>
      <c r="H255" s="562"/>
      <c r="I255" s="562"/>
      <c r="J255" s="562"/>
      <c r="K255" s="563"/>
      <c r="L255" s="559"/>
      <c r="M255" s="363"/>
      <c r="N255" s="363"/>
    </row>
    <row r="256" spans="2:30" ht="16" outlineLevel="1" thickBot="1">
      <c r="B256" s="567"/>
      <c r="C256" s="568"/>
      <c r="D256" s="568"/>
      <c r="E256" s="568"/>
      <c r="F256" s="568"/>
      <c r="G256" s="568"/>
      <c r="H256" s="568"/>
      <c r="I256" s="568"/>
      <c r="J256" s="568"/>
      <c r="K256" s="568"/>
      <c r="L256" s="569"/>
      <c r="M256" s="363"/>
      <c r="N256" s="363"/>
    </row>
    <row r="257" spans="1:15" outlineLevel="1">
      <c r="B257" s="461"/>
      <c r="C257" s="483"/>
      <c r="D257" s="483"/>
      <c r="E257" s="483"/>
      <c r="F257" s="483"/>
      <c r="G257" s="483"/>
      <c r="H257" s="484"/>
      <c r="I257" s="420"/>
      <c r="J257" s="420"/>
      <c r="K257" s="484"/>
      <c r="L257" s="484"/>
      <c r="N257" s="420"/>
    </row>
    <row r="258" spans="1:15" outlineLevel="1">
      <c r="B258" s="485"/>
      <c r="C258" s="486"/>
      <c r="D258" s="486"/>
      <c r="E258" s="486"/>
      <c r="F258" s="486"/>
      <c r="G258" s="486"/>
      <c r="H258" s="484"/>
      <c r="I258" s="71"/>
      <c r="J258" s="420"/>
      <c r="K258" s="484"/>
      <c r="L258" s="484"/>
      <c r="N258" s="420"/>
    </row>
    <row r="259" spans="1:15" outlineLevel="1">
      <c r="B259" s="461"/>
      <c r="C259" s="359"/>
      <c r="D259" s="359"/>
      <c r="E259" s="359"/>
      <c r="F259" s="359"/>
      <c r="G259" s="359"/>
      <c r="I259" s="420"/>
      <c r="J259" s="420"/>
      <c r="N259" s="420"/>
    </row>
    <row r="260" spans="1:15" outlineLevel="1">
      <c r="B260" s="461"/>
      <c r="C260" s="487"/>
      <c r="D260" s="487"/>
      <c r="E260" s="487"/>
      <c r="F260" s="487"/>
      <c r="G260" s="359"/>
      <c r="M260" s="420"/>
      <c r="N260" s="420"/>
    </row>
    <row r="261" spans="1:15" outlineLevel="1"/>
    <row r="262" spans="1:15" outlineLevel="1">
      <c r="A262" s="488"/>
      <c r="B262" s="489"/>
      <c r="D262" s="490"/>
      <c r="E262" s="490"/>
      <c r="F262" s="490"/>
      <c r="G262" s="358"/>
      <c r="H262" s="358"/>
      <c r="I262" s="358"/>
      <c r="J262" s="358"/>
      <c r="K262" s="358"/>
      <c r="L262" s="358"/>
    </row>
    <row r="263" spans="1:15" outlineLevel="1">
      <c r="A263" s="491"/>
      <c r="B263" s="492"/>
      <c r="D263" s="490"/>
      <c r="E263" s="490"/>
      <c r="F263" s="490"/>
      <c r="G263" s="358"/>
      <c r="H263" s="358"/>
      <c r="I263" s="358"/>
      <c r="J263" s="358"/>
      <c r="K263" s="358"/>
      <c r="L263" s="358"/>
    </row>
    <row r="264" spans="1:15" outlineLevel="1">
      <c r="A264" s="491"/>
      <c r="B264" s="493"/>
      <c r="D264" s="490"/>
      <c r="E264" s="490"/>
      <c r="F264" s="490"/>
      <c r="G264" s="358"/>
      <c r="H264" s="358"/>
      <c r="I264" s="358"/>
      <c r="J264" s="358"/>
      <c r="K264" s="358"/>
      <c r="L264" s="358"/>
    </row>
    <row r="265" spans="1:15" outlineLevel="1">
      <c r="A265" s="491"/>
      <c r="B265" s="493"/>
      <c r="D265" s="490"/>
      <c r="E265" s="490"/>
      <c r="F265" s="490"/>
      <c r="G265" s="358"/>
      <c r="H265" s="358"/>
      <c r="I265" s="358"/>
      <c r="J265" s="358"/>
      <c r="K265" s="358"/>
      <c r="L265" s="358"/>
    </row>
    <row r="266" spans="1:15" outlineLevel="1">
      <c r="A266" s="491"/>
      <c r="B266" s="493"/>
      <c r="D266" s="490"/>
      <c r="E266" s="490"/>
      <c r="F266" s="490"/>
      <c r="G266" s="358"/>
      <c r="H266" s="358"/>
      <c r="I266" s="358"/>
      <c r="J266" s="358"/>
      <c r="K266" s="358"/>
      <c r="L266" s="358"/>
    </row>
    <row r="267" spans="1:15" outlineLevel="1">
      <c r="A267" s="358"/>
      <c r="B267" s="494"/>
      <c r="D267" s="490"/>
      <c r="E267" s="490"/>
      <c r="F267" s="490"/>
      <c r="G267" s="358"/>
      <c r="H267" s="358"/>
      <c r="I267" s="358"/>
      <c r="J267" s="358"/>
      <c r="K267" s="358"/>
      <c r="L267" s="358"/>
      <c r="M267" s="570"/>
      <c r="N267" s="489"/>
      <c r="O267" s="490"/>
    </row>
    <row r="268" spans="1:15" outlineLevel="1">
      <c r="A268" s="358"/>
      <c r="B268" s="492"/>
      <c r="D268" s="490"/>
      <c r="E268" s="490"/>
      <c r="F268" s="490"/>
      <c r="G268" s="358"/>
      <c r="H268" s="358"/>
      <c r="I268" s="358"/>
      <c r="J268" s="358"/>
      <c r="K268" s="358"/>
      <c r="L268" s="358"/>
      <c r="O268" s="490"/>
    </row>
    <row r="269" spans="1:15" outlineLevel="1">
      <c r="A269" s="358"/>
      <c r="B269" s="495"/>
      <c r="D269" s="490"/>
      <c r="E269" s="490"/>
      <c r="F269" s="490"/>
      <c r="G269" s="358"/>
      <c r="H269" s="358"/>
      <c r="I269" s="358"/>
      <c r="J269" s="358"/>
      <c r="K269" s="358"/>
      <c r="L269" s="358"/>
      <c r="O269" s="490"/>
    </row>
    <row r="270" spans="1:15" outlineLevel="1">
      <c r="A270" s="358"/>
      <c r="B270" s="495"/>
      <c r="D270" s="490"/>
      <c r="E270" s="490"/>
      <c r="F270" s="490"/>
      <c r="G270" s="358"/>
      <c r="H270" s="358"/>
      <c r="I270" s="358"/>
      <c r="J270" s="358"/>
      <c r="K270" s="358"/>
      <c r="L270" s="358"/>
      <c r="O270" s="490"/>
    </row>
    <row r="271" spans="1:15" outlineLevel="1">
      <c r="A271" s="358"/>
      <c r="B271" s="489"/>
      <c r="D271" s="490"/>
      <c r="E271" s="490"/>
      <c r="F271" s="490"/>
      <c r="G271" s="358"/>
      <c r="H271" s="358"/>
      <c r="I271" s="358"/>
      <c r="J271" s="358"/>
      <c r="K271" s="358"/>
      <c r="L271" s="358"/>
      <c r="O271" s="490"/>
    </row>
    <row r="272" spans="1:15" outlineLevel="1">
      <c r="A272" s="358"/>
      <c r="B272" s="490"/>
      <c r="D272" s="490"/>
      <c r="E272" s="490"/>
      <c r="F272" s="490"/>
      <c r="G272" s="358"/>
      <c r="H272" s="358"/>
      <c r="I272" s="358"/>
      <c r="J272" s="358"/>
      <c r="K272" s="358"/>
      <c r="L272" s="358"/>
      <c r="O272" s="490"/>
    </row>
    <row r="273" spans="1:44" outlineLevel="1">
      <c r="A273" s="488"/>
      <c r="B273" s="489"/>
      <c r="D273" s="490"/>
      <c r="E273" s="490"/>
      <c r="F273" s="490"/>
      <c r="G273" s="358"/>
      <c r="H273" s="358"/>
      <c r="I273" s="358"/>
      <c r="J273" s="358"/>
      <c r="K273" s="358"/>
      <c r="L273" s="358"/>
      <c r="O273" s="490"/>
    </row>
    <row r="274" spans="1:44" outlineLevel="1">
      <c r="A274" s="496"/>
      <c r="B274" s="497"/>
      <c r="D274" s="490"/>
      <c r="E274" s="490"/>
      <c r="F274" s="490"/>
      <c r="G274" s="358"/>
      <c r="H274" s="358"/>
      <c r="I274" s="358"/>
      <c r="J274" s="358"/>
      <c r="K274" s="358"/>
      <c r="L274" s="358"/>
      <c r="M274" s="570"/>
      <c r="N274" s="489"/>
      <c r="O274" s="490"/>
    </row>
    <row r="275" spans="1:44" outlineLevel="1">
      <c r="A275" s="496"/>
      <c r="B275" s="489"/>
      <c r="D275" s="490"/>
      <c r="E275" s="490"/>
      <c r="F275" s="490"/>
      <c r="G275" s="358"/>
      <c r="H275" s="358"/>
      <c r="I275" s="358"/>
      <c r="J275" s="358"/>
      <c r="K275" s="358"/>
      <c r="L275" s="358"/>
      <c r="M275" s="571"/>
      <c r="N275" s="489"/>
      <c r="O275" s="490"/>
    </row>
    <row r="276" spans="1:44" outlineLevel="1">
      <c r="A276" s="496"/>
      <c r="B276" s="489"/>
      <c r="D276" s="490"/>
      <c r="E276" s="490"/>
      <c r="F276" s="490"/>
      <c r="G276" s="358"/>
      <c r="H276" s="358"/>
      <c r="I276" s="358"/>
      <c r="J276" s="358"/>
      <c r="K276" s="358"/>
      <c r="L276" s="358"/>
      <c r="M276" s="572"/>
      <c r="N276" s="489"/>
      <c r="O276" s="490"/>
    </row>
    <row r="277" spans="1:44" outlineLevel="1">
      <c r="A277" s="496"/>
      <c r="B277" s="498"/>
      <c r="D277" s="490"/>
      <c r="E277" s="490"/>
      <c r="F277" s="490"/>
      <c r="G277" s="358"/>
      <c r="H277" s="358"/>
      <c r="I277" s="358"/>
      <c r="J277" s="358"/>
      <c r="K277" s="358"/>
      <c r="L277" s="358"/>
      <c r="M277" s="573"/>
      <c r="N277" s="489"/>
      <c r="O277" s="490"/>
    </row>
    <row r="278" spans="1:44" outlineLevel="1">
      <c r="A278" s="496"/>
      <c r="B278" s="489"/>
      <c r="D278" s="490"/>
      <c r="E278" s="490"/>
      <c r="F278" s="490"/>
      <c r="G278" s="358"/>
      <c r="H278" s="358"/>
      <c r="I278" s="358"/>
      <c r="J278" s="358"/>
      <c r="K278" s="358"/>
      <c r="L278" s="358"/>
      <c r="M278" s="573"/>
      <c r="N278" s="490"/>
      <c r="O278" s="490"/>
    </row>
    <row r="279" spans="1:44" outlineLevel="1">
      <c r="A279" s="496"/>
      <c r="B279" s="489"/>
      <c r="D279" s="490"/>
      <c r="E279" s="490"/>
      <c r="F279" s="490"/>
      <c r="G279" s="358"/>
      <c r="H279" s="358"/>
      <c r="I279" s="358"/>
      <c r="J279" s="358"/>
      <c r="K279" s="358"/>
      <c r="L279" s="358"/>
      <c r="M279" s="489"/>
      <c r="N279" s="490"/>
      <c r="O279" s="490"/>
    </row>
    <row r="280" spans="1:44" outlineLevel="1"/>
    <row r="283" spans="1:44" ht="16" thickBot="1">
      <c r="A283" s="360"/>
    </row>
    <row r="284" spans="1:44" ht="20.5" customHeight="1" thickBot="1">
      <c r="B284" s="362"/>
      <c r="C284" s="1186"/>
      <c r="D284" s="1187"/>
      <c r="E284" s="1187"/>
      <c r="F284" s="1187"/>
      <c r="G284" s="1187"/>
      <c r="H284" s="1187"/>
      <c r="I284" s="1187"/>
      <c r="J284" s="1187"/>
      <c r="K284" s="1187"/>
      <c r="L284" s="1188"/>
      <c r="M284" s="363"/>
      <c r="N284" s="363"/>
      <c r="P284" s="364"/>
      <c r="Q284" s="365"/>
      <c r="R284" s="366"/>
      <c r="S284" s="1176"/>
      <c r="T284" s="1160"/>
      <c r="U284" s="1161"/>
      <c r="V284" s="1160"/>
      <c r="W284" s="1161"/>
      <c r="X284" s="1160"/>
      <c r="Y284" s="1161"/>
      <c r="Z284" s="1160"/>
      <c r="AA284" s="1161"/>
      <c r="AB284" s="1160"/>
      <c r="AC284" s="1161"/>
      <c r="AE284" s="364"/>
      <c r="AF284" s="365"/>
      <c r="AG284" s="366"/>
      <c r="AH284" s="1176"/>
      <c r="AI284" s="1160"/>
      <c r="AJ284" s="1161"/>
      <c r="AK284" s="1160"/>
      <c r="AL284" s="1161"/>
      <c r="AM284" s="1160"/>
      <c r="AN284" s="1161"/>
      <c r="AO284" s="1160"/>
      <c r="AP284" s="1161"/>
      <c r="AQ284" s="1160"/>
      <c r="AR284" s="1161"/>
    </row>
    <row r="285" spans="1:44" ht="15" customHeight="1" thickBot="1">
      <c r="B285" s="1164"/>
      <c r="C285" s="1166"/>
      <c r="D285" s="1166"/>
      <c r="E285" s="1166"/>
      <c r="F285" s="1166"/>
      <c r="G285" s="1168"/>
      <c r="H285" s="1169"/>
      <c r="I285" s="1168"/>
      <c r="J285" s="1169"/>
      <c r="K285" s="1189"/>
      <c r="L285" s="1189"/>
      <c r="M285" s="367"/>
      <c r="N285" s="367"/>
      <c r="P285" s="1180"/>
      <c r="Q285" s="368"/>
      <c r="R285" s="368"/>
      <c r="S285" s="1177"/>
      <c r="T285" s="1162"/>
      <c r="U285" s="1163"/>
      <c r="V285" s="1162"/>
      <c r="W285" s="1163"/>
      <c r="X285" s="1162"/>
      <c r="Y285" s="1163"/>
      <c r="Z285" s="1162"/>
      <c r="AA285" s="1163"/>
      <c r="AB285" s="1162"/>
      <c r="AC285" s="1163"/>
      <c r="AE285" s="1180"/>
      <c r="AF285" s="368"/>
      <c r="AG285" s="368"/>
      <c r="AH285" s="1177"/>
      <c r="AI285" s="1162"/>
      <c r="AJ285" s="1163"/>
      <c r="AK285" s="1162"/>
      <c r="AL285" s="1163"/>
      <c r="AM285" s="1162"/>
      <c r="AN285" s="1163"/>
      <c r="AO285" s="1162"/>
      <c r="AP285" s="1163"/>
      <c r="AQ285" s="1162"/>
      <c r="AR285" s="1163"/>
    </row>
    <row r="286" spans="1:44" ht="15" customHeight="1" thickBot="1">
      <c r="B286" s="1165"/>
      <c r="C286" s="1167"/>
      <c r="D286" s="1167"/>
      <c r="E286" s="1167"/>
      <c r="F286" s="1167"/>
      <c r="G286" s="406"/>
      <c r="H286" s="406"/>
      <c r="I286" s="406"/>
      <c r="J286" s="406"/>
      <c r="K286" s="1190"/>
      <c r="L286" s="1190"/>
      <c r="M286" s="370"/>
      <c r="N286" s="370"/>
      <c r="P286" s="1181"/>
      <c r="Q286" s="1183"/>
      <c r="R286" s="1184"/>
      <c r="S286" s="1178"/>
      <c r="T286" s="1162"/>
      <c r="U286" s="1163"/>
      <c r="V286" s="1162"/>
      <c r="W286" s="1163"/>
      <c r="X286" s="1162"/>
      <c r="Y286" s="1163"/>
      <c r="Z286" s="1162"/>
      <c r="AA286" s="1163"/>
      <c r="AB286" s="1162"/>
      <c r="AC286" s="1163"/>
      <c r="AE286" s="1181"/>
      <c r="AF286" s="1183"/>
      <c r="AG286" s="1184"/>
      <c r="AH286" s="1178"/>
      <c r="AI286" s="1162"/>
      <c r="AJ286" s="1163"/>
      <c r="AK286" s="1162"/>
      <c r="AL286" s="1163"/>
      <c r="AM286" s="1162"/>
      <c r="AN286" s="1163"/>
      <c r="AO286" s="1162"/>
      <c r="AP286" s="1163"/>
      <c r="AQ286" s="1162"/>
      <c r="AR286" s="1163"/>
    </row>
    <row r="287" spans="1:44" ht="16" thickBot="1">
      <c r="B287" s="371"/>
      <c r="C287" s="372"/>
      <c r="D287" s="372"/>
      <c r="E287" s="372"/>
      <c r="F287" s="372"/>
      <c r="G287" s="372"/>
      <c r="H287" s="372"/>
      <c r="I287" s="372"/>
      <c r="J287" s="372"/>
      <c r="K287" s="372"/>
      <c r="L287" s="373"/>
      <c r="M287" s="370"/>
      <c r="N287" s="370"/>
      <c r="O287" s="74"/>
      <c r="P287" s="1182"/>
      <c r="Q287" s="1179"/>
      <c r="R287" s="1185"/>
      <c r="S287" s="1179"/>
      <c r="T287" s="374"/>
      <c r="U287" s="375"/>
      <c r="V287" s="374"/>
      <c r="W287" s="375"/>
      <c r="X287" s="374"/>
      <c r="Y287" s="375"/>
      <c r="Z287" s="374"/>
      <c r="AA287" s="375"/>
      <c r="AB287" s="374"/>
      <c r="AC287" s="375"/>
      <c r="AE287" s="1182"/>
      <c r="AF287" s="1179"/>
      <c r="AG287" s="1185"/>
      <c r="AH287" s="1179"/>
      <c r="AI287" s="374"/>
      <c r="AJ287" s="375"/>
      <c r="AK287" s="374"/>
      <c r="AL287" s="375"/>
      <c r="AM287" s="374"/>
      <c r="AN287" s="375"/>
      <c r="AO287" s="374"/>
      <c r="AP287" s="375"/>
      <c r="AQ287" s="374"/>
      <c r="AR287" s="375"/>
    </row>
    <row r="288" spans="1:44" ht="14.5" customHeight="1">
      <c r="B288" s="574"/>
      <c r="C288" s="575"/>
      <c r="D288" s="575"/>
      <c r="E288" s="575"/>
      <c r="F288" s="575"/>
      <c r="G288" s="576"/>
      <c r="H288" s="576"/>
      <c r="I288" s="576"/>
      <c r="J288" s="576"/>
      <c r="K288" s="372"/>
      <c r="L288" s="373"/>
      <c r="M288" s="370"/>
      <c r="N288" s="370"/>
      <c r="P288" s="1148"/>
      <c r="Q288" s="1154"/>
      <c r="R288" s="381"/>
      <c r="S288" s="382"/>
      <c r="T288" s="1137"/>
      <c r="U288" s="1151"/>
      <c r="V288" s="1137"/>
      <c r="W288" s="1151"/>
      <c r="X288" s="1137"/>
      <c r="Y288" s="1151"/>
      <c r="Z288" s="1137"/>
      <c r="AA288" s="1151"/>
      <c r="AB288" s="1157"/>
      <c r="AC288" s="1151"/>
      <c r="AE288" s="1148"/>
      <c r="AF288" s="1154"/>
      <c r="AG288" s="381"/>
      <c r="AH288" s="382"/>
      <c r="AI288" s="1137"/>
      <c r="AJ288" s="1151"/>
      <c r="AK288" s="1137"/>
      <c r="AL288" s="1151"/>
      <c r="AM288" s="1137"/>
      <c r="AN288" s="1151"/>
      <c r="AO288" s="1137"/>
      <c r="AP288" s="1151"/>
      <c r="AQ288" s="1157"/>
      <c r="AR288" s="1151"/>
    </row>
    <row r="289" spans="2:44">
      <c r="B289" s="383"/>
      <c r="C289" s="577"/>
      <c r="D289" s="577"/>
      <c r="E289" s="577"/>
      <c r="F289" s="577"/>
      <c r="G289" s="576"/>
      <c r="H289" s="576"/>
      <c r="I289" s="576"/>
      <c r="J289" s="576"/>
      <c r="K289" s="372"/>
      <c r="L289" s="373"/>
      <c r="M289" s="370"/>
      <c r="N289" s="370"/>
      <c r="O289" s="71"/>
      <c r="P289" s="1149"/>
      <c r="Q289" s="1155"/>
      <c r="R289" s="388"/>
      <c r="S289" s="389"/>
      <c r="T289" s="1140"/>
      <c r="U289" s="1152"/>
      <c r="V289" s="1140"/>
      <c r="W289" s="1152"/>
      <c r="X289" s="1140"/>
      <c r="Y289" s="1152"/>
      <c r="Z289" s="1140"/>
      <c r="AA289" s="1152"/>
      <c r="AB289" s="1158"/>
      <c r="AC289" s="1152"/>
      <c r="AE289" s="1149"/>
      <c r="AF289" s="1155"/>
      <c r="AG289" s="388"/>
      <c r="AH289" s="389"/>
      <c r="AI289" s="1140"/>
      <c r="AJ289" s="1152"/>
      <c r="AK289" s="1140"/>
      <c r="AL289" s="1152"/>
      <c r="AM289" s="1140"/>
      <c r="AN289" s="1152"/>
      <c r="AO289" s="1140"/>
      <c r="AP289" s="1152"/>
      <c r="AQ289" s="1158"/>
      <c r="AR289" s="1152"/>
    </row>
    <row r="290" spans="2:44" ht="16" thickBot="1">
      <c r="B290" s="574"/>
      <c r="C290" s="578"/>
      <c r="D290" s="578"/>
      <c r="E290" s="578"/>
      <c r="F290" s="578"/>
      <c r="G290" s="578"/>
      <c r="H290" s="578"/>
      <c r="I290" s="578"/>
      <c r="J290" s="578"/>
      <c r="K290" s="579"/>
      <c r="L290" s="580"/>
      <c r="M290" s="370"/>
      <c r="N290" s="370"/>
      <c r="O290" s="71"/>
      <c r="P290" s="1149"/>
      <c r="Q290" s="1156"/>
      <c r="R290" s="393"/>
      <c r="S290" s="394"/>
      <c r="T290" s="1141"/>
      <c r="U290" s="1153"/>
      <c r="V290" s="1141"/>
      <c r="W290" s="1153"/>
      <c r="X290" s="1141"/>
      <c r="Y290" s="1153"/>
      <c r="Z290" s="1141"/>
      <c r="AA290" s="1153"/>
      <c r="AB290" s="1159"/>
      <c r="AC290" s="1153"/>
      <c r="AE290" s="1149"/>
      <c r="AF290" s="1156"/>
      <c r="AG290" s="393"/>
      <c r="AH290" s="394"/>
      <c r="AI290" s="1141"/>
      <c r="AJ290" s="1153"/>
      <c r="AK290" s="1141"/>
      <c r="AL290" s="1153"/>
      <c r="AM290" s="1141"/>
      <c r="AN290" s="1153"/>
      <c r="AO290" s="1141"/>
      <c r="AP290" s="1153"/>
      <c r="AQ290" s="1159"/>
      <c r="AR290" s="1153"/>
    </row>
    <row r="291" spans="2:44" ht="14.5" customHeight="1">
      <c r="B291" s="574"/>
      <c r="C291" s="581"/>
      <c r="D291" s="581"/>
      <c r="E291" s="581"/>
      <c r="F291" s="581"/>
      <c r="G291" s="581"/>
      <c r="H291" s="581"/>
      <c r="I291" s="581"/>
      <c r="J291" s="581"/>
      <c r="K291" s="579"/>
      <c r="L291" s="580"/>
      <c r="M291" s="370"/>
      <c r="N291" s="370"/>
      <c r="O291" s="71"/>
      <c r="P291" s="1149"/>
      <c r="Q291" s="1145"/>
      <c r="R291" s="395"/>
      <c r="S291" s="396"/>
      <c r="T291" s="1137"/>
      <c r="U291" s="1137"/>
      <c r="V291" s="1137"/>
      <c r="W291" s="1137"/>
      <c r="X291" s="1137"/>
      <c r="Y291" s="1137"/>
      <c r="Z291" s="1137"/>
      <c r="AA291" s="1137"/>
      <c r="AB291" s="1137"/>
      <c r="AC291" s="1137"/>
      <c r="AE291" s="1149"/>
      <c r="AF291" s="1145"/>
      <c r="AG291" s="395"/>
      <c r="AH291" s="396"/>
      <c r="AI291" s="1137"/>
      <c r="AJ291" s="1137"/>
      <c r="AK291" s="1137"/>
      <c r="AL291" s="1137"/>
      <c r="AM291" s="1137"/>
      <c r="AN291" s="1137"/>
      <c r="AO291" s="1137"/>
      <c r="AP291" s="1137"/>
      <c r="AQ291" s="1137"/>
      <c r="AR291" s="1137"/>
    </row>
    <row r="292" spans="2:44">
      <c r="B292" s="574"/>
      <c r="C292" s="582"/>
      <c r="D292" s="582"/>
      <c r="E292" s="582"/>
      <c r="F292" s="582"/>
      <c r="G292" s="582"/>
      <c r="H292" s="582"/>
      <c r="I292" s="582"/>
      <c r="J292" s="582"/>
      <c r="K292" s="579"/>
      <c r="L292" s="580"/>
      <c r="M292" s="367"/>
      <c r="N292" s="367"/>
      <c r="O292" s="71"/>
      <c r="P292" s="1149"/>
      <c r="Q292" s="1146"/>
      <c r="R292" s="395"/>
      <c r="S292" s="396"/>
      <c r="T292" s="1138"/>
      <c r="U292" s="1138"/>
      <c r="V292" s="1138"/>
      <c r="W292" s="1138"/>
      <c r="X292" s="1138"/>
      <c r="Y292" s="1138"/>
      <c r="Z292" s="1138"/>
      <c r="AA292" s="1138"/>
      <c r="AB292" s="1140"/>
      <c r="AC292" s="1138"/>
      <c r="AE292" s="1149"/>
      <c r="AF292" s="1146"/>
      <c r="AG292" s="395"/>
      <c r="AH292" s="396"/>
      <c r="AI292" s="1138"/>
      <c r="AJ292" s="1138"/>
      <c r="AK292" s="1138"/>
      <c r="AL292" s="1138"/>
      <c r="AM292" s="1138"/>
      <c r="AN292" s="1138"/>
      <c r="AO292" s="1138"/>
      <c r="AP292" s="1138"/>
      <c r="AQ292" s="1140"/>
      <c r="AR292" s="1138"/>
    </row>
    <row r="293" spans="2:44">
      <c r="B293" s="383"/>
      <c r="C293" s="397"/>
      <c r="D293" s="397"/>
      <c r="E293" s="397"/>
      <c r="F293" s="397"/>
      <c r="G293" s="398"/>
      <c r="H293" s="398"/>
      <c r="I293" s="398"/>
      <c r="J293" s="398"/>
      <c r="K293" s="372"/>
      <c r="L293" s="373"/>
      <c r="M293" s="363"/>
      <c r="N293" s="363"/>
      <c r="P293" s="1149"/>
      <c r="Q293" s="1146"/>
      <c r="R293" s="395"/>
      <c r="S293" s="396"/>
      <c r="T293" s="1138"/>
      <c r="U293" s="1138"/>
      <c r="V293" s="1138"/>
      <c r="W293" s="1138"/>
      <c r="X293" s="1138"/>
      <c r="Y293" s="1138"/>
      <c r="Z293" s="1138"/>
      <c r="AA293" s="1138"/>
      <c r="AB293" s="1140"/>
      <c r="AC293" s="1138"/>
      <c r="AE293" s="1149"/>
      <c r="AF293" s="1146"/>
      <c r="AG293" s="395"/>
      <c r="AH293" s="396"/>
      <c r="AI293" s="1138"/>
      <c r="AJ293" s="1138"/>
      <c r="AK293" s="1138"/>
      <c r="AL293" s="1138"/>
      <c r="AM293" s="1138"/>
      <c r="AN293" s="1138"/>
      <c r="AO293" s="1138"/>
      <c r="AP293" s="1138"/>
      <c r="AQ293" s="1140"/>
      <c r="AR293" s="1138"/>
    </row>
    <row r="294" spans="2:44" ht="16" thickBot="1">
      <c r="B294" s="574"/>
      <c r="C294" s="582"/>
      <c r="D294" s="582"/>
      <c r="E294" s="582"/>
      <c r="F294" s="582"/>
      <c r="G294" s="582"/>
      <c r="H294" s="582"/>
      <c r="I294" s="582"/>
      <c r="J294" s="582"/>
      <c r="K294" s="372"/>
      <c r="L294" s="373"/>
      <c r="M294" s="363"/>
      <c r="N294" s="363"/>
      <c r="P294" s="1149"/>
      <c r="Q294" s="1146"/>
      <c r="R294" s="395"/>
      <c r="S294" s="396"/>
      <c r="T294" s="1138"/>
      <c r="U294" s="1138"/>
      <c r="V294" s="1138"/>
      <c r="W294" s="1138"/>
      <c r="X294" s="1138"/>
      <c r="Y294" s="1138"/>
      <c r="Z294" s="1138"/>
      <c r="AA294" s="1138"/>
      <c r="AB294" s="1140"/>
      <c r="AC294" s="1138"/>
      <c r="AE294" s="1149"/>
      <c r="AF294" s="1146"/>
      <c r="AG294" s="395"/>
      <c r="AH294" s="396"/>
      <c r="AI294" s="1138"/>
      <c r="AJ294" s="1138"/>
      <c r="AK294" s="1138"/>
      <c r="AL294" s="1138"/>
      <c r="AM294" s="1138"/>
      <c r="AN294" s="1138"/>
      <c r="AO294" s="1138"/>
      <c r="AP294" s="1138"/>
      <c r="AQ294" s="1140"/>
      <c r="AR294" s="1138"/>
    </row>
    <row r="295" spans="2:44" ht="16" thickBot="1">
      <c r="B295" s="401"/>
      <c r="C295" s="583"/>
      <c r="D295" s="584"/>
      <c r="E295" s="585"/>
      <c r="F295" s="586"/>
      <c r="G295" s="406"/>
      <c r="H295" s="406"/>
      <c r="I295" s="406"/>
      <c r="J295" s="406"/>
      <c r="K295" s="407"/>
      <c r="L295" s="587"/>
      <c r="M295" s="363"/>
      <c r="N295" s="363"/>
      <c r="P295" s="1149"/>
      <c r="Q295" s="1147"/>
      <c r="R295" s="409"/>
      <c r="S295" s="410"/>
      <c r="T295" s="1139"/>
      <c r="U295" s="1139"/>
      <c r="V295" s="1139"/>
      <c r="W295" s="1139"/>
      <c r="X295" s="1139"/>
      <c r="Y295" s="1139"/>
      <c r="Z295" s="1139"/>
      <c r="AA295" s="1139"/>
      <c r="AB295" s="1141"/>
      <c r="AC295" s="1139"/>
      <c r="AE295" s="1149"/>
      <c r="AF295" s="1147"/>
      <c r="AG295" s="409"/>
      <c r="AH295" s="410"/>
      <c r="AI295" s="1139"/>
      <c r="AJ295" s="1139"/>
      <c r="AK295" s="1139"/>
      <c r="AL295" s="1139"/>
      <c r="AM295" s="1139"/>
      <c r="AN295" s="1139"/>
      <c r="AO295" s="1139"/>
      <c r="AP295" s="1139"/>
      <c r="AQ295" s="1141"/>
      <c r="AR295" s="1139"/>
    </row>
    <row r="296" spans="2:44" ht="16" thickBot="1">
      <c r="B296" s="574"/>
      <c r="C296" s="588"/>
      <c r="D296" s="588"/>
      <c r="E296" s="588"/>
      <c r="F296" s="588"/>
      <c r="G296" s="589"/>
      <c r="H296" s="589"/>
      <c r="I296" s="590"/>
      <c r="J296" s="590"/>
      <c r="K296" s="579"/>
      <c r="L296" s="580"/>
      <c r="M296" s="363"/>
      <c r="N296" s="363"/>
      <c r="P296" s="1150"/>
      <c r="Q296" s="411"/>
      <c r="R296" s="412"/>
      <c r="S296" s="413"/>
      <c r="T296" s="591"/>
      <c r="U296" s="592"/>
      <c r="V296" s="593"/>
      <c r="W296" s="592"/>
      <c r="X296" s="593"/>
      <c r="Y296" s="592"/>
      <c r="Z296" s="593"/>
      <c r="AA296" s="592"/>
      <c r="AB296" s="593"/>
      <c r="AC296" s="594"/>
      <c r="AE296" s="1150"/>
      <c r="AF296" s="411"/>
      <c r="AG296" s="412"/>
      <c r="AH296" s="413"/>
      <c r="AI296" s="591"/>
      <c r="AJ296" s="592"/>
      <c r="AK296" s="593"/>
      <c r="AL296" s="592"/>
      <c r="AM296" s="593"/>
      <c r="AN296" s="592"/>
      <c r="AO296" s="593"/>
      <c r="AP296" s="592"/>
      <c r="AQ296" s="593"/>
      <c r="AR296" s="594"/>
    </row>
    <row r="297" spans="2:44">
      <c r="B297" s="574"/>
      <c r="C297" s="582"/>
      <c r="D297" s="582"/>
      <c r="E297" s="582"/>
      <c r="F297" s="582"/>
      <c r="G297" s="595"/>
      <c r="H297" s="595"/>
      <c r="I297" s="595"/>
      <c r="J297" s="595"/>
      <c r="K297" s="596"/>
      <c r="L297" s="580"/>
      <c r="M297" s="363"/>
      <c r="N297" s="363"/>
    </row>
    <row r="298" spans="2:44">
      <c r="B298" s="574"/>
      <c r="C298" s="582"/>
      <c r="D298" s="582"/>
      <c r="E298" s="582"/>
      <c r="F298" s="582"/>
      <c r="G298" s="595"/>
      <c r="H298" s="595"/>
      <c r="I298" s="595"/>
      <c r="J298" s="595"/>
      <c r="K298" s="596"/>
      <c r="L298" s="580"/>
      <c r="M298" s="420"/>
      <c r="N298" s="363"/>
    </row>
    <row r="299" spans="2:44">
      <c r="B299" s="421"/>
      <c r="C299" s="399"/>
      <c r="D299" s="399"/>
      <c r="E299" s="399"/>
      <c r="F299" s="399"/>
      <c r="G299" s="422"/>
      <c r="H299" s="422"/>
      <c r="I299" s="422"/>
      <c r="J299" s="422"/>
      <c r="K299" s="423"/>
      <c r="L299" s="597"/>
      <c r="M299" s="420"/>
      <c r="N299" s="420"/>
    </row>
    <row r="300" spans="2:44">
      <c r="B300" s="383"/>
      <c r="C300" s="397"/>
      <c r="D300" s="397"/>
      <c r="E300" s="397"/>
      <c r="F300" s="397"/>
      <c r="G300" s="422"/>
      <c r="H300" s="425"/>
      <c r="I300" s="425"/>
      <c r="J300" s="425"/>
      <c r="K300" s="426"/>
      <c r="L300" s="427"/>
      <c r="M300" s="428"/>
      <c r="N300" s="428"/>
    </row>
    <row r="301" spans="2:44">
      <c r="B301" s="383"/>
      <c r="C301" s="397"/>
      <c r="D301" s="397"/>
      <c r="E301" s="397"/>
      <c r="F301" s="397"/>
      <c r="G301" s="425"/>
      <c r="H301" s="425"/>
      <c r="I301" s="425"/>
      <c r="J301" s="425"/>
      <c r="K301" s="423"/>
      <c r="L301" s="427"/>
      <c r="M301" s="428"/>
      <c r="N301" s="428"/>
    </row>
    <row r="302" spans="2:44">
      <c r="B302" s="383"/>
      <c r="C302" s="397"/>
      <c r="D302" s="397"/>
      <c r="E302" s="397"/>
      <c r="F302" s="397"/>
      <c r="G302" s="425"/>
      <c r="H302" s="425"/>
      <c r="I302" s="425"/>
      <c r="J302" s="425"/>
      <c r="K302" s="423"/>
      <c r="L302" s="427"/>
      <c r="M302" s="428"/>
      <c r="N302" s="428"/>
    </row>
    <row r="303" spans="2:44">
      <c r="B303" s="383"/>
      <c r="C303" s="397"/>
      <c r="D303" s="397"/>
      <c r="E303" s="397"/>
      <c r="F303" s="397"/>
      <c r="G303" s="425"/>
      <c r="H303" s="425"/>
      <c r="I303" s="425"/>
      <c r="J303" s="425"/>
      <c r="K303" s="423"/>
      <c r="L303" s="427"/>
      <c r="M303" s="428"/>
      <c r="N303" s="428"/>
    </row>
    <row r="304" spans="2:44" ht="16" thickBot="1">
      <c r="B304" s="429"/>
      <c r="C304" s="397"/>
      <c r="D304" s="397"/>
      <c r="E304" s="397"/>
      <c r="F304" s="397"/>
      <c r="G304" s="425"/>
      <c r="H304" s="425"/>
      <c r="I304" s="425"/>
      <c r="J304" s="425"/>
      <c r="K304" s="423"/>
      <c r="L304" s="427"/>
      <c r="M304" s="428"/>
      <c r="N304" s="428"/>
    </row>
    <row r="305" spans="1:30" ht="16" thickBot="1">
      <c r="B305" s="431"/>
      <c r="C305" s="598"/>
      <c r="D305" s="584"/>
      <c r="E305" s="584"/>
      <c r="F305" s="599"/>
      <c r="G305" s="434"/>
      <c r="H305" s="406"/>
      <c r="I305" s="406"/>
      <c r="J305" s="406"/>
      <c r="K305" s="407"/>
      <c r="L305" s="587"/>
      <c r="M305" s="428"/>
      <c r="N305" s="428"/>
    </row>
    <row r="306" spans="1:30">
      <c r="A306" s="435"/>
      <c r="B306" s="436"/>
      <c r="C306" s="600"/>
      <c r="D306" s="600"/>
      <c r="E306" s="600"/>
      <c r="F306" s="600"/>
      <c r="G306" s="425"/>
      <c r="H306" s="425"/>
      <c r="I306" s="425"/>
      <c r="J306" s="425"/>
      <c r="K306" s="426"/>
      <c r="L306" s="440"/>
      <c r="M306" s="420"/>
      <c r="N306" s="420"/>
    </row>
    <row r="307" spans="1:30">
      <c r="B307" s="441"/>
      <c r="C307" s="601"/>
      <c r="D307" s="601"/>
      <c r="E307" s="601"/>
      <c r="F307" s="601"/>
      <c r="G307" s="425"/>
      <c r="H307" s="425"/>
      <c r="I307" s="425"/>
      <c r="J307" s="425"/>
      <c r="K307" s="444"/>
      <c r="L307" s="373"/>
      <c r="M307" s="71"/>
      <c r="N307" s="420"/>
    </row>
    <row r="308" spans="1:30">
      <c r="B308" s="441"/>
      <c r="C308" s="601"/>
      <c r="D308" s="601"/>
      <c r="E308" s="601"/>
      <c r="F308" s="601"/>
      <c r="G308" s="425"/>
      <c r="H308" s="425"/>
      <c r="I308" s="425"/>
      <c r="J308" s="425"/>
      <c r="K308" s="444"/>
      <c r="L308" s="373"/>
      <c r="M308" s="420"/>
      <c r="N308" s="420"/>
    </row>
    <row r="309" spans="1:30">
      <c r="B309" s="383"/>
      <c r="C309" s="602"/>
      <c r="D309" s="603"/>
      <c r="E309" s="603"/>
      <c r="F309" s="604"/>
      <c r="G309" s="425"/>
      <c r="H309" s="425"/>
      <c r="I309" s="425"/>
      <c r="J309" s="425"/>
      <c r="K309" s="444"/>
      <c r="L309" s="373"/>
      <c r="M309" s="420"/>
      <c r="N309" s="420"/>
    </row>
    <row r="310" spans="1:30">
      <c r="B310" s="383"/>
      <c r="C310" s="605"/>
      <c r="D310" s="605"/>
      <c r="E310" s="605"/>
      <c r="F310" s="605"/>
      <c r="G310" s="425"/>
      <c r="H310" s="425"/>
      <c r="I310" s="425"/>
      <c r="J310" s="425"/>
      <c r="K310" s="444"/>
      <c r="L310" s="373"/>
      <c r="M310" s="450"/>
      <c r="N310" s="361"/>
      <c r="P310" s="1142"/>
      <c r="Q310" s="1143"/>
      <c r="R310" s="1143"/>
      <c r="S310" s="1143"/>
      <c r="T310" s="1143"/>
      <c r="U310" s="1144"/>
    </row>
    <row r="311" spans="1:30" ht="16" thickBot="1">
      <c r="B311" s="541"/>
      <c r="C311" s="552"/>
      <c r="D311" s="552"/>
      <c r="E311" s="552"/>
      <c r="F311" s="552"/>
      <c r="G311" s="553"/>
      <c r="H311" s="553"/>
      <c r="I311" s="553"/>
      <c r="J311" s="553"/>
      <c r="K311" s="547"/>
      <c r="L311" s="548"/>
      <c r="M311" s="450"/>
      <c r="N311" s="361"/>
      <c r="P311" s="1134"/>
      <c r="Q311" s="1135"/>
      <c r="R311" s="1135"/>
      <c r="S311" s="1135"/>
      <c r="T311" s="1135"/>
      <c r="U311" s="1136"/>
    </row>
    <row r="312" spans="1:30">
      <c r="B312" s="541"/>
      <c r="C312" s="606"/>
      <c r="D312" s="606"/>
      <c r="E312" s="606"/>
      <c r="F312" s="606"/>
      <c r="G312" s="553"/>
      <c r="H312" s="553"/>
      <c r="I312" s="553"/>
      <c r="J312" s="553"/>
      <c r="K312" s="547"/>
      <c r="L312" s="548"/>
      <c r="M312" s="363"/>
      <c r="N312" s="363"/>
      <c r="P312" s="53"/>
    </row>
    <row r="313" spans="1:30">
      <c r="B313" s="541"/>
      <c r="C313" s="607"/>
      <c r="D313" s="547"/>
      <c r="E313" s="547"/>
      <c r="F313" s="563"/>
      <c r="G313" s="550"/>
      <c r="H313" s="550"/>
      <c r="I313" s="550"/>
      <c r="J313" s="550"/>
      <c r="K313" s="547"/>
      <c r="L313" s="608"/>
      <c r="M313" s="367"/>
      <c r="N313" s="367"/>
      <c r="P313" s="46"/>
      <c r="Q313" s="46"/>
      <c r="R313" s="47"/>
      <c r="S313" s="47"/>
      <c r="T313" s="47"/>
      <c r="U313" s="48"/>
      <c r="V313" s="49"/>
      <c r="W313" s="49"/>
      <c r="X313" s="49"/>
      <c r="Y313" s="49"/>
      <c r="Z313" s="49"/>
      <c r="AA313" s="49"/>
      <c r="AB313" s="49"/>
      <c r="AC313" s="49"/>
      <c r="AD313" s="49"/>
    </row>
    <row r="314" spans="1:30" ht="16" thickBot="1">
      <c r="B314" s="566"/>
      <c r="C314" s="607"/>
      <c r="D314" s="609"/>
      <c r="E314" s="609"/>
      <c r="F314" s="610"/>
      <c r="G314" s="550"/>
      <c r="H314" s="550"/>
      <c r="I314" s="550"/>
      <c r="J314" s="550"/>
      <c r="K314" s="547"/>
      <c r="L314" s="608"/>
      <c r="M314" s="363"/>
      <c r="N314" s="363"/>
      <c r="O314" s="71"/>
      <c r="P314" s="50"/>
      <c r="Q314" s="50"/>
      <c r="R314" s="51"/>
      <c r="S314" s="51"/>
      <c r="T314" s="51"/>
      <c r="U314" s="51"/>
      <c r="V314" s="50"/>
      <c r="W314" s="50"/>
      <c r="X314" s="50"/>
      <c r="Y314" s="50"/>
      <c r="Z314" s="50"/>
      <c r="AA314" s="50"/>
      <c r="AB314" s="50"/>
      <c r="AC314" s="50"/>
      <c r="AD314" s="50"/>
    </row>
    <row r="315" spans="1:30" ht="16" thickBot="1">
      <c r="B315" s="611"/>
      <c r="C315" s="612"/>
      <c r="D315" s="613"/>
      <c r="E315" s="614"/>
      <c r="F315" s="615"/>
      <c r="G315" s="540"/>
      <c r="H315" s="540"/>
      <c r="I315" s="540"/>
      <c r="J315" s="540"/>
      <c r="K315" s="616"/>
      <c r="L315" s="617"/>
      <c r="M315" s="363"/>
      <c r="N315" s="363"/>
      <c r="O315" s="461"/>
      <c r="P315" s="56"/>
      <c r="Q315" s="56"/>
      <c r="R315" s="57"/>
      <c r="S315" s="57"/>
      <c r="T315" s="57"/>
      <c r="U315" s="56"/>
      <c r="V315" s="56"/>
      <c r="W315" s="56"/>
      <c r="X315" s="56"/>
      <c r="Y315" s="56"/>
      <c r="Z315" s="56"/>
      <c r="AA315" s="56"/>
      <c r="AB315" s="56"/>
      <c r="AC315" s="56"/>
      <c r="AD315" s="56"/>
    </row>
    <row r="316" spans="1:30">
      <c r="B316" s="556"/>
      <c r="C316" s="618"/>
      <c r="D316" s="618"/>
      <c r="E316" s="618"/>
      <c r="F316" s="618"/>
      <c r="G316" s="618"/>
      <c r="H316" s="618"/>
      <c r="I316" s="618"/>
      <c r="J316" s="618"/>
      <c r="K316" s="618"/>
      <c r="L316" s="619"/>
      <c r="M316" s="363"/>
      <c r="N316" s="363"/>
      <c r="O316" s="620"/>
      <c r="P316" s="466"/>
      <c r="Q316" s="58"/>
      <c r="R316" s="466"/>
      <c r="S316" s="58"/>
      <c r="T316" s="466"/>
      <c r="U316" s="467"/>
      <c r="V316" s="467"/>
      <c r="W316" s="467"/>
      <c r="X316" s="58"/>
      <c r="Y316" s="58"/>
      <c r="Z316" s="466"/>
      <c r="AA316" s="468"/>
      <c r="AB316" s="468"/>
      <c r="AC316" s="468"/>
      <c r="AD316" s="468"/>
    </row>
    <row r="317" spans="1:30">
      <c r="B317" s="541"/>
      <c r="C317" s="558"/>
      <c r="D317" s="558"/>
      <c r="E317" s="558"/>
      <c r="F317" s="558"/>
      <c r="G317" s="563"/>
      <c r="H317" s="563"/>
      <c r="I317" s="563"/>
      <c r="J317" s="563"/>
      <c r="K317" s="563"/>
      <c r="L317" s="548"/>
      <c r="M317" s="363"/>
      <c r="N317" s="363"/>
      <c r="O317" s="620"/>
      <c r="P317" s="466"/>
      <c r="Q317" s="58"/>
      <c r="R317" s="466"/>
      <c r="S317" s="58"/>
      <c r="T317" s="466"/>
      <c r="U317" s="467"/>
      <c r="V317" s="467"/>
      <c r="W317" s="467"/>
      <c r="X317" s="58"/>
      <c r="Y317" s="58"/>
      <c r="Z317" s="466"/>
      <c r="AA317" s="468"/>
      <c r="AB317" s="468"/>
      <c r="AC317" s="468"/>
      <c r="AD317" s="468"/>
    </row>
    <row r="318" spans="1:30">
      <c r="B318" s="541"/>
      <c r="C318" s="558"/>
      <c r="D318" s="558"/>
      <c r="E318" s="558"/>
      <c r="F318" s="558"/>
      <c r="G318" s="563"/>
      <c r="H318" s="563"/>
      <c r="I318" s="563"/>
      <c r="J318" s="563"/>
      <c r="K318" s="563"/>
      <c r="L318" s="548"/>
      <c r="M318" s="363"/>
      <c r="N318" s="363"/>
      <c r="O318" s="620"/>
      <c r="P318" s="466"/>
      <c r="Q318" s="58"/>
      <c r="R318" s="466"/>
      <c r="S318" s="58"/>
      <c r="T318" s="466"/>
      <c r="U318" s="467"/>
      <c r="V318" s="467"/>
      <c r="W318" s="467"/>
      <c r="X318" s="58"/>
      <c r="Y318" s="58"/>
      <c r="Z318" s="466"/>
      <c r="AA318" s="468"/>
      <c r="AB318" s="468"/>
      <c r="AC318" s="468"/>
      <c r="AD318" s="468"/>
    </row>
    <row r="319" spans="1:30">
      <c r="B319" s="541"/>
      <c r="C319" s="564"/>
      <c r="D319" s="564"/>
      <c r="E319" s="564"/>
      <c r="F319" s="564"/>
      <c r="G319" s="621"/>
      <c r="H319" s="621"/>
      <c r="I319" s="621"/>
      <c r="J319" s="621"/>
      <c r="K319" s="621"/>
      <c r="L319" s="548"/>
      <c r="M319" s="363"/>
      <c r="N319" s="363"/>
      <c r="O319" s="620"/>
      <c r="P319" s="466"/>
      <c r="Q319" s="58"/>
      <c r="R319" s="466"/>
      <c r="S319" s="58"/>
      <c r="T319" s="466"/>
      <c r="U319" s="467"/>
      <c r="V319" s="467"/>
      <c r="W319" s="467"/>
      <c r="X319" s="58"/>
      <c r="Y319" s="58"/>
      <c r="Z319" s="466"/>
      <c r="AA319" s="468"/>
      <c r="AB319" s="468"/>
      <c r="AC319" s="468"/>
      <c r="AD319" s="468"/>
    </row>
    <row r="320" spans="1:30">
      <c r="B320" s="566"/>
      <c r="C320" s="558"/>
      <c r="D320" s="558"/>
      <c r="E320" s="558"/>
      <c r="F320" s="558"/>
      <c r="G320" s="563"/>
      <c r="H320" s="563"/>
      <c r="I320" s="563"/>
      <c r="J320" s="563"/>
      <c r="K320" s="563"/>
      <c r="L320" s="548"/>
      <c r="M320" s="367"/>
      <c r="N320" s="367"/>
    </row>
    <row r="321" spans="1:14">
      <c r="B321" s="566"/>
      <c r="C321" s="558"/>
      <c r="D321" s="558"/>
      <c r="E321" s="558"/>
      <c r="F321" s="558"/>
      <c r="G321" s="563"/>
      <c r="H321" s="563"/>
      <c r="I321" s="563"/>
      <c r="J321" s="563"/>
      <c r="K321" s="563"/>
      <c r="L321" s="548"/>
      <c r="M321" s="363"/>
      <c r="N321" s="363"/>
    </row>
    <row r="322" spans="1:14" ht="16" thickBot="1">
      <c r="B322" s="567"/>
      <c r="C322" s="622"/>
      <c r="D322" s="622"/>
      <c r="E322" s="622"/>
      <c r="F322" s="622"/>
      <c r="G322" s="623"/>
      <c r="H322" s="623"/>
      <c r="I322" s="623"/>
      <c r="J322" s="623"/>
      <c r="K322" s="623"/>
      <c r="L322" s="624"/>
      <c r="M322" s="363"/>
      <c r="N322" s="363"/>
    </row>
    <row r="323" spans="1:14">
      <c r="B323" s="461"/>
      <c r="C323" s="483"/>
      <c r="D323" s="483"/>
      <c r="E323" s="483"/>
      <c r="F323" s="483"/>
      <c r="G323" s="483"/>
      <c r="H323" s="484"/>
      <c r="I323" s="420"/>
      <c r="J323" s="420"/>
      <c r="K323" s="484"/>
      <c r="L323" s="484"/>
      <c r="N323" s="420"/>
    </row>
    <row r="324" spans="1:14">
      <c r="B324" s="485"/>
      <c r="C324" s="486"/>
      <c r="D324" s="486"/>
      <c r="E324" s="486"/>
      <c r="F324" s="486"/>
      <c r="G324" s="486"/>
      <c r="H324" s="484"/>
      <c r="I324" s="71"/>
      <c r="J324" s="420"/>
      <c r="K324" s="484"/>
      <c r="L324" s="484"/>
      <c r="N324" s="420"/>
    </row>
    <row r="325" spans="1:14">
      <c r="B325" s="461"/>
      <c r="C325" s="359"/>
      <c r="D325" s="359"/>
      <c r="E325" s="359"/>
      <c r="F325" s="359"/>
      <c r="G325" s="359"/>
      <c r="I325" s="420"/>
      <c r="J325" s="420"/>
      <c r="N325" s="420"/>
    </row>
    <row r="326" spans="1:14">
      <c r="B326" s="461"/>
      <c r="C326" s="487"/>
      <c r="D326" s="487"/>
      <c r="E326" s="487"/>
      <c r="F326" s="487"/>
      <c r="G326" s="359"/>
      <c r="M326" s="420"/>
      <c r="N326" s="420"/>
    </row>
    <row r="329" spans="1:14">
      <c r="A329" s="488"/>
      <c r="B329" s="489"/>
      <c r="D329" s="358"/>
      <c r="E329" s="358"/>
      <c r="F329" s="358"/>
      <c r="G329" s="358"/>
      <c r="H329" s="358"/>
      <c r="I329" s="358"/>
      <c r="J329" s="358"/>
      <c r="K329" s="358"/>
    </row>
    <row r="330" spans="1:14">
      <c r="A330" s="358"/>
      <c r="B330" s="490"/>
      <c r="E330" s="358"/>
      <c r="F330" s="358"/>
      <c r="G330" s="358"/>
      <c r="H330" s="358"/>
      <c r="I330" s="358"/>
      <c r="J330" s="358"/>
      <c r="K330" s="358"/>
    </row>
    <row r="331" spans="1:14">
      <c r="A331" s="358"/>
      <c r="B331" s="490"/>
      <c r="E331" s="358"/>
      <c r="F331" s="358"/>
      <c r="G331" s="358"/>
      <c r="H331" s="358"/>
      <c r="I331" s="358"/>
      <c r="J331" s="358"/>
      <c r="K331" s="358"/>
    </row>
    <row r="332" spans="1:14">
      <c r="A332" s="358"/>
      <c r="B332" s="490"/>
      <c r="E332" s="358"/>
      <c r="F332" s="358"/>
      <c r="G332" s="358"/>
      <c r="H332" s="358"/>
      <c r="I332" s="358"/>
      <c r="J332" s="358"/>
      <c r="K332" s="358"/>
    </row>
    <row r="333" spans="1:14">
      <c r="A333" s="358"/>
      <c r="B333" s="490"/>
      <c r="E333" s="358"/>
      <c r="F333" s="358"/>
      <c r="G333" s="358"/>
      <c r="H333" s="358"/>
      <c r="I333" s="358"/>
      <c r="J333" s="358"/>
      <c r="K333" s="358"/>
    </row>
    <row r="334" spans="1:14">
      <c r="A334" s="358"/>
      <c r="B334" s="490"/>
      <c r="E334" s="358"/>
      <c r="F334" s="358"/>
      <c r="G334" s="358"/>
      <c r="H334" s="358"/>
      <c r="I334" s="358"/>
      <c r="J334" s="358"/>
      <c r="K334" s="358"/>
    </row>
    <row r="335" spans="1:14">
      <c r="A335" s="358"/>
      <c r="B335" s="490"/>
      <c r="E335" s="358"/>
      <c r="F335" s="358"/>
      <c r="G335" s="358"/>
      <c r="H335" s="358"/>
      <c r="I335" s="358"/>
      <c r="J335" s="358"/>
      <c r="K335" s="358"/>
    </row>
    <row r="336" spans="1:14">
      <c r="A336" s="358"/>
      <c r="B336" s="490"/>
      <c r="E336" s="358"/>
      <c r="F336" s="358"/>
      <c r="G336" s="358"/>
      <c r="H336" s="358"/>
      <c r="I336" s="358"/>
      <c r="J336" s="358"/>
      <c r="K336" s="358"/>
    </row>
    <row r="337" spans="1:11">
      <c r="A337" s="358"/>
      <c r="B337" s="625"/>
      <c r="E337" s="358"/>
      <c r="F337" s="358"/>
      <c r="G337" s="358"/>
      <c r="H337" s="358"/>
      <c r="I337" s="358"/>
      <c r="J337" s="358"/>
      <c r="K337" s="358"/>
    </row>
    <row r="338" spans="1:11">
      <c r="A338" s="358"/>
      <c r="B338" s="490"/>
      <c r="E338" s="358"/>
      <c r="F338" s="358"/>
      <c r="G338" s="358"/>
      <c r="H338" s="358"/>
      <c r="I338" s="358"/>
      <c r="J338" s="358"/>
      <c r="K338" s="358"/>
    </row>
    <row r="339" spans="1:11">
      <c r="A339" s="488"/>
      <c r="B339" s="489"/>
      <c r="E339" s="358"/>
      <c r="F339" s="358"/>
      <c r="G339" s="358"/>
      <c r="H339" s="358"/>
      <c r="I339" s="358"/>
      <c r="J339" s="358"/>
      <c r="K339" s="358"/>
    </row>
    <row r="340" spans="1:11">
      <c r="A340" s="496"/>
      <c r="B340" s="490"/>
      <c r="C340" s="489"/>
      <c r="E340" s="358"/>
      <c r="F340" s="358"/>
      <c r="G340" s="358"/>
      <c r="H340" s="358"/>
      <c r="I340" s="358"/>
      <c r="J340" s="358"/>
      <c r="K340" s="358"/>
    </row>
    <row r="341" spans="1:11">
      <c r="A341" s="496"/>
      <c r="B341" s="490"/>
      <c r="C341" s="489"/>
      <c r="E341" s="358"/>
      <c r="F341" s="358"/>
      <c r="G341" s="358"/>
      <c r="H341" s="358"/>
      <c r="I341" s="358"/>
      <c r="J341" s="358"/>
      <c r="K341" s="358"/>
    </row>
    <row r="342" spans="1:11">
      <c r="A342" s="496"/>
      <c r="B342" s="490"/>
      <c r="C342" s="489"/>
      <c r="E342" s="358"/>
      <c r="F342" s="358"/>
      <c r="G342" s="358"/>
      <c r="H342" s="358"/>
      <c r="I342" s="358"/>
      <c r="J342" s="358"/>
      <c r="K342" s="358"/>
    </row>
    <row r="343" spans="1:11">
      <c r="A343" s="496"/>
      <c r="B343" s="490"/>
      <c r="C343" s="489"/>
      <c r="E343" s="358"/>
      <c r="F343" s="358"/>
      <c r="G343" s="358"/>
      <c r="H343" s="358"/>
      <c r="I343" s="358"/>
      <c r="J343" s="358"/>
      <c r="K343" s="358"/>
    </row>
    <row r="344" spans="1:11" ht="15.75" customHeight="1">
      <c r="A344" s="496"/>
      <c r="B344" s="490"/>
      <c r="C344" s="489"/>
      <c r="E344" s="358"/>
      <c r="F344" s="358"/>
      <c r="G344" s="358"/>
      <c r="H344" s="358"/>
      <c r="I344" s="358"/>
      <c r="J344" s="358"/>
      <c r="K344" s="358"/>
    </row>
    <row r="345" spans="1:11" ht="15.75" customHeight="1">
      <c r="A345" s="496"/>
      <c r="B345" s="490"/>
      <c r="C345" s="489"/>
      <c r="E345" s="358"/>
      <c r="F345" s="358"/>
      <c r="G345" s="358"/>
      <c r="H345" s="358"/>
      <c r="I345" s="358"/>
      <c r="J345" s="358"/>
      <c r="K345" s="358"/>
    </row>
  </sheetData>
  <mergeCells count="396">
    <mergeCell ref="P310:U310"/>
    <mergeCell ref="P311:U311"/>
    <mergeCell ref="AM291:AM295"/>
    <mergeCell ref="AN291:AN295"/>
    <mergeCell ref="AO291:AO295"/>
    <mergeCell ref="AP291:AP295"/>
    <mergeCell ref="AQ291:AQ295"/>
    <mergeCell ref="AR291:AR295"/>
    <mergeCell ref="AC291:AC295"/>
    <mergeCell ref="AF291:AF295"/>
    <mergeCell ref="AI291:AI295"/>
    <mergeCell ref="AJ291:AJ295"/>
    <mergeCell ref="AK291:AK295"/>
    <mergeCell ref="AL291:AL295"/>
    <mergeCell ref="W291:W295"/>
    <mergeCell ref="X291:X295"/>
    <mergeCell ref="Y291:Y295"/>
    <mergeCell ref="Z291:Z295"/>
    <mergeCell ref="AA291:AA295"/>
    <mergeCell ref="AB291:AB295"/>
    <mergeCell ref="AM288:AM290"/>
    <mergeCell ref="AN288:AN290"/>
    <mergeCell ref="AO288:AO290"/>
    <mergeCell ref="AP288:AP290"/>
    <mergeCell ref="AQ288:AQ290"/>
    <mergeCell ref="AR288:AR290"/>
    <mergeCell ref="AE288:AE296"/>
    <mergeCell ref="AF288:AF290"/>
    <mergeCell ref="AI288:AI290"/>
    <mergeCell ref="AJ288:AJ290"/>
    <mergeCell ref="AK288:AK290"/>
    <mergeCell ref="AL288:AL290"/>
    <mergeCell ref="X288:X290"/>
    <mergeCell ref="Y288:Y290"/>
    <mergeCell ref="Z288:Z290"/>
    <mergeCell ref="AA288:AA290"/>
    <mergeCell ref="AB288:AB290"/>
    <mergeCell ref="AC288:AC290"/>
    <mergeCell ref="P288:P296"/>
    <mergeCell ref="Q288:Q290"/>
    <mergeCell ref="T288:T290"/>
    <mergeCell ref="U288:U290"/>
    <mergeCell ref="V288:V290"/>
    <mergeCell ref="W288:W290"/>
    <mergeCell ref="Q291:Q295"/>
    <mergeCell ref="T291:T295"/>
    <mergeCell ref="U291:U295"/>
    <mergeCell ref="V291:V295"/>
    <mergeCell ref="AQ284:AR286"/>
    <mergeCell ref="B285:B286"/>
    <mergeCell ref="C285:C286"/>
    <mergeCell ref="D285:D286"/>
    <mergeCell ref="E285:E286"/>
    <mergeCell ref="F285:F286"/>
    <mergeCell ref="G285:H285"/>
    <mergeCell ref="I285:J285"/>
    <mergeCell ref="K285:K286"/>
    <mergeCell ref="Z284:AA286"/>
    <mergeCell ref="AB284:AC286"/>
    <mergeCell ref="AH284:AH287"/>
    <mergeCell ref="AI284:AJ286"/>
    <mergeCell ref="AK284:AL286"/>
    <mergeCell ref="AM284:AN286"/>
    <mergeCell ref="AE285:AE287"/>
    <mergeCell ref="AF286:AF287"/>
    <mergeCell ref="AG286:AG287"/>
    <mergeCell ref="AN222:AN224"/>
    <mergeCell ref="AO222:AO224"/>
    <mergeCell ref="AP222:AP224"/>
    <mergeCell ref="P245:U245"/>
    <mergeCell ref="C284:L284"/>
    <mergeCell ref="S284:S287"/>
    <mergeCell ref="T284:U286"/>
    <mergeCell ref="V284:W286"/>
    <mergeCell ref="X284:Y286"/>
    <mergeCell ref="L285:L286"/>
    <mergeCell ref="P285:P287"/>
    <mergeCell ref="Q286:Q287"/>
    <mergeCell ref="R286:R287"/>
    <mergeCell ref="AO284:AP286"/>
    <mergeCell ref="P244:U244"/>
    <mergeCell ref="AF225:AF229"/>
    <mergeCell ref="AI225:AI229"/>
    <mergeCell ref="AJ225:AJ229"/>
    <mergeCell ref="AK225:AK229"/>
    <mergeCell ref="AL225:AL229"/>
    <mergeCell ref="AM225:AM229"/>
    <mergeCell ref="X225:X229"/>
    <mergeCell ref="Y225:Y229"/>
    <mergeCell ref="Z225:Z229"/>
    <mergeCell ref="AA225:AA229"/>
    <mergeCell ref="AB225:AB229"/>
    <mergeCell ref="AC225:AC229"/>
    <mergeCell ref="P222:P230"/>
    <mergeCell ref="Q222:Q224"/>
    <mergeCell ref="T222:T224"/>
    <mergeCell ref="U222:U224"/>
    <mergeCell ref="V222:V224"/>
    <mergeCell ref="W222:W224"/>
    <mergeCell ref="X222:X224"/>
    <mergeCell ref="AQ222:AQ224"/>
    <mergeCell ref="AR222:AR224"/>
    <mergeCell ref="Q225:Q229"/>
    <mergeCell ref="T225:T229"/>
    <mergeCell ref="U225:U229"/>
    <mergeCell ref="V225:V229"/>
    <mergeCell ref="W225:W229"/>
    <mergeCell ref="AF222:AF224"/>
    <mergeCell ref="AI222:AI224"/>
    <mergeCell ref="AJ222:AJ224"/>
    <mergeCell ref="AK222:AK224"/>
    <mergeCell ref="AL222:AL224"/>
    <mergeCell ref="AM222:AM224"/>
    <mergeCell ref="Y222:Y224"/>
    <mergeCell ref="Z222:Z224"/>
    <mergeCell ref="AA222:AA224"/>
    <mergeCell ref="AB222:AB224"/>
    <mergeCell ref="AC222:AC224"/>
    <mergeCell ref="AE222:AE230"/>
    <mergeCell ref="AN225:AN229"/>
    <mergeCell ref="AO225:AO229"/>
    <mergeCell ref="AP225:AP229"/>
    <mergeCell ref="AQ225:AQ229"/>
    <mergeCell ref="AR225:AR229"/>
    <mergeCell ref="AM218:AN220"/>
    <mergeCell ref="AO218:AP220"/>
    <mergeCell ref="AQ218:AR220"/>
    <mergeCell ref="B219:B220"/>
    <mergeCell ref="C219:C220"/>
    <mergeCell ref="D219:D220"/>
    <mergeCell ref="E219:E220"/>
    <mergeCell ref="F219:F220"/>
    <mergeCell ref="G219:H219"/>
    <mergeCell ref="I219:J219"/>
    <mergeCell ref="X218:Y220"/>
    <mergeCell ref="Z218:AA220"/>
    <mergeCell ref="AB218:AC220"/>
    <mergeCell ref="AH218:AH221"/>
    <mergeCell ref="AI218:AJ220"/>
    <mergeCell ref="AK218:AL220"/>
    <mergeCell ref="AE219:AE221"/>
    <mergeCell ref="R220:R221"/>
    <mergeCell ref="AF220:AF221"/>
    <mergeCell ref="AG220:AG221"/>
    <mergeCell ref="P177:U177"/>
    <mergeCell ref="P178:U178"/>
    <mergeCell ref="C218:L218"/>
    <mergeCell ref="S218:S221"/>
    <mergeCell ref="T218:U220"/>
    <mergeCell ref="V218:W220"/>
    <mergeCell ref="K219:K220"/>
    <mergeCell ref="L219:L220"/>
    <mergeCell ref="P219:P221"/>
    <mergeCell ref="Q220:Q221"/>
    <mergeCell ref="X158:X162"/>
    <mergeCell ref="Y158:Y162"/>
    <mergeCell ref="Z158:Z162"/>
    <mergeCell ref="AA158:AA162"/>
    <mergeCell ref="AB158:AB162"/>
    <mergeCell ref="AM155:AM157"/>
    <mergeCell ref="AN155:AN157"/>
    <mergeCell ref="AO155:AO157"/>
    <mergeCell ref="X155:X157"/>
    <mergeCell ref="Y155:Y157"/>
    <mergeCell ref="Z155:Z157"/>
    <mergeCell ref="AA155:AA157"/>
    <mergeCell ref="AB155:AB157"/>
    <mergeCell ref="AC155:AC157"/>
    <mergeCell ref="AM158:AM162"/>
    <mergeCell ref="AN158:AN162"/>
    <mergeCell ref="AO158:AO162"/>
    <mergeCell ref="AC158:AC162"/>
    <mergeCell ref="AF158:AF162"/>
    <mergeCell ref="AI158:AI162"/>
    <mergeCell ref="AJ158:AJ162"/>
    <mergeCell ref="AK158:AK162"/>
    <mergeCell ref="AL158:AL162"/>
    <mergeCell ref="AP155:AP157"/>
    <mergeCell ref="AQ155:AQ157"/>
    <mergeCell ref="AR155:AR157"/>
    <mergeCell ref="AE155:AE163"/>
    <mergeCell ref="AF155:AF157"/>
    <mergeCell ref="AI155:AI157"/>
    <mergeCell ref="AJ155:AJ157"/>
    <mergeCell ref="AK155:AK157"/>
    <mergeCell ref="AL155:AL157"/>
    <mergeCell ref="AP158:AP162"/>
    <mergeCell ref="AQ158:AQ162"/>
    <mergeCell ref="AR158:AR162"/>
    <mergeCell ref="P155:P163"/>
    <mergeCell ref="Q155:Q157"/>
    <mergeCell ref="T155:T157"/>
    <mergeCell ref="U155:U157"/>
    <mergeCell ref="V155:V157"/>
    <mergeCell ref="W155:W157"/>
    <mergeCell ref="Q158:Q162"/>
    <mergeCell ref="T158:T162"/>
    <mergeCell ref="U158:U162"/>
    <mergeCell ref="V158:V162"/>
    <mergeCell ref="W158:W162"/>
    <mergeCell ref="AQ151:AR153"/>
    <mergeCell ref="B152:B153"/>
    <mergeCell ref="C152:C153"/>
    <mergeCell ref="D152:D153"/>
    <mergeCell ref="E152:E153"/>
    <mergeCell ref="F152:F153"/>
    <mergeCell ref="G152:H152"/>
    <mergeCell ref="I152:J152"/>
    <mergeCell ref="K152:K153"/>
    <mergeCell ref="L152:L153"/>
    <mergeCell ref="AB151:AC153"/>
    <mergeCell ref="AH151:AH154"/>
    <mergeCell ref="AI151:AJ153"/>
    <mergeCell ref="AK151:AL153"/>
    <mergeCell ref="AM151:AN153"/>
    <mergeCell ref="AO151:AP153"/>
    <mergeCell ref="AE152:AE154"/>
    <mergeCell ref="AF153:AF154"/>
    <mergeCell ref="AG153:AG154"/>
    <mergeCell ref="C151:L151"/>
    <mergeCell ref="S151:S154"/>
    <mergeCell ref="T151:U153"/>
    <mergeCell ref="V151:W153"/>
    <mergeCell ref="X151:Y153"/>
    <mergeCell ref="Z151:AA153"/>
    <mergeCell ref="P152:P154"/>
    <mergeCell ref="Q153:Q154"/>
    <mergeCell ref="R153:R154"/>
    <mergeCell ref="P105:U105"/>
    <mergeCell ref="P106:U106"/>
    <mergeCell ref="B149:B150"/>
    <mergeCell ref="C149:M149"/>
    <mergeCell ref="P149:U149"/>
    <mergeCell ref="C150:M150"/>
    <mergeCell ref="P150:U150"/>
    <mergeCell ref="X86:X90"/>
    <mergeCell ref="Y86:Y90"/>
    <mergeCell ref="Z86:Z90"/>
    <mergeCell ref="AA86:AA90"/>
    <mergeCell ref="AB86:AB90"/>
    <mergeCell ref="AM83:AM85"/>
    <mergeCell ref="AN83:AN85"/>
    <mergeCell ref="AO83:AO85"/>
    <mergeCell ref="X83:X85"/>
    <mergeCell ref="Y83:Y85"/>
    <mergeCell ref="Z83:Z85"/>
    <mergeCell ref="AA83:AA85"/>
    <mergeCell ref="AB83:AB85"/>
    <mergeCell ref="AC83:AC85"/>
    <mergeCell ref="AM86:AM90"/>
    <mergeCell ref="AN86:AN90"/>
    <mergeCell ref="AO86:AO90"/>
    <mergeCell ref="AC86:AC90"/>
    <mergeCell ref="AF86:AF90"/>
    <mergeCell ref="AI86:AI90"/>
    <mergeCell ref="AJ86:AJ90"/>
    <mergeCell ref="AK86:AK90"/>
    <mergeCell ref="AL86:AL90"/>
    <mergeCell ref="AP83:AP85"/>
    <mergeCell ref="AQ83:AQ85"/>
    <mergeCell ref="AR83:AR85"/>
    <mergeCell ref="AE83:AE91"/>
    <mergeCell ref="AF83:AF85"/>
    <mergeCell ref="AI83:AI85"/>
    <mergeCell ref="AJ83:AJ85"/>
    <mergeCell ref="AK83:AK85"/>
    <mergeCell ref="AL83:AL85"/>
    <mergeCell ref="AP86:AP90"/>
    <mergeCell ref="AQ86:AQ90"/>
    <mergeCell ref="AR86:AR90"/>
    <mergeCell ref="P83:P91"/>
    <mergeCell ref="Q83:Q85"/>
    <mergeCell ref="T83:T85"/>
    <mergeCell ref="U83:U85"/>
    <mergeCell ref="V83:V85"/>
    <mergeCell ref="W83:W85"/>
    <mergeCell ref="Q86:Q90"/>
    <mergeCell ref="T86:T90"/>
    <mergeCell ref="U86:U90"/>
    <mergeCell ref="V86:V90"/>
    <mergeCell ref="W86:W90"/>
    <mergeCell ref="AQ79:AR81"/>
    <mergeCell ref="B80:B81"/>
    <mergeCell ref="C80:C81"/>
    <mergeCell ref="D80:D81"/>
    <mergeCell ref="E80:E81"/>
    <mergeCell ref="F80:F81"/>
    <mergeCell ref="G80:H80"/>
    <mergeCell ref="I80:J80"/>
    <mergeCell ref="K80:K81"/>
    <mergeCell ref="L80:L81"/>
    <mergeCell ref="AB79:AC81"/>
    <mergeCell ref="AH79:AH82"/>
    <mergeCell ref="AI79:AJ81"/>
    <mergeCell ref="AK79:AL81"/>
    <mergeCell ref="AM79:AN81"/>
    <mergeCell ref="AO79:AP81"/>
    <mergeCell ref="AE80:AE82"/>
    <mergeCell ref="AF81:AF82"/>
    <mergeCell ref="AG81:AG82"/>
    <mergeCell ref="C79:L79"/>
    <mergeCell ref="S79:S82"/>
    <mergeCell ref="T79:U81"/>
    <mergeCell ref="V79:W81"/>
    <mergeCell ref="X79:Y81"/>
    <mergeCell ref="Z79:AA81"/>
    <mergeCell ref="P80:P82"/>
    <mergeCell ref="Q81:Q82"/>
    <mergeCell ref="R81:R82"/>
    <mergeCell ref="C23:F27"/>
    <mergeCell ref="P33:U33"/>
    <mergeCell ref="P34:U34"/>
    <mergeCell ref="C42:F42"/>
    <mergeCell ref="B77:B78"/>
    <mergeCell ref="C77:M77"/>
    <mergeCell ref="P77:U77"/>
    <mergeCell ref="C78:M78"/>
    <mergeCell ref="P78:U78"/>
    <mergeCell ref="X14:X18"/>
    <mergeCell ref="Y14:Y18"/>
    <mergeCell ref="Z14:Z18"/>
    <mergeCell ref="AA14:AA18"/>
    <mergeCell ref="AB14:AB18"/>
    <mergeCell ref="AM11:AM13"/>
    <mergeCell ref="AN11:AN13"/>
    <mergeCell ref="AO11:AO13"/>
    <mergeCell ref="X11:X13"/>
    <mergeCell ref="Y11:Y13"/>
    <mergeCell ref="Z11:Z13"/>
    <mergeCell ref="AA11:AA13"/>
    <mergeCell ref="AB11:AB13"/>
    <mergeCell ref="AC11:AC13"/>
    <mergeCell ref="AM14:AM18"/>
    <mergeCell ref="AN14:AN18"/>
    <mergeCell ref="AO14:AO18"/>
    <mergeCell ref="AC14:AC18"/>
    <mergeCell ref="AF14:AF18"/>
    <mergeCell ref="AI14:AI18"/>
    <mergeCell ref="AJ14:AJ18"/>
    <mergeCell ref="AK14:AK18"/>
    <mergeCell ref="AL14:AL18"/>
    <mergeCell ref="AP11:AP13"/>
    <mergeCell ref="AQ11:AQ13"/>
    <mergeCell ref="AR11:AR13"/>
    <mergeCell ref="AE11:AE19"/>
    <mergeCell ref="AF11:AF13"/>
    <mergeCell ref="AI11:AI13"/>
    <mergeCell ref="AJ11:AJ13"/>
    <mergeCell ref="AK11:AK13"/>
    <mergeCell ref="AL11:AL13"/>
    <mergeCell ref="AP14:AP18"/>
    <mergeCell ref="AQ14:AQ18"/>
    <mergeCell ref="AR14:AR18"/>
    <mergeCell ref="P11:P19"/>
    <mergeCell ref="Q11:Q13"/>
    <mergeCell ref="T11:T13"/>
    <mergeCell ref="U11:U13"/>
    <mergeCell ref="V11:V13"/>
    <mergeCell ref="W11:W13"/>
    <mergeCell ref="Q14:Q18"/>
    <mergeCell ref="T14:T18"/>
    <mergeCell ref="U14:U18"/>
    <mergeCell ref="V14:V18"/>
    <mergeCell ref="W14:W18"/>
    <mergeCell ref="AQ7:AR9"/>
    <mergeCell ref="B8:B9"/>
    <mergeCell ref="C8:C9"/>
    <mergeCell ref="D8:D9"/>
    <mergeCell ref="E8:E9"/>
    <mergeCell ref="F8:F9"/>
    <mergeCell ref="G8:H8"/>
    <mergeCell ref="V7:W9"/>
    <mergeCell ref="X7:Y9"/>
    <mergeCell ref="Z7:AA9"/>
    <mergeCell ref="AB7:AC9"/>
    <mergeCell ref="AH7:AH10"/>
    <mergeCell ref="AI7:AJ9"/>
    <mergeCell ref="AG9:AG10"/>
    <mergeCell ref="L8:L9"/>
    <mergeCell ref="P8:P10"/>
    <mergeCell ref="AE8:AE10"/>
    <mergeCell ref="Q9:Q10"/>
    <mergeCell ref="R9:R10"/>
    <mergeCell ref="AF9:AF10"/>
    <mergeCell ref="AK7:AL9"/>
    <mergeCell ref="AM7:AN9"/>
    <mergeCell ref="AO7:AP9"/>
    <mergeCell ref="B5:B6"/>
    <mergeCell ref="C5:M5"/>
    <mergeCell ref="P5:U5"/>
    <mergeCell ref="C6:M6"/>
    <mergeCell ref="C7:L7"/>
    <mergeCell ref="S7:S10"/>
    <mergeCell ref="T7:U9"/>
    <mergeCell ref="I8:J8"/>
    <mergeCell ref="K8:K9"/>
  </mergeCell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5B24F-7EE8-40A7-8C37-E2A73ED35705}">
  <sheetPr>
    <tabColor theme="3"/>
  </sheetPr>
  <dimension ref="A2:AR352"/>
  <sheetViews>
    <sheetView topLeftCell="G76" zoomScale="70" zoomScaleNormal="70" workbookViewId="0">
      <selection activeCell="AC106" sqref="AC106"/>
    </sheetView>
  </sheetViews>
  <sheetFormatPr baseColWidth="10" defaultColWidth="8.83203125" defaultRowHeight="15" outlineLevelRow="1"/>
  <cols>
    <col min="1" max="1" width="35" style="224" bestFit="1" customWidth="1"/>
    <col min="2" max="2" width="63.5" style="224" bestFit="1" customWidth="1"/>
    <col min="3" max="6" width="11" style="224" bestFit="1" customWidth="1"/>
    <col min="7" max="12" width="11" style="224" customWidth="1"/>
    <col min="13" max="13" width="8.83203125" style="224"/>
    <col min="14" max="14" width="4.5" style="224" customWidth="1"/>
    <col min="15" max="15" width="15.83203125" style="224" customWidth="1"/>
    <col min="16" max="16384" width="8.83203125" style="224"/>
  </cols>
  <sheetData>
    <row r="2" spans="1:44">
      <c r="B2" s="638" t="str">
        <f>C7</f>
        <v>Electric boiler, 10 kV, steam</v>
      </c>
    </row>
    <row r="4" spans="1:44" ht="25" customHeight="1">
      <c r="E4" s="224" t="s">
        <v>358</v>
      </c>
      <c r="F4" s="359">
        <v>7.45</v>
      </c>
      <c r="G4" s="359" t="s">
        <v>328</v>
      </c>
    </row>
    <row r="5" spans="1:44" ht="15" customHeight="1">
      <c r="A5" s="360" t="s">
        <v>967</v>
      </c>
      <c r="B5" s="1207"/>
      <c r="C5" s="1143"/>
      <c r="D5" s="1143"/>
      <c r="E5" s="1143"/>
      <c r="F5" s="1143"/>
      <c r="G5" s="1143"/>
      <c r="H5" s="1143"/>
      <c r="I5" s="1143"/>
      <c r="J5" s="1143"/>
      <c r="K5" s="1143"/>
      <c r="L5" s="1143"/>
      <c r="M5" s="1143"/>
      <c r="N5" s="361"/>
      <c r="P5" s="1143"/>
      <c r="Q5" s="1143"/>
      <c r="R5" s="1143"/>
      <c r="S5" s="1143"/>
      <c r="T5" s="1143"/>
      <c r="U5" s="1143"/>
    </row>
    <row r="6" spans="1:44" ht="15.75" customHeight="1" outlineLevel="1" thickBot="1">
      <c r="B6" s="1207"/>
      <c r="C6" s="1143"/>
      <c r="D6" s="1143"/>
      <c r="E6" s="1143"/>
      <c r="F6" s="1143"/>
      <c r="G6" s="1143"/>
      <c r="H6" s="1143"/>
      <c r="I6" s="1143"/>
      <c r="J6" s="1143"/>
      <c r="K6" s="1143"/>
      <c r="L6" s="1143"/>
      <c r="M6" s="1143"/>
      <c r="N6" s="361"/>
      <c r="P6" s="692">
        <v>1</v>
      </c>
      <c r="Q6" s="692">
        <v>2</v>
      </c>
      <c r="R6" s="692">
        <v>3</v>
      </c>
      <c r="S6" s="692">
        <v>4</v>
      </c>
      <c r="T6" s="692">
        <v>5</v>
      </c>
      <c r="U6" s="692">
        <v>6</v>
      </c>
      <c r="V6" s="692">
        <v>7</v>
      </c>
      <c r="W6" s="692">
        <v>8</v>
      </c>
      <c r="X6" s="692">
        <v>9</v>
      </c>
      <c r="Y6" s="692">
        <v>10</v>
      </c>
      <c r="Z6" s="692">
        <v>11</v>
      </c>
      <c r="AA6" s="692">
        <v>12</v>
      </c>
      <c r="AB6" s="692">
        <v>13</v>
      </c>
      <c r="AC6" s="692">
        <v>14</v>
      </c>
    </row>
    <row r="7" spans="1:44" ht="20.25" customHeight="1" outlineLevel="1" thickBot="1">
      <c r="B7" s="362" t="s">
        <v>0</v>
      </c>
      <c r="C7" s="1223" t="s">
        <v>960</v>
      </c>
      <c r="D7" s="1224"/>
      <c r="E7" s="1224"/>
      <c r="F7" s="1224"/>
      <c r="G7" s="1224"/>
      <c r="H7" s="1224"/>
      <c r="I7" s="1224"/>
      <c r="J7" s="1224"/>
      <c r="K7" s="1224"/>
      <c r="L7" s="1225"/>
      <c r="M7" s="363"/>
      <c r="N7" s="363"/>
      <c r="P7" s="364" t="s">
        <v>713</v>
      </c>
      <c r="Q7" s="365"/>
      <c r="R7" s="366"/>
      <c r="S7" s="1176" t="s">
        <v>714</v>
      </c>
      <c r="T7" s="1160" t="s">
        <v>715</v>
      </c>
      <c r="U7" s="1161"/>
      <c r="V7" s="1160" t="s">
        <v>716</v>
      </c>
      <c r="W7" s="1161"/>
      <c r="X7" s="1160" t="s">
        <v>717</v>
      </c>
      <c r="Y7" s="1161"/>
      <c r="Z7" s="1160" t="s">
        <v>718</v>
      </c>
      <c r="AA7" s="1161"/>
      <c r="AB7" s="1160" t="s">
        <v>719</v>
      </c>
      <c r="AC7" s="1161"/>
      <c r="AE7" s="364" t="s">
        <v>720</v>
      </c>
      <c r="AF7" s="365"/>
      <c r="AG7" s="366"/>
      <c r="AH7" s="1176" t="s">
        <v>714</v>
      </c>
      <c r="AI7" s="1160" t="s">
        <v>715</v>
      </c>
      <c r="AJ7" s="1161"/>
      <c r="AK7" s="1160" t="s">
        <v>716</v>
      </c>
      <c r="AL7" s="1161"/>
      <c r="AM7" s="1160" t="s">
        <v>717</v>
      </c>
      <c r="AN7" s="1161"/>
      <c r="AO7" s="1160" t="s">
        <v>718</v>
      </c>
      <c r="AP7" s="1161"/>
      <c r="AQ7" s="1160" t="s">
        <v>719</v>
      </c>
      <c r="AR7" s="1161"/>
    </row>
    <row r="8" spans="1:44" ht="15" customHeight="1" outlineLevel="1" thickBot="1">
      <c r="B8" s="1164" t="s">
        <v>4</v>
      </c>
      <c r="C8" s="1166">
        <v>2020</v>
      </c>
      <c r="D8" s="1166">
        <v>2030</v>
      </c>
      <c r="E8" s="1166">
        <v>2040</v>
      </c>
      <c r="F8" s="1166">
        <v>2050</v>
      </c>
      <c r="G8" s="1230" t="s">
        <v>721</v>
      </c>
      <c r="H8" s="1218"/>
      <c r="I8" s="1217" t="s">
        <v>648</v>
      </c>
      <c r="J8" s="1226"/>
      <c r="K8" s="1219" t="s">
        <v>2</v>
      </c>
      <c r="L8" s="1219" t="s">
        <v>3</v>
      </c>
      <c r="M8" s="367"/>
      <c r="N8" s="367"/>
      <c r="P8" s="1180" t="s">
        <v>0</v>
      </c>
      <c r="Q8" s="368"/>
      <c r="R8" s="368"/>
      <c r="S8" s="1177"/>
      <c r="T8" s="1162"/>
      <c r="U8" s="1163"/>
      <c r="V8" s="1162"/>
      <c r="W8" s="1163"/>
      <c r="X8" s="1162"/>
      <c r="Y8" s="1163"/>
      <c r="Z8" s="1162"/>
      <c r="AA8" s="1163"/>
      <c r="AB8" s="1162"/>
      <c r="AC8" s="1163"/>
      <c r="AE8" s="1180" t="s">
        <v>0</v>
      </c>
      <c r="AF8" s="368"/>
      <c r="AG8" s="368"/>
      <c r="AH8" s="1177"/>
      <c r="AI8" s="1162"/>
      <c r="AJ8" s="1163"/>
      <c r="AK8" s="1162"/>
      <c r="AL8" s="1163"/>
      <c r="AM8" s="1162"/>
      <c r="AN8" s="1163"/>
      <c r="AO8" s="1162"/>
      <c r="AP8" s="1163"/>
      <c r="AQ8" s="1162"/>
      <c r="AR8" s="1163"/>
    </row>
    <row r="9" spans="1:44" ht="16" outlineLevel="1" thickBot="1">
      <c r="B9" s="1228"/>
      <c r="C9" s="1229"/>
      <c r="D9" s="1229"/>
      <c r="E9" s="1229"/>
      <c r="F9" s="1229"/>
      <c r="G9" s="369" t="s">
        <v>649</v>
      </c>
      <c r="H9" s="369" t="s">
        <v>650</v>
      </c>
      <c r="I9" s="369" t="s">
        <v>649</v>
      </c>
      <c r="J9" s="369" t="s">
        <v>650</v>
      </c>
      <c r="K9" s="1227"/>
      <c r="L9" s="1227"/>
      <c r="M9" s="370"/>
      <c r="N9" s="370"/>
      <c r="P9" s="1181"/>
      <c r="Q9" s="1183" t="s">
        <v>722</v>
      </c>
      <c r="R9" s="1184" t="s">
        <v>723</v>
      </c>
      <c r="S9" s="1178"/>
      <c r="T9" s="1162"/>
      <c r="U9" s="1163"/>
      <c r="V9" s="1162"/>
      <c r="W9" s="1163"/>
      <c r="X9" s="1162"/>
      <c r="Y9" s="1163"/>
      <c r="Z9" s="1162"/>
      <c r="AA9" s="1163"/>
      <c r="AB9" s="1162"/>
      <c r="AC9" s="1163"/>
      <c r="AE9" s="1181"/>
      <c r="AF9" s="1197" t="s">
        <v>722</v>
      </c>
      <c r="AG9" s="1184" t="s">
        <v>723</v>
      </c>
      <c r="AH9" s="1178"/>
      <c r="AI9" s="1162"/>
      <c r="AJ9" s="1163"/>
      <c r="AK9" s="1162"/>
      <c r="AL9" s="1163"/>
      <c r="AM9" s="1162"/>
      <c r="AN9" s="1163"/>
      <c r="AO9" s="1162"/>
      <c r="AP9" s="1163"/>
      <c r="AQ9" s="1162"/>
      <c r="AR9" s="1163"/>
    </row>
    <row r="10" spans="1:44" ht="54.5" customHeight="1" outlineLevel="1" thickBot="1">
      <c r="B10" s="371" t="s">
        <v>651</v>
      </c>
      <c r="C10" s="372">
        <v>15</v>
      </c>
      <c r="D10" s="372">
        <v>15</v>
      </c>
      <c r="E10" s="372">
        <v>15</v>
      </c>
      <c r="F10" s="372">
        <v>15</v>
      </c>
      <c r="G10" s="372">
        <v>10</v>
      </c>
      <c r="H10" s="372">
        <v>60</v>
      </c>
      <c r="I10" s="372">
        <v>10</v>
      </c>
      <c r="J10" s="372">
        <v>60</v>
      </c>
      <c r="K10" s="372" t="s">
        <v>6</v>
      </c>
      <c r="L10" s="373"/>
      <c r="M10" s="370"/>
      <c r="N10" s="370"/>
      <c r="O10" s="74"/>
      <c r="P10" s="1182"/>
      <c r="Q10" s="1179"/>
      <c r="R10" s="1185"/>
      <c r="S10" s="1179"/>
      <c r="T10" s="374" t="s">
        <v>726</v>
      </c>
      <c r="U10" s="375" t="s">
        <v>727</v>
      </c>
      <c r="V10" s="374" t="s">
        <v>726</v>
      </c>
      <c r="W10" s="375" t="s">
        <v>727</v>
      </c>
      <c r="X10" s="374" t="s">
        <v>726</v>
      </c>
      <c r="Y10" s="375" t="s">
        <v>727</v>
      </c>
      <c r="Z10" s="374" t="s">
        <v>726</v>
      </c>
      <c r="AA10" s="375" t="s">
        <v>727</v>
      </c>
      <c r="AB10" s="374" t="s">
        <v>726</v>
      </c>
      <c r="AC10" s="375" t="s">
        <v>727</v>
      </c>
      <c r="AE10" s="1182"/>
      <c r="AF10" s="1198"/>
      <c r="AG10" s="1185"/>
      <c r="AH10" s="1179"/>
      <c r="AI10" s="374" t="s">
        <v>726</v>
      </c>
      <c r="AJ10" s="375" t="s">
        <v>727</v>
      </c>
      <c r="AK10" s="374" t="s">
        <v>726</v>
      </c>
      <c r="AL10" s="375" t="s">
        <v>727</v>
      </c>
      <c r="AM10" s="374" t="s">
        <v>726</v>
      </c>
      <c r="AN10" s="375" t="s">
        <v>727</v>
      </c>
      <c r="AO10" s="374" t="s">
        <v>726</v>
      </c>
      <c r="AP10" s="375" t="s">
        <v>727</v>
      </c>
      <c r="AQ10" s="374" t="s">
        <v>726</v>
      </c>
      <c r="AR10" s="375" t="s">
        <v>727</v>
      </c>
    </row>
    <row r="11" spans="1:44" ht="24.5" customHeight="1" outlineLevel="1">
      <c r="B11" s="376" t="s">
        <v>728</v>
      </c>
      <c r="C11" s="377">
        <v>99</v>
      </c>
      <c r="D11" s="377">
        <v>99</v>
      </c>
      <c r="E11" s="378">
        <v>99</v>
      </c>
      <c r="F11" s="377">
        <v>99</v>
      </c>
      <c r="G11" s="377">
        <v>98</v>
      </c>
      <c r="H11" s="377">
        <v>100</v>
      </c>
      <c r="I11" s="377">
        <v>98</v>
      </c>
      <c r="J11" s="377">
        <v>100</v>
      </c>
      <c r="K11" s="379"/>
      <c r="L11" s="380" t="s">
        <v>961</v>
      </c>
      <c r="M11" s="370"/>
      <c r="N11" s="370"/>
      <c r="P11" s="1199" t="str">
        <f>C7</f>
        <v>Electric boiler, 10 kV, steam</v>
      </c>
      <c r="Q11" s="1154" t="s">
        <v>730</v>
      </c>
      <c r="R11" s="381" t="s">
        <v>731</v>
      </c>
      <c r="S11" s="382" t="s">
        <v>842</v>
      </c>
      <c r="T11" s="1137">
        <v>0</v>
      </c>
      <c r="U11" s="1151">
        <v>1</v>
      </c>
      <c r="V11" s="1157">
        <v>0</v>
      </c>
      <c r="W11" s="1151">
        <v>1</v>
      </c>
      <c r="X11" s="1157">
        <v>0</v>
      </c>
      <c r="Y11" s="1151">
        <v>1</v>
      </c>
      <c r="Z11" s="1157">
        <v>0</v>
      </c>
      <c r="AA11" s="1151">
        <v>1</v>
      </c>
      <c r="AB11" s="1157">
        <v>0</v>
      </c>
      <c r="AC11" s="1151">
        <v>1</v>
      </c>
      <c r="AE11" s="1148" t="str">
        <f>P11</f>
        <v>Electric boiler, 10 kV, steam</v>
      </c>
      <c r="AF11" s="1154" t="s">
        <v>730</v>
      </c>
      <c r="AG11" s="381" t="s">
        <v>731</v>
      </c>
      <c r="AH11" s="382" t="str">
        <f t="shared" ref="AH11:AR14" si="0">S11</f>
        <v/>
      </c>
      <c r="AI11" s="1137">
        <f t="shared" si="0"/>
        <v>0</v>
      </c>
      <c r="AJ11" s="1151">
        <f t="shared" si="0"/>
        <v>1</v>
      </c>
      <c r="AK11" s="1157">
        <f t="shared" si="0"/>
        <v>0</v>
      </c>
      <c r="AL11" s="1151">
        <f t="shared" si="0"/>
        <v>1</v>
      </c>
      <c r="AM11" s="1157">
        <f t="shared" si="0"/>
        <v>0</v>
      </c>
      <c r="AN11" s="1151">
        <f t="shared" si="0"/>
        <v>1</v>
      </c>
      <c r="AO11" s="1157">
        <f t="shared" si="0"/>
        <v>0</v>
      </c>
      <c r="AP11" s="1151">
        <f t="shared" si="0"/>
        <v>1</v>
      </c>
      <c r="AQ11" s="1157">
        <f t="shared" si="0"/>
        <v>0</v>
      </c>
      <c r="AR11" s="1151">
        <f t="shared" si="0"/>
        <v>1</v>
      </c>
    </row>
    <row r="12" spans="1:44" ht="32.5" customHeight="1" outlineLevel="1">
      <c r="B12" s="383" t="s">
        <v>732</v>
      </c>
      <c r="C12" s="577">
        <v>99</v>
      </c>
      <c r="D12" s="577">
        <v>99</v>
      </c>
      <c r="E12" s="577">
        <v>99</v>
      </c>
      <c r="F12" s="577">
        <v>99</v>
      </c>
      <c r="G12" s="641">
        <v>98</v>
      </c>
      <c r="H12" s="641">
        <v>99</v>
      </c>
      <c r="I12" s="641">
        <v>98</v>
      </c>
      <c r="J12" s="641">
        <v>99</v>
      </c>
      <c r="K12" s="386"/>
      <c r="L12" s="387" t="s">
        <v>961</v>
      </c>
      <c r="M12" s="370"/>
      <c r="N12" s="370"/>
      <c r="O12" s="71"/>
      <c r="P12" s="1195"/>
      <c r="Q12" s="1155"/>
      <c r="R12" s="388" t="s">
        <v>733</v>
      </c>
      <c r="S12" s="389" t="s">
        <v>842</v>
      </c>
      <c r="T12" s="1140"/>
      <c r="U12" s="1152"/>
      <c r="V12" s="1158"/>
      <c r="W12" s="1152"/>
      <c r="X12" s="1158"/>
      <c r="Y12" s="1152"/>
      <c r="Z12" s="1158"/>
      <c r="AA12" s="1152"/>
      <c r="AB12" s="1158"/>
      <c r="AC12" s="1152"/>
      <c r="AE12" s="1195"/>
      <c r="AF12" s="1155"/>
      <c r="AG12" s="388" t="s">
        <v>733</v>
      </c>
      <c r="AH12" s="389" t="str">
        <f t="shared" si="0"/>
        <v/>
      </c>
      <c r="AI12" s="1140"/>
      <c r="AJ12" s="1152"/>
      <c r="AK12" s="1158"/>
      <c r="AL12" s="1152"/>
      <c r="AM12" s="1158"/>
      <c r="AN12" s="1152"/>
      <c r="AO12" s="1158"/>
      <c r="AP12" s="1152"/>
      <c r="AQ12" s="1158"/>
      <c r="AR12" s="1152"/>
    </row>
    <row r="13" spans="1:44" ht="16" outlineLevel="1" thickBot="1">
      <c r="B13" s="376" t="s">
        <v>734</v>
      </c>
      <c r="C13" s="390">
        <v>0.5</v>
      </c>
      <c r="D13" s="391">
        <v>0.5</v>
      </c>
      <c r="E13" s="391">
        <v>0.5</v>
      </c>
      <c r="F13" s="392">
        <v>0.5</v>
      </c>
      <c r="G13" s="391">
        <v>0.1</v>
      </c>
      <c r="H13" s="391">
        <v>0.5</v>
      </c>
      <c r="I13" s="391">
        <v>0.1</v>
      </c>
      <c r="J13" s="391">
        <v>0.5</v>
      </c>
      <c r="K13" s="379"/>
      <c r="L13" s="380" t="s">
        <v>961</v>
      </c>
      <c r="M13" s="370"/>
      <c r="N13" s="370"/>
      <c r="O13" s="71"/>
      <c r="P13" s="1195"/>
      <c r="Q13" s="1156"/>
      <c r="R13" s="393" t="s">
        <v>735</v>
      </c>
      <c r="S13" s="394" t="s">
        <v>738</v>
      </c>
      <c r="T13" s="1141"/>
      <c r="U13" s="1153"/>
      <c r="V13" s="1159"/>
      <c r="W13" s="1153"/>
      <c r="X13" s="1159"/>
      <c r="Y13" s="1153"/>
      <c r="Z13" s="1159"/>
      <c r="AA13" s="1153"/>
      <c r="AB13" s="1159"/>
      <c r="AC13" s="1153"/>
      <c r="AE13" s="1195"/>
      <c r="AF13" s="1156"/>
      <c r="AG13" s="393" t="s">
        <v>735</v>
      </c>
      <c r="AH13" s="394" t="str">
        <f t="shared" si="0"/>
        <v>x</v>
      </c>
      <c r="AI13" s="1141"/>
      <c r="AJ13" s="1153"/>
      <c r="AK13" s="1159"/>
      <c r="AL13" s="1153"/>
      <c r="AM13" s="1159"/>
      <c r="AN13" s="1153"/>
      <c r="AO13" s="1159"/>
      <c r="AP13" s="1153"/>
      <c r="AQ13" s="1159"/>
      <c r="AR13" s="1153"/>
    </row>
    <row r="14" spans="1:44" ht="15" customHeight="1" outlineLevel="1">
      <c r="B14" s="376" t="s">
        <v>657</v>
      </c>
      <c r="C14" s="390">
        <v>1</v>
      </c>
      <c r="D14" s="390">
        <v>1</v>
      </c>
      <c r="E14" s="390">
        <v>1</v>
      </c>
      <c r="F14" s="390">
        <v>1</v>
      </c>
      <c r="G14" s="390">
        <v>0.5</v>
      </c>
      <c r="H14" s="390">
        <v>1</v>
      </c>
      <c r="I14" s="390">
        <v>0.5</v>
      </c>
      <c r="J14" s="390">
        <v>1</v>
      </c>
      <c r="K14" s="379"/>
      <c r="L14" s="380" t="s">
        <v>961</v>
      </c>
      <c r="M14" s="370"/>
      <c r="N14" s="370"/>
      <c r="O14" s="71"/>
      <c r="P14" s="1195"/>
      <c r="Q14" s="1154" t="s">
        <v>736</v>
      </c>
      <c r="R14" s="395" t="s">
        <v>737</v>
      </c>
      <c r="S14" s="396" t="s">
        <v>738</v>
      </c>
      <c r="T14" s="1137">
        <v>0</v>
      </c>
      <c r="U14" s="1137">
        <v>1</v>
      </c>
      <c r="V14" s="1137">
        <v>0</v>
      </c>
      <c r="W14" s="1137">
        <v>1</v>
      </c>
      <c r="X14" s="1137">
        <v>0</v>
      </c>
      <c r="Y14" s="1137">
        <v>1</v>
      </c>
      <c r="Z14" s="1137">
        <v>0</v>
      </c>
      <c r="AA14" s="1137">
        <v>1</v>
      </c>
      <c r="AB14" s="1137">
        <v>0</v>
      </c>
      <c r="AC14" s="1151">
        <v>1</v>
      </c>
      <c r="AE14" s="1195"/>
      <c r="AF14" s="1154" t="s">
        <v>736</v>
      </c>
      <c r="AG14" s="395" t="s">
        <v>737</v>
      </c>
      <c r="AH14" s="396" t="str">
        <f t="shared" si="0"/>
        <v>x</v>
      </c>
      <c r="AI14" s="1137">
        <f t="shared" si="0"/>
        <v>0</v>
      </c>
      <c r="AJ14" s="1137">
        <f t="shared" si="0"/>
        <v>1</v>
      </c>
      <c r="AK14" s="1137">
        <f t="shared" si="0"/>
        <v>0</v>
      </c>
      <c r="AL14" s="1137">
        <f t="shared" si="0"/>
        <v>1</v>
      </c>
      <c r="AM14" s="1137">
        <f t="shared" si="0"/>
        <v>0</v>
      </c>
      <c r="AN14" s="1137">
        <f t="shared" si="0"/>
        <v>1</v>
      </c>
      <c r="AO14" s="1137">
        <f t="shared" si="0"/>
        <v>0</v>
      </c>
      <c r="AP14" s="1137">
        <f t="shared" si="0"/>
        <v>1</v>
      </c>
      <c r="AQ14" s="1137">
        <f t="shared" si="0"/>
        <v>0</v>
      </c>
      <c r="AR14" s="1151">
        <f t="shared" si="0"/>
        <v>1</v>
      </c>
    </row>
    <row r="15" spans="1:44" outlineLevel="1">
      <c r="B15" s="376" t="s">
        <v>658</v>
      </c>
      <c r="C15" s="390">
        <v>0.2</v>
      </c>
      <c r="D15" s="390">
        <v>0.2</v>
      </c>
      <c r="E15" s="390">
        <v>0.2</v>
      </c>
      <c r="F15" s="390">
        <v>0.2</v>
      </c>
      <c r="G15" s="390">
        <v>0.2</v>
      </c>
      <c r="H15" s="390">
        <v>0.2</v>
      </c>
      <c r="I15" s="390">
        <v>0.2</v>
      </c>
      <c r="J15" s="390">
        <v>0.2</v>
      </c>
      <c r="K15" s="379"/>
      <c r="L15" s="380">
        <v>2</v>
      </c>
      <c r="M15" s="367"/>
      <c r="N15" s="367"/>
      <c r="O15" s="71"/>
      <c r="P15" s="1195"/>
      <c r="Q15" s="1155"/>
      <c r="R15" s="395" t="s">
        <v>739</v>
      </c>
      <c r="S15" s="396" t="s">
        <v>738</v>
      </c>
      <c r="T15" s="1191"/>
      <c r="U15" s="1191"/>
      <c r="V15" s="1191"/>
      <c r="W15" s="1191"/>
      <c r="X15" s="1191"/>
      <c r="Y15" s="1191"/>
      <c r="Z15" s="1191"/>
      <c r="AA15" s="1191"/>
      <c r="AB15" s="1191"/>
      <c r="AC15" s="1193"/>
      <c r="AE15" s="1195"/>
      <c r="AF15" s="1155"/>
      <c r="AG15" s="395" t="s">
        <v>739</v>
      </c>
      <c r="AH15" s="396" t="str">
        <f>S15</f>
        <v>x</v>
      </c>
      <c r="AI15" s="1191"/>
      <c r="AJ15" s="1191"/>
      <c r="AK15" s="1191"/>
      <c r="AL15" s="1191"/>
      <c r="AM15" s="1191"/>
      <c r="AN15" s="1191"/>
      <c r="AO15" s="1191"/>
      <c r="AP15" s="1191"/>
      <c r="AQ15" s="1191"/>
      <c r="AR15" s="1193"/>
    </row>
    <row r="16" spans="1:44" outlineLevel="1">
      <c r="B16" s="383" t="s">
        <v>11</v>
      </c>
      <c r="C16" s="397">
        <v>25</v>
      </c>
      <c r="D16" s="397">
        <v>25</v>
      </c>
      <c r="E16" s="397">
        <v>25</v>
      </c>
      <c r="F16" s="397">
        <v>25</v>
      </c>
      <c r="G16" s="398">
        <v>20</v>
      </c>
      <c r="H16" s="398">
        <v>25</v>
      </c>
      <c r="I16" s="398">
        <v>20</v>
      </c>
      <c r="J16" s="398">
        <v>25</v>
      </c>
      <c r="K16" s="372"/>
      <c r="L16" s="373">
        <v>2</v>
      </c>
      <c r="M16" s="363"/>
      <c r="N16" s="363"/>
      <c r="P16" s="1195"/>
      <c r="Q16" s="1155"/>
      <c r="R16" s="395" t="s">
        <v>741</v>
      </c>
      <c r="S16" s="396" t="s">
        <v>738</v>
      </c>
      <c r="T16" s="1191"/>
      <c r="U16" s="1191"/>
      <c r="V16" s="1191"/>
      <c r="W16" s="1191"/>
      <c r="X16" s="1191"/>
      <c r="Y16" s="1191"/>
      <c r="Z16" s="1191"/>
      <c r="AA16" s="1191"/>
      <c r="AB16" s="1191"/>
      <c r="AC16" s="1193"/>
      <c r="AE16" s="1195"/>
      <c r="AF16" s="1155"/>
      <c r="AG16" s="395" t="s">
        <v>741</v>
      </c>
      <c r="AH16" s="629" t="str">
        <f>S16</f>
        <v>x</v>
      </c>
      <c r="AI16" s="1191"/>
      <c r="AJ16" s="1191"/>
      <c r="AK16" s="1191"/>
      <c r="AL16" s="1191"/>
      <c r="AM16" s="1191"/>
      <c r="AN16" s="1191"/>
      <c r="AO16" s="1191"/>
      <c r="AP16" s="1191"/>
      <c r="AQ16" s="1191"/>
      <c r="AR16" s="1193"/>
    </row>
    <row r="17" spans="1:44" ht="16" outlineLevel="1" thickBot="1">
      <c r="B17" s="376" t="s">
        <v>273</v>
      </c>
      <c r="C17" s="399">
        <v>0.5</v>
      </c>
      <c r="D17" s="399">
        <v>0.5</v>
      </c>
      <c r="E17" s="399">
        <v>0.5</v>
      </c>
      <c r="F17" s="399">
        <v>0.5</v>
      </c>
      <c r="G17" s="399">
        <v>0.5</v>
      </c>
      <c r="H17" s="399">
        <v>1</v>
      </c>
      <c r="I17" s="399">
        <v>0.5</v>
      </c>
      <c r="J17" s="399">
        <v>1</v>
      </c>
      <c r="K17" s="372"/>
      <c r="L17" s="400">
        <v>1</v>
      </c>
      <c r="M17" s="363"/>
      <c r="N17" s="363"/>
      <c r="P17" s="1195"/>
      <c r="Q17" s="1155"/>
      <c r="R17" s="395" t="s">
        <v>742</v>
      </c>
      <c r="S17" s="396" t="s">
        <v>738</v>
      </c>
      <c r="T17" s="1191"/>
      <c r="U17" s="1191"/>
      <c r="V17" s="1191"/>
      <c r="W17" s="1191"/>
      <c r="X17" s="1191"/>
      <c r="Y17" s="1191"/>
      <c r="Z17" s="1191"/>
      <c r="AA17" s="1191"/>
      <c r="AB17" s="1191"/>
      <c r="AC17" s="1193"/>
      <c r="AE17" s="1195"/>
      <c r="AF17" s="1155"/>
      <c r="AG17" s="395" t="s">
        <v>742</v>
      </c>
      <c r="AH17" s="396" t="str">
        <f>S17</f>
        <v>x</v>
      </c>
      <c r="AI17" s="1191"/>
      <c r="AJ17" s="1191"/>
      <c r="AK17" s="1191"/>
      <c r="AL17" s="1191"/>
      <c r="AM17" s="1191"/>
      <c r="AN17" s="1191"/>
      <c r="AO17" s="1191"/>
      <c r="AP17" s="1191"/>
      <c r="AQ17" s="1191"/>
      <c r="AR17" s="1193"/>
    </row>
    <row r="18" spans="1:44" ht="16" outlineLevel="1" thickBot="1">
      <c r="B18" s="401" t="s">
        <v>743</v>
      </c>
      <c r="C18" s="402"/>
      <c r="D18" s="403"/>
      <c r="E18" s="404"/>
      <c r="F18" s="405"/>
      <c r="G18" s="406"/>
      <c r="H18" s="406"/>
      <c r="I18" s="406"/>
      <c r="J18" s="406"/>
      <c r="K18" s="407"/>
      <c r="L18" s="408"/>
      <c r="M18" s="363"/>
      <c r="N18" s="363"/>
      <c r="P18" s="1195"/>
      <c r="Q18" s="1156"/>
      <c r="R18" s="409" t="s">
        <v>863</v>
      </c>
      <c r="S18" s="410" t="s">
        <v>738</v>
      </c>
      <c r="T18" s="1192"/>
      <c r="U18" s="1192"/>
      <c r="V18" s="1192"/>
      <c r="W18" s="1192"/>
      <c r="X18" s="1192"/>
      <c r="Y18" s="1192"/>
      <c r="Z18" s="1192"/>
      <c r="AA18" s="1192"/>
      <c r="AB18" s="1192"/>
      <c r="AC18" s="1194"/>
      <c r="AE18" s="1195"/>
      <c r="AF18" s="1156"/>
      <c r="AG18" s="409" t="s">
        <v>863</v>
      </c>
      <c r="AH18" s="410" t="str">
        <f>S18</f>
        <v>x</v>
      </c>
      <c r="AI18" s="1192"/>
      <c r="AJ18" s="1192"/>
      <c r="AK18" s="1192"/>
      <c r="AL18" s="1192"/>
      <c r="AM18" s="1192"/>
      <c r="AN18" s="1192"/>
      <c r="AO18" s="1192"/>
      <c r="AP18" s="1192"/>
      <c r="AQ18" s="1192"/>
      <c r="AR18" s="1194"/>
    </row>
    <row r="19" spans="1:44" ht="33" outlineLevel="1" thickBot="1">
      <c r="B19" s="376" t="s">
        <v>663</v>
      </c>
      <c r="C19" s="390">
        <v>2</v>
      </c>
      <c r="D19" s="390">
        <v>2</v>
      </c>
      <c r="E19" s="390">
        <v>2</v>
      </c>
      <c r="F19" s="390">
        <v>2</v>
      </c>
      <c r="G19" s="391"/>
      <c r="H19" s="391"/>
      <c r="I19" s="391"/>
      <c r="J19" s="391"/>
      <c r="K19" s="379"/>
      <c r="L19" s="380">
        <v>2</v>
      </c>
      <c r="M19" s="363"/>
      <c r="N19" s="363"/>
      <c r="P19" s="1196"/>
      <c r="Q19" s="411" t="s">
        <v>745</v>
      </c>
      <c r="R19" s="412" t="s">
        <v>746</v>
      </c>
      <c r="S19" s="630" t="s">
        <v>738</v>
      </c>
      <c r="T19" s="416">
        <v>1</v>
      </c>
      <c r="U19" s="415">
        <v>1</v>
      </c>
      <c r="V19" s="416">
        <v>1</v>
      </c>
      <c r="W19" s="415">
        <v>1</v>
      </c>
      <c r="X19" s="416">
        <v>1</v>
      </c>
      <c r="Y19" s="415">
        <v>1</v>
      </c>
      <c r="Z19" s="416">
        <v>1</v>
      </c>
      <c r="AA19" s="415">
        <v>1</v>
      </c>
      <c r="AB19" s="416">
        <v>1</v>
      </c>
      <c r="AC19" s="417">
        <v>1</v>
      </c>
      <c r="AE19" s="1196"/>
      <c r="AF19" s="411" t="s">
        <v>745</v>
      </c>
      <c r="AG19" s="631" t="s">
        <v>746</v>
      </c>
      <c r="AH19" s="632" t="s">
        <v>738</v>
      </c>
      <c r="AI19" s="416">
        <v>1</v>
      </c>
      <c r="AJ19" s="415">
        <v>1</v>
      </c>
      <c r="AK19" s="416">
        <v>1</v>
      </c>
      <c r="AL19" s="415">
        <v>1</v>
      </c>
      <c r="AM19" s="416">
        <v>1</v>
      </c>
      <c r="AN19" s="415">
        <v>1</v>
      </c>
      <c r="AO19" s="416">
        <v>1</v>
      </c>
      <c r="AP19" s="415">
        <v>1</v>
      </c>
      <c r="AQ19" s="416">
        <v>1</v>
      </c>
      <c r="AR19" s="417">
        <v>1</v>
      </c>
    </row>
    <row r="20" spans="1:44" outlineLevel="1">
      <c r="B20" s="376" t="s">
        <v>664</v>
      </c>
      <c r="C20" s="390">
        <v>0.03</v>
      </c>
      <c r="D20" s="390">
        <v>0.03</v>
      </c>
      <c r="E20" s="390">
        <v>0.03</v>
      </c>
      <c r="F20" s="390">
        <v>0.03</v>
      </c>
      <c r="G20" s="418"/>
      <c r="H20" s="418"/>
      <c r="I20" s="418"/>
      <c r="J20" s="418"/>
      <c r="K20" s="419"/>
      <c r="L20" s="380">
        <v>2</v>
      </c>
      <c r="M20" s="363"/>
      <c r="N20" s="363"/>
    </row>
    <row r="21" spans="1:44" outlineLevel="1">
      <c r="B21" s="376" t="s">
        <v>666</v>
      </c>
      <c r="C21" s="390">
        <v>0.17</v>
      </c>
      <c r="D21" s="390">
        <v>0.17</v>
      </c>
      <c r="E21" s="390">
        <v>0.17</v>
      </c>
      <c r="F21" s="390">
        <v>0.17</v>
      </c>
      <c r="G21" s="418"/>
      <c r="H21" s="418"/>
      <c r="I21" s="418"/>
      <c r="J21" s="418"/>
      <c r="K21" s="419"/>
      <c r="L21" s="380">
        <v>2</v>
      </c>
      <c r="M21" s="420"/>
      <c r="N21" s="363"/>
    </row>
    <row r="22" spans="1:44" outlineLevel="1">
      <c r="B22" s="421" t="s">
        <v>12</v>
      </c>
      <c r="C22" s="399"/>
      <c r="D22" s="399"/>
      <c r="E22" s="399"/>
      <c r="F22" s="399"/>
      <c r="G22" s="422"/>
      <c r="H22" s="422"/>
      <c r="I22" s="422"/>
      <c r="J22" s="422"/>
      <c r="K22" s="423"/>
      <c r="L22" s="424"/>
      <c r="M22" s="420"/>
      <c r="N22" s="420"/>
    </row>
    <row r="23" spans="1:44" ht="38.25" customHeight="1" outlineLevel="1">
      <c r="B23" s="383" t="s">
        <v>843</v>
      </c>
      <c r="C23" s="1231" t="s">
        <v>669</v>
      </c>
      <c r="D23" s="1232"/>
      <c r="E23" s="1232"/>
      <c r="F23" s="1233"/>
      <c r="G23" s="422"/>
      <c r="H23" s="425"/>
      <c r="I23" s="425"/>
      <c r="J23" s="425"/>
      <c r="K23" s="426"/>
      <c r="L23" s="427"/>
      <c r="M23" s="428"/>
      <c r="N23" s="428"/>
    </row>
    <row r="24" spans="1:44" outlineLevel="1">
      <c r="B24" s="383" t="s">
        <v>749</v>
      </c>
      <c r="C24" s="1234"/>
      <c r="D24" s="1235"/>
      <c r="E24" s="1235"/>
      <c r="F24" s="1236"/>
      <c r="G24" s="425"/>
      <c r="H24" s="425"/>
      <c r="I24" s="425"/>
      <c r="J24" s="425"/>
      <c r="K24" s="423"/>
      <c r="L24" s="427"/>
      <c r="M24" s="428"/>
      <c r="N24" s="428"/>
    </row>
    <row r="25" spans="1:44" outlineLevel="1">
      <c r="B25" s="383" t="s">
        <v>844</v>
      </c>
      <c r="C25" s="1234"/>
      <c r="D25" s="1235"/>
      <c r="E25" s="1235"/>
      <c r="F25" s="1236"/>
      <c r="G25" s="425"/>
      <c r="H25" s="425"/>
      <c r="I25" s="425"/>
      <c r="J25" s="425"/>
      <c r="K25" s="423"/>
      <c r="L25" s="427"/>
      <c r="M25" s="428"/>
      <c r="N25" s="428"/>
    </row>
    <row r="26" spans="1:44" outlineLevel="1">
      <c r="B26" s="383" t="s">
        <v>366</v>
      </c>
      <c r="C26" s="1234"/>
      <c r="D26" s="1235"/>
      <c r="E26" s="1235"/>
      <c r="F26" s="1236"/>
      <c r="G26" s="425"/>
      <c r="H26" s="425"/>
      <c r="I26" s="425"/>
      <c r="J26" s="425"/>
      <c r="K26" s="423"/>
      <c r="L26" s="427"/>
      <c r="M26" s="428"/>
      <c r="N26" s="428"/>
    </row>
    <row r="27" spans="1:44" ht="16" outlineLevel="1" thickBot="1">
      <c r="B27" s="429" t="s">
        <v>367</v>
      </c>
      <c r="C27" s="1237"/>
      <c r="D27" s="1238"/>
      <c r="E27" s="1238"/>
      <c r="F27" s="1239"/>
      <c r="G27" s="425"/>
      <c r="H27" s="425"/>
      <c r="I27" s="425"/>
      <c r="J27" s="425"/>
      <c r="K27" s="423"/>
      <c r="L27" s="427"/>
      <c r="M27" s="428"/>
      <c r="N27" s="428"/>
    </row>
    <row r="28" spans="1:44" ht="16" outlineLevel="1" thickBot="1">
      <c r="B28" s="431" t="s">
        <v>674</v>
      </c>
      <c r="C28" s="432"/>
      <c r="D28" s="403"/>
      <c r="E28" s="403"/>
      <c r="F28" s="433"/>
      <c r="G28" s="434"/>
      <c r="H28" s="406"/>
      <c r="I28" s="406"/>
      <c r="J28" s="406"/>
      <c r="K28" s="407"/>
      <c r="L28" s="408"/>
      <c r="M28" s="428"/>
      <c r="N28" s="428"/>
    </row>
    <row r="29" spans="1:44" ht="52" customHeight="1" outlineLevel="1">
      <c r="A29" s="435"/>
      <c r="B29" s="436" t="s">
        <v>751</v>
      </c>
      <c r="C29" s="511">
        <v>0.08</v>
      </c>
      <c r="D29" s="512">
        <v>7.0000000000000007E-2</v>
      </c>
      <c r="E29" s="512">
        <v>7.0000000000000007E-2</v>
      </c>
      <c r="F29" s="513">
        <v>7.0000000000000007E-2</v>
      </c>
      <c r="G29" s="425"/>
      <c r="H29" s="425"/>
      <c r="I29" s="425"/>
      <c r="J29" s="425"/>
      <c r="K29" s="426" t="s">
        <v>838</v>
      </c>
      <c r="L29" s="440" t="s">
        <v>961</v>
      </c>
      <c r="M29" s="420"/>
      <c r="N29" s="420"/>
    </row>
    <row r="30" spans="1:44" outlineLevel="1">
      <c r="B30" s="441" t="s">
        <v>839</v>
      </c>
      <c r="C30" s="442">
        <v>85</v>
      </c>
      <c r="D30" s="442">
        <v>85</v>
      </c>
      <c r="E30" s="442">
        <v>85</v>
      </c>
      <c r="F30" s="442">
        <v>85</v>
      </c>
      <c r="G30" s="425"/>
      <c r="H30" s="425"/>
      <c r="I30" s="425"/>
      <c r="J30" s="425"/>
      <c r="K30" s="444"/>
      <c r="L30" s="373">
        <v>1</v>
      </c>
      <c r="M30" s="71"/>
      <c r="N30" s="420"/>
    </row>
    <row r="31" spans="1:44" outlineLevel="1">
      <c r="B31" s="441" t="s">
        <v>840</v>
      </c>
      <c r="C31" s="442">
        <v>15</v>
      </c>
      <c r="D31" s="442">
        <v>15</v>
      </c>
      <c r="E31" s="442">
        <v>15</v>
      </c>
      <c r="F31" s="442">
        <v>15</v>
      </c>
      <c r="G31" s="425"/>
      <c r="H31" s="425"/>
      <c r="I31" s="425"/>
      <c r="J31" s="425"/>
      <c r="K31" s="444"/>
      <c r="L31" s="373">
        <v>1</v>
      </c>
      <c r="M31" s="420"/>
      <c r="N31" s="420"/>
    </row>
    <row r="32" spans="1:44" outlineLevel="1">
      <c r="B32" s="383" t="s">
        <v>841</v>
      </c>
      <c r="C32" s="445">
        <v>1070</v>
      </c>
      <c r="D32" s="446">
        <v>1020</v>
      </c>
      <c r="E32" s="446">
        <v>970</v>
      </c>
      <c r="F32" s="447">
        <v>920</v>
      </c>
      <c r="G32" s="425"/>
      <c r="H32" s="425"/>
      <c r="I32" s="425"/>
      <c r="J32" s="425"/>
      <c r="K32" s="448"/>
      <c r="L32" s="373">
        <v>1</v>
      </c>
      <c r="M32" s="420"/>
      <c r="N32" s="420"/>
    </row>
    <row r="33" spans="2:30" ht="37" customHeight="1" outlineLevel="1" thickBot="1">
      <c r="B33" s="383" t="s">
        <v>679</v>
      </c>
      <c r="C33" s="449">
        <f>C34+C35</f>
        <v>0.86499999999999999</v>
      </c>
      <c r="D33" s="449">
        <f t="shared" ref="D33:F33" si="1">D34+D35</f>
        <v>0.875</v>
      </c>
      <c r="E33" s="449">
        <f t="shared" si="1"/>
        <v>0.78</v>
      </c>
      <c r="F33" s="449">
        <f t="shared" si="1"/>
        <v>0.78</v>
      </c>
      <c r="G33" s="425"/>
      <c r="H33" s="425"/>
      <c r="I33" s="425"/>
      <c r="J33" s="425"/>
      <c r="K33" s="448"/>
      <c r="L33" s="373"/>
      <c r="M33" s="450"/>
      <c r="N33" s="361"/>
      <c r="P33" s="1142">
        <f>C33</f>
        <v>0.86499999999999999</v>
      </c>
      <c r="Q33" s="1143"/>
      <c r="R33" s="1143"/>
      <c r="S33" s="1143"/>
      <c r="T33" s="1143"/>
      <c r="U33" s="1144"/>
    </row>
    <row r="34" spans="2:30" ht="15.75" customHeight="1" outlineLevel="1" thickBot="1">
      <c r="B34" s="451" t="s">
        <v>758</v>
      </c>
      <c r="C34" s="452">
        <f>C13/100*73</f>
        <v>0.36499999999999999</v>
      </c>
      <c r="D34" s="452">
        <f>D13/100*75</f>
        <v>0.375</v>
      </c>
      <c r="E34" s="452">
        <f>E13/100*76</f>
        <v>0.38</v>
      </c>
      <c r="F34" s="452">
        <f>F13/100*76</f>
        <v>0.38</v>
      </c>
      <c r="G34" s="453"/>
      <c r="H34" s="453"/>
      <c r="I34" s="453"/>
      <c r="J34" s="453"/>
      <c r="K34" s="379" t="s">
        <v>20</v>
      </c>
      <c r="L34" s="380"/>
      <c r="M34" s="450"/>
      <c r="N34" s="361"/>
      <c r="P34" s="1134">
        <f>C34</f>
        <v>0.36499999999999999</v>
      </c>
      <c r="Q34" s="1135"/>
      <c r="R34" s="1135"/>
      <c r="S34" s="1135"/>
      <c r="T34" s="1135"/>
      <c r="U34" s="1136"/>
    </row>
    <row r="35" spans="2:30" outlineLevel="1">
      <c r="B35" s="451" t="s">
        <v>759</v>
      </c>
      <c r="C35" s="655">
        <v>0.5</v>
      </c>
      <c r="D35" s="655">
        <v>0.5</v>
      </c>
      <c r="E35" s="655">
        <v>0.4</v>
      </c>
      <c r="F35" s="655">
        <v>0.4</v>
      </c>
      <c r="G35" s="453"/>
      <c r="H35" s="453"/>
      <c r="I35" s="453"/>
      <c r="J35" s="453"/>
      <c r="K35" s="455"/>
      <c r="L35" s="380">
        <v>1</v>
      </c>
      <c r="M35" s="363"/>
      <c r="N35" s="363"/>
      <c r="P35" s="53" t="s">
        <v>357</v>
      </c>
    </row>
    <row r="36" spans="2:30" ht="30" outlineLevel="1">
      <c r="B36" s="441"/>
      <c r="C36" s="642"/>
      <c r="D36" s="642"/>
      <c r="E36" s="642"/>
      <c r="F36" s="642"/>
      <c r="G36" s="425"/>
      <c r="H36" s="425"/>
      <c r="I36" s="425"/>
      <c r="J36" s="425"/>
      <c r="K36" s="444"/>
      <c r="L36" s="424"/>
      <c r="M36" s="367"/>
      <c r="N36" s="367"/>
      <c r="P36" s="46" t="s">
        <v>335</v>
      </c>
      <c r="Q36" s="46" t="s">
        <v>336</v>
      </c>
      <c r="R36" s="47" t="s">
        <v>337</v>
      </c>
      <c r="S36" s="47" t="s">
        <v>338</v>
      </c>
      <c r="T36" s="47" t="s">
        <v>339</v>
      </c>
      <c r="U36" s="48" t="s">
        <v>340</v>
      </c>
      <c r="V36" s="49" t="s">
        <v>341</v>
      </c>
      <c r="W36" s="49" t="s">
        <v>342</v>
      </c>
      <c r="X36" s="49" t="s">
        <v>343</v>
      </c>
      <c r="Y36" s="49" t="s">
        <v>344</v>
      </c>
      <c r="Z36" s="49" t="s">
        <v>345</v>
      </c>
      <c r="AA36" s="49" t="s">
        <v>346</v>
      </c>
      <c r="AB36" s="49" t="s">
        <v>347</v>
      </c>
      <c r="AC36" s="49" t="s">
        <v>348</v>
      </c>
      <c r="AD36" s="49" t="s">
        <v>349</v>
      </c>
    </row>
    <row r="37" spans="2:30" ht="35" customHeight="1" outlineLevel="1" thickBot="1">
      <c r="B37" s="441"/>
      <c r="C37" s="442"/>
      <c r="D37" s="457"/>
      <c r="E37" s="457"/>
      <c r="F37" s="458"/>
      <c r="G37" s="425"/>
      <c r="H37" s="425"/>
      <c r="I37" s="425"/>
      <c r="J37" s="425"/>
      <c r="K37" s="448"/>
      <c r="L37" s="424"/>
      <c r="M37" s="363"/>
      <c r="N37" s="363"/>
      <c r="P37" s="50"/>
      <c r="Q37" s="50"/>
      <c r="R37" s="51"/>
      <c r="S37" s="51"/>
      <c r="T37" s="51"/>
      <c r="U37" s="51" t="s">
        <v>760</v>
      </c>
      <c r="V37" s="50" t="s">
        <v>761</v>
      </c>
      <c r="W37" s="50"/>
      <c r="X37" s="50"/>
      <c r="Y37" s="50"/>
      <c r="Z37" s="50"/>
      <c r="AA37" s="50"/>
      <c r="AB37" s="50"/>
      <c r="AC37" s="50"/>
      <c r="AD37" s="50"/>
    </row>
    <row r="38" spans="2:30" ht="73" customHeight="1" outlineLevel="1" thickBot="1">
      <c r="B38" s="401" t="s">
        <v>682</v>
      </c>
      <c r="C38" s="402"/>
      <c r="D38" s="403"/>
      <c r="E38" s="404"/>
      <c r="F38" s="405"/>
      <c r="G38" s="406"/>
      <c r="H38" s="406"/>
      <c r="I38" s="406"/>
      <c r="J38" s="406"/>
      <c r="K38" s="459"/>
      <c r="L38" s="460"/>
      <c r="M38" s="363"/>
      <c r="N38" s="363"/>
      <c r="O38" s="461" t="s">
        <v>732</v>
      </c>
      <c r="P38" s="56"/>
      <c r="Q38" s="56"/>
      <c r="R38" s="57"/>
      <c r="S38" s="57"/>
      <c r="T38" s="57"/>
      <c r="U38" s="56" t="s">
        <v>350</v>
      </c>
      <c r="V38" s="56" t="s">
        <v>326</v>
      </c>
      <c r="W38" s="56" t="s">
        <v>327</v>
      </c>
      <c r="X38" s="56" t="s">
        <v>351</v>
      </c>
      <c r="Y38" s="56" t="s">
        <v>351</v>
      </c>
      <c r="Z38" s="56" t="s">
        <v>352</v>
      </c>
      <c r="AA38" s="56" t="s">
        <v>352</v>
      </c>
      <c r="AB38" s="56" t="s">
        <v>352</v>
      </c>
      <c r="AC38" s="56" t="s">
        <v>352</v>
      </c>
      <c r="AD38" s="56" t="s">
        <v>352</v>
      </c>
    </row>
    <row r="39" spans="2:30" outlineLevel="1">
      <c r="B39" s="451" t="s">
        <v>762</v>
      </c>
      <c r="C39" s="643" t="s">
        <v>36</v>
      </c>
      <c r="D39" s="643" t="s">
        <v>36</v>
      </c>
      <c r="E39" s="643" t="s">
        <v>36</v>
      </c>
      <c r="F39" s="643" t="s">
        <v>36</v>
      </c>
      <c r="G39" s="643"/>
      <c r="H39" s="643"/>
      <c r="I39" s="643"/>
      <c r="J39" s="643"/>
      <c r="K39" s="643" t="s">
        <v>76</v>
      </c>
      <c r="L39" s="464"/>
      <c r="M39" s="363"/>
      <c r="N39" s="363"/>
      <c r="O39" s="465">
        <f>C12</f>
        <v>99</v>
      </c>
      <c r="P39" s="466">
        <f>C8</f>
        <v>2020</v>
      </c>
      <c r="Q39" s="58">
        <f>P39</f>
        <v>2020</v>
      </c>
      <c r="R39" s="466">
        <f>O39/100</f>
        <v>0.99</v>
      </c>
      <c r="S39" s="58"/>
      <c r="T39" s="466">
        <f>C16</f>
        <v>25</v>
      </c>
      <c r="U39" s="467">
        <f>C46</f>
        <v>596</v>
      </c>
      <c r="V39" s="467">
        <f>C48</f>
        <v>7.9714999999999998</v>
      </c>
      <c r="W39" s="467">
        <f>C49</f>
        <v>1.7900694444444445</v>
      </c>
      <c r="X39" s="58"/>
      <c r="Y39" s="58"/>
      <c r="Z39" s="466" t="str">
        <f>C23</f>
        <v>Cf. the utilized electricity</v>
      </c>
      <c r="AA39" s="468">
        <f>C25</f>
        <v>0</v>
      </c>
      <c r="AB39" s="468">
        <f>C26</f>
        <v>0</v>
      </c>
      <c r="AC39" s="468">
        <f>C27</f>
        <v>0</v>
      </c>
      <c r="AD39" s="468">
        <f>C24</f>
        <v>0</v>
      </c>
    </row>
    <row r="40" spans="2:30" ht="14.5" customHeight="1" outlineLevel="1">
      <c r="B40" s="376" t="s">
        <v>763</v>
      </c>
      <c r="C40" s="469" t="s">
        <v>36</v>
      </c>
      <c r="D40" s="470" t="s">
        <v>36</v>
      </c>
      <c r="E40" s="470" t="s">
        <v>36</v>
      </c>
      <c r="F40" s="471" t="s">
        <v>36</v>
      </c>
      <c r="G40" s="471"/>
      <c r="H40" s="471"/>
      <c r="I40" s="471"/>
      <c r="J40" s="471"/>
      <c r="K40" s="472" t="s">
        <v>76</v>
      </c>
      <c r="L40" s="464"/>
      <c r="M40" s="363"/>
      <c r="N40" s="363"/>
      <c r="O40" s="465">
        <f>D12</f>
        <v>99</v>
      </c>
      <c r="P40" s="466">
        <f>D8</f>
        <v>2030</v>
      </c>
      <c r="Q40" s="58"/>
      <c r="R40" s="466">
        <f>O40/100</f>
        <v>0.99</v>
      </c>
      <c r="S40" s="58"/>
      <c r="T40" s="466">
        <f>D16</f>
        <v>25</v>
      </c>
      <c r="U40" s="467">
        <f>D46</f>
        <v>521.50000000000011</v>
      </c>
      <c r="V40" s="467">
        <f>D48</f>
        <v>7.5990000000000002</v>
      </c>
      <c r="W40" s="467">
        <f>D49</f>
        <v>1.8107638888888888</v>
      </c>
      <c r="X40" s="58"/>
      <c r="Y40" s="58"/>
      <c r="Z40" s="466">
        <f>D23</f>
        <v>0</v>
      </c>
      <c r="AA40" s="468">
        <f>D25</f>
        <v>0</v>
      </c>
      <c r="AB40" s="468">
        <f>D26</f>
        <v>0</v>
      </c>
      <c r="AC40" s="468">
        <f>D27</f>
        <v>0</v>
      </c>
      <c r="AD40" s="468">
        <f>D24</f>
        <v>0</v>
      </c>
    </row>
    <row r="41" spans="2:30" outlineLevel="1">
      <c r="B41" s="376" t="s">
        <v>764</v>
      </c>
      <c r="C41" s="469" t="s">
        <v>36</v>
      </c>
      <c r="D41" s="470" t="s">
        <v>36</v>
      </c>
      <c r="E41" s="470" t="s">
        <v>36</v>
      </c>
      <c r="F41" s="471" t="s">
        <v>36</v>
      </c>
      <c r="G41" s="453"/>
      <c r="H41" s="453"/>
      <c r="I41" s="453"/>
      <c r="J41" s="453"/>
      <c r="K41" s="453"/>
      <c r="L41" s="380"/>
      <c r="M41" s="363"/>
      <c r="N41" s="363"/>
      <c r="O41" s="465">
        <f>E12</f>
        <v>99</v>
      </c>
      <c r="P41" s="466">
        <f>E8</f>
        <v>2040</v>
      </c>
      <c r="Q41" s="58"/>
      <c r="R41" s="466">
        <f>O41/100</f>
        <v>0.99</v>
      </c>
      <c r="S41" s="58"/>
      <c r="T41" s="466">
        <f>E16</f>
        <v>25</v>
      </c>
      <c r="U41" s="467">
        <f>E46</f>
        <v>521.50000000000011</v>
      </c>
      <c r="V41" s="467">
        <f>E48</f>
        <v>7.2264999999999997</v>
      </c>
      <c r="W41" s="467">
        <f>E49</f>
        <v>1.6141666666666665</v>
      </c>
      <c r="X41" s="58"/>
      <c r="Y41" s="58"/>
      <c r="Z41" s="466">
        <f>E23</f>
        <v>0</v>
      </c>
      <c r="AA41" s="468">
        <f>E25</f>
        <v>0</v>
      </c>
      <c r="AB41" s="468">
        <f>E26</f>
        <v>0</v>
      </c>
      <c r="AC41" s="468">
        <f>E27</f>
        <v>0</v>
      </c>
      <c r="AD41" s="468">
        <f>E24</f>
        <v>0</v>
      </c>
    </row>
    <row r="42" spans="2:30" ht="14.5" customHeight="1" outlineLevel="1">
      <c r="B42" s="376" t="s">
        <v>765</v>
      </c>
      <c r="C42" s="1240" t="s">
        <v>669</v>
      </c>
      <c r="D42" s="1241"/>
      <c r="E42" s="1241"/>
      <c r="F42" s="1242"/>
      <c r="G42" s="474"/>
      <c r="H42" s="474"/>
      <c r="I42" s="474"/>
      <c r="J42" s="474"/>
      <c r="K42" s="474"/>
      <c r="L42" s="380"/>
      <c r="M42" s="363"/>
      <c r="N42" s="363"/>
      <c r="O42" s="465">
        <f>F12</f>
        <v>99</v>
      </c>
      <c r="P42" s="466">
        <f>F8</f>
        <v>2050</v>
      </c>
      <c r="Q42" s="58"/>
      <c r="R42" s="466">
        <f>O42/100</f>
        <v>0.99</v>
      </c>
      <c r="S42" s="58"/>
      <c r="T42" s="466">
        <f>F16</f>
        <v>25</v>
      </c>
      <c r="U42" s="467">
        <f>F46</f>
        <v>521.50000000000011</v>
      </c>
      <c r="V42" s="467">
        <f>F48</f>
        <v>6.8540000000000001</v>
      </c>
      <c r="W42" s="467">
        <f>F49</f>
        <v>1.6141666666666665</v>
      </c>
      <c r="X42" s="58"/>
      <c r="Y42" s="58"/>
      <c r="Z42" s="466">
        <f>F23</f>
        <v>0</v>
      </c>
      <c r="AA42" s="468">
        <f>F25</f>
        <v>0</v>
      </c>
      <c r="AB42" s="468">
        <f>F26</f>
        <v>0</v>
      </c>
      <c r="AC42" s="468">
        <f>F27</f>
        <v>0</v>
      </c>
      <c r="AD42" s="468">
        <f>F24</f>
        <v>0</v>
      </c>
    </row>
    <row r="43" spans="2:30" outlineLevel="1">
      <c r="B43" s="475" t="s">
        <v>766</v>
      </c>
      <c r="C43" s="469" t="s">
        <v>36</v>
      </c>
      <c r="D43" s="470" t="s">
        <v>36</v>
      </c>
      <c r="E43" s="470" t="s">
        <v>36</v>
      </c>
      <c r="F43" s="471" t="s">
        <v>36</v>
      </c>
      <c r="G43" s="474"/>
      <c r="H43" s="474"/>
      <c r="I43" s="474"/>
      <c r="J43" s="474"/>
      <c r="K43" s="474"/>
      <c r="L43" s="476"/>
      <c r="M43" s="367"/>
      <c r="N43" s="367"/>
    </row>
    <row r="44" spans="2:30" outlineLevel="1">
      <c r="B44" s="475" t="s">
        <v>767</v>
      </c>
      <c r="C44" s="469" t="s">
        <v>36</v>
      </c>
      <c r="D44" s="470" t="s">
        <v>36</v>
      </c>
      <c r="E44" s="470" t="s">
        <v>36</v>
      </c>
      <c r="F44" s="471" t="s">
        <v>36</v>
      </c>
      <c r="G44" s="474"/>
      <c r="H44" s="474"/>
      <c r="I44" s="474"/>
      <c r="J44" s="474"/>
      <c r="K44" s="474"/>
      <c r="L44" s="476"/>
      <c r="M44" s="363"/>
      <c r="N44" s="363"/>
    </row>
    <row r="45" spans="2:30" ht="16" outlineLevel="1" thickBot="1">
      <c r="B45" s="477" t="s">
        <v>768</v>
      </c>
      <c r="C45" s="644" t="s">
        <v>36</v>
      </c>
      <c r="D45" s="645" t="s">
        <v>36</v>
      </c>
      <c r="E45" s="645" t="s">
        <v>36</v>
      </c>
      <c r="F45" s="646" t="s">
        <v>36</v>
      </c>
      <c r="G45" s="481"/>
      <c r="H45" s="481"/>
      <c r="I45" s="481"/>
      <c r="J45" s="481"/>
      <c r="K45" s="481"/>
      <c r="L45" s="482"/>
      <c r="M45" s="363"/>
      <c r="N45" s="363"/>
    </row>
    <row r="46" spans="2:30" ht="64" outlineLevel="1">
      <c r="B46" s="461" t="s">
        <v>769</v>
      </c>
      <c r="C46" s="483">
        <f>C29*$F$4*1000</f>
        <v>596</v>
      </c>
      <c r="D46" s="483">
        <f t="shared" ref="D46:F46" si="2">D29*$F$4*1000</f>
        <v>521.50000000000011</v>
      </c>
      <c r="E46" s="483">
        <f t="shared" si="2"/>
        <v>521.50000000000011</v>
      </c>
      <c r="F46" s="483">
        <f t="shared" si="2"/>
        <v>521.50000000000011</v>
      </c>
      <c r="G46" s="483"/>
      <c r="H46" s="484"/>
      <c r="I46" s="420" t="s">
        <v>332</v>
      </c>
      <c r="J46" s="420"/>
      <c r="K46" s="484"/>
      <c r="L46" s="484"/>
      <c r="N46" s="420"/>
    </row>
    <row r="47" spans="2:30" outlineLevel="1">
      <c r="B47" s="485" t="s">
        <v>770</v>
      </c>
      <c r="C47" s="486">
        <f>C46*$I47</f>
        <v>298000</v>
      </c>
      <c r="D47" s="486">
        <f>D46*$I47</f>
        <v>260750.00000000006</v>
      </c>
      <c r="E47" s="486">
        <f>E46*$I47</f>
        <v>260750.00000000006</v>
      </c>
      <c r="F47" s="486">
        <f>F46*$I47</f>
        <v>260750.00000000006</v>
      </c>
      <c r="G47" s="486"/>
      <c r="H47" s="484"/>
      <c r="I47" s="71">
        <v>500</v>
      </c>
      <c r="J47" s="420" t="s">
        <v>330</v>
      </c>
      <c r="K47" s="484"/>
      <c r="L47" s="484"/>
      <c r="N47" s="420"/>
    </row>
    <row r="48" spans="2:30" ht="48" outlineLevel="1">
      <c r="B48" s="461" t="s">
        <v>845</v>
      </c>
      <c r="C48" s="359">
        <f>C32*$F$4/1000</f>
        <v>7.9714999999999998</v>
      </c>
      <c r="D48" s="359">
        <f t="shared" ref="D48:F48" si="3">D32*$F$4/1000</f>
        <v>7.5990000000000002</v>
      </c>
      <c r="E48" s="359">
        <f t="shared" si="3"/>
        <v>7.2264999999999997</v>
      </c>
      <c r="F48" s="359">
        <f t="shared" si="3"/>
        <v>6.8540000000000001</v>
      </c>
      <c r="G48" s="359"/>
      <c r="I48" s="420" t="s">
        <v>333</v>
      </c>
      <c r="J48" s="420"/>
      <c r="N48" s="420"/>
    </row>
    <row r="49" spans="2:14" ht="48" outlineLevel="1">
      <c r="B49" s="461" t="s">
        <v>846</v>
      </c>
      <c r="C49" s="487">
        <f>C33*$F$4/3.6</f>
        <v>1.7900694444444445</v>
      </c>
      <c r="D49" s="487">
        <f t="shared" ref="D49:F49" si="4">D33*$F$4/3.6</f>
        <v>1.8107638888888888</v>
      </c>
      <c r="E49" s="487">
        <f t="shared" si="4"/>
        <v>1.6141666666666665</v>
      </c>
      <c r="F49" s="487">
        <f t="shared" si="4"/>
        <v>1.6141666666666665</v>
      </c>
      <c r="G49" s="359"/>
      <c r="M49" s="420"/>
      <c r="N49" s="420"/>
    </row>
    <row r="50" spans="2:14" outlineLevel="1"/>
    <row r="51" spans="2:14" outlineLevel="1"/>
    <row r="52" spans="2:14" outlineLevel="1"/>
    <row r="53" spans="2:14" outlineLevel="1"/>
    <row r="54" spans="2:14" outlineLevel="1">
      <c r="E54" s="358"/>
      <c r="F54" s="358"/>
      <c r="G54" s="358"/>
      <c r="H54" s="358"/>
      <c r="I54" s="358"/>
      <c r="J54" s="358"/>
      <c r="K54" s="358"/>
      <c r="L54" s="358"/>
    </row>
    <row r="55" spans="2:14" outlineLevel="1">
      <c r="B55" s="649" t="s">
        <v>773</v>
      </c>
      <c r="C55" s="358"/>
      <c r="D55" s="358"/>
      <c r="E55" s="358"/>
      <c r="F55" s="358"/>
      <c r="G55" s="358"/>
      <c r="H55" s="358"/>
      <c r="I55" s="358"/>
      <c r="J55" s="358"/>
      <c r="K55" s="358"/>
      <c r="L55" s="358"/>
    </row>
    <row r="56" spans="2:14" outlineLevel="1">
      <c r="B56" s="677">
        <v>1</v>
      </c>
      <c r="C56" s="490" t="s">
        <v>850</v>
      </c>
      <c r="D56" s="490"/>
      <c r="F56" s="358"/>
      <c r="G56" s="358"/>
      <c r="H56" s="358"/>
      <c r="I56" s="358"/>
      <c r="J56" s="358"/>
      <c r="K56" s="358"/>
      <c r="L56" s="358"/>
    </row>
    <row r="57" spans="2:14" outlineLevel="1">
      <c r="B57" s="677">
        <v>2</v>
      </c>
      <c r="C57" s="635" t="s">
        <v>962</v>
      </c>
      <c r="D57" s="490"/>
      <c r="F57" s="358"/>
      <c r="G57" s="358"/>
      <c r="H57" s="358"/>
      <c r="I57" s="358"/>
      <c r="J57" s="358"/>
      <c r="K57" s="358"/>
      <c r="L57" s="358"/>
    </row>
    <row r="58" spans="2:14" outlineLevel="1">
      <c r="B58" s="677">
        <v>3</v>
      </c>
      <c r="C58" s="635" t="s">
        <v>963</v>
      </c>
      <c r="D58" s="490"/>
      <c r="F58" s="358"/>
      <c r="G58" s="358"/>
      <c r="H58" s="358"/>
      <c r="I58" s="358"/>
      <c r="J58" s="358"/>
      <c r="K58" s="358"/>
      <c r="L58" s="358"/>
    </row>
    <row r="59" spans="2:14" outlineLevel="1">
      <c r="B59" s="358" t="s">
        <v>783</v>
      </c>
      <c r="C59" s="358"/>
      <c r="D59" s="490"/>
      <c r="F59" s="358"/>
      <c r="G59" s="358"/>
      <c r="H59" s="358"/>
      <c r="I59" s="358"/>
      <c r="J59" s="358"/>
      <c r="K59" s="358"/>
      <c r="L59" s="358"/>
    </row>
    <row r="60" spans="2:14" outlineLevel="1">
      <c r="B60" s="678" t="s">
        <v>6</v>
      </c>
      <c r="C60" s="490" t="s">
        <v>964</v>
      </c>
      <c r="D60" s="490"/>
      <c r="F60" s="358"/>
      <c r="G60" s="358"/>
      <c r="H60" s="358"/>
      <c r="I60" s="358"/>
      <c r="J60" s="358"/>
      <c r="K60" s="358"/>
      <c r="L60" s="358"/>
    </row>
    <row r="61" spans="2:14" outlineLevel="1">
      <c r="B61" s="678" t="s">
        <v>59</v>
      </c>
      <c r="C61" s="635" t="s">
        <v>965</v>
      </c>
      <c r="D61" s="490"/>
      <c r="F61" s="358"/>
      <c r="G61" s="358"/>
      <c r="H61" s="358"/>
      <c r="I61" s="358"/>
      <c r="J61" s="358"/>
      <c r="K61" s="358"/>
      <c r="L61" s="358"/>
    </row>
    <row r="62" spans="2:14" outlineLevel="1">
      <c r="B62" s="679" t="s">
        <v>16</v>
      </c>
      <c r="C62" s="490" t="s">
        <v>966</v>
      </c>
      <c r="D62" s="490"/>
      <c r="F62" s="358"/>
      <c r="G62" s="358"/>
      <c r="H62" s="358"/>
      <c r="I62" s="358"/>
      <c r="J62" s="358"/>
      <c r="K62" s="358"/>
      <c r="L62" s="358"/>
    </row>
    <row r="63" spans="2:14" outlineLevel="1">
      <c r="B63" s="678" t="s">
        <v>20</v>
      </c>
      <c r="C63" s="489" t="s">
        <v>788</v>
      </c>
      <c r="D63" s="490"/>
      <c r="F63" s="358"/>
      <c r="G63" s="358"/>
      <c r="H63" s="358"/>
      <c r="I63" s="358"/>
      <c r="J63" s="358"/>
      <c r="K63" s="358"/>
      <c r="L63" s="358"/>
    </row>
    <row r="64" spans="2:14" outlineLevel="1">
      <c r="B64" s="678" t="s">
        <v>76</v>
      </c>
      <c r="C64" s="490" t="s">
        <v>789</v>
      </c>
      <c r="D64" s="490"/>
      <c r="F64" s="358"/>
      <c r="G64" s="358"/>
      <c r="H64" s="358"/>
      <c r="I64" s="358"/>
      <c r="J64" s="358"/>
      <c r="K64" s="358"/>
      <c r="L64" s="358"/>
    </row>
    <row r="65" spans="2:12" outlineLevel="1">
      <c r="B65" s="656"/>
      <c r="C65" s="489"/>
      <c r="D65" s="358"/>
      <c r="F65" s="358"/>
      <c r="G65" s="358"/>
      <c r="H65" s="358"/>
      <c r="I65" s="358"/>
      <c r="J65" s="358"/>
      <c r="K65" s="358"/>
      <c r="L65" s="358"/>
    </row>
    <row r="66" spans="2:12" outlineLevel="1">
      <c r="F66" s="358"/>
      <c r="G66" s="358"/>
      <c r="H66" s="358"/>
      <c r="I66" s="358"/>
      <c r="J66" s="358"/>
      <c r="K66" s="358"/>
      <c r="L66" s="358"/>
    </row>
    <row r="67" spans="2:12" outlineLevel="1">
      <c r="B67" s="656"/>
      <c r="C67" s="490"/>
      <c r="D67" s="358"/>
      <c r="F67" s="358"/>
      <c r="G67" s="358"/>
      <c r="H67" s="358"/>
      <c r="I67" s="358"/>
      <c r="J67" s="358"/>
      <c r="K67" s="358"/>
      <c r="L67" s="358"/>
    </row>
    <row r="68" spans="2:12" outlineLevel="1">
      <c r="B68" s="656"/>
      <c r="C68" s="490"/>
      <c r="D68" s="358"/>
      <c r="F68" s="358"/>
      <c r="G68" s="358"/>
      <c r="H68" s="358"/>
      <c r="I68" s="358"/>
      <c r="J68" s="358"/>
      <c r="K68" s="358"/>
      <c r="L68" s="358"/>
    </row>
    <row r="69" spans="2:12" outlineLevel="1">
      <c r="F69" s="358"/>
      <c r="G69" s="358"/>
      <c r="H69" s="358"/>
      <c r="I69" s="358"/>
      <c r="J69" s="358"/>
      <c r="K69" s="358"/>
      <c r="L69" s="358"/>
    </row>
    <row r="70" spans="2:12" outlineLevel="1">
      <c r="G70" s="358"/>
      <c r="H70" s="358"/>
      <c r="I70" s="358"/>
      <c r="J70" s="358"/>
      <c r="K70" s="358"/>
      <c r="L70" s="358"/>
    </row>
    <row r="71" spans="2:12" outlineLevel="1">
      <c r="E71" s="490"/>
      <c r="F71" s="490"/>
    </row>
    <row r="72" spans="2:12" outlineLevel="1">
      <c r="E72" s="490"/>
      <c r="F72" s="490"/>
    </row>
    <row r="73" spans="2:12" outlineLevel="1">
      <c r="E73" s="490"/>
      <c r="F73" s="490"/>
    </row>
    <row r="74" spans="2:12" outlineLevel="1">
      <c r="E74" s="490"/>
      <c r="F74" s="490"/>
    </row>
    <row r="75" spans="2:12" outlineLevel="1">
      <c r="E75" s="490"/>
      <c r="F75" s="490"/>
    </row>
    <row r="76" spans="2:12" outlineLevel="1">
      <c r="E76" s="490"/>
      <c r="F76" s="490"/>
    </row>
    <row r="77" spans="2:12" outlineLevel="1">
      <c r="E77" s="490"/>
      <c r="F77" s="490"/>
    </row>
    <row r="78" spans="2:12" outlineLevel="1">
      <c r="E78" s="490"/>
      <c r="F78" s="490"/>
    </row>
    <row r="79" spans="2:12" outlineLevel="1"/>
    <row r="80" spans="2:12" outlineLevel="1">
      <c r="B80" s="496"/>
      <c r="C80" s="489"/>
      <c r="D80" s="489"/>
    </row>
    <row r="81" spans="1:44" outlineLevel="1">
      <c r="B81" s="638" t="str">
        <f>C86</f>
        <v>Electric boiler, 10 kV, hot water</v>
      </c>
    </row>
    <row r="84" spans="1:44">
      <c r="A84" s="360" t="s">
        <v>972</v>
      </c>
      <c r="B84" s="1207"/>
      <c r="C84" s="1143"/>
      <c r="D84" s="1143"/>
      <c r="E84" s="1143"/>
      <c r="F84" s="1143"/>
      <c r="G84" s="1143"/>
      <c r="H84" s="1143"/>
      <c r="I84" s="1143"/>
      <c r="J84" s="1143"/>
      <c r="K84" s="1143"/>
      <c r="L84" s="1143"/>
      <c r="M84" s="1143"/>
      <c r="N84" s="361"/>
      <c r="P84" s="1143"/>
      <c r="Q84" s="1143"/>
      <c r="R84" s="1143"/>
      <c r="S84" s="1143"/>
      <c r="T84" s="1143"/>
      <c r="U84" s="1143"/>
    </row>
    <row r="85" spans="1:44" ht="16" outlineLevel="1" thickBot="1">
      <c r="B85" s="1207"/>
      <c r="C85" s="1143"/>
      <c r="D85" s="1143"/>
      <c r="E85" s="1143"/>
      <c r="F85" s="1143"/>
      <c r="G85" s="1143"/>
      <c r="H85" s="1143"/>
      <c r="I85" s="1143"/>
      <c r="J85" s="1143"/>
      <c r="K85" s="1143"/>
      <c r="L85" s="1143"/>
      <c r="M85" s="1143"/>
      <c r="N85" s="361"/>
      <c r="P85" s="692">
        <v>1</v>
      </c>
      <c r="Q85" s="692">
        <v>2</v>
      </c>
      <c r="R85" s="692">
        <v>3</v>
      </c>
      <c r="S85" s="692">
        <v>4</v>
      </c>
      <c r="T85" s="692">
        <v>5</v>
      </c>
      <c r="U85" s="692">
        <v>6</v>
      </c>
      <c r="V85" s="692">
        <v>7</v>
      </c>
      <c r="W85" s="692">
        <v>8</v>
      </c>
      <c r="X85" s="692">
        <v>9</v>
      </c>
      <c r="Y85" s="692">
        <v>10</v>
      </c>
      <c r="Z85" s="692">
        <v>11</v>
      </c>
      <c r="AA85" s="692">
        <v>12</v>
      </c>
      <c r="AB85" s="692">
        <v>13</v>
      </c>
      <c r="AC85" s="692">
        <v>14</v>
      </c>
    </row>
    <row r="86" spans="1:44" ht="20.5" customHeight="1" outlineLevel="1" thickBot="1">
      <c r="B86" s="362" t="s">
        <v>0</v>
      </c>
      <c r="C86" s="1204" t="s">
        <v>971</v>
      </c>
      <c r="D86" s="1205"/>
      <c r="E86" s="1205"/>
      <c r="F86" s="1205"/>
      <c r="G86" s="1205"/>
      <c r="H86" s="1205"/>
      <c r="I86" s="1205"/>
      <c r="J86" s="1205"/>
      <c r="K86" s="1205"/>
      <c r="L86" s="1206"/>
      <c r="M86" s="363"/>
      <c r="N86" s="363"/>
      <c r="P86" s="364" t="s">
        <v>713</v>
      </c>
      <c r="Q86" s="365"/>
      <c r="R86" s="366"/>
      <c r="S86" s="1176" t="s">
        <v>714</v>
      </c>
      <c r="T86" s="1160" t="s">
        <v>715</v>
      </c>
      <c r="U86" s="1161"/>
      <c r="V86" s="1160" t="s">
        <v>716</v>
      </c>
      <c r="W86" s="1161"/>
      <c r="X86" s="1160" t="s">
        <v>717</v>
      </c>
      <c r="Y86" s="1161"/>
      <c r="Z86" s="1160" t="s">
        <v>718</v>
      </c>
      <c r="AA86" s="1161"/>
      <c r="AB86" s="1160" t="s">
        <v>719</v>
      </c>
      <c r="AC86" s="1161"/>
      <c r="AE86" s="364" t="s">
        <v>720</v>
      </c>
      <c r="AF86" s="365"/>
      <c r="AG86" s="366"/>
      <c r="AH86" s="1176" t="s">
        <v>714</v>
      </c>
      <c r="AI86" s="1160" t="s">
        <v>715</v>
      </c>
      <c r="AJ86" s="1161"/>
      <c r="AK86" s="1160" t="s">
        <v>716</v>
      </c>
      <c r="AL86" s="1161"/>
      <c r="AM86" s="1160" t="s">
        <v>717</v>
      </c>
      <c r="AN86" s="1161"/>
      <c r="AO86" s="1160" t="s">
        <v>718</v>
      </c>
      <c r="AP86" s="1161"/>
      <c r="AQ86" s="1160" t="s">
        <v>719</v>
      </c>
      <c r="AR86" s="1161"/>
    </row>
    <row r="87" spans="1:44" ht="15" customHeight="1" outlineLevel="1" thickBot="1">
      <c r="B87" s="1164" t="s">
        <v>4</v>
      </c>
      <c r="C87" s="1166">
        <v>2020</v>
      </c>
      <c r="D87" s="1166">
        <v>2030</v>
      </c>
      <c r="E87" s="1166">
        <v>2040</v>
      </c>
      <c r="F87" s="1166">
        <v>2050</v>
      </c>
      <c r="G87" s="1200" t="s">
        <v>721</v>
      </c>
      <c r="H87" s="1201"/>
      <c r="I87" s="1200" t="s">
        <v>648</v>
      </c>
      <c r="J87" s="1201"/>
      <c r="K87" s="1202" t="s">
        <v>2</v>
      </c>
      <c r="L87" s="1202" t="s">
        <v>3</v>
      </c>
      <c r="M87" s="367"/>
      <c r="N87" s="367"/>
      <c r="P87" s="1180" t="s">
        <v>0</v>
      </c>
      <c r="Q87" s="368"/>
      <c r="R87" s="368"/>
      <c r="S87" s="1177"/>
      <c r="T87" s="1162"/>
      <c r="U87" s="1163"/>
      <c r="V87" s="1162"/>
      <c r="W87" s="1163"/>
      <c r="X87" s="1162"/>
      <c r="Y87" s="1163"/>
      <c r="Z87" s="1162"/>
      <c r="AA87" s="1163"/>
      <c r="AB87" s="1162"/>
      <c r="AC87" s="1163"/>
      <c r="AE87" s="1180" t="s">
        <v>0</v>
      </c>
      <c r="AF87" s="368"/>
      <c r="AG87" s="368"/>
      <c r="AH87" s="1177"/>
      <c r="AI87" s="1162"/>
      <c r="AJ87" s="1163"/>
      <c r="AK87" s="1162"/>
      <c r="AL87" s="1163"/>
      <c r="AM87" s="1162"/>
      <c r="AN87" s="1163"/>
      <c r="AO87" s="1162"/>
      <c r="AP87" s="1163"/>
      <c r="AQ87" s="1162"/>
      <c r="AR87" s="1163"/>
    </row>
    <row r="88" spans="1:44" ht="15" customHeight="1" outlineLevel="1" thickBot="1">
      <c r="B88" s="1165"/>
      <c r="C88" s="1167"/>
      <c r="D88" s="1167"/>
      <c r="E88" s="1167"/>
      <c r="F88" s="1167"/>
      <c r="G88" s="499" t="s">
        <v>649</v>
      </c>
      <c r="H88" s="499" t="s">
        <v>650</v>
      </c>
      <c r="I88" s="499" t="s">
        <v>649</v>
      </c>
      <c r="J88" s="499" t="s">
        <v>650</v>
      </c>
      <c r="K88" s="1203"/>
      <c r="L88" s="1203"/>
      <c r="M88" s="370"/>
      <c r="N88" s="370"/>
      <c r="P88" s="1181"/>
      <c r="Q88" s="1183" t="s">
        <v>722</v>
      </c>
      <c r="R88" s="1184" t="s">
        <v>723</v>
      </c>
      <c r="S88" s="1178"/>
      <c r="T88" s="1162"/>
      <c r="U88" s="1163"/>
      <c r="V88" s="1162"/>
      <c r="W88" s="1163"/>
      <c r="X88" s="1162"/>
      <c r="Y88" s="1163"/>
      <c r="Z88" s="1162"/>
      <c r="AA88" s="1163"/>
      <c r="AB88" s="1162"/>
      <c r="AC88" s="1163"/>
      <c r="AE88" s="1181"/>
      <c r="AF88" s="1197" t="s">
        <v>722</v>
      </c>
      <c r="AG88" s="1184" t="s">
        <v>723</v>
      </c>
      <c r="AH88" s="1178"/>
      <c r="AI88" s="1162"/>
      <c r="AJ88" s="1163"/>
      <c r="AK88" s="1162"/>
      <c r="AL88" s="1163"/>
      <c r="AM88" s="1162"/>
      <c r="AN88" s="1163"/>
      <c r="AO88" s="1162"/>
      <c r="AP88" s="1163"/>
      <c r="AQ88" s="1162"/>
      <c r="AR88" s="1163"/>
    </row>
    <row r="89" spans="1:44" ht="33" outlineLevel="1" thickBot="1">
      <c r="B89" s="371" t="s">
        <v>651</v>
      </c>
      <c r="C89" s="372">
        <v>15</v>
      </c>
      <c r="D89" s="372">
        <v>15</v>
      </c>
      <c r="E89" s="372">
        <v>15</v>
      </c>
      <c r="F89" s="372">
        <v>15</v>
      </c>
      <c r="G89" s="372">
        <v>10</v>
      </c>
      <c r="H89" s="372">
        <v>60</v>
      </c>
      <c r="I89" s="372">
        <v>10</v>
      </c>
      <c r="J89" s="372">
        <v>60</v>
      </c>
      <c r="K89" s="372" t="s">
        <v>6</v>
      </c>
      <c r="L89" s="373"/>
      <c r="M89" s="370"/>
      <c r="N89" s="370"/>
      <c r="O89" s="74"/>
      <c r="P89" s="1182"/>
      <c r="Q89" s="1179"/>
      <c r="R89" s="1185"/>
      <c r="S89" s="1179"/>
      <c r="T89" s="374" t="s">
        <v>726</v>
      </c>
      <c r="U89" s="375" t="s">
        <v>727</v>
      </c>
      <c r="V89" s="374" t="s">
        <v>726</v>
      </c>
      <c r="W89" s="375" t="s">
        <v>727</v>
      </c>
      <c r="X89" s="374" t="s">
        <v>726</v>
      </c>
      <c r="Y89" s="375" t="s">
        <v>727</v>
      </c>
      <c r="Z89" s="374" t="s">
        <v>726</v>
      </c>
      <c r="AA89" s="375" t="s">
        <v>727</v>
      </c>
      <c r="AB89" s="374" t="s">
        <v>726</v>
      </c>
      <c r="AC89" s="375" t="s">
        <v>727</v>
      </c>
      <c r="AE89" s="1182"/>
      <c r="AF89" s="1198"/>
      <c r="AG89" s="1185"/>
      <c r="AH89" s="1179"/>
      <c r="AI89" s="374" t="s">
        <v>726</v>
      </c>
      <c r="AJ89" s="375" t="s">
        <v>727</v>
      </c>
      <c r="AK89" s="374" t="s">
        <v>726</v>
      </c>
      <c r="AL89" s="375" t="s">
        <v>727</v>
      </c>
      <c r="AM89" s="374" t="s">
        <v>726</v>
      </c>
      <c r="AN89" s="375" t="s">
        <v>727</v>
      </c>
      <c r="AO89" s="374" t="s">
        <v>726</v>
      </c>
      <c r="AP89" s="375" t="s">
        <v>727</v>
      </c>
      <c r="AQ89" s="374" t="s">
        <v>726</v>
      </c>
      <c r="AR89" s="375" t="s">
        <v>727</v>
      </c>
    </row>
    <row r="90" spans="1:44" ht="15" customHeight="1" outlineLevel="1">
      <c r="B90" s="500" t="s">
        <v>728</v>
      </c>
      <c r="C90" s="501">
        <v>99</v>
      </c>
      <c r="D90" s="501">
        <v>99</v>
      </c>
      <c r="E90" s="502">
        <v>99</v>
      </c>
      <c r="F90" s="501">
        <v>99</v>
      </c>
      <c r="G90" s="501">
        <v>98</v>
      </c>
      <c r="H90" s="501">
        <v>100</v>
      </c>
      <c r="I90" s="501">
        <v>98</v>
      </c>
      <c r="J90" s="501">
        <v>100</v>
      </c>
      <c r="K90" s="503"/>
      <c r="L90" s="504" t="s">
        <v>961</v>
      </c>
      <c r="M90" s="370"/>
      <c r="N90" s="370"/>
      <c r="P90" s="1199" t="str">
        <f>C86</f>
        <v>Electric boiler, 10 kV, hot water</v>
      </c>
      <c r="Q90" s="1154" t="s">
        <v>730</v>
      </c>
      <c r="R90" s="381" t="s">
        <v>731</v>
      </c>
      <c r="S90" s="382" t="s">
        <v>842</v>
      </c>
      <c r="T90" s="1137">
        <v>0</v>
      </c>
      <c r="U90" s="1151">
        <v>0</v>
      </c>
      <c r="V90" s="1157">
        <v>0</v>
      </c>
      <c r="W90" s="1151">
        <v>0</v>
      </c>
      <c r="X90" s="1157">
        <v>0</v>
      </c>
      <c r="Y90" s="1151">
        <v>0</v>
      </c>
      <c r="Z90" s="1157">
        <v>0</v>
      </c>
      <c r="AA90" s="1151">
        <v>0</v>
      </c>
      <c r="AB90" s="1157">
        <v>0</v>
      </c>
      <c r="AC90" s="1151">
        <v>0</v>
      </c>
      <c r="AE90" s="1148" t="str">
        <f>P90</f>
        <v>Electric boiler, 10 kV, hot water</v>
      </c>
      <c r="AF90" s="1154" t="s">
        <v>730</v>
      </c>
      <c r="AG90" s="381" t="s">
        <v>731</v>
      </c>
      <c r="AH90" s="382" t="str">
        <f t="shared" ref="AH90:AR91" si="5">S90</f>
        <v/>
      </c>
      <c r="AI90" s="1137">
        <f t="shared" si="5"/>
        <v>0</v>
      </c>
      <c r="AJ90" s="1151">
        <f t="shared" si="5"/>
        <v>0</v>
      </c>
      <c r="AK90" s="1157">
        <f t="shared" si="5"/>
        <v>0</v>
      </c>
      <c r="AL90" s="1151">
        <f t="shared" si="5"/>
        <v>0</v>
      </c>
      <c r="AM90" s="1157">
        <f t="shared" si="5"/>
        <v>0</v>
      </c>
      <c r="AN90" s="1151">
        <f t="shared" si="5"/>
        <v>0</v>
      </c>
      <c r="AO90" s="1157">
        <f t="shared" si="5"/>
        <v>0</v>
      </c>
      <c r="AP90" s="1151">
        <f t="shared" si="5"/>
        <v>0</v>
      </c>
      <c r="AQ90" s="1157">
        <f t="shared" si="5"/>
        <v>0</v>
      </c>
      <c r="AR90" s="1151">
        <f t="shared" si="5"/>
        <v>0</v>
      </c>
    </row>
    <row r="91" spans="1:44" outlineLevel="1">
      <c r="B91" s="383" t="s">
        <v>732</v>
      </c>
      <c r="C91" s="577">
        <v>99</v>
      </c>
      <c r="D91" s="577">
        <v>99</v>
      </c>
      <c r="E91" s="577">
        <v>99</v>
      </c>
      <c r="F91" s="577">
        <v>99</v>
      </c>
      <c r="G91" s="576">
        <v>98</v>
      </c>
      <c r="H91" s="576">
        <v>99</v>
      </c>
      <c r="I91" s="576">
        <v>98</v>
      </c>
      <c r="J91" s="576">
        <v>99</v>
      </c>
      <c r="K91" s="372"/>
      <c r="L91" s="373" t="s">
        <v>961</v>
      </c>
      <c r="M91" s="370"/>
      <c r="N91" s="370"/>
      <c r="O91" s="71"/>
      <c r="P91" s="1195"/>
      <c r="Q91" s="1155"/>
      <c r="R91" s="388" t="s">
        <v>733</v>
      </c>
      <c r="S91" s="389" t="s">
        <v>842</v>
      </c>
      <c r="T91" s="1140"/>
      <c r="U91" s="1152"/>
      <c r="V91" s="1158"/>
      <c r="W91" s="1152"/>
      <c r="X91" s="1158"/>
      <c r="Y91" s="1152"/>
      <c r="Z91" s="1158"/>
      <c r="AA91" s="1152"/>
      <c r="AB91" s="1158"/>
      <c r="AC91" s="1152"/>
      <c r="AE91" s="1195"/>
      <c r="AF91" s="1155"/>
      <c r="AG91" s="388" t="s">
        <v>733</v>
      </c>
      <c r="AH91" s="389" t="str">
        <f t="shared" si="5"/>
        <v/>
      </c>
      <c r="AI91" s="1140"/>
      <c r="AJ91" s="1152"/>
      <c r="AK91" s="1158"/>
      <c r="AL91" s="1152"/>
      <c r="AM91" s="1158"/>
      <c r="AN91" s="1152"/>
      <c r="AO91" s="1158"/>
      <c r="AP91" s="1152"/>
      <c r="AQ91" s="1158"/>
      <c r="AR91" s="1152"/>
    </row>
    <row r="92" spans="1:44" ht="16" outlineLevel="1" thickBot="1">
      <c r="B92" s="500" t="s">
        <v>734</v>
      </c>
      <c r="C92" s="506">
        <v>0.5</v>
      </c>
      <c r="D92" s="507">
        <v>0.5</v>
      </c>
      <c r="E92" s="507">
        <v>0.5</v>
      </c>
      <c r="F92" s="508">
        <v>0.5</v>
      </c>
      <c r="G92" s="507">
        <v>0.1</v>
      </c>
      <c r="H92" s="507">
        <v>0.5</v>
      </c>
      <c r="I92" s="507">
        <v>0.1</v>
      </c>
      <c r="J92" s="507">
        <v>0.5</v>
      </c>
      <c r="K92" s="503"/>
      <c r="L92" s="504" t="s">
        <v>961</v>
      </c>
      <c r="M92" s="370"/>
      <c r="N92" s="370"/>
      <c r="O92" s="71"/>
      <c r="P92" s="1195"/>
      <c r="Q92" s="1156"/>
      <c r="R92" s="393" t="s">
        <v>735</v>
      </c>
      <c r="S92" s="394"/>
      <c r="T92" s="1141"/>
      <c r="U92" s="1153"/>
      <c r="V92" s="1159"/>
      <c r="W92" s="1153"/>
      <c r="X92" s="1159"/>
      <c r="Y92" s="1153"/>
      <c r="Z92" s="1159"/>
      <c r="AA92" s="1153"/>
      <c r="AB92" s="1159"/>
      <c r="AC92" s="1153"/>
      <c r="AE92" s="1195"/>
      <c r="AF92" s="1156"/>
      <c r="AG92" s="393" t="s">
        <v>735</v>
      </c>
      <c r="AH92" s="394"/>
      <c r="AI92" s="1141"/>
      <c r="AJ92" s="1153"/>
      <c r="AK92" s="1159"/>
      <c r="AL92" s="1153"/>
      <c r="AM92" s="1159"/>
      <c r="AN92" s="1153"/>
      <c r="AO92" s="1159"/>
      <c r="AP92" s="1153"/>
      <c r="AQ92" s="1159"/>
      <c r="AR92" s="1153"/>
    </row>
    <row r="93" spans="1:44" ht="15" customHeight="1" outlineLevel="1">
      <c r="B93" s="500" t="s">
        <v>657</v>
      </c>
      <c r="C93" s="506">
        <v>1</v>
      </c>
      <c r="D93" s="506">
        <v>1</v>
      </c>
      <c r="E93" s="506">
        <v>1</v>
      </c>
      <c r="F93" s="506">
        <v>1</v>
      </c>
      <c r="G93" s="506">
        <v>0.5</v>
      </c>
      <c r="H93" s="506">
        <v>1</v>
      </c>
      <c r="I93" s="506">
        <v>0.5</v>
      </c>
      <c r="J93" s="506">
        <v>1</v>
      </c>
      <c r="K93" s="503"/>
      <c r="L93" s="504" t="s">
        <v>961</v>
      </c>
      <c r="M93" s="370"/>
      <c r="N93" s="370"/>
      <c r="O93" s="71"/>
      <c r="P93" s="1195"/>
      <c r="Q93" s="1154" t="s">
        <v>736</v>
      </c>
      <c r="R93" s="395" t="s">
        <v>737</v>
      </c>
      <c r="S93" s="396" t="s">
        <v>738</v>
      </c>
      <c r="T93" s="1137">
        <v>0</v>
      </c>
      <c r="U93" s="1137">
        <v>0.67</v>
      </c>
      <c r="V93" s="1137">
        <v>0</v>
      </c>
      <c r="W93" s="1137">
        <v>0.56999999999999995</v>
      </c>
      <c r="X93" s="1137">
        <v>0</v>
      </c>
      <c r="Y93" s="1137">
        <v>0.5</v>
      </c>
      <c r="Z93" s="1137">
        <v>0</v>
      </c>
      <c r="AA93" s="1137">
        <v>0.51</v>
      </c>
      <c r="AB93" s="1137">
        <v>0</v>
      </c>
      <c r="AC93" s="1151">
        <v>0.41</v>
      </c>
      <c r="AE93" s="1195"/>
      <c r="AF93" s="1154" t="s">
        <v>736</v>
      </c>
      <c r="AG93" s="395" t="s">
        <v>737</v>
      </c>
      <c r="AH93" s="396" t="str">
        <f>S93</f>
        <v>x</v>
      </c>
      <c r="AI93" s="1137">
        <f>T93</f>
        <v>0</v>
      </c>
      <c r="AJ93" s="1137">
        <f>U93/4</f>
        <v>0.16750000000000001</v>
      </c>
      <c r="AK93" s="1137">
        <f>V93</f>
        <v>0</v>
      </c>
      <c r="AL93" s="1137">
        <f>W93/4</f>
        <v>0.14249999999999999</v>
      </c>
      <c r="AM93" s="1137">
        <f>X93</f>
        <v>0</v>
      </c>
      <c r="AN93" s="1137">
        <f>Y93/4</f>
        <v>0.125</v>
      </c>
      <c r="AO93" s="1137">
        <f>Z93</f>
        <v>0</v>
      </c>
      <c r="AP93" s="1137">
        <f>AA93/4</f>
        <v>0.1275</v>
      </c>
      <c r="AQ93" s="1137">
        <f>AB93</f>
        <v>0</v>
      </c>
      <c r="AR93" s="1151">
        <f>AC93/4</f>
        <v>0.10249999999999999</v>
      </c>
    </row>
    <row r="94" spans="1:44" outlineLevel="1">
      <c r="B94" s="500" t="s">
        <v>658</v>
      </c>
      <c r="C94" s="506">
        <v>0.2</v>
      </c>
      <c r="D94" s="506">
        <v>0.2</v>
      </c>
      <c r="E94" s="506">
        <v>0.2</v>
      </c>
      <c r="F94" s="506">
        <v>0.2</v>
      </c>
      <c r="G94" s="506">
        <v>0.2</v>
      </c>
      <c r="H94" s="506">
        <v>0.2</v>
      </c>
      <c r="I94" s="506">
        <v>0.2</v>
      </c>
      <c r="J94" s="506">
        <v>0.2</v>
      </c>
      <c r="K94" s="503"/>
      <c r="L94" s="504">
        <v>1</v>
      </c>
      <c r="M94" s="367"/>
      <c r="N94" s="367"/>
      <c r="O94" s="71"/>
      <c r="P94" s="1195"/>
      <c r="Q94" s="1155"/>
      <c r="R94" s="395" t="s">
        <v>739</v>
      </c>
      <c r="S94" s="396" t="s">
        <v>738</v>
      </c>
      <c r="T94" s="1191"/>
      <c r="U94" s="1191"/>
      <c r="V94" s="1191"/>
      <c r="W94" s="1191"/>
      <c r="X94" s="1191"/>
      <c r="Y94" s="1191"/>
      <c r="Z94" s="1191"/>
      <c r="AA94" s="1191"/>
      <c r="AB94" s="1191"/>
      <c r="AC94" s="1193"/>
      <c r="AE94" s="1195"/>
      <c r="AF94" s="1155"/>
      <c r="AG94" s="395" t="s">
        <v>739</v>
      </c>
      <c r="AH94" s="396" t="str">
        <f>S94</f>
        <v>x</v>
      </c>
      <c r="AI94" s="1191"/>
      <c r="AJ94" s="1191"/>
      <c r="AK94" s="1191"/>
      <c r="AL94" s="1191"/>
      <c r="AM94" s="1191"/>
      <c r="AN94" s="1191"/>
      <c r="AO94" s="1191"/>
      <c r="AP94" s="1191"/>
      <c r="AQ94" s="1191"/>
      <c r="AR94" s="1193"/>
    </row>
    <row r="95" spans="1:44" outlineLevel="1">
      <c r="B95" s="383" t="s">
        <v>11</v>
      </c>
      <c r="C95" s="397">
        <v>25</v>
      </c>
      <c r="D95" s="397">
        <v>25</v>
      </c>
      <c r="E95" s="397">
        <v>25</v>
      </c>
      <c r="F95" s="397">
        <v>25</v>
      </c>
      <c r="G95" s="399">
        <v>20</v>
      </c>
      <c r="H95" s="399">
        <v>25</v>
      </c>
      <c r="I95" s="399">
        <v>20</v>
      </c>
      <c r="J95" s="399">
        <v>25</v>
      </c>
      <c r="K95" s="372"/>
      <c r="L95" s="373">
        <v>2</v>
      </c>
      <c r="M95" s="363"/>
      <c r="N95" s="363"/>
      <c r="P95" s="1195"/>
      <c r="Q95" s="1155"/>
      <c r="R95" s="395" t="s">
        <v>741</v>
      </c>
      <c r="S95" s="396" t="s">
        <v>738</v>
      </c>
      <c r="T95" s="1191"/>
      <c r="U95" s="1191"/>
      <c r="V95" s="1191"/>
      <c r="W95" s="1191"/>
      <c r="X95" s="1191"/>
      <c r="Y95" s="1191"/>
      <c r="Z95" s="1191"/>
      <c r="AA95" s="1191"/>
      <c r="AB95" s="1191"/>
      <c r="AC95" s="1193"/>
      <c r="AE95" s="1195"/>
      <c r="AF95" s="1155"/>
      <c r="AG95" s="395" t="s">
        <v>741</v>
      </c>
      <c r="AH95" s="629" t="str">
        <f>S95</f>
        <v>x</v>
      </c>
      <c r="AI95" s="1191"/>
      <c r="AJ95" s="1191"/>
      <c r="AK95" s="1191"/>
      <c r="AL95" s="1191"/>
      <c r="AM95" s="1191"/>
      <c r="AN95" s="1191"/>
      <c r="AO95" s="1191"/>
      <c r="AP95" s="1191"/>
      <c r="AQ95" s="1191"/>
      <c r="AR95" s="1193"/>
    </row>
    <row r="96" spans="1:44" ht="16" outlineLevel="1" thickBot="1">
      <c r="B96" s="500" t="s">
        <v>273</v>
      </c>
      <c r="C96" s="506">
        <v>0.5</v>
      </c>
      <c r="D96" s="506">
        <v>0.5</v>
      </c>
      <c r="E96" s="506">
        <v>0.5</v>
      </c>
      <c r="F96" s="506">
        <v>0.5</v>
      </c>
      <c r="G96" s="506">
        <v>0.5</v>
      </c>
      <c r="H96" s="506">
        <v>1</v>
      </c>
      <c r="I96" s="506">
        <v>0.5</v>
      </c>
      <c r="J96" s="506">
        <v>1</v>
      </c>
      <c r="K96" s="372"/>
      <c r="L96" s="400">
        <v>1</v>
      </c>
      <c r="M96" s="363"/>
      <c r="N96" s="363"/>
      <c r="P96" s="1195"/>
      <c r="Q96" s="1155"/>
      <c r="R96" s="395" t="s">
        <v>742</v>
      </c>
      <c r="S96" s="396" t="s">
        <v>738</v>
      </c>
      <c r="T96" s="1191"/>
      <c r="U96" s="1191"/>
      <c r="V96" s="1191"/>
      <c r="W96" s="1191"/>
      <c r="X96" s="1191"/>
      <c r="Y96" s="1191"/>
      <c r="Z96" s="1191"/>
      <c r="AA96" s="1191"/>
      <c r="AB96" s="1191"/>
      <c r="AC96" s="1193"/>
      <c r="AE96" s="1195"/>
      <c r="AF96" s="1155"/>
      <c r="AG96" s="395" t="s">
        <v>742</v>
      </c>
      <c r="AH96" s="396" t="str">
        <f>S96</f>
        <v>x</v>
      </c>
      <c r="AI96" s="1191"/>
      <c r="AJ96" s="1191"/>
      <c r="AK96" s="1191"/>
      <c r="AL96" s="1191"/>
      <c r="AM96" s="1191"/>
      <c r="AN96" s="1191"/>
      <c r="AO96" s="1191"/>
      <c r="AP96" s="1191"/>
      <c r="AQ96" s="1191"/>
      <c r="AR96" s="1193"/>
    </row>
    <row r="97" spans="1:44" ht="16" outlineLevel="1" thickBot="1">
      <c r="B97" s="401" t="s">
        <v>743</v>
      </c>
      <c r="C97" s="402"/>
      <c r="D97" s="403"/>
      <c r="E97" s="404"/>
      <c r="F97" s="405"/>
      <c r="G97" s="406"/>
      <c r="H97" s="406"/>
      <c r="I97" s="406"/>
      <c r="J97" s="406"/>
      <c r="K97" s="407"/>
      <c r="L97" s="408"/>
      <c r="M97" s="363"/>
      <c r="N97" s="363"/>
      <c r="P97" s="1195"/>
      <c r="Q97" s="1156"/>
      <c r="R97" s="409" t="s">
        <v>863</v>
      </c>
      <c r="S97" s="410" t="s">
        <v>738</v>
      </c>
      <c r="T97" s="1192"/>
      <c r="U97" s="1192"/>
      <c r="V97" s="1192"/>
      <c r="W97" s="1192"/>
      <c r="X97" s="1192"/>
      <c r="Y97" s="1192"/>
      <c r="Z97" s="1192"/>
      <c r="AA97" s="1192"/>
      <c r="AB97" s="1192"/>
      <c r="AC97" s="1194"/>
      <c r="AE97" s="1195"/>
      <c r="AF97" s="1156"/>
      <c r="AG97" s="409" t="s">
        <v>863</v>
      </c>
      <c r="AH97" s="410" t="str">
        <f>S97</f>
        <v>x</v>
      </c>
      <c r="AI97" s="1192"/>
      <c r="AJ97" s="1192"/>
      <c r="AK97" s="1192"/>
      <c r="AL97" s="1192"/>
      <c r="AM97" s="1192"/>
      <c r="AN97" s="1192"/>
      <c r="AO97" s="1192"/>
      <c r="AP97" s="1192"/>
      <c r="AQ97" s="1192"/>
      <c r="AR97" s="1194"/>
    </row>
    <row r="98" spans="1:44" ht="33" outlineLevel="1" thickBot="1">
      <c r="B98" s="500" t="s">
        <v>663</v>
      </c>
      <c r="C98" s="506">
        <v>5</v>
      </c>
      <c r="D98" s="506">
        <v>5</v>
      </c>
      <c r="E98" s="506">
        <v>5</v>
      </c>
      <c r="F98" s="506">
        <v>5</v>
      </c>
      <c r="G98" s="507"/>
      <c r="H98" s="507"/>
      <c r="I98" s="507"/>
      <c r="J98" s="507"/>
      <c r="K98" s="503"/>
      <c r="L98" s="504">
        <v>1</v>
      </c>
      <c r="M98" s="363"/>
      <c r="N98" s="363"/>
      <c r="P98" s="1196"/>
      <c r="Q98" s="411" t="s">
        <v>745</v>
      </c>
      <c r="R98" s="412" t="s">
        <v>746</v>
      </c>
      <c r="S98" s="630" t="s">
        <v>738</v>
      </c>
      <c r="T98" s="416">
        <v>1</v>
      </c>
      <c r="U98" s="415">
        <v>1</v>
      </c>
      <c r="V98" s="416">
        <v>1</v>
      </c>
      <c r="W98" s="415">
        <v>1</v>
      </c>
      <c r="X98" s="416">
        <v>1</v>
      </c>
      <c r="Y98" s="415">
        <v>1</v>
      </c>
      <c r="Z98" s="416">
        <v>1</v>
      </c>
      <c r="AA98" s="415">
        <v>1</v>
      </c>
      <c r="AB98" s="416">
        <v>1</v>
      </c>
      <c r="AC98" s="417">
        <v>1</v>
      </c>
      <c r="AE98" s="1196"/>
      <c r="AF98" s="411" t="s">
        <v>745</v>
      </c>
      <c r="AG98" s="631" t="s">
        <v>746</v>
      </c>
      <c r="AH98" s="632" t="s">
        <v>738</v>
      </c>
      <c r="AI98" s="416">
        <v>1</v>
      </c>
      <c r="AJ98" s="415">
        <v>1</v>
      </c>
      <c r="AK98" s="416">
        <v>1</v>
      </c>
      <c r="AL98" s="415">
        <v>1</v>
      </c>
      <c r="AM98" s="416">
        <v>1</v>
      </c>
      <c r="AN98" s="415">
        <v>1</v>
      </c>
      <c r="AO98" s="416">
        <v>1</v>
      </c>
      <c r="AP98" s="415">
        <v>1</v>
      </c>
      <c r="AQ98" s="416">
        <v>1</v>
      </c>
      <c r="AR98" s="417">
        <v>1</v>
      </c>
    </row>
    <row r="99" spans="1:44" outlineLevel="1">
      <c r="B99" s="500" t="s">
        <v>664</v>
      </c>
      <c r="C99" s="506">
        <v>8.0000000000000002E-3</v>
      </c>
      <c r="D99" s="506">
        <v>8.0000000000000002E-3</v>
      </c>
      <c r="E99" s="506">
        <v>8.0000000000000002E-3</v>
      </c>
      <c r="F99" s="506">
        <v>8.0000000000000002E-3</v>
      </c>
      <c r="G99" s="509"/>
      <c r="H99" s="509"/>
      <c r="I99" s="509"/>
      <c r="J99" s="509"/>
      <c r="K99" s="510"/>
      <c r="L99" s="504">
        <v>1</v>
      </c>
      <c r="M99" s="363"/>
      <c r="N99" s="363"/>
    </row>
    <row r="100" spans="1:44" outlineLevel="1">
      <c r="B100" s="500" t="s">
        <v>666</v>
      </c>
      <c r="C100" s="506">
        <v>0.08</v>
      </c>
      <c r="D100" s="506">
        <v>0.08</v>
      </c>
      <c r="E100" s="506">
        <v>0.08</v>
      </c>
      <c r="F100" s="506">
        <v>0.08</v>
      </c>
      <c r="G100" s="509"/>
      <c r="H100" s="509"/>
      <c r="I100" s="509"/>
      <c r="J100" s="509"/>
      <c r="K100" s="510"/>
      <c r="L100" s="504">
        <v>1</v>
      </c>
      <c r="M100" s="420"/>
      <c r="N100" s="363"/>
    </row>
    <row r="101" spans="1:44" outlineLevel="1">
      <c r="B101" s="421" t="s">
        <v>12</v>
      </c>
      <c r="C101" s="399"/>
      <c r="D101" s="399"/>
      <c r="E101" s="399"/>
      <c r="F101" s="399"/>
      <c r="G101" s="422"/>
      <c r="H101" s="422"/>
      <c r="I101" s="422"/>
      <c r="J101" s="422"/>
      <c r="K101" s="423"/>
      <c r="L101" s="424"/>
      <c r="M101" s="420"/>
      <c r="N101" s="420"/>
    </row>
    <row r="102" spans="1:44" ht="42" outlineLevel="1">
      <c r="B102" s="383" t="s">
        <v>843</v>
      </c>
      <c r="C102" s="397" t="s">
        <v>669</v>
      </c>
      <c r="D102" s="397"/>
      <c r="E102" s="397"/>
      <c r="F102" s="397"/>
      <c r="G102" s="422"/>
      <c r="H102" s="425"/>
      <c r="I102" s="425"/>
      <c r="J102" s="425"/>
      <c r="K102" s="426"/>
      <c r="L102" s="427"/>
      <c r="M102" s="428"/>
      <c r="N102" s="428"/>
    </row>
    <row r="103" spans="1:44" outlineLevel="1">
      <c r="B103" s="383" t="s">
        <v>749</v>
      </c>
      <c r="C103" s="397"/>
      <c r="D103" s="397"/>
      <c r="E103" s="397"/>
      <c r="F103" s="397"/>
      <c r="G103" s="425"/>
      <c r="H103" s="425"/>
      <c r="I103" s="425"/>
      <c r="J103" s="425"/>
      <c r="K103" s="423"/>
      <c r="L103" s="427"/>
      <c r="M103" s="428"/>
      <c r="N103" s="428"/>
    </row>
    <row r="104" spans="1:44" outlineLevel="1">
      <c r="B104" s="383" t="s">
        <v>844</v>
      </c>
      <c r="C104" s="397"/>
      <c r="D104" s="397"/>
      <c r="E104" s="397"/>
      <c r="F104" s="397"/>
      <c r="G104" s="425"/>
      <c r="H104" s="425"/>
      <c r="I104" s="425"/>
      <c r="J104" s="425"/>
      <c r="K104" s="423"/>
      <c r="L104" s="427"/>
      <c r="M104" s="428"/>
      <c r="N104" s="428"/>
    </row>
    <row r="105" spans="1:44" outlineLevel="1">
      <c r="B105" s="383" t="s">
        <v>366</v>
      </c>
      <c r="C105" s="397"/>
      <c r="D105" s="397"/>
      <c r="E105" s="397"/>
      <c r="F105" s="397"/>
      <c r="G105" s="425"/>
      <c r="H105" s="425"/>
      <c r="I105" s="425"/>
      <c r="J105" s="425"/>
      <c r="K105" s="423"/>
      <c r="L105" s="427"/>
      <c r="M105" s="428"/>
      <c r="N105" s="428"/>
    </row>
    <row r="106" spans="1:44" ht="16" outlineLevel="1" thickBot="1">
      <c r="B106" s="429" t="s">
        <v>367</v>
      </c>
      <c r="C106" s="430"/>
      <c r="D106" s="430"/>
      <c r="E106" s="430"/>
      <c r="F106" s="430"/>
      <c r="G106" s="425"/>
      <c r="H106" s="425"/>
      <c r="I106" s="425"/>
      <c r="J106" s="425"/>
      <c r="K106" s="423"/>
      <c r="L106" s="427"/>
      <c r="M106" s="428"/>
      <c r="N106" s="428"/>
    </row>
    <row r="107" spans="1:44" ht="16" outlineLevel="1" thickBot="1">
      <c r="B107" s="431" t="s">
        <v>674</v>
      </c>
      <c r="C107" s="432"/>
      <c r="D107" s="403"/>
      <c r="E107" s="403"/>
      <c r="F107" s="433"/>
      <c r="G107" s="434"/>
      <c r="H107" s="406"/>
      <c r="I107" s="406"/>
      <c r="J107" s="406"/>
      <c r="K107" s="407"/>
      <c r="L107" s="408"/>
      <c r="M107" s="428"/>
      <c r="N107" s="428"/>
    </row>
    <row r="108" spans="1:44" ht="14.5" customHeight="1" outlineLevel="1">
      <c r="A108" s="435"/>
      <c r="B108" s="436" t="s">
        <v>910</v>
      </c>
      <c r="C108" s="511">
        <v>7.0000000000000007E-2</v>
      </c>
      <c r="D108" s="512">
        <v>0.06</v>
      </c>
      <c r="E108" s="512">
        <v>0.06</v>
      </c>
      <c r="F108" s="513">
        <v>0.06</v>
      </c>
      <c r="G108" s="425"/>
      <c r="H108" s="425"/>
      <c r="I108" s="425"/>
      <c r="J108" s="425"/>
      <c r="K108" s="426" t="s">
        <v>838</v>
      </c>
      <c r="L108" s="440" t="s">
        <v>961</v>
      </c>
      <c r="M108" s="420"/>
      <c r="N108" s="420"/>
    </row>
    <row r="109" spans="1:44" outlineLevel="1">
      <c r="B109" s="441" t="s">
        <v>839</v>
      </c>
      <c r="C109" s="442">
        <v>85</v>
      </c>
      <c r="D109" s="442">
        <v>85</v>
      </c>
      <c r="E109" s="442">
        <v>85</v>
      </c>
      <c r="F109" s="442">
        <v>85</v>
      </c>
      <c r="G109" s="425"/>
      <c r="H109" s="425"/>
      <c r="I109" s="425"/>
      <c r="J109" s="425"/>
      <c r="K109" s="444"/>
      <c r="L109" s="373">
        <v>1</v>
      </c>
      <c r="M109" s="71"/>
      <c r="N109" s="420"/>
    </row>
    <row r="110" spans="1:44" outlineLevel="1">
      <c r="B110" s="441" t="s">
        <v>840</v>
      </c>
      <c r="C110" s="442">
        <v>15</v>
      </c>
      <c r="D110" s="442">
        <v>15</v>
      </c>
      <c r="E110" s="442">
        <v>15</v>
      </c>
      <c r="F110" s="442">
        <v>15</v>
      </c>
      <c r="G110" s="425"/>
      <c r="H110" s="425"/>
      <c r="I110" s="425"/>
      <c r="J110" s="425"/>
      <c r="K110" s="444"/>
      <c r="L110" s="373">
        <v>1</v>
      </c>
      <c r="M110" s="420"/>
      <c r="N110" s="420"/>
    </row>
    <row r="111" spans="1:44" outlineLevel="1">
      <c r="B111" s="383" t="s">
        <v>841</v>
      </c>
      <c r="C111" s="445">
        <v>1070</v>
      </c>
      <c r="D111" s="446">
        <v>1020</v>
      </c>
      <c r="E111" s="446">
        <v>970</v>
      </c>
      <c r="F111" s="447">
        <v>920</v>
      </c>
      <c r="G111" s="425"/>
      <c r="H111" s="425"/>
      <c r="I111" s="425"/>
      <c r="J111" s="425"/>
      <c r="K111" s="448"/>
      <c r="L111" s="373">
        <v>1</v>
      </c>
      <c r="M111" s="420"/>
      <c r="N111" s="420"/>
    </row>
    <row r="112" spans="1:44" outlineLevel="1">
      <c r="B112" s="383" t="s">
        <v>679</v>
      </c>
      <c r="C112" s="449">
        <f>C113+C114</f>
        <v>0.86499999999999999</v>
      </c>
      <c r="D112" s="449">
        <f t="shared" ref="D112:F112" si="6">D113+D114</f>
        <v>0.875</v>
      </c>
      <c r="E112" s="449">
        <f t="shared" si="6"/>
        <v>0.78</v>
      </c>
      <c r="F112" s="449">
        <f t="shared" si="6"/>
        <v>0.78</v>
      </c>
      <c r="G112" s="425"/>
      <c r="H112" s="425"/>
      <c r="I112" s="425"/>
      <c r="J112" s="425"/>
      <c r="K112" s="448"/>
      <c r="L112" s="373"/>
      <c r="M112" s="450"/>
      <c r="N112" s="361"/>
      <c r="P112" s="1142">
        <f>C112</f>
        <v>0.86499999999999999</v>
      </c>
      <c r="Q112" s="1143"/>
      <c r="R112" s="1143"/>
      <c r="S112" s="1143"/>
      <c r="T112" s="1143"/>
      <c r="U112" s="1144"/>
    </row>
    <row r="113" spans="2:30" ht="16" outlineLevel="1" thickBot="1">
      <c r="B113" s="500" t="s">
        <v>758</v>
      </c>
      <c r="C113" s="514">
        <f>C92/100*73</f>
        <v>0.36499999999999999</v>
      </c>
      <c r="D113" s="514">
        <f>D92/100*75</f>
        <v>0.375</v>
      </c>
      <c r="E113" s="514">
        <f>E92/100*76</f>
        <v>0.38</v>
      </c>
      <c r="F113" s="514">
        <f>F92/100*76</f>
        <v>0.38</v>
      </c>
      <c r="G113" s="515"/>
      <c r="H113" s="515"/>
      <c r="I113" s="515"/>
      <c r="J113" s="515"/>
      <c r="K113" s="503" t="s">
        <v>20</v>
      </c>
      <c r="L113" s="504"/>
      <c r="M113" s="450"/>
      <c r="N113" s="361"/>
      <c r="P113" s="1134">
        <f>C113</f>
        <v>0.36499999999999999</v>
      </c>
      <c r="Q113" s="1135"/>
      <c r="R113" s="1135"/>
      <c r="S113" s="1135"/>
      <c r="T113" s="1135"/>
      <c r="U113" s="1136"/>
    </row>
    <row r="114" spans="2:30" outlineLevel="1">
      <c r="B114" s="500" t="s">
        <v>759</v>
      </c>
      <c r="C114" s="680">
        <v>0.5</v>
      </c>
      <c r="D114" s="680">
        <v>0.5</v>
      </c>
      <c r="E114" s="680">
        <v>0.4</v>
      </c>
      <c r="F114" s="680">
        <v>0.4</v>
      </c>
      <c r="G114" s="515"/>
      <c r="H114" s="515"/>
      <c r="I114" s="515"/>
      <c r="J114" s="515"/>
      <c r="K114" s="517"/>
      <c r="L114" s="504">
        <v>1</v>
      </c>
      <c r="M114" s="363"/>
      <c r="N114" s="363"/>
      <c r="P114" s="53" t="s">
        <v>357</v>
      </c>
    </row>
    <row r="115" spans="2:30" ht="30" outlineLevel="1">
      <c r="B115" s="441"/>
      <c r="C115" s="681"/>
      <c r="D115" s="681"/>
      <c r="E115" s="681"/>
      <c r="F115" s="681"/>
      <c r="G115" s="425"/>
      <c r="H115" s="425"/>
      <c r="I115" s="425"/>
      <c r="J115" s="425"/>
      <c r="K115" s="444"/>
      <c r="L115" s="424"/>
      <c r="M115" s="367"/>
      <c r="N115" s="367"/>
      <c r="P115" s="46" t="s">
        <v>335</v>
      </c>
      <c r="Q115" s="46" t="s">
        <v>336</v>
      </c>
      <c r="R115" s="47" t="s">
        <v>337</v>
      </c>
      <c r="S115" s="47" t="s">
        <v>338</v>
      </c>
      <c r="T115" s="47" t="s">
        <v>339</v>
      </c>
      <c r="U115" s="48" t="s">
        <v>340</v>
      </c>
      <c r="V115" s="49" t="s">
        <v>341</v>
      </c>
      <c r="W115" s="49" t="s">
        <v>342</v>
      </c>
      <c r="X115" s="49" t="s">
        <v>343</v>
      </c>
      <c r="Y115" s="49" t="s">
        <v>344</v>
      </c>
      <c r="Z115" s="49" t="s">
        <v>345</v>
      </c>
      <c r="AA115" s="49" t="s">
        <v>346</v>
      </c>
      <c r="AB115" s="49" t="s">
        <v>347</v>
      </c>
      <c r="AC115" s="49" t="s">
        <v>348</v>
      </c>
      <c r="AD115" s="49" t="s">
        <v>349</v>
      </c>
    </row>
    <row r="116" spans="2:30" ht="27" outlineLevel="1" thickBot="1">
      <c r="B116" s="519"/>
      <c r="C116" s="442"/>
      <c r="D116" s="520"/>
      <c r="E116" s="520"/>
      <c r="F116" s="521"/>
      <c r="G116" s="425"/>
      <c r="H116" s="425"/>
      <c r="I116" s="425"/>
      <c r="J116" s="425"/>
      <c r="K116" s="448"/>
      <c r="L116" s="424"/>
      <c r="M116" s="363"/>
      <c r="N116" s="363"/>
      <c r="P116" s="50"/>
      <c r="Q116" s="50"/>
      <c r="R116" s="51"/>
      <c r="S116" s="51"/>
      <c r="T116" s="51"/>
      <c r="U116" s="51" t="s">
        <v>760</v>
      </c>
      <c r="V116" s="50" t="s">
        <v>761</v>
      </c>
      <c r="W116" s="50"/>
      <c r="X116" s="50"/>
      <c r="Y116" s="50"/>
      <c r="Z116" s="50"/>
      <c r="AA116" s="50"/>
      <c r="AB116" s="50"/>
      <c r="AC116" s="50"/>
      <c r="AD116" s="50"/>
    </row>
    <row r="117" spans="2:30" ht="33" outlineLevel="1" thickBot="1">
      <c r="B117" s="401" t="s">
        <v>682</v>
      </c>
      <c r="C117" s="402"/>
      <c r="D117" s="403"/>
      <c r="E117" s="404"/>
      <c r="F117" s="405"/>
      <c r="G117" s="406"/>
      <c r="H117" s="406"/>
      <c r="I117" s="406"/>
      <c r="J117" s="406"/>
      <c r="K117" s="459"/>
      <c r="L117" s="460"/>
      <c r="M117" s="363"/>
      <c r="N117" s="363"/>
      <c r="O117" s="461" t="s">
        <v>732</v>
      </c>
      <c r="P117" s="56"/>
      <c r="Q117" s="56"/>
      <c r="R117" s="57"/>
      <c r="S117" s="57"/>
      <c r="T117" s="57"/>
      <c r="U117" s="56" t="s">
        <v>350</v>
      </c>
      <c r="V117" s="56" t="s">
        <v>326</v>
      </c>
      <c r="W117" s="56" t="s">
        <v>327</v>
      </c>
      <c r="X117" s="56" t="s">
        <v>351</v>
      </c>
      <c r="Y117" s="56" t="s">
        <v>351</v>
      </c>
      <c r="Z117" s="56" t="s">
        <v>352</v>
      </c>
      <c r="AA117" s="56" t="s">
        <v>352</v>
      </c>
      <c r="AB117" s="56" t="s">
        <v>352</v>
      </c>
      <c r="AC117" s="56" t="s">
        <v>352</v>
      </c>
      <c r="AD117" s="56" t="s">
        <v>352</v>
      </c>
    </row>
    <row r="118" spans="2:30" outlineLevel="1">
      <c r="B118" s="522" t="s">
        <v>762</v>
      </c>
      <c r="C118" s="670">
        <f>C108*0.5</f>
        <v>3.5000000000000003E-2</v>
      </c>
      <c r="D118" s="670">
        <f t="shared" ref="D118:F118" si="7">D108*0.5</f>
        <v>0.03</v>
      </c>
      <c r="E118" s="670">
        <f t="shared" si="7"/>
        <v>0.03</v>
      </c>
      <c r="F118" s="670">
        <f t="shared" si="7"/>
        <v>0.03</v>
      </c>
      <c r="G118" s="671"/>
      <c r="H118" s="671"/>
      <c r="I118" s="671"/>
      <c r="J118" s="671"/>
      <c r="K118" s="671" t="s">
        <v>76</v>
      </c>
      <c r="L118" s="525"/>
      <c r="M118" s="363"/>
      <c r="N118" s="363"/>
      <c r="O118" s="465">
        <f>C91</f>
        <v>99</v>
      </c>
      <c r="P118" s="466">
        <f>C87</f>
        <v>2020</v>
      </c>
      <c r="Q118" s="58">
        <f>P118</f>
        <v>2020</v>
      </c>
      <c r="R118" s="466">
        <f>O118/100</f>
        <v>0.99</v>
      </c>
      <c r="S118" s="58"/>
      <c r="T118" s="466">
        <f>C95</f>
        <v>25</v>
      </c>
      <c r="U118" s="467">
        <f>C125</f>
        <v>521.50000000000011</v>
      </c>
      <c r="V118" s="467">
        <f>C127</f>
        <v>7.9714999999999998</v>
      </c>
      <c r="W118" s="467">
        <f>C128</f>
        <v>1.7900694444444445</v>
      </c>
      <c r="X118" s="58"/>
      <c r="Y118" s="58"/>
      <c r="Z118" s="466" t="str">
        <f>C102</f>
        <v>Cf. the utilized electricity</v>
      </c>
      <c r="AA118" s="468">
        <f>C104</f>
        <v>0</v>
      </c>
      <c r="AB118" s="468">
        <f>C105</f>
        <v>0</v>
      </c>
      <c r="AC118" s="468">
        <f>C106</f>
        <v>0</v>
      </c>
      <c r="AD118" s="468">
        <f>C103</f>
        <v>0</v>
      </c>
    </row>
    <row r="119" spans="2:30" outlineLevel="1">
      <c r="B119" s="500" t="s">
        <v>763</v>
      </c>
      <c r="C119" s="526" t="s">
        <v>36</v>
      </c>
      <c r="D119" s="527" t="s">
        <v>36</v>
      </c>
      <c r="E119" s="527" t="s">
        <v>36</v>
      </c>
      <c r="F119" s="528" t="s">
        <v>36</v>
      </c>
      <c r="G119" s="528"/>
      <c r="H119" s="528"/>
      <c r="I119" s="528"/>
      <c r="J119" s="528"/>
      <c r="K119" s="529" t="s">
        <v>76</v>
      </c>
      <c r="L119" s="525"/>
      <c r="M119" s="363"/>
      <c r="N119" s="363"/>
      <c r="O119" s="465">
        <f>D91</f>
        <v>99</v>
      </c>
      <c r="P119" s="466">
        <f>D87</f>
        <v>2030</v>
      </c>
      <c r="Q119" s="58"/>
      <c r="R119" s="466">
        <f>O119/100</f>
        <v>0.99</v>
      </c>
      <c r="S119" s="58"/>
      <c r="T119" s="466">
        <f>D95</f>
        <v>25</v>
      </c>
      <c r="U119" s="467">
        <f>D125</f>
        <v>447</v>
      </c>
      <c r="V119" s="467">
        <f>D127</f>
        <v>7.5990000000000002</v>
      </c>
      <c r="W119" s="467">
        <f>D128</f>
        <v>1.8107638888888888</v>
      </c>
      <c r="X119" s="58"/>
      <c r="Y119" s="58"/>
      <c r="Z119" s="466">
        <f>D102</f>
        <v>0</v>
      </c>
      <c r="AA119" s="468">
        <f>D104</f>
        <v>0</v>
      </c>
      <c r="AB119" s="468">
        <f>D105</f>
        <v>0</v>
      </c>
      <c r="AC119" s="468">
        <f>D106</f>
        <v>0</v>
      </c>
      <c r="AD119" s="468">
        <f>D103</f>
        <v>0</v>
      </c>
    </row>
    <row r="120" spans="2:30" outlineLevel="1">
      <c r="B120" s="500" t="s">
        <v>764</v>
      </c>
      <c r="C120" s="526" t="s">
        <v>36</v>
      </c>
      <c r="D120" s="527" t="s">
        <v>36</v>
      </c>
      <c r="E120" s="527" t="s">
        <v>36</v>
      </c>
      <c r="F120" s="528" t="s">
        <v>36</v>
      </c>
      <c r="G120" s="515"/>
      <c r="H120" s="515"/>
      <c r="I120" s="515"/>
      <c r="J120" s="515"/>
      <c r="K120" s="515"/>
      <c r="L120" s="504"/>
      <c r="M120" s="363"/>
      <c r="N120" s="363"/>
      <c r="O120" s="465">
        <f>E91</f>
        <v>99</v>
      </c>
      <c r="P120" s="466">
        <f>E87</f>
        <v>2040</v>
      </c>
      <c r="Q120" s="58"/>
      <c r="R120" s="466">
        <f>O120/100</f>
        <v>0.99</v>
      </c>
      <c r="S120" s="58"/>
      <c r="T120" s="466">
        <f>E95</f>
        <v>25</v>
      </c>
      <c r="U120" s="467">
        <f>E125</f>
        <v>447</v>
      </c>
      <c r="V120" s="467">
        <f>E127</f>
        <v>7.2264999999999997</v>
      </c>
      <c r="W120" s="467">
        <f>E128</f>
        <v>1.6141666666666665</v>
      </c>
      <c r="X120" s="58"/>
      <c r="Y120" s="58"/>
      <c r="Z120" s="466">
        <f>E102</f>
        <v>0</v>
      </c>
      <c r="AA120" s="468">
        <f>E104</f>
        <v>0</v>
      </c>
      <c r="AB120" s="468">
        <f>E105</f>
        <v>0</v>
      </c>
      <c r="AC120" s="468">
        <f>E106</f>
        <v>0</v>
      </c>
      <c r="AD120" s="468">
        <f>E103</f>
        <v>0</v>
      </c>
    </row>
    <row r="121" spans="2:30" outlineLevel="1">
      <c r="B121" s="500" t="s">
        <v>765</v>
      </c>
      <c r="C121" s="685" t="s">
        <v>669</v>
      </c>
      <c r="D121" s="530"/>
      <c r="E121" s="530"/>
      <c r="F121" s="530"/>
      <c r="G121" s="531"/>
      <c r="H121" s="531"/>
      <c r="I121" s="531"/>
      <c r="J121" s="531"/>
      <c r="K121" s="531"/>
      <c r="L121" s="504"/>
      <c r="M121" s="363"/>
      <c r="N121" s="363"/>
      <c r="O121" s="465">
        <f>F91</f>
        <v>99</v>
      </c>
      <c r="P121" s="466">
        <f>F87</f>
        <v>2050</v>
      </c>
      <c r="Q121" s="58"/>
      <c r="R121" s="466">
        <f>O121/100</f>
        <v>0.99</v>
      </c>
      <c r="S121" s="58"/>
      <c r="T121" s="466">
        <f>F95</f>
        <v>25</v>
      </c>
      <c r="U121" s="467">
        <f>F125</f>
        <v>447</v>
      </c>
      <c r="V121" s="467">
        <f>F127</f>
        <v>6.8540000000000001</v>
      </c>
      <c r="W121" s="467">
        <f>F128</f>
        <v>1.6141666666666665</v>
      </c>
      <c r="X121" s="58"/>
      <c r="Y121" s="58"/>
      <c r="Z121" s="466">
        <f>F102</f>
        <v>0</v>
      </c>
      <c r="AA121" s="468">
        <f>F104</f>
        <v>0</v>
      </c>
      <c r="AB121" s="468">
        <f>F105</f>
        <v>0</v>
      </c>
      <c r="AC121" s="468">
        <f>F106</f>
        <v>0</v>
      </c>
      <c r="AD121" s="468">
        <f>F103</f>
        <v>0</v>
      </c>
    </row>
    <row r="122" spans="2:30" outlineLevel="1">
      <c r="B122" s="532" t="s">
        <v>766</v>
      </c>
      <c r="C122" s="526" t="s">
        <v>36</v>
      </c>
      <c r="D122" s="527" t="s">
        <v>36</v>
      </c>
      <c r="E122" s="527" t="s">
        <v>36</v>
      </c>
      <c r="F122" s="528" t="s">
        <v>36</v>
      </c>
      <c r="G122" s="531"/>
      <c r="H122" s="531"/>
      <c r="I122" s="531"/>
      <c r="J122" s="531"/>
      <c r="K122" s="531"/>
      <c r="L122" s="533"/>
      <c r="M122" s="367"/>
      <c r="N122" s="367"/>
    </row>
    <row r="123" spans="2:30" outlineLevel="1">
      <c r="B123" s="532" t="s">
        <v>767</v>
      </c>
      <c r="C123" s="526" t="s">
        <v>36</v>
      </c>
      <c r="D123" s="527" t="s">
        <v>36</v>
      </c>
      <c r="E123" s="527" t="s">
        <v>36</v>
      </c>
      <c r="F123" s="528" t="s">
        <v>36</v>
      </c>
      <c r="G123" s="531"/>
      <c r="H123" s="531"/>
      <c r="I123" s="531"/>
      <c r="J123" s="531"/>
      <c r="K123" s="531"/>
      <c r="L123" s="533"/>
      <c r="M123" s="363"/>
      <c r="N123" s="363"/>
    </row>
    <row r="124" spans="2:30" ht="16" outlineLevel="1" thickBot="1">
      <c r="B124" s="534" t="s">
        <v>768</v>
      </c>
      <c r="C124" s="682" t="s">
        <v>36</v>
      </c>
      <c r="D124" s="683" t="s">
        <v>36</v>
      </c>
      <c r="E124" s="683" t="s">
        <v>36</v>
      </c>
      <c r="F124" s="684" t="s">
        <v>36</v>
      </c>
      <c r="G124" s="538"/>
      <c r="H124" s="538"/>
      <c r="I124" s="538"/>
      <c r="J124" s="538"/>
      <c r="K124" s="538"/>
      <c r="L124" s="539"/>
      <c r="M124" s="363"/>
      <c r="N124" s="363"/>
    </row>
    <row r="125" spans="2:30" ht="64" outlineLevel="1">
      <c r="B125" s="461" t="s">
        <v>769</v>
      </c>
      <c r="C125" s="483">
        <f>C108*$F$4*1000</f>
        <v>521.50000000000011</v>
      </c>
      <c r="D125" s="483">
        <f t="shared" ref="D125:F125" si="8">D108*$F$4*1000</f>
        <v>447</v>
      </c>
      <c r="E125" s="483">
        <f t="shared" si="8"/>
        <v>447</v>
      </c>
      <c r="F125" s="483">
        <f t="shared" si="8"/>
        <v>447</v>
      </c>
      <c r="G125" s="483"/>
      <c r="H125" s="484"/>
      <c r="I125" s="420" t="s">
        <v>332</v>
      </c>
      <c r="J125" s="420"/>
      <c r="K125" s="484"/>
      <c r="L125" s="484"/>
      <c r="N125" s="420"/>
    </row>
    <row r="126" spans="2:30" outlineLevel="1">
      <c r="B126" s="485" t="s">
        <v>770</v>
      </c>
      <c r="C126" s="486">
        <f>C125*$I126</f>
        <v>260750.00000000006</v>
      </c>
      <c r="D126" s="486">
        <f>D125*$I126</f>
        <v>223500</v>
      </c>
      <c r="E126" s="486">
        <f>E125*$I126</f>
        <v>223500</v>
      </c>
      <c r="F126" s="486">
        <f>F125*$I126</f>
        <v>223500</v>
      </c>
      <c r="G126" s="486"/>
      <c r="H126" s="484"/>
      <c r="I126" s="71">
        <v>500</v>
      </c>
      <c r="J126" s="420" t="s">
        <v>330</v>
      </c>
      <c r="K126" s="484"/>
      <c r="L126" s="484"/>
      <c r="N126" s="420"/>
    </row>
    <row r="127" spans="2:30" ht="48" outlineLevel="1">
      <c r="B127" s="461" t="s">
        <v>845</v>
      </c>
      <c r="C127" s="359">
        <f>C111*$F$4/1000</f>
        <v>7.9714999999999998</v>
      </c>
      <c r="D127" s="359">
        <f t="shared" ref="D127:F127" si="9">D111*$F$4/1000</f>
        <v>7.5990000000000002</v>
      </c>
      <c r="E127" s="359">
        <f t="shared" si="9"/>
        <v>7.2264999999999997</v>
      </c>
      <c r="F127" s="359">
        <f t="shared" si="9"/>
        <v>6.8540000000000001</v>
      </c>
      <c r="G127" s="359"/>
      <c r="I127" s="420" t="s">
        <v>333</v>
      </c>
      <c r="J127" s="420"/>
      <c r="N127" s="420"/>
    </row>
    <row r="128" spans="2:30" ht="48" outlineLevel="1">
      <c r="B128" s="461" t="s">
        <v>846</v>
      </c>
      <c r="C128" s="487">
        <f>C112*$F$4/3.6</f>
        <v>1.7900694444444445</v>
      </c>
      <c r="D128" s="487">
        <f t="shared" ref="D128:F128" si="10">D112*$F$4/3.6</f>
        <v>1.8107638888888888</v>
      </c>
      <c r="E128" s="487">
        <f t="shared" si="10"/>
        <v>1.6141666666666665</v>
      </c>
      <c r="F128" s="487">
        <f t="shared" si="10"/>
        <v>1.6141666666666665</v>
      </c>
      <c r="G128" s="359"/>
      <c r="M128" s="420"/>
      <c r="N128" s="420"/>
    </row>
    <row r="129" spans="2:6" outlineLevel="1"/>
    <row r="130" spans="2:6" outlineLevel="1"/>
    <row r="131" spans="2:6" outlineLevel="1"/>
    <row r="132" spans="2:6" outlineLevel="1"/>
    <row r="133" spans="2:6" outlineLevel="1">
      <c r="B133" s="488"/>
      <c r="C133" s="489"/>
      <c r="D133" s="490"/>
      <c r="E133" s="490"/>
      <c r="F133" s="490"/>
    </row>
    <row r="134" spans="2:6" outlineLevel="1">
      <c r="B134" s="491"/>
      <c r="C134" s="492"/>
      <c r="E134" s="490"/>
      <c r="F134" s="490"/>
    </row>
    <row r="135" spans="2:6" outlineLevel="1">
      <c r="B135" s="491"/>
      <c r="C135" s="493"/>
      <c r="E135" s="490"/>
      <c r="F135" s="490"/>
    </row>
    <row r="136" spans="2:6" outlineLevel="1">
      <c r="B136" s="491"/>
      <c r="C136" s="493"/>
      <c r="E136" s="490"/>
      <c r="F136" s="490"/>
    </row>
    <row r="137" spans="2:6" outlineLevel="1">
      <c r="B137" s="491"/>
      <c r="C137" s="493"/>
      <c r="E137" s="490"/>
      <c r="F137" s="490"/>
    </row>
    <row r="138" spans="2:6" outlineLevel="1">
      <c r="B138" s="358"/>
      <c r="C138" s="494"/>
      <c r="D138" s="490"/>
      <c r="E138" s="490"/>
      <c r="F138" s="490"/>
    </row>
    <row r="139" spans="2:6" outlineLevel="1">
      <c r="B139" s="358"/>
      <c r="C139" s="492"/>
      <c r="D139" s="490"/>
      <c r="E139" s="490"/>
      <c r="F139" s="490"/>
    </row>
    <row r="140" spans="2:6" outlineLevel="1">
      <c r="B140" s="358"/>
      <c r="C140" s="495"/>
      <c r="D140" s="490"/>
      <c r="E140" s="490"/>
      <c r="F140" s="490"/>
    </row>
    <row r="141" spans="2:6" outlineLevel="1">
      <c r="B141" s="358"/>
      <c r="C141" s="495"/>
      <c r="D141" s="490"/>
      <c r="E141" s="490"/>
      <c r="F141" s="490"/>
    </row>
    <row r="142" spans="2:6" outlineLevel="1">
      <c r="B142" s="358"/>
      <c r="C142" s="489"/>
      <c r="D142" s="490"/>
      <c r="E142" s="490"/>
      <c r="F142" s="490"/>
    </row>
    <row r="143" spans="2:6" outlineLevel="1">
      <c r="B143" s="358"/>
      <c r="C143" s="490"/>
      <c r="D143" s="490"/>
      <c r="E143" s="490"/>
      <c r="F143" s="490"/>
    </row>
    <row r="144" spans="2:6" outlineLevel="1">
      <c r="B144" s="488"/>
      <c r="C144" s="489"/>
      <c r="D144" s="490"/>
      <c r="E144" s="490"/>
      <c r="F144" s="490"/>
    </row>
    <row r="145" spans="1:44" outlineLevel="1">
      <c r="B145" s="496"/>
      <c r="C145" s="497"/>
      <c r="E145" s="490"/>
      <c r="F145" s="490"/>
    </row>
    <row r="146" spans="1:44" outlineLevel="1">
      <c r="B146" s="496" t="s">
        <v>59</v>
      </c>
      <c r="C146" s="489" t="s">
        <v>785</v>
      </c>
      <c r="E146" s="490"/>
      <c r="F146" s="490"/>
    </row>
    <row r="147" spans="1:44" outlineLevel="1">
      <c r="B147" s="496" t="s">
        <v>16</v>
      </c>
      <c r="C147" s="489" t="s">
        <v>786</v>
      </c>
      <c r="E147" s="490"/>
      <c r="F147" s="490"/>
    </row>
    <row r="148" spans="1:44" outlineLevel="1">
      <c r="B148" s="496" t="s">
        <v>20</v>
      </c>
      <c r="C148" s="489" t="s">
        <v>787</v>
      </c>
      <c r="E148" s="490"/>
      <c r="F148" s="490"/>
    </row>
    <row r="149" spans="1:44" outlineLevel="1">
      <c r="B149" s="496" t="s">
        <v>76</v>
      </c>
      <c r="C149" s="498" t="s">
        <v>788</v>
      </c>
      <c r="E149" s="490"/>
      <c r="F149" s="490"/>
    </row>
    <row r="150" spans="1:44" outlineLevel="1">
      <c r="B150" s="496" t="s">
        <v>25</v>
      </c>
      <c r="C150" s="489" t="s">
        <v>789</v>
      </c>
      <c r="E150" s="490"/>
      <c r="F150" s="490"/>
    </row>
    <row r="151" spans="1:44" outlineLevel="1"/>
    <row r="152" spans="1:44" outlineLevel="1">
      <c r="M152" s="214"/>
    </row>
    <row r="153" spans="1:44" outlineLevel="1"/>
    <row r="156" spans="1:44">
      <c r="A156" s="360"/>
      <c r="B156" s="1207"/>
      <c r="C156" s="1143"/>
      <c r="D156" s="1143"/>
      <c r="E156" s="1143"/>
      <c r="F156" s="1143"/>
      <c r="G156" s="1143"/>
      <c r="H156" s="1143"/>
      <c r="I156" s="1143"/>
      <c r="J156" s="1143"/>
      <c r="K156" s="1143"/>
      <c r="L156" s="1143"/>
      <c r="M156" s="1143"/>
      <c r="N156" s="361"/>
      <c r="P156" s="1143"/>
      <c r="Q156" s="1143"/>
      <c r="R156" s="1143"/>
      <c r="S156" s="1143"/>
      <c r="T156" s="1143"/>
      <c r="U156" s="1143"/>
    </row>
    <row r="157" spans="1:44" ht="16" outlineLevel="1" thickBot="1">
      <c r="B157" s="1207"/>
      <c r="C157" s="1143"/>
      <c r="D157" s="1143"/>
      <c r="E157" s="1143"/>
      <c r="F157" s="1143"/>
      <c r="G157" s="1143"/>
      <c r="H157" s="1143"/>
      <c r="I157" s="1143"/>
      <c r="J157" s="1143"/>
      <c r="K157" s="1143"/>
      <c r="L157" s="1143"/>
      <c r="M157" s="1143"/>
      <c r="N157" s="361"/>
      <c r="P157" s="1143"/>
      <c r="Q157" s="1143"/>
      <c r="R157" s="1143"/>
      <c r="S157" s="1143"/>
      <c r="T157" s="1143"/>
      <c r="U157" s="1143"/>
    </row>
    <row r="158" spans="1:44" ht="20.5" customHeight="1" outlineLevel="1" thickBot="1">
      <c r="B158" s="362"/>
      <c r="C158" s="1186"/>
      <c r="D158" s="1205"/>
      <c r="E158" s="1205"/>
      <c r="F158" s="1205"/>
      <c r="G158" s="1205"/>
      <c r="H158" s="1205"/>
      <c r="I158" s="1205"/>
      <c r="J158" s="1205"/>
      <c r="K158" s="1205"/>
      <c r="L158" s="1206"/>
      <c r="M158" s="363"/>
      <c r="N158" s="363"/>
      <c r="P158" s="364"/>
      <c r="Q158" s="365"/>
      <c r="R158" s="366"/>
      <c r="S158" s="1176"/>
      <c r="T158" s="1160"/>
      <c r="U158" s="1161"/>
      <c r="V158" s="1160"/>
      <c r="W158" s="1161"/>
      <c r="X158" s="1160"/>
      <c r="Y158" s="1161"/>
      <c r="Z158" s="1160"/>
      <c r="AA158" s="1161"/>
      <c r="AB158" s="1160"/>
      <c r="AC158" s="1161"/>
      <c r="AE158" s="364"/>
      <c r="AF158" s="365"/>
      <c r="AG158" s="366"/>
      <c r="AH158" s="1176"/>
      <c r="AI158" s="1160"/>
      <c r="AJ158" s="1161"/>
      <c r="AK158" s="1160"/>
      <c r="AL158" s="1161"/>
      <c r="AM158" s="1160"/>
      <c r="AN158" s="1161"/>
      <c r="AO158" s="1160"/>
      <c r="AP158" s="1161"/>
      <c r="AQ158" s="1160"/>
      <c r="AR158" s="1161"/>
    </row>
    <row r="159" spans="1:44" ht="15" customHeight="1" outlineLevel="1" thickBot="1">
      <c r="B159" s="1164"/>
      <c r="C159" s="1166"/>
      <c r="D159" s="1166"/>
      <c r="E159" s="1166"/>
      <c r="F159" s="1166"/>
      <c r="G159" s="1221"/>
      <c r="H159" s="1222"/>
      <c r="I159" s="1221"/>
      <c r="J159" s="1222"/>
      <c r="K159" s="1189"/>
      <c r="L159" s="1189"/>
      <c r="M159" s="367"/>
      <c r="N159" s="367"/>
      <c r="P159" s="1180"/>
      <c r="Q159" s="368"/>
      <c r="R159" s="368"/>
      <c r="S159" s="1177"/>
      <c r="T159" s="1162"/>
      <c r="U159" s="1163"/>
      <c r="V159" s="1162"/>
      <c r="W159" s="1163"/>
      <c r="X159" s="1162"/>
      <c r="Y159" s="1163"/>
      <c r="Z159" s="1162"/>
      <c r="AA159" s="1163"/>
      <c r="AB159" s="1162"/>
      <c r="AC159" s="1163"/>
      <c r="AE159" s="1180"/>
      <c r="AF159" s="368"/>
      <c r="AG159" s="368"/>
      <c r="AH159" s="1177"/>
      <c r="AI159" s="1162"/>
      <c r="AJ159" s="1163"/>
      <c r="AK159" s="1162"/>
      <c r="AL159" s="1163"/>
      <c r="AM159" s="1162"/>
      <c r="AN159" s="1163"/>
      <c r="AO159" s="1162"/>
      <c r="AP159" s="1163"/>
      <c r="AQ159" s="1162"/>
      <c r="AR159" s="1163"/>
    </row>
    <row r="160" spans="1:44" ht="15" customHeight="1" outlineLevel="1" thickBot="1">
      <c r="B160" s="1165"/>
      <c r="C160" s="1167"/>
      <c r="D160" s="1167"/>
      <c r="E160" s="1167"/>
      <c r="F160" s="1167"/>
      <c r="G160" s="540"/>
      <c r="H160" s="540"/>
      <c r="I160" s="540"/>
      <c r="J160" s="540"/>
      <c r="K160" s="1190"/>
      <c r="L160" s="1190"/>
      <c r="M160" s="370"/>
      <c r="N160" s="370"/>
      <c r="P160" s="1181"/>
      <c r="Q160" s="1183"/>
      <c r="R160" s="1184"/>
      <c r="S160" s="1178"/>
      <c r="T160" s="1162"/>
      <c r="U160" s="1163"/>
      <c r="V160" s="1162"/>
      <c r="W160" s="1163"/>
      <c r="X160" s="1162"/>
      <c r="Y160" s="1163"/>
      <c r="Z160" s="1162"/>
      <c r="AA160" s="1163"/>
      <c r="AB160" s="1162"/>
      <c r="AC160" s="1163"/>
      <c r="AE160" s="1181"/>
      <c r="AF160" s="1197"/>
      <c r="AG160" s="1184"/>
      <c r="AH160" s="1178"/>
      <c r="AI160" s="1162"/>
      <c r="AJ160" s="1163"/>
      <c r="AK160" s="1162"/>
      <c r="AL160" s="1163"/>
      <c r="AM160" s="1162"/>
      <c r="AN160" s="1163"/>
      <c r="AO160" s="1162"/>
      <c r="AP160" s="1163"/>
      <c r="AQ160" s="1162"/>
      <c r="AR160" s="1163"/>
    </row>
    <row r="161" spans="2:44" ht="16" outlineLevel="1" thickBot="1">
      <c r="B161" s="371"/>
      <c r="C161" s="372"/>
      <c r="D161" s="372"/>
      <c r="E161" s="372"/>
      <c r="F161" s="372"/>
      <c r="G161" s="372"/>
      <c r="H161" s="372"/>
      <c r="I161" s="372"/>
      <c r="J161" s="372"/>
      <c r="K161" s="372"/>
      <c r="L161" s="373"/>
      <c r="M161" s="370"/>
      <c r="N161" s="370"/>
      <c r="O161" s="74"/>
      <c r="P161" s="1182"/>
      <c r="Q161" s="1179"/>
      <c r="R161" s="1185"/>
      <c r="S161" s="1179"/>
      <c r="T161" s="374"/>
      <c r="U161" s="375"/>
      <c r="V161" s="374"/>
      <c r="W161" s="375"/>
      <c r="X161" s="374"/>
      <c r="Y161" s="375"/>
      <c r="Z161" s="374"/>
      <c r="AA161" s="375"/>
      <c r="AB161" s="374"/>
      <c r="AC161" s="375"/>
      <c r="AE161" s="1182"/>
      <c r="AF161" s="1198"/>
      <c r="AG161" s="1185"/>
      <c r="AH161" s="1179"/>
      <c r="AI161" s="374"/>
      <c r="AJ161" s="375"/>
      <c r="AK161" s="374"/>
      <c r="AL161" s="375"/>
      <c r="AM161" s="374"/>
      <c r="AN161" s="375"/>
      <c r="AO161" s="374"/>
      <c r="AP161" s="375"/>
      <c r="AQ161" s="374"/>
      <c r="AR161" s="375"/>
    </row>
    <row r="162" spans="2:44" ht="14.5" customHeight="1" outlineLevel="1">
      <c r="B162" s="541"/>
      <c r="C162" s="542"/>
      <c r="D162" s="542"/>
      <c r="E162" s="543"/>
      <c r="F162" s="542"/>
      <c r="G162" s="542"/>
      <c r="H162" s="542"/>
      <c r="I162" s="542"/>
      <c r="J162" s="542"/>
      <c r="K162" s="372"/>
      <c r="L162" s="373"/>
      <c r="M162" s="370"/>
      <c r="N162" s="370"/>
      <c r="P162" s="1148"/>
      <c r="Q162" s="1154"/>
      <c r="R162" s="381"/>
      <c r="S162" s="382"/>
      <c r="T162" s="1137"/>
      <c r="U162" s="1151"/>
      <c r="V162" s="1137"/>
      <c r="W162" s="1151"/>
      <c r="X162" s="1137"/>
      <c r="Y162" s="1151"/>
      <c r="Z162" s="1137"/>
      <c r="AA162" s="1151"/>
      <c r="AB162" s="1137"/>
      <c r="AC162" s="1151"/>
      <c r="AE162" s="1148"/>
      <c r="AF162" s="1154"/>
      <c r="AG162" s="381"/>
      <c r="AH162" s="382"/>
      <c r="AI162" s="1137"/>
      <c r="AJ162" s="1151"/>
      <c r="AK162" s="1137"/>
      <c r="AL162" s="1151"/>
      <c r="AM162" s="1137"/>
      <c r="AN162" s="1151"/>
      <c r="AO162" s="1137"/>
      <c r="AP162" s="1151"/>
      <c r="AQ162" s="1137"/>
      <c r="AR162" s="1151"/>
    </row>
    <row r="163" spans="2:44" outlineLevel="1">
      <c r="B163" s="383"/>
      <c r="C163" s="384"/>
      <c r="D163" s="384"/>
      <c r="E163" s="384"/>
      <c r="F163" s="384"/>
      <c r="G163" s="505"/>
      <c r="H163" s="505"/>
      <c r="I163" s="505"/>
      <c r="J163" s="505"/>
      <c r="K163" s="372"/>
      <c r="L163" s="373"/>
      <c r="M163" s="370"/>
      <c r="N163" s="370"/>
      <c r="O163" s="71"/>
      <c r="P163" s="1195"/>
      <c r="Q163" s="1155"/>
      <c r="R163" s="388"/>
      <c r="S163" s="389"/>
      <c r="T163" s="1140"/>
      <c r="U163" s="1152"/>
      <c r="V163" s="1140"/>
      <c r="W163" s="1152"/>
      <c r="X163" s="1140"/>
      <c r="Y163" s="1152"/>
      <c r="Z163" s="1140"/>
      <c r="AA163" s="1152"/>
      <c r="AB163" s="1140"/>
      <c r="AC163" s="1152"/>
      <c r="AE163" s="1195"/>
      <c r="AF163" s="1155"/>
      <c r="AG163" s="388"/>
      <c r="AH163" s="389"/>
      <c r="AI163" s="1140"/>
      <c r="AJ163" s="1152"/>
      <c r="AK163" s="1140"/>
      <c r="AL163" s="1152"/>
      <c r="AM163" s="1140"/>
      <c r="AN163" s="1152"/>
      <c r="AO163" s="1140"/>
      <c r="AP163" s="1152"/>
      <c r="AQ163" s="1140"/>
      <c r="AR163" s="1152"/>
    </row>
    <row r="164" spans="2:44" ht="16" outlineLevel="1" thickBot="1">
      <c r="B164" s="541"/>
      <c r="C164" s="544"/>
      <c r="D164" s="545"/>
      <c r="E164" s="545"/>
      <c r="F164" s="546"/>
      <c r="G164" s="545"/>
      <c r="H164" s="545"/>
      <c r="I164" s="545"/>
      <c r="J164" s="545"/>
      <c r="K164" s="547"/>
      <c r="L164" s="548"/>
      <c r="M164" s="370"/>
      <c r="N164" s="370"/>
      <c r="O164" s="71"/>
      <c r="P164" s="1195"/>
      <c r="Q164" s="1156"/>
      <c r="R164" s="393"/>
      <c r="S164" s="394"/>
      <c r="T164" s="1141"/>
      <c r="U164" s="1153"/>
      <c r="V164" s="1141"/>
      <c r="W164" s="1153"/>
      <c r="X164" s="1141"/>
      <c r="Y164" s="1153"/>
      <c r="Z164" s="1141"/>
      <c r="AA164" s="1153"/>
      <c r="AB164" s="1141"/>
      <c r="AC164" s="1153"/>
      <c r="AE164" s="1195"/>
      <c r="AF164" s="1156"/>
      <c r="AG164" s="393"/>
      <c r="AH164" s="394"/>
      <c r="AI164" s="1141"/>
      <c r="AJ164" s="1153"/>
      <c r="AK164" s="1141"/>
      <c r="AL164" s="1153"/>
      <c r="AM164" s="1141"/>
      <c r="AN164" s="1153"/>
      <c r="AO164" s="1141"/>
      <c r="AP164" s="1153"/>
      <c r="AQ164" s="1141"/>
      <c r="AR164" s="1153"/>
    </row>
    <row r="165" spans="2:44" ht="14.5" customHeight="1" outlineLevel="1">
      <c r="B165" s="541"/>
      <c r="C165" s="544"/>
      <c r="D165" s="544"/>
      <c r="E165" s="544"/>
      <c r="F165" s="544"/>
      <c r="G165" s="544"/>
      <c r="H165" s="544"/>
      <c r="I165" s="544"/>
      <c r="J165" s="544"/>
      <c r="K165" s="547"/>
      <c r="L165" s="548"/>
      <c r="M165" s="370"/>
      <c r="N165" s="370"/>
      <c r="O165" s="71"/>
      <c r="P165" s="1195"/>
      <c r="Q165" s="1154"/>
      <c r="R165" s="395"/>
      <c r="S165" s="396"/>
      <c r="T165" s="1137"/>
      <c r="U165" s="1137"/>
      <c r="V165" s="1137"/>
      <c r="W165" s="1137"/>
      <c r="X165" s="1137"/>
      <c r="Y165" s="1137"/>
      <c r="Z165" s="1137"/>
      <c r="AA165" s="1137"/>
      <c r="AB165" s="1137"/>
      <c r="AC165" s="1137"/>
      <c r="AE165" s="1195"/>
      <c r="AF165" s="1154"/>
      <c r="AG165" s="395"/>
      <c r="AH165" s="396"/>
      <c r="AI165" s="1137"/>
      <c r="AJ165" s="1137"/>
      <c r="AK165" s="1137"/>
      <c r="AL165" s="1137"/>
      <c r="AM165" s="1137"/>
      <c r="AN165" s="1137"/>
      <c r="AO165" s="1137"/>
      <c r="AP165" s="1137"/>
      <c r="AQ165" s="1137"/>
      <c r="AR165" s="1137"/>
    </row>
    <row r="166" spans="2:44" outlineLevel="1">
      <c r="B166" s="541"/>
      <c r="C166" s="544"/>
      <c r="D166" s="544"/>
      <c r="E166" s="544"/>
      <c r="F166" s="544"/>
      <c r="G166" s="544"/>
      <c r="H166" s="544"/>
      <c r="I166" s="544"/>
      <c r="J166" s="544"/>
      <c r="K166" s="547"/>
      <c r="L166" s="548"/>
      <c r="M166" s="367"/>
      <c r="N166" s="367"/>
      <c r="O166" s="71"/>
      <c r="P166" s="1195"/>
      <c r="Q166" s="1155"/>
      <c r="R166" s="395"/>
      <c r="S166" s="396"/>
      <c r="T166" s="1138"/>
      <c r="U166" s="1138"/>
      <c r="V166" s="1138"/>
      <c r="W166" s="1138"/>
      <c r="X166" s="1138"/>
      <c r="Y166" s="1138"/>
      <c r="Z166" s="1138"/>
      <c r="AA166" s="1138"/>
      <c r="AB166" s="1138"/>
      <c r="AC166" s="1138"/>
      <c r="AE166" s="1195"/>
      <c r="AF166" s="1155"/>
      <c r="AG166" s="395"/>
      <c r="AH166" s="396"/>
      <c r="AI166" s="1138"/>
      <c r="AJ166" s="1138"/>
      <c r="AK166" s="1138"/>
      <c r="AL166" s="1138"/>
      <c r="AM166" s="1138"/>
      <c r="AN166" s="1138"/>
      <c r="AO166" s="1138"/>
      <c r="AP166" s="1138"/>
      <c r="AQ166" s="1138"/>
      <c r="AR166" s="1138"/>
    </row>
    <row r="167" spans="2:44" outlineLevel="1">
      <c r="B167" s="383"/>
      <c r="C167" s="397"/>
      <c r="D167" s="397"/>
      <c r="E167" s="397"/>
      <c r="F167" s="399"/>
      <c r="G167" s="399"/>
      <c r="H167" s="399"/>
      <c r="I167" s="399"/>
      <c r="J167" s="399"/>
      <c r="K167" s="372"/>
      <c r="L167" s="373"/>
      <c r="M167" s="363"/>
      <c r="N167" s="363"/>
      <c r="P167" s="1195"/>
      <c r="Q167" s="1155"/>
      <c r="R167" s="395"/>
      <c r="S167" s="396"/>
      <c r="T167" s="1138"/>
      <c r="U167" s="1138"/>
      <c r="V167" s="1138"/>
      <c r="W167" s="1138"/>
      <c r="X167" s="1138"/>
      <c r="Y167" s="1138"/>
      <c r="Z167" s="1138"/>
      <c r="AA167" s="1138"/>
      <c r="AB167" s="1138"/>
      <c r="AC167" s="1138"/>
      <c r="AE167" s="1195"/>
      <c r="AF167" s="1155"/>
      <c r="AG167" s="395"/>
      <c r="AH167" s="396"/>
      <c r="AI167" s="1138"/>
      <c r="AJ167" s="1138"/>
      <c r="AK167" s="1138"/>
      <c r="AL167" s="1138"/>
      <c r="AM167" s="1138"/>
      <c r="AN167" s="1138"/>
      <c r="AO167" s="1138"/>
      <c r="AP167" s="1138"/>
      <c r="AQ167" s="1138"/>
      <c r="AR167" s="1138"/>
    </row>
    <row r="168" spans="2:44" ht="16" outlineLevel="1" thickBot="1">
      <c r="B168" s="541"/>
      <c r="C168" s="544"/>
      <c r="D168" s="544"/>
      <c r="E168" s="544"/>
      <c r="F168" s="544"/>
      <c r="G168" s="544"/>
      <c r="H168" s="544"/>
      <c r="I168" s="544"/>
      <c r="J168" s="544"/>
      <c r="K168" s="372"/>
      <c r="L168" s="400"/>
      <c r="M168" s="363"/>
      <c r="N168" s="363"/>
      <c r="P168" s="1195"/>
      <c r="Q168" s="1155"/>
      <c r="R168" s="395"/>
      <c r="S168" s="396"/>
      <c r="T168" s="1138"/>
      <c r="U168" s="1138"/>
      <c r="V168" s="1138"/>
      <c r="W168" s="1138"/>
      <c r="X168" s="1138"/>
      <c r="Y168" s="1138"/>
      <c r="Z168" s="1138"/>
      <c r="AA168" s="1138"/>
      <c r="AB168" s="1138"/>
      <c r="AC168" s="1138"/>
      <c r="AE168" s="1195"/>
      <c r="AF168" s="1155"/>
      <c r="AG168" s="395"/>
      <c r="AH168" s="396"/>
      <c r="AI168" s="1138"/>
      <c r="AJ168" s="1138"/>
      <c r="AK168" s="1138"/>
      <c r="AL168" s="1138"/>
      <c r="AM168" s="1138"/>
      <c r="AN168" s="1138"/>
      <c r="AO168" s="1138"/>
      <c r="AP168" s="1138"/>
      <c r="AQ168" s="1138"/>
      <c r="AR168" s="1138"/>
    </row>
    <row r="169" spans="2:44" ht="16" outlineLevel="1" thickBot="1">
      <c r="B169" s="401"/>
      <c r="C169" s="402"/>
      <c r="D169" s="403"/>
      <c r="E169" s="404"/>
      <c r="F169" s="405"/>
      <c r="G169" s="406"/>
      <c r="H169" s="406"/>
      <c r="I169" s="406"/>
      <c r="J169" s="406"/>
      <c r="K169" s="407"/>
      <c r="L169" s="408"/>
      <c r="M169" s="363"/>
      <c r="N169" s="363"/>
      <c r="P169" s="1195"/>
      <c r="Q169" s="1155"/>
      <c r="R169" s="409"/>
      <c r="S169" s="410"/>
      <c r="T169" s="1139"/>
      <c r="U169" s="1139"/>
      <c r="V169" s="1139"/>
      <c r="W169" s="1139"/>
      <c r="X169" s="1139"/>
      <c r="Y169" s="1139"/>
      <c r="Z169" s="1139"/>
      <c r="AA169" s="1139"/>
      <c r="AB169" s="1139"/>
      <c r="AC169" s="1139"/>
      <c r="AE169" s="1195"/>
      <c r="AF169" s="1155"/>
      <c r="AG169" s="409"/>
      <c r="AH169" s="410"/>
      <c r="AI169" s="1139"/>
      <c r="AJ169" s="1139"/>
      <c r="AK169" s="1139"/>
      <c r="AL169" s="1139"/>
      <c r="AM169" s="1139"/>
      <c r="AN169" s="1139"/>
      <c r="AO169" s="1139"/>
      <c r="AP169" s="1139"/>
      <c r="AQ169" s="1139"/>
      <c r="AR169" s="1139"/>
    </row>
    <row r="170" spans="2:44" ht="16" outlineLevel="1" thickBot="1">
      <c r="B170" s="541"/>
      <c r="C170" s="544"/>
      <c r="D170" s="544"/>
      <c r="E170" s="544"/>
      <c r="F170" s="544"/>
      <c r="G170" s="545"/>
      <c r="H170" s="545"/>
      <c r="I170" s="545"/>
      <c r="J170" s="545"/>
      <c r="K170" s="547"/>
      <c r="L170" s="548"/>
      <c r="M170" s="363"/>
      <c r="N170" s="363"/>
      <c r="P170" s="1196"/>
      <c r="Q170" s="411"/>
      <c r="R170" s="412"/>
      <c r="S170" s="413"/>
      <c r="T170" s="414"/>
      <c r="U170" s="415"/>
      <c r="V170" s="416"/>
      <c r="W170" s="415"/>
      <c r="X170" s="416"/>
      <c r="Y170" s="415"/>
      <c r="Z170" s="416"/>
      <c r="AA170" s="415"/>
      <c r="AB170" s="416"/>
      <c r="AC170" s="417"/>
      <c r="AE170" s="1196"/>
      <c r="AF170" s="411"/>
      <c r="AG170" s="412"/>
      <c r="AH170" s="413"/>
      <c r="AI170" s="414"/>
      <c r="AJ170" s="415"/>
      <c r="AK170" s="416"/>
      <c r="AL170" s="415"/>
      <c r="AM170" s="416"/>
      <c r="AN170" s="415"/>
      <c r="AO170" s="416"/>
      <c r="AP170" s="415"/>
      <c r="AQ170" s="416"/>
      <c r="AR170" s="417"/>
    </row>
    <row r="171" spans="2:44" outlineLevel="1">
      <c r="B171" s="541"/>
      <c r="C171" s="544"/>
      <c r="D171" s="544"/>
      <c r="E171" s="544"/>
      <c r="F171" s="544"/>
      <c r="G171" s="549"/>
      <c r="H171" s="549"/>
      <c r="I171" s="549"/>
      <c r="J171" s="549"/>
      <c r="K171" s="550"/>
      <c r="L171" s="548"/>
      <c r="M171" s="363"/>
      <c r="N171" s="363"/>
    </row>
    <row r="172" spans="2:44" outlineLevel="1">
      <c r="B172" s="541"/>
      <c r="C172" s="544"/>
      <c r="D172" s="544"/>
      <c r="E172" s="544"/>
      <c r="F172" s="544"/>
      <c r="G172" s="549"/>
      <c r="H172" s="549"/>
      <c r="I172" s="549"/>
      <c r="J172" s="549"/>
      <c r="K172" s="550"/>
      <c r="L172" s="548"/>
      <c r="M172" s="420"/>
      <c r="N172" s="363"/>
    </row>
    <row r="173" spans="2:44" outlineLevel="1">
      <c r="B173" s="421"/>
      <c r="C173" s="399"/>
      <c r="D173" s="399"/>
      <c r="E173" s="399"/>
      <c r="F173" s="399"/>
      <c r="G173" s="422"/>
      <c r="H173" s="422"/>
      <c r="I173" s="422"/>
      <c r="J173" s="422"/>
      <c r="K173" s="423"/>
      <c r="L173" s="424"/>
      <c r="M173" s="420"/>
      <c r="N173" s="420"/>
    </row>
    <row r="174" spans="2:44" outlineLevel="1">
      <c r="B174" s="383"/>
      <c r="C174" s="397"/>
      <c r="D174" s="397"/>
      <c r="E174" s="397"/>
      <c r="F174" s="397"/>
      <c r="G174" s="422"/>
      <c r="H174" s="425"/>
      <c r="I174" s="425"/>
      <c r="J174" s="425"/>
      <c r="K174" s="426"/>
      <c r="L174" s="427"/>
      <c r="M174" s="428"/>
      <c r="N174" s="428"/>
    </row>
    <row r="175" spans="2:44" outlineLevel="1">
      <c r="B175" s="383"/>
      <c r="C175" s="397"/>
      <c r="D175" s="397"/>
      <c r="E175" s="397"/>
      <c r="F175" s="397"/>
      <c r="G175" s="425"/>
      <c r="H175" s="425"/>
      <c r="I175" s="425"/>
      <c r="J175" s="425"/>
      <c r="K175" s="423"/>
      <c r="L175" s="427"/>
      <c r="M175" s="428"/>
      <c r="N175" s="428"/>
    </row>
    <row r="176" spans="2:44" outlineLevel="1">
      <c r="B176" s="383"/>
      <c r="C176" s="397"/>
      <c r="D176" s="397"/>
      <c r="E176" s="397"/>
      <c r="F176" s="397"/>
      <c r="G176" s="425"/>
      <c r="H176" s="425"/>
      <c r="I176" s="425"/>
      <c r="J176" s="425"/>
      <c r="K176" s="423"/>
      <c r="L176" s="427"/>
      <c r="M176" s="428"/>
      <c r="N176" s="428"/>
    </row>
    <row r="177" spans="1:30" outlineLevel="1">
      <c r="B177" s="383"/>
      <c r="C177" s="397"/>
      <c r="D177" s="397"/>
      <c r="E177" s="397"/>
      <c r="F177" s="397"/>
      <c r="G177" s="425"/>
      <c r="H177" s="425"/>
      <c r="I177" s="425"/>
      <c r="J177" s="425"/>
      <c r="K177" s="423"/>
      <c r="L177" s="427"/>
      <c r="M177" s="428"/>
      <c r="N177" s="428"/>
    </row>
    <row r="178" spans="1:30" ht="16" outlineLevel="1" thickBot="1">
      <c r="B178" s="429"/>
      <c r="C178" s="430"/>
      <c r="D178" s="430"/>
      <c r="E178" s="430"/>
      <c r="F178" s="430"/>
      <c r="G178" s="425"/>
      <c r="H178" s="425"/>
      <c r="I178" s="425"/>
      <c r="J178" s="425"/>
      <c r="K178" s="423"/>
      <c r="L178" s="427"/>
      <c r="M178" s="428"/>
      <c r="N178" s="428"/>
    </row>
    <row r="179" spans="1:30" ht="16" outlineLevel="1" thickBot="1">
      <c r="B179" s="431"/>
      <c r="C179" s="432"/>
      <c r="D179" s="403"/>
      <c r="E179" s="403"/>
      <c r="F179" s="433"/>
      <c r="G179" s="434"/>
      <c r="H179" s="406"/>
      <c r="I179" s="406"/>
      <c r="J179" s="406"/>
      <c r="K179" s="407"/>
      <c r="L179" s="408"/>
      <c r="M179" s="428"/>
      <c r="N179" s="428"/>
    </row>
    <row r="180" spans="1:30" outlineLevel="1">
      <c r="A180" s="435"/>
      <c r="B180" s="436"/>
      <c r="C180" s="551"/>
      <c r="D180" s="438"/>
      <c r="E180" s="438"/>
      <c r="F180" s="439"/>
      <c r="G180" s="425"/>
      <c r="H180" s="425"/>
      <c r="I180" s="425"/>
      <c r="J180" s="425"/>
      <c r="K180" s="426"/>
      <c r="L180" s="440"/>
      <c r="M180" s="420"/>
      <c r="N180" s="420"/>
    </row>
    <row r="181" spans="1:30" outlineLevel="1">
      <c r="B181" s="441"/>
      <c r="C181" s="442"/>
      <c r="D181" s="443"/>
      <c r="E181" s="443"/>
      <c r="F181" s="443"/>
      <c r="G181" s="425"/>
      <c r="H181" s="425"/>
      <c r="I181" s="425"/>
      <c r="J181" s="425"/>
      <c r="K181" s="444"/>
      <c r="L181" s="373"/>
      <c r="M181" s="71"/>
      <c r="N181" s="420"/>
    </row>
    <row r="182" spans="1:30" outlineLevel="1">
      <c r="B182" s="441"/>
      <c r="C182" s="442"/>
      <c r="D182" s="442"/>
      <c r="E182" s="442"/>
      <c r="F182" s="442"/>
      <c r="G182" s="425"/>
      <c r="H182" s="425"/>
      <c r="I182" s="425"/>
      <c r="J182" s="425"/>
      <c r="K182" s="444"/>
      <c r="L182" s="373"/>
      <c r="M182" s="420"/>
      <c r="N182" s="420"/>
    </row>
    <row r="183" spans="1:30" outlineLevel="1">
      <c r="B183" s="383"/>
      <c r="C183" s="445"/>
      <c r="D183" s="446"/>
      <c r="E183" s="446"/>
      <c r="F183" s="447"/>
      <c r="G183" s="425"/>
      <c r="H183" s="425"/>
      <c r="I183" s="425"/>
      <c r="J183" s="425"/>
      <c r="K183" s="448"/>
      <c r="L183" s="373"/>
      <c r="M183" s="420"/>
      <c r="N183" s="420"/>
    </row>
    <row r="184" spans="1:30" outlineLevel="1">
      <c r="B184" s="383"/>
      <c r="C184" s="449"/>
      <c r="D184" s="449"/>
      <c r="E184" s="449"/>
      <c r="F184" s="449"/>
      <c r="G184" s="425"/>
      <c r="H184" s="425"/>
      <c r="I184" s="425"/>
      <c r="J184" s="425"/>
      <c r="K184" s="448"/>
      <c r="L184" s="373"/>
      <c r="M184" s="450"/>
      <c r="N184" s="361"/>
      <c r="P184" s="1142"/>
      <c r="Q184" s="1143"/>
      <c r="R184" s="1143"/>
      <c r="S184" s="1143"/>
      <c r="T184" s="1143"/>
      <c r="U184" s="1144"/>
    </row>
    <row r="185" spans="1:30" ht="16" outlineLevel="1" thickBot="1">
      <c r="B185" s="541"/>
      <c r="C185" s="552"/>
      <c r="D185" s="552"/>
      <c r="E185" s="552"/>
      <c r="F185" s="552"/>
      <c r="G185" s="553"/>
      <c r="H185" s="553"/>
      <c r="I185" s="553"/>
      <c r="J185" s="553"/>
      <c r="K185" s="547"/>
      <c r="L185" s="548"/>
      <c r="M185" s="450"/>
      <c r="N185" s="361"/>
      <c r="P185" s="1134"/>
      <c r="Q185" s="1135"/>
      <c r="R185" s="1135"/>
      <c r="S185" s="1135"/>
      <c r="T185" s="1135"/>
      <c r="U185" s="1136"/>
    </row>
    <row r="186" spans="1:30" outlineLevel="1">
      <c r="B186" s="541"/>
      <c r="C186" s="554"/>
      <c r="D186" s="554"/>
      <c r="E186" s="554"/>
      <c r="F186" s="554"/>
      <c r="G186" s="553"/>
      <c r="H186" s="553"/>
      <c r="I186" s="553"/>
      <c r="J186" s="553"/>
      <c r="K186" s="555"/>
      <c r="L186" s="548"/>
      <c r="M186" s="363"/>
      <c r="N186" s="363"/>
      <c r="P186" s="53"/>
    </row>
    <row r="187" spans="1:30" outlineLevel="1">
      <c r="B187" s="441"/>
      <c r="C187" s="456"/>
      <c r="D187" s="456"/>
      <c r="E187" s="456"/>
      <c r="F187" s="456"/>
      <c r="G187" s="425"/>
      <c r="H187" s="425"/>
      <c r="I187" s="425"/>
      <c r="J187" s="425"/>
      <c r="K187" s="444"/>
      <c r="L187" s="424"/>
      <c r="M187" s="367"/>
      <c r="N187" s="367"/>
      <c r="P187" s="46"/>
      <c r="Q187" s="46"/>
      <c r="R187" s="47"/>
      <c r="S187" s="47"/>
      <c r="T187" s="47"/>
      <c r="U187" s="48"/>
      <c r="V187" s="49"/>
      <c r="W187" s="49"/>
      <c r="X187" s="49"/>
      <c r="Y187" s="49"/>
      <c r="Z187" s="49"/>
      <c r="AA187" s="49"/>
      <c r="AB187" s="49"/>
      <c r="AC187" s="49"/>
      <c r="AD187" s="49"/>
    </row>
    <row r="188" spans="1:30" ht="16" outlineLevel="1" thickBot="1">
      <c r="B188" s="441"/>
      <c r="C188" s="442"/>
      <c r="D188" s="457"/>
      <c r="E188" s="457"/>
      <c r="F188" s="458"/>
      <c r="G188" s="425"/>
      <c r="H188" s="425"/>
      <c r="I188" s="425"/>
      <c r="J188" s="425"/>
      <c r="K188" s="448"/>
      <c r="L188" s="424"/>
      <c r="M188" s="363"/>
      <c r="N188" s="363"/>
      <c r="P188" s="50"/>
      <c r="Q188" s="50"/>
      <c r="R188" s="51"/>
      <c r="S188" s="51"/>
      <c r="T188" s="51"/>
      <c r="U188" s="51"/>
      <c r="V188" s="50"/>
      <c r="W188" s="50"/>
      <c r="X188" s="50"/>
      <c r="Y188" s="50"/>
      <c r="Z188" s="50"/>
      <c r="AA188" s="50"/>
      <c r="AB188" s="50"/>
      <c r="AC188" s="50"/>
      <c r="AD188" s="50"/>
    </row>
    <row r="189" spans="1:30" ht="16" outlineLevel="1" thickBot="1">
      <c r="B189" s="401"/>
      <c r="C189" s="402"/>
      <c r="D189" s="403"/>
      <c r="E189" s="404"/>
      <c r="F189" s="405"/>
      <c r="G189" s="406"/>
      <c r="H189" s="406"/>
      <c r="I189" s="406"/>
      <c r="J189" s="406"/>
      <c r="K189" s="459"/>
      <c r="L189" s="460"/>
      <c r="M189" s="363"/>
      <c r="N189" s="363"/>
      <c r="O189" s="461"/>
      <c r="P189" s="56"/>
      <c r="Q189" s="56"/>
      <c r="R189" s="57"/>
      <c r="S189" s="57"/>
      <c r="T189" s="57"/>
      <c r="U189" s="56"/>
      <c r="V189" s="56"/>
      <c r="W189" s="56"/>
      <c r="X189" s="56"/>
      <c r="Y189" s="56"/>
      <c r="Z189" s="56"/>
      <c r="AA189" s="56"/>
      <c r="AB189" s="56"/>
      <c r="AC189" s="56"/>
      <c r="AD189" s="56"/>
    </row>
    <row r="190" spans="1:30" outlineLevel="1">
      <c r="B190" s="556"/>
      <c r="C190" s="557"/>
      <c r="D190" s="557"/>
      <c r="E190" s="557"/>
      <c r="F190" s="557"/>
      <c r="G190" s="558"/>
      <c r="H190" s="558"/>
      <c r="I190" s="558"/>
      <c r="J190" s="558"/>
      <c r="K190" s="558"/>
      <c r="L190" s="559"/>
      <c r="M190" s="363"/>
      <c r="N190" s="363"/>
      <c r="O190" s="465"/>
      <c r="P190" s="466"/>
      <c r="Q190" s="58"/>
      <c r="R190" s="466"/>
      <c r="S190" s="58"/>
      <c r="T190" s="466"/>
      <c r="U190" s="467"/>
      <c r="V190" s="467"/>
      <c r="W190" s="467"/>
      <c r="X190" s="58"/>
      <c r="Y190" s="58"/>
      <c r="Z190" s="466"/>
      <c r="AA190" s="468"/>
      <c r="AB190" s="468"/>
      <c r="AC190" s="468"/>
      <c r="AD190" s="468"/>
    </row>
    <row r="191" spans="1:30" outlineLevel="1">
      <c r="B191" s="541"/>
      <c r="C191" s="560"/>
      <c r="D191" s="561"/>
      <c r="E191" s="561"/>
      <c r="F191" s="562"/>
      <c r="G191" s="562"/>
      <c r="H191" s="562"/>
      <c r="I191" s="562"/>
      <c r="J191" s="562"/>
      <c r="K191" s="563"/>
      <c r="L191" s="559"/>
      <c r="M191" s="363"/>
      <c r="N191" s="363"/>
      <c r="O191" s="465"/>
      <c r="P191" s="466"/>
      <c r="Q191" s="58"/>
      <c r="R191" s="466"/>
      <c r="S191" s="58"/>
      <c r="T191" s="466"/>
      <c r="U191" s="467"/>
      <c r="V191" s="467"/>
      <c r="W191" s="467"/>
      <c r="X191" s="58"/>
      <c r="Y191" s="58"/>
      <c r="Z191" s="466"/>
      <c r="AA191" s="468"/>
      <c r="AB191" s="468"/>
      <c r="AC191" s="468"/>
      <c r="AD191" s="468"/>
    </row>
    <row r="192" spans="1:30" outlineLevel="1">
      <c r="B192" s="541"/>
      <c r="C192" s="560"/>
      <c r="D192" s="561"/>
      <c r="E192" s="561"/>
      <c r="F192" s="562"/>
      <c r="G192" s="562"/>
      <c r="H192" s="562"/>
      <c r="I192" s="562"/>
      <c r="J192" s="562"/>
      <c r="K192" s="563"/>
      <c r="L192" s="559"/>
      <c r="M192" s="363"/>
      <c r="N192" s="363"/>
      <c r="O192" s="465"/>
      <c r="P192" s="466"/>
      <c r="Q192" s="58"/>
      <c r="R192" s="466"/>
      <c r="S192" s="58"/>
      <c r="T192" s="466"/>
      <c r="U192" s="467"/>
      <c r="V192" s="467"/>
      <c r="W192" s="467"/>
      <c r="X192" s="58"/>
      <c r="Y192" s="58"/>
      <c r="Z192" s="466"/>
      <c r="AA192" s="468"/>
      <c r="AB192" s="468"/>
      <c r="AC192" s="468"/>
      <c r="AD192" s="468"/>
    </row>
    <row r="193" spans="1:30" outlineLevel="1">
      <c r="B193" s="541"/>
      <c r="C193" s="564"/>
      <c r="D193" s="564"/>
      <c r="E193" s="564"/>
      <c r="F193" s="564"/>
      <c r="G193" s="565"/>
      <c r="H193" s="565"/>
      <c r="I193" s="565"/>
      <c r="J193" s="565"/>
      <c r="K193" s="565"/>
      <c r="L193" s="548"/>
      <c r="M193" s="363"/>
      <c r="N193" s="363"/>
      <c r="O193" s="465"/>
      <c r="P193" s="466"/>
      <c r="Q193" s="58"/>
      <c r="R193" s="466"/>
      <c r="S193" s="58"/>
      <c r="T193" s="466"/>
      <c r="U193" s="467"/>
      <c r="V193" s="467"/>
      <c r="W193" s="467"/>
      <c r="X193" s="58"/>
      <c r="Y193" s="58"/>
      <c r="Z193" s="466"/>
      <c r="AA193" s="468"/>
      <c r="AB193" s="468"/>
      <c r="AC193" s="468"/>
      <c r="AD193" s="468"/>
    </row>
    <row r="194" spans="1:30" outlineLevel="1">
      <c r="B194" s="566"/>
      <c r="C194" s="560"/>
      <c r="D194" s="561"/>
      <c r="E194" s="561"/>
      <c r="F194" s="562"/>
      <c r="G194" s="562"/>
      <c r="H194" s="562"/>
      <c r="I194" s="562"/>
      <c r="J194" s="562"/>
      <c r="K194" s="563"/>
      <c r="L194" s="559"/>
      <c r="M194" s="367"/>
      <c r="N194" s="367"/>
    </row>
    <row r="195" spans="1:30" outlineLevel="1">
      <c r="B195" s="566"/>
      <c r="C195" s="560"/>
      <c r="D195" s="561"/>
      <c r="E195" s="561"/>
      <c r="F195" s="562"/>
      <c r="G195" s="562"/>
      <c r="H195" s="562"/>
      <c r="I195" s="562"/>
      <c r="J195" s="562"/>
      <c r="K195" s="563"/>
      <c r="L195" s="559"/>
      <c r="M195" s="363"/>
      <c r="N195" s="363"/>
    </row>
    <row r="196" spans="1:30" ht="16" outlineLevel="1" thickBot="1">
      <c r="B196" s="567"/>
      <c r="C196" s="568"/>
      <c r="D196" s="568"/>
      <c r="E196" s="568"/>
      <c r="F196" s="568"/>
      <c r="G196" s="568"/>
      <c r="H196" s="568"/>
      <c r="I196" s="568"/>
      <c r="J196" s="568"/>
      <c r="K196" s="568"/>
      <c r="L196" s="569"/>
      <c r="M196" s="363"/>
      <c r="N196" s="363"/>
    </row>
    <row r="197" spans="1:30" outlineLevel="1">
      <c r="B197" s="461"/>
      <c r="C197" s="483"/>
      <c r="D197" s="483"/>
      <c r="E197" s="483"/>
      <c r="F197" s="483"/>
      <c r="G197" s="483"/>
      <c r="H197" s="484"/>
      <c r="I197" s="420"/>
      <c r="J197" s="420"/>
      <c r="K197" s="484"/>
      <c r="L197" s="484"/>
      <c r="N197" s="420"/>
    </row>
    <row r="198" spans="1:30" outlineLevel="1">
      <c r="B198" s="485"/>
      <c r="C198" s="486"/>
      <c r="D198" s="486"/>
      <c r="E198" s="486"/>
      <c r="F198" s="486"/>
      <c r="G198" s="486"/>
      <c r="H198" s="484"/>
      <c r="I198" s="71"/>
      <c r="J198" s="420"/>
      <c r="K198" s="484"/>
      <c r="L198" s="484"/>
      <c r="N198" s="420"/>
    </row>
    <row r="199" spans="1:30" outlineLevel="1">
      <c r="B199" s="461"/>
      <c r="C199" s="359"/>
      <c r="D199" s="359"/>
      <c r="E199" s="359"/>
      <c r="F199" s="359"/>
      <c r="G199" s="359"/>
      <c r="I199" s="420"/>
      <c r="J199" s="420"/>
      <c r="N199" s="420"/>
    </row>
    <row r="200" spans="1:30" outlineLevel="1">
      <c r="B200" s="461"/>
      <c r="C200" s="487"/>
      <c r="D200" s="487"/>
      <c r="E200" s="487"/>
      <c r="F200" s="487"/>
      <c r="G200" s="359"/>
      <c r="M200" s="420"/>
      <c r="N200" s="420"/>
    </row>
    <row r="201" spans="1:30" outlineLevel="1"/>
    <row r="202" spans="1:30" outlineLevel="1">
      <c r="A202" s="488"/>
      <c r="B202" s="489"/>
      <c r="D202" s="490"/>
      <c r="E202" s="490"/>
      <c r="F202" s="490"/>
      <c r="G202" s="358"/>
      <c r="H202" s="358"/>
      <c r="I202" s="358"/>
      <c r="J202" s="358"/>
      <c r="K202" s="358"/>
      <c r="L202" s="358"/>
      <c r="N202" s="570"/>
      <c r="O202" s="489"/>
      <c r="P202" s="490"/>
    </row>
    <row r="203" spans="1:30" outlineLevel="1">
      <c r="A203" s="491"/>
      <c r="B203" s="492"/>
      <c r="D203" s="490"/>
      <c r="E203" s="490"/>
      <c r="F203" s="490"/>
      <c r="G203" s="358"/>
      <c r="H203" s="358"/>
      <c r="I203" s="358"/>
      <c r="J203" s="358"/>
      <c r="K203" s="358"/>
      <c r="L203" s="358"/>
      <c r="N203" s="570"/>
      <c r="O203" s="489"/>
      <c r="P203" s="490"/>
    </row>
    <row r="204" spans="1:30" outlineLevel="1">
      <c r="A204" s="491"/>
      <c r="B204" s="493"/>
      <c r="D204" s="490"/>
      <c r="E204" s="490"/>
      <c r="F204" s="490"/>
      <c r="G204" s="358"/>
      <c r="H204" s="358"/>
      <c r="I204" s="358"/>
      <c r="J204" s="358"/>
      <c r="K204" s="358"/>
      <c r="L204" s="358"/>
      <c r="N204" s="570"/>
      <c r="O204" s="489"/>
      <c r="P204" s="490"/>
    </row>
    <row r="205" spans="1:30" outlineLevel="1">
      <c r="A205" s="491"/>
      <c r="B205" s="493"/>
      <c r="D205" s="490"/>
      <c r="E205" s="490"/>
      <c r="F205" s="490"/>
      <c r="G205" s="358"/>
      <c r="H205" s="358"/>
      <c r="I205" s="358"/>
      <c r="J205" s="358"/>
      <c r="K205" s="358"/>
      <c r="L205" s="358"/>
      <c r="N205" s="570"/>
      <c r="O205" s="489"/>
      <c r="P205" s="490"/>
    </row>
    <row r="206" spans="1:30" outlineLevel="1">
      <c r="A206" s="491"/>
      <c r="B206" s="493"/>
      <c r="D206" s="490"/>
      <c r="E206" s="490"/>
      <c r="F206" s="490"/>
      <c r="G206" s="358"/>
      <c r="H206" s="358"/>
      <c r="I206" s="358"/>
      <c r="J206" s="358"/>
      <c r="K206" s="358"/>
      <c r="L206" s="358"/>
      <c r="N206" s="570"/>
      <c r="O206" s="489"/>
      <c r="P206" s="490"/>
    </row>
    <row r="207" spans="1:30" outlineLevel="1">
      <c r="A207" s="358"/>
      <c r="B207" s="494"/>
      <c r="D207" s="490"/>
      <c r="E207" s="490"/>
      <c r="F207" s="490"/>
      <c r="G207" s="358"/>
      <c r="H207" s="358"/>
      <c r="I207" s="358"/>
      <c r="J207" s="358"/>
      <c r="K207" s="358"/>
      <c r="L207" s="358"/>
    </row>
    <row r="208" spans="1:30" outlineLevel="1">
      <c r="A208" s="358"/>
      <c r="B208" s="492"/>
      <c r="D208" s="490"/>
      <c r="E208" s="490"/>
      <c r="F208" s="490"/>
      <c r="G208" s="358"/>
      <c r="H208" s="358"/>
      <c r="I208" s="358"/>
      <c r="J208" s="358"/>
      <c r="K208" s="358"/>
      <c r="L208" s="358"/>
    </row>
    <row r="209" spans="1:16" outlineLevel="1">
      <c r="A209" s="358"/>
      <c r="B209" s="495"/>
      <c r="D209" s="490"/>
      <c r="E209" s="490"/>
      <c r="F209" s="490"/>
      <c r="G209" s="358"/>
      <c r="H209" s="358"/>
      <c r="I209" s="358"/>
      <c r="J209" s="358"/>
      <c r="K209" s="358"/>
      <c r="L209" s="358"/>
    </row>
    <row r="210" spans="1:16" outlineLevel="1">
      <c r="A210" s="358"/>
      <c r="B210" s="495"/>
      <c r="D210" s="490"/>
      <c r="E210" s="490"/>
      <c r="F210" s="490"/>
      <c r="G210" s="358"/>
      <c r="H210" s="358"/>
      <c r="I210" s="358"/>
      <c r="J210" s="358"/>
      <c r="K210" s="358"/>
      <c r="L210" s="358"/>
    </row>
    <row r="211" spans="1:16" outlineLevel="1">
      <c r="A211" s="358"/>
      <c r="B211" s="489"/>
      <c r="D211" s="490"/>
      <c r="E211" s="490"/>
      <c r="F211" s="490"/>
      <c r="G211" s="358"/>
      <c r="H211" s="358"/>
      <c r="I211" s="358"/>
      <c r="J211" s="358"/>
      <c r="K211" s="358"/>
      <c r="L211" s="358"/>
    </row>
    <row r="212" spans="1:16" outlineLevel="1">
      <c r="A212" s="358"/>
      <c r="B212" s="490"/>
      <c r="D212" s="490"/>
      <c r="E212" s="490"/>
      <c r="F212" s="490"/>
      <c r="G212" s="358"/>
      <c r="H212" s="358"/>
      <c r="I212" s="358"/>
      <c r="J212" s="358"/>
      <c r="K212" s="358"/>
      <c r="L212" s="358"/>
    </row>
    <row r="213" spans="1:16" outlineLevel="1">
      <c r="A213" s="488"/>
      <c r="B213" s="489"/>
      <c r="D213" s="490"/>
      <c r="E213" s="490"/>
      <c r="F213" s="490"/>
      <c r="G213" s="358"/>
      <c r="H213" s="358"/>
      <c r="I213" s="358"/>
      <c r="J213" s="358"/>
      <c r="K213" s="358"/>
      <c r="L213" s="358"/>
    </row>
    <row r="214" spans="1:16" outlineLevel="1">
      <c r="A214" s="496"/>
      <c r="B214" s="497"/>
      <c r="C214" s="490"/>
      <c r="D214" s="490"/>
      <c r="E214" s="490"/>
      <c r="F214" s="490"/>
      <c r="G214" s="358"/>
      <c r="H214" s="358"/>
      <c r="I214" s="358"/>
      <c r="J214" s="358"/>
      <c r="K214" s="358"/>
      <c r="L214" s="358"/>
      <c r="N214" s="570"/>
      <c r="O214" s="489"/>
      <c r="P214" s="490"/>
    </row>
    <row r="215" spans="1:16" outlineLevel="1">
      <c r="A215" s="496"/>
      <c r="B215" s="489"/>
      <c r="C215" s="490"/>
      <c r="D215" s="490"/>
      <c r="E215" s="490"/>
      <c r="F215" s="490"/>
      <c r="G215" s="358"/>
      <c r="H215" s="358"/>
      <c r="I215" s="358"/>
      <c r="J215" s="358"/>
      <c r="K215" s="358"/>
      <c r="L215" s="358"/>
      <c r="N215" s="571"/>
      <c r="O215" s="489"/>
      <c r="P215" s="490"/>
    </row>
    <row r="216" spans="1:16" outlineLevel="1">
      <c r="A216" s="496"/>
      <c r="B216" s="489"/>
      <c r="C216" s="490"/>
      <c r="D216" s="490"/>
      <c r="E216" s="490"/>
      <c r="F216" s="490"/>
      <c r="G216" s="358"/>
      <c r="H216" s="358"/>
      <c r="I216" s="358"/>
      <c r="J216" s="358"/>
      <c r="K216" s="358"/>
      <c r="L216" s="358"/>
      <c r="N216" s="572"/>
      <c r="O216" s="489"/>
      <c r="P216" s="490"/>
    </row>
    <row r="217" spans="1:16" outlineLevel="1">
      <c r="A217" s="496"/>
      <c r="B217" s="489"/>
      <c r="C217" s="490"/>
      <c r="D217" s="490"/>
      <c r="E217" s="490"/>
      <c r="F217" s="490"/>
      <c r="G217" s="358"/>
      <c r="H217" s="358"/>
      <c r="I217" s="358"/>
      <c r="J217" s="358"/>
      <c r="K217" s="358"/>
      <c r="L217" s="358"/>
      <c r="N217" s="573"/>
      <c r="O217" s="489"/>
      <c r="P217" s="490"/>
    </row>
    <row r="218" spans="1:16" outlineLevel="1">
      <c r="A218" s="496"/>
      <c r="B218" s="498"/>
      <c r="C218" s="490"/>
      <c r="D218" s="490"/>
      <c r="E218" s="490"/>
      <c r="F218" s="490"/>
      <c r="G218" s="358"/>
      <c r="H218" s="358"/>
      <c r="I218" s="358"/>
      <c r="J218" s="358"/>
      <c r="K218" s="358"/>
      <c r="L218" s="358"/>
      <c r="N218" s="573"/>
      <c r="O218" s="490"/>
      <c r="P218" s="490"/>
    </row>
    <row r="219" spans="1:16" outlineLevel="1">
      <c r="A219" s="496"/>
      <c r="B219" s="489"/>
      <c r="C219" s="490"/>
      <c r="D219" s="490"/>
      <c r="E219" s="490"/>
      <c r="F219" s="490"/>
      <c r="G219" s="358"/>
      <c r="H219" s="358"/>
      <c r="I219" s="358"/>
      <c r="J219" s="358"/>
      <c r="K219" s="358"/>
      <c r="L219" s="358"/>
      <c r="N219" s="489"/>
      <c r="O219" s="490"/>
      <c r="P219" s="490"/>
    </row>
    <row r="220" spans="1:16" outlineLevel="1">
      <c r="A220" s="496"/>
      <c r="B220" s="489"/>
      <c r="C220" s="490"/>
      <c r="D220" s="490"/>
      <c r="E220" s="490"/>
      <c r="F220" s="490"/>
      <c r="G220" s="358"/>
      <c r="H220" s="358"/>
      <c r="I220" s="358"/>
      <c r="J220" s="358"/>
      <c r="K220" s="358"/>
      <c r="L220" s="358"/>
      <c r="N220" s="490"/>
      <c r="O220" s="490"/>
      <c r="P220" s="490"/>
    </row>
    <row r="221" spans="1:16" outlineLevel="1"/>
    <row r="222" spans="1:16" outlineLevel="1"/>
    <row r="224" spans="1:16" ht="16" thickBot="1">
      <c r="A224" s="360"/>
    </row>
    <row r="225" spans="2:44" ht="20.5" customHeight="1" outlineLevel="1" thickBot="1">
      <c r="B225" s="362"/>
      <c r="C225" s="1186"/>
      <c r="D225" s="1205"/>
      <c r="E225" s="1205"/>
      <c r="F225" s="1205"/>
      <c r="G225" s="1205"/>
      <c r="H225" s="1205"/>
      <c r="I225" s="1205"/>
      <c r="J225" s="1205"/>
      <c r="K225" s="1205"/>
      <c r="L225" s="1206"/>
      <c r="M225" s="363"/>
      <c r="N225" s="363"/>
      <c r="P225" s="364"/>
      <c r="Q225" s="365"/>
      <c r="R225" s="366"/>
      <c r="S225" s="1176"/>
      <c r="T225" s="1160"/>
      <c r="U225" s="1161"/>
      <c r="V225" s="1160"/>
      <c r="W225" s="1161"/>
      <c r="X225" s="1160"/>
      <c r="Y225" s="1161"/>
      <c r="Z225" s="1160"/>
      <c r="AA225" s="1161"/>
      <c r="AB225" s="1160"/>
      <c r="AC225" s="1161"/>
      <c r="AE225" s="364"/>
      <c r="AF225" s="365"/>
      <c r="AG225" s="366"/>
      <c r="AH225" s="1176"/>
      <c r="AI225" s="1160"/>
      <c r="AJ225" s="1161"/>
      <c r="AK225" s="1160"/>
      <c r="AL225" s="1161"/>
      <c r="AM225" s="1160"/>
      <c r="AN225" s="1161"/>
      <c r="AO225" s="1160"/>
      <c r="AP225" s="1161"/>
      <c r="AQ225" s="1160"/>
      <c r="AR225" s="1161"/>
    </row>
    <row r="226" spans="2:44" ht="15" customHeight="1" outlineLevel="1" thickBot="1">
      <c r="B226" s="1164"/>
      <c r="C226" s="1166"/>
      <c r="D226" s="1166"/>
      <c r="E226" s="1166"/>
      <c r="F226" s="1166"/>
      <c r="G226" s="1168"/>
      <c r="H226" s="1169"/>
      <c r="I226" s="1168"/>
      <c r="J226" s="1169"/>
      <c r="K226" s="1189"/>
      <c r="L226" s="1189"/>
      <c r="M226" s="367"/>
      <c r="N226" s="367"/>
      <c r="P226" s="1180"/>
      <c r="Q226" s="368"/>
      <c r="R226" s="368"/>
      <c r="S226" s="1177"/>
      <c r="T226" s="1162"/>
      <c r="U226" s="1163"/>
      <c r="V226" s="1162"/>
      <c r="W226" s="1163"/>
      <c r="X226" s="1162"/>
      <c r="Y226" s="1163"/>
      <c r="Z226" s="1162"/>
      <c r="AA226" s="1163"/>
      <c r="AB226" s="1162"/>
      <c r="AC226" s="1163"/>
      <c r="AE226" s="1180"/>
      <c r="AF226" s="368"/>
      <c r="AG226" s="368"/>
      <c r="AH226" s="1177"/>
      <c r="AI226" s="1162"/>
      <c r="AJ226" s="1163"/>
      <c r="AK226" s="1162"/>
      <c r="AL226" s="1163"/>
      <c r="AM226" s="1162"/>
      <c r="AN226" s="1163"/>
      <c r="AO226" s="1162"/>
      <c r="AP226" s="1163"/>
      <c r="AQ226" s="1162"/>
      <c r="AR226" s="1163"/>
    </row>
    <row r="227" spans="2:44" ht="15" customHeight="1" outlineLevel="1" thickBot="1">
      <c r="B227" s="1165"/>
      <c r="C227" s="1167"/>
      <c r="D227" s="1167"/>
      <c r="E227" s="1167"/>
      <c r="F227" s="1167"/>
      <c r="G227" s="406"/>
      <c r="H227" s="406"/>
      <c r="I227" s="406"/>
      <c r="J227" s="406"/>
      <c r="K227" s="1190"/>
      <c r="L227" s="1190"/>
      <c r="M227" s="370"/>
      <c r="N227" s="370"/>
      <c r="P227" s="1181"/>
      <c r="Q227" s="1183"/>
      <c r="R227" s="1184"/>
      <c r="S227" s="1178"/>
      <c r="T227" s="1162"/>
      <c r="U227" s="1163"/>
      <c r="V227" s="1162"/>
      <c r="W227" s="1163"/>
      <c r="X227" s="1162"/>
      <c r="Y227" s="1163"/>
      <c r="Z227" s="1162"/>
      <c r="AA227" s="1163"/>
      <c r="AB227" s="1162"/>
      <c r="AC227" s="1163"/>
      <c r="AE227" s="1181"/>
      <c r="AF227" s="1197"/>
      <c r="AG227" s="1184"/>
      <c r="AH227" s="1178"/>
      <c r="AI227" s="1162"/>
      <c r="AJ227" s="1163"/>
      <c r="AK227" s="1162"/>
      <c r="AL227" s="1163"/>
      <c r="AM227" s="1162"/>
      <c r="AN227" s="1163"/>
      <c r="AO227" s="1162"/>
      <c r="AP227" s="1163"/>
      <c r="AQ227" s="1162"/>
      <c r="AR227" s="1163"/>
    </row>
    <row r="228" spans="2:44" ht="16" outlineLevel="1" thickBot="1">
      <c r="B228" s="371"/>
      <c r="C228" s="372"/>
      <c r="D228" s="372"/>
      <c r="E228" s="372"/>
      <c r="F228" s="372"/>
      <c r="G228" s="372"/>
      <c r="H228" s="372"/>
      <c r="I228" s="372"/>
      <c r="J228" s="372"/>
      <c r="K228" s="372"/>
      <c r="L228" s="373"/>
      <c r="M228" s="370"/>
      <c r="N228" s="370"/>
      <c r="O228" s="74"/>
      <c r="P228" s="1182"/>
      <c r="Q228" s="1179"/>
      <c r="R228" s="1185"/>
      <c r="S228" s="1179"/>
      <c r="T228" s="374"/>
      <c r="U228" s="375"/>
      <c r="V228" s="374"/>
      <c r="W228" s="375"/>
      <c r="X228" s="374"/>
      <c r="Y228" s="375"/>
      <c r="Z228" s="374"/>
      <c r="AA228" s="375"/>
      <c r="AB228" s="374"/>
      <c r="AC228" s="375"/>
      <c r="AE228" s="1182"/>
      <c r="AF228" s="1198"/>
      <c r="AG228" s="1185"/>
      <c r="AH228" s="1179"/>
      <c r="AI228" s="374"/>
      <c r="AJ228" s="375"/>
      <c r="AK228" s="374"/>
      <c r="AL228" s="375"/>
      <c r="AM228" s="374"/>
      <c r="AN228" s="375"/>
      <c r="AO228" s="374"/>
      <c r="AP228" s="375"/>
      <c r="AQ228" s="374"/>
      <c r="AR228" s="375"/>
    </row>
    <row r="229" spans="2:44" ht="14.5" customHeight="1" outlineLevel="1">
      <c r="B229" s="541"/>
      <c r="C229" s="542"/>
      <c r="D229" s="542"/>
      <c r="E229" s="543"/>
      <c r="F229" s="542"/>
      <c r="G229" s="542"/>
      <c r="H229" s="542"/>
      <c r="I229" s="542"/>
      <c r="J229" s="542"/>
      <c r="K229" s="547"/>
      <c r="L229" s="548"/>
      <c r="M229" s="370"/>
      <c r="N229" s="370"/>
      <c r="P229" s="1148"/>
      <c r="Q229" s="1154"/>
      <c r="R229" s="381"/>
      <c r="S229" s="382"/>
      <c r="T229" s="1137"/>
      <c r="U229" s="1151"/>
      <c r="V229" s="1137"/>
      <c r="W229" s="1151"/>
      <c r="X229" s="1137"/>
      <c r="Y229" s="1151"/>
      <c r="Z229" s="1137"/>
      <c r="AA229" s="1151"/>
      <c r="AB229" s="1137"/>
      <c r="AC229" s="1151"/>
      <c r="AE229" s="1148"/>
      <c r="AF229" s="1154"/>
      <c r="AG229" s="381"/>
      <c r="AH229" s="382"/>
      <c r="AI229" s="1137"/>
      <c r="AJ229" s="1151"/>
      <c r="AK229" s="1137"/>
      <c r="AL229" s="1151"/>
      <c r="AM229" s="1137"/>
      <c r="AN229" s="1151"/>
      <c r="AO229" s="1137"/>
      <c r="AP229" s="1151"/>
      <c r="AQ229" s="1137"/>
      <c r="AR229" s="1151"/>
    </row>
    <row r="230" spans="2:44" outlineLevel="1">
      <c r="B230" s="383"/>
      <c r="C230" s="384"/>
      <c r="D230" s="384"/>
      <c r="E230" s="384"/>
      <c r="F230" s="384"/>
      <c r="G230" s="505"/>
      <c r="H230" s="505"/>
      <c r="I230" s="505"/>
      <c r="J230" s="505"/>
      <c r="K230" s="372"/>
      <c r="L230" s="373"/>
      <c r="M230" s="370"/>
      <c r="N230" s="370"/>
      <c r="O230" s="71"/>
      <c r="P230" s="1195"/>
      <c r="Q230" s="1155"/>
      <c r="R230" s="388"/>
      <c r="S230" s="389"/>
      <c r="T230" s="1140"/>
      <c r="U230" s="1152"/>
      <c r="V230" s="1140"/>
      <c r="W230" s="1152"/>
      <c r="X230" s="1140"/>
      <c r="Y230" s="1152"/>
      <c r="Z230" s="1140"/>
      <c r="AA230" s="1152"/>
      <c r="AB230" s="1140"/>
      <c r="AC230" s="1152"/>
      <c r="AE230" s="1195"/>
      <c r="AF230" s="1155"/>
      <c r="AG230" s="388"/>
      <c r="AH230" s="389"/>
      <c r="AI230" s="1140"/>
      <c r="AJ230" s="1152"/>
      <c r="AK230" s="1140"/>
      <c r="AL230" s="1152"/>
      <c r="AM230" s="1140"/>
      <c r="AN230" s="1152"/>
      <c r="AO230" s="1140"/>
      <c r="AP230" s="1152"/>
      <c r="AQ230" s="1140"/>
      <c r="AR230" s="1152"/>
    </row>
    <row r="231" spans="2:44" ht="16" outlineLevel="1" thickBot="1">
      <c r="B231" s="541"/>
      <c r="C231" s="544"/>
      <c r="D231" s="545"/>
      <c r="E231" s="545"/>
      <c r="F231" s="546"/>
      <c r="G231" s="545"/>
      <c r="H231" s="545"/>
      <c r="I231" s="545"/>
      <c r="J231" s="545"/>
      <c r="K231" s="547"/>
      <c r="L231" s="548"/>
      <c r="M231" s="370"/>
      <c r="N231" s="370"/>
      <c r="O231" s="71"/>
      <c r="P231" s="1195"/>
      <c r="Q231" s="1156"/>
      <c r="R231" s="393"/>
      <c r="S231" s="394"/>
      <c r="T231" s="1141"/>
      <c r="U231" s="1153"/>
      <c r="V231" s="1141"/>
      <c r="W231" s="1153"/>
      <c r="X231" s="1141"/>
      <c r="Y231" s="1153"/>
      <c r="Z231" s="1141"/>
      <c r="AA231" s="1153"/>
      <c r="AB231" s="1141"/>
      <c r="AC231" s="1153"/>
      <c r="AE231" s="1195"/>
      <c r="AF231" s="1156"/>
      <c r="AG231" s="393"/>
      <c r="AH231" s="394"/>
      <c r="AI231" s="1141"/>
      <c r="AJ231" s="1153"/>
      <c r="AK231" s="1141"/>
      <c r="AL231" s="1153"/>
      <c r="AM231" s="1141"/>
      <c r="AN231" s="1153"/>
      <c r="AO231" s="1141"/>
      <c r="AP231" s="1153"/>
      <c r="AQ231" s="1141"/>
      <c r="AR231" s="1153"/>
    </row>
    <row r="232" spans="2:44" ht="14.5" customHeight="1" outlineLevel="1">
      <c r="B232" s="541"/>
      <c r="C232" s="544"/>
      <c r="D232" s="544"/>
      <c r="E232" s="544"/>
      <c r="F232" s="544"/>
      <c r="G232" s="544"/>
      <c r="H232" s="544"/>
      <c r="I232" s="544"/>
      <c r="J232" s="544"/>
      <c r="K232" s="547"/>
      <c r="L232" s="548"/>
      <c r="M232" s="370"/>
      <c r="N232" s="370"/>
      <c r="O232" s="71"/>
      <c r="P232" s="1195"/>
      <c r="Q232" s="1154"/>
      <c r="R232" s="395"/>
      <c r="S232" s="396"/>
      <c r="T232" s="1137"/>
      <c r="U232" s="1137"/>
      <c r="V232" s="1137"/>
      <c r="W232" s="1137"/>
      <c r="X232" s="1137"/>
      <c r="Y232" s="1137"/>
      <c r="Z232" s="1137"/>
      <c r="AA232" s="1137"/>
      <c r="AB232" s="1137"/>
      <c r="AC232" s="1137"/>
      <c r="AE232" s="1195"/>
      <c r="AF232" s="1154"/>
      <c r="AG232" s="395"/>
      <c r="AH232" s="396"/>
      <c r="AI232" s="1137"/>
      <c r="AJ232" s="1137"/>
      <c r="AK232" s="1137"/>
      <c r="AL232" s="1137"/>
      <c r="AM232" s="1137"/>
      <c r="AN232" s="1137"/>
      <c r="AO232" s="1137"/>
      <c r="AP232" s="1137"/>
      <c r="AQ232" s="1137"/>
      <c r="AR232" s="1137"/>
    </row>
    <row r="233" spans="2:44" outlineLevel="1">
      <c r="B233" s="541"/>
      <c r="C233" s="544"/>
      <c r="D233" s="544"/>
      <c r="E233" s="544"/>
      <c r="F233" s="544"/>
      <c r="G233" s="544"/>
      <c r="H233" s="544"/>
      <c r="I233" s="544"/>
      <c r="J233" s="544"/>
      <c r="K233" s="547"/>
      <c r="L233" s="548"/>
      <c r="M233" s="367"/>
      <c r="N233" s="367"/>
      <c r="O233" s="71"/>
      <c r="P233" s="1195"/>
      <c r="Q233" s="1155"/>
      <c r="R233" s="395"/>
      <c r="S233" s="396"/>
      <c r="T233" s="1138"/>
      <c r="U233" s="1138"/>
      <c r="V233" s="1138"/>
      <c r="W233" s="1138"/>
      <c r="X233" s="1138"/>
      <c r="Y233" s="1138"/>
      <c r="Z233" s="1138"/>
      <c r="AA233" s="1138"/>
      <c r="AB233" s="1138"/>
      <c r="AC233" s="1138"/>
      <c r="AE233" s="1195"/>
      <c r="AF233" s="1155"/>
      <c r="AG233" s="395"/>
      <c r="AH233" s="396"/>
      <c r="AI233" s="1138"/>
      <c r="AJ233" s="1138"/>
      <c r="AK233" s="1138"/>
      <c r="AL233" s="1138"/>
      <c r="AM233" s="1138"/>
      <c r="AN233" s="1138"/>
      <c r="AO233" s="1138"/>
      <c r="AP233" s="1138"/>
      <c r="AQ233" s="1138"/>
      <c r="AR233" s="1138"/>
    </row>
    <row r="234" spans="2:44" outlineLevel="1">
      <c r="B234" s="383"/>
      <c r="C234" s="397"/>
      <c r="D234" s="397"/>
      <c r="E234" s="397"/>
      <c r="F234" s="397"/>
      <c r="G234" s="399"/>
      <c r="H234" s="399"/>
      <c r="I234" s="399"/>
      <c r="J234" s="399"/>
      <c r="K234" s="372"/>
      <c r="L234" s="373"/>
      <c r="M234" s="363"/>
      <c r="N234" s="363"/>
      <c r="P234" s="1195"/>
      <c r="Q234" s="1155"/>
      <c r="R234" s="395"/>
      <c r="S234" s="396"/>
      <c r="T234" s="1138"/>
      <c r="U234" s="1138"/>
      <c r="V234" s="1138"/>
      <c r="W234" s="1138"/>
      <c r="X234" s="1138"/>
      <c r="Y234" s="1138"/>
      <c r="Z234" s="1138"/>
      <c r="AA234" s="1138"/>
      <c r="AB234" s="1138"/>
      <c r="AC234" s="1138"/>
      <c r="AE234" s="1195"/>
      <c r="AF234" s="1155"/>
      <c r="AG234" s="395"/>
      <c r="AH234" s="396"/>
      <c r="AI234" s="1138"/>
      <c r="AJ234" s="1138"/>
      <c r="AK234" s="1138"/>
      <c r="AL234" s="1138"/>
      <c r="AM234" s="1138"/>
      <c r="AN234" s="1138"/>
      <c r="AO234" s="1138"/>
      <c r="AP234" s="1138"/>
      <c r="AQ234" s="1138"/>
      <c r="AR234" s="1138"/>
    </row>
    <row r="235" spans="2:44" ht="16" outlineLevel="1" thickBot="1">
      <c r="B235" s="541"/>
      <c r="C235" s="544"/>
      <c r="D235" s="544"/>
      <c r="E235" s="544"/>
      <c r="F235" s="544"/>
      <c r="G235" s="544"/>
      <c r="H235" s="544"/>
      <c r="I235" s="544"/>
      <c r="J235" s="544"/>
      <c r="K235" s="547"/>
      <c r="L235" s="559"/>
      <c r="M235" s="363"/>
      <c r="N235" s="363"/>
      <c r="P235" s="1195"/>
      <c r="Q235" s="1155"/>
      <c r="R235" s="395"/>
      <c r="S235" s="396"/>
      <c r="T235" s="1138"/>
      <c r="U235" s="1138"/>
      <c r="V235" s="1138"/>
      <c r="W235" s="1138"/>
      <c r="X235" s="1138"/>
      <c r="Y235" s="1138"/>
      <c r="Z235" s="1138"/>
      <c r="AA235" s="1138"/>
      <c r="AB235" s="1138"/>
      <c r="AC235" s="1138"/>
      <c r="AE235" s="1195"/>
      <c r="AF235" s="1155"/>
      <c r="AG235" s="395"/>
      <c r="AH235" s="396"/>
      <c r="AI235" s="1138"/>
      <c r="AJ235" s="1138"/>
      <c r="AK235" s="1138"/>
      <c r="AL235" s="1138"/>
      <c r="AM235" s="1138"/>
      <c r="AN235" s="1138"/>
      <c r="AO235" s="1138"/>
      <c r="AP235" s="1138"/>
      <c r="AQ235" s="1138"/>
      <c r="AR235" s="1138"/>
    </row>
    <row r="236" spans="2:44" ht="16" outlineLevel="1" thickBot="1">
      <c r="B236" s="401"/>
      <c r="C236" s="402"/>
      <c r="D236" s="403"/>
      <c r="E236" s="404"/>
      <c r="F236" s="405"/>
      <c r="G236" s="406"/>
      <c r="H236" s="406"/>
      <c r="I236" s="406"/>
      <c r="J236" s="406"/>
      <c r="K236" s="407"/>
      <c r="L236" s="408"/>
      <c r="M236" s="363"/>
      <c r="N236" s="363"/>
      <c r="P236" s="1195"/>
      <c r="Q236" s="1155"/>
      <c r="R236" s="409"/>
      <c r="S236" s="410"/>
      <c r="T236" s="1139"/>
      <c r="U236" s="1139"/>
      <c r="V236" s="1139"/>
      <c r="W236" s="1139"/>
      <c r="X236" s="1139"/>
      <c r="Y236" s="1139"/>
      <c r="Z236" s="1139"/>
      <c r="AA236" s="1139"/>
      <c r="AB236" s="1139"/>
      <c r="AC236" s="1139"/>
      <c r="AE236" s="1195"/>
      <c r="AF236" s="1155"/>
      <c r="AG236" s="409"/>
      <c r="AH236" s="410"/>
      <c r="AI236" s="1139"/>
      <c r="AJ236" s="1139"/>
      <c r="AK236" s="1139"/>
      <c r="AL236" s="1139"/>
      <c r="AM236" s="1139"/>
      <c r="AN236" s="1139"/>
      <c r="AO236" s="1139"/>
      <c r="AP236" s="1139"/>
      <c r="AQ236" s="1139"/>
      <c r="AR236" s="1139"/>
    </row>
    <row r="237" spans="2:44" ht="16" outlineLevel="1" thickBot="1">
      <c r="B237" s="541"/>
      <c r="C237" s="544"/>
      <c r="D237" s="544"/>
      <c r="E237" s="544"/>
      <c r="F237" s="544"/>
      <c r="G237" s="545"/>
      <c r="H237" s="545"/>
      <c r="I237" s="545"/>
      <c r="J237" s="545"/>
      <c r="K237" s="547"/>
      <c r="L237" s="548"/>
      <c r="M237" s="363"/>
      <c r="N237" s="363"/>
      <c r="P237" s="1196"/>
      <c r="Q237" s="411"/>
      <c r="R237" s="412"/>
      <c r="S237" s="413"/>
      <c r="T237" s="414"/>
      <c r="U237" s="415"/>
      <c r="V237" s="414"/>
      <c r="W237" s="415"/>
      <c r="X237" s="414"/>
      <c r="Y237" s="415"/>
      <c r="Z237" s="414"/>
      <c r="AA237" s="415"/>
      <c r="AB237" s="414"/>
      <c r="AC237" s="417"/>
      <c r="AE237" s="1196"/>
      <c r="AF237" s="411"/>
      <c r="AG237" s="412"/>
      <c r="AH237" s="413"/>
      <c r="AI237" s="414"/>
      <c r="AJ237" s="415"/>
      <c r="AK237" s="414"/>
      <c r="AL237" s="415"/>
      <c r="AM237" s="414"/>
      <c r="AN237" s="415"/>
      <c r="AO237" s="414"/>
      <c r="AP237" s="415"/>
      <c r="AQ237" s="414"/>
      <c r="AR237" s="417"/>
    </row>
    <row r="238" spans="2:44" outlineLevel="1">
      <c r="B238" s="541"/>
      <c r="C238" s="544"/>
      <c r="D238" s="544"/>
      <c r="E238" s="544"/>
      <c r="F238" s="544"/>
      <c r="G238" s="549"/>
      <c r="H238" s="549"/>
      <c r="I238" s="549"/>
      <c r="J238" s="549"/>
      <c r="K238" s="550"/>
      <c r="L238" s="548"/>
      <c r="M238" s="363"/>
      <c r="N238" s="363"/>
    </row>
    <row r="239" spans="2:44" outlineLevel="1">
      <c r="B239" s="541"/>
      <c r="C239" s="544"/>
      <c r="D239" s="544"/>
      <c r="E239" s="544"/>
      <c r="F239" s="544"/>
      <c r="G239" s="549"/>
      <c r="H239" s="549"/>
      <c r="I239" s="549"/>
      <c r="J239" s="549"/>
      <c r="K239" s="550"/>
      <c r="L239" s="548"/>
      <c r="M239" s="420"/>
      <c r="N239" s="363"/>
    </row>
    <row r="240" spans="2:44" outlineLevel="1">
      <c r="B240" s="421"/>
      <c r="C240" s="399"/>
      <c r="D240" s="399"/>
      <c r="E240" s="399"/>
      <c r="F240" s="399"/>
      <c r="G240" s="422"/>
      <c r="H240" s="422"/>
      <c r="I240" s="422"/>
      <c r="J240" s="422"/>
      <c r="K240" s="423"/>
      <c r="L240" s="424"/>
      <c r="M240" s="420"/>
      <c r="N240" s="420"/>
    </row>
    <row r="241" spans="1:30" outlineLevel="1">
      <c r="B241" s="383"/>
      <c r="C241" s="397"/>
      <c r="D241" s="397"/>
      <c r="E241" s="397"/>
      <c r="F241" s="397"/>
      <c r="G241" s="422"/>
      <c r="H241" s="425"/>
      <c r="I241" s="425"/>
      <c r="J241" s="425"/>
      <c r="K241" s="426"/>
      <c r="L241" s="427"/>
      <c r="M241" s="428"/>
      <c r="N241" s="428"/>
    </row>
    <row r="242" spans="1:30" outlineLevel="1">
      <c r="B242" s="383"/>
      <c r="C242" s="397"/>
      <c r="D242" s="397"/>
      <c r="E242" s="397"/>
      <c r="F242" s="397"/>
      <c r="G242" s="425"/>
      <c r="H242" s="425"/>
      <c r="I242" s="425"/>
      <c r="J242" s="425"/>
      <c r="K242" s="423"/>
      <c r="L242" s="427"/>
      <c r="M242" s="428"/>
      <c r="N242" s="428"/>
    </row>
    <row r="243" spans="1:30" outlineLevel="1">
      <c r="B243" s="383"/>
      <c r="C243" s="397"/>
      <c r="D243" s="397"/>
      <c r="E243" s="397"/>
      <c r="F243" s="397"/>
      <c r="G243" s="425"/>
      <c r="H243" s="425"/>
      <c r="I243" s="425"/>
      <c r="J243" s="425"/>
      <c r="K243" s="423"/>
      <c r="L243" s="427"/>
      <c r="M243" s="428"/>
      <c r="N243" s="428"/>
    </row>
    <row r="244" spans="1:30" outlineLevel="1">
      <c r="B244" s="383"/>
      <c r="C244" s="397"/>
      <c r="D244" s="397"/>
      <c r="E244" s="397"/>
      <c r="F244" s="397"/>
      <c r="G244" s="425"/>
      <c r="H244" s="425"/>
      <c r="I244" s="425"/>
      <c r="J244" s="425"/>
      <c r="K244" s="423"/>
      <c r="L244" s="427"/>
      <c r="M244" s="428"/>
      <c r="N244" s="428"/>
    </row>
    <row r="245" spans="1:30" ht="16" outlineLevel="1" thickBot="1">
      <c r="B245" s="429"/>
      <c r="C245" s="430"/>
      <c r="D245" s="430"/>
      <c r="E245" s="430"/>
      <c r="F245" s="430"/>
      <c r="G245" s="425"/>
      <c r="H245" s="425"/>
      <c r="I245" s="425"/>
      <c r="J245" s="425"/>
      <c r="K245" s="423"/>
      <c r="L245" s="427"/>
      <c r="M245" s="428"/>
      <c r="N245" s="428"/>
    </row>
    <row r="246" spans="1:30" ht="16" outlineLevel="1" thickBot="1">
      <c r="B246" s="431"/>
      <c r="C246" s="432"/>
      <c r="D246" s="403"/>
      <c r="E246" s="403"/>
      <c r="F246" s="433"/>
      <c r="G246" s="434"/>
      <c r="H246" s="406"/>
      <c r="I246" s="406"/>
      <c r="J246" s="406"/>
      <c r="K246" s="407"/>
      <c r="L246" s="408"/>
      <c r="M246" s="428"/>
      <c r="N246" s="428"/>
    </row>
    <row r="247" spans="1:30" outlineLevel="1">
      <c r="A247" s="435"/>
      <c r="B247" s="436"/>
      <c r="C247" s="551"/>
      <c r="D247" s="512"/>
      <c r="E247" s="512"/>
      <c r="F247" s="513"/>
      <c r="G247" s="425"/>
      <c r="H247" s="425"/>
      <c r="I247" s="425"/>
      <c r="J247" s="425"/>
      <c r="K247" s="426"/>
      <c r="L247" s="440"/>
      <c r="M247" s="420"/>
      <c r="N247" s="420"/>
    </row>
    <row r="248" spans="1:30" outlineLevel="1">
      <c r="B248" s="441"/>
      <c r="C248" s="443"/>
      <c r="D248" s="442"/>
      <c r="E248" s="442"/>
      <c r="F248" s="442"/>
      <c r="G248" s="425"/>
      <c r="H248" s="425"/>
      <c r="I248" s="425"/>
      <c r="J248" s="425"/>
      <c r="K248" s="444"/>
      <c r="L248" s="373"/>
      <c r="M248" s="71"/>
      <c r="N248" s="420"/>
    </row>
    <row r="249" spans="1:30" outlineLevel="1">
      <c r="B249" s="441"/>
      <c r="C249" s="443"/>
      <c r="D249" s="443"/>
      <c r="E249" s="443"/>
      <c r="F249" s="443"/>
      <c r="G249" s="425"/>
      <c r="H249" s="425"/>
      <c r="I249" s="425"/>
      <c r="J249" s="425"/>
      <c r="K249" s="444"/>
      <c r="L249" s="373"/>
      <c r="M249" s="420"/>
      <c r="N249" s="420"/>
    </row>
    <row r="250" spans="1:30" outlineLevel="1">
      <c r="B250" s="383"/>
      <c r="C250" s="445"/>
      <c r="D250" s="446"/>
      <c r="E250" s="446"/>
      <c r="F250" s="447"/>
      <c r="G250" s="425"/>
      <c r="H250" s="425"/>
      <c r="I250" s="425"/>
      <c r="J250" s="425"/>
      <c r="K250" s="448"/>
      <c r="L250" s="373"/>
      <c r="M250" s="420"/>
      <c r="N250" s="420"/>
    </row>
    <row r="251" spans="1:30" outlineLevel="1">
      <c r="B251" s="383"/>
      <c r="C251" s="449"/>
      <c r="D251" s="449"/>
      <c r="E251" s="449"/>
      <c r="F251" s="449"/>
      <c r="G251" s="425"/>
      <c r="H251" s="425"/>
      <c r="I251" s="425"/>
      <c r="J251" s="425"/>
      <c r="K251" s="448"/>
      <c r="L251" s="373"/>
      <c r="M251" s="450"/>
      <c r="N251" s="361"/>
      <c r="P251" s="1142"/>
      <c r="Q251" s="1143"/>
      <c r="R251" s="1143"/>
      <c r="S251" s="1143"/>
      <c r="T251" s="1143"/>
      <c r="U251" s="1144"/>
    </row>
    <row r="252" spans="1:30" ht="16" outlineLevel="1" thickBot="1">
      <c r="B252" s="541"/>
      <c r="C252" s="552"/>
      <c r="D252" s="552"/>
      <c r="E252" s="552"/>
      <c r="F252" s="552"/>
      <c r="G252" s="425"/>
      <c r="H252" s="425"/>
      <c r="I252" s="425"/>
      <c r="J252" s="425"/>
      <c r="K252" s="444"/>
      <c r="L252" s="373"/>
      <c r="M252" s="450"/>
      <c r="N252" s="361"/>
      <c r="P252" s="1134"/>
      <c r="Q252" s="1135"/>
      <c r="R252" s="1135"/>
      <c r="S252" s="1135"/>
      <c r="T252" s="1135"/>
      <c r="U252" s="1136"/>
    </row>
    <row r="253" spans="1:30" outlineLevel="1">
      <c r="B253" s="541"/>
      <c r="C253" s="554"/>
      <c r="D253" s="554"/>
      <c r="E253" s="554"/>
      <c r="F253" s="554"/>
      <c r="G253" s="425"/>
      <c r="H253" s="425"/>
      <c r="I253" s="425"/>
      <c r="J253" s="425"/>
      <c r="K253" s="448"/>
      <c r="L253" s="373"/>
      <c r="M253" s="363"/>
      <c r="N253" s="363"/>
      <c r="P253" s="53"/>
    </row>
    <row r="254" spans="1:30" outlineLevel="1">
      <c r="B254" s="441"/>
      <c r="C254" s="518"/>
      <c r="D254" s="518"/>
      <c r="E254" s="518"/>
      <c r="F254" s="518"/>
      <c r="G254" s="425"/>
      <c r="H254" s="425"/>
      <c r="I254" s="425"/>
      <c r="J254" s="425"/>
      <c r="K254" s="444"/>
      <c r="L254" s="424"/>
      <c r="M254" s="367"/>
      <c r="N254" s="367"/>
      <c r="P254" s="46"/>
      <c r="Q254" s="46"/>
      <c r="R254" s="47"/>
      <c r="S254" s="47"/>
      <c r="T254" s="47"/>
      <c r="U254" s="48"/>
      <c r="V254" s="49"/>
      <c r="W254" s="49"/>
      <c r="X254" s="49"/>
      <c r="Y254" s="49"/>
      <c r="Z254" s="49"/>
      <c r="AA254" s="49"/>
      <c r="AB254" s="49"/>
      <c r="AC254" s="49"/>
      <c r="AD254" s="49"/>
    </row>
    <row r="255" spans="1:30" ht="16" outlineLevel="1" thickBot="1">
      <c r="B255" s="519"/>
      <c r="C255" s="442"/>
      <c r="D255" s="520"/>
      <c r="E255" s="520"/>
      <c r="F255" s="521"/>
      <c r="G255" s="425"/>
      <c r="H255" s="425"/>
      <c r="I255" s="425"/>
      <c r="J255" s="425"/>
      <c r="K255" s="448"/>
      <c r="L255" s="424"/>
      <c r="M255" s="363"/>
      <c r="N255" s="363"/>
      <c r="P255" s="50"/>
      <c r="Q255" s="50"/>
      <c r="R255" s="51"/>
      <c r="S255" s="51"/>
      <c r="T255" s="51"/>
      <c r="U255" s="51"/>
      <c r="V255" s="50"/>
      <c r="W255" s="50"/>
      <c r="X255" s="50"/>
      <c r="Y255" s="50"/>
      <c r="Z255" s="50"/>
      <c r="AA255" s="50"/>
      <c r="AB255" s="50"/>
      <c r="AC255" s="50"/>
      <c r="AD255" s="50"/>
    </row>
    <row r="256" spans="1:30" ht="16" outlineLevel="1" thickBot="1">
      <c r="B256" s="401"/>
      <c r="C256" s="402"/>
      <c r="D256" s="403"/>
      <c r="E256" s="404"/>
      <c r="F256" s="405"/>
      <c r="G256" s="406"/>
      <c r="H256" s="406"/>
      <c r="I256" s="406"/>
      <c r="J256" s="406"/>
      <c r="K256" s="459"/>
      <c r="L256" s="460"/>
      <c r="M256" s="363"/>
      <c r="N256" s="363"/>
      <c r="O256" s="461"/>
      <c r="P256" s="56"/>
      <c r="Q256" s="56"/>
      <c r="R256" s="57"/>
      <c r="S256" s="57"/>
      <c r="T256" s="57"/>
      <c r="U256" s="56"/>
      <c r="V256" s="56"/>
      <c r="W256" s="56"/>
      <c r="X256" s="56"/>
      <c r="Y256" s="56"/>
      <c r="Z256" s="56"/>
      <c r="AA256" s="56"/>
      <c r="AB256" s="56"/>
      <c r="AC256" s="56"/>
      <c r="AD256" s="56"/>
    </row>
    <row r="257" spans="1:30" outlineLevel="1">
      <c r="B257" s="556"/>
      <c r="C257" s="557"/>
      <c r="D257" s="557"/>
      <c r="E257" s="557"/>
      <c r="F257" s="557"/>
      <c r="G257" s="558"/>
      <c r="H257" s="558"/>
      <c r="I257" s="558"/>
      <c r="J257" s="558"/>
      <c r="K257" s="558"/>
      <c r="L257" s="559"/>
      <c r="M257" s="363"/>
      <c r="N257" s="363"/>
      <c r="O257" s="465"/>
      <c r="P257" s="466"/>
      <c r="Q257" s="58"/>
      <c r="R257" s="466"/>
      <c r="S257" s="58"/>
      <c r="T257" s="466"/>
      <c r="U257" s="467"/>
      <c r="V257" s="467"/>
      <c r="W257" s="467"/>
      <c r="X257" s="58"/>
      <c r="Y257" s="58"/>
      <c r="Z257" s="466"/>
      <c r="AA257" s="468"/>
      <c r="AB257" s="468"/>
      <c r="AC257" s="468"/>
      <c r="AD257" s="468"/>
    </row>
    <row r="258" spans="1:30" outlineLevel="1">
      <c r="B258" s="541"/>
      <c r="C258" s="560"/>
      <c r="D258" s="561"/>
      <c r="E258" s="561"/>
      <c r="F258" s="562"/>
      <c r="G258" s="562"/>
      <c r="H258" s="562"/>
      <c r="I258" s="562"/>
      <c r="J258" s="562"/>
      <c r="K258" s="563"/>
      <c r="L258" s="559"/>
      <c r="M258" s="363"/>
      <c r="N258" s="363"/>
      <c r="O258" s="465"/>
      <c r="P258" s="466"/>
      <c r="Q258" s="58"/>
      <c r="R258" s="466"/>
      <c r="S258" s="58"/>
      <c r="T258" s="466"/>
      <c r="U258" s="467"/>
      <c r="V258" s="467"/>
      <c r="W258" s="467"/>
      <c r="X258" s="58"/>
      <c r="Y258" s="58"/>
      <c r="Z258" s="466"/>
      <c r="AA258" s="468"/>
      <c r="AB258" s="468"/>
      <c r="AC258" s="468"/>
      <c r="AD258" s="468"/>
    </row>
    <row r="259" spans="1:30" outlineLevel="1">
      <c r="B259" s="541"/>
      <c r="C259" s="560"/>
      <c r="D259" s="561"/>
      <c r="E259" s="561"/>
      <c r="F259" s="562"/>
      <c r="G259" s="562"/>
      <c r="H259" s="562"/>
      <c r="I259" s="562"/>
      <c r="J259" s="562"/>
      <c r="K259" s="563"/>
      <c r="L259" s="559"/>
      <c r="M259" s="363"/>
      <c r="N259" s="363"/>
      <c r="O259" s="465"/>
      <c r="P259" s="466"/>
      <c r="Q259" s="58"/>
      <c r="R259" s="466"/>
      <c r="S259" s="58"/>
      <c r="T259" s="466"/>
      <c r="U259" s="467"/>
      <c r="V259" s="467"/>
      <c r="W259" s="467"/>
      <c r="X259" s="58"/>
      <c r="Y259" s="58"/>
      <c r="Z259" s="466"/>
      <c r="AA259" s="468"/>
      <c r="AB259" s="468"/>
      <c r="AC259" s="468"/>
      <c r="AD259" s="468"/>
    </row>
    <row r="260" spans="1:30" outlineLevel="1">
      <c r="B260" s="541"/>
      <c r="C260" s="564"/>
      <c r="D260" s="564"/>
      <c r="E260" s="564"/>
      <c r="F260" s="564"/>
      <c r="G260" s="565"/>
      <c r="H260" s="565"/>
      <c r="I260" s="565"/>
      <c r="J260" s="565"/>
      <c r="K260" s="565"/>
      <c r="L260" s="548"/>
      <c r="M260" s="363"/>
      <c r="N260" s="363"/>
      <c r="O260" s="465"/>
      <c r="P260" s="466"/>
      <c r="Q260" s="58"/>
      <c r="R260" s="466"/>
      <c r="S260" s="58"/>
      <c r="T260" s="466"/>
      <c r="U260" s="467"/>
      <c r="V260" s="467"/>
      <c r="W260" s="467"/>
      <c r="X260" s="58"/>
      <c r="Y260" s="58"/>
      <c r="Z260" s="466"/>
      <c r="AA260" s="468"/>
      <c r="AB260" s="468"/>
      <c r="AC260" s="468"/>
      <c r="AD260" s="468"/>
    </row>
    <row r="261" spans="1:30" outlineLevel="1">
      <c r="B261" s="566"/>
      <c r="C261" s="560"/>
      <c r="D261" s="561"/>
      <c r="E261" s="561"/>
      <c r="F261" s="562"/>
      <c r="G261" s="562"/>
      <c r="H261" s="562"/>
      <c r="I261" s="562"/>
      <c r="J261" s="562"/>
      <c r="K261" s="563"/>
      <c r="L261" s="559"/>
      <c r="M261" s="367"/>
      <c r="N261" s="367"/>
    </row>
    <row r="262" spans="1:30" outlineLevel="1">
      <c r="B262" s="566"/>
      <c r="C262" s="560"/>
      <c r="D262" s="561"/>
      <c r="E262" s="561"/>
      <c r="F262" s="562"/>
      <c r="G262" s="562"/>
      <c r="H262" s="562"/>
      <c r="I262" s="562"/>
      <c r="J262" s="562"/>
      <c r="K262" s="563"/>
      <c r="L262" s="559"/>
      <c r="M262" s="363"/>
      <c r="N262" s="363"/>
    </row>
    <row r="263" spans="1:30" ht="16" outlineLevel="1" thickBot="1">
      <c r="B263" s="567"/>
      <c r="C263" s="568"/>
      <c r="D263" s="568"/>
      <c r="E263" s="568"/>
      <c r="F263" s="568"/>
      <c r="G263" s="568"/>
      <c r="H263" s="568"/>
      <c r="I263" s="568"/>
      <c r="J263" s="568"/>
      <c r="K263" s="568"/>
      <c r="L263" s="569"/>
      <c r="M263" s="363"/>
      <c r="N263" s="363"/>
    </row>
    <row r="264" spans="1:30" outlineLevel="1">
      <c r="B264" s="461"/>
      <c r="C264" s="483"/>
      <c r="D264" s="483"/>
      <c r="E264" s="483"/>
      <c r="F264" s="483"/>
      <c r="G264" s="483"/>
      <c r="H264" s="484"/>
      <c r="I264" s="420"/>
      <c r="J264" s="420"/>
      <c r="K264" s="484"/>
      <c r="L264" s="484"/>
      <c r="N264" s="420"/>
    </row>
    <row r="265" spans="1:30" outlineLevel="1">
      <c r="B265" s="485"/>
      <c r="C265" s="486"/>
      <c r="D265" s="486"/>
      <c r="E265" s="486"/>
      <c r="F265" s="486"/>
      <c r="G265" s="486"/>
      <c r="H265" s="484"/>
      <c r="I265" s="71"/>
      <c r="J265" s="420"/>
      <c r="K265" s="484"/>
      <c r="L265" s="484"/>
      <c r="N265" s="420"/>
    </row>
    <row r="266" spans="1:30" outlineLevel="1">
      <c r="B266" s="461"/>
      <c r="C266" s="359"/>
      <c r="D266" s="359"/>
      <c r="E266" s="359"/>
      <c r="F266" s="359"/>
      <c r="G266" s="359"/>
      <c r="I266" s="420"/>
      <c r="J266" s="420"/>
      <c r="N266" s="420"/>
    </row>
    <row r="267" spans="1:30" outlineLevel="1">
      <c r="B267" s="461"/>
      <c r="C267" s="487"/>
      <c r="D267" s="487"/>
      <c r="E267" s="487"/>
      <c r="F267" s="487"/>
      <c r="G267" s="359"/>
      <c r="M267" s="420"/>
      <c r="N267" s="420"/>
    </row>
    <row r="268" spans="1:30" outlineLevel="1"/>
    <row r="269" spans="1:30" outlineLevel="1">
      <c r="A269" s="488"/>
      <c r="B269" s="489"/>
      <c r="D269" s="490"/>
      <c r="E269" s="490"/>
      <c r="F269" s="490"/>
      <c r="G269" s="358"/>
      <c r="H269" s="358"/>
      <c r="I269" s="358"/>
      <c r="J269" s="358"/>
      <c r="K269" s="358"/>
      <c r="L269" s="358"/>
    </row>
    <row r="270" spans="1:30" outlineLevel="1">
      <c r="A270" s="491"/>
      <c r="B270" s="492"/>
      <c r="D270" s="490"/>
      <c r="E270" s="490"/>
      <c r="F270" s="490"/>
      <c r="G270" s="358"/>
      <c r="H270" s="358"/>
      <c r="I270" s="358"/>
      <c r="J270" s="358"/>
      <c r="K270" s="358"/>
      <c r="L270" s="358"/>
    </row>
    <row r="271" spans="1:30" outlineLevel="1">
      <c r="A271" s="491"/>
      <c r="B271" s="493"/>
      <c r="D271" s="490"/>
      <c r="E271" s="490"/>
      <c r="F271" s="490"/>
      <c r="G271" s="358"/>
      <c r="H271" s="358"/>
      <c r="I271" s="358"/>
      <c r="J271" s="358"/>
      <c r="K271" s="358"/>
      <c r="L271" s="358"/>
    </row>
    <row r="272" spans="1:30" outlineLevel="1">
      <c r="A272" s="491"/>
      <c r="B272" s="493"/>
      <c r="D272" s="490"/>
      <c r="E272" s="490"/>
      <c r="F272" s="490"/>
      <c r="G272" s="358"/>
      <c r="H272" s="358"/>
      <c r="I272" s="358"/>
      <c r="J272" s="358"/>
      <c r="K272" s="358"/>
      <c r="L272" s="358"/>
    </row>
    <row r="273" spans="1:15" outlineLevel="1">
      <c r="A273" s="491"/>
      <c r="B273" s="493"/>
      <c r="D273" s="490"/>
      <c r="E273" s="490"/>
      <c r="F273" s="490"/>
      <c r="G273" s="358"/>
      <c r="H273" s="358"/>
      <c r="I273" s="358"/>
      <c r="J273" s="358"/>
      <c r="K273" s="358"/>
      <c r="L273" s="358"/>
    </row>
    <row r="274" spans="1:15" outlineLevel="1">
      <c r="A274" s="358"/>
      <c r="B274" s="494"/>
      <c r="D274" s="490"/>
      <c r="E274" s="490"/>
      <c r="F274" s="490"/>
      <c r="G274" s="358"/>
      <c r="H274" s="358"/>
      <c r="I274" s="358"/>
      <c r="J274" s="358"/>
      <c r="K274" s="358"/>
      <c r="L274" s="358"/>
      <c r="M274" s="570"/>
      <c r="N274" s="489"/>
      <c r="O274" s="490"/>
    </row>
    <row r="275" spans="1:15" outlineLevel="1">
      <c r="A275" s="358"/>
      <c r="B275" s="492"/>
      <c r="D275" s="490"/>
      <c r="E275" s="490"/>
      <c r="F275" s="490"/>
      <c r="G275" s="358"/>
      <c r="H275" s="358"/>
      <c r="I275" s="358"/>
      <c r="J275" s="358"/>
      <c r="K275" s="358"/>
      <c r="L275" s="358"/>
      <c r="O275" s="490"/>
    </row>
    <row r="276" spans="1:15" outlineLevel="1">
      <c r="A276" s="358"/>
      <c r="B276" s="495"/>
      <c r="D276" s="490"/>
      <c r="E276" s="490"/>
      <c r="F276" s="490"/>
      <c r="G276" s="358"/>
      <c r="H276" s="358"/>
      <c r="I276" s="358"/>
      <c r="J276" s="358"/>
      <c r="K276" s="358"/>
      <c r="L276" s="358"/>
      <c r="O276" s="490"/>
    </row>
    <row r="277" spans="1:15" outlineLevel="1">
      <c r="A277" s="358"/>
      <c r="B277" s="495"/>
      <c r="D277" s="490"/>
      <c r="E277" s="490"/>
      <c r="F277" s="490"/>
      <c r="G277" s="358"/>
      <c r="H277" s="358"/>
      <c r="I277" s="358"/>
      <c r="J277" s="358"/>
      <c r="K277" s="358"/>
      <c r="L277" s="358"/>
      <c r="O277" s="490"/>
    </row>
    <row r="278" spans="1:15" outlineLevel="1">
      <c r="A278" s="358"/>
      <c r="B278" s="489"/>
      <c r="D278" s="490"/>
      <c r="E278" s="490"/>
      <c r="F278" s="490"/>
      <c r="G278" s="358"/>
      <c r="H278" s="358"/>
      <c r="I278" s="358"/>
      <c r="J278" s="358"/>
      <c r="K278" s="358"/>
      <c r="L278" s="358"/>
      <c r="O278" s="490"/>
    </row>
    <row r="279" spans="1:15" outlineLevel="1">
      <c r="A279" s="358"/>
      <c r="B279" s="490"/>
      <c r="D279" s="490"/>
      <c r="E279" s="490"/>
      <c r="F279" s="490"/>
      <c r="G279" s="358"/>
      <c r="H279" s="358"/>
      <c r="I279" s="358"/>
      <c r="J279" s="358"/>
      <c r="K279" s="358"/>
      <c r="L279" s="358"/>
      <c r="O279" s="490"/>
    </row>
    <row r="280" spans="1:15" outlineLevel="1">
      <c r="A280" s="488"/>
      <c r="B280" s="489"/>
      <c r="D280" s="490"/>
      <c r="E280" s="490"/>
      <c r="F280" s="490"/>
      <c r="G280" s="358"/>
      <c r="H280" s="358"/>
      <c r="I280" s="358"/>
      <c r="J280" s="358"/>
      <c r="K280" s="358"/>
      <c r="L280" s="358"/>
      <c r="O280" s="490"/>
    </row>
    <row r="281" spans="1:15" outlineLevel="1">
      <c r="A281" s="496"/>
      <c r="B281" s="497"/>
      <c r="D281" s="490"/>
      <c r="E281" s="490"/>
      <c r="F281" s="490"/>
      <c r="G281" s="358"/>
      <c r="H281" s="358"/>
      <c r="I281" s="358"/>
      <c r="J281" s="358"/>
      <c r="K281" s="358"/>
      <c r="L281" s="358"/>
      <c r="M281" s="570"/>
      <c r="N281" s="489"/>
      <c r="O281" s="490"/>
    </row>
    <row r="282" spans="1:15" outlineLevel="1">
      <c r="A282" s="496"/>
      <c r="B282" s="489"/>
      <c r="D282" s="490"/>
      <c r="E282" s="490"/>
      <c r="F282" s="490"/>
      <c r="G282" s="358"/>
      <c r="H282" s="358"/>
      <c r="I282" s="358"/>
      <c r="J282" s="358"/>
      <c r="K282" s="358"/>
      <c r="L282" s="358"/>
      <c r="M282" s="571"/>
      <c r="N282" s="489"/>
      <c r="O282" s="490"/>
    </row>
    <row r="283" spans="1:15" outlineLevel="1">
      <c r="A283" s="496"/>
      <c r="B283" s="489"/>
      <c r="D283" s="490"/>
      <c r="E283" s="490"/>
      <c r="F283" s="490"/>
      <c r="G283" s="358"/>
      <c r="H283" s="358"/>
      <c r="I283" s="358"/>
      <c r="J283" s="358"/>
      <c r="K283" s="358"/>
      <c r="L283" s="358"/>
      <c r="M283" s="572"/>
      <c r="N283" s="489"/>
      <c r="O283" s="490"/>
    </row>
    <row r="284" spans="1:15" outlineLevel="1">
      <c r="A284" s="496"/>
      <c r="B284" s="498"/>
      <c r="D284" s="490"/>
      <c r="E284" s="490"/>
      <c r="F284" s="490"/>
      <c r="G284" s="358"/>
      <c r="H284" s="358"/>
      <c r="I284" s="358"/>
      <c r="J284" s="358"/>
      <c r="K284" s="358"/>
      <c r="L284" s="358"/>
      <c r="M284" s="573"/>
      <c r="N284" s="489"/>
      <c r="O284" s="490"/>
    </row>
    <row r="285" spans="1:15" outlineLevel="1">
      <c r="A285" s="496"/>
      <c r="B285" s="489"/>
      <c r="D285" s="490"/>
      <c r="E285" s="490"/>
      <c r="F285" s="490"/>
      <c r="G285" s="358"/>
      <c r="H285" s="358"/>
      <c r="I285" s="358"/>
      <c r="J285" s="358"/>
      <c r="K285" s="358"/>
      <c r="L285" s="358"/>
      <c r="M285" s="573"/>
      <c r="N285" s="490"/>
      <c r="O285" s="490"/>
    </row>
    <row r="286" spans="1:15" outlineLevel="1">
      <c r="A286" s="496"/>
      <c r="B286" s="489"/>
      <c r="D286" s="490"/>
      <c r="E286" s="490"/>
      <c r="F286" s="490"/>
      <c r="G286" s="358"/>
      <c r="H286" s="358"/>
      <c r="I286" s="358"/>
      <c r="J286" s="358"/>
      <c r="K286" s="358"/>
      <c r="L286" s="358"/>
      <c r="M286" s="489"/>
      <c r="N286" s="490"/>
      <c r="O286" s="490"/>
    </row>
    <row r="287" spans="1:15" outlineLevel="1"/>
    <row r="290" spans="1:44" ht="16" thickBot="1">
      <c r="A290" s="360"/>
    </row>
    <row r="291" spans="1:44" ht="20.5" customHeight="1" thickBot="1">
      <c r="B291" s="362"/>
      <c r="C291" s="1186"/>
      <c r="D291" s="1187"/>
      <c r="E291" s="1187"/>
      <c r="F291" s="1187"/>
      <c r="G291" s="1187"/>
      <c r="H291" s="1187"/>
      <c r="I291" s="1187"/>
      <c r="J291" s="1187"/>
      <c r="K291" s="1187"/>
      <c r="L291" s="1188"/>
      <c r="M291" s="363"/>
      <c r="N291" s="363"/>
      <c r="P291" s="364"/>
      <c r="Q291" s="365"/>
      <c r="R291" s="366"/>
      <c r="S291" s="1176"/>
      <c r="T291" s="1160"/>
      <c r="U291" s="1161"/>
      <c r="V291" s="1160"/>
      <c r="W291" s="1161"/>
      <c r="X291" s="1160"/>
      <c r="Y291" s="1161"/>
      <c r="Z291" s="1160"/>
      <c r="AA291" s="1161"/>
      <c r="AB291" s="1160"/>
      <c r="AC291" s="1161"/>
      <c r="AE291" s="364"/>
      <c r="AF291" s="365"/>
      <c r="AG291" s="366"/>
      <c r="AH291" s="1176"/>
      <c r="AI291" s="1160"/>
      <c r="AJ291" s="1161"/>
      <c r="AK291" s="1160"/>
      <c r="AL291" s="1161"/>
      <c r="AM291" s="1160"/>
      <c r="AN291" s="1161"/>
      <c r="AO291" s="1160"/>
      <c r="AP291" s="1161"/>
      <c r="AQ291" s="1160"/>
      <c r="AR291" s="1161"/>
    </row>
    <row r="292" spans="1:44" ht="15" customHeight="1" thickBot="1">
      <c r="B292" s="1164"/>
      <c r="C292" s="1166"/>
      <c r="D292" s="1166"/>
      <c r="E292" s="1166"/>
      <c r="F292" s="1166"/>
      <c r="G292" s="1168"/>
      <c r="H292" s="1169"/>
      <c r="I292" s="1168"/>
      <c r="J292" s="1169"/>
      <c r="K292" s="1189"/>
      <c r="L292" s="1189"/>
      <c r="M292" s="367"/>
      <c r="N292" s="367"/>
      <c r="P292" s="1180"/>
      <c r="Q292" s="368"/>
      <c r="R292" s="368"/>
      <c r="S292" s="1177"/>
      <c r="T292" s="1162"/>
      <c r="U292" s="1163"/>
      <c r="V292" s="1162"/>
      <c r="W292" s="1163"/>
      <c r="X292" s="1162"/>
      <c r="Y292" s="1163"/>
      <c r="Z292" s="1162"/>
      <c r="AA292" s="1163"/>
      <c r="AB292" s="1162"/>
      <c r="AC292" s="1163"/>
      <c r="AE292" s="1180"/>
      <c r="AF292" s="368"/>
      <c r="AG292" s="368"/>
      <c r="AH292" s="1177"/>
      <c r="AI292" s="1162"/>
      <c r="AJ292" s="1163"/>
      <c r="AK292" s="1162"/>
      <c r="AL292" s="1163"/>
      <c r="AM292" s="1162"/>
      <c r="AN292" s="1163"/>
      <c r="AO292" s="1162"/>
      <c r="AP292" s="1163"/>
      <c r="AQ292" s="1162"/>
      <c r="AR292" s="1163"/>
    </row>
    <row r="293" spans="1:44" ht="15" customHeight="1" thickBot="1">
      <c r="B293" s="1165"/>
      <c r="C293" s="1167"/>
      <c r="D293" s="1167"/>
      <c r="E293" s="1167"/>
      <c r="F293" s="1167"/>
      <c r="G293" s="406"/>
      <c r="H293" s="406"/>
      <c r="I293" s="406"/>
      <c r="J293" s="406"/>
      <c r="K293" s="1190"/>
      <c r="L293" s="1190"/>
      <c r="M293" s="370"/>
      <c r="N293" s="370"/>
      <c r="P293" s="1181"/>
      <c r="Q293" s="1183"/>
      <c r="R293" s="1184"/>
      <c r="S293" s="1178"/>
      <c r="T293" s="1162"/>
      <c r="U293" s="1163"/>
      <c r="V293" s="1162"/>
      <c r="W293" s="1163"/>
      <c r="X293" s="1162"/>
      <c r="Y293" s="1163"/>
      <c r="Z293" s="1162"/>
      <c r="AA293" s="1163"/>
      <c r="AB293" s="1162"/>
      <c r="AC293" s="1163"/>
      <c r="AE293" s="1181"/>
      <c r="AF293" s="1183"/>
      <c r="AG293" s="1184"/>
      <c r="AH293" s="1178"/>
      <c r="AI293" s="1162"/>
      <c r="AJ293" s="1163"/>
      <c r="AK293" s="1162"/>
      <c r="AL293" s="1163"/>
      <c r="AM293" s="1162"/>
      <c r="AN293" s="1163"/>
      <c r="AO293" s="1162"/>
      <c r="AP293" s="1163"/>
      <c r="AQ293" s="1162"/>
      <c r="AR293" s="1163"/>
    </row>
    <row r="294" spans="1:44" ht="16" thickBot="1">
      <c r="B294" s="371"/>
      <c r="C294" s="372"/>
      <c r="D294" s="372"/>
      <c r="E294" s="372"/>
      <c r="F294" s="372"/>
      <c r="G294" s="372"/>
      <c r="H294" s="372"/>
      <c r="I294" s="372"/>
      <c r="J294" s="372"/>
      <c r="K294" s="372"/>
      <c r="L294" s="373"/>
      <c r="M294" s="370"/>
      <c r="N294" s="370"/>
      <c r="O294" s="74"/>
      <c r="P294" s="1182"/>
      <c r="Q294" s="1179"/>
      <c r="R294" s="1185"/>
      <c r="S294" s="1179"/>
      <c r="T294" s="374"/>
      <c r="U294" s="375"/>
      <c r="V294" s="374"/>
      <c r="W294" s="375"/>
      <c r="X294" s="374"/>
      <c r="Y294" s="375"/>
      <c r="Z294" s="374"/>
      <c r="AA294" s="375"/>
      <c r="AB294" s="374"/>
      <c r="AC294" s="375"/>
      <c r="AE294" s="1182"/>
      <c r="AF294" s="1179"/>
      <c r="AG294" s="1185"/>
      <c r="AH294" s="1179"/>
      <c r="AI294" s="374"/>
      <c r="AJ294" s="375"/>
      <c r="AK294" s="374"/>
      <c r="AL294" s="375"/>
      <c r="AM294" s="374"/>
      <c r="AN294" s="375"/>
      <c r="AO294" s="374"/>
      <c r="AP294" s="375"/>
      <c r="AQ294" s="374"/>
      <c r="AR294" s="375"/>
    </row>
    <row r="295" spans="1:44" ht="14.5" customHeight="1">
      <c r="B295" s="574"/>
      <c r="C295" s="575"/>
      <c r="D295" s="575"/>
      <c r="E295" s="575"/>
      <c r="F295" s="575"/>
      <c r="G295" s="576"/>
      <c r="H295" s="576"/>
      <c r="I295" s="576"/>
      <c r="J295" s="576"/>
      <c r="K295" s="372"/>
      <c r="L295" s="373"/>
      <c r="M295" s="370"/>
      <c r="N295" s="370"/>
      <c r="P295" s="1148"/>
      <c r="Q295" s="1154"/>
      <c r="R295" s="381"/>
      <c r="S295" s="382"/>
      <c r="T295" s="1137"/>
      <c r="U295" s="1151"/>
      <c r="V295" s="1137"/>
      <c r="W295" s="1151"/>
      <c r="X295" s="1137"/>
      <c r="Y295" s="1151"/>
      <c r="Z295" s="1137"/>
      <c r="AA295" s="1151"/>
      <c r="AB295" s="1157"/>
      <c r="AC295" s="1151"/>
      <c r="AE295" s="1148"/>
      <c r="AF295" s="1154"/>
      <c r="AG295" s="381"/>
      <c r="AH295" s="382"/>
      <c r="AI295" s="1137"/>
      <c r="AJ295" s="1151"/>
      <c r="AK295" s="1137"/>
      <c r="AL295" s="1151"/>
      <c r="AM295" s="1137"/>
      <c r="AN295" s="1151"/>
      <c r="AO295" s="1137"/>
      <c r="AP295" s="1151"/>
      <c r="AQ295" s="1157"/>
      <c r="AR295" s="1151"/>
    </row>
    <row r="296" spans="1:44">
      <c r="B296" s="383"/>
      <c r="C296" s="577"/>
      <c r="D296" s="577"/>
      <c r="E296" s="577"/>
      <c r="F296" s="577"/>
      <c r="G296" s="576"/>
      <c r="H296" s="576"/>
      <c r="I296" s="576"/>
      <c r="J296" s="576"/>
      <c r="K296" s="372"/>
      <c r="L296" s="373"/>
      <c r="M296" s="370"/>
      <c r="N296" s="370"/>
      <c r="O296" s="71"/>
      <c r="P296" s="1149"/>
      <c r="Q296" s="1155"/>
      <c r="R296" s="388"/>
      <c r="S296" s="389"/>
      <c r="T296" s="1140"/>
      <c r="U296" s="1152"/>
      <c r="V296" s="1140"/>
      <c r="W296" s="1152"/>
      <c r="X296" s="1140"/>
      <c r="Y296" s="1152"/>
      <c r="Z296" s="1140"/>
      <c r="AA296" s="1152"/>
      <c r="AB296" s="1158"/>
      <c r="AC296" s="1152"/>
      <c r="AE296" s="1149"/>
      <c r="AF296" s="1155"/>
      <c r="AG296" s="388"/>
      <c r="AH296" s="389"/>
      <c r="AI296" s="1140"/>
      <c r="AJ296" s="1152"/>
      <c r="AK296" s="1140"/>
      <c r="AL296" s="1152"/>
      <c r="AM296" s="1140"/>
      <c r="AN296" s="1152"/>
      <c r="AO296" s="1140"/>
      <c r="AP296" s="1152"/>
      <c r="AQ296" s="1158"/>
      <c r="AR296" s="1152"/>
    </row>
    <row r="297" spans="1:44" ht="16" thickBot="1">
      <c r="B297" s="574"/>
      <c r="C297" s="578"/>
      <c r="D297" s="578"/>
      <c r="E297" s="578"/>
      <c r="F297" s="578"/>
      <c r="G297" s="578"/>
      <c r="H297" s="578"/>
      <c r="I297" s="578"/>
      <c r="J297" s="578"/>
      <c r="K297" s="579"/>
      <c r="L297" s="580"/>
      <c r="M297" s="370"/>
      <c r="N297" s="370"/>
      <c r="O297" s="71"/>
      <c r="P297" s="1149"/>
      <c r="Q297" s="1156"/>
      <c r="R297" s="393"/>
      <c r="S297" s="394"/>
      <c r="T297" s="1141"/>
      <c r="U297" s="1153"/>
      <c r="V297" s="1141"/>
      <c r="W297" s="1153"/>
      <c r="X297" s="1141"/>
      <c r="Y297" s="1153"/>
      <c r="Z297" s="1141"/>
      <c r="AA297" s="1153"/>
      <c r="AB297" s="1159"/>
      <c r="AC297" s="1153"/>
      <c r="AE297" s="1149"/>
      <c r="AF297" s="1156"/>
      <c r="AG297" s="393"/>
      <c r="AH297" s="394"/>
      <c r="AI297" s="1141"/>
      <c r="AJ297" s="1153"/>
      <c r="AK297" s="1141"/>
      <c r="AL297" s="1153"/>
      <c r="AM297" s="1141"/>
      <c r="AN297" s="1153"/>
      <c r="AO297" s="1141"/>
      <c r="AP297" s="1153"/>
      <c r="AQ297" s="1159"/>
      <c r="AR297" s="1153"/>
    </row>
    <row r="298" spans="1:44" ht="14.5" customHeight="1">
      <c r="B298" s="574"/>
      <c r="C298" s="581"/>
      <c r="D298" s="581"/>
      <c r="E298" s="581"/>
      <c r="F298" s="581"/>
      <c r="G298" s="581"/>
      <c r="H298" s="581"/>
      <c r="I298" s="581"/>
      <c r="J298" s="581"/>
      <c r="K298" s="579"/>
      <c r="L298" s="580"/>
      <c r="M298" s="370"/>
      <c r="N298" s="370"/>
      <c r="O298" s="71"/>
      <c r="P298" s="1149"/>
      <c r="Q298" s="1145"/>
      <c r="R298" s="395"/>
      <c r="S298" s="396"/>
      <c r="T298" s="1137"/>
      <c r="U298" s="1137"/>
      <c r="V298" s="1137"/>
      <c r="W298" s="1137"/>
      <c r="X298" s="1137"/>
      <c r="Y298" s="1137"/>
      <c r="Z298" s="1137"/>
      <c r="AA298" s="1137"/>
      <c r="AB298" s="1137"/>
      <c r="AC298" s="1137"/>
      <c r="AE298" s="1149"/>
      <c r="AF298" s="1145"/>
      <c r="AG298" s="395"/>
      <c r="AH298" s="396"/>
      <c r="AI298" s="1137"/>
      <c r="AJ298" s="1137"/>
      <c r="AK298" s="1137"/>
      <c r="AL298" s="1137"/>
      <c r="AM298" s="1137"/>
      <c r="AN298" s="1137"/>
      <c r="AO298" s="1137"/>
      <c r="AP298" s="1137"/>
      <c r="AQ298" s="1137"/>
      <c r="AR298" s="1137"/>
    </row>
    <row r="299" spans="1:44">
      <c r="B299" s="574"/>
      <c r="C299" s="582"/>
      <c r="D299" s="582"/>
      <c r="E299" s="582"/>
      <c r="F299" s="582"/>
      <c r="G299" s="582"/>
      <c r="H299" s="582"/>
      <c r="I299" s="582"/>
      <c r="J299" s="582"/>
      <c r="K299" s="579"/>
      <c r="L299" s="580"/>
      <c r="M299" s="367"/>
      <c r="N299" s="367"/>
      <c r="O299" s="71"/>
      <c r="P299" s="1149"/>
      <c r="Q299" s="1146"/>
      <c r="R299" s="395"/>
      <c r="S299" s="396"/>
      <c r="T299" s="1138"/>
      <c r="U299" s="1138"/>
      <c r="V299" s="1138"/>
      <c r="W299" s="1138"/>
      <c r="X299" s="1138"/>
      <c r="Y299" s="1138"/>
      <c r="Z299" s="1138"/>
      <c r="AA299" s="1138"/>
      <c r="AB299" s="1140"/>
      <c r="AC299" s="1138"/>
      <c r="AE299" s="1149"/>
      <c r="AF299" s="1146"/>
      <c r="AG299" s="395"/>
      <c r="AH299" s="396"/>
      <c r="AI299" s="1138"/>
      <c r="AJ299" s="1138"/>
      <c r="AK299" s="1138"/>
      <c r="AL299" s="1138"/>
      <c r="AM299" s="1138"/>
      <c r="AN299" s="1138"/>
      <c r="AO299" s="1138"/>
      <c r="AP299" s="1138"/>
      <c r="AQ299" s="1140"/>
      <c r="AR299" s="1138"/>
    </row>
    <row r="300" spans="1:44">
      <c r="B300" s="383"/>
      <c r="C300" s="397"/>
      <c r="D300" s="397"/>
      <c r="E300" s="397"/>
      <c r="F300" s="397"/>
      <c r="G300" s="398"/>
      <c r="H300" s="398"/>
      <c r="I300" s="398"/>
      <c r="J300" s="398"/>
      <c r="K300" s="372"/>
      <c r="L300" s="373"/>
      <c r="M300" s="363"/>
      <c r="N300" s="363"/>
      <c r="P300" s="1149"/>
      <c r="Q300" s="1146"/>
      <c r="R300" s="395"/>
      <c r="S300" s="396"/>
      <c r="T300" s="1138"/>
      <c r="U300" s="1138"/>
      <c r="V300" s="1138"/>
      <c r="W300" s="1138"/>
      <c r="X300" s="1138"/>
      <c r="Y300" s="1138"/>
      <c r="Z300" s="1138"/>
      <c r="AA300" s="1138"/>
      <c r="AB300" s="1140"/>
      <c r="AC300" s="1138"/>
      <c r="AE300" s="1149"/>
      <c r="AF300" s="1146"/>
      <c r="AG300" s="395"/>
      <c r="AH300" s="396"/>
      <c r="AI300" s="1138"/>
      <c r="AJ300" s="1138"/>
      <c r="AK300" s="1138"/>
      <c r="AL300" s="1138"/>
      <c r="AM300" s="1138"/>
      <c r="AN300" s="1138"/>
      <c r="AO300" s="1138"/>
      <c r="AP300" s="1138"/>
      <c r="AQ300" s="1140"/>
      <c r="AR300" s="1138"/>
    </row>
    <row r="301" spans="1:44" ht="16" thickBot="1">
      <c r="B301" s="574"/>
      <c r="C301" s="582"/>
      <c r="D301" s="582"/>
      <c r="E301" s="582"/>
      <c r="F301" s="582"/>
      <c r="G301" s="582"/>
      <c r="H301" s="582"/>
      <c r="I301" s="582"/>
      <c r="J301" s="582"/>
      <c r="K301" s="372"/>
      <c r="L301" s="373"/>
      <c r="M301" s="363"/>
      <c r="N301" s="363"/>
      <c r="P301" s="1149"/>
      <c r="Q301" s="1146"/>
      <c r="R301" s="395"/>
      <c r="S301" s="396"/>
      <c r="T301" s="1138"/>
      <c r="U301" s="1138"/>
      <c r="V301" s="1138"/>
      <c r="W301" s="1138"/>
      <c r="X301" s="1138"/>
      <c r="Y301" s="1138"/>
      <c r="Z301" s="1138"/>
      <c r="AA301" s="1138"/>
      <c r="AB301" s="1140"/>
      <c r="AC301" s="1138"/>
      <c r="AE301" s="1149"/>
      <c r="AF301" s="1146"/>
      <c r="AG301" s="395"/>
      <c r="AH301" s="396"/>
      <c r="AI301" s="1138"/>
      <c r="AJ301" s="1138"/>
      <c r="AK301" s="1138"/>
      <c r="AL301" s="1138"/>
      <c r="AM301" s="1138"/>
      <c r="AN301" s="1138"/>
      <c r="AO301" s="1138"/>
      <c r="AP301" s="1138"/>
      <c r="AQ301" s="1140"/>
      <c r="AR301" s="1138"/>
    </row>
    <row r="302" spans="1:44" ht="16" thickBot="1">
      <c r="B302" s="401"/>
      <c r="C302" s="583"/>
      <c r="D302" s="584"/>
      <c r="E302" s="585"/>
      <c r="F302" s="586"/>
      <c r="G302" s="406"/>
      <c r="H302" s="406"/>
      <c r="I302" s="406"/>
      <c r="J302" s="406"/>
      <c r="K302" s="407"/>
      <c r="L302" s="587"/>
      <c r="M302" s="363"/>
      <c r="N302" s="363"/>
      <c r="P302" s="1149"/>
      <c r="Q302" s="1147"/>
      <c r="R302" s="409"/>
      <c r="S302" s="410"/>
      <c r="T302" s="1139"/>
      <c r="U302" s="1139"/>
      <c r="V302" s="1139"/>
      <c r="W302" s="1139"/>
      <c r="X302" s="1139"/>
      <c r="Y302" s="1139"/>
      <c r="Z302" s="1139"/>
      <c r="AA302" s="1139"/>
      <c r="AB302" s="1141"/>
      <c r="AC302" s="1139"/>
      <c r="AE302" s="1149"/>
      <c r="AF302" s="1147"/>
      <c r="AG302" s="409"/>
      <c r="AH302" s="410"/>
      <c r="AI302" s="1139"/>
      <c r="AJ302" s="1139"/>
      <c r="AK302" s="1139"/>
      <c r="AL302" s="1139"/>
      <c r="AM302" s="1139"/>
      <c r="AN302" s="1139"/>
      <c r="AO302" s="1139"/>
      <c r="AP302" s="1139"/>
      <c r="AQ302" s="1141"/>
      <c r="AR302" s="1139"/>
    </row>
    <row r="303" spans="1:44" ht="16" thickBot="1">
      <c r="B303" s="574"/>
      <c r="C303" s="588"/>
      <c r="D303" s="588"/>
      <c r="E303" s="588"/>
      <c r="F303" s="588"/>
      <c r="G303" s="589"/>
      <c r="H303" s="589"/>
      <c r="I303" s="590"/>
      <c r="J303" s="590"/>
      <c r="K303" s="579"/>
      <c r="L303" s="580"/>
      <c r="M303" s="363"/>
      <c r="N303" s="363"/>
      <c r="P303" s="1150"/>
      <c r="Q303" s="411"/>
      <c r="R303" s="412"/>
      <c r="S303" s="413"/>
      <c r="T303" s="591"/>
      <c r="U303" s="592"/>
      <c r="V303" s="593"/>
      <c r="W303" s="592"/>
      <c r="X303" s="593"/>
      <c r="Y303" s="592"/>
      <c r="Z303" s="593"/>
      <c r="AA303" s="592"/>
      <c r="AB303" s="593"/>
      <c r="AC303" s="594"/>
      <c r="AE303" s="1150"/>
      <c r="AF303" s="411"/>
      <c r="AG303" s="412"/>
      <c r="AH303" s="413"/>
      <c r="AI303" s="591"/>
      <c r="AJ303" s="592"/>
      <c r="AK303" s="593"/>
      <c r="AL303" s="592"/>
      <c r="AM303" s="593"/>
      <c r="AN303" s="592"/>
      <c r="AO303" s="593"/>
      <c r="AP303" s="592"/>
      <c r="AQ303" s="593"/>
      <c r="AR303" s="594"/>
    </row>
    <row r="304" spans="1:44">
      <c r="B304" s="574"/>
      <c r="C304" s="582"/>
      <c r="D304" s="582"/>
      <c r="E304" s="582"/>
      <c r="F304" s="582"/>
      <c r="G304" s="595"/>
      <c r="H304" s="595"/>
      <c r="I304" s="595"/>
      <c r="J304" s="595"/>
      <c r="K304" s="596"/>
      <c r="L304" s="580"/>
      <c r="M304" s="363"/>
      <c r="N304" s="363"/>
    </row>
    <row r="305" spans="1:30">
      <c r="B305" s="574"/>
      <c r="C305" s="582"/>
      <c r="D305" s="582"/>
      <c r="E305" s="582"/>
      <c r="F305" s="582"/>
      <c r="G305" s="595"/>
      <c r="H305" s="595"/>
      <c r="I305" s="595"/>
      <c r="J305" s="595"/>
      <c r="K305" s="596"/>
      <c r="L305" s="580"/>
      <c r="M305" s="420"/>
      <c r="N305" s="363"/>
    </row>
    <row r="306" spans="1:30">
      <c r="B306" s="421"/>
      <c r="C306" s="399"/>
      <c r="D306" s="399"/>
      <c r="E306" s="399"/>
      <c r="F306" s="399"/>
      <c r="G306" s="422"/>
      <c r="H306" s="422"/>
      <c r="I306" s="422"/>
      <c r="J306" s="422"/>
      <c r="K306" s="423"/>
      <c r="L306" s="597"/>
      <c r="M306" s="420"/>
      <c r="N306" s="420"/>
    </row>
    <row r="307" spans="1:30">
      <c r="B307" s="383"/>
      <c r="C307" s="397"/>
      <c r="D307" s="397"/>
      <c r="E307" s="397"/>
      <c r="F307" s="397"/>
      <c r="G307" s="422"/>
      <c r="H307" s="425"/>
      <c r="I307" s="425"/>
      <c r="J307" s="425"/>
      <c r="K307" s="426"/>
      <c r="L307" s="427"/>
      <c r="M307" s="428"/>
      <c r="N307" s="428"/>
    </row>
    <row r="308" spans="1:30">
      <c r="B308" s="383"/>
      <c r="C308" s="397"/>
      <c r="D308" s="397"/>
      <c r="E308" s="397"/>
      <c r="F308" s="397"/>
      <c r="G308" s="425"/>
      <c r="H308" s="425"/>
      <c r="I308" s="425"/>
      <c r="J308" s="425"/>
      <c r="K308" s="423"/>
      <c r="L308" s="427"/>
      <c r="M308" s="428"/>
      <c r="N308" s="428"/>
    </row>
    <row r="309" spans="1:30">
      <c r="B309" s="383"/>
      <c r="C309" s="397"/>
      <c r="D309" s="397"/>
      <c r="E309" s="397"/>
      <c r="F309" s="397"/>
      <c r="G309" s="425"/>
      <c r="H309" s="425"/>
      <c r="I309" s="425"/>
      <c r="J309" s="425"/>
      <c r="K309" s="423"/>
      <c r="L309" s="427"/>
      <c r="M309" s="428"/>
      <c r="N309" s="428"/>
    </row>
    <row r="310" spans="1:30">
      <c r="B310" s="383"/>
      <c r="C310" s="397"/>
      <c r="D310" s="397"/>
      <c r="E310" s="397"/>
      <c r="F310" s="397"/>
      <c r="G310" s="425"/>
      <c r="H310" s="425"/>
      <c r="I310" s="425"/>
      <c r="J310" s="425"/>
      <c r="K310" s="423"/>
      <c r="L310" s="427"/>
      <c r="M310" s="428"/>
      <c r="N310" s="428"/>
    </row>
    <row r="311" spans="1:30" ht="16" thickBot="1">
      <c r="B311" s="429"/>
      <c r="C311" s="397"/>
      <c r="D311" s="397"/>
      <c r="E311" s="397"/>
      <c r="F311" s="397"/>
      <c r="G311" s="425"/>
      <c r="H311" s="425"/>
      <c r="I311" s="425"/>
      <c r="J311" s="425"/>
      <c r="K311" s="423"/>
      <c r="L311" s="427"/>
      <c r="M311" s="428"/>
      <c r="N311" s="428"/>
    </row>
    <row r="312" spans="1:30" ht="16" thickBot="1">
      <c r="B312" s="431"/>
      <c r="C312" s="598"/>
      <c r="D312" s="584"/>
      <c r="E312" s="584"/>
      <c r="F312" s="599"/>
      <c r="G312" s="434"/>
      <c r="H312" s="406"/>
      <c r="I312" s="406"/>
      <c r="J312" s="406"/>
      <c r="K312" s="407"/>
      <c r="L312" s="587"/>
      <c r="M312" s="428"/>
      <c r="N312" s="428"/>
    </row>
    <row r="313" spans="1:30">
      <c r="A313" s="435"/>
      <c r="B313" s="436"/>
      <c r="C313" s="600"/>
      <c r="D313" s="600"/>
      <c r="E313" s="600"/>
      <c r="F313" s="600"/>
      <c r="G313" s="425"/>
      <c r="H313" s="425"/>
      <c r="I313" s="425"/>
      <c r="J313" s="425"/>
      <c r="K313" s="426"/>
      <c r="L313" s="440"/>
      <c r="M313" s="420"/>
      <c r="N313" s="420"/>
    </row>
    <row r="314" spans="1:30">
      <c r="B314" s="441"/>
      <c r="C314" s="601"/>
      <c r="D314" s="601"/>
      <c r="E314" s="601"/>
      <c r="F314" s="601"/>
      <c r="G314" s="425"/>
      <c r="H314" s="425"/>
      <c r="I314" s="425"/>
      <c r="J314" s="425"/>
      <c r="K314" s="444"/>
      <c r="L314" s="373"/>
      <c r="M314" s="71"/>
      <c r="N314" s="420"/>
    </row>
    <row r="315" spans="1:30">
      <c r="B315" s="441"/>
      <c r="C315" s="601"/>
      <c r="D315" s="601"/>
      <c r="E315" s="601"/>
      <c r="F315" s="601"/>
      <c r="G315" s="425"/>
      <c r="H315" s="425"/>
      <c r="I315" s="425"/>
      <c r="J315" s="425"/>
      <c r="K315" s="444"/>
      <c r="L315" s="373"/>
      <c r="M315" s="420"/>
      <c r="N315" s="420"/>
    </row>
    <row r="316" spans="1:30">
      <c r="B316" s="383"/>
      <c r="C316" s="602"/>
      <c r="D316" s="603"/>
      <c r="E316" s="603"/>
      <c r="F316" s="604"/>
      <c r="G316" s="425"/>
      <c r="H316" s="425"/>
      <c r="I316" s="425"/>
      <c r="J316" s="425"/>
      <c r="K316" s="444"/>
      <c r="L316" s="373"/>
      <c r="M316" s="420"/>
      <c r="N316" s="420"/>
    </row>
    <row r="317" spans="1:30">
      <c r="B317" s="383"/>
      <c r="C317" s="605"/>
      <c r="D317" s="605"/>
      <c r="E317" s="605"/>
      <c r="F317" s="605"/>
      <c r="G317" s="425"/>
      <c r="H317" s="425"/>
      <c r="I317" s="425"/>
      <c r="J317" s="425"/>
      <c r="K317" s="444"/>
      <c r="L317" s="373"/>
      <c r="M317" s="450"/>
      <c r="N317" s="361"/>
      <c r="P317" s="1142"/>
      <c r="Q317" s="1143"/>
      <c r="R317" s="1143"/>
      <c r="S317" s="1143"/>
      <c r="T317" s="1143"/>
      <c r="U317" s="1144"/>
    </row>
    <row r="318" spans="1:30" ht="16" thickBot="1">
      <c r="B318" s="541"/>
      <c r="C318" s="552"/>
      <c r="D318" s="552"/>
      <c r="E318" s="552"/>
      <c r="F318" s="552"/>
      <c r="G318" s="553"/>
      <c r="H318" s="553"/>
      <c r="I318" s="553"/>
      <c r="J318" s="553"/>
      <c r="K318" s="547"/>
      <c r="L318" s="548"/>
      <c r="M318" s="450"/>
      <c r="N318" s="361"/>
      <c r="P318" s="1134"/>
      <c r="Q318" s="1135"/>
      <c r="R318" s="1135"/>
      <c r="S318" s="1135"/>
      <c r="T318" s="1135"/>
      <c r="U318" s="1136"/>
    </row>
    <row r="319" spans="1:30">
      <c r="B319" s="541"/>
      <c r="C319" s="606"/>
      <c r="D319" s="606"/>
      <c r="E319" s="606"/>
      <c r="F319" s="606"/>
      <c r="G319" s="553"/>
      <c r="H319" s="553"/>
      <c r="I319" s="553"/>
      <c r="J319" s="553"/>
      <c r="K319" s="547"/>
      <c r="L319" s="548"/>
      <c r="M319" s="363"/>
      <c r="N319" s="363"/>
      <c r="P319" s="53"/>
    </row>
    <row r="320" spans="1:30">
      <c r="B320" s="541"/>
      <c r="C320" s="607"/>
      <c r="D320" s="547"/>
      <c r="E320" s="547"/>
      <c r="F320" s="563"/>
      <c r="G320" s="550"/>
      <c r="H320" s="550"/>
      <c r="I320" s="550"/>
      <c r="J320" s="550"/>
      <c r="K320" s="547"/>
      <c r="L320" s="608"/>
      <c r="M320" s="367"/>
      <c r="N320" s="367"/>
      <c r="P320" s="46"/>
      <c r="Q320" s="46"/>
      <c r="R320" s="47"/>
      <c r="S320" s="47"/>
      <c r="T320" s="47"/>
      <c r="U320" s="48"/>
      <c r="V320" s="49"/>
      <c r="W320" s="49"/>
      <c r="X320" s="49"/>
      <c r="Y320" s="49"/>
      <c r="Z320" s="49"/>
      <c r="AA320" s="49"/>
      <c r="AB320" s="49"/>
      <c r="AC320" s="49"/>
      <c r="AD320" s="49"/>
    </row>
    <row r="321" spans="1:30" ht="16" thickBot="1">
      <c r="B321" s="566"/>
      <c r="C321" s="607"/>
      <c r="D321" s="609"/>
      <c r="E321" s="609"/>
      <c r="F321" s="610"/>
      <c r="G321" s="550"/>
      <c r="H321" s="550"/>
      <c r="I321" s="550"/>
      <c r="J321" s="550"/>
      <c r="K321" s="547"/>
      <c r="L321" s="608"/>
      <c r="M321" s="363"/>
      <c r="N321" s="363"/>
      <c r="O321" s="71"/>
      <c r="P321" s="50"/>
      <c r="Q321" s="50"/>
      <c r="R321" s="51"/>
      <c r="S321" s="51"/>
      <c r="T321" s="51"/>
      <c r="U321" s="51"/>
      <c r="V321" s="50"/>
      <c r="W321" s="50"/>
      <c r="X321" s="50"/>
      <c r="Y321" s="50"/>
      <c r="Z321" s="50"/>
      <c r="AA321" s="50"/>
      <c r="AB321" s="50"/>
      <c r="AC321" s="50"/>
      <c r="AD321" s="50"/>
    </row>
    <row r="322" spans="1:30" ht="16" thickBot="1">
      <c r="B322" s="611"/>
      <c r="C322" s="612"/>
      <c r="D322" s="613"/>
      <c r="E322" s="614"/>
      <c r="F322" s="615"/>
      <c r="G322" s="540"/>
      <c r="H322" s="540"/>
      <c r="I322" s="540"/>
      <c r="J322" s="540"/>
      <c r="K322" s="616"/>
      <c r="L322" s="617"/>
      <c r="M322" s="363"/>
      <c r="N322" s="363"/>
      <c r="O322" s="461"/>
      <c r="P322" s="56"/>
      <c r="Q322" s="56"/>
      <c r="R322" s="57"/>
      <c r="S322" s="57"/>
      <c r="T322" s="57"/>
      <c r="U322" s="56"/>
      <c r="V322" s="56"/>
      <c r="W322" s="56"/>
      <c r="X322" s="56"/>
      <c r="Y322" s="56"/>
      <c r="Z322" s="56"/>
      <c r="AA322" s="56"/>
      <c r="AB322" s="56"/>
      <c r="AC322" s="56"/>
      <c r="AD322" s="56"/>
    </row>
    <row r="323" spans="1:30">
      <c r="B323" s="556"/>
      <c r="C323" s="618"/>
      <c r="D323" s="618"/>
      <c r="E323" s="618"/>
      <c r="F323" s="618"/>
      <c r="G323" s="618"/>
      <c r="H323" s="618"/>
      <c r="I323" s="618"/>
      <c r="J323" s="618"/>
      <c r="K323" s="618"/>
      <c r="L323" s="619"/>
      <c r="M323" s="363"/>
      <c r="N323" s="363"/>
      <c r="O323" s="620"/>
      <c r="P323" s="466"/>
      <c r="Q323" s="58"/>
      <c r="R323" s="466"/>
      <c r="S323" s="58"/>
      <c r="T323" s="466"/>
      <c r="U323" s="467"/>
      <c r="V323" s="467"/>
      <c r="W323" s="467"/>
      <c r="X323" s="58"/>
      <c r="Y323" s="58"/>
      <c r="Z323" s="466"/>
      <c r="AA323" s="468"/>
      <c r="AB323" s="468"/>
      <c r="AC323" s="468"/>
      <c r="AD323" s="468"/>
    </row>
    <row r="324" spans="1:30">
      <c r="B324" s="541"/>
      <c r="C324" s="558"/>
      <c r="D324" s="558"/>
      <c r="E324" s="558"/>
      <c r="F324" s="558"/>
      <c r="G324" s="563"/>
      <c r="H324" s="563"/>
      <c r="I324" s="563"/>
      <c r="J324" s="563"/>
      <c r="K324" s="563"/>
      <c r="L324" s="548"/>
      <c r="M324" s="363"/>
      <c r="N324" s="363"/>
      <c r="O324" s="620"/>
      <c r="P324" s="466"/>
      <c r="Q324" s="58"/>
      <c r="R324" s="466"/>
      <c r="S324" s="58"/>
      <c r="T324" s="466"/>
      <c r="U324" s="467"/>
      <c r="V324" s="467"/>
      <c r="W324" s="467"/>
      <c r="X324" s="58"/>
      <c r="Y324" s="58"/>
      <c r="Z324" s="466"/>
      <c r="AA324" s="468"/>
      <c r="AB324" s="468"/>
      <c r="AC324" s="468"/>
      <c r="AD324" s="468"/>
    </row>
    <row r="325" spans="1:30">
      <c r="B325" s="541"/>
      <c r="C325" s="558"/>
      <c r="D325" s="558"/>
      <c r="E325" s="558"/>
      <c r="F325" s="558"/>
      <c r="G325" s="563"/>
      <c r="H325" s="563"/>
      <c r="I325" s="563"/>
      <c r="J325" s="563"/>
      <c r="K325" s="563"/>
      <c r="L325" s="548"/>
      <c r="M325" s="363"/>
      <c r="N325" s="363"/>
      <c r="O325" s="620"/>
      <c r="P325" s="466"/>
      <c r="Q325" s="58"/>
      <c r="R325" s="466"/>
      <c r="S325" s="58"/>
      <c r="T325" s="466"/>
      <c r="U325" s="467"/>
      <c r="V325" s="467"/>
      <c r="W325" s="467"/>
      <c r="X325" s="58"/>
      <c r="Y325" s="58"/>
      <c r="Z325" s="466"/>
      <c r="AA325" s="468"/>
      <c r="AB325" s="468"/>
      <c r="AC325" s="468"/>
      <c r="AD325" s="468"/>
    </row>
    <row r="326" spans="1:30">
      <c r="B326" s="541"/>
      <c r="C326" s="564"/>
      <c r="D326" s="564"/>
      <c r="E326" s="564"/>
      <c r="F326" s="564"/>
      <c r="G326" s="621"/>
      <c r="H326" s="621"/>
      <c r="I326" s="621"/>
      <c r="J326" s="621"/>
      <c r="K326" s="621"/>
      <c r="L326" s="548"/>
      <c r="M326" s="363"/>
      <c r="N326" s="363"/>
      <c r="O326" s="620"/>
      <c r="P326" s="466"/>
      <c r="Q326" s="58"/>
      <c r="R326" s="466"/>
      <c r="S326" s="58"/>
      <c r="T326" s="466"/>
      <c r="U326" s="467"/>
      <c r="V326" s="467"/>
      <c r="W326" s="467"/>
      <c r="X326" s="58"/>
      <c r="Y326" s="58"/>
      <c r="Z326" s="466"/>
      <c r="AA326" s="468"/>
      <c r="AB326" s="468"/>
      <c r="AC326" s="468"/>
      <c r="AD326" s="468"/>
    </row>
    <row r="327" spans="1:30">
      <c r="B327" s="566"/>
      <c r="C327" s="558"/>
      <c r="D327" s="558"/>
      <c r="E327" s="558"/>
      <c r="F327" s="558"/>
      <c r="G327" s="563"/>
      <c r="H327" s="563"/>
      <c r="I327" s="563"/>
      <c r="J327" s="563"/>
      <c r="K327" s="563"/>
      <c r="L327" s="548"/>
      <c r="M327" s="367"/>
      <c r="N327" s="367"/>
    </row>
    <row r="328" spans="1:30">
      <c r="B328" s="566"/>
      <c r="C328" s="558"/>
      <c r="D328" s="558"/>
      <c r="E328" s="558"/>
      <c r="F328" s="558"/>
      <c r="G328" s="563"/>
      <c r="H328" s="563"/>
      <c r="I328" s="563"/>
      <c r="J328" s="563"/>
      <c r="K328" s="563"/>
      <c r="L328" s="548"/>
      <c r="M328" s="363"/>
      <c r="N328" s="363"/>
    </row>
    <row r="329" spans="1:30" ht="16" thickBot="1">
      <c r="B329" s="567"/>
      <c r="C329" s="622"/>
      <c r="D329" s="622"/>
      <c r="E329" s="622"/>
      <c r="F329" s="622"/>
      <c r="G329" s="623"/>
      <c r="H329" s="623"/>
      <c r="I329" s="623"/>
      <c r="J329" s="623"/>
      <c r="K329" s="623"/>
      <c r="L329" s="624"/>
      <c r="M329" s="363"/>
      <c r="N329" s="363"/>
    </row>
    <row r="330" spans="1:30">
      <c r="B330" s="461"/>
      <c r="C330" s="483"/>
      <c r="D330" s="483"/>
      <c r="E330" s="483"/>
      <c r="F330" s="483"/>
      <c r="G330" s="483"/>
      <c r="H330" s="484"/>
      <c r="I330" s="420"/>
      <c r="J330" s="420"/>
      <c r="K330" s="484"/>
      <c r="L330" s="484"/>
      <c r="N330" s="420"/>
    </row>
    <row r="331" spans="1:30">
      <c r="B331" s="485"/>
      <c r="C331" s="486"/>
      <c r="D331" s="486"/>
      <c r="E331" s="486"/>
      <c r="F331" s="486"/>
      <c r="G331" s="486"/>
      <c r="H331" s="484"/>
      <c r="I331" s="71"/>
      <c r="J331" s="420"/>
      <c r="K331" s="484"/>
      <c r="L331" s="484"/>
      <c r="N331" s="420"/>
    </row>
    <row r="332" spans="1:30">
      <c r="B332" s="461"/>
      <c r="C332" s="359"/>
      <c r="D332" s="359"/>
      <c r="E332" s="359"/>
      <c r="F332" s="359"/>
      <c r="G332" s="359"/>
      <c r="I332" s="420"/>
      <c r="J332" s="420"/>
      <c r="N332" s="420"/>
    </row>
    <row r="333" spans="1:30">
      <c r="B333" s="461"/>
      <c r="C333" s="487"/>
      <c r="D333" s="487"/>
      <c r="E333" s="487"/>
      <c r="F333" s="487"/>
      <c r="G333" s="359"/>
      <c r="M333" s="420"/>
      <c r="N333" s="420"/>
    </row>
    <row r="336" spans="1:30">
      <c r="A336" s="488"/>
      <c r="B336" s="489"/>
      <c r="D336" s="358"/>
      <c r="E336" s="358"/>
      <c r="F336" s="358"/>
      <c r="G336" s="358"/>
      <c r="H336" s="358"/>
      <c r="I336" s="358"/>
      <c r="J336" s="358"/>
      <c r="K336" s="358"/>
    </row>
    <row r="337" spans="1:11">
      <c r="A337" s="358"/>
      <c r="B337" s="490"/>
      <c r="E337" s="358"/>
      <c r="F337" s="358"/>
      <c r="G337" s="358"/>
      <c r="H337" s="358"/>
      <c r="I337" s="358"/>
      <c r="J337" s="358"/>
      <c r="K337" s="358"/>
    </row>
    <row r="338" spans="1:11">
      <c r="A338" s="358"/>
      <c r="B338" s="490"/>
      <c r="E338" s="358"/>
      <c r="F338" s="358"/>
      <c r="G338" s="358"/>
      <c r="H338" s="358"/>
      <c r="I338" s="358"/>
      <c r="J338" s="358"/>
      <c r="K338" s="358"/>
    </row>
    <row r="339" spans="1:11">
      <c r="A339" s="358"/>
      <c r="B339" s="490"/>
      <c r="E339" s="358"/>
      <c r="F339" s="358"/>
      <c r="G339" s="358"/>
      <c r="H339" s="358"/>
      <c r="I339" s="358"/>
      <c r="J339" s="358"/>
      <c r="K339" s="358"/>
    </row>
    <row r="340" spans="1:11">
      <c r="A340" s="358"/>
      <c r="B340" s="490"/>
      <c r="E340" s="358"/>
      <c r="F340" s="358"/>
      <c r="G340" s="358"/>
      <c r="H340" s="358"/>
      <c r="I340" s="358"/>
      <c r="J340" s="358"/>
      <c r="K340" s="358"/>
    </row>
    <row r="341" spans="1:11">
      <c r="A341" s="358"/>
      <c r="B341" s="490"/>
      <c r="E341" s="358"/>
      <c r="F341" s="358"/>
      <c r="G341" s="358"/>
      <c r="H341" s="358"/>
      <c r="I341" s="358"/>
      <c r="J341" s="358"/>
      <c r="K341" s="358"/>
    </row>
    <row r="342" spans="1:11">
      <c r="A342" s="358"/>
      <c r="B342" s="490"/>
      <c r="E342" s="358"/>
      <c r="F342" s="358"/>
      <c r="G342" s="358"/>
      <c r="H342" s="358"/>
      <c r="I342" s="358"/>
      <c r="J342" s="358"/>
      <c r="K342" s="358"/>
    </row>
    <row r="343" spans="1:11">
      <c r="A343" s="358"/>
      <c r="B343" s="490"/>
      <c r="E343" s="358"/>
      <c r="F343" s="358"/>
      <c r="G343" s="358"/>
      <c r="H343" s="358"/>
      <c r="I343" s="358"/>
      <c r="J343" s="358"/>
      <c r="K343" s="358"/>
    </row>
    <row r="344" spans="1:11">
      <c r="A344" s="358"/>
      <c r="B344" s="625"/>
      <c r="E344" s="358"/>
      <c r="F344" s="358"/>
      <c r="G344" s="358"/>
      <c r="H344" s="358"/>
      <c r="I344" s="358"/>
      <c r="J344" s="358"/>
      <c r="K344" s="358"/>
    </row>
    <row r="345" spans="1:11">
      <c r="A345" s="358"/>
      <c r="B345" s="490"/>
      <c r="E345" s="358"/>
      <c r="F345" s="358"/>
      <c r="G345" s="358"/>
      <c r="H345" s="358"/>
      <c r="I345" s="358"/>
      <c r="J345" s="358"/>
      <c r="K345" s="358"/>
    </row>
    <row r="346" spans="1:11">
      <c r="A346" s="488"/>
      <c r="B346" s="489"/>
      <c r="E346" s="358"/>
      <c r="F346" s="358"/>
      <c r="G346" s="358"/>
      <c r="H346" s="358"/>
      <c r="I346" s="358"/>
      <c r="J346" s="358"/>
      <c r="K346" s="358"/>
    </row>
    <row r="347" spans="1:11">
      <c r="A347" s="496"/>
      <c r="B347" s="490"/>
      <c r="C347" s="489"/>
      <c r="E347" s="358"/>
      <c r="F347" s="358"/>
      <c r="G347" s="358"/>
      <c r="H347" s="358"/>
      <c r="I347" s="358"/>
      <c r="J347" s="358"/>
      <c r="K347" s="358"/>
    </row>
    <row r="348" spans="1:11">
      <c r="A348" s="496"/>
      <c r="B348" s="490"/>
      <c r="C348" s="489"/>
      <c r="E348" s="358"/>
      <c r="F348" s="358"/>
      <c r="G348" s="358"/>
      <c r="H348" s="358"/>
      <c r="I348" s="358"/>
      <c r="J348" s="358"/>
      <c r="K348" s="358"/>
    </row>
    <row r="349" spans="1:11">
      <c r="A349" s="496"/>
      <c r="B349" s="490"/>
      <c r="C349" s="489"/>
      <c r="E349" s="358"/>
      <c r="F349" s="358"/>
      <c r="G349" s="358"/>
      <c r="H349" s="358"/>
      <c r="I349" s="358"/>
      <c r="J349" s="358"/>
      <c r="K349" s="358"/>
    </row>
    <row r="350" spans="1:11">
      <c r="A350" s="496"/>
      <c r="B350" s="490"/>
      <c r="C350" s="489"/>
      <c r="E350" s="358"/>
      <c r="F350" s="358"/>
      <c r="G350" s="358"/>
      <c r="H350" s="358"/>
      <c r="I350" s="358"/>
      <c r="J350" s="358"/>
      <c r="K350" s="358"/>
    </row>
    <row r="351" spans="1:11" ht="15.75" customHeight="1">
      <c r="A351" s="496"/>
      <c r="B351" s="490"/>
      <c r="C351" s="489"/>
      <c r="E351" s="358"/>
      <c r="F351" s="358"/>
      <c r="G351" s="358"/>
      <c r="H351" s="358"/>
      <c r="I351" s="358"/>
      <c r="J351" s="358"/>
      <c r="K351" s="358"/>
    </row>
    <row r="352" spans="1:11" ht="15.75" customHeight="1">
      <c r="A352" s="496"/>
      <c r="B352" s="490"/>
      <c r="C352" s="489"/>
      <c r="E352" s="358"/>
      <c r="F352" s="358"/>
      <c r="G352" s="358"/>
      <c r="H352" s="358"/>
      <c r="I352" s="358"/>
      <c r="J352" s="358"/>
      <c r="K352" s="358"/>
    </row>
  </sheetData>
  <mergeCells count="395">
    <mergeCell ref="P317:U317"/>
    <mergeCell ref="P318:U318"/>
    <mergeCell ref="AM298:AM302"/>
    <mergeCell ref="AN298:AN302"/>
    <mergeCell ref="AO298:AO302"/>
    <mergeCell ref="AP298:AP302"/>
    <mergeCell ref="AQ298:AQ302"/>
    <mergeCell ref="AR298:AR302"/>
    <mergeCell ref="AC298:AC302"/>
    <mergeCell ref="AF298:AF302"/>
    <mergeCell ref="AI298:AI302"/>
    <mergeCell ref="AJ298:AJ302"/>
    <mergeCell ref="AK298:AK302"/>
    <mergeCell ref="AL298:AL302"/>
    <mergeCell ref="W298:W302"/>
    <mergeCell ref="X298:X302"/>
    <mergeCell ref="Y298:Y302"/>
    <mergeCell ref="Z298:Z302"/>
    <mergeCell ref="AA298:AA302"/>
    <mergeCell ref="AB298:AB302"/>
    <mergeCell ref="AM295:AM297"/>
    <mergeCell ref="AN295:AN297"/>
    <mergeCell ref="AO295:AO297"/>
    <mergeCell ref="AP295:AP297"/>
    <mergeCell ref="AQ295:AQ297"/>
    <mergeCell ref="AR295:AR297"/>
    <mergeCell ref="AE295:AE303"/>
    <mergeCell ref="AF295:AF297"/>
    <mergeCell ref="AI295:AI297"/>
    <mergeCell ref="AJ295:AJ297"/>
    <mergeCell ref="AK295:AK297"/>
    <mergeCell ref="AL295:AL297"/>
    <mergeCell ref="X295:X297"/>
    <mergeCell ref="Y295:Y297"/>
    <mergeCell ref="Z295:Z297"/>
    <mergeCell ref="AA295:AA297"/>
    <mergeCell ref="AB295:AB297"/>
    <mergeCell ref="AC295:AC297"/>
    <mergeCell ref="P295:P303"/>
    <mergeCell ref="Q295:Q297"/>
    <mergeCell ref="T295:T297"/>
    <mergeCell ref="U295:U297"/>
    <mergeCell ref="V295:V297"/>
    <mergeCell ref="W295:W297"/>
    <mergeCell ref="Q298:Q302"/>
    <mergeCell ref="T298:T302"/>
    <mergeCell ref="U298:U302"/>
    <mergeCell ref="V298:V302"/>
    <mergeCell ref="AQ291:AR293"/>
    <mergeCell ref="B292:B293"/>
    <mergeCell ref="C292:C293"/>
    <mergeCell ref="D292:D293"/>
    <mergeCell ref="E292:E293"/>
    <mergeCell ref="F292:F293"/>
    <mergeCell ref="G292:H292"/>
    <mergeCell ref="I292:J292"/>
    <mergeCell ref="K292:K293"/>
    <mergeCell ref="Z291:AA293"/>
    <mergeCell ref="AB291:AC293"/>
    <mergeCell ref="AH291:AH294"/>
    <mergeCell ref="AI291:AJ293"/>
    <mergeCell ref="AK291:AL293"/>
    <mergeCell ref="AM291:AN293"/>
    <mergeCell ref="AE292:AE294"/>
    <mergeCell ref="AF293:AF294"/>
    <mergeCell ref="AG293:AG294"/>
    <mergeCell ref="AN229:AN231"/>
    <mergeCell ref="AO229:AO231"/>
    <mergeCell ref="AP229:AP231"/>
    <mergeCell ref="P252:U252"/>
    <mergeCell ref="C291:L291"/>
    <mergeCell ref="S291:S294"/>
    <mergeCell ref="T291:U293"/>
    <mergeCell ref="V291:W293"/>
    <mergeCell ref="X291:Y293"/>
    <mergeCell ref="L292:L293"/>
    <mergeCell ref="P292:P294"/>
    <mergeCell ref="Q293:Q294"/>
    <mergeCell ref="R293:R294"/>
    <mergeCell ref="AO291:AP293"/>
    <mergeCell ref="P251:U251"/>
    <mergeCell ref="AF232:AF236"/>
    <mergeCell ref="AI232:AI236"/>
    <mergeCell ref="AJ232:AJ236"/>
    <mergeCell ref="AK232:AK236"/>
    <mergeCell ref="AL232:AL236"/>
    <mergeCell ref="AM232:AM236"/>
    <mergeCell ref="X232:X236"/>
    <mergeCell ref="Y232:Y236"/>
    <mergeCell ref="Z232:Z236"/>
    <mergeCell ref="AA232:AA236"/>
    <mergeCell ref="AB232:AB236"/>
    <mergeCell ref="AC232:AC236"/>
    <mergeCell ref="P229:P237"/>
    <mergeCell ref="Q229:Q231"/>
    <mergeCell ref="T229:T231"/>
    <mergeCell ref="U229:U231"/>
    <mergeCell ref="V229:V231"/>
    <mergeCell ref="W229:W231"/>
    <mergeCell ref="X229:X231"/>
    <mergeCell ref="AQ229:AQ231"/>
    <mergeCell ref="AR229:AR231"/>
    <mergeCell ref="Q232:Q236"/>
    <mergeCell ref="T232:T236"/>
    <mergeCell ref="U232:U236"/>
    <mergeCell ref="V232:V236"/>
    <mergeCell ref="W232:W236"/>
    <mergeCell ref="AF229:AF231"/>
    <mergeCell ref="AI229:AI231"/>
    <mergeCell ref="AJ229:AJ231"/>
    <mergeCell ref="AK229:AK231"/>
    <mergeCell ref="AL229:AL231"/>
    <mergeCell ref="AM229:AM231"/>
    <mergeCell ref="Y229:Y231"/>
    <mergeCell ref="Z229:Z231"/>
    <mergeCell ref="AA229:AA231"/>
    <mergeCell ref="AB229:AB231"/>
    <mergeCell ref="AC229:AC231"/>
    <mergeCell ref="AE229:AE237"/>
    <mergeCell ref="AN232:AN236"/>
    <mergeCell ref="AO232:AO236"/>
    <mergeCell ref="AP232:AP236"/>
    <mergeCell ref="AQ232:AQ236"/>
    <mergeCell ref="AR232:AR236"/>
    <mergeCell ref="AM225:AN227"/>
    <mergeCell ref="AO225:AP227"/>
    <mergeCell ref="AQ225:AR227"/>
    <mergeCell ref="B226:B227"/>
    <mergeCell ref="C226:C227"/>
    <mergeCell ref="D226:D227"/>
    <mergeCell ref="E226:E227"/>
    <mergeCell ref="F226:F227"/>
    <mergeCell ref="G226:H226"/>
    <mergeCell ref="I226:J226"/>
    <mergeCell ref="X225:Y227"/>
    <mergeCell ref="Z225:AA227"/>
    <mergeCell ref="AB225:AC227"/>
    <mergeCell ref="AH225:AH228"/>
    <mergeCell ref="AI225:AJ227"/>
    <mergeCell ref="AK225:AL227"/>
    <mergeCell ref="AE226:AE228"/>
    <mergeCell ref="R227:R228"/>
    <mergeCell ref="AF227:AF228"/>
    <mergeCell ref="AG227:AG228"/>
    <mergeCell ref="P184:U184"/>
    <mergeCell ref="P185:U185"/>
    <mergeCell ref="C225:L225"/>
    <mergeCell ref="S225:S228"/>
    <mergeCell ref="T225:U227"/>
    <mergeCell ref="V225:W227"/>
    <mergeCell ref="K226:K227"/>
    <mergeCell ref="L226:L227"/>
    <mergeCell ref="P226:P228"/>
    <mergeCell ref="Q227:Q228"/>
    <mergeCell ref="X165:X169"/>
    <mergeCell ref="Y165:Y169"/>
    <mergeCell ref="Z165:Z169"/>
    <mergeCell ref="AA165:AA169"/>
    <mergeCell ref="AB165:AB169"/>
    <mergeCell ref="AM162:AM164"/>
    <mergeCell ref="AN162:AN164"/>
    <mergeCell ref="AO162:AO164"/>
    <mergeCell ref="X162:X164"/>
    <mergeCell ref="Y162:Y164"/>
    <mergeCell ref="Z162:Z164"/>
    <mergeCell ref="AA162:AA164"/>
    <mergeCell ref="AB162:AB164"/>
    <mergeCell ref="AC162:AC164"/>
    <mergeCell ref="AM165:AM169"/>
    <mergeCell ref="AN165:AN169"/>
    <mergeCell ref="AO165:AO169"/>
    <mergeCell ref="AC165:AC169"/>
    <mergeCell ref="AF165:AF169"/>
    <mergeCell ref="AI165:AI169"/>
    <mergeCell ref="AJ165:AJ169"/>
    <mergeCell ref="AK165:AK169"/>
    <mergeCell ref="AL165:AL169"/>
    <mergeCell ref="AP162:AP164"/>
    <mergeCell ref="AQ162:AQ164"/>
    <mergeCell ref="AR162:AR164"/>
    <mergeCell ref="AE162:AE170"/>
    <mergeCell ref="AF162:AF164"/>
    <mergeCell ref="AI162:AI164"/>
    <mergeCell ref="AJ162:AJ164"/>
    <mergeCell ref="AK162:AK164"/>
    <mergeCell ref="AL162:AL164"/>
    <mergeCell ref="AP165:AP169"/>
    <mergeCell ref="AQ165:AQ169"/>
    <mergeCell ref="AR165:AR169"/>
    <mergeCell ref="P162:P170"/>
    <mergeCell ref="Q162:Q164"/>
    <mergeCell ref="T162:T164"/>
    <mergeCell ref="U162:U164"/>
    <mergeCell ref="V162:V164"/>
    <mergeCell ref="W162:W164"/>
    <mergeCell ref="Q165:Q169"/>
    <mergeCell ref="T165:T169"/>
    <mergeCell ref="U165:U169"/>
    <mergeCell ref="V165:V169"/>
    <mergeCell ref="W165:W169"/>
    <mergeCell ref="AQ158:AR160"/>
    <mergeCell ref="B159:B160"/>
    <mergeCell ref="C159:C160"/>
    <mergeCell ref="D159:D160"/>
    <mergeCell ref="E159:E160"/>
    <mergeCell ref="F159:F160"/>
    <mergeCell ref="G159:H159"/>
    <mergeCell ref="I159:J159"/>
    <mergeCell ref="K159:K160"/>
    <mergeCell ref="L159:L160"/>
    <mergeCell ref="AB158:AC160"/>
    <mergeCell ref="AH158:AH161"/>
    <mergeCell ref="AI158:AJ160"/>
    <mergeCell ref="AK158:AL160"/>
    <mergeCell ref="AM158:AN160"/>
    <mergeCell ref="AO158:AP160"/>
    <mergeCell ref="AE159:AE161"/>
    <mergeCell ref="AF160:AF161"/>
    <mergeCell ref="AG160:AG161"/>
    <mergeCell ref="C158:L158"/>
    <mergeCell ref="S158:S161"/>
    <mergeCell ref="T158:U160"/>
    <mergeCell ref="V158:W160"/>
    <mergeCell ref="X158:Y160"/>
    <mergeCell ref="Z158:AA160"/>
    <mergeCell ref="P159:P161"/>
    <mergeCell ref="Q160:Q161"/>
    <mergeCell ref="R160:R161"/>
    <mergeCell ref="P112:U112"/>
    <mergeCell ref="P113:U113"/>
    <mergeCell ref="B156:B157"/>
    <mergeCell ref="C156:M156"/>
    <mergeCell ref="P156:U156"/>
    <mergeCell ref="C157:M157"/>
    <mergeCell ref="P157:U157"/>
    <mergeCell ref="X93:X97"/>
    <mergeCell ref="Y93:Y97"/>
    <mergeCell ref="Z93:Z97"/>
    <mergeCell ref="AA93:AA97"/>
    <mergeCell ref="AB93:AB97"/>
    <mergeCell ref="AM90:AM92"/>
    <mergeCell ref="AN90:AN92"/>
    <mergeCell ref="AO90:AO92"/>
    <mergeCell ref="X90:X92"/>
    <mergeCell ref="Y90:Y92"/>
    <mergeCell ref="Z90:Z92"/>
    <mergeCell ref="AA90:AA92"/>
    <mergeCell ref="AB90:AB92"/>
    <mergeCell ref="AC90:AC92"/>
    <mergeCell ref="AM93:AM97"/>
    <mergeCell ref="AN93:AN97"/>
    <mergeCell ref="AO93:AO97"/>
    <mergeCell ref="AC93:AC97"/>
    <mergeCell ref="AF93:AF97"/>
    <mergeCell ref="AI93:AI97"/>
    <mergeCell ref="AJ93:AJ97"/>
    <mergeCell ref="AK93:AK97"/>
    <mergeCell ref="AL93:AL97"/>
    <mergeCell ref="AP90:AP92"/>
    <mergeCell ref="AQ90:AQ92"/>
    <mergeCell ref="AR90:AR92"/>
    <mergeCell ref="AE90:AE98"/>
    <mergeCell ref="AF90:AF92"/>
    <mergeCell ref="AI90:AI92"/>
    <mergeCell ref="AJ90:AJ92"/>
    <mergeCell ref="AK90:AK92"/>
    <mergeCell ref="AL90:AL92"/>
    <mergeCell ref="AP93:AP97"/>
    <mergeCell ref="AQ93:AQ97"/>
    <mergeCell ref="AR93:AR97"/>
    <mergeCell ref="P90:P98"/>
    <mergeCell ref="Q90:Q92"/>
    <mergeCell ref="T90:T92"/>
    <mergeCell ref="U90:U92"/>
    <mergeCell ref="V90:V92"/>
    <mergeCell ref="W90:W92"/>
    <mergeCell ref="Q93:Q97"/>
    <mergeCell ref="T93:T97"/>
    <mergeCell ref="U93:U97"/>
    <mergeCell ref="V93:V97"/>
    <mergeCell ref="W93:W97"/>
    <mergeCell ref="AQ86:AR88"/>
    <mergeCell ref="B87:B88"/>
    <mergeCell ref="C87:C88"/>
    <mergeCell ref="D87:D88"/>
    <mergeCell ref="E87:E88"/>
    <mergeCell ref="F87:F88"/>
    <mergeCell ref="G87:H87"/>
    <mergeCell ref="I87:J87"/>
    <mergeCell ref="K87:K88"/>
    <mergeCell ref="L87:L88"/>
    <mergeCell ref="AB86:AC88"/>
    <mergeCell ref="AH86:AH89"/>
    <mergeCell ref="AI86:AJ88"/>
    <mergeCell ref="AK86:AL88"/>
    <mergeCell ref="AM86:AN88"/>
    <mergeCell ref="AO86:AP88"/>
    <mergeCell ref="AE87:AE89"/>
    <mergeCell ref="AF88:AF89"/>
    <mergeCell ref="AG88:AG89"/>
    <mergeCell ref="C86:L86"/>
    <mergeCell ref="S86:S89"/>
    <mergeCell ref="T86:U88"/>
    <mergeCell ref="V86:W88"/>
    <mergeCell ref="X86:Y88"/>
    <mergeCell ref="Z86:AA88"/>
    <mergeCell ref="P87:P89"/>
    <mergeCell ref="Q88:Q89"/>
    <mergeCell ref="R88:R89"/>
    <mergeCell ref="C23:F27"/>
    <mergeCell ref="P33:U33"/>
    <mergeCell ref="P34:U34"/>
    <mergeCell ref="C42:F42"/>
    <mergeCell ref="B84:B85"/>
    <mergeCell ref="C84:M84"/>
    <mergeCell ref="P84:U84"/>
    <mergeCell ref="C85:M85"/>
    <mergeCell ref="X14:X18"/>
    <mergeCell ref="Y14:Y18"/>
    <mergeCell ref="Z14:Z18"/>
    <mergeCell ref="AA14:AA18"/>
    <mergeCell ref="AB14:AB18"/>
    <mergeCell ref="AM11:AM13"/>
    <mergeCell ref="AN11:AN13"/>
    <mergeCell ref="AO11:AO13"/>
    <mergeCell ref="X11:X13"/>
    <mergeCell ref="Y11:Y13"/>
    <mergeCell ref="Z11:Z13"/>
    <mergeCell ref="AA11:AA13"/>
    <mergeCell ref="AB11:AB13"/>
    <mergeCell ref="AC11:AC13"/>
    <mergeCell ref="AM14:AM18"/>
    <mergeCell ref="AN14:AN18"/>
    <mergeCell ref="AO14:AO18"/>
    <mergeCell ref="AC14:AC18"/>
    <mergeCell ref="AF14:AF18"/>
    <mergeCell ref="AI14:AI18"/>
    <mergeCell ref="AJ14:AJ18"/>
    <mergeCell ref="AK14:AK18"/>
    <mergeCell ref="AL14:AL18"/>
    <mergeCell ref="AP11:AP13"/>
    <mergeCell ref="AQ11:AQ13"/>
    <mergeCell ref="AR11:AR13"/>
    <mergeCell ref="AE11:AE19"/>
    <mergeCell ref="AF11:AF13"/>
    <mergeCell ref="AI11:AI13"/>
    <mergeCell ref="AJ11:AJ13"/>
    <mergeCell ref="AK11:AK13"/>
    <mergeCell ref="AL11:AL13"/>
    <mergeCell ref="AP14:AP18"/>
    <mergeCell ref="AQ14:AQ18"/>
    <mergeCell ref="AR14:AR18"/>
    <mergeCell ref="P11:P19"/>
    <mergeCell ref="Q11:Q13"/>
    <mergeCell ref="T11:T13"/>
    <mergeCell ref="U11:U13"/>
    <mergeCell ref="V11:V13"/>
    <mergeCell ref="W11:W13"/>
    <mergeCell ref="Q14:Q18"/>
    <mergeCell ref="T14:T18"/>
    <mergeCell ref="U14:U18"/>
    <mergeCell ref="V14:V18"/>
    <mergeCell ref="W14:W18"/>
    <mergeCell ref="AQ7:AR9"/>
    <mergeCell ref="B8:B9"/>
    <mergeCell ref="C8:C9"/>
    <mergeCell ref="D8:D9"/>
    <mergeCell ref="E8:E9"/>
    <mergeCell ref="F8:F9"/>
    <mergeCell ref="G8:H8"/>
    <mergeCell ref="V7:W9"/>
    <mergeCell ref="X7:Y9"/>
    <mergeCell ref="Z7:AA9"/>
    <mergeCell ref="AB7:AC9"/>
    <mergeCell ref="AH7:AH10"/>
    <mergeCell ref="AI7:AJ9"/>
    <mergeCell ref="AG9:AG10"/>
    <mergeCell ref="L8:L9"/>
    <mergeCell ref="P8:P10"/>
    <mergeCell ref="AE8:AE10"/>
    <mergeCell ref="Q9:Q10"/>
    <mergeCell ref="R9:R10"/>
    <mergeCell ref="AF9:AF10"/>
    <mergeCell ref="AK7:AL9"/>
    <mergeCell ref="AM7:AN9"/>
    <mergeCell ref="AO7:AP9"/>
    <mergeCell ref="B5:B6"/>
    <mergeCell ref="C5:M5"/>
    <mergeCell ref="P5:U5"/>
    <mergeCell ref="C6:M6"/>
    <mergeCell ref="C7:L7"/>
    <mergeCell ref="S7:S10"/>
    <mergeCell ref="T7:U9"/>
    <mergeCell ref="I8:J8"/>
    <mergeCell ref="K8:K9"/>
  </mergeCells>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F41F8-B94B-452E-99FA-E2C51E106595}">
  <sheetPr>
    <tabColor theme="3"/>
  </sheetPr>
  <dimension ref="A2:AR345"/>
  <sheetViews>
    <sheetView topLeftCell="B1" zoomScale="55" zoomScaleNormal="55" workbookViewId="0">
      <selection activeCell="V38" sqref="V38"/>
    </sheetView>
  </sheetViews>
  <sheetFormatPr baseColWidth="10" defaultColWidth="8.83203125" defaultRowHeight="15" outlineLevelRow="1"/>
  <cols>
    <col min="1" max="1" width="20.5" style="224" customWidth="1"/>
    <col min="2" max="2" width="63.5" style="224" bestFit="1" customWidth="1"/>
    <col min="3" max="6" width="11" style="224" bestFit="1" customWidth="1"/>
    <col min="7" max="12" width="11" style="224" customWidth="1"/>
    <col min="13" max="13" width="8.83203125" style="224"/>
    <col min="14" max="14" width="4.5" style="224" customWidth="1"/>
    <col min="15" max="15" width="15.83203125" style="224" customWidth="1"/>
    <col min="16" max="16384" width="8.83203125" style="224"/>
  </cols>
  <sheetData>
    <row r="2" spans="1:44">
      <c r="B2" s="8" t="s">
        <v>826</v>
      </c>
    </row>
    <row r="4" spans="1:44" ht="25" customHeight="1">
      <c r="E4" s="224" t="s">
        <v>358</v>
      </c>
      <c r="F4" s="359">
        <v>7.45</v>
      </c>
      <c r="G4" s="359" t="s">
        <v>328</v>
      </c>
    </row>
    <row r="5" spans="1:44" ht="15" customHeight="1">
      <c r="A5" s="360" t="s">
        <v>827</v>
      </c>
      <c r="B5" s="1207"/>
      <c r="C5" s="1143"/>
      <c r="D5" s="1143"/>
      <c r="E5" s="1143"/>
      <c r="F5" s="1143"/>
      <c r="G5" s="1143"/>
      <c r="H5" s="1143"/>
      <c r="I5" s="1143"/>
      <c r="J5" s="1143"/>
      <c r="K5" s="1143"/>
      <c r="L5" s="1143"/>
      <c r="M5" s="1143"/>
      <c r="N5" s="361"/>
      <c r="P5" s="1143"/>
      <c r="Q5" s="1143"/>
      <c r="R5" s="1143"/>
      <c r="S5" s="1143"/>
      <c r="T5" s="1143"/>
      <c r="U5" s="1143"/>
    </row>
    <row r="6" spans="1:44" ht="15.75" customHeight="1" outlineLevel="1" thickBot="1">
      <c r="B6" s="1207"/>
      <c r="C6" s="1143"/>
      <c r="D6" s="1143"/>
      <c r="E6" s="1143"/>
      <c r="F6" s="1143"/>
      <c r="G6" s="1143"/>
      <c r="H6" s="1143"/>
      <c r="I6" s="1143"/>
      <c r="J6" s="1143"/>
      <c r="K6" s="1143"/>
      <c r="L6" s="1143"/>
      <c r="M6" s="1143"/>
      <c r="N6" s="361"/>
      <c r="P6" s="692">
        <v>1</v>
      </c>
      <c r="Q6" s="692">
        <v>2</v>
      </c>
      <c r="R6" s="692">
        <v>3</v>
      </c>
      <c r="S6" s="692">
        <v>4</v>
      </c>
      <c r="T6" s="692">
        <v>5</v>
      </c>
      <c r="U6" s="692">
        <v>6</v>
      </c>
      <c r="V6" s="692">
        <v>7</v>
      </c>
      <c r="W6" s="692">
        <v>8</v>
      </c>
      <c r="X6" s="692">
        <v>9</v>
      </c>
      <c r="Y6" s="692">
        <v>10</v>
      </c>
      <c r="Z6" s="692">
        <v>11</v>
      </c>
      <c r="AA6" s="692">
        <v>12</v>
      </c>
      <c r="AB6" s="692">
        <v>13</v>
      </c>
      <c r="AC6" s="692">
        <v>14</v>
      </c>
    </row>
    <row r="7" spans="1:44" ht="20.25" customHeight="1" outlineLevel="1" thickBot="1">
      <c r="B7" s="362" t="s">
        <v>0</v>
      </c>
      <c r="C7" s="1186" t="s">
        <v>828</v>
      </c>
      <c r="D7" s="1187"/>
      <c r="E7" s="1187"/>
      <c r="F7" s="1187"/>
      <c r="G7" s="1187"/>
      <c r="H7" s="1187"/>
      <c r="I7" s="1187"/>
      <c r="J7" s="1187"/>
      <c r="K7" s="1187"/>
      <c r="L7" s="1188"/>
      <c r="M7" s="363"/>
      <c r="N7" s="363"/>
      <c r="P7" s="364" t="s">
        <v>713</v>
      </c>
      <c r="Q7" s="365"/>
      <c r="R7" s="366"/>
      <c r="S7" s="1176" t="s">
        <v>714</v>
      </c>
      <c r="T7" s="1160" t="s">
        <v>715</v>
      </c>
      <c r="U7" s="1161"/>
      <c r="V7" s="1160" t="s">
        <v>716</v>
      </c>
      <c r="W7" s="1161"/>
      <c r="X7" s="1160" t="s">
        <v>717</v>
      </c>
      <c r="Y7" s="1161"/>
      <c r="Z7" s="1160" t="s">
        <v>718</v>
      </c>
      <c r="AA7" s="1161"/>
      <c r="AB7" s="1160" t="s">
        <v>719</v>
      </c>
      <c r="AC7" s="1161"/>
      <c r="AE7" s="364" t="s">
        <v>720</v>
      </c>
      <c r="AF7" s="365"/>
      <c r="AG7" s="366"/>
      <c r="AH7" s="1176" t="s">
        <v>714</v>
      </c>
      <c r="AI7" s="1160" t="s">
        <v>715</v>
      </c>
      <c r="AJ7" s="1161"/>
      <c r="AK7" s="1160" t="s">
        <v>716</v>
      </c>
      <c r="AL7" s="1161"/>
      <c r="AM7" s="1160" t="s">
        <v>717</v>
      </c>
      <c r="AN7" s="1161"/>
      <c r="AO7" s="1160" t="s">
        <v>718</v>
      </c>
      <c r="AP7" s="1161"/>
      <c r="AQ7" s="1160" t="s">
        <v>719</v>
      </c>
      <c r="AR7" s="1161"/>
    </row>
    <row r="8" spans="1:44" ht="16" outlineLevel="1" thickBot="1">
      <c r="B8" s="1164" t="s">
        <v>4</v>
      </c>
      <c r="C8" s="1166">
        <v>2020</v>
      </c>
      <c r="D8" s="1166">
        <v>2030</v>
      </c>
      <c r="E8" s="1166">
        <v>2040</v>
      </c>
      <c r="F8" s="1166">
        <v>2050</v>
      </c>
      <c r="G8" s="1217" t="s">
        <v>721</v>
      </c>
      <c r="H8" s="1218"/>
      <c r="I8" s="1217" t="s">
        <v>648</v>
      </c>
      <c r="J8" s="1218"/>
      <c r="K8" s="1219" t="s">
        <v>2</v>
      </c>
      <c r="L8" s="1219" t="s">
        <v>3</v>
      </c>
      <c r="M8" s="367"/>
      <c r="N8" s="367"/>
      <c r="P8" s="1180" t="s">
        <v>0</v>
      </c>
      <c r="Q8" s="368"/>
      <c r="R8" s="368"/>
      <c r="S8" s="1177"/>
      <c r="T8" s="1162"/>
      <c r="U8" s="1163"/>
      <c r="V8" s="1162"/>
      <c r="W8" s="1163"/>
      <c r="X8" s="1162"/>
      <c r="Y8" s="1163"/>
      <c r="Z8" s="1162"/>
      <c r="AA8" s="1163"/>
      <c r="AB8" s="1162"/>
      <c r="AC8" s="1163"/>
      <c r="AE8" s="1180" t="s">
        <v>0</v>
      </c>
      <c r="AF8" s="368"/>
      <c r="AG8" s="368"/>
      <c r="AH8" s="1177"/>
      <c r="AI8" s="1162"/>
      <c r="AJ8" s="1163"/>
      <c r="AK8" s="1162"/>
      <c r="AL8" s="1163"/>
      <c r="AM8" s="1162"/>
      <c r="AN8" s="1163"/>
      <c r="AO8" s="1162"/>
      <c r="AP8" s="1163"/>
      <c r="AQ8" s="1162"/>
      <c r="AR8" s="1163"/>
    </row>
    <row r="9" spans="1:44" ht="16" outlineLevel="1" thickBot="1">
      <c r="B9" s="1165"/>
      <c r="C9" s="1167"/>
      <c r="D9" s="1167"/>
      <c r="E9" s="1167"/>
      <c r="F9" s="1167"/>
      <c r="G9" s="369" t="s">
        <v>649</v>
      </c>
      <c r="H9" s="369" t="s">
        <v>650</v>
      </c>
      <c r="I9" s="369" t="s">
        <v>649</v>
      </c>
      <c r="J9" s="369" t="s">
        <v>650</v>
      </c>
      <c r="K9" s="1220"/>
      <c r="L9" s="1220"/>
      <c r="M9" s="370"/>
      <c r="N9" s="370"/>
      <c r="P9" s="1181"/>
      <c r="Q9" s="1183" t="s">
        <v>722</v>
      </c>
      <c r="R9" s="1184" t="s">
        <v>723</v>
      </c>
      <c r="S9" s="1178"/>
      <c r="T9" s="1162"/>
      <c r="U9" s="1163"/>
      <c r="V9" s="1162"/>
      <c r="W9" s="1163"/>
      <c r="X9" s="1162"/>
      <c r="Y9" s="1163"/>
      <c r="Z9" s="1162"/>
      <c r="AA9" s="1163"/>
      <c r="AB9" s="1162"/>
      <c r="AC9" s="1163"/>
      <c r="AE9" s="1181"/>
      <c r="AF9" s="1197" t="s">
        <v>722</v>
      </c>
      <c r="AG9" s="1184" t="s">
        <v>723</v>
      </c>
      <c r="AH9" s="1178"/>
      <c r="AI9" s="1162"/>
      <c r="AJ9" s="1163"/>
      <c r="AK9" s="1162"/>
      <c r="AL9" s="1163"/>
      <c r="AM9" s="1162"/>
      <c r="AN9" s="1163"/>
      <c r="AO9" s="1162"/>
      <c r="AP9" s="1163"/>
      <c r="AQ9" s="1162"/>
      <c r="AR9" s="1163"/>
    </row>
    <row r="10" spans="1:44" ht="54.5" customHeight="1" outlineLevel="1" thickBot="1">
      <c r="B10" s="371" t="s">
        <v>724</v>
      </c>
      <c r="C10" s="372">
        <v>5000</v>
      </c>
      <c r="D10" s="372">
        <v>5000</v>
      </c>
      <c r="E10" s="372">
        <v>5000</v>
      </c>
      <c r="F10" s="372">
        <v>5000</v>
      </c>
      <c r="G10" s="372">
        <v>1000</v>
      </c>
      <c r="H10" s="372">
        <v>10000</v>
      </c>
      <c r="I10" s="372">
        <v>1000</v>
      </c>
      <c r="J10" s="372">
        <v>10000</v>
      </c>
      <c r="K10" s="372"/>
      <c r="L10" s="373">
        <v>4</v>
      </c>
      <c r="M10" s="370"/>
      <c r="N10" s="370"/>
      <c r="O10" s="74"/>
      <c r="P10" s="1182"/>
      <c r="Q10" s="1179"/>
      <c r="R10" s="1185"/>
      <c r="S10" s="1179"/>
      <c r="T10" s="374" t="s">
        <v>726</v>
      </c>
      <c r="U10" s="375" t="s">
        <v>727</v>
      </c>
      <c r="V10" s="374" t="s">
        <v>726</v>
      </c>
      <c r="W10" s="375" t="s">
        <v>727</v>
      </c>
      <c r="X10" s="374" t="s">
        <v>726</v>
      </c>
      <c r="Y10" s="375" t="s">
        <v>727</v>
      </c>
      <c r="Z10" s="374" t="s">
        <v>726</v>
      </c>
      <c r="AA10" s="375" t="s">
        <v>727</v>
      </c>
      <c r="AB10" s="374" t="s">
        <v>726</v>
      </c>
      <c r="AC10" s="375" t="s">
        <v>727</v>
      </c>
      <c r="AE10" s="1182"/>
      <c r="AF10" s="1198"/>
      <c r="AG10" s="1185"/>
      <c r="AH10" s="1179"/>
      <c r="AI10" s="374" t="s">
        <v>726</v>
      </c>
      <c r="AJ10" s="375" t="s">
        <v>727</v>
      </c>
      <c r="AK10" s="374" t="s">
        <v>726</v>
      </c>
      <c r="AL10" s="375" t="s">
        <v>727</v>
      </c>
      <c r="AM10" s="374" t="s">
        <v>726</v>
      </c>
      <c r="AN10" s="375" t="s">
        <v>727</v>
      </c>
      <c r="AO10" s="374" t="s">
        <v>726</v>
      </c>
      <c r="AP10" s="375" t="s">
        <v>727</v>
      </c>
      <c r="AQ10" s="374" t="s">
        <v>726</v>
      </c>
      <c r="AR10" s="375" t="s">
        <v>727</v>
      </c>
    </row>
    <row r="11" spans="1:44" ht="24.5" customHeight="1" outlineLevel="1">
      <c r="B11" s="376" t="s">
        <v>728</v>
      </c>
      <c r="C11" s="377">
        <v>100</v>
      </c>
      <c r="D11" s="377">
        <v>100</v>
      </c>
      <c r="E11" s="378">
        <v>100</v>
      </c>
      <c r="F11" s="377">
        <v>100</v>
      </c>
      <c r="G11" s="377">
        <v>100</v>
      </c>
      <c r="H11" s="377">
        <v>100</v>
      </c>
      <c r="I11" s="377">
        <v>100</v>
      </c>
      <c r="J11" s="377">
        <v>100</v>
      </c>
      <c r="K11" s="379" t="s">
        <v>6</v>
      </c>
      <c r="L11" s="380">
        <v>2</v>
      </c>
      <c r="M11" s="370"/>
      <c r="N11" s="370"/>
      <c r="P11" s="1199" t="str">
        <f>C7</f>
        <v>Direct Firing, Electricity</v>
      </c>
      <c r="Q11" s="1154" t="s">
        <v>730</v>
      </c>
      <c r="R11" s="381" t="s">
        <v>731</v>
      </c>
      <c r="S11" s="382"/>
      <c r="T11" s="1137">
        <v>1</v>
      </c>
      <c r="U11" s="1151">
        <v>0</v>
      </c>
      <c r="V11" s="1137">
        <v>1</v>
      </c>
      <c r="W11" s="1151">
        <v>0</v>
      </c>
      <c r="X11" s="1137">
        <v>0</v>
      </c>
      <c r="Y11" s="1151">
        <v>0</v>
      </c>
      <c r="Z11" s="1137">
        <v>0.2</v>
      </c>
      <c r="AA11" s="1151">
        <v>0</v>
      </c>
      <c r="AB11" s="1137">
        <v>0.05</v>
      </c>
      <c r="AC11" s="1151">
        <v>0</v>
      </c>
      <c r="AE11" s="1148" t="str">
        <f>P11</f>
        <v>Direct Firing, Electricity</v>
      </c>
      <c r="AF11" s="1154" t="s">
        <v>730</v>
      </c>
      <c r="AG11" s="381" t="s">
        <v>731</v>
      </c>
      <c r="AH11" s="382"/>
      <c r="AI11" s="1137">
        <v>0.5</v>
      </c>
      <c r="AJ11" s="1151">
        <v>0</v>
      </c>
      <c r="AK11" s="1137">
        <v>0.5</v>
      </c>
      <c r="AL11" s="1151">
        <v>0</v>
      </c>
      <c r="AM11" s="1137">
        <v>0</v>
      </c>
      <c r="AN11" s="1151">
        <v>0</v>
      </c>
      <c r="AO11" s="1137">
        <v>0.2</v>
      </c>
      <c r="AP11" s="1151">
        <v>0</v>
      </c>
      <c r="AQ11" s="1137">
        <v>0</v>
      </c>
      <c r="AR11" s="1151">
        <v>0</v>
      </c>
    </row>
    <row r="12" spans="1:44" ht="32.5" customHeight="1" outlineLevel="1">
      <c r="B12" s="383" t="s">
        <v>732</v>
      </c>
      <c r="C12" s="384">
        <v>100</v>
      </c>
      <c r="D12" s="384">
        <v>100</v>
      </c>
      <c r="E12" s="384">
        <v>100</v>
      </c>
      <c r="F12" s="384">
        <v>100</v>
      </c>
      <c r="G12" s="385">
        <v>100</v>
      </c>
      <c r="H12" s="385">
        <v>100</v>
      </c>
      <c r="I12" s="385">
        <v>100</v>
      </c>
      <c r="J12" s="385">
        <v>100</v>
      </c>
      <c r="K12" s="386" t="s">
        <v>6</v>
      </c>
      <c r="L12" s="387">
        <v>2</v>
      </c>
      <c r="M12" s="370"/>
      <c r="N12" s="370"/>
      <c r="O12" s="71"/>
      <c r="P12" s="1195"/>
      <c r="Q12" s="1155"/>
      <c r="R12" s="388" t="s">
        <v>733</v>
      </c>
      <c r="S12" s="389"/>
      <c r="T12" s="1140"/>
      <c r="U12" s="1152"/>
      <c r="V12" s="1140"/>
      <c r="W12" s="1152"/>
      <c r="X12" s="1140"/>
      <c r="Y12" s="1152"/>
      <c r="Z12" s="1140"/>
      <c r="AA12" s="1152"/>
      <c r="AB12" s="1140"/>
      <c r="AC12" s="1152"/>
      <c r="AE12" s="1195"/>
      <c r="AF12" s="1155"/>
      <c r="AG12" s="388" t="s">
        <v>733</v>
      </c>
      <c r="AH12" s="389"/>
      <c r="AI12" s="1140"/>
      <c r="AJ12" s="1152"/>
      <c r="AK12" s="1140"/>
      <c r="AL12" s="1152"/>
      <c r="AM12" s="1140"/>
      <c r="AN12" s="1152"/>
      <c r="AO12" s="1140"/>
      <c r="AP12" s="1152"/>
      <c r="AQ12" s="1140"/>
      <c r="AR12" s="1152"/>
    </row>
    <row r="13" spans="1:44" ht="16" outlineLevel="1" thickBot="1">
      <c r="B13" s="376" t="s">
        <v>734</v>
      </c>
      <c r="C13" s="390">
        <v>0.25</v>
      </c>
      <c r="D13" s="391">
        <v>0.25</v>
      </c>
      <c r="E13" s="391">
        <v>0.25</v>
      </c>
      <c r="F13" s="392">
        <v>0.25</v>
      </c>
      <c r="G13" s="391">
        <v>0.1</v>
      </c>
      <c r="H13" s="391">
        <v>1</v>
      </c>
      <c r="I13" s="391">
        <v>0.1</v>
      </c>
      <c r="J13" s="391">
        <v>1</v>
      </c>
      <c r="K13" s="379" t="s">
        <v>59</v>
      </c>
      <c r="L13" s="380" t="s">
        <v>829</v>
      </c>
      <c r="M13" s="370"/>
      <c r="N13" s="370"/>
      <c r="O13" s="71"/>
      <c r="P13" s="1195"/>
      <c r="Q13" s="1156"/>
      <c r="R13" s="393" t="s">
        <v>735</v>
      </c>
      <c r="S13" s="394"/>
      <c r="T13" s="1141"/>
      <c r="U13" s="1153"/>
      <c r="V13" s="1141"/>
      <c r="W13" s="1153"/>
      <c r="X13" s="1141"/>
      <c r="Y13" s="1153"/>
      <c r="Z13" s="1141"/>
      <c r="AA13" s="1153"/>
      <c r="AB13" s="1141"/>
      <c r="AC13" s="1153"/>
      <c r="AE13" s="1195"/>
      <c r="AF13" s="1156"/>
      <c r="AG13" s="393" t="s">
        <v>735</v>
      </c>
      <c r="AH13" s="394"/>
      <c r="AI13" s="1141"/>
      <c r="AJ13" s="1153"/>
      <c r="AK13" s="1141"/>
      <c r="AL13" s="1153"/>
      <c r="AM13" s="1141"/>
      <c r="AN13" s="1153"/>
      <c r="AO13" s="1141"/>
      <c r="AP13" s="1153"/>
      <c r="AQ13" s="1141"/>
      <c r="AR13" s="1153"/>
    </row>
    <row r="14" spans="1:44" ht="15" customHeight="1" outlineLevel="1">
      <c r="B14" s="376" t="s">
        <v>657</v>
      </c>
      <c r="C14" s="390">
        <v>0</v>
      </c>
      <c r="D14" s="390">
        <v>0</v>
      </c>
      <c r="E14" s="390">
        <v>0</v>
      </c>
      <c r="F14" s="390">
        <v>0</v>
      </c>
      <c r="G14" s="390">
        <v>0</v>
      </c>
      <c r="H14" s="390">
        <v>0.5</v>
      </c>
      <c r="I14" s="390">
        <v>0</v>
      </c>
      <c r="J14" s="390">
        <v>0.5</v>
      </c>
      <c r="K14" s="379" t="s">
        <v>25</v>
      </c>
      <c r="L14" s="380">
        <v>4</v>
      </c>
      <c r="M14" s="370"/>
      <c r="N14" s="370"/>
      <c r="O14" s="71"/>
      <c r="P14" s="1195"/>
      <c r="Q14" s="1154" t="s">
        <v>736</v>
      </c>
      <c r="R14" s="395" t="s">
        <v>737</v>
      </c>
      <c r="S14" s="396" t="s">
        <v>738</v>
      </c>
      <c r="T14" s="1137">
        <v>1</v>
      </c>
      <c r="U14" s="1137">
        <v>0</v>
      </c>
      <c r="V14" s="1137">
        <v>1</v>
      </c>
      <c r="W14" s="1137">
        <v>0</v>
      </c>
      <c r="X14" s="1137">
        <v>0.5</v>
      </c>
      <c r="Y14" s="1137">
        <v>0</v>
      </c>
      <c r="Z14" s="1137">
        <v>1</v>
      </c>
      <c r="AA14" s="1137">
        <v>0</v>
      </c>
      <c r="AB14" s="1137">
        <v>0</v>
      </c>
      <c r="AC14" s="1137">
        <v>0</v>
      </c>
      <c r="AE14" s="1195"/>
      <c r="AF14" s="1154" t="s">
        <v>736</v>
      </c>
      <c r="AG14" s="395" t="s">
        <v>737</v>
      </c>
      <c r="AH14" s="396" t="s">
        <v>738</v>
      </c>
      <c r="AI14" s="1137">
        <v>0.5</v>
      </c>
      <c r="AJ14" s="1137">
        <v>0</v>
      </c>
      <c r="AK14" s="1137">
        <v>0.5</v>
      </c>
      <c r="AL14" s="1137">
        <v>0</v>
      </c>
      <c r="AM14" s="1137">
        <v>0.25</v>
      </c>
      <c r="AN14" s="1137">
        <v>0</v>
      </c>
      <c r="AO14" s="1137">
        <v>0.4</v>
      </c>
      <c r="AP14" s="1137">
        <v>0</v>
      </c>
      <c r="AQ14" s="1137">
        <v>0</v>
      </c>
      <c r="AR14" s="1137">
        <v>0</v>
      </c>
    </row>
    <row r="15" spans="1:44" outlineLevel="1">
      <c r="B15" s="376" t="s">
        <v>658</v>
      </c>
      <c r="C15" s="390">
        <v>0</v>
      </c>
      <c r="D15" s="390">
        <v>0</v>
      </c>
      <c r="E15" s="390">
        <v>0</v>
      </c>
      <c r="F15" s="390">
        <v>0</v>
      </c>
      <c r="G15" s="390">
        <v>0</v>
      </c>
      <c r="H15" s="390">
        <v>1</v>
      </c>
      <c r="I15" s="390">
        <v>0</v>
      </c>
      <c r="J15" s="390">
        <v>1</v>
      </c>
      <c r="K15" s="379" t="s">
        <v>25</v>
      </c>
      <c r="L15" s="380">
        <v>4</v>
      </c>
      <c r="M15" s="367"/>
      <c r="N15" s="367"/>
      <c r="O15" s="71"/>
      <c r="P15" s="1195"/>
      <c r="Q15" s="1155"/>
      <c r="R15" s="395" t="s">
        <v>739</v>
      </c>
      <c r="S15" s="396" t="s">
        <v>738</v>
      </c>
      <c r="T15" s="1138"/>
      <c r="U15" s="1138"/>
      <c r="V15" s="1138"/>
      <c r="W15" s="1138"/>
      <c r="X15" s="1138"/>
      <c r="Y15" s="1138"/>
      <c r="Z15" s="1138"/>
      <c r="AA15" s="1138"/>
      <c r="AB15" s="1138"/>
      <c r="AC15" s="1138"/>
      <c r="AE15" s="1195"/>
      <c r="AF15" s="1155"/>
      <c r="AG15" s="395" t="s">
        <v>739</v>
      </c>
      <c r="AH15" s="396" t="s">
        <v>738</v>
      </c>
      <c r="AI15" s="1138"/>
      <c r="AJ15" s="1138"/>
      <c r="AK15" s="1138"/>
      <c r="AL15" s="1138"/>
      <c r="AM15" s="1138"/>
      <c r="AN15" s="1138"/>
      <c r="AO15" s="1138"/>
      <c r="AP15" s="1138"/>
      <c r="AQ15" s="1138"/>
      <c r="AR15" s="1138"/>
    </row>
    <row r="16" spans="1:44" outlineLevel="1">
      <c r="B16" s="383" t="s">
        <v>11</v>
      </c>
      <c r="C16" s="397">
        <v>12.5</v>
      </c>
      <c r="D16" s="397">
        <v>12.5</v>
      </c>
      <c r="E16" s="397">
        <v>12.5</v>
      </c>
      <c r="F16" s="397">
        <v>12.5</v>
      </c>
      <c r="G16" s="398">
        <v>10</v>
      </c>
      <c r="H16" s="398">
        <v>15</v>
      </c>
      <c r="I16" s="398">
        <v>10</v>
      </c>
      <c r="J16" s="398">
        <v>15</v>
      </c>
      <c r="K16" s="372"/>
      <c r="L16" s="373">
        <v>4</v>
      </c>
      <c r="M16" s="363"/>
      <c r="N16" s="363"/>
      <c r="P16" s="1195"/>
      <c r="Q16" s="1155"/>
      <c r="R16" s="395" t="s">
        <v>741</v>
      </c>
      <c r="S16" s="396" t="s">
        <v>738</v>
      </c>
      <c r="T16" s="1138"/>
      <c r="U16" s="1138"/>
      <c r="V16" s="1138"/>
      <c r="W16" s="1138"/>
      <c r="X16" s="1138"/>
      <c r="Y16" s="1138"/>
      <c r="Z16" s="1138"/>
      <c r="AA16" s="1138"/>
      <c r="AB16" s="1138"/>
      <c r="AC16" s="1138"/>
      <c r="AE16" s="1195"/>
      <c r="AF16" s="1155"/>
      <c r="AG16" s="395" t="s">
        <v>741</v>
      </c>
      <c r="AH16" s="396" t="s">
        <v>738</v>
      </c>
      <c r="AI16" s="1138"/>
      <c r="AJ16" s="1138"/>
      <c r="AK16" s="1138"/>
      <c r="AL16" s="1138"/>
      <c r="AM16" s="1138"/>
      <c r="AN16" s="1138"/>
      <c r="AO16" s="1138"/>
      <c r="AP16" s="1138"/>
      <c r="AQ16" s="1138"/>
      <c r="AR16" s="1138"/>
    </row>
    <row r="17" spans="1:44" ht="16" outlineLevel="1" thickBot="1">
      <c r="B17" s="376" t="s">
        <v>273</v>
      </c>
      <c r="C17" s="399">
        <v>0.04</v>
      </c>
      <c r="D17" s="399">
        <v>0.04</v>
      </c>
      <c r="E17" s="399">
        <v>0.04</v>
      </c>
      <c r="F17" s="399">
        <v>0.04</v>
      </c>
      <c r="G17" s="399">
        <v>0.02</v>
      </c>
      <c r="H17" s="399">
        <v>0.06</v>
      </c>
      <c r="I17" s="399">
        <v>0.02</v>
      </c>
      <c r="J17" s="399">
        <v>0.06</v>
      </c>
      <c r="K17" s="372"/>
      <c r="L17" s="400">
        <v>5</v>
      </c>
      <c r="M17" s="363"/>
      <c r="N17" s="363"/>
      <c r="P17" s="1195"/>
      <c r="Q17" s="1155"/>
      <c r="R17" s="395" t="s">
        <v>742</v>
      </c>
      <c r="S17" s="396" t="s">
        <v>738</v>
      </c>
      <c r="T17" s="1138"/>
      <c r="U17" s="1138"/>
      <c r="V17" s="1138"/>
      <c r="W17" s="1138"/>
      <c r="X17" s="1138"/>
      <c r="Y17" s="1138"/>
      <c r="Z17" s="1138"/>
      <c r="AA17" s="1138"/>
      <c r="AB17" s="1138"/>
      <c r="AC17" s="1138"/>
      <c r="AE17" s="1195"/>
      <c r="AF17" s="1155"/>
      <c r="AG17" s="395" t="s">
        <v>742</v>
      </c>
      <c r="AH17" s="396" t="s">
        <v>738</v>
      </c>
      <c r="AI17" s="1138"/>
      <c r="AJ17" s="1138"/>
      <c r="AK17" s="1138"/>
      <c r="AL17" s="1138"/>
      <c r="AM17" s="1138"/>
      <c r="AN17" s="1138"/>
      <c r="AO17" s="1138"/>
      <c r="AP17" s="1138"/>
      <c r="AQ17" s="1138"/>
      <c r="AR17" s="1138"/>
    </row>
    <row r="18" spans="1:44" ht="16" outlineLevel="1" thickBot="1">
      <c r="B18" s="401" t="s">
        <v>743</v>
      </c>
      <c r="C18" s="402"/>
      <c r="D18" s="403"/>
      <c r="E18" s="404"/>
      <c r="F18" s="405"/>
      <c r="G18" s="406"/>
      <c r="H18" s="406"/>
      <c r="I18" s="406"/>
      <c r="J18" s="406"/>
      <c r="K18" s="407"/>
      <c r="L18" s="408"/>
      <c r="M18" s="363"/>
      <c r="N18" s="363"/>
      <c r="P18" s="1195"/>
      <c r="Q18" s="1155"/>
      <c r="R18" s="409" t="s">
        <v>744</v>
      </c>
      <c r="S18" s="410" t="s">
        <v>738</v>
      </c>
      <c r="T18" s="1139"/>
      <c r="U18" s="1139"/>
      <c r="V18" s="1139"/>
      <c r="W18" s="1139"/>
      <c r="X18" s="1139"/>
      <c r="Y18" s="1139"/>
      <c r="Z18" s="1139"/>
      <c r="AA18" s="1139"/>
      <c r="AB18" s="1139"/>
      <c r="AC18" s="1139"/>
      <c r="AE18" s="1195"/>
      <c r="AF18" s="1155"/>
      <c r="AG18" s="409" t="s">
        <v>744</v>
      </c>
      <c r="AH18" s="410" t="s">
        <v>738</v>
      </c>
      <c r="AI18" s="1139"/>
      <c r="AJ18" s="1139"/>
      <c r="AK18" s="1139"/>
      <c r="AL18" s="1139"/>
      <c r="AM18" s="1139"/>
      <c r="AN18" s="1139"/>
      <c r="AO18" s="1139"/>
      <c r="AP18" s="1139"/>
      <c r="AQ18" s="1139"/>
      <c r="AR18" s="1139"/>
    </row>
    <row r="19" spans="1:44" ht="33" outlineLevel="1" thickBot="1">
      <c r="B19" s="376" t="s">
        <v>663</v>
      </c>
      <c r="C19" s="390">
        <v>15</v>
      </c>
      <c r="D19" s="390">
        <v>15</v>
      </c>
      <c r="E19" s="390">
        <v>15</v>
      </c>
      <c r="F19" s="390">
        <v>15</v>
      </c>
      <c r="G19" s="391"/>
      <c r="H19" s="391"/>
      <c r="I19" s="391"/>
      <c r="J19" s="391"/>
      <c r="K19" s="379" t="s">
        <v>16</v>
      </c>
      <c r="L19" s="380">
        <v>4</v>
      </c>
      <c r="M19" s="363"/>
      <c r="N19" s="363"/>
      <c r="P19" s="1196"/>
      <c r="Q19" s="411" t="s">
        <v>745</v>
      </c>
      <c r="R19" s="412" t="s">
        <v>746</v>
      </c>
      <c r="S19" s="413" t="s">
        <v>738</v>
      </c>
      <c r="T19" s="414">
        <v>0</v>
      </c>
      <c r="U19" s="415">
        <v>0</v>
      </c>
      <c r="V19" s="416">
        <v>0</v>
      </c>
      <c r="W19" s="415">
        <v>0</v>
      </c>
      <c r="X19" s="416">
        <v>0</v>
      </c>
      <c r="Y19" s="415">
        <v>0</v>
      </c>
      <c r="Z19" s="416">
        <v>0</v>
      </c>
      <c r="AA19" s="415">
        <v>0</v>
      </c>
      <c r="AB19" s="416">
        <v>0</v>
      </c>
      <c r="AC19" s="417">
        <v>0</v>
      </c>
      <c r="AE19" s="1196"/>
      <c r="AF19" s="411" t="s">
        <v>745</v>
      </c>
      <c r="AG19" s="412" t="s">
        <v>746</v>
      </c>
      <c r="AH19" s="413" t="s">
        <v>738</v>
      </c>
      <c r="AI19" s="414">
        <v>0</v>
      </c>
      <c r="AJ19" s="415">
        <v>0</v>
      </c>
      <c r="AK19" s="416">
        <v>0</v>
      </c>
      <c r="AL19" s="415">
        <v>0</v>
      </c>
      <c r="AM19" s="416">
        <v>0</v>
      </c>
      <c r="AN19" s="415">
        <v>0</v>
      </c>
      <c r="AO19" s="416">
        <v>0</v>
      </c>
      <c r="AP19" s="415">
        <v>0</v>
      </c>
      <c r="AQ19" s="416">
        <v>0</v>
      </c>
      <c r="AR19" s="417">
        <v>0</v>
      </c>
    </row>
    <row r="20" spans="1:44" outlineLevel="1">
      <c r="B20" s="376" t="s">
        <v>664</v>
      </c>
      <c r="C20" s="390">
        <v>0.01</v>
      </c>
      <c r="D20" s="390">
        <v>0.01</v>
      </c>
      <c r="E20" s="390">
        <v>0.01</v>
      </c>
      <c r="F20" s="390">
        <v>0.01</v>
      </c>
      <c r="G20" s="418"/>
      <c r="H20" s="418"/>
      <c r="I20" s="418"/>
      <c r="J20" s="418"/>
      <c r="K20" s="419"/>
      <c r="L20" s="380">
        <v>5</v>
      </c>
      <c r="M20" s="363"/>
      <c r="N20" s="363"/>
    </row>
    <row r="21" spans="1:44" outlineLevel="1">
      <c r="B21" s="376" t="s">
        <v>666</v>
      </c>
      <c r="C21" s="390">
        <v>0.01</v>
      </c>
      <c r="D21" s="390">
        <v>0.01</v>
      </c>
      <c r="E21" s="390">
        <v>0.01</v>
      </c>
      <c r="F21" s="390">
        <v>0.01</v>
      </c>
      <c r="G21" s="418"/>
      <c r="H21" s="418"/>
      <c r="I21" s="418"/>
      <c r="J21" s="418"/>
      <c r="K21" s="419"/>
      <c r="L21" s="380">
        <v>5</v>
      </c>
      <c r="M21" s="420"/>
      <c r="N21" s="363"/>
    </row>
    <row r="22" spans="1:44" outlineLevel="1">
      <c r="B22" s="421" t="s">
        <v>12</v>
      </c>
      <c r="C22" s="399"/>
      <c r="D22" s="399"/>
      <c r="E22" s="399"/>
      <c r="F22" s="399"/>
      <c r="G22" s="422"/>
      <c r="H22" s="422"/>
      <c r="I22" s="422"/>
      <c r="J22" s="422"/>
      <c r="K22" s="423"/>
      <c r="L22" s="424"/>
      <c r="M22" s="420"/>
      <c r="N22" s="420"/>
    </row>
    <row r="23" spans="1:44" ht="38.25" customHeight="1" outlineLevel="1">
      <c r="B23" s="383" t="s">
        <v>747</v>
      </c>
      <c r="C23" s="1231" t="s">
        <v>669</v>
      </c>
      <c r="D23" s="1232"/>
      <c r="E23" s="1232"/>
      <c r="F23" s="1233"/>
      <c r="G23" s="422"/>
      <c r="H23" s="425"/>
      <c r="I23" s="425"/>
      <c r="J23" s="425"/>
      <c r="K23" s="426"/>
      <c r="L23" s="427"/>
      <c r="M23" s="428"/>
      <c r="N23" s="428"/>
    </row>
    <row r="24" spans="1:44" outlineLevel="1">
      <c r="B24" s="383" t="s">
        <v>749</v>
      </c>
      <c r="C24" s="1234"/>
      <c r="D24" s="1251"/>
      <c r="E24" s="1251"/>
      <c r="F24" s="1236"/>
      <c r="G24" s="425"/>
      <c r="H24" s="425"/>
      <c r="I24" s="425"/>
      <c r="J24" s="425"/>
      <c r="K24" s="423"/>
      <c r="L24" s="427"/>
      <c r="M24" s="428"/>
      <c r="N24" s="428"/>
    </row>
    <row r="25" spans="1:44" ht="16" outlineLevel="1">
      <c r="B25" s="383" t="s">
        <v>750</v>
      </c>
      <c r="C25" s="1234"/>
      <c r="D25" s="1251"/>
      <c r="E25" s="1251"/>
      <c r="F25" s="1236"/>
      <c r="G25" s="425"/>
      <c r="H25" s="425"/>
      <c r="I25" s="425"/>
      <c r="J25" s="425"/>
      <c r="K25" s="423"/>
      <c r="L25" s="427"/>
      <c r="M25" s="428"/>
      <c r="N25" s="428"/>
    </row>
    <row r="26" spans="1:44" outlineLevel="1">
      <c r="B26" s="383" t="s">
        <v>366</v>
      </c>
      <c r="C26" s="1234"/>
      <c r="D26" s="1251"/>
      <c r="E26" s="1251"/>
      <c r="F26" s="1236"/>
      <c r="G26" s="425"/>
      <c r="H26" s="425"/>
      <c r="I26" s="425"/>
      <c r="J26" s="425"/>
      <c r="K26" s="423"/>
      <c r="L26" s="427"/>
      <c r="M26" s="428"/>
      <c r="N26" s="428"/>
    </row>
    <row r="27" spans="1:44" ht="16" outlineLevel="1" thickBot="1">
      <c r="B27" s="429" t="s">
        <v>367</v>
      </c>
      <c r="C27" s="1237"/>
      <c r="D27" s="1238"/>
      <c r="E27" s="1238"/>
      <c r="F27" s="1239"/>
      <c r="G27" s="425"/>
      <c r="H27" s="425"/>
      <c r="I27" s="425"/>
      <c r="J27" s="425"/>
      <c r="K27" s="423"/>
      <c r="L27" s="427"/>
      <c r="M27" s="428"/>
      <c r="N27" s="428"/>
    </row>
    <row r="28" spans="1:44" ht="16" outlineLevel="1" thickBot="1">
      <c r="B28" s="431" t="s">
        <v>674</v>
      </c>
      <c r="C28" s="432"/>
      <c r="D28" s="403"/>
      <c r="E28" s="403"/>
      <c r="F28" s="433"/>
      <c r="G28" s="434"/>
      <c r="H28" s="406"/>
      <c r="I28" s="406"/>
      <c r="J28" s="406"/>
      <c r="K28" s="407"/>
      <c r="L28" s="408"/>
      <c r="M28" s="428"/>
      <c r="N28" s="428"/>
    </row>
    <row r="29" spans="1:44" ht="52" customHeight="1" outlineLevel="1">
      <c r="A29" s="435"/>
      <c r="B29" s="436" t="s">
        <v>751</v>
      </c>
      <c r="C29" s="437">
        <v>0.06</v>
      </c>
      <c r="D29" s="438">
        <v>0.06</v>
      </c>
      <c r="E29" s="438">
        <v>0.06</v>
      </c>
      <c r="F29" s="439">
        <v>0.06</v>
      </c>
      <c r="G29" s="425"/>
      <c r="H29" s="425"/>
      <c r="I29" s="425"/>
      <c r="J29" s="425"/>
      <c r="K29" s="426" t="s">
        <v>76</v>
      </c>
      <c r="L29" s="440" t="s">
        <v>67</v>
      </c>
      <c r="M29" s="420"/>
      <c r="N29" s="420"/>
    </row>
    <row r="30" spans="1:44" outlineLevel="1">
      <c r="B30" s="441" t="s">
        <v>754</v>
      </c>
      <c r="C30" s="627">
        <v>66.666666666666657</v>
      </c>
      <c r="D30" s="443">
        <v>66.666666666666657</v>
      </c>
      <c r="E30" s="443">
        <v>66.666666666666657</v>
      </c>
      <c r="F30" s="443">
        <v>66.666666666666657</v>
      </c>
      <c r="G30" s="425"/>
      <c r="H30" s="425"/>
      <c r="I30" s="425"/>
      <c r="J30" s="425"/>
      <c r="K30" s="444"/>
      <c r="L30" s="373">
        <v>5</v>
      </c>
      <c r="M30" s="71"/>
      <c r="N30" s="420"/>
    </row>
    <row r="31" spans="1:44" outlineLevel="1">
      <c r="B31" s="441" t="s">
        <v>755</v>
      </c>
      <c r="C31" s="627">
        <v>33.333333333333343</v>
      </c>
      <c r="D31" s="627">
        <v>33.333333333333343</v>
      </c>
      <c r="E31" s="627">
        <v>33.333333333333343</v>
      </c>
      <c r="F31" s="627">
        <v>33.333333333333343</v>
      </c>
      <c r="G31" s="425"/>
      <c r="H31" s="425"/>
      <c r="I31" s="425"/>
      <c r="J31" s="425"/>
      <c r="K31" s="444"/>
      <c r="L31" s="373">
        <v>5</v>
      </c>
      <c r="M31" s="420"/>
      <c r="N31" s="420"/>
    </row>
    <row r="32" spans="1:44" outlineLevel="1">
      <c r="B32" s="383" t="s">
        <v>756</v>
      </c>
      <c r="C32" s="445">
        <f>0/1000</f>
        <v>0</v>
      </c>
      <c r="D32" s="446">
        <f>0/1000</f>
        <v>0</v>
      </c>
      <c r="E32" s="446">
        <f>0/1000</f>
        <v>0</v>
      </c>
      <c r="F32" s="447">
        <f>0/1000</f>
        <v>0</v>
      </c>
      <c r="G32" s="425"/>
      <c r="H32" s="425"/>
      <c r="I32" s="425"/>
      <c r="J32" s="425"/>
      <c r="K32" s="448" t="s">
        <v>25</v>
      </c>
      <c r="L32" s="373">
        <v>4</v>
      </c>
      <c r="M32" s="420"/>
      <c r="N32" s="420"/>
    </row>
    <row r="33" spans="2:30" ht="37" customHeight="1" outlineLevel="1" thickBot="1">
      <c r="B33" s="383" t="s">
        <v>757</v>
      </c>
      <c r="C33" s="449">
        <f>0.1825/3.6</f>
        <v>5.0694444444444445E-2</v>
      </c>
      <c r="D33" s="449">
        <f>0.1875/3.6</f>
        <v>5.2083333333333329E-2</v>
      </c>
      <c r="E33" s="449">
        <f>0.19/3.6</f>
        <v>5.2777777777777778E-2</v>
      </c>
      <c r="F33" s="449">
        <f>0.19/3.6</f>
        <v>5.2777777777777778E-2</v>
      </c>
      <c r="G33" s="425"/>
      <c r="H33" s="425"/>
      <c r="I33" s="425"/>
      <c r="J33" s="425"/>
      <c r="K33" s="448"/>
      <c r="L33" s="373" t="s">
        <v>69</v>
      </c>
      <c r="M33" s="450"/>
      <c r="N33" s="361"/>
      <c r="P33" s="1142">
        <f>C33</f>
        <v>5.0694444444444445E-2</v>
      </c>
      <c r="Q33" s="1143"/>
      <c r="R33" s="1143"/>
      <c r="S33" s="1143"/>
      <c r="T33" s="1143"/>
      <c r="U33" s="1144"/>
    </row>
    <row r="34" spans="2:30" ht="15.75" customHeight="1" outlineLevel="1" thickBot="1">
      <c r="B34" s="451" t="s">
        <v>758</v>
      </c>
      <c r="C34" s="452">
        <v>0.1825</v>
      </c>
      <c r="D34" s="452">
        <v>0.1875</v>
      </c>
      <c r="E34" s="452">
        <v>0.19</v>
      </c>
      <c r="F34" s="452">
        <v>0.19</v>
      </c>
      <c r="G34" s="453"/>
      <c r="H34" s="453"/>
      <c r="I34" s="453"/>
      <c r="J34" s="453"/>
      <c r="K34" s="379" t="s">
        <v>20</v>
      </c>
      <c r="L34" s="380">
        <v>5</v>
      </c>
      <c r="M34" s="450"/>
      <c r="N34" s="361"/>
      <c r="P34" s="1134">
        <f>C34</f>
        <v>0.1825</v>
      </c>
      <c r="Q34" s="1135"/>
      <c r="R34" s="1135"/>
      <c r="S34" s="1135"/>
      <c r="T34" s="1135"/>
      <c r="U34" s="1136"/>
    </row>
    <row r="35" spans="2:30" outlineLevel="1">
      <c r="B35" s="451" t="s">
        <v>759</v>
      </c>
      <c r="C35" s="454">
        <v>0</v>
      </c>
      <c r="D35" s="454">
        <v>0</v>
      </c>
      <c r="E35" s="454">
        <v>0</v>
      </c>
      <c r="F35" s="454">
        <v>0</v>
      </c>
      <c r="G35" s="453"/>
      <c r="H35" s="453"/>
      <c r="I35" s="453"/>
      <c r="J35" s="453"/>
      <c r="K35" s="455" t="s">
        <v>25</v>
      </c>
      <c r="L35" s="380">
        <v>4</v>
      </c>
      <c r="M35" s="363"/>
      <c r="N35" s="363"/>
      <c r="P35" s="53" t="s">
        <v>357</v>
      </c>
    </row>
    <row r="36" spans="2:30" ht="30" outlineLevel="1">
      <c r="B36" s="441"/>
      <c r="C36" s="456"/>
      <c r="D36" s="456"/>
      <c r="E36" s="456"/>
      <c r="F36" s="456"/>
      <c r="G36" s="425"/>
      <c r="H36" s="425"/>
      <c r="I36" s="425"/>
      <c r="J36" s="425"/>
      <c r="K36" s="444"/>
      <c r="L36" s="424"/>
      <c r="M36" s="367"/>
      <c r="N36" s="367"/>
      <c r="P36" s="46" t="s">
        <v>335</v>
      </c>
      <c r="Q36" s="46" t="s">
        <v>336</v>
      </c>
      <c r="R36" s="47" t="s">
        <v>337</v>
      </c>
      <c r="S36" s="47" t="s">
        <v>338</v>
      </c>
      <c r="T36" s="47" t="s">
        <v>339</v>
      </c>
      <c r="U36" s="48" t="s">
        <v>340</v>
      </c>
      <c r="V36" s="49" t="s">
        <v>341</v>
      </c>
      <c r="W36" s="49" t="s">
        <v>342</v>
      </c>
      <c r="X36" s="49" t="s">
        <v>343</v>
      </c>
      <c r="Y36" s="49" t="s">
        <v>344</v>
      </c>
      <c r="Z36" s="49" t="s">
        <v>345</v>
      </c>
      <c r="AA36" s="49" t="s">
        <v>346</v>
      </c>
      <c r="AB36" s="49" t="s">
        <v>347</v>
      </c>
      <c r="AC36" s="49" t="s">
        <v>348</v>
      </c>
      <c r="AD36" s="49" t="s">
        <v>349</v>
      </c>
    </row>
    <row r="37" spans="2:30" ht="35" customHeight="1" outlineLevel="1" thickBot="1">
      <c r="B37" s="441"/>
      <c r="C37" s="442"/>
      <c r="D37" s="457"/>
      <c r="E37" s="457"/>
      <c r="F37" s="458"/>
      <c r="G37" s="425"/>
      <c r="H37" s="425"/>
      <c r="I37" s="425"/>
      <c r="J37" s="425"/>
      <c r="K37" s="448"/>
      <c r="L37" s="424"/>
      <c r="M37" s="363"/>
      <c r="N37" s="363"/>
      <c r="P37" s="50"/>
      <c r="Q37" s="50"/>
      <c r="R37" s="51"/>
      <c r="S37" s="51"/>
      <c r="T37" s="51"/>
      <c r="U37" s="51" t="s">
        <v>760</v>
      </c>
      <c r="V37" s="50" t="s">
        <v>761</v>
      </c>
      <c r="W37" s="50"/>
      <c r="X37" s="50"/>
      <c r="Y37" s="50"/>
      <c r="Z37" s="50"/>
      <c r="AA37" s="50"/>
      <c r="AB37" s="50"/>
      <c r="AC37" s="50"/>
      <c r="AD37" s="50"/>
    </row>
    <row r="38" spans="2:30" ht="73" customHeight="1" outlineLevel="1" thickBot="1">
      <c r="B38" s="401" t="s">
        <v>682</v>
      </c>
      <c r="C38" s="402"/>
      <c r="D38" s="403"/>
      <c r="E38" s="404"/>
      <c r="F38" s="405"/>
      <c r="G38" s="406"/>
      <c r="H38" s="406"/>
      <c r="I38" s="406"/>
      <c r="J38" s="406"/>
      <c r="K38" s="459"/>
      <c r="L38" s="460"/>
      <c r="M38" s="363"/>
      <c r="N38" s="363"/>
      <c r="O38" s="461" t="s">
        <v>732</v>
      </c>
      <c r="P38" s="56"/>
      <c r="Q38" s="56"/>
      <c r="R38" s="57"/>
      <c r="S38" s="57"/>
      <c r="T38" s="57"/>
      <c r="U38" s="56" t="s">
        <v>350</v>
      </c>
      <c r="V38" s="56" t="s">
        <v>326</v>
      </c>
      <c r="W38" s="56" t="s">
        <v>327</v>
      </c>
      <c r="X38" s="56" t="s">
        <v>351</v>
      </c>
      <c r="Y38" s="56" t="s">
        <v>351</v>
      </c>
      <c r="Z38" s="56" t="s">
        <v>352</v>
      </c>
      <c r="AA38" s="56" t="s">
        <v>352</v>
      </c>
      <c r="AB38" s="56" t="s">
        <v>352</v>
      </c>
      <c r="AC38" s="56" t="s">
        <v>352</v>
      </c>
      <c r="AD38" s="56" t="s">
        <v>352</v>
      </c>
    </row>
    <row r="39" spans="2:30" outlineLevel="1">
      <c r="B39" s="451" t="s">
        <v>762</v>
      </c>
      <c r="C39" s="462" t="s">
        <v>36</v>
      </c>
      <c r="D39" s="462" t="s">
        <v>36</v>
      </c>
      <c r="E39" s="462" t="s">
        <v>36</v>
      </c>
      <c r="F39" s="462" t="s">
        <v>36</v>
      </c>
      <c r="G39" s="463"/>
      <c r="H39" s="463"/>
      <c r="I39" s="463"/>
      <c r="J39" s="463"/>
      <c r="K39" s="463" t="s">
        <v>33</v>
      </c>
      <c r="L39" s="464"/>
      <c r="M39" s="363"/>
      <c r="N39" s="363"/>
      <c r="O39" s="465">
        <f>C12</f>
        <v>100</v>
      </c>
      <c r="P39" s="466">
        <f>C8</f>
        <v>2020</v>
      </c>
      <c r="Q39" s="58">
        <f>P39</f>
        <v>2020</v>
      </c>
      <c r="R39" s="466">
        <f>O39/100</f>
        <v>1</v>
      </c>
      <c r="S39" s="58"/>
      <c r="T39" s="466">
        <f>C16</f>
        <v>12.5</v>
      </c>
      <c r="U39" s="467">
        <f>C46</f>
        <v>447</v>
      </c>
      <c r="V39" s="467">
        <f>C48</f>
        <v>0</v>
      </c>
      <c r="W39" s="690">
        <f>C49</f>
        <v>0.37767361111111114</v>
      </c>
      <c r="X39" s="58"/>
      <c r="Y39" s="58"/>
      <c r="Z39" s="466" t="str">
        <f>C23</f>
        <v>Cf. the utilized electricity</v>
      </c>
      <c r="AA39" s="468">
        <f>C25</f>
        <v>0</v>
      </c>
      <c r="AB39" s="468">
        <f>C26</f>
        <v>0</v>
      </c>
      <c r="AC39" s="468">
        <f>C27</f>
        <v>0</v>
      </c>
      <c r="AD39" s="468">
        <f>C24</f>
        <v>0</v>
      </c>
    </row>
    <row r="40" spans="2:30" ht="14.5" customHeight="1" outlineLevel="1">
      <c r="B40" s="376" t="s">
        <v>763</v>
      </c>
      <c r="C40" s="469" t="s">
        <v>36</v>
      </c>
      <c r="D40" s="470" t="s">
        <v>36</v>
      </c>
      <c r="E40" s="470" t="s">
        <v>36</v>
      </c>
      <c r="F40" s="471" t="s">
        <v>36</v>
      </c>
      <c r="G40" s="471"/>
      <c r="H40" s="471"/>
      <c r="I40" s="471"/>
      <c r="J40" s="471"/>
      <c r="K40" s="472"/>
      <c r="L40" s="464"/>
      <c r="M40" s="363"/>
      <c r="N40" s="363"/>
      <c r="O40" s="465">
        <f>D12</f>
        <v>100</v>
      </c>
      <c r="P40" s="466">
        <f>D8</f>
        <v>2030</v>
      </c>
      <c r="Q40" s="58"/>
      <c r="R40" s="466">
        <f>O40/100</f>
        <v>1</v>
      </c>
      <c r="S40" s="58"/>
      <c r="T40" s="466">
        <f>D16</f>
        <v>12.5</v>
      </c>
      <c r="U40" s="467">
        <f>D46</f>
        <v>447</v>
      </c>
      <c r="V40" s="467">
        <f>D48</f>
        <v>0</v>
      </c>
      <c r="W40" s="690">
        <f>D49</f>
        <v>0.38802083333333331</v>
      </c>
      <c r="X40" s="58"/>
      <c r="Y40" s="58"/>
      <c r="Z40" s="466">
        <f>D23</f>
        <v>0</v>
      </c>
      <c r="AA40" s="468">
        <f>D25</f>
        <v>0</v>
      </c>
      <c r="AB40" s="468">
        <f>D26</f>
        <v>0</v>
      </c>
      <c r="AC40" s="468">
        <f>D27</f>
        <v>0</v>
      </c>
      <c r="AD40" s="468">
        <f>D24</f>
        <v>0</v>
      </c>
    </row>
    <row r="41" spans="2:30" outlineLevel="1">
      <c r="B41" s="376" t="s">
        <v>764</v>
      </c>
      <c r="C41" s="469" t="s">
        <v>36</v>
      </c>
      <c r="D41" s="470" t="s">
        <v>36</v>
      </c>
      <c r="E41" s="470" t="s">
        <v>36</v>
      </c>
      <c r="F41" s="471" t="s">
        <v>36</v>
      </c>
      <c r="G41" s="453"/>
      <c r="H41" s="453"/>
      <c r="I41" s="453"/>
      <c r="J41" s="453"/>
      <c r="K41" s="453"/>
      <c r="L41" s="380"/>
      <c r="M41" s="363"/>
      <c r="N41" s="363"/>
      <c r="O41" s="465">
        <f>E12</f>
        <v>100</v>
      </c>
      <c r="P41" s="466">
        <f>E8</f>
        <v>2040</v>
      </c>
      <c r="Q41" s="58"/>
      <c r="R41" s="466">
        <f>O41/100</f>
        <v>1</v>
      </c>
      <c r="S41" s="58"/>
      <c r="T41" s="466">
        <f>E16</f>
        <v>12.5</v>
      </c>
      <c r="U41" s="467">
        <f>E46</f>
        <v>447</v>
      </c>
      <c r="V41" s="467">
        <f>E48</f>
        <v>0</v>
      </c>
      <c r="W41" s="690">
        <f>E49</f>
        <v>0.39319444444444446</v>
      </c>
      <c r="X41" s="58"/>
      <c r="Y41" s="58"/>
      <c r="Z41" s="466">
        <f>E23</f>
        <v>0</v>
      </c>
      <c r="AA41" s="468">
        <f>E25</f>
        <v>0</v>
      </c>
      <c r="AB41" s="468">
        <f>E26</f>
        <v>0</v>
      </c>
      <c r="AC41" s="468">
        <f>E27</f>
        <v>0</v>
      </c>
      <c r="AD41" s="468">
        <f>E24</f>
        <v>0</v>
      </c>
    </row>
    <row r="42" spans="2:30" outlineLevel="1">
      <c r="B42" s="376" t="s">
        <v>765</v>
      </c>
      <c r="C42" s="1240" t="s">
        <v>669</v>
      </c>
      <c r="D42" s="1241"/>
      <c r="E42" s="1241"/>
      <c r="F42" s="1242"/>
      <c r="G42" s="474"/>
      <c r="H42" s="474"/>
      <c r="I42" s="474"/>
      <c r="J42" s="474"/>
      <c r="K42" s="474"/>
      <c r="L42" s="380"/>
      <c r="M42" s="363"/>
      <c r="N42" s="363"/>
      <c r="O42" s="465">
        <f>F12</f>
        <v>100</v>
      </c>
      <c r="P42" s="466">
        <f>F8</f>
        <v>2050</v>
      </c>
      <c r="Q42" s="58"/>
      <c r="R42" s="466">
        <f>O42/100</f>
        <v>1</v>
      </c>
      <c r="S42" s="58"/>
      <c r="T42" s="466">
        <f>F16</f>
        <v>12.5</v>
      </c>
      <c r="U42" s="467">
        <f>F46</f>
        <v>447</v>
      </c>
      <c r="V42" s="467">
        <f>F48</f>
        <v>0</v>
      </c>
      <c r="W42" s="690">
        <f>F49</f>
        <v>0.39319444444444446</v>
      </c>
      <c r="X42" s="58"/>
      <c r="Y42" s="58"/>
      <c r="Z42" s="466">
        <f>F23</f>
        <v>0</v>
      </c>
      <c r="AA42" s="468">
        <f>F25</f>
        <v>0</v>
      </c>
      <c r="AB42" s="468">
        <f>F26</f>
        <v>0</v>
      </c>
      <c r="AC42" s="468">
        <f>F27</f>
        <v>0</v>
      </c>
      <c r="AD42" s="468">
        <f>F24</f>
        <v>0</v>
      </c>
    </row>
    <row r="43" spans="2:30" outlineLevel="1">
      <c r="B43" s="475" t="s">
        <v>766</v>
      </c>
      <c r="C43" s="469" t="s">
        <v>36</v>
      </c>
      <c r="D43" s="470" t="s">
        <v>36</v>
      </c>
      <c r="E43" s="470" t="s">
        <v>36</v>
      </c>
      <c r="F43" s="471" t="s">
        <v>36</v>
      </c>
      <c r="G43" s="474"/>
      <c r="H43" s="474"/>
      <c r="I43" s="474"/>
      <c r="J43" s="474"/>
      <c r="K43" s="474"/>
      <c r="L43" s="476"/>
      <c r="M43" s="367"/>
      <c r="N43" s="367"/>
    </row>
    <row r="44" spans="2:30" outlineLevel="1">
      <c r="B44" s="475" t="s">
        <v>767</v>
      </c>
      <c r="C44" s="469" t="s">
        <v>36</v>
      </c>
      <c r="D44" s="470" t="s">
        <v>36</v>
      </c>
      <c r="E44" s="470" t="s">
        <v>36</v>
      </c>
      <c r="F44" s="471" t="s">
        <v>36</v>
      </c>
      <c r="G44" s="474"/>
      <c r="H44" s="474"/>
      <c r="I44" s="474"/>
      <c r="J44" s="474"/>
      <c r="K44" s="474"/>
      <c r="L44" s="476"/>
      <c r="M44" s="363"/>
      <c r="N44" s="363"/>
    </row>
    <row r="45" spans="2:30" ht="16" outlineLevel="1" thickBot="1">
      <c r="B45" s="477" t="s">
        <v>768</v>
      </c>
      <c r="C45" s="478" t="s">
        <v>36</v>
      </c>
      <c r="D45" s="479" t="s">
        <v>36</v>
      </c>
      <c r="E45" s="479" t="s">
        <v>36</v>
      </c>
      <c r="F45" s="480" t="s">
        <v>36</v>
      </c>
      <c r="G45" s="481"/>
      <c r="H45" s="481"/>
      <c r="I45" s="481"/>
      <c r="J45" s="481"/>
      <c r="K45" s="481"/>
      <c r="L45" s="482"/>
      <c r="M45" s="363"/>
      <c r="N45" s="363"/>
    </row>
    <row r="46" spans="2:30" ht="64" outlineLevel="1">
      <c r="B46" s="461" t="s">
        <v>769</v>
      </c>
      <c r="C46" s="483">
        <f>C29*$F$4*1000</f>
        <v>447</v>
      </c>
      <c r="D46" s="483">
        <f t="shared" ref="D46:F46" si="0">D29*$F$4*1000</f>
        <v>447</v>
      </c>
      <c r="E46" s="483">
        <f t="shared" si="0"/>
        <v>447</v>
      </c>
      <c r="F46" s="483">
        <f t="shared" si="0"/>
        <v>447</v>
      </c>
      <c r="G46" s="483"/>
      <c r="H46" s="484"/>
      <c r="I46" s="420" t="s">
        <v>332</v>
      </c>
      <c r="J46" s="420"/>
      <c r="K46" s="484"/>
      <c r="L46" s="484"/>
      <c r="N46" s="420"/>
    </row>
    <row r="47" spans="2:30" outlineLevel="1">
      <c r="B47" s="485" t="s">
        <v>770</v>
      </c>
      <c r="C47" s="486">
        <f>C46*$I47</f>
        <v>223500</v>
      </c>
      <c r="D47" s="486">
        <f>D46*$I47</f>
        <v>223500</v>
      </c>
      <c r="E47" s="486">
        <f>E46*$I47</f>
        <v>223500</v>
      </c>
      <c r="F47" s="486">
        <f>F46*$I47</f>
        <v>223500</v>
      </c>
      <c r="G47" s="486"/>
      <c r="H47" s="484"/>
      <c r="I47" s="71">
        <v>500</v>
      </c>
      <c r="J47" s="420" t="s">
        <v>330</v>
      </c>
      <c r="K47" s="484"/>
      <c r="L47" s="484"/>
      <c r="N47" s="420"/>
    </row>
    <row r="48" spans="2:30" ht="48" outlineLevel="1">
      <c r="B48" s="461" t="s">
        <v>771</v>
      </c>
      <c r="C48" s="359">
        <f>C32*$F$4</f>
        <v>0</v>
      </c>
      <c r="D48" s="359">
        <f t="shared" ref="D48:F49" si="1">D32*$F$4</f>
        <v>0</v>
      </c>
      <c r="E48" s="359">
        <f t="shared" si="1"/>
        <v>0</v>
      </c>
      <c r="F48" s="359">
        <f t="shared" si="1"/>
        <v>0</v>
      </c>
      <c r="G48" s="359"/>
      <c r="I48" s="420" t="s">
        <v>333</v>
      </c>
      <c r="J48" s="420"/>
      <c r="N48" s="420"/>
    </row>
    <row r="49" spans="2:14" ht="48" outlineLevel="1">
      <c r="B49" s="461" t="s">
        <v>772</v>
      </c>
      <c r="C49" s="487">
        <f>C33*$F$4</f>
        <v>0.37767361111111114</v>
      </c>
      <c r="D49" s="487">
        <f t="shared" si="1"/>
        <v>0.38802083333333331</v>
      </c>
      <c r="E49" s="487">
        <f t="shared" si="1"/>
        <v>0.39319444444444446</v>
      </c>
      <c r="F49" s="487">
        <f t="shared" si="1"/>
        <v>0.39319444444444446</v>
      </c>
      <c r="G49" s="359"/>
      <c r="M49" s="420"/>
      <c r="N49" s="420"/>
    </row>
    <row r="50" spans="2:14" outlineLevel="1"/>
    <row r="51" spans="2:14" outlineLevel="1"/>
    <row r="52" spans="2:14" outlineLevel="1"/>
    <row r="53" spans="2:14" outlineLevel="1"/>
    <row r="54" spans="2:14" outlineLevel="1">
      <c r="E54" s="358"/>
      <c r="F54" s="358"/>
      <c r="G54" s="358"/>
      <c r="H54" s="358"/>
      <c r="I54" s="358"/>
      <c r="J54" s="358"/>
      <c r="K54" s="358"/>
      <c r="L54" s="358"/>
    </row>
    <row r="55" spans="2:14" outlineLevel="1">
      <c r="B55" s="488" t="s">
        <v>773</v>
      </c>
      <c r="C55" s="489"/>
      <c r="E55" s="358"/>
      <c r="F55" s="358"/>
      <c r="G55" s="358"/>
      <c r="H55" s="358"/>
      <c r="I55" s="358"/>
      <c r="J55" s="358"/>
      <c r="K55" s="358"/>
      <c r="L55" s="358"/>
    </row>
    <row r="56" spans="2:14" outlineLevel="1">
      <c r="B56" s="358">
        <v>1</v>
      </c>
      <c r="C56" s="490" t="s">
        <v>813</v>
      </c>
      <c r="F56" s="358"/>
      <c r="G56" s="358"/>
      <c r="H56" s="358"/>
      <c r="I56" s="358"/>
      <c r="J56" s="358"/>
      <c r="K56" s="358"/>
      <c r="L56" s="358"/>
    </row>
    <row r="57" spans="2:14" outlineLevel="1">
      <c r="B57" s="358">
        <v>2</v>
      </c>
      <c r="C57" s="490" t="s">
        <v>814</v>
      </c>
      <c r="F57" s="358"/>
      <c r="G57" s="358"/>
      <c r="H57" s="358"/>
      <c r="I57" s="358"/>
      <c r="J57" s="358"/>
      <c r="K57" s="358"/>
      <c r="L57" s="358"/>
    </row>
    <row r="58" spans="2:14" outlineLevel="1">
      <c r="B58" s="358">
        <v>3</v>
      </c>
      <c r="C58" s="490" t="s">
        <v>781</v>
      </c>
      <c r="F58" s="358"/>
      <c r="G58" s="358"/>
      <c r="H58" s="358"/>
      <c r="I58" s="358"/>
      <c r="J58" s="358"/>
      <c r="K58" s="358"/>
      <c r="L58" s="358"/>
    </row>
    <row r="59" spans="2:14" outlineLevel="1">
      <c r="B59" s="358">
        <v>4</v>
      </c>
      <c r="C59" s="490" t="s">
        <v>830</v>
      </c>
      <c r="F59" s="358"/>
      <c r="G59" s="358"/>
      <c r="H59" s="358"/>
      <c r="I59" s="358"/>
      <c r="J59" s="358"/>
      <c r="K59" s="358"/>
      <c r="L59" s="358"/>
    </row>
    <row r="60" spans="2:14" outlineLevel="1">
      <c r="B60" s="358">
        <v>5</v>
      </c>
      <c r="C60" s="490" t="s">
        <v>818</v>
      </c>
      <c r="F60" s="358"/>
      <c r="G60" s="358"/>
      <c r="H60" s="358"/>
      <c r="I60" s="358"/>
      <c r="J60" s="358"/>
      <c r="K60" s="358"/>
      <c r="L60" s="358"/>
    </row>
    <row r="61" spans="2:14" outlineLevel="1">
      <c r="B61" s="358">
        <v>6</v>
      </c>
      <c r="C61" s="490" t="s">
        <v>819</v>
      </c>
      <c r="F61" s="358"/>
      <c r="G61" s="358"/>
      <c r="H61" s="358"/>
      <c r="I61" s="358"/>
      <c r="J61" s="358"/>
      <c r="K61" s="358"/>
      <c r="L61" s="358"/>
    </row>
    <row r="62" spans="2:14" outlineLevel="1">
      <c r="B62" s="358">
        <v>7</v>
      </c>
      <c r="C62" s="490" t="s">
        <v>820</v>
      </c>
      <c r="F62" s="358"/>
      <c r="G62" s="358"/>
      <c r="H62" s="358"/>
      <c r="I62" s="358"/>
      <c r="J62" s="358"/>
      <c r="K62" s="358"/>
      <c r="L62" s="358"/>
    </row>
    <row r="63" spans="2:14" outlineLevel="1">
      <c r="B63" s="488" t="s">
        <v>783</v>
      </c>
      <c r="C63" s="489"/>
      <c r="D63" s="489"/>
      <c r="F63" s="358"/>
      <c r="G63" s="358"/>
      <c r="H63" s="358"/>
      <c r="I63" s="358"/>
      <c r="J63" s="358"/>
      <c r="K63" s="358"/>
      <c r="L63" s="358"/>
    </row>
    <row r="64" spans="2:14" outlineLevel="1">
      <c r="B64" s="496" t="s">
        <v>6</v>
      </c>
      <c r="C64" s="490" t="s">
        <v>831</v>
      </c>
      <c r="D64" s="489"/>
      <c r="F64" s="358"/>
      <c r="G64" s="358"/>
      <c r="H64" s="358"/>
      <c r="I64" s="358"/>
      <c r="J64" s="358"/>
      <c r="K64" s="358"/>
      <c r="L64" s="358"/>
    </row>
    <row r="65" spans="1:44" outlineLevel="1">
      <c r="B65" s="496" t="s">
        <v>59</v>
      </c>
      <c r="C65" s="490" t="s">
        <v>832</v>
      </c>
      <c r="D65" s="489"/>
      <c r="F65" s="358"/>
      <c r="G65" s="358"/>
      <c r="H65" s="358"/>
      <c r="I65" s="358"/>
      <c r="J65" s="358"/>
      <c r="K65" s="358"/>
      <c r="L65" s="358"/>
    </row>
    <row r="66" spans="1:44" outlineLevel="1">
      <c r="B66" s="496" t="s">
        <v>16</v>
      </c>
      <c r="C66" s="490" t="s">
        <v>833</v>
      </c>
      <c r="D66" s="489"/>
      <c r="F66" s="358"/>
      <c r="G66" s="358"/>
      <c r="H66" s="358"/>
      <c r="I66" s="358"/>
      <c r="J66" s="358"/>
      <c r="K66" s="358"/>
      <c r="L66" s="358"/>
    </row>
    <row r="67" spans="1:44" outlineLevel="1">
      <c r="B67" s="496" t="s">
        <v>20</v>
      </c>
      <c r="C67" s="490" t="s">
        <v>824</v>
      </c>
      <c r="D67" s="489"/>
      <c r="F67" s="358"/>
      <c r="G67" s="358"/>
      <c r="H67" s="358"/>
      <c r="I67" s="358"/>
      <c r="J67" s="358"/>
      <c r="K67" s="358"/>
      <c r="L67" s="358"/>
    </row>
    <row r="68" spans="1:44" outlineLevel="1">
      <c r="B68" s="496" t="s">
        <v>76</v>
      </c>
      <c r="C68" s="628" t="s">
        <v>834</v>
      </c>
      <c r="D68" s="489"/>
      <c r="F68" s="358"/>
      <c r="G68" s="358"/>
      <c r="H68" s="358"/>
      <c r="I68" s="358"/>
      <c r="J68" s="358"/>
      <c r="K68" s="358"/>
      <c r="L68" s="358"/>
    </row>
    <row r="69" spans="1:44" outlineLevel="1">
      <c r="B69" s="496" t="s">
        <v>25</v>
      </c>
      <c r="C69" s="490" t="s">
        <v>835</v>
      </c>
      <c r="D69" s="489"/>
      <c r="F69" s="358"/>
      <c r="G69" s="358"/>
      <c r="H69" s="358"/>
      <c r="I69" s="358"/>
      <c r="J69" s="358"/>
      <c r="K69" s="358"/>
      <c r="L69" s="358"/>
    </row>
    <row r="70" spans="1:44" outlineLevel="1">
      <c r="B70" s="496" t="s">
        <v>33</v>
      </c>
      <c r="C70" s="490" t="s">
        <v>825</v>
      </c>
      <c r="D70" s="489"/>
      <c r="G70" s="358"/>
      <c r="H70" s="358"/>
      <c r="I70" s="358"/>
      <c r="J70" s="358"/>
      <c r="K70" s="358"/>
      <c r="L70" s="358"/>
    </row>
    <row r="71" spans="1:44" outlineLevel="1">
      <c r="B71" s="496"/>
      <c r="C71" s="489"/>
      <c r="E71" s="490"/>
      <c r="F71" s="490"/>
    </row>
    <row r="72" spans="1:44" outlineLevel="1"/>
    <row r="73" spans="1:44" outlineLevel="1"/>
    <row r="74" spans="1:44" outlineLevel="1"/>
    <row r="77" spans="1:44">
      <c r="A77" s="360"/>
      <c r="B77" s="1207"/>
      <c r="C77" s="1143"/>
      <c r="D77" s="1143"/>
      <c r="E77" s="1143"/>
      <c r="F77" s="1143"/>
      <c r="G77" s="1143"/>
      <c r="H77" s="1143"/>
      <c r="I77" s="1143"/>
      <c r="J77" s="1143"/>
      <c r="K77" s="1143"/>
      <c r="L77" s="1143"/>
      <c r="M77" s="1143"/>
      <c r="N77" s="361"/>
      <c r="P77" s="1143"/>
      <c r="Q77" s="1143"/>
      <c r="R77" s="1143"/>
      <c r="S77" s="1143"/>
      <c r="T77" s="1143"/>
      <c r="U77" s="1143"/>
    </row>
    <row r="78" spans="1:44" ht="16" outlineLevel="1" thickBot="1">
      <c r="B78" s="1207"/>
      <c r="C78" s="1143"/>
      <c r="D78" s="1143"/>
      <c r="E78" s="1143"/>
      <c r="F78" s="1143"/>
      <c r="G78" s="1143"/>
      <c r="H78" s="1143"/>
      <c r="I78" s="1143"/>
      <c r="J78" s="1143"/>
      <c r="K78" s="1143"/>
      <c r="L78" s="1143"/>
      <c r="M78" s="1143"/>
      <c r="N78" s="361"/>
      <c r="P78" s="1143"/>
      <c r="Q78" s="1143"/>
      <c r="R78" s="1143"/>
      <c r="S78" s="1143"/>
      <c r="T78" s="1143"/>
      <c r="U78" s="1143"/>
    </row>
    <row r="79" spans="1:44" ht="20.5" customHeight="1" outlineLevel="1" thickBot="1">
      <c r="B79" s="362"/>
      <c r="C79" s="1186"/>
      <c r="D79" s="1205"/>
      <c r="E79" s="1205"/>
      <c r="F79" s="1205"/>
      <c r="G79" s="1205"/>
      <c r="H79" s="1205"/>
      <c r="I79" s="1205"/>
      <c r="J79" s="1205"/>
      <c r="K79" s="1205"/>
      <c r="L79" s="1206"/>
      <c r="M79" s="363"/>
      <c r="N79" s="363"/>
      <c r="P79" s="364"/>
      <c r="Q79" s="365"/>
      <c r="R79" s="366"/>
      <c r="S79" s="1176"/>
      <c r="T79" s="1160"/>
      <c r="U79" s="1161"/>
      <c r="V79" s="1160"/>
      <c r="W79" s="1161"/>
      <c r="X79" s="1160"/>
      <c r="Y79" s="1161"/>
      <c r="Z79" s="1160"/>
      <c r="AA79" s="1161"/>
      <c r="AB79" s="1160"/>
      <c r="AC79" s="1161"/>
      <c r="AE79" s="364"/>
      <c r="AF79" s="365"/>
      <c r="AG79" s="366"/>
      <c r="AH79" s="1176"/>
      <c r="AI79" s="1160"/>
      <c r="AJ79" s="1161"/>
      <c r="AK79" s="1160"/>
      <c r="AL79" s="1161"/>
      <c r="AM79" s="1160"/>
      <c r="AN79" s="1161"/>
      <c r="AO79" s="1160"/>
      <c r="AP79" s="1161"/>
      <c r="AQ79" s="1160"/>
      <c r="AR79" s="1161"/>
    </row>
    <row r="80" spans="1:44" ht="15" customHeight="1" outlineLevel="1" thickBot="1">
      <c r="B80" s="1164"/>
      <c r="C80" s="1166"/>
      <c r="D80" s="1166"/>
      <c r="E80" s="1166"/>
      <c r="F80" s="1166"/>
      <c r="G80" s="1200"/>
      <c r="H80" s="1201"/>
      <c r="I80" s="1200"/>
      <c r="J80" s="1201"/>
      <c r="K80" s="1202"/>
      <c r="L80" s="1202"/>
      <c r="M80" s="367"/>
      <c r="N80" s="367"/>
      <c r="P80" s="1180"/>
      <c r="Q80" s="368"/>
      <c r="R80" s="368"/>
      <c r="S80" s="1177"/>
      <c r="T80" s="1162"/>
      <c r="U80" s="1163"/>
      <c r="V80" s="1162"/>
      <c r="W80" s="1163"/>
      <c r="X80" s="1162"/>
      <c r="Y80" s="1163"/>
      <c r="Z80" s="1162"/>
      <c r="AA80" s="1163"/>
      <c r="AB80" s="1162"/>
      <c r="AC80" s="1163"/>
      <c r="AE80" s="1180"/>
      <c r="AF80" s="368"/>
      <c r="AG80" s="368"/>
      <c r="AH80" s="1177"/>
      <c r="AI80" s="1162"/>
      <c r="AJ80" s="1163"/>
      <c r="AK80" s="1162"/>
      <c r="AL80" s="1163"/>
      <c r="AM80" s="1162"/>
      <c r="AN80" s="1163"/>
      <c r="AO80" s="1162"/>
      <c r="AP80" s="1163"/>
      <c r="AQ80" s="1162"/>
      <c r="AR80" s="1163"/>
    </row>
    <row r="81" spans="2:44" ht="15" customHeight="1" outlineLevel="1" thickBot="1">
      <c r="B81" s="1165"/>
      <c r="C81" s="1167"/>
      <c r="D81" s="1167"/>
      <c r="E81" s="1167"/>
      <c r="F81" s="1167"/>
      <c r="G81" s="499"/>
      <c r="H81" s="499"/>
      <c r="I81" s="499"/>
      <c r="J81" s="499"/>
      <c r="K81" s="1203"/>
      <c r="L81" s="1203"/>
      <c r="M81" s="370"/>
      <c r="N81" s="370"/>
      <c r="P81" s="1181"/>
      <c r="Q81" s="1183"/>
      <c r="R81" s="1184"/>
      <c r="S81" s="1178"/>
      <c r="T81" s="1162"/>
      <c r="U81" s="1163"/>
      <c r="V81" s="1162"/>
      <c r="W81" s="1163"/>
      <c r="X81" s="1162"/>
      <c r="Y81" s="1163"/>
      <c r="Z81" s="1162"/>
      <c r="AA81" s="1163"/>
      <c r="AB81" s="1162"/>
      <c r="AC81" s="1163"/>
      <c r="AE81" s="1181"/>
      <c r="AF81" s="1197"/>
      <c r="AG81" s="1184"/>
      <c r="AH81" s="1178"/>
      <c r="AI81" s="1162"/>
      <c r="AJ81" s="1163"/>
      <c r="AK81" s="1162"/>
      <c r="AL81" s="1163"/>
      <c r="AM81" s="1162"/>
      <c r="AN81" s="1163"/>
      <c r="AO81" s="1162"/>
      <c r="AP81" s="1163"/>
      <c r="AQ81" s="1162"/>
      <c r="AR81" s="1163"/>
    </row>
    <row r="82" spans="2:44" ht="16" outlineLevel="1" thickBot="1">
      <c r="B82" s="371"/>
      <c r="C82" s="372"/>
      <c r="D82" s="372"/>
      <c r="E82" s="372"/>
      <c r="F82" s="372"/>
      <c r="G82" s="372"/>
      <c r="H82" s="372"/>
      <c r="I82" s="372"/>
      <c r="J82" s="372"/>
      <c r="K82" s="372"/>
      <c r="L82" s="373"/>
      <c r="M82" s="370"/>
      <c r="N82" s="370"/>
      <c r="O82" s="74"/>
      <c r="P82" s="1182"/>
      <c r="Q82" s="1179"/>
      <c r="R82" s="1185"/>
      <c r="S82" s="1179"/>
      <c r="T82" s="374"/>
      <c r="U82" s="375"/>
      <c r="V82" s="374"/>
      <c r="W82" s="375"/>
      <c r="X82" s="374"/>
      <c r="Y82" s="375"/>
      <c r="Z82" s="374"/>
      <c r="AA82" s="375"/>
      <c r="AB82" s="374"/>
      <c r="AC82" s="375"/>
      <c r="AE82" s="1182"/>
      <c r="AF82" s="1198"/>
      <c r="AG82" s="1185"/>
      <c r="AH82" s="1179"/>
      <c r="AI82" s="374"/>
      <c r="AJ82" s="375"/>
      <c r="AK82" s="374"/>
      <c r="AL82" s="375"/>
      <c r="AM82" s="374"/>
      <c r="AN82" s="375"/>
      <c r="AO82" s="374"/>
      <c r="AP82" s="375"/>
      <c r="AQ82" s="374"/>
      <c r="AR82" s="375"/>
    </row>
    <row r="83" spans="2:44" ht="15" customHeight="1" outlineLevel="1">
      <c r="B83" s="500"/>
      <c r="C83" s="501"/>
      <c r="D83" s="501"/>
      <c r="E83" s="502"/>
      <c r="F83" s="501"/>
      <c r="G83" s="501"/>
      <c r="H83" s="501"/>
      <c r="I83" s="501"/>
      <c r="J83" s="501"/>
      <c r="K83" s="503"/>
      <c r="L83" s="504"/>
      <c r="M83" s="370"/>
      <c r="N83" s="370"/>
      <c r="P83" s="1148"/>
      <c r="Q83" s="1154"/>
      <c r="R83" s="381"/>
      <c r="S83" s="382"/>
      <c r="T83" s="1137"/>
      <c r="U83" s="1151"/>
      <c r="V83" s="1137"/>
      <c r="W83" s="1151"/>
      <c r="X83" s="1137"/>
      <c r="Y83" s="1151"/>
      <c r="Z83" s="1137"/>
      <c r="AA83" s="1151"/>
      <c r="AB83" s="1137"/>
      <c r="AC83" s="1151"/>
      <c r="AE83" s="1148"/>
      <c r="AF83" s="1154"/>
      <c r="AG83" s="381"/>
      <c r="AH83" s="382"/>
      <c r="AI83" s="1137"/>
      <c r="AJ83" s="1151"/>
      <c r="AK83" s="1137"/>
      <c r="AL83" s="1151"/>
      <c r="AM83" s="1137"/>
      <c r="AN83" s="1151"/>
      <c r="AO83" s="1137"/>
      <c r="AP83" s="1151"/>
      <c r="AQ83" s="1137"/>
      <c r="AR83" s="1151"/>
    </row>
    <row r="84" spans="2:44" outlineLevel="1">
      <c r="B84" s="383"/>
      <c r="C84" s="384"/>
      <c r="D84" s="384"/>
      <c r="E84" s="384"/>
      <c r="F84" s="384"/>
      <c r="G84" s="505"/>
      <c r="H84" s="505"/>
      <c r="I84" s="505"/>
      <c r="J84" s="505"/>
      <c r="K84" s="372"/>
      <c r="L84" s="373"/>
      <c r="M84" s="370"/>
      <c r="N84" s="370"/>
      <c r="O84" s="71"/>
      <c r="P84" s="1195"/>
      <c r="Q84" s="1155"/>
      <c r="R84" s="388"/>
      <c r="S84" s="389"/>
      <c r="T84" s="1140"/>
      <c r="U84" s="1152"/>
      <c r="V84" s="1140"/>
      <c r="W84" s="1152"/>
      <c r="X84" s="1140"/>
      <c r="Y84" s="1152"/>
      <c r="Z84" s="1140"/>
      <c r="AA84" s="1152"/>
      <c r="AB84" s="1140"/>
      <c r="AC84" s="1152"/>
      <c r="AE84" s="1195"/>
      <c r="AF84" s="1155"/>
      <c r="AG84" s="388"/>
      <c r="AH84" s="389"/>
      <c r="AI84" s="1140"/>
      <c r="AJ84" s="1152"/>
      <c r="AK84" s="1140"/>
      <c r="AL84" s="1152"/>
      <c r="AM84" s="1140"/>
      <c r="AN84" s="1152"/>
      <c r="AO84" s="1140"/>
      <c r="AP84" s="1152"/>
      <c r="AQ84" s="1140"/>
      <c r="AR84" s="1152"/>
    </row>
    <row r="85" spans="2:44" ht="16" outlineLevel="1" thickBot="1">
      <c r="B85" s="500"/>
      <c r="C85" s="506"/>
      <c r="D85" s="507"/>
      <c r="E85" s="507"/>
      <c r="F85" s="508"/>
      <c r="G85" s="507"/>
      <c r="H85" s="507"/>
      <c r="I85" s="507"/>
      <c r="J85" s="507"/>
      <c r="K85" s="503"/>
      <c r="L85" s="504"/>
      <c r="M85" s="370"/>
      <c r="N85" s="370"/>
      <c r="O85" s="71"/>
      <c r="P85" s="1195"/>
      <c r="Q85" s="1156"/>
      <c r="R85" s="393"/>
      <c r="S85" s="394"/>
      <c r="T85" s="1141"/>
      <c r="U85" s="1153"/>
      <c r="V85" s="1141"/>
      <c r="W85" s="1153"/>
      <c r="X85" s="1141"/>
      <c r="Y85" s="1153"/>
      <c r="Z85" s="1141"/>
      <c r="AA85" s="1153"/>
      <c r="AB85" s="1141"/>
      <c r="AC85" s="1153"/>
      <c r="AE85" s="1195"/>
      <c r="AF85" s="1156"/>
      <c r="AG85" s="393"/>
      <c r="AH85" s="394"/>
      <c r="AI85" s="1141"/>
      <c r="AJ85" s="1153"/>
      <c r="AK85" s="1141"/>
      <c r="AL85" s="1153"/>
      <c r="AM85" s="1141"/>
      <c r="AN85" s="1153"/>
      <c r="AO85" s="1141"/>
      <c r="AP85" s="1153"/>
      <c r="AQ85" s="1141"/>
      <c r="AR85" s="1153"/>
    </row>
    <row r="86" spans="2:44" ht="15" customHeight="1" outlineLevel="1">
      <c r="B86" s="500"/>
      <c r="C86" s="506"/>
      <c r="D86" s="506"/>
      <c r="E86" s="506"/>
      <c r="F86" s="506"/>
      <c r="G86" s="506"/>
      <c r="H86" s="506"/>
      <c r="I86" s="506"/>
      <c r="J86" s="506"/>
      <c r="K86" s="503"/>
      <c r="L86" s="504"/>
      <c r="M86" s="370"/>
      <c r="N86" s="370"/>
      <c r="O86" s="71"/>
      <c r="P86" s="1195"/>
      <c r="Q86" s="1154"/>
      <c r="R86" s="395"/>
      <c r="S86" s="396"/>
      <c r="T86" s="1137"/>
      <c r="U86" s="1137"/>
      <c r="V86" s="1137"/>
      <c r="W86" s="1137"/>
      <c r="X86" s="1137"/>
      <c r="Y86" s="1137"/>
      <c r="Z86" s="1137"/>
      <c r="AA86" s="1137"/>
      <c r="AB86" s="1137"/>
      <c r="AC86" s="1137"/>
      <c r="AE86" s="1195"/>
      <c r="AF86" s="1154"/>
      <c r="AG86" s="395"/>
      <c r="AH86" s="396"/>
      <c r="AI86" s="1137"/>
      <c r="AJ86" s="1137"/>
      <c r="AK86" s="1137"/>
      <c r="AL86" s="1137"/>
      <c r="AM86" s="1137"/>
      <c r="AN86" s="1137"/>
      <c r="AO86" s="1137"/>
      <c r="AP86" s="1137"/>
      <c r="AQ86" s="1137"/>
      <c r="AR86" s="1137"/>
    </row>
    <row r="87" spans="2:44" outlineLevel="1">
      <c r="B87" s="500"/>
      <c r="C87" s="506"/>
      <c r="D87" s="506"/>
      <c r="E87" s="506"/>
      <c r="F87" s="506"/>
      <c r="G87" s="506"/>
      <c r="H87" s="506"/>
      <c r="I87" s="506"/>
      <c r="J87" s="506"/>
      <c r="K87" s="503"/>
      <c r="L87" s="504"/>
      <c r="M87" s="367"/>
      <c r="N87" s="367"/>
      <c r="O87" s="71"/>
      <c r="P87" s="1195"/>
      <c r="Q87" s="1155"/>
      <c r="R87" s="395"/>
      <c r="S87" s="396"/>
      <c r="T87" s="1138"/>
      <c r="U87" s="1138"/>
      <c r="V87" s="1138"/>
      <c r="W87" s="1138"/>
      <c r="X87" s="1138"/>
      <c r="Y87" s="1138"/>
      <c r="Z87" s="1138"/>
      <c r="AA87" s="1138"/>
      <c r="AB87" s="1138"/>
      <c r="AC87" s="1138"/>
      <c r="AE87" s="1195"/>
      <c r="AF87" s="1155"/>
      <c r="AG87" s="395"/>
      <c r="AH87" s="396"/>
      <c r="AI87" s="1138"/>
      <c r="AJ87" s="1138"/>
      <c r="AK87" s="1138"/>
      <c r="AL87" s="1138"/>
      <c r="AM87" s="1138"/>
      <c r="AN87" s="1138"/>
      <c r="AO87" s="1138"/>
      <c r="AP87" s="1138"/>
      <c r="AQ87" s="1138"/>
      <c r="AR87" s="1138"/>
    </row>
    <row r="88" spans="2:44" outlineLevel="1">
      <c r="B88" s="383"/>
      <c r="C88" s="397"/>
      <c r="D88" s="397"/>
      <c r="E88" s="397"/>
      <c r="F88" s="397"/>
      <c r="G88" s="399"/>
      <c r="H88" s="399"/>
      <c r="I88" s="399"/>
      <c r="J88" s="399"/>
      <c r="K88" s="372"/>
      <c r="L88" s="373"/>
      <c r="M88" s="363"/>
      <c r="N88" s="363"/>
      <c r="P88" s="1195"/>
      <c r="Q88" s="1155"/>
      <c r="R88" s="395"/>
      <c r="S88" s="396"/>
      <c r="T88" s="1138"/>
      <c r="U88" s="1138"/>
      <c r="V88" s="1138"/>
      <c r="W88" s="1138"/>
      <c r="X88" s="1138"/>
      <c r="Y88" s="1138"/>
      <c r="Z88" s="1138"/>
      <c r="AA88" s="1138"/>
      <c r="AB88" s="1138"/>
      <c r="AC88" s="1138"/>
      <c r="AE88" s="1195"/>
      <c r="AF88" s="1155"/>
      <c r="AG88" s="395"/>
      <c r="AH88" s="396"/>
      <c r="AI88" s="1138"/>
      <c r="AJ88" s="1138"/>
      <c r="AK88" s="1138"/>
      <c r="AL88" s="1138"/>
      <c r="AM88" s="1138"/>
      <c r="AN88" s="1138"/>
      <c r="AO88" s="1138"/>
      <c r="AP88" s="1138"/>
      <c r="AQ88" s="1138"/>
      <c r="AR88" s="1138"/>
    </row>
    <row r="89" spans="2:44" ht="16" outlineLevel="1" thickBot="1">
      <c r="B89" s="500"/>
      <c r="C89" s="506"/>
      <c r="D89" s="506"/>
      <c r="E89" s="506"/>
      <c r="F89" s="506"/>
      <c r="G89" s="506"/>
      <c r="H89" s="506"/>
      <c r="I89" s="506"/>
      <c r="J89" s="506"/>
      <c r="K89" s="372"/>
      <c r="L89" s="400"/>
      <c r="M89" s="363"/>
      <c r="N89" s="363"/>
      <c r="P89" s="1195"/>
      <c r="Q89" s="1155"/>
      <c r="R89" s="395"/>
      <c r="S89" s="396"/>
      <c r="T89" s="1138"/>
      <c r="U89" s="1138"/>
      <c r="V89" s="1138"/>
      <c r="W89" s="1138"/>
      <c r="X89" s="1138"/>
      <c r="Y89" s="1138"/>
      <c r="Z89" s="1138"/>
      <c r="AA89" s="1138"/>
      <c r="AB89" s="1138"/>
      <c r="AC89" s="1138"/>
      <c r="AE89" s="1195"/>
      <c r="AF89" s="1155"/>
      <c r="AG89" s="395"/>
      <c r="AH89" s="396"/>
      <c r="AI89" s="1138"/>
      <c r="AJ89" s="1138"/>
      <c r="AK89" s="1138"/>
      <c r="AL89" s="1138"/>
      <c r="AM89" s="1138"/>
      <c r="AN89" s="1138"/>
      <c r="AO89" s="1138"/>
      <c r="AP89" s="1138"/>
      <c r="AQ89" s="1138"/>
      <c r="AR89" s="1138"/>
    </row>
    <row r="90" spans="2:44" ht="16" outlineLevel="1" thickBot="1">
      <c r="B90" s="401"/>
      <c r="C90" s="402"/>
      <c r="D90" s="403"/>
      <c r="E90" s="404"/>
      <c r="F90" s="405"/>
      <c r="G90" s="406"/>
      <c r="H90" s="406"/>
      <c r="I90" s="406"/>
      <c r="J90" s="406"/>
      <c r="K90" s="407"/>
      <c r="L90" s="408"/>
      <c r="M90" s="363"/>
      <c r="N90" s="363"/>
      <c r="P90" s="1195"/>
      <c r="Q90" s="1155"/>
      <c r="R90" s="409"/>
      <c r="S90" s="410"/>
      <c r="T90" s="1139"/>
      <c r="U90" s="1139"/>
      <c r="V90" s="1139"/>
      <c r="W90" s="1139"/>
      <c r="X90" s="1139"/>
      <c r="Y90" s="1139"/>
      <c r="Z90" s="1139"/>
      <c r="AA90" s="1139"/>
      <c r="AB90" s="1139"/>
      <c r="AC90" s="1139"/>
      <c r="AE90" s="1195"/>
      <c r="AF90" s="1155"/>
      <c r="AG90" s="409"/>
      <c r="AH90" s="410"/>
      <c r="AI90" s="1139"/>
      <c r="AJ90" s="1139"/>
      <c r="AK90" s="1139"/>
      <c r="AL90" s="1139"/>
      <c r="AM90" s="1139"/>
      <c r="AN90" s="1139"/>
      <c r="AO90" s="1139"/>
      <c r="AP90" s="1139"/>
      <c r="AQ90" s="1139"/>
      <c r="AR90" s="1139"/>
    </row>
    <row r="91" spans="2:44" ht="16" outlineLevel="1" thickBot="1">
      <c r="B91" s="500"/>
      <c r="C91" s="506"/>
      <c r="D91" s="506"/>
      <c r="E91" s="506"/>
      <c r="F91" s="506"/>
      <c r="G91" s="507"/>
      <c r="H91" s="507"/>
      <c r="I91" s="507"/>
      <c r="J91" s="507"/>
      <c r="K91" s="503"/>
      <c r="L91" s="504"/>
      <c r="M91" s="363"/>
      <c r="N91" s="363"/>
      <c r="P91" s="1196"/>
      <c r="Q91" s="411"/>
      <c r="R91" s="412"/>
      <c r="S91" s="413"/>
      <c r="T91" s="414"/>
      <c r="U91" s="415"/>
      <c r="V91" s="416"/>
      <c r="W91" s="415"/>
      <c r="X91" s="416"/>
      <c r="Y91" s="415"/>
      <c r="Z91" s="416"/>
      <c r="AA91" s="415"/>
      <c r="AB91" s="416"/>
      <c r="AC91" s="417"/>
      <c r="AE91" s="1196"/>
      <c r="AF91" s="411"/>
      <c r="AG91" s="412"/>
      <c r="AH91" s="413"/>
      <c r="AI91" s="414"/>
      <c r="AJ91" s="415"/>
      <c r="AK91" s="414"/>
      <c r="AL91" s="415"/>
      <c r="AM91" s="414"/>
      <c r="AN91" s="415"/>
      <c r="AO91" s="414"/>
      <c r="AP91" s="415"/>
      <c r="AQ91" s="414"/>
      <c r="AR91" s="417"/>
    </row>
    <row r="92" spans="2:44" outlineLevel="1">
      <c r="B92" s="500"/>
      <c r="C92" s="506"/>
      <c r="D92" s="506"/>
      <c r="E92" s="506"/>
      <c r="F92" s="506"/>
      <c r="G92" s="509"/>
      <c r="H92" s="509"/>
      <c r="I92" s="509"/>
      <c r="J92" s="509"/>
      <c r="K92" s="510"/>
      <c r="L92" s="504"/>
      <c r="M92" s="363"/>
      <c r="N92" s="363"/>
    </row>
    <row r="93" spans="2:44" outlineLevel="1">
      <c r="B93" s="500"/>
      <c r="C93" s="506"/>
      <c r="D93" s="506"/>
      <c r="E93" s="506"/>
      <c r="F93" s="506"/>
      <c r="G93" s="509"/>
      <c r="H93" s="509"/>
      <c r="I93" s="509"/>
      <c r="J93" s="509"/>
      <c r="K93" s="510"/>
      <c r="L93" s="504"/>
      <c r="M93" s="420"/>
      <c r="N93" s="363"/>
    </row>
    <row r="94" spans="2:44" outlineLevel="1">
      <c r="B94" s="421"/>
      <c r="C94" s="399"/>
      <c r="D94" s="399"/>
      <c r="E94" s="399"/>
      <c r="F94" s="399"/>
      <c r="G94" s="422"/>
      <c r="H94" s="422"/>
      <c r="I94" s="422"/>
      <c r="J94" s="422"/>
      <c r="K94" s="423"/>
      <c r="L94" s="424"/>
      <c r="M94" s="420"/>
      <c r="N94" s="420"/>
    </row>
    <row r="95" spans="2:44" outlineLevel="1">
      <c r="B95" s="383"/>
      <c r="C95" s="397"/>
      <c r="D95" s="397"/>
      <c r="E95" s="397"/>
      <c r="F95" s="397"/>
      <c r="G95" s="422"/>
      <c r="H95" s="425"/>
      <c r="I95" s="425"/>
      <c r="J95" s="425"/>
      <c r="K95" s="426"/>
      <c r="L95" s="427"/>
      <c r="M95" s="428"/>
      <c r="N95" s="428"/>
    </row>
    <row r="96" spans="2:44" outlineLevel="1">
      <c r="B96" s="383"/>
      <c r="C96" s="397"/>
      <c r="D96" s="397"/>
      <c r="E96" s="397"/>
      <c r="F96" s="397"/>
      <c r="G96" s="425"/>
      <c r="H96" s="425"/>
      <c r="I96" s="425"/>
      <c r="J96" s="425"/>
      <c r="K96" s="423"/>
      <c r="L96" s="427"/>
      <c r="M96" s="428"/>
      <c r="N96" s="428"/>
    </row>
    <row r="97" spans="1:30" outlineLevel="1">
      <c r="B97" s="383"/>
      <c r="C97" s="397"/>
      <c r="D97" s="397"/>
      <c r="E97" s="397"/>
      <c r="F97" s="397"/>
      <c r="G97" s="425"/>
      <c r="H97" s="425"/>
      <c r="I97" s="425"/>
      <c r="J97" s="425"/>
      <c r="K97" s="423"/>
      <c r="L97" s="427"/>
      <c r="M97" s="428"/>
      <c r="N97" s="428"/>
    </row>
    <row r="98" spans="1:30" outlineLevel="1">
      <c r="B98" s="383"/>
      <c r="C98" s="397"/>
      <c r="D98" s="397"/>
      <c r="E98" s="397"/>
      <c r="F98" s="397"/>
      <c r="G98" s="425"/>
      <c r="H98" s="425"/>
      <c r="I98" s="425"/>
      <c r="J98" s="425"/>
      <c r="K98" s="423"/>
      <c r="L98" s="427"/>
      <c r="M98" s="428"/>
      <c r="N98" s="428"/>
    </row>
    <row r="99" spans="1:30" ht="16" outlineLevel="1" thickBot="1">
      <c r="B99" s="429"/>
      <c r="C99" s="430"/>
      <c r="D99" s="430"/>
      <c r="E99" s="430"/>
      <c r="F99" s="430"/>
      <c r="G99" s="425"/>
      <c r="H99" s="425"/>
      <c r="I99" s="425"/>
      <c r="J99" s="425"/>
      <c r="K99" s="423"/>
      <c r="L99" s="427"/>
      <c r="M99" s="428"/>
      <c r="N99" s="428"/>
    </row>
    <row r="100" spans="1:30" ht="16" outlineLevel="1" thickBot="1">
      <c r="B100" s="431"/>
      <c r="C100" s="432"/>
      <c r="D100" s="403"/>
      <c r="E100" s="403"/>
      <c r="F100" s="433"/>
      <c r="G100" s="434"/>
      <c r="H100" s="406"/>
      <c r="I100" s="406"/>
      <c r="J100" s="406"/>
      <c r="K100" s="407"/>
      <c r="L100" s="408"/>
      <c r="M100" s="428"/>
      <c r="N100" s="428"/>
    </row>
    <row r="101" spans="1:30" outlineLevel="1">
      <c r="A101" s="435"/>
      <c r="B101" s="436"/>
      <c r="C101" s="511"/>
      <c r="D101" s="512"/>
      <c r="E101" s="512"/>
      <c r="F101" s="513"/>
      <c r="G101" s="425"/>
      <c r="H101" s="425"/>
      <c r="I101" s="425"/>
      <c r="J101" s="425"/>
      <c r="K101" s="426"/>
      <c r="L101" s="440"/>
      <c r="M101" s="420"/>
      <c r="N101" s="420"/>
    </row>
    <row r="102" spans="1:30" outlineLevel="1">
      <c r="B102" s="441"/>
      <c r="C102" s="442"/>
      <c r="D102" s="442"/>
      <c r="E102" s="442"/>
      <c r="F102" s="442"/>
      <c r="G102" s="425"/>
      <c r="H102" s="425"/>
      <c r="I102" s="425"/>
      <c r="J102" s="425"/>
      <c r="K102" s="444"/>
      <c r="L102" s="373"/>
      <c r="M102" s="71"/>
      <c r="N102" s="420"/>
    </row>
    <row r="103" spans="1:30" outlineLevel="1">
      <c r="B103" s="441"/>
      <c r="C103" s="442"/>
      <c r="D103" s="442"/>
      <c r="E103" s="442"/>
      <c r="F103" s="442"/>
      <c r="G103" s="425"/>
      <c r="H103" s="425"/>
      <c r="I103" s="425"/>
      <c r="J103" s="425"/>
      <c r="K103" s="444"/>
      <c r="L103" s="373"/>
      <c r="M103" s="420"/>
      <c r="N103" s="420"/>
    </row>
    <row r="104" spans="1:30" outlineLevel="1">
      <c r="B104" s="383"/>
      <c r="C104" s="445"/>
      <c r="D104" s="446"/>
      <c r="E104" s="446"/>
      <c r="F104" s="447"/>
      <c r="G104" s="425"/>
      <c r="H104" s="425"/>
      <c r="I104" s="425"/>
      <c r="J104" s="425"/>
      <c r="K104" s="448"/>
      <c r="L104" s="373"/>
      <c r="M104" s="420"/>
      <c r="N104" s="420"/>
    </row>
    <row r="105" spans="1:30" outlineLevel="1">
      <c r="B105" s="383"/>
      <c r="C105" s="449"/>
      <c r="D105" s="449"/>
      <c r="E105" s="449"/>
      <c r="F105" s="449"/>
      <c r="G105" s="425"/>
      <c r="H105" s="425"/>
      <c r="I105" s="425"/>
      <c r="J105" s="425"/>
      <c r="K105" s="448"/>
      <c r="L105" s="373"/>
      <c r="M105" s="450"/>
      <c r="N105" s="361"/>
      <c r="P105" s="1142"/>
      <c r="Q105" s="1143"/>
      <c r="R105" s="1143"/>
      <c r="S105" s="1143"/>
      <c r="T105" s="1143"/>
      <c r="U105" s="1144"/>
    </row>
    <row r="106" spans="1:30" ht="16" outlineLevel="1" thickBot="1">
      <c r="B106" s="500"/>
      <c r="C106" s="514"/>
      <c r="D106" s="514"/>
      <c r="E106" s="514"/>
      <c r="F106" s="514"/>
      <c r="G106" s="515"/>
      <c r="H106" s="515"/>
      <c r="I106" s="515"/>
      <c r="J106" s="515"/>
      <c r="K106" s="503"/>
      <c r="L106" s="504"/>
      <c r="M106" s="450"/>
      <c r="N106" s="361"/>
      <c r="P106" s="1134"/>
      <c r="Q106" s="1135"/>
      <c r="R106" s="1135"/>
      <c r="S106" s="1135"/>
      <c r="T106" s="1135"/>
      <c r="U106" s="1136"/>
    </row>
    <row r="107" spans="1:30" outlineLevel="1">
      <c r="B107" s="500"/>
      <c r="C107" s="516"/>
      <c r="D107" s="516"/>
      <c r="E107" s="516"/>
      <c r="F107" s="516"/>
      <c r="G107" s="515"/>
      <c r="H107" s="515"/>
      <c r="I107" s="515"/>
      <c r="J107" s="515"/>
      <c r="K107" s="517"/>
      <c r="L107" s="504"/>
      <c r="M107" s="363"/>
      <c r="N107" s="363"/>
      <c r="P107" s="53"/>
    </row>
    <row r="108" spans="1:30" outlineLevel="1">
      <c r="B108" s="441"/>
      <c r="C108" s="518"/>
      <c r="D108" s="518"/>
      <c r="E108" s="518"/>
      <c r="F108" s="518"/>
      <c r="G108" s="425"/>
      <c r="H108" s="425"/>
      <c r="I108" s="425"/>
      <c r="J108" s="425"/>
      <c r="K108" s="444"/>
      <c r="L108" s="424"/>
      <c r="M108" s="367"/>
      <c r="N108" s="367"/>
      <c r="P108" s="46"/>
      <c r="Q108" s="46"/>
      <c r="R108" s="47"/>
      <c r="S108" s="47"/>
      <c r="T108" s="47"/>
      <c r="U108" s="48"/>
      <c r="V108" s="49"/>
      <c r="W108" s="49"/>
      <c r="X108" s="49"/>
      <c r="Y108" s="49"/>
      <c r="Z108" s="49"/>
      <c r="AA108" s="49"/>
      <c r="AB108" s="49"/>
      <c r="AC108" s="49"/>
      <c r="AD108" s="49"/>
    </row>
    <row r="109" spans="1:30" ht="16" outlineLevel="1" thickBot="1">
      <c r="B109" s="519"/>
      <c r="C109" s="442"/>
      <c r="D109" s="520"/>
      <c r="E109" s="520"/>
      <c r="F109" s="521"/>
      <c r="G109" s="425"/>
      <c r="H109" s="425"/>
      <c r="I109" s="425"/>
      <c r="J109" s="425"/>
      <c r="K109" s="448"/>
      <c r="L109" s="424"/>
      <c r="M109" s="363"/>
      <c r="N109" s="363"/>
      <c r="P109" s="50"/>
      <c r="Q109" s="50"/>
      <c r="R109" s="51"/>
      <c r="S109" s="51"/>
      <c r="T109" s="51"/>
      <c r="U109" s="51"/>
      <c r="V109" s="50"/>
      <c r="W109" s="50"/>
      <c r="X109" s="50"/>
      <c r="Y109" s="50"/>
      <c r="Z109" s="50"/>
      <c r="AA109" s="50"/>
      <c r="AB109" s="50"/>
      <c r="AC109" s="50"/>
      <c r="AD109" s="50"/>
    </row>
    <row r="110" spans="1:30" ht="16" outlineLevel="1" thickBot="1">
      <c r="B110" s="401"/>
      <c r="C110" s="402"/>
      <c r="D110" s="403"/>
      <c r="E110" s="404"/>
      <c r="F110" s="405"/>
      <c r="G110" s="406"/>
      <c r="H110" s="406"/>
      <c r="I110" s="406"/>
      <c r="J110" s="406"/>
      <c r="K110" s="459"/>
      <c r="L110" s="460"/>
      <c r="M110" s="363"/>
      <c r="N110" s="363"/>
      <c r="O110" s="461"/>
      <c r="P110" s="56"/>
      <c r="Q110" s="56"/>
      <c r="R110" s="57"/>
      <c r="S110" s="57"/>
      <c r="T110" s="57"/>
      <c r="U110" s="56"/>
      <c r="V110" s="56"/>
      <c r="W110" s="56"/>
      <c r="X110" s="56"/>
      <c r="Y110" s="56"/>
      <c r="Z110" s="56"/>
      <c r="AA110" s="56"/>
      <c r="AB110" s="56"/>
      <c r="AC110" s="56"/>
      <c r="AD110" s="56"/>
    </row>
    <row r="111" spans="1:30" outlineLevel="1">
      <c r="B111" s="522"/>
      <c r="C111" s="523"/>
      <c r="D111" s="523"/>
      <c r="E111" s="523"/>
      <c r="F111" s="523"/>
      <c r="G111" s="524"/>
      <c r="H111" s="524"/>
      <c r="I111" s="524"/>
      <c r="J111" s="524"/>
      <c r="K111" s="524"/>
      <c r="L111" s="525"/>
      <c r="M111" s="363"/>
      <c r="N111" s="363"/>
      <c r="O111" s="465"/>
      <c r="P111" s="466"/>
      <c r="Q111" s="58"/>
      <c r="R111" s="466"/>
      <c r="S111" s="58"/>
      <c r="T111" s="466"/>
      <c r="U111" s="467"/>
      <c r="V111" s="467"/>
      <c r="W111" s="467"/>
      <c r="X111" s="58"/>
      <c r="Y111" s="58"/>
      <c r="Z111" s="466"/>
      <c r="AA111" s="468"/>
      <c r="AB111" s="468"/>
      <c r="AC111" s="468"/>
      <c r="AD111" s="468"/>
    </row>
    <row r="112" spans="1:30" outlineLevel="1">
      <c r="B112" s="500"/>
      <c r="C112" s="526"/>
      <c r="D112" s="527"/>
      <c r="E112" s="527"/>
      <c r="F112" s="528"/>
      <c r="G112" s="528"/>
      <c r="H112" s="528"/>
      <c r="I112" s="528"/>
      <c r="J112" s="528"/>
      <c r="K112" s="529"/>
      <c r="L112" s="525"/>
      <c r="M112" s="363"/>
      <c r="N112" s="363"/>
      <c r="O112" s="465"/>
      <c r="P112" s="466"/>
      <c r="Q112" s="58"/>
      <c r="R112" s="466"/>
      <c r="S112" s="58"/>
      <c r="T112" s="466"/>
      <c r="U112" s="467"/>
      <c r="V112" s="467"/>
      <c r="W112" s="467"/>
      <c r="X112" s="58"/>
      <c r="Y112" s="58"/>
      <c r="Z112" s="466"/>
      <c r="AA112" s="468"/>
      <c r="AB112" s="468"/>
      <c r="AC112" s="468"/>
      <c r="AD112" s="468"/>
    </row>
    <row r="113" spans="2:30" outlineLevel="1">
      <c r="B113" s="500"/>
      <c r="C113" s="526"/>
      <c r="D113" s="527"/>
      <c r="E113" s="527"/>
      <c r="F113" s="528"/>
      <c r="G113" s="515"/>
      <c r="H113" s="515"/>
      <c r="I113" s="515"/>
      <c r="J113" s="515"/>
      <c r="K113" s="515"/>
      <c r="L113" s="504"/>
      <c r="M113" s="363"/>
      <c r="N113" s="363"/>
      <c r="O113" s="465"/>
      <c r="P113" s="466"/>
      <c r="Q113" s="58"/>
      <c r="R113" s="466"/>
      <c r="S113" s="58"/>
      <c r="T113" s="466"/>
      <c r="U113" s="467"/>
      <c r="V113" s="467"/>
      <c r="W113" s="467"/>
      <c r="X113" s="58"/>
      <c r="Y113" s="58"/>
      <c r="Z113" s="466"/>
      <c r="AA113" s="468"/>
      <c r="AB113" s="468"/>
      <c r="AC113" s="468"/>
      <c r="AD113" s="468"/>
    </row>
    <row r="114" spans="2:30" outlineLevel="1">
      <c r="B114" s="500"/>
      <c r="C114" s="530"/>
      <c r="D114" s="530"/>
      <c r="E114" s="530"/>
      <c r="F114" s="530"/>
      <c r="G114" s="531"/>
      <c r="H114" s="531"/>
      <c r="I114" s="531"/>
      <c r="J114" s="531"/>
      <c r="K114" s="531"/>
      <c r="L114" s="504"/>
      <c r="M114" s="363"/>
      <c r="N114" s="363"/>
      <c r="O114" s="465"/>
      <c r="P114" s="466"/>
      <c r="Q114" s="58"/>
      <c r="R114" s="466"/>
      <c r="S114" s="58"/>
      <c r="T114" s="466"/>
      <c r="U114" s="467"/>
      <c r="V114" s="467"/>
      <c r="W114" s="467"/>
      <c r="X114" s="58"/>
      <c r="Y114" s="58"/>
      <c r="Z114" s="466"/>
      <c r="AA114" s="468"/>
      <c r="AB114" s="468"/>
      <c r="AC114" s="468"/>
      <c r="AD114" s="468"/>
    </row>
    <row r="115" spans="2:30" outlineLevel="1">
      <c r="B115" s="532"/>
      <c r="C115" s="526"/>
      <c r="D115" s="527"/>
      <c r="E115" s="527"/>
      <c r="F115" s="528"/>
      <c r="G115" s="531"/>
      <c r="H115" s="531"/>
      <c r="I115" s="531"/>
      <c r="J115" s="531"/>
      <c r="K115" s="531"/>
      <c r="L115" s="533"/>
      <c r="M115" s="367"/>
      <c r="N115" s="367"/>
    </row>
    <row r="116" spans="2:30" outlineLevel="1">
      <c r="B116" s="532"/>
      <c r="C116" s="526"/>
      <c r="D116" s="527"/>
      <c r="E116" s="527"/>
      <c r="F116" s="528"/>
      <c r="G116" s="531"/>
      <c r="H116" s="531"/>
      <c r="I116" s="531"/>
      <c r="J116" s="531"/>
      <c r="K116" s="531"/>
      <c r="L116" s="533"/>
      <c r="M116" s="363"/>
      <c r="N116" s="363"/>
    </row>
    <row r="117" spans="2:30" ht="16" outlineLevel="1" thickBot="1">
      <c r="B117" s="534"/>
      <c r="C117" s="535"/>
      <c r="D117" s="536"/>
      <c r="E117" s="536"/>
      <c r="F117" s="537"/>
      <c r="G117" s="538"/>
      <c r="H117" s="538"/>
      <c r="I117" s="538"/>
      <c r="J117" s="538"/>
      <c r="K117" s="538"/>
      <c r="L117" s="539"/>
      <c r="M117" s="363"/>
      <c r="N117" s="363"/>
    </row>
    <row r="118" spans="2:30" outlineLevel="1">
      <c r="B118" s="461"/>
      <c r="C118" s="483"/>
      <c r="D118" s="483"/>
      <c r="E118" s="483"/>
      <c r="F118" s="483"/>
      <c r="G118" s="483"/>
      <c r="H118" s="484"/>
      <c r="I118" s="420"/>
      <c r="J118" s="420"/>
      <c r="K118" s="484"/>
      <c r="L118" s="484"/>
      <c r="N118" s="420"/>
    </row>
    <row r="119" spans="2:30" outlineLevel="1">
      <c r="B119" s="485"/>
      <c r="C119" s="486"/>
      <c r="D119" s="486"/>
      <c r="E119" s="486"/>
      <c r="F119" s="486"/>
      <c r="G119" s="486"/>
      <c r="H119" s="484"/>
      <c r="I119" s="71"/>
      <c r="J119" s="420"/>
      <c r="K119" s="484"/>
      <c r="L119" s="484"/>
      <c r="N119" s="420"/>
    </row>
    <row r="120" spans="2:30" outlineLevel="1">
      <c r="B120" s="461"/>
      <c r="C120" s="359"/>
      <c r="D120" s="359"/>
      <c r="E120" s="359"/>
      <c r="F120" s="359"/>
      <c r="G120" s="359"/>
      <c r="I120" s="420"/>
      <c r="J120" s="420"/>
      <c r="N120" s="420"/>
    </row>
    <row r="121" spans="2:30" outlineLevel="1">
      <c r="B121" s="461"/>
      <c r="C121" s="487"/>
      <c r="D121" s="487"/>
      <c r="E121" s="487"/>
      <c r="F121" s="487"/>
      <c r="G121" s="359"/>
      <c r="M121" s="420"/>
      <c r="N121" s="420"/>
    </row>
    <row r="122" spans="2:30" outlineLevel="1"/>
    <row r="123" spans="2:30" outlineLevel="1"/>
    <row r="124" spans="2:30" outlineLevel="1"/>
    <row r="125" spans="2:30" outlineLevel="1"/>
    <row r="126" spans="2:30" outlineLevel="1">
      <c r="B126" s="488"/>
      <c r="C126" s="489"/>
      <c r="D126" s="490"/>
      <c r="E126" s="490"/>
      <c r="F126" s="490"/>
    </row>
    <row r="127" spans="2:30" outlineLevel="1">
      <c r="B127" s="491"/>
      <c r="C127" s="492"/>
      <c r="E127" s="490"/>
      <c r="F127" s="490"/>
    </row>
    <row r="128" spans="2:30" outlineLevel="1">
      <c r="B128" s="491"/>
      <c r="C128" s="493"/>
      <c r="E128" s="490"/>
      <c r="F128" s="490"/>
    </row>
    <row r="129" spans="2:6" outlineLevel="1">
      <c r="B129" s="491"/>
      <c r="C129" s="493"/>
      <c r="E129" s="490"/>
      <c r="F129" s="490"/>
    </row>
    <row r="130" spans="2:6" outlineLevel="1">
      <c r="B130" s="491"/>
      <c r="C130" s="493"/>
      <c r="E130" s="490"/>
      <c r="F130" s="490"/>
    </row>
    <row r="131" spans="2:6" outlineLevel="1">
      <c r="B131" s="358"/>
      <c r="C131" s="494"/>
      <c r="D131" s="490"/>
      <c r="E131" s="490"/>
      <c r="F131" s="490"/>
    </row>
    <row r="132" spans="2:6" outlineLevel="1">
      <c r="B132" s="358"/>
      <c r="C132" s="492"/>
      <c r="D132" s="490"/>
      <c r="E132" s="490"/>
      <c r="F132" s="490"/>
    </row>
    <row r="133" spans="2:6" outlineLevel="1">
      <c r="B133" s="358"/>
      <c r="C133" s="495"/>
      <c r="D133" s="490"/>
      <c r="E133" s="490"/>
      <c r="F133" s="490"/>
    </row>
    <row r="134" spans="2:6" outlineLevel="1">
      <c r="B134" s="358"/>
      <c r="C134" s="495"/>
      <c r="D134" s="490"/>
      <c r="E134" s="490"/>
      <c r="F134" s="490"/>
    </row>
    <row r="135" spans="2:6" outlineLevel="1">
      <c r="B135" s="358"/>
      <c r="C135" s="489"/>
      <c r="D135" s="490"/>
      <c r="E135" s="490"/>
      <c r="F135" s="490"/>
    </row>
    <row r="136" spans="2:6" outlineLevel="1">
      <c r="B136" s="358"/>
      <c r="C136" s="490"/>
      <c r="D136" s="490"/>
      <c r="E136" s="490"/>
      <c r="F136" s="490"/>
    </row>
    <row r="137" spans="2:6" outlineLevel="1">
      <c r="B137" s="488"/>
      <c r="C137" s="489"/>
      <c r="D137" s="490"/>
      <c r="E137" s="490"/>
      <c r="F137" s="490"/>
    </row>
    <row r="138" spans="2:6" outlineLevel="1">
      <c r="B138" s="496"/>
      <c r="C138" s="497"/>
      <c r="E138" s="490"/>
      <c r="F138" s="490"/>
    </row>
    <row r="139" spans="2:6" outlineLevel="1">
      <c r="B139" s="496" t="s">
        <v>59</v>
      </c>
      <c r="C139" s="489" t="s">
        <v>785</v>
      </c>
      <c r="E139" s="490"/>
      <c r="F139" s="490"/>
    </row>
    <row r="140" spans="2:6" outlineLevel="1">
      <c r="B140" s="496" t="s">
        <v>16</v>
      </c>
      <c r="C140" s="489" t="s">
        <v>786</v>
      </c>
      <c r="E140" s="490"/>
      <c r="F140" s="490"/>
    </row>
    <row r="141" spans="2:6" outlineLevel="1">
      <c r="B141" s="496" t="s">
        <v>20</v>
      </c>
      <c r="C141" s="489" t="s">
        <v>787</v>
      </c>
      <c r="E141" s="490"/>
      <c r="F141" s="490"/>
    </row>
    <row r="142" spans="2:6" outlineLevel="1">
      <c r="B142" s="496" t="s">
        <v>76</v>
      </c>
      <c r="C142" s="498" t="s">
        <v>788</v>
      </c>
      <c r="E142" s="490"/>
      <c r="F142" s="490"/>
    </row>
    <row r="143" spans="2:6" outlineLevel="1">
      <c r="B143" s="496" t="s">
        <v>25</v>
      </c>
      <c r="C143" s="489" t="s">
        <v>789</v>
      </c>
      <c r="E143" s="490"/>
      <c r="F143" s="490"/>
    </row>
    <row r="144" spans="2:6" outlineLevel="1"/>
    <row r="145" spans="1:44" outlineLevel="1">
      <c r="M145" s="214"/>
    </row>
    <row r="146" spans="1:44" outlineLevel="1"/>
    <row r="149" spans="1:44">
      <c r="A149" s="360"/>
      <c r="B149" s="1207"/>
      <c r="C149" s="1143"/>
      <c r="D149" s="1143"/>
      <c r="E149" s="1143"/>
      <c r="F149" s="1143"/>
      <c r="G149" s="1143"/>
      <c r="H149" s="1143"/>
      <c r="I149" s="1143"/>
      <c r="J149" s="1143"/>
      <c r="K149" s="1143"/>
      <c r="L149" s="1143"/>
      <c r="M149" s="1143"/>
      <c r="N149" s="361"/>
      <c r="P149" s="1143"/>
      <c r="Q149" s="1143"/>
      <c r="R149" s="1143"/>
      <c r="S149" s="1143"/>
      <c r="T149" s="1143"/>
      <c r="U149" s="1143"/>
    </row>
    <row r="150" spans="1:44" ht="16" outlineLevel="1" thickBot="1">
      <c r="B150" s="1207"/>
      <c r="C150" s="1143"/>
      <c r="D150" s="1143"/>
      <c r="E150" s="1143"/>
      <c r="F150" s="1143"/>
      <c r="G150" s="1143"/>
      <c r="H150" s="1143"/>
      <c r="I150" s="1143"/>
      <c r="J150" s="1143"/>
      <c r="K150" s="1143"/>
      <c r="L150" s="1143"/>
      <c r="M150" s="1143"/>
      <c r="N150" s="361"/>
      <c r="P150" s="1143"/>
      <c r="Q150" s="1143"/>
      <c r="R150" s="1143"/>
      <c r="S150" s="1143"/>
      <c r="T150" s="1143"/>
      <c r="U150" s="1143"/>
    </row>
    <row r="151" spans="1:44" ht="20.5" customHeight="1" outlineLevel="1" thickBot="1">
      <c r="B151" s="362"/>
      <c r="C151" s="1186"/>
      <c r="D151" s="1205"/>
      <c r="E151" s="1205"/>
      <c r="F151" s="1205"/>
      <c r="G151" s="1205"/>
      <c r="H151" s="1205"/>
      <c r="I151" s="1205"/>
      <c r="J151" s="1205"/>
      <c r="K151" s="1205"/>
      <c r="L151" s="1206"/>
      <c r="M151" s="363"/>
      <c r="N151" s="363"/>
      <c r="P151" s="364"/>
      <c r="Q151" s="365"/>
      <c r="R151" s="366"/>
      <c r="S151" s="1176"/>
      <c r="T151" s="1160"/>
      <c r="U151" s="1161"/>
      <c r="V151" s="1160"/>
      <c r="W151" s="1161"/>
      <c r="X151" s="1160"/>
      <c r="Y151" s="1161"/>
      <c r="Z151" s="1160"/>
      <c r="AA151" s="1161"/>
      <c r="AB151" s="1160"/>
      <c r="AC151" s="1161"/>
      <c r="AE151" s="364"/>
      <c r="AF151" s="365"/>
      <c r="AG151" s="366"/>
      <c r="AH151" s="1176"/>
      <c r="AI151" s="1160"/>
      <c r="AJ151" s="1161"/>
      <c r="AK151" s="1160"/>
      <c r="AL151" s="1161"/>
      <c r="AM151" s="1160"/>
      <c r="AN151" s="1161"/>
      <c r="AO151" s="1160"/>
      <c r="AP151" s="1161"/>
      <c r="AQ151" s="1160"/>
      <c r="AR151" s="1161"/>
    </row>
    <row r="152" spans="1:44" ht="15" customHeight="1" outlineLevel="1" thickBot="1">
      <c r="B152" s="1164"/>
      <c r="C152" s="1166"/>
      <c r="D152" s="1166"/>
      <c r="E152" s="1166"/>
      <c r="F152" s="1166"/>
      <c r="G152" s="1221"/>
      <c r="H152" s="1222"/>
      <c r="I152" s="1221"/>
      <c r="J152" s="1222"/>
      <c r="K152" s="1189"/>
      <c r="L152" s="1189"/>
      <c r="M152" s="367"/>
      <c r="N152" s="367"/>
      <c r="P152" s="1180"/>
      <c r="Q152" s="368"/>
      <c r="R152" s="368"/>
      <c r="S152" s="1177"/>
      <c r="T152" s="1162"/>
      <c r="U152" s="1163"/>
      <c r="V152" s="1162"/>
      <c r="W152" s="1163"/>
      <c r="X152" s="1162"/>
      <c r="Y152" s="1163"/>
      <c r="Z152" s="1162"/>
      <c r="AA152" s="1163"/>
      <c r="AB152" s="1162"/>
      <c r="AC152" s="1163"/>
      <c r="AE152" s="1180"/>
      <c r="AF152" s="368"/>
      <c r="AG152" s="368"/>
      <c r="AH152" s="1177"/>
      <c r="AI152" s="1162"/>
      <c r="AJ152" s="1163"/>
      <c r="AK152" s="1162"/>
      <c r="AL152" s="1163"/>
      <c r="AM152" s="1162"/>
      <c r="AN152" s="1163"/>
      <c r="AO152" s="1162"/>
      <c r="AP152" s="1163"/>
      <c r="AQ152" s="1162"/>
      <c r="AR152" s="1163"/>
    </row>
    <row r="153" spans="1:44" ht="15" customHeight="1" outlineLevel="1" thickBot="1">
      <c r="B153" s="1165"/>
      <c r="C153" s="1167"/>
      <c r="D153" s="1167"/>
      <c r="E153" s="1167"/>
      <c r="F153" s="1167"/>
      <c r="G153" s="540"/>
      <c r="H153" s="540"/>
      <c r="I153" s="540"/>
      <c r="J153" s="540"/>
      <c r="K153" s="1190"/>
      <c r="L153" s="1190"/>
      <c r="M153" s="370"/>
      <c r="N153" s="370"/>
      <c r="P153" s="1181"/>
      <c r="Q153" s="1183"/>
      <c r="R153" s="1184"/>
      <c r="S153" s="1178"/>
      <c r="T153" s="1162"/>
      <c r="U153" s="1163"/>
      <c r="V153" s="1162"/>
      <c r="W153" s="1163"/>
      <c r="X153" s="1162"/>
      <c r="Y153" s="1163"/>
      <c r="Z153" s="1162"/>
      <c r="AA153" s="1163"/>
      <c r="AB153" s="1162"/>
      <c r="AC153" s="1163"/>
      <c r="AE153" s="1181"/>
      <c r="AF153" s="1197"/>
      <c r="AG153" s="1184"/>
      <c r="AH153" s="1178"/>
      <c r="AI153" s="1162"/>
      <c r="AJ153" s="1163"/>
      <c r="AK153" s="1162"/>
      <c r="AL153" s="1163"/>
      <c r="AM153" s="1162"/>
      <c r="AN153" s="1163"/>
      <c r="AO153" s="1162"/>
      <c r="AP153" s="1163"/>
      <c r="AQ153" s="1162"/>
      <c r="AR153" s="1163"/>
    </row>
    <row r="154" spans="1:44" ht="16" outlineLevel="1" thickBot="1">
      <c r="B154" s="371"/>
      <c r="C154" s="372"/>
      <c r="D154" s="372"/>
      <c r="E154" s="372"/>
      <c r="F154" s="372"/>
      <c r="G154" s="372"/>
      <c r="H154" s="372"/>
      <c r="I154" s="372"/>
      <c r="J154" s="372"/>
      <c r="K154" s="372"/>
      <c r="L154" s="373"/>
      <c r="M154" s="370"/>
      <c r="N154" s="370"/>
      <c r="O154" s="74"/>
      <c r="P154" s="1182"/>
      <c r="Q154" s="1179"/>
      <c r="R154" s="1185"/>
      <c r="S154" s="1179"/>
      <c r="T154" s="374"/>
      <c r="U154" s="375"/>
      <c r="V154" s="374"/>
      <c r="W154" s="375"/>
      <c r="X154" s="374"/>
      <c r="Y154" s="375"/>
      <c r="Z154" s="374"/>
      <c r="AA154" s="375"/>
      <c r="AB154" s="374"/>
      <c r="AC154" s="375"/>
      <c r="AE154" s="1182"/>
      <c r="AF154" s="1198"/>
      <c r="AG154" s="1185"/>
      <c r="AH154" s="1179"/>
      <c r="AI154" s="374"/>
      <c r="AJ154" s="375"/>
      <c r="AK154" s="374"/>
      <c r="AL154" s="375"/>
      <c r="AM154" s="374"/>
      <c r="AN154" s="375"/>
      <c r="AO154" s="374"/>
      <c r="AP154" s="375"/>
      <c r="AQ154" s="374"/>
      <c r="AR154" s="375"/>
    </row>
    <row r="155" spans="1:44" ht="14.5" customHeight="1" outlineLevel="1">
      <c r="B155" s="541"/>
      <c r="C155" s="542"/>
      <c r="D155" s="542"/>
      <c r="E155" s="543"/>
      <c r="F155" s="542"/>
      <c r="G155" s="542"/>
      <c r="H155" s="542"/>
      <c r="I155" s="542"/>
      <c r="J155" s="542"/>
      <c r="K155" s="372"/>
      <c r="L155" s="373"/>
      <c r="M155" s="370"/>
      <c r="N155" s="370"/>
      <c r="P155" s="1148"/>
      <c r="Q155" s="1154"/>
      <c r="R155" s="381"/>
      <c r="S155" s="382"/>
      <c r="T155" s="1137"/>
      <c r="U155" s="1151"/>
      <c r="V155" s="1137"/>
      <c r="W155" s="1151"/>
      <c r="X155" s="1137"/>
      <c r="Y155" s="1151"/>
      <c r="Z155" s="1137"/>
      <c r="AA155" s="1151"/>
      <c r="AB155" s="1137"/>
      <c r="AC155" s="1151"/>
      <c r="AE155" s="1148"/>
      <c r="AF155" s="1154"/>
      <c r="AG155" s="381"/>
      <c r="AH155" s="382"/>
      <c r="AI155" s="1137"/>
      <c r="AJ155" s="1151"/>
      <c r="AK155" s="1137"/>
      <c r="AL155" s="1151"/>
      <c r="AM155" s="1137"/>
      <c r="AN155" s="1151"/>
      <c r="AO155" s="1137"/>
      <c r="AP155" s="1151"/>
      <c r="AQ155" s="1137"/>
      <c r="AR155" s="1151"/>
    </row>
    <row r="156" spans="1:44" outlineLevel="1">
      <c r="B156" s="383"/>
      <c r="C156" s="384"/>
      <c r="D156" s="384"/>
      <c r="E156" s="384"/>
      <c r="F156" s="384"/>
      <c r="G156" s="505"/>
      <c r="H156" s="505"/>
      <c r="I156" s="505"/>
      <c r="J156" s="505"/>
      <c r="K156" s="372"/>
      <c r="L156" s="373"/>
      <c r="M156" s="370"/>
      <c r="N156" s="370"/>
      <c r="O156" s="71"/>
      <c r="P156" s="1195"/>
      <c r="Q156" s="1155"/>
      <c r="R156" s="388"/>
      <c r="S156" s="389"/>
      <c r="T156" s="1140"/>
      <c r="U156" s="1152"/>
      <c r="V156" s="1140"/>
      <c r="W156" s="1152"/>
      <c r="X156" s="1140"/>
      <c r="Y156" s="1152"/>
      <c r="Z156" s="1140"/>
      <c r="AA156" s="1152"/>
      <c r="AB156" s="1140"/>
      <c r="AC156" s="1152"/>
      <c r="AE156" s="1195"/>
      <c r="AF156" s="1155"/>
      <c r="AG156" s="388"/>
      <c r="AH156" s="389"/>
      <c r="AI156" s="1140"/>
      <c r="AJ156" s="1152"/>
      <c r="AK156" s="1140"/>
      <c r="AL156" s="1152"/>
      <c r="AM156" s="1140"/>
      <c r="AN156" s="1152"/>
      <c r="AO156" s="1140"/>
      <c r="AP156" s="1152"/>
      <c r="AQ156" s="1140"/>
      <c r="AR156" s="1152"/>
    </row>
    <row r="157" spans="1:44" ht="16" outlineLevel="1" thickBot="1">
      <c r="B157" s="541"/>
      <c r="C157" s="544"/>
      <c r="D157" s="545"/>
      <c r="E157" s="545"/>
      <c r="F157" s="546"/>
      <c r="G157" s="545"/>
      <c r="H157" s="545"/>
      <c r="I157" s="545"/>
      <c r="J157" s="545"/>
      <c r="K157" s="547"/>
      <c r="L157" s="548"/>
      <c r="M157" s="370"/>
      <c r="N157" s="370"/>
      <c r="O157" s="71"/>
      <c r="P157" s="1195"/>
      <c r="Q157" s="1156"/>
      <c r="R157" s="393"/>
      <c r="S157" s="394"/>
      <c r="T157" s="1141"/>
      <c r="U157" s="1153"/>
      <c r="V157" s="1141"/>
      <c r="W157" s="1153"/>
      <c r="X157" s="1141"/>
      <c r="Y157" s="1153"/>
      <c r="Z157" s="1141"/>
      <c r="AA157" s="1153"/>
      <c r="AB157" s="1141"/>
      <c r="AC157" s="1153"/>
      <c r="AE157" s="1195"/>
      <c r="AF157" s="1156"/>
      <c r="AG157" s="393"/>
      <c r="AH157" s="394"/>
      <c r="AI157" s="1141"/>
      <c r="AJ157" s="1153"/>
      <c r="AK157" s="1141"/>
      <c r="AL157" s="1153"/>
      <c r="AM157" s="1141"/>
      <c r="AN157" s="1153"/>
      <c r="AO157" s="1141"/>
      <c r="AP157" s="1153"/>
      <c r="AQ157" s="1141"/>
      <c r="AR157" s="1153"/>
    </row>
    <row r="158" spans="1:44" ht="14.5" customHeight="1" outlineLevel="1">
      <c r="B158" s="541"/>
      <c r="C158" s="544"/>
      <c r="D158" s="544"/>
      <c r="E158" s="544"/>
      <c r="F158" s="544"/>
      <c r="G158" s="544"/>
      <c r="H158" s="544"/>
      <c r="I158" s="544"/>
      <c r="J158" s="544"/>
      <c r="K158" s="547"/>
      <c r="L158" s="548"/>
      <c r="M158" s="370"/>
      <c r="N158" s="370"/>
      <c r="O158" s="71"/>
      <c r="P158" s="1195"/>
      <c r="Q158" s="1154"/>
      <c r="R158" s="395"/>
      <c r="S158" s="396"/>
      <c r="T158" s="1137"/>
      <c r="U158" s="1137"/>
      <c r="V158" s="1137"/>
      <c r="W158" s="1137"/>
      <c r="X158" s="1137"/>
      <c r="Y158" s="1137"/>
      <c r="Z158" s="1137"/>
      <c r="AA158" s="1137"/>
      <c r="AB158" s="1137"/>
      <c r="AC158" s="1137"/>
      <c r="AE158" s="1195"/>
      <c r="AF158" s="1154"/>
      <c r="AG158" s="395"/>
      <c r="AH158" s="396"/>
      <c r="AI158" s="1137"/>
      <c r="AJ158" s="1137"/>
      <c r="AK158" s="1137"/>
      <c r="AL158" s="1137"/>
      <c r="AM158" s="1137"/>
      <c r="AN158" s="1137"/>
      <c r="AO158" s="1137"/>
      <c r="AP158" s="1137"/>
      <c r="AQ158" s="1137"/>
      <c r="AR158" s="1137"/>
    </row>
    <row r="159" spans="1:44" outlineLevel="1">
      <c r="B159" s="541"/>
      <c r="C159" s="544"/>
      <c r="D159" s="544"/>
      <c r="E159" s="544"/>
      <c r="F159" s="544"/>
      <c r="G159" s="544"/>
      <c r="H159" s="544"/>
      <c r="I159" s="544"/>
      <c r="J159" s="544"/>
      <c r="K159" s="547"/>
      <c r="L159" s="548"/>
      <c r="M159" s="367"/>
      <c r="N159" s="367"/>
      <c r="O159" s="71"/>
      <c r="P159" s="1195"/>
      <c r="Q159" s="1155"/>
      <c r="R159" s="395"/>
      <c r="S159" s="396"/>
      <c r="T159" s="1138"/>
      <c r="U159" s="1138"/>
      <c r="V159" s="1138"/>
      <c r="W159" s="1138"/>
      <c r="X159" s="1138"/>
      <c r="Y159" s="1138"/>
      <c r="Z159" s="1138"/>
      <c r="AA159" s="1138"/>
      <c r="AB159" s="1138"/>
      <c r="AC159" s="1138"/>
      <c r="AE159" s="1195"/>
      <c r="AF159" s="1155"/>
      <c r="AG159" s="395"/>
      <c r="AH159" s="396"/>
      <c r="AI159" s="1138"/>
      <c r="AJ159" s="1138"/>
      <c r="AK159" s="1138"/>
      <c r="AL159" s="1138"/>
      <c r="AM159" s="1138"/>
      <c r="AN159" s="1138"/>
      <c r="AO159" s="1138"/>
      <c r="AP159" s="1138"/>
      <c r="AQ159" s="1138"/>
      <c r="AR159" s="1138"/>
    </row>
    <row r="160" spans="1:44" outlineLevel="1">
      <c r="B160" s="383"/>
      <c r="C160" s="397"/>
      <c r="D160" s="397"/>
      <c r="E160" s="397"/>
      <c r="F160" s="399"/>
      <c r="G160" s="399"/>
      <c r="H160" s="399"/>
      <c r="I160" s="399"/>
      <c r="J160" s="399"/>
      <c r="K160" s="372"/>
      <c r="L160" s="373"/>
      <c r="M160" s="363"/>
      <c r="N160" s="363"/>
      <c r="P160" s="1195"/>
      <c r="Q160" s="1155"/>
      <c r="R160" s="395"/>
      <c r="S160" s="396"/>
      <c r="T160" s="1138"/>
      <c r="U160" s="1138"/>
      <c r="V160" s="1138"/>
      <c r="W160" s="1138"/>
      <c r="X160" s="1138"/>
      <c r="Y160" s="1138"/>
      <c r="Z160" s="1138"/>
      <c r="AA160" s="1138"/>
      <c r="AB160" s="1138"/>
      <c r="AC160" s="1138"/>
      <c r="AE160" s="1195"/>
      <c r="AF160" s="1155"/>
      <c r="AG160" s="395"/>
      <c r="AH160" s="396"/>
      <c r="AI160" s="1138"/>
      <c r="AJ160" s="1138"/>
      <c r="AK160" s="1138"/>
      <c r="AL160" s="1138"/>
      <c r="AM160" s="1138"/>
      <c r="AN160" s="1138"/>
      <c r="AO160" s="1138"/>
      <c r="AP160" s="1138"/>
      <c r="AQ160" s="1138"/>
      <c r="AR160" s="1138"/>
    </row>
    <row r="161" spans="1:44" ht="16" outlineLevel="1" thickBot="1">
      <c r="B161" s="541"/>
      <c r="C161" s="544"/>
      <c r="D161" s="544"/>
      <c r="E161" s="544"/>
      <c r="F161" s="544"/>
      <c r="G161" s="544"/>
      <c r="H161" s="544"/>
      <c r="I161" s="544"/>
      <c r="J161" s="544"/>
      <c r="K161" s="372"/>
      <c r="L161" s="400"/>
      <c r="M161" s="363"/>
      <c r="N161" s="363"/>
      <c r="P161" s="1195"/>
      <c r="Q161" s="1155"/>
      <c r="R161" s="395"/>
      <c r="S161" s="396"/>
      <c r="T161" s="1138"/>
      <c r="U161" s="1138"/>
      <c r="V161" s="1138"/>
      <c r="W161" s="1138"/>
      <c r="X161" s="1138"/>
      <c r="Y161" s="1138"/>
      <c r="Z161" s="1138"/>
      <c r="AA161" s="1138"/>
      <c r="AB161" s="1138"/>
      <c r="AC161" s="1138"/>
      <c r="AE161" s="1195"/>
      <c r="AF161" s="1155"/>
      <c r="AG161" s="395"/>
      <c r="AH161" s="396"/>
      <c r="AI161" s="1138"/>
      <c r="AJ161" s="1138"/>
      <c r="AK161" s="1138"/>
      <c r="AL161" s="1138"/>
      <c r="AM161" s="1138"/>
      <c r="AN161" s="1138"/>
      <c r="AO161" s="1138"/>
      <c r="AP161" s="1138"/>
      <c r="AQ161" s="1138"/>
      <c r="AR161" s="1138"/>
    </row>
    <row r="162" spans="1:44" ht="16" outlineLevel="1" thickBot="1">
      <c r="B162" s="401"/>
      <c r="C162" s="402"/>
      <c r="D162" s="403"/>
      <c r="E162" s="404"/>
      <c r="F162" s="405"/>
      <c r="G162" s="406"/>
      <c r="H162" s="406"/>
      <c r="I162" s="406"/>
      <c r="J162" s="406"/>
      <c r="K162" s="407"/>
      <c r="L162" s="408"/>
      <c r="M162" s="363"/>
      <c r="N162" s="363"/>
      <c r="P162" s="1195"/>
      <c r="Q162" s="1155"/>
      <c r="R162" s="409"/>
      <c r="S162" s="410"/>
      <c r="T162" s="1139"/>
      <c r="U162" s="1139"/>
      <c r="V162" s="1139"/>
      <c r="W162" s="1139"/>
      <c r="X162" s="1139"/>
      <c r="Y162" s="1139"/>
      <c r="Z162" s="1139"/>
      <c r="AA162" s="1139"/>
      <c r="AB162" s="1139"/>
      <c r="AC162" s="1139"/>
      <c r="AE162" s="1195"/>
      <c r="AF162" s="1155"/>
      <c r="AG162" s="409"/>
      <c r="AH162" s="410"/>
      <c r="AI162" s="1139"/>
      <c r="AJ162" s="1139"/>
      <c r="AK162" s="1139"/>
      <c r="AL162" s="1139"/>
      <c r="AM162" s="1139"/>
      <c r="AN162" s="1139"/>
      <c r="AO162" s="1139"/>
      <c r="AP162" s="1139"/>
      <c r="AQ162" s="1139"/>
      <c r="AR162" s="1139"/>
    </row>
    <row r="163" spans="1:44" ht="16" outlineLevel="1" thickBot="1">
      <c r="B163" s="541"/>
      <c r="C163" s="544"/>
      <c r="D163" s="544"/>
      <c r="E163" s="544"/>
      <c r="F163" s="544"/>
      <c r="G163" s="545"/>
      <c r="H163" s="545"/>
      <c r="I163" s="545"/>
      <c r="J163" s="545"/>
      <c r="K163" s="547"/>
      <c r="L163" s="548"/>
      <c r="M163" s="363"/>
      <c r="N163" s="363"/>
      <c r="P163" s="1196"/>
      <c r="Q163" s="411"/>
      <c r="R163" s="412"/>
      <c r="S163" s="413"/>
      <c r="T163" s="414"/>
      <c r="U163" s="415"/>
      <c r="V163" s="416"/>
      <c r="W163" s="415"/>
      <c r="X163" s="416"/>
      <c r="Y163" s="415"/>
      <c r="Z163" s="416"/>
      <c r="AA163" s="415"/>
      <c r="AB163" s="416"/>
      <c r="AC163" s="417"/>
      <c r="AE163" s="1196"/>
      <c r="AF163" s="411"/>
      <c r="AG163" s="412"/>
      <c r="AH163" s="413"/>
      <c r="AI163" s="414"/>
      <c r="AJ163" s="415"/>
      <c r="AK163" s="416"/>
      <c r="AL163" s="415"/>
      <c r="AM163" s="416"/>
      <c r="AN163" s="415"/>
      <c r="AO163" s="416"/>
      <c r="AP163" s="415"/>
      <c r="AQ163" s="416"/>
      <c r="AR163" s="417"/>
    </row>
    <row r="164" spans="1:44" outlineLevel="1">
      <c r="B164" s="541"/>
      <c r="C164" s="544"/>
      <c r="D164" s="544"/>
      <c r="E164" s="544"/>
      <c r="F164" s="544"/>
      <c r="G164" s="549"/>
      <c r="H164" s="549"/>
      <c r="I164" s="549"/>
      <c r="J164" s="549"/>
      <c r="K164" s="550"/>
      <c r="L164" s="548"/>
      <c r="M164" s="363"/>
      <c r="N164" s="363"/>
    </row>
    <row r="165" spans="1:44" outlineLevel="1">
      <c r="B165" s="541"/>
      <c r="C165" s="544"/>
      <c r="D165" s="544"/>
      <c r="E165" s="544"/>
      <c r="F165" s="544"/>
      <c r="G165" s="549"/>
      <c r="H165" s="549"/>
      <c r="I165" s="549"/>
      <c r="J165" s="549"/>
      <c r="K165" s="550"/>
      <c r="L165" s="548"/>
      <c r="M165" s="420"/>
      <c r="N165" s="363"/>
    </row>
    <row r="166" spans="1:44" outlineLevel="1">
      <c r="B166" s="421"/>
      <c r="C166" s="399"/>
      <c r="D166" s="399"/>
      <c r="E166" s="399"/>
      <c r="F166" s="399"/>
      <c r="G166" s="422"/>
      <c r="H166" s="422"/>
      <c r="I166" s="422"/>
      <c r="J166" s="422"/>
      <c r="K166" s="423"/>
      <c r="L166" s="424"/>
      <c r="M166" s="420"/>
      <c r="N166" s="420"/>
    </row>
    <row r="167" spans="1:44" outlineLevel="1">
      <c r="B167" s="383"/>
      <c r="C167" s="397"/>
      <c r="D167" s="397"/>
      <c r="E167" s="397"/>
      <c r="F167" s="397"/>
      <c r="G167" s="422"/>
      <c r="H167" s="425"/>
      <c r="I167" s="425"/>
      <c r="J167" s="425"/>
      <c r="K167" s="426"/>
      <c r="L167" s="427"/>
      <c r="M167" s="428"/>
      <c r="N167" s="428"/>
    </row>
    <row r="168" spans="1:44" outlineLevel="1">
      <c r="B168" s="383"/>
      <c r="C168" s="397"/>
      <c r="D168" s="397"/>
      <c r="E168" s="397"/>
      <c r="F168" s="397"/>
      <c r="G168" s="425"/>
      <c r="H168" s="425"/>
      <c r="I168" s="425"/>
      <c r="J168" s="425"/>
      <c r="K168" s="423"/>
      <c r="L168" s="427"/>
      <c r="M168" s="428"/>
      <c r="N168" s="428"/>
    </row>
    <row r="169" spans="1:44" outlineLevel="1">
      <c r="B169" s="383"/>
      <c r="C169" s="397"/>
      <c r="D169" s="397"/>
      <c r="E169" s="397"/>
      <c r="F169" s="397"/>
      <c r="G169" s="425"/>
      <c r="H169" s="425"/>
      <c r="I169" s="425"/>
      <c r="J169" s="425"/>
      <c r="K169" s="423"/>
      <c r="L169" s="427"/>
      <c r="M169" s="428"/>
      <c r="N169" s="428"/>
    </row>
    <row r="170" spans="1:44" outlineLevel="1">
      <c r="B170" s="383"/>
      <c r="C170" s="397"/>
      <c r="D170" s="397"/>
      <c r="E170" s="397"/>
      <c r="F170" s="397"/>
      <c r="G170" s="425"/>
      <c r="H170" s="425"/>
      <c r="I170" s="425"/>
      <c r="J170" s="425"/>
      <c r="K170" s="423"/>
      <c r="L170" s="427"/>
      <c r="M170" s="428"/>
      <c r="N170" s="428"/>
    </row>
    <row r="171" spans="1:44" ht="16" outlineLevel="1" thickBot="1">
      <c r="B171" s="429"/>
      <c r="C171" s="430"/>
      <c r="D171" s="430"/>
      <c r="E171" s="430"/>
      <c r="F171" s="430"/>
      <c r="G171" s="425"/>
      <c r="H171" s="425"/>
      <c r="I171" s="425"/>
      <c r="J171" s="425"/>
      <c r="K171" s="423"/>
      <c r="L171" s="427"/>
      <c r="M171" s="428"/>
      <c r="N171" s="428"/>
    </row>
    <row r="172" spans="1:44" ht="16" outlineLevel="1" thickBot="1">
      <c r="B172" s="431"/>
      <c r="C172" s="432"/>
      <c r="D172" s="403"/>
      <c r="E172" s="403"/>
      <c r="F172" s="433"/>
      <c r="G172" s="434"/>
      <c r="H172" s="406"/>
      <c r="I172" s="406"/>
      <c r="J172" s="406"/>
      <c r="K172" s="407"/>
      <c r="L172" s="408"/>
      <c r="M172" s="428"/>
      <c r="N172" s="428"/>
    </row>
    <row r="173" spans="1:44" outlineLevel="1">
      <c r="A173" s="435"/>
      <c r="B173" s="436"/>
      <c r="C173" s="551"/>
      <c r="D173" s="438"/>
      <c r="E173" s="438"/>
      <c r="F173" s="439"/>
      <c r="G173" s="425"/>
      <c r="H173" s="425"/>
      <c r="I173" s="425"/>
      <c r="J173" s="425"/>
      <c r="K173" s="426"/>
      <c r="L173" s="440"/>
      <c r="M173" s="420"/>
      <c r="N173" s="420"/>
    </row>
    <row r="174" spans="1:44" outlineLevel="1">
      <c r="B174" s="441"/>
      <c r="C174" s="442"/>
      <c r="D174" s="443"/>
      <c r="E174" s="443"/>
      <c r="F174" s="443"/>
      <c r="G174" s="425"/>
      <c r="H174" s="425"/>
      <c r="I174" s="425"/>
      <c r="J174" s="425"/>
      <c r="K174" s="444"/>
      <c r="L174" s="373"/>
      <c r="M174" s="71"/>
      <c r="N174" s="420"/>
    </row>
    <row r="175" spans="1:44" outlineLevel="1">
      <c r="B175" s="441"/>
      <c r="C175" s="442"/>
      <c r="D175" s="442"/>
      <c r="E175" s="442"/>
      <c r="F175" s="442"/>
      <c r="G175" s="425"/>
      <c r="H175" s="425"/>
      <c r="I175" s="425"/>
      <c r="J175" s="425"/>
      <c r="K175" s="444"/>
      <c r="L175" s="373"/>
      <c r="M175" s="420"/>
      <c r="N175" s="420"/>
    </row>
    <row r="176" spans="1:44" outlineLevel="1">
      <c r="B176" s="383"/>
      <c r="C176" s="445"/>
      <c r="D176" s="446"/>
      <c r="E176" s="446"/>
      <c r="F176" s="447"/>
      <c r="G176" s="425"/>
      <c r="H176" s="425"/>
      <c r="I176" s="425"/>
      <c r="J176" s="425"/>
      <c r="K176" s="448"/>
      <c r="L176" s="373"/>
      <c r="M176" s="420"/>
      <c r="N176" s="420"/>
    </row>
    <row r="177" spans="2:30" outlineLevel="1">
      <c r="B177" s="383"/>
      <c r="C177" s="449"/>
      <c r="D177" s="449"/>
      <c r="E177" s="449"/>
      <c r="F177" s="449"/>
      <c r="G177" s="425"/>
      <c r="H177" s="425"/>
      <c r="I177" s="425"/>
      <c r="J177" s="425"/>
      <c r="K177" s="448"/>
      <c r="L177" s="373"/>
      <c r="M177" s="450"/>
      <c r="N177" s="361"/>
      <c r="P177" s="1142"/>
      <c r="Q177" s="1143"/>
      <c r="R177" s="1143"/>
      <c r="S177" s="1143"/>
      <c r="T177" s="1143"/>
      <c r="U177" s="1144"/>
    </row>
    <row r="178" spans="2:30" ht="16" outlineLevel="1" thickBot="1">
      <c r="B178" s="541"/>
      <c r="C178" s="552"/>
      <c r="D178" s="552"/>
      <c r="E178" s="552"/>
      <c r="F178" s="552"/>
      <c r="G178" s="553"/>
      <c r="H178" s="553"/>
      <c r="I178" s="553"/>
      <c r="J178" s="553"/>
      <c r="K178" s="547"/>
      <c r="L178" s="548"/>
      <c r="M178" s="450"/>
      <c r="N178" s="361"/>
      <c r="P178" s="1134"/>
      <c r="Q178" s="1135"/>
      <c r="R178" s="1135"/>
      <c r="S178" s="1135"/>
      <c r="T178" s="1135"/>
      <c r="U178" s="1136"/>
    </row>
    <row r="179" spans="2:30" outlineLevel="1">
      <c r="B179" s="541"/>
      <c r="C179" s="554"/>
      <c r="D179" s="554"/>
      <c r="E179" s="554"/>
      <c r="F179" s="554"/>
      <c r="G179" s="553"/>
      <c r="H179" s="553"/>
      <c r="I179" s="553"/>
      <c r="J179" s="553"/>
      <c r="K179" s="555"/>
      <c r="L179" s="548"/>
      <c r="M179" s="363"/>
      <c r="N179" s="363"/>
      <c r="P179" s="53"/>
    </row>
    <row r="180" spans="2:30" outlineLevel="1">
      <c r="B180" s="441"/>
      <c r="C180" s="456"/>
      <c r="D180" s="456"/>
      <c r="E180" s="456"/>
      <c r="F180" s="456"/>
      <c r="G180" s="425"/>
      <c r="H180" s="425"/>
      <c r="I180" s="425"/>
      <c r="J180" s="425"/>
      <c r="K180" s="444"/>
      <c r="L180" s="424"/>
      <c r="M180" s="367"/>
      <c r="N180" s="367"/>
      <c r="P180" s="46"/>
      <c r="Q180" s="46"/>
      <c r="R180" s="47"/>
      <c r="S180" s="47"/>
      <c r="T180" s="47"/>
      <c r="U180" s="48"/>
      <c r="V180" s="49"/>
      <c r="W180" s="49"/>
      <c r="X180" s="49"/>
      <c r="Y180" s="49"/>
      <c r="Z180" s="49"/>
      <c r="AA180" s="49"/>
      <c r="AB180" s="49"/>
      <c r="AC180" s="49"/>
      <c r="AD180" s="49"/>
    </row>
    <row r="181" spans="2:30" ht="16" outlineLevel="1" thickBot="1">
      <c r="B181" s="441"/>
      <c r="C181" s="442"/>
      <c r="D181" s="457"/>
      <c r="E181" s="457"/>
      <c r="F181" s="458"/>
      <c r="G181" s="425"/>
      <c r="H181" s="425"/>
      <c r="I181" s="425"/>
      <c r="J181" s="425"/>
      <c r="K181" s="448"/>
      <c r="L181" s="424"/>
      <c r="M181" s="363"/>
      <c r="N181" s="363"/>
      <c r="P181" s="50"/>
      <c r="Q181" s="50"/>
      <c r="R181" s="51"/>
      <c r="S181" s="51"/>
      <c r="T181" s="51"/>
      <c r="U181" s="51"/>
      <c r="V181" s="50"/>
      <c r="W181" s="50"/>
      <c r="X181" s="50"/>
      <c r="Y181" s="50"/>
      <c r="Z181" s="50"/>
      <c r="AA181" s="50"/>
      <c r="AB181" s="50"/>
      <c r="AC181" s="50"/>
      <c r="AD181" s="50"/>
    </row>
    <row r="182" spans="2:30" ht="16" outlineLevel="1" thickBot="1">
      <c r="B182" s="401"/>
      <c r="C182" s="402"/>
      <c r="D182" s="403"/>
      <c r="E182" s="404"/>
      <c r="F182" s="405"/>
      <c r="G182" s="406"/>
      <c r="H182" s="406"/>
      <c r="I182" s="406"/>
      <c r="J182" s="406"/>
      <c r="K182" s="459"/>
      <c r="L182" s="460"/>
      <c r="M182" s="363"/>
      <c r="N182" s="363"/>
      <c r="O182" s="461"/>
      <c r="P182" s="56"/>
      <c r="Q182" s="56"/>
      <c r="R182" s="57"/>
      <c r="S182" s="57"/>
      <c r="T182" s="57"/>
      <c r="U182" s="56"/>
      <c r="V182" s="56"/>
      <c r="W182" s="56"/>
      <c r="X182" s="56"/>
      <c r="Y182" s="56"/>
      <c r="Z182" s="56"/>
      <c r="AA182" s="56"/>
      <c r="AB182" s="56"/>
      <c r="AC182" s="56"/>
      <c r="AD182" s="56"/>
    </row>
    <row r="183" spans="2:30" outlineLevel="1">
      <c r="B183" s="556"/>
      <c r="C183" s="557"/>
      <c r="D183" s="557"/>
      <c r="E183" s="557"/>
      <c r="F183" s="557"/>
      <c r="G183" s="558"/>
      <c r="H183" s="558"/>
      <c r="I183" s="558"/>
      <c r="J183" s="558"/>
      <c r="K183" s="558"/>
      <c r="L183" s="559"/>
      <c r="M183" s="363"/>
      <c r="N183" s="363"/>
      <c r="O183" s="465"/>
      <c r="P183" s="466"/>
      <c r="Q183" s="58"/>
      <c r="R183" s="466"/>
      <c r="S183" s="58"/>
      <c r="T183" s="466"/>
      <c r="U183" s="467"/>
      <c r="V183" s="467"/>
      <c r="W183" s="467"/>
      <c r="X183" s="58"/>
      <c r="Y183" s="58"/>
      <c r="Z183" s="466"/>
      <c r="AA183" s="468"/>
      <c r="AB183" s="468"/>
      <c r="AC183" s="468"/>
      <c r="AD183" s="468"/>
    </row>
    <row r="184" spans="2:30" outlineLevel="1">
      <c r="B184" s="541"/>
      <c r="C184" s="560"/>
      <c r="D184" s="561"/>
      <c r="E184" s="561"/>
      <c r="F184" s="562"/>
      <c r="G184" s="562"/>
      <c r="H184" s="562"/>
      <c r="I184" s="562"/>
      <c r="J184" s="562"/>
      <c r="K184" s="563"/>
      <c r="L184" s="559"/>
      <c r="M184" s="363"/>
      <c r="N184" s="363"/>
      <c r="O184" s="465"/>
      <c r="P184" s="466"/>
      <c r="Q184" s="58"/>
      <c r="R184" s="466"/>
      <c r="S184" s="58"/>
      <c r="T184" s="466"/>
      <c r="U184" s="467"/>
      <c r="V184" s="467"/>
      <c r="W184" s="467"/>
      <c r="X184" s="58"/>
      <c r="Y184" s="58"/>
      <c r="Z184" s="466"/>
      <c r="AA184" s="468"/>
      <c r="AB184" s="468"/>
      <c r="AC184" s="468"/>
      <c r="AD184" s="468"/>
    </row>
    <row r="185" spans="2:30" outlineLevel="1">
      <c r="B185" s="541"/>
      <c r="C185" s="560"/>
      <c r="D185" s="561"/>
      <c r="E185" s="561"/>
      <c r="F185" s="562"/>
      <c r="G185" s="562"/>
      <c r="H185" s="562"/>
      <c r="I185" s="562"/>
      <c r="J185" s="562"/>
      <c r="K185" s="563"/>
      <c r="L185" s="559"/>
      <c r="M185" s="363"/>
      <c r="N185" s="363"/>
      <c r="O185" s="465"/>
      <c r="P185" s="466"/>
      <c r="Q185" s="58"/>
      <c r="R185" s="466"/>
      <c r="S185" s="58"/>
      <c r="T185" s="466"/>
      <c r="U185" s="467"/>
      <c r="V185" s="467"/>
      <c r="W185" s="467"/>
      <c r="X185" s="58"/>
      <c r="Y185" s="58"/>
      <c r="Z185" s="466"/>
      <c r="AA185" s="468"/>
      <c r="AB185" s="468"/>
      <c r="AC185" s="468"/>
      <c r="AD185" s="468"/>
    </row>
    <row r="186" spans="2:30" outlineLevel="1">
      <c r="B186" s="541"/>
      <c r="C186" s="564"/>
      <c r="D186" s="564"/>
      <c r="E186" s="564"/>
      <c r="F186" s="564"/>
      <c r="G186" s="565"/>
      <c r="H186" s="565"/>
      <c r="I186" s="565"/>
      <c r="J186" s="565"/>
      <c r="K186" s="565"/>
      <c r="L186" s="548"/>
      <c r="M186" s="363"/>
      <c r="N186" s="363"/>
      <c r="O186" s="465"/>
      <c r="P186" s="466"/>
      <c r="Q186" s="58"/>
      <c r="R186" s="466"/>
      <c r="S186" s="58"/>
      <c r="T186" s="466"/>
      <c r="U186" s="467"/>
      <c r="V186" s="467"/>
      <c r="W186" s="467"/>
      <c r="X186" s="58"/>
      <c r="Y186" s="58"/>
      <c r="Z186" s="466"/>
      <c r="AA186" s="468"/>
      <c r="AB186" s="468"/>
      <c r="AC186" s="468"/>
      <c r="AD186" s="468"/>
    </row>
    <row r="187" spans="2:30" outlineLevel="1">
      <c r="B187" s="566"/>
      <c r="C187" s="560"/>
      <c r="D187" s="561"/>
      <c r="E187" s="561"/>
      <c r="F187" s="562"/>
      <c r="G187" s="562"/>
      <c r="H187" s="562"/>
      <c r="I187" s="562"/>
      <c r="J187" s="562"/>
      <c r="K187" s="563"/>
      <c r="L187" s="559"/>
      <c r="M187" s="367"/>
      <c r="N187" s="367"/>
    </row>
    <row r="188" spans="2:30" outlineLevel="1">
      <c r="B188" s="566"/>
      <c r="C188" s="560"/>
      <c r="D188" s="561"/>
      <c r="E188" s="561"/>
      <c r="F188" s="562"/>
      <c r="G188" s="562"/>
      <c r="H188" s="562"/>
      <c r="I188" s="562"/>
      <c r="J188" s="562"/>
      <c r="K188" s="563"/>
      <c r="L188" s="559"/>
      <c r="M188" s="363"/>
      <c r="N188" s="363"/>
    </row>
    <row r="189" spans="2:30" ht="16" outlineLevel="1" thickBot="1">
      <c r="B189" s="567"/>
      <c r="C189" s="568"/>
      <c r="D189" s="568"/>
      <c r="E189" s="568"/>
      <c r="F189" s="568"/>
      <c r="G189" s="568"/>
      <c r="H189" s="568"/>
      <c r="I189" s="568"/>
      <c r="J189" s="568"/>
      <c r="K189" s="568"/>
      <c r="L189" s="569"/>
      <c r="M189" s="363"/>
      <c r="N189" s="363"/>
    </row>
    <row r="190" spans="2:30" outlineLevel="1">
      <c r="B190" s="461"/>
      <c r="C190" s="483"/>
      <c r="D190" s="483"/>
      <c r="E190" s="483"/>
      <c r="F190" s="483"/>
      <c r="G190" s="483"/>
      <c r="H190" s="484"/>
      <c r="I190" s="420"/>
      <c r="J190" s="420"/>
      <c r="K190" s="484"/>
      <c r="L190" s="484"/>
      <c r="N190" s="420"/>
    </row>
    <row r="191" spans="2:30" outlineLevel="1">
      <c r="B191" s="485"/>
      <c r="C191" s="486"/>
      <c r="D191" s="486"/>
      <c r="E191" s="486"/>
      <c r="F191" s="486"/>
      <c r="G191" s="486"/>
      <c r="H191" s="484"/>
      <c r="I191" s="71"/>
      <c r="J191" s="420"/>
      <c r="K191" s="484"/>
      <c r="L191" s="484"/>
      <c r="N191" s="420"/>
    </row>
    <row r="192" spans="2:30" outlineLevel="1">
      <c r="B192" s="461"/>
      <c r="C192" s="359"/>
      <c r="D192" s="359"/>
      <c r="E192" s="359"/>
      <c r="F192" s="359"/>
      <c r="G192" s="359"/>
      <c r="I192" s="420"/>
      <c r="J192" s="420"/>
      <c r="N192" s="420"/>
    </row>
    <row r="193" spans="1:16" outlineLevel="1">
      <c r="B193" s="461"/>
      <c r="C193" s="487"/>
      <c r="D193" s="487"/>
      <c r="E193" s="487"/>
      <c r="F193" s="487"/>
      <c r="G193" s="359"/>
      <c r="M193" s="420"/>
      <c r="N193" s="420"/>
    </row>
    <row r="194" spans="1:16" outlineLevel="1"/>
    <row r="195" spans="1:16" outlineLevel="1">
      <c r="A195" s="488"/>
      <c r="B195" s="489"/>
      <c r="D195" s="490"/>
      <c r="E195" s="490"/>
      <c r="F195" s="490"/>
      <c r="G195" s="358"/>
      <c r="H195" s="358"/>
      <c r="I195" s="358"/>
      <c r="J195" s="358"/>
      <c r="K195" s="358"/>
      <c r="L195" s="358"/>
      <c r="N195" s="570"/>
      <c r="O195" s="489"/>
      <c r="P195" s="490"/>
    </row>
    <row r="196" spans="1:16" outlineLevel="1">
      <c r="A196" s="491"/>
      <c r="B196" s="492"/>
      <c r="D196" s="490"/>
      <c r="E196" s="490"/>
      <c r="F196" s="490"/>
      <c r="G196" s="358"/>
      <c r="H196" s="358"/>
      <c r="I196" s="358"/>
      <c r="J196" s="358"/>
      <c r="K196" s="358"/>
      <c r="L196" s="358"/>
      <c r="N196" s="570"/>
      <c r="O196" s="489"/>
      <c r="P196" s="490"/>
    </row>
    <row r="197" spans="1:16" outlineLevel="1">
      <c r="A197" s="491"/>
      <c r="B197" s="493"/>
      <c r="D197" s="490"/>
      <c r="E197" s="490"/>
      <c r="F197" s="490"/>
      <c r="G197" s="358"/>
      <c r="H197" s="358"/>
      <c r="I197" s="358"/>
      <c r="J197" s="358"/>
      <c r="K197" s="358"/>
      <c r="L197" s="358"/>
      <c r="N197" s="570"/>
      <c r="O197" s="489"/>
      <c r="P197" s="490"/>
    </row>
    <row r="198" spans="1:16" outlineLevel="1">
      <c r="A198" s="491"/>
      <c r="B198" s="493"/>
      <c r="D198" s="490"/>
      <c r="E198" s="490"/>
      <c r="F198" s="490"/>
      <c r="G198" s="358"/>
      <c r="H198" s="358"/>
      <c r="I198" s="358"/>
      <c r="J198" s="358"/>
      <c r="K198" s="358"/>
      <c r="L198" s="358"/>
      <c r="N198" s="570"/>
      <c r="O198" s="489"/>
      <c r="P198" s="490"/>
    </row>
    <row r="199" spans="1:16" outlineLevel="1">
      <c r="A199" s="491"/>
      <c r="B199" s="493"/>
      <c r="D199" s="490"/>
      <c r="E199" s="490"/>
      <c r="F199" s="490"/>
      <c r="G199" s="358"/>
      <c r="H199" s="358"/>
      <c r="I199" s="358"/>
      <c r="J199" s="358"/>
      <c r="K199" s="358"/>
      <c r="L199" s="358"/>
      <c r="N199" s="570"/>
      <c r="O199" s="489"/>
      <c r="P199" s="490"/>
    </row>
    <row r="200" spans="1:16" outlineLevel="1">
      <c r="A200" s="358"/>
      <c r="B200" s="494"/>
      <c r="D200" s="490"/>
      <c r="E200" s="490"/>
      <c r="F200" s="490"/>
      <c r="G200" s="358"/>
      <c r="H200" s="358"/>
      <c r="I200" s="358"/>
      <c r="J200" s="358"/>
      <c r="K200" s="358"/>
      <c r="L200" s="358"/>
    </row>
    <row r="201" spans="1:16" outlineLevel="1">
      <c r="A201" s="358"/>
      <c r="B201" s="492"/>
      <c r="D201" s="490"/>
      <c r="E201" s="490"/>
      <c r="F201" s="490"/>
      <c r="G201" s="358"/>
      <c r="H201" s="358"/>
      <c r="I201" s="358"/>
      <c r="J201" s="358"/>
      <c r="K201" s="358"/>
      <c r="L201" s="358"/>
    </row>
    <row r="202" spans="1:16" outlineLevel="1">
      <c r="A202" s="358"/>
      <c r="B202" s="495"/>
      <c r="D202" s="490"/>
      <c r="E202" s="490"/>
      <c r="F202" s="490"/>
      <c r="G202" s="358"/>
      <c r="H202" s="358"/>
      <c r="I202" s="358"/>
      <c r="J202" s="358"/>
      <c r="K202" s="358"/>
      <c r="L202" s="358"/>
    </row>
    <row r="203" spans="1:16" outlineLevel="1">
      <c r="A203" s="358"/>
      <c r="B203" s="495"/>
      <c r="D203" s="490"/>
      <c r="E203" s="490"/>
      <c r="F203" s="490"/>
      <c r="G203" s="358"/>
      <c r="H203" s="358"/>
      <c r="I203" s="358"/>
      <c r="J203" s="358"/>
      <c r="K203" s="358"/>
      <c r="L203" s="358"/>
    </row>
    <row r="204" spans="1:16" outlineLevel="1">
      <c r="A204" s="358"/>
      <c r="B204" s="489"/>
      <c r="D204" s="490"/>
      <c r="E204" s="490"/>
      <c r="F204" s="490"/>
      <c r="G204" s="358"/>
      <c r="H204" s="358"/>
      <c r="I204" s="358"/>
      <c r="J204" s="358"/>
      <c r="K204" s="358"/>
      <c r="L204" s="358"/>
    </row>
    <row r="205" spans="1:16" outlineLevel="1">
      <c r="A205" s="358"/>
      <c r="B205" s="490"/>
      <c r="D205" s="490"/>
      <c r="E205" s="490"/>
      <c r="F205" s="490"/>
      <c r="G205" s="358"/>
      <c r="H205" s="358"/>
      <c r="I205" s="358"/>
      <c r="J205" s="358"/>
      <c r="K205" s="358"/>
      <c r="L205" s="358"/>
    </row>
    <row r="206" spans="1:16" outlineLevel="1">
      <c r="A206" s="488"/>
      <c r="B206" s="489"/>
      <c r="D206" s="490"/>
      <c r="E206" s="490"/>
      <c r="F206" s="490"/>
      <c r="G206" s="358"/>
      <c r="H206" s="358"/>
      <c r="I206" s="358"/>
      <c r="J206" s="358"/>
      <c r="K206" s="358"/>
      <c r="L206" s="358"/>
    </row>
    <row r="207" spans="1:16" outlineLevel="1">
      <c r="A207" s="496"/>
      <c r="B207" s="497"/>
      <c r="C207" s="490"/>
      <c r="D207" s="490"/>
      <c r="E207" s="490"/>
      <c r="F207" s="490"/>
      <c r="G207" s="358"/>
      <c r="H207" s="358"/>
      <c r="I207" s="358"/>
      <c r="J207" s="358"/>
      <c r="K207" s="358"/>
      <c r="L207" s="358"/>
      <c r="N207" s="570"/>
      <c r="O207" s="489"/>
      <c r="P207" s="490"/>
    </row>
    <row r="208" spans="1:16" outlineLevel="1">
      <c r="A208" s="496"/>
      <c r="B208" s="489"/>
      <c r="C208" s="490"/>
      <c r="D208" s="490"/>
      <c r="E208" s="490"/>
      <c r="F208" s="490"/>
      <c r="G208" s="358"/>
      <c r="H208" s="358"/>
      <c r="I208" s="358"/>
      <c r="J208" s="358"/>
      <c r="K208" s="358"/>
      <c r="L208" s="358"/>
      <c r="N208" s="571"/>
      <c r="O208" s="489"/>
      <c r="P208" s="490"/>
    </row>
    <row r="209" spans="1:44" outlineLevel="1">
      <c r="A209" s="496"/>
      <c r="B209" s="489"/>
      <c r="C209" s="490"/>
      <c r="D209" s="490"/>
      <c r="E209" s="490"/>
      <c r="F209" s="490"/>
      <c r="G209" s="358"/>
      <c r="H209" s="358"/>
      <c r="I209" s="358"/>
      <c r="J209" s="358"/>
      <c r="K209" s="358"/>
      <c r="L209" s="358"/>
      <c r="N209" s="572"/>
      <c r="O209" s="489"/>
      <c r="P209" s="490"/>
    </row>
    <row r="210" spans="1:44" outlineLevel="1">
      <c r="A210" s="496"/>
      <c r="B210" s="489"/>
      <c r="C210" s="490"/>
      <c r="D210" s="490"/>
      <c r="E210" s="490"/>
      <c r="F210" s="490"/>
      <c r="G210" s="358"/>
      <c r="H210" s="358"/>
      <c r="I210" s="358"/>
      <c r="J210" s="358"/>
      <c r="K210" s="358"/>
      <c r="L210" s="358"/>
      <c r="N210" s="573"/>
      <c r="O210" s="489"/>
      <c r="P210" s="490"/>
    </row>
    <row r="211" spans="1:44" outlineLevel="1">
      <c r="A211" s="496"/>
      <c r="B211" s="498"/>
      <c r="C211" s="490"/>
      <c r="D211" s="490"/>
      <c r="E211" s="490"/>
      <c r="F211" s="490"/>
      <c r="G211" s="358"/>
      <c r="H211" s="358"/>
      <c r="I211" s="358"/>
      <c r="J211" s="358"/>
      <c r="K211" s="358"/>
      <c r="L211" s="358"/>
      <c r="N211" s="573"/>
      <c r="O211" s="490"/>
      <c r="P211" s="490"/>
    </row>
    <row r="212" spans="1:44" outlineLevel="1">
      <c r="A212" s="496"/>
      <c r="B212" s="489"/>
      <c r="C212" s="490"/>
      <c r="D212" s="490"/>
      <c r="E212" s="490"/>
      <c r="F212" s="490"/>
      <c r="G212" s="358"/>
      <c r="H212" s="358"/>
      <c r="I212" s="358"/>
      <c r="J212" s="358"/>
      <c r="K212" s="358"/>
      <c r="L212" s="358"/>
      <c r="N212" s="489"/>
      <c r="O212" s="490"/>
      <c r="P212" s="490"/>
    </row>
    <row r="213" spans="1:44" outlineLevel="1">
      <c r="A213" s="496"/>
      <c r="B213" s="489"/>
      <c r="C213" s="490"/>
      <c r="D213" s="490"/>
      <c r="E213" s="490"/>
      <c r="F213" s="490"/>
      <c r="G213" s="358"/>
      <c r="H213" s="358"/>
      <c r="I213" s="358"/>
      <c r="J213" s="358"/>
      <c r="K213" s="358"/>
      <c r="L213" s="358"/>
      <c r="N213" s="490"/>
      <c r="O213" s="490"/>
      <c r="P213" s="490"/>
    </row>
    <row r="214" spans="1:44" outlineLevel="1"/>
    <row r="215" spans="1:44" outlineLevel="1"/>
    <row r="217" spans="1:44" ht="16" thickBot="1">
      <c r="A217" s="360"/>
    </row>
    <row r="218" spans="1:44" ht="20.5" customHeight="1" outlineLevel="1" thickBot="1">
      <c r="B218" s="362"/>
      <c r="C218" s="1186"/>
      <c r="D218" s="1205"/>
      <c r="E218" s="1205"/>
      <c r="F218" s="1205"/>
      <c r="G218" s="1205"/>
      <c r="H218" s="1205"/>
      <c r="I218" s="1205"/>
      <c r="J218" s="1205"/>
      <c r="K218" s="1205"/>
      <c r="L218" s="1206"/>
      <c r="M218" s="363"/>
      <c r="N218" s="363"/>
      <c r="P218" s="364"/>
      <c r="Q218" s="365"/>
      <c r="R218" s="366"/>
      <c r="S218" s="1176"/>
      <c r="T218" s="1160"/>
      <c r="U218" s="1161"/>
      <c r="V218" s="1160"/>
      <c r="W218" s="1161"/>
      <c r="X218" s="1160"/>
      <c r="Y218" s="1161"/>
      <c r="Z218" s="1160"/>
      <c r="AA218" s="1161"/>
      <c r="AB218" s="1160"/>
      <c r="AC218" s="1161"/>
      <c r="AE218" s="364"/>
      <c r="AF218" s="365"/>
      <c r="AG218" s="366"/>
      <c r="AH218" s="1176"/>
      <c r="AI218" s="1160"/>
      <c r="AJ218" s="1161"/>
      <c r="AK218" s="1160"/>
      <c r="AL218" s="1161"/>
      <c r="AM218" s="1160"/>
      <c r="AN218" s="1161"/>
      <c r="AO218" s="1160"/>
      <c r="AP218" s="1161"/>
      <c r="AQ218" s="1160"/>
      <c r="AR218" s="1161"/>
    </row>
    <row r="219" spans="1:44" ht="15" customHeight="1" outlineLevel="1" thickBot="1">
      <c r="B219" s="1164"/>
      <c r="C219" s="1166"/>
      <c r="D219" s="1166"/>
      <c r="E219" s="1166"/>
      <c r="F219" s="1166"/>
      <c r="G219" s="1168"/>
      <c r="H219" s="1169"/>
      <c r="I219" s="1168"/>
      <c r="J219" s="1169"/>
      <c r="K219" s="1189"/>
      <c r="L219" s="1189"/>
      <c r="M219" s="367"/>
      <c r="N219" s="367"/>
      <c r="P219" s="1180"/>
      <c r="Q219" s="368"/>
      <c r="R219" s="368"/>
      <c r="S219" s="1177"/>
      <c r="T219" s="1162"/>
      <c r="U219" s="1163"/>
      <c r="V219" s="1162"/>
      <c r="W219" s="1163"/>
      <c r="X219" s="1162"/>
      <c r="Y219" s="1163"/>
      <c r="Z219" s="1162"/>
      <c r="AA219" s="1163"/>
      <c r="AB219" s="1162"/>
      <c r="AC219" s="1163"/>
      <c r="AE219" s="1180"/>
      <c r="AF219" s="368"/>
      <c r="AG219" s="368"/>
      <c r="AH219" s="1177"/>
      <c r="AI219" s="1162"/>
      <c r="AJ219" s="1163"/>
      <c r="AK219" s="1162"/>
      <c r="AL219" s="1163"/>
      <c r="AM219" s="1162"/>
      <c r="AN219" s="1163"/>
      <c r="AO219" s="1162"/>
      <c r="AP219" s="1163"/>
      <c r="AQ219" s="1162"/>
      <c r="AR219" s="1163"/>
    </row>
    <row r="220" spans="1:44" ht="15" customHeight="1" outlineLevel="1" thickBot="1">
      <c r="B220" s="1165"/>
      <c r="C220" s="1167"/>
      <c r="D220" s="1167"/>
      <c r="E220" s="1167"/>
      <c r="F220" s="1167"/>
      <c r="G220" s="406"/>
      <c r="H220" s="406"/>
      <c r="I220" s="406"/>
      <c r="J220" s="406"/>
      <c r="K220" s="1190"/>
      <c r="L220" s="1190"/>
      <c r="M220" s="370"/>
      <c r="N220" s="370"/>
      <c r="P220" s="1181"/>
      <c r="Q220" s="1183"/>
      <c r="R220" s="1184"/>
      <c r="S220" s="1178"/>
      <c r="T220" s="1162"/>
      <c r="U220" s="1163"/>
      <c r="V220" s="1162"/>
      <c r="W220" s="1163"/>
      <c r="X220" s="1162"/>
      <c r="Y220" s="1163"/>
      <c r="Z220" s="1162"/>
      <c r="AA220" s="1163"/>
      <c r="AB220" s="1162"/>
      <c r="AC220" s="1163"/>
      <c r="AE220" s="1181"/>
      <c r="AF220" s="1197"/>
      <c r="AG220" s="1184"/>
      <c r="AH220" s="1178"/>
      <c r="AI220" s="1162"/>
      <c r="AJ220" s="1163"/>
      <c r="AK220" s="1162"/>
      <c r="AL220" s="1163"/>
      <c r="AM220" s="1162"/>
      <c r="AN220" s="1163"/>
      <c r="AO220" s="1162"/>
      <c r="AP220" s="1163"/>
      <c r="AQ220" s="1162"/>
      <c r="AR220" s="1163"/>
    </row>
    <row r="221" spans="1:44" ht="16" outlineLevel="1" thickBot="1">
      <c r="B221" s="371"/>
      <c r="C221" s="372"/>
      <c r="D221" s="372"/>
      <c r="E221" s="372"/>
      <c r="F221" s="372"/>
      <c r="G221" s="372"/>
      <c r="H221" s="372"/>
      <c r="I221" s="372"/>
      <c r="J221" s="372"/>
      <c r="K221" s="372"/>
      <c r="L221" s="373"/>
      <c r="M221" s="370"/>
      <c r="N221" s="370"/>
      <c r="O221" s="74"/>
      <c r="P221" s="1182"/>
      <c r="Q221" s="1179"/>
      <c r="R221" s="1185"/>
      <c r="S221" s="1179"/>
      <c r="T221" s="374"/>
      <c r="U221" s="375"/>
      <c r="V221" s="374"/>
      <c r="W221" s="375"/>
      <c r="X221" s="374"/>
      <c r="Y221" s="375"/>
      <c r="Z221" s="374"/>
      <c r="AA221" s="375"/>
      <c r="AB221" s="374"/>
      <c r="AC221" s="375"/>
      <c r="AE221" s="1182"/>
      <c r="AF221" s="1198"/>
      <c r="AG221" s="1185"/>
      <c r="AH221" s="1179"/>
      <c r="AI221" s="374"/>
      <c r="AJ221" s="375"/>
      <c r="AK221" s="374"/>
      <c r="AL221" s="375"/>
      <c r="AM221" s="374"/>
      <c r="AN221" s="375"/>
      <c r="AO221" s="374"/>
      <c r="AP221" s="375"/>
      <c r="AQ221" s="374"/>
      <c r="AR221" s="375"/>
    </row>
    <row r="222" spans="1:44" ht="14.5" customHeight="1" outlineLevel="1">
      <c r="B222" s="541"/>
      <c r="C222" s="542"/>
      <c r="D222" s="542"/>
      <c r="E222" s="543"/>
      <c r="F222" s="542"/>
      <c r="G222" s="542"/>
      <c r="H222" s="542"/>
      <c r="I222" s="542"/>
      <c r="J222" s="542"/>
      <c r="K222" s="547"/>
      <c r="L222" s="548"/>
      <c r="M222" s="370"/>
      <c r="N222" s="370"/>
      <c r="P222" s="1148"/>
      <c r="Q222" s="1154"/>
      <c r="R222" s="381"/>
      <c r="S222" s="382"/>
      <c r="T222" s="1137"/>
      <c r="U222" s="1151"/>
      <c r="V222" s="1137"/>
      <c r="W222" s="1151"/>
      <c r="X222" s="1137"/>
      <c r="Y222" s="1151"/>
      <c r="Z222" s="1137"/>
      <c r="AA222" s="1151"/>
      <c r="AB222" s="1137"/>
      <c r="AC222" s="1151"/>
      <c r="AE222" s="1148"/>
      <c r="AF222" s="1154"/>
      <c r="AG222" s="381"/>
      <c r="AH222" s="382"/>
      <c r="AI222" s="1137"/>
      <c r="AJ222" s="1151"/>
      <c r="AK222" s="1137"/>
      <c r="AL222" s="1151"/>
      <c r="AM222" s="1137"/>
      <c r="AN222" s="1151"/>
      <c r="AO222" s="1137"/>
      <c r="AP222" s="1151"/>
      <c r="AQ222" s="1137"/>
      <c r="AR222" s="1151"/>
    </row>
    <row r="223" spans="1:44" outlineLevel="1">
      <c r="B223" s="383"/>
      <c r="C223" s="384"/>
      <c r="D223" s="384"/>
      <c r="E223" s="384"/>
      <c r="F223" s="384"/>
      <c r="G223" s="505"/>
      <c r="H223" s="505"/>
      <c r="I223" s="505"/>
      <c r="J223" s="505"/>
      <c r="K223" s="372"/>
      <c r="L223" s="373"/>
      <c r="M223" s="370"/>
      <c r="N223" s="370"/>
      <c r="O223" s="71"/>
      <c r="P223" s="1195"/>
      <c r="Q223" s="1155"/>
      <c r="R223" s="388"/>
      <c r="S223" s="389"/>
      <c r="T223" s="1140"/>
      <c r="U223" s="1152"/>
      <c r="V223" s="1140"/>
      <c r="W223" s="1152"/>
      <c r="X223" s="1140"/>
      <c r="Y223" s="1152"/>
      <c r="Z223" s="1140"/>
      <c r="AA223" s="1152"/>
      <c r="AB223" s="1140"/>
      <c r="AC223" s="1152"/>
      <c r="AE223" s="1195"/>
      <c r="AF223" s="1155"/>
      <c r="AG223" s="388"/>
      <c r="AH223" s="389"/>
      <c r="AI223" s="1140"/>
      <c r="AJ223" s="1152"/>
      <c r="AK223" s="1140"/>
      <c r="AL223" s="1152"/>
      <c r="AM223" s="1140"/>
      <c r="AN223" s="1152"/>
      <c r="AO223" s="1140"/>
      <c r="AP223" s="1152"/>
      <c r="AQ223" s="1140"/>
      <c r="AR223" s="1152"/>
    </row>
    <row r="224" spans="1:44" ht="16" outlineLevel="1" thickBot="1">
      <c r="B224" s="541"/>
      <c r="C224" s="544"/>
      <c r="D224" s="545"/>
      <c r="E224" s="545"/>
      <c r="F224" s="546"/>
      <c r="G224" s="545"/>
      <c r="H224" s="545"/>
      <c r="I224" s="545"/>
      <c r="J224" s="545"/>
      <c r="K224" s="547"/>
      <c r="L224" s="548"/>
      <c r="M224" s="370"/>
      <c r="N224" s="370"/>
      <c r="O224" s="71"/>
      <c r="P224" s="1195"/>
      <c r="Q224" s="1156"/>
      <c r="R224" s="393"/>
      <c r="S224" s="394"/>
      <c r="T224" s="1141"/>
      <c r="U224" s="1153"/>
      <c r="V224" s="1141"/>
      <c r="W224" s="1153"/>
      <c r="X224" s="1141"/>
      <c r="Y224" s="1153"/>
      <c r="Z224" s="1141"/>
      <c r="AA224" s="1153"/>
      <c r="AB224" s="1141"/>
      <c r="AC224" s="1153"/>
      <c r="AE224" s="1195"/>
      <c r="AF224" s="1156"/>
      <c r="AG224" s="393"/>
      <c r="AH224" s="394"/>
      <c r="AI224" s="1141"/>
      <c r="AJ224" s="1153"/>
      <c r="AK224" s="1141"/>
      <c r="AL224" s="1153"/>
      <c r="AM224" s="1141"/>
      <c r="AN224" s="1153"/>
      <c r="AO224" s="1141"/>
      <c r="AP224" s="1153"/>
      <c r="AQ224" s="1141"/>
      <c r="AR224" s="1153"/>
    </row>
    <row r="225" spans="1:44" ht="14.5" customHeight="1" outlineLevel="1">
      <c r="B225" s="541"/>
      <c r="C225" s="544"/>
      <c r="D225" s="544"/>
      <c r="E225" s="544"/>
      <c r="F225" s="544"/>
      <c r="G225" s="544"/>
      <c r="H225" s="544"/>
      <c r="I225" s="544"/>
      <c r="J225" s="544"/>
      <c r="K225" s="547"/>
      <c r="L225" s="548"/>
      <c r="M225" s="370"/>
      <c r="N225" s="370"/>
      <c r="O225" s="71"/>
      <c r="P225" s="1195"/>
      <c r="Q225" s="1154"/>
      <c r="R225" s="395"/>
      <c r="S225" s="396"/>
      <c r="T225" s="1137"/>
      <c r="U225" s="1137"/>
      <c r="V225" s="1137"/>
      <c r="W225" s="1137"/>
      <c r="X225" s="1137"/>
      <c r="Y225" s="1137"/>
      <c r="Z225" s="1137"/>
      <c r="AA225" s="1137"/>
      <c r="AB225" s="1137"/>
      <c r="AC225" s="1137"/>
      <c r="AE225" s="1195"/>
      <c r="AF225" s="1154"/>
      <c r="AG225" s="395"/>
      <c r="AH225" s="396"/>
      <c r="AI225" s="1137"/>
      <c r="AJ225" s="1137"/>
      <c r="AK225" s="1137"/>
      <c r="AL225" s="1137"/>
      <c r="AM225" s="1137"/>
      <c r="AN225" s="1137"/>
      <c r="AO225" s="1137"/>
      <c r="AP225" s="1137"/>
      <c r="AQ225" s="1137"/>
      <c r="AR225" s="1137"/>
    </row>
    <row r="226" spans="1:44" outlineLevel="1">
      <c r="B226" s="541"/>
      <c r="C226" s="544"/>
      <c r="D226" s="544"/>
      <c r="E226" s="544"/>
      <c r="F226" s="544"/>
      <c r="G226" s="544"/>
      <c r="H226" s="544"/>
      <c r="I226" s="544"/>
      <c r="J226" s="544"/>
      <c r="K226" s="547"/>
      <c r="L226" s="548"/>
      <c r="M226" s="367"/>
      <c r="N226" s="367"/>
      <c r="O226" s="71"/>
      <c r="P226" s="1195"/>
      <c r="Q226" s="1155"/>
      <c r="R226" s="395"/>
      <c r="S226" s="396"/>
      <c r="T226" s="1138"/>
      <c r="U226" s="1138"/>
      <c r="V226" s="1138"/>
      <c r="W226" s="1138"/>
      <c r="X226" s="1138"/>
      <c r="Y226" s="1138"/>
      <c r="Z226" s="1138"/>
      <c r="AA226" s="1138"/>
      <c r="AB226" s="1138"/>
      <c r="AC226" s="1138"/>
      <c r="AE226" s="1195"/>
      <c r="AF226" s="1155"/>
      <c r="AG226" s="395"/>
      <c r="AH226" s="396"/>
      <c r="AI226" s="1138"/>
      <c r="AJ226" s="1138"/>
      <c r="AK226" s="1138"/>
      <c r="AL226" s="1138"/>
      <c r="AM226" s="1138"/>
      <c r="AN226" s="1138"/>
      <c r="AO226" s="1138"/>
      <c r="AP226" s="1138"/>
      <c r="AQ226" s="1138"/>
      <c r="AR226" s="1138"/>
    </row>
    <row r="227" spans="1:44" outlineLevel="1">
      <c r="B227" s="383"/>
      <c r="C227" s="397"/>
      <c r="D227" s="397"/>
      <c r="E227" s="397"/>
      <c r="F227" s="397"/>
      <c r="G227" s="399"/>
      <c r="H227" s="399"/>
      <c r="I227" s="399"/>
      <c r="J227" s="399"/>
      <c r="K227" s="372"/>
      <c r="L227" s="373"/>
      <c r="M227" s="363"/>
      <c r="N227" s="363"/>
      <c r="P227" s="1195"/>
      <c r="Q227" s="1155"/>
      <c r="R227" s="395"/>
      <c r="S227" s="396"/>
      <c r="T227" s="1138"/>
      <c r="U227" s="1138"/>
      <c r="V227" s="1138"/>
      <c r="W227" s="1138"/>
      <c r="X227" s="1138"/>
      <c r="Y227" s="1138"/>
      <c r="Z227" s="1138"/>
      <c r="AA227" s="1138"/>
      <c r="AB227" s="1138"/>
      <c r="AC227" s="1138"/>
      <c r="AE227" s="1195"/>
      <c r="AF227" s="1155"/>
      <c r="AG227" s="395"/>
      <c r="AH227" s="396"/>
      <c r="AI227" s="1138"/>
      <c r="AJ227" s="1138"/>
      <c r="AK227" s="1138"/>
      <c r="AL227" s="1138"/>
      <c r="AM227" s="1138"/>
      <c r="AN227" s="1138"/>
      <c r="AO227" s="1138"/>
      <c r="AP227" s="1138"/>
      <c r="AQ227" s="1138"/>
      <c r="AR227" s="1138"/>
    </row>
    <row r="228" spans="1:44" ht="16" outlineLevel="1" thickBot="1">
      <c r="B228" s="541"/>
      <c r="C228" s="544"/>
      <c r="D228" s="544"/>
      <c r="E228" s="544"/>
      <c r="F228" s="544"/>
      <c r="G228" s="544"/>
      <c r="H228" s="544"/>
      <c r="I228" s="544"/>
      <c r="J228" s="544"/>
      <c r="K228" s="547"/>
      <c r="L228" s="559"/>
      <c r="M228" s="363"/>
      <c r="N228" s="363"/>
      <c r="P228" s="1195"/>
      <c r="Q228" s="1155"/>
      <c r="R228" s="395"/>
      <c r="S228" s="396"/>
      <c r="T228" s="1138"/>
      <c r="U228" s="1138"/>
      <c r="V228" s="1138"/>
      <c r="W228" s="1138"/>
      <c r="X228" s="1138"/>
      <c r="Y228" s="1138"/>
      <c r="Z228" s="1138"/>
      <c r="AA228" s="1138"/>
      <c r="AB228" s="1138"/>
      <c r="AC228" s="1138"/>
      <c r="AE228" s="1195"/>
      <c r="AF228" s="1155"/>
      <c r="AG228" s="395"/>
      <c r="AH228" s="396"/>
      <c r="AI228" s="1138"/>
      <c r="AJ228" s="1138"/>
      <c r="AK228" s="1138"/>
      <c r="AL228" s="1138"/>
      <c r="AM228" s="1138"/>
      <c r="AN228" s="1138"/>
      <c r="AO228" s="1138"/>
      <c r="AP228" s="1138"/>
      <c r="AQ228" s="1138"/>
      <c r="AR228" s="1138"/>
    </row>
    <row r="229" spans="1:44" ht="16" outlineLevel="1" thickBot="1">
      <c r="B229" s="401"/>
      <c r="C229" s="402"/>
      <c r="D229" s="403"/>
      <c r="E229" s="404"/>
      <c r="F229" s="405"/>
      <c r="G229" s="406"/>
      <c r="H229" s="406"/>
      <c r="I229" s="406"/>
      <c r="J229" s="406"/>
      <c r="K229" s="407"/>
      <c r="L229" s="408"/>
      <c r="M229" s="363"/>
      <c r="N229" s="363"/>
      <c r="P229" s="1195"/>
      <c r="Q229" s="1155"/>
      <c r="R229" s="409"/>
      <c r="S229" s="410"/>
      <c r="T229" s="1139"/>
      <c r="U229" s="1139"/>
      <c r="V229" s="1139"/>
      <c r="W229" s="1139"/>
      <c r="X229" s="1139"/>
      <c r="Y229" s="1139"/>
      <c r="Z229" s="1139"/>
      <c r="AA229" s="1139"/>
      <c r="AB229" s="1139"/>
      <c r="AC229" s="1139"/>
      <c r="AE229" s="1195"/>
      <c r="AF229" s="1155"/>
      <c r="AG229" s="409"/>
      <c r="AH229" s="410"/>
      <c r="AI229" s="1139"/>
      <c r="AJ229" s="1139"/>
      <c r="AK229" s="1139"/>
      <c r="AL229" s="1139"/>
      <c r="AM229" s="1139"/>
      <c r="AN229" s="1139"/>
      <c r="AO229" s="1139"/>
      <c r="AP229" s="1139"/>
      <c r="AQ229" s="1139"/>
      <c r="AR229" s="1139"/>
    </row>
    <row r="230" spans="1:44" ht="16" outlineLevel="1" thickBot="1">
      <c r="B230" s="541"/>
      <c r="C230" s="544"/>
      <c r="D230" s="544"/>
      <c r="E230" s="544"/>
      <c r="F230" s="544"/>
      <c r="G230" s="545"/>
      <c r="H230" s="545"/>
      <c r="I230" s="545"/>
      <c r="J230" s="545"/>
      <c r="K230" s="547"/>
      <c r="L230" s="548"/>
      <c r="M230" s="363"/>
      <c r="N230" s="363"/>
      <c r="P230" s="1196"/>
      <c r="Q230" s="411"/>
      <c r="R230" s="412"/>
      <c r="S230" s="413"/>
      <c r="T230" s="414"/>
      <c r="U230" s="415"/>
      <c r="V230" s="414"/>
      <c r="W230" s="415"/>
      <c r="X230" s="414"/>
      <c r="Y230" s="415"/>
      <c r="Z230" s="414"/>
      <c r="AA230" s="415"/>
      <c r="AB230" s="414"/>
      <c r="AC230" s="417"/>
      <c r="AE230" s="1196"/>
      <c r="AF230" s="411"/>
      <c r="AG230" s="412"/>
      <c r="AH230" s="413"/>
      <c r="AI230" s="414"/>
      <c r="AJ230" s="415"/>
      <c r="AK230" s="414"/>
      <c r="AL230" s="415"/>
      <c r="AM230" s="414"/>
      <c r="AN230" s="415"/>
      <c r="AO230" s="414"/>
      <c r="AP230" s="415"/>
      <c r="AQ230" s="414"/>
      <c r="AR230" s="417"/>
    </row>
    <row r="231" spans="1:44" outlineLevel="1">
      <c r="B231" s="541"/>
      <c r="C231" s="544"/>
      <c r="D231" s="544"/>
      <c r="E231" s="544"/>
      <c r="F231" s="544"/>
      <c r="G231" s="549"/>
      <c r="H231" s="549"/>
      <c r="I231" s="549"/>
      <c r="J231" s="549"/>
      <c r="K231" s="550"/>
      <c r="L231" s="548"/>
      <c r="M231" s="363"/>
      <c r="N231" s="363"/>
    </row>
    <row r="232" spans="1:44" outlineLevel="1">
      <c r="B232" s="541"/>
      <c r="C232" s="544"/>
      <c r="D232" s="544"/>
      <c r="E232" s="544"/>
      <c r="F232" s="544"/>
      <c r="G232" s="549"/>
      <c r="H232" s="549"/>
      <c r="I232" s="549"/>
      <c r="J232" s="549"/>
      <c r="K232" s="550"/>
      <c r="L232" s="548"/>
      <c r="M232" s="420"/>
      <c r="N232" s="363"/>
    </row>
    <row r="233" spans="1:44" outlineLevel="1">
      <c r="B233" s="421"/>
      <c r="C233" s="399"/>
      <c r="D233" s="399"/>
      <c r="E233" s="399"/>
      <c r="F233" s="399"/>
      <c r="G233" s="422"/>
      <c r="H233" s="422"/>
      <c r="I233" s="422"/>
      <c r="J233" s="422"/>
      <c r="K233" s="423"/>
      <c r="L233" s="424"/>
      <c r="M233" s="420"/>
      <c r="N233" s="420"/>
    </row>
    <row r="234" spans="1:44" outlineLevel="1">
      <c r="B234" s="383"/>
      <c r="C234" s="397"/>
      <c r="D234" s="397"/>
      <c r="E234" s="397"/>
      <c r="F234" s="397"/>
      <c r="G234" s="422"/>
      <c r="H234" s="425"/>
      <c r="I234" s="425"/>
      <c r="J234" s="425"/>
      <c r="K234" s="426"/>
      <c r="L234" s="427"/>
      <c r="M234" s="428"/>
      <c r="N234" s="428"/>
    </row>
    <row r="235" spans="1:44" outlineLevel="1">
      <c r="B235" s="383"/>
      <c r="C235" s="397"/>
      <c r="D235" s="397"/>
      <c r="E235" s="397"/>
      <c r="F235" s="397"/>
      <c r="G235" s="425"/>
      <c r="H235" s="425"/>
      <c r="I235" s="425"/>
      <c r="J235" s="425"/>
      <c r="K235" s="423"/>
      <c r="L235" s="427"/>
      <c r="M235" s="428"/>
      <c r="N235" s="428"/>
    </row>
    <row r="236" spans="1:44" outlineLevel="1">
      <c r="B236" s="383"/>
      <c r="C236" s="397"/>
      <c r="D236" s="397"/>
      <c r="E236" s="397"/>
      <c r="F236" s="397"/>
      <c r="G236" s="425"/>
      <c r="H236" s="425"/>
      <c r="I236" s="425"/>
      <c r="J236" s="425"/>
      <c r="K236" s="423"/>
      <c r="L236" s="427"/>
      <c r="M236" s="428"/>
      <c r="N236" s="428"/>
    </row>
    <row r="237" spans="1:44" outlineLevel="1">
      <c r="B237" s="383"/>
      <c r="C237" s="397"/>
      <c r="D237" s="397"/>
      <c r="E237" s="397"/>
      <c r="F237" s="397"/>
      <c r="G237" s="425"/>
      <c r="H237" s="425"/>
      <c r="I237" s="425"/>
      <c r="J237" s="425"/>
      <c r="K237" s="423"/>
      <c r="L237" s="427"/>
      <c r="M237" s="428"/>
      <c r="N237" s="428"/>
    </row>
    <row r="238" spans="1:44" ht="16" outlineLevel="1" thickBot="1">
      <c r="B238" s="429"/>
      <c r="C238" s="430"/>
      <c r="D238" s="430"/>
      <c r="E238" s="430"/>
      <c r="F238" s="430"/>
      <c r="G238" s="425"/>
      <c r="H238" s="425"/>
      <c r="I238" s="425"/>
      <c r="J238" s="425"/>
      <c r="K238" s="423"/>
      <c r="L238" s="427"/>
      <c r="M238" s="428"/>
      <c r="N238" s="428"/>
    </row>
    <row r="239" spans="1:44" ht="16" outlineLevel="1" thickBot="1">
      <c r="B239" s="431"/>
      <c r="C239" s="432"/>
      <c r="D239" s="403"/>
      <c r="E239" s="403"/>
      <c r="F239" s="433"/>
      <c r="G239" s="434"/>
      <c r="H239" s="406"/>
      <c r="I239" s="406"/>
      <c r="J239" s="406"/>
      <c r="K239" s="407"/>
      <c r="L239" s="408"/>
      <c r="M239" s="428"/>
      <c r="N239" s="428"/>
    </row>
    <row r="240" spans="1:44" outlineLevel="1">
      <c r="A240" s="435"/>
      <c r="B240" s="436"/>
      <c r="C240" s="551"/>
      <c r="D240" s="512"/>
      <c r="E240" s="512"/>
      <c r="F240" s="513"/>
      <c r="G240" s="425"/>
      <c r="H240" s="425"/>
      <c r="I240" s="425"/>
      <c r="J240" s="425"/>
      <c r="K240" s="426"/>
      <c r="L240" s="440"/>
      <c r="M240" s="420"/>
      <c r="N240" s="420"/>
    </row>
    <row r="241" spans="2:30" outlineLevel="1">
      <c r="B241" s="441"/>
      <c r="C241" s="443"/>
      <c r="D241" s="442"/>
      <c r="E241" s="442"/>
      <c r="F241" s="442"/>
      <c r="G241" s="425"/>
      <c r="H241" s="425"/>
      <c r="I241" s="425"/>
      <c r="J241" s="425"/>
      <c r="K241" s="444"/>
      <c r="L241" s="373"/>
      <c r="M241" s="71"/>
      <c r="N241" s="420"/>
    </row>
    <row r="242" spans="2:30" outlineLevel="1">
      <c r="B242" s="441"/>
      <c r="C242" s="443"/>
      <c r="D242" s="443"/>
      <c r="E242" s="443"/>
      <c r="F242" s="443"/>
      <c r="G242" s="425"/>
      <c r="H242" s="425"/>
      <c r="I242" s="425"/>
      <c r="J242" s="425"/>
      <c r="K242" s="444"/>
      <c r="L242" s="373"/>
      <c r="M242" s="420"/>
      <c r="N242" s="420"/>
    </row>
    <row r="243" spans="2:30" outlineLevel="1">
      <c r="B243" s="383"/>
      <c r="C243" s="445"/>
      <c r="D243" s="446"/>
      <c r="E243" s="446"/>
      <c r="F243" s="447"/>
      <c r="G243" s="425"/>
      <c r="H243" s="425"/>
      <c r="I243" s="425"/>
      <c r="J243" s="425"/>
      <c r="K243" s="448"/>
      <c r="L243" s="373"/>
      <c r="M243" s="420"/>
      <c r="N243" s="420"/>
    </row>
    <row r="244" spans="2:30" outlineLevel="1">
      <c r="B244" s="383"/>
      <c r="C244" s="449"/>
      <c r="D244" s="449"/>
      <c r="E244" s="449"/>
      <c r="F244" s="449"/>
      <c r="G244" s="425"/>
      <c r="H244" s="425"/>
      <c r="I244" s="425"/>
      <c r="J244" s="425"/>
      <c r="K244" s="448"/>
      <c r="L244" s="373"/>
      <c r="M244" s="450"/>
      <c r="N244" s="361"/>
      <c r="P244" s="1142"/>
      <c r="Q244" s="1143"/>
      <c r="R244" s="1143"/>
      <c r="S244" s="1143"/>
      <c r="T244" s="1143"/>
      <c r="U244" s="1144"/>
    </row>
    <row r="245" spans="2:30" ht="16" outlineLevel="1" thickBot="1">
      <c r="B245" s="541"/>
      <c r="C245" s="552"/>
      <c r="D245" s="552"/>
      <c r="E245" s="552"/>
      <c r="F245" s="552"/>
      <c r="G245" s="425"/>
      <c r="H245" s="425"/>
      <c r="I245" s="425"/>
      <c r="J245" s="425"/>
      <c r="K245" s="444"/>
      <c r="L245" s="373"/>
      <c r="M245" s="450"/>
      <c r="N245" s="361"/>
      <c r="P245" s="1134"/>
      <c r="Q245" s="1135"/>
      <c r="R245" s="1135"/>
      <c r="S245" s="1135"/>
      <c r="T245" s="1135"/>
      <c r="U245" s="1136"/>
    </row>
    <row r="246" spans="2:30" outlineLevel="1">
      <c r="B246" s="541"/>
      <c r="C246" s="554"/>
      <c r="D246" s="554"/>
      <c r="E246" s="554"/>
      <c r="F246" s="554"/>
      <c r="G246" s="425"/>
      <c r="H246" s="425"/>
      <c r="I246" s="425"/>
      <c r="J246" s="425"/>
      <c r="K246" s="448"/>
      <c r="L246" s="373"/>
      <c r="M246" s="363"/>
      <c r="N246" s="363"/>
      <c r="P246" s="53"/>
    </row>
    <row r="247" spans="2:30" outlineLevel="1">
      <c r="B247" s="441"/>
      <c r="C247" s="518"/>
      <c r="D247" s="518"/>
      <c r="E247" s="518"/>
      <c r="F247" s="518"/>
      <c r="G247" s="425"/>
      <c r="H247" s="425"/>
      <c r="I247" s="425"/>
      <c r="J247" s="425"/>
      <c r="K247" s="444"/>
      <c r="L247" s="424"/>
      <c r="M247" s="367"/>
      <c r="N247" s="367"/>
      <c r="P247" s="46"/>
      <c r="Q247" s="46"/>
      <c r="R247" s="47"/>
      <c r="S247" s="47"/>
      <c r="T247" s="47"/>
      <c r="U247" s="48"/>
      <c r="V247" s="49"/>
      <c r="W247" s="49"/>
      <c r="X247" s="49"/>
      <c r="Y247" s="49"/>
      <c r="Z247" s="49"/>
      <c r="AA247" s="49"/>
      <c r="AB247" s="49"/>
      <c r="AC247" s="49"/>
      <c r="AD247" s="49"/>
    </row>
    <row r="248" spans="2:30" ht="16" outlineLevel="1" thickBot="1">
      <c r="B248" s="519"/>
      <c r="C248" s="442"/>
      <c r="D248" s="520"/>
      <c r="E248" s="520"/>
      <c r="F248" s="521"/>
      <c r="G248" s="425"/>
      <c r="H248" s="425"/>
      <c r="I248" s="425"/>
      <c r="J248" s="425"/>
      <c r="K248" s="448"/>
      <c r="L248" s="424"/>
      <c r="M248" s="363"/>
      <c r="N248" s="363"/>
      <c r="P248" s="50"/>
      <c r="Q248" s="50"/>
      <c r="R248" s="51"/>
      <c r="S248" s="51"/>
      <c r="T248" s="51"/>
      <c r="U248" s="51"/>
      <c r="V248" s="50"/>
      <c r="W248" s="50"/>
      <c r="X248" s="50"/>
      <c r="Y248" s="50"/>
      <c r="Z248" s="50"/>
      <c r="AA248" s="50"/>
      <c r="AB248" s="50"/>
      <c r="AC248" s="50"/>
      <c r="AD248" s="50"/>
    </row>
    <row r="249" spans="2:30" ht="16" outlineLevel="1" thickBot="1">
      <c r="B249" s="401"/>
      <c r="C249" s="402"/>
      <c r="D249" s="403"/>
      <c r="E249" s="404"/>
      <c r="F249" s="405"/>
      <c r="G249" s="406"/>
      <c r="H249" s="406"/>
      <c r="I249" s="406"/>
      <c r="J249" s="406"/>
      <c r="K249" s="459"/>
      <c r="L249" s="460"/>
      <c r="M249" s="363"/>
      <c r="N249" s="363"/>
      <c r="O249" s="461"/>
      <c r="P249" s="56"/>
      <c r="Q249" s="56"/>
      <c r="R249" s="57"/>
      <c r="S249" s="57"/>
      <c r="T249" s="57"/>
      <c r="U249" s="56"/>
      <c r="V249" s="56"/>
      <c r="W249" s="56"/>
      <c r="X249" s="56"/>
      <c r="Y249" s="56"/>
      <c r="Z249" s="56"/>
      <c r="AA249" s="56"/>
      <c r="AB249" s="56"/>
      <c r="AC249" s="56"/>
      <c r="AD249" s="56"/>
    </row>
    <row r="250" spans="2:30" outlineLevel="1">
      <c r="B250" s="556"/>
      <c r="C250" s="557"/>
      <c r="D250" s="557"/>
      <c r="E250" s="557"/>
      <c r="F250" s="557"/>
      <c r="G250" s="558"/>
      <c r="H250" s="558"/>
      <c r="I250" s="558"/>
      <c r="J250" s="558"/>
      <c r="K250" s="558"/>
      <c r="L250" s="559"/>
      <c r="M250" s="363"/>
      <c r="N250" s="363"/>
      <c r="O250" s="465"/>
      <c r="P250" s="466"/>
      <c r="Q250" s="58"/>
      <c r="R250" s="466"/>
      <c r="S250" s="58"/>
      <c r="T250" s="466"/>
      <c r="U250" s="467"/>
      <c r="V250" s="467"/>
      <c r="W250" s="467"/>
      <c r="X250" s="58"/>
      <c r="Y250" s="58"/>
      <c r="Z250" s="466"/>
      <c r="AA250" s="468"/>
      <c r="AB250" s="468"/>
      <c r="AC250" s="468"/>
      <c r="AD250" s="468"/>
    </row>
    <row r="251" spans="2:30" outlineLevel="1">
      <c r="B251" s="541"/>
      <c r="C251" s="560"/>
      <c r="D251" s="561"/>
      <c r="E251" s="561"/>
      <c r="F251" s="562"/>
      <c r="G251" s="562"/>
      <c r="H251" s="562"/>
      <c r="I251" s="562"/>
      <c r="J251" s="562"/>
      <c r="K251" s="563"/>
      <c r="L251" s="559"/>
      <c r="M251" s="363"/>
      <c r="N251" s="363"/>
      <c r="O251" s="465"/>
      <c r="P251" s="466"/>
      <c r="Q251" s="58"/>
      <c r="R251" s="466"/>
      <c r="S251" s="58"/>
      <c r="T251" s="466"/>
      <c r="U251" s="467"/>
      <c r="V251" s="467"/>
      <c r="W251" s="467"/>
      <c r="X251" s="58"/>
      <c r="Y251" s="58"/>
      <c r="Z251" s="466"/>
      <c r="AA251" s="468"/>
      <c r="AB251" s="468"/>
      <c r="AC251" s="468"/>
      <c r="AD251" s="468"/>
    </row>
    <row r="252" spans="2:30" outlineLevel="1">
      <c r="B252" s="541"/>
      <c r="C252" s="560"/>
      <c r="D252" s="561"/>
      <c r="E252" s="561"/>
      <c r="F252" s="562"/>
      <c r="G252" s="562"/>
      <c r="H252" s="562"/>
      <c r="I252" s="562"/>
      <c r="J252" s="562"/>
      <c r="K252" s="563"/>
      <c r="L252" s="559"/>
      <c r="M252" s="363"/>
      <c r="N252" s="363"/>
      <c r="O252" s="465"/>
      <c r="P252" s="466"/>
      <c r="Q252" s="58"/>
      <c r="R252" s="466"/>
      <c r="S252" s="58"/>
      <c r="T252" s="466"/>
      <c r="U252" s="467"/>
      <c r="V252" s="467"/>
      <c r="W252" s="467"/>
      <c r="X252" s="58"/>
      <c r="Y252" s="58"/>
      <c r="Z252" s="466"/>
      <c r="AA252" s="468"/>
      <c r="AB252" s="468"/>
      <c r="AC252" s="468"/>
      <c r="AD252" s="468"/>
    </row>
    <row r="253" spans="2:30" outlineLevel="1">
      <c r="B253" s="541"/>
      <c r="C253" s="564"/>
      <c r="D253" s="564"/>
      <c r="E253" s="564"/>
      <c r="F253" s="564"/>
      <c r="G253" s="565"/>
      <c r="H253" s="565"/>
      <c r="I253" s="565"/>
      <c r="J253" s="565"/>
      <c r="K253" s="565"/>
      <c r="L253" s="548"/>
      <c r="M253" s="363"/>
      <c r="N253" s="363"/>
      <c r="O253" s="465"/>
      <c r="P253" s="466"/>
      <c r="Q253" s="58"/>
      <c r="R253" s="466"/>
      <c r="S253" s="58"/>
      <c r="T253" s="466"/>
      <c r="U253" s="467"/>
      <c r="V253" s="467"/>
      <c r="W253" s="467"/>
      <c r="X253" s="58"/>
      <c r="Y253" s="58"/>
      <c r="Z253" s="466"/>
      <c r="AA253" s="468"/>
      <c r="AB253" s="468"/>
      <c r="AC253" s="468"/>
      <c r="AD253" s="468"/>
    </row>
    <row r="254" spans="2:30" outlineLevel="1">
      <c r="B254" s="566"/>
      <c r="C254" s="560"/>
      <c r="D254" s="561"/>
      <c r="E254" s="561"/>
      <c r="F254" s="562"/>
      <c r="G254" s="562"/>
      <c r="H254" s="562"/>
      <c r="I254" s="562"/>
      <c r="J254" s="562"/>
      <c r="K254" s="563"/>
      <c r="L254" s="559"/>
      <c r="M254" s="367"/>
      <c r="N254" s="367"/>
    </row>
    <row r="255" spans="2:30" outlineLevel="1">
      <c r="B255" s="566"/>
      <c r="C255" s="560"/>
      <c r="D255" s="561"/>
      <c r="E255" s="561"/>
      <c r="F255" s="562"/>
      <c r="G255" s="562"/>
      <c r="H255" s="562"/>
      <c r="I255" s="562"/>
      <c r="J255" s="562"/>
      <c r="K255" s="563"/>
      <c r="L255" s="559"/>
      <c r="M255" s="363"/>
      <c r="N255" s="363"/>
    </row>
    <row r="256" spans="2:30" ht="16" outlineLevel="1" thickBot="1">
      <c r="B256" s="567"/>
      <c r="C256" s="568"/>
      <c r="D256" s="568"/>
      <c r="E256" s="568"/>
      <c r="F256" s="568"/>
      <c r="G256" s="568"/>
      <c r="H256" s="568"/>
      <c r="I256" s="568"/>
      <c r="J256" s="568"/>
      <c r="K256" s="568"/>
      <c r="L256" s="569"/>
      <c r="M256" s="363"/>
      <c r="N256" s="363"/>
    </row>
    <row r="257" spans="1:15" outlineLevel="1">
      <c r="B257" s="461"/>
      <c r="C257" s="483"/>
      <c r="D257" s="483"/>
      <c r="E257" s="483"/>
      <c r="F257" s="483"/>
      <c r="G257" s="483"/>
      <c r="H257" s="484"/>
      <c r="I257" s="420"/>
      <c r="J257" s="420"/>
      <c r="K257" s="484"/>
      <c r="L257" s="484"/>
      <c r="N257" s="420"/>
    </row>
    <row r="258" spans="1:15" outlineLevel="1">
      <c r="B258" s="485"/>
      <c r="C258" s="486"/>
      <c r="D258" s="486"/>
      <c r="E258" s="486"/>
      <c r="F258" s="486"/>
      <c r="G258" s="486"/>
      <c r="H258" s="484"/>
      <c r="I258" s="71"/>
      <c r="J258" s="420"/>
      <c r="K258" s="484"/>
      <c r="L258" s="484"/>
      <c r="N258" s="420"/>
    </row>
    <row r="259" spans="1:15" outlineLevel="1">
      <c r="B259" s="461"/>
      <c r="C259" s="359"/>
      <c r="D259" s="359"/>
      <c r="E259" s="359"/>
      <c r="F259" s="359"/>
      <c r="G259" s="359"/>
      <c r="I259" s="420"/>
      <c r="J259" s="420"/>
      <c r="N259" s="420"/>
    </row>
    <row r="260" spans="1:15" outlineLevel="1">
      <c r="B260" s="461"/>
      <c r="C260" s="487"/>
      <c r="D260" s="487"/>
      <c r="E260" s="487"/>
      <c r="F260" s="487"/>
      <c r="G260" s="359"/>
      <c r="M260" s="420"/>
      <c r="N260" s="420"/>
    </row>
    <row r="261" spans="1:15" outlineLevel="1"/>
    <row r="262" spans="1:15" outlineLevel="1">
      <c r="A262" s="488"/>
      <c r="B262" s="489"/>
      <c r="D262" s="490"/>
      <c r="E262" s="490"/>
      <c r="F262" s="490"/>
      <c r="G262" s="358"/>
      <c r="H262" s="358"/>
      <c r="I262" s="358"/>
      <c r="J262" s="358"/>
      <c r="K262" s="358"/>
      <c r="L262" s="358"/>
    </row>
    <row r="263" spans="1:15" outlineLevel="1">
      <c r="A263" s="491"/>
      <c r="B263" s="492"/>
      <c r="D263" s="490"/>
      <c r="E263" s="490"/>
      <c r="F263" s="490"/>
      <c r="G263" s="358"/>
      <c r="H263" s="358"/>
      <c r="I263" s="358"/>
      <c r="J263" s="358"/>
      <c r="K263" s="358"/>
      <c r="L263" s="358"/>
    </row>
    <row r="264" spans="1:15" outlineLevel="1">
      <c r="A264" s="491"/>
      <c r="B264" s="493"/>
      <c r="D264" s="490"/>
      <c r="E264" s="490"/>
      <c r="F264" s="490"/>
      <c r="G264" s="358"/>
      <c r="H264" s="358"/>
      <c r="I264" s="358"/>
      <c r="J264" s="358"/>
      <c r="K264" s="358"/>
      <c r="L264" s="358"/>
    </row>
    <row r="265" spans="1:15" outlineLevel="1">
      <c r="A265" s="491"/>
      <c r="B265" s="493"/>
      <c r="D265" s="490"/>
      <c r="E265" s="490"/>
      <c r="F265" s="490"/>
      <c r="G265" s="358"/>
      <c r="H265" s="358"/>
      <c r="I265" s="358"/>
      <c r="J265" s="358"/>
      <c r="K265" s="358"/>
      <c r="L265" s="358"/>
    </row>
    <row r="266" spans="1:15" outlineLevel="1">
      <c r="A266" s="491"/>
      <c r="B266" s="493"/>
      <c r="D266" s="490"/>
      <c r="E266" s="490"/>
      <c r="F266" s="490"/>
      <c r="G266" s="358"/>
      <c r="H266" s="358"/>
      <c r="I266" s="358"/>
      <c r="J266" s="358"/>
      <c r="K266" s="358"/>
      <c r="L266" s="358"/>
    </row>
    <row r="267" spans="1:15" outlineLevel="1">
      <c r="A267" s="358"/>
      <c r="B267" s="494"/>
      <c r="D267" s="490"/>
      <c r="E267" s="490"/>
      <c r="F267" s="490"/>
      <c r="G267" s="358"/>
      <c r="H267" s="358"/>
      <c r="I267" s="358"/>
      <c r="J267" s="358"/>
      <c r="K267" s="358"/>
      <c r="L267" s="358"/>
      <c r="M267" s="570"/>
      <c r="N267" s="489"/>
      <c r="O267" s="490"/>
    </row>
    <row r="268" spans="1:15" outlineLevel="1">
      <c r="A268" s="358"/>
      <c r="B268" s="492"/>
      <c r="D268" s="490"/>
      <c r="E268" s="490"/>
      <c r="F268" s="490"/>
      <c r="G268" s="358"/>
      <c r="H268" s="358"/>
      <c r="I268" s="358"/>
      <c r="J268" s="358"/>
      <c r="K268" s="358"/>
      <c r="L268" s="358"/>
      <c r="O268" s="490"/>
    </row>
    <row r="269" spans="1:15" outlineLevel="1">
      <c r="A269" s="358"/>
      <c r="B269" s="495"/>
      <c r="D269" s="490"/>
      <c r="E269" s="490"/>
      <c r="F269" s="490"/>
      <c r="G269" s="358"/>
      <c r="H269" s="358"/>
      <c r="I269" s="358"/>
      <c r="J269" s="358"/>
      <c r="K269" s="358"/>
      <c r="L269" s="358"/>
      <c r="O269" s="490"/>
    </row>
    <row r="270" spans="1:15" outlineLevel="1">
      <c r="A270" s="358"/>
      <c r="B270" s="495"/>
      <c r="D270" s="490"/>
      <c r="E270" s="490"/>
      <c r="F270" s="490"/>
      <c r="G270" s="358"/>
      <c r="H270" s="358"/>
      <c r="I270" s="358"/>
      <c r="J270" s="358"/>
      <c r="K270" s="358"/>
      <c r="L270" s="358"/>
      <c r="O270" s="490"/>
    </row>
    <row r="271" spans="1:15" outlineLevel="1">
      <c r="A271" s="358"/>
      <c r="B271" s="489"/>
      <c r="D271" s="490"/>
      <c r="E271" s="490"/>
      <c r="F271" s="490"/>
      <c r="G271" s="358"/>
      <c r="H271" s="358"/>
      <c r="I271" s="358"/>
      <c r="J271" s="358"/>
      <c r="K271" s="358"/>
      <c r="L271" s="358"/>
      <c r="O271" s="490"/>
    </row>
    <row r="272" spans="1:15" outlineLevel="1">
      <c r="A272" s="358"/>
      <c r="B272" s="490"/>
      <c r="D272" s="490"/>
      <c r="E272" s="490"/>
      <c r="F272" s="490"/>
      <c r="G272" s="358"/>
      <c r="H272" s="358"/>
      <c r="I272" s="358"/>
      <c r="J272" s="358"/>
      <c r="K272" s="358"/>
      <c r="L272" s="358"/>
      <c r="O272" s="490"/>
    </row>
    <row r="273" spans="1:44" outlineLevel="1">
      <c r="A273" s="488"/>
      <c r="B273" s="489"/>
      <c r="D273" s="490"/>
      <c r="E273" s="490"/>
      <c r="F273" s="490"/>
      <c r="G273" s="358"/>
      <c r="H273" s="358"/>
      <c r="I273" s="358"/>
      <c r="J273" s="358"/>
      <c r="K273" s="358"/>
      <c r="L273" s="358"/>
      <c r="O273" s="490"/>
    </row>
    <row r="274" spans="1:44" outlineLevel="1">
      <c r="A274" s="496"/>
      <c r="B274" s="497"/>
      <c r="D274" s="490"/>
      <c r="E274" s="490"/>
      <c r="F274" s="490"/>
      <c r="G274" s="358"/>
      <c r="H274" s="358"/>
      <c r="I274" s="358"/>
      <c r="J274" s="358"/>
      <c r="K274" s="358"/>
      <c r="L274" s="358"/>
      <c r="M274" s="570"/>
      <c r="N274" s="489"/>
      <c r="O274" s="490"/>
    </row>
    <row r="275" spans="1:44" outlineLevel="1">
      <c r="A275" s="496"/>
      <c r="B275" s="489"/>
      <c r="D275" s="490"/>
      <c r="E275" s="490"/>
      <c r="F275" s="490"/>
      <c r="G275" s="358"/>
      <c r="H275" s="358"/>
      <c r="I275" s="358"/>
      <c r="J275" s="358"/>
      <c r="K275" s="358"/>
      <c r="L275" s="358"/>
      <c r="M275" s="571"/>
      <c r="N275" s="489"/>
      <c r="O275" s="490"/>
    </row>
    <row r="276" spans="1:44" outlineLevel="1">
      <c r="A276" s="496"/>
      <c r="B276" s="489"/>
      <c r="D276" s="490"/>
      <c r="E276" s="490"/>
      <c r="F276" s="490"/>
      <c r="G276" s="358"/>
      <c r="H276" s="358"/>
      <c r="I276" s="358"/>
      <c r="J276" s="358"/>
      <c r="K276" s="358"/>
      <c r="L276" s="358"/>
      <c r="M276" s="572"/>
      <c r="N276" s="489"/>
      <c r="O276" s="490"/>
    </row>
    <row r="277" spans="1:44" outlineLevel="1">
      <c r="A277" s="496"/>
      <c r="B277" s="498"/>
      <c r="D277" s="490"/>
      <c r="E277" s="490"/>
      <c r="F277" s="490"/>
      <c r="G277" s="358"/>
      <c r="H277" s="358"/>
      <c r="I277" s="358"/>
      <c r="J277" s="358"/>
      <c r="K277" s="358"/>
      <c r="L277" s="358"/>
      <c r="M277" s="573"/>
      <c r="N277" s="489"/>
      <c r="O277" s="490"/>
    </row>
    <row r="278" spans="1:44" outlineLevel="1">
      <c r="A278" s="496"/>
      <c r="B278" s="489"/>
      <c r="D278" s="490"/>
      <c r="E278" s="490"/>
      <c r="F278" s="490"/>
      <c r="G278" s="358"/>
      <c r="H278" s="358"/>
      <c r="I278" s="358"/>
      <c r="J278" s="358"/>
      <c r="K278" s="358"/>
      <c r="L278" s="358"/>
      <c r="M278" s="573"/>
      <c r="N278" s="490"/>
      <c r="O278" s="490"/>
    </row>
    <row r="279" spans="1:44" outlineLevel="1">
      <c r="A279" s="496"/>
      <c r="B279" s="489"/>
      <c r="D279" s="490"/>
      <c r="E279" s="490"/>
      <c r="F279" s="490"/>
      <c r="G279" s="358"/>
      <c r="H279" s="358"/>
      <c r="I279" s="358"/>
      <c r="J279" s="358"/>
      <c r="K279" s="358"/>
      <c r="L279" s="358"/>
      <c r="M279" s="489"/>
      <c r="N279" s="490"/>
      <c r="O279" s="490"/>
    </row>
    <row r="280" spans="1:44" outlineLevel="1"/>
    <row r="283" spans="1:44" ht="16" thickBot="1">
      <c r="A283" s="360"/>
    </row>
    <row r="284" spans="1:44" ht="20.5" customHeight="1" thickBot="1">
      <c r="B284" s="362"/>
      <c r="C284" s="1186"/>
      <c r="D284" s="1187"/>
      <c r="E284" s="1187"/>
      <c r="F284" s="1187"/>
      <c r="G284" s="1187"/>
      <c r="H284" s="1187"/>
      <c r="I284" s="1187"/>
      <c r="J284" s="1187"/>
      <c r="K284" s="1187"/>
      <c r="L284" s="1188"/>
      <c r="M284" s="363"/>
      <c r="N284" s="363"/>
      <c r="P284" s="364"/>
      <c r="Q284" s="365"/>
      <c r="R284" s="366"/>
      <c r="S284" s="1176"/>
      <c r="T284" s="1160"/>
      <c r="U284" s="1161"/>
      <c r="V284" s="1160"/>
      <c r="W284" s="1161"/>
      <c r="X284" s="1160"/>
      <c r="Y284" s="1161"/>
      <c r="Z284" s="1160"/>
      <c r="AA284" s="1161"/>
      <c r="AB284" s="1160"/>
      <c r="AC284" s="1161"/>
      <c r="AE284" s="364"/>
      <c r="AF284" s="365"/>
      <c r="AG284" s="366"/>
      <c r="AH284" s="1176"/>
      <c r="AI284" s="1160"/>
      <c r="AJ284" s="1161"/>
      <c r="AK284" s="1160"/>
      <c r="AL284" s="1161"/>
      <c r="AM284" s="1160"/>
      <c r="AN284" s="1161"/>
      <c r="AO284" s="1160"/>
      <c r="AP284" s="1161"/>
      <c r="AQ284" s="1160"/>
      <c r="AR284" s="1161"/>
    </row>
    <row r="285" spans="1:44" ht="15" customHeight="1" thickBot="1">
      <c r="B285" s="1164"/>
      <c r="C285" s="1166"/>
      <c r="D285" s="1166"/>
      <c r="E285" s="1166"/>
      <c r="F285" s="1166"/>
      <c r="G285" s="1168"/>
      <c r="H285" s="1169"/>
      <c r="I285" s="1168"/>
      <c r="J285" s="1169"/>
      <c r="K285" s="1189"/>
      <c r="L285" s="1189"/>
      <c r="M285" s="367"/>
      <c r="N285" s="367"/>
      <c r="P285" s="1180"/>
      <c r="Q285" s="368"/>
      <c r="R285" s="368"/>
      <c r="S285" s="1177"/>
      <c r="T285" s="1162"/>
      <c r="U285" s="1163"/>
      <c r="V285" s="1162"/>
      <c r="W285" s="1163"/>
      <c r="X285" s="1162"/>
      <c r="Y285" s="1163"/>
      <c r="Z285" s="1162"/>
      <c r="AA285" s="1163"/>
      <c r="AB285" s="1162"/>
      <c r="AC285" s="1163"/>
      <c r="AE285" s="1180"/>
      <c r="AF285" s="368"/>
      <c r="AG285" s="368"/>
      <c r="AH285" s="1177"/>
      <c r="AI285" s="1162"/>
      <c r="AJ285" s="1163"/>
      <c r="AK285" s="1162"/>
      <c r="AL285" s="1163"/>
      <c r="AM285" s="1162"/>
      <c r="AN285" s="1163"/>
      <c r="AO285" s="1162"/>
      <c r="AP285" s="1163"/>
      <c r="AQ285" s="1162"/>
      <c r="AR285" s="1163"/>
    </row>
    <row r="286" spans="1:44" ht="15" customHeight="1" thickBot="1">
      <c r="B286" s="1165"/>
      <c r="C286" s="1167"/>
      <c r="D286" s="1167"/>
      <c r="E286" s="1167"/>
      <c r="F286" s="1167"/>
      <c r="G286" s="406"/>
      <c r="H286" s="406"/>
      <c r="I286" s="406"/>
      <c r="J286" s="406"/>
      <c r="K286" s="1190"/>
      <c r="L286" s="1190"/>
      <c r="M286" s="370"/>
      <c r="N286" s="370"/>
      <c r="P286" s="1181"/>
      <c r="Q286" s="1183"/>
      <c r="R286" s="1184"/>
      <c r="S286" s="1178"/>
      <c r="T286" s="1162"/>
      <c r="U286" s="1163"/>
      <c r="V286" s="1162"/>
      <c r="W286" s="1163"/>
      <c r="X286" s="1162"/>
      <c r="Y286" s="1163"/>
      <c r="Z286" s="1162"/>
      <c r="AA286" s="1163"/>
      <c r="AB286" s="1162"/>
      <c r="AC286" s="1163"/>
      <c r="AE286" s="1181"/>
      <c r="AF286" s="1183"/>
      <c r="AG286" s="1184"/>
      <c r="AH286" s="1178"/>
      <c r="AI286" s="1162"/>
      <c r="AJ286" s="1163"/>
      <c r="AK286" s="1162"/>
      <c r="AL286" s="1163"/>
      <c r="AM286" s="1162"/>
      <c r="AN286" s="1163"/>
      <c r="AO286" s="1162"/>
      <c r="AP286" s="1163"/>
      <c r="AQ286" s="1162"/>
      <c r="AR286" s="1163"/>
    </row>
    <row r="287" spans="1:44" ht="16" thickBot="1">
      <c r="B287" s="371"/>
      <c r="C287" s="372"/>
      <c r="D287" s="372"/>
      <c r="E287" s="372"/>
      <c r="F287" s="372"/>
      <c r="G287" s="372"/>
      <c r="H287" s="372"/>
      <c r="I287" s="372"/>
      <c r="J287" s="372"/>
      <c r="K287" s="372"/>
      <c r="L287" s="373"/>
      <c r="M287" s="370"/>
      <c r="N287" s="370"/>
      <c r="O287" s="74"/>
      <c r="P287" s="1182"/>
      <c r="Q287" s="1179"/>
      <c r="R287" s="1185"/>
      <c r="S287" s="1179"/>
      <c r="T287" s="374"/>
      <c r="U287" s="375"/>
      <c r="V287" s="374"/>
      <c r="W287" s="375"/>
      <c r="X287" s="374"/>
      <c r="Y287" s="375"/>
      <c r="Z287" s="374"/>
      <c r="AA287" s="375"/>
      <c r="AB287" s="374"/>
      <c r="AC287" s="375"/>
      <c r="AE287" s="1182"/>
      <c r="AF287" s="1179"/>
      <c r="AG287" s="1185"/>
      <c r="AH287" s="1179"/>
      <c r="AI287" s="374"/>
      <c r="AJ287" s="375"/>
      <c r="AK287" s="374"/>
      <c r="AL287" s="375"/>
      <c r="AM287" s="374"/>
      <c r="AN287" s="375"/>
      <c r="AO287" s="374"/>
      <c r="AP287" s="375"/>
      <c r="AQ287" s="374"/>
      <c r="AR287" s="375"/>
    </row>
    <row r="288" spans="1:44" ht="14.5" customHeight="1">
      <c r="B288" s="574"/>
      <c r="C288" s="575"/>
      <c r="D288" s="575"/>
      <c r="E288" s="575"/>
      <c r="F288" s="575"/>
      <c r="G288" s="576"/>
      <c r="H288" s="576"/>
      <c r="I288" s="576"/>
      <c r="J288" s="576"/>
      <c r="K288" s="372"/>
      <c r="L288" s="373"/>
      <c r="M288" s="370"/>
      <c r="N288" s="370"/>
      <c r="P288" s="1148"/>
      <c r="Q288" s="1154"/>
      <c r="R288" s="381"/>
      <c r="S288" s="382"/>
      <c r="T288" s="1137"/>
      <c r="U288" s="1151"/>
      <c r="V288" s="1137"/>
      <c r="W288" s="1151"/>
      <c r="X288" s="1137"/>
      <c r="Y288" s="1151"/>
      <c r="Z288" s="1137"/>
      <c r="AA288" s="1151"/>
      <c r="AB288" s="1157"/>
      <c r="AC288" s="1151"/>
      <c r="AE288" s="1148"/>
      <c r="AF288" s="1154"/>
      <c r="AG288" s="381"/>
      <c r="AH288" s="382"/>
      <c r="AI288" s="1137"/>
      <c r="AJ288" s="1151"/>
      <c r="AK288" s="1137"/>
      <c r="AL288" s="1151"/>
      <c r="AM288" s="1137"/>
      <c r="AN288" s="1151"/>
      <c r="AO288" s="1137"/>
      <c r="AP288" s="1151"/>
      <c r="AQ288" s="1157"/>
      <c r="AR288" s="1151"/>
    </row>
    <row r="289" spans="2:44">
      <c r="B289" s="383"/>
      <c r="C289" s="577"/>
      <c r="D289" s="577"/>
      <c r="E289" s="577"/>
      <c r="F289" s="577"/>
      <c r="G289" s="576"/>
      <c r="H289" s="576"/>
      <c r="I289" s="576"/>
      <c r="J289" s="576"/>
      <c r="K289" s="372"/>
      <c r="L289" s="373"/>
      <c r="M289" s="370"/>
      <c r="N289" s="370"/>
      <c r="O289" s="71"/>
      <c r="P289" s="1149"/>
      <c r="Q289" s="1155"/>
      <c r="R289" s="388"/>
      <c r="S289" s="389"/>
      <c r="T289" s="1140"/>
      <c r="U289" s="1152"/>
      <c r="V289" s="1140"/>
      <c r="W289" s="1152"/>
      <c r="X289" s="1140"/>
      <c r="Y289" s="1152"/>
      <c r="Z289" s="1140"/>
      <c r="AA289" s="1152"/>
      <c r="AB289" s="1158"/>
      <c r="AC289" s="1152"/>
      <c r="AE289" s="1149"/>
      <c r="AF289" s="1155"/>
      <c r="AG289" s="388"/>
      <c r="AH289" s="389"/>
      <c r="AI289" s="1140"/>
      <c r="AJ289" s="1152"/>
      <c r="AK289" s="1140"/>
      <c r="AL289" s="1152"/>
      <c r="AM289" s="1140"/>
      <c r="AN289" s="1152"/>
      <c r="AO289" s="1140"/>
      <c r="AP289" s="1152"/>
      <c r="AQ289" s="1158"/>
      <c r="AR289" s="1152"/>
    </row>
    <row r="290" spans="2:44" ht="16" thickBot="1">
      <c r="B290" s="574"/>
      <c r="C290" s="578"/>
      <c r="D290" s="578"/>
      <c r="E290" s="578"/>
      <c r="F290" s="578"/>
      <c r="G290" s="578"/>
      <c r="H290" s="578"/>
      <c r="I290" s="578"/>
      <c r="J290" s="578"/>
      <c r="K290" s="579"/>
      <c r="L290" s="580"/>
      <c r="M290" s="370"/>
      <c r="N290" s="370"/>
      <c r="O290" s="71"/>
      <c r="P290" s="1149"/>
      <c r="Q290" s="1156"/>
      <c r="R290" s="393"/>
      <c r="S290" s="394"/>
      <c r="T290" s="1141"/>
      <c r="U290" s="1153"/>
      <c r="V290" s="1141"/>
      <c r="W290" s="1153"/>
      <c r="X290" s="1141"/>
      <c r="Y290" s="1153"/>
      <c r="Z290" s="1141"/>
      <c r="AA290" s="1153"/>
      <c r="AB290" s="1159"/>
      <c r="AC290" s="1153"/>
      <c r="AE290" s="1149"/>
      <c r="AF290" s="1156"/>
      <c r="AG290" s="393"/>
      <c r="AH290" s="394"/>
      <c r="AI290" s="1141"/>
      <c r="AJ290" s="1153"/>
      <c r="AK290" s="1141"/>
      <c r="AL290" s="1153"/>
      <c r="AM290" s="1141"/>
      <c r="AN290" s="1153"/>
      <c r="AO290" s="1141"/>
      <c r="AP290" s="1153"/>
      <c r="AQ290" s="1159"/>
      <c r="AR290" s="1153"/>
    </row>
    <row r="291" spans="2:44" ht="14.5" customHeight="1">
      <c r="B291" s="574"/>
      <c r="C291" s="581"/>
      <c r="D291" s="581"/>
      <c r="E291" s="581"/>
      <c r="F291" s="581"/>
      <c r="G291" s="581"/>
      <c r="H291" s="581"/>
      <c r="I291" s="581"/>
      <c r="J291" s="581"/>
      <c r="K291" s="579"/>
      <c r="L291" s="580"/>
      <c r="M291" s="370"/>
      <c r="N291" s="370"/>
      <c r="O291" s="71"/>
      <c r="P291" s="1149"/>
      <c r="Q291" s="1145"/>
      <c r="R291" s="395"/>
      <c r="S291" s="396"/>
      <c r="T291" s="1137"/>
      <c r="U291" s="1137"/>
      <c r="V291" s="1137"/>
      <c r="W291" s="1137"/>
      <c r="X291" s="1137"/>
      <c r="Y291" s="1137"/>
      <c r="Z291" s="1137"/>
      <c r="AA291" s="1137"/>
      <c r="AB291" s="1137"/>
      <c r="AC291" s="1137"/>
      <c r="AE291" s="1149"/>
      <c r="AF291" s="1145"/>
      <c r="AG291" s="395"/>
      <c r="AH291" s="396"/>
      <c r="AI291" s="1137"/>
      <c r="AJ291" s="1137"/>
      <c r="AK291" s="1137"/>
      <c r="AL291" s="1137"/>
      <c r="AM291" s="1137"/>
      <c r="AN291" s="1137"/>
      <c r="AO291" s="1137"/>
      <c r="AP291" s="1137"/>
      <c r="AQ291" s="1137"/>
      <c r="AR291" s="1137"/>
    </row>
    <row r="292" spans="2:44">
      <c r="B292" s="574"/>
      <c r="C292" s="582"/>
      <c r="D292" s="582"/>
      <c r="E292" s="582"/>
      <c r="F292" s="582"/>
      <c r="G292" s="582"/>
      <c r="H292" s="582"/>
      <c r="I292" s="582"/>
      <c r="J292" s="582"/>
      <c r="K292" s="579"/>
      <c r="L292" s="580"/>
      <c r="M292" s="367"/>
      <c r="N292" s="367"/>
      <c r="O292" s="71"/>
      <c r="P292" s="1149"/>
      <c r="Q292" s="1146"/>
      <c r="R292" s="395"/>
      <c r="S292" s="396"/>
      <c r="T292" s="1138"/>
      <c r="U292" s="1138"/>
      <c r="V292" s="1138"/>
      <c r="W292" s="1138"/>
      <c r="X292" s="1138"/>
      <c r="Y292" s="1138"/>
      <c r="Z292" s="1138"/>
      <c r="AA292" s="1138"/>
      <c r="AB292" s="1140"/>
      <c r="AC292" s="1138"/>
      <c r="AE292" s="1149"/>
      <c r="AF292" s="1146"/>
      <c r="AG292" s="395"/>
      <c r="AH292" s="396"/>
      <c r="AI292" s="1138"/>
      <c r="AJ292" s="1138"/>
      <c r="AK292" s="1138"/>
      <c r="AL292" s="1138"/>
      <c r="AM292" s="1138"/>
      <c r="AN292" s="1138"/>
      <c r="AO292" s="1138"/>
      <c r="AP292" s="1138"/>
      <c r="AQ292" s="1140"/>
      <c r="AR292" s="1138"/>
    </row>
    <row r="293" spans="2:44">
      <c r="B293" s="383"/>
      <c r="C293" s="397"/>
      <c r="D293" s="397"/>
      <c r="E293" s="397"/>
      <c r="F293" s="397"/>
      <c r="G293" s="398"/>
      <c r="H293" s="398"/>
      <c r="I293" s="398"/>
      <c r="J293" s="398"/>
      <c r="K293" s="372"/>
      <c r="L293" s="373"/>
      <c r="M293" s="363"/>
      <c r="N293" s="363"/>
      <c r="P293" s="1149"/>
      <c r="Q293" s="1146"/>
      <c r="R293" s="395"/>
      <c r="S293" s="396"/>
      <c r="T293" s="1138"/>
      <c r="U293" s="1138"/>
      <c r="V293" s="1138"/>
      <c r="W293" s="1138"/>
      <c r="X293" s="1138"/>
      <c r="Y293" s="1138"/>
      <c r="Z293" s="1138"/>
      <c r="AA293" s="1138"/>
      <c r="AB293" s="1140"/>
      <c r="AC293" s="1138"/>
      <c r="AE293" s="1149"/>
      <c r="AF293" s="1146"/>
      <c r="AG293" s="395"/>
      <c r="AH293" s="396"/>
      <c r="AI293" s="1138"/>
      <c r="AJ293" s="1138"/>
      <c r="AK293" s="1138"/>
      <c r="AL293" s="1138"/>
      <c r="AM293" s="1138"/>
      <c r="AN293" s="1138"/>
      <c r="AO293" s="1138"/>
      <c r="AP293" s="1138"/>
      <c r="AQ293" s="1140"/>
      <c r="AR293" s="1138"/>
    </row>
    <row r="294" spans="2:44" ht="16" thickBot="1">
      <c r="B294" s="574"/>
      <c r="C294" s="582"/>
      <c r="D294" s="582"/>
      <c r="E294" s="582"/>
      <c r="F294" s="582"/>
      <c r="G294" s="582"/>
      <c r="H294" s="582"/>
      <c r="I294" s="582"/>
      <c r="J294" s="582"/>
      <c r="K294" s="372"/>
      <c r="L294" s="373"/>
      <c r="M294" s="363"/>
      <c r="N294" s="363"/>
      <c r="P294" s="1149"/>
      <c r="Q294" s="1146"/>
      <c r="R294" s="395"/>
      <c r="S294" s="396"/>
      <c r="T294" s="1138"/>
      <c r="U294" s="1138"/>
      <c r="V294" s="1138"/>
      <c r="W294" s="1138"/>
      <c r="X294" s="1138"/>
      <c r="Y294" s="1138"/>
      <c r="Z294" s="1138"/>
      <c r="AA294" s="1138"/>
      <c r="AB294" s="1140"/>
      <c r="AC294" s="1138"/>
      <c r="AE294" s="1149"/>
      <c r="AF294" s="1146"/>
      <c r="AG294" s="395"/>
      <c r="AH294" s="396"/>
      <c r="AI294" s="1138"/>
      <c r="AJ294" s="1138"/>
      <c r="AK294" s="1138"/>
      <c r="AL294" s="1138"/>
      <c r="AM294" s="1138"/>
      <c r="AN294" s="1138"/>
      <c r="AO294" s="1138"/>
      <c r="AP294" s="1138"/>
      <c r="AQ294" s="1140"/>
      <c r="AR294" s="1138"/>
    </row>
    <row r="295" spans="2:44" ht="16" thickBot="1">
      <c r="B295" s="401"/>
      <c r="C295" s="583"/>
      <c r="D295" s="584"/>
      <c r="E295" s="585"/>
      <c r="F295" s="586"/>
      <c r="G295" s="406"/>
      <c r="H295" s="406"/>
      <c r="I295" s="406"/>
      <c r="J295" s="406"/>
      <c r="K295" s="407"/>
      <c r="L295" s="587"/>
      <c r="M295" s="363"/>
      <c r="N295" s="363"/>
      <c r="P295" s="1149"/>
      <c r="Q295" s="1147"/>
      <c r="R295" s="409"/>
      <c r="S295" s="410"/>
      <c r="T295" s="1139"/>
      <c r="U295" s="1139"/>
      <c r="V295" s="1139"/>
      <c r="W295" s="1139"/>
      <c r="X295" s="1139"/>
      <c r="Y295" s="1139"/>
      <c r="Z295" s="1139"/>
      <c r="AA295" s="1139"/>
      <c r="AB295" s="1141"/>
      <c r="AC295" s="1139"/>
      <c r="AE295" s="1149"/>
      <c r="AF295" s="1147"/>
      <c r="AG295" s="409"/>
      <c r="AH295" s="410"/>
      <c r="AI295" s="1139"/>
      <c r="AJ295" s="1139"/>
      <c r="AK295" s="1139"/>
      <c r="AL295" s="1139"/>
      <c r="AM295" s="1139"/>
      <c r="AN295" s="1139"/>
      <c r="AO295" s="1139"/>
      <c r="AP295" s="1139"/>
      <c r="AQ295" s="1141"/>
      <c r="AR295" s="1139"/>
    </row>
    <row r="296" spans="2:44" ht="16" thickBot="1">
      <c r="B296" s="574"/>
      <c r="C296" s="588"/>
      <c r="D296" s="588"/>
      <c r="E296" s="588"/>
      <c r="F296" s="588"/>
      <c r="G296" s="589"/>
      <c r="H296" s="589"/>
      <c r="I296" s="590"/>
      <c r="J296" s="590"/>
      <c r="K296" s="579"/>
      <c r="L296" s="580"/>
      <c r="M296" s="363"/>
      <c r="N296" s="363"/>
      <c r="P296" s="1150"/>
      <c r="Q296" s="411"/>
      <c r="R296" s="412"/>
      <c r="S296" s="413"/>
      <c r="T296" s="591"/>
      <c r="U296" s="592"/>
      <c r="V296" s="593"/>
      <c r="W296" s="592"/>
      <c r="X296" s="593"/>
      <c r="Y296" s="592"/>
      <c r="Z296" s="593"/>
      <c r="AA296" s="592"/>
      <c r="AB296" s="593"/>
      <c r="AC296" s="594"/>
      <c r="AE296" s="1150"/>
      <c r="AF296" s="411"/>
      <c r="AG296" s="412"/>
      <c r="AH296" s="413"/>
      <c r="AI296" s="591"/>
      <c r="AJ296" s="592"/>
      <c r="AK296" s="593"/>
      <c r="AL296" s="592"/>
      <c r="AM296" s="593"/>
      <c r="AN296" s="592"/>
      <c r="AO296" s="593"/>
      <c r="AP296" s="592"/>
      <c r="AQ296" s="593"/>
      <c r="AR296" s="594"/>
    </row>
    <row r="297" spans="2:44">
      <c r="B297" s="574"/>
      <c r="C297" s="582"/>
      <c r="D297" s="582"/>
      <c r="E297" s="582"/>
      <c r="F297" s="582"/>
      <c r="G297" s="595"/>
      <c r="H297" s="595"/>
      <c r="I297" s="595"/>
      <c r="J297" s="595"/>
      <c r="K297" s="596"/>
      <c r="L297" s="580"/>
      <c r="M297" s="363"/>
      <c r="N297" s="363"/>
    </row>
    <row r="298" spans="2:44">
      <c r="B298" s="574"/>
      <c r="C298" s="582"/>
      <c r="D298" s="582"/>
      <c r="E298" s="582"/>
      <c r="F298" s="582"/>
      <c r="G298" s="595"/>
      <c r="H298" s="595"/>
      <c r="I298" s="595"/>
      <c r="J298" s="595"/>
      <c r="K298" s="596"/>
      <c r="L298" s="580"/>
      <c r="M298" s="420"/>
      <c r="N298" s="363"/>
    </row>
    <row r="299" spans="2:44">
      <c r="B299" s="421"/>
      <c r="C299" s="399"/>
      <c r="D299" s="399"/>
      <c r="E299" s="399"/>
      <c r="F299" s="399"/>
      <c r="G299" s="422"/>
      <c r="H299" s="422"/>
      <c r="I299" s="422"/>
      <c r="J299" s="422"/>
      <c r="K299" s="423"/>
      <c r="L299" s="597"/>
      <c r="M299" s="420"/>
      <c r="N299" s="420"/>
    </row>
    <row r="300" spans="2:44">
      <c r="B300" s="383"/>
      <c r="C300" s="397"/>
      <c r="D300" s="397"/>
      <c r="E300" s="397"/>
      <c r="F300" s="397"/>
      <c r="G300" s="422"/>
      <c r="H300" s="425"/>
      <c r="I300" s="425"/>
      <c r="J300" s="425"/>
      <c r="K300" s="426"/>
      <c r="L300" s="427"/>
      <c r="M300" s="428"/>
      <c r="N300" s="428"/>
    </row>
    <row r="301" spans="2:44">
      <c r="B301" s="383"/>
      <c r="C301" s="397"/>
      <c r="D301" s="397"/>
      <c r="E301" s="397"/>
      <c r="F301" s="397"/>
      <c r="G301" s="425"/>
      <c r="H301" s="425"/>
      <c r="I301" s="425"/>
      <c r="J301" s="425"/>
      <c r="K301" s="423"/>
      <c r="L301" s="427"/>
      <c r="M301" s="428"/>
      <c r="N301" s="428"/>
    </row>
    <row r="302" spans="2:44">
      <c r="B302" s="383"/>
      <c r="C302" s="397"/>
      <c r="D302" s="397"/>
      <c r="E302" s="397"/>
      <c r="F302" s="397"/>
      <c r="G302" s="425"/>
      <c r="H302" s="425"/>
      <c r="I302" s="425"/>
      <c r="J302" s="425"/>
      <c r="K302" s="423"/>
      <c r="L302" s="427"/>
      <c r="M302" s="428"/>
      <c r="N302" s="428"/>
    </row>
    <row r="303" spans="2:44">
      <c r="B303" s="383"/>
      <c r="C303" s="397"/>
      <c r="D303" s="397"/>
      <c r="E303" s="397"/>
      <c r="F303" s="397"/>
      <c r="G303" s="425"/>
      <c r="H303" s="425"/>
      <c r="I303" s="425"/>
      <c r="J303" s="425"/>
      <c r="K303" s="423"/>
      <c r="L303" s="427"/>
      <c r="M303" s="428"/>
      <c r="N303" s="428"/>
    </row>
    <row r="304" spans="2:44" ht="16" thickBot="1">
      <c r="B304" s="429"/>
      <c r="C304" s="397"/>
      <c r="D304" s="397"/>
      <c r="E304" s="397"/>
      <c r="F304" s="397"/>
      <c r="G304" s="425"/>
      <c r="H304" s="425"/>
      <c r="I304" s="425"/>
      <c r="J304" s="425"/>
      <c r="K304" s="423"/>
      <c r="L304" s="427"/>
      <c r="M304" s="428"/>
      <c r="N304" s="428"/>
    </row>
    <row r="305" spans="1:30" ht="16" thickBot="1">
      <c r="B305" s="431"/>
      <c r="C305" s="598"/>
      <c r="D305" s="584"/>
      <c r="E305" s="584"/>
      <c r="F305" s="599"/>
      <c r="G305" s="434"/>
      <c r="H305" s="406"/>
      <c r="I305" s="406"/>
      <c r="J305" s="406"/>
      <c r="K305" s="407"/>
      <c r="L305" s="587"/>
      <c r="M305" s="428"/>
      <c r="N305" s="428"/>
    </row>
    <row r="306" spans="1:30">
      <c r="A306" s="435"/>
      <c r="B306" s="436"/>
      <c r="C306" s="600"/>
      <c r="D306" s="600"/>
      <c r="E306" s="600"/>
      <c r="F306" s="600"/>
      <c r="G306" s="425"/>
      <c r="H306" s="425"/>
      <c r="I306" s="425"/>
      <c r="J306" s="425"/>
      <c r="K306" s="426"/>
      <c r="L306" s="440"/>
      <c r="M306" s="420"/>
      <c r="N306" s="420"/>
    </row>
    <row r="307" spans="1:30">
      <c r="B307" s="441"/>
      <c r="C307" s="601"/>
      <c r="D307" s="601"/>
      <c r="E307" s="601"/>
      <c r="F307" s="601"/>
      <c r="G307" s="425"/>
      <c r="H307" s="425"/>
      <c r="I307" s="425"/>
      <c r="J307" s="425"/>
      <c r="K307" s="444"/>
      <c r="L307" s="373"/>
      <c r="M307" s="71"/>
      <c r="N307" s="420"/>
    </row>
    <row r="308" spans="1:30">
      <c r="B308" s="441"/>
      <c r="C308" s="601"/>
      <c r="D308" s="601"/>
      <c r="E308" s="601"/>
      <c r="F308" s="601"/>
      <c r="G308" s="425"/>
      <c r="H308" s="425"/>
      <c r="I308" s="425"/>
      <c r="J308" s="425"/>
      <c r="K308" s="444"/>
      <c r="L308" s="373"/>
      <c r="M308" s="420"/>
      <c r="N308" s="420"/>
    </row>
    <row r="309" spans="1:30">
      <c r="B309" s="383"/>
      <c r="C309" s="602"/>
      <c r="D309" s="603"/>
      <c r="E309" s="603"/>
      <c r="F309" s="604"/>
      <c r="G309" s="425"/>
      <c r="H309" s="425"/>
      <c r="I309" s="425"/>
      <c r="J309" s="425"/>
      <c r="K309" s="444"/>
      <c r="L309" s="373"/>
      <c r="M309" s="420"/>
      <c r="N309" s="420"/>
    </row>
    <row r="310" spans="1:30">
      <c r="B310" s="383"/>
      <c r="C310" s="605"/>
      <c r="D310" s="605"/>
      <c r="E310" s="605"/>
      <c r="F310" s="605"/>
      <c r="G310" s="425"/>
      <c r="H310" s="425"/>
      <c r="I310" s="425"/>
      <c r="J310" s="425"/>
      <c r="K310" s="444"/>
      <c r="L310" s="373"/>
      <c r="M310" s="450"/>
      <c r="N310" s="361"/>
      <c r="P310" s="1142"/>
      <c r="Q310" s="1143"/>
      <c r="R310" s="1143"/>
      <c r="S310" s="1143"/>
      <c r="T310" s="1143"/>
      <c r="U310" s="1144"/>
    </row>
    <row r="311" spans="1:30" ht="16" thickBot="1">
      <c r="B311" s="541"/>
      <c r="C311" s="552"/>
      <c r="D311" s="552"/>
      <c r="E311" s="552"/>
      <c r="F311" s="552"/>
      <c r="G311" s="553"/>
      <c r="H311" s="553"/>
      <c r="I311" s="553"/>
      <c r="J311" s="553"/>
      <c r="K311" s="547"/>
      <c r="L311" s="548"/>
      <c r="M311" s="450"/>
      <c r="N311" s="361"/>
      <c r="P311" s="1134"/>
      <c r="Q311" s="1135"/>
      <c r="R311" s="1135"/>
      <c r="S311" s="1135"/>
      <c r="T311" s="1135"/>
      <c r="U311" s="1136"/>
    </row>
    <row r="312" spans="1:30">
      <c r="B312" s="541"/>
      <c r="C312" s="606"/>
      <c r="D312" s="606"/>
      <c r="E312" s="606"/>
      <c r="F312" s="606"/>
      <c r="G312" s="553"/>
      <c r="H312" s="553"/>
      <c r="I312" s="553"/>
      <c r="J312" s="553"/>
      <c r="K312" s="547"/>
      <c r="L312" s="548"/>
      <c r="M312" s="363"/>
      <c r="N312" s="363"/>
      <c r="P312" s="53"/>
    </row>
    <row r="313" spans="1:30">
      <c r="B313" s="541"/>
      <c r="C313" s="607"/>
      <c r="D313" s="547"/>
      <c r="E313" s="547"/>
      <c r="F313" s="563"/>
      <c r="G313" s="550"/>
      <c r="H313" s="550"/>
      <c r="I313" s="550"/>
      <c r="J313" s="550"/>
      <c r="K313" s="547"/>
      <c r="L313" s="608"/>
      <c r="M313" s="367"/>
      <c r="N313" s="367"/>
      <c r="P313" s="46"/>
      <c r="Q313" s="46"/>
      <c r="R313" s="47"/>
      <c r="S313" s="47"/>
      <c r="T313" s="47"/>
      <c r="U313" s="48"/>
      <c r="V313" s="49"/>
      <c r="W313" s="49"/>
      <c r="X313" s="49"/>
      <c r="Y313" s="49"/>
      <c r="Z313" s="49"/>
      <c r="AA313" s="49"/>
      <c r="AB313" s="49"/>
      <c r="AC313" s="49"/>
      <c r="AD313" s="49"/>
    </row>
    <row r="314" spans="1:30" ht="16" thickBot="1">
      <c r="B314" s="566"/>
      <c r="C314" s="607"/>
      <c r="D314" s="609"/>
      <c r="E314" s="609"/>
      <c r="F314" s="610"/>
      <c r="G314" s="550"/>
      <c r="H314" s="550"/>
      <c r="I314" s="550"/>
      <c r="J314" s="550"/>
      <c r="K314" s="547"/>
      <c r="L314" s="608"/>
      <c r="M314" s="363"/>
      <c r="N314" s="363"/>
      <c r="O314" s="71"/>
      <c r="P314" s="50"/>
      <c r="Q314" s="50"/>
      <c r="R314" s="51"/>
      <c r="S314" s="51"/>
      <c r="T314" s="51"/>
      <c r="U314" s="51"/>
      <c r="V314" s="50"/>
      <c r="W314" s="50"/>
      <c r="X314" s="50"/>
      <c r="Y314" s="50"/>
      <c r="Z314" s="50"/>
      <c r="AA314" s="50"/>
      <c r="AB314" s="50"/>
      <c r="AC314" s="50"/>
      <c r="AD314" s="50"/>
    </row>
    <row r="315" spans="1:30" ht="16" thickBot="1">
      <c r="B315" s="611"/>
      <c r="C315" s="612"/>
      <c r="D315" s="613"/>
      <c r="E315" s="614"/>
      <c r="F315" s="615"/>
      <c r="G315" s="540"/>
      <c r="H315" s="540"/>
      <c r="I315" s="540"/>
      <c r="J315" s="540"/>
      <c r="K315" s="616"/>
      <c r="L315" s="617"/>
      <c r="M315" s="363"/>
      <c r="N315" s="363"/>
      <c r="O315" s="461"/>
      <c r="P315" s="56"/>
      <c r="Q315" s="56"/>
      <c r="R315" s="57"/>
      <c r="S315" s="57"/>
      <c r="T315" s="57"/>
      <c r="U315" s="56"/>
      <c r="V315" s="56"/>
      <c r="W315" s="56"/>
      <c r="X315" s="56"/>
      <c r="Y315" s="56"/>
      <c r="Z315" s="56"/>
      <c r="AA315" s="56"/>
      <c r="AB315" s="56"/>
      <c r="AC315" s="56"/>
      <c r="AD315" s="56"/>
    </row>
    <row r="316" spans="1:30">
      <c r="B316" s="556"/>
      <c r="C316" s="618"/>
      <c r="D316" s="618"/>
      <c r="E316" s="618"/>
      <c r="F316" s="618"/>
      <c r="G316" s="618"/>
      <c r="H316" s="618"/>
      <c r="I316" s="618"/>
      <c r="J316" s="618"/>
      <c r="K316" s="618"/>
      <c r="L316" s="619"/>
      <c r="M316" s="363"/>
      <c r="N316" s="363"/>
      <c r="O316" s="620"/>
      <c r="P316" s="466"/>
      <c r="Q316" s="58"/>
      <c r="R316" s="466"/>
      <c r="S316" s="58"/>
      <c r="T316" s="466"/>
      <c r="U316" s="467"/>
      <c r="V316" s="467"/>
      <c r="W316" s="467"/>
      <c r="X316" s="58"/>
      <c r="Y316" s="58"/>
      <c r="Z316" s="466"/>
      <c r="AA316" s="468"/>
      <c r="AB316" s="468"/>
      <c r="AC316" s="468"/>
      <c r="AD316" s="468"/>
    </row>
    <row r="317" spans="1:30">
      <c r="B317" s="541"/>
      <c r="C317" s="558"/>
      <c r="D317" s="558"/>
      <c r="E317" s="558"/>
      <c r="F317" s="558"/>
      <c r="G317" s="563"/>
      <c r="H317" s="563"/>
      <c r="I317" s="563"/>
      <c r="J317" s="563"/>
      <c r="K317" s="563"/>
      <c r="L317" s="548"/>
      <c r="M317" s="363"/>
      <c r="N317" s="363"/>
      <c r="O317" s="620"/>
      <c r="P317" s="466"/>
      <c r="Q317" s="58"/>
      <c r="R317" s="466"/>
      <c r="S317" s="58"/>
      <c r="T317" s="466"/>
      <c r="U317" s="467"/>
      <c r="V317" s="467"/>
      <c r="W317" s="467"/>
      <c r="X317" s="58"/>
      <c r="Y317" s="58"/>
      <c r="Z317" s="466"/>
      <c r="AA317" s="468"/>
      <c r="AB317" s="468"/>
      <c r="AC317" s="468"/>
      <c r="AD317" s="468"/>
    </row>
    <row r="318" spans="1:30">
      <c r="B318" s="541"/>
      <c r="C318" s="558"/>
      <c r="D318" s="558"/>
      <c r="E318" s="558"/>
      <c r="F318" s="558"/>
      <c r="G318" s="563"/>
      <c r="H318" s="563"/>
      <c r="I318" s="563"/>
      <c r="J318" s="563"/>
      <c r="K318" s="563"/>
      <c r="L318" s="548"/>
      <c r="M318" s="363"/>
      <c r="N318" s="363"/>
      <c r="O318" s="620"/>
      <c r="P318" s="466"/>
      <c r="Q318" s="58"/>
      <c r="R318" s="466"/>
      <c r="S318" s="58"/>
      <c r="T318" s="466"/>
      <c r="U318" s="467"/>
      <c r="V318" s="467"/>
      <c r="W318" s="467"/>
      <c r="X318" s="58"/>
      <c r="Y318" s="58"/>
      <c r="Z318" s="466"/>
      <c r="AA318" s="468"/>
      <c r="AB318" s="468"/>
      <c r="AC318" s="468"/>
      <c r="AD318" s="468"/>
    </row>
    <row r="319" spans="1:30">
      <c r="B319" s="541"/>
      <c r="C319" s="564"/>
      <c r="D319" s="564"/>
      <c r="E319" s="564"/>
      <c r="F319" s="564"/>
      <c r="G319" s="621"/>
      <c r="H319" s="621"/>
      <c r="I319" s="621"/>
      <c r="J319" s="621"/>
      <c r="K319" s="621"/>
      <c r="L319" s="548"/>
      <c r="M319" s="363"/>
      <c r="N319" s="363"/>
      <c r="O319" s="620"/>
      <c r="P319" s="466"/>
      <c r="Q319" s="58"/>
      <c r="R319" s="466"/>
      <c r="S319" s="58"/>
      <c r="T319" s="466"/>
      <c r="U319" s="467"/>
      <c r="V319" s="467"/>
      <c r="W319" s="467"/>
      <c r="X319" s="58"/>
      <c r="Y319" s="58"/>
      <c r="Z319" s="466"/>
      <c r="AA319" s="468"/>
      <c r="AB319" s="468"/>
      <c r="AC319" s="468"/>
      <c r="AD319" s="468"/>
    </row>
    <row r="320" spans="1:30">
      <c r="B320" s="566"/>
      <c r="C320" s="558"/>
      <c r="D320" s="558"/>
      <c r="E320" s="558"/>
      <c r="F320" s="558"/>
      <c r="G320" s="563"/>
      <c r="H320" s="563"/>
      <c r="I320" s="563"/>
      <c r="J320" s="563"/>
      <c r="K320" s="563"/>
      <c r="L320" s="548"/>
      <c r="M320" s="367"/>
      <c r="N320" s="367"/>
    </row>
    <row r="321" spans="1:14">
      <c r="B321" s="566"/>
      <c r="C321" s="558"/>
      <c r="D321" s="558"/>
      <c r="E321" s="558"/>
      <c r="F321" s="558"/>
      <c r="G321" s="563"/>
      <c r="H321" s="563"/>
      <c r="I321" s="563"/>
      <c r="J321" s="563"/>
      <c r="K321" s="563"/>
      <c r="L321" s="548"/>
      <c r="M321" s="363"/>
      <c r="N321" s="363"/>
    </row>
    <row r="322" spans="1:14" ht="16" thickBot="1">
      <c r="B322" s="567"/>
      <c r="C322" s="622"/>
      <c r="D322" s="622"/>
      <c r="E322" s="622"/>
      <c r="F322" s="622"/>
      <c r="G322" s="623"/>
      <c r="H322" s="623"/>
      <c r="I322" s="623"/>
      <c r="J322" s="623"/>
      <c r="K322" s="623"/>
      <c r="L322" s="624"/>
      <c r="M322" s="363"/>
      <c r="N322" s="363"/>
    </row>
    <row r="323" spans="1:14">
      <c r="B323" s="461"/>
      <c r="C323" s="483"/>
      <c r="D323" s="483"/>
      <c r="E323" s="483"/>
      <c r="F323" s="483"/>
      <c r="G323" s="483"/>
      <c r="H323" s="484"/>
      <c r="I323" s="420"/>
      <c r="J323" s="420"/>
      <c r="K323" s="484"/>
      <c r="L323" s="484"/>
      <c r="N323" s="420"/>
    </row>
    <row r="324" spans="1:14">
      <c r="B324" s="485"/>
      <c r="C324" s="486"/>
      <c r="D324" s="486"/>
      <c r="E324" s="486"/>
      <c r="F324" s="486"/>
      <c r="G324" s="486"/>
      <c r="H324" s="484"/>
      <c r="I324" s="71"/>
      <c r="J324" s="420"/>
      <c r="K324" s="484"/>
      <c r="L324" s="484"/>
      <c r="N324" s="420"/>
    </row>
    <row r="325" spans="1:14">
      <c r="B325" s="461"/>
      <c r="C325" s="359"/>
      <c r="D325" s="359"/>
      <c r="E325" s="359"/>
      <c r="F325" s="359"/>
      <c r="G325" s="359"/>
      <c r="I325" s="420"/>
      <c r="J325" s="420"/>
      <c r="N325" s="420"/>
    </row>
    <row r="326" spans="1:14">
      <c r="B326" s="461"/>
      <c r="C326" s="487"/>
      <c r="D326" s="487"/>
      <c r="E326" s="487"/>
      <c r="F326" s="487"/>
      <c r="G326" s="359"/>
      <c r="M326" s="420"/>
      <c r="N326" s="420"/>
    </row>
    <row r="329" spans="1:14">
      <c r="A329" s="488"/>
      <c r="B329" s="489"/>
      <c r="D329" s="358"/>
      <c r="E329" s="358"/>
      <c r="F329" s="358"/>
      <c r="G329" s="358"/>
      <c r="H329" s="358"/>
      <c r="I329" s="358"/>
      <c r="J329" s="358"/>
      <c r="K329" s="358"/>
    </row>
    <row r="330" spans="1:14">
      <c r="A330" s="358"/>
      <c r="B330" s="490"/>
      <c r="E330" s="358"/>
      <c r="F330" s="358"/>
      <c r="G330" s="358"/>
      <c r="H330" s="358"/>
      <c r="I330" s="358"/>
      <c r="J330" s="358"/>
      <c r="K330" s="358"/>
    </row>
    <row r="331" spans="1:14">
      <c r="A331" s="358"/>
      <c r="B331" s="490"/>
      <c r="E331" s="358"/>
      <c r="F331" s="358"/>
      <c r="G331" s="358"/>
      <c r="H331" s="358"/>
      <c r="I331" s="358"/>
      <c r="J331" s="358"/>
      <c r="K331" s="358"/>
    </row>
    <row r="332" spans="1:14">
      <c r="A332" s="358"/>
      <c r="B332" s="490"/>
      <c r="E332" s="358"/>
      <c r="F332" s="358"/>
      <c r="G332" s="358"/>
      <c r="H332" s="358"/>
      <c r="I332" s="358"/>
      <c r="J332" s="358"/>
      <c r="K332" s="358"/>
    </row>
    <row r="333" spans="1:14">
      <c r="A333" s="358"/>
      <c r="B333" s="490"/>
      <c r="E333" s="358"/>
      <c r="F333" s="358"/>
      <c r="G333" s="358"/>
      <c r="H333" s="358"/>
      <c r="I333" s="358"/>
      <c r="J333" s="358"/>
      <c r="K333" s="358"/>
    </row>
    <row r="334" spans="1:14">
      <c r="A334" s="358"/>
      <c r="B334" s="490"/>
      <c r="E334" s="358"/>
      <c r="F334" s="358"/>
      <c r="G334" s="358"/>
      <c r="H334" s="358"/>
      <c r="I334" s="358"/>
      <c r="J334" s="358"/>
      <c r="K334" s="358"/>
    </row>
    <row r="335" spans="1:14">
      <c r="A335" s="358"/>
      <c r="B335" s="490"/>
      <c r="E335" s="358"/>
      <c r="F335" s="358"/>
      <c r="G335" s="358"/>
      <c r="H335" s="358"/>
      <c r="I335" s="358"/>
      <c r="J335" s="358"/>
      <c r="K335" s="358"/>
    </row>
    <row r="336" spans="1:14">
      <c r="A336" s="358"/>
      <c r="B336" s="490"/>
      <c r="E336" s="358"/>
      <c r="F336" s="358"/>
      <c r="G336" s="358"/>
      <c r="H336" s="358"/>
      <c r="I336" s="358"/>
      <c r="J336" s="358"/>
      <c r="K336" s="358"/>
    </row>
    <row r="337" spans="1:11">
      <c r="A337" s="358"/>
      <c r="B337" s="625"/>
      <c r="E337" s="358"/>
      <c r="F337" s="358"/>
      <c r="G337" s="358"/>
      <c r="H337" s="358"/>
      <c r="I337" s="358"/>
      <c r="J337" s="358"/>
      <c r="K337" s="358"/>
    </row>
    <row r="338" spans="1:11">
      <c r="A338" s="358"/>
      <c r="B338" s="490"/>
      <c r="E338" s="358"/>
      <c r="F338" s="358"/>
      <c r="G338" s="358"/>
      <c r="H338" s="358"/>
      <c r="I338" s="358"/>
      <c r="J338" s="358"/>
      <c r="K338" s="358"/>
    </row>
    <row r="339" spans="1:11">
      <c r="A339" s="488"/>
      <c r="B339" s="489"/>
      <c r="E339" s="358"/>
      <c r="F339" s="358"/>
      <c r="G339" s="358"/>
      <c r="H339" s="358"/>
      <c r="I339" s="358"/>
      <c r="J339" s="358"/>
      <c r="K339" s="358"/>
    </row>
    <row r="340" spans="1:11">
      <c r="A340" s="496"/>
      <c r="B340" s="490"/>
      <c r="C340" s="489"/>
      <c r="E340" s="358"/>
      <c r="F340" s="358"/>
      <c r="G340" s="358"/>
      <c r="H340" s="358"/>
      <c r="I340" s="358"/>
      <c r="J340" s="358"/>
      <c r="K340" s="358"/>
    </row>
    <row r="341" spans="1:11">
      <c r="A341" s="496"/>
      <c r="B341" s="490"/>
      <c r="C341" s="489"/>
      <c r="E341" s="358"/>
      <c r="F341" s="358"/>
      <c r="G341" s="358"/>
      <c r="H341" s="358"/>
      <c r="I341" s="358"/>
      <c r="J341" s="358"/>
      <c r="K341" s="358"/>
    </row>
    <row r="342" spans="1:11">
      <c r="A342" s="496"/>
      <c r="B342" s="490"/>
      <c r="C342" s="489"/>
      <c r="E342" s="358"/>
      <c r="F342" s="358"/>
      <c r="G342" s="358"/>
      <c r="H342" s="358"/>
      <c r="I342" s="358"/>
      <c r="J342" s="358"/>
      <c r="K342" s="358"/>
    </row>
    <row r="343" spans="1:11">
      <c r="A343" s="496"/>
      <c r="B343" s="490"/>
      <c r="C343" s="489"/>
      <c r="E343" s="358"/>
      <c r="F343" s="358"/>
      <c r="G343" s="358"/>
      <c r="H343" s="358"/>
      <c r="I343" s="358"/>
      <c r="J343" s="358"/>
      <c r="K343" s="358"/>
    </row>
    <row r="344" spans="1:11" ht="15.75" customHeight="1">
      <c r="A344" s="496"/>
      <c r="B344" s="490"/>
      <c r="C344" s="489"/>
      <c r="E344" s="358"/>
      <c r="F344" s="358"/>
      <c r="G344" s="358"/>
      <c r="H344" s="358"/>
      <c r="I344" s="358"/>
      <c r="J344" s="358"/>
      <c r="K344" s="358"/>
    </row>
    <row r="345" spans="1:11" ht="15.75" customHeight="1">
      <c r="A345" s="496"/>
      <c r="B345" s="490"/>
      <c r="C345" s="489"/>
      <c r="E345" s="358"/>
      <c r="F345" s="358"/>
      <c r="G345" s="358"/>
      <c r="H345" s="358"/>
      <c r="I345" s="358"/>
      <c r="J345" s="358"/>
      <c r="K345" s="358"/>
    </row>
  </sheetData>
  <mergeCells count="396">
    <mergeCell ref="P310:U310"/>
    <mergeCell ref="P311:U311"/>
    <mergeCell ref="AM291:AM295"/>
    <mergeCell ref="AN291:AN295"/>
    <mergeCell ref="AO291:AO295"/>
    <mergeCell ref="AP291:AP295"/>
    <mergeCell ref="AQ291:AQ295"/>
    <mergeCell ref="AR291:AR295"/>
    <mergeCell ref="AC291:AC295"/>
    <mergeCell ref="AF291:AF295"/>
    <mergeCell ref="AI291:AI295"/>
    <mergeCell ref="AJ291:AJ295"/>
    <mergeCell ref="AK291:AK295"/>
    <mergeCell ref="AL291:AL295"/>
    <mergeCell ref="W291:W295"/>
    <mergeCell ref="X291:X295"/>
    <mergeCell ref="Y291:Y295"/>
    <mergeCell ref="Z291:Z295"/>
    <mergeCell ref="AA291:AA295"/>
    <mergeCell ref="AB291:AB295"/>
    <mergeCell ref="AM288:AM290"/>
    <mergeCell ref="AN288:AN290"/>
    <mergeCell ref="AO288:AO290"/>
    <mergeCell ref="AP288:AP290"/>
    <mergeCell ref="AQ288:AQ290"/>
    <mergeCell ref="AR288:AR290"/>
    <mergeCell ref="AE288:AE296"/>
    <mergeCell ref="AF288:AF290"/>
    <mergeCell ref="AI288:AI290"/>
    <mergeCell ref="AJ288:AJ290"/>
    <mergeCell ref="AK288:AK290"/>
    <mergeCell ref="AL288:AL290"/>
    <mergeCell ref="X288:X290"/>
    <mergeCell ref="Y288:Y290"/>
    <mergeCell ref="Z288:Z290"/>
    <mergeCell ref="AA288:AA290"/>
    <mergeCell ref="AB288:AB290"/>
    <mergeCell ref="AC288:AC290"/>
    <mergeCell ref="P288:P296"/>
    <mergeCell ref="Q288:Q290"/>
    <mergeCell ref="T288:T290"/>
    <mergeCell ref="U288:U290"/>
    <mergeCell ref="V288:V290"/>
    <mergeCell ref="W288:W290"/>
    <mergeCell ref="Q291:Q295"/>
    <mergeCell ref="T291:T295"/>
    <mergeCell ref="U291:U295"/>
    <mergeCell ref="V291:V295"/>
    <mergeCell ref="AQ284:AR286"/>
    <mergeCell ref="B285:B286"/>
    <mergeCell ref="C285:C286"/>
    <mergeCell ref="D285:D286"/>
    <mergeCell ref="E285:E286"/>
    <mergeCell ref="F285:F286"/>
    <mergeCell ref="G285:H285"/>
    <mergeCell ref="I285:J285"/>
    <mergeCell ref="K285:K286"/>
    <mergeCell ref="Z284:AA286"/>
    <mergeCell ref="AB284:AC286"/>
    <mergeCell ref="AH284:AH287"/>
    <mergeCell ref="AI284:AJ286"/>
    <mergeCell ref="AK284:AL286"/>
    <mergeCell ref="AM284:AN286"/>
    <mergeCell ref="AE285:AE287"/>
    <mergeCell ref="AF286:AF287"/>
    <mergeCell ref="AG286:AG287"/>
    <mergeCell ref="AN222:AN224"/>
    <mergeCell ref="AO222:AO224"/>
    <mergeCell ref="AP222:AP224"/>
    <mergeCell ref="P245:U245"/>
    <mergeCell ref="C284:L284"/>
    <mergeCell ref="S284:S287"/>
    <mergeCell ref="T284:U286"/>
    <mergeCell ref="V284:W286"/>
    <mergeCell ref="X284:Y286"/>
    <mergeCell ref="L285:L286"/>
    <mergeCell ref="P285:P287"/>
    <mergeCell ref="Q286:Q287"/>
    <mergeCell ref="R286:R287"/>
    <mergeCell ref="AO284:AP286"/>
    <mergeCell ref="P244:U244"/>
    <mergeCell ref="AF225:AF229"/>
    <mergeCell ref="AI225:AI229"/>
    <mergeCell ref="AJ225:AJ229"/>
    <mergeCell ref="AK225:AK229"/>
    <mergeCell ref="AL225:AL229"/>
    <mergeCell ref="AM225:AM229"/>
    <mergeCell ref="X225:X229"/>
    <mergeCell ref="Y225:Y229"/>
    <mergeCell ref="Z225:Z229"/>
    <mergeCell ref="AA225:AA229"/>
    <mergeCell ref="AB225:AB229"/>
    <mergeCell ref="AC225:AC229"/>
    <mergeCell ref="P222:P230"/>
    <mergeCell ref="Q222:Q224"/>
    <mergeCell ref="T222:T224"/>
    <mergeCell ref="U222:U224"/>
    <mergeCell ref="V222:V224"/>
    <mergeCell ref="W222:W224"/>
    <mergeCell ref="X222:X224"/>
    <mergeCell ref="AQ222:AQ224"/>
    <mergeCell ref="AR222:AR224"/>
    <mergeCell ref="Q225:Q229"/>
    <mergeCell ref="T225:T229"/>
    <mergeCell ref="U225:U229"/>
    <mergeCell ref="V225:V229"/>
    <mergeCell ref="W225:W229"/>
    <mergeCell ref="AF222:AF224"/>
    <mergeCell ref="AI222:AI224"/>
    <mergeCell ref="AJ222:AJ224"/>
    <mergeCell ref="AK222:AK224"/>
    <mergeCell ref="AL222:AL224"/>
    <mergeCell ref="AM222:AM224"/>
    <mergeCell ref="Y222:Y224"/>
    <mergeCell ref="Z222:Z224"/>
    <mergeCell ref="AA222:AA224"/>
    <mergeCell ref="AB222:AB224"/>
    <mergeCell ref="AC222:AC224"/>
    <mergeCell ref="AE222:AE230"/>
    <mergeCell ref="AN225:AN229"/>
    <mergeCell ref="AO225:AO229"/>
    <mergeCell ref="AP225:AP229"/>
    <mergeCell ref="AQ225:AQ229"/>
    <mergeCell ref="AR225:AR229"/>
    <mergeCell ref="AM218:AN220"/>
    <mergeCell ref="AO218:AP220"/>
    <mergeCell ref="AQ218:AR220"/>
    <mergeCell ref="B219:B220"/>
    <mergeCell ref="C219:C220"/>
    <mergeCell ref="D219:D220"/>
    <mergeCell ref="E219:E220"/>
    <mergeCell ref="F219:F220"/>
    <mergeCell ref="G219:H219"/>
    <mergeCell ref="I219:J219"/>
    <mergeCell ref="X218:Y220"/>
    <mergeCell ref="Z218:AA220"/>
    <mergeCell ref="AB218:AC220"/>
    <mergeCell ref="AH218:AH221"/>
    <mergeCell ref="AI218:AJ220"/>
    <mergeCell ref="AK218:AL220"/>
    <mergeCell ref="AE219:AE221"/>
    <mergeCell ref="R220:R221"/>
    <mergeCell ref="AF220:AF221"/>
    <mergeCell ref="AG220:AG221"/>
    <mergeCell ref="P177:U177"/>
    <mergeCell ref="P178:U178"/>
    <mergeCell ref="C218:L218"/>
    <mergeCell ref="S218:S221"/>
    <mergeCell ref="T218:U220"/>
    <mergeCell ref="V218:W220"/>
    <mergeCell ref="K219:K220"/>
    <mergeCell ref="L219:L220"/>
    <mergeCell ref="P219:P221"/>
    <mergeCell ref="Q220:Q221"/>
    <mergeCell ref="X158:X162"/>
    <mergeCell ref="Y158:Y162"/>
    <mergeCell ref="Z158:Z162"/>
    <mergeCell ref="AA158:AA162"/>
    <mergeCell ref="AB158:AB162"/>
    <mergeCell ref="AM155:AM157"/>
    <mergeCell ref="AN155:AN157"/>
    <mergeCell ref="AO155:AO157"/>
    <mergeCell ref="X155:X157"/>
    <mergeCell ref="Y155:Y157"/>
    <mergeCell ref="Z155:Z157"/>
    <mergeCell ref="AA155:AA157"/>
    <mergeCell ref="AB155:AB157"/>
    <mergeCell ref="AC155:AC157"/>
    <mergeCell ref="AM158:AM162"/>
    <mergeCell ref="AN158:AN162"/>
    <mergeCell ref="AO158:AO162"/>
    <mergeCell ref="AC158:AC162"/>
    <mergeCell ref="AF158:AF162"/>
    <mergeCell ref="AI158:AI162"/>
    <mergeCell ref="AJ158:AJ162"/>
    <mergeCell ref="AK158:AK162"/>
    <mergeCell ref="AL158:AL162"/>
    <mergeCell ref="AP155:AP157"/>
    <mergeCell ref="AQ155:AQ157"/>
    <mergeCell ref="AR155:AR157"/>
    <mergeCell ref="AE155:AE163"/>
    <mergeCell ref="AF155:AF157"/>
    <mergeCell ref="AI155:AI157"/>
    <mergeCell ref="AJ155:AJ157"/>
    <mergeCell ref="AK155:AK157"/>
    <mergeCell ref="AL155:AL157"/>
    <mergeCell ref="AP158:AP162"/>
    <mergeCell ref="AQ158:AQ162"/>
    <mergeCell ref="AR158:AR162"/>
    <mergeCell ref="P155:P163"/>
    <mergeCell ref="Q155:Q157"/>
    <mergeCell ref="T155:T157"/>
    <mergeCell ref="U155:U157"/>
    <mergeCell ref="V155:V157"/>
    <mergeCell ref="W155:W157"/>
    <mergeCell ref="Q158:Q162"/>
    <mergeCell ref="T158:T162"/>
    <mergeCell ref="U158:U162"/>
    <mergeCell ref="V158:V162"/>
    <mergeCell ref="W158:W162"/>
    <mergeCell ref="AQ151:AR153"/>
    <mergeCell ref="B152:B153"/>
    <mergeCell ref="C152:C153"/>
    <mergeCell ref="D152:D153"/>
    <mergeCell ref="E152:E153"/>
    <mergeCell ref="F152:F153"/>
    <mergeCell ref="G152:H152"/>
    <mergeCell ref="I152:J152"/>
    <mergeCell ref="K152:K153"/>
    <mergeCell ref="L152:L153"/>
    <mergeCell ref="AB151:AC153"/>
    <mergeCell ref="AH151:AH154"/>
    <mergeCell ref="AI151:AJ153"/>
    <mergeCell ref="AK151:AL153"/>
    <mergeCell ref="AM151:AN153"/>
    <mergeCell ref="AO151:AP153"/>
    <mergeCell ref="AE152:AE154"/>
    <mergeCell ref="AF153:AF154"/>
    <mergeCell ref="AG153:AG154"/>
    <mergeCell ref="C151:L151"/>
    <mergeCell ref="S151:S154"/>
    <mergeCell ref="T151:U153"/>
    <mergeCell ref="V151:W153"/>
    <mergeCell ref="X151:Y153"/>
    <mergeCell ref="Z151:AA153"/>
    <mergeCell ref="P152:P154"/>
    <mergeCell ref="Q153:Q154"/>
    <mergeCell ref="R153:R154"/>
    <mergeCell ref="P105:U105"/>
    <mergeCell ref="P106:U106"/>
    <mergeCell ref="B149:B150"/>
    <mergeCell ref="C149:M149"/>
    <mergeCell ref="P149:U149"/>
    <mergeCell ref="C150:M150"/>
    <mergeCell ref="P150:U150"/>
    <mergeCell ref="X86:X90"/>
    <mergeCell ref="Y86:Y90"/>
    <mergeCell ref="Z86:Z90"/>
    <mergeCell ref="AA86:AA90"/>
    <mergeCell ref="AB86:AB90"/>
    <mergeCell ref="AM83:AM85"/>
    <mergeCell ref="AN83:AN85"/>
    <mergeCell ref="AO83:AO85"/>
    <mergeCell ref="X83:X85"/>
    <mergeCell ref="Y83:Y85"/>
    <mergeCell ref="Z83:Z85"/>
    <mergeCell ref="AA83:AA85"/>
    <mergeCell ref="AB83:AB85"/>
    <mergeCell ref="AC83:AC85"/>
    <mergeCell ref="AM86:AM90"/>
    <mergeCell ref="AN86:AN90"/>
    <mergeCell ref="AO86:AO90"/>
    <mergeCell ref="AC86:AC90"/>
    <mergeCell ref="AF86:AF90"/>
    <mergeCell ref="AI86:AI90"/>
    <mergeCell ref="AJ86:AJ90"/>
    <mergeCell ref="AK86:AK90"/>
    <mergeCell ref="AL86:AL90"/>
    <mergeCell ref="AP83:AP85"/>
    <mergeCell ref="AQ83:AQ85"/>
    <mergeCell ref="AR83:AR85"/>
    <mergeCell ref="AE83:AE91"/>
    <mergeCell ref="AF83:AF85"/>
    <mergeCell ref="AI83:AI85"/>
    <mergeCell ref="AJ83:AJ85"/>
    <mergeCell ref="AK83:AK85"/>
    <mergeCell ref="AL83:AL85"/>
    <mergeCell ref="AP86:AP90"/>
    <mergeCell ref="AQ86:AQ90"/>
    <mergeCell ref="AR86:AR90"/>
    <mergeCell ref="P83:P91"/>
    <mergeCell ref="Q83:Q85"/>
    <mergeCell ref="T83:T85"/>
    <mergeCell ref="U83:U85"/>
    <mergeCell ref="V83:V85"/>
    <mergeCell ref="W83:W85"/>
    <mergeCell ref="Q86:Q90"/>
    <mergeCell ref="T86:T90"/>
    <mergeCell ref="U86:U90"/>
    <mergeCell ref="V86:V90"/>
    <mergeCell ref="W86:W90"/>
    <mergeCell ref="AQ79:AR81"/>
    <mergeCell ref="B80:B81"/>
    <mergeCell ref="C80:C81"/>
    <mergeCell ref="D80:D81"/>
    <mergeCell ref="E80:E81"/>
    <mergeCell ref="F80:F81"/>
    <mergeCell ref="G80:H80"/>
    <mergeCell ref="I80:J80"/>
    <mergeCell ref="K80:K81"/>
    <mergeCell ref="L80:L81"/>
    <mergeCell ref="AB79:AC81"/>
    <mergeCell ref="AH79:AH82"/>
    <mergeCell ref="AI79:AJ81"/>
    <mergeCell ref="AK79:AL81"/>
    <mergeCell ref="AM79:AN81"/>
    <mergeCell ref="AO79:AP81"/>
    <mergeCell ref="AE80:AE82"/>
    <mergeCell ref="AF81:AF82"/>
    <mergeCell ref="AG81:AG82"/>
    <mergeCell ref="C79:L79"/>
    <mergeCell ref="S79:S82"/>
    <mergeCell ref="T79:U81"/>
    <mergeCell ref="V79:W81"/>
    <mergeCell ref="X79:Y81"/>
    <mergeCell ref="Z79:AA81"/>
    <mergeCell ref="P80:P82"/>
    <mergeCell ref="Q81:Q82"/>
    <mergeCell ref="R81:R82"/>
    <mergeCell ref="C23:F27"/>
    <mergeCell ref="P33:U33"/>
    <mergeCell ref="P34:U34"/>
    <mergeCell ref="C42:F42"/>
    <mergeCell ref="B77:B78"/>
    <mergeCell ref="C77:M77"/>
    <mergeCell ref="P77:U77"/>
    <mergeCell ref="C78:M78"/>
    <mergeCell ref="P78:U78"/>
    <mergeCell ref="X14:X18"/>
    <mergeCell ref="Y14:Y18"/>
    <mergeCell ref="Z14:Z18"/>
    <mergeCell ref="AA14:AA18"/>
    <mergeCell ref="AB14:AB18"/>
    <mergeCell ref="AM11:AM13"/>
    <mergeCell ref="AN11:AN13"/>
    <mergeCell ref="AO11:AO13"/>
    <mergeCell ref="X11:X13"/>
    <mergeCell ref="Y11:Y13"/>
    <mergeCell ref="Z11:Z13"/>
    <mergeCell ref="AA11:AA13"/>
    <mergeCell ref="AB11:AB13"/>
    <mergeCell ref="AC11:AC13"/>
    <mergeCell ref="AM14:AM18"/>
    <mergeCell ref="AN14:AN18"/>
    <mergeCell ref="AO14:AO18"/>
    <mergeCell ref="AC14:AC18"/>
    <mergeCell ref="AF14:AF18"/>
    <mergeCell ref="AI14:AI18"/>
    <mergeCell ref="AJ14:AJ18"/>
    <mergeCell ref="AK14:AK18"/>
    <mergeCell ref="AL14:AL18"/>
    <mergeCell ref="AP11:AP13"/>
    <mergeCell ref="AQ11:AQ13"/>
    <mergeCell ref="AR11:AR13"/>
    <mergeCell ref="AE11:AE19"/>
    <mergeCell ref="AF11:AF13"/>
    <mergeCell ref="AI11:AI13"/>
    <mergeCell ref="AJ11:AJ13"/>
    <mergeCell ref="AK11:AK13"/>
    <mergeCell ref="AL11:AL13"/>
    <mergeCell ref="AP14:AP18"/>
    <mergeCell ref="AQ14:AQ18"/>
    <mergeCell ref="AR14:AR18"/>
    <mergeCell ref="P11:P19"/>
    <mergeCell ref="Q11:Q13"/>
    <mergeCell ref="T11:T13"/>
    <mergeCell ref="U11:U13"/>
    <mergeCell ref="V11:V13"/>
    <mergeCell ref="W11:W13"/>
    <mergeCell ref="Q14:Q18"/>
    <mergeCell ref="T14:T18"/>
    <mergeCell ref="U14:U18"/>
    <mergeCell ref="V14:V18"/>
    <mergeCell ref="W14:W18"/>
    <mergeCell ref="AQ7:AR9"/>
    <mergeCell ref="B8:B9"/>
    <mergeCell ref="C8:C9"/>
    <mergeCell ref="D8:D9"/>
    <mergeCell ref="E8:E9"/>
    <mergeCell ref="F8:F9"/>
    <mergeCell ref="G8:H8"/>
    <mergeCell ref="V7:W9"/>
    <mergeCell ref="X7:Y9"/>
    <mergeCell ref="Z7:AA9"/>
    <mergeCell ref="AB7:AC9"/>
    <mergeCell ref="AH7:AH10"/>
    <mergeCell ref="AI7:AJ9"/>
    <mergeCell ref="AG9:AG10"/>
    <mergeCell ref="L8:L9"/>
    <mergeCell ref="P8:P10"/>
    <mergeCell ref="AE8:AE10"/>
    <mergeCell ref="Q9:Q10"/>
    <mergeCell ref="R9:R10"/>
    <mergeCell ref="AF9:AF10"/>
    <mergeCell ref="AK7:AL9"/>
    <mergeCell ref="AM7:AN9"/>
    <mergeCell ref="AO7:AP9"/>
    <mergeCell ref="B5:B6"/>
    <mergeCell ref="C5:M5"/>
    <mergeCell ref="P5:U5"/>
    <mergeCell ref="C6:M6"/>
    <mergeCell ref="C7:L7"/>
    <mergeCell ref="S7:S10"/>
    <mergeCell ref="T7:U9"/>
    <mergeCell ref="I8:J8"/>
    <mergeCell ref="K8:K9"/>
  </mergeCells>
  <hyperlinks>
    <hyperlink ref="C7" location="INDEX" display="Direct Firing, Electricity" xr:uid="{E2F4C899-B6B0-404D-8875-794B386924BE}"/>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6">
    <tabColor theme="3"/>
  </sheetPr>
  <dimension ref="B3:H156"/>
  <sheetViews>
    <sheetView topLeftCell="A19" workbookViewId="0">
      <selection activeCell="F153" sqref="F153"/>
    </sheetView>
  </sheetViews>
  <sheetFormatPr baseColWidth="10" defaultColWidth="8.83203125" defaultRowHeight="15"/>
  <cols>
    <col min="2" max="2" width="36.83203125" customWidth="1"/>
  </cols>
  <sheetData>
    <row r="3" spans="2:8">
      <c r="B3" s="8" t="s">
        <v>309</v>
      </c>
    </row>
    <row r="5" spans="2:8" ht="16" thickBot="1"/>
    <row r="6" spans="2:8">
      <c r="B6" s="1257" t="s">
        <v>0</v>
      </c>
      <c r="C6" s="1259" t="s">
        <v>58</v>
      </c>
      <c r="D6" s="1260"/>
      <c r="E6" s="1260"/>
      <c r="F6" s="1260"/>
      <c r="G6" s="1260"/>
      <c r="H6" s="1261"/>
    </row>
    <row r="7" spans="2:8" ht="16" thickBot="1">
      <c r="B7" s="1258"/>
      <c r="C7" s="1134" t="s">
        <v>38</v>
      </c>
      <c r="D7" s="1135"/>
      <c r="E7" s="1135"/>
      <c r="F7" s="1135"/>
      <c r="G7" s="1135"/>
      <c r="H7" s="1136"/>
    </row>
    <row r="8" spans="2:8" ht="16" thickBot="1">
      <c r="B8" s="1"/>
      <c r="C8" s="2">
        <v>2015</v>
      </c>
      <c r="D8" s="2">
        <v>2020</v>
      </c>
      <c r="E8" s="2">
        <v>2030</v>
      </c>
      <c r="F8" s="2">
        <v>2050</v>
      </c>
      <c r="G8" s="2" t="s">
        <v>2</v>
      </c>
      <c r="H8" s="2" t="s">
        <v>3</v>
      </c>
    </row>
    <row r="9" spans="2:8" ht="16" thickBot="1">
      <c r="B9" s="3" t="s">
        <v>4</v>
      </c>
      <c r="C9" s="4"/>
      <c r="D9" s="4"/>
      <c r="E9" s="4"/>
      <c r="F9" s="4"/>
      <c r="G9" s="4"/>
      <c r="H9" s="5"/>
    </row>
    <row r="10" spans="2:8" ht="16" thickBot="1">
      <c r="B10" s="1" t="s">
        <v>5</v>
      </c>
      <c r="C10" s="2">
        <v>10</v>
      </c>
      <c r="D10" s="2">
        <v>10</v>
      </c>
      <c r="E10" s="2">
        <v>10</v>
      </c>
      <c r="F10" s="2">
        <v>10</v>
      </c>
      <c r="G10" s="2" t="s">
        <v>51</v>
      </c>
      <c r="H10" s="2"/>
    </row>
    <row r="11" spans="2:8" ht="28" thickBot="1">
      <c r="B11" s="1" t="s">
        <v>7</v>
      </c>
      <c r="C11" s="2">
        <v>100</v>
      </c>
      <c r="D11" s="2">
        <v>100</v>
      </c>
      <c r="E11" s="2">
        <v>100</v>
      </c>
      <c r="F11" s="2">
        <v>100</v>
      </c>
      <c r="G11" s="2"/>
      <c r="H11" s="2"/>
    </row>
    <row r="12" spans="2:8" ht="28" thickBot="1">
      <c r="B12" s="1" t="s">
        <v>8</v>
      </c>
      <c r="C12" s="2">
        <v>100</v>
      </c>
      <c r="D12" s="2">
        <v>100</v>
      </c>
      <c r="E12" s="2">
        <v>100</v>
      </c>
      <c r="F12" s="2">
        <v>100</v>
      </c>
      <c r="G12" s="2"/>
      <c r="H12" s="2"/>
    </row>
    <row r="13" spans="2:8" ht="16" thickBot="1">
      <c r="B13" s="1" t="s">
        <v>9</v>
      </c>
      <c r="C13" s="2">
        <v>98</v>
      </c>
      <c r="D13" s="2">
        <v>98</v>
      </c>
      <c r="E13" s="2">
        <v>98</v>
      </c>
      <c r="F13" s="2">
        <v>98</v>
      </c>
      <c r="G13" s="2" t="s">
        <v>59</v>
      </c>
      <c r="H13" s="2"/>
    </row>
    <row r="14" spans="2:8" ht="16" thickBot="1">
      <c r="B14" s="1" t="s">
        <v>11</v>
      </c>
      <c r="C14" s="2">
        <v>20</v>
      </c>
      <c r="D14" s="2">
        <v>20</v>
      </c>
      <c r="E14" s="2">
        <v>20</v>
      </c>
      <c r="F14" s="2">
        <v>20</v>
      </c>
      <c r="G14" s="2"/>
      <c r="H14" s="2"/>
    </row>
    <row r="15" spans="2:8" ht="16" thickBot="1">
      <c r="B15" s="3" t="s">
        <v>12</v>
      </c>
      <c r="C15" s="4"/>
      <c r="D15" s="4"/>
      <c r="E15" s="4"/>
      <c r="F15" s="4"/>
      <c r="G15" s="4"/>
      <c r="H15" s="5"/>
    </row>
    <row r="16" spans="2:8" ht="16" thickBot="1">
      <c r="B16" s="1" t="s">
        <v>13</v>
      </c>
      <c r="C16" s="35">
        <v>0</v>
      </c>
      <c r="D16" s="35">
        <v>0</v>
      </c>
      <c r="E16" s="35">
        <v>0</v>
      </c>
      <c r="F16" s="35">
        <v>0</v>
      </c>
      <c r="G16" s="2"/>
      <c r="H16" s="2"/>
    </row>
    <row r="17" spans="2:8" ht="16" thickBot="1">
      <c r="B17" s="1" t="s">
        <v>15</v>
      </c>
      <c r="C17" s="35">
        <v>0</v>
      </c>
      <c r="D17" s="35">
        <v>0</v>
      </c>
      <c r="E17" s="35">
        <v>0</v>
      </c>
      <c r="F17" s="35">
        <v>0</v>
      </c>
      <c r="G17" s="2"/>
      <c r="H17" s="2"/>
    </row>
    <row r="18" spans="2:8" ht="16" thickBot="1">
      <c r="B18" s="1" t="s">
        <v>17</v>
      </c>
      <c r="C18" s="35">
        <v>0</v>
      </c>
      <c r="D18" s="35">
        <v>0</v>
      </c>
      <c r="E18" s="35">
        <v>0</v>
      </c>
      <c r="F18" s="35">
        <v>0</v>
      </c>
      <c r="G18" s="2"/>
      <c r="H18" s="2"/>
    </row>
    <row r="19" spans="2:8" ht="16" thickBot="1">
      <c r="B19" s="1" t="s">
        <v>18</v>
      </c>
      <c r="C19" s="35">
        <v>0</v>
      </c>
      <c r="D19" s="35">
        <v>0</v>
      </c>
      <c r="E19" s="35">
        <v>0</v>
      </c>
      <c r="F19" s="35">
        <v>0</v>
      </c>
      <c r="G19" s="2"/>
      <c r="H19" s="2"/>
    </row>
    <row r="20" spans="2:8" ht="16" thickBot="1">
      <c r="B20" s="1" t="s">
        <v>19</v>
      </c>
      <c r="C20" s="35">
        <v>0</v>
      </c>
      <c r="D20" s="35">
        <v>0</v>
      </c>
      <c r="E20" s="35">
        <v>0</v>
      </c>
      <c r="F20" s="35">
        <v>0</v>
      </c>
      <c r="G20" s="2"/>
      <c r="H20" s="2"/>
    </row>
    <row r="21" spans="2:8" ht="16" thickBot="1">
      <c r="B21" s="3" t="s">
        <v>22</v>
      </c>
      <c r="C21" s="4"/>
      <c r="D21" s="4"/>
      <c r="E21" s="4"/>
      <c r="F21" s="4"/>
      <c r="G21" s="4"/>
      <c r="H21" s="5"/>
    </row>
    <row r="22" spans="2:8" ht="16" thickBot="1">
      <c r="B22" s="1" t="s">
        <v>23</v>
      </c>
      <c r="C22" s="2"/>
      <c r="D22" s="2"/>
      <c r="E22" s="2"/>
      <c r="F22" s="2"/>
      <c r="G22" s="2"/>
      <c r="H22" s="2"/>
    </row>
    <row r="23" spans="2:8">
      <c r="B23" s="6" t="s">
        <v>24</v>
      </c>
      <c r="C23" s="7" t="s">
        <v>60</v>
      </c>
      <c r="D23" s="7" t="s">
        <v>60</v>
      </c>
      <c r="E23" s="7" t="s">
        <v>60</v>
      </c>
      <c r="F23" s="7" t="s">
        <v>60</v>
      </c>
      <c r="G23" s="7" t="s">
        <v>16</v>
      </c>
      <c r="H23" s="7" t="s">
        <v>61</v>
      </c>
    </row>
    <row r="24" spans="2:8">
      <c r="B24" s="6" t="s">
        <v>26</v>
      </c>
      <c r="C24" s="7" t="s">
        <v>62</v>
      </c>
      <c r="D24" s="7" t="s">
        <v>62</v>
      </c>
      <c r="E24" s="7" t="s">
        <v>62</v>
      </c>
      <c r="F24" s="7" t="s">
        <v>62</v>
      </c>
      <c r="G24" s="7"/>
      <c r="H24" s="7"/>
    </row>
    <row r="25" spans="2:8" ht="16" thickBot="1">
      <c r="B25" s="1" t="s">
        <v>28</v>
      </c>
      <c r="C25" s="2" t="s">
        <v>63</v>
      </c>
      <c r="D25" s="2" t="s">
        <v>63</v>
      </c>
      <c r="E25" s="2" t="s">
        <v>63</v>
      </c>
      <c r="F25" s="2" t="s">
        <v>63</v>
      </c>
      <c r="G25" s="2"/>
      <c r="H25" s="2"/>
    </row>
    <row r="26" spans="2:8" ht="28" thickBot="1">
      <c r="B26" s="1" t="s">
        <v>30</v>
      </c>
      <c r="C26" s="2">
        <v>3</v>
      </c>
      <c r="D26" s="2">
        <v>3</v>
      </c>
      <c r="E26" s="2">
        <v>3</v>
      </c>
      <c r="F26" s="2">
        <v>3</v>
      </c>
      <c r="G26" s="2" t="s">
        <v>20</v>
      </c>
      <c r="H26" s="2"/>
    </row>
    <row r="27" spans="2:8" ht="16" thickBot="1">
      <c r="B27" s="1" t="s">
        <v>64</v>
      </c>
      <c r="C27" s="2">
        <v>150</v>
      </c>
      <c r="D27" s="2">
        <v>150</v>
      </c>
      <c r="E27" s="2">
        <v>150</v>
      </c>
      <c r="F27" s="2">
        <v>150</v>
      </c>
      <c r="G27" s="2" t="s">
        <v>25</v>
      </c>
      <c r="H27" s="2">
        <v>7</v>
      </c>
    </row>
    <row r="28" spans="2:8" ht="16" thickBot="1">
      <c r="B28" s="1" t="s">
        <v>31</v>
      </c>
      <c r="C28" s="2"/>
      <c r="D28" s="2"/>
      <c r="E28" s="2"/>
      <c r="F28" s="2"/>
      <c r="G28" s="2"/>
      <c r="H28" s="2"/>
    </row>
    <row r="32" spans="2:8" ht="16" thickBot="1"/>
    <row r="33" spans="2:8" ht="15" customHeight="1">
      <c r="B33" s="1257" t="s">
        <v>0</v>
      </c>
      <c r="C33" s="1259" t="s">
        <v>58</v>
      </c>
      <c r="D33" s="1260"/>
      <c r="E33" s="1260"/>
      <c r="F33" s="1260"/>
      <c r="G33" s="1260"/>
      <c r="H33" s="1261"/>
    </row>
    <row r="34" spans="2:8" ht="15.75" customHeight="1" thickBot="1">
      <c r="B34" s="1258"/>
      <c r="C34" s="1134" t="s">
        <v>53</v>
      </c>
      <c r="D34" s="1135"/>
      <c r="E34" s="1135"/>
      <c r="F34" s="1135"/>
      <c r="G34" s="1135"/>
      <c r="H34" s="1136"/>
    </row>
    <row r="35" spans="2:8" ht="16" thickBot="1">
      <c r="B35" s="1"/>
      <c r="C35" s="2">
        <v>2015</v>
      </c>
      <c r="D35" s="2">
        <v>2020</v>
      </c>
      <c r="E35" s="2">
        <v>2030</v>
      </c>
      <c r="F35" s="2">
        <v>2050</v>
      </c>
      <c r="G35" s="2" t="s">
        <v>2</v>
      </c>
      <c r="H35" s="2" t="s">
        <v>3</v>
      </c>
    </row>
    <row r="36" spans="2:8" ht="16" thickBot="1">
      <c r="B36" s="3" t="s">
        <v>4</v>
      </c>
      <c r="C36" s="4"/>
      <c r="D36" s="4"/>
      <c r="E36" s="4"/>
      <c r="F36" s="4"/>
      <c r="G36" s="4"/>
      <c r="H36" s="5"/>
    </row>
    <row r="37" spans="2:8" ht="16" thickBot="1">
      <c r="B37" s="1" t="s">
        <v>5</v>
      </c>
      <c r="C37" s="2">
        <v>250</v>
      </c>
      <c r="D37" s="2">
        <v>250</v>
      </c>
      <c r="E37" s="2">
        <v>250</v>
      </c>
      <c r="F37" s="2">
        <v>250</v>
      </c>
      <c r="G37" s="2" t="s">
        <v>6</v>
      </c>
      <c r="H37" s="2"/>
    </row>
    <row r="38" spans="2:8" ht="28" thickBot="1">
      <c r="B38" s="1" t="s">
        <v>7</v>
      </c>
      <c r="C38" s="2">
        <v>100</v>
      </c>
      <c r="D38" s="2">
        <v>100</v>
      </c>
      <c r="E38" s="2">
        <v>100</v>
      </c>
      <c r="F38" s="2">
        <v>100</v>
      </c>
      <c r="G38" s="2"/>
      <c r="H38" s="2"/>
    </row>
    <row r="39" spans="2:8" ht="28" thickBot="1">
      <c r="B39" s="1" t="s">
        <v>8</v>
      </c>
      <c r="C39" s="2">
        <v>100</v>
      </c>
      <c r="D39" s="2">
        <v>100</v>
      </c>
      <c r="E39" s="2">
        <v>100</v>
      </c>
      <c r="F39" s="2">
        <v>100</v>
      </c>
      <c r="G39" s="2"/>
      <c r="H39" s="2"/>
    </row>
    <row r="40" spans="2:8" ht="16" thickBot="1">
      <c r="B40" s="1" t="s">
        <v>9</v>
      </c>
      <c r="C40" s="2">
        <v>100</v>
      </c>
      <c r="D40" s="2">
        <v>100</v>
      </c>
      <c r="E40" s="2">
        <v>100</v>
      </c>
      <c r="F40" s="2">
        <v>100</v>
      </c>
      <c r="G40" s="2" t="s">
        <v>59</v>
      </c>
      <c r="H40" s="2"/>
    </row>
    <row r="41" spans="2:8" ht="16" thickBot="1">
      <c r="B41" s="1" t="s">
        <v>11</v>
      </c>
      <c r="C41" s="2">
        <v>20</v>
      </c>
      <c r="D41" s="2">
        <v>20</v>
      </c>
      <c r="E41" s="2">
        <v>20</v>
      </c>
      <c r="F41" s="2">
        <v>20</v>
      </c>
      <c r="G41" s="2"/>
      <c r="H41" s="2"/>
    </row>
    <row r="42" spans="2:8" ht="16" thickBot="1">
      <c r="B42" s="3" t="s">
        <v>12</v>
      </c>
      <c r="C42" s="4"/>
      <c r="D42" s="4"/>
      <c r="E42" s="4"/>
      <c r="F42" s="4"/>
      <c r="G42" s="4"/>
      <c r="H42" s="5"/>
    </row>
    <row r="43" spans="2:8" ht="16" thickBot="1">
      <c r="B43" s="1" t="s">
        <v>13</v>
      </c>
      <c r="C43" s="35">
        <v>0</v>
      </c>
      <c r="D43" s="35">
        <v>0</v>
      </c>
      <c r="E43" s="35">
        <v>0</v>
      </c>
      <c r="F43" s="35">
        <v>0</v>
      </c>
      <c r="G43" s="2"/>
      <c r="H43" s="2"/>
    </row>
    <row r="44" spans="2:8" ht="16" thickBot="1">
      <c r="B44" s="1" t="s">
        <v>15</v>
      </c>
      <c r="C44" s="35">
        <v>0</v>
      </c>
      <c r="D44" s="35">
        <v>0</v>
      </c>
      <c r="E44" s="35">
        <v>0</v>
      </c>
      <c r="F44" s="35">
        <v>0</v>
      </c>
      <c r="G44" s="2"/>
      <c r="H44" s="2"/>
    </row>
    <row r="45" spans="2:8" ht="16" thickBot="1">
      <c r="B45" s="1" t="s">
        <v>17</v>
      </c>
      <c r="C45" s="35">
        <v>0</v>
      </c>
      <c r="D45" s="35">
        <v>0</v>
      </c>
      <c r="E45" s="35">
        <v>0</v>
      </c>
      <c r="F45" s="35">
        <v>0</v>
      </c>
      <c r="G45" s="2"/>
      <c r="H45" s="2"/>
    </row>
    <row r="46" spans="2:8" ht="16" thickBot="1">
      <c r="B46" s="1" t="s">
        <v>18</v>
      </c>
      <c r="C46" s="35">
        <v>0</v>
      </c>
      <c r="D46" s="35">
        <v>0</v>
      </c>
      <c r="E46" s="35">
        <v>0</v>
      </c>
      <c r="F46" s="35">
        <v>0</v>
      </c>
      <c r="G46" s="2"/>
      <c r="H46" s="2"/>
    </row>
    <row r="47" spans="2:8" ht="16" thickBot="1">
      <c r="B47" s="1" t="s">
        <v>19</v>
      </c>
      <c r="C47" s="35">
        <v>0</v>
      </c>
      <c r="D47" s="35">
        <v>0</v>
      </c>
      <c r="E47" s="35">
        <v>0</v>
      </c>
      <c r="F47" s="35">
        <v>0</v>
      </c>
      <c r="G47" s="2"/>
      <c r="H47" s="2"/>
    </row>
    <row r="48" spans="2:8" ht="16" thickBot="1">
      <c r="B48" s="3" t="s">
        <v>22</v>
      </c>
      <c r="C48" s="4"/>
      <c r="D48" s="4"/>
      <c r="E48" s="4"/>
      <c r="F48" s="4"/>
      <c r="G48" s="4"/>
      <c r="H48" s="5"/>
    </row>
    <row r="49" spans="2:8" ht="16" thickBot="1">
      <c r="B49" s="1" t="s">
        <v>23</v>
      </c>
      <c r="C49" s="2">
        <v>7.0000000000000007E-2</v>
      </c>
      <c r="D49" s="2">
        <v>7.0000000000000007E-2</v>
      </c>
      <c r="E49" s="2">
        <v>7.0000000000000007E-2</v>
      </c>
      <c r="F49" s="2">
        <v>7.0000000000000007E-2</v>
      </c>
      <c r="G49" s="2" t="s">
        <v>33</v>
      </c>
      <c r="H49" s="2" t="s">
        <v>65</v>
      </c>
    </row>
    <row r="50" spans="2:8">
      <c r="B50" s="6" t="s">
        <v>24</v>
      </c>
      <c r="C50" s="7"/>
      <c r="D50" s="7"/>
      <c r="E50" s="7"/>
      <c r="F50" s="7"/>
      <c r="G50" s="7"/>
      <c r="H50" s="7"/>
    </row>
    <row r="51" spans="2:8">
      <c r="B51" s="6" t="s">
        <v>26</v>
      </c>
      <c r="C51" s="7" t="s">
        <v>27</v>
      </c>
      <c r="D51" s="7">
        <v>70</v>
      </c>
      <c r="E51" s="7">
        <v>70</v>
      </c>
      <c r="F51" s="7">
        <v>70</v>
      </c>
      <c r="G51" s="7"/>
      <c r="H51" s="7"/>
    </row>
    <row r="52" spans="2:8" ht="16" thickBot="1">
      <c r="B52" s="1" t="s">
        <v>28</v>
      </c>
      <c r="C52" s="2" t="s">
        <v>29</v>
      </c>
      <c r="D52" s="2">
        <v>30</v>
      </c>
      <c r="E52" s="2">
        <v>30</v>
      </c>
      <c r="F52" s="2">
        <v>30</v>
      </c>
      <c r="G52" s="2"/>
      <c r="H52" s="2"/>
    </row>
    <row r="53" spans="2:8" ht="28" thickBot="1">
      <c r="B53" s="1" t="s">
        <v>30</v>
      </c>
      <c r="C53" s="2">
        <v>4</v>
      </c>
      <c r="D53" s="2">
        <v>4</v>
      </c>
      <c r="E53" s="2">
        <v>4</v>
      </c>
      <c r="F53" s="2">
        <v>4</v>
      </c>
      <c r="G53" s="2" t="s">
        <v>20</v>
      </c>
      <c r="H53" s="2"/>
    </row>
    <row r="54" spans="2:8" ht="16" thickBot="1">
      <c r="B54" s="1" t="s">
        <v>64</v>
      </c>
      <c r="C54" s="10">
        <v>1250</v>
      </c>
      <c r="D54" s="10">
        <v>1250</v>
      </c>
      <c r="E54" s="10">
        <v>1250</v>
      </c>
      <c r="F54" s="10">
        <v>1250</v>
      </c>
      <c r="G54" s="2"/>
      <c r="H54" s="2">
        <v>7</v>
      </c>
    </row>
    <row r="55" spans="2:8" ht="16" thickBot="1">
      <c r="B55" s="1" t="s">
        <v>31</v>
      </c>
      <c r="C55" s="2"/>
      <c r="D55" s="2"/>
      <c r="E55" s="2"/>
      <c r="F55" s="2"/>
      <c r="G55" s="2"/>
      <c r="H55" s="2"/>
    </row>
    <row r="156" spans="7:7">
      <c r="G156" s="263" t="s">
        <v>620</v>
      </c>
    </row>
  </sheetData>
  <mergeCells count="6">
    <mergeCell ref="B6:B7"/>
    <mergeCell ref="C6:H6"/>
    <mergeCell ref="C7:H7"/>
    <mergeCell ref="B33:B34"/>
    <mergeCell ref="C33:H33"/>
    <mergeCell ref="C34:H34"/>
  </mergeCells>
  <pageMargins left="0.7" right="0.7" top="0.75" bottom="0.75" header="0.3" footer="0.3"/>
  <pageSetup paperSize="9" orientation="portrait"/>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26">
    <tabColor theme="3"/>
  </sheetPr>
  <dimension ref="B3:M61"/>
  <sheetViews>
    <sheetView topLeftCell="A31" workbookViewId="0">
      <selection activeCell="C60" sqref="C60"/>
    </sheetView>
  </sheetViews>
  <sheetFormatPr baseColWidth="10" defaultColWidth="8.83203125" defaultRowHeight="15"/>
  <cols>
    <col min="2" max="2" width="36.83203125" customWidth="1"/>
    <col min="12" max="12" width="14.83203125" customWidth="1"/>
    <col min="13" max="13" width="18.83203125" customWidth="1"/>
  </cols>
  <sheetData>
    <row r="3" spans="2:13">
      <c r="B3" s="8" t="s">
        <v>323</v>
      </c>
    </row>
    <row r="5" spans="2:13" ht="16" thickBot="1"/>
    <row r="6" spans="2:13" ht="16" thickBot="1">
      <c r="B6" s="24" t="s">
        <v>0</v>
      </c>
      <c r="C6" s="1262" t="s">
        <v>238</v>
      </c>
      <c r="D6" s="1263"/>
      <c r="E6" s="1263"/>
      <c r="F6" s="1263"/>
      <c r="G6" s="1263"/>
      <c r="H6" s="1264"/>
      <c r="L6" s="224" t="s">
        <v>628</v>
      </c>
      <c r="M6" s="224"/>
    </row>
    <row r="7" spans="2:13" ht="16" thickBot="1">
      <c r="B7" s="1"/>
      <c r="C7" s="2">
        <v>2015</v>
      </c>
      <c r="D7" s="2">
        <v>2020</v>
      </c>
      <c r="E7" s="2">
        <v>2030</v>
      </c>
      <c r="F7" s="2">
        <v>2050</v>
      </c>
      <c r="G7" s="2" t="s">
        <v>2</v>
      </c>
      <c r="H7" s="2" t="s">
        <v>3</v>
      </c>
      <c r="L7" s="224"/>
      <c r="M7" s="224"/>
    </row>
    <row r="8" spans="2:13" ht="30" thickBot="1">
      <c r="B8" s="3" t="s">
        <v>4</v>
      </c>
      <c r="C8" s="4"/>
      <c r="D8" s="4"/>
      <c r="E8" s="4"/>
      <c r="F8" s="4"/>
      <c r="G8" s="4"/>
      <c r="H8" s="5"/>
      <c r="L8" s="302" t="s">
        <v>626</v>
      </c>
      <c r="M8" s="302" t="s">
        <v>627</v>
      </c>
    </row>
    <row r="9" spans="2:13" ht="16" thickBot="1">
      <c r="B9" s="1" t="s">
        <v>239</v>
      </c>
      <c r="C9" s="2">
        <v>120</v>
      </c>
      <c r="D9" s="2">
        <v>120</v>
      </c>
      <c r="E9" s="2">
        <v>120</v>
      </c>
      <c r="F9" s="2">
        <v>120</v>
      </c>
      <c r="G9" s="2" t="s">
        <v>6</v>
      </c>
      <c r="H9" s="2">
        <v>1</v>
      </c>
      <c r="L9" s="224">
        <v>250</v>
      </c>
      <c r="M9" s="224">
        <f>L9*7.45*3.6*8760/1000000000</f>
        <v>5.8735799999999998E-2</v>
      </c>
    </row>
    <row r="10" spans="2:13" ht="16" thickBot="1">
      <c r="B10" s="1" t="s">
        <v>240</v>
      </c>
      <c r="C10" s="2">
        <v>15</v>
      </c>
      <c r="D10" s="2">
        <v>15</v>
      </c>
      <c r="E10" s="2">
        <v>15</v>
      </c>
      <c r="F10" s="2">
        <v>15</v>
      </c>
      <c r="G10" s="2" t="s">
        <v>59</v>
      </c>
      <c r="H10" s="2">
        <v>1</v>
      </c>
      <c r="L10" s="224"/>
      <c r="M10" s="224"/>
    </row>
    <row r="11" spans="2:13" ht="16" thickBot="1">
      <c r="B11" s="1" t="s">
        <v>241</v>
      </c>
      <c r="C11" s="2">
        <v>141</v>
      </c>
      <c r="D11" s="2">
        <v>141</v>
      </c>
      <c r="E11" s="2">
        <v>141</v>
      </c>
      <c r="F11" s="2">
        <v>141</v>
      </c>
      <c r="G11" s="2" t="s">
        <v>6</v>
      </c>
      <c r="H11" s="2">
        <v>1</v>
      </c>
    </row>
    <row r="12" spans="2:13" ht="16" thickBot="1">
      <c r="B12" s="1" t="s">
        <v>242</v>
      </c>
      <c r="C12" s="2" t="s">
        <v>243</v>
      </c>
      <c r="D12" s="2" t="s">
        <v>243</v>
      </c>
      <c r="E12" s="2" t="s">
        <v>243</v>
      </c>
      <c r="F12" s="2" t="s">
        <v>243</v>
      </c>
      <c r="G12" s="2"/>
      <c r="H12" s="2">
        <v>2</v>
      </c>
    </row>
    <row r="13" spans="2:13" ht="16" thickBot="1">
      <c r="B13" s="1" t="s">
        <v>11</v>
      </c>
      <c r="C13" s="2" t="s">
        <v>186</v>
      </c>
      <c r="D13" s="2" t="s">
        <v>186</v>
      </c>
      <c r="E13" s="2" t="s">
        <v>186</v>
      </c>
      <c r="F13" s="2" t="s">
        <v>186</v>
      </c>
      <c r="G13" s="2"/>
      <c r="H13" s="2">
        <v>3</v>
      </c>
    </row>
    <row r="14" spans="2:13" ht="16" thickBot="1">
      <c r="B14" s="3" t="s">
        <v>22</v>
      </c>
      <c r="C14" s="4"/>
      <c r="D14" s="4"/>
      <c r="E14" s="4"/>
      <c r="F14" s="4"/>
      <c r="G14" s="4"/>
      <c r="H14" s="5"/>
    </row>
    <row r="15" spans="2:13" ht="16" thickBot="1">
      <c r="B15" s="1" t="s">
        <v>244</v>
      </c>
      <c r="C15" s="2" t="s">
        <v>245</v>
      </c>
      <c r="D15" s="2" t="s">
        <v>245</v>
      </c>
      <c r="E15" s="2" t="s">
        <v>245</v>
      </c>
      <c r="F15" s="2" t="s">
        <v>245</v>
      </c>
      <c r="G15" s="2" t="s">
        <v>16</v>
      </c>
      <c r="H15" s="2">
        <v>1</v>
      </c>
    </row>
    <row r="16" spans="2:13" ht="16" thickBot="1">
      <c r="B16" s="1" t="s">
        <v>246</v>
      </c>
      <c r="C16" s="2">
        <v>250</v>
      </c>
      <c r="D16" s="2">
        <v>250</v>
      </c>
      <c r="E16" s="2">
        <v>250</v>
      </c>
      <c r="F16" s="2">
        <v>250</v>
      </c>
      <c r="G16" s="2"/>
      <c r="H16" s="2">
        <v>4</v>
      </c>
    </row>
    <row r="20" spans="2:8" ht="16" thickBot="1"/>
    <row r="21" spans="2:8" ht="16" thickBot="1">
      <c r="B21" s="24" t="s">
        <v>0</v>
      </c>
      <c r="C21" s="1262" t="s">
        <v>247</v>
      </c>
      <c r="D21" s="1263"/>
      <c r="E21" s="1263"/>
      <c r="F21" s="1263"/>
      <c r="G21" s="1263"/>
      <c r="H21" s="1264"/>
    </row>
    <row r="22" spans="2:8" ht="16" thickBot="1">
      <c r="B22" s="1"/>
      <c r="C22" s="2">
        <v>2015</v>
      </c>
      <c r="D22" s="2">
        <v>2020</v>
      </c>
      <c r="E22" s="2">
        <v>2030</v>
      </c>
      <c r="F22" s="2">
        <v>2050</v>
      </c>
      <c r="G22" s="2" t="s">
        <v>2</v>
      </c>
      <c r="H22" s="2" t="s">
        <v>3</v>
      </c>
    </row>
    <row r="23" spans="2:8" ht="16" thickBot="1">
      <c r="B23" s="3" t="s">
        <v>4</v>
      </c>
      <c r="C23" s="4"/>
      <c r="D23" s="4"/>
      <c r="E23" s="4"/>
      <c r="F23" s="4"/>
      <c r="G23" s="4"/>
      <c r="H23" s="5"/>
    </row>
    <row r="24" spans="2:8" ht="16" thickBot="1">
      <c r="B24" s="1" t="s">
        <v>239</v>
      </c>
      <c r="C24" s="2" t="s">
        <v>160</v>
      </c>
      <c r="D24" s="2" t="s">
        <v>160</v>
      </c>
      <c r="E24" s="2" t="s">
        <v>160</v>
      </c>
      <c r="F24" s="2" t="s">
        <v>160</v>
      </c>
      <c r="G24" s="2" t="s">
        <v>6</v>
      </c>
      <c r="H24" s="2">
        <v>1</v>
      </c>
    </row>
    <row r="25" spans="2:8" ht="16" thickBot="1">
      <c r="B25" s="1" t="s">
        <v>240</v>
      </c>
      <c r="C25" s="2" t="s">
        <v>248</v>
      </c>
      <c r="D25" s="2" t="s">
        <v>248</v>
      </c>
      <c r="E25" s="2" t="s">
        <v>248</v>
      </c>
      <c r="F25" s="2" t="s">
        <v>248</v>
      </c>
      <c r="G25" s="2" t="s">
        <v>59</v>
      </c>
      <c r="H25" s="2" t="s">
        <v>94</v>
      </c>
    </row>
    <row r="26" spans="2:8" ht="16" thickBot="1">
      <c r="B26" s="1" t="s">
        <v>241</v>
      </c>
      <c r="C26" s="2" t="s">
        <v>249</v>
      </c>
      <c r="D26" s="2" t="s">
        <v>249</v>
      </c>
      <c r="E26" s="2" t="s">
        <v>249</v>
      </c>
      <c r="F26" s="2" t="s">
        <v>249</v>
      </c>
      <c r="G26" s="2" t="s">
        <v>6</v>
      </c>
      <c r="H26" s="2">
        <v>1</v>
      </c>
    </row>
    <row r="27" spans="2:8" ht="16" thickBot="1">
      <c r="B27" s="1" t="s">
        <v>242</v>
      </c>
      <c r="C27" s="34" t="s">
        <v>306</v>
      </c>
      <c r="D27" s="34" t="s">
        <v>306</v>
      </c>
      <c r="E27" s="34" t="s">
        <v>306</v>
      </c>
      <c r="F27" s="34" t="s">
        <v>306</v>
      </c>
      <c r="G27" s="2" t="s">
        <v>16</v>
      </c>
      <c r="H27" s="2" t="s">
        <v>94</v>
      </c>
    </row>
    <row r="28" spans="2:8" ht="16" thickBot="1">
      <c r="B28" s="1" t="s">
        <v>11</v>
      </c>
      <c r="C28" s="2" t="s">
        <v>186</v>
      </c>
      <c r="D28" s="2" t="s">
        <v>186</v>
      </c>
      <c r="E28" s="2" t="s">
        <v>186</v>
      </c>
      <c r="F28" s="2" t="s">
        <v>186</v>
      </c>
      <c r="G28" s="2"/>
      <c r="H28" s="2">
        <v>3</v>
      </c>
    </row>
    <row r="29" spans="2:8" ht="16" thickBot="1">
      <c r="B29" s="3" t="s">
        <v>22</v>
      </c>
      <c r="C29" s="4"/>
      <c r="D29" s="4"/>
      <c r="E29" s="4"/>
      <c r="F29" s="4"/>
      <c r="G29" s="4"/>
      <c r="H29" s="5"/>
    </row>
    <row r="30" spans="2:8" ht="16" thickBot="1">
      <c r="B30" s="1" t="s">
        <v>244</v>
      </c>
      <c r="C30" s="2" t="s">
        <v>250</v>
      </c>
      <c r="D30" s="2" t="s">
        <v>250</v>
      </c>
      <c r="E30" s="2" t="s">
        <v>250</v>
      </c>
      <c r="F30" s="2" t="s">
        <v>250</v>
      </c>
      <c r="G30" s="2" t="s">
        <v>76</v>
      </c>
      <c r="H30" s="2">
        <v>1</v>
      </c>
    </row>
    <row r="31" spans="2:8" ht="16" thickBot="1">
      <c r="B31" s="1" t="s">
        <v>246</v>
      </c>
      <c r="C31" s="2" t="s">
        <v>251</v>
      </c>
      <c r="D31" s="2" t="s">
        <v>251</v>
      </c>
      <c r="E31" s="2" t="s">
        <v>251</v>
      </c>
      <c r="F31" s="2" t="s">
        <v>251</v>
      </c>
      <c r="G31" s="2"/>
      <c r="H31" s="2">
        <v>4</v>
      </c>
    </row>
    <row r="35" spans="2:8" ht="16" thickBot="1"/>
    <row r="36" spans="2:8" ht="16" thickBot="1">
      <c r="B36" s="24" t="s">
        <v>0</v>
      </c>
      <c r="C36" s="1262" t="s">
        <v>252</v>
      </c>
      <c r="D36" s="1263"/>
      <c r="E36" s="1263"/>
      <c r="F36" s="1263"/>
      <c r="G36" s="1263"/>
      <c r="H36" s="1264"/>
    </row>
    <row r="37" spans="2:8" ht="16" thickBot="1">
      <c r="B37" s="1"/>
      <c r="C37" s="2">
        <v>2015</v>
      </c>
      <c r="D37" s="2">
        <v>2020</v>
      </c>
      <c r="E37" s="2">
        <v>2030</v>
      </c>
      <c r="F37" s="2">
        <v>2050</v>
      </c>
      <c r="G37" s="2" t="s">
        <v>2</v>
      </c>
      <c r="H37" s="2" t="s">
        <v>3</v>
      </c>
    </row>
    <row r="38" spans="2:8" ht="16" thickBot="1">
      <c r="B38" s="3" t="s">
        <v>4</v>
      </c>
      <c r="C38" s="4"/>
      <c r="D38" s="4"/>
      <c r="E38" s="4"/>
      <c r="F38" s="4"/>
      <c r="G38" s="4"/>
      <c r="H38" s="5"/>
    </row>
    <row r="39" spans="2:8" ht="16" thickBot="1">
      <c r="B39" s="1" t="s">
        <v>239</v>
      </c>
      <c r="C39" s="2" t="s">
        <v>253</v>
      </c>
      <c r="D39" s="2" t="s">
        <v>253</v>
      </c>
      <c r="E39" s="2" t="s">
        <v>253</v>
      </c>
      <c r="F39" s="2" t="s">
        <v>253</v>
      </c>
      <c r="G39" s="2" t="s">
        <v>6</v>
      </c>
      <c r="H39" s="2" t="s">
        <v>94</v>
      </c>
    </row>
    <row r="40" spans="2:8" ht="16" thickBot="1">
      <c r="B40" s="1" t="s">
        <v>240</v>
      </c>
      <c r="C40" s="2" t="s">
        <v>254</v>
      </c>
      <c r="D40" s="2" t="s">
        <v>254</v>
      </c>
      <c r="E40" s="2" t="s">
        <v>254</v>
      </c>
      <c r="F40" s="2" t="s">
        <v>254</v>
      </c>
      <c r="G40" s="2" t="s">
        <v>59</v>
      </c>
      <c r="H40" s="2" t="s">
        <v>94</v>
      </c>
    </row>
    <row r="41" spans="2:8" ht="16" thickBot="1">
      <c r="B41" s="1" t="s">
        <v>241</v>
      </c>
      <c r="C41" s="2" t="s">
        <v>255</v>
      </c>
      <c r="D41" s="2" t="s">
        <v>255</v>
      </c>
      <c r="E41" s="2" t="s">
        <v>255</v>
      </c>
      <c r="F41" s="2" t="s">
        <v>255</v>
      </c>
      <c r="G41" s="2" t="s">
        <v>6</v>
      </c>
      <c r="H41" s="2" t="s">
        <v>94</v>
      </c>
    </row>
    <row r="42" spans="2:8" ht="16" thickBot="1">
      <c r="B42" s="1" t="s">
        <v>242</v>
      </c>
      <c r="C42" s="2" t="s">
        <v>256</v>
      </c>
      <c r="D42" s="2" t="s">
        <v>256</v>
      </c>
      <c r="E42" s="2" t="s">
        <v>256</v>
      </c>
      <c r="F42" s="2" t="s">
        <v>256</v>
      </c>
      <c r="G42" s="2" t="s">
        <v>16</v>
      </c>
      <c r="H42" s="2" t="s">
        <v>94</v>
      </c>
    </row>
    <row r="43" spans="2:8" ht="16" thickBot="1">
      <c r="B43" s="1" t="s">
        <v>11</v>
      </c>
      <c r="C43" s="2" t="s">
        <v>186</v>
      </c>
      <c r="D43" s="2" t="s">
        <v>186</v>
      </c>
      <c r="E43" s="2" t="s">
        <v>186</v>
      </c>
      <c r="F43" s="2" t="s">
        <v>186</v>
      </c>
      <c r="G43" s="2"/>
      <c r="H43" s="2">
        <v>3</v>
      </c>
    </row>
    <row r="44" spans="2:8" ht="16" thickBot="1">
      <c r="B44" s="3" t="s">
        <v>22</v>
      </c>
      <c r="C44" s="4"/>
      <c r="D44" s="4"/>
      <c r="E44" s="4"/>
      <c r="F44" s="4"/>
      <c r="G44" s="4"/>
      <c r="H44" s="5"/>
    </row>
    <row r="45" spans="2:8" ht="16" thickBot="1">
      <c r="B45" s="1" t="s">
        <v>244</v>
      </c>
      <c r="C45" s="2" t="s">
        <v>257</v>
      </c>
      <c r="D45" s="2" t="s">
        <v>257</v>
      </c>
      <c r="E45" s="2" t="s">
        <v>257</v>
      </c>
      <c r="F45" s="2" t="s">
        <v>257</v>
      </c>
      <c r="G45" s="2" t="s">
        <v>76</v>
      </c>
      <c r="H45" s="2" t="s">
        <v>94</v>
      </c>
    </row>
    <row r="46" spans="2:8" ht="16" thickBot="1">
      <c r="B46" s="1" t="s">
        <v>246</v>
      </c>
      <c r="C46" s="2" t="s">
        <v>258</v>
      </c>
      <c r="D46" s="2" t="s">
        <v>258</v>
      </c>
      <c r="E46" s="2" t="s">
        <v>258</v>
      </c>
      <c r="F46" s="2" t="s">
        <v>258</v>
      </c>
      <c r="G46" s="2"/>
      <c r="H46" s="2">
        <v>4</v>
      </c>
    </row>
    <row r="50" spans="2:8" ht="16" thickBot="1"/>
    <row r="51" spans="2:8" ht="16" thickBot="1">
      <c r="B51" s="24" t="s">
        <v>0</v>
      </c>
      <c r="C51" s="1262" t="s">
        <v>259</v>
      </c>
      <c r="D51" s="1263"/>
      <c r="E51" s="1263"/>
      <c r="F51" s="1263"/>
      <c r="G51" s="1263"/>
      <c r="H51" s="1264"/>
    </row>
    <row r="52" spans="2:8" ht="16" thickBot="1">
      <c r="B52" s="1"/>
      <c r="C52" s="2">
        <v>2015</v>
      </c>
      <c r="D52" s="2">
        <v>2020</v>
      </c>
      <c r="E52" s="2">
        <v>2030</v>
      </c>
      <c r="F52" s="2">
        <v>2050</v>
      </c>
      <c r="G52" s="2" t="s">
        <v>2</v>
      </c>
      <c r="H52" s="2" t="s">
        <v>3</v>
      </c>
    </row>
    <row r="53" spans="2:8" ht="16" thickBot="1">
      <c r="B53" s="3" t="s">
        <v>4</v>
      </c>
      <c r="C53" s="4"/>
      <c r="D53" s="4"/>
      <c r="E53" s="4"/>
      <c r="F53" s="4"/>
      <c r="G53" s="4"/>
      <c r="H53" s="5"/>
    </row>
    <row r="54" spans="2:8" ht="16" thickBot="1">
      <c r="B54" s="1" t="s">
        <v>239</v>
      </c>
      <c r="C54" s="2" t="s">
        <v>253</v>
      </c>
      <c r="D54" s="2" t="s">
        <v>253</v>
      </c>
      <c r="E54" s="2" t="s">
        <v>253</v>
      </c>
      <c r="F54" s="2" t="s">
        <v>253</v>
      </c>
      <c r="G54" s="2" t="s">
        <v>6</v>
      </c>
      <c r="H54" s="2" t="s">
        <v>94</v>
      </c>
    </row>
    <row r="55" spans="2:8" ht="16" thickBot="1">
      <c r="B55" s="1" t="s">
        <v>240</v>
      </c>
      <c r="C55" s="2" t="s">
        <v>260</v>
      </c>
      <c r="D55" s="2" t="s">
        <v>260</v>
      </c>
      <c r="E55" s="2" t="s">
        <v>260</v>
      </c>
      <c r="F55" s="2" t="s">
        <v>260</v>
      </c>
      <c r="G55" s="2" t="s">
        <v>59</v>
      </c>
      <c r="H55" s="2" t="s">
        <v>94</v>
      </c>
    </row>
    <row r="56" spans="2:8" ht="16" thickBot="1">
      <c r="B56" s="1" t="s">
        <v>241</v>
      </c>
      <c r="C56" s="2" t="s">
        <v>261</v>
      </c>
      <c r="D56" s="2" t="s">
        <v>261</v>
      </c>
      <c r="E56" s="2" t="s">
        <v>261</v>
      </c>
      <c r="F56" s="2" t="s">
        <v>261</v>
      </c>
      <c r="G56" s="2" t="s">
        <v>6</v>
      </c>
      <c r="H56" s="2" t="s">
        <v>94</v>
      </c>
    </row>
    <row r="57" spans="2:8" ht="16" thickBot="1">
      <c r="B57" s="1" t="s">
        <v>242</v>
      </c>
      <c r="C57" s="19" t="s">
        <v>256</v>
      </c>
      <c r="D57" s="34" t="s">
        <v>256</v>
      </c>
      <c r="E57" s="34" t="s">
        <v>256</v>
      </c>
      <c r="F57" s="34" t="s">
        <v>256</v>
      </c>
      <c r="G57" s="2" t="s">
        <v>16</v>
      </c>
      <c r="H57" s="2">
        <v>1</v>
      </c>
    </row>
    <row r="58" spans="2:8" ht="16" thickBot="1">
      <c r="B58" s="1" t="s">
        <v>11</v>
      </c>
      <c r="C58" s="2" t="s">
        <v>186</v>
      </c>
      <c r="D58" s="2" t="s">
        <v>186</v>
      </c>
      <c r="E58" s="2" t="s">
        <v>186</v>
      </c>
      <c r="F58" s="2" t="s">
        <v>186</v>
      </c>
      <c r="G58" s="2"/>
      <c r="H58" s="2">
        <v>3</v>
      </c>
    </row>
    <row r="59" spans="2:8" ht="16" thickBot="1">
      <c r="B59" s="3" t="s">
        <v>22</v>
      </c>
      <c r="C59" s="4"/>
      <c r="D59" s="4"/>
      <c r="E59" s="4"/>
      <c r="F59" s="4"/>
      <c r="G59" s="4"/>
      <c r="H59" s="5"/>
    </row>
    <row r="60" spans="2:8" ht="16" thickBot="1">
      <c r="B60" s="1" t="s">
        <v>244</v>
      </c>
      <c r="C60" s="2" t="s">
        <v>262</v>
      </c>
      <c r="D60" s="2" t="s">
        <v>262</v>
      </c>
      <c r="E60" s="2" t="s">
        <v>262</v>
      </c>
      <c r="F60" s="2" t="s">
        <v>262</v>
      </c>
      <c r="G60" s="2" t="s">
        <v>76</v>
      </c>
      <c r="H60" s="2" t="s">
        <v>94</v>
      </c>
    </row>
    <row r="61" spans="2:8" ht="16" thickBot="1">
      <c r="B61" s="1" t="s">
        <v>246</v>
      </c>
      <c r="C61" s="2" t="s">
        <v>263</v>
      </c>
      <c r="D61" s="2" t="s">
        <v>263</v>
      </c>
      <c r="E61" s="2" t="s">
        <v>263</v>
      </c>
      <c r="F61" s="2" t="s">
        <v>263</v>
      </c>
      <c r="G61" s="2"/>
      <c r="H61" s="2">
        <v>4</v>
      </c>
    </row>
  </sheetData>
  <mergeCells count="4">
    <mergeCell ref="C6:H6"/>
    <mergeCell ref="C21:H21"/>
    <mergeCell ref="C36:H36"/>
    <mergeCell ref="C51:H51"/>
  </mergeCells>
  <pageMargins left="0.7" right="0.7" top="0.75" bottom="0.75" header="0.3" footer="0.3"/>
  <pageSetup paperSize="9" orientation="portrait"/>
  <legacy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27">
    <tabColor theme="3"/>
  </sheetPr>
  <dimension ref="B3:H18"/>
  <sheetViews>
    <sheetView workbookViewId="0">
      <selection activeCell="D21" sqref="D21"/>
    </sheetView>
  </sheetViews>
  <sheetFormatPr baseColWidth="10" defaultColWidth="8.83203125" defaultRowHeight="15"/>
  <cols>
    <col min="2" max="2" width="36.83203125" customWidth="1"/>
  </cols>
  <sheetData>
    <row r="3" spans="2:8">
      <c r="B3" s="8" t="s">
        <v>324</v>
      </c>
    </row>
    <row r="5" spans="2:8" ht="16" thickBot="1"/>
    <row r="6" spans="2:8" ht="16" thickBot="1">
      <c r="B6" s="24" t="s">
        <v>0</v>
      </c>
      <c r="C6" s="1262" t="s">
        <v>264</v>
      </c>
      <c r="D6" s="1263"/>
      <c r="E6" s="1263"/>
      <c r="F6" s="1263"/>
      <c r="G6" s="1263"/>
      <c r="H6" s="1264"/>
    </row>
    <row r="7" spans="2:8" ht="16" thickBot="1">
      <c r="B7" s="1"/>
      <c r="C7" s="2">
        <v>2015</v>
      </c>
      <c r="D7" s="2">
        <v>2020</v>
      </c>
      <c r="E7" s="2">
        <v>2030</v>
      </c>
      <c r="F7" s="2">
        <v>2050</v>
      </c>
      <c r="G7" s="2" t="s">
        <v>2</v>
      </c>
      <c r="H7" s="2" t="s">
        <v>3</v>
      </c>
    </row>
    <row r="8" spans="2:8" ht="16" thickBot="1">
      <c r="B8" s="3" t="s">
        <v>4</v>
      </c>
      <c r="C8" s="4"/>
      <c r="D8" s="4"/>
      <c r="E8" s="4"/>
      <c r="F8" s="4"/>
      <c r="G8" s="4"/>
      <c r="H8" s="5"/>
    </row>
    <row r="9" spans="2:8" ht="16" thickBot="1">
      <c r="B9" s="1" t="s">
        <v>265</v>
      </c>
      <c r="C9" s="2" t="s">
        <v>266</v>
      </c>
      <c r="D9" s="2" t="s">
        <v>266</v>
      </c>
      <c r="E9" s="2" t="s">
        <v>266</v>
      </c>
      <c r="F9" s="2" t="s">
        <v>266</v>
      </c>
      <c r="G9" s="2"/>
      <c r="H9" s="2"/>
    </row>
    <row r="10" spans="2:8" ht="16" thickBot="1">
      <c r="B10" s="1" t="s">
        <v>267</v>
      </c>
      <c r="C10" s="2" t="s">
        <v>268</v>
      </c>
      <c r="D10" s="2" t="s">
        <v>268</v>
      </c>
      <c r="E10" s="2" t="s">
        <v>268</v>
      </c>
      <c r="F10" s="2" t="s">
        <v>268</v>
      </c>
      <c r="G10" s="2"/>
      <c r="H10" s="2"/>
    </row>
    <row r="11" spans="2:8" ht="16" thickBot="1">
      <c r="B11" s="1" t="s">
        <v>269</v>
      </c>
      <c r="C11" s="2" t="s">
        <v>270</v>
      </c>
      <c r="D11" s="2" t="s">
        <v>270</v>
      </c>
      <c r="E11" s="2" t="s">
        <v>270</v>
      </c>
      <c r="F11" s="2" t="s">
        <v>270</v>
      </c>
      <c r="G11" s="2"/>
      <c r="H11" s="2"/>
    </row>
    <row r="12" spans="2:8" ht="16" thickBot="1">
      <c r="B12" s="1" t="s">
        <v>271</v>
      </c>
      <c r="C12" s="2" t="s">
        <v>139</v>
      </c>
      <c r="D12" s="2" t="s">
        <v>139</v>
      </c>
      <c r="E12" s="2" t="s">
        <v>139</v>
      </c>
      <c r="F12" s="2" t="s">
        <v>139</v>
      </c>
      <c r="G12" s="2"/>
      <c r="H12" s="2"/>
    </row>
    <row r="13" spans="2:8" ht="28" thickBot="1">
      <c r="B13" s="1" t="s">
        <v>272</v>
      </c>
      <c r="C13" s="2">
        <v>7</v>
      </c>
      <c r="D13" s="2">
        <v>7</v>
      </c>
      <c r="E13" s="2">
        <v>6</v>
      </c>
      <c r="F13" s="2">
        <v>6</v>
      </c>
      <c r="G13" s="2" t="s">
        <v>59</v>
      </c>
      <c r="H13" s="2"/>
    </row>
    <row r="14" spans="2:8" ht="16" thickBot="1">
      <c r="B14" s="1" t="s">
        <v>11</v>
      </c>
      <c r="C14" s="2" t="s">
        <v>144</v>
      </c>
      <c r="D14" s="2" t="s">
        <v>144</v>
      </c>
      <c r="E14" s="2" t="s">
        <v>144</v>
      </c>
      <c r="F14" s="2" t="s">
        <v>144</v>
      </c>
      <c r="G14" s="2"/>
      <c r="H14" s="2"/>
    </row>
    <row r="15" spans="2:8" ht="16" thickBot="1">
      <c r="B15" s="1" t="s">
        <v>273</v>
      </c>
      <c r="C15" s="34" t="s">
        <v>307</v>
      </c>
      <c r="D15" s="34" t="s">
        <v>307</v>
      </c>
      <c r="E15" s="34" t="s">
        <v>307</v>
      </c>
      <c r="F15" s="34" t="s">
        <v>307</v>
      </c>
      <c r="G15" s="2"/>
      <c r="H15" s="2"/>
    </row>
    <row r="16" spans="2:8" ht="16" thickBot="1">
      <c r="B16" s="3" t="s">
        <v>22</v>
      </c>
      <c r="C16" s="4"/>
      <c r="D16" s="4"/>
      <c r="E16" s="4"/>
      <c r="F16" s="4"/>
      <c r="G16" s="4"/>
      <c r="H16" s="5"/>
    </row>
    <row r="17" spans="2:8" ht="16" thickBot="1">
      <c r="B17" s="1" t="s">
        <v>274</v>
      </c>
      <c r="C17" s="2" t="s">
        <v>275</v>
      </c>
      <c r="D17" s="2" t="s">
        <v>275</v>
      </c>
      <c r="E17" s="2" t="s">
        <v>275</v>
      </c>
      <c r="F17" s="2" t="s">
        <v>275</v>
      </c>
      <c r="G17" s="2" t="s">
        <v>6</v>
      </c>
      <c r="H17" s="2">
        <v>1</v>
      </c>
    </row>
    <row r="18" spans="2:8" ht="16" thickBot="1">
      <c r="B18" s="1" t="s">
        <v>276</v>
      </c>
      <c r="C18" s="2" t="s">
        <v>68</v>
      </c>
      <c r="D18" s="2" t="s">
        <v>68</v>
      </c>
      <c r="E18" s="2" t="s">
        <v>68</v>
      </c>
      <c r="F18" s="2" t="s">
        <v>68</v>
      </c>
      <c r="G18" s="2"/>
      <c r="H18" s="2"/>
    </row>
  </sheetData>
  <mergeCells count="1">
    <mergeCell ref="C6:H6"/>
  </mergeCells>
  <pageMargins left="0.7" right="0.7" top="0.75" bottom="0.75" header="0.3" footer="0.3"/>
  <pageSetup paperSize="9" orientation="portrai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19">
    <tabColor theme="3"/>
  </sheetPr>
  <dimension ref="A3:X117"/>
  <sheetViews>
    <sheetView topLeftCell="B21" zoomScale="85" zoomScaleNormal="85" workbookViewId="0">
      <selection activeCell="N26" sqref="N26"/>
    </sheetView>
  </sheetViews>
  <sheetFormatPr baseColWidth="10" defaultColWidth="8.83203125" defaultRowHeight="15"/>
  <cols>
    <col min="1" max="1" width="44.83203125" customWidth="1"/>
    <col min="2" max="2" width="36.83203125" customWidth="1"/>
    <col min="15" max="15" width="10.5" bestFit="1" customWidth="1"/>
  </cols>
  <sheetData>
    <row r="3" spans="2:24">
      <c r="B3" s="8" t="s">
        <v>317</v>
      </c>
    </row>
    <row r="4" spans="2:24">
      <c r="E4" t="s">
        <v>334</v>
      </c>
      <c r="F4" s="36">
        <v>7.45</v>
      </c>
      <c r="G4" t="s">
        <v>328</v>
      </c>
    </row>
    <row r="5" spans="2:24" ht="16" thickBot="1"/>
    <row r="6" spans="2:24" ht="15.75" customHeight="1">
      <c r="B6" s="1257" t="s">
        <v>0</v>
      </c>
      <c r="C6" s="1259" t="s">
        <v>123</v>
      </c>
      <c r="D6" s="1260"/>
      <c r="E6" s="1260"/>
      <c r="F6" s="1260"/>
      <c r="G6" s="1260"/>
      <c r="H6" s="1261"/>
      <c r="J6" s="1259" t="str">
        <f>C6</f>
        <v>Solar heating system</v>
      </c>
      <c r="K6" s="1260"/>
      <c r="L6" s="1260"/>
      <c r="M6" s="1260"/>
      <c r="N6" s="1260"/>
      <c r="O6" s="1261"/>
    </row>
    <row r="7" spans="2:24" ht="15.75" customHeight="1" thickBot="1">
      <c r="B7" s="1258"/>
      <c r="C7" s="1134" t="s">
        <v>1</v>
      </c>
      <c r="D7" s="1135"/>
      <c r="E7" s="1135"/>
      <c r="F7" s="1135"/>
      <c r="G7" s="1135"/>
      <c r="H7" s="1136"/>
      <c r="J7" s="1134" t="str">
        <f>C7</f>
        <v>One-family house, existing building</v>
      </c>
      <c r="K7" s="1135"/>
      <c r="L7" s="1135"/>
      <c r="M7" s="1135"/>
      <c r="N7" s="1135"/>
      <c r="O7" s="1136"/>
    </row>
    <row r="8" spans="2:24" ht="16" thickBot="1">
      <c r="B8" s="1"/>
      <c r="C8" s="2">
        <v>2015</v>
      </c>
      <c r="D8" s="2">
        <v>2020</v>
      </c>
      <c r="E8" s="2">
        <v>2030</v>
      </c>
      <c r="F8" s="2">
        <v>2050</v>
      </c>
      <c r="G8" s="2" t="s">
        <v>2</v>
      </c>
      <c r="H8" s="2" t="s">
        <v>3</v>
      </c>
      <c r="J8" s="53" t="s">
        <v>357</v>
      </c>
    </row>
    <row r="9" spans="2:24" ht="31" thickBot="1">
      <c r="B9" s="3" t="s">
        <v>4</v>
      </c>
      <c r="C9" s="4"/>
      <c r="D9" s="4"/>
      <c r="E9" s="4"/>
      <c r="F9" s="4"/>
      <c r="G9" s="4"/>
      <c r="H9" s="5"/>
      <c r="J9" s="46" t="s">
        <v>335</v>
      </c>
      <c r="K9" s="46" t="s">
        <v>336</v>
      </c>
      <c r="L9" s="47" t="s">
        <v>337</v>
      </c>
      <c r="M9" s="47" t="s">
        <v>338</v>
      </c>
      <c r="N9" s="47" t="s">
        <v>339</v>
      </c>
      <c r="O9" s="48" t="s">
        <v>340</v>
      </c>
      <c r="P9" s="49" t="s">
        <v>341</v>
      </c>
      <c r="Q9" s="49" t="s">
        <v>342</v>
      </c>
      <c r="R9" s="49" t="s">
        <v>343</v>
      </c>
      <c r="S9" s="49" t="s">
        <v>344</v>
      </c>
      <c r="T9" s="49" t="s">
        <v>345</v>
      </c>
      <c r="U9" s="49" t="s">
        <v>346</v>
      </c>
      <c r="V9" s="49" t="s">
        <v>347</v>
      </c>
      <c r="W9" s="49" t="s">
        <v>348</v>
      </c>
      <c r="X9" s="49" t="s">
        <v>349</v>
      </c>
    </row>
    <row r="10" spans="2:24" ht="16" thickBot="1">
      <c r="B10" s="1" t="s">
        <v>124</v>
      </c>
      <c r="C10" s="2">
        <v>6</v>
      </c>
      <c r="D10" s="2">
        <v>6</v>
      </c>
      <c r="E10" s="2">
        <v>6</v>
      </c>
      <c r="F10" s="2">
        <v>6</v>
      </c>
      <c r="G10" s="2" t="s">
        <v>6</v>
      </c>
      <c r="H10" s="2">
        <v>1</v>
      </c>
      <c r="J10" s="50"/>
      <c r="K10" s="50"/>
      <c r="L10" s="51"/>
      <c r="M10" s="51"/>
      <c r="N10" s="51"/>
      <c r="O10" s="52"/>
      <c r="P10" s="50"/>
      <c r="Q10" s="50"/>
      <c r="R10" s="50"/>
      <c r="S10" s="50"/>
      <c r="T10" s="50"/>
      <c r="U10" s="50"/>
      <c r="V10" s="50"/>
      <c r="W10" s="50"/>
      <c r="X10" s="50"/>
    </row>
    <row r="11" spans="2:24" ht="16" thickBot="1">
      <c r="B11" s="1" t="s">
        <v>125</v>
      </c>
      <c r="C11" s="2">
        <v>4.2</v>
      </c>
      <c r="D11" s="2">
        <v>4.2</v>
      </c>
      <c r="E11" s="2">
        <v>4.2</v>
      </c>
      <c r="F11" s="2">
        <v>4.2</v>
      </c>
      <c r="G11" s="2" t="s">
        <v>6</v>
      </c>
      <c r="H11" s="2"/>
      <c r="J11" s="56"/>
      <c r="K11" s="56"/>
      <c r="L11" s="57"/>
      <c r="M11" s="57"/>
      <c r="N11" s="57"/>
      <c r="O11" s="56" t="s">
        <v>350</v>
      </c>
      <c r="P11" s="56" t="s">
        <v>326</v>
      </c>
      <c r="Q11" s="56" t="s">
        <v>327</v>
      </c>
      <c r="R11" s="56" t="s">
        <v>351</v>
      </c>
      <c r="S11" s="56" t="s">
        <v>351</v>
      </c>
      <c r="T11" s="56" t="s">
        <v>352</v>
      </c>
      <c r="U11" s="56" t="s">
        <v>352</v>
      </c>
      <c r="V11" s="56" t="s">
        <v>352</v>
      </c>
      <c r="W11" s="56" t="s">
        <v>352</v>
      </c>
      <c r="X11" s="56" t="s">
        <v>352</v>
      </c>
    </row>
    <row r="12" spans="2:24" ht="28" thickBot="1">
      <c r="B12" s="1" t="s">
        <v>7</v>
      </c>
      <c r="C12" s="2">
        <v>10</v>
      </c>
      <c r="D12" s="2">
        <v>10</v>
      </c>
      <c r="E12" s="2">
        <v>12</v>
      </c>
      <c r="F12" s="2">
        <v>12</v>
      </c>
      <c r="G12" s="2" t="s">
        <v>59</v>
      </c>
      <c r="H12" s="2" t="s">
        <v>126</v>
      </c>
      <c r="J12" s="58">
        <f>C8</f>
        <v>2015</v>
      </c>
      <c r="K12" s="58">
        <f>J12</f>
        <v>2015</v>
      </c>
      <c r="L12" s="58">
        <f>C14/100</f>
        <v>1</v>
      </c>
      <c r="M12" s="58"/>
      <c r="N12" s="58">
        <f>C15</f>
        <v>20</v>
      </c>
      <c r="O12" s="59">
        <f>C30</f>
        <v>6705</v>
      </c>
      <c r="P12" s="59">
        <f>C32</f>
        <v>123.19107142857143</v>
      </c>
      <c r="Q12" s="59">
        <f>C33</f>
        <v>0</v>
      </c>
      <c r="R12" s="58"/>
      <c r="S12" s="58"/>
      <c r="T12" s="58"/>
      <c r="U12" s="58"/>
      <c r="V12" s="58"/>
      <c r="W12" s="58"/>
      <c r="X12" s="58"/>
    </row>
    <row r="13" spans="2:24" ht="28" thickBot="1">
      <c r="B13" s="1" t="s">
        <v>8</v>
      </c>
      <c r="C13" s="2">
        <v>65</v>
      </c>
      <c r="D13" s="2">
        <v>65</v>
      </c>
      <c r="E13" s="2">
        <v>70</v>
      </c>
      <c r="F13" s="2">
        <v>70</v>
      </c>
      <c r="G13" s="2" t="s">
        <v>59</v>
      </c>
      <c r="H13" s="2"/>
      <c r="J13" s="58">
        <f>D8</f>
        <v>2020</v>
      </c>
      <c r="K13" s="58"/>
      <c r="L13" s="58">
        <f>D14/100</f>
        <v>1</v>
      </c>
      <c r="M13" s="58"/>
      <c r="N13" s="58">
        <f>D15</f>
        <v>25</v>
      </c>
      <c r="O13" s="59">
        <f>D30</f>
        <v>6332.5</v>
      </c>
      <c r="P13" s="59">
        <f>D32</f>
        <v>120.92933158225671</v>
      </c>
      <c r="Q13" s="59">
        <f>D33</f>
        <v>0</v>
      </c>
      <c r="R13" s="58"/>
      <c r="S13" s="58"/>
      <c r="T13" s="58"/>
      <c r="U13" s="58"/>
      <c r="V13" s="58"/>
      <c r="W13" s="58"/>
      <c r="X13" s="58"/>
    </row>
    <row r="14" spans="2:24" ht="16" thickBot="1">
      <c r="B14" s="1" t="s">
        <v>9</v>
      </c>
      <c r="C14" s="35">
        <v>100</v>
      </c>
      <c r="D14" s="35">
        <v>100</v>
      </c>
      <c r="E14" s="35">
        <v>100</v>
      </c>
      <c r="F14" s="35">
        <v>100</v>
      </c>
      <c r="G14" s="2"/>
      <c r="H14" s="2"/>
      <c r="J14" s="58">
        <f>E8</f>
        <v>2030</v>
      </c>
      <c r="K14" s="58"/>
      <c r="L14" s="58">
        <f>E14/100</f>
        <v>1</v>
      </c>
      <c r="M14" s="58"/>
      <c r="N14" s="58">
        <f>E15</f>
        <v>30</v>
      </c>
      <c r="O14" s="59">
        <f>E30</f>
        <v>5960.0000000000009</v>
      </c>
      <c r="P14" s="59">
        <f>E32</f>
        <v>122.00995930042681</v>
      </c>
      <c r="Q14" s="59">
        <f>E33</f>
        <v>0</v>
      </c>
      <c r="R14" s="58"/>
      <c r="S14" s="58"/>
      <c r="T14" s="58"/>
      <c r="U14" s="58"/>
      <c r="V14" s="58"/>
      <c r="W14" s="58"/>
      <c r="X14" s="58"/>
    </row>
    <row r="15" spans="2:24" ht="16" thickBot="1">
      <c r="B15" s="1" t="s">
        <v>11</v>
      </c>
      <c r="C15" s="2">
        <v>20</v>
      </c>
      <c r="D15" s="2">
        <v>25</v>
      </c>
      <c r="E15" s="2">
        <v>30</v>
      </c>
      <c r="F15" s="2">
        <v>30</v>
      </c>
      <c r="G15" s="2" t="s">
        <v>16</v>
      </c>
      <c r="H15" s="2">
        <v>1</v>
      </c>
      <c r="J15" s="58">
        <f>F8</f>
        <v>2050</v>
      </c>
      <c r="K15" s="58"/>
      <c r="L15" s="58">
        <f>F14/100</f>
        <v>1</v>
      </c>
      <c r="M15" s="58"/>
      <c r="N15" s="58">
        <f>F15</f>
        <v>30</v>
      </c>
      <c r="O15" s="59">
        <f>F30</f>
        <v>4470</v>
      </c>
      <c r="P15" s="59">
        <f>F32</f>
        <v>112.13193067515455</v>
      </c>
      <c r="Q15" s="59">
        <f>F33</f>
        <v>0</v>
      </c>
      <c r="R15" s="58"/>
      <c r="S15" s="58"/>
      <c r="T15" s="58"/>
      <c r="U15" s="58"/>
      <c r="V15" s="58"/>
      <c r="W15" s="58"/>
      <c r="X15" s="58"/>
    </row>
    <row r="16" spans="2:24" ht="16" thickBot="1">
      <c r="B16" s="3" t="s">
        <v>12</v>
      </c>
      <c r="C16" s="4"/>
      <c r="D16" s="4"/>
      <c r="E16" s="4"/>
      <c r="F16" s="4"/>
      <c r="G16" s="4"/>
      <c r="H16" s="5"/>
    </row>
    <row r="17" spans="1:11" ht="16" thickBot="1">
      <c r="B17" s="1" t="s">
        <v>13</v>
      </c>
      <c r="C17" s="2">
        <v>0</v>
      </c>
      <c r="D17" s="2">
        <v>0</v>
      </c>
      <c r="E17" s="2">
        <v>0</v>
      </c>
      <c r="F17" s="2">
        <v>0</v>
      </c>
      <c r="G17" s="2" t="s">
        <v>33</v>
      </c>
      <c r="H17" s="2"/>
    </row>
    <row r="18" spans="1:11" ht="16" thickBot="1">
      <c r="B18" s="1" t="s">
        <v>15</v>
      </c>
      <c r="C18" s="2">
        <v>0</v>
      </c>
      <c r="D18" s="2">
        <v>0</v>
      </c>
      <c r="E18" s="2">
        <v>0</v>
      </c>
      <c r="F18" s="2">
        <v>0</v>
      </c>
      <c r="G18" s="2"/>
      <c r="H18" s="2"/>
    </row>
    <row r="19" spans="1:11" ht="16" thickBot="1">
      <c r="B19" s="1" t="s">
        <v>17</v>
      </c>
      <c r="C19" s="2">
        <v>0</v>
      </c>
      <c r="D19" s="2">
        <v>0</v>
      </c>
      <c r="E19" s="2">
        <v>0</v>
      </c>
      <c r="F19" s="2">
        <v>0</v>
      </c>
      <c r="G19" s="2"/>
      <c r="H19" s="2"/>
    </row>
    <row r="20" spans="1:11" ht="16" thickBot="1">
      <c r="B20" s="1" t="s">
        <v>18</v>
      </c>
      <c r="C20" s="2">
        <v>0</v>
      </c>
      <c r="D20" s="2">
        <v>0</v>
      </c>
      <c r="E20" s="2">
        <v>0</v>
      </c>
      <c r="F20" s="2">
        <v>0</v>
      </c>
      <c r="G20" s="2"/>
      <c r="H20" s="2"/>
    </row>
    <row r="21" spans="1:11" ht="16" thickBot="1">
      <c r="B21" s="1" t="s">
        <v>19</v>
      </c>
      <c r="C21" s="2">
        <v>0</v>
      </c>
      <c r="D21" s="2">
        <v>0</v>
      </c>
      <c r="E21" s="2">
        <v>0</v>
      </c>
      <c r="F21" s="2">
        <v>0</v>
      </c>
      <c r="G21" s="2"/>
      <c r="H21" s="2"/>
    </row>
    <row r="22" spans="1:11" ht="16" thickBot="1">
      <c r="B22" s="3" t="s">
        <v>22</v>
      </c>
      <c r="C22" s="4"/>
      <c r="D22" s="4"/>
      <c r="E22" s="4"/>
      <c r="F22" s="4"/>
      <c r="G22" s="4"/>
      <c r="H22" s="5"/>
    </row>
    <row r="23" spans="1:11" ht="16" thickBot="1">
      <c r="B23" s="1" t="s">
        <v>127</v>
      </c>
      <c r="C23" s="2">
        <v>0.9</v>
      </c>
      <c r="D23" s="2">
        <v>0.85</v>
      </c>
      <c r="E23" s="2">
        <v>0.8</v>
      </c>
      <c r="F23" s="2">
        <v>0.6</v>
      </c>
      <c r="G23" s="2" t="s">
        <v>20</v>
      </c>
      <c r="H23" s="2" t="s">
        <v>128</v>
      </c>
    </row>
    <row r="24" spans="1:11">
      <c r="A24" s="36"/>
      <c r="B24" s="6" t="s">
        <v>24</v>
      </c>
      <c r="C24" s="898">
        <v>4.0268456375838921</v>
      </c>
      <c r="D24" s="898">
        <v>3.624161073825503</v>
      </c>
      <c r="E24" s="898">
        <v>3.3557046979865772</v>
      </c>
      <c r="F24" s="898">
        <v>2.6845637583892619</v>
      </c>
      <c r="G24" s="7"/>
      <c r="H24" s="7" t="s">
        <v>128</v>
      </c>
    </row>
    <row r="25" spans="1:11">
      <c r="A25" s="36"/>
      <c r="B25" s="6" t="s">
        <v>26</v>
      </c>
      <c r="C25" s="898">
        <v>65</v>
      </c>
      <c r="D25" s="898">
        <v>65</v>
      </c>
      <c r="E25" s="898">
        <v>65</v>
      </c>
      <c r="F25" s="898">
        <v>65</v>
      </c>
      <c r="G25" s="7"/>
      <c r="H25" s="7" t="s">
        <v>129</v>
      </c>
    </row>
    <row r="26" spans="1:11" ht="16" thickBot="1">
      <c r="A26" s="36"/>
      <c r="B26" s="1" t="s">
        <v>28</v>
      </c>
      <c r="C26" s="899">
        <v>35</v>
      </c>
      <c r="D26" s="899">
        <v>35</v>
      </c>
      <c r="E26" s="899">
        <v>35</v>
      </c>
      <c r="F26" s="899">
        <v>35</v>
      </c>
      <c r="G26" s="2"/>
      <c r="H26" s="2">
        <v>8</v>
      </c>
    </row>
    <row r="27" spans="1:11" ht="28" thickBot="1">
      <c r="A27" s="36"/>
      <c r="B27" s="1" t="s">
        <v>30</v>
      </c>
      <c r="C27" s="899">
        <v>0</v>
      </c>
      <c r="D27" s="899">
        <v>0</v>
      </c>
      <c r="E27" s="899">
        <v>0</v>
      </c>
      <c r="F27" s="899">
        <v>0</v>
      </c>
      <c r="G27" s="2"/>
      <c r="H27" s="2"/>
    </row>
    <row r="28" spans="1:11" ht="16" thickBot="1">
      <c r="A28" s="36"/>
      <c r="B28" s="1" t="s">
        <v>64</v>
      </c>
      <c r="C28" s="899">
        <v>69.45</v>
      </c>
      <c r="D28" s="899">
        <v>68.17492518731251</v>
      </c>
      <c r="E28" s="899">
        <v>68.784138129099688</v>
      </c>
      <c r="F28" s="899">
        <v>63.215316622234781</v>
      </c>
      <c r="G28" s="2" t="s">
        <v>76</v>
      </c>
      <c r="H28" s="2"/>
      <c r="J28" t="s">
        <v>360</v>
      </c>
      <c r="K28" t="s">
        <v>361</v>
      </c>
    </row>
    <row r="29" spans="1:11" ht="16" thickBot="1">
      <c r="A29" s="36"/>
      <c r="B29" s="1" t="s">
        <v>130</v>
      </c>
      <c r="C29" s="2">
        <v>0</v>
      </c>
      <c r="D29" s="2">
        <v>0</v>
      </c>
      <c r="E29" s="2">
        <v>0</v>
      </c>
      <c r="F29" s="2">
        <v>0</v>
      </c>
      <c r="G29" s="2" t="s">
        <v>25</v>
      </c>
      <c r="H29" s="2"/>
      <c r="J29">
        <v>4</v>
      </c>
      <c r="K29">
        <f>J29/3.6</f>
        <v>1.1111111111111112</v>
      </c>
    </row>
    <row r="30" spans="1:11">
      <c r="B30" s="36" t="s">
        <v>353</v>
      </c>
      <c r="C30" s="60">
        <f t="shared" ref="C30:F31" si="0">C23*$F$4*1000</f>
        <v>6705</v>
      </c>
      <c r="D30" s="60">
        <f t="shared" si="0"/>
        <v>6332.5</v>
      </c>
      <c r="E30" s="60">
        <f t="shared" si="0"/>
        <v>5960.0000000000009</v>
      </c>
      <c r="F30" s="60">
        <f t="shared" si="0"/>
        <v>4470</v>
      </c>
      <c r="G30" s="63" t="s">
        <v>332</v>
      </c>
      <c r="H30" s="63"/>
    </row>
    <row r="31" spans="1:11">
      <c r="B31" s="36" t="s">
        <v>354</v>
      </c>
      <c r="C31" s="60">
        <f t="shared" si="0"/>
        <v>29999.999999999996</v>
      </c>
      <c r="D31" s="60">
        <f t="shared" si="0"/>
        <v>26999.999999999996</v>
      </c>
      <c r="E31" s="60">
        <f t="shared" si="0"/>
        <v>25000</v>
      </c>
      <c r="F31" s="60">
        <f t="shared" si="0"/>
        <v>20000</v>
      </c>
      <c r="G31" s="70">
        <f>C11</f>
        <v>4.2</v>
      </c>
      <c r="H31" s="69" t="s">
        <v>330</v>
      </c>
    </row>
    <row r="32" spans="1:11">
      <c r="B32" s="36" t="s">
        <v>355</v>
      </c>
      <c r="C32" s="60">
        <f>C28*$F$4/$G31</f>
        <v>123.19107142857143</v>
      </c>
      <c r="D32" s="60">
        <f>D28*$F$4/$G31</f>
        <v>120.92933158225671</v>
      </c>
      <c r="E32" s="60">
        <f>E28*$F$4/$G31</f>
        <v>122.00995930042681</v>
      </c>
      <c r="F32" s="60">
        <f>F28*$F$4/$G31</f>
        <v>112.13193067515455</v>
      </c>
      <c r="G32" s="69" t="s">
        <v>331</v>
      </c>
      <c r="H32" s="69"/>
    </row>
    <row r="33" spans="2:24" ht="16" thickBot="1">
      <c r="B33" s="36" t="s">
        <v>356</v>
      </c>
      <c r="C33" s="60">
        <f>C29*$F$4/(4*3.6*C13/100)</f>
        <v>0</v>
      </c>
      <c r="D33" s="60">
        <f t="shared" ref="D33:F33" si="1">D29*$F$4/(4*3.6*D13/100)</f>
        <v>0</v>
      </c>
      <c r="E33" s="60">
        <f t="shared" si="1"/>
        <v>0</v>
      </c>
      <c r="F33" s="60">
        <f t="shared" si="1"/>
        <v>0</v>
      </c>
      <c r="G33" s="83" t="s">
        <v>422</v>
      </c>
      <c r="H33" s="61"/>
    </row>
    <row r="34" spans="2:24" ht="15.75" customHeight="1">
      <c r="B34" s="1257" t="s">
        <v>0</v>
      </c>
      <c r="C34" s="1259" t="s">
        <v>123</v>
      </c>
      <c r="D34" s="1260"/>
      <c r="E34" s="1260"/>
      <c r="F34" s="1260"/>
      <c r="G34" s="1260"/>
      <c r="H34" s="1261"/>
      <c r="J34" s="1259" t="str">
        <f>C34</f>
        <v>Solar heating system</v>
      </c>
      <c r="K34" s="1260"/>
      <c r="L34" s="1260"/>
      <c r="M34" s="1260"/>
      <c r="N34" s="1260"/>
      <c r="O34" s="1261"/>
    </row>
    <row r="35" spans="2:24" ht="16" thickBot="1">
      <c r="B35" s="1258"/>
      <c r="C35" s="1134" t="s">
        <v>32</v>
      </c>
      <c r="D35" s="1135"/>
      <c r="E35" s="1135"/>
      <c r="F35" s="1135"/>
      <c r="G35" s="1135"/>
      <c r="H35" s="1136"/>
      <c r="J35" s="1134" t="str">
        <f>C35</f>
        <v>Apartment complex, existing building</v>
      </c>
      <c r="K35" s="1135"/>
      <c r="L35" s="1135"/>
      <c r="M35" s="1135"/>
      <c r="N35" s="1135"/>
      <c r="O35" s="1136"/>
    </row>
    <row r="36" spans="2:24" ht="16" thickBot="1">
      <c r="B36" s="1"/>
      <c r="C36" s="2">
        <v>2015</v>
      </c>
      <c r="D36" s="2">
        <v>2020</v>
      </c>
      <c r="E36" s="2">
        <v>2030</v>
      </c>
      <c r="F36" s="2">
        <v>2050</v>
      </c>
      <c r="G36" s="2" t="s">
        <v>2</v>
      </c>
      <c r="H36" s="2" t="s">
        <v>3</v>
      </c>
      <c r="J36" s="53" t="s">
        <v>357</v>
      </c>
    </row>
    <row r="37" spans="2:24" ht="31" thickBot="1">
      <c r="B37" s="3" t="s">
        <v>4</v>
      </c>
      <c r="C37" s="4"/>
      <c r="D37" s="4"/>
      <c r="E37" s="4"/>
      <c r="F37" s="4"/>
      <c r="G37" s="4"/>
      <c r="H37" s="5"/>
      <c r="J37" s="46" t="s">
        <v>335</v>
      </c>
      <c r="K37" s="46" t="s">
        <v>336</v>
      </c>
      <c r="L37" s="47" t="s">
        <v>337</v>
      </c>
      <c r="M37" s="47" t="s">
        <v>338</v>
      </c>
      <c r="N37" s="47" t="s">
        <v>339</v>
      </c>
      <c r="O37" s="48" t="s">
        <v>340</v>
      </c>
      <c r="P37" s="49" t="s">
        <v>341</v>
      </c>
      <c r="Q37" s="49" t="s">
        <v>342</v>
      </c>
      <c r="R37" s="49" t="s">
        <v>343</v>
      </c>
      <c r="S37" s="49" t="s">
        <v>344</v>
      </c>
      <c r="T37" s="49" t="s">
        <v>345</v>
      </c>
      <c r="U37" s="49" t="s">
        <v>346</v>
      </c>
      <c r="V37" s="49" t="s">
        <v>347</v>
      </c>
      <c r="W37" s="49" t="s">
        <v>348</v>
      </c>
      <c r="X37" s="49" t="s">
        <v>349</v>
      </c>
    </row>
    <row r="38" spans="2:24" ht="16" thickBot="1">
      <c r="B38" s="1" t="s">
        <v>124</v>
      </c>
      <c r="C38" s="2">
        <v>200</v>
      </c>
      <c r="D38" s="2">
        <v>200</v>
      </c>
      <c r="E38" s="2">
        <v>200</v>
      </c>
      <c r="F38" s="2">
        <v>200</v>
      </c>
      <c r="G38" s="2" t="s">
        <v>6</v>
      </c>
      <c r="H38" s="2"/>
      <c r="J38" s="50"/>
      <c r="K38" s="50"/>
      <c r="L38" s="51"/>
      <c r="M38" s="51"/>
      <c r="N38" s="51"/>
      <c r="O38" s="52"/>
      <c r="P38" s="50"/>
      <c r="Q38" s="50"/>
      <c r="R38" s="50"/>
      <c r="S38" s="50"/>
      <c r="T38" s="50"/>
      <c r="U38" s="50"/>
      <c r="V38" s="50"/>
      <c r="W38" s="50"/>
      <c r="X38" s="50"/>
    </row>
    <row r="39" spans="2:24" ht="16" thickBot="1">
      <c r="B39" s="1" t="s">
        <v>125</v>
      </c>
      <c r="C39" s="2">
        <v>140</v>
      </c>
      <c r="D39" s="2">
        <v>140</v>
      </c>
      <c r="E39" s="2">
        <v>140</v>
      </c>
      <c r="F39" s="2">
        <v>140</v>
      </c>
      <c r="G39" s="2" t="s">
        <v>6</v>
      </c>
      <c r="H39" s="2"/>
      <c r="J39" s="56"/>
      <c r="K39" s="56"/>
      <c r="L39" s="57"/>
      <c r="M39" s="57"/>
      <c r="N39" s="57"/>
      <c r="O39" s="56" t="s">
        <v>350</v>
      </c>
      <c r="P39" s="56" t="s">
        <v>326</v>
      </c>
      <c r="Q39" s="56" t="s">
        <v>327</v>
      </c>
      <c r="R39" s="56" t="s">
        <v>351</v>
      </c>
      <c r="S39" s="56" t="s">
        <v>351</v>
      </c>
      <c r="T39" s="56" t="s">
        <v>352</v>
      </c>
      <c r="U39" s="56" t="s">
        <v>352</v>
      </c>
      <c r="V39" s="56" t="s">
        <v>352</v>
      </c>
      <c r="W39" s="56" t="s">
        <v>352</v>
      </c>
      <c r="X39" s="56" t="s">
        <v>352</v>
      </c>
    </row>
    <row r="40" spans="2:24" ht="28" thickBot="1">
      <c r="B40" s="1" t="s">
        <v>7</v>
      </c>
      <c r="C40" s="2">
        <v>10</v>
      </c>
      <c r="D40" s="2">
        <v>10</v>
      </c>
      <c r="E40" s="2">
        <v>12</v>
      </c>
      <c r="F40" s="2">
        <v>12</v>
      </c>
      <c r="G40" s="2" t="s">
        <v>59</v>
      </c>
      <c r="H40" s="2"/>
      <c r="J40" s="58">
        <f>C36</f>
        <v>2015</v>
      </c>
      <c r="K40" s="58">
        <f>J40</f>
        <v>2015</v>
      </c>
      <c r="L40" s="58">
        <f>C42/100</f>
        <v>1</v>
      </c>
      <c r="M40" s="58"/>
      <c r="N40" s="58">
        <f>C43</f>
        <v>20</v>
      </c>
      <c r="O40" s="59">
        <f>C58</f>
        <v>4571.4285714285716</v>
      </c>
      <c r="P40" s="59">
        <f>C60</f>
        <v>20.700357142857143</v>
      </c>
      <c r="Q40" s="59">
        <f>C61</f>
        <v>0</v>
      </c>
      <c r="R40" s="58"/>
      <c r="S40" s="58"/>
      <c r="T40" s="58"/>
      <c r="U40" s="58"/>
      <c r="V40" s="58"/>
      <c r="W40" s="58"/>
      <c r="X40" s="58"/>
    </row>
    <row r="41" spans="2:24" ht="28" thickBot="1">
      <c r="B41" s="1" t="s">
        <v>8</v>
      </c>
      <c r="C41" s="2">
        <v>65</v>
      </c>
      <c r="D41" s="2">
        <v>65</v>
      </c>
      <c r="E41" s="2">
        <v>70</v>
      </c>
      <c r="F41" s="2">
        <v>70</v>
      </c>
      <c r="G41" s="2" t="s">
        <v>59</v>
      </c>
      <c r="H41" s="2"/>
      <c r="J41" s="58">
        <f>D36</f>
        <v>2020</v>
      </c>
      <c r="K41" s="58"/>
      <c r="L41" s="58">
        <f>D42/100</f>
        <v>1</v>
      </c>
      <c r="M41" s="58"/>
      <c r="N41" s="58">
        <f>D43</f>
        <v>25</v>
      </c>
      <c r="O41" s="59">
        <f>D58</f>
        <v>4285.7142857142862</v>
      </c>
      <c r="P41" s="59">
        <f>D60</f>
        <v>20.660433158225668</v>
      </c>
      <c r="Q41" s="59">
        <f>D61</f>
        <v>0</v>
      </c>
      <c r="R41" s="58"/>
      <c r="S41" s="58"/>
      <c r="T41" s="58"/>
      <c r="U41" s="58"/>
      <c r="V41" s="58"/>
      <c r="W41" s="58"/>
      <c r="X41" s="58"/>
    </row>
    <row r="42" spans="2:24" ht="16" thickBot="1">
      <c r="B42" s="1" t="s">
        <v>9</v>
      </c>
      <c r="C42" s="35">
        <v>100</v>
      </c>
      <c r="D42" s="35">
        <v>100</v>
      </c>
      <c r="E42" s="35">
        <v>100</v>
      </c>
      <c r="F42" s="35">
        <v>100</v>
      </c>
      <c r="G42" s="2"/>
      <c r="H42" s="2"/>
      <c r="J42" s="58">
        <f>E36</f>
        <v>2030</v>
      </c>
      <c r="K42" s="58"/>
      <c r="L42" s="58">
        <f>E42/100</f>
        <v>1</v>
      </c>
      <c r="M42" s="58"/>
      <c r="N42" s="58">
        <f>E43</f>
        <v>30</v>
      </c>
      <c r="O42" s="59">
        <f>E58</f>
        <v>3928.5714285714284</v>
      </c>
      <c r="P42" s="59">
        <f>E60</f>
        <v>23.28125</v>
      </c>
      <c r="Q42" s="59">
        <f>E61</f>
        <v>0</v>
      </c>
      <c r="R42" s="58"/>
      <c r="S42" s="58"/>
      <c r="T42" s="58"/>
      <c r="U42" s="58"/>
      <c r="V42" s="58"/>
      <c r="W42" s="58"/>
      <c r="X42" s="58"/>
    </row>
    <row r="43" spans="2:24" ht="16" thickBot="1">
      <c r="B43" s="1" t="s">
        <v>11</v>
      </c>
      <c r="C43" s="2">
        <v>20</v>
      </c>
      <c r="D43" s="2">
        <v>25</v>
      </c>
      <c r="E43" s="2">
        <v>30</v>
      </c>
      <c r="F43" s="2">
        <v>30</v>
      </c>
      <c r="G43" s="2" t="s">
        <v>16</v>
      </c>
      <c r="H43" s="2"/>
      <c r="J43" s="58">
        <f>F36</f>
        <v>2050</v>
      </c>
      <c r="K43" s="58"/>
      <c r="L43" s="58">
        <f>F42/100</f>
        <v>1</v>
      </c>
      <c r="M43" s="58"/>
      <c r="N43" s="58">
        <f>F43</f>
        <v>30</v>
      </c>
      <c r="O43" s="59">
        <f>F58</f>
        <v>3571.428571428572</v>
      </c>
      <c r="P43" s="59">
        <f>F60</f>
        <v>21.498571428571431</v>
      </c>
      <c r="Q43" s="59">
        <f>F61</f>
        <v>0</v>
      </c>
      <c r="R43" s="58"/>
      <c r="S43" s="58"/>
      <c r="T43" s="58"/>
      <c r="U43" s="58"/>
      <c r="V43" s="58"/>
      <c r="W43" s="58"/>
      <c r="X43" s="58"/>
    </row>
    <row r="44" spans="2:24" ht="16" thickBot="1">
      <c r="B44" s="127" t="s">
        <v>12</v>
      </c>
      <c r="C44" s="128"/>
      <c r="D44" s="128"/>
      <c r="E44" s="128"/>
      <c r="F44" s="128"/>
      <c r="G44" s="128"/>
      <c r="H44" s="129"/>
      <c r="I44" s="224"/>
      <c r="J44" s="224"/>
      <c r="K44" s="224"/>
      <c r="L44" s="224"/>
      <c r="M44" s="224"/>
      <c r="N44" s="224"/>
      <c r="O44" s="224"/>
      <c r="P44" s="224"/>
      <c r="Q44" s="224"/>
      <c r="R44" s="224"/>
      <c r="S44" s="224"/>
      <c r="T44" s="224"/>
      <c r="U44" s="224"/>
      <c r="V44" s="224"/>
      <c r="W44" s="224"/>
      <c r="X44" s="224"/>
    </row>
    <row r="45" spans="2:24" ht="16" thickBot="1">
      <c r="B45" s="125" t="s">
        <v>13</v>
      </c>
      <c r="C45" s="306">
        <v>0</v>
      </c>
      <c r="D45" s="306">
        <v>0</v>
      </c>
      <c r="E45" s="306">
        <v>0</v>
      </c>
      <c r="F45" s="306">
        <v>0</v>
      </c>
      <c r="G45" s="306" t="s">
        <v>33</v>
      </c>
      <c r="H45" s="306"/>
      <c r="I45" s="224"/>
      <c r="J45" s="224"/>
      <c r="K45" s="224"/>
      <c r="L45" s="224"/>
      <c r="M45" s="224"/>
      <c r="N45" s="224"/>
      <c r="O45" s="224"/>
      <c r="P45" s="224"/>
      <c r="Q45" s="224"/>
      <c r="R45" s="224"/>
      <c r="S45" s="224"/>
      <c r="T45" s="224"/>
      <c r="U45" s="224"/>
      <c r="V45" s="224"/>
      <c r="W45" s="224"/>
      <c r="X45" s="224"/>
    </row>
    <row r="46" spans="2:24" ht="16" thickBot="1">
      <c r="B46" s="125" t="s">
        <v>15</v>
      </c>
      <c r="C46" s="306">
        <v>0</v>
      </c>
      <c r="D46" s="306">
        <v>0</v>
      </c>
      <c r="E46" s="306">
        <v>0</v>
      </c>
      <c r="F46" s="306">
        <v>0</v>
      </c>
      <c r="G46" s="306"/>
      <c r="H46" s="306"/>
      <c r="I46" s="224"/>
      <c r="J46" s="224"/>
      <c r="K46" s="224"/>
      <c r="L46" s="224"/>
      <c r="M46" s="224"/>
      <c r="N46" s="224"/>
      <c r="O46" s="224"/>
      <c r="P46" s="224"/>
      <c r="Q46" s="224"/>
      <c r="R46" s="224"/>
      <c r="S46" s="224"/>
      <c r="T46" s="224"/>
      <c r="U46" s="224"/>
      <c r="V46" s="224"/>
      <c r="W46" s="224"/>
      <c r="X46" s="224"/>
    </row>
    <row r="47" spans="2:24" ht="16" thickBot="1">
      <c r="B47" s="125" t="s">
        <v>17</v>
      </c>
      <c r="C47" s="306">
        <v>0</v>
      </c>
      <c r="D47" s="306">
        <v>0</v>
      </c>
      <c r="E47" s="306">
        <v>0</v>
      </c>
      <c r="F47" s="306">
        <v>0</v>
      </c>
      <c r="G47" s="306"/>
      <c r="H47" s="306"/>
      <c r="I47" s="224"/>
      <c r="J47" s="224"/>
      <c r="K47" s="224"/>
      <c r="L47" s="224"/>
      <c r="M47" s="224"/>
      <c r="N47" s="224"/>
      <c r="O47" s="224"/>
      <c r="P47" s="224"/>
      <c r="Q47" s="224"/>
      <c r="R47" s="224"/>
      <c r="S47" s="224"/>
      <c r="T47" s="224"/>
      <c r="U47" s="224"/>
      <c r="V47" s="224"/>
      <c r="W47" s="224"/>
      <c r="X47" s="224"/>
    </row>
    <row r="48" spans="2:24" ht="17" thickTop="1" thickBot="1">
      <c r="B48" s="125" t="s">
        <v>18</v>
      </c>
      <c r="C48" s="306">
        <v>0</v>
      </c>
      <c r="D48" s="306">
        <v>0</v>
      </c>
      <c r="E48" s="306">
        <v>0</v>
      </c>
      <c r="F48" s="306">
        <v>0</v>
      </c>
      <c r="G48" s="306"/>
      <c r="H48" s="306"/>
      <c r="I48" s="224"/>
      <c r="J48" s="308">
        <v>95</v>
      </c>
      <c r="K48" s="309" t="s">
        <v>637</v>
      </c>
      <c r="L48" s="310" t="s">
        <v>638</v>
      </c>
      <c r="M48" s="310"/>
      <c r="N48" s="310"/>
      <c r="O48" s="311"/>
      <c r="P48" s="224"/>
      <c r="Q48" s="308">
        <v>95</v>
      </c>
      <c r="R48" s="309" t="s">
        <v>637</v>
      </c>
      <c r="S48" s="310" t="s">
        <v>638</v>
      </c>
      <c r="T48" s="310"/>
      <c r="U48" s="310"/>
      <c r="V48" s="311"/>
      <c r="W48" s="224"/>
      <c r="X48" s="224"/>
    </row>
    <row r="49" spans="1:22" ht="16" thickBot="1">
      <c r="B49" s="125" t="s">
        <v>19</v>
      </c>
      <c r="C49" s="306">
        <v>0</v>
      </c>
      <c r="D49" s="306">
        <v>0</v>
      </c>
      <c r="E49" s="306">
        <v>0</v>
      </c>
      <c r="F49" s="306">
        <v>0</v>
      </c>
      <c r="G49" s="306"/>
      <c r="H49" s="306"/>
      <c r="I49" s="224"/>
      <c r="J49" s="312">
        <v>0.1</v>
      </c>
      <c r="K49" s="272" t="s">
        <v>639</v>
      </c>
      <c r="L49" s="55"/>
      <c r="M49" s="55"/>
      <c r="N49" s="55"/>
      <c r="O49" s="313"/>
      <c r="Q49" s="312">
        <v>0.12</v>
      </c>
      <c r="R49" s="272" t="s">
        <v>639</v>
      </c>
      <c r="S49" s="55"/>
      <c r="T49" s="55"/>
      <c r="U49" s="55"/>
      <c r="V49" s="313"/>
    </row>
    <row r="50" spans="1:22" ht="16" thickBot="1">
      <c r="B50" s="127" t="s">
        <v>22</v>
      </c>
      <c r="C50" s="128"/>
      <c r="D50" s="128"/>
      <c r="E50" s="128"/>
      <c r="F50" s="128"/>
      <c r="G50" s="128"/>
      <c r="H50" s="129"/>
      <c r="I50" s="224"/>
      <c r="J50" s="314">
        <v>25</v>
      </c>
      <c r="K50" s="272" t="s">
        <v>637</v>
      </c>
      <c r="L50" s="55" t="s">
        <v>640</v>
      </c>
      <c r="M50" s="55"/>
      <c r="N50" s="55"/>
      <c r="O50" s="313"/>
      <c r="Q50" s="314">
        <v>25</v>
      </c>
      <c r="R50" s="272" t="s">
        <v>637</v>
      </c>
      <c r="S50" s="55" t="s">
        <v>640</v>
      </c>
      <c r="T50" s="55"/>
      <c r="U50" s="55"/>
      <c r="V50" s="313"/>
    </row>
    <row r="51" spans="1:22" ht="16" thickBot="1">
      <c r="A51" s="64"/>
      <c r="B51" s="125" t="s">
        <v>127</v>
      </c>
      <c r="C51" s="306">
        <v>0.5</v>
      </c>
      <c r="D51" s="306">
        <v>0.5</v>
      </c>
      <c r="E51" s="306">
        <v>0.5</v>
      </c>
      <c r="F51" s="306">
        <v>0.5</v>
      </c>
      <c r="G51" s="306" t="s">
        <v>20</v>
      </c>
      <c r="H51" s="306"/>
      <c r="I51" s="224"/>
      <c r="J51" s="312">
        <v>0.65</v>
      </c>
      <c r="K51" s="315" t="s">
        <v>641</v>
      </c>
      <c r="L51" s="55"/>
      <c r="M51" s="55"/>
      <c r="N51" s="55"/>
      <c r="O51" s="313"/>
      <c r="Q51" s="312">
        <v>0.7</v>
      </c>
      <c r="R51" s="315" t="s">
        <v>641</v>
      </c>
      <c r="S51" s="55"/>
      <c r="T51" s="55"/>
      <c r="U51" s="55"/>
      <c r="V51" s="313"/>
    </row>
    <row r="52" spans="1:22">
      <c r="A52" s="36"/>
      <c r="B52" s="130" t="s">
        <v>24</v>
      </c>
      <c r="C52" s="896">
        <v>85.90604026845638</v>
      </c>
      <c r="D52" s="896">
        <v>80.53691275167786</v>
      </c>
      <c r="E52" s="896">
        <v>73.825503355704697</v>
      </c>
      <c r="F52" s="896">
        <v>67.114093959731548</v>
      </c>
      <c r="G52" s="131"/>
      <c r="H52" s="131"/>
      <c r="I52" s="224"/>
      <c r="J52" s="314">
        <f>J48*J49+J50*J51</f>
        <v>25.75</v>
      </c>
      <c r="K52" s="315" t="s">
        <v>637</v>
      </c>
      <c r="L52" s="55" t="s">
        <v>642</v>
      </c>
      <c r="M52" s="55"/>
      <c r="N52" s="55"/>
      <c r="O52" s="313"/>
      <c r="Q52" s="314">
        <f>Q48*Q49+Q50*Q51</f>
        <v>28.9</v>
      </c>
      <c r="R52" s="315" t="s">
        <v>637</v>
      </c>
      <c r="S52" s="55" t="s">
        <v>642</v>
      </c>
      <c r="T52" s="55"/>
      <c r="U52" s="55"/>
      <c r="V52" s="313"/>
    </row>
    <row r="53" spans="1:22">
      <c r="A53" s="36"/>
      <c r="B53" s="130" t="s">
        <v>26</v>
      </c>
      <c r="C53" s="896">
        <v>65</v>
      </c>
      <c r="D53" s="896">
        <v>65</v>
      </c>
      <c r="E53" s="896">
        <v>65</v>
      </c>
      <c r="F53" s="896">
        <v>65</v>
      </c>
      <c r="G53" s="131"/>
      <c r="H53" s="131" t="s">
        <v>129</v>
      </c>
      <c r="I53" s="224"/>
      <c r="J53" s="316">
        <v>1500</v>
      </c>
      <c r="K53" s="315" t="s">
        <v>643</v>
      </c>
      <c r="L53" s="55" t="s">
        <v>645</v>
      </c>
      <c r="M53" s="55"/>
      <c r="N53" s="313"/>
      <c r="O53" s="313"/>
      <c r="Q53" s="316">
        <v>1500</v>
      </c>
      <c r="R53" s="315" t="s">
        <v>643</v>
      </c>
      <c r="S53" s="55" t="s">
        <v>645</v>
      </c>
      <c r="T53" s="55"/>
      <c r="U53" s="313"/>
      <c r="V53" s="313"/>
    </row>
    <row r="54" spans="1:22" ht="16" thickBot="1">
      <c r="A54" s="36"/>
      <c r="B54" s="125" t="s">
        <v>28</v>
      </c>
      <c r="C54" s="897">
        <v>35</v>
      </c>
      <c r="D54" s="897">
        <v>35</v>
      </c>
      <c r="E54" s="897">
        <v>35</v>
      </c>
      <c r="F54" s="897">
        <v>35</v>
      </c>
      <c r="G54" s="306"/>
      <c r="H54" s="306">
        <v>8</v>
      </c>
      <c r="I54" s="224"/>
      <c r="J54" s="317">
        <f>J52*J53</f>
        <v>38625</v>
      </c>
      <c r="K54" s="318" t="s">
        <v>360</v>
      </c>
      <c r="L54" s="55" t="s">
        <v>642</v>
      </c>
      <c r="M54" s="55"/>
      <c r="N54" s="313"/>
      <c r="O54" s="313"/>
      <c r="Q54" s="317">
        <f>Q52*Q53</f>
        <v>43350</v>
      </c>
      <c r="R54" s="318" t="s">
        <v>360</v>
      </c>
      <c r="S54" s="55" t="s">
        <v>642</v>
      </c>
      <c r="T54" s="55"/>
      <c r="U54" s="313"/>
      <c r="V54" s="313"/>
    </row>
    <row r="55" spans="1:22" ht="28" thickBot="1">
      <c r="A55" s="36"/>
      <c r="B55" s="125" t="s">
        <v>30</v>
      </c>
      <c r="C55" s="897">
        <v>0</v>
      </c>
      <c r="D55" s="897">
        <v>0</v>
      </c>
      <c r="E55" s="897">
        <v>0</v>
      </c>
      <c r="F55" s="897">
        <v>0</v>
      </c>
      <c r="G55" s="306"/>
      <c r="H55" s="306"/>
      <c r="I55" s="224"/>
      <c r="J55" s="319">
        <f>J54*3.6/1000</f>
        <v>139.05000000000001</v>
      </c>
      <c r="K55" s="320" t="s">
        <v>361</v>
      </c>
      <c r="L55" s="321" t="s">
        <v>642</v>
      </c>
      <c r="M55" s="321"/>
      <c r="N55" s="322"/>
      <c r="O55" s="322"/>
      <c r="Q55" s="319">
        <f>Q54*3.6/1000</f>
        <v>156.06</v>
      </c>
      <c r="R55" s="320" t="s">
        <v>361</v>
      </c>
      <c r="S55" s="321" t="s">
        <v>642</v>
      </c>
      <c r="T55" s="321"/>
      <c r="U55" s="322"/>
      <c r="V55" s="322"/>
    </row>
    <row r="56" spans="1:22" ht="16" thickBot="1">
      <c r="A56" s="36"/>
      <c r="B56" s="125" t="s">
        <v>64</v>
      </c>
      <c r="C56" s="897">
        <v>389</v>
      </c>
      <c r="D56" s="897">
        <v>388.249750624375</v>
      </c>
      <c r="E56" s="897">
        <v>437.5</v>
      </c>
      <c r="F56" s="897">
        <v>404</v>
      </c>
      <c r="G56" s="306" t="s">
        <v>76</v>
      </c>
      <c r="H56" s="306"/>
      <c r="I56" s="224"/>
      <c r="J56" s="224"/>
      <c r="K56" s="224"/>
      <c r="L56" s="224"/>
      <c r="M56" s="224"/>
      <c r="N56" s="224"/>
      <c r="O56" s="224"/>
    </row>
    <row r="57" spans="1:22">
      <c r="A57" s="36"/>
      <c r="B57" s="130" t="s">
        <v>130</v>
      </c>
      <c r="C57" s="131">
        <v>0</v>
      </c>
      <c r="D57" s="131">
        <v>0</v>
      </c>
      <c r="E57" s="131">
        <v>0</v>
      </c>
      <c r="F57" s="131">
        <v>0</v>
      </c>
      <c r="G57" s="131" t="s">
        <v>25</v>
      </c>
      <c r="H57" s="131"/>
      <c r="I57" s="224"/>
      <c r="J57" s="224"/>
      <c r="K57" s="224"/>
      <c r="L57" s="224"/>
      <c r="M57" s="224"/>
      <c r="N57" s="224"/>
      <c r="O57" s="224"/>
    </row>
    <row r="58" spans="1:22">
      <c r="B58" s="323" t="s">
        <v>353</v>
      </c>
      <c r="C58" s="324">
        <f>C59/C39</f>
        <v>4571.4285714285716</v>
      </c>
      <c r="D58" s="324">
        <f>D59/D39</f>
        <v>4285.7142857142862</v>
      </c>
      <c r="E58" s="324">
        <f>E59/E39</f>
        <v>3928.5714285714284</v>
      </c>
      <c r="F58" s="324">
        <f>F59/F39</f>
        <v>3571.428571428572</v>
      </c>
      <c r="G58" s="325" t="s">
        <v>332</v>
      </c>
      <c r="H58" s="326"/>
      <c r="I58" s="224"/>
      <c r="J58" s="224"/>
      <c r="K58" s="224"/>
      <c r="L58" s="224"/>
      <c r="M58" s="224"/>
      <c r="N58" s="224"/>
      <c r="O58" s="224"/>
    </row>
    <row r="59" spans="1:22">
      <c r="B59" s="327" t="s">
        <v>354</v>
      </c>
      <c r="C59" s="60">
        <f>C52*$F$4*1000</f>
        <v>640000</v>
      </c>
      <c r="D59" s="60">
        <f t="shared" ref="D59:F59" si="2">D52*$F$4*1000</f>
        <v>600000.00000000012</v>
      </c>
      <c r="E59" s="60">
        <f t="shared" si="2"/>
        <v>550000</v>
      </c>
      <c r="F59" s="60">
        <f t="shared" si="2"/>
        <v>500000.00000000006</v>
      </c>
      <c r="G59" s="70">
        <f>C39</f>
        <v>140</v>
      </c>
      <c r="H59" s="328" t="s">
        <v>330</v>
      </c>
      <c r="I59" s="224"/>
      <c r="J59" s="224"/>
      <c r="K59" s="224"/>
      <c r="L59" s="224"/>
      <c r="M59" s="224"/>
      <c r="N59" s="224"/>
      <c r="O59" s="224"/>
    </row>
    <row r="60" spans="1:22">
      <c r="B60" s="327" t="s">
        <v>355</v>
      </c>
      <c r="C60" s="60">
        <f>C56*$F$4/C39</f>
        <v>20.700357142857143</v>
      </c>
      <c r="D60" s="60">
        <f>D56*$F$4/D39</f>
        <v>20.660433158225668</v>
      </c>
      <c r="E60" s="60">
        <f>E56*$F$4/E39</f>
        <v>23.28125</v>
      </c>
      <c r="F60" s="60">
        <f>F56*$F$4/F39</f>
        <v>21.498571428571431</v>
      </c>
      <c r="G60" s="69" t="s">
        <v>331</v>
      </c>
      <c r="H60" s="328"/>
      <c r="I60" s="224"/>
      <c r="J60" s="224"/>
      <c r="K60" s="224"/>
      <c r="L60" s="224"/>
      <c r="M60" s="224"/>
      <c r="N60" s="224"/>
      <c r="O60" s="224"/>
    </row>
    <row r="61" spans="1:22" ht="16" thickBot="1">
      <c r="B61" s="329" t="s">
        <v>356</v>
      </c>
      <c r="C61" s="330">
        <f>C57*$F$4/($J$55)</f>
        <v>0</v>
      </c>
      <c r="D61" s="330">
        <f t="shared" ref="D61" si="3">D57*$F$4/($J$55)</f>
        <v>0</v>
      </c>
      <c r="E61" s="330">
        <f>E57*$F$4/$Q$55</f>
        <v>0</v>
      </c>
      <c r="F61" s="330">
        <f>F57*$F$4/$Q$55</f>
        <v>0</v>
      </c>
      <c r="G61" s="331" t="s">
        <v>423</v>
      </c>
      <c r="H61" s="332"/>
      <c r="I61" s="224"/>
      <c r="J61" s="224"/>
      <c r="K61" s="224"/>
      <c r="L61" s="224"/>
      <c r="M61" s="224"/>
      <c r="N61" s="224"/>
      <c r="O61" s="224"/>
    </row>
    <row r="62" spans="1:22" ht="15.75" customHeight="1">
      <c r="B62" s="1265" t="s">
        <v>0</v>
      </c>
      <c r="C62" s="1267" t="s">
        <v>123</v>
      </c>
      <c r="D62" s="1267"/>
      <c r="E62" s="1267"/>
      <c r="F62" s="1267"/>
      <c r="G62" s="1267"/>
      <c r="H62" s="1144"/>
      <c r="I62" s="224"/>
      <c r="J62" s="1259" t="str">
        <f>C62</f>
        <v>Solar heating system</v>
      </c>
      <c r="K62" s="1260"/>
      <c r="L62" s="1260"/>
      <c r="M62" s="1260"/>
      <c r="N62" s="1260"/>
      <c r="O62" s="1261"/>
    </row>
    <row r="63" spans="1:22" ht="15.75" customHeight="1" thickBot="1">
      <c r="B63" s="1266"/>
      <c r="C63" s="1135" t="s">
        <v>34</v>
      </c>
      <c r="D63" s="1135"/>
      <c r="E63" s="1135"/>
      <c r="F63" s="1135"/>
      <c r="G63" s="1135"/>
      <c r="H63" s="1136"/>
      <c r="I63" s="224"/>
      <c r="J63" s="1134" t="str">
        <f>C63</f>
        <v>One-family house, new building</v>
      </c>
      <c r="K63" s="1135"/>
      <c r="L63" s="1135"/>
      <c r="M63" s="1135"/>
      <c r="N63" s="1135"/>
      <c r="O63" s="1136"/>
    </row>
    <row r="64" spans="1:22" ht="15.75" customHeight="1" thickBot="1">
      <c r="B64" s="125"/>
      <c r="C64" s="306">
        <v>2015</v>
      </c>
      <c r="D64" s="306">
        <v>2020</v>
      </c>
      <c r="E64" s="306">
        <v>2030</v>
      </c>
      <c r="F64" s="306">
        <v>2050</v>
      </c>
      <c r="G64" s="306" t="s">
        <v>2</v>
      </c>
      <c r="H64" s="306" t="s">
        <v>3</v>
      </c>
      <c r="I64" s="224"/>
      <c r="J64" s="53" t="s">
        <v>357</v>
      </c>
      <c r="K64" s="224"/>
      <c r="L64" s="224"/>
      <c r="M64" s="224"/>
      <c r="N64" s="224"/>
      <c r="O64" s="224"/>
    </row>
    <row r="65" spans="1:24" ht="31" thickBot="1">
      <c r="B65" s="127" t="s">
        <v>4</v>
      </c>
      <c r="C65" s="128"/>
      <c r="D65" s="128"/>
      <c r="E65" s="128"/>
      <c r="F65" s="128"/>
      <c r="G65" s="128"/>
      <c r="H65" s="129"/>
      <c r="I65" s="224"/>
      <c r="J65" s="46" t="s">
        <v>335</v>
      </c>
      <c r="K65" s="46" t="s">
        <v>336</v>
      </c>
      <c r="L65" s="47" t="s">
        <v>337</v>
      </c>
      <c r="M65" s="47" t="s">
        <v>338</v>
      </c>
      <c r="N65" s="47" t="s">
        <v>339</v>
      </c>
      <c r="O65" s="48" t="s">
        <v>340</v>
      </c>
      <c r="P65" s="49" t="s">
        <v>341</v>
      </c>
      <c r="Q65" s="49" t="s">
        <v>342</v>
      </c>
      <c r="R65" s="49" t="s">
        <v>343</v>
      </c>
      <c r="S65" s="49" t="s">
        <v>344</v>
      </c>
      <c r="T65" s="49" t="s">
        <v>345</v>
      </c>
      <c r="U65" s="49" t="s">
        <v>346</v>
      </c>
      <c r="V65" s="49" t="s">
        <v>347</v>
      </c>
      <c r="W65" s="49" t="s">
        <v>348</v>
      </c>
      <c r="X65" s="49" t="s">
        <v>349</v>
      </c>
    </row>
    <row r="66" spans="1:24" ht="16" thickBot="1">
      <c r="B66" s="1" t="s">
        <v>124</v>
      </c>
      <c r="C66" s="2">
        <v>6</v>
      </c>
      <c r="D66" s="2">
        <v>6</v>
      </c>
      <c r="E66" s="2">
        <v>6</v>
      </c>
      <c r="F66" s="2">
        <v>6</v>
      </c>
      <c r="G66" s="2" t="s">
        <v>6</v>
      </c>
      <c r="H66" s="2">
        <v>1</v>
      </c>
      <c r="J66" s="50"/>
      <c r="K66" s="50"/>
      <c r="L66" s="51"/>
      <c r="M66" s="51"/>
      <c r="N66" s="51"/>
      <c r="O66" s="52"/>
      <c r="P66" s="50"/>
      <c r="Q66" s="50"/>
      <c r="R66" s="50"/>
      <c r="S66" s="50"/>
      <c r="T66" s="50"/>
      <c r="U66" s="50"/>
      <c r="V66" s="50"/>
      <c r="W66" s="50"/>
      <c r="X66" s="50"/>
    </row>
    <row r="67" spans="1:24" ht="16" thickBot="1">
      <c r="B67" s="1" t="s">
        <v>125</v>
      </c>
      <c r="C67" s="2">
        <v>4.2</v>
      </c>
      <c r="D67" s="2">
        <v>4.2</v>
      </c>
      <c r="E67" s="2">
        <v>4.2</v>
      </c>
      <c r="F67" s="2">
        <v>4.2</v>
      </c>
      <c r="G67" s="2" t="s">
        <v>6</v>
      </c>
      <c r="H67" s="2"/>
      <c r="J67" s="56"/>
      <c r="K67" s="56"/>
      <c r="L67" s="57"/>
      <c r="M67" s="57"/>
      <c r="N67" s="57"/>
      <c r="O67" s="56" t="s">
        <v>350</v>
      </c>
      <c r="P67" s="56" t="s">
        <v>326</v>
      </c>
      <c r="Q67" s="56" t="s">
        <v>327</v>
      </c>
      <c r="R67" s="56" t="s">
        <v>351</v>
      </c>
      <c r="S67" s="56" t="s">
        <v>351</v>
      </c>
      <c r="T67" s="56" t="s">
        <v>352</v>
      </c>
      <c r="U67" s="56" t="s">
        <v>352</v>
      </c>
      <c r="V67" s="56" t="s">
        <v>352</v>
      </c>
      <c r="W67" s="56" t="s">
        <v>352</v>
      </c>
      <c r="X67" s="56" t="s">
        <v>352</v>
      </c>
    </row>
    <row r="68" spans="1:24" ht="28" thickBot="1">
      <c r="B68" s="1" t="s">
        <v>7</v>
      </c>
      <c r="C68" s="2">
        <v>40</v>
      </c>
      <c r="D68" s="2">
        <v>40</v>
      </c>
      <c r="E68" s="2">
        <v>50</v>
      </c>
      <c r="F68" s="2">
        <v>60</v>
      </c>
      <c r="G68" s="2" t="s">
        <v>59</v>
      </c>
      <c r="H68" s="2" t="s">
        <v>126</v>
      </c>
      <c r="J68" s="58">
        <f>C64</f>
        <v>2015</v>
      </c>
      <c r="K68" s="58">
        <f>J68</f>
        <v>2015</v>
      </c>
      <c r="L68" s="58">
        <f>C70/100</f>
        <v>1</v>
      </c>
      <c r="M68" s="58"/>
      <c r="N68" s="58">
        <f>C71</f>
        <v>20</v>
      </c>
      <c r="O68" s="59">
        <f>C86</f>
        <v>5066.0000000000009</v>
      </c>
      <c r="P68" s="59">
        <f>C88</f>
        <v>517.40250000000003</v>
      </c>
      <c r="Q68" s="59">
        <f>C89</f>
        <v>0</v>
      </c>
      <c r="R68" s="58"/>
      <c r="S68" s="58"/>
      <c r="T68" s="58"/>
      <c r="U68" s="58"/>
      <c r="V68" s="58"/>
      <c r="W68" s="58"/>
      <c r="X68" s="58"/>
    </row>
    <row r="69" spans="1:24" ht="28" thickBot="1">
      <c r="B69" s="1" t="s">
        <v>8</v>
      </c>
      <c r="C69" s="2">
        <v>65</v>
      </c>
      <c r="D69" s="2">
        <v>65</v>
      </c>
      <c r="E69" s="2">
        <v>70</v>
      </c>
      <c r="F69" s="2">
        <v>70</v>
      </c>
      <c r="G69" s="2"/>
      <c r="H69" s="2"/>
      <c r="J69" s="58">
        <f>D64</f>
        <v>2020</v>
      </c>
      <c r="K69" s="58"/>
      <c r="L69" s="58">
        <f>D70/100</f>
        <v>1</v>
      </c>
      <c r="M69" s="58"/>
      <c r="N69" s="58">
        <f>D71</f>
        <v>25</v>
      </c>
      <c r="O69" s="59">
        <f>D86</f>
        <v>4768</v>
      </c>
      <c r="P69" s="59">
        <f>D88</f>
        <v>507.90319264547821</v>
      </c>
      <c r="Q69" s="59">
        <f>D89</f>
        <v>0</v>
      </c>
      <c r="R69" s="58"/>
      <c r="S69" s="58"/>
      <c r="T69" s="58"/>
      <c r="U69" s="58"/>
      <c r="V69" s="58"/>
      <c r="W69" s="58"/>
      <c r="X69" s="58"/>
    </row>
    <row r="70" spans="1:24" ht="16" thickBot="1">
      <c r="B70" s="1" t="s">
        <v>9</v>
      </c>
      <c r="C70" s="35">
        <v>100</v>
      </c>
      <c r="D70" s="35">
        <v>100</v>
      </c>
      <c r="E70" s="35">
        <v>100</v>
      </c>
      <c r="F70" s="35">
        <v>100</v>
      </c>
      <c r="G70" s="2"/>
      <c r="H70" s="2"/>
      <c r="J70" s="58">
        <f>E64</f>
        <v>2030</v>
      </c>
      <c r="K70" s="58"/>
      <c r="L70" s="58">
        <f>E70/100</f>
        <v>1</v>
      </c>
      <c r="M70" s="58"/>
      <c r="N70" s="58">
        <f>E71</f>
        <v>30</v>
      </c>
      <c r="O70" s="59">
        <f>E86</f>
        <v>4470</v>
      </c>
      <c r="P70" s="59">
        <f>E88</f>
        <v>512.44182906179265</v>
      </c>
      <c r="Q70" s="59">
        <f>E89</f>
        <v>0</v>
      </c>
      <c r="R70" s="58"/>
      <c r="S70" s="58"/>
      <c r="T70" s="58"/>
      <c r="U70" s="58"/>
      <c r="V70" s="58"/>
      <c r="W70" s="58"/>
      <c r="X70" s="58"/>
    </row>
    <row r="71" spans="1:24" ht="16" thickBot="1">
      <c r="B71" s="1" t="s">
        <v>11</v>
      </c>
      <c r="C71" s="2">
        <v>20</v>
      </c>
      <c r="D71" s="2">
        <v>25</v>
      </c>
      <c r="E71" s="2">
        <v>30</v>
      </c>
      <c r="F71" s="2">
        <v>30</v>
      </c>
      <c r="G71" s="2" t="s">
        <v>16</v>
      </c>
      <c r="H71" s="2">
        <v>1</v>
      </c>
      <c r="J71" s="58">
        <f>F64</f>
        <v>2050</v>
      </c>
      <c r="K71" s="58"/>
      <c r="L71" s="58">
        <f>F70/100</f>
        <v>1</v>
      </c>
      <c r="M71" s="58"/>
      <c r="N71" s="58">
        <f>F71</f>
        <v>30</v>
      </c>
      <c r="O71" s="59">
        <f>F86</f>
        <v>3352.5</v>
      </c>
      <c r="P71" s="59">
        <f>F88</f>
        <v>470.95410883564915</v>
      </c>
      <c r="Q71" s="59">
        <f>F89</f>
        <v>0</v>
      </c>
      <c r="R71" s="58"/>
      <c r="S71" s="58"/>
      <c r="T71" s="58"/>
      <c r="U71" s="58"/>
      <c r="V71" s="58"/>
      <c r="W71" s="58"/>
      <c r="X71" s="58"/>
    </row>
    <row r="72" spans="1:24" ht="16" thickBot="1">
      <c r="B72" s="3" t="s">
        <v>12</v>
      </c>
      <c r="C72" s="4"/>
      <c r="D72" s="4"/>
      <c r="E72" s="4"/>
      <c r="F72" s="4"/>
      <c r="G72" s="4"/>
      <c r="H72" s="5"/>
    </row>
    <row r="73" spans="1:24" ht="16" thickBot="1">
      <c r="B73" s="1" t="s">
        <v>13</v>
      </c>
      <c r="C73" s="2">
        <v>0</v>
      </c>
      <c r="D73" s="2">
        <v>0</v>
      </c>
      <c r="E73" s="2">
        <v>0</v>
      </c>
      <c r="F73" s="2">
        <v>0</v>
      </c>
      <c r="G73" s="2" t="s">
        <v>33</v>
      </c>
      <c r="H73" s="2"/>
    </row>
    <row r="74" spans="1:24" ht="16" thickBot="1">
      <c r="B74" s="1" t="s">
        <v>15</v>
      </c>
      <c r="C74" s="2">
        <v>0</v>
      </c>
      <c r="D74" s="2">
        <v>0</v>
      </c>
      <c r="E74" s="2">
        <v>0</v>
      </c>
      <c r="F74" s="2">
        <v>0</v>
      </c>
      <c r="G74" s="2"/>
      <c r="H74" s="2"/>
    </row>
    <row r="75" spans="1:24" ht="16" thickBot="1">
      <c r="B75" s="1" t="s">
        <v>17</v>
      </c>
      <c r="C75" s="2">
        <v>0</v>
      </c>
      <c r="D75" s="2">
        <v>0</v>
      </c>
      <c r="E75" s="2">
        <v>0</v>
      </c>
      <c r="F75" s="2">
        <v>0</v>
      </c>
      <c r="G75" s="2"/>
      <c r="H75" s="2"/>
      <c r="O75" s="1106"/>
    </row>
    <row r="76" spans="1:24" ht="16" thickBot="1">
      <c r="B76" s="1" t="s">
        <v>18</v>
      </c>
      <c r="C76" s="2">
        <v>0</v>
      </c>
      <c r="D76" s="2">
        <v>0</v>
      </c>
      <c r="E76" s="2">
        <v>0</v>
      </c>
      <c r="F76" s="2">
        <v>0</v>
      </c>
      <c r="G76" s="2"/>
      <c r="H76" s="2"/>
    </row>
    <row r="77" spans="1:24" ht="16" thickBot="1">
      <c r="B77" s="1" t="s">
        <v>19</v>
      </c>
      <c r="C77" s="2">
        <v>0</v>
      </c>
      <c r="D77" s="2">
        <v>0</v>
      </c>
      <c r="E77" s="2">
        <v>0</v>
      </c>
      <c r="F77" s="2">
        <v>0</v>
      </c>
      <c r="G77" s="2"/>
      <c r="H77" s="2"/>
    </row>
    <row r="78" spans="1:24" ht="16" thickBot="1">
      <c r="B78" s="3" t="s">
        <v>22</v>
      </c>
      <c r="C78" s="4"/>
      <c r="D78" s="4"/>
      <c r="E78" s="4"/>
      <c r="F78" s="4"/>
      <c r="G78" s="4"/>
      <c r="H78" s="5"/>
    </row>
    <row r="79" spans="1:24" ht="16" thickBot="1">
      <c r="B79" s="1" t="s">
        <v>127</v>
      </c>
      <c r="C79" s="2">
        <v>0.68</v>
      </c>
      <c r="D79" s="2">
        <v>0.64</v>
      </c>
      <c r="E79" s="2">
        <v>0.6</v>
      </c>
      <c r="F79" s="2">
        <v>0.45</v>
      </c>
      <c r="G79" s="2" t="s">
        <v>20</v>
      </c>
      <c r="H79" s="2" t="s">
        <v>128</v>
      </c>
    </row>
    <row r="80" spans="1:24">
      <c r="A80" s="36"/>
      <c r="B80" s="6" t="s">
        <v>24</v>
      </c>
      <c r="C80" s="896">
        <v>2.6845637583892619</v>
      </c>
      <c r="D80" s="896">
        <v>2.4161073825503352</v>
      </c>
      <c r="E80" s="896">
        <v>2.1476510067114094</v>
      </c>
      <c r="F80" s="896">
        <v>1.8791946308724832</v>
      </c>
      <c r="G80" s="7"/>
      <c r="H80" s="7" t="s">
        <v>128</v>
      </c>
    </row>
    <row r="81" spans="1:24">
      <c r="A81" s="36"/>
      <c r="B81" s="6" t="s">
        <v>26</v>
      </c>
      <c r="C81" s="898">
        <v>65</v>
      </c>
      <c r="D81" s="898">
        <v>65</v>
      </c>
      <c r="E81" s="898">
        <v>65</v>
      </c>
      <c r="F81" s="898">
        <v>65</v>
      </c>
      <c r="G81" s="7"/>
      <c r="H81" s="7" t="s">
        <v>129</v>
      </c>
    </row>
    <row r="82" spans="1:24" ht="16" thickBot="1">
      <c r="A82" s="36"/>
      <c r="B82" s="1" t="s">
        <v>28</v>
      </c>
      <c r="C82" s="899">
        <v>35</v>
      </c>
      <c r="D82" s="899">
        <v>35</v>
      </c>
      <c r="E82" s="899">
        <v>35</v>
      </c>
      <c r="F82" s="899">
        <v>35</v>
      </c>
      <c r="G82" s="2"/>
      <c r="H82" s="2">
        <v>8</v>
      </c>
    </row>
    <row r="83" spans="1:24" ht="28" thickBot="1">
      <c r="A83" s="36"/>
      <c r="B83" s="1" t="s">
        <v>30</v>
      </c>
      <c r="C83" s="899">
        <v>0</v>
      </c>
      <c r="D83" s="899">
        <v>0</v>
      </c>
      <c r="E83" s="899">
        <v>0</v>
      </c>
      <c r="F83" s="899">
        <v>0</v>
      </c>
      <c r="G83" s="2"/>
      <c r="H83" s="2"/>
    </row>
    <row r="84" spans="1:24" ht="16" thickBot="1">
      <c r="A84" s="36"/>
      <c r="B84" s="1" t="s">
        <v>64</v>
      </c>
      <c r="C84" s="899">
        <v>69.45</v>
      </c>
      <c r="D84" s="899">
        <v>68.17492518731251</v>
      </c>
      <c r="E84" s="899">
        <v>68.784138129099688</v>
      </c>
      <c r="F84" s="899">
        <v>63.215316622234781</v>
      </c>
      <c r="G84" s="2" t="s">
        <v>76</v>
      </c>
      <c r="H84" s="2"/>
    </row>
    <row r="85" spans="1:24" ht="16" thickBot="1">
      <c r="A85" s="36"/>
      <c r="B85" s="1" t="s">
        <v>130</v>
      </c>
      <c r="C85" s="2">
        <v>0</v>
      </c>
      <c r="D85" s="2">
        <v>0</v>
      </c>
      <c r="E85" s="2">
        <v>0</v>
      </c>
      <c r="F85" s="2">
        <v>0</v>
      </c>
      <c r="G85" s="2" t="s">
        <v>25</v>
      </c>
      <c r="H85" s="2"/>
    </row>
    <row r="86" spans="1:24">
      <c r="B86" s="36" t="s">
        <v>353</v>
      </c>
      <c r="C86" s="60">
        <f>C79*$F$4*1000</f>
        <v>5066.0000000000009</v>
      </c>
      <c r="D86" s="60">
        <f t="shared" ref="D86:F87" si="4">D79*$F$4*1000</f>
        <v>4768</v>
      </c>
      <c r="E86" s="60">
        <f t="shared" si="4"/>
        <v>4470</v>
      </c>
      <c r="F86" s="60">
        <f t="shared" si="4"/>
        <v>3352.5</v>
      </c>
      <c r="G86" s="63" t="s">
        <v>332</v>
      </c>
      <c r="H86" s="63"/>
    </row>
    <row r="87" spans="1:24">
      <c r="B87" s="36" t="s">
        <v>354</v>
      </c>
      <c r="C87" s="60">
        <f>C80*$F$4*1000</f>
        <v>20000</v>
      </c>
      <c r="D87" s="60">
        <f t="shared" si="4"/>
        <v>17999.999999999996</v>
      </c>
      <c r="E87" s="60">
        <f t="shared" si="4"/>
        <v>16000</v>
      </c>
      <c r="F87" s="60">
        <f t="shared" si="4"/>
        <v>14000</v>
      </c>
      <c r="G87" s="70">
        <f>C67</f>
        <v>4.2</v>
      </c>
      <c r="H87" s="69" t="s">
        <v>330</v>
      </c>
    </row>
    <row r="88" spans="1:24">
      <c r="B88" s="36" t="s">
        <v>355</v>
      </c>
      <c r="C88" s="60">
        <f>C84*$F$4</f>
        <v>517.40250000000003</v>
      </c>
      <c r="D88" s="60">
        <f>D84*$F$4</f>
        <v>507.90319264547821</v>
      </c>
      <c r="E88" s="60">
        <f>E84*$F$4</f>
        <v>512.44182906179265</v>
      </c>
      <c r="F88" s="60">
        <f>F84*$F$4</f>
        <v>470.95410883564915</v>
      </c>
      <c r="G88" s="69" t="s">
        <v>331</v>
      </c>
      <c r="H88" s="69"/>
    </row>
    <row r="89" spans="1:24" ht="16" thickBot="1">
      <c r="B89" s="36" t="s">
        <v>356</v>
      </c>
      <c r="C89" s="60">
        <f>C85*$F$4/(4*3.6*C69/100)</f>
        <v>0</v>
      </c>
      <c r="D89" s="60">
        <f t="shared" ref="D89:F89" si="5">D85*$F$4/(4*3.6*D69/100)</f>
        <v>0</v>
      </c>
      <c r="E89" s="60">
        <f t="shared" si="5"/>
        <v>0</v>
      </c>
      <c r="F89" s="60">
        <f t="shared" si="5"/>
        <v>0</v>
      </c>
      <c r="G89" s="83" t="s">
        <v>422</v>
      </c>
      <c r="H89" s="61"/>
    </row>
    <row r="90" spans="1:24" ht="15.75" customHeight="1">
      <c r="B90" s="1257" t="s">
        <v>0</v>
      </c>
      <c r="C90" s="1259" t="s">
        <v>123</v>
      </c>
      <c r="D90" s="1260"/>
      <c r="E90" s="1260"/>
      <c r="F90" s="1260"/>
      <c r="G90" s="1260"/>
      <c r="H90" s="1261"/>
      <c r="J90" s="1259" t="str">
        <f>C90</f>
        <v>Solar heating system</v>
      </c>
      <c r="K90" s="1260"/>
      <c r="L90" s="1260"/>
      <c r="M90" s="1260"/>
      <c r="N90" s="1260"/>
      <c r="O90" s="1261"/>
    </row>
    <row r="91" spans="1:24" ht="16" thickBot="1">
      <c r="B91" s="1258"/>
      <c r="C91" s="1134" t="s">
        <v>35</v>
      </c>
      <c r="D91" s="1135"/>
      <c r="E91" s="1135"/>
      <c r="F91" s="1135"/>
      <c r="G91" s="1135"/>
      <c r="H91" s="1136"/>
      <c r="J91" s="1134" t="str">
        <f>C91</f>
        <v>Apartment complex, new building</v>
      </c>
      <c r="K91" s="1135"/>
      <c r="L91" s="1135"/>
      <c r="M91" s="1135"/>
      <c r="N91" s="1135"/>
      <c r="O91" s="1136"/>
    </row>
    <row r="92" spans="1:24" ht="16" thickBot="1">
      <c r="B92" s="1"/>
      <c r="C92" s="2">
        <v>2015</v>
      </c>
      <c r="D92" s="2">
        <v>2020</v>
      </c>
      <c r="E92" s="2">
        <v>2030</v>
      </c>
      <c r="F92" s="2">
        <v>2050</v>
      </c>
      <c r="G92" s="2" t="s">
        <v>2</v>
      </c>
      <c r="H92" s="2" t="s">
        <v>3</v>
      </c>
      <c r="J92" s="53" t="s">
        <v>357</v>
      </c>
    </row>
    <row r="93" spans="1:24" ht="31" thickBot="1">
      <c r="B93" s="3" t="s">
        <v>4</v>
      </c>
      <c r="C93" s="4"/>
      <c r="D93" s="4"/>
      <c r="E93" s="4"/>
      <c r="F93" s="4"/>
      <c r="G93" s="4"/>
      <c r="H93" s="5"/>
      <c r="J93" s="46" t="s">
        <v>335</v>
      </c>
      <c r="K93" s="46" t="s">
        <v>336</v>
      </c>
      <c r="L93" s="47" t="s">
        <v>337</v>
      </c>
      <c r="M93" s="47" t="s">
        <v>338</v>
      </c>
      <c r="N93" s="47" t="s">
        <v>339</v>
      </c>
      <c r="O93" s="48" t="s">
        <v>340</v>
      </c>
      <c r="P93" s="49" t="s">
        <v>341</v>
      </c>
      <c r="Q93" s="49" t="s">
        <v>342</v>
      </c>
      <c r="R93" s="49" t="s">
        <v>343</v>
      </c>
      <c r="S93" s="49" t="s">
        <v>344</v>
      </c>
      <c r="T93" s="49" t="s">
        <v>345</v>
      </c>
      <c r="U93" s="49" t="s">
        <v>346</v>
      </c>
      <c r="V93" s="49" t="s">
        <v>347</v>
      </c>
      <c r="W93" s="49" t="s">
        <v>348</v>
      </c>
      <c r="X93" s="49" t="s">
        <v>349</v>
      </c>
    </row>
    <row r="94" spans="1:24" ht="16" thickBot="1">
      <c r="B94" s="1" t="s">
        <v>124</v>
      </c>
      <c r="C94" s="2">
        <v>200</v>
      </c>
      <c r="D94" s="2">
        <v>200</v>
      </c>
      <c r="E94" s="2">
        <v>200</v>
      </c>
      <c r="F94" s="2">
        <v>200</v>
      </c>
      <c r="G94" s="2" t="s">
        <v>6</v>
      </c>
      <c r="H94" s="2"/>
      <c r="J94" s="50"/>
      <c r="K94" s="50"/>
      <c r="L94" s="51"/>
      <c r="M94" s="51"/>
      <c r="N94" s="51"/>
      <c r="O94" s="52"/>
      <c r="P94" s="50"/>
      <c r="Q94" s="50"/>
      <c r="R94" s="50"/>
      <c r="S94" s="50"/>
      <c r="T94" s="50"/>
      <c r="U94" s="50"/>
      <c r="V94" s="50"/>
      <c r="W94" s="50"/>
      <c r="X94" s="50"/>
    </row>
    <row r="95" spans="1:24" ht="16" thickBot="1">
      <c r="B95" s="1" t="s">
        <v>125</v>
      </c>
      <c r="C95" s="2">
        <v>140</v>
      </c>
      <c r="D95" s="2">
        <v>140</v>
      </c>
      <c r="E95" s="2">
        <v>140</v>
      </c>
      <c r="F95" s="2">
        <v>140</v>
      </c>
      <c r="G95" s="2" t="s">
        <v>6</v>
      </c>
      <c r="H95" s="2"/>
      <c r="J95" s="56"/>
      <c r="K95" s="56"/>
      <c r="L95" s="57"/>
      <c r="M95" s="57"/>
      <c r="N95" s="57"/>
      <c r="O95" s="56" t="s">
        <v>350</v>
      </c>
      <c r="P95" s="56" t="s">
        <v>326</v>
      </c>
      <c r="Q95" s="56" t="s">
        <v>327</v>
      </c>
      <c r="R95" s="56" t="s">
        <v>351</v>
      </c>
      <c r="S95" s="56" t="s">
        <v>351</v>
      </c>
      <c r="T95" s="56" t="s">
        <v>352</v>
      </c>
      <c r="U95" s="56" t="s">
        <v>352</v>
      </c>
      <c r="V95" s="56" t="s">
        <v>352</v>
      </c>
      <c r="W95" s="56" t="s">
        <v>352</v>
      </c>
      <c r="X95" s="56" t="s">
        <v>352</v>
      </c>
    </row>
    <row r="96" spans="1:24" ht="28" thickBot="1">
      <c r="B96" s="1" t="s">
        <v>7</v>
      </c>
      <c r="C96" s="2">
        <v>40</v>
      </c>
      <c r="D96" s="2">
        <v>40</v>
      </c>
      <c r="E96" s="2">
        <v>50</v>
      </c>
      <c r="F96" s="2">
        <v>60</v>
      </c>
      <c r="G96" s="2" t="s">
        <v>59</v>
      </c>
      <c r="H96" s="2"/>
      <c r="J96" s="58">
        <f>C92</f>
        <v>2015</v>
      </c>
      <c r="K96" s="58">
        <f>J96</f>
        <v>2015</v>
      </c>
      <c r="L96" s="58">
        <f>C98/100</f>
        <v>1</v>
      </c>
      <c r="M96" s="58"/>
      <c r="N96" s="58">
        <f>C99</f>
        <v>20</v>
      </c>
      <c r="O96" s="59">
        <f>C114</f>
        <v>2831</v>
      </c>
      <c r="P96" s="59">
        <f>C116</f>
        <v>20.700357142857143</v>
      </c>
      <c r="Q96" s="59">
        <f>C117</f>
        <v>0</v>
      </c>
      <c r="R96" s="58"/>
      <c r="S96" s="58"/>
      <c r="T96" s="58"/>
      <c r="U96" s="58"/>
      <c r="V96" s="58"/>
      <c r="W96" s="58"/>
      <c r="X96" s="58"/>
    </row>
    <row r="97" spans="1:24" ht="28" thickBot="1">
      <c r="B97" s="1" t="s">
        <v>8</v>
      </c>
      <c r="C97" s="2">
        <v>65</v>
      </c>
      <c r="D97" s="2">
        <v>65</v>
      </c>
      <c r="E97" s="2">
        <v>70</v>
      </c>
      <c r="F97" s="2">
        <v>70</v>
      </c>
      <c r="G97" s="2" t="s">
        <v>59</v>
      </c>
      <c r="H97" s="2"/>
      <c r="J97" s="58">
        <f>D92</f>
        <v>2020</v>
      </c>
      <c r="K97" s="58"/>
      <c r="L97" s="58">
        <f>D98/100</f>
        <v>1</v>
      </c>
      <c r="M97" s="58"/>
      <c r="N97" s="58">
        <f>D99</f>
        <v>25</v>
      </c>
      <c r="O97" s="59">
        <f>D114</f>
        <v>2831</v>
      </c>
      <c r="P97" s="59">
        <f>D116</f>
        <v>20.660433158225668</v>
      </c>
      <c r="Q97" s="59">
        <f>D117</f>
        <v>0</v>
      </c>
      <c r="R97" s="58"/>
      <c r="S97" s="58"/>
      <c r="T97" s="58"/>
      <c r="U97" s="58"/>
      <c r="V97" s="58"/>
      <c r="W97" s="58"/>
      <c r="X97" s="58"/>
    </row>
    <row r="98" spans="1:24" ht="16" thickBot="1">
      <c r="B98" s="1" t="s">
        <v>9</v>
      </c>
      <c r="C98" s="35">
        <v>100</v>
      </c>
      <c r="D98" s="35">
        <v>100</v>
      </c>
      <c r="E98" s="35">
        <v>100</v>
      </c>
      <c r="F98" s="35">
        <v>100</v>
      </c>
      <c r="G98" s="2"/>
      <c r="H98" s="2"/>
      <c r="J98" s="58">
        <f>E92</f>
        <v>2030</v>
      </c>
      <c r="K98" s="58"/>
      <c r="L98" s="58">
        <f>E98/100</f>
        <v>1</v>
      </c>
      <c r="M98" s="58"/>
      <c r="N98" s="58">
        <f>E99</f>
        <v>30</v>
      </c>
      <c r="O98" s="59">
        <f>E114</f>
        <v>2831</v>
      </c>
      <c r="P98" s="59">
        <f>E116</f>
        <v>23.28125</v>
      </c>
      <c r="Q98" s="59">
        <f>E117</f>
        <v>0</v>
      </c>
      <c r="R98" s="58"/>
      <c r="S98" s="58"/>
      <c r="T98" s="58"/>
      <c r="U98" s="58"/>
      <c r="V98" s="58"/>
      <c r="W98" s="58"/>
      <c r="X98" s="58"/>
    </row>
    <row r="99" spans="1:24" ht="16" thickBot="1">
      <c r="B99" s="1" t="s">
        <v>11</v>
      </c>
      <c r="C99" s="2">
        <v>20</v>
      </c>
      <c r="D99" s="2">
        <v>25</v>
      </c>
      <c r="E99" s="2">
        <v>30</v>
      </c>
      <c r="F99" s="2">
        <v>30</v>
      </c>
      <c r="G99" s="2" t="s">
        <v>16</v>
      </c>
      <c r="H99" s="2"/>
      <c r="J99" s="58">
        <f>F92</f>
        <v>2050</v>
      </c>
      <c r="K99" s="58"/>
      <c r="L99" s="58">
        <f>F98/100</f>
        <v>1</v>
      </c>
      <c r="M99" s="58"/>
      <c r="N99" s="58">
        <f>F99</f>
        <v>30</v>
      </c>
      <c r="O99" s="59">
        <f>F114</f>
        <v>2831</v>
      </c>
      <c r="P99" s="59">
        <f>F116</f>
        <v>21.498571428571431</v>
      </c>
      <c r="Q99" s="59">
        <f>F117</f>
        <v>0</v>
      </c>
      <c r="R99" s="58"/>
      <c r="S99" s="58"/>
      <c r="T99" s="58"/>
      <c r="U99" s="58"/>
      <c r="V99" s="58"/>
      <c r="W99" s="58"/>
      <c r="X99" s="58"/>
    </row>
    <row r="100" spans="1:24" ht="16" thickBot="1">
      <c r="B100" s="3" t="s">
        <v>12</v>
      </c>
      <c r="C100" s="4"/>
      <c r="D100" s="4"/>
      <c r="E100" s="4"/>
      <c r="F100" s="4"/>
      <c r="G100" s="4"/>
      <c r="H100" s="5"/>
    </row>
    <row r="101" spans="1:24" ht="16" thickBot="1">
      <c r="B101" s="1" t="s">
        <v>13</v>
      </c>
      <c r="C101" s="2">
        <v>0</v>
      </c>
      <c r="D101" s="2">
        <v>0</v>
      </c>
      <c r="E101" s="2">
        <v>0</v>
      </c>
      <c r="F101" s="2">
        <v>0</v>
      </c>
      <c r="G101" s="2" t="s">
        <v>33</v>
      </c>
      <c r="H101" s="2"/>
    </row>
    <row r="102" spans="1:24" ht="16" thickBot="1">
      <c r="B102" s="1" t="s">
        <v>15</v>
      </c>
      <c r="C102" s="2">
        <v>0</v>
      </c>
      <c r="D102" s="2">
        <v>0</v>
      </c>
      <c r="E102" s="2">
        <v>0</v>
      </c>
      <c r="F102" s="2">
        <v>0</v>
      </c>
      <c r="G102" s="2"/>
      <c r="H102" s="2"/>
    </row>
    <row r="103" spans="1:24" ht="16" thickBot="1">
      <c r="B103" s="1" t="s">
        <v>17</v>
      </c>
      <c r="C103" s="2">
        <v>0</v>
      </c>
      <c r="D103" s="2">
        <v>0</v>
      </c>
      <c r="E103" s="2">
        <v>0</v>
      </c>
      <c r="F103" s="2">
        <v>0</v>
      </c>
      <c r="G103" s="2"/>
      <c r="H103" s="2"/>
    </row>
    <row r="104" spans="1:24" ht="16" thickBot="1">
      <c r="B104" s="1" t="s">
        <v>18</v>
      </c>
      <c r="C104" s="2">
        <v>0</v>
      </c>
      <c r="D104" s="2">
        <v>0</v>
      </c>
      <c r="E104" s="2">
        <v>0</v>
      </c>
      <c r="F104" s="2">
        <v>0</v>
      </c>
      <c r="G104" s="2"/>
      <c r="H104" s="2"/>
    </row>
    <row r="105" spans="1:24" ht="16" thickBot="1">
      <c r="B105" s="1" t="s">
        <v>19</v>
      </c>
      <c r="C105" s="2">
        <v>0</v>
      </c>
      <c r="D105" s="2">
        <v>0</v>
      </c>
      <c r="E105" s="2">
        <v>0</v>
      </c>
      <c r="F105" s="2">
        <v>0</v>
      </c>
      <c r="G105" s="2"/>
      <c r="H105" s="2"/>
    </row>
    <row r="106" spans="1:24" ht="16" thickBot="1">
      <c r="B106" s="3" t="s">
        <v>22</v>
      </c>
      <c r="C106" s="4"/>
      <c r="D106" s="4"/>
      <c r="E106" s="4"/>
      <c r="F106" s="4"/>
      <c r="G106" s="4"/>
      <c r="H106" s="5"/>
    </row>
    <row r="107" spans="1:24" ht="16" thickBot="1">
      <c r="B107" s="1" t="s">
        <v>23</v>
      </c>
      <c r="C107" s="2">
        <v>0.38</v>
      </c>
      <c r="D107" s="2">
        <v>0.38</v>
      </c>
      <c r="E107" s="2">
        <v>0.38</v>
      </c>
      <c r="F107" s="2">
        <v>0.38</v>
      </c>
      <c r="G107" s="2" t="s">
        <v>20</v>
      </c>
      <c r="H107" s="2"/>
    </row>
    <row r="108" spans="1:24">
      <c r="A108" s="36"/>
      <c r="B108" s="6" t="s">
        <v>24</v>
      </c>
      <c r="C108" s="896">
        <v>80.53691275167786</v>
      </c>
      <c r="D108" s="896">
        <v>73.825503355704697</v>
      </c>
      <c r="E108" s="896">
        <v>67.114093959731548</v>
      </c>
      <c r="F108" s="896">
        <v>60.402684563758392</v>
      </c>
      <c r="G108" s="7"/>
      <c r="H108" s="7"/>
    </row>
    <row r="109" spans="1:24">
      <c r="A109" s="36"/>
      <c r="B109" s="6" t="s">
        <v>26</v>
      </c>
      <c r="C109" s="896">
        <v>65</v>
      </c>
      <c r="D109" s="896">
        <v>65</v>
      </c>
      <c r="E109" s="896">
        <v>65</v>
      </c>
      <c r="F109" s="896">
        <v>65</v>
      </c>
      <c r="G109" s="7"/>
      <c r="H109" s="7" t="s">
        <v>129</v>
      </c>
    </row>
    <row r="110" spans="1:24" ht="16" thickBot="1">
      <c r="A110" s="36"/>
      <c r="B110" s="1" t="s">
        <v>28</v>
      </c>
      <c r="C110" s="897">
        <v>35</v>
      </c>
      <c r="D110" s="897">
        <v>35</v>
      </c>
      <c r="E110" s="897">
        <v>35</v>
      </c>
      <c r="F110" s="897">
        <v>35</v>
      </c>
      <c r="G110" s="2"/>
      <c r="H110" s="2">
        <v>8</v>
      </c>
    </row>
    <row r="111" spans="1:24" ht="28" thickBot="1">
      <c r="A111" s="36"/>
      <c r="B111" s="1" t="s">
        <v>30</v>
      </c>
      <c r="C111" s="897">
        <v>0</v>
      </c>
      <c r="D111" s="897">
        <v>0</v>
      </c>
      <c r="E111" s="897">
        <v>0</v>
      </c>
      <c r="F111" s="897">
        <v>0</v>
      </c>
      <c r="G111" s="2"/>
      <c r="H111" s="2"/>
    </row>
    <row r="112" spans="1:24" ht="16" thickBot="1">
      <c r="A112" s="36"/>
      <c r="B112" s="1" t="s">
        <v>64</v>
      </c>
      <c r="C112" s="897">
        <v>389</v>
      </c>
      <c r="D112" s="897">
        <v>388.249750624375</v>
      </c>
      <c r="E112" s="897">
        <v>437.5</v>
      </c>
      <c r="F112" s="897">
        <v>404</v>
      </c>
      <c r="G112" s="2" t="s">
        <v>76</v>
      </c>
      <c r="H112" s="2"/>
    </row>
    <row r="113" spans="1:8" ht="16" thickBot="1">
      <c r="A113" s="36"/>
      <c r="B113" s="1" t="s">
        <v>130</v>
      </c>
      <c r="C113" s="2">
        <v>0</v>
      </c>
      <c r="D113" s="2">
        <v>0</v>
      </c>
      <c r="E113" s="2">
        <v>0</v>
      </c>
      <c r="F113" s="2">
        <v>0</v>
      </c>
      <c r="G113" s="2" t="s">
        <v>25</v>
      </c>
      <c r="H113" s="2"/>
    </row>
    <row r="114" spans="1:8">
      <c r="B114" s="36" t="s">
        <v>353</v>
      </c>
      <c r="C114" s="60">
        <f>C107*$F$4*1000</f>
        <v>2831</v>
      </c>
      <c r="D114" s="60">
        <f>D107*$F$4*1000</f>
        <v>2831</v>
      </c>
      <c r="E114" s="60">
        <f>E107*$F$4*1000</f>
        <v>2831</v>
      </c>
      <c r="F114" s="60">
        <f>F107*$F$4*1000</f>
        <v>2831</v>
      </c>
      <c r="G114" s="63" t="s">
        <v>332</v>
      </c>
      <c r="H114" s="63"/>
    </row>
    <row r="115" spans="1:8">
      <c r="B115" s="36" t="s">
        <v>354</v>
      </c>
      <c r="C115" s="60">
        <f>C108*$F$4*1000*C66/C95</f>
        <v>25714.285714285721</v>
      </c>
      <c r="D115" s="60">
        <f>D108*$F$4*1000*D66/D95</f>
        <v>23571.428571428572</v>
      </c>
      <c r="E115" s="60">
        <f>E108*$F$4*1000*E66/E95</f>
        <v>21428.571428571431</v>
      </c>
      <c r="F115" s="60">
        <f>F108*$F$4*1000*F66/F95</f>
        <v>19285.71428571429</v>
      </c>
      <c r="G115" s="70">
        <f>C95</f>
        <v>140</v>
      </c>
      <c r="H115" s="69" t="s">
        <v>330</v>
      </c>
    </row>
    <row r="116" spans="1:8">
      <c r="B116" s="36" t="s">
        <v>355</v>
      </c>
      <c r="C116" s="60">
        <f>C112*$F$4/C95</f>
        <v>20.700357142857143</v>
      </c>
      <c r="D116" s="60">
        <f>D112*$F$4/D95</f>
        <v>20.660433158225668</v>
      </c>
      <c r="E116" s="60">
        <f>E112*$F$4/E95</f>
        <v>23.28125</v>
      </c>
      <c r="F116" s="60">
        <f>F112*$F$4/F95</f>
        <v>21.498571428571431</v>
      </c>
      <c r="G116" s="69" t="s">
        <v>331</v>
      </c>
      <c r="H116" s="69"/>
    </row>
    <row r="117" spans="1:8">
      <c r="B117" s="36" t="s">
        <v>356</v>
      </c>
      <c r="C117" s="60">
        <f>C113*$F$4/(4*3.6*C97/100)*C67/C95</f>
        <v>0</v>
      </c>
      <c r="D117" s="60">
        <f t="shared" ref="D117:F117" si="6">D113*$F$4/(4*3.6*D97/100)*D67/D95</f>
        <v>0</v>
      </c>
      <c r="E117" s="60">
        <f t="shared" si="6"/>
        <v>0</v>
      </c>
      <c r="F117" s="60">
        <f t="shared" si="6"/>
        <v>0</v>
      </c>
      <c r="G117" s="83" t="s">
        <v>423</v>
      </c>
      <c r="H117" s="61"/>
    </row>
  </sheetData>
  <mergeCells count="20">
    <mergeCell ref="B6:B7"/>
    <mergeCell ref="C6:H6"/>
    <mergeCell ref="C7:H7"/>
    <mergeCell ref="B34:B35"/>
    <mergeCell ref="C34:H34"/>
    <mergeCell ref="C35:H35"/>
    <mergeCell ref="B62:B63"/>
    <mergeCell ref="C62:H62"/>
    <mergeCell ref="C63:H63"/>
    <mergeCell ref="B90:B91"/>
    <mergeCell ref="C90:H90"/>
    <mergeCell ref="C91:H91"/>
    <mergeCell ref="J91:O91"/>
    <mergeCell ref="J6:O6"/>
    <mergeCell ref="J34:O34"/>
    <mergeCell ref="J62:O62"/>
    <mergeCell ref="J90:O90"/>
    <mergeCell ref="J7:O7"/>
    <mergeCell ref="J35:O35"/>
    <mergeCell ref="J63:O63"/>
  </mergeCells>
  <pageMargins left="0.7" right="0.7" top="0.75" bottom="0.75" header="0.3" footer="0.3"/>
  <pageSetup paperSize="9" orientation="portrait"/>
  <drawing r:id="rId1"/>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C7EC9D-8B95-4D80-9030-8A0B0B4F00E5}">
  <sheetPr>
    <tabColor theme="4"/>
  </sheetPr>
  <dimension ref="B3:X156"/>
  <sheetViews>
    <sheetView topLeftCell="A31" workbookViewId="0">
      <selection activeCell="I24" sqref="I24"/>
    </sheetView>
  </sheetViews>
  <sheetFormatPr baseColWidth="10" defaultColWidth="8.83203125" defaultRowHeight="15"/>
  <cols>
    <col min="1" max="1" width="8.83203125" style="224"/>
    <col min="2" max="2" width="36.83203125" style="224" customWidth="1"/>
    <col min="3" max="3" width="10" style="224" bestFit="1" customWidth="1"/>
    <col min="4" max="4" width="10.83203125" style="224" customWidth="1"/>
    <col min="5" max="8" width="8.83203125" style="224"/>
    <col min="9" max="18" width="9.1640625" style="224" customWidth="1"/>
    <col min="19" max="16384" width="8.83203125" style="224"/>
  </cols>
  <sheetData>
    <row r="3" spans="2:24">
      <c r="B3" s="8" t="s">
        <v>1139</v>
      </c>
    </row>
    <row r="4" spans="2:24">
      <c r="E4" s="224" t="s">
        <v>358</v>
      </c>
      <c r="G4" s="36">
        <v>7.45</v>
      </c>
      <c r="H4" s="224" t="s">
        <v>328</v>
      </c>
    </row>
    <row r="5" spans="2:24" ht="16" thickBot="1"/>
    <row r="6" spans="2:24">
      <c r="B6" s="1257" t="s">
        <v>0</v>
      </c>
      <c r="C6" s="1259" t="s">
        <v>1140</v>
      </c>
      <c r="D6" s="1260"/>
      <c r="E6" s="1260"/>
      <c r="F6" s="1260"/>
      <c r="G6" s="1260"/>
      <c r="H6" s="1261"/>
      <c r="J6" s="1259" t="str">
        <f>C6</f>
        <v>Oil burner (mineral oil fired, &lt;10 % FAME)</v>
      </c>
      <c r="K6" s="1260"/>
      <c r="L6" s="1260"/>
      <c r="M6" s="1260"/>
      <c r="N6" s="1260"/>
      <c r="O6" s="1261"/>
    </row>
    <row r="7" spans="2:24" ht="16" thickBot="1">
      <c r="B7" s="1258"/>
      <c r="C7" s="1134" t="s">
        <v>1</v>
      </c>
      <c r="D7" s="1135"/>
      <c r="E7" s="1135"/>
      <c r="F7" s="1135"/>
      <c r="G7" s="1135"/>
      <c r="H7" s="1136"/>
      <c r="J7" s="1134" t="str">
        <f>C7</f>
        <v>One-family house, existing building</v>
      </c>
      <c r="K7" s="1135"/>
      <c r="L7" s="1135"/>
      <c r="M7" s="1135"/>
      <c r="N7" s="1135"/>
      <c r="O7" s="1136"/>
    </row>
    <row r="8" spans="2:24" ht="16" thickBot="1">
      <c r="B8" s="125"/>
      <c r="C8" s="813">
        <v>2015</v>
      </c>
      <c r="D8" s="813">
        <v>2020</v>
      </c>
      <c r="E8" s="813">
        <v>2030</v>
      </c>
      <c r="F8" s="813">
        <v>2050</v>
      </c>
      <c r="G8" s="813" t="s">
        <v>2</v>
      </c>
      <c r="H8" s="813" t="s">
        <v>3</v>
      </c>
      <c r="J8" s="53" t="s">
        <v>357</v>
      </c>
    </row>
    <row r="9" spans="2:24" ht="31" thickBot="1">
      <c r="B9" s="127" t="s">
        <v>4</v>
      </c>
      <c r="C9" s="128"/>
      <c r="D9" s="128"/>
      <c r="E9" s="128"/>
      <c r="F9" s="128"/>
      <c r="G9" s="128"/>
      <c r="H9" s="129"/>
      <c r="J9" s="46" t="s">
        <v>335</v>
      </c>
      <c r="K9" s="46" t="s">
        <v>336</v>
      </c>
      <c r="L9" s="47" t="s">
        <v>337</v>
      </c>
      <c r="M9" s="47" t="s">
        <v>338</v>
      </c>
      <c r="N9" s="47" t="s">
        <v>339</v>
      </c>
      <c r="O9" s="48" t="s">
        <v>340</v>
      </c>
      <c r="P9" s="49" t="s">
        <v>341</v>
      </c>
      <c r="Q9" s="49" t="s">
        <v>342</v>
      </c>
      <c r="R9" s="49" t="s">
        <v>343</v>
      </c>
      <c r="S9" s="49" t="s">
        <v>344</v>
      </c>
      <c r="T9" s="49" t="s">
        <v>345</v>
      </c>
      <c r="U9" s="49" t="s">
        <v>346</v>
      </c>
      <c r="V9" s="49" t="s">
        <v>347</v>
      </c>
      <c r="W9" s="49" t="s">
        <v>348</v>
      </c>
      <c r="X9" s="49" t="s">
        <v>349</v>
      </c>
    </row>
    <row r="10" spans="2:24" ht="16" thickBot="1">
      <c r="B10" s="125" t="s">
        <v>5</v>
      </c>
      <c r="C10" s="813" t="s">
        <v>1141</v>
      </c>
      <c r="D10" s="813" t="s">
        <v>1141</v>
      </c>
      <c r="E10" s="813" t="s">
        <v>1141</v>
      </c>
      <c r="F10" s="813" t="s">
        <v>1141</v>
      </c>
      <c r="G10" s="813" t="s">
        <v>6</v>
      </c>
      <c r="H10" s="813"/>
      <c r="J10" s="50"/>
      <c r="K10" s="50"/>
      <c r="L10" s="51"/>
      <c r="M10" s="51"/>
      <c r="N10" s="51"/>
      <c r="O10" s="52"/>
      <c r="P10" s="50"/>
      <c r="Q10" s="50"/>
      <c r="R10" s="50"/>
      <c r="S10" s="50"/>
      <c r="T10" s="50"/>
      <c r="U10" s="50"/>
      <c r="V10" s="50"/>
      <c r="W10" s="50"/>
      <c r="X10" s="50"/>
    </row>
    <row r="11" spans="2:24" ht="28" thickBot="1">
      <c r="B11" s="125" t="s">
        <v>7</v>
      </c>
      <c r="C11" s="813">
        <v>100</v>
      </c>
      <c r="D11" s="813">
        <v>100</v>
      </c>
      <c r="E11" s="813">
        <v>100</v>
      </c>
      <c r="F11" s="813">
        <v>100</v>
      </c>
      <c r="G11" s="813"/>
      <c r="H11" s="813"/>
      <c r="J11" s="56"/>
      <c r="K11" s="56"/>
      <c r="L11" s="57"/>
      <c r="M11" s="57"/>
      <c r="N11" s="57"/>
      <c r="O11" s="56" t="s">
        <v>350</v>
      </c>
      <c r="P11" s="56" t="s">
        <v>326</v>
      </c>
      <c r="Q11" s="56" t="s">
        <v>327</v>
      </c>
      <c r="R11" s="56" t="s">
        <v>351</v>
      </c>
      <c r="S11" s="56" t="s">
        <v>351</v>
      </c>
      <c r="T11" s="56" t="s">
        <v>352</v>
      </c>
      <c r="U11" s="56" t="s">
        <v>352</v>
      </c>
      <c r="V11" s="56" t="s">
        <v>352</v>
      </c>
      <c r="W11" s="56" t="s">
        <v>352</v>
      </c>
      <c r="X11" s="56" t="s">
        <v>352</v>
      </c>
    </row>
    <row r="12" spans="2:24" ht="28" thickBot="1">
      <c r="B12" s="125" t="s">
        <v>8</v>
      </c>
      <c r="C12" s="813">
        <v>100</v>
      </c>
      <c r="D12" s="813">
        <v>100</v>
      </c>
      <c r="E12" s="813">
        <v>100</v>
      </c>
      <c r="F12" s="813">
        <v>100</v>
      </c>
      <c r="G12" s="813"/>
      <c r="H12" s="813"/>
      <c r="J12" s="58">
        <f>C8</f>
        <v>2015</v>
      </c>
      <c r="K12" s="58">
        <f>J12</f>
        <v>2015</v>
      </c>
      <c r="L12" s="58">
        <f>C13/100</f>
        <v>1</v>
      </c>
      <c r="M12" s="58"/>
      <c r="N12" s="58">
        <f>C14</f>
        <v>20</v>
      </c>
      <c r="O12" s="59">
        <f>C29</f>
        <v>2235</v>
      </c>
      <c r="P12" s="59">
        <f>C31</f>
        <v>91.431818181818187</v>
      </c>
      <c r="Q12" s="59">
        <f>C32</f>
        <v>0</v>
      </c>
      <c r="R12" s="58"/>
      <c r="S12" s="58"/>
      <c r="T12" s="58">
        <f>C16</f>
        <v>0.5</v>
      </c>
      <c r="U12" s="58">
        <f>C17</f>
        <v>30</v>
      </c>
      <c r="V12" s="58">
        <f>C18</f>
        <v>0</v>
      </c>
      <c r="W12" s="58">
        <f>C19</f>
        <v>0</v>
      </c>
      <c r="X12" s="58">
        <f>C20</f>
        <v>0.03</v>
      </c>
    </row>
    <row r="13" spans="2:24" ht="16" thickBot="1">
      <c r="B13" s="125" t="s">
        <v>9</v>
      </c>
      <c r="C13" s="813">
        <v>100</v>
      </c>
      <c r="D13" s="813">
        <v>100</v>
      </c>
      <c r="E13" s="813">
        <v>100</v>
      </c>
      <c r="F13" s="813">
        <v>100</v>
      </c>
      <c r="G13" s="813"/>
      <c r="H13" s="813" t="s">
        <v>10</v>
      </c>
      <c r="J13" s="58">
        <f>D8</f>
        <v>2020</v>
      </c>
      <c r="K13" s="58"/>
      <c r="L13" s="58">
        <f>D13/100</f>
        <v>1</v>
      </c>
      <c r="M13" s="58"/>
      <c r="N13" s="58">
        <f>D14</f>
        <v>20</v>
      </c>
      <c r="O13" s="59">
        <f>D29</f>
        <v>2235</v>
      </c>
      <c r="P13" s="59">
        <f>D31</f>
        <v>91.431818181818187</v>
      </c>
      <c r="Q13" s="59">
        <f>D32</f>
        <v>0</v>
      </c>
      <c r="R13" s="58"/>
      <c r="S13" s="58"/>
      <c r="T13" s="58">
        <f>D16</f>
        <v>0.5</v>
      </c>
      <c r="U13" s="58">
        <f>D17</f>
        <v>30</v>
      </c>
      <c r="V13" s="58">
        <f>D18</f>
        <v>0</v>
      </c>
      <c r="W13" s="58">
        <f>D19</f>
        <v>0</v>
      </c>
      <c r="X13" s="58">
        <f>D20</f>
        <v>0.03</v>
      </c>
    </row>
    <row r="14" spans="2:24" ht="16" thickBot="1">
      <c r="B14" s="125" t="s">
        <v>11</v>
      </c>
      <c r="C14" s="813">
        <v>20</v>
      </c>
      <c r="D14" s="813">
        <v>20</v>
      </c>
      <c r="E14" s="813">
        <v>20</v>
      </c>
      <c r="F14" s="813">
        <v>20</v>
      </c>
      <c r="G14" s="813"/>
      <c r="H14" s="813">
        <v>4</v>
      </c>
      <c r="J14" s="58">
        <f>E8</f>
        <v>2030</v>
      </c>
      <c r="K14" s="58"/>
      <c r="L14" s="58">
        <f>E13/100</f>
        <v>1</v>
      </c>
      <c r="M14" s="58"/>
      <c r="N14" s="58">
        <f>E14</f>
        <v>20</v>
      </c>
      <c r="O14" s="59">
        <f>E29</f>
        <v>2235</v>
      </c>
      <c r="P14" s="59">
        <f>E31</f>
        <v>91.431818181818187</v>
      </c>
      <c r="Q14" s="59">
        <f>E32</f>
        <v>0</v>
      </c>
      <c r="R14" s="58"/>
      <c r="S14" s="58"/>
      <c r="T14" s="58">
        <f>E16</f>
        <v>0.5</v>
      </c>
      <c r="U14" s="58">
        <f>E17</f>
        <v>30</v>
      </c>
      <c r="V14" s="58">
        <f>E18</f>
        <v>0</v>
      </c>
      <c r="W14" s="58">
        <f>E19</f>
        <v>0</v>
      </c>
      <c r="X14" s="58">
        <f>E20</f>
        <v>0.03</v>
      </c>
    </row>
    <row r="15" spans="2:24" ht="16" thickBot="1">
      <c r="B15" s="127" t="s">
        <v>12</v>
      </c>
      <c r="C15" s="128"/>
      <c r="D15" s="128"/>
      <c r="E15" s="128"/>
      <c r="F15" s="128"/>
      <c r="G15" s="128"/>
      <c r="H15" s="129"/>
      <c r="J15" s="58">
        <f>F8</f>
        <v>2050</v>
      </c>
      <c r="K15" s="58"/>
      <c r="L15" s="58">
        <f>F13/100</f>
        <v>1</v>
      </c>
      <c r="M15" s="58"/>
      <c r="N15" s="58">
        <f>F14</f>
        <v>20</v>
      </c>
      <c r="O15" s="59">
        <f>F29</f>
        <v>2235</v>
      </c>
      <c r="P15" s="59">
        <f>F31</f>
        <v>91.431818181818187</v>
      </c>
      <c r="Q15" s="59">
        <f>F32</f>
        <v>0</v>
      </c>
      <c r="R15" s="58"/>
      <c r="S15" s="58"/>
      <c r="T15" s="58">
        <f>F16</f>
        <v>0.5</v>
      </c>
      <c r="U15" s="58">
        <f>F17</f>
        <v>30</v>
      </c>
      <c r="V15" s="58">
        <f>F18</f>
        <v>0</v>
      </c>
      <c r="W15" s="58">
        <f>F19</f>
        <v>0</v>
      </c>
      <c r="X15" s="58">
        <f>F20</f>
        <v>0.03</v>
      </c>
    </row>
    <row r="16" spans="2:24" ht="16" thickBot="1">
      <c r="B16" s="125" t="s">
        <v>13</v>
      </c>
      <c r="C16" s="813">
        <v>0.5</v>
      </c>
      <c r="D16" s="813">
        <v>0.5</v>
      </c>
      <c r="E16" s="813">
        <v>0.5</v>
      </c>
      <c r="F16" s="813">
        <v>0.5</v>
      </c>
      <c r="G16" s="813" t="s">
        <v>14</v>
      </c>
      <c r="H16" s="813"/>
    </row>
    <row r="17" spans="2:10" ht="16" thickBot="1">
      <c r="B17" s="125" t="s">
        <v>15</v>
      </c>
      <c r="C17" s="813">
        <v>30</v>
      </c>
      <c r="D17" s="813">
        <v>30</v>
      </c>
      <c r="E17" s="813">
        <v>30</v>
      </c>
      <c r="F17" s="813">
        <v>30</v>
      </c>
      <c r="G17" s="813" t="s">
        <v>16</v>
      </c>
      <c r="H17" s="813"/>
    </row>
    <row r="18" spans="2:10" ht="16" thickBot="1">
      <c r="B18" s="125" t="s">
        <v>17</v>
      </c>
      <c r="C18" s="813">
        <v>0</v>
      </c>
      <c r="D18" s="813">
        <v>0</v>
      </c>
      <c r="E18" s="813">
        <v>0</v>
      </c>
      <c r="F18" s="813">
        <v>0</v>
      </c>
      <c r="G18" s="813"/>
      <c r="H18" s="813"/>
    </row>
    <row r="19" spans="2:10" ht="16" thickBot="1">
      <c r="B19" s="125" t="s">
        <v>18</v>
      </c>
      <c r="C19" s="813">
        <v>0</v>
      </c>
      <c r="D19" s="813">
        <v>0</v>
      </c>
      <c r="E19" s="813">
        <v>0</v>
      </c>
      <c r="F19" s="813">
        <v>0</v>
      </c>
      <c r="G19" s="813"/>
      <c r="H19" s="813"/>
    </row>
    <row r="20" spans="2:10" ht="16" thickBot="1">
      <c r="B20" s="125" t="s">
        <v>19</v>
      </c>
      <c r="C20" s="813">
        <v>0.03</v>
      </c>
      <c r="D20" s="813">
        <v>0.03</v>
      </c>
      <c r="E20" s="813">
        <v>0.03</v>
      </c>
      <c r="F20" s="813">
        <v>0.03</v>
      </c>
      <c r="G20" s="813" t="s">
        <v>20</v>
      </c>
      <c r="H20" s="813" t="s">
        <v>21</v>
      </c>
    </row>
    <row r="21" spans="2:10" ht="16" thickBot="1">
      <c r="B21" s="127" t="s">
        <v>22</v>
      </c>
      <c r="C21" s="128"/>
      <c r="D21" s="128"/>
      <c r="E21" s="128"/>
      <c r="F21" s="128"/>
      <c r="G21" s="68" t="s">
        <v>329</v>
      </c>
      <c r="H21" s="813"/>
    </row>
    <row r="22" spans="2:10" ht="16" thickBot="1">
      <c r="B22" s="125" t="s">
        <v>23</v>
      </c>
      <c r="C22" s="35">
        <f>C23/$G30</f>
        <v>0.3</v>
      </c>
      <c r="D22" s="35">
        <f>D23/$G30</f>
        <v>0.3</v>
      </c>
      <c r="E22" s="35">
        <f>E23/$G30</f>
        <v>0.3</v>
      </c>
      <c r="F22" s="35">
        <f>F23/$G30</f>
        <v>0.3</v>
      </c>
      <c r="G22" s="73">
        <f>G30</f>
        <v>22</v>
      </c>
      <c r="H22" s="73" t="str">
        <f>H30</f>
        <v>kW</v>
      </c>
    </row>
    <row r="23" spans="2:10">
      <c r="B23" s="130" t="s">
        <v>24</v>
      </c>
      <c r="C23" s="131">
        <v>6.6</v>
      </c>
      <c r="D23" s="131">
        <v>6.6</v>
      </c>
      <c r="E23" s="131">
        <v>6.6</v>
      </c>
      <c r="F23" s="131">
        <v>6.6</v>
      </c>
      <c r="G23" s="131" t="s">
        <v>25</v>
      </c>
      <c r="H23" s="131"/>
    </row>
    <row r="24" spans="2:10">
      <c r="B24" s="891" t="s">
        <v>26</v>
      </c>
      <c r="C24" s="131">
        <v>70</v>
      </c>
      <c r="D24" s="131">
        <v>70</v>
      </c>
      <c r="E24" s="131">
        <v>70</v>
      </c>
      <c r="F24" s="131">
        <v>70</v>
      </c>
      <c r="G24" s="131"/>
      <c r="H24" s="131"/>
    </row>
    <row r="25" spans="2:10" ht="16" thickBot="1">
      <c r="B25" s="892" t="s">
        <v>28</v>
      </c>
      <c r="C25" s="813">
        <v>30</v>
      </c>
      <c r="D25" s="813">
        <v>30</v>
      </c>
      <c r="E25" s="813">
        <v>30</v>
      </c>
      <c r="F25" s="813">
        <v>30</v>
      </c>
      <c r="G25" s="813"/>
      <c r="H25" s="813"/>
      <c r="I25" s="420"/>
      <c r="J25" s="420"/>
    </row>
    <row r="26" spans="2:10" ht="28" thickBot="1">
      <c r="B26" s="125" t="s">
        <v>30</v>
      </c>
      <c r="C26" s="813"/>
      <c r="D26" s="813"/>
      <c r="E26" s="813"/>
      <c r="F26" s="813"/>
      <c r="G26" s="813"/>
      <c r="H26" s="813"/>
      <c r="I26" s="71"/>
      <c r="J26" s="420"/>
    </row>
    <row r="27" spans="2:10" ht="16" thickBot="1">
      <c r="B27" s="893" t="s">
        <v>1142</v>
      </c>
      <c r="C27" s="894">
        <v>270</v>
      </c>
      <c r="D27" s="894">
        <v>270</v>
      </c>
      <c r="E27" s="894">
        <v>270</v>
      </c>
      <c r="F27" s="894">
        <v>270</v>
      </c>
      <c r="G27" s="894" t="s">
        <v>25</v>
      </c>
      <c r="H27" s="894"/>
      <c r="I27" s="894"/>
      <c r="J27" s="894"/>
    </row>
    <row r="28" spans="2:10" ht="16" thickBot="1">
      <c r="B28" s="125" t="s">
        <v>31</v>
      </c>
      <c r="C28" s="813"/>
      <c r="D28" s="813"/>
      <c r="E28" s="813"/>
      <c r="F28" s="813"/>
      <c r="G28" s="813"/>
      <c r="H28" s="813"/>
      <c r="I28" s="895"/>
      <c r="J28" s="420"/>
    </row>
    <row r="29" spans="2:10">
      <c r="B29" s="36" t="s">
        <v>353</v>
      </c>
      <c r="C29" s="42">
        <f t="shared" ref="C29:F30" si="0">C22*$G$4*1000</f>
        <v>2235</v>
      </c>
      <c r="D29" s="42">
        <f t="shared" si="0"/>
        <v>2235</v>
      </c>
      <c r="E29" s="42">
        <f t="shared" si="0"/>
        <v>2235</v>
      </c>
      <c r="F29" s="42">
        <f t="shared" si="0"/>
        <v>2235</v>
      </c>
      <c r="G29" s="63" t="s">
        <v>332</v>
      </c>
      <c r="H29" s="63"/>
    </row>
    <row r="30" spans="2:10">
      <c r="B30" s="36" t="s">
        <v>354</v>
      </c>
      <c r="C30" s="42">
        <f t="shared" si="0"/>
        <v>49170</v>
      </c>
      <c r="D30" s="42">
        <f t="shared" si="0"/>
        <v>49170</v>
      </c>
      <c r="E30" s="42">
        <f t="shared" si="0"/>
        <v>49170</v>
      </c>
      <c r="F30" s="42">
        <f t="shared" si="0"/>
        <v>49170</v>
      </c>
      <c r="G30" s="67">
        <v>22</v>
      </c>
      <c r="H30" s="63" t="s">
        <v>330</v>
      </c>
    </row>
    <row r="31" spans="2:10">
      <c r="B31" s="36" t="s">
        <v>355</v>
      </c>
      <c r="C31" s="42">
        <f>C27*$G$4/$G$30</f>
        <v>91.431818181818187</v>
      </c>
      <c r="D31" s="42">
        <f>D27*$G$4/$G$30</f>
        <v>91.431818181818187</v>
      </c>
      <c r="E31" s="42">
        <f>E27*$G$4/$G$30</f>
        <v>91.431818181818187</v>
      </c>
      <c r="F31" s="42">
        <f>F27*$G$4/$G$30</f>
        <v>91.431818181818187</v>
      </c>
      <c r="G31" s="63" t="s">
        <v>333</v>
      </c>
      <c r="H31" s="63"/>
    </row>
    <row r="32" spans="2:10" ht="16" thickBot="1">
      <c r="B32" s="36" t="s">
        <v>356</v>
      </c>
      <c r="C32" s="42">
        <f>C28*$H$31</f>
        <v>0</v>
      </c>
      <c r="D32" s="42">
        <f>D28*$H$31</f>
        <v>0</v>
      </c>
      <c r="E32" s="42">
        <f>E28*$H$31</f>
        <v>0</v>
      </c>
      <c r="F32" s="42">
        <f>F28*$H$31</f>
        <v>0</v>
      </c>
      <c r="G32" s="66"/>
      <c r="H32" s="63"/>
    </row>
    <row r="33" spans="2:24">
      <c r="B33" s="1257" t="s">
        <v>0</v>
      </c>
      <c r="C33" s="1259" t="s">
        <v>1140</v>
      </c>
      <c r="D33" s="1260"/>
      <c r="E33" s="1260"/>
      <c r="F33" s="1260"/>
      <c r="G33" s="1260"/>
      <c r="H33" s="1261"/>
      <c r="J33" s="1259" t="str">
        <f>C33</f>
        <v>Oil burner (mineral oil fired, &lt;10 % FAME)</v>
      </c>
      <c r="K33" s="1260"/>
      <c r="L33" s="1260"/>
      <c r="M33" s="1260"/>
      <c r="N33" s="1260"/>
      <c r="O33" s="1261"/>
    </row>
    <row r="34" spans="2:24" ht="16" thickBot="1">
      <c r="B34" s="1258"/>
      <c r="C34" s="1134" t="s">
        <v>32</v>
      </c>
      <c r="D34" s="1135"/>
      <c r="E34" s="1135"/>
      <c r="F34" s="1135"/>
      <c r="G34" s="1135"/>
      <c r="H34" s="1136"/>
      <c r="J34" s="1134" t="str">
        <f>C34</f>
        <v>Apartment complex, existing building</v>
      </c>
      <c r="K34" s="1135"/>
      <c r="L34" s="1135"/>
      <c r="M34" s="1135"/>
      <c r="N34" s="1135"/>
      <c r="O34" s="1136"/>
    </row>
    <row r="35" spans="2:24" ht="16" thickBot="1">
      <c r="B35" s="125"/>
      <c r="C35" s="813">
        <v>2015</v>
      </c>
      <c r="D35" s="813">
        <v>2020</v>
      </c>
      <c r="E35" s="813">
        <v>2030</v>
      </c>
      <c r="F35" s="813">
        <v>2050</v>
      </c>
      <c r="G35" s="813" t="s">
        <v>2</v>
      </c>
      <c r="H35" s="813" t="s">
        <v>3</v>
      </c>
      <c r="J35" s="53" t="s">
        <v>357</v>
      </c>
    </row>
    <row r="36" spans="2:24" ht="31" thickBot="1">
      <c r="B36" s="127" t="s">
        <v>4</v>
      </c>
      <c r="C36" s="128"/>
      <c r="D36" s="128"/>
      <c r="E36" s="128"/>
      <c r="F36" s="128"/>
      <c r="G36" s="128"/>
      <c r="H36" s="129"/>
      <c r="J36" s="46" t="s">
        <v>335</v>
      </c>
      <c r="K36" s="46" t="s">
        <v>336</v>
      </c>
      <c r="L36" s="47" t="s">
        <v>337</v>
      </c>
      <c r="M36" s="47" t="s">
        <v>338</v>
      </c>
      <c r="N36" s="47" t="s">
        <v>339</v>
      </c>
      <c r="O36" s="48" t="s">
        <v>340</v>
      </c>
      <c r="P36" s="49" t="s">
        <v>341</v>
      </c>
      <c r="Q36" s="49" t="s">
        <v>342</v>
      </c>
      <c r="R36" s="49" t="s">
        <v>343</v>
      </c>
      <c r="S36" s="49" t="s">
        <v>344</v>
      </c>
      <c r="T36" s="49" t="s">
        <v>345</v>
      </c>
      <c r="U36" s="49" t="s">
        <v>346</v>
      </c>
      <c r="V36" s="49" t="s">
        <v>347</v>
      </c>
      <c r="W36" s="49" t="s">
        <v>348</v>
      </c>
      <c r="X36" s="49" t="s">
        <v>349</v>
      </c>
    </row>
    <row r="37" spans="2:24" ht="16" thickBot="1">
      <c r="B37" s="125" t="s">
        <v>5</v>
      </c>
      <c r="C37" s="813">
        <v>400</v>
      </c>
      <c r="D37" s="813">
        <v>400</v>
      </c>
      <c r="E37" s="813">
        <v>400</v>
      </c>
      <c r="F37" s="813">
        <v>400</v>
      </c>
      <c r="G37" s="813"/>
      <c r="H37" s="813"/>
      <c r="J37" s="50"/>
      <c r="K37" s="50"/>
      <c r="L37" s="51"/>
      <c r="M37" s="51"/>
      <c r="N37" s="51"/>
      <c r="O37" s="52"/>
      <c r="P37" s="50"/>
      <c r="Q37" s="50"/>
      <c r="R37" s="50"/>
      <c r="S37" s="50"/>
      <c r="T37" s="50"/>
      <c r="U37" s="50"/>
      <c r="V37" s="50"/>
      <c r="W37" s="50"/>
      <c r="X37" s="50"/>
    </row>
    <row r="38" spans="2:24" ht="28" thickBot="1">
      <c r="B38" s="125" t="s">
        <v>7</v>
      </c>
      <c r="C38" s="813">
        <v>100</v>
      </c>
      <c r="D38" s="813">
        <v>100</v>
      </c>
      <c r="E38" s="813">
        <v>100</v>
      </c>
      <c r="F38" s="813">
        <v>100</v>
      </c>
      <c r="G38" s="813"/>
      <c r="H38" s="813"/>
      <c r="J38" s="56"/>
      <c r="K38" s="56"/>
      <c r="L38" s="57"/>
      <c r="M38" s="57"/>
      <c r="N38" s="57"/>
      <c r="O38" s="56" t="s">
        <v>350</v>
      </c>
      <c r="P38" s="56" t="s">
        <v>326</v>
      </c>
      <c r="Q38" s="56" t="s">
        <v>327</v>
      </c>
      <c r="R38" s="56" t="s">
        <v>351</v>
      </c>
      <c r="S38" s="56" t="s">
        <v>351</v>
      </c>
      <c r="T38" s="56" t="s">
        <v>352</v>
      </c>
      <c r="U38" s="56" t="s">
        <v>352</v>
      </c>
      <c r="V38" s="56" t="s">
        <v>352</v>
      </c>
      <c r="W38" s="56" t="s">
        <v>352</v>
      </c>
      <c r="X38" s="56" t="s">
        <v>352</v>
      </c>
    </row>
    <row r="39" spans="2:24" ht="28" thickBot="1">
      <c r="B39" s="125" t="s">
        <v>8</v>
      </c>
      <c r="C39" s="813">
        <v>100</v>
      </c>
      <c r="D39" s="813">
        <v>100</v>
      </c>
      <c r="E39" s="813">
        <v>100</v>
      </c>
      <c r="F39" s="813">
        <v>100</v>
      </c>
      <c r="G39" s="813"/>
      <c r="H39" s="813"/>
      <c r="J39" s="58">
        <f>C35</f>
        <v>2015</v>
      </c>
      <c r="K39" s="58">
        <f>J39</f>
        <v>2015</v>
      </c>
      <c r="L39" s="58">
        <f>C40/100</f>
        <v>0.96</v>
      </c>
      <c r="M39" s="58"/>
      <c r="N39" s="58">
        <f>C41</f>
        <v>20</v>
      </c>
      <c r="O39" s="59">
        <f>C56</f>
        <v>596</v>
      </c>
      <c r="P39" s="59">
        <f>C58</f>
        <v>9.3125</v>
      </c>
      <c r="Q39" s="59">
        <f>C59</f>
        <v>0</v>
      </c>
      <c r="R39" s="58"/>
      <c r="S39" s="58"/>
      <c r="T39" s="58">
        <f>C43</f>
        <v>0.5</v>
      </c>
      <c r="U39" s="78">
        <f>C44</f>
        <v>30</v>
      </c>
      <c r="V39" s="78">
        <f>C45</f>
        <v>0</v>
      </c>
      <c r="W39" s="78">
        <f>C46</f>
        <v>0</v>
      </c>
      <c r="X39" s="78">
        <f>C47</f>
        <v>0.03</v>
      </c>
    </row>
    <row r="40" spans="2:24" ht="16" thickBot="1">
      <c r="B40" s="125" t="s">
        <v>9</v>
      </c>
      <c r="C40" s="813">
        <v>96</v>
      </c>
      <c r="D40" s="813">
        <v>96</v>
      </c>
      <c r="E40" s="813">
        <v>96</v>
      </c>
      <c r="F40" s="813">
        <v>96</v>
      </c>
      <c r="G40" s="813" t="s">
        <v>33</v>
      </c>
      <c r="H40" s="813" t="s">
        <v>10</v>
      </c>
      <c r="J40" s="58">
        <f>D35</f>
        <v>2020</v>
      </c>
      <c r="K40" s="58"/>
      <c r="L40" s="58">
        <f>D40/100</f>
        <v>0.96</v>
      </c>
      <c r="M40" s="58"/>
      <c r="N40" s="58">
        <f>D41</f>
        <v>20</v>
      </c>
      <c r="O40" s="59">
        <f>D56</f>
        <v>596</v>
      </c>
      <c r="P40" s="59">
        <f>D58</f>
        <v>9.3125</v>
      </c>
      <c r="Q40" s="59">
        <f>D59</f>
        <v>0</v>
      </c>
      <c r="R40" s="58"/>
      <c r="S40" s="58"/>
      <c r="T40" s="58">
        <f>D43</f>
        <v>0.5</v>
      </c>
      <c r="U40" s="78">
        <f>D44</f>
        <v>30</v>
      </c>
      <c r="V40" s="78">
        <f>D45</f>
        <v>0</v>
      </c>
      <c r="W40" s="78">
        <f>D46</f>
        <v>0</v>
      </c>
      <c r="X40" s="78">
        <f>D47</f>
        <v>0.03</v>
      </c>
    </row>
    <row r="41" spans="2:24" ht="16" thickBot="1">
      <c r="B41" s="125" t="s">
        <v>11</v>
      </c>
      <c r="C41" s="813">
        <v>20</v>
      </c>
      <c r="D41" s="813">
        <v>20</v>
      </c>
      <c r="E41" s="813">
        <v>20</v>
      </c>
      <c r="F41" s="813">
        <v>20</v>
      </c>
      <c r="G41" s="813"/>
      <c r="H41" s="813">
        <v>4</v>
      </c>
      <c r="J41" s="58">
        <f>E35</f>
        <v>2030</v>
      </c>
      <c r="K41" s="58"/>
      <c r="L41" s="58">
        <f>E40/100</f>
        <v>0.96</v>
      </c>
      <c r="M41" s="58"/>
      <c r="N41" s="58">
        <f>E41</f>
        <v>20</v>
      </c>
      <c r="O41" s="59">
        <f>E56</f>
        <v>596</v>
      </c>
      <c r="P41" s="59">
        <f>E58</f>
        <v>9.3125</v>
      </c>
      <c r="Q41" s="59">
        <f>E59</f>
        <v>0</v>
      </c>
      <c r="R41" s="58"/>
      <c r="S41" s="58"/>
      <c r="T41" s="58">
        <f>E43</f>
        <v>0.5</v>
      </c>
      <c r="U41" s="78">
        <f>E44</f>
        <v>30</v>
      </c>
      <c r="V41" s="78">
        <f>E45</f>
        <v>0</v>
      </c>
      <c r="W41" s="78">
        <f>E46</f>
        <v>0</v>
      </c>
      <c r="X41" s="78">
        <f>E47</f>
        <v>0.03</v>
      </c>
    </row>
    <row r="42" spans="2:24" ht="16" thickBot="1">
      <c r="B42" s="127" t="s">
        <v>12</v>
      </c>
      <c r="C42" s="128"/>
      <c r="D42" s="128"/>
      <c r="E42" s="128"/>
      <c r="F42" s="128"/>
      <c r="G42" s="128"/>
      <c r="H42" s="129"/>
      <c r="J42" s="58">
        <f>F35</f>
        <v>2050</v>
      </c>
      <c r="K42" s="58"/>
      <c r="L42" s="58">
        <f>F40/100</f>
        <v>0.96</v>
      </c>
      <c r="M42" s="58"/>
      <c r="N42" s="58">
        <f>F41</f>
        <v>20</v>
      </c>
      <c r="O42" s="59">
        <f>F56</f>
        <v>596</v>
      </c>
      <c r="P42" s="59">
        <f>F58</f>
        <v>9.3125</v>
      </c>
      <c r="Q42" s="59">
        <f>F59</f>
        <v>0</v>
      </c>
      <c r="R42" s="58"/>
      <c r="S42" s="58"/>
      <c r="T42" s="58">
        <f>F43</f>
        <v>0.5</v>
      </c>
      <c r="U42" s="78">
        <f>F44</f>
        <v>30</v>
      </c>
      <c r="V42" s="78">
        <f>F45</f>
        <v>0</v>
      </c>
      <c r="W42" s="78">
        <f>F46</f>
        <v>0</v>
      </c>
      <c r="X42" s="78">
        <f>F47</f>
        <v>0.03</v>
      </c>
    </row>
    <row r="43" spans="2:24" ht="16" thickBot="1">
      <c r="B43" s="125" t="s">
        <v>13</v>
      </c>
      <c r="C43" s="813">
        <v>0.5</v>
      </c>
      <c r="D43" s="813">
        <v>0.5</v>
      </c>
      <c r="E43" s="813">
        <v>0.5</v>
      </c>
      <c r="F43" s="813">
        <v>0.5</v>
      </c>
      <c r="G43" s="813" t="s">
        <v>14</v>
      </c>
      <c r="H43" s="813"/>
    </row>
    <row r="44" spans="2:24" ht="16" thickBot="1">
      <c r="B44" s="125" t="s">
        <v>15</v>
      </c>
      <c r="C44" s="813">
        <v>30</v>
      </c>
      <c r="D44" s="813">
        <v>30</v>
      </c>
      <c r="E44" s="813">
        <v>30</v>
      </c>
      <c r="F44" s="813">
        <v>30</v>
      </c>
      <c r="G44" s="813" t="s">
        <v>16</v>
      </c>
      <c r="H44" s="813"/>
    </row>
    <row r="45" spans="2:24" ht="16" thickBot="1">
      <c r="B45" s="125" t="s">
        <v>17</v>
      </c>
      <c r="C45" s="813">
        <v>0</v>
      </c>
      <c r="D45" s="813">
        <v>0</v>
      </c>
      <c r="E45" s="813">
        <v>0</v>
      </c>
      <c r="F45" s="813">
        <v>0</v>
      </c>
      <c r="G45" s="813"/>
      <c r="H45" s="813"/>
    </row>
    <row r="46" spans="2:24" ht="16" thickBot="1">
      <c r="B46" s="125" t="s">
        <v>18</v>
      </c>
      <c r="C46" s="813">
        <v>0</v>
      </c>
      <c r="D46" s="813">
        <v>0</v>
      </c>
      <c r="E46" s="813">
        <v>0</v>
      </c>
      <c r="F46" s="813">
        <v>0</v>
      </c>
      <c r="G46" s="813"/>
      <c r="H46" s="813"/>
    </row>
    <row r="47" spans="2:24" ht="16" thickBot="1">
      <c r="B47" s="125" t="s">
        <v>19</v>
      </c>
      <c r="C47" s="813">
        <v>0.03</v>
      </c>
      <c r="D47" s="813">
        <v>0.03</v>
      </c>
      <c r="E47" s="813">
        <v>0.03</v>
      </c>
      <c r="F47" s="813">
        <v>0.03</v>
      </c>
      <c r="G47" s="813" t="s">
        <v>20</v>
      </c>
      <c r="H47" s="813" t="s">
        <v>21</v>
      </c>
    </row>
    <row r="48" spans="2:24" ht="16" thickBot="1">
      <c r="B48" s="127" t="s">
        <v>22</v>
      </c>
      <c r="C48" s="128"/>
      <c r="D48" s="128"/>
      <c r="E48" s="128"/>
      <c r="F48" s="128"/>
      <c r="G48" s="68" t="s">
        <v>329</v>
      </c>
      <c r="H48" s="813"/>
    </row>
    <row r="49" spans="2:24" ht="16" thickBot="1">
      <c r="B49" s="125" t="s">
        <v>23</v>
      </c>
      <c r="C49" s="43">
        <f>C50/C37</f>
        <v>0.08</v>
      </c>
      <c r="D49" s="43">
        <f>D50/D37</f>
        <v>0.08</v>
      </c>
      <c r="E49" s="43">
        <f>E50/E37</f>
        <v>0.08</v>
      </c>
      <c r="F49" s="43">
        <f>F50/F37</f>
        <v>0.08</v>
      </c>
      <c r="G49" s="73">
        <f>G57</f>
        <v>400</v>
      </c>
      <c r="H49" s="73" t="str">
        <f>H57</f>
        <v>kW</v>
      </c>
    </row>
    <row r="50" spans="2:24">
      <c r="B50" s="130" t="s">
        <v>24</v>
      </c>
      <c r="C50" s="131">
        <v>32</v>
      </c>
      <c r="D50" s="131">
        <v>32</v>
      </c>
      <c r="E50" s="131">
        <v>32</v>
      </c>
      <c r="F50" s="131">
        <v>32</v>
      </c>
      <c r="G50" s="131" t="s">
        <v>25</v>
      </c>
      <c r="H50" s="131"/>
    </row>
    <row r="51" spans="2:24">
      <c r="B51" s="130" t="s">
        <v>26</v>
      </c>
      <c r="C51" s="131" t="s">
        <v>27</v>
      </c>
      <c r="D51" s="131">
        <v>70</v>
      </c>
      <c r="E51" s="131">
        <v>70</v>
      </c>
      <c r="F51" s="131">
        <v>70</v>
      </c>
      <c r="G51" s="131"/>
      <c r="H51" s="131"/>
    </row>
    <row r="52" spans="2:24" ht="16" thickBot="1">
      <c r="B52" s="125" t="s">
        <v>28</v>
      </c>
      <c r="C52" s="813" t="s">
        <v>29</v>
      </c>
      <c r="D52" s="813">
        <v>30</v>
      </c>
      <c r="E52" s="813">
        <v>30</v>
      </c>
      <c r="F52" s="813">
        <v>30</v>
      </c>
      <c r="G52" s="813"/>
      <c r="H52" s="813"/>
    </row>
    <row r="53" spans="2:24" ht="28" thickBot="1">
      <c r="B53" s="125" t="s">
        <v>30</v>
      </c>
      <c r="C53" s="813"/>
      <c r="D53" s="813"/>
      <c r="E53" s="813"/>
      <c r="F53" s="813"/>
      <c r="G53" s="813"/>
      <c r="H53" s="813"/>
    </row>
    <row r="54" spans="2:24" ht="16" thickBot="1">
      <c r="B54" s="893" t="s">
        <v>1142</v>
      </c>
      <c r="C54" s="894">
        <v>500</v>
      </c>
      <c r="D54" s="894">
        <v>500</v>
      </c>
      <c r="E54" s="894">
        <v>500</v>
      </c>
      <c r="F54" s="894">
        <v>500</v>
      </c>
      <c r="G54" s="894" t="s">
        <v>25</v>
      </c>
      <c r="H54" s="894"/>
    </row>
    <row r="55" spans="2:24" ht="16" thickBot="1">
      <c r="B55" s="125" t="s">
        <v>31</v>
      </c>
      <c r="C55" s="813"/>
      <c r="D55" s="813"/>
      <c r="E55" s="813"/>
      <c r="F55" s="813"/>
      <c r="G55" s="813"/>
      <c r="H55" s="813"/>
    </row>
    <row r="56" spans="2:24">
      <c r="B56" s="36" t="s">
        <v>353</v>
      </c>
      <c r="C56" s="42">
        <f>C49*$G$4*1000</f>
        <v>596</v>
      </c>
      <c r="D56" s="42">
        <f>D49*$G$4*1000</f>
        <v>596</v>
      </c>
      <c r="E56" s="42">
        <f>E49*$G$4*1000</f>
        <v>596</v>
      </c>
      <c r="F56" s="42">
        <f>F49*$G$4*1000</f>
        <v>596</v>
      </c>
      <c r="G56" s="63" t="s">
        <v>332</v>
      </c>
      <c r="H56" s="63"/>
    </row>
    <row r="57" spans="2:24">
      <c r="B57" s="36" t="s">
        <v>354</v>
      </c>
      <c r="C57" s="42">
        <f>C56*$G57</f>
        <v>238400</v>
      </c>
      <c r="D57" s="42">
        <f>D56*$G57</f>
        <v>238400</v>
      </c>
      <c r="E57" s="42">
        <f>E56*$G57</f>
        <v>238400</v>
      </c>
      <c r="F57" s="42">
        <f>F56*$G57</f>
        <v>238400</v>
      </c>
      <c r="G57" s="67">
        <v>400</v>
      </c>
      <c r="H57" s="63" t="s">
        <v>330</v>
      </c>
    </row>
    <row r="58" spans="2:24">
      <c r="B58" s="36" t="s">
        <v>355</v>
      </c>
      <c r="C58" s="42">
        <f>C54*$G$4/C37</f>
        <v>9.3125</v>
      </c>
      <c r="D58" s="42">
        <f>D54*$G$4/D37</f>
        <v>9.3125</v>
      </c>
      <c r="E58" s="42">
        <f>E54*$G$4/E37</f>
        <v>9.3125</v>
      </c>
      <c r="F58" s="42">
        <f>F54*$G$4/F37</f>
        <v>9.3125</v>
      </c>
      <c r="G58" s="63" t="s">
        <v>333</v>
      </c>
      <c r="H58" s="63"/>
    </row>
    <row r="59" spans="2:24" ht="16" thickBot="1">
      <c r="B59" s="36" t="s">
        <v>356</v>
      </c>
      <c r="C59" s="42">
        <f>C55*$G$4</f>
        <v>0</v>
      </c>
      <c r="D59" s="42">
        <f>D55*$G$4</f>
        <v>0</v>
      </c>
      <c r="E59" s="42">
        <f>E55*$G$4</f>
        <v>0</v>
      </c>
      <c r="F59" s="42">
        <f>F55*$G$4</f>
        <v>0</v>
      </c>
      <c r="G59" s="66"/>
      <c r="H59" s="63"/>
    </row>
    <row r="60" spans="2:24">
      <c r="B60" s="1257" t="s">
        <v>0</v>
      </c>
      <c r="C60" s="1259" t="s">
        <v>1143</v>
      </c>
      <c r="D60" s="1260"/>
      <c r="E60" s="1260"/>
      <c r="F60" s="1260"/>
      <c r="G60" s="1260"/>
      <c r="H60" s="1261"/>
      <c r="J60" s="1259" t="str">
        <f>C60</f>
        <v>Oil burner (bio oil)</v>
      </c>
      <c r="K60" s="1260"/>
      <c r="L60" s="1260"/>
      <c r="M60" s="1260"/>
      <c r="N60" s="1260"/>
      <c r="O60" s="1261"/>
    </row>
    <row r="61" spans="2:24" ht="16" thickBot="1">
      <c r="B61" s="1258"/>
      <c r="C61" s="1134" t="s">
        <v>34</v>
      </c>
      <c r="D61" s="1135"/>
      <c r="E61" s="1135"/>
      <c r="F61" s="1135"/>
      <c r="G61" s="1135"/>
      <c r="H61" s="1136"/>
      <c r="J61" s="1134" t="str">
        <f>C61</f>
        <v>One-family house, new building</v>
      </c>
      <c r="K61" s="1135"/>
      <c r="L61" s="1135"/>
      <c r="M61" s="1135"/>
      <c r="N61" s="1135"/>
      <c r="O61" s="1136"/>
    </row>
    <row r="62" spans="2:24" ht="16" thickBot="1">
      <c r="B62" s="125"/>
      <c r="C62" s="813">
        <v>2015</v>
      </c>
      <c r="D62" s="813">
        <v>2020</v>
      </c>
      <c r="E62" s="813">
        <v>2030</v>
      </c>
      <c r="F62" s="813">
        <v>2050</v>
      </c>
      <c r="G62" s="813" t="s">
        <v>2</v>
      </c>
      <c r="H62" s="813" t="s">
        <v>3</v>
      </c>
      <c r="J62" s="53" t="s">
        <v>357</v>
      </c>
    </row>
    <row r="63" spans="2:24" ht="31" thickBot="1">
      <c r="B63" s="127" t="s">
        <v>4</v>
      </c>
      <c r="C63" s="128"/>
      <c r="D63" s="128"/>
      <c r="E63" s="128"/>
      <c r="F63" s="128"/>
      <c r="G63" s="128"/>
      <c r="H63" s="129"/>
      <c r="J63" s="46" t="s">
        <v>335</v>
      </c>
      <c r="K63" s="46" t="s">
        <v>336</v>
      </c>
      <c r="L63" s="47" t="s">
        <v>337</v>
      </c>
      <c r="M63" s="47" t="s">
        <v>338</v>
      </c>
      <c r="N63" s="47" t="s">
        <v>339</v>
      </c>
      <c r="O63" s="48" t="s">
        <v>340</v>
      </c>
      <c r="P63" s="49" t="s">
        <v>341</v>
      </c>
      <c r="Q63" s="49" t="s">
        <v>342</v>
      </c>
      <c r="R63" s="49" t="s">
        <v>343</v>
      </c>
      <c r="S63" s="49" t="s">
        <v>344</v>
      </c>
      <c r="T63" s="49" t="s">
        <v>345</v>
      </c>
      <c r="U63" s="49" t="s">
        <v>346</v>
      </c>
      <c r="V63" s="49" t="s">
        <v>347</v>
      </c>
      <c r="W63" s="49" t="s">
        <v>348</v>
      </c>
      <c r="X63" s="49" t="s">
        <v>349</v>
      </c>
    </row>
    <row r="64" spans="2:24" ht="16" thickBot="1">
      <c r="B64" s="125" t="s">
        <v>5</v>
      </c>
      <c r="C64" s="813">
        <v>25</v>
      </c>
      <c r="D64" s="813">
        <v>25</v>
      </c>
      <c r="E64" s="813">
        <v>25</v>
      </c>
      <c r="F64" s="813">
        <v>25</v>
      </c>
      <c r="G64" s="813" t="s">
        <v>6</v>
      </c>
      <c r="H64" s="813"/>
      <c r="J64" s="50"/>
      <c r="K64" s="50"/>
      <c r="L64" s="51"/>
      <c r="M64" s="51"/>
      <c r="N64" s="51"/>
      <c r="O64" s="52"/>
      <c r="P64" s="50"/>
      <c r="Q64" s="50"/>
      <c r="R64" s="50"/>
      <c r="S64" s="50"/>
      <c r="T64" s="50"/>
      <c r="U64" s="50"/>
      <c r="V64" s="50"/>
      <c r="W64" s="50"/>
      <c r="X64" s="50"/>
    </row>
    <row r="65" spans="2:24" ht="28" thickBot="1">
      <c r="B65" s="125" t="s">
        <v>7</v>
      </c>
      <c r="C65" s="813">
        <v>100</v>
      </c>
      <c r="D65" s="813">
        <v>100</v>
      </c>
      <c r="E65" s="813">
        <v>100</v>
      </c>
      <c r="F65" s="813">
        <v>100</v>
      </c>
      <c r="G65" s="813"/>
      <c r="H65" s="813"/>
      <c r="J65" s="56"/>
      <c r="K65" s="56"/>
      <c r="L65" s="57"/>
      <c r="M65" s="57"/>
      <c r="N65" s="57"/>
      <c r="O65" s="56" t="s">
        <v>350</v>
      </c>
      <c r="P65" s="56" t="s">
        <v>326</v>
      </c>
      <c r="Q65" s="56" t="s">
        <v>327</v>
      </c>
      <c r="R65" s="56" t="s">
        <v>351</v>
      </c>
      <c r="S65" s="56" t="s">
        <v>351</v>
      </c>
      <c r="T65" s="56" t="s">
        <v>352</v>
      </c>
      <c r="U65" s="56" t="s">
        <v>352</v>
      </c>
      <c r="V65" s="56" t="s">
        <v>352</v>
      </c>
      <c r="W65" s="56" t="s">
        <v>352</v>
      </c>
      <c r="X65" s="56" t="s">
        <v>352</v>
      </c>
    </row>
    <row r="66" spans="2:24" ht="28" thickBot="1">
      <c r="B66" s="125" t="s">
        <v>8</v>
      </c>
      <c r="C66" s="813">
        <v>100</v>
      </c>
      <c r="D66" s="813">
        <v>100</v>
      </c>
      <c r="E66" s="813">
        <v>100</v>
      </c>
      <c r="F66" s="813">
        <v>100</v>
      </c>
      <c r="G66" s="813"/>
      <c r="H66" s="813"/>
      <c r="J66" s="58">
        <f>C62</f>
        <v>2015</v>
      </c>
      <c r="K66" s="58">
        <f>J66</f>
        <v>2015</v>
      </c>
      <c r="L66" s="58">
        <f>C67/100</f>
        <v>1</v>
      </c>
      <c r="M66" s="58"/>
      <c r="N66" s="58">
        <f>C68</f>
        <v>20</v>
      </c>
      <c r="O66" s="59">
        <f>C83</f>
        <v>3576</v>
      </c>
      <c r="P66" s="59">
        <f>C85</f>
        <v>149</v>
      </c>
      <c r="Q66" s="59">
        <f>C86</f>
        <v>0</v>
      </c>
      <c r="R66" s="58"/>
      <c r="S66" s="58"/>
      <c r="T66" s="58">
        <f>C70</f>
        <v>0</v>
      </c>
      <c r="U66" s="78" t="str">
        <f>C71</f>
        <v>&gt; 30</v>
      </c>
      <c r="V66" s="78">
        <f>C72</f>
        <v>0</v>
      </c>
      <c r="W66" s="78">
        <f>C73</f>
        <v>0</v>
      </c>
      <c r="X66" s="78">
        <f>C74</f>
        <v>0</v>
      </c>
    </row>
    <row r="67" spans="2:24" ht="16" thickBot="1">
      <c r="B67" s="125" t="s">
        <v>9</v>
      </c>
      <c r="C67" s="813">
        <v>100</v>
      </c>
      <c r="D67" s="813">
        <v>100</v>
      </c>
      <c r="E67" s="813">
        <v>100</v>
      </c>
      <c r="F67" s="813">
        <v>100</v>
      </c>
      <c r="G67" s="813"/>
      <c r="H67" s="813" t="s">
        <v>10</v>
      </c>
      <c r="J67" s="58">
        <f>D62</f>
        <v>2020</v>
      </c>
      <c r="K67" s="58"/>
      <c r="L67" s="58">
        <f>D67/100</f>
        <v>1</v>
      </c>
      <c r="M67" s="58"/>
      <c r="N67" s="58">
        <f>D68</f>
        <v>20</v>
      </c>
      <c r="O67" s="59">
        <f>D83</f>
        <v>3576</v>
      </c>
      <c r="P67" s="59">
        <f>D85</f>
        <v>149</v>
      </c>
      <c r="Q67" s="59">
        <f>D86</f>
        <v>0</v>
      </c>
      <c r="R67" s="58"/>
      <c r="S67" s="58"/>
      <c r="T67" s="58">
        <f>D70</f>
        <v>0</v>
      </c>
      <c r="U67" s="78" t="str">
        <f>D71</f>
        <v>&gt; 30</v>
      </c>
      <c r="V67" s="78">
        <f>D72</f>
        <v>0</v>
      </c>
      <c r="W67" s="78">
        <f>D73</f>
        <v>0</v>
      </c>
      <c r="X67" s="78">
        <f>D74</f>
        <v>0</v>
      </c>
    </row>
    <row r="68" spans="2:24" ht="16" thickBot="1">
      <c r="B68" s="125" t="s">
        <v>11</v>
      </c>
      <c r="C68" s="813">
        <v>20</v>
      </c>
      <c r="D68" s="813">
        <v>20</v>
      </c>
      <c r="E68" s="813">
        <v>20</v>
      </c>
      <c r="F68" s="813">
        <v>20</v>
      </c>
      <c r="G68" s="813"/>
      <c r="H68" s="813">
        <v>4</v>
      </c>
      <c r="J68" s="58">
        <f>E62</f>
        <v>2030</v>
      </c>
      <c r="K68" s="58"/>
      <c r="L68" s="58">
        <f>E67/100</f>
        <v>1</v>
      </c>
      <c r="M68" s="58"/>
      <c r="N68" s="58">
        <f>E68</f>
        <v>20</v>
      </c>
      <c r="O68" s="59">
        <f>E83</f>
        <v>3576</v>
      </c>
      <c r="P68" s="59">
        <f>E85</f>
        <v>149</v>
      </c>
      <c r="Q68" s="59">
        <f>E86</f>
        <v>0</v>
      </c>
      <c r="R68" s="58"/>
      <c r="S68" s="58"/>
      <c r="T68" s="58">
        <f>E70</f>
        <v>0</v>
      </c>
      <c r="U68" s="78" t="str">
        <f>E71</f>
        <v>&gt; 30</v>
      </c>
      <c r="V68" s="78">
        <f>E72</f>
        <v>0</v>
      </c>
      <c r="W68" s="78">
        <f>E73</f>
        <v>0</v>
      </c>
      <c r="X68" s="78">
        <f>E74</f>
        <v>0</v>
      </c>
    </row>
    <row r="69" spans="2:24" ht="16" thickBot="1">
      <c r="B69" s="127" t="s">
        <v>12</v>
      </c>
      <c r="C69" s="128"/>
      <c r="D69" s="128"/>
      <c r="E69" s="128"/>
      <c r="F69" s="128"/>
      <c r="G69" s="128"/>
      <c r="H69" s="129"/>
      <c r="J69" s="58">
        <f>F62</f>
        <v>2050</v>
      </c>
      <c r="K69" s="58"/>
      <c r="L69" s="58">
        <f>F67/100</f>
        <v>1</v>
      </c>
      <c r="M69" s="58"/>
      <c r="N69" s="58">
        <f>F68</f>
        <v>20</v>
      </c>
      <c r="O69" s="59">
        <f>F83</f>
        <v>3576</v>
      </c>
      <c r="P69" s="59">
        <f>F85</f>
        <v>149</v>
      </c>
      <c r="Q69" s="59">
        <f>F86</f>
        <v>0</v>
      </c>
      <c r="R69" s="58"/>
      <c r="S69" s="58"/>
      <c r="T69" s="58">
        <f>F70</f>
        <v>0</v>
      </c>
      <c r="U69" s="78" t="str">
        <f>F71</f>
        <v>&gt; 30</v>
      </c>
      <c r="V69" s="78">
        <f>F72</f>
        <v>0</v>
      </c>
      <c r="W69" s="78">
        <f>F73</f>
        <v>0</v>
      </c>
      <c r="X69" s="78">
        <f>F74</f>
        <v>0</v>
      </c>
    </row>
    <row r="70" spans="2:24" ht="16" thickBot="1">
      <c r="B70" s="125" t="s">
        <v>13</v>
      </c>
      <c r="C70" s="813">
        <v>0</v>
      </c>
      <c r="D70" s="813">
        <v>0</v>
      </c>
      <c r="E70" s="813">
        <v>0</v>
      </c>
      <c r="F70" s="813">
        <v>0</v>
      </c>
      <c r="G70" s="813" t="s">
        <v>14</v>
      </c>
      <c r="H70" s="813"/>
    </row>
    <row r="71" spans="2:24" ht="16" thickBot="1">
      <c r="B71" s="125" t="s">
        <v>15</v>
      </c>
      <c r="C71" s="813" t="s">
        <v>1144</v>
      </c>
      <c r="D71" s="813" t="s">
        <v>1144</v>
      </c>
      <c r="E71" s="813" t="s">
        <v>1144</v>
      </c>
      <c r="F71" s="813" t="s">
        <v>1144</v>
      </c>
      <c r="G71" s="813" t="s">
        <v>16</v>
      </c>
      <c r="H71" s="813"/>
    </row>
    <row r="72" spans="2:24" ht="16" thickBot="1">
      <c r="B72" s="125" t="s">
        <v>17</v>
      </c>
      <c r="C72" s="813">
        <v>0</v>
      </c>
      <c r="D72" s="813">
        <v>0</v>
      </c>
      <c r="E72" s="813">
        <v>0</v>
      </c>
      <c r="F72" s="813">
        <v>0</v>
      </c>
      <c r="G72" s="813"/>
      <c r="H72" s="813"/>
    </row>
    <row r="73" spans="2:24" ht="16" thickBot="1">
      <c r="B73" s="125" t="s">
        <v>18</v>
      </c>
      <c r="C73" s="813">
        <v>0</v>
      </c>
      <c r="D73" s="813">
        <v>0</v>
      </c>
      <c r="E73" s="813">
        <v>0</v>
      </c>
      <c r="F73" s="813">
        <v>0</v>
      </c>
      <c r="G73" s="813"/>
      <c r="H73" s="813"/>
    </row>
    <row r="74" spans="2:24" ht="16" thickBot="1">
      <c r="B74" s="125" t="s">
        <v>19</v>
      </c>
      <c r="C74" s="813"/>
      <c r="D74" s="813"/>
      <c r="E74" s="813"/>
      <c r="F74" s="813"/>
      <c r="G74" s="813" t="s">
        <v>20</v>
      </c>
      <c r="H74" s="813" t="s">
        <v>21</v>
      </c>
    </row>
    <row r="75" spans="2:24" ht="16" thickBot="1">
      <c r="B75" s="127" t="s">
        <v>22</v>
      </c>
      <c r="C75" s="128"/>
      <c r="D75" s="128"/>
      <c r="E75" s="128"/>
      <c r="F75" s="128"/>
      <c r="G75" s="68" t="s">
        <v>329</v>
      </c>
      <c r="H75" s="813"/>
    </row>
    <row r="76" spans="2:24" ht="16" thickBot="1">
      <c r="B76" s="125" t="s">
        <v>23</v>
      </c>
      <c r="C76" s="43">
        <f>C77/C64</f>
        <v>0.48</v>
      </c>
      <c r="D76" s="43">
        <f>D77/D64</f>
        <v>0.48</v>
      </c>
      <c r="E76" s="43">
        <f>E77/E64</f>
        <v>0.48</v>
      </c>
      <c r="F76" s="43">
        <f>F77/F64</f>
        <v>0.48</v>
      </c>
      <c r="G76" s="73">
        <f>G84</f>
        <v>25</v>
      </c>
      <c r="H76" s="73" t="str">
        <f>H84</f>
        <v>kW</v>
      </c>
    </row>
    <row r="77" spans="2:24">
      <c r="B77" s="130" t="s">
        <v>24</v>
      </c>
      <c r="C77" s="131">
        <v>12</v>
      </c>
      <c r="D77" s="131">
        <v>12</v>
      </c>
      <c r="E77" s="131">
        <v>12</v>
      </c>
      <c r="F77" s="131">
        <v>12</v>
      </c>
      <c r="G77" s="131" t="s">
        <v>25</v>
      </c>
      <c r="H77" s="131"/>
    </row>
    <row r="78" spans="2:24">
      <c r="B78" s="130" t="s">
        <v>26</v>
      </c>
      <c r="C78" s="131" t="s">
        <v>27</v>
      </c>
      <c r="D78" s="131">
        <v>70</v>
      </c>
      <c r="E78" s="131">
        <v>70</v>
      </c>
      <c r="F78" s="131">
        <v>70</v>
      </c>
      <c r="G78" s="131"/>
      <c r="H78" s="131"/>
    </row>
    <row r="79" spans="2:24" ht="16" thickBot="1">
      <c r="B79" s="125" t="s">
        <v>28</v>
      </c>
      <c r="C79" s="813" t="s">
        <v>29</v>
      </c>
      <c r="D79" s="813">
        <v>30</v>
      </c>
      <c r="E79" s="813">
        <v>30</v>
      </c>
      <c r="F79" s="813">
        <v>30</v>
      </c>
      <c r="G79" s="813"/>
      <c r="H79" s="813"/>
    </row>
    <row r="80" spans="2:24" ht="28" thickBot="1">
      <c r="B80" s="125" t="s">
        <v>30</v>
      </c>
      <c r="C80" s="813"/>
      <c r="D80" s="813"/>
      <c r="E80" s="813"/>
      <c r="F80" s="813"/>
      <c r="G80" s="813"/>
      <c r="H80" s="813"/>
    </row>
    <row r="81" spans="2:24" ht="16" thickBot="1">
      <c r="B81" s="125" t="s">
        <v>1142</v>
      </c>
      <c r="C81" s="894">
        <v>500</v>
      </c>
      <c r="D81" s="894">
        <v>500</v>
      </c>
      <c r="E81" s="894">
        <v>500</v>
      </c>
      <c r="F81" s="894">
        <v>500</v>
      </c>
      <c r="G81" s="894" t="s">
        <v>25</v>
      </c>
      <c r="H81" s="813"/>
    </row>
    <row r="82" spans="2:24" ht="16" thickBot="1">
      <c r="B82" s="125" t="s">
        <v>31</v>
      </c>
      <c r="C82" s="813"/>
      <c r="D82" s="813"/>
      <c r="E82" s="813"/>
      <c r="F82" s="813"/>
      <c r="G82" s="813"/>
      <c r="H82" s="813"/>
    </row>
    <row r="83" spans="2:24">
      <c r="B83" s="36" t="s">
        <v>353</v>
      </c>
      <c r="C83" s="42">
        <f>C76*$G$4*1000</f>
        <v>3576</v>
      </c>
      <c r="D83" s="42">
        <f>D76*$G$4*1000</f>
        <v>3576</v>
      </c>
      <c r="E83" s="42">
        <f>E76*$G$4*1000</f>
        <v>3576</v>
      </c>
      <c r="F83" s="42">
        <f>F76*$G$4*1000</f>
        <v>3576</v>
      </c>
      <c r="G83" s="63" t="s">
        <v>332</v>
      </c>
      <c r="H83" s="63"/>
    </row>
    <row r="84" spans="2:24">
      <c r="B84" s="36" t="s">
        <v>354</v>
      </c>
      <c r="C84" s="42">
        <f>C83*$G84</f>
        <v>89400</v>
      </c>
      <c r="D84" s="42">
        <f>D83*$G84</f>
        <v>89400</v>
      </c>
      <c r="E84" s="42">
        <f>E83*$G84</f>
        <v>89400</v>
      </c>
      <c r="F84" s="42">
        <f>F83*$G84</f>
        <v>89400</v>
      </c>
      <c r="G84" s="67">
        <f>C64</f>
        <v>25</v>
      </c>
      <c r="H84" s="63" t="s">
        <v>330</v>
      </c>
    </row>
    <row r="85" spans="2:24">
      <c r="B85" s="36" t="s">
        <v>355</v>
      </c>
      <c r="C85" s="42">
        <f>C81*$G$4/C64</f>
        <v>149</v>
      </c>
      <c r="D85" s="42">
        <f>D81*$G$4/D64</f>
        <v>149</v>
      </c>
      <c r="E85" s="42">
        <f>E81*$G$4/E64</f>
        <v>149</v>
      </c>
      <c r="F85" s="42">
        <f>F81*$G$4/F64</f>
        <v>149</v>
      </c>
      <c r="G85" s="63" t="s">
        <v>333</v>
      </c>
      <c r="H85" s="63"/>
    </row>
    <row r="86" spans="2:24" ht="16" thickBot="1">
      <c r="B86" s="36" t="s">
        <v>356</v>
      </c>
      <c r="C86" s="42">
        <f>C82*$G$4</f>
        <v>0</v>
      </c>
      <c r="D86" s="42">
        <f>D82*$G$4</f>
        <v>0</v>
      </c>
      <c r="E86" s="42">
        <f>E82*$G$4</f>
        <v>0</v>
      </c>
      <c r="F86" s="42">
        <f>F82*$G$4</f>
        <v>0</v>
      </c>
      <c r="G86" s="66"/>
      <c r="H86" s="63"/>
    </row>
    <row r="87" spans="2:24">
      <c r="B87" s="1257" t="s">
        <v>0</v>
      </c>
      <c r="C87" s="1259" t="s">
        <v>1143</v>
      </c>
      <c r="D87" s="1260"/>
      <c r="E87" s="1260"/>
      <c r="F87" s="1260"/>
      <c r="G87" s="1260"/>
      <c r="H87" s="1261"/>
      <c r="J87" s="1259" t="str">
        <f>C87</f>
        <v>Oil burner (bio oil)</v>
      </c>
      <c r="K87" s="1260"/>
      <c r="L87" s="1260"/>
      <c r="M87" s="1260"/>
      <c r="N87" s="1260"/>
      <c r="O87" s="1261"/>
    </row>
    <row r="88" spans="2:24" ht="16" thickBot="1">
      <c r="B88" s="1258"/>
      <c r="C88" s="1134" t="s">
        <v>35</v>
      </c>
      <c r="D88" s="1135"/>
      <c r="E88" s="1135"/>
      <c r="F88" s="1135"/>
      <c r="G88" s="1135"/>
      <c r="H88" s="1136"/>
      <c r="J88" s="1134" t="str">
        <f>C88</f>
        <v>Apartment complex, new building</v>
      </c>
      <c r="K88" s="1135"/>
      <c r="L88" s="1135"/>
      <c r="M88" s="1135"/>
      <c r="N88" s="1135"/>
      <c r="O88" s="1136"/>
    </row>
    <row r="89" spans="2:24" ht="16" thickBot="1">
      <c r="B89" s="125"/>
      <c r="C89" s="813">
        <v>2015</v>
      </c>
      <c r="D89" s="813">
        <v>2020</v>
      </c>
      <c r="E89" s="813">
        <v>2030</v>
      </c>
      <c r="F89" s="813">
        <v>2050</v>
      </c>
      <c r="G89" s="813" t="s">
        <v>2</v>
      </c>
      <c r="H89" s="813" t="s">
        <v>3</v>
      </c>
      <c r="J89" s="53" t="s">
        <v>357</v>
      </c>
    </row>
    <row r="90" spans="2:24" ht="31" thickBot="1">
      <c r="B90" s="127" t="s">
        <v>4</v>
      </c>
      <c r="C90" s="128"/>
      <c r="D90" s="128"/>
      <c r="E90" s="128"/>
      <c r="F90" s="128"/>
      <c r="G90" s="128"/>
      <c r="H90" s="129"/>
      <c r="J90" s="46" t="s">
        <v>335</v>
      </c>
      <c r="K90" s="46" t="s">
        <v>336</v>
      </c>
      <c r="L90" s="47" t="s">
        <v>337</v>
      </c>
      <c r="M90" s="47" t="s">
        <v>338</v>
      </c>
      <c r="N90" s="47" t="s">
        <v>339</v>
      </c>
      <c r="O90" s="48" t="s">
        <v>340</v>
      </c>
      <c r="P90" s="49" t="s">
        <v>341</v>
      </c>
      <c r="Q90" s="49" t="s">
        <v>342</v>
      </c>
      <c r="R90" s="49" t="s">
        <v>343</v>
      </c>
      <c r="S90" s="49" t="s">
        <v>344</v>
      </c>
      <c r="T90" s="49" t="s">
        <v>345</v>
      </c>
      <c r="U90" s="49" t="s">
        <v>346</v>
      </c>
      <c r="V90" s="49" t="s">
        <v>347</v>
      </c>
      <c r="W90" s="49" t="s">
        <v>348</v>
      </c>
      <c r="X90" s="49" t="s">
        <v>349</v>
      </c>
    </row>
    <row r="91" spans="2:24" ht="16" thickBot="1">
      <c r="B91" s="125" t="s">
        <v>5</v>
      </c>
      <c r="C91" s="813">
        <v>400</v>
      </c>
      <c r="D91" s="813">
        <v>400</v>
      </c>
      <c r="E91" s="813">
        <v>400</v>
      </c>
      <c r="F91" s="813">
        <v>400</v>
      </c>
      <c r="G91" s="813" t="s">
        <v>6</v>
      </c>
      <c r="H91" s="813"/>
      <c r="J91" s="50"/>
      <c r="K91" s="50"/>
      <c r="L91" s="51"/>
      <c r="M91" s="51"/>
      <c r="N91" s="51"/>
      <c r="O91" s="52"/>
      <c r="P91" s="50"/>
      <c r="Q91" s="50"/>
      <c r="R91" s="50"/>
      <c r="S91" s="50"/>
      <c r="T91" s="50"/>
      <c r="U91" s="50"/>
      <c r="V91" s="50"/>
      <c r="W91" s="50"/>
      <c r="X91" s="50"/>
    </row>
    <row r="92" spans="2:24" ht="28" thickBot="1">
      <c r="B92" s="125" t="s">
        <v>7</v>
      </c>
      <c r="C92" s="813">
        <v>100</v>
      </c>
      <c r="D92" s="813">
        <v>100</v>
      </c>
      <c r="E92" s="813">
        <v>100</v>
      </c>
      <c r="F92" s="813">
        <v>100</v>
      </c>
      <c r="G92" s="813"/>
      <c r="H92" s="813"/>
      <c r="J92" s="56"/>
      <c r="K92" s="56"/>
      <c r="L92" s="57"/>
      <c r="M92" s="57"/>
      <c r="N92" s="57"/>
      <c r="O92" s="56" t="s">
        <v>350</v>
      </c>
      <c r="P92" s="56" t="s">
        <v>326</v>
      </c>
      <c r="Q92" s="56" t="s">
        <v>327</v>
      </c>
      <c r="R92" s="56" t="s">
        <v>351</v>
      </c>
      <c r="S92" s="56" t="s">
        <v>351</v>
      </c>
      <c r="T92" s="56" t="s">
        <v>352</v>
      </c>
      <c r="U92" s="56" t="s">
        <v>352</v>
      </c>
      <c r="V92" s="56" t="s">
        <v>352</v>
      </c>
      <c r="W92" s="56" t="s">
        <v>352</v>
      </c>
      <c r="X92" s="56" t="s">
        <v>352</v>
      </c>
    </row>
    <row r="93" spans="2:24" ht="28" thickBot="1">
      <c r="B93" s="125" t="s">
        <v>8</v>
      </c>
      <c r="C93" s="813">
        <v>100</v>
      </c>
      <c r="D93" s="813">
        <v>100</v>
      </c>
      <c r="E93" s="813">
        <v>100</v>
      </c>
      <c r="F93" s="813">
        <v>100</v>
      </c>
      <c r="G93" s="813"/>
      <c r="H93" s="813"/>
      <c r="J93" s="58">
        <f>C89</f>
        <v>2015</v>
      </c>
      <c r="K93" s="58">
        <f>J93</f>
        <v>2015</v>
      </c>
      <c r="L93" s="58">
        <f>C94/100</f>
        <v>1</v>
      </c>
      <c r="M93" s="58"/>
      <c r="N93" s="58">
        <f>C95</f>
        <v>20</v>
      </c>
      <c r="O93" s="59">
        <f>C110</f>
        <v>745.00000000000011</v>
      </c>
      <c r="P93" s="59">
        <f>C112</f>
        <v>18.625</v>
      </c>
      <c r="Q93" s="59">
        <f>C113</f>
        <v>0</v>
      </c>
      <c r="R93" s="58"/>
      <c r="S93" s="58"/>
      <c r="T93" s="58">
        <f>C97</f>
        <v>0</v>
      </c>
      <c r="U93" s="78" t="str">
        <f>C98</f>
        <v>&gt; 30</v>
      </c>
      <c r="V93" s="78">
        <f>C99</f>
        <v>0</v>
      </c>
      <c r="W93" s="78">
        <f>C100</f>
        <v>0</v>
      </c>
      <c r="X93" s="78" t="str">
        <f>C101</f>
        <v>-</v>
      </c>
    </row>
    <row r="94" spans="2:24" ht="16" thickBot="1">
      <c r="B94" s="125" t="s">
        <v>9</v>
      </c>
      <c r="C94" s="813">
        <v>100</v>
      </c>
      <c r="D94" s="813">
        <v>100</v>
      </c>
      <c r="E94" s="813">
        <v>100</v>
      </c>
      <c r="F94" s="813">
        <v>100</v>
      </c>
      <c r="G94" s="813"/>
      <c r="H94" s="813" t="s">
        <v>10</v>
      </c>
      <c r="J94" s="58">
        <f>D89</f>
        <v>2020</v>
      </c>
      <c r="K94" s="58"/>
      <c r="L94" s="58">
        <f>D94/100</f>
        <v>1</v>
      </c>
      <c r="M94" s="58"/>
      <c r="N94" s="58">
        <f>D95</f>
        <v>20</v>
      </c>
      <c r="O94" s="59">
        <f>D110</f>
        <v>745.00000000000011</v>
      </c>
      <c r="P94" s="59">
        <f>D112</f>
        <v>18.625</v>
      </c>
      <c r="Q94" s="59">
        <f>D113</f>
        <v>0</v>
      </c>
      <c r="R94" s="58"/>
      <c r="S94" s="58"/>
      <c r="T94" s="58">
        <f>D97</f>
        <v>0</v>
      </c>
      <c r="U94" s="78" t="str">
        <f>D98</f>
        <v>&gt; 30</v>
      </c>
      <c r="V94" s="78">
        <f>D99</f>
        <v>0</v>
      </c>
      <c r="W94" s="78">
        <f>D100</f>
        <v>0</v>
      </c>
      <c r="X94" s="78" t="str">
        <f>D101</f>
        <v>-</v>
      </c>
    </row>
    <row r="95" spans="2:24" ht="16" thickBot="1">
      <c r="B95" s="125" t="s">
        <v>11</v>
      </c>
      <c r="C95" s="813">
        <v>20</v>
      </c>
      <c r="D95" s="813">
        <v>20</v>
      </c>
      <c r="E95" s="813">
        <v>20</v>
      </c>
      <c r="F95" s="813">
        <v>20</v>
      </c>
      <c r="G95" s="813"/>
      <c r="H95" s="813">
        <v>4</v>
      </c>
      <c r="J95" s="58">
        <f>E89</f>
        <v>2030</v>
      </c>
      <c r="K95" s="58"/>
      <c r="L95" s="58">
        <f>E94/100</f>
        <v>1</v>
      </c>
      <c r="M95" s="58"/>
      <c r="N95" s="58">
        <f>E95</f>
        <v>20</v>
      </c>
      <c r="O95" s="59">
        <f>E110</f>
        <v>745.00000000000011</v>
      </c>
      <c r="P95" s="59">
        <f>E112</f>
        <v>18.625</v>
      </c>
      <c r="Q95" s="59">
        <f>E113</f>
        <v>0</v>
      </c>
      <c r="R95" s="58"/>
      <c r="S95" s="58"/>
      <c r="T95" s="58">
        <f>E97</f>
        <v>0</v>
      </c>
      <c r="U95" s="78" t="str">
        <f>E98</f>
        <v>&gt; 30</v>
      </c>
      <c r="V95" s="78">
        <f>E99</f>
        <v>0</v>
      </c>
      <c r="W95" s="78">
        <f>E100</f>
        <v>0</v>
      </c>
      <c r="X95" s="78" t="str">
        <f>E101</f>
        <v>-</v>
      </c>
    </row>
    <row r="96" spans="2:24" ht="16" thickBot="1">
      <c r="B96" s="127" t="s">
        <v>12</v>
      </c>
      <c r="C96" s="128"/>
      <c r="D96" s="128"/>
      <c r="E96" s="128"/>
      <c r="F96" s="128"/>
      <c r="G96" s="128"/>
      <c r="H96" s="129"/>
      <c r="J96" s="58">
        <f>F89</f>
        <v>2050</v>
      </c>
      <c r="K96" s="58"/>
      <c r="L96" s="58">
        <f>F94/100</f>
        <v>1</v>
      </c>
      <c r="M96" s="58"/>
      <c r="N96" s="58">
        <f>F95</f>
        <v>20</v>
      </c>
      <c r="O96" s="59">
        <f>F110</f>
        <v>745.00000000000011</v>
      </c>
      <c r="P96" s="59">
        <f>F112</f>
        <v>18.625</v>
      </c>
      <c r="Q96" s="59">
        <f>F113</f>
        <v>0</v>
      </c>
      <c r="R96" s="58"/>
      <c r="S96" s="58"/>
      <c r="T96" s="58">
        <f>F97</f>
        <v>0</v>
      </c>
      <c r="U96" s="78" t="str">
        <f>F98</f>
        <v>&gt; 30</v>
      </c>
      <c r="V96" s="78">
        <f>F99</f>
        <v>0</v>
      </c>
      <c r="W96" s="78">
        <f>F100</f>
        <v>0</v>
      </c>
      <c r="X96" s="78" t="str">
        <f>F101</f>
        <v>-</v>
      </c>
    </row>
    <row r="97" spans="2:8" ht="16" thickBot="1">
      <c r="B97" s="125" t="s">
        <v>13</v>
      </c>
      <c r="C97" s="813">
        <v>0</v>
      </c>
      <c r="D97" s="813">
        <v>0</v>
      </c>
      <c r="E97" s="813">
        <v>0</v>
      </c>
      <c r="F97" s="813">
        <v>0</v>
      </c>
      <c r="G97" s="813" t="s">
        <v>14</v>
      </c>
      <c r="H97" s="813"/>
    </row>
    <row r="98" spans="2:8" ht="16" thickBot="1">
      <c r="B98" s="125" t="s">
        <v>15</v>
      </c>
      <c r="C98" s="813" t="s">
        <v>1144</v>
      </c>
      <c r="D98" s="813" t="s">
        <v>1144</v>
      </c>
      <c r="E98" s="813" t="s">
        <v>1144</v>
      </c>
      <c r="F98" s="813" t="s">
        <v>1144</v>
      </c>
      <c r="G98" s="813" t="s">
        <v>16</v>
      </c>
      <c r="H98" s="813"/>
    </row>
    <row r="99" spans="2:8" ht="16" thickBot="1">
      <c r="B99" s="125" t="s">
        <v>17</v>
      </c>
      <c r="C99" s="813">
        <v>0</v>
      </c>
      <c r="D99" s="813">
        <v>0</v>
      </c>
      <c r="E99" s="813">
        <v>0</v>
      </c>
      <c r="F99" s="813">
        <v>0</v>
      </c>
      <c r="G99" s="813"/>
      <c r="H99" s="813"/>
    </row>
    <row r="100" spans="2:8" ht="16" thickBot="1">
      <c r="B100" s="125" t="s">
        <v>18</v>
      </c>
      <c r="C100" s="813">
        <v>0</v>
      </c>
      <c r="D100" s="813">
        <v>0</v>
      </c>
      <c r="E100" s="813">
        <v>0</v>
      </c>
      <c r="F100" s="813">
        <v>0</v>
      </c>
      <c r="G100" s="813"/>
      <c r="H100" s="813"/>
    </row>
    <row r="101" spans="2:8" ht="16" thickBot="1">
      <c r="B101" s="125" t="s">
        <v>19</v>
      </c>
      <c r="C101" s="813" t="s">
        <v>36</v>
      </c>
      <c r="D101" s="813" t="s">
        <v>36</v>
      </c>
      <c r="E101" s="813" t="s">
        <v>36</v>
      </c>
      <c r="F101" s="813" t="s">
        <v>36</v>
      </c>
      <c r="G101" s="813" t="s">
        <v>20</v>
      </c>
      <c r="H101" s="813" t="s">
        <v>21</v>
      </c>
    </row>
    <row r="102" spans="2:8" ht="16" thickBot="1">
      <c r="B102" s="127" t="s">
        <v>22</v>
      </c>
      <c r="C102" s="128"/>
      <c r="D102" s="128"/>
      <c r="E102" s="128"/>
      <c r="F102" s="128"/>
      <c r="G102" s="68" t="s">
        <v>329</v>
      </c>
      <c r="H102" s="813"/>
    </row>
    <row r="103" spans="2:8" ht="16" thickBot="1">
      <c r="B103" s="125" t="s">
        <v>23</v>
      </c>
      <c r="C103" s="43">
        <f>C104/C91</f>
        <v>0.1</v>
      </c>
      <c r="D103" s="43">
        <f>D104/D91</f>
        <v>0.1</v>
      </c>
      <c r="E103" s="43">
        <f>E104/E91</f>
        <v>0.1</v>
      </c>
      <c r="F103" s="43">
        <f>F104/F91</f>
        <v>0.1</v>
      </c>
      <c r="G103" s="73">
        <f>G111</f>
        <v>400</v>
      </c>
      <c r="H103" s="73" t="str">
        <f>H111</f>
        <v>kW</v>
      </c>
    </row>
    <row r="104" spans="2:8">
      <c r="B104" s="130" t="s">
        <v>1145</v>
      </c>
      <c r="C104" s="131">
        <v>40</v>
      </c>
      <c r="D104" s="131">
        <v>40</v>
      </c>
      <c r="E104" s="131">
        <v>40</v>
      </c>
      <c r="F104" s="131">
        <v>40</v>
      </c>
      <c r="G104" s="131" t="s">
        <v>25</v>
      </c>
      <c r="H104" s="131"/>
    </row>
    <row r="105" spans="2:8">
      <c r="B105" s="130" t="s">
        <v>26</v>
      </c>
      <c r="C105" s="131" t="s">
        <v>27</v>
      </c>
      <c r="D105" s="131">
        <v>70</v>
      </c>
      <c r="E105" s="131">
        <v>70</v>
      </c>
      <c r="F105" s="131">
        <v>70</v>
      </c>
      <c r="G105" s="131"/>
      <c r="H105" s="131"/>
    </row>
    <row r="106" spans="2:8" ht="16" thickBot="1">
      <c r="B106" s="125" t="s">
        <v>28</v>
      </c>
      <c r="C106" s="813" t="s">
        <v>29</v>
      </c>
      <c r="D106" s="813">
        <v>30</v>
      </c>
      <c r="E106" s="813">
        <v>30</v>
      </c>
      <c r="F106" s="813">
        <v>30</v>
      </c>
      <c r="G106" s="813"/>
      <c r="H106" s="813"/>
    </row>
    <row r="107" spans="2:8" ht="28" thickBot="1">
      <c r="B107" s="125" t="s">
        <v>30</v>
      </c>
      <c r="C107" s="813"/>
      <c r="D107" s="813"/>
      <c r="E107" s="813"/>
      <c r="F107" s="813"/>
      <c r="G107" s="813"/>
      <c r="H107" s="813"/>
    </row>
    <row r="108" spans="2:8" ht="16" thickBot="1">
      <c r="B108" s="125" t="s">
        <v>1142</v>
      </c>
      <c r="C108" s="894">
        <v>1000</v>
      </c>
      <c r="D108" s="894">
        <v>1000</v>
      </c>
      <c r="E108" s="894">
        <v>1000</v>
      </c>
      <c r="F108" s="894">
        <v>1000</v>
      </c>
      <c r="G108" s="894" t="s">
        <v>25</v>
      </c>
      <c r="H108" s="813"/>
    </row>
    <row r="109" spans="2:8" ht="16" thickBot="1">
      <c r="B109" s="125" t="s">
        <v>31</v>
      </c>
      <c r="C109" s="813"/>
      <c r="D109" s="813"/>
      <c r="E109" s="813"/>
      <c r="F109" s="813"/>
      <c r="G109" s="813"/>
      <c r="H109" s="813"/>
    </row>
    <row r="110" spans="2:8">
      <c r="B110" s="36" t="s">
        <v>353</v>
      </c>
      <c r="C110" s="42">
        <f>C103*$G$4*1000</f>
        <v>745.00000000000011</v>
      </c>
      <c r="D110" s="42">
        <f>D103*$G$4*1000</f>
        <v>745.00000000000011</v>
      </c>
      <c r="E110" s="42">
        <f>E103*$G$4*1000</f>
        <v>745.00000000000011</v>
      </c>
      <c r="F110" s="42">
        <f>F103*$G$4*1000</f>
        <v>745.00000000000011</v>
      </c>
      <c r="G110" s="63" t="s">
        <v>332</v>
      </c>
      <c r="H110" s="63"/>
    </row>
    <row r="111" spans="2:8">
      <c r="B111" s="36" t="s">
        <v>354</v>
      </c>
      <c r="C111" s="42">
        <f>C110*$G111</f>
        <v>298000.00000000006</v>
      </c>
      <c r="D111" s="42">
        <f>D110*$G111</f>
        <v>298000.00000000006</v>
      </c>
      <c r="E111" s="42">
        <f>E110*$G111</f>
        <v>298000.00000000006</v>
      </c>
      <c r="F111" s="42">
        <f>F110*$G111</f>
        <v>298000.00000000006</v>
      </c>
      <c r="G111" s="67">
        <f>C91</f>
        <v>400</v>
      </c>
      <c r="H111" s="63" t="s">
        <v>330</v>
      </c>
    </row>
    <row r="112" spans="2:8">
      <c r="B112" s="36" t="s">
        <v>355</v>
      </c>
      <c r="C112" s="42">
        <f>C108*$G$4/C91</f>
        <v>18.625</v>
      </c>
      <c r="D112" s="42">
        <f>D108*$G$4/D91</f>
        <v>18.625</v>
      </c>
      <c r="E112" s="42">
        <f>E108*$G$4/E91</f>
        <v>18.625</v>
      </c>
      <c r="F112" s="42">
        <f>F108*$G$4/F91</f>
        <v>18.625</v>
      </c>
      <c r="G112" s="63" t="s">
        <v>333</v>
      </c>
      <c r="H112" s="63"/>
    </row>
    <row r="113" spans="2:8" ht="16" thickBot="1">
      <c r="B113" s="36" t="s">
        <v>356</v>
      </c>
      <c r="C113" s="42">
        <f>C109*$G$4</f>
        <v>0</v>
      </c>
      <c r="D113" s="42">
        <f>D109*$G$4</f>
        <v>0</v>
      </c>
      <c r="E113" s="42">
        <f>E109*$G$4</f>
        <v>0</v>
      </c>
      <c r="F113" s="42">
        <f>F109*$G$4</f>
        <v>0</v>
      </c>
      <c r="G113" s="66"/>
      <c r="H113" s="63"/>
    </row>
    <row r="156" spans="7:7">
      <c r="G156" s="214" t="s">
        <v>620</v>
      </c>
    </row>
  </sheetData>
  <mergeCells count="20">
    <mergeCell ref="B33:B34"/>
    <mergeCell ref="C33:H33"/>
    <mergeCell ref="J33:O33"/>
    <mergeCell ref="C34:H34"/>
    <mergeCell ref="J34:O34"/>
    <mergeCell ref="B6:B7"/>
    <mergeCell ref="C6:H6"/>
    <mergeCell ref="J6:O6"/>
    <mergeCell ref="C7:H7"/>
    <mergeCell ref="J7:O7"/>
    <mergeCell ref="B87:B88"/>
    <mergeCell ref="C87:H87"/>
    <mergeCell ref="J87:O87"/>
    <mergeCell ref="C88:H88"/>
    <mergeCell ref="J88:O88"/>
    <mergeCell ref="B60:B61"/>
    <mergeCell ref="C60:H60"/>
    <mergeCell ref="J60:O60"/>
    <mergeCell ref="C61:H61"/>
    <mergeCell ref="J61:O61"/>
  </mergeCells>
  <pageMargins left="0.7" right="0.7" top="0.75" bottom="0.75" header="0.3" footer="0.3"/>
  <pageSetup paperSize="9" orientation="portrait"/>
  <legacyDrawing r:id="rId1"/>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5">
    <tabColor theme="4"/>
  </sheetPr>
  <dimension ref="B2:X156"/>
  <sheetViews>
    <sheetView workbookViewId="0">
      <selection activeCell="J26" sqref="J26"/>
    </sheetView>
  </sheetViews>
  <sheetFormatPr baseColWidth="10" defaultColWidth="8.83203125" defaultRowHeight="15"/>
  <cols>
    <col min="2" max="2" width="36.83203125" customWidth="1"/>
    <col min="3" max="6" width="11" bestFit="1" customWidth="1"/>
  </cols>
  <sheetData>
    <row r="2" spans="2:24">
      <c r="B2" s="8" t="s">
        <v>308</v>
      </c>
    </row>
    <row r="4" spans="2:24" ht="16" thickBot="1">
      <c r="E4" t="s">
        <v>358</v>
      </c>
      <c r="G4" s="36">
        <v>7.45</v>
      </c>
      <c r="H4" t="s">
        <v>328</v>
      </c>
    </row>
    <row r="5" spans="2:24" ht="15" customHeight="1">
      <c r="B5" s="1257" t="s">
        <v>0</v>
      </c>
      <c r="C5" s="1259" t="s">
        <v>37</v>
      </c>
      <c r="D5" s="1260"/>
      <c r="E5" s="1260"/>
      <c r="F5" s="1260"/>
      <c r="G5" s="1260"/>
      <c r="H5" s="1261"/>
      <c r="J5" s="1259" t="str">
        <f>C5</f>
        <v>Natural gas boiler</v>
      </c>
      <c r="K5" s="1260"/>
      <c r="L5" s="1260"/>
      <c r="M5" s="1260"/>
      <c r="N5" s="1260"/>
      <c r="O5" s="1261"/>
    </row>
    <row r="6" spans="2:24" ht="15.75" customHeight="1" thickBot="1">
      <c r="B6" s="1258"/>
      <c r="C6" s="1134" t="s">
        <v>38</v>
      </c>
      <c r="D6" s="1135"/>
      <c r="E6" s="1135"/>
      <c r="F6" s="1135"/>
      <c r="G6" s="1135"/>
      <c r="H6" s="1136"/>
      <c r="J6" s="1134" t="str">
        <f>C6</f>
        <v>One-family house, existing and new building</v>
      </c>
      <c r="K6" s="1135"/>
      <c r="L6" s="1135"/>
      <c r="M6" s="1135"/>
      <c r="N6" s="1135"/>
      <c r="O6" s="1136"/>
    </row>
    <row r="7" spans="2:24" ht="16" thickBot="1">
      <c r="B7" s="1"/>
      <c r="C7" s="80">
        <v>2015</v>
      </c>
      <c r="D7" s="80">
        <v>2020</v>
      </c>
      <c r="E7" s="80">
        <v>2030</v>
      </c>
      <c r="F7" s="80">
        <v>2050</v>
      </c>
      <c r="G7" s="80" t="s">
        <v>2</v>
      </c>
      <c r="H7" s="80" t="s">
        <v>3</v>
      </c>
      <c r="J7" s="53" t="s">
        <v>357</v>
      </c>
    </row>
    <row r="8" spans="2:24" ht="31" thickBot="1">
      <c r="B8" s="127" t="s">
        <v>4</v>
      </c>
      <c r="C8" s="128"/>
      <c r="D8" s="128"/>
      <c r="E8" s="128"/>
      <c r="F8" s="128"/>
      <c r="G8" s="128"/>
      <c r="H8" s="129"/>
      <c r="J8" s="46" t="s">
        <v>335</v>
      </c>
      <c r="K8" s="46" t="s">
        <v>336</v>
      </c>
      <c r="L8" s="47" t="s">
        <v>337</v>
      </c>
      <c r="M8" s="47" t="s">
        <v>338</v>
      </c>
      <c r="N8" s="47" t="s">
        <v>339</v>
      </c>
      <c r="O8" s="48" t="s">
        <v>340</v>
      </c>
      <c r="P8" s="49" t="s">
        <v>341</v>
      </c>
      <c r="Q8" s="49" t="s">
        <v>342</v>
      </c>
      <c r="R8" s="49" t="s">
        <v>343</v>
      </c>
      <c r="S8" s="49" t="s">
        <v>344</v>
      </c>
      <c r="T8" s="49" t="s">
        <v>345</v>
      </c>
      <c r="U8" s="49" t="s">
        <v>346</v>
      </c>
      <c r="V8" s="49" t="s">
        <v>347</v>
      </c>
      <c r="W8" s="49" t="s">
        <v>348</v>
      </c>
      <c r="X8" s="49" t="s">
        <v>349</v>
      </c>
    </row>
    <row r="9" spans="2:24" ht="16" thickBot="1">
      <c r="B9" s="125" t="s">
        <v>5</v>
      </c>
      <c r="C9" s="138" t="s">
        <v>277</v>
      </c>
      <c r="D9" s="138" t="s">
        <v>278</v>
      </c>
      <c r="E9" s="138" t="s">
        <v>279</v>
      </c>
      <c r="F9" s="138" t="s">
        <v>280</v>
      </c>
      <c r="G9" s="132"/>
      <c r="H9" s="132"/>
      <c r="J9" s="50"/>
      <c r="K9" s="50"/>
      <c r="L9" s="51"/>
      <c r="M9" s="51"/>
      <c r="N9" s="51"/>
      <c r="O9" s="52"/>
      <c r="P9" s="50"/>
      <c r="Q9" s="50"/>
      <c r="R9" s="50"/>
      <c r="S9" s="50"/>
      <c r="T9" s="50"/>
      <c r="U9" s="50"/>
      <c r="V9" s="50"/>
      <c r="W9" s="50"/>
      <c r="X9" s="50"/>
    </row>
    <row r="10" spans="2:24" ht="81" thickBot="1">
      <c r="B10" s="125" t="s">
        <v>7</v>
      </c>
      <c r="C10" s="132">
        <v>100</v>
      </c>
      <c r="D10" s="132">
        <v>100</v>
      </c>
      <c r="E10" s="132">
        <v>100</v>
      </c>
      <c r="F10" s="132">
        <v>100</v>
      </c>
      <c r="G10" s="132"/>
      <c r="H10" s="132"/>
      <c r="I10" s="74" t="str">
        <f>B12</f>
        <v>Total efficiency, annual average, net (%)</v>
      </c>
      <c r="J10" s="56"/>
      <c r="K10" s="56"/>
      <c r="L10" s="57"/>
      <c r="M10" s="57"/>
      <c r="N10" s="57"/>
      <c r="O10" s="56" t="s">
        <v>350</v>
      </c>
      <c r="P10" s="56" t="s">
        <v>326</v>
      </c>
      <c r="Q10" s="56" t="s">
        <v>327</v>
      </c>
      <c r="R10" s="56" t="s">
        <v>351</v>
      </c>
      <c r="S10" s="56" t="s">
        <v>351</v>
      </c>
      <c r="T10" s="56" t="s">
        <v>352</v>
      </c>
      <c r="U10" s="56" t="s">
        <v>352</v>
      </c>
      <c r="V10" s="56" t="s">
        <v>352</v>
      </c>
      <c r="W10" s="56" t="s">
        <v>352</v>
      </c>
      <c r="X10" s="56" t="s">
        <v>352</v>
      </c>
    </row>
    <row r="11" spans="2:24" ht="28" thickBot="1">
      <c r="B11" s="125" t="s">
        <v>8</v>
      </c>
      <c r="C11" s="132">
        <v>100</v>
      </c>
      <c r="D11" s="132">
        <v>100</v>
      </c>
      <c r="E11" s="132">
        <v>100</v>
      </c>
      <c r="F11" s="132">
        <v>100</v>
      </c>
      <c r="G11" s="132"/>
      <c r="H11" s="132"/>
    </row>
    <row r="12" spans="2:24" ht="16" thickBot="1">
      <c r="B12" s="125" t="s">
        <v>9</v>
      </c>
      <c r="C12" s="132" t="s">
        <v>39</v>
      </c>
      <c r="D12" s="132" t="s">
        <v>39</v>
      </c>
      <c r="E12" s="132" t="s">
        <v>39</v>
      </c>
      <c r="F12" s="132" t="s">
        <v>39</v>
      </c>
      <c r="G12" s="132" t="s">
        <v>6</v>
      </c>
      <c r="H12" s="132">
        <v>1</v>
      </c>
      <c r="I12" s="71">
        <f>102</f>
        <v>102</v>
      </c>
      <c r="J12" s="58">
        <f>C7</f>
        <v>2015</v>
      </c>
      <c r="K12" s="58">
        <f>J12</f>
        <v>2015</v>
      </c>
      <c r="L12" s="58">
        <f>I12/100</f>
        <v>1.02</v>
      </c>
      <c r="M12" s="58"/>
      <c r="N12" s="58">
        <f>C14</f>
        <v>22</v>
      </c>
      <c r="O12" s="59">
        <f>C29</f>
        <v>2980.0000000000005</v>
      </c>
      <c r="P12" s="59">
        <f>C31</f>
        <v>100.575</v>
      </c>
      <c r="Q12" s="59">
        <f>C32</f>
        <v>14.9</v>
      </c>
      <c r="R12" s="58"/>
      <c r="S12" s="58"/>
      <c r="T12" s="58">
        <f>C16</f>
        <v>0</v>
      </c>
      <c r="U12" s="78">
        <f>C17</f>
        <v>20</v>
      </c>
      <c r="V12" s="78">
        <f>C18</f>
        <v>2</v>
      </c>
      <c r="W12" s="78">
        <f>C19</f>
        <v>0</v>
      </c>
      <c r="X12" s="78">
        <f>C20</f>
        <v>0</v>
      </c>
    </row>
    <row r="13" spans="2:24" ht="16" thickBot="1">
      <c r="B13" s="125" t="s">
        <v>40</v>
      </c>
      <c r="C13" s="132" t="s">
        <v>41</v>
      </c>
      <c r="D13" s="132" t="s">
        <v>42</v>
      </c>
      <c r="E13" s="132" t="s">
        <v>43</v>
      </c>
      <c r="F13" s="132" t="s">
        <v>44</v>
      </c>
      <c r="G13" s="132"/>
      <c r="H13" s="132"/>
      <c r="I13" s="71">
        <f>102</f>
        <v>102</v>
      </c>
      <c r="J13" s="58">
        <f>D7</f>
        <v>2020</v>
      </c>
      <c r="K13" s="58"/>
      <c r="L13" s="58">
        <f>I13/100</f>
        <v>1.02</v>
      </c>
      <c r="M13" s="58"/>
      <c r="N13" s="58">
        <f>D14</f>
        <v>22</v>
      </c>
      <c r="O13" s="59">
        <f>D29</f>
        <v>2980.0000000000005</v>
      </c>
      <c r="P13" s="59">
        <f>D31</f>
        <v>100.575</v>
      </c>
      <c r="Q13" s="59">
        <f>D32</f>
        <v>14.9</v>
      </c>
      <c r="R13" s="58"/>
      <c r="S13" s="58"/>
      <c r="T13" s="58">
        <f>D16</f>
        <v>0</v>
      </c>
      <c r="U13" s="78">
        <f>D17</f>
        <v>10</v>
      </c>
      <c r="V13" s="78">
        <f>D18</f>
        <v>1</v>
      </c>
      <c r="W13" s="78">
        <f>D19</f>
        <v>0</v>
      </c>
      <c r="X13" s="78">
        <f>D20</f>
        <v>0</v>
      </c>
    </row>
    <row r="14" spans="2:24" ht="16" thickBot="1">
      <c r="B14" s="125" t="s">
        <v>11</v>
      </c>
      <c r="C14" s="132">
        <v>22</v>
      </c>
      <c r="D14" s="132">
        <v>22</v>
      </c>
      <c r="E14" s="132">
        <v>22</v>
      </c>
      <c r="F14" s="132">
        <v>22</v>
      </c>
      <c r="G14" s="132" t="s">
        <v>45</v>
      </c>
      <c r="H14" s="132">
        <v>2</v>
      </c>
      <c r="I14" s="71">
        <f>102</f>
        <v>102</v>
      </c>
      <c r="J14" s="58">
        <f>E7</f>
        <v>2030</v>
      </c>
      <c r="K14" s="58"/>
      <c r="L14" s="58">
        <f>I14/100</f>
        <v>1.02</v>
      </c>
      <c r="M14" s="58"/>
      <c r="N14" s="58">
        <f>E14</f>
        <v>22</v>
      </c>
      <c r="O14" s="59">
        <f>E29</f>
        <v>2980.0000000000005</v>
      </c>
      <c r="P14" s="59">
        <f>E31</f>
        <v>100.575</v>
      </c>
      <c r="Q14" s="59">
        <f>E32</f>
        <v>14.9</v>
      </c>
      <c r="R14" s="58"/>
      <c r="S14" s="58"/>
      <c r="T14" s="58">
        <f>E16</f>
        <v>0</v>
      </c>
      <c r="U14" s="78">
        <f>E17</f>
        <v>5</v>
      </c>
      <c r="V14" s="78">
        <f>E18</f>
        <v>0.5</v>
      </c>
      <c r="W14" s="78">
        <f>E19</f>
        <v>0</v>
      </c>
      <c r="X14" s="78">
        <f>E20</f>
        <v>0</v>
      </c>
    </row>
    <row r="15" spans="2:24" ht="16" thickBot="1">
      <c r="B15" s="127" t="s">
        <v>12</v>
      </c>
      <c r="C15" s="128"/>
      <c r="D15" s="128"/>
      <c r="E15" s="128"/>
      <c r="F15" s="128"/>
      <c r="G15" s="128"/>
      <c r="H15" s="129"/>
      <c r="I15" s="71">
        <f>102</f>
        <v>102</v>
      </c>
      <c r="J15" s="58">
        <f>F7</f>
        <v>2050</v>
      </c>
      <c r="K15" s="58"/>
      <c r="L15" s="58">
        <f>I15/100</f>
        <v>1.02</v>
      </c>
      <c r="M15" s="58"/>
      <c r="N15" s="58">
        <f>F14</f>
        <v>22</v>
      </c>
      <c r="O15" s="59">
        <f>F29</f>
        <v>2980.0000000000005</v>
      </c>
      <c r="P15" s="59">
        <f>F31</f>
        <v>100.575</v>
      </c>
      <c r="Q15" s="59">
        <f>F32</f>
        <v>14.9</v>
      </c>
      <c r="R15" s="58"/>
      <c r="S15" s="58"/>
      <c r="T15" s="58">
        <f>F16</f>
        <v>0</v>
      </c>
      <c r="U15" s="78">
        <f>F17</f>
        <v>5</v>
      </c>
      <c r="V15" s="78">
        <f>F18</f>
        <v>0.5</v>
      </c>
      <c r="W15" s="78">
        <f>F19</f>
        <v>0</v>
      </c>
      <c r="X15" s="78">
        <f>F20</f>
        <v>0</v>
      </c>
    </row>
    <row r="16" spans="2:24" ht="16" thickBot="1">
      <c r="B16" s="125" t="s">
        <v>13</v>
      </c>
      <c r="C16" s="35">
        <v>0</v>
      </c>
      <c r="D16" s="35">
        <v>0</v>
      </c>
      <c r="E16" s="35">
        <v>0</v>
      </c>
      <c r="F16" s="35">
        <v>0</v>
      </c>
      <c r="G16" s="126"/>
      <c r="H16" s="126">
        <v>5</v>
      </c>
    </row>
    <row r="17" spans="2:10" ht="16" thickBot="1">
      <c r="B17" s="125" t="s">
        <v>15</v>
      </c>
      <c r="C17" s="126">
        <v>20</v>
      </c>
      <c r="D17" s="126">
        <v>10</v>
      </c>
      <c r="E17" s="126">
        <v>5</v>
      </c>
      <c r="F17" s="43">
        <f>E17</f>
        <v>5</v>
      </c>
      <c r="G17" s="126" t="s">
        <v>46</v>
      </c>
      <c r="H17" s="126">
        <v>4</v>
      </c>
    </row>
    <row r="18" spans="2:10" ht="16" thickBot="1">
      <c r="B18" s="125" t="s">
        <v>17</v>
      </c>
      <c r="C18" s="126">
        <v>2</v>
      </c>
      <c r="D18" s="126">
        <v>1</v>
      </c>
      <c r="E18" s="126">
        <v>0.5</v>
      </c>
      <c r="F18" s="43">
        <f>E18</f>
        <v>0.5</v>
      </c>
      <c r="G18" s="126" t="s">
        <v>25</v>
      </c>
      <c r="H18" s="126">
        <v>5</v>
      </c>
    </row>
    <row r="19" spans="2:10" ht="16" thickBot="1">
      <c r="B19" s="125" t="s">
        <v>18</v>
      </c>
      <c r="C19" s="35">
        <v>0</v>
      </c>
      <c r="D19" s="35">
        <v>0</v>
      </c>
      <c r="E19" s="35">
        <v>0</v>
      </c>
      <c r="F19" s="35">
        <v>0</v>
      </c>
      <c r="G19" s="126"/>
      <c r="H19" s="126"/>
    </row>
    <row r="20" spans="2:10" ht="16" thickBot="1">
      <c r="B20" s="125" t="s">
        <v>19</v>
      </c>
      <c r="C20" s="35">
        <v>0</v>
      </c>
      <c r="D20" s="35">
        <v>0</v>
      </c>
      <c r="E20" s="35">
        <v>0</v>
      </c>
      <c r="F20" s="35">
        <v>0</v>
      </c>
      <c r="G20" s="126"/>
      <c r="H20" s="126"/>
      <c r="I20" s="64"/>
      <c r="J20" s="64"/>
    </row>
    <row r="21" spans="2:10" ht="16" thickBot="1">
      <c r="B21" s="3" t="s">
        <v>22</v>
      </c>
      <c r="C21" s="44" t="s">
        <v>325</v>
      </c>
      <c r="D21" s="4"/>
      <c r="E21" s="4"/>
      <c r="F21" s="4"/>
      <c r="G21" s="68" t="s">
        <v>329</v>
      </c>
      <c r="H21" s="39"/>
      <c r="I21" s="64"/>
      <c r="J21" s="64"/>
    </row>
    <row r="22" spans="2:10" ht="16" thickBot="1">
      <c r="B22" s="1" t="s">
        <v>23</v>
      </c>
      <c r="C22" s="43">
        <f>C23/$G30</f>
        <v>0.4</v>
      </c>
      <c r="D22" s="43">
        <f>D23/$G30</f>
        <v>0.4</v>
      </c>
      <c r="E22" s="43">
        <f>E23/$G30</f>
        <v>0.4</v>
      </c>
      <c r="F22" s="43">
        <f>F23/$G30</f>
        <v>0.4</v>
      </c>
      <c r="G22" s="73">
        <f>G30</f>
        <v>10</v>
      </c>
      <c r="H22" s="73" t="str">
        <f>H30</f>
        <v>kW</v>
      </c>
      <c r="I22" s="64"/>
      <c r="J22" s="64"/>
    </row>
    <row r="23" spans="2:10">
      <c r="B23" s="140" t="s">
        <v>24</v>
      </c>
      <c r="C23" s="135">
        <v>4</v>
      </c>
      <c r="D23" s="135">
        <v>4</v>
      </c>
      <c r="E23" s="135">
        <v>4</v>
      </c>
      <c r="F23" s="135">
        <v>4</v>
      </c>
      <c r="G23" s="135" t="s">
        <v>33</v>
      </c>
      <c r="H23" s="135"/>
      <c r="I23" s="64"/>
      <c r="J23" s="64"/>
    </row>
    <row r="24" spans="2:10">
      <c r="B24" s="141" t="s">
        <v>26</v>
      </c>
      <c r="C24" s="136" t="s">
        <v>47</v>
      </c>
      <c r="D24" s="136">
        <v>45</v>
      </c>
      <c r="E24" s="136">
        <v>45</v>
      </c>
      <c r="F24" s="136">
        <v>45</v>
      </c>
      <c r="G24" s="136"/>
      <c r="H24" s="136"/>
      <c r="I24" s="64"/>
      <c r="J24" s="64"/>
    </row>
    <row r="25" spans="2:10" ht="16" thickBot="1">
      <c r="B25" s="142" t="s">
        <v>28</v>
      </c>
      <c r="C25" s="137" t="s">
        <v>48</v>
      </c>
      <c r="D25" s="137">
        <v>55</v>
      </c>
      <c r="E25" s="137">
        <v>55</v>
      </c>
      <c r="F25" s="137">
        <v>55</v>
      </c>
      <c r="G25" s="137"/>
      <c r="H25" s="137"/>
      <c r="I25" s="64"/>
      <c r="J25" s="64"/>
    </row>
    <row r="26" spans="2:10" ht="27" thickBot="1">
      <c r="B26" s="142" t="s">
        <v>30</v>
      </c>
      <c r="C26" s="137">
        <v>2</v>
      </c>
      <c r="D26" s="137">
        <v>2</v>
      </c>
      <c r="E26" s="137">
        <v>2</v>
      </c>
      <c r="F26" s="137">
        <v>2</v>
      </c>
      <c r="G26" s="137" t="s">
        <v>49</v>
      </c>
      <c r="H26" s="137">
        <v>6</v>
      </c>
      <c r="I26" s="64"/>
      <c r="J26" s="64"/>
    </row>
    <row r="27" spans="2:10" ht="16" thickBot="1">
      <c r="B27" s="142" t="s">
        <v>64</v>
      </c>
      <c r="C27" s="137">
        <v>135</v>
      </c>
      <c r="D27" s="137">
        <v>135</v>
      </c>
      <c r="E27" s="137">
        <v>135</v>
      </c>
      <c r="F27" s="137">
        <v>135</v>
      </c>
      <c r="G27" s="137" t="s">
        <v>51</v>
      </c>
      <c r="H27" s="137"/>
      <c r="I27" s="64"/>
      <c r="J27" s="64"/>
    </row>
    <row r="28" spans="2:10" ht="16" thickBot="1">
      <c r="B28" s="142" t="s">
        <v>130</v>
      </c>
      <c r="C28" s="137">
        <v>100</v>
      </c>
      <c r="D28" s="137">
        <v>100</v>
      </c>
      <c r="E28" s="137">
        <v>100</v>
      </c>
      <c r="F28" s="137">
        <v>100</v>
      </c>
      <c r="G28" s="137" t="s">
        <v>52</v>
      </c>
      <c r="H28" s="137"/>
      <c r="I28" s="64"/>
      <c r="J28" s="64"/>
    </row>
    <row r="29" spans="2:10">
      <c r="B29" s="36" t="s">
        <v>353</v>
      </c>
      <c r="C29" s="42">
        <f t="shared" ref="C29:F30" si="0">C22*$G$4*1000</f>
        <v>2980.0000000000005</v>
      </c>
      <c r="D29" s="42">
        <f t="shared" si="0"/>
        <v>2980.0000000000005</v>
      </c>
      <c r="E29" s="42">
        <f t="shared" si="0"/>
        <v>2980.0000000000005</v>
      </c>
      <c r="F29" s="42">
        <f t="shared" si="0"/>
        <v>2980.0000000000005</v>
      </c>
      <c r="G29" s="63" t="s">
        <v>332</v>
      </c>
      <c r="H29" s="63"/>
      <c r="I29" s="64"/>
      <c r="J29" s="64"/>
    </row>
    <row r="30" spans="2:10">
      <c r="B30" s="36" t="s">
        <v>354</v>
      </c>
      <c r="C30" s="45">
        <f t="shared" si="0"/>
        <v>29800</v>
      </c>
      <c r="D30" s="42">
        <f t="shared" si="0"/>
        <v>29800</v>
      </c>
      <c r="E30" s="42">
        <f t="shared" si="0"/>
        <v>29800</v>
      </c>
      <c r="F30" s="42">
        <f t="shared" si="0"/>
        <v>29800</v>
      </c>
      <c r="G30" s="67">
        <v>10</v>
      </c>
      <c r="H30" s="63" t="s">
        <v>330</v>
      </c>
      <c r="I30" s="64"/>
      <c r="J30" s="64"/>
    </row>
    <row r="31" spans="2:10">
      <c r="B31" s="36" t="s">
        <v>355</v>
      </c>
      <c r="C31" s="42">
        <f>C27*$G$4/$G$30</f>
        <v>100.575</v>
      </c>
      <c r="D31" s="42">
        <f>D27*$G$4/$G$30</f>
        <v>100.575</v>
      </c>
      <c r="E31" s="42">
        <f>E27*$G$4/$G$30</f>
        <v>100.575</v>
      </c>
      <c r="F31" s="42">
        <f>F27*$G$4/$G$30</f>
        <v>100.575</v>
      </c>
      <c r="G31" s="63" t="s">
        <v>333</v>
      </c>
      <c r="H31" s="63"/>
    </row>
    <row r="32" spans="2:10" ht="16" thickBot="1">
      <c r="B32" s="36" t="s">
        <v>356</v>
      </c>
      <c r="C32" s="36">
        <f>C28*$G$4/50</f>
        <v>14.9</v>
      </c>
      <c r="D32" s="36">
        <f>D28*$G$4/50</f>
        <v>14.9</v>
      </c>
      <c r="E32" s="36">
        <f>E28*$G$4/50</f>
        <v>14.9</v>
      </c>
      <c r="F32" s="36">
        <f>F28*$G$4/50</f>
        <v>14.9</v>
      </c>
      <c r="G32" s="66"/>
      <c r="H32" s="63"/>
    </row>
    <row r="33" spans="2:24" ht="15" customHeight="1">
      <c r="B33" s="1257" t="s">
        <v>0</v>
      </c>
      <c r="C33" s="1259" t="s">
        <v>37</v>
      </c>
      <c r="D33" s="1260"/>
      <c r="E33" s="1260"/>
      <c r="F33" s="1260"/>
      <c r="G33" s="1260"/>
      <c r="H33" s="1261"/>
      <c r="J33" s="1259" t="str">
        <f>C33</f>
        <v>Natural gas boiler</v>
      </c>
      <c r="K33" s="1260"/>
      <c r="L33" s="1260"/>
      <c r="M33" s="1260"/>
      <c r="N33" s="1260"/>
      <c r="O33" s="1261"/>
    </row>
    <row r="34" spans="2:24" ht="15.75" customHeight="1" thickBot="1">
      <c r="B34" s="1258"/>
      <c r="C34" s="1134" t="s">
        <v>53</v>
      </c>
      <c r="D34" s="1135"/>
      <c r="E34" s="1135"/>
      <c r="F34" s="1135"/>
      <c r="G34" s="1135"/>
      <c r="H34" s="1136"/>
      <c r="J34" s="1134" t="str">
        <f>C34</f>
        <v>Apartment complex, existing and new building</v>
      </c>
      <c r="K34" s="1135"/>
      <c r="L34" s="1135"/>
      <c r="M34" s="1135"/>
      <c r="N34" s="1135"/>
      <c r="O34" s="1136"/>
    </row>
    <row r="35" spans="2:24" ht="16" thickBot="1">
      <c r="B35" s="1"/>
      <c r="C35" s="80">
        <v>2015</v>
      </c>
      <c r="D35" s="80">
        <v>2020</v>
      </c>
      <c r="E35" s="80">
        <v>2030</v>
      </c>
      <c r="F35" s="80">
        <v>2050</v>
      </c>
      <c r="G35" s="80" t="s">
        <v>2</v>
      </c>
      <c r="H35" s="80" t="s">
        <v>3</v>
      </c>
      <c r="J35" s="53" t="s">
        <v>357</v>
      </c>
    </row>
    <row r="36" spans="2:24" ht="31" thickBot="1">
      <c r="B36" s="127" t="s">
        <v>4</v>
      </c>
      <c r="C36" s="128"/>
      <c r="D36" s="128"/>
      <c r="E36" s="128"/>
      <c r="F36" s="128"/>
      <c r="G36" s="128"/>
      <c r="H36" s="129"/>
      <c r="J36" s="46" t="s">
        <v>335</v>
      </c>
      <c r="K36" s="46" t="s">
        <v>336</v>
      </c>
      <c r="L36" s="47" t="s">
        <v>337</v>
      </c>
      <c r="M36" s="47" t="s">
        <v>338</v>
      </c>
      <c r="N36" s="47" t="s">
        <v>339</v>
      </c>
      <c r="O36" s="48" t="s">
        <v>340</v>
      </c>
      <c r="P36" s="49" t="s">
        <v>341</v>
      </c>
      <c r="Q36" s="49" t="s">
        <v>342</v>
      </c>
      <c r="R36" s="49" t="s">
        <v>343</v>
      </c>
      <c r="S36" s="49" t="s">
        <v>344</v>
      </c>
      <c r="T36" s="49" t="s">
        <v>345</v>
      </c>
      <c r="U36" s="49" t="s">
        <v>346</v>
      </c>
      <c r="V36" s="49" t="s">
        <v>347</v>
      </c>
      <c r="W36" s="49" t="s">
        <v>348</v>
      </c>
      <c r="X36" s="49" t="s">
        <v>349</v>
      </c>
    </row>
    <row r="37" spans="2:24" ht="16" thickBot="1">
      <c r="B37" s="125" t="s">
        <v>5</v>
      </c>
      <c r="C37" s="126" t="s">
        <v>54</v>
      </c>
      <c r="D37" s="126" t="s">
        <v>54</v>
      </c>
      <c r="E37" s="126" t="s">
        <v>54</v>
      </c>
      <c r="F37" s="126" t="s">
        <v>54</v>
      </c>
      <c r="G37" s="126"/>
      <c r="H37" s="126"/>
      <c r="J37" s="50"/>
      <c r="K37" s="50"/>
      <c r="L37" s="51"/>
      <c r="M37" s="51"/>
      <c r="N37" s="51"/>
      <c r="O37" s="52"/>
      <c r="P37" s="50"/>
      <c r="Q37" s="50"/>
      <c r="R37" s="50"/>
      <c r="S37" s="50"/>
      <c r="T37" s="50"/>
      <c r="U37" s="50"/>
      <c r="V37" s="50"/>
      <c r="W37" s="50"/>
      <c r="X37" s="50"/>
    </row>
    <row r="38" spans="2:24" ht="81" thickBot="1">
      <c r="B38" s="125" t="s">
        <v>7</v>
      </c>
      <c r="C38" s="126">
        <v>100</v>
      </c>
      <c r="D38" s="126">
        <v>100</v>
      </c>
      <c r="E38" s="126">
        <v>100</v>
      </c>
      <c r="F38" s="126">
        <v>100</v>
      </c>
      <c r="G38" s="126"/>
      <c r="H38" s="126"/>
      <c r="I38" s="74" t="str">
        <f>B40</f>
        <v>Total efficiency, annual average, net (%)</v>
      </c>
      <c r="J38" s="56"/>
      <c r="K38" s="56"/>
      <c r="L38" s="57"/>
      <c r="M38" s="57"/>
      <c r="N38" s="57"/>
      <c r="O38" s="56" t="s">
        <v>350</v>
      </c>
      <c r="P38" s="56" t="s">
        <v>326</v>
      </c>
      <c r="Q38" s="56" t="s">
        <v>327</v>
      </c>
      <c r="R38" s="56" t="s">
        <v>351</v>
      </c>
      <c r="S38" s="56" t="s">
        <v>351</v>
      </c>
      <c r="T38" s="56" t="s">
        <v>352</v>
      </c>
      <c r="U38" s="56" t="s">
        <v>352</v>
      </c>
      <c r="V38" s="56" t="s">
        <v>352</v>
      </c>
      <c r="W38" s="56" t="s">
        <v>352</v>
      </c>
      <c r="X38" s="56" t="s">
        <v>352</v>
      </c>
    </row>
    <row r="39" spans="2:24" ht="28" thickBot="1">
      <c r="B39" s="125" t="s">
        <v>8</v>
      </c>
      <c r="C39" s="126">
        <v>100</v>
      </c>
      <c r="D39" s="126">
        <v>100</v>
      </c>
      <c r="E39" s="126">
        <v>100</v>
      </c>
      <c r="F39" s="126">
        <v>100</v>
      </c>
      <c r="G39" s="126"/>
      <c r="H39" s="126"/>
      <c r="I39" s="71">
        <f>102</f>
        <v>102</v>
      </c>
      <c r="J39" s="58">
        <f>C35</f>
        <v>2015</v>
      </c>
      <c r="K39" s="58">
        <f>J39</f>
        <v>2015</v>
      </c>
      <c r="L39" s="58">
        <f>I39/100</f>
        <v>1.02</v>
      </c>
      <c r="M39" s="58"/>
      <c r="N39" s="58">
        <f>C42</f>
        <v>25</v>
      </c>
      <c r="O39" s="59">
        <f>C57</f>
        <v>943.66666666666674</v>
      </c>
      <c r="P39" s="59">
        <f>C59</f>
        <v>29.8</v>
      </c>
      <c r="Q39" s="59">
        <f>C60</f>
        <v>14.9</v>
      </c>
      <c r="R39" s="58"/>
      <c r="S39" s="58"/>
      <c r="T39" s="58">
        <f>C44</f>
        <v>0</v>
      </c>
      <c r="U39" s="78">
        <f>C45</f>
        <v>20</v>
      </c>
      <c r="V39" s="78">
        <f>C46</f>
        <v>2</v>
      </c>
      <c r="W39" s="78">
        <f>C47</f>
        <v>0</v>
      </c>
      <c r="X39" s="78">
        <f>C48</f>
        <v>0</v>
      </c>
    </row>
    <row r="40" spans="2:24" ht="16" thickBot="1">
      <c r="B40" s="125" t="s">
        <v>9</v>
      </c>
      <c r="C40" s="126" t="s">
        <v>39</v>
      </c>
      <c r="D40" s="126" t="s">
        <v>39</v>
      </c>
      <c r="E40" s="126" t="s">
        <v>39</v>
      </c>
      <c r="F40" s="126" t="s">
        <v>39</v>
      </c>
      <c r="G40" s="126"/>
      <c r="H40" s="126"/>
      <c r="I40" s="71">
        <f>102</f>
        <v>102</v>
      </c>
      <c r="J40" s="58">
        <f>D35</f>
        <v>2020</v>
      </c>
      <c r="K40" s="58"/>
      <c r="L40" s="58">
        <f>I40/100</f>
        <v>1.02</v>
      </c>
      <c r="M40" s="58"/>
      <c r="N40" s="58">
        <f>D42</f>
        <v>25</v>
      </c>
      <c r="O40" s="59">
        <f>D57</f>
        <v>918.83333333333337</v>
      </c>
      <c r="P40" s="59">
        <f>D59</f>
        <v>29.8</v>
      </c>
      <c r="Q40" s="59">
        <f>D60</f>
        <v>14.9</v>
      </c>
      <c r="R40" s="58"/>
      <c r="S40" s="58"/>
      <c r="T40" s="58">
        <f>D44</f>
        <v>0</v>
      </c>
      <c r="U40" s="78">
        <f>D45</f>
        <v>10</v>
      </c>
      <c r="V40" s="78">
        <f>D46</f>
        <v>1</v>
      </c>
      <c r="W40" s="78">
        <f>D47</f>
        <v>0</v>
      </c>
      <c r="X40" s="78">
        <f>D48</f>
        <v>0</v>
      </c>
    </row>
    <row r="41" spans="2:24" ht="16" thickBot="1">
      <c r="B41" s="125" t="s">
        <v>40</v>
      </c>
      <c r="C41" s="126">
        <v>400</v>
      </c>
      <c r="D41" s="126">
        <v>300</v>
      </c>
      <c r="E41" s="126">
        <v>200</v>
      </c>
      <c r="F41" s="126">
        <v>100</v>
      </c>
      <c r="G41" s="126"/>
      <c r="H41" s="126"/>
      <c r="I41" s="71">
        <f>102</f>
        <v>102</v>
      </c>
      <c r="J41" s="58">
        <f>E35</f>
        <v>2030</v>
      </c>
      <c r="K41" s="58"/>
      <c r="L41" s="58">
        <f>I41/100</f>
        <v>1.02</v>
      </c>
      <c r="M41" s="58"/>
      <c r="N41" s="58">
        <f>E42</f>
        <v>25</v>
      </c>
      <c r="O41" s="59">
        <f>E57</f>
        <v>894.00000000000011</v>
      </c>
      <c r="P41" s="59">
        <f>E59</f>
        <v>29.8</v>
      </c>
      <c r="Q41" s="59">
        <f>E60</f>
        <v>14.9</v>
      </c>
      <c r="R41" s="58"/>
      <c r="S41" s="58"/>
      <c r="T41" s="58">
        <f>E44</f>
        <v>0</v>
      </c>
      <c r="U41" s="78">
        <f>E45</f>
        <v>5</v>
      </c>
      <c r="V41" s="78">
        <f>E46</f>
        <v>0.5</v>
      </c>
      <c r="W41" s="78">
        <f>E47</f>
        <v>0</v>
      </c>
      <c r="X41" s="78">
        <f>E48</f>
        <v>0</v>
      </c>
    </row>
    <row r="42" spans="2:24" ht="16" thickBot="1">
      <c r="B42" s="125" t="s">
        <v>11</v>
      </c>
      <c r="C42" s="126">
        <v>25</v>
      </c>
      <c r="D42" s="126">
        <v>25</v>
      </c>
      <c r="E42" s="126">
        <v>25</v>
      </c>
      <c r="F42" s="126">
        <v>25</v>
      </c>
      <c r="G42" s="126"/>
      <c r="H42" s="126"/>
      <c r="I42" s="71">
        <f>102</f>
        <v>102</v>
      </c>
      <c r="J42" s="58">
        <f>F35</f>
        <v>2050</v>
      </c>
      <c r="K42" s="58"/>
      <c r="L42" s="58">
        <f>I42/100</f>
        <v>1.02</v>
      </c>
      <c r="M42" s="58"/>
      <c r="N42" s="58">
        <f>F42</f>
        <v>25</v>
      </c>
      <c r="O42" s="59">
        <f>F57</f>
        <v>894.00000000000011</v>
      </c>
      <c r="P42" s="59">
        <f>F59</f>
        <v>29.8</v>
      </c>
      <c r="Q42" s="59">
        <f>F60</f>
        <v>14.9</v>
      </c>
      <c r="R42" s="58"/>
      <c r="S42" s="58"/>
      <c r="T42" s="58">
        <f>F44</f>
        <v>0</v>
      </c>
      <c r="U42" s="78">
        <f>F45</f>
        <v>5</v>
      </c>
      <c r="V42" s="78">
        <f>F46</f>
        <v>0.5</v>
      </c>
      <c r="W42" s="78">
        <f>F47</f>
        <v>0</v>
      </c>
      <c r="X42" s="78">
        <f>F48</f>
        <v>0</v>
      </c>
    </row>
    <row r="43" spans="2:24" ht="16" thickBot="1">
      <c r="B43" s="127" t="s">
        <v>12</v>
      </c>
      <c r="C43" s="128"/>
      <c r="D43" s="128"/>
      <c r="E43" s="128"/>
      <c r="F43" s="128"/>
      <c r="G43" s="128"/>
      <c r="H43" s="129"/>
    </row>
    <row r="44" spans="2:24" ht="16" thickBot="1">
      <c r="B44" s="125" t="s">
        <v>13</v>
      </c>
      <c r="C44" s="35">
        <v>0</v>
      </c>
      <c r="D44" s="35">
        <v>0</v>
      </c>
      <c r="E44" s="35">
        <v>0</v>
      </c>
      <c r="F44" s="35">
        <v>0</v>
      </c>
      <c r="G44" s="126"/>
      <c r="H44" s="126"/>
    </row>
    <row r="45" spans="2:24" ht="16" thickBot="1">
      <c r="B45" s="125" t="s">
        <v>15</v>
      </c>
      <c r="C45" s="126">
        <v>20</v>
      </c>
      <c r="D45" s="126">
        <v>10</v>
      </c>
      <c r="E45" s="126">
        <v>5</v>
      </c>
      <c r="F45" s="126">
        <v>5</v>
      </c>
      <c r="G45" s="126"/>
      <c r="H45" s="126"/>
    </row>
    <row r="46" spans="2:24" ht="16" thickBot="1">
      <c r="B46" s="125" t="s">
        <v>17</v>
      </c>
      <c r="C46" s="126">
        <v>2</v>
      </c>
      <c r="D46" s="126">
        <v>1</v>
      </c>
      <c r="E46" s="126">
        <v>0.5</v>
      </c>
      <c r="F46" s="126">
        <v>0.5</v>
      </c>
      <c r="G46" s="126"/>
      <c r="H46" s="126"/>
    </row>
    <row r="47" spans="2:24" ht="16" thickBot="1">
      <c r="B47" s="125" t="s">
        <v>18</v>
      </c>
      <c r="C47" s="35">
        <v>0</v>
      </c>
      <c r="D47" s="35">
        <v>0</v>
      </c>
      <c r="E47" s="35">
        <v>0</v>
      </c>
      <c r="F47" s="35">
        <v>0</v>
      </c>
      <c r="G47" s="126"/>
      <c r="H47" s="126"/>
    </row>
    <row r="48" spans="2:24" ht="16" thickBot="1">
      <c r="B48" s="125" t="s">
        <v>19</v>
      </c>
      <c r="C48" s="35">
        <v>0</v>
      </c>
      <c r="D48" s="35">
        <v>0</v>
      </c>
      <c r="E48" s="35">
        <v>0</v>
      </c>
      <c r="F48" s="35">
        <v>0</v>
      </c>
      <c r="G48" s="126"/>
      <c r="H48" s="126"/>
    </row>
    <row r="49" spans="2:13" ht="16" thickBot="1">
      <c r="B49" s="3" t="s">
        <v>22</v>
      </c>
      <c r="C49" s="4"/>
      <c r="D49" s="4"/>
      <c r="E49" s="4"/>
      <c r="F49" s="4"/>
      <c r="G49" s="68" t="s">
        <v>329</v>
      </c>
      <c r="H49" s="39"/>
      <c r="I49" s="64"/>
      <c r="J49" s="64"/>
      <c r="K49" s="64"/>
      <c r="L49" s="64">
        <f>35/750</f>
        <v>4.6666666666666669E-2</v>
      </c>
    </row>
    <row r="50" spans="2:13" ht="16" thickBot="1">
      <c r="B50" s="1" t="s">
        <v>23</v>
      </c>
      <c r="C50" s="41">
        <f>(4/20+40/750)/2</f>
        <v>0.12666666666666668</v>
      </c>
      <c r="D50" s="41">
        <f>(4/20+35/750)/2</f>
        <v>0.12333333333333334</v>
      </c>
      <c r="E50" s="41">
        <f>(4/20+30/750)/2</f>
        <v>0.12000000000000001</v>
      </c>
      <c r="F50" s="41">
        <f>(4/20+30/750)/2</f>
        <v>0.12000000000000001</v>
      </c>
      <c r="G50" s="73">
        <f>G58</f>
        <v>500</v>
      </c>
      <c r="H50" s="73" t="str">
        <f>H58</f>
        <v>kW</v>
      </c>
      <c r="I50" s="64"/>
      <c r="J50" s="64"/>
      <c r="K50" s="64"/>
      <c r="L50" s="64">
        <f>4/20</f>
        <v>0.2</v>
      </c>
      <c r="M50">
        <f>L50/L49</f>
        <v>4.2857142857142856</v>
      </c>
    </row>
    <row r="51" spans="2:13">
      <c r="B51" s="130" t="s">
        <v>24</v>
      </c>
      <c r="C51" s="139" t="s">
        <v>281</v>
      </c>
      <c r="D51" s="139" t="s">
        <v>282</v>
      </c>
      <c r="E51" s="139" t="s">
        <v>283</v>
      </c>
      <c r="F51" s="139" t="s">
        <v>283</v>
      </c>
      <c r="G51" s="131" t="s">
        <v>55</v>
      </c>
      <c r="H51" s="131"/>
      <c r="I51" s="64"/>
      <c r="J51" s="64"/>
      <c r="K51" s="64"/>
      <c r="L51" s="64"/>
    </row>
    <row r="52" spans="2:13">
      <c r="B52" s="130" t="s">
        <v>26</v>
      </c>
      <c r="C52" s="131" t="s">
        <v>56</v>
      </c>
      <c r="D52" s="131" t="s">
        <v>56</v>
      </c>
      <c r="E52" s="131" t="s">
        <v>56</v>
      </c>
      <c r="F52" s="131" t="s">
        <v>56</v>
      </c>
      <c r="G52" s="131"/>
      <c r="H52" s="131"/>
      <c r="I52" s="64"/>
      <c r="J52" s="64"/>
      <c r="K52" s="64"/>
      <c r="L52" s="64"/>
    </row>
    <row r="53" spans="2:13" ht="16" thickBot="1">
      <c r="B53" s="125" t="s">
        <v>28</v>
      </c>
      <c r="C53" s="126" t="s">
        <v>57</v>
      </c>
      <c r="D53" s="126" t="s">
        <v>57</v>
      </c>
      <c r="E53" s="126" t="s">
        <v>57</v>
      </c>
      <c r="F53" s="126" t="s">
        <v>57</v>
      </c>
      <c r="G53" s="126"/>
      <c r="H53" s="126"/>
      <c r="I53" s="64"/>
      <c r="J53" s="64"/>
      <c r="K53" s="64"/>
      <c r="L53" s="64"/>
    </row>
    <row r="54" spans="2:13" ht="28" thickBot="1">
      <c r="B54" s="125" t="s">
        <v>30</v>
      </c>
      <c r="C54" s="126">
        <v>2</v>
      </c>
      <c r="D54" s="126">
        <v>2</v>
      </c>
      <c r="E54" s="126">
        <v>2</v>
      </c>
      <c r="F54" s="126">
        <v>2</v>
      </c>
      <c r="G54" s="126" t="s">
        <v>49</v>
      </c>
      <c r="H54" s="126">
        <v>6</v>
      </c>
      <c r="I54" s="64"/>
      <c r="J54" s="64"/>
      <c r="K54" s="64"/>
      <c r="L54" s="64"/>
    </row>
    <row r="55" spans="2:13" ht="16" thickBot="1">
      <c r="B55" s="125" t="s">
        <v>50</v>
      </c>
      <c r="C55" s="126">
        <v>4</v>
      </c>
      <c r="D55" s="126">
        <v>4</v>
      </c>
      <c r="E55" s="126">
        <v>4</v>
      </c>
      <c r="F55" s="126">
        <v>4</v>
      </c>
      <c r="G55" s="126"/>
      <c r="H55" s="126"/>
      <c r="I55" s="64"/>
      <c r="J55" s="64"/>
      <c r="K55" s="64"/>
      <c r="L55" s="64"/>
    </row>
    <row r="56" spans="2:13" ht="16" thickBot="1">
      <c r="B56" s="125" t="s">
        <v>31</v>
      </c>
      <c r="C56" s="126">
        <v>2</v>
      </c>
      <c r="D56" s="126">
        <v>2</v>
      </c>
      <c r="E56" s="126">
        <v>2</v>
      </c>
      <c r="F56" s="126">
        <v>2</v>
      </c>
      <c r="G56" s="126"/>
      <c r="H56" s="126"/>
      <c r="I56" s="64"/>
      <c r="J56" s="64"/>
      <c r="K56" s="64"/>
      <c r="L56" s="64"/>
    </row>
    <row r="57" spans="2:13">
      <c r="B57" s="36" t="s">
        <v>353</v>
      </c>
      <c r="C57" s="42">
        <f>C50*$G$4*1000</f>
        <v>943.66666666666674</v>
      </c>
      <c r="D57" s="42">
        <f>D50*$G$4*1000</f>
        <v>918.83333333333337</v>
      </c>
      <c r="E57" s="42">
        <f>E50*$G$4*1000</f>
        <v>894.00000000000011</v>
      </c>
      <c r="F57" s="42">
        <f>F50*$G$4*1000</f>
        <v>894.00000000000011</v>
      </c>
      <c r="G57" s="63" t="s">
        <v>332</v>
      </c>
      <c r="H57" s="63"/>
      <c r="I57" s="64"/>
      <c r="J57" s="64"/>
      <c r="K57" s="64"/>
      <c r="L57" s="64"/>
    </row>
    <row r="58" spans="2:13">
      <c r="B58" s="36" t="s">
        <v>354</v>
      </c>
      <c r="C58" s="42">
        <f>C57*$G58</f>
        <v>471833.33333333337</v>
      </c>
      <c r="D58" s="42">
        <f>D57*$G58</f>
        <v>459416.66666666669</v>
      </c>
      <c r="E58" s="42">
        <f>E57*$G58</f>
        <v>447000.00000000006</v>
      </c>
      <c r="F58" s="42">
        <f>F57*$G58</f>
        <v>447000.00000000006</v>
      </c>
      <c r="G58" s="67">
        <v>500</v>
      </c>
      <c r="H58" s="63" t="s">
        <v>330</v>
      </c>
      <c r="I58" s="64"/>
      <c r="J58" s="64"/>
      <c r="K58" s="64"/>
      <c r="L58" s="64"/>
    </row>
    <row r="59" spans="2:13">
      <c r="B59" s="36" t="s">
        <v>355</v>
      </c>
      <c r="C59" s="36">
        <f t="shared" ref="C59:F60" si="1">C55*$G$4</f>
        <v>29.8</v>
      </c>
      <c r="D59" s="36">
        <f t="shared" si="1"/>
        <v>29.8</v>
      </c>
      <c r="E59" s="36">
        <f t="shared" si="1"/>
        <v>29.8</v>
      </c>
      <c r="F59" s="36">
        <f t="shared" si="1"/>
        <v>29.8</v>
      </c>
      <c r="G59" s="63" t="s">
        <v>333</v>
      </c>
      <c r="H59" s="63"/>
      <c r="I59" s="64"/>
      <c r="J59" s="64"/>
      <c r="K59" s="64"/>
      <c r="L59" s="64"/>
    </row>
    <row r="60" spans="2:13" ht="16" thickBot="1">
      <c r="B60" s="36" t="s">
        <v>356</v>
      </c>
      <c r="C60" s="36">
        <f t="shared" si="1"/>
        <v>14.9</v>
      </c>
      <c r="D60" s="36">
        <f t="shared" si="1"/>
        <v>14.9</v>
      </c>
      <c r="E60" s="36">
        <f t="shared" si="1"/>
        <v>14.9</v>
      </c>
      <c r="F60" s="36">
        <f t="shared" si="1"/>
        <v>14.9</v>
      </c>
      <c r="G60" s="66"/>
      <c r="H60" s="63"/>
      <c r="I60" s="64"/>
      <c r="J60" s="64"/>
      <c r="K60" s="64"/>
      <c r="L60" s="64"/>
    </row>
    <row r="61" spans="2:13">
      <c r="I61" s="64"/>
      <c r="J61" s="64"/>
      <c r="K61" s="64"/>
      <c r="L61" s="64"/>
    </row>
    <row r="62" spans="2:13">
      <c r="I62" s="64"/>
      <c r="J62" s="64"/>
      <c r="K62" s="64"/>
      <c r="L62" s="64"/>
    </row>
    <row r="156" spans="7:7">
      <c r="G156" s="263" t="s">
        <v>620</v>
      </c>
    </row>
  </sheetData>
  <mergeCells count="10">
    <mergeCell ref="J5:O5"/>
    <mergeCell ref="J6:O6"/>
    <mergeCell ref="J33:O33"/>
    <mergeCell ref="J34:O34"/>
    <mergeCell ref="B5:B6"/>
    <mergeCell ref="C5:H5"/>
    <mergeCell ref="C6:H6"/>
    <mergeCell ref="C33:H33"/>
    <mergeCell ref="B33:B34"/>
    <mergeCell ref="C34:H34"/>
  </mergeCells>
  <pageMargins left="0.7" right="0.7" top="0.75" bottom="0.75" header="0.3" footer="0.3"/>
  <pageSetup paperSize="9" orientation="portrait"/>
  <legacyDrawing r:id="rId1"/>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7">
    <tabColor theme="4"/>
  </sheetPr>
  <dimension ref="B1:X156"/>
  <sheetViews>
    <sheetView workbookViewId="0">
      <selection activeCell="M27" sqref="M27"/>
    </sheetView>
  </sheetViews>
  <sheetFormatPr baseColWidth="10" defaultColWidth="9.1640625" defaultRowHeight="15"/>
  <cols>
    <col min="1" max="1" width="9.1640625" style="224"/>
    <col min="2" max="2" width="40.83203125" style="224" customWidth="1"/>
    <col min="3" max="3" width="18.1640625" style="224" customWidth="1"/>
    <col min="4" max="5" width="11.5" style="224" bestFit="1" customWidth="1"/>
    <col min="6" max="6" width="12.83203125" style="224" bestFit="1" customWidth="1"/>
    <col min="7" max="8" width="9.1640625" style="224"/>
    <col min="9" max="9" width="7.5" style="224" customWidth="1"/>
    <col min="10" max="16384" width="9.1640625" style="224"/>
  </cols>
  <sheetData>
    <row r="1" spans="2:24">
      <c r="B1" s="229" t="s">
        <v>480</v>
      </c>
    </row>
    <row r="2" spans="2:24">
      <c r="B2" s="8" t="s">
        <v>481</v>
      </c>
    </row>
    <row r="3" spans="2:24">
      <c r="B3" s="8"/>
    </row>
    <row r="4" spans="2:24">
      <c r="E4" s="224" t="s">
        <v>358</v>
      </c>
      <c r="G4" s="36">
        <v>7.45</v>
      </c>
      <c r="H4" s="224" t="s">
        <v>328</v>
      </c>
    </row>
    <row r="5" spans="2:24" ht="16" thickBot="1"/>
    <row r="6" spans="2:24">
      <c r="B6" s="1268" t="s">
        <v>0</v>
      </c>
      <c r="C6" s="1269" t="s">
        <v>482</v>
      </c>
      <c r="D6" s="1270"/>
      <c r="E6" s="1270"/>
      <c r="F6" s="1270"/>
      <c r="G6" s="1270"/>
      <c r="H6" s="1271"/>
      <c r="J6" s="1259" t="str">
        <f>C6</f>
        <v>District Heating Boiler, Wood Chips</v>
      </c>
      <c r="K6" s="1260"/>
      <c r="L6" s="1260"/>
      <c r="M6" s="1260"/>
      <c r="N6" s="1260"/>
      <c r="O6" s="1261"/>
    </row>
    <row r="7" spans="2:24" ht="16" thickBot="1">
      <c r="B7" s="1268"/>
      <c r="C7" s="1272"/>
      <c r="D7" s="1273"/>
      <c r="E7" s="1273"/>
      <c r="F7" s="1273"/>
      <c r="G7" s="1273"/>
      <c r="H7" s="1274"/>
      <c r="J7" s="1134"/>
      <c r="K7" s="1135"/>
      <c r="L7" s="1135"/>
      <c r="M7" s="1135"/>
      <c r="N7" s="1135"/>
      <c r="O7" s="1136"/>
    </row>
    <row r="8" spans="2:24">
      <c r="B8" s="233"/>
      <c r="C8" s="234">
        <v>2015</v>
      </c>
      <c r="D8" s="234">
        <v>2020</v>
      </c>
      <c r="E8" s="234">
        <v>2030</v>
      </c>
      <c r="F8" s="234">
        <v>2050</v>
      </c>
      <c r="G8" s="234" t="s">
        <v>2</v>
      </c>
      <c r="H8" s="234" t="s">
        <v>3</v>
      </c>
      <c r="J8" s="53" t="s">
        <v>357</v>
      </c>
    </row>
    <row r="9" spans="2:24" ht="30">
      <c r="B9" s="235" t="s">
        <v>4</v>
      </c>
      <c r="C9" s="230"/>
      <c r="D9" s="230"/>
      <c r="E9" s="230"/>
      <c r="F9" s="230"/>
      <c r="G9" s="230"/>
      <c r="H9" s="236"/>
      <c r="J9" s="46" t="s">
        <v>335</v>
      </c>
      <c r="K9" s="46" t="s">
        <v>336</v>
      </c>
      <c r="L9" s="47" t="s">
        <v>337</v>
      </c>
      <c r="M9" s="47" t="s">
        <v>338</v>
      </c>
      <c r="N9" s="47" t="s">
        <v>339</v>
      </c>
      <c r="O9" s="48" t="s">
        <v>340</v>
      </c>
      <c r="P9" s="49" t="s">
        <v>341</v>
      </c>
      <c r="Q9" s="49" t="s">
        <v>342</v>
      </c>
      <c r="R9" s="49" t="s">
        <v>343</v>
      </c>
      <c r="S9" s="49" t="s">
        <v>344</v>
      </c>
      <c r="T9" s="49" t="s">
        <v>345</v>
      </c>
      <c r="U9" s="49" t="s">
        <v>346</v>
      </c>
      <c r="V9" s="49" t="s">
        <v>347</v>
      </c>
      <c r="W9" s="49" t="s">
        <v>348</v>
      </c>
      <c r="X9" s="49" t="s">
        <v>349</v>
      </c>
    </row>
    <row r="10" spans="2:24" ht="16" thickBot="1">
      <c r="B10" s="233" t="s">
        <v>483</v>
      </c>
      <c r="C10" s="237" t="s">
        <v>487</v>
      </c>
      <c r="D10" s="237" t="s">
        <v>487</v>
      </c>
      <c r="E10" s="237" t="s">
        <v>487</v>
      </c>
      <c r="F10" s="237" t="s">
        <v>487</v>
      </c>
      <c r="G10" s="238"/>
      <c r="H10" s="238" t="s">
        <v>488</v>
      </c>
      <c r="J10" s="50"/>
      <c r="K10" s="50"/>
      <c r="L10" s="51"/>
      <c r="M10" s="51"/>
      <c r="N10" s="51"/>
      <c r="O10" s="52"/>
      <c r="P10" s="50"/>
      <c r="Q10" s="50"/>
      <c r="R10" s="50"/>
      <c r="S10" s="50"/>
      <c r="T10" s="50"/>
      <c r="U10" s="50"/>
      <c r="V10" s="50"/>
      <c r="W10" s="50"/>
      <c r="X10" s="50"/>
    </row>
    <row r="11" spans="2:24">
      <c r="B11" s="233" t="s">
        <v>363</v>
      </c>
      <c r="C11" s="232">
        <v>108</v>
      </c>
      <c r="D11" s="232">
        <v>108</v>
      </c>
      <c r="E11" s="232">
        <v>108</v>
      </c>
      <c r="F11" s="232">
        <v>108</v>
      </c>
      <c r="G11" s="232"/>
      <c r="H11" s="238" t="s">
        <v>488</v>
      </c>
      <c r="J11" s="56"/>
      <c r="K11" s="56"/>
      <c r="L11" s="57"/>
      <c r="M11" s="57"/>
      <c r="N11" s="57"/>
      <c r="O11" s="56" t="s">
        <v>350</v>
      </c>
      <c r="P11" s="56" t="s">
        <v>326</v>
      </c>
      <c r="Q11" s="56" t="s">
        <v>327</v>
      </c>
      <c r="R11" s="56" t="s">
        <v>351</v>
      </c>
      <c r="S11" s="56" t="s">
        <v>351</v>
      </c>
      <c r="T11" s="56" t="s">
        <v>352</v>
      </c>
      <c r="U11" s="56" t="s">
        <v>352</v>
      </c>
      <c r="V11" s="56" t="s">
        <v>352</v>
      </c>
      <c r="W11" s="56" t="s">
        <v>352</v>
      </c>
      <c r="X11" s="56" t="s">
        <v>352</v>
      </c>
    </row>
    <row r="12" spans="2:24">
      <c r="B12" s="233" t="s">
        <v>484</v>
      </c>
      <c r="C12" s="232" t="s">
        <v>489</v>
      </c>
      <c r="D12" s="232" t="s">
        <v>489</v>
      </c>
      <c r="E12" s="232" t="s">
        <v>489</v>
      </c>
      <c r="F12" s="232" t="s">
        <v>489</v>
      </c>
      <c r="G12" s="232"/>
      <c r="H12" s="238" t="s">
        <v>86</v>
      </c>
      <c r="J12" s="58">
        <f>C8</f>
        <v>2015</v>
      </c>
      <c r="K12" s="58">
        <f>J12</f>
        <v>2015</v>
      </c>
      <c r="L12" s="58">
        <f>C11/100</f>
        <v>1.08</v>
      </c>
      <c r="M12" s="58"/>
      <c r="N12" s="58">
        <f>C13</f>
        <v>20</v>
      </c>
      <c r="O12" s="59">
        <f>C23</f>
        <v>5960.0000000000009</v>
      </c>
      <c r="P12" s="59">
        <f>C26*$D$39</f>
        <v>5.5875000000000004</v>
      </c>
      <c r="Q12" s="59">
        <f>C26*$D$40</f>
        <v>5.5875000000000004</v>
      </c>
      <c r="R12" s="58"/>
      <c r="S12" s="58"/>
      <c r="T12" s="58">
        <f>C16</f>
        <v>1.9</v>
      </c>
      <c r="U12" s="78">
        <f>C17</f>
        <v>81</v>
      </c>
      <c r="V12" s="78">
        <f>C18</f>
        <v>6.1</v>
      </c>
      <c r="W12" s="78">
        <f>C19</f>
        <v>0.8</v>
      </c>
      <c r="X12" s="78"/>
    </row>
    <row r="13" spans="2:24">
      <c r="B13" s="233" t="s">
        <v>11</v>
      </c>
      <c r="C13" s="232">
        <v>20</v>
      </c>
      <c r="D13" s="232">
        <v>20</v>
      </c>
      <c r="E13" s="232">
        <v>20</v>
      </c>
      <c r="F13" s="232">
        <v>20</v>
      </c>
      <c r="G13" s="232"/>
      <c r="H13" s="238" t="s">
        <v>488</v>
      </c>
      <c r="J13" s="58">
        <f>D8</f>
        <v>2020</v>
      </c>
      <c r="K13" s="58"/>
      <c r="L13" s="58">
        <f>D11/100</f>
        <v>1.08</v>
      </c>
      <c r="M13" s="58"/>
      <c r="N13" s="58">
        <f>D13</f>
        <v>20</v>
      </c>
      <c r="O13" s="59">
        <f>D23</f>
        <v>5960.0000000000009</v>
      </c>
      <c r="P13" s="59">
        <f>D26*D$39</f>
        <v>5.5875000000000004</v>
      </c>
      <c r="Q13" s="59">
        <f>D26*$D$40</f>
        <v>5.5875000000000004</v>
      </c>
      <c r="R13" s="58"/>
      <c r="S13" s="58"/>
      <c r="T13" s="58">
        <f>D16</f>
        <v>1.9</v>
      </c>
      <c r="U13" s="78">
        <f>D17</f>
        <v>81</v>
      </c>
      <c r="V13" s="78">
        <f>D18</f>
        <v>6.1</v>
      </c>
      <c r="W13" s="78">
        <f>D19</f>
        <v>0.8</v>
      </c>
      <c r="X13" s="78"/>
    </row>
    <row r="14" spans="2:24">
      <c r="B14" s="233" t="s">
        <v>273</v>
      </c>
      <c r="C14" s="232" t="s">
        <v>490</v>
      </c>
      <c r="D14" s="232" t="s">
        <v>490</v>
      </c>
      <c r="E14" s="232" t="s">
        <v>490</v>
      </c>
      <c r="F14" s="232" t="s">
        <v>490</v>
      </c>
      <c r="G14" s="232"/>
      <c r="H14" s="238" t="s">
        <v>86</v>
      </c>
      <c r="J14" s="58">
        <f>E8</f>
        <v>2030</v>
      </c>
      <c r="K14" s="58"/>
      <c r="L14" s="58">
        <f>E11/100</f>
        <v>1.08</v>
      </c>
      <c r="M14" s="58"/>
      <c r="N14" s="58">
        <f>E13</f>
        <v>20</v>
      </c>
      <c r="O14" s="59">
        <f>E23</f>
        <v>5960.0000000000009</v>
      </c>
      <c r="P14" s="59">
        <f>E26*$D$39</f>
        <v>5.5875000000000004</v>
      </c>
      <c r="Q14" s="59">
        <f>E26*$D$40</f>
        <v>5.5875000000000004</v>
      </c>
      <c r="R14" s="58"/>
      <c r="S14" s="58"/>
      <c r="T14" s="58">
        <f>E16</f>
        <v>1.9</v>
      </c>
      <c r="U14" s="78">
        <f>E17</f>
        <v>81</v>
      </c>
      <c r="V14" s="78">
        <f>E18</f>
        <v>6.1</v>
      </c>
      <c r="W14" s="78">
        <f>E19</f>
        <v>0.8</v>
      </c>
      <c r="X14" s="78"/>
    </row>
    <row r="15" spans="2:24">
      <c r="B15" s="239" t="s">
        <v>12</v>
      </c>
      <c r="C15" s="240"/>
      <c r="D15" s="240"/>
      <c r="E15" s="240"/>
      <c r="F15" s="240"/>
      <c r="G15" s="240"/>
      <c r="H15" s="241"/>
      <c r="J15" s="58">
        <f>F8</f>
        <v>2050</v>
      </c>
      <c r="K15" s="58"/>
      <c r="L15" s="58">
        <f>F11/100</f>
        <v>1.08</v>
      </c>
      <c r="M15" s="58"/>
      <c r="N15" s="58">
        <f>F13</f>
        <v>20</v>
      </c>
      <c r="O15" s="59">
        <f>F23</f>
        <v>5960.0000000000009</v>
      </c>
      <c r="P15" s="59">
        <f>F26*$D$39</f>
        <v>5.5875000000000004</v>
      </c>
      <c r="Q15" s="59">
        <f>F26*$D$40</f>
        <v>5.5875000000000004</v>
      </c>
      <c r="R15" s="58"/>
      <c r="S15" s="58"/>
      <c r="T15" s="58">
        <f>F16</f>
        <v>1.9</v>
      </c>
      <c r="U15" s="78">
        <f>F17</f>
        <v>81</v>
      </c>
      <c r="V15" s="78">
        <f>F18</f>
        <v>6.1</v>
      </c>
      <c r="W15" s="78">
        <f>F19</f>
        <v>0.8</v>
      </c>
      <c r="X15" s="78"/>
    </row>
    <row r="16" spans="2:24">
      <c r="B16" s="233" t="s">
        <v>13</v>
      </c>
      <c r="C16" s="231">
        <v>1.9</v>
      </c>
      <c r="D16" s="231">
        <v>1.9</v>
      </c>
      <c r="E16" s="231">
        <v>1.9</v>
      </c>
      <c r="F16" s="231">
        <v>1.9</v>
      </c>
      <c r="G16" s="232"/>
      <c r="H16" s="238" t="s">
        <v>492</v>
      </c>
    </row>
    <row r="17" spans="2:15">
      <c r="B17" s="233" t="s">
        <v>15</v>
      </c>
      <c r="C17" s="232">
        <v>81</v>
      </c>
      <c r="D17" s="232">
        <v>81</v>
      </c>
      <c r="E17" s="232">
        <v>81</v>
      </c>
      <c r="F17" s="232">
        <v>81</v>
      </c>
      <c r="G17" s="232"/>
      <c r="H17" s="238" t="s">
        <v>492</v>
      </c>
    </row>
    <row r="18" spans="2:15">
      <c r="B18" s="233" t="s">
        <v>491</v>
      </c>
      <c r="C18" s="232">
        <v>6.1</v>
      </c>
      <c r="D18" s="232">
        <v>6.1</v>
      </c>
      <c r="E18" s="232">
        <v>6.1</v>
      </c>
      <c r="F18" s="232">
        <v>6.1</v>
      </c>
      <c r="G18" s="232"/>
      <c r="H18" s="238" t="s">
        <v>492</v>
      </c>
    </row>
    <row r="19" spans="2:15">
      <c r="B19" s="233" t="s">
        <v>367</v>
      </c>
      <c r="C19" s="244">
        <v>0.8</v>
      </c>
      <c r="D19" s="244">
        <v>0.8</v>
      </c>
      <c r="E19" s="244">
        <v>0.8</v>
      </c>
      <c r="F19" s="244">
        <v>0.8</v>
      </c>
      <c r="G19" s="244"/>
      <c r="H19" s="238" t="s">
        <v>492</v>
      </c>
    </row>
    <row r="20" spans="2:15">
      <c r="B20" s="243" t="s">
        <v>22</v>
      </c>
      <c r="C20" s="245"/>
      <c r="D20" s="246"/>
      <c r="E20" s="246"/>
      <c r="F20" s="246"/>
      <c r="G20" s="247"/>
      <c r="H20" s="248"/>
    </row>
    <row r="21" spans="2:15">
      <c r="B21" s="233" t="s">
        <v>485</v>
      </c>
      <c r="C21" s="249" t="s">
        <v>493</v>
      </c>
      <c r="D21" s="249" t="s">
        <v>493</v>
      </c>
      <c r="E21" s="249" t="s">
        <v>493</v>
      </c>
      <c r="F21" s="249" t="s">
        <v>493</v>
      </c>
      <c r="G21" s="250"/>
      <c r="H21" s="250">
        <v>1</v>
      </c>
      <c r="I21" s="55"/>
      <c r="J21" s="55"/>
      <c r="K21" s="55"/>
      <c r="L21" s="55"/>
      <c r="M21" s="55"/>
      <c r="N21" s="55"/>
      <c r="O21" s="55"/>
    </row>
    <row r="22" spans="2:15">
      <c r="B22" s="233" t="s">
        <v>486</v>
      </c>
      <c r="C22" s="231">
        <v>5.4</v>
      </c>
      <c r="D22" s="231">
        <v>5.4</v>
      </c>
      <c r="E22" s="231">
        <v>5.4</v>
      </c>
      <c r="F22" s="231">
        <v>5.4</v>
      </c>
      <c r="G22" s="231"/>
      <c r="H22" s="231">
        <v>1</v>
      </c>
      <c r="I22" s="242"/>
      <c r="J22" s="54"/>
      <c r="K22" s="54"/>
      <c r="L22" s="75"/>
      <c r="M22" s="75"/>
      <c r="N22" s="54"/>
      <c r="O22" s="54"/>
    </row>
    <row r="23" spans="2:15">
      <c r="B23" s="36" t="s">
        <v>353</v>
      </c>
      <c r="C23" s="42">
        <f>((1.1+0.5)/2*$G$4)*1000</f>
        <v>5960.0000000000009</v>
      </c>
      <c r="D23" s="42">
        <f>((1.1+0.5)/2*$G$4)*1000</f>
        <v>5960.0000000000009</v>
      </c>
      <c r="E23" s="42">
        <f>((1.1+0.5)/2*$G$4)*1000</f>
        <v>5960.0000000000009</v>
      </c>
      <c r="F23" s="42">
        <f>((1.1+0.5)/2*$G$4)*1000</f>
        <v>5960.0000000000009</v>
      </c>
      <c r="G23" s="63" t="s">
        <v>332</v>
      </c>
      <c r="H23" s="63"/>
    </row>
    <row r="24" spans="2:15">
      <c r="B24" s="36" t="s">
        <v>354</v>
      </c>
      <c r="C24" s="42">
        <f>C23*$G$24</f>
        <v>2980000.0000000005</v>
      </c>
      <c r="D24" s="42">
        <f>D23*$G$24</f>
        <v>2980000.0000000005</v>
      </c>
      <c r="E24" s="42">
        <f>E23*$G$24</f>
        <v>2980000.0000000005</v>
      </c>
      <c r="F24" s="42">
        <f>F23*$G$24</f>
        <v>2980000.0000000005</v>
      </c>
      <c r="G24" s="67">
        <v>500</v>
      </c>
      <c r="H24" s="63" t="s">
        <v>330</v>
      </c>
      <c r="I24" s="37"/>
    </row>
    <row r="25" spans="2:15">
      <c r="B25" s="36" t="s">
        <v>355</v>
      </c>
      <c r="C25" s="42"/>
      <c r="D25" s="42"/>
      <c r="E25" s="42"/>
      <c r="F25" s="42"/>
      <c r="G25" s="63"/>
      <c r="H25" s="63"/>
    </row>
    <row r="26" spans="2:15" ht="16" thickBot="1">
      <c r="B26" s="36" t="s">
        <v>356</v>
      </c>
      <c r="C26" s="251">
        <f>C22*$G$4/3.6</f>
        <v>11.175000000000001</v>
      </c>
      <c r="D26" s="251">
        <f>D22*$G$4/3.6</f>
        <v>11.175000000000001</v>
      </c>
      <c r="E26" s="251">
        <f>E22*$G$4/3.6</f>
        <v>11.175000000000001</v>
      </c>
      <c r="F26" s="251">
        <f>F22*$G$4/3.6</f>
        <v>11.175000000000001</v>
      </c>
      <c r="G26" s="66"/>
      <c r="H26" s="63"/>
    </row>
    <row r="30" spans="2:15">
      <c r="B30" s="224" t="s">
        <v>494</v>
      </c>
    </row>
    <row r="31" spans="2:15">
      <c r="B31" s="224" t="s">
        <v>495</v>
      </c>
    </row>
    <row r="32" spans="2:15">
      <c r="B32" s="224" t="s">
        <v>496</v>
      </c>
    </row>
    <row r="34" spans="2:4">
      <c r="B34" s="305" t="s">
        <v>630</v>
      </c>
      <c r="C34" s="303"/>
      <c r="D34" s="303"/>
    </row>
    <row r="35" spans="2:4">
      <c r="B35" s="303"/>
      <c r="C35" s="303"/>
      <c r="D35" s="303"/>
    </row>
    <row r="36" spans="2:4">
      <c r="B36" s="303" t="s">
        <v>631</v>
      </c>
      <c r="C36" s="303"/>
      <c r="D36" s="303"/>
    </row>
    <row r="37" spans="2:4">
      <c r="B37" s="303" t="s">
        <v>632</v>
      </c>
      <c r="C37" s="303"/>
      <c r="D37" s="303"/>
    </row>
    <row r="38" spans="2:4">
      <c r="B38" s="303"/>
      <c r="C38" s="303"/>
      <c r="D38" s="303"/>
    </row>
    <row r="39" spans="2:4">
      <c r="B39" s="303" t="s">
        <v>633</v>
      </c>
      <c r="C39" s="303" t="s">
        <v>634</v>
      </c>
      <c r="D39" s="304">
        <v>0.5</v>
      </c>
    </row>
    <row r="40" spans="2:4">
      <c r="B40" s="303"/>
      <c r="C40" s="303" t="s">
        <v>635</v>
      </c>
      <c r="D40" s="304">
        <f>1-D39</f>
        <v>0.5</v>
      </c>
    </row>
    <row r="156" spans="7:7">
      <c r="G156" s="263" t="s">
        <v>620</v>
      </c>
    </row>
  </sheetData>
  <mergeCells count="5">
    <mergeCell ref="B6:B7"/>
    <mergeCell ref="C6:H6"/>
    <mergeCell ref="J6:O6"/>
    <mergeCell ref="C7:H7"/>
    <mergeCell ref="J7:O7"/>
  </mergeCells>
  <pageMargins left="0.7" right="0.7" top="0.75" bottom="0.75" header="0.3" footer="0.3"/>
  <pageSetup paperSize="9" orientation="portrait"/>
  <legacyDrawing r:id="rId1"/>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8">
    <tabColor theme="4"/>
  </sheetPr>
  <dimension ref="B3:X156"/>
  <sheetViews>
    <sheetView topLeftCell="A85" workbookViewId="0">
      <selection activeCell="L46" sqref="L46"/>
    </sheetView>
  </sheetViews>
  <sheetFormatPr baseColWidth="10" defaultColWidth="8.83203125" defaultRowHeight="15"/>
  <cols>
    <col min="2" max="2" width="40.83203125" customWidth="1"/>
    <col min="3" max="3" width="18.1640625" customWidth="1"/>
    <col min="4" max="5" width="11.5" bestFit="1" customWidth="1"/>
    <col min="6" max="6" width="12.83203125" bestFit="1" customWidth="1"/>
    <col min="9" max="9" width="7.5" customWidth="1"/>
  </cols>
  <sheetData>
    <row r="3" spans="2:24">
      <c r="B3" s="8" t="s">
        <v>310</v>
      </c>
    </row>
    <row r="4" spans="2:24">
      <c r="E4" t="s">
        <v>358</v>
      </c>
      <c r="G4" s="36">
        <v>7.45</v>
      </c>
      <c r="H4" t="s">
        <v>328</v>
      </c>
    </row>
    <row r="5" spans="2:24" ht="16" thickBot="1"/>
    <row r="6" spans="2:24">
      <c r="B6" s="1257" t="s">
        <v>0</v>
      </c>
      <c r="C6" s="1259" t="s">
        <v>66</v>
      </c>
      <c r="D6" s="1260"/>
      <c r="E6" s="1260"/>
      <c r="F6" s="1260"/>
      <c r="G6" s="1260"/>
      <c r="H6" s="1261"/>
      <c r="J6" s="1259" t="str">
        <f>C6</f>
        <v>Biomass boiler, automatic stoking</v>
      </c>
      <c r="K6" s="1260"/>
      <c r="L6" s="1260"/>
      <c r="M6" s="1260"/>
      <c r="N6" s="1260"/>
      <c r="O6" s="1261"/>
    </row>
    <row r="7" spans="2:24" ht="16" thickBot="1">
      <c r="B7" s="1258"/>
      <c r="C7" s="1134" t="s">
        <v>1</v>
      </c>
      <c r="D7" s="1135"/>
      <c r="E7" s="1135"/>
      <c r="F7" s="1135"/>
      <c r="G7" s="1135"/>
      <c r="H7" s="1136"/>
      <c r="J7" s="1134" t="str">
        <f>C7</f>
        <v>One-family house, existing building</v>
      </c>
      <c r="K7" s="1135"/>
      <c r="L7" s="1135"/>
      <c r="M7" s="1135"/>
      <c r="N7" s="1135"/>
      <c r="O7" s="1136"/>
    </row>
    <row r="8" spans="2:24" ht="16" thickBot="1">
      <c r="B8" s="1"/>
      <c r="C8" s="2">
        <v>2015</v>
      </c>
      <c r="D8" s="2">
        <v>2020</v>
      </c>
      <c r="E8" s="2">
        <v>2030</v>
      </c>
      <c r="F8" s="2">
        <v>2050</v>
      </c>
      <c r="G8" s="2" t="s">
        <v>2</v>
      </c>
      <c r="H8" s="2" t="s">
        <v>3</v>
      </c>
      <c r="J8" s="53" t="s">
        <v>357</v>
      </c>
    </row>
    <row r="9" spans="2:24" ht="31" thickBot="1">
      <c r="B9" s="3" t="s">
        <v>4</v>
      </c>
      <c r="C9" s="4"/>
      <c r="D9" s="4"/>
      <c r="E9" s="4"/>
      <c r="F9" s="4"/>
      <c r="G9" s="4"/>
      <c r="H9" s="5"/>
      <c r="J9" s="46" t="s">
        <v>335</v>
      </c>
      <c r="K9" s="46" t="s">
        <v>336</v>
      </c>
      <c r="L9" s="47" t="s">
        <v>337</v>
      </c>
      <c r="M9" s="47" t="s">
        <v>338</v>
      </c>
      <c r="N9" s="47" t="s">
        <v>339</v>
      </c>
      <c r="O9" s="48" t="s">
        <v>340</v>
      </c>
      <c r="P9" s="49" t="s">
        <v>341</v>
      </c>
      <c r="Q9" s="49" t="s">
        <v>342</v>
      </c>
      <c r="R9" s="49" t="s">
        <v>343</v>
      </c>
      <c r="S9" s="49" t="s">
        <v>344</v>
      </c>
      <c r="T9" s="49" t="s">
        <v>345</v>
      </c>
      <c r="U9" s="49" t="s">
        <v>346</v>
      </c>
      <c r="V9" s="49" t="s">
        <v>347</v>
      </c>
      <c r="W9" s="49" t="s">
        <v>348</v>
      </c>
      <c r="X9" s="49" t="s">
        <v>349</v>
      </c>
    </row>
    <row r="10" spans="2:24" ht="16" thickBot="1">
      <c r="B10" s="1" t="s">
        <v>5</v>
      </c>
      <c r="C10" s="27" t="s">
        <v>284</v>
      </c>
      <c r="D10" s="27" t="s">
        <v>277</v>
      </c>
      <c r="E10" s="27" t="s">
        <v>285</v>
      </c>
      <c r="F10" s="27" t="s">
        <v>285</v>
      </c>
      <c r="G10" s="2" t="s">
        <v>6</v>
      </c>
      <c r="H10" s="2" t="s">
        <v>67</v>
      </c>
      <c r="J10" s="50"/>
      <c r="K10" s="50"/>
      <c r="L10" s="51"/>
      <c r="M10" s="51"/>
      <c r="N10" s="51"/>
      <c r="O10" s="52"/>
      <c r="P10" s="50"/>
      <c r="Q10" s="50"/>
      <c r="R10" s="50"/>
      <c r="S10" s="50"/>
      <c r="T10" s="50"/>
      <c r="U10" s="50"/>
      <c r="V10" s="50"/>
      <c r="W10" s="50"/>
      <c r="X10" s="50"/>
    </row>
    <row r="11" spans="2:24" ht="28" thickBot="1">
      <c r="B11" s="1" t="s">
        <v>7</v>
      </c>
      <c r="C11" s="2">
        <v>100</v>
      </c>
      <c r="D11" s="2">
        <v>100</v>
      </c>
      <c r="E11" s="2">
        <v>100</v>
      </c>
      <c r="F11" s="2">
        <v>100</v>
      </c>
      <c r="G11" s="2"/>
      <c r="H11" s="2"/>
      <c r="J11" s="56"/>
      <c r="K11" s="56"/>
      <c r="L11" s="57"/>
      <c r="M11" s="57"/>
      <c r="N11" s="57"/>
      <c r="O11" s="56" t="s">
        <v>350</v>
      </c>
      <c r="P11" s="56" t="s">
        <v>326</v>
      </c>
      <c r="Q11" s="56" t="s">
        <v>327</v>
      </c>
      <c r="R11" s="56" t="s">
        <v>351</v>
      </c>
      <c r="S11" s="56" t="s">
        <v>351</v>
      </c>
      <c r="T11" s="56" t="s">
        <v>352</v>
      </c>
      <c r="U11" s="56" t="s">
        <v>352</v>
      </c>
      <c r="V11" s="56" t="s">
        <v>352</v>
      </c>
      <c r="W11" s="56" t="s">
        <v>352</v>
      </c>
      <c r="X11" s="56" t="s">
        <v>352</v>
      </c>
    </row>
    <row r="12" spans="2:24" ht="28" thickBot="1">
      <c r="B12" s="1" t="s">
        <v>8</v>
      </c>
      <c r="C12" s="2">
        <v>100</v>
      </c>
      <c r="D12" s="2">
        <v>100</v>
      </c>
      <c r="E12" s="2">
        <v>100</v>
      </c>
      <c r="F12" s="2">
        <v>100</v>
      </c>
      <c r="G12" s="2"/>
      <c r="H12" s="2"/>
      <c r="J12" s="58">
        <f>C8</f>
        <v>2015</v>
      </c>
      <c r="K12" s="58">
        <f>J12</f>
        <v>2015</v>
      </c>
      <c r="L12" s="58">
        <f>C13/100</f>
        <v>0.8</v>
      </c>
      <c r="M12" s="58"/>
      <c r="N12" s="58">
        <f>C14</f>
        <v>20</v>
      </c>
      <c r="O12" s="59">
        <f>C29</f>
        <v>3600.8333333333339</v>
      </c>
      <c r="P12" s="59">
        <f>C31</f>
        <v>14.9</v>
      </c>
      <c r="Q12" s="59">
        <f>C32</f>
        <v>0</v>
      </c>
      <c r="R12" s="58"/>
      <c r="S12" s="58"/>
      <c r="T12" s="58">
        <f>C16</f>
        <v>0</v>
      </c>
      <c r="U12" s="78">
        <f>C17</f>
        <v>90</v>
      </c>
      <c r="V12" s="78">
        <f>C18</f>
        <v>3</v>
      </c>
      <c r="W12" s="78">
        <f>C19</f>
        <v>0</v>
      </c>
      <c r="X12" s="78">
        <f>C20</f>
        <v>10</v>
      </c>
    </row>
    <row r="13" spans="2:24" ht="16" thickBot="1">
      <c r="B13" s="1" t="s">
        <v>9</v>
      </c>
      <c r="C13" s="2">
        <v>80</v>
      </c>
      <c r="D13" s="2">
        <v>87</v>
      </c>
      <c r="E13" s="2">
        <v>91</v>
      </c>
      <c r="F13" s="2">
        <v>95</v>
      </c>
      <c r="G13" s="2" t="s">
        <v>59</v>
      </c>
      <c r="H13" s="2" t="s">
        <v>21</v>
      </c>
      <c r="J13" s="58">
        <f>D8</f>
        <v>2020</v>
      </c>
      <c r="K13" s="58"/>
      <c r="L13" s="58">
        <f>D13/100</f>
        <v>0.87</v>
      </c>
      <c r="M13" s="58"/>
      <c r="N13" s="58">
        <f>D14</f>
        <v>20</v>
      </c>
      <c r="O13" s="59">
        <f>D29</f>
        <v>3911.2500000000005</v>
      </c>
      <c r="P13" s="59">
        <f>D31</f>
        <v>14.9</v>
      </c>
      <c r="Q13" s="59">
        <f>D32</f>
        <v>0</v>
      </c>
      <c r="R13" s="58"/>
      <c r="S13" s="58"/>
      <c r="T13" s="58">
        <f>D16</f>
        <v>0</v>
      </c>
      <c r="U13" s="78">
        <f>D17</f>
        <v>70</v>
      </c>
      <c r="V13" s="78">
        <f>D18</f>
        <v>2</v>
      </c>
      <c r="W13" s="78">
        <f>D19</f>
        <v>0</v>
      </c>
      <c r="X13" s="78">
        <f>D20</f>
        <v>8</v>
      </c>
    </row>
    <row r="14" spans="2:24" ht="16" thickBot="1">
      <c r="B14" s="1" t="s">
        <v>11</v>
      </c>
      <c r="C14" s="2">
        <v>20</v>
      </c>
      <c r="D14" s="2">
        <v>20</v>
      </c>
      <c r="E14" s="2">
        <v>20</v>
      </c>
      <c r="F14" s="2">
        <v>20</v>
      </c>
      <c r="G14" s="2"/>
      <c r="H14" s="2">
        <v>7</v>
      </c>
      <c r="J14" s="58">
        <f>E8</f>
        <v>2030</v>
      </c>
      <c r="K14" s="58"/>
      <c r="L14" s="58">
        <f>E13/100</f>
        <v>0.91</v>
      </c>
      <c r="M14" s="58"/>
      <c r="N14" s="58">
        <f>E14</f>
        <v>20</v>
      </c>
      <c r="O14" s="59">
        <f>E29</f>
        <v>4842.5</v>
      </c>
      <c r="P14" s="59">
        <f>E31</f>
        <v>22.35</v>
      </c>
      <c r="Q14" s="59">
        <f>E32</f>
        <v>0</v>
      </c>
      <c r="R14" s="58"/>
      <c r="S14" s="58"/>
      <c r="T14" s="58">
        <f>E16</f>
        <v>0</v>
      </c>
      <c r="U14" s="78">
        <f>E17</f>
        <v>50</v>
      </c>
      <c r="V14" s="78">
        <f>E18</f>
        <v>1</v>
      </c>
      <c r="W14" s="78">
        <f>E19</f>
        <v>0</v>
      </c>
      <c r="X14" s="78">
        <f>E20</f>
        <v>6</v>
      </c>
    </row>
    <row r="15" spans="2:24" ht="16" thickBot="1">
      <c r="B15" s="3" t="s">
        <v>12</v>
      </c>
      <c r="C15" s="4"/>
      <c r="D15" s="4"/>
      <c r="E15" s="4"/>
      <c r="F15" s="4"/>
      <c r="G15" s="4"/>
      <c r="H15" s="5"/>
      <c r="J15" s="58">
        <f>F8</f>
        <v>2050</v>
      </c>
      <c r="K15" s="58"/>
      <c r="L15" s="58">
        <f>F13/100</f>
        <v>0.95</v>
      </c>
      <c r="M15" s="58"/>
      <c r="N15" s="58">
        <f>F14</f>
        <v>20</v>
      </c>
      <c r="O15" s="59">
        <f>F29</f>
        <v>4842.5</v>
      </c>
      <c r="P15" s="59">
        <f>F31</f>
        <v>22.35</v>
      </c>
      <c r="Q15" s="59">
        <f>F32</f>
        <v>0</v>
      </c>
      <c r="R15" s="58"/>
      <c r="S15" s="58"/>
      <c r="T15" s="58">
        <f>F16</f>
        <v>0</v>
      </c>
      <c r="U15" s="78">
        <f>F17</f>
        <v>40</v>
      </c>
      <c r="V15" s="78">
        <f>F18</f>
        <v>0</v>
      </c>
      <c r="W15" s="78">
        <f>F19</f>
        <v>0</v>
      </c>
      <c r="X15" s="78">
        <f>F20</f>
        <v>4</v>
      </c>
    </row>
    <row r="16" spans="2:24" ht="16" thickBot="1">
      <c r="B16" s="1" t="s">
        <v>13</v>
      </c>
      <c r="C16" s="35">
        <v>0</v>
      </c>
      <c r="D16" s="35">
        <v>0</v>
      </c>
      <c r="E16" s="35">
        <v>0</v>
      </c>
      <c r="F16" s="35">
        <v>0</v>
      </c>
      <c r="G16" s="2"/>
      <c r="H16" s="2"/>
    </row>
    <row r="17" spans="2:15" ht="16" thickBot="1">
      <c r="B17" s="1" t="s">
        <v>15</v>
      </c>
      <c r="C17" s="2">
        <v>90</v>
      </c>
      <c r="D17" s="2">
        <v>70</v>
      </c>
      <c r="E17" s="2">
        <v>50</v>
      </c>
      <c r="F17" s="2">
        <v>40</v>
      </c>
      <c r="G17" s="2"/>
      <c r="H17" s="2">
        <v>5</v>
      </c>
    </row>
    <row r="18" spans="2:15" ht="16" thickBot="1">
      <c r="B18" s="1" t="s">
        <v>17</v>
      </c>
      <c r="C18" s="2">
        <v>3</v>
      </c>
      <c r="D18" s="2">
        <v>2</v>
      </c>
      <c r="E18" s="2">
        <v>1</v>
      </c>
      <c r="F18" s="2">
        <v>0</v>
      </c>
      <c r="G18" s="2"/>
      <c r="H18" s="2" t="s">
        <v>69</v>
      </c>
    </row>
    <row r="19" spans="2:15" ht="16" thickBot="1">
      <c r="B19" s="1" t="s">
        <v>18</v>
      </c>
      <c r="C19" s="35">
        <v>0</v>
      </c>
      <c r="D19" s="35">
        <v>0</v>
      </c>
      <c r="E19" s="35">
        <v>0</v>
      </c>
      <c r="F19" s="35">
        <v>0</v>
      </c>
      <c r="G19" s="2"/>
      <c r="H19" s="2"/>
    </row>
    <row r="20" spans="2:15" ht="16" thickBot="1">
      <c r="B20" s="1" t="s">
        <v>19</v>
      </c>
      <c r="C20" s="2">
        <v>10</v>
      </c>
      <c r="D20" s="2">
        <v>8</v>
      </c>
      <c r="E20" s="2">
        <v>6</v>
      </c>
      <c r="F20" s="2">
        <v>4</v>
      </c>
      <c r="G20" s="2" t="s">
        <v>16</v>
      </c>
      <c r="H20" s="2" t="s">
        <v>69</v>
      </c>
    </row>
    <row r="21" spans="2:15" ht="16" thickBot="1">
      <c r="B21" s="3" t="s">
        <v>22</v>
      </c>
      <c r="C21" s="4"/>
      <c r="D21" s="4"/>
      <c r="E21" s="4"/>
      <c r="F21" s="4"/>
      <c r="G21" s="68" t="s">
        <v>329</v>
      </c>
      <c r="H21" s="39"/>
    </row>
    <row r="22" spans="2:15" ht="16" thickBot="1">
      <c r="B22" s="1" t="s">
        <v>23</v>
      </c>
      <c r="C22" s="41">
        <f>(2.5/6+11/20)/2</f>
        <v>0.48333333333333339</v>
      </c>
      <c r="D22" s="41">
        <f>(2.5/5+11/20)/2</f>
        <v>0.52500000000000002</v>
      </c>
      <c r="E22" s="41">
        <f>(3/4+11/20)/2</f>
        <v>0.65</v>
      </c>
      <c r="F22" s="41">
        <f>(3/4+11/20)/2</f>
        <v>0.65</v>
      </c>
      <c r="G22" s="73">
        <f>G30</f>
        <v>13</v>
      </c>
      <c r="H22" s="73" t="str">
        <f>H30</f>
        <v>kW</v>
      </c>
      <c r="I22" s="62"/>
      <c r="J22" s="55"/>
      <c r="K22" s="55"/>
      <c r="L22" s="55"/>
      <c r="M22" s="55"/>
      <c r="N22" s="55"/>
      <c r="O22" s="55"/>
    </row>
    <row r="23" spans="2:15">
      <c r="B23" s="6" t="s">
        <v>24</v>
      </c>
      <c r="C23" s="7" t="s">
        <v>70</v>
      </c>
      <c r="D23" s="7" t="s">
        <v>70</v>
      </c>
      <c r="E23" s="28" t="s">
        <v>286</v>
      </c>
      <c r="F23" s="28" t="s">
        <v>286</v>
      </c>
      <c r="G23" s="7" t="s">
        <v>33</v>
      </c>
      <c r="H23" s="54"/>
      <c r="I23" s="77"/>
      <c r="J23" s="54"/>
      <c r="K23" s="54"/>
      <c r="L23" s="75"/>
      <c r="M23" s="75"/>
      <c r="N23" s="54"/>
      <c r="O23" s="54"/>
    </row>
    <row r="24" spans="2:15">
      <c r="B24" s="6" t="s">
        <v>71</v>
      </c>
      <c r="C24" s="29" t="s">
        <v>72</v>
      </c>
      <c r="D24" s="28" t="s">
        <v>72</v>
      </c>
      <c r="E24" s="29" t="s">
        <v>70</v>
      </c>
      <c r="F24" s="29" t="s">
        <v>70</v>
      </c>
      <c r="G24" s="7"/>
      <c r="H24" s="54"/>
      <c r="I24" s="77"/>
      <c r="J24" s="76"/>
      <c r="K24" s="75"/>
      <c r="L24" s="76"/>
      <c r="M24" s="76"/>
      <c r="N24" s="54"/>
      <c r="O24" s="54"/>
    </row>
    <row r="25" spans="2:15" ht="16" thickBot="1">
      <c r="B25" s="1" t="s">
        <v>73</v>
      </c>
      <c r="C25" s="2" t="s">
        <v>74</v>
      </c>
      <c r="D25" s="2" t="s">
        <v>74</v>
      </c>
      <c r="E25" s="2" t="s">
        <v>74</v>
      </c>
      <c r="F25" s="2" t="s">
        <v>74</v>
      </c>
      <c r="G25" s="2"/>
      <c r="H25" s="38"/>
      <c r="I25" s="77"/>
      <c r="J25" s="54"/>
      <c r="K25" s="54"/>
      <c r="L25" s="54"/>
      <c r="M25" s="54"/>
      <c r="N25" s="54"/>
      <c r="O25" s="54"/>
    </row>
    <row r="26" spans="2:15" ht="16" thickBot="1">
      <c r="B26" s="1" t="s">
        <v>30</v>
      </c>
      <c r="C26" s="2">
        <v>1.6</v>
      </c>
      <c r="D26" s="2">
        <v>1.6</v>
      </c>
      <c r="E26" s="2">
        <v>1.6</v>
      </c>
      <c r="F26" s="2">
        <v>1.6</v>
      </c>
      <c r="G26" s="2" t="s">
        <v>75</v>
      </c>
      <c r="H26" s="38"/>
      <c r="I26" s="62"/>
      <c r="J26" s="55"/>
      <c r="K26" s="55"/>
      <c r="L26" s="55"/>
      <c r="M26" s="55"/>
      <c r="N26" s="55"/>
      <c r="O26" s="55"/>
    </row>
    <row r="27" spans="2:15" ht="16" thickBot="1">
      <c r="B27" s="1" t="s">
        <v>50</v>
      </c>
      <c r="C27" s="2">
        <v>2</v>
      </c>
      <c r="D27" s="2">
        <v>2</v>
      </c>
      <c r="E27" s="2">
        <v>3</v>
      </c>
      <c r="F27" s="2">
        <v>3</v>
      </c>
      <c r="G27" s="2" t="s">
        <v>76</v>
      </c>
      <c r="H27" s="2">
        <v>6</v>
      </c>
    </row>
    <row r="28" spans="2:15" ht="16" thickBot="1">
      <c r="B28" s="1" t="s">
        <v>31</v>
      </c>
      <c r="C28" s="35">
        <v>0</v>
      </c>
      <c r="D28" s="35">
        <v>0</v>
      </c>
      <c r="E28" s="35">
        <v>0</v>
      </c>
      <c r="F28" s="35">
        <v>0</v>
      </c>
      <c r="G28" s="2"/>
      <c r="H28" s="2"/>
    </row>
    <row r="29" spans="2:15">
      <c r="B29" s="36" t="s">
        <v>353</v>
      </c>
      <c r="C29" s="42">
        <f>C22*$G$4*1000</f>
        <v>3600.8333333333339</v>
      </c>
      <c r="D29" s="42">
        <f>D22*$G$4*1000</f>
        <v>3911.2500000000005</v>
      </c>
      <c r="E29" s="42">
        <f>E22*$G$4*1000</f>
        <v>4842.5</v>
      </c>
      <c r="F29" s="42">
        <f>F22*$G$4*1000</f>
        <v>4842.5</v>
      </c>
      <c r="G29" s="63" t="s">
        <v>332</v>
      </c>
      <c r="H29" s="63"/>
    </row>
    <row r="30" spans="2:15">
      <c r="B30" s="36" t="s">
        <v>354</v>
      </c>
      <c r="C30" s="42">
        <f>C29*$G$30</f>
        <v>46810.833333333343</v>
      </c>
      <c r="D30" s="42">
        <f>D29*$G$30</f>
        <v>50846.250000000007</v>
      </c>
      <c r="E30" s="42">
        <f>E29*$G$30</f>
        <v>62952.5</v>
      </c>
      <c r="F30" s="42">
        <f>F29*$G$30</f>
        <v>62952.5</v>
      </c>
      <c r="G30" s="67">
        <v>13</v>
      </c>
      <c r="H30" s="63" t="s">
        <v>330</v>
      </c>
      <c r="I30" s="37"/>
    </row>
    <row r="31" spans="2:15">
      <c r="B31" s="36" t="s">
        <v>355</v>
      </c>
      <c r="C31" s="42">
        <f>C27*$G$4</f>
        <v>14.9</v>
      </c>
      <c r="D31" s="42">
        <f>D27*$G$4</f>
        <v>14.9</v>
      </c>
      <c r="E31" s="42">
        <f>E27*$G$4</f>
        <v>22.35</v>
      </c>
      <c r="F31" s="42">
        <f>F27*$G$4</f>
        <v>22.35</v>
      </c>
      <c r="G31" s="63" t="s">
        <v>333</v>
      </c>
      <c r="H31" s="63"/>
    </row>
    <row r="32" spans="2:15" ht="16" thickBot="1">
      <c r="B32" s="36" t="s">
        <v>356</v>
      </c>
      <c r="C32" s="103">
        <f>C28</f>
        <v>0</v>
      </c>
      <c r="D32" s="103">
        <f>D28</f>
        <v>0</v>
      </c>
      <c r="E32" s="103">
        <f>E28</f>
        <v>0</v>
      </c>
      <c r="F32" s="103">
        <f>F28</f>
        <v>0</v>
      </c>
      <c r="G32" s="66"/>
      <c r="H32" s="63"/>
    </row>
    <row r="33" spans="2:24">
      <c r="B33" s="1257" t="s">
        <v>0</v>
      </c>
      <c r="C33" s="1259" t="s">
        <v>66</v>
      </c>
      <c r="D33" s="1260"/>
      <c r="E33" s="1260"/>
      <c r="F33" s="1260"/>
      <c r="G33" s="1260"/>
      <c r="H33" s="1261"/>
      <c r="J33" s="1259" t="str">
        <f>C33</f>
        <v>Biomass boiler, automatic stoking</v>
      </c>
      <c r="K33" s="1260"/>
      <c r="L33" s="1260"/>
      <c r="M33" s="1260"/>
      <c r="N33" s="1260"/>
      <c r="O33" s="1261"/>
    </row>
    <row r="34" spans="2:24" ht="16" thickBot="1">
      <c r="B34" s="1258"/>
      <c r="C34" s="1134" t="s">
        <v>32</v>
      </c>
      <c r="D34" s="1135"/>
      <c r="E34" s="1135"/>
      <c r="F34" s="1135"/>
      <c r="G34" s="1135"/>
      <c r="H34" s="1136"/>
      <c r="J34" s="1134" t="str">
        <f>C34</f>
        <v>Apartment complex, existing building</v>
      </c>
      <c r="K34" s="1135"/>
      <c r="L34" s="1135"/>
      <c r="M34" s="1135"/>
      <c r="N34" s="1135"/>
      <c r="O34" s="1136"/>
    </row>
    <row r="35" spans="2:24" ht="16" thickBot="1">
      <c r="B35" s="1"/>
      <c r="C35" s="2">
        <v>2015</v>
      </c>
      <c r="D35" s="2">
        <v>2020</v>
      </c>
      <c r="E35" s="2">
        <v>2030</v>
      </c>
      <c r="F35" s="2">
        <v>2050</v>
      </c>
      <c r="G35" s="2" t="s">
        <v>2</v>
      </c>
      <c r="H35" s="2" t="s">
        <v>3</v>
      </c>
      <c r="J35" s="53" t="s">
        <v>357</v>
      </c>
    </row>
    <row r="36" spans="2:24" ht="31" thickBot="1">
      <c r="B36" s="3" t="s">
        <v>4</v>
      </c>
      <c r="C36" s="4"/>
      <c r="D36" s="4"/>
      <c r="E36" s="4"/>
      <c r="F36" s="4"/>
      <c r="G36" s="4"/>
      <c r="H36" s="5"/>
      <c r="J36" s="46" t="s">
        <v>335</v>
      </c>
      <c r="K36" s="46" t="s">
        <v>336</v>
      </c>
      <c r="L36" s="47" t="s">
        <v>337</v>
      </c>
      <c r="M36" s="47" t="s">
        <v>338</v>
      </c>
      <c r="N36" s="47" t="s">
        <v>339</v>
      </c>
      <c r="O36" s="48" t="s">
        <v>340</v>
      </c>
      <c r="P36" s="49" t="s">
        <v>341</v>
      </c>
      <c r="Q36" s="49" t="s">
        <v>342</v>
      </c>
      <c r="R36" s="49" t="s">
        <v>343</v>
      </c>
      <c r="S36" s="49" t="s">
        <v>344</v>
      </c>
      <c r="T36" s="49" t="s">
        <v>345</v>
      </c>
      <c r="U36" s="49" t="s">
        <v>346</v>
      </c>
      <c r="V36" s="49" t="s">
        <v>347</v>
      </c>
      <c r="W36" s="49" t="s">
        <v>348</v>
      </c>
      <c r="X36" s="49" t="s">
        <v>349</v>
      </c>
    </row>
    <row r="37" spans="2:24" ht="16" thickBot="1">
      <c r="B37" s="1" t="s">
        <v>5</v>
      </c>
      <c r="C37" s="9" t="s">
        <v>77</v>
      </c>
      <c r="D37" s="9" t="s">
        <v>77</v>
      </c>
      <c r="E37" s="9" t="s">
        <v>77</v>
      </c>
      <c r="F37" s="9" t="s">
        <v>77</v>
      </c>
      <c r="G37" s="9"/>
      <c r="H37" s="9"/>
      <c r="J37" s="50"/>
      <c r="K37" s="50"/>
      <c r="L37" s="51"/>
      <c r="M37" s="51"/>
      <c r="N37" s="51"/>
      <c r="O37" s="52"/>
      <c r="P37" s="50"/>
      <c r="Q37" s="50"/>
      <c r="R37" s="50"/>
      <c r="S37" s="50"/>
      <c r="T37" s="50"/>
      <c r="U37" s="50"/>
      <c r="V37" s="50"/>
      <c r="W37" s="50"/>
      <c r="X37" s="50"/>
    </row>
    <row r="38" spans="2:24" ht="28" thickBot="1">
      <c r="B38" s="1" t="s">
        <v>7</v>
      </c>
      <c r="C38" s="9">
        <v>100</v>
      </c>
      <c r="D38" s="9">
        <v>100</v>
      </c>
      <c r="E38" s="9">
        <v>100</v>
      </c>
      <c r="F38" s="9">
        <v>100</v>
      </c>
      <c r="G38" s="9"/>
      <c r="H38" s="9"/>
      <c r="J38" s="56"/>
      <c r="K38" s="56"/>
      <c r="L38" s="57"/>
      <c r="M38" s="57"/>
      <c r="N38" s="57"/>
      <c r="O38" s="56" t="s">
        <v>350</v>
      </c>
      <c r="P38" s="56" t="s">
        <v>326</v>
      </c>
      <c r="Q38" s="56" t="s">
        <v>327</v>
      </c>
      <c r="R38" s="56" t="s">
        <v>351</v>
      </c>
      <c r="S38" s="56" t="s">
        <v>351</v>
      </c>
      <c r="T38" s="56" t="s">
        <v>352</v>
      </c>
      <c r="U38" s="56" t="s">
        <v>352</v>
      </c>
      <c r="V38" s="56" t="s">
        <v>352</v>
      </c>
      <c r="W38" s="56" t="s">
        <v>352</v>
      </c>
      <c r="X38" s="56" t="s">
        <v>352</v>
      </c>
    </row>
    <row r="39" spans="2:24" ht="28" thickBot="1">
      <c r="B39" s="1" t="s">
        <v>8</v>
      </c>
      <c r="C39" s="9">
        <v>100</v>
      </c>
      <c r="D39" s="9">
        <v>100</v>
      </c>
      <c r="E39" s="9">
        <v>100</v>
      </c>
      <c r="F39" s="9">
        <v>100</v>
      </c>
      <c r="G39" s="9"/>
      <c r="H39" s="9"/>
      <c r="J39" s="58">
        <f>C35</f>
        <v>2015</v>
      </c>
      <c r="K39" s="58">
        <f>J39</f>
        <v>2015</v>
      </c>
      <c r="L39" s="58">
        <f>C40/100</f>
        <v>0.85</v>
      </c>
      <c r="M39" s="58"/>
      <c r="N39" s="58">
        <f>C41</f>
        <v>20</v>
      </c>
      <c r="O39" s="59">
        <f>C56</f>
        <v>1490.0000000000002</v>
      </c>
      <c r="P39" s="59">
        <f>C58</f>
        <v>46.935000000000002</v>
      </c>
      <c r="Q39" s="59">
        <f>C59</f>
        <v>0</v>
      </c>
      <c r="R39" s="58"/>
      <c r="S39" s="58"/>
      <c r="T39" s="58">
        <f>C43</f>
        <v>0</v>
      </c>
      <c r="U39" s="78">
        <f>C44</f>
        <v>90</v>
      </c>
      <c r="V39" s="78">
        <f>C45</f>
        <v>3</v>
      </c>
      <c r="W39" s="78">
        <f>C46</f>
        <v>0</v>
      </c>
      <c r="X39" s="78">
        <f>C47</f>
        <v>10</v>
      </c>
    </row>
    <row r="40" spans="2:24" ht="16" thickBot="1">
      <c r="B40" s="1" t="s">
        <v>9</v>
      </c>
      <c r="C40" s="9">
        <v>85</v>
      </c>
      <c r="D40" s="9">
        <v>87</v>
      </c>
      <c r="E40" s="9">
        <v>91</v>
      </c>
      <c r="F40" s="9">
        <v>95</v>
      </c>
      <c r="G40" s="9"/>
      <c r="H40" s="9">
        <v>5</v>
      </c>
      <c r="J40" s="58">
        <f>D35</f>
        <v>2020</v>
      </c>
      <c r="K40" s="58"/>
      <c r="L40" s="58">
        <f>D40/100</f>
        <v>0.87</v>
      </c>
      <c r="M40" s="58"/>
      <c r="N40" s="58">
        <f>D41</f>
        <v>20</v>
      </c>
      <c r="O40" s="59">
        <f>D56</f>
        <v>1490.0000000000002</v>
      </c>
      <c r="P40" s="59">
        <f>D58</f>
        <v>46.935000000000002</v>
      </c>
      <c r="Q40" s="59">
        <f>D59</f>
        <v>0</v>
      </c>
      <c r="R40" s="58"/>
      <c r="S40" s="58"/>
      <c r="T40" s="58">
        <f>D43</f>
        <v>0</v>
      </c>
      <c r="U40" s="78">
        <f>D44</f>
        <v>70</v>
      </c>
      <c r="V40" s="78">
        <f>D45</f>
        <v>2</v>
      </c>
      <c r="W40" s="78">
        <f>D46</f>
        <v>0</v>
      </c>
      <c r="X40" s="78">
        <f>D47</f>
        <v>8</v>
      </c>
    </row>
    <row r="41" spans="2:24" ht="16" thickBot="1">
      <c r="B41" s="1" t="s">
        <v>11</v>
      </c>
      <c r="C41" s="9">
        <v>20</v>
      </c>
      <c r="D41" s="9">
        <v>20</v>
      </c>
      <c r="E41" s="9">
        <v>20</v>
      </c>
      <c r="F41" s="9">
        <v>20</v>
      </c>
      <c r="G41" s="9"/>
      <c r="H41" s="9">
        <v>7</v>
      </c>
      <c r="J41" s="58">
        <f>E35</f>
        <v>2030</v>
      </c>
      <c r="K41" s="58"/>
      <c r="L41" s="58">
        <f>E40/100</f>
        <v>0.91</v>
      </c>
      <c r="M41" s="58"/>
      <c r="N41" s="58">
        <f>E41</f>
        <v>20</v>
      </c>
      <c r="O41" s="59">
        <f>E56</f>
        <v>1490.0000000000002</v>
      </c>
      <c r="P41" s="59">
        <f>E58</f>
        <v>52.15</v>
      </c>
      <c r="Q41" s="59">
        <f>E59</f>
        <v>0</v>
      </c>
      <c r="R41" s="58"/>
      <c r="S41" s="58"/>
      <c r="T41" s="58">
        <f>E43</f>
        <v>0</v>
      </c>
      <c r="U41" s="78">
        <f>E44</f>
        <v>50</v>
      </c>
      <c r="V41" s="78">
        <f>E45</f>
        <v>1</v>
      </c>
      <c r="W41" s="78">
        <f>E46</f>
        <v>0</v>
      </c>
      <c r="X41" s="78">
        <f>E47</f>
        <v>6</v>
      </c>
    </row>
    <row r="42" spans="2:24" ht="16" thickBot="1">
      <c r="B42" s="3" t="s">
        <v>12</v>
      </c>
      <c r="C42" s="12"/>
      <c r="D42" s="12"/>
      <c r="E42" s="12"/>
      <c r="F42" s="12"/>
      <c r="G42" s="12"/>
      <c r="H42" s="13"/>
      <c r="J42" s="58">
        <f>F35</f>
        <v>2050</v>
      </c>
      <c r="K42" s="58"/>
      <c r="L42" s="58">
        <f>F40/100</f>
        <v>0.95</v>
      </c>
      <c r="M42" s="58"/>
      <c r="N42" s="58">
        <f>F41</f>
        <v>20</v>
      </c>
      <c r="O42" s="59">
        <f>F56</f>
        <v>1490.0000000000002</v>
      </c>
      <c r="P42" s="59">
        <f>F58</f>
        <v>59.6</v>
      </c>
      <c r="Q42" s="59">
        <f>F59</f>
        <v>0</v>
      </c>
      <c r="R42" s="58"/>
      <c r="S42" s="58"/>
      <c r="T42" s="58">
        <f>F43</f>
        <v>0</v>
      </c>
      <c r="U42" s="78">
        <f>F44</f>
        <v>40</v>
      </c>
      <c r="V42" s="78">
        <f>F45</f>
        <v>0</v>
      </c>
      <c r="W42" s="78">
        <f>F46</f>
        <v>0</v>
      </c>
      <c r="X42" s="78">
        <f>F47</f>
        <v>4</v>
      </c>
    </row>
    <row r="43" spans="2:24" ht="16" thickBot="1">
      <c r="B43" s="1" t="s">
        <v>13</v>
      </c>
      <c r="C43" s="179">
        <v>0</v>
      </c>
      <c r="D43" s="179">
        <v>0</v>
      </c>
      <c r="E43" s="179">
        <v>0</v>
      </c>
      <c r="F43" s="179">
        <v>0</v>
      </c>
      <c r="G43" s="9"/>
      <c r="H43" s="9"/>
    </row>
    <row r="44" spans="2:24" ht="16" thickBot="1">
      <c r="B44" s="1" t="s">
        <v>15</v>
      </c>
      <c r="C44" s="9">
        <v>90</v>
      </c>
      <c r="D44" s="9">
        <v>70</v>
      </c>
      <c r="E44" s="9">
        <v>50</v>
      </c>
      <c r="F44" s="9">
        <v>40</v>
      </c>
      <c r="G44" s="9"/>
      <c r="H44" s="9">
        <v>5</v>
      </c>
    </row>
    <row r="45" spans="2:24" ht="16" thickBot="1">
      <c r="B45" s="1" t="s">
        <v>17</v>
      </c>
      <c r="C45" s="9">
        <v>3</v>
      </c>
      <c r="D45" s="9">
        <v>2</v>
      </c>
      <c r="E45" s="9">
        <v>1</v>
      </c>
      <c r="F45" s="9">
        <v>0</v>
      </c>
      <c r="G45" s="9"/>
      <c r="H45" s="9" t="s">
        <v>69</v>
      </c>
    </row>
    <row r="46" spans="2:24" ht="16" thickBot="1">
      <c r="B46" s="1" t="s">
        <v>18</v>
      </c>
      <c r="C46" s="179">
        <v>0</v>
      </c>
      <c r="D46" s="179">
        <v>0</v>
      </c>
      <c r="E46" s="179">
        <v>0</v>
      </c>
      <c r="F46" s="179">
        <v>0</v>
      </c>
      <c r="G46" s="9"/>
      <c r="H46" s="9"/>
    </row>
    <row r="47" spans="2:24" ht="16" thickBot="1">
      <c r="B47" s="1" t="s">
        <v>19</v>
      </c>
      <c r="C47" s="9">
        <v>10</v>
      </c>
      <c r="D47" s="9">
        <v>8</v>
      </c>
      <c r="E47" s="9">
        <v>6</v>
      </c>
      <c r="F47" s="9">
        <v>4</v>
      </c>
      <c r="G47" s="9"/>
      <c r="H47" s="9">
        <v>5</v>
      </c>
    </row>
    <row r="48" spans="2:24" ht="16" thickBot="1">
      <c r="B48" s="3" t="s">
        <v>22</v>
      </c>
      <c r="C48" s="12"/>
      <c r="D48" s="12"/>
      <c r="E48" s="12"/>
      <c r="F48" s="12"/>
      <c r="G48" s="12"/>
      <c r="H48" s="13"/>
    </row>
    <row r="49" spans="2:24" ht="16" thickBot="1">
      <c r="B49" s="1" t="s">
        <v>23</v>
      </c>
      <c r="C49" s="9">
        <v>0.17</v>
      </c>
      <c r="D49" s="9">
        <v>0.17</v>
      </c>
      <c r="E49" s="9">
        <v>0.17</v>
      </c>
      <c r="F49" s="9">
        <v>0.17</v>
      </c>
      <c r="G49" s="9"/>
      <c r="H49" s="9">
        <v>7</v>
      </c>
    </row>
    <row r="50" spans="2:24">
      <c r="B50" s="6" t="s">
        <v>24</v>
      </c>
      <c r="C50" s="14" t="s">
        <v>68</v>
      </c>
      <c r="D50" s="14" t="s">
        <v>68</v>
      </c>
      <c r="E50" s="14" t="s">
        <v>68</v>
      </c>
      <c r="F50" s="14" t="s">
        <v>68</v>
      </c>
      <c r="G50" s="14"/>
      <c r="H50" s="14"/>
    </row>
    <row r="51" spans="2:24">
      <c r="B51" s="6" t="s">
        <v>71</v>
      </c>
      <c r="C51" s="14" t="s">
        <v>68</v>
      </c>
      <c r="D51" s="14" t="s">
        <v>68</v>
      </c>
      <c r="E51" s="14" t="s">
        <v>68</v>
      </c>
      <c r="F51" s="14" t="s">
        <v>68</v>
      </c>
      <c r="G51" s="14"/>
      <c r="H51" s="14"/>
    </row>
    <row r="52" spans="2:24" ht="16" thickBot="1">
      <c r="B52" s="1" t="s">
        <v>73</v>
      </c>
      <c r="C52" s="9" t="s">
        <v>68</v>
      </c>
      <c r="D52" s="9" t="s">
        <v>68</v>
      </c>
      <c r="E52" s="9" t="s">
        <v>68</v>
      </c>
      <c r="F52" s="9" t="s">
        <v>68</v>
      </c>
      <c r="G52" s="9"/>
      <c r="H52" s="9"/>
    </row>
    <row r="53" spans="2:24" ht="16" thickBot="1">
      <c r="B53" s="1" t="s">
        <v>30</v>
      </c>
      <c r="C53" s="25" t="s">
        <v>287</v>
      </c>
      <c r="D53" s="25" t="s">
        <v>287</v>
      </c>
      <c r="E53" s="25" t="s">
        <v>288</v>
      </c>
      <c r="F53" s="25" t="s">
        <v>288</v>
      </c>
      <c r="G53" s="9" t="s">
        <v>76</v>
      </c>
      <c r="H53" s="9"/>
    </row>
    <row r="54" spans="2:24" ht="16" thickBot="1">
      <c r="B54" s="1" t="s">
        <v>50</v>
      </c>
      <c r="C54" s="9">
        <v>6.3</v>
      </c>
      <c r="D54" s="9">
        <v>6.3</v>
      </c>
      <c r="E54" s="9">
        <v>7</v>
      </c>
      <c r="F54" s="9">
        <v>8</v>
      </c>
      <c r="G54" s="9" t="s">
        <v>25</v>
      </c>
      <c r="H54" s="9">
        <v>7</v>
      </c>
    </row>
    <row r="55" spans="2:24" ht="16" thickBot="1">
      <c r="B55" s="1" t="s">
        <v>31</v>
      </c>
      <c r="C55" s="179">
        <v>0</v>
      </c>
      <c r="D55" s="179">
        <v>0</v>
      </c>
      <c r="E55" s="179">
        <v>0</v>
      </c>
      <c r="F55" s="179">
        <v>0</v>
      </c>
      <c r="G55" s="9"/>
      <c r="H55" s="9"/>
    </row>
    <row r="56" spans="2:24">
      <c r="B56" s="36" t="s">
        <v>353</v>
      </c>
      <c r="C56" s="42">
        <f>(C49+((5+25)/2/$G$57))*$G$4*1000</f>
        <v>1490.0000000000002</v>
      </c>
      <c r="D56" s="42">
        <f>(D49+((5+25)/2/$G$57))*$G$4*1000</f>
        <v>1490.0000000000002</v>
      </c>
      <c r="E56" s="42">
        <f>(E49+((5+25)/2/$G$57))*$G$4*1000</f>
        <v>1490.0000000000002</v>
      </c>
      <c r="F56" s="42">
        <f>(F49+((5+25)/2/$G$57))*$G$4*1000</f>
        <v>1490.0000000000002</v>
      </c>
      <c r="G56" s="63" t="s">
        <v>332</v>
      </c>
      <c r="H56" s="63"/>
    </row>
    <row r="57" spans="2:24">
      <c r="B57" s="36" t="s">
        <v>354</v>
      </c>
      <c r="C57" s="42">
        <f>C56*$G$57</f>
        <v>745000.00000000012</v>
      </c>
      <c r="D57" s="42">
        <f>D56*$G$57</f>
        <v>745000.00000000012</v>
      </c>
      <c r="E57" s="42">
        <f>E56*$G$57</f>
        <v>745000.00000000012</v>
      </c>
      <c r="F57" s="42">
        <f>F56*$G$57</f>
        <v>745000.00000000012</v>
      </c>
      <c r="G57" s="67">
        <v>500</v>
      </c>
      <c r="H57" s="63" t="s">
        <v>330</v>
      </c>
    </row>
    <row r="58" spans="2:24">
      <c r="B58" s="36" t="s">
        <v>355</v>
      </c>
      <c r="C58" s="42">
        <f>C54*$G$4</f>
        <v>46.935000000000002</v>
      </c>
      <c r="D58" s="42">
        <f>D54*$G$4</f>
        <v>46.935000000000002</v>
      </c>
      <c r="E58" s="42">
        <f>E54*$G$4</f>
        <v>52.15</v>
      </c>
      <c r="F58" s="42">
        <f>F54*$G$4</f>
        <v>59.6</v>
      </c>
      <c r="G58" s="63" t="s">
        <v>333</v>
      </c>
      <c r="H58" s="63"/>
    </row>
    <row r="59" spans="2:24" ht="16" thickBot="1">
      <c r="B59" s="36" t="s">
        <v>356</v>
      </c>
      <c r="C59" s="42">
        <f>C55</f>
        <v>0</v>
      </c>
      <c r="D59" s="42">
        <f>D55</f>
        <v>0</v>
      </c>
      <c r="E59" s="42">
        <f>E55</f>
        <v>0</v>
      </c>
      <c r="F59" s="42">
        <f>F55</f>
        <v>0</v>
      </c>
      <c r="G59" s="66"/>
      <c r="H59" s="63"/>
    </row>
    <row r="60" spans="2:24">
      <c r="B60" s="1257" t="s">
        <v>0</v>
      </c>
      <c r="C60" s="1259" t="s">
        <v>66</v>
      </c>
      <c r="D60" s="1260"/>
      <c r="E60" s="1260"/>
      <c r="F60" s="1260"/>
      <c r="G60" s="1260"/>
      <c r="H60" s="1261"/>
      <c r="J60" s="1259" t="str">
        <f>C60</f>
        <v>Biomass boiler, automatic stoking</v>
      </c>
      <c r="K60" s="1260"/>
      <c r="L60" s="1260"/>
      <c r="M60" s="1260"/>
      <c r="N60" s="1260"/>
      <c r="O60" s="1261"/>
    </row>
    <row r="61" spans="2:24" ht="16" thickBot="1">
      <c r="B61" s="1258"/>
      <c r="C61" s="1134" t="s">
        <v>34</v>
      </c>
      <c r="D61" s="1135"/>
      <c r="E61" s="1135"/>
      <c r="F61" s="1135"/>
      <c r="G61" s="1135"/>
      <c r="H61" s="1136"/>
      <c r="J61" s="1134" t="str">
        <f>C61</f>
        <v>One-family house, new building</v>
      </c>
      <c r="K61" s="1135"/>
      <c r="L61" s="1135"/>
      <c r="M61" s="1135"/>
      <c r="N61" s="1135"/>
      <c r="O61" s="1136"/>
    </row>
    <row r="62" spans="2:24" ht="16" thickBot="1">
      <c r="B62" s="1"/>
      <c r="C62" s="2">
        <v>2015</v>
      </c>
      <c r="D62" s="2">
        <v>2020</v>
      </c>
      <c r="E62" s="2">
        <v>2030</v>
      </c>
      <c r="F62" s="2">
        <v>2050</v>
      </c>
      <c r="G62" s="2" t="s">
        <v>2</v>
      </c>
      <c r="H62" s="2" t="s">
        <v>3</v>
      </c>
      <c r="J62" s="53" t="s">
        <v>357</v>
      </c>
    </row>
    <row r="63" spans="2:24" ht="31" thickBot="1">
      <c r="B63" s="3" t="s">
        <v>4</v>
      </c>
      <c r="C63" s="4"/>
      <c r="D63" s="4"/>
      <c r="E63" s="4"/>
      <c r="F63" s="4"/>
      <c r="G63" s="4"/>
      <c r="H63" s="5"/>
      <c r="J63" s="46" t="s">
        <v>335</v>
      </c>
      <c r="K63" s="46" t="s">
        <v>336</v>
      </c>
      <c r="L63" s="47" t="s">
        <v>337</v>
      </c>
      <c r="M63" s="47" t="s">
        <v>338</v>
      </c>
      <c r="N63" s="47" t="s">
        <v>339</v>
      </c>
      <c r="O63" s="48" t="s">
        <v>340</v>
      </c>
      <c r="P63" s="49" t="s">
        <v>341</v>
      </c>
      <c r="Q63" s="49" t="s">
        <v>342</v>
      </c>
      <c r="R63" s="49" t="s">
        <v>343</v>
      </c>
      <c r="S63" s="49" t="s">
        <v>344</v>
      </c>
      <c r="T63" s="49" t="s">
        <v>345</v>
      </c>
      <c r="U63" s="49" t="s">
        <v>346</v>
      </c>
      <c r="V63" s="49" t="s">
        <v>347</v>
      </c>
      <c r="W63" s="49" t="s">
        <v>348</v>
      </c>
      <c r="X63" s="49" t="s">
        <v>349</v>
      </c>
    </row>
    <row r="64" spans="2:24" ht="16" thickBot="1">
      <c r="B64" s="1" t="s">
        <v>5</v>
      </c>
      <c r="C64" s="25" t="s">
        <v>284</v>
      </c>
      <c r="D64" s="25" t="s">
        <v>289</v>
      </c>
      <c r="E64" s="25" t="s">
        <v>290</v>
      </c>
      <c r="F64" s="25" t="s">
        <v>291</v>
      </c>
      <c r="G64" s="9" t="s">
        <v>6</v>
      </c>
      <c r="H64" s="9" t="s">
        <v>67</v>
      </c>
      <c r="J64" s="50"/>
      <c r="K64" s="50"/>
      <c r="L64" s="51"/>
      <c r="M64" s="51"/>
      <c r="N64" s="51"/>
      <c r="O64" s="52"/>
      <c r="P64" s="50"/>
      <c r="Q64" s="50"/>
      <c r="R64" s="50"/>
      <c r="S64" s="50"/>
      <c r="T64" s="50"/>
      <c r="U64" s="50"/>
      <c r="V64" s="50"/>
      <c r="W64" s="50"/>
      <c r="X64" s="50"/>
    </row>
    <row r="65" spans="2:24" ht="28" thickBot="1">
      <c r="B65" s="1" t="s">
        <v>7</v>
      </c>
      <c r="C65" s="9">
        <v>100</v>
      </c>
      <c r="D65" s="9">
        <v>100</v>
      </c>
      <c r="E65" s="9">
        <v>100</v>
      </c>
      <c r="F65" s="9">
        <v>100</v>
      </c>
      <c r="G65" s="9"/>
      <c r="H65" s="9"/>
      <c r="J65" s="56"/>
      <c r="K65" s="56"/>
      <c r="L65" s="57"/>
      <c r="M65" s="57"/>
      <c r="N65" s="57"/>
      <c r="O65" s="56" t="s">
        <v>350</v>
      </c>
      <c r="P65" s="56" t="s">
        <v>326</v>
      </c>
      <c r="Q65" s="56" t="s">
        <v>327</v>
      </c>
      <c r="R65" s="56" t="s">
        <v>351</v>
      </c>
      <c r="S65" s="56" t="s">
        <v>351</v>
      </c>
      <c r="T65" s="56" t="s">
        <v>352</v>
      </c>
      <c r="U65" s="56" t="s">
        <v>352</v>
      </c>
      <c r="V65" s="56" t="s">
        <v>352</v>
      </c>
      <c r="W65" s="56" t="s">
        <v>352</v>
      </c>
      <c r="X65" s="56" t="s">
        <v>352</v>
      </c>
    </row>
    <row r="66" spans="2:24" ht="28" thickBot="1">
      <c r="B66" s="1" t="s">
        <v>8</v>
      </c>
      <c r="C66" s="9">
        <v>100</v>
      </c>
      <c r="D66" s="9">
        <v>100</v>
      </c>
      <c r="E66" s="9">
        <v>100</v>
      </c>
      <c r="F66" s="9">
        <v>100</v>
      </c>
      <c r="G66" s="9"/>
      <c r="H66" s="9"/>
      <c r="J66" s="58">
        <f>C62</f>
        <v>2015</v>
      </c>
      <c r="K66" s="58">
        <f>J66</f>
        <v>2015</v>
      </c>
      <c r="L66" s="58">
        <f>C67/100</f>
        <v>0.8</v>
      </c>
      <c r="M66" s="58"/>
      <c r="N66" s="58">
        <f>C68</f>
        <v>20</v>
      </c>
      <c r="O66" s="59">
        <f>C83</f>
        <v>3620.2033333333338</v>
      </c>
      <c r="P66" s="59">
        <f>C85</f>
        <v>14.9</v>
      </c>
      <c r="Q66" s="59">
        <f>C86</f>
        <v>0</v>
      </c>
      <c r="R66" s="58"/>
      <c r="S66" s="58"/>
      <c r="T66" s="58">
        <f>C70</f>
        <v>0</v>
      </c>
      <c r="U66" s="78">
        <f>C71</f>
        <v>90</v>
      </c>
      <c r="V66" s="78">
        <f>C72</f>
        <v>3</v>
      </c>
      <c r="W66" s="78">
        <f>C73</f>
        <v>0</v>
      </c>
      <c r="X66" s="78">
        <f>C74</f>
        <v>10</v>
      </c>
    </row>
    <row r="67" spans="2:24" ht="16" thickBot="1">
      <c r="B67" s="1" t="s">
        <v>9</v>
      </c>
      <c r="C67" s="9">
        <v>80</v>
      </c>
      <c r="D67" s="9">
        <v>87</v>
      </c>
      <c r="E67" s="9">
        <v>91</v>
      </c>
      <c r="F67" s="9">
        <v>95</v>
      </c>
      <c r="G67" s="9" t="s">
        <v>59</v>
      </c>
      <c r="H67" s="9" t="s">
        <v>21</v>
      </c>
      <c r="J67" s="58">
        <f>D62</f>
        <v>2020</v>
      </c>
      <c r="K67" s="58"/>
      <c r="L67" s="58">
        <f>D67/100</f>
        <v>0.87</v>
      </c>
      <c r="M67" s="58"/>
      <c r="N67" s="58">
        <f>D68</f>
        <v>20</v>
      </c>
      <c r="O67" s="59">
        <f>D83</f>
        <v>4158.2588888888895</v>
      </c>
      <c r="P67" s="59">
        <f>D85</f>
        <v>14.9</v>
      </c>
      <c r="Q67" s="59">
        <f>D86</f>
        <v>0</v>
      </c>
      <c r="R67" s="58"/>
      <c r="S67" s="58"/>
      <c r="T67" s="58">
        <f>D70</f>
        <v>0</v>
      </c>
      <c r="U67" s="78">
        <f>D71</f>
        <v>70</v>
      </c>
      <c r="V67" s="78">
        <f>D72</f>
        <v>2</v>
      </c>
      <c r="W67" s="78">
        <f>D73</f>
        <v>0</v>
      </c>
      <c r="X67" s="78">
        <f>D74</f>
        <v>8</v>
      </c>
    </row>
    <row r="68" spans="2:24" ht="16" thickBot="1">
      <c r="B68" s="1" t="s">
        <v>11</v>
      </c>
      <c r="C68" s="9">
        <v>20</v>
      </c>
      <c r="D68" s="9">
        <v>20</v>
      </c>
      <c r="E68" s="9">
        <v>20</v>
      </c>
      <c r="F68" s="9">
        <v>20</v>
      </c>
      <c r="G68" s="9"/>
      <c r="H68" s="9">
        <v>7</v>
      </c>
      <c r="J68" s="58">
        <f>E62</f>
        <v>2030</v>
      </c>
      <c r="K68" s="58"/>
      <c r="L68" s="58">
        <f>E67/100</f>
        <v>0.91</v>
      </c>
      <c r="M68" s="58"/>
      <c r="N68" s="58">
        <f>E68</f>
        <v>20</v>
      </c>
      <c r="O68" s="59">
        <f>E83</f>
        <v>5606.8700000000008</v>
      </c>
      <c r="P68" s="59">
        <f>E85</f>
        <v>22.35</v>
      </c>
      <c r="Q68" s="59">
        <f>E86</f>
        <v>0</v>
      </c>
      <c r="R68" s="58"/>
      <c r="S68" s="58"/>
      <c r="T68" s="58">
        <f>E70</f>
        <v>0</v>
      </c>
      <c r="U68" s="78">
        <f>E71</f>
        <v>50</v>
      </c>
      <c r="V68" s="78">
        <f>E72</f>
        <v>1</v>
      </c>
      <c r="W68" s="78">
        <f>E73</f>
        <v>0</v>
      </c>
      <c r="X68" s="78">
        <f>E74</f>
        <v>6</v>
      </c>
    </row>
    <row r="69" spans="2:24" ht="16" thickBot="1">
      <c r="B69" s="3" t="s">
        <v>12</v>
      </c>
      <c r="C69" s="12"/>
      <c r="D69" s="12"/>
      <c r="E69" s="12"/>
      <c r="F69" s="12"/>
      <c r="G69" s="12"/>
      <c r="H69" s="13"/>
      <c r="J69" s="58">
        <f>F62</f>
        <v>2050</v>
      </c>
      <c r="K69" s="58"/>
      <c r="L69" s="58">
        <f>F67/100</f>
        <v>0.95</v>
      </c>
      <c r="M69" s="58"/>
      <c r="N69" s="58">
        <f>F68</f>
        <v>20</v>
      </c>
      <c r="O69" s="59">
        <f>F83</f>
        <v>6005.9771428571439</v>
      </c>
      <c r="P69" s="59">
        <f>F85</f>
        <v>22.35</v>
      </c>
      <c r="Q69" s="59">
        <f>F86</f>
        <v>0</v>
      </c>
      <c r="R69" s="58"/>
      <c r="S69" s="58"/>
      <c r="T69" s="58">
        <f>F70</f>
        <v>0</v>
      </c>
      <c r="U69" s="78">
        <f>F71</f>
        <v>40</v>
      </c>
      <c r="V69" s="78">
        <f>F72</f>
        <v>0</v>
      </c>
      <c r="W69" s="78">
        <f>F73</f>
        <v>0</v>
      </c>
      <c r="X69" s="78">
        <f>F74</f>
        <v>4</v>
      </c>
    </row>
    <row r="70" spans="2:24" ht="16" thickBot="1">
      <c r="B70" s="1" t="s">
        <v>13</v>
      </c>
      <c r="C70" s="179">
        <v>0</v>
      </c>
      <c r="D70" s="179">
        <v>0</v>
      </c>
      <c r="E70" s="179">
        <v>0</v>
      </c>
      <c r="F70" s="179">
        <v>0</v>
      </c>
      <c r="G70" s="9"/>
      <c r="H70" s="9"/>
    </row>
    <row r="71" spans="2:24" ht="16" thickBot="1">
      <c r="B71" s="1" t="s">
        <v>15</v>
      </c>
      <c r="C71" s="9">
        <v>90</v>
      </c>
      <c r="D71" s="9">
        <v>70</v>
      </c>
      <c r="E71" s="9">
        <v>50</v>
      </c>
      <c r="F71" s="9">
        <v>40</v>
      </c>
      <c r="G71" s="9"/>
      <c r="H71" s="9">
        <v>5</v>
      </c>
    </row>
    <row r="72" spans="2:24" ht="16" thickBot="1">
      <c r="B72" s="1" t="s">
        <v>17</v>
      </c>
      <c r="C72" s="9">
        <v>3</v>
      </c>
      <c r="D72" s="9">
        <v>2</v>
      </c>
      <c r="E72" s="9">
        <v>1</v>
      </c>
      <c r="F72" s="9">
        <v>0</v>
      </c>
      <c r="G72" s="9"/>
      <c r="H72" s="9" t="s">
        <v>69</v>
      </c>
    </row>
    <row r="73" spans="2:24" ht="16" thickBot="1">
      <c r="B73" s="1" t="s">
        <v>18</v>
      </c>
      <c r="C73" s="179">
        <v>0</v>
      </c>
      <c r="D73" s="179">
        <v>0</v>
      </c>
      <c r="E73" s="179">
        <v>0</v>
      </c>
      <c r="F73" s="179">
        <v>0</v>
      </c>
      <c r="G73" s="9"/>
      <c r="H73" s="9"/>
    </row>
    <row r="74" spans="2:24" ht="16" thickBot="1">
      <c r="B74" s="1" t="s">
        <v>19</v>
      </c>
      <c r="C74" s="9">
        <v>10</v>
      </c>
      <c r="D74" s="9">
        <v>8</v>
      </c>
      <c r="E74" s="9">
        <v>6</v>
      </c>
      <c r="F74" s="9">
        <v>4</v>
      </c>
      <c r="G74" s="9" t="s">
        <v>16</v>
      </c>
      <c r="H74" s="9" t="s">
        <v>69</v>
      </c>
    </row>
    <row r="75" spans="2:24" ht="16" thickBot="1">
      <c r="B75" s="3" t="s">
        <v>22</v>
      </c>
      <c r="C75" s="4"/>
      <c r="D75" s="4"/>
      <c r="E75" s="4"/>
      <c r="F75" s="4"/>
      <c r="G75" s="68" t="s">
        <v>329</v>
      </c>
      <c r="H75" s="39"/>
    </row>
    <row r="76" spans="2:24" ht="16" thickBot="1">
      <c r="B76" s="1" t="s">
        <v>23</v>
      </c>
      <c r="C76" s="41">
        <f>(2.5/6+11/20)/2</f>
        <v>0.48333333333333339</v>
      </c>
      <c r="D76" s="41">
        <f>(2.5/5+11/18)/2</f>
        <v>0.55555555555555558</v>
      </c>
      <c r="E76" s="41">
        <f>(3/4+12/16)/2</f>
        <v>0.75</v>
      </c>
      <c r="F76" s="41">
        <f>(3/4+12/14)/2</f>
        <v>0.8035714285714286</v>
      </c>
      <c r="G76" s="73">
        <f>G84</f>
        <v>500</v>
      </c>
      <c r="H76" s="73" t="str">
        <f>H84</f>
        <v>kW</v>
      </c>
    </row>
    <row r="77" spans="2:24">
      <c r="B77" s="6" t="s">
        <v>24</v>
      </c>
      <c r="C77" s="30" t="s">
        <v>70</v>
      </c>
      <c r="D77" s="30" t="s">
        <v>70</v>
      </c>
      <c r="E77" s="31" t="s">
        <v>286</v>
      </c>
      <c r="F77" s="31" t="s">
        <v>286</v>
      </c>
      <c r="G77" s="14" t="s">
        <v>33</v>
      </c>
      <c r="H77" s="14"/>
    </row>
    <row r="78" spans="2:24">
      <c r="B78" s="6" t="s">
        <v>71</v>
      </c>
      <c r="C78" s="30" t="s">
        <v>72</v>
      </c>
      <c r="D78" s="31" t="s">
        <v>72</v>
      </c>
      <c r="E78" s="14" t="s">
        <v>70</v>
      </c>
      <c r="F78" s="14" t="s">
        <v>70</v>
      </c>
      <c r="G78" s="14"/>
      <c r="H78" s="14"/>
    </row>
    <row r="79" spans="2:24" ht="16" thickBot="1">
      <c r="B79" s="1" t="s">
        <v>73</v>
      </c>
      <c r="C79" s="9" t="s">
        <v>74</v>
      </c>
      <c r="D79" s="9" t="s">
        <v>74</v>
      </c>
      <c r="E79" s="9" t="s">
        <v>74</v>
      </c>
      <c r="F79" s="9" t="s">
        <v>74</v>
      </c>
      <c r="G79" s="9"/>
      <c r="H79" s="9"/>
    </row>
    <row r="80" spans="2:24" ht="16" thickBot="1">
      <c r="B80" s="1" t="s">
        <v>30</v>
      </c>
      <c r="C80" s="9">
        <v>1.3</v>
      </c>
      <c r="D80" s="9">
        <v>1.3</v>
      </c>
      <c r="E80" s="9">
        <v>1.3</v>
      </c>
      <c r="F80" s="9">
        <v>1.3</v>
      </c>
      <c r="G80" s="9" t="s">
        <v>75</v>
      </c>
      <c r="H80" s="9"/>
    </row>
    <row r="81" spans="2:24" ht="16" thickBot="1">
      <c r="B81" s="1" t="s">
        <v>50</v>
      </c>
      <c r="C81" s="9">
        <v>2</v>
      </c>
      <c r="D81" s="9">
        <v>2</v>
      </c>
      <c r="E81" s="9">
        <v>3</v>
      </c>
      <c r="F81" s="9">
        <v>3</v>
      </c>
      <c r="G81" s="9" t="s">
        <v>76</v>
      </c>
      <c r="H81" s="9">
        <v>6</v>
      </c>
    </row>
    <row r="82" spans="2:24" ht="16" thickBot="1">
      <c r="B82" s="1" t="s">
        <v>31</v>
      </c>
      <c r="C82" s="179">
        <v>0</v>
      </c>
      <c r="D82" s="179">
        <v>0</v>
      </c>
      <c r="E82" s="179">
        <v>0</v>
      </c>
      <c r="F82" s="179">
        <v>0</v>
      </c>
      <c r="G82" s="9"/>
      <c r="H82" s="9"/>
    </row>
    <row r="83" spans="2:24">
      <c r="B83" s="36" t="s">
        <v>353</v>
      </c>
      <c r="C83" s="42">
        <f>(C76+C80/$G$76)*$G$4*1000</f>
        <v>3620.2033333333338</v>
      </c>
      <c r="D83" s="42">
        <f>(D76+D80/$G$76)*$G$4*1000</f>
        <v>4158.2588888888895</v>
      </c>
      <c r="E83" s="42">
        <f>(E76+E80/$G$76)*$G$4*1000</f>
        <v>5606.8700000000008</v>
      </c>
      <c r="F83" s="42">
        <f>(F76+F80/$G$76)*$G$4*1000</f>
        <v>6005.9771428571439</v>
      </c>
      <c r="G83" s="63" t="s">
        <v>332</v>
      </c>
      <c r="H83" s="63"/>
    </row>
    <row r="84" spans="2:24">
      <c r="B84" s="36" t="s">
        <v>354</v>
      </c>
      <c r="C84" s="42">
        <f>C83*$G84</f>
        <v>1810101.666666667</v>
      </c>
      <c r="D84" s="42">
        <f>D83*$G84</f>
        <v>2079129.4444444447</v>
      </c>
      <c r="E84" s="42">
        <f>E83*$G84</f>
        <v>2803435.0000000005</v>
      </c>
      <c r="F84" s="42">
        <f>F83*$G84</f>
        <v>3002988.5714285718</v>
      </c>
      <c r="G84" s="67">
        <v>500</v>
      </c>
      <c r="H84" s="63" t="s">
        <v>330</v>
      </c>
    </row>
    <row r="85" spans="2:24">
      <c r="B85" s="36" t="s">
        <v>355</v>
      </c>
      <c r="C85" s="42">
        <f>C81*$G$4</f>
        <v>14.9</v>
      </c>
      <c r="D85" s="42">
        <f>D81*$G$4</f>
        <v>14.9</v>
      </c>
      <c r="E85" s="42">
        <f>E81*$G$4</f>
        <v>22.35</v>
      </c>
      <c r="F85" s="42">
        <f>F81*$G$4</f>
        <v>22.35</v>
      </c>
      <c r="G85" s="63" t="s">
        <v>333</v>
      </c>
      <c r="H85" s="63"/>
    </row>
    <row r="86" spans="2:24" ht="16" thickBot="1">
      <c r="B86" s="36" t="s">
        <v>356</v>
      </c>
      <c r="C86" s="42">
        <f>C82</f>
        <v>0</v>
      </c>
      <c r="D86" s="42">
        <f>D82</f>
        <v>0</v>
      </c>
      <c r="E86" s="42">
        <f>E82</f>
        <v>0</v>
      </c>
      <c r="F86" s="42">
        <f>F82</f>
        <v>0</v>
      </c>
      <c r="G86" s="66"/>
      <c r="H86" s="63"/>
    </row>
    <row r="87" spans="2:24">
      <c r="B87" s="1257" t="s">
        <v>0</v>
      </c>
      <c r="C87" s="1259" t="s">
        <v>66</v>
      </c>
      <c r="D87" s="1260"/>
      <c r="E87" s="1260"/>
      <c r="F87" s="1260"/>
      <c r="G87" s="1260"/>
      <c r="H87" s="1261"/>
      <c r="J87" s="1259" t="str">
        <f>C87</f>
        <v>Biomass boiler, automatic stoking</v>
      </c>
      <c r="K87" s="1260"/>
      <c r="L87" s="1260"/>
      <c r="M87" s="1260"/>
      <c r="N87" s="1260"/>
      <c r="O87" s="1261"/>
    </row>
    <row r="88" spans="2:24" ht="16" thickBot="1">
      <c r="B88" s="1258"/>
      <c r="C88" s="1134" t="s">
        <v>35</v>
      </c>
      <c r="D88" s="1135"/>
      <c r="E88" s="1135"/>
      <c r="F88" s="1135"/>
      <c r="G88" s="1135"/>
      <c r="H88" s="1136"/>
      <c r="J88" s="1134" t="str">
        <f>C88</f>
        <v>Apartment complex, new building</v>
      </c>
      <c r="K88" s="1135"/>
      <c r="L88" s="1135"/>
      <c r="M88" s="1135"/>
      <c r="N88" s="1135"/>
      <c r="O88" s="1136"/>
    </row>
    <row r="89" spans="2:24" ht="16" thickBot="1">
      <c r="B89" s="1"/>
      <c r="C89" s="2">
        <v>2015</v>
      </c>
      <c r="D89" s="2">
        <v>2020</v>
      </c>
      <c r="E89" s="2">
        <v>2030</v>
      </c>
      <c r="F89" s="2">
        <v>2050</v>
      </c>
      <c r="G89" s="2" t="s">
        <v>2</v>
      </c>
      <c r="H89" s="2" t="s">
        <v>3</v>
      </c>
      <c r="J89" s="53" t="s">
        <v>357</v>
      </c>
    </row>
    <row r="90" spans="2:24" ht="31" thickBot="1">
      <c r="B90" s="3" t="s">
        <v>4</v>
      </c>
      <c r="C90" s="4"/>
      <c r="D90" s="4"/>
      <c r="E90" s="4"/>
      <c r="F90" s="4"/>
      <c r="G90" s="4"/>
      <c r="H90" s="5"/>
      <c r="J90" s="46" t="s">
        <v>335</v>
      </c>
      <c r="K90" s="46" t="s">
        <v>336</v>
      </c>
      <c r="L90" s="47" t="s">
        <v>337</v>
      </c>
      <c r="M90" s="47" t="s">
        <v>338</v>
      </c>
      <c r="N90" s="47" t="s">
        <v>339</v>
      </c>
      <c r="O90" s="48" t="s">
        <v>340</v>
      </c>
      <c r="P90" s="49" t="s">
        <v>341</v>
      </c>
      <c r="Q90" s="49" t="s">
        <v>342</v>
      </c>
      <c r="R90" s="49" t="s">
        <v>343</v>
      </c>
      <c r="S90" s="49" t="s">
        <v>344</v>
      </c>
      <c r="T90" s="49" t="s">
        <v>345</v>
      </c>
      <c r="U90" s="49" t="s">
        <v>346</v>
      </c>
      <c r="V90" s="49" t="s">
        <v>347</v>
      </c>
      <c r="W90" s="49" t="s">
        <v>348</v>
      </c>
      <c r="X90" s="49" t="s">
        <v>349</v>
      </c>
    </row>
    <row r="91" spans="2:24" ht="16" thickBot="1">
      <c r="B91" s="1" t="s">
        <v>5</v>
      </c>
      <c r="C91" s="9" t="s">
        <v>77</v>
      </c>
      <c r="D91" s="9" t="s">
        <v>77</v>
      </c>
      <c r="E91" s="9" t="s">
        <v>77</v>
      </c>
      <c r="F91" s="9" t="s">
        <v>77</v>
      </c>
      <c r="G91" s="9"/>
      <c r="H91" s="9"/>
      <c r="J91" s="50"/>
      <c r="K91" s="50"/>
      <c r="L91" s="51"/>
      <c r="M91" s="51"/>
      <c r="N91" s="51"/>
      <c r="O91" s="52"/>
      <c r="P91" s="50"/>
      <c r="Q91" s="50"/>
      <c r="R91" s="50"/>
      <c r="S91" s="50"/>
      <c r="T91" s="50"/>
      <c r="U91" s="50"/>
      <c r="V91" s="50"/>
      <c r="W91" s="50"/>
      <c r="X91" s="50"/>
    </row>
    <row r="92" spans="2:24" ht="28" thickBot="1">
      <c r="B92" s="1" t="s">
        <v>7</v>
      </c>
      <c r="C92" s="9">
        <v>100</v>
      </c>
      <c r="D92" s="9">
        <v>100</v>
      </c>
      <c r="E92" s="9">
        <v>100</v>
      </c>
      <c r="F92" s="9">
        <v>100</v>
      </c>
      <c r="G92" s="9"/>
      <c r="H92" s="9"/>
      <c r="J92" s="56"/>
      <c r="K92" s="56"/>
      <c r="L92" s="57"/>
      <c r="M92" s="57"/>
      <c r="N92" s="57"/>
      <c r="O92" s="56" t="s">
        <v>350</v>
      </c>
      <c r="P92" s="56" t="s">
        <v>326</v>
      </c>
      <c r="Q92" s="56" t="s">
        <v>327</v>
      </c>
      <c r="R92" s="56" t="s">
        <v>351</v>
      </c>
      <c r="S92" s="56" t="s">
        <v>351</v>
      </c>
      <c r="T92" s="56" t="s">
        <v>352</v>
      </c>
      <c r="U92" s="56" t="s">
        <v>352</v>
      </c>
      <c r="V92" s="56" t="s">
        <v>352</v>
      </c>
      <c r="W92" s="56" t="s">
        <v>352</v>
      </c>
      <c r="X92" s="56" t="s">
        <v>352</v>
      </c>
    </row>
    <row r="93" spans="2:24" ht="28" thickBot="1">
      <c r="B93" s="1" t="s">
        <v>8</v>
      </c>
      <c r="C93" s="9">
        <v>100</v>
      </c>
      <c r="D93" s="9">
        <v>100</v>
      </c>
      <c r="E93" s="9">
        <v>100</v>
      </c>
      <c r="F93" s="9">
        <v>100</v>
      </c>
      <c r="G93" s="9"/>
      <c r="H93" s="9"/>
      <c r="J93" s="58">
        <f>C89</f>
        <v>2015</v>
      </c>
      <c r="K93" s="58">
        <f>J93</f>
        <v>2015</v>
      </c>
      <c r="L93" s="58">
        <f>C94/100</f>
        <v>0.8</v>
      </c>
      <c r="M93" s="58"/>
      <c r="N93" s="58">
        <f>C95</f>
        <v>20</v>
      </c>
      <c r="O93" s="59">
        <f>C110</f>
        <v>1490.0000000000002</v>
      </c>
      <c r="P93" s="59">
        <f>C112</f>
        <v>46.935000000000002</v>
      </c>
      <c r="Q93" s="59">
        <f>C113</f>
        <v>0</v>
      </c>
      <c r="R93" s="58"/>
      <c r="S93" s="58"/>
      <c r="T93" s="58">
        <f>C97</f>
        <v>0</v>
      </c>
      <c r="U93" s="78">
        <f>C98</f>
        <v>90</v>
      </c>
      <c r="V93" s="78">
        <f>C99</f>
        <v>3</v>
      </c>
      <c r="W93" s="78">
        <f>C100</f>
        <v>0</v>
      </c>
      <c r="X93" s="78">
        <f>C101</f>
        <v>10</v>
      </c>
    </row>
    <row r="94" spans="2:24" ht="16" thickBot="1">
      <c r="B94" s="1" t="s">
        <v>9</v>
      </c>
      <c r="C94" s="9">
        <v>80</v>
      </c>
      <c r="D94" s="9">
        <v>87</v>
      </c>
      <c r="E94" s="9">
        <v>91</v>
      </c>
      <c r="F94" s="9">
        <v>95</v>
      </c>
      <c r="G94" s="9"/>
      <c r="H94" s="9">
        <v>5</v>
      </c>
      <c r="J94" s="58">
        <f>D89</f>
        <v>2020</v>
      </c>
      <c r="K94" s="58"/>
      <c r="L94" s="58">
        <f>D94/100</f>
        <v>0.87</v>
      </c>
      <c r="M94" s="58"/>
      <c r="N94" s="58">
        <f>D95</f>
        <v>20</v>
      </c>
      <c r="O94" s="59">
        <f>D110</f>
        <v>1490.0000000000002</v>
      </c>
      <c r="P94" s="59">
        <f>D112</f>
        <v>46.935000000000002</v>
      </c>
      <c r="Q94" s="59">
        <f>D113</f>
        <v>0</v>
      </c>
      <c r="R94" s="58"/>
      <c r="S94" s="58"/>
      <c r="T94" s="58">
        <f>D97</f>
        <v>0</v>
      </c>
      <c r="U94" s="78">
        <f>D98</f>
        <v>70</v>
      </c>
      <c r="V94" s="78">
        <f>D99</f>
        <v>2</v>
      </c>
      <c r="W94" s="78">
        <f>D100</f>
        <v>0</v>
      </c>
      <c r="X94" s="78">
        <f>D101</f>
        <v>8</v>
      </c>
    </row>
    <row r="95" spans="2:24" ht="16" thickBot="1">
      <c r="B95" s="1" t="s">
        <v>11</v>
      </c>
      <c r="C95" s="9">
        <v>20</v>
      </c>
      <c r="D95" s="9">
        <v>20</v>
      </c>
      <c r="E95" s="9">
        <v>20</v>
      </c>
      <c r="F95" s="9">
        <v>20</v>
      </c>
      <c r="G95" s="9"/>
      <c r="H95" s="9">
        <v>7</v>
      </c>
      <c r="J95" s="58">
        <f>E89</f>
        <v>2030</v>
      </c>
      <c r="K95" s="58"/>
      <c r="L95" s="58">
        <f>E94/100</f>
        <v>0.91</v>
      </c>
      <c r="M95" s="58"/>
      <c r="N95" s="58">
        <f>E95</f>
        <v>20</v>
      </c>
      <c r="O95" s="59">
        <f>E110</f>
        <v>1490.0000000000002</v>
      </c>
      <c r="P95" s="59">
        <f>E112</f>
        <v>52.15</v>
      </c>
      <c r="Q95" s="59">
        <f>E113</f>
        <v>0</v>
      </c>
      <c r="R95" s="58"/>
      <c r="S95" s="58"/>
      <c r="T95" s="58">
        <f>E97</f>
        <v>0</v>
      </c>
      <c r="U95" s="78">
        <f>E98</f>
        <v>50</v>
      </c>
      <c r="V95" s="78">
        <f>E99</f>
        <v>1</v>
      </c>
      <c r="W95" s="78">
        <f>E100</f>
        <v>0</v>
      </c>
      <c r="X95" s="78">
        <f>E101</f>
        <v>6</v>
      </c>
    </row>
    <row r="96" spans="2:24" ht="16" thickBot="1">
      <c r="B96" s="3" t="s">
        <v>12</v>
      </c>
      <c r="C96" s="12"/>
      <c r="D96" s="12"/>
      <c r="E96" s="12"/>
      <c r="F96" s="12"/>
      <c r="G96" s="12"/>
      <c r="H96" s="13"/>
      <c r="J96" s="58">
        <f>F89</f>
        <v>2050</v>
      </c>
      <c r="K96" s="58"/>
      <c r="L96" s="58">
        <f>F94/100</f>
        <v>0.95</v>
      </c>
      <c r="M96" s="58"/>
      <c r="N96" s="58">
        <f>F95</f>
        <v>20</v>
      </c>
      <c r="O96" s="59">
        <f>F110</f>
        <v>1490.0000000000002</v>
      </c>
      <c r="P96" s="59">
        <f>F112</f>
        <v>59.6</v>
      </c>
      <c r="Q96" s="59">
        <f>F113</f>
        <v>0</v>
      </c>
      <c r="R96" s="58"/>
      <c r="S96" s="58"/>
      <c r="T96" s="58">
        <f>F97</f>
        <v>0</v>
      </c>
      <c r="U96" s="78">
        <f>F98</f>
        <v>40</v>
      </c>
      <c r="V96" s="78">
        <f>F99</f>
        <v>0</v>
      </c>
      <c r="W96" s="78">
        <f>F100</f>
        <v>0</v>
      </c>
      <c r="X96" s="78">
        <f>F101</f>
        <v>4</v>
      </c>
    </row>
    <row r="97" spans="2:8" ht="16" thickBot="1">
      <c r="B97" s="1" t="s">
        <v>13</v>
      </c>
      <c r="C97" s="179">
        <v>0</v>
      </c>
      <c r="D97" s="179">
        <v>0</v>
      </c>
      <c r="E97" s="179">
        <v>0</v>
      </c>
      <c r="F97" s="179">
        <v>0</v>
      </c>
      <c r="G97" s="9"/>
      <c r="H97" s="9"/>
    </row>
    <row r="98" spans="2:8" ht="16" thickBot="1">
      <c r="B98" s="1" t="s">
        <v>15</v>
      </c>
      <c r="C98" s="9">
        <v>90</v>
      </c>
      <c r="D98" s="9">
        <v>70</v>
      </c>
      <c r="E98" s="9">
        <v>50</v>
      </c>
      <c r="F98" s="9">
        <v>40</v>
      </c>
      <c r="G98" s="9"/>
      <c r="H98" s="9">
        <v>5</v>
      </c>
    </row>
    <row r="99" spans="2:8" ht="16" thickBot="1">
      <c r="B99" s="1" t="s">
        <v>17</v>
      </c>
      <c r="C99" s="9">
        <v>3</v>
      </c>
      <c r="D99" s="9">
        <v>2</v>
      </c>
      <c r="E99" s="9">
        <v>1</v>
      </c>
      <c r="F99" s="9">
        <v>0</v>
      </c>
      <c r="G99" s="9"/>
      <c r="H99" s="9" t="s">
        <v>69</v>
      </c>
    </row>
    <row r="100" spans="2:8" ht="16" thickBot="1">
      <c r="B100" s="1" t="s">
        <v>18</v>
      </c>
      <c r="C100" s="179">
        <v>0</v>
      </c>
      <c r="D100" s="179">
        <v>0</v>
      </c>
      <c r="E100" s="179">
        <v>0</v>
      </c>
      <c r="F100" s="179">
        <v>0</v>
      </c>
      <c r="G100" s="9"/>
      <c r="H100" s="9"/>
    </row>
    <row r="101" spans="2:8" ht="16" thickBot="1">
      <c r="B101" s="1" t="s">
        <v>19</v>
      </c>
      <c r="C101" s="9">
        <v>10</v>
      </c>
      <c r="D101" s="9">
        <v>8</v>
      </c>
      <c r="E101" s="9">
        <v>6</v>
      </c>
      <c r="F101" s="9">
        <v>4</v>
      </c>
      <c r="G101" s="9"/>
      <c r="H101" s="9" t="s">
        <v>69</v>
      </c>
    </row>
    <row r="102" spans="2:8" ht="16" thickBot="1">
      <c r="B102" s="3" t="s">
        <v>22</v>
      </c>
      <c r="C102" s="12"/>
      <c r="D102" s="12"/>
      <c r="E102" s="12"/>
      <c r="F102" s="12"/>
      <c r="G102" s="12"/>
      <c r="H102" s="13"/>
    </row>
    <row r="103" spans="2:8" ht="16" thickBot="1">
      <c r="B103" s="1" t="s">
        <v>23</v>
      </c>
      <c r="C103" s="9">
        <v>0.17</v>
      </c>
      <c r="D103" s="9">
        <v>0.17</v>
      </c>
      <c r="E103" s="15">
        <v>0.17</v>
      </c>
      <c r="F103" s="15">
        <v>0.17</v>
      </c>
      <c r="G103" s="9"/>
      <c r="H103" s="9">
        <v>7</v>
      </c>
    </row>
    <row r="104" spans="2:8">
      <c r="B104" s="6" t="s">
        <v>24</v>
      </c>
      <c r="C104" s="14" t="s">
        <v>68</v>
      </c>
      <c r="D104" s="14" t="s">
        <v>68</v>
      </c>
      <c r="E104" s="14" t="s">
        <v>68</v>
      </c>
      <c r="F104" s="14" t="s">
        <v>68</v>
      </c>
      <c r="G104" s="14"/>
      <c r="H104" s="14"/>
    </row>
    <row r="105" spans="2:8">
      <c r="B105" s="6" t="s">
        <v>71</v>
      </c>
      <c r="C105" s="14" t="s">
        <v>68</v>
      </c>
      <c r="D105" s="14" t="s">
        <v>68</v>
      </c>
      <c r="E105" s="14" t="s">
        <v>68</v>
      </c>
      <c r="F105" s="14" t="s">
        <v>68</v>
      </c>
      <c r="G105" s="14"/>
      <c r="H105" s="14"/>
    </row>
    <row r="106" spans="2:8" ht="16" thickBot="1">
      <c r="B106" s="1" t="s">
        <v>73</v>
      </c>
      <c r="C106" s="9" t="s">
        <v>68</v>
      </c>
      <c r="D106" s="9" t="s">
        <v>68</v>
      </c>
      <c r="E106" s="9" t="s">
        <v>68</v>
      </c>
      <c r="F106" s="9" t="s">
        <v>68</v>
      </c>
      <c r="G106" s="9"/>
      <c r="H106" s="9"/>
    </row>
    <row r="107" spans="2:8" ht="16" thickBot="1">
      <c r="B107" s="1" t="s">
        <v>30</v>
      </c>
      <c r="C107" s="25" t="s">
        <v>287</v>
      </c>
      <c r="D107" s="25" t="s">
        <v>287</v>
      </c>
      <c r="E107" s="25" t="s">
        <v>288</v>
      </c>
      <c r="F107" s="25" t="s">
        <v>288</v>
      </c>
      <c r="G107" s="9" t="s">
        <v>76</v>
      </c>
      <c r="H107" s="9"/>
    </row>
    <row r="108" spans="2:8" ht="16" thickBot="1">
      <c r="B108" s="1" t="s">
        <v>50</v>
      </c>
      <c r="C108" s="9">
        <v>6.3</v>
      </c>
      <c r="D108" s="9">
        <v>6.3</v>
      </c>
      <c r="E108" s="9">
        <v>7</v>
      </c>
      <c r="F108" s="9">
        <v>8</v>
      </c>
      <c r="G108" s="9" t="s">
        <v>25</v>
      </c>
      <c r="H108" s="9">
        <v>7</v>
      </c>
    </row>
    <row r="109" spans="2:8" ht="16" thickBot="1">
      <c r="B109" s="1" t="s">
        <v>31</v>
      </c>
      <c r="C109" s="179">
        <v>0</v>
      </c>
      <c r="D109" s="179">
        <v>0</v>
      </c>
      <c r="E109" s="179">
        <v>0</v>
      </c>
      <c r="F109" s="179">
        <v>0</v>
      </c>
      <c r="G109" s="9"/>
      <c r="H109" s="9"/>
    </row>
    <row r="110" spans="2:8">
      <c r="B110" s="36" t="s">
        <v>353</v>
      </c>
      <c r="C110" s="42">
        <f>(C103+((5+25)/2/$G$57))*$G$4*1000</f>
        <v>1490.0000000000002</v>
      </c>
      <c r="D110" s="42">
        <f>(D103+((5+25)/2/$G$57))*$G$4*1000</f>
        <v>1490.0000000000002</v>
      </c>
      <c r="E110" s="42">
        <f>(E103+((5+25)/2/$G$57))*$G$4*1000</f>
        <v>1490.0000000000002</v>
      </c>
      <c r="F110" s="42">
        <f>(F103+((5+25)/2/$G$57))*$G$4*1000</f>
        <v>1490.0000000000002</v>
      </c>
      <c r="G110" s="63" t="s">
        <v>332</v>
      </c>
      <c r="H110" s="63"/>
    </row>
    <row r="111" spans="2:8">
      <c r="B111" s="36" t="s">
        <v>354</v>
      </c>
      <c r="C111" s="42">
        <f>C110*$G111</f>
        <v>745000.00000000012</v>
      </c>
      <c r="D111" s="42">
        <f>D110*$G111</f>
        <v>745000.00000000012</v>
      </c>
      <c r="E111" s="42">
        <f>E110*$G111</f>
        <v>745000.00000000012</v>
      </c>
      <c r="F111" s="42">
        <f>F110*$G111</f>
        <v>745000.00000000012</v>
      </c>
      <c r="G111" s="67">
        <v>500</v>
      </c>
      <c r="H111" s="63" t="s">
        <v>330</v>
      </c>
    </row>
    <row r="112" spans="2:8">
      <c r="B112" s="36" t="s">
        <v>355</v>
      </c>
      <c r="C112" s="42">
        <f>C108*$G$4</f>
        <v>46.935000000000002</v>
      </c>
      <c r="D112" s="42">
        <f>D108*$G$4</f>
        <v>46.935000000000002</v>
      </c>
      <c r="E112" s="42">
        <f>E108*$G$4</f>
        <v>52.15</v>
      </c>
      <c r="F112" s="42">
        <f>F108*$G$4</f>
        <v>59.6</v>
      </c>
      <c r="G112" s="63" t="s">
        <v>333</v>
      </c>
      <c r="H112" s="63"/>
    </row>
    <row r="113" spans="2:8" ht="16" thickBot="1">
      <c r="B113" s="36" t="s">
        <v>356</v>
      </c>
      <c r="C113" s="42">
        <f>C109</f>
        <v>0</v>
      </c>
      <c r="D113" s="42">
        <f>D109</f>
        <v>0</v>
      </c>
      <c r="E113" s="42">
        <f>E109</f>
        <v>0</v>
      </c>
      <c r="F113" s="42">
        <f>F109</f>
        <v>0</v>
      </c>
      <c r="G113" s="66"/>
      <c r="H113" s="63"/>
    </row>
    <row r="156" spans="7:7">
      <c r="G156" s="263" t="s">
        <v>620</v>
      </c>
    </row>
  </sheetData>
  <mergeCells count="20">
    <mergeCell ref="J87:O87"/>
    <mergeCell ref="J88:O88"/>
    <mergeCell ref="J60:O60"/>
    <mergeCell ref="J61:O61"/>
    <mergeCell ref="J33:O33"/>
    <mergeCell ref="J34:O34"/>
    <mergeCell ref="B87:B88"/>
    <mergeCell ref="C87:H87"/>
    <mergeCell ref="C88:H88"/>
    <mergeCell ref="B33:B34"/>
    <mergeCell ref="C33:H33"/>
    <mergeCell ref="C34:H34"/>
    <mergeCell ref="B60:B61"/>
    <mergeCell ref="C60:H60"/>
    <mergeCell ref="C61:H61"/>
    <mergeCell ref="J6:O6"/>
    <mergeCell ref="J7:O7"/>
    <mergeCell ref="B6:B7"/>
    <mergeCell ref="C6:H6"/>
    <mergeCell ref="C7:H7"/>
  </mergeCells>
  <pageMargins left="0.7" right="0.7" top="0.75" bottom="0.75" header="0.3" footer="0.3"/>
  <pageSetup paperSize="9" orientation="portrait"/>
  <legacy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9">
    <tabColor theme="4"/>
  </sheetPr>
  <dimension ref="B3:H156"/>
  <sheetViews>
    <sheetView topLeftCell="A4" workbookViewId="0">
      <selection activeCell="F153" sqref="F153"/>
    </sheetView>
  </sheetViews>
  <sheetFormatPr baseColWidth="10" defaultColWidth="8.83203125" defaultRowHeight="15"/>
  <cols>
    <col min="2" max="2" width="36.83203125" customWidth="1"/>
  </cols>
  <sheetData>
    <row r="3" spans="2:8">
      <c r="B3" s="8" t="s">
        <v>311</v>
      </c>
    </row>
    <row r="5" spans="2:8" ht="16" thickBot="1"/>
    <row r="6" spans="2:8">
      <c r="B6" s="1257" t="s">
        <v>0</v>
      </c>
      <c r="C6" s="1259" t="s">
        <v>78</v>
      </c>
      <c r="D6" s="1260"/>
      <c r="E6" s="1260"/>
      <c r="F6" s="1260"/>
      <c r="G6" s="1260"/>
      <c r="H6" s="1261"/>
    </row>
    <row r="7" spans="2:8" ht="16" thickBot="1">
      <c r="B7" s="1258"/>
      <c r="C7" s="1134" t="s">
        <v>1</v>
      </c>
      <c r="D7" s="1135"/>
      <c r="E7" s="1135"/>
      <c r="F7" s="1135"/>
      <c r="G7" s="1135"/>
      <c r="H7" s="1136"/>
    </row>
    <row r="8" spans="2:8" ht="16" thickBot="1">
      <c r="B8" s="1"/>
      <c r="C8" s="2">
        <v>2015</v>
      </c>
      <c r="D8" s="2">
        <v>2020</v>
      </c>
      <c r="E8" s="2">
        <v>2030</v>
      </c>
      <c r="F8" s="2">
        <v>2050</v>
      </c>
      <c r="G8" s="2" t="s">
        <v>2</v>
      </c>
      <c r="H8" s="2" t="s">
        <v>3</v>
      </c>
    </row>
    <row r="9" spans="2:8" ht="16" thickBot="1">
      <c r="B9" s="3" t="s">
        <v>4</v>
      </c>
      <c r="C9" s="4"/>
      <c r="D9" s="4"/>
      <c r="E9" s="4"/>
      <c r="F9" s="4"/>
      <c r="G9" s="4"/>
      <c r="H9" s="5"/>
    </row>
    <row r="10" spans="2:8" ht="16" thickBot="1">
      <c r="B10" s="1" t="s">
        <v>5</v>
      </c>
      <c r="C10" s="27" t="s">
        <v>284</v>
      </c>
      <c r="D10" s="27" t="s">
        <v>277</v>
      </c>
      <c r="E10" s="27" t="s">
        <v>285</v>
      </c>
      <c r="F10" s="27" t="s">
        <v>285</v>
      </c>
      <c r="G10" s="2" t="s">
        <v>6</v>
      </c>
      <c r="H10" s="2" t="s">
        <v>67</v>
      </c>
    </row>
    <row r="11" spans="2:8" ht="28" thickBot="1">
      <c r="B11" s="1" t="s">
        <v>7</v>
      </c>
      <c r="C11" s="2">
        <v>100</v>
      </c>
      <c r="D11" s="2">
        <v>100</v>
      </c>
      <c r="E11" s="2">
        <v>100</v>
      </c>
      <c r="F11" s="2">
        <v>100</v>
      </c>
      <c r="G11" s="2"/>
      <c r="H11" s="2"/>
    </row>
    <row r="12" spans="2:8" ht="28" thickBot="1">
      <c r="B12" s="1" t="s">
        <v>8</v>
      </c>
      <c r="C12" s="2">
        <v>100</v>
      </c>
      <c r="D12" s="2">
        <v>100</v>
      </c>
      <c r="E12" s="2">
        <v>100</v>
      </c>
      <c r="F12" s="2">
        <v>100</v>
      </c>
      <c r="G12" s="2"/>
      <c r="H12" s="2"/>
    </row>
    <row r="13" spans="2:8" ht="16" thickBot="1">
      <c r="B13" s="1" t="s">
        <v>9</v>
      </c>
      <c r="C13" s="2">
        <v>75</v>
      </c>
      <c r="D13" s="2">
        <v>82</v>
      </c>
      <c r="E13" s="2">
        <v>86</v>
      </c>
      <c r="F13" s="2">
        <v>90</v>
      </c>
      <c r="G13" s="2"/>
      <c r="H13" s="2">
        <v>5</v>
      </c>
    </row>
    <row r="14" spans="2:8" ht="16" thickBot="1">
      <c r="B14" s="1" t="s">
        <v>11</v>
      </c>
      <c r="C14" s="2">
        <v>20</v>
      </c>
      <c r="D14" s="2">
        <v>20</v>
      </c>
      <c r="E14" s="2">
        <v>20</v>
      </c>
      <c r="F14" s="2">
        <v>20</v>
      </c>
      <c r="G14" s="2"/>
      <c r="H14" s="2">
        <v>6</v>
      </c>
    </row>
    <row r="15" spans="2:8" ht="16" thickBot="1">
      <c r="B15" s="3" t="s">
        <v>12</v>
      </c>
      <c r="C15" s="4"/>
      <c r="D15" s="4"/>
      <c r="E15" s="4"/>
      <c r="F15" s="4"/>
      <c r="G15" s="4"/>
      <c r="H15" s="5"/>
    </row>
    <row r="16" spans="2:8" ht="16" thickBot="1">
      <c r="B16" s="1" t="s">
        <v>13</v>
      </c>
      <c r="C16" s="35">
        <v>0</v>
      </c>
      <c r="D16" s="35">
        <v>0</v>
      </c>
      <c r="E16" s="35">
        <v>0</v>
      </c>
      <c r="F16" s="35">
        <v>0</v>
      </c>
      <c r="G16" s="2"/>
      <c r="H16" s="2"/>
    </row>
    <row r="17" spans="2:8" ht="16" thickBot="1">
      <c r="B17" s="1" t="s">
        <v>15</v>
      </c>
      <c r="C17" s="2">
        <v>80</v>
      </c>
      <c r="D17" s="2">
        <v>70</v>
      </c>
      <c r="E17" s="2">
        <v>60</v>
      </c>
      <c r="F17" s="2">
        <v>50</v>
      </c>
      <c r="G17" s="2"/>
      <c r="H17" s="2">
        <v>5</v>
      </c>
    </row>
    <row r="18" spans="2:8" ht="16" thickBot="1">
      <c r="B18" s="1" t="s">
        <v>17</v>
      </c>
      <c r="C18" s="2">
        <v>3</v>
      </c>
      <c r="D18" s="2">
        <v>2</v>
      </c>
      <c r="E18" s="2">
        <v>1</v>
      </c>
      <c r="F18" s="2">
        <v>0</v>
      </c>
      <c r="G18" s="2"/>
      <c r="H18" s="2" t="s">
        <v>69</v>
      </c>
    </row>
    <row r="19" spans="2:8" ht="16" thickBot="1">
      <c r="B19" s="1" t="s">
        <v>18</v>
      </c>
      <c r="C19" s="35">
        <v>0</v>
      </c>
      <c r="D19" s="35">
        <v>0</v>
      </c>
      <c r="E19" s="35">
        <v>0</v>
      </c>
      <c r="F19" s="35">
        <v>0</v>
      </c>
      <c r="G19" s="2"/>
      <c r="H19" s="2"/>
    </row>
    <row r="20" spans="2:8" ht="16" thickBot="1">
      <c r="B20" s="1" t="s">
        <v>19</v>
      </c>
      <c r="C20" s="2">
        <v>15</v>
      </c>
      <c r="D20" s="2">
        <v>12</v>
      </c>
      <c r="E20" s="2">
        <v>9</v>
      </c>
      <c r="F20" s="2">
        <v>6</v>
      </c>
      <c r="G20" s="2" t="s">
        <v>16</v>
      </c>
      <c r="H20" s="2">
        <v>5</v>
      </c>
    </row>
    <row r="21" spans="2:8" ht="16" thickBot="1">
      <c r="B21" s="3" t="s">
        <v>22</v>
      </c>
      <c r="C21" s="4"/>
      <c r="D21" s="4"/>
      <c r="E21" s="4"/>
      <c r="F21" s="4"/>
      <c r="G21" s="4"/>
      <c r="H21" s="5"/>
    </row>
    <row r="22" spans="2:8" ht="16" thickBot="1">
      <c r="B22" s="1" t="s">
        <v>23</v>
      </c>
      <c r="C22" s="2" t="s">
        <v>68</v>
      </c>
      <c r="D22" s="2" t="s">
        <v>68</v>
      </c>
      <c r="E22" s="2" t="s">
        <v>68</v>
      </c>
      <c r="F22" s="2" t="s">
        <v>68</v>
      </c>
      <c r="G22" s="2"/>
      <c r="H22" s="2"/>
    </row>
    <row r="23" spans="2:8">
      <c r="B23" s="6" t="s">
        <v>24</v>
      </c>
      <c r="C23" s="7">
        <v>4.5</v>
      </c>
      <c r="D23" s="7">
        <v>4.5</v>
      </c>
      <c r="E23" s="7">
        <v>4.5</v>
      </c>
      <c r="F23" s="7">
        <v>4.5</v>
      </c>
      <c r="G23" s="7"/>
      <c r="H23" s="7"/>
    </row>
    <row r="24" spans="2:8">
      <c r="B24" s="6" t="s">
        <v>71</v>
      </c>
      <c r="C24" s="7" t="s">
        <v>79</v>
      </c>
      <c r="D24" s="7">
        <v>3</v>
      </c>
      <c r="E24" s="7">
        <v>3</v>
      </c>
      <c r="F24" s="7">
        <v>3</v>
      </c>
      <c r="G24" s="7"/>
      <c r="H24" s="7"/>
    </row>
    <row r="25" spans="2:8" ht="16" thickBot="1">
      <c r="B25" s="1" t="s">
        <v>73</v>
      </c>
      <c r="C25" s="2" t="s">
        <v>80</v>
      </c>
      <c r="D25" s="2">
        <v>1.5</v>
      </c>
      <c r="E25" s="2">
        <v>1.5</v>
      </c>
      <c r="F25" s="2">
        <v>1.5</v>
      </c>
      <c r="G25" s="2"/>
      <c r="H25" s="2"/>
    </row>
    <row r="26" spans="2:8" ht="28" thickBot="1">
      <c r="B26" s="1" t="s">
        <v>30</v>
      </c>
      <c r="C26" s="2">
        <v>3.1</v>
      </c>
      <c r="D26" s="2">
        <v>3.1</v>
      </c>
      <c r="E26" s="2">
        <v>3.1</v>
      </c>
      <c r="F26" s="2">
        <v>3.1</v>
      </c>
      <c r="G26" s="2" t="s">
        <v>14</v>
      </c>
      <c r="H26" s="2"/>
    </row>
    <row r="27" spans="2:8" ht="16" thickBot="1">
      <c r="B27" s="1" t="s">
        <v>50</v>
      </c>
      <c r="C27" s="2">
        <v>2</v>
      </c>
      <c r="D27" s="2">
        <v>2</v>
      </c>
      <c r="E27" s="2">
        <v>2</v>
      </c>
      <c r="F27" s="2">
        <v>2</v>
      </c>
      <c r="G27" s="2" t="s">
        <v>20</v>
      </c>
      <c r="H27" s="2">
        <v>6</v>
      </c>
    </row>
    <row r="28" spans="2:8" ht="16" thickBot="1">
      <c r="B28" s="1" t="s">
        <v>31</v>
      </c>
      <c r="C28" s="2" t="s">
        <v>68</v>
      </c>
      <c r="D28" s="2" t="s">
        <v>68</v>
      </c>
      <c r="E28" s="2" t="s">
        <v>68</v>
      </c>
      <c r="F28" s="2" t="s">
        <v>68</v>
      </c>
      <c r="G28" s="2"/>
      <c r="H28" s="2"/>
    </row>
    <row r="32" spans="2:8" ht="16" thickBot="1"/>
    <row r="33" spans="2:8">
      <c r="B33" s="1257" t="s">
        <v>0</v>
      </c>
      <c r="C33" s="1259" t="s">
        <v>78</v>
      </c>
      <c r="D33" s="1260"/>
      <c r="E33" s="1260"/>
      <c r="F33" s="1260"/>
      <c r="G33" s="1260"/>
      <c r="H33" s="1261"/>
    </row>
    <row r="34" spans="2:8" ht="16" thickBot="1">
      <c r="B34" s="1258"/>
      <c r="C34" s="1134" t="s">
        <v>34</v>
      </c>
      <c r="D34" s="1135"/>
      <c r="E34" s="1135"/>
      <c r="F34" s="1135"/>
      <c r="G34" s="1135"/>
      <c r="H34" s="1136"/>
    </row>
    <row r="35" spans="2:8" ht="16" thickBot="1">
      <c r="B35" s="1"/>
      <c r="C35" s="2">
        <v>2015</v>
      </c>
      <c r="D35" s="2">
        <v>2020</v>
      </c>
      <c r="E35" s="2">
        <v>2030</v>
      </c>
      <c r="F35" s="2">
        <v>2050</v>
      </c>
      <c r="G35" s="2" t="s">
        <v>2</v>
      </c>
      <c r="H35" s="2" t="s">
        <v>3</v>
      </c>
    </row>
    <row r="36" spans="2:8" ht="16" thickBot="1">
      <c r="B36" s="3" t="s">
        <v>4</v>
      </c>
      <c r="C36" s="4"/>
      <c r="D36" s="4"/>
      <c r="E36" s="4"/>
      <c r="F36" s="4"/>
      <c r="G36" s="4"/>
      <c r="H36" s="5"/>
    </row>
    <row r="37" spans="2:8" ht="16" thickBot="1">
      <c r="B37" s="1" t="s">
        <v>5</v>
      </c>
      <c r="C37" s="27" t="s">
        <v>284</v>
      </c>
      <c r="D37" s="27" t="s">
        <v>289</v>
      </c>
      <c r="E37" s="27" t="s">
        <v>290</v>
      </c>
      <c r="F37" s="27" t="s">
        <v>291</v>
      </c>
      <c r="G37" s="2" t="s">
        <v>6</v>
      </c>
      <c r="H37" s="2" t="s">
        <v>67</v>
      </c>
    </row>
    <row r="38" spans="2:8" ht="28" thickBot="1">
      <c r="B38" s="1" t="s">
        <v>7</v>
      </c>
      <c r="C38" s="2">
        <v>100</v>
      </c>
      <c r="D38" s="2">
        <v>100</v>
      </c>
      <c r="E38" s="2">
        <v>100</v>
      </c>
      <c r="F38" s="2">
        <v>100</v>
      </c>
      <c r="G38" s="2"/>
      <c r="H38" s="2"/>
    </row>
    <row r="39" spans="2:8" ht="28" thickBot="1">
      <c r="B39" s="1" t="s">
        <v>8</v>
      </c>
      <c r="C39" s="2">
        <v>100</v>
      </c>
      <c r="D39" s="2">
        <v>100</v>
      </c>
      <c r="E39" s="2">
        <v>100</v>
      </c>
      <c r="F39" s="2">
        <v>100</v>
      </c>
      <c r="G39" s="2"/>
      <c r="H39" s="2"/>
    </row>
    <row r="40" spans="2:8" ht="16" thickBot="1">
      <c r="B40" s="1" t="s">
        <v>9</v>
      </c>
      <c r="C40" s="2">
        <v>75</v>
      </c>
      <c r="D40" s="2">
        <v>82</v>
      </c>
      <c r="E40" s="2">
        <v>86</v>
      </c>
      <c r="F40" s="2">
        <v>90</v>
      </c>
      <c r="G40" s="2"/>
      <c r="H40" s="2">
        <v>5</v>
      </c>
    </row>
    <row r="41" spans="2:8" ht="16" thickBot="1">
      <c r="B41" s="1" t="s">
        <v>11</v>
      </c>
      <c r="C41" s="2">
        <v>20</v>
      </c>
      <c r="D41" s="2">
        <v>20</v>
      </c>
      <c r="E41" s="2">
        <v>20</v>
      </c>
      <c r="F41" s="2">
        <v>20</v>
      </c>
      <c r="G41" s="2"/>
      <c r="H41" s="2">
        <v>6</v>
      </c>
    </row>
    <row r="42" spans="2:8" ht="16" thickBot="1">
      <c r="B42" s="3" t="s">
        <v>12</v>
      </c>
      <c r="C42" s="4"/>
      <c r="D42" s="4"/>
      <c r="E42" s="4"/>
      <c r="F42" s="4"/>
      <c r="G42" s="4"/>
      <c r="H42" s="5"/>
    </row>
    <row r="43" spans="2:8" ht="16" thickBot="1">
      <c r="B43" s="1" t="s">
        <v>13</v>
      </c>
      <c r="C43" s="35">
        <v>0</v>
      </c>
      <c r="D43" s="35">
        <v>0</v>
      </c>
      <c r="E43" s="35">
        <v>0</v>
      </c>
      <c r="F43" s="35">
        <v>0</v>
      </c>
      <c r="G43" s="2"/>
      <c r="H43" s="2"/>
    </row>
    <row r="44" spans="2:8" ht="16" thickBot="1">
      <c r="B44" s="1" t="s">
        <v>15</v>
      </c>
      <c r="C44" s="2">
        <v>80</v>
      </c>
      <c r="D44" s="2">
        <v>70</v>
      </c>
      <c r="E44" s="2">
        <v>60</v>
      </c>
      <c r="F44" s="2">
        <v>50</v>
      </c>
      <c r="G44" s="2"/>
      <c r="H44" s="2">
        <v>5</v>
      </c>
    </row>
    <row r="45" spans="2:8" ht="16" thickBot="1">
      <c r="B45" s="1" t="s">
        <v>17</v>
      </c>
      <c r="C45" s="2">
        <v>3</v>
      </c>
      <c r="D45" s="2">
        <v>2</v>
      </c>
      <c r="E45" s="2">
        <v>1</v>
      </c>
      <c r="F45" s="2">
        <v>0</v>
      </c>
      <c r="G45" s="2"/>
      <c r="H45" s="2" t="s">
        <v>69</v>
      </c>
    </row>
    <row r="46" spans="2:8" ht="16" thickBot="1">
      <c r="B46" s="1" t="s">
        <v>18</v>
      </c>
      <c r="C46" s="35">
        <v>0</v>
      </c>
      <c r="D46" s="35">
        <v>0</v>
      </c>
      <c r="E46" s="35">
        <v>0</v>
      </c>
      <c r="F46" s="35">
        <v>0</v>
      </c>
      <c r="G46" s="2"/>
      <c r="H46" s="2"/>
    </row>
    <row r="47" spans="2:8" ht="16" thickBot="1">
      <c r="B47" s="1" t="s">
        <v>19</v>
      </c>
      <c r="C47" s="2">
        <v>15</v>
      </c>
      <c r="D47" s="2">
        <v>12</v>
      </c>
      <c r="E47" s="2">
        <v>9</v>
      </c>
      <c r="F47" s="2">
        <v>6</v>
      </c>
      <c r="G47" s="2" t="s">
        <v>16</v>
      </c>
      <c r="H47" s="2">
        <v>5</v>
      </c>
    </row>
    <row r="48" spans="2:8" ht="16" thickBot="1">
      <c r="B48" s="3" t="s">
        <v>22</v>
      </c>
      <c r="C48" s="4"/>
      <c r="D48" s="4"/>
      <c r="E48" s="4"/>
      <c r="F48" s="4"/>
      <c r="G48" s="4"/>
      <c r="H48" s="5"/>
    </row>
    <row r="49" spans="2:8" ht="16" thickBot="1">
      <c r="B49" s="1" t="s">
        <v>23</v>
      </c>
      <c r="C49" s="2" t="s">
        <v>68</v>
      </c>
      <c r="D49" s="2" t="s">
        <v>68</v>
      </c>
      <c r="E49" s="2" t="s">
        <v>68</v>
      </c>
      <c r="F49" s="2" t="s">
        <v>68</v>
      </c>
      <c r="G49" s="2"/>
      <c r="H49" s="2"/>
    </row>
    <row r="50" spans="2:8">
      <c r="B50" s="6" t="s">
        <v>24</v>
      </c>
      <c r="C50" s="7">
        <v>4.5</v>
      </c>
      <c r="D50" s="7">
        <v>4.5</v>
      </c>
      <c r="E50" s="7">
        <v>4.5</v>
      </c>
      <c r="F50" s="7">
        <v>4.5</v>
      </c>
      <c r="G50" s="7"/>
      <c r="H50" s="7"/>
    </row>
    <row r="51" spans="2:8">
      <c r="B51" s="6" t="s">
        <v>71</v>
      </c>
      <c r="C51" s="7" t="s">
        <v>79</v>
      </c>
      <c r="D51" s="7">
        <v>3</v>
      </c>
      <c r="E51" s="7">
        <v>3</v>
      </c>
      <c r="F51" s="7">
        <v>3</v>
      </c>
      <c r="G51" s="7"/>
      <c r="H51" s="7"/>
    </row>
    <row r="52" spans="2:8" ht="16" thickBot="1">
      <c r="B52" s="1" t="s">
        <v>73</v>
      </c>
      <c r="C52" s="2" t="s">
        <v>80</v>
      </c>
      <c r="D52" s="2">
        <v>1.5</v>
      </c>
      <c r="E52" s="2">
        <v>1.5</v>
      </c>
      <c r="F52" s="2">
        <v>1.5</v>
      </c>
      <c r="G52" s="2"/>
      <c r="H52" s="2"/>
    </row>
    <row r="53" spans="2:8" ht="28" thickBot="1">
      <c r="B53" s="1" t="s">
        <v>30</v>
      </c>
      <c r="C53" s="2">
        <v>2.8</v>
      </c>
      <c r="D53" s="2">
        <v>2.8</v>
      </c>
      <c r="E53" s="2">
        <v>2.8</v>
      </c>
      <c r="F53" s="2">
        <v>2.8</v>
      </c>
      <c r="G53" s="2" t="s">
        <v>14</v>
      </c>
      <c r="H53" s="2"/>
    </row>
    <row r="54" spans="2:8" ht="16" thickBot="1">
      <c r="B54" s="1" t="s">
        <v>50</v>
      </c>
      <c r="C54" s="2">
        <v>2</v>
      </c>
      <c r="D54" s="2">
        <v>2</v>
      </c>
      <c r="E54" s="2">
        <v>2</v>
      </c>
      <c r="F54" s="2">
        <v>2</v>
      </c>
      <c r="G54" s="2" t="s">
        <v>81</v>
      </c>
      <c r="H54" s="2"/>
    </row>
    <row r="55" spans="2:8" ht="16" thickBot="1">
      <c r="B55" s="1" t="s">
        <v>31</v>
      </c>
      <c r="C55" s="2" t="s">
        <v>68</v>
      </c>
      <c r="D55" s="2" t="s">
        <v>68</v>
      </c>
      <c r="E55" s="2" t="s">
        <v>68</v>
      </c>
      <c r="F55" s="2" t="s">
        <v>68</v>
      </c>
      <c r="G55" s="2"/>
      <c r="H55" s="2"/>
    </row>
    <row r="156" spans="7:7">
      <c r="G156" s="263" t="s">
        <v>620</v>
      </c>
    </row>
  </sheetData>
  <mergeCells count="6">
    <mergeCell ref="B6:B7"/>
    <mergeCell ref="C6:H6"/>
    <mergeCell ref="C7:H7"/>
    <mergeCell ref="B33:B34"/>
    <mergeCell ref="C33:H33"/>
    <mergeCell ref="C34:H34"/>
  </mergeCells>
  <pageMargins left="0.7" right="0.7" top="0.75" bottom="0.75" header="0.3" footer="0.3"/>
  <pageSetup paperSize="9" orientation="portrai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0">
    <tabColor theme="4"/>
  </sheetPr>
  <dimension ref="B3:H156"/>
  <sheetViews>
    <sheetView workbookViewId="0">
      <selection activeCell="F153" sqref="F153"/>
    </sheetView>
  </sheetViews>
  <sheetFormatPr baseColWidth="10" defaultColWidth="8.83203125" defaultRowHeight="15"/>
  <cols>
    <col min="2" max="2" width="36.83203125" customWidth="1"/>
  </cols>
  <sheetData>
    <row r="3" spans="2:8">
      <c r="B3" s="8" t="s">
        <v>312</v>
      </c>
    </row>
    <row r="5" spans="2:8" ht="16" thickBot="1"/>
    <row r="6" spans="2:8">
      <c r="B6" s="1257" t="s">
        <v>0</v>
      </c>
      <c r="C6" s="1259" t="s">
        <v>82</v>
      </c>
      <c r="D6" s="1260"/>
      <c r="E6" s="1260"/>
      <c r="F6" s="1260"/>
      <c r="G6" s="1260"/>
      <c r="H6" s="1261"/>
    </row>
    <row r="7" spans="2:8" ht="16" thickBot="1">
      <c r="B7" s="1258"/>
      <c r="C7" s="1134" t="s">
        <v>38</v>
      </c>
      <c r="D7" s="1135"/>
      <c r="E7" s="1135"/>
      <c r="F7" s="1135"/>
      <c r="G7" s="1135"/>
      <c r="H7" s="1136"/>
    </row>
    <row r="8" spans="2:8" ht="16" thickBot="1">
      <c r="B8" s="1"/>
      <c r="C8" s="2">
        <v>2015</v>
      </c>
      <c r="D8" s="2">
        <v>2020</v>
      </c>
      <c r="E8" s="2">
        <v>2030</v>
      </c>
      <c r="F8" s="2">
        <v>2050</v>
      </c>
      <c r="G8" s="2" t="s">
        <v>2</v>
      </c>
      <c r="H8" s="2" t="s">
        <v>3</v>
      </c>
    </row>
    <row r="9" spans="2:8" ht="16" thickBot="1">
      <c r="B9" s="3" t="s">
        <v>4</v>
      </c>
      <c r="C9" s="4"/>
      <c r="D9" s="4"/>
      <c r="E9" s="4"/>
      <c r="F9" s="4"/>
      <c r="G9" s="4"/>
      <c r="H9" s="5"/>
    </row>
    <row r="10" spans="2:8" ht="16" thickBot="1">
      <c r="B10" s="1" t="s">
        <v>5</v>
      </c>
      <c r="C10" s="32" t="s">
        <v>286</v>
      </c>
      <c r="D10" s="32" t="s">
        <v>292</v>
      </c>
      <c r="E10" s="33" t="s">
        <v>83</v>
      </c>
      <c r="F10" s="33" t="s">
        <v>84</v>
      </c>
      <c r="G10" s="9"/>
      <c r="H10" s="9"/>
    </row>
    <row r="11" spans="2:8" ht="28" thickBot="1">
      <c r="B11" s="1" t="s">
        <v>7</v>
      </c>
      <c r="C11" s="9" t="s">
        <v>85</v>
      </c>
      <c r="D11" s="9" t="s">
        <v>85</v>
      </c>
      <c r="E11" s="9" t="s">
        <v>85</v>
      </c>
      <c r="F11" s="9" t="s">
        <v>85</v>
      </c>
      <c r="G11" s="9" t="s">
        <v>16</v>
      </c>
      <c r="H11" s="9"/>
    </row>
    <row r="12" spans="2:8" ht="28" thickBot="1">
      <c r="B12" s="1" t="s">
        <v>8</v>
      </c>
      <c r="C12" s="9">
        <v>0</v>
      </c>
      <c r="D12" s="9">
        <v>0</v>
      </c>
      <c r="E12" s="9">
        <v>0</v>
      </c>
      <c r="F12" s="9">
        <v>0</v>
      </c>
      <c r="G12" s="9" t="s">
        <v>76</v>
      </c>
      <c r="H12" s="9"/>
    </row>
    <row r="13" spans="2:8" ht="16" thickBot="1">
      <c r="B13" s="1" t="s">
        <v>9</v>
      </c>
      <c r="C13" s="9">
        <v>65</v>
      </c>
      <c r="D13" s="9">
        <v>70</v>
      </c>
      <c r="E13" s="9">
        <v>75</v>
      </c>
      <c r="F13" s="9">
        <v>75</v>
      </c>
      <c r="G13" s="9"/>
      <c r="H13" s="9"/>
    </row>
    <row r="14" spans="2:8" ht="16" thickBot="1">
      <c r="B14" s="1" t="s">
        <v>11</v>
      </c>
      <c r="C14" s="9">
        <v>24</v>
      </c>
      <c r="D14" s="9">
        <v>24</v>
      </c>
      <c r="E14" s="9">
        <v>24</v>
      </c>
      <c r="F14" s="9">
        <v>24</v>
      </c>
      <c r="G14" s="9"/>
      <c r="H14" s="9">
        <v>2</v>
      </c>
    </row>
    <row r="15" spans="2:8" ht="16" thickBot="1">
      <c r="B15" s="3" t="s">
        <v>12</v>
      </c>
      <c r="C15" s="12"/>
      <c r="D15" s="12"/>
      <c r="E15" s="12"/>
      <c r="F15" s="12"/>
      <c r="G15" s="12"/>
      <c r="H15" s="13"/>
    </row>
    <row r="16" spans="2:8" ht="16" thickBot="1">
      <c r="B16" s="1" t="s">
        <v>13</v>
      </c>
      <c r="C16" s="179">
        <v>0</v>
      </c>
      <c r="D16" s="179">
        <v>0</v>
      </c>
      <c r="E16" s="179">
        <v>0</v>
      </c>
      <c r="F16" s="179">
        <v>0</v>
      </c>
      <c r="G16" s="9"/>
      <c r="H16" s="9"/>
    </row>
    <row r="17" spans="2:8" ht="16" thickBot="1">
      <c r="B17" s="1" t="s">
        <v>15</v>
      </c>
      <c r="C17" s="9">
        <v>90</v>
      </c>
      <c r="D17" s="9">
        <v>90</v>
      </c>
      <c r="E17" s="9">
        <v>90</v>
      </c>
      <c r="F17" s="9">
        <v>90</v>
      </c>
      <c r="G17" s="9"/>
      <c r="H17" s="9"/>
    </row>
    <row r="18" spans="2:8" ht="16" thickBot="1">
      <c r="B18" s="1" t="s">
        <v>17</v>
      </c>
      <c r="C18" s="9">
        <v>320</v>
      </c>
      <c r="D18" s="9">
        <v>125</v>
      </c>
      <c r="E18" s="9">
        <v>100</v>
      </c>
      <c r="F18" s="9">
        <v>100</v>
      </c>
      <c r="G18" s="9"/>
      <c r="H18" s="9">
        <v>1</v>
      </c>
    </row>
    <row r="19" spans="2:8" ht="16" thickBot="1">
      <c r="B19" s="1" t="s">
        <v>18</v>
      </c>
      <c r="C19" s="179">
        <v>0</v>
      </c>
      <c r="D19" s="179">
        <v>0</v>
      </c>
      <c r="E19" s="179">
        <v>0</v>
      </c>
      <c r="F19" s="179">
        <v>0</v>
      </c>
      <c r="G19" s="9"/>
      <c r="H19" s="9"/>
    </row>
    <row r="20" spans="2:8" ht="16" thickBot="1">
      <c r="B20" s="1" t="s">
        <v>19</v>
      </c>
      <c r="C20" s="9">
        <v>50</v>
      </c>
      <c r="D20" s="9">
        <v>40</v>
      </c>
      <c r="E20" s="9">
        <v>30</v>
      </c>
      <c r="F20" s="9">
        <v>25</v>
      </c>
      <c r="G20" s="9" t="s">
        <v>6</v>
      </c>
      <c r="H20" s="9">
        <v>1</v>
      </c>
    </row>
    <row r="21" spans="2:8" ht="16" thickBot="1">
      <c r="B21" s="3" t="s">
        <v>22</v>
      </c>
      <c r="C21" s="12"/>
      <c r="D21" s="12"/>
      <c r="E21" s="12"/>
      <c r="F21" s="12"/>
      <c r="G21" s="12"/>
      <c r="H21" s="13"/>
    </row>
    <row r="22" spans="2:8" ht="16" thickBot="1">
      <c r="B22" s="1" t="s">
        <v>23</v>
      </c>
      <c r="C22" s="9" t="s">
        <v>68</v>
      </c>
      <c r="D22" s="9" t="s">
        <v>68</v>
      </c>
      <c r="E22" s="9" t="s">
        <v>68</v>
      </c>
      <c r="F22" s="9" t="s">
        <v>68</v>
      </c>
      <c r="G22" s="9"/>
      <c r="H22" s="9"/>
    </row>
    <row r="23" spans="2:8">
      <c r="B23" s="6" t="s">
        <v>24</v>
      </c>
      <c r="C23" s="14">
        <v>2.6</v>
      </c>
      <c r="D23" s="14">
        <v>2.6</v>
      </c>
      <c r="E23" s="14">
        <v>3.5</v>
      </c>
      <c r="F23" s="14">
        <v>3.5</v>
      </c>
      <c r="G23" s="14" t="s">
        <v>20</v>
      </c>
      <c r="H23" s="14">
        <v>2</v>
      </c>
    </row>
    <row r="24" spans="2:8">
      <c r="B24" s="6" t="s">
        <v>71</v>
      </c>
      <c r="C24" s="14" t="s">
        <v>86</v>
      </c>
      <c r="D24" s="14">
        <v>2</v>
      </c>
      <c r="E24" s="14">
        <v>2.5</v>
      </c>
      <c r="F24" s="14">
        <v>2.5</v>
      </c>
      <c r="G24" s="14"/>
      <c r="H24" s="14">
        <v>2</v>
      </c>
    </row>
    <row r="25" spans="2:8" ht="16" thickBot="1">
      <c r="B25" s="1" t="s">
        <v>87</v>
      </c>
      <c r="C25" s="9" t="s">
        <v>88</v>
      </c>
      <c r="D25" s="9">
        <v>0.6</v>
      </c>
      <c r="E25" s="9">
        <v>1</v>
      </c>
      <c r="F25" s="9">
        <v>1</v>
      </c>
      <c r="G25" s="9"/>
      <c r="H25" s="9">
        <v>2</v>
      </c>
    </row>
    <row r="26" spans="2:8" ht="28" thickBot="1">
      <c r="B26" s="1" t="s">
        <v>30</v>
      </c>
      <c r="C26" s="9">
        <v>1.6</v>
      </c>
      <c r="D26" s="9">
        <v>1.6</v>
      </c>
      <c r="E26" s="9">
        <v>1.6</v>
      </c>
      <c r="F26" s="9">
        <v>1.6</v>
      </c>
      <c r="G26" s="9" t="s">
        <v>59</v>
      </c>
      <c r="H26" s="9"/>
    </row>
    <row r="27" spans="2:8" ht="16" thickBot="1">
      <c r="B27" s="1" t="s">
        <v>50</v>
      </c>
      <c r="C27" s="9">
        <v>0.1</v>
      </c>
      <c r="D27" s="9">
        <v>0.1</v>
      </c>
      <c r="E27" s="9">
        <v>0.1</v>
      </c>
      <c r="F27" s="9">
        <v>0.2</v>
      </c>
      <c r="G27" s="9"/>
      <c r="H27" s="9"/>
    </row>
    <row r="28" spans="2:8" ht="16" thickBot="1">
      <c r="B28" s="1" t="s">
        <v>31</v>
      </c>
      <c r="C28" s="9" t="s">
        <v>68</v>
      </c>
      <c r="D28" s="9" t="s">
        <v>68</v>
      </c>
      <c r="E28" s="9" t="s">
        <v>68</v>
      </c>
      <c r="F28" s="9" t="s">
        <v>68</v>
      </c>
      <c r="G28" s="9"/>
      <c r="H28" s="9"/>
    </row>
    <row r="32" spans="2:8" ht="16" thickBot="1"/>
    <row r="33" spans="2:8">
      <c r="B33" s="1257" t="s">
        <v>0</v>
      </c>
      <c r="C33" s="1259" t="s">
        <v>89</v>
      </c>
      <c r="D33" s="1260"/>
      <c r="E33" s="1260"/>
      <c r="F33" s="1260"/>
      <c r="G33" s="1260"/>
      <c r="H33" s="1261"/>
    </row>
    <row r="34" spans="2:8" ht="16" thickBot="1">
      <c r="B34" s="1258"/>
      <c r="C34" s="1134" t="s">
        <v>38</v>
      </c>
      <c r="D34" s="1135"/>
      <c r="E34" s="1135"/>
      <c r="F34" s="1135"/>
      <c r="G34" s="1135"/>
      <c r="H34" s="1136"/>
    </row>
    <row r="35" spans="2:8" ht="16" thickBot="1">
      <c r="B35" s="1"/>
      <c r="C35" s="2">
        <v>2015</v>
      </c>
      <c r="D35" s="2">
        <v>2020</v>
      </c>
      <c r="E35" s="2">
        <v>2030</v>
      </c>
      <c r="F35" s="2">
        <v>2050</v>
      </c>
      <c r="G35" s="2" t="s">
        <v>2</v>
      </c>
      <c r="H35" s="2" t="s">
        <v>3</v>
      </c>
    </row>
    <row r="36" spans="2:8" ht="16" thickBot="1">
      <c r="B36" s="3" t="s">
        <v>4</v>
      </c>
      <c r="C36" s="4"/>
      <c r="D36" s="4"/>
      <c r="E36" s="4"/>
      <c r="F36" s="4"/>
      <c r="G36" s="4"/>
      <c r="H36" s="5"/>
    </row>
    <row r="37" spans="2:8" ht="16" thickBot="1">
      <c r="B37" s="1" t="s">
        <v>5</v>
      </c>
      <c r="C37" s="32" t="s">
        <v>293</v>
      </c>
      <c r="D37" s="32" t="s">
        <v>294</v>
      </c>
      <c r="E37" s="33" t="s">
        <v>90</v>
      </c>
      <c r="F37" s="33" t="s">
        <v>91</v>
      </c>
      <c r="G37" s="13"/>
      <c r="H37" s="13"/>
    </row>
    <row r="38" spans="2:8" ht="28" thickBot="1">
      <c r="B38" s="1" t="s">
        <v>7</v>
      </c>
      <c r="C38" s="9" t="s">
        <v>92</v>
      </c>
      <c r="D38" s="9" t="s">
        <v>92</v>
      </c>
      <c r="E38" s="9" t="s">
        <v>92</v>
      </c>
      <c r="F38" s="9" t="s">
        <v>92</v>
      </c>
      <c r="G38" s="13" t="s">
        <v>16</v>
      </c>
      <c r="H38" s="13"/>
    </row>
    <row r="39" spans="2:8" ht="28" thickBot="1">
      <c r="B39" s="1" t="s">
        <v>8</v>
      </c>
      <c r="C39" s="9">
        <v>20</v>
      </c>
      <c r="D39" s="9">
        <v>20</v>
      </c>
      <c r="E39" s="9">
        <v>20</v>
      </c>
      <c r="F39" s="9">
        <v>20</v>
      </c>
      <c r="G39" s="13" t="s">
        <v>76</v>
      </c>
      <c r="H39" s="13"/>
    </row>
    <row r="40" spans="2:8" ht="16" thickBot="1">
      <c r="B40" s="1" t="s">
        <v>9</v>
      </c>
      <c r="C40" s="9">
        <v>65</v>
      </c>
      <c r="D40" s="9">
        <v>70</v>
      </c>
      <c r="E40" s="9">
        <v>75</v>
      </c>
      <c r="F40" s="9">
        <v>75</v>
      </c>
      <c r="G40" s="9"/>
      <c r="H40" s="9"/>
    </row>
    <row r="41" spans="2:8" ht="16" thickBot="1">
      <c r="B41" s="1" t="s">
        <v>11</v>
      </c>
      <c r="C41" s="9">
        <v>24</v>
      </c>
      <c r="D41" s="9">
        <v>24</v>
      </c>
      <c r="E41" s="9">
        <v>24</v>
      </c>
      <c r="F41" s="9">
        <v>24</v>
      </c>
      <c r="G41" s="9"/>
      <c r="H41" s="9">
        <v>2</v>
      </c>
    </row>
    <row r="42" spans="2:8" ht="16" thickBot="1">
      <c r="B42" s="3" t="s">
        <v>12</v>
      </c>
      <c r="C42" s="16"/>
      <c r="D42" s="16"/>
      <c r="E42" s="16"/>
      <c r="F42" s="16"/>
      <c r="G42" s="16"/>
      <c r="H42" s="9"/>
    </row>
    <row r="43" spans="2:8" ht="16" thickBot="1">
      <c r="B43" s="1" t="s">
        <v>13</v>
      </c>
      <c r="C43" s="179">
        <v>0</v>
      </c>
      <c r="D43" s="179">
        <v>0</v>
      </c>
      <c r="E43" s="179">
        <v>0</v>
      </c>
      <c r="F43" s="179">
        <v>0</v>
      </c>
      <c r="G43" s="9"/>
      <c r="H43" s="9"/>
    </row>
    <row r="44" spans="2:8" ht="16" thickBot="1">
      <c r="B44" s="1" t="s">
        <v>15</v>
      </c>
      <c r="C44" s="9">
        <v>90</v>
      </c>
      <c r="D44" s="9">
        <v>90</v>
      </c>
      <c r="E44" s="9">
        <v>90</v>
      </c>
      <c r="F44" s="9">
        <v>90</v>
      </c>
      <c r="G44" s="13"/>
      <c r="H44" s="13"/>
    </row>
    <row r="45" spans="2:8" ht="16" thickBot="1">
      <c r="B45" s="1" t="s">
        <v>17</v>
      </c>
      <c r="C45" s="9">
        <v>320</v>
      </c>
      <c r="D45" s="9">
        <v>125</v>
      </c>
      <c r="E45" s="9">
        <v>100</v>
      </c>
      <c r="F45" s="9">
        <v>100</v>
      </c>
      <c r="G45" s="9"/>
      <c r="H45" s="9">
        <v>1</v>
      </c>
    </row>
    <row r="46" spans="2:8" ht="16" thickBot="1">
      <c r="B46" s="1" t="s">
        <v>18</v>
      </c>
      <c r="C46" s="179">
        <v>0</v>
      </c>
      <c r="D46" s="179">
        <v>0</v>
      </c>
      <c r="E46" s="179">
        <v>0</v>
      </c>
      <c r="F46" s="179">
        <v>0</v>
      </c>
      <c r="G46" s="9"/>
      <c r="H46" s="9"/>
    </row>
    <row r="47" spans="2:8" ht="16" thickBot="1">
      <c r="B47" s="1" t="s">
        <v>19</v>
      </c>
      <c r="C47" s="9"/>
      <c r="D47" s="9"/>
      <c r="E47" s="9"/>
      <c r="F47" s="9"/>
      <c r="G47" s="9"/>
      <c r="H47" s="9">
        <v>1</v>
      </c>
    </row>
    <row r="48" spans="2:8" ht="16" thickBot="1">
      <c r="B48" s="3" t="s">
        <v>22</v>
      </c>
      <c r="C48" s="16"/>
      <c r="D48" s="16"/>
      <c r="E48" s="16"/>
      <c r="F48" s="16"/>
      <c r="G48" s="16"/>
      <c r="H48" s="9"/>
    </row>
    <row r="49" spans="2:8" ht="16" thickBot="1">
      <c r="B49" s="1" t="s">
        <v>23</v>
      </c>
      <c r="C49" s="9" t="s">
        <v>68</v>
      </c>
      <c r="D49" s="9" t="s">
        <v>68</v>
      </c>
      <c r="E49" s="9" t="s">
        <v>68</v>
      </c>
      <c r="F49" s="9" t="s">
        <v>68</v>
      </c>
      <c r="G49" s="9" t="s">
        <v>6</v>
      </c>
      <c r="H49" s="9">
        <v>1</v>
      </c>
    </row>
    <row r="50" spans="2:8">
      <c r="B50" s="6" t="s">
        <v>24</v>
      </c>
      <c r="C50" s="14">
        <v>2.6</v>
      </c>
      <c r="D50" s="14">
        <v>2.6</v>
      </c>
      <c r="E50" s="14">
        <v>3.5</v>
      </c>
      <c r="F50" s="14">
        <v>3.5</v>
      </c>
      <c r="G50" s="17" t="s">
        <v>20</v>
      </c>
      <c r="H50" s="17">
        <v>2</v>
      </c>
    </row>
    <row r="51" spans="2:8">
      <c r="B51" s="6" t="s">
        <v>26</v>
      </c>
      <c r="C51" s="14" t="s">
        <v>86</v>
      </c>
      <c r="D51" s="14">
        <v>2</v>
      </c>
      <c r="E51" s="14">
        <v>2.5</v>
      </c>
      <c r="F51" s="14">
        <v>2.5</v>
      </c>
      <c r="G51" s="14"/>
      <c r="H51" s="14">
        <v>2</v>
      </c>
    </row>
    <row r="52" spans="2:8" ht="16" thickBot="1">
      <c r="B52" s="1" t="s">
        <v>28</v>
      </c>
      <c r="C52" s="9" t="s">
        <v>68</v>
      </c>
      <c r="D52" s="9" t="s">
        <v>68</v>
      </c>
      <c r="E52" s="9" t="s">
        <v>68</v>
      </c>
      <c r="F52" s="9" t="s">
        <v>68</v>
      </c>
      <c r="G52" s="9"/>
      <c r="H52" s="9">
        <v>2</v>
      </c>
    </row>
    <row r="53" spans="2:8" ht="28" thickBot="1">
      <c r="B53" s="1" t="s">
        <v>30</v>
      </c>
      <c r="C53" s="9">
        <v>1.3</v>
      </c>
      <c r="D53" s="9">
        <v>1.3</v>
      </c>
      <c r="E53" s="9">
        <v>1.3</v>
      </c>
      <c r="F53" s="9">
        <v>1.3</v>
      </c>
      <c r="G53" s="9" t="s">
        <v>59</v>
      </c>
      <c r="H53" s="9"/>
    </row>
    <row r="54" spans="2:8" ht="16" thickBot="1">
      <c r="B54" s="1" t="s">
        <v>50</v>
      </c>
      <c r="C54" s="9">
        <v>0.1</v>
      </c>
      <c r="D54" s="9">
        <v>0.1</v>
      </c>
      <c r="E54" s="9">
        <v>0.1</v>
      </c>
      <c r="F54" s="9">
        <v>0.2</v>
      </c>
      <c r="G54" s="9"/>
      <c r="H54" s="9"/>
    </row>
    <row r="55" spans="2:8" ht="16" thickBot="1">
      <c r="B55" s="1" t="s">
        <v>31</v>
      </c>
      <c r="C55" s="9" t="s">
        <v>68</v>
      </c>
      <c r="D55" s="9" t="s">
        <v>68</v>
      </c>
      <c r="E55" s="9" t="s">
        <v>68</v>
      </c>
      <c r="F55" s="9" t="s">
        <v>68</v>
      </c>
      <c r="G55" s="9"/>
      <c r="H55" s="9"/>
    </row>
    <row r="156" spans="7:7">
      <c r="G156" s="263" t="s">
        <v>620</v>
      </c>
    </row>
  </sheetData>
  <mergeCells count="6">
    <mergeCell ref="B6:B7"/>
    <mergeCell ref="C6:H6"/>
    <mergeCell ref="C7:H7"/>
    <mergeCell ref="B33:B34"/>
    <mergeCell ref="C33:H33"/>
    <mergeCell ref="C34:H34"/>
  </mergeCells>
  <pageMargins left="0.7" right="0.7" top="0.75" bottom="0.75" header="0.3" footer="0.3"/>
  <pageSetup paperSize="9" orientation="portrai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1">
    <tabColor theme="4"/>
  </sheetPr>
  <dimension ref="B3:X156"/>
  <sheetViews>
    <sheetView workbookViewId="0">
      <selection activeCell="E46" sqref="E46"/>
    </sheetView>
  </sheetViews>
  <sheetFormatPr baseColWidth="10" defaultColWidth="8.83203125" defaultRowHeight="15"/>
  <cols>
    <col min="2" max="2" width="36.83203125" customWidth="1"/>
  </cols>
  <sheetData>
    <row r="3" spans="2:24">
      <c r="B3" s="8" t="s">
        <v>313</v>
      </c>
      <c r="G3" t="s">
        <v>334</v>
      </c>
      <c r="H3" s="36">
        <v>7.45</v>
      </c>
    </row>
    <row r="5" spans="2:24" ht="16" thickBot="1"/>
    <row r="6" spans="2:24">
      <c r="B6" s="1257" t="s">
        <v>0</v>
      </c>
      <c r="C6" s="1259" t="s">
        <v>93</v>
      </c>
      <c r="D6" s="1260"/>
      <c r="E6" s="1260"/>
      <c r="F6" s="1260"/>
      <c r="G6" s="1260"/>
      <c r="H6" s="1261"/>
      <c r="J6" s="1259" t="str">
        <f>C6</f>
        <v>Heat pump, air-to-air</v>
      </c>
      <c r="K6" s="1260"/>
      <c r="L6" s="1260"/>
      <c r="M6" s="1260"/>
      <c r="N6" s="1260"/>
      <c r="O6" s="1261"/>
    </row>
    <row r="7" spans="2:24" ht="16" thickBot="1">
      <c r="B7" s="1258"/>
      <c r="C7" s="1134" t="s">
        <v>38</v>
      </c>
      <c r="D7" s="1135"/>
      <c r="E7" s="1135"/>
      <c r="F7" s="1135"/>
      <c r="G7" s="1135"/>
      <c r="H7" s="1136"/>
      <c r="J7" s="1134" t="str">
        <f>C7</f>
        <v>One-family house, existing and new building</v>
      </c>
      <c r="K7" s="1135"/>
      <c r="L7" s="1135"/>
      <c r="M7" s="1135"/>
      <c r="N7" s="1135"/>
      <c r="O7" s="1136"/>
    </row>
    <row r="8" spans="2:24" ht="16" thickBot="1">
      <c r="B8" s="1"/>
      <c r="C8" s="80">
        <v>2015</v>
      </c>
      <c r="D8" s="80">
        <v>2020</v>
      </c>
      <c r="E8" s="80">
        <v>2030</v>
      </c>
      <c r="F8" s="80">
        <v>2050</v>
      </c>
      <c r="G8" s="80" t="s">
        <v>2</v>
      </c>
      <c r="H8" s="80" t="s">
        <v>3</v>
      </c>
      <c r="J8" s="53" t="s">
        <v>357</v>
      </c>
    </row>
    <row r="9" spans="2:24" ht="31" thickBot="1">
      <c r="B9" s="3" t="s">
        <v>4</v>
      </c>
      <c r="C9" s="79"/>
      <c r="D9" s="79"/>
      <c r="E9" s="79"/>
      <c r="F9" s="79"/>
      <c r="G9" s="79"/>
      <c r="H9" s="80"/>
      <c r="J9" s="46" t="s">
        <v>335</v>
      </c>
      <c r="K9" s="46" t="s">
        <v>336</v>
      </c>
      <c r="L9" s="47" t="s">
        <v>337</v>
      </c>
      <c r="M9" s="47" t="s">
        <v>338</v>
      </c>
      <c r="N9" s="47" t="s">
        <v>339</v>
      </c>
      <c r="O9" s="48" t="s">
        <v>340</v>
      </c>
      <c r="P9" s="49" t="s">
        <v>341</v>
      </c>
      <c r="Q9" s="49" t="s">
        <v>342</v>
      </c>
      <c r="R9" s="49" t="s">
        <v>343</v>
      </c>
      <c r="S9" s="49" t="s">
        <v>344</v>
      </c>
      <c r="T9" s="49" t="s">
        <v>345</v>
      </c>
      <c r="U9" s="49" t="s">
        <v>346</v>
      </c>
      <c r="V9" s="49" t="s">
        <v>347</v>
      </c>
      <c r="W9" s="49" t="s">
        <v>348</v>
      </c>
      <c r="X9" s="49" t="s">
        <v>349</v>
      </c>
    </row>
    <row r="10" spans="2:24" ht="16" thickBot="1">
      <c r="B10" s="1" t="s">
        <v>5</v>
      </c>
      <c r="C10" s="34" t="s">
        <v>295</v>
      </c>
      <c r="D10" s="34" t="s">
        <v>295</v>
      </c>
      <c r="E10" s="34" t="s">
        <v>295</v>
      </c>
      <c r="F10" s="34" t="s">
        <v>295</v>
      </c>
      <c r="G10" s="80" t="s">
        <v>20</v>
      </c>
      <c r="H10" s="80"/>
      <c r="J10" s="50"/>
      <c r="K10" s="50"/>
      <c r="L10" s="51"/>
      <c r="M10" s="51"/>
      <c r="N10" s="51"/>
      <c r="O10" s="52"/>
      <c r="P10" s="50"/>
      <c r="Q10" s="50"/>
      <c r="R10" s="50"/>
      <c r="S10" s="50"/>
      <c r="T10" s="50"/>
      <c r="U10" s="50"/>
      <c r="V10" s="50"/>
      <c r="W10" s="50"/>
      <c r="X10" s="50"/>
    </row>
    <row r="11" spans="2:24" ht="28" thickBot="1">
      <c r="B11" s="1" t="s">
        <v>7</v>
      </c>
      <c r="C11" s="80">
        <v>60</v>
      </c>
      <c r="D11" s="80">
        <v>60</v>
      </c>
      <c r="E11" s="80">
        <v>60</v>
      </c>
      <c r="F11" s="80">
        <v>60</v>
      </c>
      <c r="G11" s="80" t="s">
        <v>16</v>
      </c>
      <c r="H11" s="80"/>
      <c r="J11" s="56"/>
      <c r="K11" s="56"/>
      <c r="L11" s="57"/>
      <c r="M11" s="57"/>
      <c r="N11" s="57"/>
      <c r="O11" s="56" t="s">
        <v>350</v>
      </c>
      <c r="P11" s="56" t="s">
        <v>326</v>
      </c>
      <c r="Q11" s="56" t="s">
        <v>327</v>
      </c>
      <c r="R11" s="56" t="s">
        <v>351</v>
      </c>
      <c r="S11" s="56" t="s">
        <v>351</v>
      </c>
      <c r="T11" s="56" t="s">
        <v>352</v>
      </c>
      <c r="U11" s="56" t="s">
        <v>352</v>
      </c>
      <c r="V11" s="56" t="s">
        <v>352</v>
      </c>
      <c r="W11" s="56" t="s">
        <v>352</v>
      </c>
      <c r="X11" s="56" t="s">
        <v>352</v>
      </c>
    </row>
    <row r="12" spans="2:24" ht="28" thickBot="1">
      <c r="B12" s="1" t="s">
        <v>8</v>
      </c>
      <c r="C12" s="80">
        <v>0</v>
      </c>
      <c r="D12" s="80">
        <v>0</v>
      </c>
      <c r="E12" s="80">
        <v>0</v>
      </c>
      <c r="F12" s="80">
        <v>0</v>
      </c>
      <c r="G12" s="80"/>
      <c r="H12" s="80"/>
      <c r="J12" s="58">
        <f>C8</f>
        <v>2015</v>
      </c>
      <c r="K12" s="58">
        <f>J12</f>
        <v>2015</v>
      </c>
      <c r="L12" s="58">
        <f>C13/100</f>
        <v>3</v>
      </c>
      <c r="M12" s="58"/>
      <c r="N12" s="58">
        <f>C14</f>
        <v>20</v>
      </c>
      <c r="O12" s="59">
        <f>C29</f>
        <v>4023.0000000000005</v>
      </c>
      <c r="P12" s="59">
        <f>C31</f>
        <v>62.580000000000005</v>
      </c>
      <c r="Q12" s="197">
        <f>C32</f>
        <v>0</v>
      </c>
      <c r="R12" s="58"/>
      <c r="S12" s="58"/>
      <c r="T12" s="58">
        <f>C16</f>
        <v>0</v>
      </c>
      <c r="U12" s="58">
        <f>C17</f>
        <v>0</v>
      </c>
      <c r="V12" s="58">
        <f>C18</f>
        <v>0</v>
      </c>
      <c r="W12" s="58">
        <f>C19</f>
        <v>0</v>
      </c>
      <c r="X12" s="58">
        <f>C20</f>
        <v>0</v>
      </c>
    </row>
    <row r="13" spans="2:24" ht="16" thickBot="1">
      <c r="B13" s="1" t="s">
        <v>9</v>
      </c>
      <c r="C13" s="80">
        <v>300</v>
      </c>
      <c r="D13" s="80">
        <v>320</v>
      </c>
      <c r="E13" s="80">
        <v>370</v>
      </c>
      <c r="F13" s="80">
        <v>400</v>
      </c>
      <c r="G13" s="80" t="s">
        <v>6</v>
      </c>
      <c r="H13" s="80" t="s">
        <v>10</v>
      </c>
      <c r="J13" s="58">
        <f>D8</f>
        <v>2020</v>
      </c>
      <c r="K13" s="58"/>
      <c r="L13" s="58">
        <f>D13/100</f>
        <v>3.2</v>
      </c>
      <c r="M13" s="58"/>
      <c r="N13" s="58">
        <f>D14</f>
        <v>20</v>
      </c>
      <c r="O13" s="59">
        <f>D29</f>
        <v>3874</v>
      </c>
      <c r="P13" s="59">
        <f>D31</f>
        <v>62.580000000000005</v>
      </c>
      <c r="Q13" s="197">
        <f>D32</f>
        <v>0</v>
      </c>
      <c r="R13" s="58"/>
      <c r="S13" s="58"/>
      <c r="T13" s="58">
        <f>D16</f>
        <v>0</v>
      </c>
      <c r="U13" s="58">
        <f>D17</f>
        <v>0</v>
      </c>
      <c r="V13" s="58">
        <f>D18</f>
        <v>0</v>
      </c>
      <c r="W13" s="58">
        <f>D19</f>
        <v>0</v>
      </c>
      <c r="X13" s="58">
        <f>D20</f>
        <v>0</v>
      </c>
    </row>
    <row r="14" spans="2:24" ht="16" thickBot="1">
      <c r="B14" s="1" t="s">
        <v>11</v>
      </c>
      <c r="C14" s="80">
        <v>20</v>
      </c>
      <c r="D14" s="80">
        <v>20</v>
      </c>
      <c r="E14" s="80">
        <v>20</v>
      </c>
      <c r="F14" s="80">
        <v>20</v>
      </c>
      <c r="G14" s="80"/>
      <c r="H14" s="80"/>
      <c r="J14" s="58">
        <f>E8</f>
        <v>2030</v>
      </c>
      <c r="K14" s="58"/>
      <c r="L14" s="58">
        <f>E13/100</f>
        <v>3.7</v>
      </c>
      <c r="M14" s="58"/>
      <c r="N14" s="58">
        <f>E14</f>
        <v>20</v>
      </c>
      <c r="O14" s="59">
        <f>E29</f>
        <v>3576</v>
      </c>
      <c r="P14" s="59">
        <f>E31</f>
        <v>62.580000000000005</v>
      </c>
      <c r="Q14" s="197">
        <f>E32</f>
        <v>0</v>
      </c>
      <c r="R14" s="58"/>
      <c r="S14" s="58"/>
      <c r="T14" s="58">
        <f>E16</f>
        <v>0</v>
      </c>
      <c r="U14" s="58">
        <f>E17</f>
        <v>0</v>
      </c>
      <c r="V14" s="58">
        <f>E18</f>
        <v>0</v>
      </c>
      <c r="W14" s="58">
        <f>E19</f>
        <v>0</v>
      </c>
      <c r="X14" s="58">
        <f>E20</f>
        <v>0</v>
      </c>
    </row>
    <row r="15" spans="2:24" ht="16" thickBot="1">
      <c r="B15" s="3" t="s">
        <v>12</v>
      </c>
      <c r="C15" s="79"/>
      <c r="D15" s="79"/>
      <c r="E15" s="79"/>
      <c r="F15" s="79"/>
      <c r="G15" s="79"/>
      <c r="H15" s="80"/>
      <c r="J15" s="58">
        <f>F8</f>
        <v>2050</v>
      </c>
      <c r="K15" s="58"/>
      <c r="L15" s="58">
        <f>F13/100</f>
        <v>4</v>
      </c>
      <c r="M15" s="58"/>
      <c r="N15" s="58">
        <f>F14</f>
        <v>20</v>
      </c>
      <c r="O15" s="59">
        <f>F29</f>
        <v>3426.9999999999995</v>
      </c>
      <c r="P15" s="59">
        <f>F31</f>
        <v>62.580000000000005</v>
      </c>
      <c r="Q15" s="197">
        <f>F32</f>
        <v>0</v>
      </c>
      <c r="R15" s="58"/>
      <c r="S15" s="58"/>
      <c r="T15" s="58">
        <f>F16</f>
        <v>0</v>
      </c>
      <c r="U15" s="58">
        <f>F17</f>
        <v>0</v>
      </c>
      <c r="V15" s="58">
        <f>F18</f>
        <v>0</v>
      </c>
      <c r="W15" s="58">
        <f>F19</f>
        <v>0</v>
      </c>
      <c r="X15" s="58">
        <f>F20</f>
        <v>0</v>
      </c>
    </row>
    <row r="16" spans="2:24" ht="27" customHeight="1" thickBot="1">
      <c r="B16" s="1" t="s">
        <v>13</v>
      </c>
      <c r="C16" s="190">
        <v>0</v>
      </c>
      <c r="D16" s="191">
        <v>0</v>
      </c>
      <c r="E16" s="191">
        <v>0</v>
      </c>
      <c r="F16" s="192">
        <v>0</v>
      </c>
      <c r="G16" s="1275" t="s">
        <v>98</v>
      </c>
      <c r="H16" s="175"/>
      <c r="J16" s="54"/>
      <c r="K16" s="54"/>
      <c r="L16" s="54"/>
      <c r="M16" s="54"/>
    </row>
    <row r="17" spans="2:13" ht="16" thickBot="1">
      <c r="B17" s="1" t="s">
        <v>15</v>
      </c>
      <c r="C17" s="193">
        <v>0</v>
      </c>
      <c r="D17" s="189">
        <v>0</v>
      </c>
      <c r="E17" s="189">
        <v>0</v>
      </c>
      <c r="F17" s="185">
        <v>0</v>
      </c>
      <c r="G17" s="1276"/>
      <c r="H17" s="176"/>
      <c r="J17" s="55"/>
      <c r="K17" s="55"/>
      <c r="L17" s="55"/>
      <c r="M17" s="55"/>
    </row>
    <row r="18" spans="2:13" ht="16" thickBot="1">
      <c r="B18" s="1" t="s">
        <v>17</v>
      </c>
      <c r="C18" s="193">
        <v>0</v>
      </c>
      <c r="D18" s="189">
        <v>0</v>
      </c>
      <c r="E18" s="189">
        <v>0</v>
      </c>
      <c r="F18" s="185">
        <v>0</v>
      </c>
      <c r="G18" s="1276"/>
      <c r="H18" s="176"/>
    </row>
    <row r="19" spans="2:13" ht="16" thickBot="1">
      <c r="B19" s="1" t="s">
        <v>18</v>
      </c>
      <c r="C19" s="193">
        <v>0</v>
      </c>
      <c r="D19" s="189">
        <v>0</v>
      </c>
      <c r="E19" s="189">
        <v>0</v>
      </c>
      <c r="F19" s="185">
        <v>0</v>
      </c>
      <c r="G19" s="1276"/>
      <c r="H19" s="176"/>
    </row>
    <row r="20" spans="2:13" ht="16" thickBot="1">
      <c r="B20" s="1" t="s">
        <v>19</v>
      </c>
      <c r="C20" s="194">
        <v>0</v>
      </c>
      <c r="D20" s="195">
        <v>0</v>
      </c>
      <c r="E20" s="195">
        <v>0</v>
      </c>
      <c r="F20" s="35">
        <v>0</v>
      </c>
      <c r="G20" s="1277"/>
      <c r="H20" s="177"/>
    </row>
    <row r="21" spans="2:13" ht="16" thickBot="1">
      <c r="B21" s="3" t="s">
        <v>22</v>
      </c>
      <c r="C21" s="18"/>
      <c r="D21" s="18"/>
      <c r="E21" s="18"/>
      <c r="F21" s="18"/>
      <c r="G21" s="68" t="s">
        <v>329</v>
      </c>
      <c r="H21" s="2"/>
    </row>
    <row r="22" spans="2:13" ht="16" thickBot="1">
      <c r="B22" s="1" t="s">
        <v>23</v>
      </c>
      <c r="C22" s="41">
        <f>C23/$G22</f>
        <v>0.54</v>
      </c>
      <c r="D22" s="41">
        <f>D23/$G22</f>
        <v>0.52</v>
      </c>
      <c r="E22" s="41">
        <f>E23/$G22</f>
        <v>0.48</v>
      </c>
      <c r="F22" s="41">
        <f>F23/$G22</f>
        <v>0.45999999999999996</v>
      </c>
      <c r="G22" s="73">
        <v>5</v>
      </c>
      <c r="H22" s="73" t="str">
        <f>H30</f>
        <v>kW</v>
      </c>
    </row>
    <row r="23" spans="2:13">
      <c r="B23" s="6" t="s">
        <v>24</v>
      </c>
      <c r="C23" s="7">
        <v>2.7</v>
      </c>
      <c r="D23" s="7">
        <v>2.6</v>
      </c>
      <c r="E23" s="7">
        <v>2.4</v>
      </c>
      <c r="F23" s="7">
        <v>2.2999999999999998</v>
      </c>
      <c r="G23" s="7" t="s">
        <v>6</v>
      </c>
      <c r="H23" s="7" t="s">
        <v>94</v>
      </c>
    </row>
    <row r="24" spans="2:13">
      <c r="B24" s="6" t="s">
        <v>26</v>
      </c>
      <c r="C24" s="7" t="s">
        <v>95</v>
      </c>
      <c r="D24" s="7">
        <v>80</v>
      </c>
      <c r="E24" s="7">
        <v>80</v>
      </c>
      <c r="F24" s="7">
        <v>80</v>
      </c>
      <c r="G24" s="7"/>
      <c r="H24" s="7"/>
    </row>
    <row r="25" spans="2:13" ht="16" thickBot="1">
      <c r="B25" s="1" t="s">
        <v>96</v>
      </c>
      <c r="C25" s="2" t="s">
        <v>97</v>
      </c>
      <c r="D25" s="2">
        <v>20</v>
      </c>
      <c r="E25" s="2">
        <v>20</v>
      </c>
      <c r="F25" s="2">
        <v>20</v>
      </c>
      <c r="G25" s="2"/>
      <c r="H25" s="2"/>
    </row>
    <row r="26" spans="2:13" ht="28" thickBot="1">
      <c r="B26" s="1" t="s">
        <v>30</v>
      </c>
      <c r="C26" s="2"/>
      <c r="D26" s="2"/>
      <c r="E26" s="2"/>
      <c r="F26" s="2"/>
      <c r="G26" s="2"/>
      <c r="H26" s="2"/>
    </row>
    <row r="27" spans="2:13" ht="16" thickBot="1">
      <c r="B27" s="1" t="s">
        <v>64</v>
      </c>
      <c r="C27" s="2">
        <v>42</v>
      </c>
      <c r="D27" s="2">
        <v>42</v>
      </c>
      <c r="E27" s="2">
        <v>42</v>
      </c>
      <c r="F27" s="2">
        <v>42</v>
      </c>
      <c r="G27" s="2" t="s">
        <v>59</v>
      </c>
      <c r="H27" s="2">
        <v>2</v>
      </c>
    </row>
    <row r="28" spans="2:13" ht="16" thickBot="1">
      <c r="B28" s="1" t="s">
        <v>31</v>
      </c>
      <c r="C28" s="2"/>
      <c r="D28" s="2"/>
      <c r="E28" s="2"/>
      <c r="F28" s="2"/>
      <c r="G28" s="2"/>
      <c r="H28" s="2"/>
      <c r="I28" s="64"/>
      <c r="J28" s="64"/>
    </row>
    <row r="29" spans="2:13">
      <c r="B29" s="36" t="s">
        <v>353</v>
      </c>
      <c r="C29" s="42">
        <f>C22*$H$3*1000</f>
        <v>4023.0000000000005</v>
      </c>
      <c r="D29" s="42">
        <f>D22*$H$3*1000</f>
        <v>3874</v>
      </c>
      <c r="E29" s="42">
        <f>E22*$H$3*1000</f>
        <v>3576</v>
      </c>
      <c r="F29" s="42">
        <f>F22*$H$3*1000</f>
        <v>3426.9999999999995</v>
      </c>
      <c r="G29" s="63" t="s">
        <v>332</v>
      </c>
      <c r="H29" s="63"/>
      <c r="I29" s="64"/>
    </row>
    <row r="30" spans="2:13">
      <c r="B30" s="36" t="s">
        <v>354</v>
      </c>
      <c r="C30" s="42">
        <f>C23*$H$3</f>
        <v>20.115000000000002</v>
      </c>
      <c r="D30" s="42">
        <f>D23*$H$3</f>
        <v>19.37</v>
      </c>
      <c r="E30" s="42">
        <f>E23*$H$3</f>
        <v>17.88</v>
      </c>
      <c r="F30" s="42">
        <f>F23*$H$3</f>
        <v>17.134999999999998</v>
      </c>
      <c r="G30" s="67">
        <v>5</v>
      </c>
      <c r="H30" s="63" t="s">
        <v>330</v>
      </c>
      <c r="I30" s="64"/>
    </row>
    <row r="31" spans="2:13">
      <c r="B31" s="36" t="s">
        <v>355</v>
      </c>
      <c r="C31" s="42">
        <f>C27*$H$3/$G30</f>
        <v>62.580000000000005</v>
      </c>
      <c r="D31" s="42">
        <f>D27*$H$3/$G30</f>
        <v>62.580000000000005</v>
      </c>
      <c r="E31" s="42">
        <f>E27*$H$3/$G30</f>
        <v>62.580000000000005</v>
      </c>
      <c r="F31" s="42">
        <f>F27*$H$3/$G30</f>
        <v>62.580000000000005</v>
      </c>
      <c r="G31" s="63" t="s">
        <v>333</v>
      </c>
      <c r="H31" s="63"/>
      <c r="I31" s="64"/>
    </row>
    <row r="32" spans="2:13" ht="16" thickBot="1">
      <c r="B32" s="36" t="s">
        <v>356</v>
      </c>
      <c r="C32" s="42">
        <f>C28*$H$3</f>
        <v>0</v>
      </c>
      <c r="D32" s="42">
        <f>D28*$H$3</f>
        <v>0</v>
      </c>
      <c r="E32" s="42">
        <f>E28*$H$3</f>
        <v>0</v>
      </c>
      <c r="F32" s="42">
        <f>F28*$H$3</f>
        <v>0</v>
      </c>
      <c r="G32" s="66"/>
      <c r="H32" s="63"/>
      <c r="I32" s="64"/>
    </row>
    <row r="33" spans="9:9">
      <c r="I33" s="64"/>
    </row>
    <row r="156" spans="7:7">
      <c r="G156" s="263" t="s">
        <v>620</v>
      </c>
    </row>
  </sheetData>
  <mergeCells count="6">
    <mergeCell ref="G16:G20"/>
    <mergeCell ref="B6:B7"/>
    <mergeCell ref="C6:H6"/>
    <mergeCell ref="C7:H7"/>
    <mergeCell ref="J6:O6"/>
    <mergeCell ref="J7:O7"/>
  </mergeCells>
  <pageMargins left="0.7" right="0.7" top="0.75" bottom="0.75" header="0.3" footer="0.3"/>
  <pageSetup paperSize="9" orientation="portrai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12">
    <tabColor theme="4"/>
  </sheetPr>
  <dimension ref="B3:X156"/>
  <sheetViews>
    <sheetView zoomScale="85" zoomScaleNormal="85" workbookViewId="0">
      <selection activeCell="F153" sqref="F153"/>
    </sheetView>
  </sheetViews>
  <sheetFormatPr baseColWidth="10" defaultColWidth="8.83203125" defaultRowHeight="15"/>
  <cols>
    <col min="2" max="2" width="36.83203125" customWidth="1"/>
    <col min="3" max="6" width="10" bestFit="1" customWidth="1"/>
    <col min="10" max="10" width="9.1640625" customWidth="1"/>
    <col min="18" max="18" width="9.1640625" customWidth="1"/>
  </cols>
  <sheetData>
    <row r="3" spans="2:24">
      <c r="B3" s="8" t="s">
        <v>314</v>
      </c>
    </row>
    <row r="4" spans="2:24">
      <c r="E4" t="s">
        <v>334</v>
      </c>
      <c r="F4" s="36">
        <v>7.45</v>
      </c>
      <c r="G4" t="s">
        <v>328</v>
      </c>
    </row>
    <row r="5" spans="2:24" ht="16" thickBot="1"/>
    <row r="6" spans="2:24">
      <c r="B6" s="1257" t="s">
        <v>0</v>
      </c>
      <c r="C6" s="1259" t="s">
        <v>99</v>
      </c>
      <c r="D6" s="1260"/>
      <c r="E6" s="1260"/>
      <c r="F6" s="1260"/>
      <c r="G6" s="1260"/>
      <c r="H6" s="1261"/>
      <c r="J6" s="1259" t="str">
        <f>C6</f>
        <v>Heat pump, air-to-water</v>
      </c>
      <c r="K6" s="1260"/>
      <c r="L6" s="1260"/>
      <c r="M6" s="1260"/>
      <c r="N6" s="1260"/>
      <c r="O6" s="1261"/>
    </row>
    <row r="7" spans="2:24" ht="16" thickBot="1">
      <c r="B7" s="1258"/>
      <c r="C7" s="1134" t="s">
        <v>1</v>
      </c>
      <c r="D7" s="1135"/>
      <c r="E7" s="1135"/>
      <c r="F7" s="1135"/>
      <c r="G7" s="1135"/>
      <c r="H7" s="1136"/>
      <c r="J7" s="1134" t="str">
        <f>C7</f>
        <v>One-family house, existing building</v>
      </c>
      <c r="K7" s="1135"/>
      <c r="L7" s="1135"/>
      <c r="M7" s="1135"/>
      <c r="N7" s="1135"/>
      <c r="O7" s="1136"/>
    </row>
    <row r="8" spans="2:24" ht="16" thickBot="1">
      <c r="B8" s="1"/>
      <c r="C8" s="2">
        <v>2015</v>
      </c>
      <c r="D8" s="2">
        <v>2020</v>
      </c>
      <c r="E8" s="2">
        <v>2030</v>
      </c>
      <c r="F8" s="2">
        <v>2050</v>
      </c>
      <c r="G8" s="2" t="s">
        <v>2</v>
      </c>
      <c r="H8" s="2" t="s">
        <v>3</v>
      </c>
      <c r="J8" s="53" t="s">
        <v>357</v>
      </c>
    </row>
    <row r="9" spans="2:24" ht="31" thickBot="1">
      <c r="B9" s="3" t="s">
        <v>4</v>
      </c>
      <c r="C9" s="4"/>
      <c r="D9" s="4"/>
      <c r="E9" s="4"/>
      <c r="F9" s="4"/>
      <c r="G9" s="4"/>
      <c r="H9" s="5"/>
      <c r="J9" s="46" t="s">
        <v>335</v>
      </c>
      <c r="K9" s="46" t="s">
        <v>336</v>
      </c>
      <c r="L9" s="47" t="s">
        <v>337</v>
      </c>
      <c r="M9" s="47" t="s">
        <v>338</v>
      </c>
      <c r="N9" s="47" t="s">
        <v>339</v>
      </c>
      <c r="O9" s="48" t="s">
        <v>340</v>
      </c>
      <c r="P9" s="49" t="s">
        <v>341</v>
      </c>
      <c r="Q9" s="49" t="s">
        <v>342</v>
      </c>
      <c r="R9" s="49" t="s">
        <v>343</v>
      </c>
      <c r="S9" s="49" t="s">
        <v>344</v>
      </c>
      <c r="T9" s="49" t="s">
        <v>345</v>
      </c>
      <c r="U9" s="49" t="s">
        <v>346</v>
      </c>
      <c r="V9" s="49" t="s">
        <v>347</v>
      </c>
      <c r="W9" s="49" t="s">
        <v>348</v>
      </c>
      <c r="X9" s="49" t="s">
        <v>349</v>
      </c>
    </row>
    <row r="10" spans="2:24" ht="16" thickBot="1">
      <c r="B10" s="1" t="s">
        <v>5</v>
      </c>
      <c r="C10" s="2">
        <v>10</v>
      </c>
      <c r="D10" s="2">
        <v>10</v>
      </c>
      <c r="E10" s="2">
        <v>10</v>
      </c>
      <c r="F10" s="2">
        <v>10</v>
      </c>
      <c r="G10" s="2"/>
      <c r="H10" s="2"/>
      <c r="J10" s="50"/>
      <c r="K10" s="50"/>
      <c r="L10" s="51"/>
      <c r="M10" s="51"/>
      <c r="N10" s="51"/>
      <c r="O10" s="52"/>
      <c r="P10" s="50"/>
      <c r="Q10" s="50"/>
      <c r="R10" s="50"/>
      <c r="S10" s="50"/>
      <c r="T10" s="50"/>
      <c r="U10" s="50"/>
      <c r="V10" s="50"/>
      <c r="W10" s="50"/>
      <c r="X10" s="50"/>
    </row>
    <row r="11" spans="2:24" ht="28" thickBot="1">
      <c r="B11" s="1" t="s">
        <v>100</v>
      </c>
      <c r="C11" s="2">
        <v>100</v>
      </c>
      <c r="D11" s="2">
        <v>100</v>
      </c>
      <c r="E11" s="2">
        <v>100</v>
      </c>
      <c r="F11" s="2">
        <v>100</v>
      </c>
      <c r="G11" s="2" t="s">
        <v>16</v>
      </c>
      <c r="H11" s="2"/>
      <c r="J11" s="56"/>
      <c r="K11" s="56"/>
      <c r="L11" s="57"/>
      <c r="M11" s="57"/>
      <c r="N11" s="57"/>
      <c r="O11" s="56" t="s">
        <v>350</v>
      </c>
      <c r="P11" s="56" t="s">
        <v>326</v>
      </c>
      <c r="Q11" s="56" t="s">
        <v>327</v>
      </c>
      <c r="R11" s="56" t="s">
        <v>351</v>
      </c>
      <c r="S11" s="56" t="s">
        <v>351</v>
      </c>
      <c r="T11" s="56" t="s">
        <v>352</v>
      </c>
      <c r="U11" s="56" t="s">
        <v>352</v>
      </c>
      <c r="V11" s="56" t="s">
        <v>352</v>
      </c>
      <c r="W11" s="56" t="s">
        <v>352</v>
      </c>
      <c r="X11" s="56" t="s">
        <v>352</v>
      </c>
    </row>
    <row r="12" spans="2:24" ht="28" thickBot="1">
      <c r="B12" s="1" t="s">
        <v>101</v>
      </c>
      <c r="C12" s="2">
        <v>100</v>
      </c>
      <c r="D12" s="2">
        <v>100</v>
      </c>
      <c r="E12" s="2">
        <v>100</v>
      </c>
      <c r="F12" s="2">
        <v>100</v>
      </c>
      <c r="G12" s="2" t="s">
        <v>16</v>
      </c>
      <c r="H12" s="2"/>
      <c r="J12" s="58">
        <f>C8</f>
        <v>2015</v>
      </c>
      <c r="K12" s="58">
        <f>J12</f>
        <v>2015</v>
      </c>
      <c r="L12" s="58">
        <f>C13/100</f>
        <v>3</v>
      </c>
      <c r="M12" s="58"/>
      <c r="N12" s="58">
        <f>C14</f>
        <v>20</v>
      </c>
      <c r="O12" s="59">
        <f>C29</f>
        <v>9685</v>
      </c>
      <c r="P12" s="59">
        <f>C31</f>
        <v>100.575</v>
      </c>
      <c r="Q12" s="59">
        <f>C32</f>
        <v>0</v>
      </c>
      <c r="R12" s="58"/>
      <c r="S12" s="58"/>
      <c r="T12" s="58">
        <f>C16</f>
        <v>0</v>
      </c>
      <c r="U12" s="58">
        <f>C17</f>
        <v>0</v>
      </c>
      <c r="V12" s="58">
        <f>C18</f>
        <v>0</v>
      </c>
      <c r="W12" s="58">
        <f>C19</f>
        <v>0</v>
      </c>
      <c r="X12" s="58">
        <f>C20</f>
        <v>0</v>
      </c>
    </row>
    <row r="13" spans="2:24" ht="28" thickBot="1">
      <c r="B13" s="1" t="s">
        <v>9</v>
      </c>
      <c r="C13" s="2">
        <v>300</v>
      </c>
      <c r="D13" s="2">
        <v>330</v>
      </c>
      <c r="E13" s="2">
        <v>370</v>
      </c>
      <c r="F13" s="2">
        <v>400</v>
      </c>
      <c r="G13" s="2" t="s">
        <v>102</v>
      </c>
      <c r="H13" s="2" t="s">
        <v>103</v>
      </c>
      <c r="J13" s="58">
        <f>D8</f>
        <v>2020</v>
      </c>
      <c r="K13" s="58"/>
      <c r="L13" s="58">
        <f>D13/100</f>
        <v>3.3</v>
      </c>
      <c r="M13" s="58"/>
      <c r="N13" s="58">
        <f>D14</f>
        <v>20</v>
      </c>
      <c r="O13" s="59">
        <f>D29</f>
        <v>8940</v>
      </c>
      <c r="P13" s="59">
        <f>D31</f>
        <v>100.575</v>
      </c>
      <c r="Q13" s="59">
        <f>D32</f>
        <v>0</v>
      </c>
      <c r="R13" s="58"/>
      <c r="S13" s="58"/>
      <c r="T13" s="58">
        <f>D16</f>
        <v>0</v>
      </c>
      <c r="U13" s="58">
        <f>D17</f>
        <v>0</v>
      </c>
      <c r="V13" s="58">
        <f>D18</f>
        <v>0</v>
      </c>
      <c r="W13" s="58">
        <f>D19</f>
        <v>0</v>
      </c>
      <c r="X13" s="58">
        <f>D20</f>
        <v>0</v>
      </c>
    </row>
    <row r="14" spans="2:24" ht="16" thickBot="1">
      <c r="B14" s="1" t="s">
        <v>11</v>
      </c>
      <c r="C14" s="2">
        <v>20</v>
      </c>
      <c r="D14" s="2">
        <v>20</v>
      </c>
      <c r="E14" s="2">
        <v>20</v>
      </c>
      <c r="F14" s="2">
        <v>20</v>
      </c>
      <c r="G14" s="2"/>
      <c r="H14" s="2"/>
      <c r="J14" s="58">
        <f>E8</f>
        <v>2030</v>
      </c>
      <c r="K14" s="58"/>
      <c r="L14" s="58">
        <f>E13/100</f>
        <v>3.7</v>
      </c>
      <c r="M14" s="58"/>
      <c r="N14" s="58">
        <f>E14</f>
        <v>20</v>
      </c>
      <c r="O14" s="59">
        <f>E29</f>
        <v>8940</v>
      </c>
      <c r="P14" s="59">
        <f>E31</f>
        <v>100.575</v>
      </c>
      <c r="Q14" s="59">
        <f>E32</f>
        <v>0</v>
      </c>
      <c r="R14" s="58"/>
      <c r="S14" s="58"/>
      <c r="T14" s="58">
        <f>E16</f>
        <v>0</v>
      </c>
      <c r="U14" s="58">
        <f>E17</f>
        <v>0</v>
      </c>
      <c r="V14" s="58">
        <f>E18</f>
        <v>0</v>
      </c>
      <c r="W14" s="58">
        <f>E19</f>
        <v>0</v>
      </c>
      <c r="X14" s="58">
        <f>E20</f>
        <v>0</v>
      </c>
    </row>
    <row r="15" spans="2:24" ht="16" thickBot="1">
      <c r="B15" s="3" t="s">
        <v>12</v>
      </c>
      <c r="C15" s="18"/>
      <c r="D15" s="18"/>
      <c r="E15" s="18"/>
      <c r="F15" s="18"/>
      <c r="G15" s="18"/>
      <c r="H15" s="2"/>
      <c r="J15" s="58">
        <f>F8</f>
        <v>2050</v>
      </c>
      <c r="K15" s="58"/>
      <c r="L15" s="58">
        <f>F13/100</f>
        <v>4</v>
      </c>
      <c r="M15" s="58"/>
      <c r="N15" s="58">
        <f>F14</f>
        <v>20</v>
      </c>
      <c r="O15" s="59">
        <f>F29</f>
        <v>8195</v>
      </c>
      <c r="P15" s="59">
        <f>F31</f>
        <v>100.575</v>
      </c>
      <c r="Q15" s="59">
        <f>F32</f>
        <v>0</v>
      </c>
      <c r="R15" s="58"/>
      <c r="S15" s="58"/>
      <c r="T15" s="58"/>
      <c r="U15" s="58">
        <f>F17</f>
        <v>0</v>
      </c>
      <c r="V15" s="58">
        <f>F18</f>
        <v>0</v>
      </c>
      <c r="W15" s="58">
        <f>F19</f>
        <v>0</v>
      </c>
      <c r="X15" s="58">
        <f>F20</f>
        <v>0</v>
      </c>
    </row>
    <row r="16" spans="2:24" ht="27" customHeight="1" thickBot="1">
      <c r="B16" s="1" t="s">
        <v>13</v>
      </c>
      <c r="C16" s="189">
        <v>0</v>
      </c>
      <c r="D16" s="189">
        <v>0</v>
      </c>
      <c r="E16" s="189">
        <v>0</v>
      </c>
      <c r="F16" s="189">
        <v>0</v>
      </c>
      <c r="G16" s="1275" t="s">
        <v>98</v>
      </c>
      <c r="H16" s="175"/>
    </row>
    <row r="17" spans="2:9" ht="16" thickBot="1">
      <c r="B17" s="1" t="s">
        <v>15</v>
      </c>
      <c r="C17" s="189">
        <v>0</v>
      </c>
      <c r="D17" s="189">
        <v>0</v>
      </c>
      <c r="E17" s="189">
        <v>0</v>
      </c>
      <c r="F17" s="189">
        <v>0</v>
      </c>
      <c r="G17" s="1276"/>
      <c r="H17" s="176"/>
    </row>
    <row r="18" spans="2:9" ht="16" thickBot="1">
      <c r="B18" s="1" t="s">
        <v>17</v>
      </c>
      <c r="C18" s="189">
        <v>0</v>
      </c>
      <c r="D18" s="189">
        <v>0</v>
      </c>
      <c r="E18" s="189">
        <v>0</v>
      </c>
      <c r="F18" s="189">
        <v>0</v>
      </c>
      <c r="G18" s="1276"/>
      <c r="H18" s="176"/>
    </row>
    <row r="19" spans="2:9" ht="16" thickBot="1">
      <c r="B19" s="1" t="s">
        <v>18</v>
      </c>
      <c r="C19" s="189">
        <v>0</v>
      </c>
      <c r="D19" s="189">
        <v>0</v>
      </c>
      <c r="E19" s="189">
        <v>0</v>
      </c>
      <c r="F19" s="189">
        <v>0</v>
      </c>
      <c r="G19" s="1276"/>
      <c r="H19" s="176"/>
    </row>
    <row r="20" spans="2:9" ht="16" thickBot="1">
      <c r="B20" s="1" t="s">
        <v>19</v>
      </c>
      <c r="C20" s="189">
        <v>0</v>
      </c>
      <c r="D20" s="189">
        <v>0</v>
      </c>
      <c r="E20" s="189">
        <v>0</v>
      </c>
      <c r="F20" s="189">
        <v>0</v>
      </c>
      <c r="G20" s="1277"/>
      <c r="H20" s="177"/>
    </row>
    <row r="21" spans="2:9" ht="16" thickBot="1">
      <c r="B21" s="3" t="s">
        <v>22</v>
      </c>
      <c r="C21" s="18"/>
      <c r="D21" s="18"/>
      <c r="E21" s="18"/>
      <c r="F21" s="18"/>
      <c r="G21" s="68" t="s">
        <v>329</v>
      </c>
      <c r="H21" s="2"/>
    </row>
    <row r="22" spans="2:9" ht="16" thickBot="1">
      <c r="B22" s="1" t="s">
        <v>23</v>
      </c>
      <c r="C22" s="43">
        <f>C23/C10</f>
        <v>1.3</v>
      </c>
      <c r="D22" s="43">
        <f>D23/D10</f>
        <v>1.2</v>
      </c>
      <c r="E22" s="43">
        <f>E23/E10</f>
        <v>1.2</v>
      </c>
      <c r="F22" s="43">
        <f>F23/F10</f>
        <v>1.1000000000000001</v>
      </c>
      <c r="G22" s="68">
        <f>G30</f>
        <v>10</v>
      </c>
      <c r="H22" s="68" t="s">
        <v>359</v>
      </c>
      <c r="I22" s="64"/>
    </row>
    <row r="23" spans="2:9">
      <c r="B23" s="6" t="s">
        <v>24</v>
      </c>
      <c r="C23" s="7">
        <v>13</v>
      </c>
      <c r="D23" s="7">
        <v>12</v>
      </c>
      <c r="E23" s="7">
        <v>12</v>
      </c>
      <c r="F23" s="7">
        <v>11</v>
      </c>
      <c r="G23" s="7" t="s">
        <v>104</v>
      </c>
      <c r="H23" s="7" t="s">
        <v>105</v>
      </c>
    </row>
    <row r="24" spans="2:9">
      <c r="B24" s="6" t="s">
        <v>26</v>
      </c>
      <c r="C24" s="7" t="s">
        <v>106</v>
      </c>
      <c r="D24" s="7">
        <v>85</v>
      </c>
      <c r="E24" s="7">
        <v>85</v>
      </c>
      <c r="F24" s="7">
        <v>85</v>
      </c>
      <c r="G24" s="7"/>
      <c r="H24" s="7"/>
    </row>
    <row r="25" spans="2:9" ht="16" thickBot="1">
      <c r="B25" s="1" t="s">
        <v>96</v>
      </c>
      <c r="C25" s="2" t="s">
        <v>107</v>
      </c>
      <c r="D25" s="2">
        <v>15</v>
      </c>
      <c r="E25" s="2">
        <v>15</v>
      </c>
      <c r="F25" s="2">
        <v>15</v>
      </c>
      <c r="G25" s="2"/>
      <c r="H25" s="2"/>
    </row>
    <row r="26" spans="2:9" ht="28" thickBot="1">
      <c r="B26" s="1" t="s">
        <v>30</v>
      </c>
      <c r="C26" s="2"/>
      <c r="D26" s="2"/>
      <c r="E26" s="2"/>
      <c r="F26" s="2"/>
      <c r="G26" s="2"/>
      <c r="H26" s="2"/>
    </row>
    <row r="27" spans="2:9" ht="16" thickBot="1">
      <c r="B27" s="1" t="s">
        <v>64</v>
      </c>
      <c r="C27" s="2">
        <v>135</v>
      </c>
      <c r="D27" s="2">
        <v>135</v>
      </c>
      <c r="E27" s="2">
        <v>135</v>
      </c>
      <c r="F27" s="2">
        <v>135</v>
      </c>
      <c r="G27" s="2" t="s">
        <v>20</v>
      </c>
      <c r="H27" s="2">
        <v>2</v>
      </c>
    </row>
    <row r="28" spans="2:9">
      <c r="B28" s="6" t="s">
        <v>31</v>
      </c>
      <c r="C28" s="187"/>
      <c r="D28" s="187"/>
      <c r="E28" s="187"/>
      <c r="F28" s="187"/>
      <c r="G28" s="7"/>
      <c r="H28" s="7"/>
    </row>
    <row r="29" spans="2:9">
      <c r="B29" s="36" t="s">
        <v>353</v>
      </c>
      <c r="C29" s="60">
        <f>C22*$F$4*1000</f>
        <v>9685</v>
      </c>
      <c r="D29" s="60">
        <f t="shared" ref="C29:F30" si="0">D22*$F$4*1000</f>
        <v>8940</v>
      </c>
      <c r="E29" s="60">
        <f t="shared" si="0"/>
        <v>8940</v>
      </c>
      <c r="F29" s="60">
        <f t="shared" si="0"/>
        <v>8195</v>
      </c>
      <c r="G29" s="63" t="s">
        <v>332</v>
      </c>
      <c r="H29" s="63"/>
    </row>
    <row r="30" spans="2:9">
      <c r="B30" s="36" t="s">
        <v>354</v>
      </c>
      <c r="C30" s="60">
        <f t="shared" si="0"/>
        <v>96850.000000000015</v>
      </c>
      <c r="D30" s="60">
        <f t="shared" si="0"/>
        <v>89400</v>
      </c>
      <c r="E30" s="60">
        <f t="shared" si="0"/>
        <v>89400</v>
      </c>
      <c r="F30" s="60">
        <f t="shared" si="0"/>
        <v>81950</v>
      </c>
      <c r="G30" s="70">
        <f>C10</f>
        <v>10</v>
      </c>
      <c r="H30" s="69" t="s">
        <v>330</v>
      </c>
    </row>
    <row r="31" spans="2:9">
      <c r="B31" s="36" t="s">
        <v>355</v>
      </c>
      <c r="C31" s="60">
        <f>C27*$F$4/C10</f>
        <v>100.575</v>
      </c>
      <c r="D31" s="60">
        <f>D27*$F$4/D10</f>
        <v>100.575</v>
      </c>
      <c r="E31" s="60">
        <f>E27*$F$4/E10</f>
        <v>100.575</v>
      </c>
      <c r="F31" s="60">
        <f>F27*$F$4/F10</f>
        <v>100.575</v>
      </c>
      <c r="G31" s="69" t="s">
        <v>331</v>
      </c>
      <c r="H31" s="69"/>
    </row>
    <row r="32" spans="2:9" ht="16" thickBot="1">
      <c r="B32" s="36" t="s">
        <v>356</v>
      </c>
      <c r="C32" s="186">
        <f>C28*$F$4</f>
        <v>0</v>
      </c>
      <c r="D32" s="186">
        <f>D28*$F$4</f>
        <v>0</v>
      </c>
      <c r="E32" s="186">
        <f>E28*$F$4</f>
        <v>0</v>
      </c>
      <c r="F32" s="186">
        <f>F28*$F$4</f>
        <v>0</v>
      </c>
      <c r="G32" s="61"/>
      <c r="H32" s="61"/>
    </row>
    <row r="33" spans="2:24">
      <c r="B33" s="1278" t="s">
        <v>0</v>
      </c>
      <c r="C33" s="1142" t="s">
        <v>99</v>
      </c>
      <c r="D33" s="1267"/>
      <c r="E33" s="1267"/>
      <c r="F33" s="1267"/>
      <c r="G33" s="1267"/>
      <c r="H33" s="1144"/>
      <c r="J33" s="1259" t="str">
        <f>C33</f>
        <v>Heat pump, air-to-water</v>
      </c>
      <c r="K33" s="1260"/>
      <c r="L33" s="1260"/>
      <c r="M33" s="1260"/>
      <c r="N33" s="1260"/>
      <c r="O33" s="1261"/>
    </row>
    <row r="34" spans="2:24" ht="16" thickBot="1">
      <c r="B34" s="1258"/>
      <c r="C34" s="1134" t="s">
        <v>32</v>
      </c>
      <c r="D34" s="1135"/>
      <c r="E34" s="1135"/>
      <c r="F34" s="1135"/>
      <c r="G34" s="1135"/>
      <c r="H34" s="1136"/>
      <c r="J34" s="1134" t="str">
        <f>C34</f>
        <v>Apartment complex, existing building</v>
      </c>
      <c r="K34" s="1135"/>
      <c r="L34" s="1135"/>
      <c r="M34" s="1135"/>
      <c r="N34" s="1135"/>
      <c r="O34" s="1136"/>
    </row>
    <row r="35" spans="2:24" ht="16" thickBot="1">
      <c r="B35" s="1"/>
      <c r="C35" s="2">
        <v>2015</v>
      </c>
      <c r="D35" s="2">
        <v>2020</v>
      </c>
      <c r="E35" s="2">
        <v>2030</v>
      </c>
      <c r="F35" s="2">
        <v>2050</v>
      </c>
      <c r="G35" s="2" t="s">
        <v>2</v>
      </c>
      <c r="H35" s="2" t="s">
        <v>3</v>
      </c>
      <c r="J35" s="53" t="s">
        <v>357</v>
      </c>
    </row>
    <row r="36" spans="2:24" ht="31" thickBot="1">
      <c r="B36" s="3" t="s">
        <v>4</v>
      </c>
      <c r="C36" s="4"/>
      <c r="D36" s="4"/>
      <c r="E36" s="4"/>
      <c r="F36" s="4"/>
      <c r="G36" s="4"/>
      <c r="H36" s="5"/>
      <c r="J36" s="46" t="s">
        <v>335</v>
      </c>
      <c r="K36" s="46" t="s">
        <v>336</v>
      </c>
      <c r="L36" s="47" t="s">
        <v>337</v>
      </c>
      <c r="M36" s="47" t="s">
        <v>338</v>
      </c>
      <c r="N36" s="47" t="s">
        <v>339</v>
      </c>
      <c r="O36" s="48" t="s">
        <v>340</v>
      </c>
      <c r="P36" s="49" t="s">
        <v>341</v>
      </c>
      <c r="Q36" s="49" t="s">
        <v>342</v>
      </c>
      <c r="R36" s="49" t="s">
        <v>343</v>
      </c>
      <c r="S36" s="49" t="s">
        <v>344</v>
      </c>
      <c r="T36" s="49" t="s">
        <v>345</v>
      </c>
      <c r="U36" s="49" t="s">
        <v>346</v>
      </c>
      <c r="V36" s="49" t="s">
        <v>347</v>
      </c>
      <c r="W36" s="49" t="s">
        <v>348</v>
      </c>
      <c r="X36" s="49" t="s">
        <v>349</v>
      </c>
    </row>
    <row r="37" spans="2:24" ht="16" thickBot="1">
      <c r="B37" s="1" t="s">
        <v>5</v>
      </c>
      <c r="C37" s="2" t="s">
        <v>108</v>
      </c>
      <c r="D37" s="2" t="s">
        <v>108</v>
      </c>
      <c r="E37" s="2" t="s">
        <v>108</v>
      </c>
      <c r="F37" s="2" t="s">
        <v>108</v>
      </c>
      <c r="G37" s="2"/>
      <c r="H37" s="2"/>
      <c r="J37" s="50"/>
      <c r="K37" s="50"/>
      <c r="L37" s="51"/>
      <c r="M37" s="51"/>
      <c r="N37" s="51"/>
      <c r="O37" s="52"/>
      <c r="P37" s="50"/>
      <c r="Q37" s="50"/>
      <c r="R37" s="50"/>
      <c r="S37" s="50"/>
      <c r="T37" s="50"/>
      <c r="U37" s="50"/>
      <c r="V37" s="50"/>
      <c r="W37" s="50"/>
      <c r="X37" s="50"/>
    </row>
    <row r="38" spans="2:24" ht="28" thickBot="1">
      <c r="B38" s="1" t="s">
        <v>100</v>
      </c>
      <c r="C38" s="2">
        <v>100</v>
      </c>
      <c r="D38" s="2">
        <v>100</v>
      </c>
      <c r="E38" s="2">
        <v>100</v>
      </c>
      <c r="F38" s="2">
        <v>100</v>
      </c>
      <c r="G38" s="2" t="s">
        <v>16</v>
      </c>
      <c r="H38" s="2"/>
      <c r="J38" s="56"/>
      <c r="K38" s="56"/>
      <c r="L38" s="57"/>
      <c r="M38" s="57"/>
      <c r="N38" s="57"/>
      <c r="O38" s="56" t="s">
        <v>350</v>
      </c>
      <c r="P38" s="56" t="s">
        <v>326</v>
      </c>
      <c r="Q38" s="56" t="s">
        <v>327</v>
      </c>
      <c r="R38" s="56" t="s">
        <v>351</v>
      </c>
      <c r="S38" s="56" t="s">
        <v>351</v>
      </c>
      <c r="T38" s="56" t="s">
        <v>352</v>
      </c>
      <c r="U38" s="56" t="s">
        <v>352</v>
      </c>
      <c r="V38" s="56" t="s">
        <v>352</v>
      </c>
      <c r="W38" s="56" t="s">
        <v>352</v>
      </c>
      <c r="X38" s="56" t="s">
        <v>352</v>
      </c>
    </row>
    <row r="39" spans="2:24" ht="28" thickBot="1">
      <c r="B39" s="1" t="s">
        <v>101</v>
      </c>
      <c r="C39" s="2">
        <v>100</v>
      </c>
      <c r="D39" s="2">
        <v>100</v>
      </c>
      <c r="E39" s="2">
        <v>100</v>
      </c>
      <c r="F39" s="2">
        <v>100</v>
      </c>
      <c r="G39" s="2" t="s">
        <v>16</v>
      </c>
      <c r="H39" s="2"/>
      <c r="J39" s="58">
        <f>C35</f>
        <v>2015</v>
      </c>
      <c r="K39" s="58">
        <f>J39</f>
        <v>2015</v>
      </c>
      <c r="L39" s="58">
        <f>C40/100</f>
        <v>3</v>
      </c>
      <c r="M39" s="58"/>
      <c r="N39" s="58">
        <f>C41</f>
        <v>20</v>
      </c>
      <c r="O39" s="59">
        <f>C56</f>
        <v>7450</v>
      </c>
      <c r="P39" s="59">
        <f>C58</f>
        <v>7.45</v>
      </c>
      <c r="Q39" s="59">
        <f>C59</f>
        <v>0</v>
      </c>
      <c r="R39" s="58"/>
      <c r="S39" s="58"/>
      <c r="T39" s="58"/>
      <c r="U39" s="58"/>
      <c r="V39" s="58"/>
      <c r="W39" s="58"/>
      <c r="X39" s="58"/>
    </row>
    <row r="40" spans="2:24" ht="28" thickBot="1">
      <c r="B40" s="1" t="s">
        <v>9</v>
      </c>
      <c r="C40" s="2">
        <v>300</v>
      </c>
      <c r="D40" s="2">
        <v>330</v>
      </c>
      <c r="E40" s="2">
        <v>370</v>
      </c>
      <c r="F40" s="2">
        <v>400</v>
      </c>
      <c r="G40" s="2" t="s">
        <v>102</v>
      </c>
      <c r="H40" s="2" t="s">
        <v>103</v>
      </c>
      <c r="J40" s="58">
        <f>D35</f>
        <v>2020</v>
      </c>
      <c r="K40" s="58"/>
      <c r="L40" s="58">
        <f>D40/100</f>
        <v>3.3</v>
      </c>
      <c r="M40" s="58"/>
      <c r="N40" s="58">
        <f>D41</f>
        <v>20</v>
      </c>
      <c r="O40" s="59">
        <f>D56</f>
        <v>7450</v>
      </c>
      <c r="P40" s="59">
        <f>D58</f>
        <v>7.45</v>
      </c>
      <c r="Q40" s="59">
        <f>D59</f>
        <v>0</v>
      </c>
      <c r="R40" s="58"/>
      <c r="S40" s="58"/>
      <c r="T40" s="58"/>
      <c r="U40" s="58"/>
      <c r="V40" s="58"/>
      <c r="W40" s="58"/>
      <c r="X40" s="58"/>
    </row>
    <row r="41" spans="2:24" ht="16" thickBot="1">
      <c r="B41" s="1" t="s">
        <v>11</v>
      </c>
      <c r="C41" s="2">
        <v>20</v>
      </c>
      <c r="D41" s="2">
        <v>20</v>
      </c>
      <c r="E41" s="2">
        <v>20</v>
      </c>
      <c r="F41" s="2">
        <v>20</v>
      </c>
      <c r="G41" s="2"/>
      <c r="H41" s="2"/>
      <c r="J41" s="58">
        <f>E35</f>
        <v>2030</v>
      </c>
      <c r="K41" s="58"/>
      <c r="L41" s="58">
        <f>E40/100</f>
        <v>3.7</v>
      </c>
      <c r="M41" s="58"/>
      <c r="N41" s="58">
        <f>E41</f>
        <v>20</v>
      </c>
      <c r="O41" s="59">
        <f>E56</f>
        <v>6705</v>
      </c>
      <c r="P41" s="59">
        <f>E58</f>
        <v>7.45</v>
      </c>
      <c r="Q41" s="59">
        <f>E59</f>
        <v>0</v>
      </c>
      <c r="R41" s="58"/>
      <c r="S41" s="58"/>
      <c r="T41" s="58"/>
      <c r="U41" s="58"/>
      <c r="V41" s="58"/>
      <c r="W41" s="58"/>
      <c r="X41" s="58"/>
    </row>
    <row r="42" spans="2:24" ht="16" thickBot="1">
      <c r="B42" s="3" t="s">
        <v>12</v>
      </c>
      <c r="C42" s="18"/>
      <c r="D42" s="18"/>
      <c r="E42" s="18"/>
      <c r="F42" s="18"/>
      <c r="G42" s="18"/>
      <c r="H42" s="2"/>
      <c r="J42" s="58">
        <f>F35</f>
        <v>2050</v>
      </c>
      <c r="K42" s="58"/>
      <c r="L42" s="58">
        <f>F40/100</f>
        <v>4</v>
      </c>
      <c r="M42" s="58"/>
      <c r="N42" s="58">
        <f>F41</f>
        <v>20</v>
      </c>
      <c r="O42" s="59">
        <f>F56</f>
        <v>6705</v>
      </c>
      <c r="P42" s="59">
        <f>F58</f>
        <v>7.45</v>
      </c>
      <c r="Q42" s="59">
        <f>F59</f>
        <v>0</v>
      </c>
      <c r="R42" s="58"/>
      <c r="S42" s="58"/>
      <c r="T42" s="58"/>
      <c r="U42" s="58"/>
      <c r="V42" s="58"/>
      <c r="W42" s="58"/>
      <c r="X42" s="58"/>
    </row>
    <row r="43" spans="2:24" ht="27" customHeight="1" thickBot="1">
      <c r="B43" s="1" t="s">
        <v>13</v>
      </c>
      <c r="C43" s="1279" t="s">
        <v>98</v>
      </c>
      <c r="D43" s="1280"/>
      <c r="E43" s="1280"/>
      <c r="F43" s="1280"/>
      <c r="G43" s="1280"/>
      <c r="H43" s="1281"/>
    </row>
    <row r="44" spans="2:24" ht="16" thickBot="1">
      <c r="B44" s="1" t="s">
        <v>15</v>
      </c>
      <c r="C44" s="1282"/>
      <c r="D44" s="1283"/>
      <c r="E44" s="1283"/>
      <c r="F44" s="1283"/>
      <c r="G44" s="1283"/>
      <c r="H44" s="1284"/>
    </row>
    <row r="45" spans="2:24" ht="16" thickBot="1">
      <c r="B45" s="1" t="s">
        <v>17</v>
      </c>
      <c r="C45" s="1282"/>
      <c r="D45" s="1283"/>
      <c r="E45" s="1283"/>
      <c r="F45" s="1283"/>
      <c r="G45" s="1283"/>
      <c r="H45" s="1284"/>
    </row>
    <row r="46" spans="2:24" ht="16" thickBot="1">
      <c r="B46" s="1" t="s">
        <v>18</v>
      </c>
      <c r="C46" s="1282"/>
      <c r="D46" s="1283"/>
      <c r="E46" s="1283"/>
      <c r="F46" s="1283"/>
      <c r="G46" s="1283"/>
      <c r="H46" s="1284"/>
    </row>
    <row r="47" spans="2:24" ht="16" thickBot="1">
      <c r="B47" s="1" t="s">
        <v>19</v>
      </c>
      <c r="C47" s="1285"/>
      <c r="D47" s="1286"/>
      <c r="E47" s="1286"/>
      <c r="F47" s="1286"/>
      <c r="G47" s="1286"/>
      <c r="H47" s="1287"/>
    </row>
    <row r="48" spans="2:24" ht="16" thickBot="1">
      <c r="B48" s="3" t="s">
        <v>22</v>
      </c>
      <c r="C48" s="18"/>
      <c r="D48" s="18"/>
      <c r="E48" s="18"/>
      <c r="F48" s="18"/>
      <c r="G48" s="18"/>
      <c r="H48" s="2"/>
    </row>
    <row r="49" spans="2:24" ht="16" thickBot="1">
      <c r="B49" s="1" t="s">
        <v>23</v>
      </c>
      <c r="C49" s="2">
        <v>1</v>
      </c>
      <c r="D49" s="2">
        <v>1</v>
      </c>
      <c r="E49" s="2">
        <v>0.9</v>
      </c>
      <c r="F49" s="2">
        <v>0.9</v>
      </c>
      <c r="G49" s="2" t="s">
        <v>109</v>
      </c>
      <c r="H49" s="2" t="s">
        <v>105</v>
      </c>
    </row>
    <row r="50" spans="2:24">
      <c r="B50" s="6" t="s">
        <v>24</v>
      </c>
      <c r="C50" s="7"/>
      <c r="D50" s="7"/>
      <c r="E50" s="7"/>
      <c r="F50" s="7"/>
      <c r="G50" s="7"/>
      <c r="H50" s="7"/>
    </row>
    <row r="51" spans="2:24">
      <c r="B51" s="6" t="s">
        <v>26</v>
      </c>
      <c r="C51" s="7"/>
      <c r="D51" s="7"/>
      <c r="E51" s="7"/>
      <c r="F51" s="7"/>
      <c r="G51" s="7"/>
      <c r="H51" s="7"/>
    </row>
    <row r="52" spans="2:24" ht="16" thickBot="1">
      <c r="B52" s="1" t="s">
        <v>96</v>
      </c>
      <c r="C52" s="2"/>
      <c r="D52" s="2"/>
      <c r="E52" s="2"/>
      <c r="F52" s="2"/>
      <c r="G52" s="2"/>
      <c r="H52" s="2"/>
    </row>
    <row r="53" spans="2:24" ht="28" thickBot="1">
      <c r="B53" s="1" t="s">
        <v>30</v>
      </c>
      <c r="C53" s="2"/>
      <c r="D53" s="2"/>
      <c r="E53" s="2"/>
      <c r="F53" s="2"/>
      <c r="G53" s="2"/>
      <c r="H53" s="2"/>
    </row>
    <row r="54" spans="2:24" ht="16" thickBot="1">
      <c r="B54" s="1" t="s">
        <v>64</v>
      </c>
      <c r="C54" s="2">
        <v>400</v>
      </c>
      <c r="D54" s="2">
        <v>400</v>
      </c>
      <c r="E54" s="2">
        <v>400</v>
      </c>
      <c r="F54" s="2">
        <v>400</v>
      </c>
      <c r="G54" s="2" t="s">
        <v>20</v>
      </c>
      <c r="H54" s="2">
        <v>2</v>
      </c>
    </row>
    <row r="55" spans="2:24" ht="16" thickBot="1">
      <c r="B55" s="1" t="s">
        <v>31</v>
      </c>
      <c r="C55" s="2"/>
      <c r="D55" s="2"/>
      <c r="E55" s="2"/>
      <c r="F55" s="2"/>
      <c r="G55" s="2"/>
      <c r="H55" s="2"/>
      <c r="I55" s="40"/>
    </row>
    <row r="56" spans="2:24">
      <c r="B56" s="36" t="s">
        <v>353</v>
      </c>
      <c r="C56" s="42">
        <f>C49*$F$4*1000</f>
        <v>7450</v>
      </c>
      <c r="D56" s="42">
        <f>D49*$F$4*1000</f>
        <v>7450</v>
      </c>
      <c r="E56" s="42">
        <f>E49*$F$4*1000</f>
        <v>6705</v>
      </c>
      <c r="F56" s="42">
        <f>F49*$F$4*1000</f>
        <v>6705</v>
      </c>
      <c r="G56" s="63" t="s">
        <v>332</v>
      </c>
      <c r="H56" s="63"/>
      <c r="J56" s="40"/>
    </row>
    <row r="57" spans="2:24">
      <c r="B57" s="36" t="s">
        <v>354</v>
      </c>
      <c r="C57" s="42">
        <f>C56*$G57</f>
        <v>2980000</v>
      </c>
      <c r="D57" s="42">
        <f>D56*$G57</f>
        <v>2980000</v>
      </c>
      <c r="E57" s="42">
        <f>E56*$G57</f>
        <v>2682000</v>
      </c>
      <c r="F57" s="42">
        <f>F56*$G57</f>
        <v>2682000</v>
      </c>
      <c r="G57" s="67">
        <v>400</v>
      </c>
      <c r="H57" s="63" t="s">
        <v>330</v>
      </c>
      <c r="I57" s="40"/>
    </row>
    <row r="58" spans="2:24">
      <c r="B58" s="36" t="s">
        <v>355</v>
      </c>
      <c r="C58" s="36">
        <f>C54*$F$4/$G57</f>
        <v>7.45</v>
      </c>
      <c r="D58" s="36">
        <f>D54*$F$4/$G57</f>
        <v>7.45</v>
      </c>
      <c r="E58" s="36">
        <f>E54*$F$4/$G57</f>
        <v>7.45</v>
      </c>
      <c r="F58" s="36">
        <f>F54*$F$4/$G57</f>
        <v>7.45</v>
      </c>
      <c r="G58" s="63" t="s">
        <v>333</v>
      </c>
      <c r="H58" s="63"/>
    </row>
    <row r="59" spans="2:24" ht="16" thickBot="1">
      <c r="B59" s="36" t="s">
        <v>356</v>
      </c>
      <c r="C59" s="36">
        <f>C55*$F$4</f>
        <v>0</v>
      </c>
      <c r="D59" s="36">
        <f>D55*$F$4</f>
        <v>0</v>
      </c>
      <c r="E59" s="36">
        <f>E55*$F$4</f>
        <v>0</v>
      </c>
      <c r="F59" s="36">
        <f>F55*$F$4</f>
        <v>0</v>
      </c>
      <c r="G59" s="66"/>
      <c r="H59" s="63"/>
    </row>
    <row r="60" spans="2:24">
      <c r="B60" s="1257" t="s">
        <v>0</v>
      </c>
      <c r="C60" s="1259" t="s">
        <v>99</v>
      </c>
      <c r="D60" s="1260"/>
      <c r="E60" s="1260"/>
      <c r="F60" s="1260"/>
      <c r="G60" s="1260"/>
      <c r="H60" s="1261"/>
      <c r="J60" s="1259" t="str">
        <f>C60</f>
        <v>Heat pump, air-to-water</v>
      </c>
      <c r="K60" s="1260"/>
      <c r="L60" s="1260"/>
      <c r="M60" s="1260"/>
      <c r="N60" s="1260"/>
      <c r="O60" s="1261"/>
    </row>
    <row r="61" spans="2:24" ht="16" thickBot="1">
      <c r="B61" s="1258"/>
      <c r="C61" s="1134" t="s">
        <v>34</v>
      </c>
      <c r="D61" s="1135"/>
      <c r="E61" s="1135"/>
      <c r="F61" s="1135"/>
      <c r="G61" s="1135"/>
      <c r="H61" s="1136"/>
      <c r="J61" s="1134" t="str">
        <f>C61</f>
        <v>One-family house, new building</v>
      </c>
      <c r="K61" s="1135"/>
      <c r="L61" s="1135"/>
      <c r="M61" s="1135"/>
      <c r="N61" s="1135"/>
      <c r="O61" s="1136"/>
    </row>
    <row r="62" spans="2:24" ht="16" thickBot="1">
      <c r="B62" s="1"/>
      <c r="C62" s="2">
        <v>2015</v>
      </c>
      <c r="D62" s="2">
        <v>2020</v>
      </c>
      <c r="E62" s="2">
        <v>2030</v>
      </c>
      <c r="F62" s="2">
        <v>2050</v>
      </c>
      <c r="G62" s="2" t="s">
        <v>2</v>
      </c>
      <c r="H62" s="2" t="s">
        <v>3</v>
      </c>
      <c r="J62" s="53" t="s">
        <v>357</v>
      </c>
    </row>
    <row r="63" spans="2:24" ht="31" thickBot="1">
      <c r="B63" s="3" t="s">
        <v>4</v>
      </c>
      <c r="C63" s="4"/>
      <c r="D63" s="4"/>
      <c r="E63" s="4"/>
      <c r="F63" s="4"/>
      <c r="G63" s="4"/>
      <c r="H63" s="5"/>
      <c r="J63" s="46" t="s">
        <v>335</v>
      </c>
      <c r="K63" s="46" t="s">
        <v>336</v>
      </c>
      <c r="L63" s="47" t="s">
        <v>337</v>
      </c>
      <c r="M63" s="47" t="s">
        <v>338</v>
      </c>
      <c r="N63" s="47" t="s">
        <v>339</v>
      </c>
      <c r="O63" s="48" t="s">
        <v>340</v>
      </c>
      <c r="P63" s="49" t="s">
        <v>341</v>
      </c>
      <c r="Q63" s="49" t="s">
        <v>342</v>
      </c>
      <c r="R63" s="49" t="s">
        <v>343</v>
      </c>
      <c r="S63" s="49" t="s">
        <v>344</v>
      </c>
      <c r="T63" s="49" t="s">
        <v>345</v>
      </c>
      <c r="U63" s="49" t="s">
        <v>346</v>
      </c>
      <c r="V63" s="49" t="s">
        <v>347</v>
      </c>
      <c r="W63" s="49" t="s">
        <v>348</v>
      </c>
      <c r="X63" s="49" t="s">
        <v>349</v>
      </c>
    </row>
    <row r="64" spans="2:24" ht="16" thickBot="1">
      <c r="B64" s="1" t="s">
        <v>5</v>
      </c>
      <c r="C64" s="2">
        <v>5</v>
      </c>
      <c r="D64" s="2">
        <v>5</v>
      </c>
      <c r="E64" s="2">
        <v>5</v>
      </c>
      <c r="F64" s="2">
        <v>5</v>
      </c>
      <c r="G64" s="2"/>
      <c r="H64" s="2"/>
      <c r="J64" s="50"/>
      <c r="K64" s="50"/>
      <c r="L64" s="51"/>
      <c r="M64" s="51"/>
      <c r="N64" s="51"/>
      <c r="O64" s="52"/>
      <c r="P64" s="50"/>
      <c r="Q64" s="50"/>
      <c r="R64" s="50"/>
      <c r="S64" s="50"/>
      <c r="T64" s="50"/>
      <c r="U64" s="50"/>
      <c r="V64" s="50"/>
      <c r="W64" s="50"/>
      <c r="X64" s="50"/>
    </row>
    <row r="65" spans="2:24" ht="28" thickBot="1">
      <c r="B65" s="1" t="s">
        <v>7</v>
      </c>
      <c r="C65" s="2">
        <v>100</v>
      </c>
      <c r="D65" s="2">
        <v>100</v>
      </c>
      <c r="E65" s="2">
        <v>100</v>
      </c>
      <c r="F65" s="2">
        <v>100</v>
      </c>
      <c r="G65" s="2" t="s">
        <v>16</v>
      </c>
      <c r="H65" s="2"/>
      <c r="J65" s="56"/>
      <c r="K65" s="56"/>
      <c r="L65" s="57"/>
      <c r="M65" s="57"/>
      <c r="N65" s="57"/>
      <c r="O65" s="56" t="s">
        <v>350</v>
      </c>
      <c r="P65" s="56" t="s">
        <v>326</v>
      </c>
      <c r="Q65" s="56" t="s">
        <v>327</v>
      </c>
      <c r="R65" s="56" t="s">
        <v>351</v>
      </c>
      <c r="S65" s="56" t="s">
        <v>351</v>
      </c>
      <c r="T65" s="56" t="s">
        <v>352</v>
      </c>
      <c r="U65" s="56" t="s">
        <v>352</v>
      </c>
      <c r="V65" s="56" t="s">
        <v>352</v>
      </c>
      <c r="W65" s="56" t="s">
        <v>352</v>
      </c>
      <c r="X65" s="56" t="s">
        <v>352</v>
      </c>
    </row>
    <row r="66" spans="2:24" ht="28" thickBot="1">
      <c r="B66" s="1" t="s">
        <v>8</v>
      </c>
      <c r="C66" s="2">
        <v>100</v>
      </c>
      <c r="D66" s="2">
        <v>100</v>
      </c>
      <c r="E66" s="2">
        <v>100</v>
      </c>
      <c r="F66" s="2">
        <v>100</v>
      </c>
      <c r="G66" s="2" t="s">
        <v>16</v>
      </c>
      <c r="H66" s="2"/>
      <c r="J66" s="58">
        <f>C62</f>
        <v>2015</v>
      </c>
      <c r="K66" s="58">
        <f>J66</f>
        <v>2015</v>
      </c>
      <c r="L66" s="58">
        <f>C67/100</f>
        <v>3</v>
      </c>
      <c r="M66" s="58"/>
      <c r="N66" s="58">
        <f>C68</f>
        <v>20</v>
      </c>
      <c r="O66" s="59">
        <f>C83</f>
        <v>15645.000000000002</v>
      </c>
      <c r="P66" s="59">
        <f>C85</f>
        <v>198.17000000000002</v>
      </c>
      <c r="Q66" s="59">
        <f>C86</f>
        <v>0</v>
      </c>
      <c r="R66" s="58"/>
      <c r="S66" s="58"/>
      <c r="T66" s="58"/>
      <c r="U66" s="58"/>
      <c r="V66" s="58"/>
      <c r="W66" s="58"/>
      <c r="X66" s="58"/>
    </row>
    <row r="67" spans="2:24" ht="28" thickBot="1">
      <c r="B67" s="1" t="s">
        <v>9</v>
      </c>
      <c r="C67" s="2">
        <v>300</v>
      </c>
      <c r="D67" s="2">
        <v>330</v>
      </c>
      <c r="E67" s="2">
        <v>370</v>
      </c>
      <c r="F67" s="2">
        <v>400</v>
      </c>
      <c r="G67" s="2" t="s">
        <v>102</v>
      </c>
      <c r="H67" s="2" t="s">
        <v>103</v>
      </c>
      <c r="J67" s="58">
        <f>D62</f>
        <v>2020</v>
      </c>
      <c r="K67" s="58"/>
      <c r="L67" s="58">
        <f>D67/100</f>
        <v>3.3</v>
      </c>
      <c r="M67" s="58"/>
      <c r="N67" s="58">
        <f>D68</f>
        <v>20</v>
      </c>
      <c r="O67" s="59">
        <f>D83</f>
        <v>15049.000000000002</v>
      </c>
      <c r="P67" s="59">
        <f>D85</f>
        <v>198.17000000000002</v>
      </c>
      <c r="Q67" s="59">
        <f>D86</f>
        <v>0</v>
      </c>
      <c r="R67" s="58"/>
      <c r="S67" s="58"/>
      <c r="T67" s="58"/>
      <c r="U67" s="58"/>
      <c r="V67" s="58"/>
      <c r="W67" s="58"/>
      <c r="X67" s="58"/>
    </row>
    <row r="68" spans="2:24" ht="16" thickBot="1">
      <c r="B68" s="1" t="s">
        <v>11</v>
      </c>
      <c r="C68" s="2">
        <v>20</v>
      </c>
      <c r="D68" s="2">
        <v>20</v>
      </c>
      <c r="E68" s="2">
        <v>20</v>
      </c>
      <c r="F68" s="2">
        <v>20</v>
      </c>
      <c r="G68" s="2"/>
      <c r="H68" s="2"/>
      <c r="J68" s="58">
        <f>E62</f>
        <v>2030</v>
      </c>
      <c r="K68" s="58"/>
      <c r="L68" s="58">
        <f>E67/100</f>
        <v>3.7</v>
      </c>
      <c r="M68" s="58"/>
      <c r="N68" s="58">
        <f>E68</f>
        <v>20</v>
      </c>
      <c r="O68" s="59">
        <f>E83</f>
        <v>13857.000000000002</v>
      </c>
      <c r="P68" s="59">
        <f>E85</f>
        <v>198.17000000000002</v>
      </c>
      <c r="Q68" s="59">
        <f>E86</f>
        <v>0</v>
      </c>
      <c r="R68" s="58"/>
      <c r="S68" s="58"/>
      <c r="T68" s="58"/>
      <c r="U68" s="58"/>
      <c r="V68" s="58"/>
      <c r="W68" s="58"/>
      <c r="X68" s="58"/>
    </row>
    <row r="69" spans="2:24" ht="16" thickBot="1">
      <c r="B69" s="3" t="s">
        <v>12</v>
      </c>
      <c r="C69" s="18"/>
      <c r="D69" s="18"/>
      <c r="E69" s="18"/>
      <c r="F69" s="18"/>
      <c r="G69" s="18"/>
      <c r="H69" s="2"/>
      <c r="J69" s="58">
        <f>F62</f>
        <v>2050</v>
      </c>
      <c r="K69" s="58"/>
      <c r="L69" s="58">
        <f>F67/100</f>
        <v>4</v>
      </c>
      <c r="M69" s="58"/>
      <c r="N69" s="58">
        <f>F68</f>
        <v>20</v>
      </c>
      <c r="O69" s="59">
        <f>F83</f>
        <v>13261.000000000002</v>
      </c>
      <c r="P69" s="59">
        <f>F85</f>
        <v>198.17000000000002</v>
      </c>
      <c r="Q69" s="59">
        <f>F86</f>
        <v>0</v>
      </c>
      <c r="R69" s="58"/>
      <c r="S69" s="58"/>
      <c r="T69" s="58"/>
      <c r="U69" s="58"/>
      <c r="V69" s="58"/>
      <c r="W69" s="58"/>
      <c r="X69" s="58"/>
    </row>
    <row r="70" spans="2:24" ht="27" customHeight="1" thickBot="1">
      <c r="B70" s="1" t="s">
        <v>13</v>
      </c>
      <c r="C70" s="1279" t="s">
        <v>98</v>
      </c>
      <c r="D70" s="1280"/>
      <c r="E70" s="1280"/>
      <c r="F70" s="1280"/>
      <c r="G70" s="1280"/>
      <c r="H70" s="1281"/>
    </row>
    <row r="71" spans="2:24" ht="16" thickBot="1">
      <c r="B71" s="1" t="s">
        <v>15</v>
      </c>
      <c r="C71" s="1282"/>
      <c r="D71" s="1283"/>
      <c r="E71" s="1283"/>
      <c r="F71" s="1283"/>
      <c r="G71" s="1283"/>
      <c r="H71" s="1284"/>
    </row>
    <row r="72" spans="2:24" ht="16" thickBot="1">
      <c r="B72" s="1" t="s">
        <v>17</v>
      </c>
      <c r="C72" s="1282"/>
      <c r="D72" s="1283"/>
      <c r="E72" s="1283"/>
      <c r="F72" s="1283"/>
      <c r="G72" s="1283"/>
      <c r="H72" s="1284"/>
    </row>
    <row r="73" spans="2:24" ht="16" thickBot="1">
      <c r="B73" s="1" t="s">
        <v>18</v>
      </c>
      <c r="C73" s="1282"/>
      <c r="D73" s="1283"/>
      <c r="E73" s="1283"/>
      <c r="F73" s="1283"/>
      <c r="G73" s="1283"/>
      <c r="H73" s="1284"/>
    </row>
    <row r="74" spans="2:24" ht="16" thickBot="1">
      <c r="B74" s="1" t="s">
        <v>19</v>
      </c>
      <c r="C74" s="1285"/>
      <c r="D74" s="1286"/>
      <c r="E74" s="1286"/>
      <c r="F74" s="1286"/>
      <c r="G74" s="1286"/>
      <c r="H74" s="1287"/>
    </row>
    <row r="75" spans="2:24" ht="16" thickBot="1">
      <c r="B75" s="3" t="s">
        <v>22</v>
      </c>
      <c r="C75" s="18"/>
      <c r="D75" s="18"/>
      <c r="E75" s="18"/>
      <c r="F75" s="18"/>
      <c r="G75" s="68" t="s">
        <v>329</v>
      </c>
      <c r="H75" s="2"/>
    </row>
    <row r="76" spans="2:24" ht="16" thickBot="1">
      <c r="B76" s="1" t="s">
        <v>23</v>
      </c>
      <c r="C76" s="43">
        <f>C77/C64</f>
        <v>2.1</v>
      </c>
      <c r="D76" s="43">
        <f>D77/D64</f>
        <v>2.02</v>
      </c>
      <c r="E76" s="43">
        <f>E77/E64</f>
        <v>1.86</v>
      </c>
      <c r="F76" s="43">
        <f>F77/F64</f>
        <v>1.78</v>
      </c>
      <c r="G76" s="68">
        <f>G84</f>
        <v>5</v>
      </c>
      <c r="H76" s="68" t="str">
        <f>H84</f>
        <v>kW</v>
      </c>
      <c r="I76" s="64"/>
      <c r="J76" s="64"/>
      <c r="K76" s="64"/>
      <c r="L76" s="64"/>
      <c r="M76" s="64"/>
    </row>
    <row r="77" spans="2:24">
      <c r="B77" s="6" t="s">
        <v>24</v>
      </c>
      <c r="C77" s="7">
        <v>10.5</v>
      </c>
      <c r="D77" s="7">
        <v>10.1</v>
      </c>
      <c r="E77" s="7">
        <v>9.3000000000000007</v>
      </c>
      <c r="F77" s="7">
        <v>8.9</v>
      </c>
      <c r="G77" s="7" t="s">
        <v>109</v>
      </c>
      <c r="H77" s="7" t="s">
        <v>105</v>
      </c>
    </row>
    <row r="78" spans="2:24">
      <c r="B78" s="6" t="s">
        <v>26</v>
      </c>
      <c r="C78" s="7" t="s">
        <v>95</v>
      </c>
      <c r="D78" s="7">
        <v>80</v>
      </c>
      <c r="E78" s="7">
        <v>80</v>
      </c>
      <c r="F78" s="7">
        <v>80</v>
      </c>
      <c r="G78" s="7"/>
      <c r="H78" s="7"/>
    </row>
    <row r="79" spans="2:24" ht="16" thickBot="1">
      <c r="B79" s="1" t="s">
        <v>96</v>
      </c>
      <c r="C79" s="2" t="s">
        <v>97</v>
      </c>
      <c r="D79" s="2">
        <v>20</v>
      </c>
      <c r="E79" s="2">
        <v>20</v>
      </c>
      <c r="F79" s="2">
        <v>20</v>
      </c>
      <c r="G79" s="2"/>
      <c r="H79" s="2"/>
    </row>
    <row r="80" spans="2:24" ht="28" thickBot="1">
      <c r="B80" s="1" t="s">
        <v>30</v>
      </c>
      <c r="C80" s="2"/>
      <c r="D80" s="2"/>
      <c r="E80" s="2"/>
      <c r="F80" s="2"/>
      <c r="G80" s="2"/>
      <c r="H80" s="2"/>
    </row>
    <row r="81" spans="2:24" ht="16" thickBot="1">
      <c r="B81" s="1" t="s">
        <v>64</v>
      </c>
      <c r="C81" s="2">
        <v>133</v>
      </c>
      <c r="D81" s="2">
        <v>133</v>
      </c>
      <c r="E81" s="2">
        <v>133</v>
      </c>
      <c r="F81" s="2">
        <v>133</v>
      </c>
      <c r="G81" s="2" t="s">
        <v>20</v>
      </c>
      <c r="H81" s="2">
        <v>2</v>
      </c>
    </row>
    <row r="82" spans="2:24" ht="16" thickBot="1">
      <c r="B82" s="1" t="s">
        <v>31</v>
      </c>
      <c r="C82" s="2"/>
      <c r="D82" s="2"/>
      <c r="E82" s="2"/>
      <c r="F82" s="2"/>
      <c r="G82" s="2"/>
      <c r="H82" s="2"/>
    </row>
    <row r="83" spans="2:24" ht="16" thickBot="1">
      <c r="B83" s="36" t="s">
        <v>353</v>
      </c>
      <c r="C83" s="42">
        <f t="shared" ref="C83:F84" si="1">C76*$F$4*1000</f>
        <v>15645.000000000002</v>
      </c>
      <c r="D83" s="42">
        <f t="shared" si="1"/>
        <v>15049.000000000002</v>
      </c>
      <c r="E83" s="42">
        <f t="shared" si="1"/>
        <v>13857.000000000002</v>
      </c>
      <c r="F83" s="42">
        <f t="shared" si="1"/>
        <v>13261.000000000002</v>
      </c>
      <c r="G83" s="63" t="s">
        <v>332</v>
      </c>
      <c r="H83" s="63"/>
    </row>
    <row r="84" spans="2:24" ht="16" thickBot="1">
      <c r="B84" s="36" t="s">
        <v>354</v>
      </c>
      <c r="C84" s="42">
        <f t="shared" si="1"/>
        <v>78225.000000000015</v>
      </c>
      <c r="D84" s="42">
        <f t="shared" si="1"/>
        <v>75245</v>
      </c>
      <c r="E84" s="42">
        <f t="shared" si="1"/>
        <v>69285.000000000015</v>
      </c>
      <c r="F84" s="42">
        <f t="shared" si="1"/>
        <v>66305</v>
      </c>
      <c r="G84" s="72">
        <f>C64</f>
        <v>5</v>
      </c>
      <c r="H84" s="63" t="s">
        <v>330</v>
      </c>
    </row>
    <row r="85" spans="2:24">
      <c r="B85" s="36" t="s">
        <v>355</v>
      </c>
      <c r="C85" s="42">
        <f>C81*$F$4/C64</f>
        <v>198.17000000000002</v>
      </c>
      <c r="D85" s="42">
        <f>D81*$F$4/D64</f>
        <v>198.17000000000002</v>
      </c>
      <c r="E85" s="42">
        <f>E81*$F$4/E64</f>
        <v>198.17000000000002</v>
      </c>
      <c r="F85" s="42">
        <f>F81*$F$4/F64</f>
        <v>198.17000000000002</v>
      </c>
      <c r="G85" s="63" t="s">
        <v>333</v>
      </c>
      <c r="H85" s="63"/>
    </row>
    <row r="86" spans="2:24" ht="16" thickBot="1">
      <c r="B86" s="36" t="s">
        <v>356</v>
      </c>
      <c r="C86" s="188">
        <f>C82*$F$4</f>
        <v>0</v>
      </c>
      <c r="D86" s="188">
        <f>D82*$F$4</f>
        <v>0</v>
      </c>
      <c r="E86" s="188">
        <f>E82*$F$4</f>
        <v>0</v>
      </c>
      <c r="F86" s="188">
        <f>F82*$F$4</f>
        <v>0</v>
      </c>
      <c r="G86" s="66"/>
      <c r="H86" s="63"/>
    </row>
    <row r="87" spans="2:24" ht="15" customHeight="1">
      <c r="B87" s="1257" t="s">
        <v>0</v>
      </c>
      <c r="C87" s="1259" t="s">
        <v>99</v>
      </c>
      <c r="D87" s="1260"/>
      <c r="E87" s="1260"/>
      <c r="F87" s="1260"/>
      <c r="G87" s="1260"/>
      <c r="H87" s="1261"/>
      <c r="J87" s="1259" t="str">
        <f>C87</f>
        <v>Heat pump, air-to-water</v>
      </c>
      <c r="K87" s="1260"/>
      <c r="L87" s="1260"/>
      <c r="M87" s="1260"/>
      <c r="N87" s="1260"/>
      <c r="O87" s="1261"/>
    </row>
    <row r="88" spans="2:24" ht="15.75" customHeight="1" thickBot="1">
      <c r="B88" s="1258"/>
      <c r="C88" s="1134" t="s">
        <v>35</v>
      </c>
      <c r="D88" s="1135"/>
      <c r="E88" s="1135"/>
      <c r="F88" s="1135"/>
      <c r="G88" s="1135"/>
      <c r="H88" s="1136"/>
      <c r="J88" s="1134" t="str">
        <f>C88</f>
        <v>Apartment complex, new building</v>
      </c>
      <c r="K88" s="1135"/>
      <c r="L88" s="1135"/>
      <c r="M88" s="1135"/>
      <c r="N88" s="1135"/>
      <c r="O88" s="1136"/>
    </row>
    <row r="89" spans="2:24" ht="16" thickBot="1">
      <c r="B89" s="1"/>
      <c r="C89" s="2">
        <v>2015</v>
      </c>
      <c r="D89" s="2">
        <v>2020</v>
      </c>
      <c r="E89" s="2">
        <v>2030</v>
      </c>
      <c r="F89" s="2">
        <v>2050</v>
      </c>
      <c r="G89" s="2" t="s">
        <v>2</v>
      </c>
      <c r="H89" s="2" t="s">
        <v>3</v>
      </c>
      <c r="J89" s="53" t="s">
        <v>357</v>
      </c>
    </row>
    <row r="90" spans="2:24" ht="31" thickBot="1">
      <c r="B90" s="3" t="s">
        <v>4</v>
      </c>
      <c r="C90" s="4"/>
      <c r="D90" s="4"/>
      <c r="E90" s="4"/>
      <c r="F90" s="4"/>
      <c r="G90" s="4"/>
      <c r="H90" s="5"/>
      <c r="J90" s="46" t="s">
        <v>335</v>
      </c>
      <c r="K90" s="46" t="s">
        <v>336</v>
      </c>
      <c r="L90" s="47" t="s">
        <v>337</v>
      </c>
      <c r="M90" s="47" t="s">
        <v>338</v>
      </c>
      <c r="N90" s="47" t="s">
        <v>339</v>
      </c>
      <c r="O90" s="48" t="s">
        <v>340</v>
      </c>
      <c r="P90" s="49" t="s">
        <v>341</v>
      </c>
      <c r="Q90" s="49" t="s">
        <v>342</v>
      </c>
      <c r="R90" s="49" t="s">
        <v>343</v>
      </c>
      <c r="S90" s="49" t="s">
        <v>344</v>
      </c>
      <c r="T90" s="49" t="s">
        <v>345</v>
      </c>
      <c r="U90" s="49" t="s">
        <v>346</v>
      </c>
      <c r="V90" s="49" t="s">
        <v>347</v>
      </c>
      <c r="W90" s="49" t="s">
        <v>348</v>
      </c>
      <c r="X90" s="49" t="s">
        <v>349</v>
      </c>
    </row>
    <row r="91" spans="2:24" ht="16" thickBot="1">
      <c r="B91" s="1" t="s">
        <v>5</v>
      </c>
      <c r="C91" s="2" t="s">
        <v>110</v>
      </c>
      <c r="D91" s="2" t="s">
        <v>110</v>
      </c>
      <c r="E91" s="2" t="s">
        <v>110</v>
      </c>
      <c r="F91" s="2" t="s">
        <v>110</v>
      </c>
      <c r="G91" s="2"/>
      <c r="H91" s="2"/>
      <c r="J91" s="50"/>
      <c r="K91" s="50"/>
      <c r="L91" s="51"/>
      <c r="M91" s="51"/>
      <c r="N91" s="51"/>
      <c r="O91" s="52"/>
      <c r="P91" s="50"/>
      <c r="Q91" s="50"/>
      <c r="R91" s="50"/>
      <c r="S91" s="50"/>
      <c r="T91" s="50"/>
      <c r="U91" s="50"/>
      <c r="V91" s="50"/>
      <c r="W91" s="50"/>
      <c r="X91" s="50"/>
    </row>
    <row r="92" spans="2:24" ht="28" thickBot="1">
      <c r="B92" s="1" t="s">
        <v>7</v>
      </c>
      <c r="C92" s="2">
        <v>100</v>
      </c>
      <c r="D92" s="2">
        <v>100</v>
      </c>
      <c r="E92" s="2">
        <v>100</v>
      </c>
      <c r="F92" s="2">
        <v>100</v>
      </c>
      <c r="G92" s="2" t="s">
        <v>16</v>
      </c>
      <c r="H92" s="2"/>
      <c r="J92" s="56"/>
      <c r="K92" s="56"/>
      <c r="L92" s="57"/>
      <c r="M92" s="57"/>
      <c r="N92" s="57"/>
      <c r="O92" s="56" t="s">
        <v>350</v>
      </c>
      <c r="P92" s="56" t="s">
        <v>326</v>
      </c>
      <c r="Q92" s="56" t="s">
        <v>327</v>
      </c>
      <c r="R92" s="56" t="s">
        <v>351</v>
      </c>
      <c r="S92" s="56" t="s">
        <v>351</v>
      </c>
      <c r="T92" s="56" t="s">
        <v>352</v>
      </c>
      <c r="U92" s="56" t="s">
        <v>352</v>
      </c>
      <c r="V92" s="56" t="s">
        <v>352</v>
      </c>
      <c r="W92" s="56" t="s">
        <v>352</v>
      </c>
      <c r="X92" s="56" t="s">
        <v>352</v>
      </c>
    </row>
    <row r="93" spans="2:24" ht="28" thickBot="1">
      <c r="B93" s="1" t="s">
        <v>8</v>
      </c>
      <c r="C93" s="2">
        <v>100</v>
      </c>
      <c r="D93" s="2">
        <v>100</v>
      </c>
      <c r="E93" s="2">
        <v>100</v>
      </c>
      <c r="F93" s="2">
        <v>100</v>
      </c>
      <c r="G93" s="2" t="s">
        <v>16</v>
      </c>
      <c r="H93" s="2"/>
      <c r="J93" s="58">
        <f>C89</f>
        <v>2015</v>
      </c>
      <c r="K93" s="58">
        <f>J93</f>
        <v>2015</v>
      </c>
      <c r="L93" s="58">
        <f>C94/100</f>
        <v>3</v>
      </c>
      <c r="M93" s="58"/>
      <c r="N93" s="58">
        <f>C95</f>
        <v>20</v>
      </c>
      <c r="O93" s="59">
        <f>C110</f>
        <v>7450</v>
      </c>
      <c r="P93" s="59">
        <f>C112</f>
        <v>17.529411764705884</v>
      </c>
      <c r="Q93" s="59">
        <f>C113</f>
        <v>0</v>
      </c>
      <c r="R93" s="58"/>
      <c r="S93" s="58"/>
      <c r="T93" s="58"/>
      <c r="U93" s="58"/>
      <c r="V93" s="58"/>
      <c r="W93" s="58"/>
      <c r="X93" s="58"/>
    </row>
    <row r="94" spans="2:24" ht="28" thickBot="1">
      <c r="B94" s="1" t="s">
        <v>9</v>
      </c>
      <c r="C94" s="2">
        <v>300</v>
      </c>
      <c r="D94" s="2">
        <v>330</v>
      </c>
      <c r="E94" s="2">
        <v>370</v>
      </c>
      <c r="F94" s="2">
        <v>400</v>
      </c>
      <c r="G94" s="2" t="s">
        <v>102</v>
      </c>
      <c r="H94" s="2" t="s">
        <v>103</v>
      </c>
      <c r="J94" s="58">
        <f>D89</f>
        <v>2020</v>
      </c>
      <c r="K94" s="58"/>
      <c r="L94" s="58">
        <f>D94/100</f>
        <v>3.3</v>
      </c>
      <c r="M94" s="58"/>
      <c r="N94" s="58">
        <f>D95</f>
        <v>20</v>
      </c>
      <c r="O94" s="59">
        <f>D110</f>
        <v>7450</v>
      </c>
      <c r="P94" s="59">
        <f>D112</f>
        <v>17.529411764705884</v>
      </c>
      <c r="Q94" s="59">
        <f>D113</f>
        <v>0</v>
      </c>
      <c r="R94" s="58"/>
      <c r="S94" s="58"/>
      <c r="T94" s="58"/>
      <c r="U94" s="58"/>
      <c r="V94" s="58"/>
      <c r="W94" s="58"/>
      <c r="X94" s="58"/>
    </row>
    <row r="95" spans="2:24" ht="16" thickBot="1">
      <c r="B95" s="1" t="s">
        <v>11</v>
      </c>
      <c r="C95" s="2">
        <v>20</v>
      </c>
      <c r="D95" s="2">
        <v>20</v>
      </c>
      <c r="E95" s="2">
        <v>20</v>
      </c>
      <c r="F95" s="2">
        <v>20</v>
      </c>
      <c r="G95" s="2"/>
      <c r="H95" s="2"/>
      <c r="J95" s="58">
        <f>E89</f>
        <v>2030</v>
      </c>
      <c r="K95" s="58"/>
      <c r="L95" s="58">
        <f>E94/100</f>
        <v>3.7</v>
      </c>
      <c r="M95" s="58"/>
      <c r="N95" s="58">
        <f>E95</f>
        <v>20</v>
      </c>
      <c r="O95" s="59">
        <f>E110</f>
        <v>6705</v>
      </c>
      <c r="P95" s="59">
        <f>E112</f>
        <v>17.529411764705884</v>
      </c>
      <c r="Q95" s="59">
        <f>E113</f>
        <v>0</v>
      </c>
      <c r="R95" s="58"/>
      <c r="S95" s="58"/>
      <c r="T95" s="58"/>
      <c r="U95" s="58"/>
      <c r="V95" s="58"/>
      <c r="W95" s="58"/>
      <c r="X95" s="58"/>
    </row>
    <row r="96" spans="2:24" ht="16" thickBot="1">
      <c r="B96" s="3" t="s">
        <v>12</v>
      </c>
      <c r="C96" s="18"/>
      <c r="D96" s="18"/>
      <c r="E96" s="18"/>
      <c r="F96" s="18"/>
      <c r="G96" s="18"/>
      <c r="H96" s="2"/>
      <c r="J96" s="58">
        <f>F89</f>
        <v>2050</v>
      </c>
      <c r="K96" s="58"/>
      <c r="L96" s="58">
        <f>F94/100</f>
        <v>4</v>
      </c>
      <c r="M96" s="58"/>
      <c r="N96" s="58">
        <f>F95</f>
        <v>20</v>
      </c>
      <c r="O96" s="59">
        <f>F110</f>
        <v>6705</v>
      </c>
      <c r="P96" s="59">
        <f>F112</f>
        <v>17.529411764705884</v>
      </c>
      <c r="Q96" s="59">
        <f>F113</f>
        <v>0</v>
      </c>
      <c r="R96" s="58"/>
      <c r="S96" s="58"/>
      <c r="T96" s="58"/>
      <c r="U96" s="58"/>
      <c r="V96" s="58"/>
      <c r="W96" s="58"/>
      <c r="X96" s="58"/>
    </row>
    <row r="97" spans="2:19" ht="27" customHeight="1" thickBot="1">
      <c r="B97" s="1" t="s">
        <v>13</v>
      </c>
      <c r="C97" s="196">
        <v>0</v>
      </c>
      <c r="D97" s="196">
        <v>0</v>
      </c>
      <c r="E97" s="196">
        <v>0</v>
      </c>
      <c r="F97" s="196">
        <v>0</v>
      </c>
      <c r="G97" s="1275" t="s">
        <v>98</v>
      </c>
      <c r="H97" s="175"/>
    </row>
    <row r="98" spans="2:19" ht="16" thickBot="1">
      <c r="B98" s="1" t="s">
        <v>15</v>
      </c>
      <c r="C98" s="196">
        <v>0</v>
      </c>
      <c r="D98" s="196">
        <v>0</v>
      </c>
      <c r="E98" s="196">
        <v>0</v>
      </c>
      <c r="F98" s="196">
        <v>0</v>
      </c>
      <c r="G98" s="1276"/>
      <c r="H98" s="176"/>
    </row>
    <row r="99" spans="2:19" ht="16" thickBot="1">
      <c r="B99" s="1" t="s">
        <v>17</v>
      </c>
      <c r="C99" s="196">
        <v>0</v>
      </c>
      <c r="D99" s="196">
        <v>0</v>
      </c>
      <c r="E99" s="196">
        <v>0</v>
      </c>
      <c r="F99" s="196">
        <v>0</v>
      </c>
      <c r="G99" s="1276"/>
      <c r="H99" s="176"/>
    </row>
    <row r="100" spans="2:19" ht="16" thickBot="1">
      <c r="B100" s="1" t="s">
        <v>18</v>
      </c>
      <c r="C100" s="196">
        <v>0</v>
      </c>
      <c r="D100" s="196">
        <v>0</v>
      </c>
      <c r="E100" s="196">
        <v>0</v>
      </c>
      <c r="F100" s="196">
        <v>0</v>
      </c>
      <c r="G100" s="1276"/>
      <c r="H100" s="176"/>
    </row>
    <row r="101" spans="2:19" ht="16" thickBot="1">
      <c r="B101" s="1" t="s">
        <v>19</v>
      </c>
      <c r="C101" s="196">
        <v>0</v>
      </c>
      <c r="D101" s="196">
        <v>0</v>
      </c>
      <c r="E101" s="196">
        <v>0</v>
      </c>
      <c r="F101" s="196">
        <v>0</v>
      </c>
      <c r="G101" s="1277"/>
      <c r="H101" s="177"/>
    </row>
    <row r="102" spans="2:19" ht="16" thickBot="1">
      <c r="B102" s="3" t="s">
        <v>22</v>
      </c>
      <c r="C102" s="18"/>
      <c r="D102" s="18"/>
      <c r="E102" s="18"/>
      <c r="F102" s="18"/>
      <c r="G102" s="18"/>
      <c r="H102" s="2"/>
    </row>
    <row r="103" spans="2:19" ht="16" thickBot="1">
      <c r="B103" s="1" t="s">
        <v>23</v>
      </c>
      <c r="C103" s="2">
        <v>1</v>
      </c>
      <c r="D103" s="2">
        <v>1</v>
      </c>
      <c r="E103" s="2">
        <v>0.9</v>
      </c>
      <c r="F103" s="2">
        <v>0.9</v>
      </c>
      <c r="G103" s="2" t="s">
        <v>109</v>
      </c>
      <c r="H103" s="2" t="s">
        <v>105</v>
      </c>
    </row>
    <row r="104" spans="2:19">
      <c r="B104" s="6" t="s">
        <v>24</v>
      </c>
      <c r="C104" s="7"/>
      <c r="D104" s="7"/>
      <c r="E104" s="7"/>
      <c r="F104" s="7"/>
      <c r="G104" s="7"/>
      <c r="H104" s="7"/>
    </row>
    <row r="105" spans="2:19">
      <c r="B105" s="6" t="s">
        <v>26</v>
      </c>
      <c r="C105" s="7"/>
      <c r="D105" s="7"/>
      <c r="E105" s="7"/>
      <c r="F105" s="7"/>
      <c r="G105" s="7"/>
      <c r="H105" s="7"/>
    </row>
    <row r="106" spans="2:19" ht="16" thickBot="1">
      <c r="B106" s="1" t="s">
        <v>96</v>
      </c>
      <c r="C106" s="2"/>
      <c r="D106" s="2"/>
      <c r="E106" s="2"/>
      <c r="F106" s="2"/>
      <c r="G106" s="2"/>
      <c r="H106" s="2"/>
    </row>
    <row r="107" spans="2:19" ht="28" thickBot="1">
      <c r="B107" s="1" t="s">
        <v>30</v>
      </c>
      <c r="C107" s="2"/>
      <c r="D107" s="2"/>
      <c r="E107" s="2"/>
      <c r="F107" s="2"/>
      <c r="G107" s="2"/>
      <c r="H107" s="2"/>
    </row>
    <row r="108" spans="2:19" ht="16" thickBot="1">
      <c r="B108" s="1" t="s">
        <v>64</v>
      </c>
      <c r="C108" s="2">
        <v>400</v>
      </c>
      <c r="D108" s="2">
        <v>400</v>
      </c>
      <c r="E108" s="2">
        <v>400</v>
      </c>
      <c r="F108" s="2">
        <v>400</v>
      </c>
      <c r="G108" s="2"/>
      <c r="H108" s="2">
        <v>2</v>
      </c>
    </row>
    <row r="109" spans="2:19" ht="16" thickBot="1">
      <c r="B109" s="1" t="s">
        <v>31</v>
      </c>
      <c r="C109" s="2"/>
      <c r="D109" s="2"/>
      <c r="E109" s="2"/>
      <c r="F109" s="2"/>
      <c r="G109" s="2"/>
      <c r="H109" s="2"/>
    </row>
    <row r="110" spans="2:19">
      <c r="B110" s="36" t="s">
        <v>353</v>
      </c>
      <c r="C110" s="42">
        <f>C103*$F$4*1000</f>
        <v>7450</v>
      </c>
      <c r="D110" s="42">
        <f>D103*$F$4*1000</f>
        <v>7450</v>
      </c>
      <c r="E110" s="42">
        <f>E103*$F$4*1000</f>
        <v>6705</v>
      </c>
      <c r="F110" s="42">
        <f>F103*$F$4*1000</f>
        <v>6705</v>
      </c>
      <c r="G110" s="63" t="s">
        <v>332</v>
      </c>
      <c r="H110" s="63"/>
      <c r="I110" s="64"/>
      <c r="J110" s="64"/>
      <c r="K110" s="64"/>
      <c r="L110" s="64"/>
      <c r="M110" s="64"/>
      <c r="N110" s="64"/>
      <c r="O110" s="64"/>
      <c r="P110" s="64"/>
      <c r="Q110" s="64"/>
      <c r="R110" s="64"/>
      <c r="S110" s="64"/>
    </row>
    <row r="111" spans="2:19">
      <c r="B111" s="36" t="s">
        <v>354</v>
      </c>
      <c r="C111" s="42">
        <f>C110*$G111</f>
        <v>1266500</v>
      </c>
      <c r="D111" s="42">
        <f>D110*$G111</f>
        <v>1266500</v>
      </c>
      <c r="E111" s="42">
        <f>E110*$G111</f>
        <v>1139850</v>
      </c>
      <c r="F111" s="42">
        <f>F110*$G111</f>
        <v>1139850</v>
      </c>
      <c r="G111" s="67">
        <v>170</v>
      </c>
      <c r="H111" s="63" t="s">
        <v>330</v>
      </c>
      <c r="I111" s="64"/>
      <c r="J111" s="64"/>
      <c r="K111" s="64"/>
      <c r="L111" s="64"/>
      <c r="M111" s="64"/>
      <c r="N111" s="64"/>
      <c r="O111" s="64"/>
      <c r="P111" s="64"/>
      <c r="Q111" s="64"/>
      <c r="R111" s="64"/>
      <c r="S111" s="64"/>
    </row>
    <row r="112" spans="2:19">
      <c r="B112" s="36" t="s">
        <v>355</v>
      </c>
      <c r="C112" s="42">
        <f>C108*$F$4/$G111</f>
        <v>17.529411764705884</v>
      </c>
      <c r="D112" s="42">
        <f>D108*$F$4/$G111</f>
        <v>17.529411764705884</v>
      </c>
      <c r="E112" s="42">
        <f>E108*$F$4/$G111</f>
        <v>17.529411764705884</v>
      </c>
      <c r="F112" s="42">
        <f>F108*$F$4/$G111</f>
        <v>17.529411764705884</v>
      </c>
      <c r="G112" s="63" t="s">
        <v>333</v>
      </c>
      <c r="H112" s="63"/>
      <c r="I112" s="64"/>
      <c r="J112" s="64"/>
      <c r="K112" s="64"/>
      <c r="L112" s="64"/>
      <c r="M112" s="64"/>
      <c r="N112" s="64"/>
      <c r="O112" s="64"/>
      <c r="P112" s="64"/>
      <c r="Q112" s="64"/>
      <c r="R112" s="64"/>
      <c r="S112" s="64"/>
    </row>
    <row r="113" spans="2:8" ht="16" thickBot="1">
      <c r="B113" s="36" t="s">
        <v>356</v>
      </c>
      <c r="C113" s="36">
        <f>C109*$F$4</f>
        <v>0</v>
      </c>
      <c r="D113" s="36">
        <f>D109*$F$4</f>
        <v>0</v>
      </c>
      <c r="E113" s="36">
        <f>E109*$F$4</f>
        <v>0</v>
      </c>
      <c r="F113" s="36">
        <f>F109*$F$4</f>
        <v>0</v>
      </c>
      <c r="G113" s="66"/>
      <c r="H113" s="63"/>
    </row>
    <row r="122" spans="2:8">
      <c r="H122" s="71"/>
    </row>
    <row r="156" spans="7:7">
      <c r="G156" s="263" t="s">
        <v>620</v>
      </c>
    </row>
  </sheetData>
  <mergeCells count="24">
    <mergeCell ref="J61:O61"/>
    <mergeCell ref="J87:O87"/>
    <mergeCell ref="J88:O88"/>
    <mergeCell ref="J6:O6"/>
    <mergeCell ref="J7:O7"/>
    <mergeCell ref="J33:O33"/>
    <mergeCell ref="J34:O34"/>
    <mergeCell ref="J60:O60"/>
    <mergeCell ref="G97:G101"/>
    <mergeCell ref="B6:B7"/>
    <mergeCell ref="C6:H6"/>
    <mergeCell ref="C7:H7"/>
    <mergeCell ref="B33:B34"/>
    <mergeCell ref="C33:H33"/>
    <mergeCell ref="C34:H34"/>
    <mergeCell ref="G16:G20"/>
    <mergeCell ref="C43:H47"/>
    <mergeCell ref="B60:B61"/>
    <mergeCell ref="C60:H60"/>
    <mergeCell ref="C61:H61"/>
    <mergeCell ref="C70:H74"/>
    <mergeCell ref="B87:B88"/>
    <mergeCell ref="C87:H87"/>
    <mergeCell ref="C88:H88"/>
  </mergeCells>
  <pageMargins left="0.7" right="0.7" top="0.75" bottom="0.75" header="0.3" footer="0.3"/>
  <pageSetup paperSize="9" orientation="portrai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13">
    <tabColor theme="4"/>
  </sheetPr>
  <dimension ref="B3:X156"/>
  <sheetViews>
    <sheetView workbookViewId="0">
      <selection activeCell="F153" sqref="F153"/>
    </sheetView>
  </sheetViews>
  <sheetFormatPr baseColWidth="10" defaultColWidth="8.83203125" defaultRowHeight="15"/>
  <cols>
    <col min="2" max="2" width="36.83203125" customWidth="1"/>
    <col min="10" max="10" width="42.5" customWidth="1"/>
  </cols>
  <sheetData>
    <row r="3" spans="2:24">
      <c r="B3" s="8" t="s">
        <v>315</v>
      </c>
    </row>
    <row r="4" spans="2:24">
      <c r="E4" t="s">
        <v>334</v>
      </c>
      <c r="F4" s="36">
        <v>7.45</v>
      </c>
      <c r="G4" t="s">
        <v>328</v>
      </c>
    </row>
    <row r="5" spans="2:24" ht="16" thickBot="1"/>
    <row r="6" spans="2:24">
      <c r="B6" s="1257" t="s">
        <v>0</v>
      </c>
      <c r="C6" s="1259" t="s">
        <v>111</v>
      </c>
      <c r="D6" s="1260"/>
      <c r="E6" s="1260"/>
      <c r="F6" s="1260"/>
      <c r="G6" s="1260"/>
      <c r="H6" s="1261"/>
      <c r="J6" s="1259" t="str">
        <f>C6</f>
        <v>Heat pump, brine-to-water</v>
      </c>
      <c r="K6" s="1260"/>
      <c r="L6" s="1260"/>
      <c r="M6" s="1260"/>
      <c r="N6" s="1260"/>
      <c r="O6" s="1261"/>
    </row>
    <row r="7" spans="2:24" ht="16" thickBot="1">
      <c r="B7" s="1258"/>
      <c r="C7" s="1134" t="s">
        <v>1</v>
      </c>
      <c r="D7" s="1135"/>
      <c r="E7" s="1135"/>
      <c r="F7" s="1135"/>
      <c r="G7" s="1135"/>
      <c r="H7" s="1136"/>
      <c r="J7" s="1134" t="str">
        <f>C7</f>
        <v>One-family house, existing building</v>
      </c>
      <c r="K7" s="1135"/>
      <c r="L7" s="1135"/>
      <c r="M7" s="1135"/>
      <c r="N7" s="1135"/>
      <c r="O7" s="1136"/>
    </row>
    <row r="8" spans="2:24" ht="16" thickBot="1">
      <c r="B8" s="1"/>
      <c r="C8" s="2">
        <v>2015</v>
      </c>
      <c r="D8" s="2">
        <v>2020</v>
      </c>
      <c r="E8" s="2">
        <v>2030</v>
      </c>
      <c r="F8" s="2">
        <v>2050</v>
      </c>
      <c r="G8" s="2" t="s">
        <v>2</v>
      </c>
      <c r="H8" s="2" t="s">
        <v>3</v>
      </c>
      <c r="J8" s="53" t="s">
        <v>357</v>
      </c>
    </row>
    <row r="9" spans="2:24" ht="31" thickBot="1">
      <c r="B9" s="3" t="s">
        <v>4</v>
      </c>
      <c r="C9" s="4"/>
      <c r="D9" s="4"/>
      <c r="E9" s="4"/>
      <c r="F9" s="4"/>
      <c r="G9" s="4"/>
      <c r="H9" s="5"/>
      <c r="J9" s="46" t="s">
        <v>335</v>
      </c>
      <c r="K9" s="46" t="s">
        <v>336</v>
      </c>
      <c r="L9" s="47" t="s">
        <v>337</v>
      </c>
      <c r="M9" s="47" t="s">
        <v>338</v>
      </c>
      <c r="N9" s="47" t="s">
        <v>339</v>
      </c>
      <c r="O9" s="48" t="s">
        <v>340</v>
      </c>
      <c r="P9" s="49" t="s">
        <v>341</v>
      </c>
      <c r="Q9" s="49" t="s">
        <v>342</v>
      </c>
      <c r="R9" s="49" t="s">
        <v>343</v>
      </c>
      <c r="S9" s="49" t="s">
        <v>344</v>
      </c>
      <c r="T9" s="49" t="s">
        <v>345</v>
      </c>
      <c r="U9" s="49" t="s">
        <v>346</v>
      </c>
      <c r="V9" s="49" t="s">
        <v>347</v>
      </c>
      <c r="W9" s="49" t="s">
        <v>348</v>
      </c>
      <c r="X9" s="49" t="s">
        <v>349</v>
      </c>
    </row>
    <row r="10" spans="2:24" ht="16" thickBot="1">
      <c r="B10" s="1" t="s">
        <v>5</v>
      </c>
      <c r="C10" s="2">
        <v>10</v>
      </c>
      <c r="D10" s="2">
        <v>10</v>
      </c>
      <c r="E10" s="2">
        <v>10</v>
      </c>
      <c r="F10" s="2">
        <v>10</v>
      </c>
      <c r="G10" s="2"/>
      <c r="H10" s="2"/>
      <c r="J10" s="50"/>
      <c r="K10" s="50"/>
      <c r="L10" s="51"/>
      <c r="M10" s="51"/>
      <c r="N10" s="51"/>
      <c r="O10" s="52"/>
      <c r="P10" s="50"/>
      <c r="Q10" s="50"/>
      <c r="R10" s="50"/>
      <c r="S10" s="50"/>
      <c r="T10" s="50"/>
      <c r="U10" s="50"/>
      <c r="V10" s="50"/>
      <c r="W10" s="50"/>
      <c r="X10" s="50"/>
    </row>
    <row r="11" spans="2:24" ht="28" thickBot="1">
      <c r="B11" s="1" t="s">
        <v>7</v>
      </c>
      <c r="C11" s="2">
        <v>100</v>
      </c>
      <c r="D11" s="2">
        <v>100</v>
      </c>
      <c r="E11" s="2">
        <v>100</v>
      </c>
      <c r="F11" s="2">
        <v>100</v>
      </c>
      <c r="G11" s="2" t="s">
        <v>16</v>
      </c>
      <c r="H11" s="2"/>
      <c r="J11" s="56"/>
      <c r="K11" s="56"/>
      <c r="L11" s="57"/>
      <c r="M11" s="57"/>
      <c r="N11" s="57"/>
      <c r="O11" s="56" t="s">
        <v>350</v>
      </c>
      <c r="P11" s="56" t="s">
        <v>326</v>
      </c>
      <c r="Q11" s="56" t="s">
        <v>327</v>
      </c>
      <c r="R11" s="56" t="s">
        <v>351</v>
      </c>
      <c r="S11" s="56" t="s">
        <v>351</v>
      </c>
      <c r="T11" s="56" t="s">
        <v>352</v>
      </c>
      <c r="U11" s="56" t="s">
        <v>352</v>
      </c>
      <c r="V11" s="56" t="s">
        <v>352</v>
      </c>
      <c r="W11" s="56" t="s">
        <v>352</v>
      </c>
      <c r="X11" s="56" t="s">
        <v>352</v>
      </c>
    </row>
    <row r="12" spans="2:24" ht="28" thickBot="1">
      <c r="B12" s="1" t="s">
        <v>8</v>
      </c>
      <c r="C12" s="2">
        <v>100</v>
      </c>
      <c r="D12" s="2">
        <v>100</v>
      </c>
      <c r="E12" s="2">
        <v>100</v>
      </c>
      <c r="F12" s="2">
        <v>100</v>
      </c>
      <c r="G12" s="2" t="s">
        <v>16</v>
      </c>
      <c r="H12" s="2"/>
      <c r="J12" s="58">
        <f>C8</f>
        <v>2015</v>
      </c>
      <c r="K12" s="58">
        <f>J12</f>
        <v>2015</v>
      </c>
      <c r="L12" s="58">
        <f>C13/100</f>
        <v>3.3</v>
      </c>
      <c r="M12" s="58"/>
      <c r="N12" s="58">
        <f>C14</f>
        <v>20</v>
      </c>
      <c r="O12" s="59">
        <f>C29</f>
        <v>12665</v>
      </c>
      <c r="P12" s="59">
        <f>C31</f>
        <v>100.575</v>
      </c>
      <c r="Q12" s="59">
        <f>C32</f>
        <v>0</v>
      </c>
      <c r="R12" s="58"/>
      <c r="S12" s="58"/>
      <c r="T12" s="58">
        <f>C16</f>
        <v>0</v>
      </c>
      <c r="U12" s="58">
        <f>C17</f>
        <v>0</v>
      </c>
      <c r="V12" s="58">
        <f>C18</f>
        <v>0</v>
      </c>
      <c r="W12" s="58">
        <f>C19</f>
        <v>0</v>
      </c>
      <c r="X12" s="58">
        <f>C20</f>
        <v>0</v>
      </c>
    </row>
    <row r="13" spans="2:24" ht="28" thickBot="1">
      <c r="B13" s="1" t="s">
        <v>9</v>
      </c>
      <c r="C13" s="2">
        <v>330</v>
      </c>
      <c r="D13" s="2">
        <v>350</v>
      </c>
      <c r="E13" s="2">
        <v>400</v>
      </c>
      <c r="F13" s="2">
        <v>450</v>
      </c>
      <c r="G13" s="2" t="s">
        <v>109</v>
      </c>
      <c r="H13" s="2" t="s">
        <v>103</v>
      </c>
      <c r="J13" s="58">
        <f>D8</f>
        <v>2020</v>
      </c>
      <c r="K13" s="58"/>
      <c r="L13" s="58">
        <f>D13/100</f>
        <v>3.5</v>
      </c>
      <c r="M13" s="58"/>
      <c r="N13" s="58">
        <f>D14</f>
        <v>20</v>
      </c>
      <c r="O13" s="59">
        <f>D29</f>
        <v>11920.000000000002</v>
      </c>
      <c r="P13" s="59">
        <f>D31</f>
        <v>100.575</v>
      </c>
      <c r="Q13" s="59">
        <f>D32</f>
        <v>0</v>
      </c>
      <c r="R13" s="58"/>
      <c r="S13" s="58"/>
      <c r="T13" s="58">
        <f>D16</f>
        <v>0</v>
      </c>
      <c r="U13" s="58">
        <f>D17</f>
        <v>0</v>
      </c>
      <c r="V13" s="58">
        <f>D18</f>
        <v>0</v>
      </c>
      <c r="W13" s="58">
        <f>D19</f>
        <v>0</v>
      </c>
      <c r="X13" s="58">
        <f>D20</f>
        <v>0</v>
      </c>
    </row>
    <row r="14" spans="2:24" ht="16" thickBot="1">
      <c r="B14" s="1" t="s">
        <v>11</v>
      </c>
      <c r="C14" s="2">
        <v>20</v>
      </c>
      <c r="D14" s="2">
        <v>20</v>
      </c>
      <c r="E14" s="2">
        <v>20</v>
      </c>
      <c r="F14" s="2">
        <v>20</v>
      </c>
      <c r="G14" s="2"/>
      <c r="H14" s="2"/>
      <c r="J14" s="58">
        <f>E8</f>
        <v>2030</v>
      </c>
      <c r="K14" s="58"/>
      <c r="L14" s="58">
        <f>E13/100</f>
        <v>4</v>
      </c>
      <c r="M14" s="58"/>
      <c r="N14" s="58">
        <f>E14</f>
        <v>20</v>
      </c>
      <c r="O14" s="59">
        <f>E29</f>
        <v>11175</v>
      </c>
      <c r="P14" s="59">
        <f>E31</f>
        <v>100.575</v>
      </c>
      <c r="Q14" s="59">
        <f>E32</f>
        <v>0</v>
      </c>
      <c r="R14" s="58"/>
      <c r="S14" s="58"/>
      <c r="T14" s="58">
        <f>E16</f>
        <v>0</v>
      </c>
      <c r="U14" s="58">
        <f>E17</f>
        <v>0</v>
      </c>
      <c r="V14" s="58">
        <f>E18</f>
        <v>0</v>
      </c>
      <c r="W14" s="58">
        <f>E19</f>
        <v>0</v>
      </c>
      <c r="X14" s="58">
        <f>E20</f>
        <v>0</v>
      </c>
    </row>
    <row r="15" spans="2:24" ht="16" thickBot="1">
      <c r="B15" s="3" t="s">
        <v>12</v>
      </c>
      <c r="C15" s="18"/>
      <c r="D15" s="18"/>
      <c r="E15" s="18"/>
      <c r="F15" s="18"/>
      <c r="G15" s="18"/>
      <c r="H15" s="2"/>
      <c r="J15" s="58">
        <f>F8</f>
        <v>2050</v>
      </c>
      <c r="K15" s="58"/>
      <c r="L15" s="58">
        <f>F13/100</f>
        <v>4.5</v>
      </c>
      <c r="M15" s="58"/>
      <c r="N15" s="58">
        <f>F14</f>
        <v>20</v>
      </c>
      <c r="O15" s="59">
        <f>F29</f>
        <v>10430</v>
      </c>
      <c r="P15" s="59">
        <f>F31</f>
        <v>100.575</v>
      </c>
      <c r="Q15" s="59">
        <f>F32</f>
        <v>0</v>
      </c>
      <c r="R15" s="58"/>
      <c r="S15" s="58"/>
      <c r="T15" s="58">
        <f>F16</f>
        <v>0</v>
      </c>
      <c r="U15" s="58">
        <f>F17</f>
        <v>0</v>
      </c>
      <c r="V15" s="58">
        <f>F18</f>
        <v>0</v>
      </c>
      <c r="W15" s="58">
        <f>F19</f>
        <v>0</v>
      </c>
      <c r="X15" s="58">
        <f>F20</f>
        <v>0</v>
      </c>
    </row>
    <row r="16" spans="2:24" ht="27" customHeight="1" thickBot="1">
      <c r="B16" s="1" t="s">
        <v>13</v>
      </c>
      <c r="C16" s="190">
        <v>0</v>
      </c>
      <c r="D16" s="191">
        <v>0</v>
      </c>
      <c r="E16" s="191">
        <v>0</v>
      </c>
      <c r="F16" s="192">
        <v>0</v>
      </c>
      <c r="G16" s="1275" t="s">
        <v>98</v>
      </c>
      <c r="H16" s="175"/>
    </row>
    <row r="17" spans="2:8" ht="16" thickBot="1">
      <c r="B17" s="1" t="s">
        <v>15</v>
      </c>
      <c r="C17" s="193">
        <v>0</v>
      </c>
      <c r="D17" s="189">
        <v>0</v>
      </c>
      <c r="E17" s="189">
        <v>0</v>
      </c>
      <c r="F17" s="185">
        <v>0</v>
      </c>
      <c r="G17" s="1276"/>
      <c r="H17" s="176"/>
    </row>
    <row r="18" spans="2:8" ht="16" thickBot="1">
      <c r="B18" s="1" t="s">
        <v>17</v>
      </c>
      <c r="C18" s="193">
        <v>0</v>
      </c>
      <c r="D18" s="189">
        <v>0</v>
      </c>
      <c r="E18" s="189">
        <v>0</v>
      </c>
      <c r="F18" s="185">
        <v>0</v>
      </c>
      <c r="G18" s="1276"/>
      <c r="H18" s="176"/>
    </row>
    <row r="19" spans="2:8" ht="16" thickBot="1">
      <c r="B19" s="1" t="s">
        <v>18</v>
      </c>
      <c r="C19" s="193">
        <v>0</v>
      </c>
      <c r="D19" s="189">
        <v>0</v>
      </c>
      <c r="E19" s="189">
        <v>0</v>
      </c>
      <c r="F19" s="185">
        <v>0</v>
      </c>
      <c r="G19" s="1276"/>
      <c r="H19" s="176"/>
    </row>
    <row r="20" spans="2:8" ht="16" thickBot="1">
      <c r="B20" s="1" t="s">
        <v>19</v>
      </c>
      <c r="C20" s="194">
        <v>0</v>
      </c>
      <c r="D20" s="195">
        <v>0</v>
      </c>
      <c r="E20" s="195">
        <v>0</v>
      </c>
      <c r="F20" s="35">
        <v>0</v>
      </c>
      <c r="G20" s="1277"/>
      <c r="H20" s="177"/>
    </row>
    <row r="21" spans="2:8" ht="16" thickBot="1">
      <c r="B21" s="3" t="s">
        <v>22</v>
      </c>
      <c r="C21" s="38"/>
      <c r="D21" s="38"/>
      <c r="E21" s="38"/>
      <c r="F21" s="38"/>
      <c r="G21" s="68" t="s">
        <v>329</v>
      </c>
      <c r="H21" s="39"/>
    </row>
    <row r="22" spans="2:8" ht="16" thickBot="1">
      <c r="B22" s="1" t="s">
        <v>23</v>
      </c>
      <c r="C22" s="43">
        <f>C23/C10</f>
        <v>1.7</v>
      </c>
      <c r="D22" s="43">
        <f>D23/D10</f>
        <v>1.6</v>
      </c>
      <c r="E22" s="43">
        <f>E23/E10</f>
        <v>1.5</v>
      </c>
      <c r="F22" s="43">
        <f>F23/F10</f>
        <v>1.4</v>
      </c>
      <c r="G22" s="68">
        <f>G30</f>
        <v>10</v>
      </c>
      <c r="H22" s="68" t="str">
        <f>H30</f>
        <v>kW</v>
      </c>
    </row>
    <row r="23" spans="2:8" ht="27">
      <c r="B23" s="6" t="s">
        <v>24</v>
      </c>
      <c r="C23" s="7">
        <v>17</v>
      </c>
      <c r="D23" s="7">
        <v>16</v>
      </c>
      <c r="E23" s="7">
        <v>15</v>
      </c>
      <c r="F23" s="7">
        <v>14</v>
      </c>
      <c r="G23" s="7" t="s">
        <v>112</v>
      </c>
      <c r="H23" s="7" t="s">
        <v>105</v>
      </c>
    </row>
    <row r="24" spans="2:8">
      <c r="B24" s="6" t="s">
        <v>26</v>
      </c>
      <c r="C24" s="7" t="s">
        <v>27</v>
      </c>
      <c r="D24" s="7">
        <v>70</v>
      </c>
      <c r="E24" s="7">
        <v>70</v>
      </c>
      <c r="F24" s="7">
        <v>70</v>
      </c>
      <c r="G24" s="7"/>
      <c r="H24" s="7"/>
    </row>
    <row r="25" spans="2:8" ht="16" thickBot="1">
      <c r="B25" s="1" t="s">
        <v>96</v>
      </c>
      <c r="C25" s="2" t="s">
        <v>29</v>
      </c>
      <c r="D25" s="2">
        <v>30</v>
      </c>
      <c r="E25" s="2">
        <v>30</v>
      </c>
      <c r="F25" s="2">
        <v>30</v>
      </c>
      <c r="G25" s="2"/>
      <c r="H25" s="2"/>
    </row>
    <row r="26" spans="2:8" ht="28" thickBot="1">
      <c r="B26" s="1" t="s">
        <v>30</v>
      </c>
      <c r="C26" s="2">
        <v>6</v>
      </c>
      <c r="D26" s="2">
        <v>6</v>
      </c>
      <c r="E26" s="2">
        <v>6</v>
      </c>
      <c r="F26" s="2">
        <v>6</v>
      </c>
      <c r="G26" s="2" t="s">
        <v>20</v>
      </c>
      <c r="H26" s="2"/>
    </row>
    <row r="27" spans="2:8" ht="16" thickBot="1">
      <c r="B27" s="1" t="s">
        <v>64</v>
      </c>
      <c r="C27" s="2">
        <v>135</v>
      </c>
      <c r="D27" s="2">
        <v>135</v>
      </c>
      <c r="E27" s="2">
        <v>135</v>
      </c>
      <c r="F27" s="2">
        <v>135</v>
      </c>
      <c r="G27" s="2" t="s">
        <v>25</v>
      </c>
      <c r="H27" s="2">
        <v>2</v>
      </c>
    </row>
    <row r="28" spans="2:8" ht="16" thickBot="1">
      <c r="B28" s="1" t="s">
        <v>31</v>
      </c>
      <c r="C28" s="2"/>
      <c r="D28" s="2"/>
      <c r="E28" s="2"/>
      <c r="F28" s="2"/>
      <c r="G28" s="2"/>
      <c r="H28" s="2"/>
    </row>
    <row r="29" spans="2:8">
      <c r="B29" s="36" t="s">
        <v>353</v>
      </c>
      <c r="C29" s="60">
        <f>C22*$F$4*1000</f>
        <v>12665</v>
      </c>
      <c r="D29" s="60">
        <f t="shared" ref="D29:F30" si="0">D22*$F$4*1000</f>
        <v>11920.000000000002</v>
      </c>
      <c r="E29" s="60">
        <f t="shared" si="0"/>
        <v>11175</v>
      </c>
      <c r="F29" s="60">
        <f t="shared" si="0"/>
        <v>10430</v>
      </c>
      <c r="G29" s="63" t="s">
        <v>332</v>
      </c>
      <c r="H29" s="63"/>
    </row>
    <row r="30" spans="2:8">
      <c r="B30" s="36" t="s">
        <v>354</v>
      </c>
      <c r="C30" s="60">
        <f>C23*$F$4*1000</f>
        <v>126650</v>
      </c>
      <c r="D30" s="60">
        <f t="shared" si="0"/>
        <v>119200</v>
      </c>
      <c r="E30" s="60">
        <f t="shared" si="0"/>
        <v>111750</v>
      </c>
      <c r="F30" s="60">
        <f t="shared" si="0"/>
        <v>104300</v>
      </c>
      <c r="G30" s="70">
        <f>C10</f>
        <v>10</v>
      </c>
      <c r="H30" s="69" t="s">
        <v>330</v>
      </c>
    </row>
    <row r="31" spans="2:8">
      <c r="B31" s="36" t="s">
        <v>355</v>
      </c>
      <c r="C31" s="60">
        <f>C27*$F$4/C10</f>
        <v>100.575</v>
      </c>
      <c r="D31" s="60">
        <f>D27*$F$4/D10</f>
        <v>100.575</v>
      </c>
      <c r="E31" s="60">
        <f>E27*$F$4/E10</f>
        <v>100.575</v>
      </c>
      <c r="F31" s="60">
        <f>F27*$F$4/F10</f>
        <v>100.575</v>
      </c>
      <c r="G31" s="69" t="s">
        <v>331</v>
      </c>
      <c r="H31" s="69"/>
    </row>
    <row r="32" spans="2:8" ht="16" thickBot="1">
      <c r="B32" s="36" t="s">
        <v>356</v>
      </c>
      <c r="C32" s="60">
        <f>C28*$F$4</f>
        <v>0</v>
      </c>
      <c r="D32" s="60">
        <f>D28*$F$4</f>
        <v>0</v>
      </c>
      <c r="E32" s="60">
        <f>E28*$F$4</f>
        <v>0</v>
      </c>
      <c r="F32" s="60">
        <f>F28*$F$4</f>
        <v>0</v>
      </c>
      <c r="G32" s="61"/>
      <c r="H32" s="61"/>
    </row>
    <row r="33" spans="2:24">
      <c r="B33" s="1257" t="s">
        <v>0</v>
      </c>
      <c r="C33" s="1259" t="s">
        <v>111</v>
      </c>
      <c r="D33" s="1260"/>
      <c r="E33" s="1260"/>
      <c r="F33" s="1260"/>
      <c r="G33" s="1260"/>
      <c r="H33" s="1261"/>
      <c r="J33" s="1259" t="str">
        <f>C33</f>
        <v>Heat pump, brine-to-water</v>
      </c>
      <c r="K33" s="1260"/>
      <c r="L33" s="1260"/>
      <c r="M33" s="1260"/>
      <c r="N33" s="1260"/>
      <c r="O33" s="1261"/>
    </row>
    <row r="34" spans="2:24" ht="16" thickBot="1">
      <c r="B34" s="1258"/>
      <c r="C34" s="1134" t="s">
        <v>32</v>
      </c>
      <c r="D34" s="1135"/>
      <c r="E34" s="1135"/>
      <c r="F34" s="1135"/>
      <c r="G34" s="1135"/>
      <c r="H34" s="1136"/>
      <c r="J34" s="1134" t="str">
        <f>C34</f>
        <v>Apartment complex, existing building</v>
      </c>
      <c r="K34" s="1135"/>
      <c r="L34" s="1135"/>
      <c r="M34" s="1135"/>
      <c r="N34" s="1135"/>
      <c r="O34" s="1136"/>
    </row>
    <row r="35" spans="2:24" ht="16" thickBot="1">
      <c r="B35" s="1"/>
      <c r="C35" s="2">
        <v>2015</v>
      </c>
      <c r="D35" s="2">
        <v>2020</v>
      </c>
      <c r="E35" s="2">
        <v>2030</v>
      </c>
      <c r="F35" s="2">
        <v>2050</v>
      </c>
      <c r="G35" s="2" t="s">
        <v>2</v>
      </c>
      <c r="H35" s="2" t="s">
        <v>3</v>
      </c>
      <c r="J35" s="53" t="s">
        <v>357</v>
      </c>
    </row>
    <row r="36" spans="2:24" ht="31" thickBot="1">
      <c r="B36" s="3" t="s">
        <v>4</v>
      </c>
      <c r="C36" s="4"/>
      <c r="D36" s="4"/>
      <c r="E36" s="4"/>
      <c r="F36" s="4"/>
      <c r="G36" s="4"/>
      <c r="H36" s="5"/>
      <c r="J36" s="46" t="s">
        <v>335</v>
      </c>
      <c r="K36" s="46" t="s">
        <v>336</v>
      </c>
      <c r="L36" s="47" t="s">
        <v>337</v>
      </c>
      <c r="M36" s="47" t="s">
        <v>338</v>
      </c>
      <c r="N36" s="47" t="s">
        <v>339</v>
      </c>
      <c r="O36" s="48" t="s">
        <v>340</v>
      </c>
      <c r="P36" s="49" t="s">
        <v>341</v>
      </c>
      <c r="Q36" s="49" t="s">
        <v>342</v>
      </c>
      <c r="R36" s="49" t="s">
        <v>343</v>
      </c>
      <c r="S36" s="49" t="s">
        <v>344</v>
      </c>
      <c r="T36" s="49" t="s">
        <v>345</v>
      </c>
      <c r="U36" s="49" t="s">
        <v>346</v>
      </c>
      <c r="V36" s="49" t="s">
        <v>347</v>
      </c>
      <c r="W36" s="49" t="s">
        <v>348</v>
      </c>
      <c r="X36" s="49" t="s">
        <v>349</v>
      </c>
    </row>
    <row r="37" spans="2:24" ht="16" thickBot="1">
      <c r="B37" s="1" t="s">
        <v>5</v>
      </c>
      <c r="C37" s="2" t="s">
        <v>108</v>
      </c>
      <c r="D37" s="2" t="s">
        <v>108</v>
      </c>
      <c r="E37" s="2" t="s">
        <v>108</v>
      </c>
      <c r="F37" s="2" t="s">
        <v>108</v>
      </c>
      <c r="G37" s="2"/>
      <c r="H37" s="2"/>
      <c r="J37" s="50"/>
      <c r="K37" s="50"/>
      <c r="L37" s="51"/>
      <c r="M37" s="51"/>
      <c r="N37" s="51"/>
      <c r="O37" s="52"/>
      <c r="P37" s="50"/>
      <c r="Q37" s="50"/>
      <c r="R37" s="50"/>
      <c r="S37" s="50"/>
      <c r="T37" s="50"/>
      <c r="U37" s="50"/>
      <c r="V37" s="50"/>
      <c r="W37" s="50"/>
      <c r="X37" s="50"/>
    </row>
    <row r="38" spans="2:24" ht="28" thickBot="1">
      <c r="B38" s="1" t="s">
        <v>7</v>
      </c>
      <c r="C38" s="2">
        <v>100</v>
      </c>
      <c r="D38" s="2">
        <v>100</v>
      </c>
      <c r="E38" s="2">
        <v>100</v>
      </c>
      <c r="F38" s="2">
        <v>100</v>
      </c>
      <c r="G38" s="2" t="s">
        <v>16</v>
      </c>
      <c r="H38" s="2"/>
      <c r="J38" s="56"/>
      <c r="K38" s="56"/>
      <c r="L38" s="57"/>
      <c r="M38" s="57"/>
      <c r="N38" s="57"/>
      <c r="O38" s="56" t="s">
        <v>350</v>
      </c>
      <c r="P38" s="56" t="s">
        <v>326</v>
      </c>
      <c r="Q38" s="56" t="s">
        <v>327</v>
      </c>
      <c r="R38" s="56" t="s">
        <v>351</v>
      </c>
      <c r="S38" s="56" t="s">
        <v>351</v>
      </c>
      <c r="T38" s="56" t="s">
        <v>352</v>
      </c>
      <c r="U38" s="56" t="s">
        <v>352</v>
      </c>
      <c r="V38" s="56" t="s">
        <v>352</v>
      </c>
      <c r="W38" s="56" t="s">
        <v>352</v>
      </c>
      <c r="X38" s="56" t="s">
        <v>352</v>
      </c>
    </row>
    <row r="39" spans="2:24" ht="28" thickBot="1">
      <c r="B39" s="1" t="s">
        <v>8</v>
      </c>
      <c r="C39" s="2">
        <v>100</v>
      </c>
      <c r="D39" s="2">
        <v>100</v>
      </c>
      <c r="E39" s="2">
        <v>100</v>
      </c>
      <c r="F39" s="2">
        <v>100</v>
      </c>
      <c r="G39" s="2" t="s">
        <v>16</v>
      </c>
      <c r="H39" s="2"/>
      <c r="J39" s="58">
        <f>C35</f>
        <v>2015</v>
      </c>
      <c r="K39" s="58">
        <f>J39</f>
        <v>2015</v>
      </c>
      <c r="L39" s="58">
        <f>C40/100</f>
        <v>3.3</v>
      </c>
      <c r="M39" s="58"/>
      <c r="N39" s="58">
        <f>C41</f>
        <v>20</v>
      </c>
      <c r="O39" s="59">
        <f>C56</f>
        <v>8195</v>
      </c>
      <c r="P39" s="59">
        <f>C58</f>
        <v>7.45</v>
      </c>
      <c r="Q39" s="59">
        <f>C59</f>
        <v>0</v>
      </c>
      <c r="R39" s="58"/>
      <c r="S39" s="58"/>
      <c r="T39" s="58"/>
      <c r="U39" s="58"/>
      <c r="V39" s="58"/>
      <c r="W39" s="58"/>
      <c r="X39" s="58"/>
    </row>
    <row r="40" spans="2:24" ht="28" thickBot="1">
      <c r="B40" s="1" t="s">
        <v>9</v>
      </c>
      <c r="C40" s="2">
        <v>330</v>
      </c>
      <c r="D40" s="2">
        <v>350</v>
      </c>
      <c r="E40" s="2">
        <v>400</v>
      </c>
      <c r="F40" s="2">
        <v>450</v>
      </c>
      <c r="G40" s="2" t="s">
        <v>102</v>
      </c>
      <c r="H40" s="2" t="s">
        <v>103</v>
      </c>
      <c r="J40" s="58">
        <f>D35</f>
        <v>2020</v>
      </c>
      <c r="K40" s="58"/>
      <c r="L40" s="58">
        <f>D40/100</f>
        <v>3.5</v>
      </c>
      <c r="M40" s="58"/>
      <c r="N40" s="58">
        <f>D41</f>
        <v>20</v>
      </c>
      <c r="O40" s="59">
        <f>D56</f>
        <v>8195</v>
      </c>
      <c r="P40" s="59">
        <f>D58</f>
        <v>7.45</v>
      </c>
      <c r="Q40" s="59">
        <f>D59</f>
        <v>0</v>
      </c>
      <c r="R40" s="58"/>
      <c r="S40" s="58"/>
      <c r="T40" s="58"/>
      <c r="U40" s="58"/>
      <c r="V40" s="58"/>
      <c r="W40" s="58"/>
      <c r="X40" s="58"/>
    </row>
    <row r="41" spans="2:24" ht="16" thickBot="1">
      <c r="B41" s="1" t="s">
        <v>11</v>
      </c>
      <c r="C41" s="2">
        <v>20</v>
      </c>
      <c r="D41" s="2">
        <v>20</v>
      </c>
      <c r="E41" s="2">
        <v>20</v>
      </c>
      <c r="F41" s="2">
        <v>20</v>
      </c>
      <c r="G41" s="2"/>
      <c r="H41" s="2"/>
      <c r="J41" s="58">
        <f>E35</f>
        <v>2030</v>
      </c>
      <c r="K41" s="58"/>
      <c r="L41" s="58">
        <f>E40/100</f>
        <v>4</v>
      </c>
      <c r="M41" s="58"/>
      <c r="N41" s="58">
        <f>E41</f>
        <v>20</v>
      </c>
      <c r="O41" s="59">
        <f>E56</f>
        <v>7450</v>
      </c>
      <c r="P41" s="59">
        <f>E58</f>
        <v>7.45</v>
      </c>
      <c r="Q41" s="59">
        <f>E59</f>
        <v>0</v>
      </c>
      <c r="R41" s="58"/>
      <c r="S41" s="58"/>
      <c r="T41" s="58"/>
      <c r="U41" s="58"/>
      <c r="V41" s="58"/>
      <c r="W41" s="58"/>
      <c r="X41" s="58"/>
    </row>
    <row r="42" spans="2:24" ht="16" thickBot="1">
      <c r="B42" s="3" t="s">
        <v>12</v>
      </c>
      <c r="C42" s="18"/>
      <c r="D42" s="18"/>
      <c r="E42" s="18"/>
      <c r="F42" s="18"/>
      <c r="G42" s="18"/>
      <c r="H42" s="2"/>
      <c r="J42" s="58">
        <f>F35</f>
        <v>2050</v>
      </c>
      <c r="K42" s="58"/>
      <c r="L42" s="58">
        <f>F40/100</f>
        <v>4.5</v>
      </c>
      <c r="M42" s="58"/>
      <c r="N42" s="58">
        <f>F41</f>
        <v>20</v>
      </c>
      <c r="O42" s="59">
        <f>F56</f>
        <v>6705</v>
      </c>
      <c r="P42" s="59">
        <f>F58</f>
        <v>7.45</v>
      </c>
      <c r="Q42" s="59">
        <f>F59</f>
        <v>0</v>
      </c>
      <c r="R42" s="58"/>
      <c r="S42" s="58"/>
      <c r="T42" s="58"/>
      <c r="U42" s="58"/>
      <c r="V42" s="58"/>
      <c r="W42" s="58"/>
      <c r="X42" s="58"/>
    </row>
    <row r="43" spans="2:24" ht="27" customHeight="1" thickBot="1">
      <c r="B43" s="1" t="s">
        <v>13</v>
      </c>
      <c r="C43" s="190">
        <v>0</v>
      </c>
      <c r="D43" s="191">
        <v>0</v>
      </c>
      <c r="E43" s="191">
        <v>0</v>
      </c>
      <c r="F43" s="192">
        <v>0</v>
      </c>
      <c r="G43" s="1275" t="s">
        <v>98</v>
      </c>
      <c r="H43" s="175"/>
    </row>
    <row r="44" spans="2:24" ht="16" thickBot="1">
      <c r="B44" s="1" t="s">
        <v>15</v>
      </c>
      <c r="C44" s="193">
        <v>0</v>
      </c>
      <c r="D44" s="189">
        <v>0</v>
      </c>
      <c r="E44" s="189">
        <v>0</v>
      </c>
      <c r="F44" s="185">
        <v>0</v>
      </c>
      <c r="G44" s="1276"/>
      <c r="H44" s="176"/>
    </row>
    <row r="45" spans="2:24" ht="16" thickBot="1">
      <c r="B45" s="1" t="s">
        <v>17</v>
      </c>
      <c r="C45" s="193">
        <v>0</v>
      </c>
      <c r="D45" s="189">
        <v>0</v>
      </c>
      <c r="E45" s="189">
        <v>0</v>
      </c>
      <c r="F45" s="185">
        <v>0</v>
      </c>
      <c r="G45" s="1276"/>
      <c r="H45" s="176"/>
    </row>
    <row r="46" spans="2:24" ht="16" thickBot="1">
      <c r="B46" s="1" t="s">
        <v>18</v>
      </c>
      <c r="C46" s="193">
        <v>0</v>
      </c>
      <c r="D46" s="189">
        <v>0</v>
      </c>
      <c r="E46" s="189">
        <v>0</v>
      </c>
      <c r="F46" s="185">
        <v>0</v>
      </c>
      <c r="G46" s="1276"/>
      <c r="H46" s="176"/>
    </row>
    <row r="47" spans="2:24" ht="16" thickBot="1">
      <c r="B47" s="1" t="s">
        <v>19</v>
      </c>
      <c r="C47" s="194">
        <v>0</v>
      </c>
      <c r="D47" s="195">
        <v>0</v>
      </c>
      <c r="E47" s="195">
        <v>0</v>
      </c>
      <c r="F47" s="35">
        <v>0</v>
      </c>
      <c r="G47" s="1277"/>
      <c r="H47" s="177"/>
    </row>
    <row r="48" spans="2:24" ht="16" thickBot="1">
      <c r="B48" s="3" t="s">
        <v>22</v>
      </c>
      <c r="C48" s="18"/>
      <c r="D48" s="18"/>
      <c r="E48" s="18"/>
      <c r="F48" s="18"/>
      <c r="G48" s="18"/>
      <c r="H48" s="2"/>
    </row>
    <row r="49" spans="2:24" ht="16" thickBot="1">
      <c r="B49" s="1" t="s">
        <v>23</v>
      </c>
      <c r="C49" s="2">
        <v>1.1000000000000001</v>
      </c>
      <c r="D49" s="2">
        <v>1.1000000000000001</v>
      </c>
      <c r="E49" s="2">
        <v>1</v>
      </c>
      <c r="F49" s="2">
        <v>0.9</v>
      </c>
      <c r="G49" s="2" t="s">
        <v>102</v>
      </c>
      <c r="H49" s="2" t="s">
        <v>105</v>
      </c>
    </row>
    <row r="50" spans="2:24">
      <c r="B50" s="6" t="s">
        <v>24</v>
      </c>
      <c r="C50" s="7"/>
      <c r="D50" s="7"/>
      <c r="E50" s="7"/>
      <c r="F50" s="7"/>
      <c r="G50" s="7"/>
      <c r="H50" s="7"/>
    </row>
    <row r="51" spans="2:24">
      <c r="B51" s="6" t="s">
        <v>26</v>
      </c>
      <c r="C51" s="7"/>
      <c r="D51" s="7"/>
      <c r="E51" s="7"/>
      <c r="F51" s="7"/>
      <c r="G51" s="7"/>
      <c r="H51" s="7"/>
    </row>
    <row r="52" spans="2:24" ht="16" thickBot="1">
      <c r="B52" s="1" t="s">
        <v>96</v>
      </c>
      <c r="C52" s="2"/>
      <c r="D52" s="2"/>
      <c r="E52" s="2"/>
      <c r="F52" s="2"/>
      <c r="G52" s="2"/>
      <c r="H52" s="2"/>
    </row>
    <row r="53" spans="2:24" ht="28" thickBot="1">
      <c r="B53" s="1" t="s">
        <v>113</v>
      </c>
      <c r="C53" s="2">
        <v>0.67</v>
      </c>
      <c r="D53" s="2">
        <v>0.67</v>
      </c>
      <c r="E53" s="2">
        <v>0.67</v>
      </c>
      <c r="F53" s="2">
        <v>0.67</v>
      </c>
      <c r="G53" s="2" t="s">
        <v>20</v>
      </c>
      <c r="H53" s="2"/>
    </row>
    <row r="54" spans="2:24" ht="16" thickBot="1">
      <c r="B54" s="1" t="s">
        <v>64</v>
      </c>
      <c r="C54" s="2">
        <v>400</v>
      </c>
      <c r="D54" s="2">
        <v>400</v>
      </c>
      <c r="E54" s="2">
        <v>400</v>
      </c>
      <c r="F54" s="2">
        <v>400</v>
      </c>
      <c r="G54" s="2" t="s">
        <v>25</v>
      </c>
      <c r="H54" s="2">
        <v>2</v>
      </c>
    </row>
    <row r="55" spans="2:24" ht="16" thickBot="1">
      <c r="B55" s="1" t="s">
        <v>31</v>
      </c>
      <c r="C55" s="2"/>
      <c r="D55" s="2"/>
      <c r="E55" s="2"/>
      <c r="F55" s="2"/>
      <c r="G55" s="2"/>
      <c r="H55" s="2"/>
    </row>
    <row r="56" spans="2:24">
      <c r="B56" s="36" t="s">
        <v>353</v>
      </c>
      <c r="C56" s="60">
        <f t="shared" ref="C56:F57" si="1">C49*$F$4*1000</f>
        <v>8195</v>
      </c>
      <c r="D56" s="60">
        <f t="shared" si="1"/>
        <v>8195</v>
      </c>
      <c r="E56" s="60">
        <f t="shared" si="1"/>
        <v>7450</v>
      </c>
      <c r="F56" s="60">
        <f t="shared" si="1"/>
        <v>6705</v>
      </c>
      <c r="G56" s="63" t="s">
        <v>332</v>
      </c>
      <c r="H56" s="63"/>
      <c r="J56" s="40"/>
    </row>
    <row r="57" spans="2:24">
      <c r="B57" s="36" t="s">
        <v>354</v>
      </c>
      <c r="C57" s="186">
        <f t="shared" si="1"/>
        <v>0</v>
      </c>
      <c r="D57" s="186">
        <f t="shared" si="1"/>
        <v>0</v>
      </c>
      <c r="E57" s="186">
        <f t="shared" si="1"/>
        <v>0</v>
      </c>
      <c r="F57" s="186">
        <f t="shared" si="1"/>
        <v>0</v>
      </c>
      <c r="G57" s="70">
        <v>400</v>
      </c>
      <c r="H57" s="69" t="s">
        <v>330</v>
      </c>
    </row>
    <row r="58" spans="2:24">
      <c r="B58" s="36" t="s">
        <v>355</v>
      </c>
      <c r="C58" s="60">
        <f>C54*$F$4/$G$57</f>
        <v>7.45</v>
      </c>
      <c r="D58" s="60">
        <f>D54*$F$4/$G$57</f>
        <v>7.45</v>
      </c>
      <c r="E58" s="60">
        <f>E54*$F$4/$G$57</f>
        <v>7.45</v>
      </c>
      <c r="F58" s="60">
        <f>F54*$F$4/$G$57</f>
        <v>7.45</v>
      </c>
      <c r="G58" s="69" t="s">
        <v>331</v>
      </c>
      <c r="H58" s="69"/>
    </row>
    <row r="59" spans="2:24" ht="16" thickBot="1">
      <c r="B59" s="36" t="s">
        <v>356</v>
      </c>
      <c r="C59" s="186">
        <f>C55*$F$4</f>
        <v>0</v>
      </c>
      <c r="D59" s="186">
        <f>D55*$F$4</f>
        <v>0</v>
      </c>
      <c r="E59" s="186">
        <f>E55*$F$4</f>
        <v>0</v>
      </c>
      <c r="F59" s="186">
        <f>F55*$F$4</f>
        <v>0</v>
      </c>
      <c r="G59" s="61"/>
      <c r="H59" s="61"/>
    </row>
    <row r="60" spans="2:24">
      <c r="B60" s="1257" t="s">
        <v>0</v>
      </c>
      <c r="C60" s="1259" t="s">
        <v>111</v>
      </c>
      <c r="D60" s="1260"/>
      <c r="E60" s="1260"/>
      <c r="F60" s="1260"/>
      <c r="G60" s="1260"/>
      <c r="H60" s="1261"/>
      <c r="J60" s="1259" t="str">
        <f>C60</f>
        <v>Heat pump, brine-to-water</v>
      </c>
      <c r="K60" s="1260"/>
      <c r="L60" s="1260"/>
      <c r="M60" s="1260"/>
      <c r="N60" s="1260"/>
      <c r="O60" s="1261"/>
    </row>
    <row r="61" spans="2:24" ht="16" thickBot="1">
      <c r="B61" s="1258"/>
      <c r="C61" s="1134" t="s">
        <v>34</v>
      </c>
      <c r="D61" s="1135"/>
      <c r="E61" s="1135"/>
      <c r="F61" s="1135"/>
      <c r="G61" s="1135"/>
      <c r="H61" s="1136"/>
      <c r="J61" s="1134" t="str">
        <f>C61</f>
        <v>One-family house, new building</v>
      </c>
      <c r="K61" s="1135"/>
      <c r="L61" s="1135"/>
      <c r="M61" s="1135"/>
      <c r="N61" s="1135"/>
      <c r="O61" s="1136"/>
    </row>
    <row r="62" spans="2:24" ht="16" thickBot="1">
      <c r="B62" s="1"/>
      <c r="C62" s="2">
        <v>2015</v>
      </c>
      <c r="D62" s="2">
        <v>2020</v>
      </c>
      <c r="E62" s="2">
        <v>2030</v>
      </c>
      <c r="F62" s="2">
        <v>2050</v>
      </c>
      <c r="G62" s="2" t="s">
        <v>2</v>
      </c>
      <c r="H62" s="2" t="s">
        <v>3</v>
      </c>
      <c r="J62" s="53" t="s">
        <v>357</v>
      </c>
    </row>
    <row r="63" spans="2:24" ht="31" thickBot="1">
      <c r="B63" s="3" t="s">
        <v>4</v>
      </c>
      <c r="C63" s="4"/>
      <c r="D63" s="4"/>
      <c r="E63" s="4"/>
      <c r="F63" s="4"/>
      <c r="G63" s="4"/>
      <c r="H63" s="5"/>
      <c r="J63" s="46" t="s">
        <v>335</v>
      </c>
      <c r="K63" s="46" t="s">
        <v>336</v>
      </c>
      <c r="L63" s="47" t="s">
        <v>337</v>
      </c>
      <c r="M63" s="47" t="s">
        <v>338</v>
      </c>
      <c r="N63" s="47" t="s">
        <v>339</v>
      </c>
      <c r="O63" s="48" t="s">
        <v>340</v>
      </c>
      <c r="P63" s="49" t="s">
        <v>341</v>
      </c>
      <c r="Q63" s="49" t="s">
        <v>342</v>
      </c>
      <c r="R63" s="49" t="s">
        <v>343</v>
      </c>
      <c r="S63" s="49" t="s">
        <v>344</v>
      </c>
      <c r="T63" s="49" t="s">
        <v>345</v>
      </c>
      <c r="U63" s="49" t="s">
        <v>346</v>
      </c>
      <c r="V63" s="49" t="s">
        <v>347</v>
      </c>
      <c r="W63" s="49" t="s">
        <v>348</v>
      </c>
      <c r="X63" s="49" t="s">
        <v>349</v>
      </c>
    </row>
    <row r="64" spans="2:24" ht="16" thickBot="1">
      <c r="B64" s="1" t="s">
        <v>5</v>
      </c>
      <c r="C64" s="2">
        <v>5</v>
      </c>
      <c r="D64" s="2">
        <v>5</v>
      </c>
      <c r="E64" s="2">
        <v>5</v>
      </c>
      <c r="F64" s="2">
        <v>5</v>
      </c>
      <c r="G64" s="2"/>
      <c r="H64" s="2"/>
      <c r="J64" s="50"/>
      <c r="K64" s="50"/>
      <c r="L64" s="51"/>
      <c r="M64" s="51"/>
      <c r="N64" s="51"/>
      <c r="O64" s="52"/>
      <c r="P64" s="50"/>
      <c r="Q64" s="50"/>
      <c r="R64" s="50"/>
      <c r="S64" s="50"/>
      <c r="T64" s="50"/>
      <c r="U64" s="50"/>
      <c r="V64" s="50"/>
      <c r="W64" s="50"/>
      <c r="X64" s="50"/>
    </row>
    <row r="65" spans="2:24" ht="28" thickBot="1">
      <c r="B65" s="1" t="s">
        <v>7</v>
      </c>
      <c r="C65" s="2">
        <v>100</v>
      </c>
      <c r="D65" s="2">
        <v>100</v>
      </c>
      <c r="E65" s="2">
        <v>100</v>
      </c>
      <c r="F65" s="2">
        <v>100</v>
      </c>
      <c r="G65" s="2" t="s">
        <v>16</v>
      </c>
      <c r="H65" s="2"/>
      <c r="J65" s="56"/>
      <c r="K65" s="56"/>
      <c r="L65" s="57"/>
      <c r="M65" s="57"/>
      <c r="N65" s="57"/>
      <c r="O65" s="56" t="s">
        <v>350</v>
      </c>
      <c r="P65" s="56" t="s">
        <v>326</v>
      </c>
      <c r="Q65" s="56" t="s">
        <v>327</v>
      </c>
      <c r="R65" s="56" t="s">
        <v>351</v>
      </c>
      <c r="S65" s="56" t="s">
        <v>351</v>
      </c>
      <c r="T65" s="56" t="s">
        <v>352</v>
      </c>
      <c r="U65" s="56" t="s">
        <v>352</v>
      </c>
      <c r="V65" s="56" t="s">
        <v>352</v>
      </c>
      <c r="W65" s="56" t="s">
        <v>352</v>
      </c>
      <c r="X65" s="56" t="s">
        <v>352</v>
      </c>
    </row>
    <row r="66" spans="2:24" ht="28" thickBot="1">
      <c r="B66" s="1" t="s">
        <v>8</v>
      </c>
      <c r="C66" s="2">
        <v>100</v>
      </c>
      <c r="D66" s="2">
        <v>100</v>
      </c>
      <c r="E66" s="2">
        <v>100</v>
      </c>
      <c r="F66" s="2">
        <v>100</v>
      </c>
      <c r="G66" s="2" t="s">
        <v>16</v>
      </c>
      <c r="H66" s="2"/>
      <c r="J66" s="58">
        <f>C62</f>
        <v>2015</v>
      </c>
      <c r="K66" s="58">
        <f>J66</f>
        <v>2015</v>
      </c>
      <c r="L66" s="58">
        <f>C67/100</f>
        <v>3.3</v>
      </c>
      <c r="M66" s="58"/>
      <c r="N66" s="58">
        <f>C68</f>
        <v>20</v>
      </c>
      <c r="O66" s="59">
        <f>C83</f>
        <v>0</v>
      </c>
      <c r="P66" s="59">
        <f>C85</f>
        <v>201.15</v>
      </c>
      <c r="Q66" s="59">
        <f>C86</f>
        <v>0</v>
      </c>
      <c r="R66" s="58"/>
      <c r="S66" s="58"/>
      <c r="T66" s="58"/>
      <c r="U66" s="58"/>
      <c r="V66" s="58"/>
      <c r="W66" s="58"/>
      <c r="X66" s="58"/>
    </row>
    <row r="67" spans="2:24" ht="28" thickBot="1">
      <c r="B67" s="1" t="s">
        <v>9</v>
      </c>
      <c r="C67" s="2">
        <v>330</v>
      </c>
      <c r="D67" s="2">
        <v>350</v>
      </c>
      <c r="E67" s="2">
        <v>400</v>
      </c>
      <c r="F67" s="2">
        <v>450</v>
      </c>
      <c r="G67" s="2" t="s">
        <v>102</v>
      </c>
      <c r="H67" s="2" t="s">
        <v>103</v>
      </c>
      <c r="J67" s="58">
        <f>D62</f>
        <v>2020</v>
      </c>
      <c r="K67" s="58"/>
      <c r="L67" s="58">
        <f>D67/100</f>
        <v>3.5</v>
      </c>
      <c r="M67" s="58"/>
      <c r="N67" s="58">
        <f>D68</f>
        <v>20</v>
      </c>
      <c r="O67" s="59">
        <f>D83</f>
        <v>0</v>
      </c>
      <c r="P67" s="59">
        <f>D85</f>
        <v>201.15</v>
      </c>
      <c r="Q67" s="59">
        <f>D86</f>
        <v>0</v>
      </c>
      <c r="R67" s="58"/>
      <c r="S67" s="58"/>
      <c r="T67" s="58"/>
      <c r="U67" s="58"/>
      <c r="V67" s="58"/>
      <c r="W67" s="58"/>
      <c r="X67" s="58"/>
    </row>
    <row r="68" spans="2:24" ht="16" thickBot="1">
      <c r="B68" s="1" t="s">
        <v>11</v>
      </c>
      <c r="C68" s="2">
        <v>20</v>
      </c>
      <c r="D68" s="2">
        <v>20</v>
      </c>
      <c r="E68" s="2">
        <v>20</v>
      </c>
      <c r="F68" s="2">
        <v>20</v>
      </c>
      <c r="G68" s="2"/>
      <c r="H68" s="2"/>
      <c r="J68" s="58">
        <f>E62</f>
        <v>2030</v>
      </c>
      <c r="K68" s="58"/>
      <c r="L68" s="58">
        <f>E67/100</f>
        <v>4</v>
      </c>
      <c r="M68" s="58"/>
      <c r="N68" s="58">
        <f>E68</f>
        <v>20</v>
      </c>
      <c r="O68" s="59">
        <f>E83</f>
        <v>0</v>
      </c>
      <c r="P68" s="59">
        <f>E85</f>
        <v>201.15</v>
      </c>
      <c r="Q68" s="59">
        <f>E86</f>
        <v>0</v>
      </c>
      <c r="R68" s="58"/>
      <c r="S68" s="58"/>
      <c r="T68" s="58"/>
      <c r="U68" s="58"/>
      <c r="V68" s="58"/>
      <c r="W68" s="58"/>
      <c r="X68" s="58"/>
    </row>
    <row r="69" spans="2:24" ht="16" thickBot="1">
      <c r="B69" s="3" t="s">
        <v>12</v>
      </c>
      <c r="C69" s="18"/>
      <c r="D69" s="18"/>
      <c r="E69" s="18"/>
      <c r="F69" s="18"/>
      <c r="G69" s="18"/>
      <c r="H69" s="2"/>
      <c r="J69" s="58">
        <f>F62</f>
        <v>2050</v>
      </c>
      <c r="K69" s="58"/>
      <c r="L69" s="58">
        <f>F67/100</f>
        <v>4.5</v>
      </c>
      <c r="M69" s="58"/>
      <c r="N69" s="58">
        <f>F68</f>
        <v>20</v>
      </c>
      <c r="O69" s="59">
        <f>F83</f>
        <v>0</v>
      </c>
      <c r="P69" s="59">
        <f>F85</f>
        <v>201.15</v>
      </c>
      <c r="Q69" s="59">
        <f>F86</f>
        <v>0</v>
      </c>
      <c r="R69" s="58"/>
      <c r="S69" s="58"/>
      <c r="T69" s="58"/>
      <c r="U69" s="58"/>
      <c r="V69" s="58"/>
      <c r="W69" s="58"/>
      <c r="X69" s="58"/>
    </row>
    <row r="70" spans="2:24" ht="27" customHeight="1" thickBot="1">
      <c r="B70" s="1" t="s">
        <v>13</v>
      </c>
      <c r="C70" s="190">
        <v>0</v>
      </c>
      <c r="D70" s="191">
        <v>0</v>
      </c>
      <c r="E70" s="191">
        <v>0</v>
      </c>
      <c r="F70" s="192">
        <v>0</v>
      </c>
      <c r="G70" s="1275" t="s">
        <v>98</v>
      </c>
      <c r="H70" s="175"/>
    </row>
    <row r="71" spans="2:24" ht="16" thickBot="1">
      <c r="B71" s="1" t="s">
        <v>15</v>
      </c>
      <c r="C71" s="193">
        <v>0</v>
      </c>
      <c r="D71" s="189">
        <v>0</v>
      </c>
      <c r="E71" s="189">
        <v>0</v>
      </c>
      <c r="F71" s="185">
        <v>0</v>
      </c>
      <c r="G71" s="1276"/>
      <c r="H71" s="176"/>
    </row>
    <row r="72" spans="2:24" ht="16" thickBot="1">
      <c r="B72" s="1" t="s">
        <v>17</v>
      </c>
      <c r="C72" s="193">
        <v>0</v>
      </c>
      <c r="D72" s="189">
        <v>0</v>
      </c>
      <c r="E72" s="189">
        <v>0</v>
      </c>
      <c r="F72" s="185">
        <v>0</v>
      </c>
      <c r="G72" s="1276"/>
      <c r="H72" s="176"/>
    </row>
    <row r="73" spans="2:24" ht="16" thickBot="1">
      <c r="B73" s="1" t="s">
        <v>18</v>
      </c>
      <c r="C73" s="193">
        <v>0</v>
      </c>
      <c r="D73" s="189">
        <v>0</v>
      </c>
      <c r="E73" s="189">
        <v>0</v>
      </c>
      <c r="F73" s="185">
        <v>0</v>
      </c>
      <c r="G73" s="1276"/>
      <c r="H73" s="176"/>
    </row>
    <row r="74" spans="2:24" ht="16" thickBot="1">
      <c r="B74" s="1" t="s">
        <v>19</v>
      </c>
      <c r="C74" s="194">
        <v>0</v>
      </c>
      <c r="D74" s="195">
        <v>0</v>
      </c>
      <c r="E74" s="195">
        <v>0</v>
      </c>
      <c r="F74" s="35">
        <v>0</v>
      </c>
      <c r="G74" s="1277"/>
      <c r="H74" s="177"/>
    </row>
    <row r="75" spans="2:24" ht="16" thickBot="1">
      <c r="B75" s="3" t="s">
        <v>22</v>
      </c>
      <c r="C75" s="18"/>
      <c r="D75" s="18"/>
      <c r="E75" s="18"/>
      <c r="F75" s="18"/>
      <c r="G75" s="18"/>
      <c r="H75" s="2"/>
    </row>
    <row r="76" spans="2:24" ht="16" thickBot="1">
      <c r="B76" s="1" t="s">
        <v>23</v>
      </c>
      <c r="C76" s="2"/>
      <c r="D76" s="2"/>
      <c r="E76" s="2"/>
      <c r="F76" s="2"/>
      <c r="G76" s="2"/>
      <c r="H76" s="2"/>
      <c r="J76" s="64"/>
      <c r="K76" s="64"/>
      <c r="L76" s="64"/>
      <c r="M76" s="64"/>
    </row>
    <row r="77" spans="2:24">
      <c r="B77" s="6" t="s">
        <v>24</v>
      </c>
      <c r="C77" s="7">
        <v>14</v>
      </c>
      <c r="D77" s="7">
        <v>13</v>
      </c>
      <c r="E77" s="7">
        <v>12</v>
      </c>
      <c r="F77" s="7">
        <v>12</v>
      </c>
      <c r="G77" s="7" t="s">
        <v>114</v>
      </c>
      <c r="H77" s="7" t="s">
        <v>105</v>
      </c>
    </row>
    <row r="78" spans="2:24">
      <c r="B78" s="6" t="s">
        <v>26</v>
      </c>
      <c r="C78" s="7" t="s">
        <v>115</v>
      </c>
      <c r="D78" s="7">
        <v>75</v>
      </c>
      <c r="E78" s="7">
        <v>75</v>
      </c>
      <c r="F78" s="7">
        <v>75</v>
      </c>
      <c r="G78" s="7"/>
      <c r="H78" s="7"/>
    </row>
    <row r="79" spans="2:24" ht="16" thickBot="1">
      <c r="B79" s="1" t="s">
        <v>96</v>
      </c>
      <c r="C79" s="2" t="s">
        <v>116</v>
      </c>
      <c r="D79" s="2">
        <v>25</v>
      </c>
      <c r="E79" s="2">
        <v>25</v>
      </c>
      <c r="F79" s="2">
        <v>25</v>
      </c>
      <c r="G79" s="2"/>
      <c r="H79" s="2"/>
    </row>
    <row r="80" spans="2:24" ht="28" thickBot="1">
      <c r="B80" s="1" t="s">
        <v>30</v>
      </c>
      <c r="C80" s="2">
        <v>6</v>
      </c>
      <c r="D80" s="2">
        <v>6</v>
      </c>
      <c r="E80" s="2">
        <v>6</v>
      </c>
      <c r="F80" s="2">
        <v>6</v>
      </c>
      <c r="G80" s="2" t="s">
        <v>20</v>
      </c>
      <c r="H80" s="2"/>
    </row>
    <row r="81" spans="2:24" ht="16" thickBot="1">
      <c r="B81" s="1" t="s">
        <v>64</v>
      </c>
      <c r="C81" s="2">
        <v>135</v>
      </c>
      <c r="D81" s="2">
        <v>135</v>
      </c>
      <c r="E81" s="2">
        <v>135</v>
      </c>
      <c r="F81" s="2">
        <v>135</v>
      </c>
      <c r="G81" s="2" t="s">
        <v>25</v>
      </c>
      <c r="H81" s="2">
        <v>2</v>
      </c>
    </row>
    <row r="82" spans="2:24" ht="16" thickBot="1">
      <c r="B82" s="1" t="s">
        <v>31</v>
      </c>
      <c r="C82" s="2"/>
      <c r="D82" s="2"/>
      <c r="E82" s="2"/>
      <c r="F82" s="2"/>
      <c r="G82" s="2"/>
      <c r="H82" s="2"/>
    </row>
    <row r="83" spans="2:24">
      <c r="B83" s="36" t="s">
        <v>353</v>
      </c>
      <c r="C83" s="186">
        <f t="shared" ref="C83:F84" si="2">C76*$F$4*1000</f>
        <v>0</v>
      </c>
      <c r="D83" s="186">
        <f t="shared" si="2"/>
        <v>0</v>
      </c>
      <c r="E83" s="186">
        <f t="shared" si="2"/>
        <v>0</v>
      </c>
      <c r="F83" s="186">
        <f t="shared" si="2"/>
        <v>0</v>
      </c>
      <c r="G83" s="63" t="s">
        <v>332</v>
      </c>
      <c r="H83" s="63"/>
    </row>
    <row r="84" spans="2:24">
      <c r="B84" s="36" t="s">
        <v>354</v>
      </c>
      <c r="C84" s="60">
        <f t="shared" si="2"/>
        <v>104300</v>
      </c>
      <c r="D84" s="60">
        <f t="shared" si="2"/>
        <v>96850.000000000015</v>
      </c>
      <c r="E84" s="60">
        <f t="shared" si="2"/>
        <v>89400</v>
      </c>
      <c r="F84" s="60">
        <f t="shared" si="2"/>
        <v>89400</v>
      </c>
      <c r="G84" s="70">
        <f>C64</f>
        <v>5</v>
      </c>
      <c r="H84" s="69" t="s">
        <v>330</v>
      </c>
    </row>
    <row r="85" spans="2:24">
      <c r="B85" s="36" t="s">
        <v>355</v>
      </c>
      <c r="C85" s="60">
        <f>C81*$F$4/C64</f>
        <v>201.15</v>
      </c>
      <c r="D85" s="60">
        <f>D81*$F$4/D64</f>
        <v>201.15</v>
      </c>
      <c r="E85" s="60">
        <f>E81*$F$4/E64</f>
        <v>201.15</v>
      </c>
      <c r="F85" s="60">
        <f>F81*$F$4/F64</f>
        <v>201.15</v>
      </c>
      <c r="G85" s="69" t="s">
        <v>331</v>
      </c>
      <c r="H85" s="69"/>
    </row>
    <row r="86" spans="2:24" ht="16" thickBot="1">
      <c r="B86" s="36" t="s">
        <v>356</v>
      </c>
      <c r="C86" s="186">
        <f>C82*$F$4</f>
        <v>0</v>
      </c>
      <c r="D86" s="186">
        <f>D82*$F$4</f>
        <v>0</v>
      </c>
      <c r="E86" s="186">
        <f>E82*$F$4</f>
        <v>0</v>
      </c>
      <c r="F86" s="186">
        <f>F82*$F$4</f>
        <v>0</v>
      </c>
      <c r="G86" s="61"/>
      <c r="H86" s="61"/>
    </row>
    <row r="87" spans="2:24">
      <c r="B87" s="1257" t="s">
        <v>0</v>
      </c>
      <c r="C87" s="1259" t="s">
        <v>111</v>
      </c>
      <c r="D87" s="1260"/>
      <c r="E87" s="1260"/>
      <c r="F87" s="1260"/>
      <c r="G87" s="1260"/>
      <c r="H87" s="1261"/>
      <c r="J87" s="1259" t="str">
        <f>C87</f>
        <v>Heat pump, brine-to-water</v>
      </c>
      <c r="K87" s="1260"/>
      <c r="L87" s="1260"/>
      <c r="M87" s="1260"/>
      <c r="N87" s="1260"/>
      <c r="O87" s="1261"/>
    </row>
    <row r="88" spans="2:24" ht="16" thickBot="1">
      <c r="B88" s="1258"/>
      <c r="C88" s="1134" t="s">
        <v>35</v>
      </c>
      <c r="D88" s="1135"/>
      <c r="E88" s="1135"/>
      <c r="F88" s="1135"/>
      <c r="G88" s="1135"/>
      <c r="H88" s="1136"/>
      <c r="J88" s="1134" t="str">
        <f>C88</f>
        <v>Apartment complex, new building</v>
      </c>
      <c r="K88" s="1135"/>
      <c r="L88" s="1135"/>
      <c r="M88" s="1135"/>
      <c r="N88" s="1135"/>
      <c r="O88" s="1136"/>
    </row>
    <row r="89" spans="2:24" ht="16" thickBot="1">
      <c r="B89" s="1"/>
      <c r="C89" s="2">
        <v>2015</v>
      </c>
      <c r="D89" s="2">
        <v>2020</v>
      </c>
      <c r="E89" s="2">
        <v>2030</v>
      </c>
      <c r="F89" s="2">
        <v>2050</v>
      </c>
      <c r="G89" s="2" t="s">
        <v>2</v>
      </c>
      <c r="H89" s="2" t="s">
        <v>3</v>
      </c>
      <c r="J89" s="53" t="s">
        <v>357</v>
      </c>
    </row>
    <row r="90" spans="2:24" ht="31" thickBot="1">
      <c r="B90" s="3" t="s">
        <v>4</v>
      </c>
      <c r="C90" s="4"/>
      <c r="D90" s="4"/>
      <c r="E90" s="4"/>
      <c r="F90" s="4"/>
      <c r="G90" s="4"/>
      <c r="H90" s="5"/>
      <c r="J90" s="46" t="s">
        <v>335</v>
      </c>
      <c r="K90" s="46" t="s">
        <v>336</v>
      </c>
      <c r="L90" s="47" t="s">
        <v>337</v>
      </c>
      <c r="M90" s="47" t="s">
        <v>338</v>
      </c>
      <c r="N90" s="47" t="s">
        <v>339</v>
      </c>
      <c r="O90" s="48" t="s">
        <v>340</v>
      </c>
      <c r="P90" s="49" t="s">
        <v>341</v>
      </c>
      <c r="Q90" s="49" t="s">
        <v>342</v>
      </c>
      <c r="R90" s="49" t="s">
        <v>343</v>
      </c>
      <c r="S90" s="49" t="s">
        <v>344</v>
      </c>
      <c r="T90" s="49" t="s">
        <v>345</v>
      </c>
      <c r="U90" s="49" t="s">
        <v>346</v>
      </c>
      <c r="V90" s="49" t="s">
        <v>347</v>
      </c>
      <c r="W90" s="49" t="s">
        <v>348</v>
      </c>
      <c r="X90" s="49" t="s">
        <v>349</v>
      </c>
    </row>
    <row r="91" spans="2:24" ht="16" thickBot="1">
      <c r="B91" s="1" t="s">
        <v>5</v>
      </c>
      <c r="C91" s="2" t="s">
        <v>110</v>
      </c>
      <c r="D91" s="2" t="s">
        <v>110</v>
      </c>
      <c r="E91" s="2" t="s">
        <v>110</v>
      </c>
      <c r="F91" s="2" t="s">
        <v>110</v>
      </c>
      <c r="G91" s="2"/>
      <c r="H91" s="2"/>
      <c r="J91" s="50"/>
      <c r="K91" s="50"/>
      <c r="L91" s="51"/>
      <c r="M91" s="51"/>
      <c r="N91" s="51"/>
      <c r="O91" s="52"/>
      <c r="P91" s="50"/>
      <c r="Q91" s="50"/>
      <c r="R91" s="50"/>
      <c r="S91" s="50"/>
      <c r="T91" s="50"/>
      <c r="U91" s="50"/>
      <c r="V91" s="50"/>
      <c r="W91" s="50"/>
      <c r="X91" s="50"/>
    </row>
    <row r="92" spans="2:24" ht="28" thickBot="1">
      <c r="B92" s="1" t="s">
        <v>7</v>
      </c>
      <c r="C92" s="2">
        <v>100</v>
      </c>
      <c r="D92" s="2">
        <v>100</v>
      </c>
      <c r="E92" s="2">
        <v>100</v>
      </c>
      <c r="F92" s="2">
        <v>100</v>
      </c>
      <c r="G92" s="2" t="s">
        <v>16</v>
      </c>
      <c r="H92" s="2"/>
      <c r="J92" s="56"/>
      <c r="K92" s="56"/>
      <c r="L92" s="57"/>
      <c r="M92" s="57"/>
      <c r="N92" s="57"/>
      <c r="O92" s="56" t="s">
        <v>350</v>
      </c>
      <c r="P92" s="56" t="s">
        <v>326</v>
      </c>
      <c r="Q92" s="56" t="s">
        <v>327</v>
      </c>
      <c r="R92" s="56" t="s">
        <v>351</v>
      </c>
      <c r="S92" s="56" t="s">
        <v>351</v>
      </c>
      <c r="T92" s="56" t="s">
        <v>352</v>
      </c>
      <c r="U92" s="56" t="s">
        <v>352</v>
      </c>
      <c r="V92" s="56" t="s">
        <v>352</v>
      </c>
      <c r="W92" s="56" t="s">
        <v>352</v>
      </c>
      <c r="X92" s="56" t="s">
        <v>352</v>
      </c>
    </row>
    <row r="93" spans="2:24" ht="28" thickBot="1">
      <c r="B93" s="1" t="s">
        <v>8</v>
      </c>
      <c r="C93" s="2">
        <v>100</v>
      </c>
      <c r="D93" s="2">
        <v>100</v>
      </c>
      <c r="E93" s="2">
        <v>100</v>
      </c>
      <c r="F93" s="2">
        <v>100</v>
      </c>
      <c r="G93" s="2" t="s">
        <v>16</v>
      </c>
      <c r="H93" s="2"/>
      <c r="J93" s="58">
        <f>C89</f>
        <v>2015</v>
      </c>
      <c r="K93" s="58">
        <f>J93</f>
        <v>2015</v>
      </c>
      <c r="L93" s="58">
        <f>C94/100</f>
        <v>3.3</v>
      </c>
      <c r="M93" s="58"/>
      <c r="N93" s="58">
        <f>C95</f>
        <v>20</v>
      </c>
      <c r="O93" s="59">
        <f>C110</f>
        <v>8195</v>
      </c>
      <c r="P93" s="59">
        <f>C112</f>
        <v>16.555555555555557</v>
      </c>
      <c r="Q93" s="59">
        <f>C113</f>
        <v>0</v>
      </c>
      <c r="R93" s="58"/>
      <c r="S93" s="58"/>
      <c r="T93" s="58"/>
      <c r="U93" s="58"/>
      <c r="V93" s="58"/>
      <c r="W93" s="58"/>
      <c r="X93" s="58"/>
    </row>
    <row r="94" spans="2:24" ht="28" thickBot="1">
      <c r="B94" s="1" t="s">
        <v>9</v>
      </c>
      <c r="C94" s="2">
        <v>330</v>
      </c>
      <c r="D94" s="2">
        <v>350</v>
      </c>
      <c r="E94" s="2">
        <v>400</v>
      </c>
      <c r="F94" s="2">
        <v>450</v>
      </c>
      <c r="G94" s="2" t="s">
        <v>109</v>
      </c>
      <c r="H94" s="2" t="s">
        <v>103</v>
      </c>
      <c r="J94" s="58">
        <f>D89</f>
        <v>2020</v>
      </c>
      <c r="K94" s="58"/>
      <c r="L94" s="58">
        <f>D94/100</f>
        <v>3.5</v>
      </c>
      <c r="M94" s="58"/>
      <c r="N94" s="58">
        <f>D95</f>
        <v>20</v>
      </c>
      <c r="O94" s="59">
        <f>D110</f>
        <v>8195</v>
      </c>
      <c r="P94" s="59">
        <f>D112</f>
        <v>16.555555555555557</v>
      </c>
      <c r="Q94" s="59">
        <f>D113</f>
        <v>0</v>
      </c>
      <c r="R94" s="58"/>
      <c r="S94" s="58"/>
      <c r="T94" s="58"/>
      <c r="U94" s="58"/>
      <c r="V94" s="58"/>
      <c r="W94" s="58"/>
      <c r="X94" s="58"/>
    </row>
    <row r="95" spans="2:24" ht="16" thickBot="1">
      <c r="B95" s="1" t="s">
        <v>11</v>
      </c>
      <c r="C95" s="2">
        <v>20</v>
      </c>
      <c r="D95" s="2">
        <v>20</v>
      </c>
      <c r="E95" s="2">
        <v>20</v>
      </c>
      <c r="F95" s="2">
        <v>20</v>
      </c>
      <c r="G95" s="2"/>
      <c r="H95" s="2"/>
      <c r="J95" s="58">
        <f>E89</f>
        <v>2030</v>
      </c>
      <c r="K95" s="58"/>
      <c r="L95" s="58">
        <f>E94/100</f>
        <v>4</v>
      </c>
      <c r="M95" s="58"/>
      <c r="N95" s="58">
        <f>E95</f>
        <v>20</v>
      </c>
      <c r="O95" s="59">
        <f>E110</f>
        <v>7450</v>
      </c>
      <c r="P95" s="59">
        <f>E112</f>
        <v>16.555555555555557</v>
      </c>
      <c r="Q95" s="59">
        <f>E113</f>
        <v>0</v>
      </c>
      <c r="R95" s="58"/>
      <c r="S95" s="58"/>
      <c r="T95" s="58"/>
      <c r="U95" s="58"/>
      <c r="V95" s="58"/>
      <c r="W95" s="58"/>
      <c r="X95" s="58"/>
    </row>
    <row r="96" spans="2:24" ht="16" thickBot="1">
      <c r="B96" s="3" t="s">
        <v>12</v>
      </c>
      <c r="C96" s="18"/>
      <c r="D96" s="18"/>
      <c r="E96" s="18"/>
      <c r="F96" s="18"/>
      <c r="G96" s="18"/>
      <c r="H96" s="2"/>
      <c r="J96" s="58">
        <f>F89</f>
        <v>2050</v>
      </c>
      <c r="K96" s="58"/>
      <c r="L96" s="58">
        <f>F94/100</f>
        <v>4.5</v>
      </c>
      <c r="M96" s="58"/>
      <c r="N96" s="58">
        <f>F95</f>
        <v>20</v>
      </c>
      <c r="O96" s="59">
        <f>F110</f>
        <v>6705</v>
      </c>
      <c r="P96" s="59">
        <f>F112</f>
        <v>16.555555555555557</v>
      </c>
      <c r="Q96" s="59">
        <f>F113</f>
        <v>0</v>
      </c>
      <c r="R96" s="58"/>
      <c r="S96" s="58"/>
      <c r="T96" s="58"/>
      <c r="U96" s="58"/>
      <c r="V96" s="58"/>
      <c r="W96" s="58"/>
      <c r="X96" s="58"/>
    </row>
    <row r="97" spans="2:15" ht="27" customHeight="1" thickBot="1">
      <c r="B97" s="1" t="s">
        <v>13</v>
      </c>
      <c r="C97" s="190">
        <v>0</v>
      </c>
      <c r="D97" s="191">
        <v>0</v>
      </c>
      <c r="E97" s="191">
        <v>0</v>
      </c>
      <c r="F97" s="192">
        <v>0</v>
      </c>
      <c r="G97" s="1275" t="s">
        <v>98</v>
      </c>
      <c r="H97" s="175"/>
      <c r="J97" s="1259"/>
      <c r="K97" s="1260"/>
      <c r="L97" s="1260"/>
      <c r="M97" s="1260"/>
      <c r="N97" s="1260"/>
      <c r="O97" s="1261"/>
    </row>
    <row r="98" spans="2:15" ht="16" thickBot="1">
      <c r="B98" s="1" t="s">
        <v>15</v>
      </c>
      <c r="C98" s="193">
        <v>0</v>
      </c>
      <c r="D98" s="189">
        <v>0</v>
      </c>
      <c r="E98" s="189">
        <v>0</v>
      </c>
      <c r="F98" s="185">
        <v>0</v>
      </c>
      <c r="G98" s="1276"/>
      <c r="H98" s="176"/>
      <c r="J98" s="1134"/>
      <c r="K98" s="1135"/>
      <c r="L98" s="1135"/>
      <c r="M98" s="1135"/>
      <c r="N98" s="1135"/>
      <c r="O98" s="1136"/>
    </row>
    <row r="99" spans="2:15" ht="16" thickBot="1">
      <c r="B99" s="1" t="s">
        <v>17</v>
      </c>
      <c r="C99" s="193">
        <v>0</v>
      </c>
      <c r="D99" s="189">
        <v>0</v>
      </c>
      <c r="E99" s="189">
        <v>0</v>
      </c>
      <c r="F99" s="185">
        <v>0</v>
      </c>
      <c r="G99" s="1276"/>
      <c r="H99" s="176"/>
      <c r="J99" s="53"/>
    </row>
    <row r="100" spans="2:15" ht="16" thickBot="1">
      <c r="B100" s="1" t="s">
        <v>18</v>
      </c>
      <c r="C100" s="193">
        <v>0</v>
      </c>
      <c r="D100" s="189">
        <v>0</v>
      </c>
      <c r="E100" s="189">
        <v>0</v>
      </c>
      <c r="F100" s="185">
        <v>0</v>
      </c>
      <c r="G100" s="1276"/>
      <c r="H100" s="176"/>
      <c r="J100" s="46"/>
      <c r="K100" s="46"/>
      <c r="L100" s="47"/>
      <c r="M100" s="47"/>
      <c r="N100" s="47"/>
      <c r="O100" s="48"/>
    </row>
    <row r="101" spans="2:15" ht="16" thickBot="1">
      <c r="B101" s="1" t="s">
        <v>19</v>
      </c>
      <c r="C101" s="194">
        <v>0</v>
      </c>
      <c r="D101" s="195">
        <v>0</v>
      </c>
      <c r="E101" s="195">
        <v>0</v>
      </c>
      <c r="F101" s="35">
        <v>0</v>
      </c>
      <c r="G101" s="1277"/>
      <c r="H101" s="177"/>
      <c r="J101" s="50"/>
      <c r="K101" s="50"/>
      <c r="L101" s="51"/>
      <c r="M101" s="51"/>
      <c r="N101" s="51"/>
      <c r="O101" s="52"/>
    </row>
    <row r="102" spans="2:15" ht="16" thickBot="1">
      <c r="B102" s="3" t="s">
        <v>22</v>
      </c>
      <c r="C102" s="18"/>
      <c r="D102" s="18"/>
      <c r="E102" s="18"/>
      <c r="F102" s="18"/>
      <c r="G102" s="18"/>
      <c r="H102" s="2"/>
      <c r="J102" s="56"/>
      <c r="K102" s="56"/>
      <c r="L102" s="57"/>
      <c r="M102" s="57"/>
      <c r="N102" s="57"/>
      <c r="O102" s="56"/>
    </row>
    <row r="103" spans="2:15" ht="16" thickBot="1">
      <c r="B103" s="1" t="s">
        <v>23</v>
      </c>
      <c r="C103" s="2">
        <v>1.1000000000000001</v>
      </c>
      <c r="D103" s="2">
        <v>1.1000000000000001</v>
      </c>
      <c r="E103" s="2">
        <v>1</v>
      </c>
      <c r="F103" s="2">
        <v>0.9</v>
      </c>
      <c r="G103" s="2" t="s">
        <v>114</v>
      </c>
      <c r="H103" s="2" t="s">
        <v>105</v>
      </c>
      <c r="J103" s="58"/>
      <c r="K103" s="58"/>
      <c r="L103" s="58"/>
      <c r="M103" s="58"/>
      <c r="N103" s="58"/>
      <c r="O103" s="59"/>
    </row>
    <row r="104" spans="2:15">
      <c r="B104" s="6" t="s">
        <v>24</v>
      </c>
      <c r="C104" s="7"/>
      <c r="D104" s="7"/>
      <c r="E104" s="7"/>
      <c r="F104" s="7"/>
      <c r="G104" s="7"/>
      <c r="H104" s="7"/>
      <c r="J104" s="58"/>
      <c r="K104" s="58"/>
      <c r="L104" s="58"/>
      <c r="M104" s="58"/>
      <c r="N104" s="58"/>
      <c r="O104" s="59"/>
    </row>
    <row r="105" spans="2:15">
      <c r="B105" s="6" t="s">
        <v>26</v>
      </c>
      <c r="C105" s="7"/>
      <c r="D105" s="7"/>
      <c r="E105" s="7"/>
      <c r="F105" s="7"/>
      <c r="G105" s="7"/>
      <c r="H105" s="7"/>
      <c r="J105" s="58"/>
      <c r="K105" s="58"/>
      <c r="L105" s="58"/>
      <c r="M105" s="58"/>
      <c r="N105" s="58"/>
      <c r="O105" s="59"/>
    </row>
    <row r="106" spans="2:15" ht="16" thickBot="1">
      <c r="B106" s="1" t="s">
        <v>96</v>
      </c>
      <c r="C106" s="2"/>
      <c r="D106" s="2"/>
      <c r="E106" s="2"/>
      <c r="F106" s="2"/>
      <c r="G106" s="2"/>
      <c r="H106" s="2"/>
      <c r="J106" s="58"/>
      <c r="K106" s="58"/>
      <c r="L106" s="58"/>
      <c r="M106" s="58"/>
      <c r="N106" s="58"/>
      <c r="O106" s="59"/>
    </row>
    <row r="107" spans="2:15" ht="28" thickBot="1">
      <c r="B107" s="1" t="s">
        <v>113</v>
      </c>
      <c r="C107" s="2">
        <v>0.67</v>
      </c>
      <c r="D107" s="2">
        <v>0.67</v>
      </c>
      <c r="E107" s="2">
        <v>0.67</v>
      </c>
      <c r="F107" s="2">
        <v>0.67</v>
      </c>
      <c r="G107" s="2" t="s">
        <v>20</v>
      </c>
      <c r="H107" s="2"/>
    </row>
    <row r="108" spans="2:15" ht="16" thickBot="1">
      <c r="B108" s="1" t="s">
        <v>50</v>
      </c>
      <c r="C108" s="2">
        <v>400</v>
      </c>
      <c r="D108" s="2">
        <v>400</v>
      </c>
      <c r="E108" s="2">
        <v>400</v>
      </c>
      <c r="F108" s="2">
        <v>400</v>
      </c>
      <c r="G108" s="2" t="s">
        <v>25</v>
      </c>
      <c r="H108" s="2">
        <v>2</v>
      </c>
    </row>
    <row r="109" spans="2:15" ht="16" thickBot="1">
      <c r="B109" s="1" t="s">
        <v>31</v>
      </c>
      <c r="C109" s="2"/>
      <c r="D109" s="2"/>
      <c r="E109" s="2"/>
      <c r="F109" s="2"/>
      <c r="G109" s="2"/>
      <c r="H109" s="2"/>
    </row>
    <row r="110" spans="2:15">
      <c r="B110" s="36" t="s">
        <v>353</v>
      </c>
      <c r="C110" s="60">
        <f t="shared" ref="C110:F111" si="3">C103*$F$4*1000</f>
        <v>8195</v>
      </c>
      <c r="D110" s="60">
        <f t="shared" si="3"/>
        <v>8195</v>
      </c>
      <c r="E110" s="60">
        <f t="shared" si="3"/>
        <v>7450</v>
      </c>
      <c r="F110" s="60">
        <f t="shared" si="3"/>
        <v>6705</v>
      </c>
      <c r="G110" s="63" t="s">
        <v>332</v>
      </c>
      <c r="H110" s="63"/>
    </row>
    <row r="111" spans="2:15">
      <c r="B111" s="36" t="s">
        <v>354</v>
      </c>
      <c r="C111" s="186">
        <f t="shared" si="3"/>
        <v>0</v>
      </c>
      <c r="D111" s="186">
        <f t="shared" si="3"/>
        <v>0</v>
      </c>
      <c r="E111" s="186">
        <f t="shared" si="3"/>
        <v>0</v>
      </c>
      <c r="F111" s="186">
        <f t="shared" si="3"/>
        <v>0</v>
      </c>
      <c r="G111" s="70">
        <v>180</v>
      </c>
      <c r="H111" s="69" t="s">
        <v>330</v>
      </c>
    </row>
    <row r="112" spans="2:15">
      <c r="B112" s="36" t="s">
        <v>355</v>
      </c>
      <c r="C112" s="60">
        <f>C108*$F$4/$G111</f>
        <v>16.555555555555557</v>
      </c>
      <c r="D112" s="60">
        <f>D108*$F$4/$G111</f>
        <v>16.555555555555557</v>
      </c>
      <c r="E112" s="60">
        <f>E108*$F$4/$G111</f>
        <v>16.555555555555557</v>
      </c>
      <c r="F112" s="60">
        <f>F108*$F$4/$G111</f>
        <v>16.555555555555557</v>
      </c>
      <c r="G112" s="69" t="s">
        <v>331</v>
      </c>
      <c r="H112" s="69"/>
    </row>
    <row r="113" spans="2:8">
      <c r="B113" s="36" t="s">
        <v>356</v>
      </c>
      <c r="C113" s="186">
        <f>C109*$F$4</f>
        <v>0</v>
      </c>
      <c r="D113" s="186">
        <f>D109*$F$4</f>
        <v>0</v>
      </c>
      <c r="E113" s="186">
        <f>E109*$F$4</f>
        <v>0</v>
      </c>
      <c r="F113" s="186">
        <f>F109*$F$4</f>
        <v>0</v>
      </c>
      <c r="G113" s="61"/>
      <c r="H113" s="61"/>
    </row>
    <row r="156" spans="7:7">
      <c r="G156" s="263" t="s">
        <v>620</v>
      </c>
    </row>
  </sheetData>
  <mergeCells count="26">
    <mergeCell ref="B6:B7"/>
    <mergeCell ref="C6:H6"/>
    <mergeCell ref="C7:H7"/>
    <mergeCell ref="B33:B34"/>
    <mergeCell ref="C33:H33"/>
    <mergeCell ref="C34:H34"/>
    <mergeCell ref="G16:G20"/>
    <mergeCell ref="B60:B61"/>
    <mergeCell ref="C60:H60"/>
    <mergeCell ref="C61:H61"/>
    <mergeCell ref="B87:B88"/>
    <mergeCell ref="C87:H87"/>
    <mergeCell ref="C88:H88"/>
    <mergeCell ref="J6:O6"/>
    <mergeCell ref="J7:O7"/>
    <mergeCell ref="J33:O33"/>
    <mergeCell ref="J34:O34"/>
    <mergeCell ref="J60:O60"/>
    <mergeCell ref="G43:G47"/>
    <mergeCell ref="G70:G74"/>
    <mergeCell ref="G97:G101"/>
    <mergeCell ref="J87:O87"/>
    <mergeCell ref="J88:O88"/>
    <mergeCell ref="J97:O97"/>
    <mergeCell ref="J98:O98"/>
    <mergeCell ref="J61:O61"/>
  </mergeCells>
  <pageMargins left="0.7" right="0.7" top="0.75" bottom="0.75" header="0.3" footer="0.3"/>
  <pageSetup paperSize="9" orientation="portrait"/>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14">
    <tabColor theme="4"/>
  </sheetPr>
  <dimension ref="B3:CP130"/>
  <sheetViews>
    <sheetView topLeftCell="A19" workbookViewId="0">
      <selection activeCell="C31" sqref="C31"/>
    </sheetView>
  </sheetViews>
  <sheetFormatPr baseColWidth="10" defaultColWidth="8.83203125" defaultRowHeight="15"/>
  <cols>
    <col min="2" max="2" width="51.5" customWidth="1"/>
    <col min="3" max="3" width="14.83203125" style="85" bestFit="1" customWidth="1"/>
    <col min="4" max="8" width="9.1640625" style="85"/>
  </cols>
  <sheetData>
    <row r="3" spans="2:94" ht="29">
      <c r="B3" s="84" t="s">
        <v>393</v>
      </c>
    </row>
    <row r="4" spans="2:94" ht="15" customHeight="1">
      <c r="E4" t="s">
        <v>358</v>
      </c>
      <c r="F4"/>
      <c r="G4" s="36">
        <v>7.45</v>
      </c>
      <c r="H4" t="s">
        <v>328</v>
      </c>
    </row>
    <row r="5" spans="2:94" ht="15" customHeight="1" thickBot="1"/>
    <row r="6" spans="2:94" ht="15.75" customHeight="1" thickBot="1">
      <c r="C6" s="1290" t="s">
        <v>394</v>
      </c>
      <c r="D6" s="1288"/>
      <c r="E6" s="1288"/>
      <c r="F6" s="1288"/>
      <c r="G6" s="1288"/>
      <c r="H6" s="1289"/>
      <c r="J6" s="1259" t="str">
        <f>C6</f>
        <v>Absorption heat pump</v>
      </c>
      <c r="K6" s="1260"/>
      <c r="L6" s="1260"/>
      <c r="M6" s="1260"/>
      <c r="N6" s="1260"/>
      <c r="O6" s="1261"/>
    </row>
    <row r="7" spans="2:94" s="8" customFormat="1" ht="15.75" customHeight="1" thickBot="1">
      <c r="B7" s="86" t="s">
        <v>0</v>
      </c>
      <c r="C7" s="8" t="s">
        <v>362</v>
      </c>
      <c r="J7" s="1134" t="str">
        <f>C7</f>
        <v>One family house, new and existing buildings</v>
      </c>
      <c r="K7" s="1135"/>
      <c r="L7" s="1135"/>
      <c r="M7" s="1135"/>
      <c r="N7" s="1135"/>
      <c r="O7" s="1136"/>
      <c r="P7"/>
      <c r="Q7"/>
      <c r="R7"/>
      <c r="S7"/>
      <c r="T7"/>
      <c r="U7"/>
      <c r="V7"/>
      <c r="W7"/>
      <c r="X7"/>
    </row>
    <row r="8" spans="2:94" ht="25.5" customHeight="1" thickBot="1">
      <c r="B8" s="111"/>
      <c r="C8" s="112">
        <v>2015</v>
      </c>
      <c r="D8" s="112">
        <v>2020</v>
      </c>
      <c r="E8" s="112">
        <v>2030</v>
      </c>
      <c r="F8" s="112">
        <v>2050</v>
      </c>
      <c r="G8" s="112" t="s">
        <v>2</v>
      </c>
      <c r="H8" s="113" t="s">
        <v>3</v>
      </c>
      <c r="J8" s="53" t="s">
        <v>357</v>
      </c>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c r="CL8" s="8"/>
      <c r="CM8" s="8"/>
      <c r="CN8" s="8"/>
      <c r="CO8" s="8"/>
      <c r="CP8" s="8"/>
    </row>
    <row r="9" spans="2:94" ht="25.5" customHeight="1" thickBot="1">
      <c r="B9" s="114" t="s">
        <v>4</v>
      </c>
      <c r="C9" s="108"/>
      <c r="D9" s="108"/>
      <c r="E9" s="108"/>
      <c r="F9" s="108"/>
      <c r="G9" s="108"/>
      <c r="H9" s="109"/>
      <c r="J9" s="46" t="s">
        <v>335</v>
      </c>
      <c r="K9" s="46" t="s">
        <v>336</v>
      </c>
      <c r="L9" s="47" t="s">
        <v>337</v>
      </c>
      <c r="M9" s="47" t="s">
        <v>338</v>
      </c>
      <c r="N9" s="47" t="s">
        <v>339</v>
      </c>
      <c r="O9" s="48" t="s">
        <v>340</v>
      </c>
      <c r="P9" s="49" t="s">
        <v>341</v>
      </c>
      <c r="Q9" s="49" t="s">
        <v>342</v>
      </c>
      <c r="R9" s="49" t="s">
        <v>343</v>
      </c>
      <c r="S9" s="49" t="s">
        <v>344</v>
      </c>
      <c r="T9" s="49" t="s">
        <v>345</v>
      </c>
      <c r="U9" s="49" t="s">
        <v>346</v>
      </c>
      <c r="V9" s="49" t="s">
        <v>347</v>
      </c>
      <c r="W9" s="49" t="s">
        <v>348</v>
      </c>
      <c r="X9" s="49" t="s">
        <v>349</v>
      </c>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c r="BQ9" s="8"/>
      <c r="BR9" s="8"/>
      <c r="BS9" s="8"/>
      <c r="BT9" s="8"/>
      <c r="BU9" s="8"/>
      <c r="BV9" s="8"/>
      <c r="BW9" s="8"/>
      <c r="BX9" s="8"/>
      <c r="BY9" s="8"/>
      <c r="BZ9" s="8"/>
      <c r="CA9" s="8"/>
      <c r="CB9" s="8"/>
      <c r="CC9" s="8"/>
      <c r="CD9" s="8"/>
      <c r="CE9" s="8"/>
      <c r="CF9" s="8"/>
      <c r="CG9" s="8"/>
      <c r="CH9" s="8"/>
      <c r="CI9" s="8"/>
      <c r="CJ9" s="8"/>
      <c r="CK9" s="8"/>
      <c r="CL9" s="8"/>
      <c r="CM9" s="8"/>
      <c r="CN9" s="8"/>
      <c r="CO9" s="8"/>
      <c r="CP9" s="8"/>
    </row>
    <row r="10" spans="2:94" ht="15.75" customHeight="1" thickBot="1">
      <c r="B10" s="115" t="s">
        <v>5</v>
      </c>
      <c r="C10" s="123">
        <v>18</v>
      </c>
      <c r="D10" s="123">
        <v>30</v>
      </c>
      <c r="E10" s="123">
        <v>30</v>
      </c>
      <c r="F10" s="123">
        <v>30</v>
      </c>
      <c r="G10" s="116" t="s">
        <v>395</v>
      </c>
      <c r="H10" s="117"/>
      <c r="J10" s="50"/>
      <c r="K10" s="50"/>
      <c r="L10" s="51"/>
      <c r="M10" s="51"/>
      <c r="N10" s="51"/>
      <c r="O10" s="52"/>
      <c r="P10" s="50"/>
      <c r="Q10" s="50"/>
      <c r="R10" s="50"/>
      <c r="S10" s="50"/>
      <c r="T10" s="50"/>
      <c r="U10" s="50"/>
      <c r="V10" s="50"/>
      <c r="W10" s="50"/>
      <c r="X10" s="50"/>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c r="BQ10" s="8"/>
      <c r="BR10" s="8"/>
      <c r="BS10" s="8"/>
      <c r="BT10" s="8"/>
      <c r="BU10" s="8"/>
      <c r="BV10" s="8"/>
      <c r="BW10" s="8"/>
      <c r="BX10" s="8"/>
      <c r="BY10" s="8"/>
      <c r="BZ10" s="8"/>
      <c r="CA10" s="8"/>
      <c r="CB10" s="8"/>
      <c r="CC10" s="8"/>
      <c r="CD10" s="8"/>
      <c r="CE10" s="8"/>
      <c r="CF10" s="8"/>
      <c r="CG10" s="8"/>
      <c r="CH10" s="8"/>
      <c r="CI10" s="8"/>
      <c r="CJ10" s="8"/>
      <c r="CK10" s="8"/>
      <c r="CL10" s="8"/>
      <c r="CM10" s="8"/>
      <c r="CN10" s="8"/>
      <c r="CO10" s="8"/>
      <c r="CP10" s="8"/>
    </row>
    <row r="11" spans="2:94" ht="15.75" customHeight="1" thickBot="1">
      <c r="B11" s="115" t="s">
        <v>7</v>
      </c>
      <c r="C11" s="107">
        <v>100</v>
      </c>
      <c r="D11" s="118">
        <v>100</v>
      </c>
      <c r="E11" s="118">
        <v>100</v>
      </c>
      <c r="F11" s="118">
        <v>100</v>
      </c>
      <c r="G11" s="118"/>
      <c r="H11" s="117"/>
      <c r="J11" s="56"/>
      <c r="K11" s="56"/>
      <c r="L11" s="57"/>
      <c r="M11" s="57"/>
      <c r="N11" s="57"/>
      <c r="O11" s="56" t="s">
        <v>350</v>
      </c>
      <c r="P11" s="56" t="s">
        <v>326</v>
      </c>
      <c r="Q11" s="56" t="s">
        <v>327</v>
      </c>
      <c r="R11" s="56" t="s">
        <v>351</v>
      </c>
      <c r="S11" s="56" t="s">
        <v>351</v>
      </c>
      <c r="T11" s="56" t="s">
        <v>352</v>
      </c>
      <c r="U11" s="56" t="s">
        <v>352</v>
      </c>
      <c r="V11" s="56" t="s">
        <v>352</v>
      </c>
      <c r="W11" s="56" t="s">
        <v>352</v>
      </c>
      <c r="X11" s="56" t="s">
        <v>352</v>
      </c>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8"/>
      <c r="BY11" s="8"/>
      <c r="BZ11" s="8"/>
      <c r="CA11" s="8"/>
      <c r="CB11" s="8"/>
      <c r="CC11" s="8"/>
      <c r="CD11" s="8"/>
      <c r="CE11" s="8"/>
      <c r="CF11" s="8"/>
      <c r="CG11" s="8"/>
      <c r="CH11" s="8"/>
      <c r="CI11" s="8"/>
      <c r="CJ11" s="8"/>
      <c r="CK11" s="8"/>
      <c r="CL11" s="8"/>
      <c r="CM11" s="8"/>
      <c r="CN11" s="8"/>
      <c r="CO11" s="8"/>
      <c r="CP11" s="8"/>
    </row>
    <row r="12" spans="2:94" ht="15.75" customHeight="1" thickBot="1">
      <c r="B12" s="115" t="s">
        <v>8</v>
      </c>
      <c r="C12" s="107">
        <v>100</v>
      </c>
      <c r="D12" s="118">
        <v>100</v>
      </c>
      <c r="E12" s="118">
        <v>100</v>
      </c>
      <c r="F12" s="118">
        <v>100</v>
      </c>
      <c r="G12" s="118"/>
      <c r="H12" s="117"/>
      <c r="J12" s="58">
        <f>C8</f>
        <v>2015</v>
      </c>
      <c r="K12" s="58">
        <f>J12</f>
        <v>2015</v>
      </c>
      <c r="L12" s="58">
        <f>C13/100</f>
        <v>1.35</v>
      </c>
      <c r="M12" s="58"/>
      <c r="N12" s="58">
        <f>C14</f>
        <v>22</v>
      </c>
      <c r="O12" s="59">
        <f>C29</f>
        <v>5380.5555555555566</v>
      </c>
      <c r="P12" s="59">
        <f>C31</f>
        <v>99.333333333333329</v>
      </c>
      <c r="Q12" s="59">
        <f>C32</f>
        <v>14.9</v>
      </c>
      <c r="R12" s="58"/>
      <c r="S12" s="58"/>
      <c r="T12" s="58">
        <f>C16</f>
        <v>0</v>
      </c>
      <c r="U12" s="58">
        <f>C17</f>
        <v>15</v>
      </c>
      <c r="V12" s="58">
        <f>C18</f>
        <v>2</v>
      </c>
      <c r="W12" s="58">
        <f>C19</f>
        <v>0</v>
      </c>
      <c r="X12" s="58">
        <f>C20</f>
        <v>0</v>
      </c>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8"/>
      <c r="CI12" s="8"/>
      <c r="CJ12" s="8"/>
      <c r="CK12" s="8"/>
      <c r="CL12" s="8"/>
      <c r="CM12" s="8"/>
      <c r="CN12" s="8"/>
      <c r="CO12" s="8"/>
      <c r="CP12" s="8"/>
    </row>
    <row r="13" spans="2:94" ht="15.75" customHeight="1" thickBot="1">
      <c r="B13" s="115" t="s">
        <v>363</v>
      </c>
      <c r="C13" s="107">
        <v>135</v>
      </c>
      <c r="D13" s="118">
        <v>145</v>
      </c>
      <c r="E13" s="118">
        <v>170</v>
      </c>
      <c r="F13" s="118">
        <v>170</v>
      </c>
      <c r="G13" s="118" t="s">
        <v>59</v>
      </c>
      <c r="H13" s="117"/>
      <c r="J13" s="58">
        <f>D8</f>
        <v>2020</v>
      </c>
      <c r="K13" s="58"/>
      <c r="L13" s="58">
        <f>D13/100</f>
        <v>1.45</v>
      </c>
      <c r="M13" s="58"/>
      <c r="N13" s="58">
        <f>D14</f>
        <v>22</v>
      </c>
      <c r="O13" s="59">
        <f>D29</f>
        <v>2980</v>
      </c>
      <c r="P13" s="59">
        <f>D31</f>
        <v>59.6</v>
      </c>
      <c r="Q13" s="59">
        <f>D32</f>
        <v>14.9</v>
      </c>
      <c r="R13" s="58"/>
      <c r="S13" s="58"/>
      <c r="T13" s="58">
        <f>D16</f>
        <v>0</v>
      </c>
      <c r="U13" s="58">
        <f>D17</f>
        <v>10</v>
      </c>
      <c r="V13" s="58">
        <f>D18</f>
        <v>1</v>
      </c>
      <c r="W13" s="58">
        <f>D19</f>
        <v>0</v>
      </c>
      <c r="X13" s="58">
        <f>D20</f>
        <v>0</v>
      </c>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c r="CO13" s="8"/>
      <c r="CP13" s="8"/>
    </row>
    <row r="14" spans="2:94" ht="15.75" customHeight="1" thickBot="1">
      <c r="B14" s="115" t="s">
        <v>11</v>
      </c>
      <c r="C14" s="107">
        <v>22</v>
      </c>
      <c r="D14" s="118">
        <v>22</v>
      </c>
      <c r="E14" s="118">
        <v>22</v>
      </c>
      <c r="F14" s="118">
        <v>22</v>
      </c>
      <c r="G14" s="118" t="s">
        <v>396</v>
      </c>
      <c r="H14" s="117"/>
      <c r="J14" s="58">
        <f>E8</f>
        <v>2030</v>
      </c>
      <c r="K14" s="58"/>
      <c r="L14" s="58">
        <f>E13/100</f>
        <v>1.7</v>
      </c>
      <c r="M14" s="58"/>
      <c r="N14" s="58">
        <f>E14</f>
        <v>22</v>
      </c>
      <c r="O14" s="59">
        <f>E29</f>
        <v>2483.3333333333335</v>
      </c>
      <c r="P14" s="59">
        <f>E31</f>
        <v>59.6</v>
      </c>
      <c r="Q14" s="59">
        <f>E32</f>
        <v>14.9</v>
      </c>
      <c r="R14" s="58"/>
      <c r="S14" s="58"/>
      <c r="T14" s="58">
        <f>E16</f>
        <v>0</v>
      </c>
      <c r="U14" s="58">
        <f>E17</f>
        <v>5</v>
      </c>
      <c r="V14" s="58">
        <f>E18</f>
        <v>0.5</v>
      </c>
      <c r="W14" s="58">
        <f>E19</f>
        <v>0</v>
      </c>
      <c r="X14" s="58">
        <f>E20</f>
        <v>0</v>
      </c>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c r="BQ14" s="8"/>
      <c r="BR14" s="8"/>
      <c r="BS14" s="8"/>
      <c r="BT14" s="8"/>
      <c r="BU14" s="8"/>
      <c r="BV14" s="8"/>
      <c r="BW14" s="8"/>
      <c r="BX14" s="8"/>
      <c r="BY14" s="8"/>
      <c r="BZ14" s="8"/>
      <c r="CA14" s="8"/>
      <c r="CB14" s="8"/>
      <c r="CC14" s="8"/>
      <c r="CD14" s="8"/>
      <c r="CE14" s="8"/>
      <c r="CF14" s="8"/>
      <c r="CG14" s="8"/>
      <c r="CH14" s="8"/>
      <c r="CI14" s="8"/>
      <c r="CJ14" s="8"/>
      <c r="CK14" s="8"/>
      <c r="CL14" s="8"/>
      <c r="CM14" s="8"/>
      <c r="CN14" s="8"/>
      <c r="CO14" s="8"/>
      <c r="CP14" s="8"/>
    </row>
    <row r="15" spans="2:94" ht="15.75" customHeight="1" thickBot="1">
      <c r="B15" s="110" t="s">
        <v>12</v>
      </c>
      <c r="C15" s="108"/>
      <c r="D15" s="108"/>
      <c r="E15" s="108"/>
      <c r="F15" s="108"/>
      <c r="G15" s="108"/>
      <c r="H15" s="109"/>
      <c r="J15" s="58">
        <f>F8</f>
        <v>2050</v>
      </c>
      <c r="K15" s="58"/>
      <c r="L15" s="58">
        <f>F13/100</f>
        <v>1.7</v>
      </c>
      <c r="M15" s="58"/>
      <c r="N15" s="58">
        <f>F14</f>
        <v>22</v>
      </c>
      <c r="O15" s="59">
        <f>F29</f>
        <v>2483.3333333333335</v>
      </c>
      <c r="P15" s="59">
        <f>F31</f>
        <v>59.6</v>
      </c>
      <c r="Q15" s="59">
        <f>F32</f>
        <v>14.9</v>
      </c>
      <c r="R15" s="58"/>
      <c r="S15" s="58"/>
      <c r="T15" s="58">
        <f>F16</f>
        <v>0</v>
      </c>
      <c r="U15" s="58">
        <f>F17</f>
        <v>5</v>
      </c>
      <c r="V15" s="58">
        <f>F18</f>
        <v>0.5</v>
      </c>
      <c r="W15" s="58">
        <f>F19</f>
        <v>0</v>
      </c>
      <c r="X15" s="58">
        <f>F20</f>
        <v>0</v>
      </c>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row>
    <row r="16" spans="2:94" ht="15.75" customHeight="1" thickBot="1">
      <c r="B16" s="115" t="s">
        <v>364</v>
      </c>
      <c r="C16" s="180">
        <v>0</v>
      </c>
      <c r="D16" s="180">
        <v>0</v>
      </c>
      <c r="E16" s="180">
        <v>0</v>
      </c>
      <c r="F16" s="180">
        <v>0</v>
      </c>
      <c r="G16" s="116"/>
      <c r="H16" s="116"/>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c r="CC16" s="8"/>
      <c r="CD16" s="8"/>
      <c r="CE16" s="8"/>
      <c r="CF16" s="8"/>
      <c r="CG16" s="8"/>
      <c r="CH16" s="8"/>
      <c r="CI16" s="8"/>
      <c r="CJ16" s="8"/>
      <c r="CK16" s="8"/>
      <c r="CL16" s="8"/>
      <c r="CM16" s="8"/>
      <c r="CN16" s="8"/>
      <c r="CO16" s="8"/>
      <c r="CP16" s="8"/>
    </row>
    <row r="17" spans="2:94" ht="15.75" customHeight="1" thickBot="1">
      <c r="B17" s="115" t="s">
        <v>365</v>
      </c>
      <c r="C17" s="107">
        <v>15</v>
      </c>
      <c r="D17" s="118">
        <v>10</v>
      </c>
      <c r="E17" s="118">
        <v>5</v>
      </c>
      <c r="F17" s="118">
        <v>5</v>
      </c>
      <c r="G17" s="118"/>
      <c r="H17" s="118">
        <v>14</v>
      </c>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row>
    <row r="18" spans="2:94" ht="15.75" customHeight="1" thickBot="1">
      <c r="B18" s="115" t="s">
        <v>366</v>
      </c>
      <c r="C18" s="107">
        <v>2</v>
      </c>
      <c r="D18" s="118">
        <v>1</v>
      </c>
      <c r="E18" s="118">
        <v>0.5</v>
      </c>
      <c r="F18" s="118">
        <v>0.5</v>
      </c>
      <c r="G18" s="118" t="s">
        <v>55</v>
      </c>
      <c r="H18" s="11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c r="BQ18" s="8"/>
      <c r="BR18" s="8"/>
      <c r="BS18" s="8"/>
      <c r="BT18" s="8"/>
      <c r="BU18" s="8"/>
      <c r="BV18" s="8"/>
      <c r="BW18" s="8"/>
      <c r="BX18" s="8"/>
      <c r="BY18" s="8"/>
      <c r="BZ18" s="8"/>
      <c r="CA18" s="8"/>
      <c r="CB18" s="8"/>
      <c r="CC18" s="8"/>
      <c r="CD18" s="8"/>
      <c r="CE18" s="8"/>
      <c r="CF18" s="8"/>
      <c r="CG18" s="8"/>
      <c r="CH18" s="8"/>
      <c r="CI18" s="8"/>
      <c r="CJ18" s="8"/>
      <c r="CK18" s="8"/>
      <c r="CL18" s="8"/>
      <c r="CM18" s="8"/>
      <c r="CN18" s="8"/>
      <c r="CO18" s="8"/>
      <c r="CP18" s="8"/>
    </row>
    <row r="19" spans="2:94" ht="15.75" customHeight="1" thickBot="1">
      <c r="B19" s="115" t="s">
        <v>367</v>
      </c>
      <c r="C19" s="181">
        <v>0</v>
      </c>
      <c r="D19" s="181">
        <v>0</v>
      </c>
      <c r="E19" s="181">
        <v>0</v>
      </c>
      <c r="F19" s="181">
        <v>0</v>
      </c>
      <c r="G19" s="118" t="s">
        <v>55</v>
      </c>
      <c r="H19" s="11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c r="CD19" s="8"/>
      <c r="CE19" s="8"/>
      <c r="CF19" s="8"/>
      <c r="CG19" s="8"/>
      <c r="CH19" s="8"/>
      <c r="CI19" s="8"/>
      <c r="CJ19" s="8"/>
      <c r="CK19" s="8"/>
      <c r="CL19" s="8"/>
      <c r="CM19" s="8"/>
      <c r="CN19" s="8"/>
      <c r="CO19" s="8"/>
      <c r="CP19" s="8"/>
    </row>
    <row r="20" spans="2:94" ht="15.75" customHeight="1" thickBot="1">
      <c r="B20" s="115" t="s">
        <v>19</v>
      </c>
      <c r="C20" s="181">
        <v>0</v>
      </c>
      <c r="D20" s="181">
        <v>0</v>
      </c>
      <c r="E20" s="181">
        <v>0</v>
      </c>
      <c r="F20" s="181">
        <v>0</v>
      </c>
      <c r="G20" s="118" t="s">
        <v>55</v>
      </c>
      <c r="H20" s="11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8"/>
      <c r="CK20" s="8"/>
      <c r="CL20" s="8"/>
      <c r="CM20" s="8"/>
      <c r="CN20" s="8"/>
      <c r="CO20" s="8"/>
      <c r="CP20" s="8"/>
    </row>
    <row r="21" spans="2:94" ht="15.75" customHeight="1" thickBot="1">
      <c r="B21" s="110" t="s">
        <v>368</v>
      </c>
      <c r="C21" s="1288" t="s">
        <v>397</v>
      </c>
      <c r="D21" s="1288"/>
      <c r="E21" s="1288"/>
      <c r="F21" s="1288"/>
      <c r="G21" s="1288"/>
      <c r="H21" s="1289"/>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c r="CP21" s="8"/>
    </row>
    <row r="22" spans="2:94" ht="15.75" customHeight="1" thickBot="1">
      <c r="B22" s="115" t="s">
        <v>23</v>
      </c>
      <c r="C22" s="120"/>
      <c r="D22" s="120"/>
      <c r="E22" s="120"/>
      <c r="F22" s="120"/>
      <c r="G22" s="118"/>
      <c r="H22" s="11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c r="CP22" s="8"/>
    </row>
    <row r="23" spans="2:94" ht="15.75" customHeight="1" thickBot="1">
      <c r="B23" s="115" t="s">
        <v>24</v>
      </c>
      <c r="C23" s="118">
        <v>13</v>
      </c>
      <c r="D23" s="118">
        <v>12</v>
      </c>
      <c r="E23" s="118">
        <v>10</v>
      </c>
      <c r="F23" s="118">
        <v>10</v>
      </c>
      <c r="G23" s="118" t="s">
        <v>398</v>
      </c>
      <c r="H23" s="11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8"/>
      <c r="CK23" s="8"/>
      <c r="CL23" s="8"/>
      <c r="CM23" s="8"/>
      <c r="CN23" s="8"/>
      <c r="CO23" s="8"/>
      <c r="CP23" s="8"/>
    </row>
    <row r="24" spans="2:94" ht="15.75" customHeight="1" thickBot="1">
      <c r="B24" s="115" t="s">
        <v>26</v>
      </c>
      <c r="C24" s="119">
        <v>0.77</v>
      </c>
      <c r="D24" s="119">
        <v>0.75</v>
      </c>
      <c r="E24" s="119">
        <v>0.7</v>
      </c>
      <c r="F24" s="119">
        <v>0.7</v>
      </c>
      <c r="G24" s="118"/>
      <c r="H24" s="11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c r="CB24" s="8"/>
      <c r="CC24" s="8"/>
      <c r="CD24" s="8"/>
      <c r="CE24" s="8"/>
      <c r="CF24" s="8"/>
      <c r="CG24" s="8"/>
      <c r="CH24" s="8"/>
      <c r="CI24" s="8"/>
      <c r="CJ24" s="8"/>
      <c r="CK24" s="8"/>
      <c r="CL24" s="8"/>
      <c r="CM24" s="8"/>
      <c r="CN24" s="8"/>
      <c r="CO24" s="8"/>
      <c r="CP24" s="8"/>
    </row>
    <row r="25" spans="2:94" ht="15.75" customHeight="1" thickBot="1">
      <c r="B25" s="115" t="s">
        <v>28</v>
      </c>
      <c r="C25" s="119">
        <v>0.23</v>
      </c>
      <c r="D25" s="119">
        <v>0.25</v>
      </c>
      <c r="E25" s="119">
        <v>0.3</v>
      </c>
      <c r="F25" s="119">
        <v>0.3</v>
      </c>
      <c r="G25" s="118"/>
      <c r="H25" s="11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8"/>
      <c r="CH25" s="8"/>
      <c r="CI25" s="8"/>
      <c r="CJ25" s="8"/>
      <c r="CK25" s="8"/>
      <c r="CL25" s="8"/>
      <c r="CM25" s="8"/>
      <c r="CN25" s="8"/>
      <c r="CO25" s="8"/>
      <c r="CP25" s="8"/>
    </row>
    <row r="26" spans="2:94" ht="15.75" customHeight="1" thickBot="1">
      <c r="B26" s="115" t="s">
        <v>369</v>
      </c>
      <c r="C26" s="107">
        <v>2</v>
      </c>
      <c r="D26" s="118">
        <v>2</v>
      </c>
      <c r="E26" s="118">
        <v>2</v>
      </c>
      <c r="F26" s="118">
        <v>2</v>
      </c>
      <c r="G26" s="118" t="s">
        <v>51</v>
      </c>
      <c r="H26" s="11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8"/>
      <c r="CK26" s="8"/>
      <c r="CL26" s="8"/>
      <c r="CM26" s="8"/>
      <c r="CN26" s="8"/>
      <c r="CO26" s="8"/>
      <c r="CP26" s="8"/>
    </row>
    <row r="27" spans="2:94" ht="15.75" customHeight="1" thickBot="1">
      <c r="B27" s="115" t="s">
        <v>64</v>
      </c>
      <c r="C27" s="107">
        <v>240</v>
      </c>
      <c r="D27" s="118">
        <v>240</v>
      </c>
      <c r="E27" s="118">
        <v>240</v>
      </c>
      <c r="F27" s="118">
        <v>240</v>
      </c>
      <c r="G27" s="118" t="s">
        <v>399</v>
      </c>
      <c r="H27" s="11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8"/>
      <c r="CK27" s="8"/>
      <c r="CL27" s="8"/>
      <c r="CM27" s="8"/>
      <c r="CN27" s="8"/>
      <c r="CO27" s="8"/>
      <c r="CP27" s="8"/>
    </row>
    <row r="28" spans="2:94" ht="15.75" customHeight="1" thickBot="1">
      <c r="B28" s="122" t="s">
        <v>406</v>
      </c>
      <c r="C28" s="121">
        <v>2</v>
      </c>
      <c r="D28" s="120">
        <v>2</v>
      </c>
      <c r="E28" s="120">
        <v>2</v>
      </c>
      <c r="F28" s="120">
        <v>2</v>
      </c>
      <c r="G28" s="120" t="s">
        <v>396</v>
      </c>
      <c r="H28" s="11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8"/>
      <c r="CK28" s="8"/>
      <c r="CL28" s="8"/>
      <c r="CM28" s="8"/>
      <c r="CN28" s="8"/>
      <c r="CO28" s="8"/>
      <c r="CP28" s="8"/>
    </row>
    <row r="29" spans="2:94">
      <c r="B29" s="36" t="s">
        <v>353</v>
      </c>
      <c r="C29" s="42">
        <f>C30/C10</f>
        <v>5380.5555555555566</v>
      </c>
      <c r="D29" s="42">
        <f>D30/D10</f>
        <v>2980</v>
      </c>
      <c r="E29" s="42">
        <f>E30/E10</f>
        <v>2483.3333333333335</v>
      </c>
      <c r="F29" s="42">
        <f>F30/F10</f>
        <v>2483.3333333333335</v>
      </c>
      <c r="G29" s="63" t="s">
        <v>332</v>
      </c>
      <c r="H29" s="63"/>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c r="CP29" s="8"/>
    </row>
    <row r="30" spans="2:94">
      <c r="B30" s="36" t="s">
        <v>354</v>
      </c>
      <c r="C30" s="42">
        <f>C23*$G$4*1000</f>
        <v>96850.000000000015</v>
      </c>
      <c r="D30" s="42">
        <f>D23*$G$4*1000</f>
        <v>89400</v>
      </c>
      <c r="E30" s="42">
        <f>E23*$G$4*1000</f>
        <v>74500</v>
      </c>
      <c r="F30" s="42">
        <f>F23*$G$4*1000</f>
        <v>74500</v>
      </c>
      <c r="G30" s="67"/>
      <c r="H30" s="63" t="s">
        <v>330</v>
      </c>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c r="CP30" s="8"/>
    </row>
    <row r="31" spans="2:94">
      <c r="B31" s="36" t="s">
        <v>355</v>
      </c>
      <c r="C31" s="106">
        <f>C27*$G$4/C10</f>
        <v>99.333333333333329</v>
      </c>
      <c r="D31" s="106">
        <f>D27*$G$4/D10</f>
        <v>59.6</v>
      </c>
      <c r="E31" s="106">
        <f>E27*$G$4/E10</f>
        <v>59.6</v>
      </c>
      <c r="F31" s="106">
        <f>F27*$G$4/F10</f>
        <v>59.6</v>
      </c>
      <c r="G31" s="63" t="s">
        <v>333</v>
      </c>
      <c r="H31" s="63"/>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c r="CP31" s="8"/>
    </row>
    <row r="32" spans="2:94" ht="16" thickBot="1">
      <c r="B32" s="36" t="s">
        <v>356</v>
      </c>
      <c r="C32" s="42">
        <f>C28*$G$4</f>
        <v>14.9</v>
      </c>
      <c r="D32" s="42">
        <f>D28*$G$4</f>
        <v>14.9</v>
      </c>
      <c r="E32" s="42">
        <f>E28*$G$4</f>
        <v>14.9</v>
      </c>
      <c r="F32" s="42">
        <f>F28*$G$4</f>
        <v>14.9</v>
      </c>
      <c r="G32" s="66"/>
      <c r="H32" s="63"/>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c r="CP32" s="8"/>
    </row>
    <row r="33" spans="2:94" ht="15.75" customHeight="1" thickBot="1">
      <c r="C33" s="1290" t="s">
        <v>394</v>
      </c>
      <c r="D33" s="1288"/>
      <c r="E33" s="1288"/>
      <c r="F33" s="1288"/>
      <c r="G33" s="1288"/>
      <c r="H33" s="1289"/>
      <c r="J33" s="1259" t="str">
        <f>C33</f>
        <v>Absorption heat pump</v>
      </c>
      <c r="K33" s="1260"/>
      <c r="L33" s="1260"/>
      <c r="M33" s="1260"/>
      <c r="N33" s="1260"/>
      <c r="O33" s="1261"/>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8"/>
      <c r="CK33" s="8"/>
      <c r="CL33" s="8"/>
      <c r="CM33" s="8"/>
      <c r="CN33" s="8"/>
      <c r="CO33" s="8"/>
      <c r="CP33" s="8"/>
    </row>
    <row r="34" spans="2:94" s="8" customFormat="1" ht="15.75" customHeight="1" thickBot="1">
      <c r="B34" s="86" t="s">
        <v>0</v>
      </c>
      <c r="C34" s="8" t="s">
        <v>373</v>
      </c>
      <c r="J34" s="1134" t="str">
        <f>C34</f>
        <v>Apartment complex, existing and new buildings</v>
      </c>
      <c r="K34" s="1135"/>
      <c r="L34" s="1135"/>
      <c r="M34" s="1135"/>
      <c r="N34" s="1135"/>
      <c r="O34" s="1136"/>
      <c r="P34"/>
      <c r="Q34"/>
      <c r="R34"/>
      <c r="S34"/>
      <c r="T34"/>
      <c r="U34"/>
      <c r="V34"/>
      <c r="W34"/>
      <c r="X34"/>
    </row>
    <row r="35" spans="2:94" ht="16" thickBot="1">
      <c r="B35" s="87"/>
      <c r="C35" s="88">
        <v>2015</v>
      </c>
      <c r="D35" s="88">
        <v>2020</v>
      </c>
      <c r="E35" s="88">
        <v>2030</v>
      </c>
      <c r="F35" s="88">
        <v>2050</v>
      </c>
      <c r="G35" s="88" t="s">
        <v>2</v>
      </c>
      <c r="H35" s="89" t="s">
        <v>3</v>
      </c>
      <c r="J35" s="53" t="s">
        <v>357</v>
      </c>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8"/>
      <c r="CI35" s="8"/>
      <c r="CJ35" s="8"/>
      <c r="CK35" s="8"/>
      <c r="CL35" s="8"/>
      <c r="CM35" s="8"/>
      <c r="CN35" s="8"/>
      <c r="CO35" s="8"/>
      <c r="CP35" s="8"/>
    </row>
    <row r="36" spans="2:94" ht="31" thickBot="1">
      <c r="B36" s="147" t="s">
        <v>4</v>
      </c>
      <c r="C36" s="133"/>
      <c r="D36" s="133"/>
      <c r="E36" s="133"/>
      <c r="F36" s="133"/>
      <c r="G36" s="133"/>
      <c r="H36" s="134"/>
      <c r="J36" s="46" t="s">
        <v>335</v>
      </c>
      <c r="K36" s="46" t="s">
        <v>336</v>
      </c>
      <c r="L36" s="47" t="s">
        <v>337</v>
      </c>
      <c r="M36" s="47" t="s">
        <v>338</v>
      </c>
      <c r="N36" s="47" t="s">
        <v>339</v>
      </c>
      <c r="O36" s="48" t="s">
        <v>340</v>
      </c>
      <c r="P36" s="49" t="s">
        <v>341</v>
      </c>
      <c r="Q36" s="49" t="s">
        <v>342</v>
      </c>
      <c r="R36" s="49" t="s">
        <v>343</v>
      </c>
      <c r="S36" s="49" t="s">
        <v>344</v>
      </c>
      <c r="T36" s="49" t="s">
        <v>345</v>
      </c>
      <c r="U36" s="49" t="s">
        <v>346</v>
      </c>
      <c r="V36" s="49" t="s">
        <v>347</v>
      </c>
      <c r="W36" s="49" t="s">
        <v>348</v>
      </c>
      <c r="X36" s="49" t="s">
        <v>349</v>
      </c>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8"/>
      <c r="CI36" s="8"/>
      <c r="CJ36" s="8"/>
      <c r="CK36" s="8"/>
      <c r="CL36" s="8"/>
      <c r="CM36" s="8"/>
      <c r="CN36" s="8"/>
      <c r="CO36" s="8"/>
      <c r="CP36" s="8"/>
    </row>
    <row r="37" spans="2:94" ht="16" thickBot="1">
      <c r="B37" s="148" t="s">
        <v>5</v>
      </c>
      <c r="C37" s="148">
        <v>44</v>
      </c>
      <c r="D37" s="149">
        <v>80</v>
      </c>
      <c r="E37" s="149">
        <v>80</v>
      </c>
      <c r="F37" s="149">
        <v>80</v>
      </c>
      <c r="G37" s="149" t="s">
        <v>51</v>
      </c>
      <c r="H37" s="149"/>
      <c r="J37" s="50"/>
      <c r="K37" s="50"/>
      <c r="L37" s="51"/>
      <c r="M37" s="51"/>
      <c r="N37" s="51"/>
      <c r="O37" s="52"/>
      <c r="P37" s="50"/>
      <c r="Q37" s="50"/>
      <c r="R37" s="50"/>
      <c r="S37" s="50"/>
      <c r="T37" s="50"/>
      <c r="U37" s="50"/>
      <c r="V37" s="50"/>
      <c r="W37" s="50"/>
      <c r="X37" s="50"/>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8"/>
      <c r="CH37" s="8"/>
      <c r="CI37" s="8"/>
      <c r="CJ37" s="8"/>
      <c r="CK37" s="8"/>
      <c r="CL37" s="8"/>
      <c r="CM37" s="8"/>
      <c r="CN37" s="8"/>
      <c r="CO37" s="8"/>
      <c r="CP37" s="8"/>
    </row>
    <row r="38" spans="2:94" ht="16" thickBot="1">
      <c r="B38" s="148" t="s">
        <v>7</v>
      </c>
      <c r="C38" s="125">
        <v>100</v>
      </c>
      <c r="D38" s="151">
        <v>100</v>
      </c>
      <c r="E38" s="151">
        <v>100</v>
      </c>
      <c r="F38" s="151">
        <v>100</v>
      </c>
      <c r="G38" s="151"/>
      <c r="H38" s="151"/>
      <c r="J38" s="56"/>
      <c r="K38" s="56"/>
      <c r="L38" s="57"/>
      <c r="M38" s="57"/>
      <c r="N38" s="57"/>
      <c r="O38" s="56" t="s">
        <v>350</v>
      </c>
      <c r="P38" s="56" t="s">
        <v>326</v>
      </c>
      <c r="Q38" s="56" t="s">
        <v>327</v>
      </c>
      <c r="R38" s="56" t="s">
        <v>351</v>
      </c>
      <c r="S38" s="56" t="s">
        <v>351</v>
      </c>
      <c r="T38" s="56" t="s">
        <v>352</v>
      </c>
      <c r="U38" s="56" t="s">
        <v>352</v>
      </c>
      <c r="V38" s="56" t="s">
        <v>352</v>
      </c>
      <c r="W38" s="56" t="s">
        <v>352</v>
      </c>
      <c r="X38" s="56" t="s">
        <v>352</v>
      </c>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8"/>
      <c r="CK38" s="8"/>
      <c r="CL38" s="8"/>
      <c r="CM38" s="8"/>
      <c r="CN38" s="8"/>
      <c r="CO38" s="8"/>
      <c r="CP38" s="8"/>
    </row>
    <row r="39" spans="2:94" ht="16" thickBot="1">
      <c r="B39" s="148" t="s">
        <v>8</v>
      </c>
      <c r="C39" s="125">
        <v>100</v>
      </c>
      <c r="D39" s="151">
        <v>100</v>
      </c>
      <c r="E39" s="151">
        <v>100</v>
      </c>
      <c r="F39" s="151">
        <v>100</v>
      </c>
      <c r="G39" s="151"/>
      <c r="H39" s="151"/>
      <c r="J39" s="58">
        <f>C35</f>
        <v>2015</v>
      </c>
      <c r="K39" s="58">
        <f>J39</f>
        <v>2015</v>
      </c>
      <c r="L39" s="58">
        <f>C40/100</f>
        <v>1.35</v>
      </c>
      <c r="M39" s="58"/>
      <c r="N39" s="58">
        <f>C41</f>
        <v>22</v>
      </c>
      <c r="O39" s="59">
        <f>C56</f>
        <v>3047.7272727272725</v>
      </c>
      <c r="P39" s="59">
        <f>C58</f>
        <v>22.857954545454547</v>
      </c>
      <c r="Q39" s="59">
        <f>C59</f>
        <v>18</v>
      </c>
      <c r="R39" s="58"/>
      <c r="S39" s="58"/>
      <c r="T39" s="58">
        <f>C43</f>
        <v>0</v>
      </c>
      <c r="U39" s="78">
        <f>C44</f>
        <v>15</v>
      </c>
      <c r="V39" s="78">
        <f>C45</f>
        <v>2</v>
      </c>
      <c r="W39" s="78">
        <f>C46</f>
        <v>0</v>
      </c>
      <c r="X39" s="78">
        <f>C47</f>
        <v>0</v>
      </c>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c r="CB39" s="8"/>
      <c r="CC39" s="8"/>
      <c r="CD39" s="8"/>
      <c r="CE39" s="8"/>
      <c r="CF39" s="8"/>
      <c r="CG39" s="8"/>
      <c r="CH39" s="8"/>
      <c r="CI39" s="8"/>
      <c r="CJ39" s="8"/>
      <c r="CK39" s="8"/>
      <c r="CL39" s="8"/>
      <c r="CM39" s="8"/>
      <c r="CN39" s="8"/>
      <c r="CO39" s="8"/>
      <c r="CP39" s="8"/>
    </row>
    <row r="40" spans="2:94" ht="16" thickBot="1">
      <c r="B40" s="148" t="s">
        <v>363</v>
      </c>
      <c r="C40" s="125">
        <v>135</v>
      </c>
      <c r="D40" s="151">
        <v>145</v>
      </c>
      <c r="E40" s="151">
        <v>170</v>
      </c>
      <c r="F40" s="151">
        <v>170</v>
      </c>
      <c r="G40" s="151" t="s">
        <v>59</v>
      </c>
      <c r="H40" s="151">
        <v>2.16</v>
      </c>
      <c r="J40" s="58">
        <f>D35</f>
        <v>2020</v>
      </c>
      <c r="K40" s="58"/>
      <c r="L40" s="58">
        <f>D40/100</f>
        <v>1.45</v>
      </c>
      <c r="M40" s="58"/>
      <c r="N40" s="58">
        <f>D41</f>
        <v>22</v>
      </c>
      <c r="O40" s="59">
        <f>D56</f>
        <v>1676.25</v>
      </c>
      <c r="P40" s="59">
        <f>D58</f>
        <v>12.571875</v>
      </c>
      <c r="Q40" s="59">
        <f>D59</f>
        <v>18</v>
      </c>
      <c r="R40" s="58"/>
      <c r="S40" s="58"/>
      <c r="T40" s="58">
        <f>D43</f>
        <v>0</v>
      </c>
      <c r="U40" s="78">
        <f>D44</f>
        <v>10</v>
      </c>
      <c r="V40" s="78">
        <f>D45</f>
        <v>1</v>
      </c>
      <c r="W40" s="78">
        <f>D46</f>
        <v>0</v>
      </c>
      <c r="X40" s="78">
        <f>D47</f>
        <v>0</v>
      </c>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8"/>
      <c r="CJ40" s="8"/>
      <c r="CK40" s="8"/>
      <c r="CL40" s="8"/>
      <c r="CM40" s="8"/>
      <c r="CN40" s="8"/>
      <c r="CO40" s="8"/>
      <c r="CP40" s="8"/>
    </row>
    <row r="41" spans="2:94" ht="16" thickBot="1">
      <c r="B41" s="148" t="s">
        <v>11</v>
      </c>
      <c r="C41" s="125">
        <v>22</v>
      </c>
      <c r="D41" s="151">
        <v>22</v>
      </c>
      <c r="E41" s="151">
        <v>22</v>
      </c>
      <c r="F41" s="151">
        <v>22</v>
      </c>
      <c r="G41" s="151" t="s">
        <v>16</v>
      </c>
      <c r="H41" s="151"/>
      <c r="J41" s="58">
        <f>E35</f>
        <v>2030</v>
      </c>
      <c r="K41" s="58"/>
      <c r="L41" s="58">
        <f>E40/100</f>
        <v>1.7</v>
      </c>
      <c r="M41" s="58"/>
      <c r="N41" s="58">
        <f>E41</f>
        <v>22</v>
      </c>
      <c r="O41" s="59">
        <f>E56</f>
        <v>1583.125</v>
      </c>
      <c r="P41" s="59">
        <f>E58</f>
        <v>12.571875</v>
      </c>
      <c r="Q41" s="59">
        <f>E59</f>
        <v>18</v>
      </c>
      <c r="R41" s="58"/>
      <c r="S41" s="58"/>
      <c r="T41" s="58">
        <f>E43</f>
        <v>0</v>
      </c>
      <c r="U41" s="78">
        <f>E44</f>
        <v>5</v>
      </c>
      <c r="V41" s="78">
        <f>E45</f>
        <v>0.5</v>
      </c>
      <c r="W41" s="78">
        <f>E46</f>
        <v>0</v>
      </c>
      <c r="X41" s="78">
        <f>E47</f>
        <v>0</v>
      </c>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c r="CB41" s="8"/>
      <c r="CC41" s="8"/>
      <c r="CD41" s="8"/>
      <c r="CE41" s="8"/>
      <c r="CF41" s="8"/>
      <c r="CG41" s="8"/>
      <c r="CH41" s="8"/>
      <c r="CI41" s="8"/>
      <c r="CJ41" s="8"/>
      <c r="CK41" s="8"/>
      <c r="CL41" s="8"/>
      <c r="CM41" s="8"/>
      <c r="CN41" s="8"/>
      <c r="CO41" s="8"/>
      <c r="CP41" s="8"/>
    </row>
    <row r="42" spans="2:94" ht="16" thickBot="1">
      <c r="B42" s="143" t="s">
        <v>12</v>
      </c>
      <c r="C42" s="133"/>
      <c r="D42" s="133"/>
      <c r="E42" s="133"/>
      <c r="F42" s="133"/>
      <c r="G42" s="133"/>
      <c r="H42" s="134"/>
      <c r="J42" s="58">
        <f>F35</f>
        <v>2050</v>
      </c>
      <c r="K42" s="58"/>
      <c r="L42" s="58">
        <f>F40/100</f>
        <v>1.7</v>
      </c>
      <c r="M42" s="58"/>
      <c r="N42" s="58">
        <f>F41</f>
        <v>22</v>
      </c>
      <c r="O42" s="59">
        <f>F56</f>
        <v>1583.125</v>
      </c>
      <c r="P42" s="59">
        <f>F58</f>
        <v>12.571875</v>
      </c>
      <c r="Q42" s="59">
        <f>F59</f>
        <v>18</v>
      </c>
      <c r="R42" s="58"/>
      <c r="S42" s="58"/>
      <c r="T42" s="58">
        <f>F43</f>
        <v>0</v>
      </c>
      <c r="U42" s="78">
        <f>F44</f>
        <v>5</v>
      </c>
      <c r="V42" s="78">
        <f>F45</f>
        <v>0.5</v>
      </c>
      <c r="W42" s="78">
        <f>F46</f>
        <v>0</v>
      </c>
      <c r="X42" s="78">
        <f>F47</f>
        <v>0</v>
      </c>
      <c r="Y42" s="8"/>
      <c r="Z42" s="8"/>
      <c r="AA42" s="8"/>
      <c r="AB42" s="8"/>
      <c r="AC42" s="8"/>
      <c r="AD42" s="8"/>
      <c r="AE42" s="8"/>
      <c r="AF42" s="8"/>
      <c r="AG42" s="8"/>
      <c r="AH42" s="8"/>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c r="CB42" s="8"/>
      <c r="CC42" s="8"/>
      <c r="CD42" s="8"/>
      <c r="CE42" s="8"/>
      <c r="CF42" s="8"/>
      <c r="CG42" s="8"/>
      <c r="CH42" s="8"/>
      <c r="CI42" s="8"/>
      <c r="CJ42" s="8"/>
      <c r="CK42" s="8"/>
      <c r="CL42" s="8"/>
      <c r="CM42" s="8"/>
      <c r="CN42" s="8"/>
      <c r="CO42" s="8"/>
      <c r="CP42" s="8"/>
    </row>
    <row r="43" spans="2:94" ht="16" thickBot="1">
      <c r="B43" s="148" t="s">
        <v>364</v>
      </c>
      <c r="C43" s="180">
        <v>0</v>
      </c>
      <c r="D43" s="180">
        <v>0</v>
      </c>
      <c r="E43" s="180">
        <v>0</v>
      </c>
      <c r="F43" s="180">
        <v>0</v>
      </c>
      <c r="G43" s="149"/>
      <c r="H43" s="149"/>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c r="CB43" s="8"/>
      <c r="CC43" s="8"/>
      <c r="CD43" s="8"/>
      <c r="CE43" s="8"/>
      <c r="CF43" s="8"/>
      <c r="CG43" s="8"/>
      <c r="CH43" s="8"/>
      <c r="CI43" s="8"/>
      <c r="CJ43" s="8"/>
      <c r="CK43" s="8"/>
      <c r="CL43" s="8"/>
      <c r="CM43" s="8"/>
      <c r="CN43" s="8"/>
      <c r="CO43" s="8"/>
      <c r="CP43" s="8"/>
    </row>
    <row r="44" spans="2:94" ht="16" thickBot="1">
      <c r="B44" s="148" t="s">
        <v>365</v>
      </c>
      <c r="C44" s="125">
        <v>15</v>
      </c>
      <c r="D44" s="151">
        <v>10</v>
      </c>
      <c r="E44" s="151">
        <v>5</v>
      </c>
      <c r="F44" s="151">
        <v>5</v>
      </c>
      <c r="G44" s="151"/>
      <c r="H44" s="151">
        <v>14</v>
      </c>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c r="CB44" s="8"/>
      <c r="CC44" s="8"/>
      <c r="CD44" s="8"/>
      <c r="CE44" s="8"/>
      <c r="CF44" s="8"/>
      <c r="CG44" s="8"/>
      <c r="CH44" s="8"/>
      <c r="CI44" s="8"/>
      <c r="CJ44" s="8"/>
      <c r="CK44" s="8"/>
      <c r="CL44" s="8"/>
      <c r="CM44" s="8"/>
      <c r="CN44" s="8"/>
      <c r="CO44" s="8"/>
      <c r="CP44" s="8"/>
    </row>
    <row r="45" spans="2:94" ht="16" thickBot="1">
      <c r="B45" s="148" t="s">
        <v>366</v>
      </c>
      <c r="C45" s="125">
        <v>2</v>
      </c>
      <c r="D45" s="151">
        <v>1</v>
      </c>
      <c r="E45" s="151">
        <v>0.5</v>
      </c>
      <c r="F45" s="151">
        <v>0.5</v>
      </c>
      <c r="G45" s="151" t="s">
        <v>52</v>
      </c>
      <c r="H45" s="151"/>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c r="CB45" s="8"/>
      <c r="CC45" s="8"/>
      <c r="CD45" s="8"/>
      <c r="CE45" s="8"/>
      <c r="CF45" s="8"/>
      <c r="CG45" s="8"/>
      <c r="CH45" s="8"/>
      <c r="CI45" s="8"/>
      <c r="CJ45" s="8"/>
      <c r="CK45" s="8"/>
      <c r="CL45" s="8"/>
      <c r="CM45" s="8"/>
      <c r="CN45" s="8"/>
      <c r="CO45" s="8"/>
      <c r="CP45" s="8"/>
    </row>
    <row r="46" spans="2:94" ht="16" thickBot="1">
      <c r="B46" s="148" t="s">
        <v>367</v>
      </c>
      <c r="C46" s="181">
        <v>0</v>
      </c>
      <c r="D46" s="181">
        <v>0</v>
      </c>
      <c r="E46" s="181">
        <v>0</v>
      </c>
      <c r="F46" s="181">
        <v>0</v>
      </c>
      <c r="G46" s="151" t="s">
        <v>52</v>
      </c>
      <c r="H46" s="151"/>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c r="CB46" s="8"/>
      <c r="CC46" s="8"/>
      <c r="CD46" s="8"/>
      <c r="CE46" s="8"/>
      <c r="CF46" s="8"/>
      <c r="CG46" s="8"/>
      <c r="CH46" s="8"/>
      <c r="CI46" s="8"/>
      <c r="CJ46" s="8"/>
      <c r="CK46" s="8"/>
      <c r="CL46" s="8"/>
      <c r="CM46" s="8"/>
      <c r="CN46" s="8"/>
      <c r="CO46" s="8"/>
      <c r="CP46" s="8"/>
    </row>
    <row r="47" spans="2:94" ht="16" thickBot="1">
      <c r="B47" s="148" t="s">
        <v>19</v>
      </c>
      <c r="C47" s="181">
        <v>0</v>
      </c>
      <c r="D47" s="181">
        <v>0</v>
      </c>
      <c r="E47" s="181">
        <v>0</v>
      </c>
      <c r="F47" s="181">
        <v>0</v>
      </c>
      <c r="G47" s="151" t="s">
        <v>52</v>
      </c>
      <c r="H47" s="151"/>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c r="CB47" s="8"/>
      <c r="CC47" s="8"/>
      <c r="CD47" s="8"/>
      <c r="CE47" s="8"/>
      <c r="CF47" s="8"/>
      <c r="CG47" s="8"/>
      <c r="CH47" s="8"/>
      <c r="CI47" s="8"/>
      <c r="CJ47" s="8"/>
      <c r="CK47" s="8"/>
      <c r="CL47" s="8"/>
      <c r="CM47" s="8"/>
      <c r="CN47" s="8"/>
      <c r="CO47" s="8"/>
      <c r="CP47" s="8"/>
    </row>
    <row r="48" spans="2:94" ht="15.75" customHeight="1" thickBot="1">
      <c r="B48" s="143" t="s">
        <v>368</v>
      </c>
      <c r="C48" s="1288" t="s">
        <v>397</v>
      </c>
      <c r="D48" s="1288"/>
      <c r="E48" s="1288"/>
      <c r="F48" s="1288"/>
      <c r="G48" s="1288"/>
      <c r="H48" s="1289"/>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c r="CB48" s="8"/>
      <c r="CC48" s="8"/>
      <c r="CD48" s="8"/>
      <c r="CE48" s="8"/>
      <c r="CF48" s="8"/>
      <c r="CG48" s="8"/>
      <c r="CH48" s="8"/>
      <c r="CI48" s="8"/>
      <c r="CJ48" s="8"/>
      <c r="CK48" s="8"/>
      <c r="CL48" s="8"/>
      <c r="CM48" s="8"/>
      <c r="CN48" s="8"/>
      <c r="CO48" s="8"/>
      <c r="CP48" s="8"/>
    </row>
    <row r="49" spans="2:94" ht="16" thickBot="1">
      <c r="B49" s="148" t="s">
        <v>23</v>
      </c>
      <c r="C49" s="152" t="s">
        <v>68</v>
      </c>
      <c r="D49" s="152" t="s">
        <v>68</v>
      </c>
      <c r="E49" s="152" t="s">
        <v>68</v>
      </c>
      <c r="F49" s="152" t="s">
        <v>68</v>
      </c>
      <c r="G49" s="152" t="s">
        <v>374</v>
      </c>
      <c r="H49" s="151"/>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c r="CB49" s="8"/>
      <c r="CC49" s="8"/>
      <c r="CD49" s="8"/>
      <c r="CE49" s="8"/>
      <c r="CF49" s="8"/>
      <c r="CG49" s="8"/>
      <c r="CH49" s="8"/>
      <c r="CI49" s="8"/>
      <c r="CJ49" s="8"/>
      <c r="CK49" s="8"/>
      <c r="CL49" s="8"/>
      <c r="CM49" s="8"/>
      <c r="CN49" s="8"/>
      <c r="CO49" s="8"/>
      <c r="CP49" s="8"/>
    </row>
    <row r="50" spans="2:94" ht="16" thickBot="1">
      <c r="B50" s="148" t="s">
        <v>24</v>
      </c>
      <c r="C50" s="152">
        <v>18</v>
      </c>
      <c r="D50" s="152">
        <v>18</v>
      </c>
      <c r="E50" s="152">
        <v>17</v>
      </c>
      <c r="F50" s="152">
        <v>17</v>
      </c>
      <c r="G50" s="152" t="s">
        <v>400</v>
      </c>
      <c r="H50" s="152"/>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c r="CB50" s="8"/>
      <c r="CC50" s="8"/>
      <c r="CD50" s="8"/>
      <c r="CE50" s="8"/>
      <c r="CF50" s="8"/>
      <c r="CG50" s="8"/>
      <c r="CH50" s="8"/>
      <c r="CI50" s="8"/>
      <c r="CJ50" s="8"/>
      <c r="CK50" s="8"/>
      <c r="CL50" s="8"/>
      <c r="CM50" s="8"/>
      <c r="CN50" s="8"/>
      <c r="CO50" s="8"/>
      <c r="CP50" s="8"/>
    </row>
    <row r="51" spans="2:94" ht="16" thickBot="1">
      <c r="B51" s="148" t="s">
        <v>26</v>
      </c>
      <c r="C51" s="153">
        <v>0.78</v>
      </c>
      <c r="D51" s="153"/>
      <c r="E51" s="153"/>
      <c r="F51" s="153"/>
      <c r="G51" s="152"/>
      <c r="H51" s="152"/>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c r="CB51" s="8"/>
      <c r="CC51" s="8"/>
      <c r="CD51" s="8"/>
      <c r="CE51" s="8"/>
      <c r="CF51" s="8"/>
      <c r="CG51" s="8"/>
      <c r="CH51" s="8"/>
      <c r="CI51" s="8"/>
      <c r="CJ51" s="8"/>
      <c r="CK51" s="8"/>
      <c r="CL51" s="8"/>
      <c r="CM51" s="8"/>
      <c r="CN51" s="8"/>
      <c r="CO51" s="8"/>
      <c r="CP51" s="8"/>
    </row>
    <row r="52" spans="2:94" ht="16" thickBot="1">
      <c r="B52" s="148" t="s">
        <v>28</v>
      </c>
      <c r="C52" s="153">
        <v>0.22</v>
      </c>
      <c r="D52" s="153"/>
      <c r="E52" s="153"/>
      <c r="F52" s="153"/>
      <c r="G52" s="152"/>
      <c r="H52" s="152"/>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c r="CB52" s="8"/>
      <c r="CC52" s="8"/>
      <c r="CD52" s="8"/>
      <c r="CE52" s="8"/>
      <c r="CF52" s="8"/>
      <c r="CG52" s="8"/>
      <c r="CH52" s="8"/>
      <c r="CI52" s="8"/>
      <c r="CJ52" s="8"/>
      <c r="CK52" s="8"/>
      <c r="CL52" s="8"/>
      <c r="CM52" s="8"/>
      <c r="CN52" s="8"/>
      <c r="CO52" s="8"/>
      <c r="CP52" s="8"/>
    </row>
    <row r="53" spans="2:94" ht="16" thickBot="1">
      <c r="B53" s="148" t="s">
        <v>369</v>
      </c>
      <c r="C53" s="154">
        <v>1.6</v>
      </c>
      <c r="D53" s="152">
        <v>1.6</v>
      </c>
      <c r="E53" s="152">
        <v>1.6</v>
      </c>
      <c r="F53" s="152">
        <v>1.6</v>
      </c>
      <c r="G53" s="152" t="s">
        <v>33</v>
      </c>
      <c r="H53" s="152"/>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c r="CB53" s="8"/>
      <c r="CC53" s="8"/>
      <c r="CD53" s="8"/>
      <c r="CE53" s="8"/>
      <c r="CF53" s="8"/>
      <c r="CG53" s="8"/>
      <c r="CH53" s="8"/>
      <c r="CI53" s="8"/>
      <c r="CJ53" s="8"/>
      <c r="CK53" s="8"/>
      <c r="CL53" s="8"/>
      <c r="CM53" s="8"/>
      <c r="CN53" s="8"/>
      <c r="CO53" s="8"/>
      <c r="CP53" s="8"/>
    </row>
    <row r="54" spans="2:94" ht="16" thickBot="1">
      <c r="B54" s="148" t="s">
        <v>64</v>
      </c>
      <c r="C54" s="154">
        <v>135</v>
      </c>
      <c r="D54" s="152">
        <v>135</v>
      </c>
      <c r="E54" s="152">
        <v>135</v>
      </c>
      <c r="F54" s="152">
        <v>135</v>
      </c>
      <c r="G54" s="152" t="s">
        <v>399</v>
      </c>
      <c r="H54" s="152"/>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c r="CB54" s="8"/>
      <c r="CC54" s="8"/>
      <c r="CD54" s="8"/>
      <c r="CE54" s="8"/>
      <c r="CF54" s="8"/>
      <c r="CG54" s="8"/>
      <c r="CH54" s="8"/>
      <c r="CI54" s="8"/>
      <c r="CJ54" s="8"/>
      <c r="CK54" s="8"/>
      <c r="CL54" s="8"/>
      <c r="CM54" s="8"/>
      <c r="CN54" s="8"/>
      <c r="CO54" s="8"/>
      <c r="CP54" s="8"/>
    </row>
    <row r="55" spans="2:94" ht="16" thickBot="1">
      <c r="B55" s="148" t="s">
        <v>407</v>
      </c>
      <c r="C55" s="154">
        <v>100</v>
      </c>
      <c r="D55" s="152">
        <v>100</v>
      </c>
      <c r="E55" s="152">
        <v>100</v>
      </c>
      <c r="F55" s="152">
        <v>100</v>
      </c>
      <c r="G55" s="152" t="s">
        <v>396</v>
      </c>
      <c r="H55" s="152"/>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c r="CB55" s="8"/>
      <c r="CC55" s="8"/>
      <c r="CD55" s="8"/>
      <c r="CE55" s="8"/>
      <c r="CF55" s="8"/>
      <c r="CG55" s="8"/>
      <c r="CH55" s="8"/>
      <c r="CI55" s="8"/>
      <c r="CJ55" s="8"/>
      <c r="CK55" s="8"/>
      <c r="CL55" s="8"/>
      <c r="CM55" s="8"/>
      <c r="CN55" s="8"/>
      <c r="CO55" s="8"/>
      <c r="CP55" s="8"/>
    </row>
    <row r="56" spans="2:94">
      <c r="B56" s="36" t="s">
        <v>353</v>
      </c>
      <c r="C56" s="42">
        <f>C57/C37</f>
        <v>3047.7272727272725</v>
      </c>
      <c r="D56" s="42">
        <f>D57/D37</f>
        <v>1676.25</v>
      </c>
      <c r="E56" s="42">
        <f>E57/E37</f>
        <v>1583.125</v>
      </c>
      <c r="F56" s="42">
        <f>F57/F37</f>
        <v>1583.125</v>
      </c>
      <c r="G56" s="63" t="s">
        <v>332</v>
      </c>
      <c r="H56" s="63"/>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c r="CB56" s="8"/>
      <c r="CC56" s="8"/>
      <c r="CD56" s="8"/>
      <c r="CE56" s="8"/>
      <c r="CF56" s="8"/>
      <c r="CG56" s="8"/>
      <c r="CH56" s="8"/>
      <c r="CI56" s="8"/>
      <c r="CJ56" s="8"/>
      <c r="CK56" s="8"/>
      <c r="CL56" s="8"/>
      <c r="CM56" s="8"/>
      <c r="CN56" s="8"/>
      <c r="CO56" s="8"/>
      <c r="CP56" s="8"/>
    </row>
    <row r="57" spans="2:94">
      <c r="B57" s="36" t="s">
        <v>354</v>
      </c>
      <c r="C57" s="42">
        <f>C50*$G$4*1000</f>
        <v>134100</v>
      </c>
      <c r="D57" s="42">
        <f>D50*$G$4*1000</f>
        <v>134100</v>
      </c>
      <c r="E57" s="42">
        <f>E50*$G$4*1000</f>
        <v>126650</v>
      </c>
      <c r="F57" s="42">
        <f>F50*$G$4*1000</f>
        <v>126650</v>
      </c>
      <c r="G57" s="67"/>
      <c r="H57" s="63" t="s">
        <v>330</v>
      </c>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c r="CB57" s="8"/>
      <c r="CC57" s="8"/>
      <c r="CD57" s="8"/>
      <c r="CE57" s="8"/>
      <c r="CF57" s="8"/>
      <c r="CG57" s="8"/>
      <c r="CH57" s="8"/>
      <c r="CI57" s="8"/>
      <c r="CJ57" s="8"/>
      <c r="CK57" s="8"/>
      <c r="CL57" s="8"/>
      <c r="CM57" s="8"/>
      <c r="CN57" s="8"/>
      <c r="CO57" s="8"/>
      <c r="CP57" s="8"/>
    </row>
    <row r="58" spans="2:94">
      <c r="B58" s="36" t="s">
        <v>355</v>
      </c>
      <c r="C58" s="106">
        <f>C54*$G$4/C37</f>
        <v>22.857954545454547</v>
      </c>
      <c r="D58" s="106">
        <f>D54*$G$4/D37</f>
        <v>12.571875</v>
      </c>
      <c r="E58" s="106">
        <f>E54*$G$4/E37</f>
        <v>12.571875</v>
      </c>
      <c r="F58" s="106">
        <f>F54*$G$4/F37</f>
        <v>12.571875</v>
      </c>
      <c r="G58" s="63" t="s">
        <v>333</v>
      </c>
      <c r="H58" s="63"/>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c r="CC58" s="8"/>
      <c r="CD58" s="8"/>
      <c r="CE58" s="8"/>
      <c r="CF58" s="8"/>
      <c r="CG58" s="8"/>
      <c r="CH58" s="8"/>
      <c r="CI58" s="8"/>
      <c r="CJ58" s="8"/>
      <c r="CK58" s="8"/>
      <c r="CL58" s="8"/>
      <c r="CM58" s="8"/>
      <c r="CN58" s="8"/>
      <c r="CO58" s="8"/>
      <c r="CP58" s="8"/>
    </row>
    <row r="59" spans="2:94" ht="16" thickBot="1">
      <c r="B59" s="36" t="s">
        <v>356</v>
      </c>
      <c r="C59" s="188">
        <f>C55/$C$64</f>
        <v>18</v>
      </c>
      <c r="D59" s="188">
        <f>D55/$C$64</f>
        <v>18</v>
      </c>
      <c r="E59" s="188">
        <f>E55/$C$64</f>
        <v>18</v>
      </c>
      <c r="F59" s="188">
        <f>F55/$C$64</f>
        <v>18</v>
      </c>
      <c r="G59" s="66"/>
      <c r="H59" s="63"/>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c r="CC59" s="8"/>
      <c r="CD59" s="8"/>
      <c r="CE59" s="8"/>
      <c r="CF59" s="8"/>
      <c r="CG59" s="8"/>
      <c r="CH59" s="8"/>
      <c r="CI59" s="8"/>
      <c r="CJ59" s="8"/>
      <c r="CK59" s="8"/>
      <c r="CL59" s="8"/>
      <c r="CM59" s="8"/>
      <c r="CN59" s="8"/>
      <c r="CO59" s="8"/>
      <c r="CP59" s="8"/>
    </row>
    <row r="60" spans="2:94">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c r="CB60" s="8"/>
      <c r="CC60" s="8"/>
      <c r="CD60" s="8"/>
      <c r="CE60" s="8"/>
      <c r="CF60" s="8"/>
      <c r="CG60" s="8"/>
      <c r="CH60" s="8"/>
      <c r="CI60" s="8"/>
      <c r="CJ60" s="8"/>
      <c r="CK60" s="8"/>
      <c r="CL60" s="8"/>
      <c r="CM60" s="8"/>
      <c r="CN60" s="8"/>
      <c r="CO60" s="8"/>
      <c r="CP60" s="8"/>
    </row>
    <row r="61" spans="2:94">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c r="CB61" s="8"/>
      <c r="CC61" s="8"/>
      <c r="CD61" s="8"/>
      <c r="CE61" s="8"/>
      <c r="CF61" s="8"/>
      <c r="CG61" s="8"/>
      <c r="CH61" s="8"/>
      <c r="CI61" s="8"/>
      <c r="CJ61" s="8"/>
      <c r="CK61" s="8"/>
      <c r="CL61" s="8"/>
      <c r="CM61" s="8"/>
      <c r="CN61" s="8"/>
      <c r="CO61" s="8"/>
      <c r="CP61" s="8"/>
    </row>
    <row r="62" spans="2:94">
      <c r="C62" s="85">
        <v>20000</v>
      </c>
      <c r="D62" s="85" t="s">
        <v>360</v>
      </c>
      <c r="F62" s="85">
        <v>5</v>
      </c>
      <c r="G62" s="85" t="s">
        <v>409</v>
      </c>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c r="CB62" s="8"/>
      <c r="CC62" s="8"/>
      <c r="CD62" s="8"/>
      <c r="CE62" s="8"/>
      <c r="CF62" s="8"/>
      <c r="CG62" s="8"/>
      <c r="CH62" s="8"/>
      <c r="CI62" s="8"/>
      <c r="CJ62" s="8"/>
      <c r="CK62" s="8"/>
      <c r="CL62" s="8"/>
      <c r="CM62" s="8"/>
      <c r="CN62" s="8"/>
      <c r="CO62" s="8"/>
      <c r="CP62" s="8"/>
    </row>
    <row r="63" spans="2:94">
      <c r="C63" s="85">
        <f>C62/3.6</f>
        <v>5555.5555555555557</v>
      </c>
      <c r="D63" s="85" t="s">
        <v>408</v>
      </c>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c r="CB63" s="8"/>
      <c r="CC63" s="8"/>
      <c r="CD63" s="8"/>
      <c r="CE63" s="8"/>
      <c r="CF63" s="8"/>
      <c r="CG63" s="8"/>
      <c r="CH63" s="8"/>
      <c r="CI63" s="8"/>
      <c r="CJ63" s="8"/>
      <c r="CK63" s="8"/>
      <c r="CL63" s="8"/>
      <c r="CM63" s="8"/>
      <c r="CN63" s="8"/>
      <c r="CO63" s="8"/>
      <c r="CP63" s="8"/>
    </row>
    <row r="64" spans="2:94">
      <c r="C64" s="85">
        <f>C63/1000</f>
        <v>5.5555555555555554</v>
      </c>
      <c r="D64" s="85" t="s">
        <v>361</v>
      </c>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c r="CB64" s="8"/>
      <c r="CC64" s="8"/>
      <c r="CD64" s="8"/>
      <c r="CE64" s="8"/>
      <c r="CF64" s="8"/>
      <c r="CG64" s="8"/>
      <c r="CH64" s="8"/>
      <c r="CI64" s="8"/>
      <c r="CJ64" s="8"/>
      <c r="CK64" s="8"/>
      <c r="CL64" s="8"/>
      <c r="CM64" s="8"/>
      <c r="CN64" s="8"/>
      <c r="CO64" s="8"/>
      <c r="CP64" s="8"/>
    </row>
    <row r="65" spans="3:94">
      <c r="C65" s="165">
        <v>400000000</v>
      </c>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c r="CB65" s="8"/>
      <c r="CC65" s="8"/>
      <c r="CD65" s="8"/>
      <c r="CE65" s="8"/>
      <c r="CF65" s="8"/>
      <c r="CG65" s="8"/>
      <c r="CH65" s="8"/>
      <c r="CI65" s="8"/>
      <c r="CJ65" s="8"/>
      <c r="CK65" s="8"/>
      <c r="CL65" s="8"/>
      <c r="CM65" s="8"/>
      <c r="CN65" s="8"/>
      <c r="CO65" s="8"/>
      <c r="CP65" s="8"/>
    </row>
    <row r="66" spans="3:94">
      <c r="C66" s="165">
        <f>C65/C64</f>
        <v>72000000</v>
      </c>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c r="CB66" s="8"/>
      <c r="CC66" s="8"/>
      <c r="CD66" s="8"/>
      <c r="CE66" s="8"/>
      <c r="CF66" s="8"/>
      <c r="CG66" s="8"/>
      <c r="CH66" s="8"/>
      <c r="CI66" s="8"/>
      <c r="CJ66" s="8"/>
      <c r="CK66" s="8"/>
      <c r="CL66" s="8"/>
      <c r="CM66" s="8"/>
      <c r="CN66" s="8"/>
      <c r="CO66" s="8"/>
      <c r="CP66" s="8"/>
    </row>
    <row r="67" spans="3:94">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c r="CB67" s="8"/>
      <c r="CC67" s="8"/>
      <c r="CD67" s="8"/>
      <c r="CE67" s="8"/>
      <c r="CF67" s="8"/>
      <c r="CG67" s="8"/>
      <c r="CH67" s="8"/>
      <c r="CI67" s="8"/>
      <c r="CJ67" s="8"/>
      <c r="CK67" s="8"/>
      <c r="CL67" s="8"/>
      <c r="CM67" s="8"/>
      <c r="CN67" s="8"/>
      <c r="CO67" s="8"/>
      <c r="CP67" s="8"/>
    </row>
    <row r="68" spans="3:94">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c r="CB68" s="8"/>
      <c r="CC68" s="8"/>
      <c r="CD68" s="8"/>
      <c r="CE68" s="8"/>
      <c r="CF68" s="8"/>
      <c r="CG68" s="8"/>
      <c r="CH68" s="8"/>
      <c r="CI68" s="8"/>
      <c r="CJ68" s="8"/>
      <c r="CK68" s="8"/>
      <c r="CL68" s="8"/>
      <c r="CM68" s="8"/>
      <c r="CN68" s="8"/>
      <c r="CO68" s="8"/>
      <c r="CP68" s="8"/>
    </row>
    <row r="69" spans="3:94">
      <c r="C69"/>
      <c r="D69"/>
      <c r="E69"/>
      <c r="F69"/>
      <c r="G69"/>
      <c r="H69"/>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c r="CB69" s="8"/>
      <c r="CC69" s="8"/>
      <c r="CD69" s="8"/>
      <c r="CE69" s="8"/>
      <c r="CF69" s="8"/>
      <c r="CG69" s="8"/>
      <c r="CH69" s="8"/>
      <c r="CI69" s="8"/>
      <c r="CJ69" s="8"/>
      <c r="CK69" s="8"/>
      <c r="CL69" s="8"/>
      <c r="CM69" s="8"/>
      <c r="CN69" s="8"/>
      <c r="CO69" s="8"/>
      <c r="CP69" s="8"/>
    </row>
    <row r="70" spans="3:94">
      <c r="C70"/>
      <c r="D70"/>
      <c r="E70"/>
      <c r="F70"/>
      <c r="G70"/>
      <c r="H70"/>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c r="CB70" s="8"/>
      <c r="CC70" s="8"/>
      <c r="CD70" s="8"/>
      <c r="CE70" s="8"/>
      <c r="CF70" s="8"/>
      <c r="CG70" s="8"/>
      <c r="CH70" s="8"/>
      <c r="CI70" s="8"/>
      <c r="CJ70" s="8"/>
      <c r="CK70" s="8"/>
      <c r="CL70" s="8"/>
      <c r="CM70" s="8"/>
      <c r="CN70" s="8"/>
      <c r="CO70" s="8"/>
      <c r="CP70" s="8"/>
    </row>
    <row r="71" spans="3:94">
      <c r="C71"/>
      <c r="D71"/>
      <c r="E71"/>
      <c r="F71"/>
      <c r="G71"/>
      <c r="H71"/>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c r="CB71" s="8"/>
      <c r="CC71" s="8"/>
      <c r="CD71" s="8"/>
      <c r="CE71" s="8"/>
      <c r="CF71" s="8"/>
      <c r="CG71" s="8"/>
      <c r="CH71" s="8"/>
      <c r="CI71" s="8"/>
      <c r="CJ71" s="8"/>
      <c r="CK71" s="8"/>
      <c r="CL71" s="8"/>
      <c r="CM71" s="8"/>
      <c r="CN71" s="8"/>
      <c r="CO71" s="8"/>
      <c r="CP71" s="8"/>
    </row>
    <row r="72" spans="3:94">
      <c r="C72"/>
      <c r="D72"/>
      <c r="E72"/>
      <c r="F72"/>
      <c r="G72"/>
      <c r="H72"/>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c r="CB72" s="8"/>
      <c r="CC72" s="8"/>
      <c r="CD72" s="8"/>
      <c r="CE72" s="8"/>
      <c r="CF72" s="8"/>
      <c r="CG72" s="8"/>
      <c r="CH72" s="8"/>
      <c r="CI72" s="8"/>
      <c r="CJ72" s="8"/>
      <c r="CK72" s="8"/>
      <c r="CL72" s="8"/>
      <c r="CM72" s="8"/>
      <c r="CN72" s="8"/>
      <c r="CO72" s="8"/>
      <c r="CP72" s="8"/>
    </row>
    <row r="73" spans="3:94">
      <c r="C73"/>
      <c r="D73"/>
      <c r="E73"/>
      <c r="F73"/>
      <c r="G73"/>
      <c r="H73"/>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c r="CB73" s="8"/>
      <c r="CC73" s="8"/>
      <c r="CD73" s="8"/>
      <c r="CE73" s="8"/>
      <c r="CF73" s="8"/>
      <c r="CG73" s="8"/>
      <c r="CH73" s="8"/>
      <c r="CI73" s="8"/>
      <c r="CJ73" s="8"/>
      <c r="CK73" s="8"/>
      <c r="CL73" s="8"/>
      <c r="CM73" s="8"/>
      <c r="CN73" s="8"/>
      <c r="CO73" s="8"/>
      <c r="CP73" s="8"/>
    </row>
    <row r="74" spans="3:94">
      <c r="C74"/>
      <c r="D74"/>
      <c r="E74"/>
      <c r="F74"/>
      <c r="G74"/>
      <c r="H74"/>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c r="CB74" s="8"/>
      <c r="CC74" s="8"/>
      <c r="CD74" s="8"/>
      <c r="CE74" s="8"/>
      <c r="CF74" s="8"/>
      <c r="CG74" s="8"/>
      <c r="CH74" s="8"/>
      <c r="CI74" s="8"/>
      <c r="CJ74" s="8"/>
      <c r="CK74" s="8"/>
      <c r="CL74" s="8"/>
      <c r="CM74" s="8"/>
      <c r="CN74" s="8"/>
      <c r="CO74" s="8"/>
      <c r="CP74" s="8"/>
    </row>
    <row r="75" spans="3:94">
      <c r="C75"/>
      <c r="D75"/>
      <c r="E75"/>
      <c r="F75"/>
      <c r="G75"/>
      <c r="H75"/>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c r="CP75" s="8"/>
    </row>
    <row r="76" spans="3:94">
      <c r="C76"/>
      <c r="D76"/>
      <c r="E76"/>
      <c r="F76"/>
      <c r="G76"/>
      <c r="H76"/>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c r="CB76" s="8"/>
      <c r="CC76" s="8"/>
      <c r="CD76" s="8"/>
      <c r="CE76" s="8"/>
      <c r="CF76" s="8"/>
      <c r="CG76" s="8"/>
      <c r="CH76" s="8"/>
      <c r="CI76" s="8"/>
      <c r="CJ76" s="8"/>
      <c r="CK76" s="8"/>
      <c r="CL76" s="8"/>
      <c r="CM76" s="8"/>
      <c r="CN76" s="8"/>
      <c r="CO76" s="8"/>
      <c r="CP76" s="8"/>
    </row>
    <row r="77" spans="3:94">
      <c r="C77"/>
      <c r="D77"/>
      <c r="E77"/>
      <c r="F77"/>
      <c r="G77"/>
      <c r="H77"/>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c r="CB77" s="8"/>
      <c r="CC77" s="8"/>
      <c r="CD77" s="8"/>
      <c r="CE77" s="8"/>
      <c r="CF77" s="8"/>
      <c r="CG77" s="8"/>
      <c r="CH77" s="8"/>
      <c r="CI77" s="8"/>
      <c r="CJ77" s="8"/>
      <c r="CK77" s="8"/>
      <c r="CL77" s="8"/>
      <c r="CM77" s="8"/>
      <c r="CN77" s="8"/>
      <c r="CO77" s="8"/>
      <c r="CP77" s="8"/>
    </row>
    <row r="78" spans="3:94">
      <c r="C78"/>
      <c r="D78"/>
      <c r="E78"/>
      <c r="F78"/>
      <c r="G78"/>
      <c r="H7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c r="CB78" s="8"/>
      <c r="CC78" s="8"/>
      <c r="CD78" s="8"/>
      <c r="CE78" s="8"/>
      <c r="CF78" s="8"/>
      <c r="CG78" s="8"/>
      <c r="CH78" s="8"/>
      <c r="CI78" s="8"/>
      <c r="CJ78" s="8"/>
      <c r="CK78" s="8"/>
      <c r="CL78" s="8"/>
      <c r="CM78" s="8"/>
      <c r="CN78" s="8"/>
      <c r="CO78" s="8"/>
      <c r="CP78" s="8"/>
    </row>
    <row r="79" spans="3:94">
      <c r="C79"/>
      <c r="D79"/>
      <c r="E79"/>
      <c r="F79"/>
      <c r="G79"/>
      <c r="H79"/>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c r="CP79" s="8"/>
    </row>
    <row r="80" spans="3:94">
      <c r="C80"/>
      <c r="D80"/>
      <c r="E80"/>
      <c r="F80"/>
      <c r="G80"/>
      <c r="H80"/>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8"/>
      <c r="CK80" s="8"/>
      <c r="CL80" s="8"/>
      <c r="CM80" s="8"/>
      <c r="CN80" s="8"/>
      <c r="CO80" s="8"/>
      <c r="CP80" s="8"/>
    </row>
    <row r="81" spans="3:94">
      <c r="C81"/>
      <c r="D81"/>
      <c r="E81"/>
      <c r="F81"/>
      <c r="G81"/>
      <c r="H81"/>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c r="CP81" s="8"/>
    </row>
    <row r="82" spans="3:94">
      <c r="C82"/>
      <c r="D82"/>
      <c r="E82"/>
      <c r="F82"/>
      <c r="G82"/>
      <c r="H82"/>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c r="CP82" s="8"/>
    </row>
    <row r="83" spans="3:94">
      <c r="C83"/>
      <c r="D83"/>
      <c r="E83"/>
      <c r="F83"/>
      <c r="G83"/>
      <c r="H83"/>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c r="CP83" s="8"/>
    </row>
    <row r="84" spans="3:94">
      <c r="C84"/>
      <c r="D84"/>
      <c r="E84"/>
      <c r="F84"/>
      <c r="G84"/>
      <c r="H84"/>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c r="CP84" s="8"/>
    </row>
    <row r="85" spans="3:94">
      <c r="C85"/>
      <c r="D85"/>
      <c r="E85"/>
      <c r="F85"/>
      <c r="G85"/>
      <c r="H85"/>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c r="CP85" s="8"/>
    </row>
    <row r="86" spans="3:94">
      <c r="C86"/>
      <c r="D86"/>
      <c r="E86"/>
      <c r="F86"/>
      <c r="G86"/>
      <c r="H86"/>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8"/>
      <c r="CK86" s="8"/>
      <c r="CL86" s="8"/>
      <c r="CM86" s="8"/>
      <c r="CN86" s="8"/>
      <c r="CO86" s="8"/>
      <c r="CP86" s="8"/>
    </row>
    <row r="87" spans="3:94">
      <c r="C87"/>
      <c r="D87"/>
      <c r="E87"/>
      <c r="F87"/>
      <c r="G87"/>
      <c r="H87"/>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c r="CP87" s="8"/>
    </row>
    <row r="88" spans="3:94">
      <c r="C88"/>
      <c r="D88"/>
      <c r="E88"/>
      <c r="F88"/>
      <c r="G88"/>
      <c r="H8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c r="CP88" s="8"/>
    </row>
    <row r="89" spans="3:94">
      <c r="C89"/>
      <c r="D89"/>
      <c r="E89"/>
      <c r="F89"/>
      <c r="G89"/>
      <c r="H89"/>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c r="CP89" s="8"/>
    </row>
    <row r="90" spans="3:94">
      <c r="C90"/>
      <c r="D90"/>
      <c r="E90"/>
      <c r="F90"/>
      <c r="G90"/>
      <c r="H90"/>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row>
    <row r="91" spans="3:94">
      <c r="C91"/>
      <c r="D91"/>
      <c r="E91"/>
      <c r="F91"/>
      <c r="G91"/>
      <c r="H91"/>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c r="CP91" s="8"/>
    </row>
    <row r="92" spans="3:94">
      <c r="C92"/>
      <c r="D92"/>
      <c r="E92"/>
      <c r="F92"/>
      <c r="G92"/>
      <c r="H92"/>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c r="CP92" s="8"/>
    </row>
    <row r="93" spans="3:94">
      <c r="C93"/>
      <c r="D93"/>
      <c r="E93"/>
      <c r="F93"/>
      <c r="G93"/>
      <c r="H93"/>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c r="CP93" s="8"/>
    </row>
    <row r="94" spans="3:94">
      <c r="C94"/>
      <c r="D94"/>
      <c r="E94"/>
      <c r="F94"/>
      <c r="G94"/>
      <c r="H94"/>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c r="CP94" s="8"/>
    </row>
    <row r="95" spans="3:94">
      <c r="C95"/>
      <c r="D95"/>
      <c r="E95"/>
      <c r="F95"/>
      <c r="G95"/>
      <c r="H95"/>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c r="CD95" s="8"/>
      <c r="CE95" s="8"/>
      <c r="CF95" s="8"/>
      <c r="CG95" s="8"/>
      <c r="CH95" s="8"/>
      <c r="CI95" s="8"/>
      <c r="CJ95" s="8"/>
      <c r="CK95" s="8"/>
      <c r="CL95" s="8"/>
      <c r="CM95" s="8"/>
      <c r="CN95" s="8"/>
      <c r="CO95" s="8"/>
      <c r="CP95" s="8"/>
    </row>
    <row r="96" spans="3:94">
      <c r="C96"/>
      <c r="D96"/>
      <c r="E96"/>
      <c r="F96"/>
      <c r="G96"/>
      <c r="H96"/>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c r="CB96" s="8"/>
      <c r="CC96" s="8"/>
      <c r="CD96" s="8"/>
      <c r="CE96" s="8"/>
      <c r="CF96" s="8"/>
      <c r="CG96" s="8"/>
      <c r="CH96" s="8"/>
      <c r="CI96" s="8"/>
      <c r="CJ96" s="8"/>
      <c r="CK96" s="8"/>
      <c r="CL96" s="8"/>
      <c r="CM96" s="8"/>
      <c r="CN96" s="8"/>
      <c r="CO96" s="8"/>
      <c r="CP96" s="8"/>
    </row>
    <row r="97" spans="3:94">
      <c r="C97"/>
      <c r="D97"/>
      <c r="E97"/>
      <c r="F97"/>
      <c r="G97"/>
      <c r="H97"/>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c r="CB97" s="8"/>
      <c r="CC97" s="8"/>
      <c r="CD97" s="8"/>
      <c r="CE97" s="8"/>
      <c r="CF97" s="8"/>
      <c r="CG97" s="8"/>
      <c r="CH97" s="8"/>
      <c r="CI97" s="8"/>
      <c r="CJ97" s="8"/>
      <c r="CK97" s="8"/>
      <c r="CL97" s="8"/>
      <c r="CM97" s="8"/>
      <c r="CN97" s="8"/>
      <c r="CO97" s="8"/>
      <c r="CP97" s="8"/>
    </row>
    <row r="98" spans="3:94">
      <c r="C98"/>
      <c r="D98"/>
      <c r="E98"/>
      <c r="F98"/>
      <c r="G98"/>
      <c r="H9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c r="CB98" s="8"/>
      <c r="CC98" s="8"/>
      <c r="CD98" s="8"/>
      <c r="CE98" s="8"/>
      <c r="CF98" s="8"/>
      <c r="CG98" s="8"/>
      <c r="CH98" s="8"/>
      <c r="CI98" s="8"/>
      <c r="CJ98" s="8"/>
      <c r="CK98" s="8"/>
      <c r="CL98" s="8"/>
      <c r="CM98" s="8"/>
      <c r="CN98" s="8"/>
      <c r="CO98" s="8"/>
      <c r="CP98" s="8"/>
    </row>
    <row r="99" spans="3:94">
      <c r="C99"/>
      <c r="D99"/>
      <c r="E99"/>
      <c r="F99"/>
      <c r="G99"/>
      <c r="H99"/>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c r="CB99" s="8"/>
      <c r="CC99" s="8"/>
      <c r="CD99" s="8"/>
      <c r="CE99" s="8"/>
      <c r="CF99" s="8"/>
      <c r="CG99" s="8"/>
      <c r="CH99" s="8"/>
      <c r="CI99" s="8"/>
      <c r="CJ99" s="8"/>
      <c r="CK99" s="8"/>
      <c r="CL99" s="8"/>
      <c r="CM99" s="8"/>
      <c r="CN99" s="8"/>
      <c r="CO99" s="8"/>
      <c r="CP99" s="8"/>
    </row>
    <row r="100" spans="3:94">
      <c r="C100"/>
      <c r="D100"/>
      <c r="E100"/>
      <c r="F100"/>
      <c r="G100"/>
      <c r="H100"/>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c r="CB100" s="8"/>
      <c r="CC100" s="8"/>
      <c r="CD100" s="8"/>
      <c r="CE100" s="8"/>
      <c r="CF100" s="8"/>
      <c r="CG100" s="8"/>
      <c r="CH100" s="8"/>
      <c r="CI100" s="8"/>
      <c r="CJ100" s="8"/>
      <c r="CK100" s="8"/>
      <c r="CL100" s="8"/>
      <c r="CM100" s="8"/>
      <c r="CN100" s="8"/>
      <c r="CO100" s="8"/>
      <c r="CP100" s="8"/>
    </row>
    <row r="101" spans="3:94">
      <c r="C101"/>
      <c r="D101"/>
      <c r="E101"/>
      <c r="F101"/>
      <c r="G101"/>
      <c r="H101"/>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c r="CB101" s="8"/>
      <c r="CC101" s="8"/>
      <c r="CD101" s="8"/>
      <c r="CE101" s="8"/>
      <c r="CF101" s="8"/>
      <c r="CG101" s="8"/>
      <c r="CH101" s="8"/>
      <c r="CI101" s="8"/>
      <c r="CJ101" s="8"/>
      <c r="CK101" s="8"/>
      <c r="CL101" s="8"/>
      <c r="CM101" s="8"/>
      <c r="CN101" s="8"/>
      <c r="CO101" s="8"/>
      <c r="CP101" s="8"/>
    </row>
    <row r="102" spans="3:94">
      <c r="C102"/>
      <c r="D102"/>
      <c r="E102"/>
      <c r="F102"/>
      <c r="G102"/>
      <c r="H102"/>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c r="CB102" s="8"/>
      <c r="CC102" s="8"/>
      <c r="CD102" s="8"/>
      <c r="CE102" s="8"/>
      <c r="CF102" s="8"/>
      <c r="CG102" s="8"/>
      <c r="CH102" s="8"/>
      <c r="CI102" s="8"/>
      <c r="CJ102" s="8"/>
      <c r="CK102" s="8"/>
      <c r="CL102" s="8"/>
      <c r="CM102" s="8"/>
      <c r="CN102" s="8"/>
      <c r="CO102" s="8"/>
      <c r="CP102" s="8"/>
    </row>
    <row r="103" spans="3:94">
      <c r="C103"/>
      <c r="D103"/>
      <c r="E103"/>
      <c r="F103"/>
      <c r="G103"/>
      <c r="H103"/>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c r="CP103" s="8"/>
    </row>
    <row r="104" spans="3:94">
      <c r="C104"/>
      <c r="D104"/>
      <c r="E104"/>
      <c r="F104"/>
      <c r="G104"/>
      <c r="H104"/>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c r="CP104" s="8"/>
    </row>
    <row r="105" spans="3:94">
      <c r="C105"/>
      <c r="D105"/>
      <c r="E105"/>
      <c r="F105"/>
      <c r="G105"/>
      <c r="H105"/>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c r="CB105" s="8"/>
      <c r="CC105" s="8"/>
      <c r="CD105" s="8"/>
      <c r="CE105" s="8"/>
      <c r="CF105" s="8"/>
      <c r="CG105" s="8"/>
      <c r="CH105" s="8"/>
      <c r="CI105" s="8"/>
      <c r="CJ105" s="8"/>
      <c r="CK105" s="8"/>
      <c r="CL105" s="8"/>
      <c r="CM105" s="8"/>
      <c r="CN105" s="8"/>
      <c r="CO105" s="8"/>
      <c r="CP105" s="8"/>
    </row>
    <row r="106" spans="3:94">
      <c r="C106"/>
      <c r="D106"/>
      <c r="E106"/>
      <c r="F106"/>
      <c r="G106"/>
      <c r="H106"/>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c r="CB106" s="8"/>
      <c r="CC106" s="8"/>
      <c r="CD106" s="8"/>
      <c r="CE106" s="8"/>
      <c r="CF106" s="8"/>
      <c r="CG106" s="8"/>
      <c r="CH106" s="8"/>
      <c r="CI106" s="8"/>
      <c r="CJ106" s="8"/>
      <c r="CK106" s="8"/>
      <c r="CL106" s="8"/>
      <c r="CM106" s="8"/>
      <c r="CN106" s="8"/>
      <c r="CO106" s="8"/>
      <c r="CP106" s="8"/>
    </row>
    <row r="107" spans="3:94">
      <c r="C107"/>
      <c r="D107"/>
      <c r="E107"/>
      <c r="F107"/>
      <c r="G107"/>
      <c r="H107"/>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c r="CG107" s="8"/>
      <c r="CH107" s="8"/>
      <c r="CI107" s="8"/>
      <c r="CJ107" s="8"/>
      <c r="CK107" s="8"/>
      <c r="CL107" s="8"/>
      <c r="CM107" s="8"/>
      <c r="CN107" s="8"/>
      <c r="CO107" s="8"/>
      <c r="CP107" s="8"/>
    </row>
    <row r="108" spans="3:94">
      <c r="C108"/>
      <c r="D108"/>
      <c r="E108"/>
      <c r="F108"/>
      <c r="G108"/>
      <c r="H10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c r="CG108" s="8"/>
      <c r="CH108" s="8"/>
      <c r="CI108" s="8"/>
      <c r="CJ108" s="8"/>
      <c r="CK108" s="8"/>
      <c r="CL108" s="8"/>
      <c r="CM108" s="8"/>
      <c r="CN108" s="8"/>
      <c r="CO108" s="8"/>
      <c r="CP108" s="8"/>
    </row>
    <row r="109" spans="3:94">
      <c r="C109"/>
      <c r="D109"/>
      <c r="E109"/>
      <c r="F109"/>
      <c r="G109"/>
      <c r="H109"/>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c r="CB109" s="8"/>
      <c r="CC109" s="8"/>
      <c r="CD109" s="8"/>
      <c r="CE109" s="8"/>
      <c r="CF109" s="8"/>
      <c r="CG109" s="8"/>
      <c r="CH109" s="8"/>
      <c r="CI109" s="8"/>
      <c r="CJ109" s="8"/>
      <c r="CK109" s="8"/>
      <c r="CL109" s="8"/>
      <c r="CM109" s="8"/>
      <c r="CN109" s="8"/>
      <c r="CO109" s="8"/>
      <c r="CP109" s="8"/>
    </row>
    <row r="110" spans="3:94">
      <c r="C110"/>
      <c r="D110"/>
      <c r="E110"/>
      <c r="F110"/>
      <c r="G110"/>
      <c r="H110"/>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c r="CB110" s="8"/>
      <c r="CC110" s="8"/>
      <c r="CD110" s="8"/>
      <c r="CE110" s="8"/>
      <c r="CF110" s="8"/>
      <c r="CG110" s="8"/>
      <c r="CH110" s="8"/>
      <c r="CI110" s="8"/>
      <c r="CJ110" s="8"/>
      <c r="CK110" s="8"/>
      <c r="CL110" s="8"/>
      <c r="CM110" s="8"/>
      <c r="CN110" s="8"/>
      <c r="CO110" s="8"/>
      <c r="CP110" s="8"/>
    </row>
    <row r="111" spans="3:94">
      <c r="C111"/>
      <c r="D111"/>
      <c r="E111"/>
      <c r="F111"/>
      <c r="G111"/>
      <c r="H111"/>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c r="CB111" s="8"/>
      <c r="CC111" s="8"/>
      <c r="CD111" s="8"/>
      <c r="CE111" s="8"/>
      <c r="CF111" s="8"/>
      <c r="CG111" s="8"/>
      <c r="CH111" s="8"/>
      <c r="CI111" s="8"/>
      <c r="CJ111" s="8"/>
      <c r="CK111" s="8"/>
      <c r="CL111" s="8"/>
      <c r="CM111" s="8"/>
      <c r="CN111" s="8"/>
      <c r="CO111" s="8"/>
      <c r="CP111" s="8"/>
    </row>
    <row r="112" spans="3:94">
      <c r="C112"/>
      <c r="D112"/>
      <c r="E112"/>
      <c r="F112"/>
      <c r="G112"/>
      <c r="H112"/>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c r="CB112" s="8"/>
      <c r="CC112" s="8"/>
      <c r="CD112" s="8"/>
      <c r="CE112" s="8"/>
      <c r="CF112" s="8"/>
      <c r="CG112" s="8"/>
      <c r="CH112" s="8"/>
      <c r="CI112" s="8"/>
      <c r="CJ112" s="8"/>
      <c r="CK112" s="8"/>
      <c r="CL112" s="8"/>
      <c r="CM112" s="8"/>
      <c r="CN112" s="8"/>
      <c r="CO112" s="8"/>
      <c r="CP112" s="8"/>
    </row>
    <row r="113" spans="3:94">
      <c r="C113"/>
      <c r="D113"/>
      <c r="E113"/>
      <c r="F113"/>
      <c r="G113"/>
      <c r="H113"/>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c r="CB113" s="8"/>
      <c r="CC113" s="8"/>
      <c r="CD113" s="8"/>
      <c r="CE113" s="8"/>
      <c r="CF113" s="8"/>
      <c r="CG113" s="8"/>
      <c r="CH113" s="8"/>
      <c r="CI113" s="8"/>
      <c r="CJ113" s="8"/>
      <c r="CK113" s="8"/>
      <c r="CL113" s="8"/>
      <c r="CM113" s="8"/>
      <c r="CN113" s="8"/>
      <c r="CO113" s="8"/>
      <c r="CP113" s="8"/>
    </row>
    <row r="114" spans="3:94">
      <c r="C114"/>
      <c r="D114"/>
      <c r="E114"/>
      <c r="F114"/>
      <c r="G114"/>
      <c r="H114"/>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c r="CB114" s="8"/>
      <c r="CC114" s="8"/>
      <c r="CD114" s="8"/>
      <c r="CE114" s="8"/>
      <c r="CF114" s="8"/>
      <c r="CG114" s="8"/>
      <c r="CH114" s="8"/>
      <c r="CI114" s="8"/>
      <c r="CJ114" s="8"/>
      <c r="CK114" s="8"/>
      <c r="CL114" s="8"/>
      <c r="CM114" s="8"/>
      <c r="CN114" s="8"/>
      <c r="CO114" s="8"/>
      <c r="CP114" s="8"/>
    </row>
    <row r="115" spans="3:94">
      <c r="C115"/>
      <c r="D115"/>
      <c r="E115"/>
      <c r="F115"/>
      <c r="G115"/>
      <c r="H115"/>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c r="CG115" s="8"/>
      <c r="CH115" s="8"/>
      <c r="CI115" s="8"/>
      <c r="CJ115" s="8"/>
      <c r="CK115" s="8"/>
      <c r="CL115" s="8"/>
      <c r="CM115" s="8"/>
      <c r="CN115" s="8"/>
      <c r="CO115" s="8"/>
      <c r="CP115" s="8"/>
    </row>
    <row r="116" spans="3:94">
      <c r="C116"/>
      <c r="D116"/>
      <c r="E116"/>
      <c r="F116"/>
      <c r="G116"/>
      <c r="H116"/>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c r="CB116" s="8"/>
      <c r="CC116" s="8"/>
      <c r="CD116" s="8"/>
      <c r="CE116" s="8"/>
      <c r="CF116" s="8"/>
      <c r="CG116" s="8"/>
      <c r="CH116" s="8"/>
      <c r="CI116" s="8"/>
      <c r="CJ116" s="8"/>
      <c r="CK116" s="8"/>
      <c r="CL116" s="8"/>
      <c r="CM116" s="8"/>
      <c r="CN116" s="8"/>
      <c r="CO116" s="8"/>
      <c r="CP116" s="8"/>
    </row>
    <row r="117" spans="3:94">
      <c r="C117"/>
      <c r="D117"/>
      <c r="E117"/>
      <c r="F117"/>
      <c r="G117"/>
      <c r="H117"/>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c r="BZ117" s="8"/>
      <c r="CA117" s="8"/>
      <c r="CB117" s="8"/>
      <c r="CC117" s="8"/>
      <c r="CD117" s="8"/>
      <c r="CE117" s="8"/>
      <c r="CF117" s="8"/>
      <c r="CG117" s="8"/>
      <c r="CH117" s="8"/>
      <c r="CI117" s="8"/>
      <c r="CJ117" s="8"/>
      <c r="CK117" s="8"/>
      <c r="CL117" s="8"/>
      <c r="CM117" s="8"/>
      <c r="CN117" s="8"/>
      <c r="CO117" s="8"/>
      <c r="CP117" s="8"/>
    </row>
    <row r="118" spans="3:94">
      <c r="C118"/>
      <c r="D118"/>
      <c r="E118"/>
      <c r="F118"/>
      <c r="G118"/>
      <c r="H11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c r="CA118" s="8"/>
      <c r="CB118" s="8"/>
      <c r="CC118" s="8"/>
      <c r="CD118" s="8"/>
      <c r="CE118" s="8"/>
      <c r="CF118" s="8"/>
      <c r="CG118" s="8"/>
      <c r="CH118" s="8"/>
      <c r="CI118" s="8"/>
      <c r="CJ118" s="8"/>
      <c r="CK118" s="8"/>
      <c r="CL118" s="8"/>
      <c r="CM118" s="8"/>
      <c r="CN118" s="8"/>
      <c r="CO118" s="8"/>
      <c r="CP118" s="8"/>
    </row>
    <row r="119" spans="3:94">
      <c r="C119"/>
      <c r="D119"/>
      <c r="E119"/>
      <c r="F119"/>
      <c r="G119"/>
      <c r="H119"/>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c r="CA119" s="8"/>
      <c r="CB119" s="8"/>
      <c r="CC119" s="8"/>
      <c r="CD119" s="8"/>
      <c r="CE119" s="8"/>
      <c r="CF119" s="8"/>
      <c r="CG119" s="8"/>
      <c r="CH119" s="8"/>
      <c r="CI119" s="8"/>
      <c r="CJ119" s="8"/>
      <c r="CK119" s="8"/>
      <c r="CL119" s="8"/>
      <c r="CM119" s="8"/>
      <c r="CN119" s="8"/>
      <c r="CO119" s="8"/>
      <c r="CP119" s="8"/>
    </row>
    <row r="120" spans="3:94">
      <c r="C120"/>
      <c r="D120"/>
      <c r="E120"/>
      <c r="F120"/>
      <c r="G120"/>
      <c r="H120"/>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c r="CB120" s="8"/>
      <c r="CC120" s="8"/>
      <c r="CD120" s="8"/>
      <c r="CE120" s="8"/>
      <c r="CF120" s="8"/>
      <c r="CG120" s="8"/>
      <c r="CH120" s="8"/>
      <c r="CI120" s="8"/>
      <c r="CJ120" s="8"/>
      <c r="CK120" s="8"/>
      <c r="CL120" s="8"/>
      <c r="CM120" s="8"/>
      <c r="CN120" s="8"/>
      <c r="CO120" s="8"/>
      <c r="CP120" s="8"/>
    </row>
    <row r="121" spans="3:94">
      <c r="C121"/>
      <c r="D121"/>
      <c r="E121"/>
      <c r="F121"/>
      <c r="G121"/>
      <c r="H121"/>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c r="CB121" s="8"/>
      <c r="CC121" s="8"/>
      <c r="CD121" s="8"/>
      <c r="CE121" s="8"/>
      <c r="CF121" s="8"/>
      <c r="CG121" s="8"/>
      <c r="CH121" s="8"/>
      <c r="CI121" s="8"/>
      <c r="CJ121" s="8"/>
      <c r="CK121" s="8"/>
      <c r="CL121" s="8"/>
      <c r="CM121" s="8"/>
      <c r="CN121" s="8"/>
      <c r="CO121" s="8"/>
      <c r="CP121" s="8"/>
    </row>
    <row r="122" spans="3:94">
      <c r="C122"/>
      <c r="D122"/>
      <c r="E122"/>
      <c r="F122"/>
      <c r="G122"/>
      <c r="H122"/>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c r="CA122" s="8"/>
      <c r="CB122" s="8"/>
      <c r="CC122" s="8"/>
      <c r="CD122" s="8"/>
      <c r="CE122" s="8"/>
      <c r="CF122" s="8"/>
      <c r="CG122" s="8"/>
      <c r="CH122" s="8"/>
      <c r="CI122" s="8"/>
      <c r="CJ122" s="8"/>
      <c r="CK122" s="8"/>
      <c r="CL122" s="8"/>
      <c r="CM122" s="8"/>
      <c r="CN122" s="8"/>
      <c r="CO122" s="8"/>
      <c r="CP122" s="8"/>
    </row>
    <row r="123" spans="3:94">
      <c r="C123"/>
      <c r="D123"/>
      <c r="E123"/>
      <c r="F123"/>
      <c r="G123"/>
      <c r="H123"/>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c r="CB123" s="8"/>
      <c r="CC123" s="8"/>
      <c r="CD123" s="8"/>
      <c r="CE123" s="8"/>
      <c r="CF123" s="8"/>
      <c r="CG123" s="8"/>
      <c r="CH123" s="8"/>
      <c r="CI123" s="8"/>
      <c r="CJ123" s="8"/>
      <c r="CK123" s="8"/>
      <c r="CL123" s="8"/>
      <c r="CM123" s="8"/>
      <c r="CN123" s="8"/>
      <c r="CO123" s="8"/>
      <c r="CP123" s="8"/>
    </row>
    <row r="124" spans="3:94">
      <c r="C124"/>
      <c r="D124"/>
      <c r="E124"/>
      <c r="F124"/>
      <c r="G124"/>
      <c r="H124"/>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c r="BZ124" s="8"/>
      <c r="CA124" s="8"/>
      <c r="CB124" s="8"/>
      <c r="CC124" s="8"/>
      <c r="CD124" s="8"/>
      <c r="CE124" s="8"/>
      <c r="CF124" s="8"/>
      <c r="CG124" s="8"/>
      <c r="CH124" s="8"/>
      <c r="CI124" s="8"/>
      <c r="CJ124" s="8"/>
      <c r="CK124" s="8"/>
      <c r="CL124" s="8"/>
      <c r="CM124" s="8"/>
      <c r="CN124" s="8"/>
      <c r="CO124" s="8"/>
      <c r="CP124" s="8"/>
    </row>
    <row r="125" spans="3:94">
      <c r="C125"/>
      <c r="D125"/>
      <c r="E125"/>
      <c r="F125"/>
      <c r="G125"/>
      <c r="H125"/>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c r="CG125" s="8"/>
      <c r="CH125" s="8"/>
      <c r="CI125" s="8"/>
      <c r="CJ125" s="8"/>
      <c r="CK125" s="8"/>
      <c r="CL125" s="8"/>
      <c r="CM125" s="8"/>
      <c r="CN125" s="8"/>
      <c r="CO125" s="8"/>
      <c r="CP125" s="8"/>
    </row>
    <row r="126" spans="3:94">
      <c r="C126"/>
      <c r="D126"/>
      <c r="E126"/>
      <c r="F126"/>
      <c r="G126"/>
      <c r="H126"/>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c r="BX126" s="8"/>
      <c r="BY126" s="8"/>
      <c r="BZ126" s="8"/>
      <c r="CA126" s="8"/>
      <c r="CB126" s="8"/>
      <c r="CC126" s="8"/>
      <c r="CD126" s="8"/>
      <c r="CE126" s="8"/>
      <c r="CF126" s="8"/>
      <c r="CG126" s="8"/>
      <c r="CH126" s="8"/>
      <c r="CI126" s="8"/>
      <c r="CJ126" s="8"/>
      <c r="CK126" s="8"/>
      <c r="CL126" s="8"/>
      <c r="CM126" s="8"/>
      <c r="CN126" s="8"/>
      <c r="CO126" s="8"/>
      <c r="CP126" s="8"/>
    </row>
    <row r="127" spans="3:94">
      <c r="C127"/>
      <c r="D127"/>
      <c r="E127"/>
      <c r="F127"/>
      <c r="G127"/>
      <c r="H127"/>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c r="BX127" s="8"/>
      <c r="BY127" s="8"/>
      <c r="BZ127" s="8"/>
      <c r="CA127" s="8"/>
      <c r="CB127" s="8"/>
      <c r="CC127" s="8"/>
      <c r="CD127" s="8"/>
      <c r="CE127" s="8"/>
      <c r="CF127" s="8"/>
      <c r="CG127" s="8"/>
      <c r="CH127" s="8"/>
      <c r="CI127" s="8"/>
      <c r="CJ127" s="8"/>
      <c r="CK127" s="8"/>
      <c r="CL127" s="8"/>
      <c r="CM127" s="8"/>
      <c r="CN127" s="8"/>
      <c r="CO127" s="8"/>
      <c r="CP127" s="8"/>
    </row>
    <row r="128" spans="3:94">
      <c r="C128"/>
      <c r="D128"/>
      <c r="E128"/>
      <c r="F128"/>
      <c r="G128"/>
      <c r="H12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c r="BQ128" s="8"/>
      <c r="BR128" s="8"/>
      <c r="BS128" s="8"/>
      <c r="BT128" s="8"/>
      <c r="BU128" s="8"/>
      <c r="BV128" s="8"/>
      <c r="BW128" s="8"/>
      <c r="BX128" s="8"/>
      <c r="BY128" s="8"/>
      <c r="BZ128" s="8"/>
      <c r="CA128" s="8"/>
      <c r="CB128" s="8"/>
      <c r="CC128" s="8"/>
      <c r="CD128" s="8"/>
      <c r="CE128" s="8"/>
      <c r="CF128" s="8"/>
      <c r="CG128" s="8"/>
      <c r="CH128" s="8"/>
      <c r="CI128" s="8"/>
      <c r="CJ128" s="8"/>
      <c r="CK128" s="8"/>
      <c r="CL128" s="8"/>
      <c r="CM128" s="8"/>
      <c r="CN128" s="8"/>
      <c r="CO128" s="8"/>
      <c r="CP128" s="8"/>
    </row>
    <row r="129" spans="3:94">
      <c r="C129"/>
      <c r="D129"/>
      <c r="E129"/>
      <c r="F129"/>
      <c r="G129"/>
      <c r="H129"/>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c r="BQ129" s="8"/>
      <c r="BR129" s="8"/>
      <c r="BS129" s="8"/>
      <c r="BT129" s="8"/>
      <c r="BU129" s="8"/>
      <c r="BV129" s="8"/>
      <c r="BW129" s="8"/>
      <c r="BX129" s="8"/>
      <c r="BY129" s="8"/>
      <c r="BZ129" s="8"/>
      <c r="CA129" s="8"/>
      <c r="CB129" s="8"/>
      <c r="CC129" s="8"/>
      <c r="CD129" s="8"/>
      <c r="CE129" s="8"/>
      <c r="CF129" s="8"/>
      <c r="CG129" s="8"/>
      <c r="CH129" s="8"/>
      <c r="CI129" s="8"/>
      <c r="CJ129" s="8"/>
      <c r="CK129" s="8"/>
      <c r="CL129" s="8"/>
      <c r="CM129" s="8"/>
      <c r="CN129" s="8"/>
      <c r="CO129" s="8"/>
      <c r="CP129" s="8"/>
    </row>
    <row r="130" spans="3:94">
      <c r="C130"/>
      <c r="D130"/>
      <c r="E130"/>
      <c r="F130"/>
      <c r="G130"/>
      <c r="H130"/>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c r="BQ130" s="8"/>
      <c r="BR130" s="8"/>
      <c r="BS130" s="8"/>
      <c r="BT130" s="8"/>
      <c r="BU130" s="8"/>
      <c r="BV130" s="8"/>
      <c r="BW130" s="8"/>
      <c r="BX130" s="8"/>
      <c r="BY130" s="8"/>
      <c r="BZ130" s="8"/>
      <c r="CA130" s="8"/>
      <c r="CB130" s="8"/>
      <c r="CC130" s="8"/>
      <c r="CD130" s="8"/>
      <c r="CE130" s="8"/>
      <c r="CF130" s="8"/>
      <c r="CG130" s="8"/>
      <c r="CH130" s="8"/>
      <c r="CI130" s="8"/>
      <c r="CJ130" s="8"/>
      <c r="CK130" s="8"/>
      <c r="CL130" s="8"/>
      <c r="CM130" s="8"/>
      <c r="CN130" s="8"/>
      <c r="CO130" s="8"/>
      <c r="CP130" s="8"/>
    </row>
  </sheetData>
  <mergeCells count="8">
    <mergeCell ref="J34:O34"/>
    <mergeCell ref="C48:H48"/>
    <mergeCell ref="C6:H6"/>
    <mergeCell ref="J6:O6"/>
    <mergeCell ref="J7:O7"/>
    <mergeCell ref="C33:H33"/>
    <mergeCell ref="J33:O33"/>
    <mergeCell ref="C21:H21"/>
  </mergeCells>
  <pageMargins left="0.7" right="0.7" top="0.75" bottom="0.75" header="0.3" footer="0.3"/>
  <legacy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15">
    <tabColor theme="4"/>
  </sheetPr>
  <dimension ref="B3:CP130"/>
  <sheetViews>
    <sheetView workbookViewId="0">
      <selection activeCell="K36" sqref="K36"/>
    </sheetView>
  </sheetViews>
  <sheetFormatPr baseColWidth="10" defaultColWidth="8.83203125" defaultRowHeight="15"/>
  <cols>
    <col min="2" max="2" width="51.5" customWidth="1"/>
    <col min="3" max="8" width="9.1640625" style="85"/>
  </cols>
  <sheetData>
    <row r="3" spans="2:94" ht="29">
      <c r="B3" s="84" t="s">
        <v>401</v>
      </c>
    </row>
    <row r="4" spans="2:94" ht="15" customHeight="1">
      <c r="E4" t="s">
        <v>358</v>
      </c>
      <c r="F4"/>
      <c r="G4" s="36">
        <v>7.45</v>
      </c>
      <c r="H4" t="s">
        <v>328</v>
      </c>
    </row>
    <row r="5" spans="2:94" ht="15" customHeight="1" thickBot="1"/>
    <row r="6" spans="2:94" ht="15.75" customHeight="1" thickBot="1">
      <c r="C6" s="1290" t="s">
        <v>394</v>
      </c>
      <c r="D6" s="1288"/>
      <c r="E6" s="1288"/>
      <c r="F6" s="1288"/>
      <c r="G6" s="1288"/>
      <c r="H6" s="1289"/>
      <c r="J6" s="1259" t="str">
        <f>C6</f>
        <v>Absorption heat pump</v>
      </c>
      <c r="K6" s="1260"/>
      <c r="L6" s="1260"/>
      <c r="M6" s="1260"/>
      <c r="N6" s="1260"/>
      <c r="O6" s="1261"/>
    </row>
    <row r="7" spans="2:94" s="8" customFormat="1" ht="15.75" customHeight="1" thickBot="1">
      <c r="B7" s="86" t="s">
        <v>0</v>
      </c>
      <c r="C7" s="8" t="s">
        <v>362</v>
      </c>
      <c r="J7" s="1134" t="str">
        <f>C7</f>
        <v>One family house, new and existing buildings</v>
      </c>
      <c r="K7" s="1135"/>
      <c r="L7" s="1135"/>
      <c r="M7" s="1135"/>
      <c r="N7" s="1135"/>
      <c r="O7" s="1136"/>
      <c r="P7"/>
      <c r="Q7"/>
      <c r="R7"/>
      <c r="S7"/>
      <c r="T7"/>
      <c r="U7"/>
      <c r="V7"/>
      <c r="W7"/>
      <c r="X7"/>
    </row>
    <row r="8" spans="2:94" ht="16" thickBot="1">
      <c r="B8" s="87"/>
      <c r="C8" s="88">
        <v>2015</v>
      </c>
      <c r="D8" s="88">
        <v>2020</v>
      </c>
      <c r="E8" s="88">
        <v>2030</v>
      </c>
      <c r="F8" s="88">
        <v>2050</v>
      </c>
      <c r="G8" s="88" t="s">
        <v>2</v>
      </c>
      <c r="H8" s="89" t="s">
        <v>3</v>
      </c>
      <c r="J8" s="53" t="s">
        <v>357</v>
      </c>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c r="CL8" s="8"/>
      <c r="CM8" s="8"/>
      <c r="CN8" s="8"/>
      <c r="CO8" s="8"/>
      <c r="CP8" s="8"/>
    </row>
    <row r="9" spans="2:94" ht="15.75" customHeight="1" thickBot="1">
      <c r="B9" s="90" t="s">
        <v>4</v>
      </c>
      <c r="C9" s="12"/>
      <c r="D9" s="12"/>
      <c r="E9" s="12"/>
      <c r="F9" s="12"/>
      <c r="G9" s="12"/>
      <c r="H9" s="13"/>
      <c r="J9" s="46" t="s">
        <v>335</v>
      </c>
      <c r="K9" s="46" t="s">
        <v>336</v>
      </c>
      <c r="L9" s="47" t="s">
        <v>337</v>
      </c>
      <c r="M9" s="47" t="s">
        <v>338</v>
      </c>
      <c r="N9" s="47" t="s">
        <v>339</v>
      </c>
      <c r="O9" s="48" t="s">
        <v>340</v>
      </c>
      <c r="P9" s="49" t="s">
        <v>341</v>
      </c>
      <c r="Q9" s="49" t="s">
        <v>342</v>
      </c>
      <c r="R9" s="49" t="s">
        <v>343</v>
      </c>
      <c r="S9" s="49" t="s">
        <v>344</v>
      </c>
      <c r="T9" s="49" t="s">
        <v>345</v>
      </c>
      <c r="U9" s="49" t="s">
        <v>346</v>
      </c>
      <c r="V9" s="49" t="s">
        <v>347</v>
      </c>
      <c r="W9" s="49" t="s">
        <v>348</v>
      </c>
      <c r="X9" s="49" t="s">
        <v>349</v>
      </c>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c r="BQ9" s="8"/>
      <c r="BR9" s="8"/>
      <c r="BS9" s="8"/>
      <c r="BT9" s="8"/>
      <c r="BU9" s="8"/>
      <c r="BV9" s="8"/>
      <c r="BW9" s="8"/>
      <c r="BX9" s="8"/>
      <c r="BY9" s="8"/>
      <c r="BZ9" s="8"/>
      <c r="CA9" s="8"/>
      <c r="CB9" s="8"/>
      <c r="CC9" s="8"/>
      <c r="CD9" s="8"/>
      <c r="CE9" s="8"/>
      <c r="CF9" s="8"/>
      <c r="CG9" s="8"/>
      <c r="CH9" s="8"/>
      <c r="CI9" s="8"/>
      <c r="CJ9" s="8"/>
      <c r="CK9" s="8"/>
      <c r="CL9" s="8"/>
      <c r="CM9" s="8"/>
      <c r="CN9" s="8"/>
      <c r="CO9" s="8"/>
      <c r="CP9" s="8"/>
    </row>
    <row r="10" spans="2:94" ht="15.75" customHeight="1" thickBot="1">
      <c r="B10" s="115" t="s">
        <v>5</v>
      </c>
      <c r="C10" s="123">
        <v>18</v>
      </c>
      <c r="D10" s="123">
        <v>30</v>
      </c>
      <c r="E10" s="123">
        <v>30</v>
      </c>
      <c r="F10" s="123">
        <v>30</v>
      </c>
      <c r="G10" s="116" t="s">
        <v>395</v>
      </c>
      <c r="H10" s="117"/>
      <c r="J10" s="50"/>
      <c r="K10" s="50"/>
      <c r="L10" s="51"/>
      <c r="M10" s="51"/>
      <c r="N10" s="51"/>
      <c r="O10" s="52"/>
      <c r="P10" s="50"/>
      <c r="Q10" s="50"/>
      <c r="R10" s="50"/>
      <c r="S10" s="50"/>
      <c r="T10" s="50"/>
      <c r="U10" s="50"/>
      <c r="V10" s="50"/>
      <c r="W10" s="50"/>
      <c r="X10" s="50"/>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c r="BQ10" s="8"/>
      <c r="BR10" s="8"/>
      <c r="BS10" s="8"/>
      <c r="BT10" s="8"/>
      <c r="BU10" s="8"/>
      <c r="BV10" s="8"/>
      <c r="BW10" s="8"/>
      <c r="BX10" s="8"/>
      <c r="BY10" s="8"/>
      <c r="BZ10" s="8"/>
      <c r="CA10" s="8"/>
      <c r="CB10" s="8"/>
      <c r="CC10" s="8"/>
      <c r="CD10" s="8"/>
      <c r="CE10" s="8"/>
      <c r="CF10" s="8"/>
      <c r="CG10" s="8"/>
      <c r="CH10" s="8"/>
      <c r="CI10" s="8"/>
      <c r="CJ10" s="8"/>
      <c r="CK10" s="8"/>
      <c r="CL10" s="8"/>
      <c r="CM10" s="8"/>
      <c r="CN10" s="8"/>
      <c r="CO10" s="8"/>
      <c r="CP10" s="8"/>
    </row>
    <row r="11" spans="2:94" ht="15.75" customHeight="1" thickBot="1">
      <c r="B11" s="115" t="s">
        <v>7</v>
      </c>
      <c r="C11" s="107">
        <v>100</v>
      </c>
      <c r="D11" s="118">
        <v>100</v>
      </c>
      <c r="E11" s="118">
        <v>100</v>
      </c>
      <c r="F11" s="118">
        <v>100</v>
      </c>
      <c r="G11" s="118"/>
      <c r="H11" s="117"/>
      <c r="J11" s="56"/>
      <c r="K11" s="56"/>
      <c r="L11" s="57"/>
      <c r="M11" s="57"/>
      <c r="N11" s="57"/>
      <c r="O11" s="56" t="s">
        <v>350</v>
      </c>
      <c r="P11" s="56" t="s">
        <v>326</v>
      </c>
      <c r="Q11" s="56" t="s">
        <v>327</v>
      </c>
      <c r="R11" s="56" t="s">
        <v>351</v>
      </c>
      <c r="S11" s="56" t="s">
        <v>351</v>
      </c>
      <c r="T11" s="56" t="s">
        <v>352</v>
      </c>
      <c r="U11" s="56" t="s">
        <v>352</v>
      </c>
      <c r="V11" s="56" t="s">
        <v>352</v>
      </c>
      <c r="W11" s="56" t="s">
        <v>352</v>
      </c>
      <c r="X11" s="56" t="s">
        <v>352</v>
      </c>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8"/>
      <c r="BY11" s="8"/>
      <c r="BZ11" s="8"/>
      <c r="CA11" s="8"/>
      <c r="CB11" s="8"/>
      <c r="CC11" s="8"/>
      <c r="CD11" s="8"/>
      <c r="CE11" s="8"/>
      <c r="CF11" s="8"/>
      <c r="CG11" s="8"/>
      <c r="CH11" s="8"/>
      <c r="CI11" s="8"/>
      <c r="CJ11" s="8"/>
      <c r="CK11" s="8"/>
      <c r="CL11" s="8"/>
      <c r="CM11" s="8"/>
      <c r="CN11" s="8"/>
      <c r="CO11" s="8"/>
      <c r="CP11" s="8"/>
    </row>
    <row r="12" spans="2:94" ht="15.75" customHeight="1" thickBot="1">
      <c r="B12" s="115" t="s">
        <v>8</v>
      </c>
      <c r="C12" s="107">
        <v>100</v>
      </c>
      <c r="D12" s="118">
        <v>100</v>
      </c>
      <c r="E12" s="118">
        <v>100</v>
      </c>
      <c r="F12" s="118">
        <v>100</v>
      </c>
      <c r="G12" s="118"/>
      <c r="H12" s="117"/>
      <c r="J12" s="58">
        <f>C8</f>
        <v>2015</v>
      </c>
      <c r="K12" s="58">
        <f>J12</f>
        <v>2015</v>
      </c>
      <c r="L12" s="58">
        <f>C13/100</f>
        <v>1.35</v>
      </c>
      <c r="M12" s="58"/>
      <c r="N12" s="58">
        <f>C14</f>
        <v>22</v>
      </c>
      <c r="O12" s="59">
        <f>C29</f>
        <v>6456.666666666667</v>
      </c>
      <c r="P12" s="59">
        <f>C31</f>
        <v>55.875</v>
      </c>
      <c r="Q12" s="59">
        <f>C32</f>
        <v>41.388888888888886</v>
      </c>
      <c r="R12" s="58"/>
      <c r="S12" s="58"/>
      <c r="T12" s="58">
        <f>C16</f>
        <v>0</v>
      </c>
      <c r="U12" s="78">
        <f>C17</f>
        <v>15</v>
      </c>
      <c r="V12" s="78">
        <f>C18</f>
        <v>2</v>
      </c>
      <c r="W12" s="78">
        <f>C19</f>
        <v>0</v>
      </c>
      <c r="X12" s="78">
        <f>C20</f>
        <v>0</v>
      </c>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8"/>
      <c r="CI12" s="8"/>
      <c r="CJ12" s="8"/>
      <c r="CK12" s="8"/>
      <c r="CL12" s="8"/>
      <c r="CM12" s="8"/>
      <c r="CN12" s="8"/>
      <c r="CO12" s="8"/>
      <c r="CP12" s="8"/>
    </row>
    <row r="13" spans="2:94" ht="15.75" customHeight="1" thickBot="1">
      <c r="B13" s="115" t="s">
        <v>363</v>
      </c>
      <c r="C13" s="107">
        <v>135</v>
      </c>
      <c r="D13" s="118">
        <v>145</v>
      </c>
      <c r="E13" s="118">
        <v>170</v>
      </c>
      <c r="F13" s="118">
        <v>170</v>
      </c>
      <c r="G13" s="118" t="s">
        <v>59</v>
      </c>
      <c r="H13" s="117"/>
      <c r="J13" s="58">
        <f>D8</f>
        <v>2020</v>
      </c>
      <c r="K13" s="58"/>
      <c r="L13" s="58">
        <f>D13/100</f>
        <v>1.45</v>
      </c>
      <c r="M13" s="58"/>
      <c r="N13" s="58">
        <f>D14</f>
        <v>22</v>
      </c>
      <c r="O13" s="59">
        <f>D29</f>
        <v>3625.6666666666665</v>
      </c>
      <c r="P13" s="59">
        <f>D31</f>
        <v>33.524999999999999</v>
      </c>
      <c r="Q13" s="59">
        <f>D32</f>
        <v>24.833333333333332</v>
      </c>
      <c r="R13" s="58"/>
      <c r="S13" s="58"/>
      <c r="T13" s="58">
        <f>D16</f>
        <v>0</v>
      </c>
      <c r="U13" s="78">
        <f>D17</f>
        <v>10</v>
      </c>
      <c r="V13" s="78">
        <f>D18</f>
        <v>1</v>
      </c>
      <c r="W13" s="78">
        <f>D19</f>
        <v>0</v>
      </c>
      <c r="X13" s="78">
        <f>D20</f>
        <v>0</v>
      </c>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c r="CO13" s="8"/>
      <c r="CP13" s="8"/>
    </row>
    <row r="14" spans="2:94" ht="15.75" customHeight="1" thickBot="1">
      <c r="B14" s="115" t="s">
        <v>11</v>
      </c>
      <c r="C14" s="107">
        <v>22</v>
      </c>
      <c r="D14" s="118">
        <v>22</v>
      </c>
      <c r="E14" s="118">
        <v>22</v>
      </c>
      <c r="F14" s="118">
        <v>22</v>
      </c>
      <c r="G14" s="118" t="s">
        <v>396</v>
      </c>
      <c r="H14" s="117"/>
      <c r="J14" s="58">
        <f>E8</f>
        <v>2030</v>
      </c>
      <c r="K14" s="58"/>
      <c r="L14" s="58">
        <f>E13/100</f>
        <v>1.7</v>
      </c>
      <c r="M14" s="58"/>
      <c r="N14" s="58">
        <f>E14</f>
        <v>22</v>
      </c>
      <c r="O14" s="59">
        <f>E29</f>
        <v>3129</v>
      </c>
      <c r="P14" s="59">
        <f>E31</f>
        <v>33.524999999999999</v>
      </c>
      <c r="Q14" s="59">
        <f>E32</f>
        <v>24.833333333333332</v>
      </c>
      <c r="R14" s="58"/>
      <c r="S14" s="58"/>
      <c r="T14" s="58">
        <f>E16</f>
        <v>0</v>
      </c>
      <c r="U14" s="78">
        <f>E17</f>
        <v>5</v>
      </c>
      <c r="V14" s="78">
        <f>E18</f>
        <v>0.5</v>
      </c>
      <c r="W14" s="78">
        <f>E19</f>
        <v>0</v>
      </c>
      <c r="X14" s="78">
        <f>E20</f>
        <v>0</v>
      </c>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c r="BQ14" s="8"/>
      <c r="BR14" s="8"/>
      <c r="BS14" s="8"/>
      <c r="BT14" s="8"/>
      <c r="BU14" s="8"/>
      <c r="BV14" s="8"/>
      <c r="BW14" s="8"/>
      <c r="BX14" s="8"/>
      <c r="BY14" s="8"/>
      <c r="BZ14" s="8"/>
      <c r="CA14" s="8"/>
      <c r="CB14" s="8"/>
      <c r="CC14" s="8"/>
      <c r="CD14" s="8"/>
      <c r="CE14" s="8"/>
      <c r="CF14" s="8"/>
      <c r="CG14" s="8"/>
      <c r="CH14" s="8"/>
      <c r="CI14" s="8"/>
      <c r="CJ14" s="8"/>
      <c r="CK14" s="8"/>
      <c r="CL14" s="8"/>
      <c r="CM14" s="8"/>
      <c r="CN14" s="8"/>
      <c r="CO14" s="8"/>
      <c r="CP14" s="8"/>
    </row>
    <row r="15" spans="2:94" ht="15.75" customHeight="1" thickBot="1">
      <c r="B15" s="110" t="s">
        <v>12</v>
      </c>
      <c r="C15" s="108"/>
      <c r="D15" s="108"/>
      <c r="E15" s="108"/>
      <c r="F15" s="108"/>
      <c r="G15" s="108"/>
      <c r="H15" s="109"/>
      <c r="J15" s="58">
        <f>F8</f>
        <v>2050</v>
      </c>
      <c r="K15" s="58"/>
      <c r="L15" s="58">
        <f>F13/100</f>
        <v>1.7</v>
      </c>
      <c r="M15" s="58"/>
      <c r="N15" s="58">
        <f>F14</f>
        <v>22</v>
      </c>
      <c r="O15" s="59">
        <f>F29</f>
        <v>3129</v>
      </c>
      <c r="P15" s="59">
        <f>F31</f>
        <v>33.524999999999999</v>
      </c>
      <c r="Q15" s="59">
        <f>F32</f>
        <v>24.833333333333332</v>
      </c>
      <c r="R15" s="58"/>
      <c r="S15" s="58"/>
      <c r="T15" s="58">
        <f>F16</f>
        <v>0</v>
      </c>
      <c r="U15" s="78">
        <f>F17</f>
        <v>5</v>
      </c>
      <c r="V15" s="78">
        <f>F18</f>
        <v>0.5</v>
      </c>
      <c r="W15" s="78">
        <f>F19</f>
        <v>0</v>
      </c>
      <c r="X15" s="78">
        <f>F20</f>
        <v>0</v>
      </c>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row>
    <row r="16" spans="2:94" ht="15.75" customHeight="1" thickBot="1">
      <c r="B16" s="115" t="s">
        <v>364</v>
      </c>
      <c r="C16" s="180">
        <v>0</v>
      </c>
      <c r="D16" s="180">
        <v>0</v>
      </c>
      <c r="E16" s="180">
        <v>0</v>
      </c>
      <c r="F16" s="180">
        <v>0</v>
      </c>
      <c r="G16" s="116"/>
      <c r="H16" s="116"/>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c r="CC16" s="8"/>
      <c r="CD16" s="8"/>
      <c r="CE16" s="8"/>
      <c r="CF16" s="8"/>
      <c r="CG16" s="8"/>
      <c r="CH16" s="8"/>
      <c r="CI16" s="8"/>
      <c r="CJ16" s="8"/>
      <c r="CK16" s="8"/>
      <c r="CL16" s="8"/>
      <c r="CM16" s="8"/>
      <c r="CN16" s="8"/>
      <c r="CO16" s="8"/>
      <c r="CP16" s="8"/>
    </row>
    <row r="17" spans="2:94" ht="15.75" customHeight="1" thickBot="1">
      <c r="B17" s="115" t="s">
        <v>365</v>
      </c>
      <c r="C17" s="107">
        <v>15</v>
      </c>
      <c r="D17" s="118">
        <v>10</v>
      </c>
      <c r="E17" s="118">
        <v>5</v>
      </c>
      <c r="F17" s="118">
        <v>5</v>
      </c>
      <c r="G17" s="118"/>
      <c r="H17" s="118">
        <v>14</v>
      </c>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row>
    <row r="18" spans="2:94" ht="15.75" customHeight="1" thickBot="1">
      <c r="B18" s="115" t="s">
        <v>366</v>
      </c>
      <c r="C18" s="107">
        <v>2</v>
      </c>
      <c r="D18" s="118">
        <v>1</v>
      </c>
      <c r="E18" s="118">
        <v>0.5</v>
      </c>
      <c r="F18" s="118">
        <v>0.5</v>
      </c>
      <c r="G18" s="118" t="s">
        <v>55</v>
      </c>
      <c r="H18" s="11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c r="BQ18" s="8"/>
      <c r="BR18" s="8"/>
      <c r="BS18" s="8"/>
      <c r="BT18" s="8"/>
      <c r="BU18" s="8"/>
      <c r="BV18" s="8"/>
      <c r="BW18" s="8"/>
      <c r="BX18" s="8"/>
      <c r="BY18" s="8"/>
      <c r="BZ18" s="8"/>
      <c r="CA18" s="8"/>
      <c r="CB18" s="8"/>
      <c r="CC18" s="8"/>
      <c r="CD18" s="8"/>
      <c r="CE18" s="8"/>
      <c r="CF18" s="8"/>
      <c r="CG18" s="8"/>
      <c r="CH18" s="8"/>
      <c r="CI18" s="8"/>
      <c r="CJ18" s="8"/>
      <c r="CK18" s="8"/>
      <c r="CL18" s="8"/>
      <c r="CM18" s="8"/>
      <c r="CN18" s="8"/>
      <c r="CO18" s="8"/>
      <c r="CP18" s="8"/>
    </row>
    <row r="19" spans="2:94" ht="15.75" customHeight="1" thickBot="1">
      <c r="B19" s="115" t="s">
        <v>367</v>
      </c>
      <c r="C19" s="181">
        <v>0</v>
      </c>
      <c r="D19" s="181">
        <v>0</v>
      </c>
      <c r="E19" s="181">
        <v>0</v>
      </c>
      <c r="F19" s="181">
        <v>0</v>
      </c>
      <c r="G19" s="118" t="s">
        <v>55</v>
      </c>
      <c r="H19" s="11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c r="CD19" s="8"/>
      <c r="CE19" s="8"/>
      <c r="CF19" s="8"/>
      <c r="CG19" s="8"/>
      <c r="CH19" s="8"/>
      <c r="CI19" s="8"/>
      <c r="CJ19" s="8"/>
      <c r="CK19" s="8"/>
      <c r="CL19" s="8"/>
      <c r="CM19" s="8"/>
      <c r="CN19" s="8"/>
      <c r="CO19" s="8"/>
      <c r="CP19" s="8"/>
    </row>
    <row r="20" spans="2:94" ht="15.75" customHeight="1" thickBot="1">
      <c r="B20" s="115" t="s">
        <v>19</v>
      </c>
      <c r="C20" s="181">
        <v>0</v>
      </c>
      <c r="D20" s="181">
        <v>0</v>
      </c>
      <c r="E20" s="181">
        <v>0</v>
      </c>
      <c r="F20" s="181">
        <v>0</v>
      </c>
      <c r="G20" s="118" t="s">
        <v>55</v>
      </c>
      <c r="H20" s="11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8"/>
      <c r="CK20" s="8"/>
      <c r="CL20" s="8"/>
      <c r="CM20" s="8"/>
      <c r="CN20" s="8"/>
      <c r="CO20" s="8"/>
      <c r="CP20" s="8"/>
    </row>
    <row r="21" spans="2:94" ht="15.75" customHeight="1" thickBot="1">
      <c r="B21" s="143" t="s">
        <v>371</v>
      </c>
      <c r="C21" s="1293" t="s">
        <v>372</v>
      </c>
      <c r="D21" s="1293"/>
      <c r="E21" s="1293"/>
      <c r="F21" s="1293"/>
      <c r="G21" s="1293"/>
      <c r="H21" s="1294"/>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c r="CP21" s="8"/>
    </row>
    <row r="22" spans="2:94" ht="16" thickBot="1">
      <c r="B22" s="148" t="s">
        <v>23</v>
      </c>
      <c r="C22" s="152"/>
      <c r="D22" s="152"/>
      <c r="E22" s="152"/>
      <c r="F22" s="152"/>
      <c r="G22" s="151"/>
      <c r="H22" s="151"/>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c r="CP22" s="8"/>
    </row>
    <row r="23" spans="2:94" ht="16" thickBot="1">
      <c r="B23" s="148" t="s">
        <v>24</v>
      </c>
      <c r="C23" s="151">
        <v>15.6</v>
      </c>
      <c r="D23" s="151">
        <v>14.6</v>
      </c>
      <c r="E23" s="151">
        <v>12.6</v>
      </c>
      <c r="F23" s="151">
        <v>12.6</v>
      </c>
      <c r="G23" s="151"/>
      <c r="H23" s="151"/>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8"/>
      <c r="CK23" s="8"/>
      <c r="CL23" s="8"/>
      <c r="CM23" s="8"/>
      <c r="CN23" s="8"/>
      <c r="CO23" s="8"/>
      <c r="CP23" s="8"/>
    </row>
    <row r="24" spans="2:94" s="8" customFormat="1" ht="15.75" customHeight="1" thickBot="1">
      <c r="B24" s="148" t="s">
        <v>26</v>
      </c>
      <c r="C24" s="162">
        <v>0.64</v>
      </c>
      <c r="D24" s="162">
        <v>0.61</v>
      </c>
      <c r="E24" s="162">
        <v>0.55000000000000004</v>
      </c>
      <c r="F24" s="162">
        <v>0.55000000000000004</v>
      </c>
      <c r="G24" s="151"/>
      <c r="H24" s="151"/>
    </row>
    <row r="25" spans="2:94" ht="16" thickBot="1">
      <c r="B25" s="148" t="s">
        <v>28</v>
      </c>
      <c r="C25" s="162">
        <v>0.36</v>
      </c>
      <c r="D25" s="162">
        <v>0.39</v>
      </c>
      <c r="E25" s="162">
        <v>0.45</v>
      </c>
      <c r="F25" s="162">
        <v>0.45</v>
      </c>
      <c r="G25" s="151"/>
      <c r="H25" s="151"/>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8"/>
      <c r="CH25" s="8"/>
      <c r="CI25" s="8"/>
      <c r="CJ25" s="8"/>
      <c r="CK25" s="8"/>
      <c r="CL25" s="8"/>
      <c r="CM25" s="8"/>
      <c r="CN25" s="8"/>
      <c r="CO25" s="8"/>
      <c r="CP25" s="8"/>
    </row>
    <row r="26" spans="2:94" ht="16" thickBot="1">
      <c r="B26" s="148" t="s">
        <v>369</v>
      </c>
      <c r="C26" s="125">
        <f>4.8+1.6</f>
        <v>6.4</v>
      </c>
      <c r="D26" s="125">
        <f>4.8+1.6</f>
        <v>6.4</v>
      </c>
      <c r="E26" s="125">
        <f>4.8+1.6</f>
        <v>6.4</v>
      </c>
      <c r="F26" s="125">
        <f>4.8+1.6</f>
        <v>6.4</v>
      </c>
      <c r="G26" s="151" t="s">
        <v>402</v>
      </c>
      <c r="H26" s="151"/>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8"/>
      <c r="CK26" s="8"/>
      <c r="CL26" s="8"/>
      <c r="CM26" s="8"/>
      <c r="CN26" s="8"/>
      <c r="CO26" s="8"/>
      <c r="CP26" s="8"/>
    </row>
    <row r="27" spans="2:94" ht="16" thickBot="1">
      <c r="B27" s="148" t="s">
        <v>64</v>
      </c>
      <c r="C27" s="148">
        <v>135</v>
      </c>
      <c r="D27" s="149">
        <v>135</v>
      </c>
      <c r="E27" s="149">
        <v>135</v>
      </c>
      <c r="F27" s="149">
        <v>135</v>
      </c>
      <c r="G27" s="151" t="s">
        <v>399</v>
      </c>
      <c r="H27" s="151"/>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8"/>
      <c r="CK27" s="8"/>
      <c r="CL27" s="8"/>
      <c r="CM27" s="8"/>
      <c r="CN27" s="8"/>
      <c r="CO27" s="8"/>
      <c r="CP27" s="8"/>
    </row>
    <row r="28" spans="2:94" ht="16" thickBot="1">
      <c r="B28" s="163" t="s">
        <v>130</v>
      </c>
      <c r="C28" s="164">
        <v>100</v>
      </c>
      <c r="D28" s="164">
        <v>100</v>
      </c>
      <c r="E28" s="164">
        <v>100</v>
      </c>
      <c r="F28" s="164">
        <v>100</v>
      </c>
      <c r="G28" s="164" t="s">
        <v>396</v>
      </c>
      <c r="H28" s="164"/>
      <c r="J28" s="8"/>
      <c r="K28" s="102"/>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8"/>
      <c r="CK28" s="8"/>
      <c r="CL28" s="8"/>
      <c r="CM28" s="8"/>
      <c r="CN28" s="8"/>
      <c r="CO28" s="8"/>
      <c r="CP28" s="8"/>
    </row>
    <row r="29" spans="2:94">
      <c r="B29" s="36" t="s">
        <v>353</v>
      </c>
      <c r="C29" s="42">
        <f>C30/C10</f>
        <v>6456.666666666667</v>
      </c>
      <c r="D29" s="42">
        <f>D30/D10</f>
        <v>3625.6666666666665</v>
      </c>
      <c r="E29" s="42">
        <f>E30/E10</f>
        <v>3129</v>
      </c>
      <c r="F29" s="42">
        <f>F30/F10</f>
        <v>3129</v>
      </c>
      <c r="G29" s="63" t="s">
        <v>332</v>
      </c>
      <c r="H29" s="63"/>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c r="CP29" s="8"/>
    </row>
    <row r="30" spans="2:94">
      <c r="B30" s="36" t="s">
        <v>354</v>
      </c>
      <c r="C30" s="42">
        <f>C23*$G$4*1000</f>
        <v>116220</v>
      </c>
      <c r="D30" s="42">
        <f>D23*$G$4*1000</f>
        <v>108770</v>
      </c>
      <c r="E30" s="42">
        <f>E23*$G$4*1000</f>
        <v>93870</v>
      </c>
      <c r="F30" s="42">
        <f>F23*$G$4*1000</f>
        <v>93870</v>
      </c>
      <c r="G30" s="67"/>
      <c r="H30" s="63" t="s">
        <v>330</v>
      </c>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c r="CP30" s="8"/>
    </row>
    <row r="31" spans="2:94">
      <c r="B31" s="36" t="s">
        <v>355</v>
      </c>
      <c r="C31" s="106">
        <f>C27*$G$4/C10</f>
        <v>55.875</v>
      </c>
      <c r="D31" s="106">
        <f>D27*$G$4/D10</f>
        <v>33.524999999999999</v>
      </c>
      <c r="E31" s="106">
        <f>E27*$G$4/E10</f>
        <v>33.524999999999999</v>
      </c>
      <c r="F31" s="106">
        <f>F27*$G$4/F10</f>
        <v>33.524999999999999</v>
      </c>
      <c r="G31" s="63" t="s">
        <v>333</v>
      </c>
      <c r="H31" s="63"/>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c r="CP31" s="8"/>
    </row>
    <row r="32" spans="2:94" ht="16" thickBot="1">
      <c r="B32" s="36" t="s">
        <v>356</v>
      </c>
      <c r="C32" s="106">
        <f>C28*$G$4/C10</f>
        <v>41.388888888888886</v>
      </c>
      <c r="D32" s="106">
        <f>D28*$G$4/D10</f>
        <v>24.833333333333332</v>
      </c>
      <c r="E32" s="106">
        <f>E28*$G$4/E10</f>
        <v>24.833333333333332</v>
      </c>
      <c r="F32" s="106">
        <f>F28*$G$4/F10</f>
        <v>24.833333333333332</v>
      </c>
      <c r="G32" s="66"/>
      <c r="H32" s="63"/>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c r="CP32" s="8"/>
    </row>
    <row r="33" spans="2:94" ht="15.75" customHeight="1" thickBot="1">
      <c r="C33" s="1290" t="s">
        <v>394</v>
      </c>
      <c r="D33" s="1288"/>
      <c r="E33" s="1288"/>
      <c r="F33" s="1288"/>
      <c r="G33" s="1288"/>
      <c r="H33" s="1289"/>
      <c r="J33" s="1259" t="str">
        <f>C33</f>
        <v>Absorption heat pump</v>
      </c>
      <c r="K33" s="1260"/>
      <c r="L33" s="1260"/>
      <c r="M33" s="1260"/>
      <c r="N33" s="1260"/>
      <c r="O33" s="1261"/>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8"/>
      <c r="CK33" s="8"/>
      <c r="CL33" s="8"/>
      <c r="CM33" s="8"/>
      <c r="CN33" s="8"/>
      <c r="CO33" s="8"/>
      <c r="CP33" s="8"/>
    </row>
    <row r="34" spans="2:94" s="8" customFormat="1" ht="15.75" customHeight="1" thickBot="1">
      <c r="B34" s="86" t="s">
        <v>0</v>
      </c>
      <c r="C34" s="8" t="s">
        <v>373</v>
      </c>
      <c r="J34" s="1134" t="str">
        <f>C34</f>
        <v>Apartment complex, existing and new buildings</v>
      </c>
      <c r="K34" s="1135"/>
      <c r="L34" s="1135"/>
      <c r="M34" s="1135"/>
      <c r="N34" s="1135"/>
      <c r="O34" s="1136"/>
      <c r="P34"/>
      <c r="Q34"/>
      <c r="R34"/>
      <c r="S34"/>
      <c r="T34"/>
      <c r="U34"/>
      <c r="V34"/>
      <c r="W34"/>
      <c r="X34"/>
    </row>
    <row r="35" spans="2:94" ht="16" thickBot="1">
      <c r="B35" s="87"/>
      <c r="C35" s="88">
        <v>2015</v>
      </c>
      <c r="D35" s="88">
        <v>2020</v>
      </c>
      <c r="E35" s="88">
        <v>2030</v>
      </c>
      <c r="F35" s="88">
        <v>2050</v>
      </c>
      <c r="G35" s="88" t="s">
        <v>2</v>
      </c>
      <c r="H35" s="89" t="s">
        <v>3</v>
      </c>
      <c r="J35" s="53" t="s">
        <v>357</v>
      </c>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8"/>
      <c r="CI35" s="8"/>
      <c r="CJ35" s="8"/>
      <c r="CK35" s="8"/>
      <c r="CL35" s="8"/>
      <c r="CM35" s="8"/>
      <c r="CN35" s="8"/>
      <c r="CO35" s="8"/>
      <c r="CP35" s="8"/>
    </row>
    <row r="36" spans="2:94" ht="31" thickBot="1">
      <c r="B36" s="147" t="s">
        <v>4</v>
      </c>
      <c r="C36" s="133"/>
      <c r="D36" s="133"/>
      <c r="E36" s="133"/>
      <c r="F36" s="133"/>
      <c r="G36" s="133"/>
      <c r="H36" s="134"/>
      <c r="J36" s="46" t="s">
        <v>335</v>
      </c>
      <c r="K36" s="46" t="s">
        <v>336</v>
      </c>
      <c r="L36" s="47" t="s">
        <v>337</v>
      </c>
      <c r="M36" s="47" t="s">
        <v>338</v>
      </c>
      <c r="N36" s="47" t="s">
        <v>339</v>
      </c>
      <c r="O36" s="48" t="s">
        <v>340</v>
      </c>
      <c r="P36" s="49" t="s">
        <v>341</v>
      </c>
      <c r="Q36" s="49" t="s">
        <v>342</v>
      </c>
      <c r="R36" s="49" t="s">
        <v>343</v>
      </c>
      <c r="S36" s="49" t="s">
        <v>344</v>
      </c>
      <c r="T36" s="49" t="s">
        <v>345</v>
      </c>
      <c r="U36" s="49" t="s">
        <v>346</v>
      </c>
      <c r="V36" s="49" t="s">
        <v>347</v>
      </c>
      <c r="W36" s="49" t="s">
        <v>348</v>
      </c>
      <c r="X36" s="49" t="s">
        <v>349</v>
      </c>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8"/>
      <c r="CI36" s="8"/>
      <c r="CJ36" s="8"/>
      <c r="CK36" s="8"/>
      <c r="CL36" s="8"/>
      <c r="CM36" s="8"/>
      <c r="CN36" s="8"/>
      <c r="CO36" s="8"/>
      <c r="CP36" s="8"/>
    </row>
    <row r="37" spans="2:94" ht="16" thickBot="1">
      <c r="B37" s="148" t="s">
        <v>5</v>
      </c>
      <c r="C37" s="148">
        <v>44</v>
      </c>
      <c r="D37" s="149">
        <v>80</v>
      </c>
      <c r="E37" s="149">
        <v>80</v>
      </c>
      <c r="F37" s="149">
        <v>80</v>
      </c>
      <c r="G37" s="149" t="s">
        <v>51</v>
      </c>
      <c r="H37" s="149"/>
      <c r="J37" s="50"/>
      <c r="K37" s="50"/>
      <c r="L37" s="51"/>
      <c r="M37" s="51"/>
      <c r="N37" s="51"/>
      <c r="O37" s="52"/>
      <c r="P37" s="50"/>
      <c r="Q37" s="50"/>
      <c r="R37" s="50"/>
      <c r="S37" s="50"/>
      <c r="T37" s="50"/>
      <c r="U37" s="50"/>
      <c r="V37" s="50"/>
      <c r="W37" s="50"/>
      <c r="X37" s="50"/>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8"/>
      <c r="CH37" s="8"/>
      <c r="CI37" s="8"/>
      <c r="CJ37" s="8"/>
      <c r="CK37" s="8"/>
      <c r="CL37" s="8"/>
      <c r="CM37" s="8"/>
      <c r="CN37" s="8"/>
      <c r="CO37" s="8"/>
      <c r="CP37" s="8"/>
    </row>
    <row r="38" spans="2:94" ht="16" thickBot="1">
      <c r="B38" s="148" t="s">
        <v>7</v>
      </c>
      <c r="C38" s="125">
        <v>100</v>
      </c>
      <c r="D38" s="151">
        <v>100</v>
      </c>
      <c r="E38" s="151">
        <v>100</v>
      </c>
      <c r="F38" s="151">
        <v>100</v>
      </c>
      <c r="G38" s="151"/>
      <c r="H38" s="151"/>
      <c r="J38" s="56"/>
      <c r="K38" s="56"/>
      <c r="L38" s="57"/>
      <c r="M38" s="57"/>
      <c r="N38" s="57"/>
      <c r="O38" s="56" t="s">
        <v>350</v>
      </c>
      <c r="P38" s="56" t="s">
        <v>326</v>
      </c>
      <c r="Q38" s="56" t="s">
        <v>327</v>
      </c>
      <c r="R38" s="56" t="s">
        <v>351</v>
      </c>
      <c r="S38" s="56" t="s">
        <v>351</v>
      </c>
      <c r="T38" s="56" t="s">
        <v>352</v>
      </c>
      <c r="U38" s="56" t="s">
        <v>352</v>
      </c>
      <c r="V38" s="56" t="s">
        <v>352</v>
      </c>
      <c r="W38" s="56" t="s">
        <v>352</v>
      </c>
      <c r="X38" s="56" t="s">
        <v>352</v>
      </c>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8"/>
      <c r="CK38" s="8"/>
      <c r="CL38" s="8"/>
      <c r="CM38" s="8"/>
      <c r="CN38" s="8"/>
      <c r="CO38" s="8"/>
      <c r="CP38" s="8"/>
    </row>
    <row r="39" spans="2:94" ht="16" thickBot="1">
      <c r="B39" s="148" t="s">
        <v>8</v>
      </c>
      <c r="C39" s="125">
        <v>100</v>
      </c>
      <c r="D39" s="151">
        <v>100</v>
      </c>
      <c r="E39" s="151">
        <v>100</v>
      </c>
      <c r="F39" s="151">
        <v>100</v>
      </c>
      <c r="G39" s="151"/>
      <c r="H39" s="151"/>
      <c r="J39" s="58">
        <f>C35</f>
        <v>2015</v>
      </c>
      <c r="K39" s="58">
        <f>J39</f>
        <v>2015</v>
      </c>
      <c r="L39" s="58">
        <f>C40/100</f>
        <v>1.35</v>
      </c>
      <c r="M39" s="58"/>
      <c r="N39" s="58">
        <f>C41</f>
        <v>22</v>
      </c>
      <c r="O39" s="59">
        <f>C56</f>
        <v>5587.5</v>
      </c>
      <c r="P39" s="59">
        <f>C58</f>
        <v>22.857954545454547</v>
      </c>
      <c r="Q39" s="59">
        <f>C59</f>
        <v>0</v>
      </c>
      <c r="R39" s="58"/>
      <c r="S39" s="58"/>
      <c r="T39" s="58">
        <f>C43</f>
        <v>0</v>
      </c>
      <c r="U39" s="78">
        <f>C44</f>
        <v>15</v>
      </c>
      <c r="V39" s="78">
        <f>C45</f>
        <v>2</v>
      </c>
      <c r="W39" s="78">
        <f>C46</f>
        <v>0</v>
      </c>
      <c r="X39" s="78">
        <f>C47</f>
        <v>0</v>
      </c>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c r="CB39" s="8"/>
      <c r="CC39" s="8"/>
      <c r="CD39" s="8"/>
      <c r="CE39" s="8"/>
      <c r="CF39" s="8"/>
      <c r="CG39" s="8"/>
      <c r="CH39" s="8"/>
      <c r="CI39" s="8"/>
      <c r="CJ39" s="8"/>
      <c r="CK39" s="8"/>
      <c r="CL39" s="8"/>
      <c r="CM39" s="8"/>
      <c r="CN39" s="8"/>
      <c r="CO39" s="8"/>
      <c r="CP39" s="8"/>
    </row>
    <row r="40" spans="2:94" ht="16" thickBot="1">
      <c r="B40" s="148" t="s">
        <v>363</v>
      </c>
      <c r="C40" s="125">
        <v>135</v>
      </c>
      <c r="D40" s="151">
        <v>145</v>
      </c>
      <c r="E40" s="151">
        <v>170</v>
      </c>
      <c r="F40" s="151">
        <v>170</v>
      </c>
      <c r="G40" s="151" t="s">
        <v>59</v>
      </c>
      <c r="H40" s="151">
        <v>2.16</v>
      </c>
      <c r="J40" s="58">
        <f>D35</f>
        <v>2020</v>
      </c>
      <c r="K40" s="58"/>
      <c r="L40" s="58">
        <f>D40/100</f>
        <v>1.45</v>
      </c>
      <c r="M40" s="58"/>
      <c r="N40" s="58">
        <f>D41</f>
        <v>22</v>
      </c>
      <c r="O40" s="59">
        <f>D56</f>
        <v>3073.125</v>
      </c>
      <c r="P40" s="59">
        <f>D58</f>
        <v>12.571875</v>
      </c>
      <c r="Q40" s="59">
        <f>D59</f>
        <v>0</v>
      </c>
      <c r="R40" s="58"/>
      <c r="S40" s="58"/>
      <c r="T40" s="58">
        <f>D43</f>
        <v>0</v>
      </c>
      <c r="U40" s="78">
        <f>D44</f>
        <v>10</v>
      </c>
      <c r="V40" s="78">
        <f>D45</f>
        <v>1</v>
      </c>
      <c r="W40" s="78">
        <f>D46</f>
        <v>0</v>
      </c>
      <c r="X40" s="78">
        <f>D47</f>
        <v>0</v>
      </c>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8"/>
      <c r="CJ40" s="8"/>
      <c r="CK40" s="8"/>
      <c r="CL40" s="8"/>
      <c r="CM40" s="8"/>
      <c r="CN40" s="8"/>
      <c r="CO40" s="8"/>
      <c r="CP40" s="8"/>
    </row>
    <row r="41" spans="2:94" ht="16" thickBot="1">
      <c r="B41" s="148" t="s">
        <v>11</v>
      </c>
      <c r="C41" s="125">
        <v>22</v>
      </c>
      <c r="D41" s="151">
        <v>22</v>
      </c>
      <c r="E41" s="151">
        <v>22</v>
      </c>
      <c r="F41" s="151">
        <v>22</v>
      </c>
      <c r="G41" s="151" t="s">
        <v>16</v>
      </c>
      <c r="H41" s="151"/>
      <c r="J41" s="58">
        <f>E35</f>
        <v>2030</v>
      </c>
      <c r="K41" s="58"/>
      <c r="L41" s="58">
        <f>E40/100</f>
        <v>1.7</v>
      </c>
      <c r="M41" s="58"/>
      <c r="N41" s="58">
        <f>E41</f>
        <v>22</v>
      </c>
      <c r="O41" s="59">
        <f>E56</f>
        <v>2980</v>
      </c>
      <c r="P41" s="59">
        <f>E58</f>
        <v>12.571875</v>
      </c>
      <c r="Q41" s="59">
        <f>E59</f>
        <v>0</v>
      </c>
      <c r="R41" s="58"/>
      <c r="S41" s="58"/>
      <c r="T41" s="58">
        <f>E43</f>
        <v>0</v>
      </c>
      <c r="U41" s="78">
        <f>E44</f>
        <v>5</v>
      </c>
      <c r="V41" s="78">
        <f>E45</f>
        <v>0.5</v>
      </c>
      <c r="W41" s="78">
        <f>E46</f>
        <v>0</v>
      </c>
      <c r="X41" s="78">
        <f>E47</f>
        <v>0</v>
      </c>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c r="CB41" s="8"/>
      <c r="CC41" s="8"/>
      <c r="CD41" s="8"/>
      <c r="CE41" s="8"/>
      <c r="CF41" s="8"/>
      <c r="CG41" s="8"/>
      <c r="CH41" s="8"/>
      <c r="CI41" s="8"/>
      <c r="CJ41" s="8"/>
      <c r="CK41" s="8"/>
      <c r="CL41" s="8"/>
      <c r="CM41" s="8"/>
      <c r="CN41" s="8"/>
      <c r="CO41" s="8"/>
      <c r="CP41" s="8"/>
    </row>
    <row r="42" spans="2:94" ht="16" thickBot="1">
      <c r="B42" s="143" t="s">
        <v>12</v>
      </c>
      <c r="C42" s="133"/>
      <c r="D42" s="133"/>
      <c r="E42" s="133"/>
      <c r="F42" s="133"/>
      <c r="G42" s="133"/>
      <c r="H42" s="134"/>
      <c r="J42" s="58">
        <f>F35</f>
        <v>2050</v>
      </c>
      <c r="K42" s="58"/>
      <c r="L42" s="58">
        <f>F40/100</f>
        <v>1.7</v>
      </c>
      <c r="M42" s="58"/>
      <c r="N42" s="58">
        <f>F41</f>
        <v>22</v>
      </c>
      <c r="O42" s="59">
        <f>F56</f>
        <v>2980</v>
      </c>
      <c r="P42" s="59">
        <f>F58</f>
        <v>12.571875</v>
      </c>
      <c r="Q42" s="59">
        <f>F59</f>
        <v>0</v>
      </c>
      <c r="R42" s="58"/>
      <c r="S42" s="58"/>
      <c r="T42" s="58">
        <f>F43</f>
        <v>0</v>
      </c>
      <c r="U42" s="78">
        <f>F44</f>
        <v>5</v>
      </c>
      <c r="V42" s="78">
        <f>F45</f>
        <v>0.5</v>
      </c>
      <c r="W42" s="78">
        <f>F46</f>
        <v>0</v>
      </c>
      <c r="X42" s="78">
        <f>F47</f>
        <v>0</v>
      </c>
      <c r="Y42" s="8"/>
      <c r="Z42" s="8"/>
      <c r="AA42" s="8"/>
      <c r="AB42" s="8"/>
      <c r="AC42" s="8"/>
      <c r="AD42" s="8"/>
      <c r="AE42" s="8"/>
      <c r="AF42" s="8"/>
      <c r="AG42" s="8"/>
      <c r="AH42" s="8"/>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c r="CB42" s="8"/>
      <c r="CC42" s="8"/>
      <c r="CD42" s="8"/>
      <c r="CE42" s="8"/>
      <c r="CF42" s="8"/>
      <c r="CG42" s="8"/>
      <c r="CH42" s="8"/>
      <c r="CI42" s="8"/>
      <c r="CJ42" s="8"/>
      <c r="CK42" s="8"/>
      <c r="CL42" s="8"/>
      <c r="CM42" s="8"/>
      <c r="CN42" s="8"/>
      <c r="CO42" s="8"/>
      <c r="CP42" s="8"/>
    </row>
    <row r="43" spans="2:94" ht="16" thickBot="1">
      <c r="B43" s="148" t="s">
        <v>364</v>
      </c>
      <c r="C43" s="180">
        <v>0</v>
      </c>
      <c r="D43" s="180">
        <v>0</v>
      </c>
      <c r="E43" s="180">
        <v>0</v>
      </c>
      <c r="F43" s="180">
        <v>0</v>
      </c>
      <c r="G43" s="149"/>
      <c r="H43" s="149"/>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c r="CB43" s="8"/>
      <c r="CC43" s="8"/>
      <c r="CD43" s="8"/>
      <c r="CE43" s="8"/>
      <c r="CF43" s="8"/>
      <c r="CG43" s="8"/>
      <c r="CH43" s="8"/>
      <c r="CI43" s="8"/>
      <c r="CJ43" s="8"/>
      <c r="CK43" s="8"/>
      <c r="CL43" s="8"/>
      <c r="CM43" s="8"/>
      <c r="CN43" s="8"/>
      <c r="CO43" s="8"/>
      <c r="CP43" s="8"/>
    </row>
    <row r="44" spans="2:94" ht="16" thickBot="1">
      <c r="B44" s="148" t="s">
        <v>365</v>
      </c>
      <c r="C44" s="125">
        <v>15</v>
      </c>
      <c r="D44" s="151">
        <v>10</v>
      </c>
      <c r="E44" s="151">
        <v>5</v>
      </c>
      <c r="F44" s="151">
        <v>5</v>
      </c>
      <c r="G44" s="151"/>
      <c r="H44" s="151">
        <v>14</v>
      </c>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c r="CB44" s="8"/>
      <c r="CC44" s="8"/>
      <c r="CD44" s="8"/>
      <c r="CE44" s="8"/>
      <c r="CF44" s="8"/>
      <c r="CG44" s="8"/>
      <c r="CH44" s="8"/>
      <c r="CI44" s="8"/>
      <c r="CJ44" s="8"/>
      <c r="CK44" s="8"/>
      <c r="CL44" s="8"/>
      <c r="CM44" s="8"/>
      <c r="CN44" s="8"/>
      <c r="CO44" s="8"/>
      <c r="CP44" s="8"/>
    </row>
    <row r="45" spans="2:94" ht="16" thickBot="1">
      <c r="B45" s="148" t="s">
        <v>366</v>
      </c>
      <c r="C45" s="125">
        <v>2</v>
      </c>
      <c r="D45" s="151">
        <v>1</v>
      </c>
      <c r="E45" s="151">
        <v>0.5</v>
      </c>
      <c r="F45" s="151">
        <v>0.5</v>
      </c>
      <c r="G45" s="151" t="s">
        <v>52</v>
      </c>
      <c r="H45" s="151"/>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c r="CB45" s="8"/>
      <c r="CC45" s="8"/>
      <c r="CD45" s="8"/>
      <c r="CE45" s="8"/>
      <c r="CF45" s="8"/>
      <c r="CG45" s="8"/>
      <c r="CH45" s="8"/>
      <c r="CI45" s="8"/>
      <c r="CJ45" s="8"/>
      <c r="CK45" s="8"/>
      <c r="CL45" s="8"/>
      <c r="CM45" s="8"/>
      <c r="CN45" s="8"/>
      <c r="CO45" s="8"/>
      <c r="CP45" s="8"/>
    </row>
    <row r="46" spans="2:94" ht="16" thickBot="1">
      <c r="B46" s="148" t="s">
        <v>367</v>
      </c>
      <c r="C46" s="181">
        <v>0</v>
      </c>
      <c r="D46" s="181">
        <v>0</v>
      </c>
      <c r="E46" s="181">
        <v>0</v>
      </c>
      <c r="F46" s="181">
        <v>0</v>
      </c>
      <c r="G46" s="151" t="s">
        <v>52</v>
      </c>
      <c r="H46" s="151"/>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c r="CB46" s="8"/>
      <c r="CC46" s="8"/>
      <c r="CD46" s="8"/>
      <c r="CE46" s="8"/>
      <c r="CF46" s="8"/>
      <c r="CG46" s="8"/>
      <c r="CH46" s="8"/>
      <c r="CI46" s="8"/>
      <c r="CJ46" s="8"/>
      <c r="CK46" s="8"/>
      <c r="CL46" s="8"/>
      <c r="CM46" s="8"/>
      <c r="CN46" s="8"/>
      <c r="CO46" s="8"/>
      <c r="CP46" s="8"/>
    </row>
    <row r="47" spans="2:94" ht="16" thickBot="1">
      <c r="B47" s="148" t="s">
        <v>19</v>
      </c>
      <c r="C47" s="181">
        <v>0</v>
      </c>
      <c r="D47" s="181">
        <v>0</v>
      </c>
      <c r="E47" s="181">
        <v>0</v>
      </c>
      <c r="F47" s="181">
        <v>0</v>
      </c>
      <c r="G47" s="151" t="s">
        <v>52</v>
      </c>
      <c r="H47" s="151"/>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c r="CB47" s="8"/>
      <c r="CC47" s="8"/>
      <c r="CD47" s="8"/>
      <c r="CE47" s="8"/>
      <c r="CF47" s="8"/>
      <c r="CG47" s="8"/>
      <c r="CH47" s="8"/>
      <c r="CI47" s="8"/>
      <c r="CJ47" s="8"/>
      <c r="CK47" s="8"/>
      <c r="CL47" s="8"/>
      <c r="CM47" s="8"/>
      <c r="CN47" s="8"/>
      <c r="CO47" s="8"/>
      <c r="CP47" s="8"/>
    </row>
    <row r="48" spans="2:94" ht="15.75" customHeight="1" thickBot="1">
      <c r="B48" s="143" t="s">
        <v>371</v>
      </c>
      <c r="C48" s="1291"/>
      <c r="D48" s="1291"/>
      <c r="E48" s="1291"/>
      <c r="F48" s="1291"/>
      <c r="G48" s="1291"/>
      <c r="H48" s="1292"/>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c r="CB48" s="8"/>
      <c r="CC48" s="8"/>
      <c r="CD48" s="8"/>
      <c r="CE48" s="8"/>
      <c r="CF48" s="8"/>
      <c r="CG48" s="8"/>
      <c r="CH48" s="8"/>
      <c r="CI48" s="8"/>
      <c r="CJ48" s="8"/>
      <c r="CK48" s="8"/>
      <c r="CL48" s="8"/>
      <c r="CM48" s="8"/>
      <c r="CN48" s="8"/>
      <c r="CO48" s="8"/>
      <c r="CP48" s="8"/>
    </row>
    <row r="49" spans="2:94" ht="16" thickBot="1">
      <c r="B49" s="148" t="s">
        <v>23</v>
      </c>
      <c r="C49" s="152" t="s">
        <v>68</v>
      </c>
      <c r="D49" s="152" t="s">
        <v>68</v>
      </c>
      <c r="E49" s="152" t="s">
        <v>68</v>
      </c>
      <c r="F49" s="152" t="s">
        <v>68</v>
      </c>
      <c r="G49" s="152" t="s">
        <v>374</v>
      </c>
      <c r="H49" s="152"/>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c r="CB49" s="8"/>
      <c r="CC49" s="8"/>
      <c r="CD49" s="8"/>
      <c r="CE49" s="8"/>
      <c r="CF49" s="8"/>
      <c r="CG49" s="8"/>
      <c r="CH49" s="8"/>
      <c r="CI49" s="8"/>
      <c r="CJ49" s="8"/>
      <c r="CK49" s="8"/>
      <c r="CL49" s="8"/>
      <c r="CM49" s="8"/>
      <c r="CN49" s="8"/>
      <c r="CO49" s="8"/>
      <c r="CP49" s="8"/>
    </row>
    <row r="50" spans="2:94" ht="16" thickBot="1">
      <c r="B50" s="148" t="s">
        <v>24</v>
      </c>
      <c r="C50" s="152">
        <f>18+15</f>
        <v>33</v>
      </c>
      <c r="D50" s="152">
        <f>18+15</f>
        <v>33</v>
      </c>
      <c r="E50" s="152">
        <f>17+15</f>
        <v>32</v>
      </c>
      <c r="F50" s="152">
        <f>17+15</f>
        <v>32</v>
      </c>
      <c r="G50" s="155" t="s">
        <v>403</v>
      </c>
      <c r="H50" s="152"/>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c r="CB50" s="8"/>
      <c r="CC50" s="8"/>
      <c r="CD50" s="8"/>
      <c r="CE50" s="8"/>
      <c r="CF50" s="8"/>
      <c r="CG50" s="8"/>
      <c r="CH50" s="8"/>
      <c r="CI50" s="8"/>
      <c r="CJ50" s="8"/>
      <c r="CK50" s="8"/>
      <c r="CL50" s="8"/>
      <c r="CM50" s="8"/>
      <c r="CN50" s="8"/>
      <c r="CO50" s="8"/>
      <c r="CP50" s="8"/>
    </row>
    <row r="51" spans="2:94" s="8" customFormat="1" ht="15.75" customHeight="1" thickBot="1">
      <c r="B51" s="148" t="s">
        <v>26</v>
      </c>
      <c r="C51" s="152">
        <v>42</v>
      </c>
      <c r="D51" s="152">
        <v>42</v>
      </c>
      <c r="E51" s="152"/>
      <c r="F51" s="152"/>
      <c r="G51" s="152"/>
      <c r="H51" s="152"/>
    </row>
    <row r="52" spans="2:94" ht="16" thickBot="1">
      <c r="B52" s="148" t="s">
        <v>28</v>
      </c>
      <c r="C52" s="152">
        <v>58</v>
      </c>
      <c r="D52" s="152">
        <v>58</v>
      </c>
      <c r="E52" s="152"/>
      <c r="F52" s="152"/>
      <c r="G52" s="152"/>
      <c r="H52" s="152"/>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c r="CB52" s="8"/>
      <c r="CC52" s="8"/>
      <c r="CD52" s="8"/>
      <c r="CE52" s="8"/>
      <c r="CF52" s="8"/>
      <c r="CG52" s="8"/>
      <c r="CH52" s="8"/>
      <c r="CI52" s="8"/>
      <c r="CJ52" s="8"/>
      <c r="CK52" s="8"/>
      <c r="CL52" s="8"/>
      <c r="CM52" s="8"/>
      <c r="CN52" s="8"/>
      <c r="CO52" s="8"/>
      <c r="CP52" s="8"/>
    </row>
    <row r="53" spans="2:94" ht="16" thickBot="1">
      <c r="B53" s="148" t="s">
        <v>369</v>
      </c>
      <c r="C53" s="154" t="s">
        <v>404</v>
      </c>
      <c r="D53" s="152" t="s">
        <v>404</v>
      </c>
      <c r="E53" s="152" t="s">
        <v>404</v>
      </c>
      <c r="F53" s="152" t="s">
        <v>404</v>
      </c>
      <c r="G53" s="152" t="s">
        <v>405</v>
      </c>
      <c r="H53" s="152"/>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c r="CB53" s="8"/>
      <c r="CC53" s="8"/>
      <c r="CD53" s="8"/>
      <c r="CE53" s="8"/>
      <c r="CF53" s="8"/>
      <c r="CG53" s="8"/>
      <c r="CH53" s="8"/>
      <c r="CI53" s="8"/>
      <c r="CJ53" s="8"/>
      <c r="CK53" s="8"/>
      <c r="CL53" s="8"/>
      <c r="CM53" s="8"/>
      <c r="CN53" s="8"/>
      <c r="CO53" s="8"/>
      <c r="CP53" s="8"/>
    </row>
    <row r="54" spans="2:94" ht="16" thickBot="1">
      <c r="B54" s="148" t="s">
        <v>64</v>
      </c>
      <c r="C54" s="154">
        <v>135</v>
      </c>
      <c r="D54" s="152">
        <v>135</v>
      </c>
      <c r="E54" s="152">
        <v>135</v>
      </c>
      <c r="F54" s="152">
        <v>135</v>
      </c>
      <c r="G54" s="152" t="s">
        <v>399</v>
      </c>
      <c r="H54" s="152"/>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c r="CB54" s="8"/>
      <c r="CC54" s="8"/>
      <c r="CD54" s="8"/>
      <c r="CE54" s="8"/>
      <c r="CF54" s="8"/>
      <c r="CG54" s="8"/>
      <c r="CH54" s="8"/>
      <c r="CI54" s="8"/>
      <c r="CJ54" s="8"/>
      <c r="CK54" s="8"/>
      <c r="CL54" s="8"/>
      <c r="CM54" s="8"/>
      <c r="CN54" s="8"/>
      <c r="CO54" s="8"/>
      <c r="CP54" s="8"/>
    </row>
    <row r="55" spans="2:94" ht="16" thickBot="1">
      <c r="B55" s="148" t="s">
        <v>407</v>
      </c>
      <c r="C55" s="154">
        <v>100</v>
      </c>
      <c r="D55" s="152">
        <v>100</v>
      </c>
      <c r="E55" s="152">
        <v>100</v>
      </c>
      <c r="F55" s="152">
        <v>100</v>
      </c>
      <c r="G55" s="152" t="s">
        <v>396</v>
      </c>
      <c r="H55" s="152"/>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c r="CB55" s="8"/>
      <c r="CC55" s="8"/>
      <c r="CD55" s="8"/>
      <c r="CE55" s="8"/>
      <c r="CF55" s="8"/>
      <c r="CG55" s="8"/>
      <c r="CH55" s="8"/>
      <c r="CI55" s="8"/>
      <c r="CJ55" s="8"/>
      <c r="CK55" s="8"/>
      <c r="CL55" s="8"/>
      <c r="CM55" s="8"/>
      <c r="CN55" s="8"/>
      <c r="CO55" s="8"/>
      <c r="CP55" s="8"/>
    </row>
    <row r="56" spans="2:94">
      <c r="B56" s="36" t="s">
        <v>353</v>
      </c>
      <c r="C56" s="42">
        <f>C57/C37</f>
        <v>5587.5</v>
      </c>
      <c r="D56" s="42">
        <f>D57/D37</f>
        <v>3073.125</v>
      </c>
      <c r="E56" s="42">
        <f>E57/E37</f>
        <v>2980</v>
      </c>
      <c r="F56" s="42">
        <f>F57/F37</f>
        <v>2980</v>
      </c>
      <c r="G56" s="63" t="s">
        <v>332</v>
      </c>
      <c r="H56" s="63"/>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c r="CB56" s="8"/>
      <c r="CC56" s="8"/>
      <c r="CD56" s="8"/>
      <c r="CE56" s="8"/>
      <c r="CF56" s="8"/>
      <c r="CG56" s="8"/>
      <c r="CH56" s="8"/>
      <c r="CI56" s="8"/>
      <c r="CJ56" s="8"/>
      <c r="CK56" s="8"/>
      <c r="CL56" s="8"/>
      <c r="CM56" s="8"/>
      <c r="CN56" s="8"/>
      <c r="CO56" s="8"/>
      <c r="CP56" s="8"/>
    </row>
    <row r="57" spans="2:94">
      <c r="B57" s="36" t="s">
        <v>354</v>
      </c>
      <c r="C57" s="42">
        <f>C50*$G$4*1000</f>
        <v>245850</v>
      </c>
      <c r="D57" s="42">
        <f>D50*$G$4*1000</f>
        <v>245850</v>
      </c>
      <c r="E57" s="42">
        <f>E50*$G$4*1000</f>
        <v>238400</v>
      </c>
      <c r="F57" s="42">
        <f>F50*$G$4*1000</f>
        <v>238400</v>
      </c>
      <c r="G57" s="67"/>
      <c r="H57" s="63" t="s">
        <v>330</v>
      </c>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c r="CB57" s="8"/>
      <c r="CC57" s="8"/>
      <c r="CD57" s="8"/>
      <c r="CE57" s="8"/>
      <c r="CF57" s="8"/>
      <c r="CG57" s="8"/>
      <c r="CH57" s="8"/>
      <c r="CI57" s="8"/>
      <c r="CJ57" s="8"/>
      <c r="CK57" s="8"/>
      <c r="CL57" s="8"/>
      <c r="CM57" s="8"/>
      <c r="CN57" s="8"/>
      <c r="CO57" s="8"/>
      <c r="CP57" s="8"/>
    </row>
    <row r="58" spans="2:94">
      <c r="B58" s="36" t="s">
        <v>355</v>
      </c>
      <c r="C58" s="106">
        <f>C54*$G$4/C37</f>
        <v>22.857954545454547</v>
      </c>
      <c r="D58" s="106">
        <f>D54*$G$4/D37</f>
        <v>12.571875</v>
      </c>
      <c r="E58" s="106">
        <f>E54*$G$4/E37</f>
        <v>12.571875</v>
      </c>
      <c r="F58" s="106">
        <f>F54*$G$4/F37</f>
        <v>12.571875</v>
      </c>
      <c r="G58" s="63" t="s">
        <v>333</v>
      </c>
      <c r="H58" s="63"/>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c r="CC58" s="8"/>
      <c r="CD58" s="8"/>
      <c r="CE58" s="8"/>
      <c r="CF58" s="8"/>
      <c r="CG58" s="8"/>
      <c r="CH58" s="8"/>
      <c r="CI58" s="8"/>
      <c r="CJ58" s="8"/>
      <c r="CK58" s="8"/>
      <c r="CL58" s="8"/>
      <c r="CM58" s="8"/>
      <c r="CN58" s="8"/>
      <c r="CO58" s="8"/>
      <c r="CP58" s="8"/>
    </row>
    <row r="59" spans="2:94" ht="16" thickBot="1">
      <c r="B59" s="36" t="s">
        <v>356</v>
      </c>
      <c r="C59" s="106"/>
      <c r="D59" s="106"/>
      <c r="E59" s="106"/>
      <c r="F59" s="106"/>
      <c r="G59" s="66"/>
      <c r="H59" s="63"/>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c r="CC59" s="8"/>
      <c r="CD59" s="8"/>
      <c r="CE59" s="8"/>
      <c r="CF59" s="8"/>
      <c r="CG59" s="8"/>
      <c r="CH59" s="8"/>
      <c r="CI59" s="8"/>
      <c r="CJ59" s="8"/>
      <c r="CK59" s="8"/>
      <c r="CL59" s="8"/>
      <c r="CM59" s="8"/>
      <c r="CN59" s="8"/>
      <c r="CO59" s="8"/>
      <c r="CP59" s="8"/>
    </row>
    <row r="60" spans="2:94">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c r="CB60" s="8"/>
      <c r="CC60" s="8"/>
      <c r="CD60" s="8"/>
      <c r="CE60" s="8"/>
      <c r="CF60" s="8"/>
      <c r="CG60" s="8"/>
      <c r="CH60" s="8"/>
      <c r="CI60" s="8"/>
      <c r="CJ60" s="8"/>
      <c r="CK60" s="8"/>
      <c r="CL60" s="8"/>
      <c r="CM60" s="8"/>
      <c r="CN60" s="8"/>
      <c r="CO60" s="8"/>
      <c r="CP60" s="8"/>
    </row>
    <row r="61" spans="2:94">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c r="CB61" s="8"/>
      <c r="CC61" s="8"/>
      <c r="CD61" s="8"/>
      <c r="CE61" s="8"/>
      <c r="CF61" s="8"/>
      <c r="CG61" s="8"/>
      <c r="CH61" s="8"/>
      <c r="CI61" s="8"/>
      <c r="CJ61" s="8"/>
      <c r="CK61" s="8"/>
      <c r="CL61" s="8"/>
      <c r="CM61" s="8"/>
      <c r="CN61" s="8"/>
      <c r="CO61" s="8"/>
      <c r="CP61" s="8"/>
    </row>
    <row r="62" spans="2:94">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c r="CB62" s="8"/>
      <c r="CC62" s="8"/>
      <c r="CD62" s="8"/>
      <c r="CE62" s="8"/>
      <c r="CF62" s="8"/>
      <c r="CG62" s="8"/>
      <c r="CH62" s="8"/>
      <c r="CI62" s="8"/>
      <c r="CJ62" s="8"/>
      <c r="CK62" s="8"/>
      <c r="CL62" s="8"/>
      <c r="CM62" s="8"/>
      <c r="CN62" s="8"/>
      <c r="CO62" s="8"/>
      <c r="CP62" s="8"/>
    </row>
    <row r="63" spans="2:94">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c r="CB63" s="8"/>
      <c r="CC63" s="8"/>
      <c r="CD63" s="8"/>
      <c r="CE63" s="8"/>
      <c r="CF63" s="8"/>
      <c r="CG63" s="8"/>
      <c r="CH63" s="8"/>
      <c r="CI63" s="8"/>
      <c r="CJ63" s="8"/>
      <c r="CK63" s="8"/>
      <c r="CL63" s="8"/>
      <c r="CM63" s="8"/>
      <c r="CN63" s="8"/>
      <c r="CO63" s="8"/>
      <c r="CP63" s="8"/>
    </row>
    <row r="64" spans="2:94">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c r="CB64" s="8"/>
      <c r="CC64" s="8"/>
      <c r="CD64" s="8"/>
      <c r="CE64" s="8"/>
      <c r="CF64" s="8"/>
      <c r="CG64" s="8"/>
      <c r="CH64" s="8"/>
      <c r="CI64" s="8"/>
      <c r="CJ64" s="8"/>
      <c r="CK64" s="8"/>
      <c r="CL64" s="8"/>
      <c r="CM64" s="8"/>
      <c r="CN64" s="8"/>
      <c r="CO64" s="8"/>
      <c r="CP64" s="8"/>
    </row>
    <row r="65" spans="3:94">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c r="CB65" s="8"/>
      <c r="CC65" s="8"/>
      <c r="CD65" s="8"/>
      <c r="CE65" s="8"/>
      <c r="CF65" s="8"/>
      <c r="CG65" s="8"/>
      <c r="CH65" s="8"/>
      <c r="CI65" s="8"/>
      <c r="CJ65" s="8"/>
      <c r="CK65" s="8"/>
      <c r="CL65" s="8"/>
      <c r="CM65" s="8"/>
      <c r="CN65" s="8"/>
      <c r="CO65" s="8"/>
      <c r="CP65" s="8"/>
    </row>
    <row r="66" spans="3:94">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c r="CB66" s="8"/>
      <c r="CC66" s="8"/>
      <c r="CD66" s="8"/>
      <c r="CE66" s="8"/>
      <c r="CF66" s="8"/>
      <c r="CG66" s="8"/>
      <c r="CH66" s="8"/>
      <c r="CI66" s="8"/>
      <c r="CJ66" s="8"/>
      <c r="CK66" s="8"/>
      <c r="CL66" s="8"/>
      <c r="CM66" s="8"/>
      <c r="CN66" s="8"/>
      <c r="CO66" s="8"/>
      <c r="CP66" s="8"/>
    </row>
    <row r="67" spans="3:94">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c r="CB67" s="8"/>
      <c r="CC67" s="8"/>
      <c r="CD67" s="8"/>
      <c r="CE67" s="8"/>
      <c r="CF67" s="8"/>
      <c r="CG67" s="8"/>
      <c r="CH67" s="8"/>
      <c r="CI67" s="8"/>
      <c r="CJ67" s="8"/>
      <c r="CK67" s="8"/>
      <c r="CL67" s="8"/>
      <c r="CM67" s="8"/>
      <c r="CN67" s="8"/>
      <c r="CO67" s="8"/>
      <c r="CP67" s="8"/>
    </row>
    <row r="68" spans="3:94">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c r="CB68" s="8"/>
      <c r="CC68" s="8"/>
      <c r="CD68" s="8"/>
      <c r="CE68" s="8"/>
      <c r="CF68" s="8"/>
      <c r="CG68" s="8"/>
      <c r="CH68" s="8"/>
      <c r="CI68" s="8"/>
      <c r="CJ68" s="8"/>
      <c r="CK68" s="8"/>
      <c r="CL68" s="8"/>
      <c r="CM68" s="8"/>
      <c r="CN68" s="8"/>
      <c r="CO68" s="8"/>
      <c r="CP68" s="8"/>
    </row>
    <row r="69" spans="3:94">
      <c r="C69"/>
      <c r="D69"/>
      <c r="E69"/>
      <c r="F69"/>
      <c r="G69"/>
      <c r="H69"/>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c r="CB69" s="8"/>
      <c r="CC69" s="8"/>
      <c r="CD69" s="8"/>
      <c r="CE69" s="8"/>
      <c r="CF69" s="8"/>
      <c r="CG69" s="8"/>
      <c r="CH69" s="8"/>
      <c r="CI69" s="8"/>
      <c r="CJ69" s="8"/>
      <c r="CK69" s="8"/>
      <c r="CL69" s="8"/>
      <c r="CM69" s="8"/>
      <c r="CN69" s="8"/>
      <c r="CO69" s="8"/>
      <c r="CP69" s="8"/>
    </row>
    <row r="70" spans="3:94">
      <c r="C70"/>
      <c r="D70"/>
      <c r="E70"/>
      <c r="F70"/>
      <c r="G70"/>
      <c r="H70"/>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c r="CB70" s="8"/>
      <c r="CC70" s="8"/>
      <c r="CD70" s="8"/>
      <c r="CE70" s="8"/>
      <c r="CF70" s="8"/>
      <c r="CG70" s="8"/>
      <c r="CH70" s="8"/>
      <c r="CI70" s="8"/>
      <c r="CJ70" s="8"/>
      <c r="CK70" s="8"/>
      <c r="CL70" s="8"/>
      <c r="CM70" s="8"/>
      <c r="CN70" s="8"/>
      <c r="CO70" s="8"/>
      <c r="CP70" s="8"/>
    </row>
    <row r="71" spans="3:94">
      <c r="C71"/>
      <c r="D71"/>
      <c r="E71"/>
      <c r="F71"/>
      <c r="G71"/>
      <c r="H71"/>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c r="CB71" s="8"/>
      <c r="CC71" s="8"/>
      <c r="CD71" s="8"/>
      <c r="CE71" s="8"/>
      <c r="CF71" s="8"/>
      <c r="CG71" s="8"/>
      <c r="CH71" s="8"/>
      <c r="CI71" s="8"/>
      <c r="CJ71" s="8"/>
      <c r="CK71" s="8"/>
      <c r="CL71" s="8"/>
      <c r="CM71" s="8"/>
      <c r="CN71" s="8"/>
      <c r="CO71" s="8"/>
      <c r="CP71" s="8"/>
    </row>
    <row r="72" spans="3:94">
      <c r="C72"/>
      <c r="D72"/>
      <c r="E72"/>
      <c r="F72"/>
      <c r="G72"/>
      <c r="H72"/>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c r="CB72" s="8"/>
      <c r="CC72" s="8"/>
      <c r="CD72" s="8"/>
      <c r="CE72" s="8"/>
      <c r="CF72" s="8"/>
      <c r="CG72" s="8"/>
      <c r="CH72" s="8"/>
      <c r="CI72" s="8"/>
      <c r="CJ72" s="8"/>
      <c r="CK72" s="8"/>
      <c r="CL72" s="8"/>
      <c r="CM72" s="8"/>
      <c r="CN72" s="8"/>
      <c r="CO72" s="8"/>
      <c r="CP72" s="8"/>
    </row>
    <row r="73" spans="3:94">
      <c r="C73"/>
      <c r="D73"/>
      <c r="E73"/>
      <c r="F73"/>
      <c r="G73"/>
      <c r="H73"/>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c r="CB73" s="8"/>
      <c r="CC73" s="8"/>
      <c r="CD73" s="8"/>
      <c r="CE73" s="8"/>
      <c r="CF73" s="8"/>
      <c r="CG73" s="8"/>
      <c r="CH73" s="8"/>
      <c r="CI73" s="8"/>
      <c r="CJ73" s="8"/>
      <c r="CK73" s="8"/>
      <c r="CL73" s="8"/>
      <c r="CM73" s="8"/>
      <c r="CN73" s="8"/>
      <c r="CO73" s="8"/>
      <c r="CP73" s="8"/>
    </row>
    <row r="74" spans="3:94">
      <c r="C74"/>
      <c r="D74"/>
      <c r="E74"/>
      <c r="F74"/>
      <c r="G74"/>
      <c r="H74"/>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c r="CB74" s="8"/>
      <c r="CC74" s="8"/>
      <c r="CD74" s="8"/>
      <c r="CE74" s="8"/>
      <c r="CF74" s="8"/>
      <c r="CG74" s="8"/>
      <c r="CH74" s="8"/>
      <c r="CI74" s="8"/>
      <c r="CJ74" s="8"/>
      <c r="CK74" s="8"/>
      <c r="CL74" s="8"/>
      <c r="CM74" s="8"/>
      <c r="CN74" s="8"/>
      <c r="CO74" s="8"/>
      <c r="CP74" s="8"/>
    </row>
    <row r="75" spans="3:94">
      <c r="C75"/>
      <c r="D75"/>
      <c r="E75"/>
      <c r="F75"/>
      <c r="G75"/>
      <c r="H75"/>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c r="CP75" s="8"/>
    </row>
    <row r="76" spans="3:94">
      <c r="C76"/>
      <c r="D76"/>
      <c r="E76"/>
      <c r="F76"/>
      <c r="G76"/>
      <c r="H76"/>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c r="CB76" s="8"/>
      <c r="CC76" s="8"/>
      <c r="CD76" s="8"/>
      <c r="CE76" s="8"/>
      <c r="CF76" s="8"/>
      <c r="CG76" s="8"/>
      <c r="CH76" s="8"/>
      <c r="CI76" s="8"/>
      <c r="CJ76" s="8"/>
      <c r="CK76" s="8"/>
      <c r="CL76" s="8"/>
      <c r="CM76" s="8"/>
      <c r="CN76" s="8"/>
      <c r="CO76" s="8"/>
      <c r="CP76" s="8"/>
    </row>
    <row r="77" spans="3:94">
      <c r="C77"/>
      <c r="D77"/>
      <c r="E77"/>
      <c r="F77"/>
      <c r="G77"/>
      <c r="H77"/>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c r="CB77" s="8"/>
      <c r="CC77" s="8"/>
      <c r="CD77" s="8"/>
      <c r="CE77" s="8"/>
      <c r="CF77" s="8"/>
      <c r="CG77" s="8"/>
      <c r="CH77" s="8"/>
      <c r="CI77" s="8"/>
      <c r="CJ77" s="8"/>
      <c r="CK77" s="8"/>
      <c r="CL77" s="8"/>
      <c r="CM77" s="8"/>
      <c r="CN77" s="8"/>
      <c r="CO77" s="8"/>
      <c r="CP77" s="8"/>
    </row>
    <row r="78" spans="3:94">
      <c r="C78"/>
      <c r="D78"/>
      <c r="E78"/>
      <c r="F78"/>
      <c r="G78"/>
      <c r="H7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c r="CB78" s="8"/>
      <c r="CC78" s="8"/>
      <c r="CD78" s="8"/>
      <c r="CE78" s="8"/>
      <c r="CF78" s="8"/>
      <c r="CG78" s="8"/>
      <c r="CH78" s="8"/>
      <c r="CI78" s="8"/>
      <c r="CJ78" s="8"/>
      <c r="CK78" s="8"/>
      <c r="CL78" s="8"/>
      <c r="CM78" s="8"/>
      <c r="CN78" s="8"/>
      <c r="CO78" s="8"/>
      <c r="CP78" s="8"/>
    </row>
    <row r="79" spans="3:94">
      <c r="C79"/>
      <c r="D79"/>
      <c r="E79"/>
      <c r="F79"/>
      <c r="G79"/>
      <c r="H79"/>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c r="CP79" s="8"/>
    </row>
    <row r="80" spans="3:94">
      <c r="C80"/>
      <c r="D80"/>
      <c r="E80"/>
      <c r="F80"/>
      <c r="G80"/>
      <c r="H80"/>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8"/>
      <c r="CK80" s="8"/>
      <c r="CL80" s="8"/>
      <c r="CM80" s="8"/>
      <c r="CN80" s="8"/>
      <c r="CO80" s="8"/>
      <c r="CP80" s="8"/>
    </row>
    <row r="81" spans="3:94">
      <c r="C81"/>
      <c r="D81"/>
      <c r="E81"/>
      <c r="F81"/>
      <c r="G81"/>
      <c r="H81"/>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c r="CP81" s="8"/>
    </row>
    <row r="82" spans="3:94">
      <c r="C82"/>
      <c r="D82"/>
      <c r="E82"/>
      <c r="F82"/>
      <c r="G82"/>
      <c r="H82"/>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c r="CP82" s="8"/>
    </row>
    <row r="83" spans="3:94">
      <c r="C83"/>
      <c r="D83"/>
      <c r="E83"/>
      <c r="F83"/>
      <c r="G83"/>
      <c r="H83"/>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c r="CP83" s="8"/>
    </row>
    <row r="84" spans="3:94">
      <c r="C84"/>
      <c r="D84"/>
      <c r="E84"/>
      <c r="F84"/>
      <c r="G84"/>
      <c r="H84"/>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c r="CP84" s="8"/>
    </row>
    <row r="85" spans="3:94">
      <c r="C85"/>
      <c r="D85"/>
      <c r="E85"/>
      <c r="F85"/>
      <c r="G85"/>
      <c r="H85"/>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c r="CP85" s="8"/>
    </row>
    <row r="86" spans="3:94">
      <c r="C86"/>
      <c r="D86"/>
      <c r="E86"/>
      <c r="F86"/>
      <c r="G86"/>
      <c r="H86"/>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8"/>
      <c r="CK86" s="8"/>
      <c r="CL86" s="8"/>
      <c r="CM86" s="8"/>
      <c r="CN86" s="8"/>
      <c r="CO86" s="8"/>
      <c r="CP86" s="8"/>
    </row>
    <row r="87" spans="3:94">
      <c r="C87"/>
      <c r="D87"/>
      <c r="E87"/>
      <c r="F87"/>
      <c r="G87"/>
      <c r="H87"/>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c r="CP87" s="8"/>
    </row>
    <row r="88" spans="3:94">
      <c r="C88"/>
      <c r="D88"/>
      <c r="E88"/>
      <c r="F88"/>
      <c r="G88"/>
      <c r="H8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c r="CP88" s="8"/>
    </row>
    <row r="89" spans="3:94">
      <c r="C89"/>
      <c r="D89"/>
      <c r="E89"/>
      <c r="F89"/>
      <c r="G89"/>
      <c r="H89"/>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c r="CP89" s="8"/>
    </row>
    <row r="90" spans="3:94">
      <c r="C90"/>
      <c r="D90"/>
      <c r="E90"/>
      <c r="F90"/>
      <c r="G90"/>
      <c r="H90"/>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row>
    <row r="91" spans="3:94">
      <c r="C91"/>
      <c r="D91"/>
      <c r="E91"/>
      <c r="F91"/>
      <c r="G91"/>
      <c r="H91"/>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c r="CP91" s="8"/>
    </row>
    <row r="92" spans="3:94">
      <c r="C92"/>
      <c r="D92"/>
      <c r="E92"/>
      <c r="F92"/>
      <c r="G92"/>
      <c r="H92"/>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c r="CP92" s="8"/>
    </row>
    <row r="93" spans="3:94">
      <c r="C93"/>
      <c r="D93"/>
      <c r="E93"/>
      <c r="F93"/>
      <c r="G93"/>
      <c r="H93"/>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c r="CP93" s="8"/>
    </row>
    <row r="94" spans="3:94">
      <c r="C94"/>
      <c r="D94"/>
      <c r="E94"/>
      <c r="F94"/>
      <c r="G94"/>
      <c r="H94"/>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c r="CP94" s="8"/>
    </row>
    <row r="95" spans="3:94">
      <c r="C95"/>
      <c r="D95"/>
      <c r="E95"/>
      <c r="F95"/>
      <c r="G95"/>
      <c r="H95"/>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c r="CD95" s="8"/>
      <c r="CE95" s="8"/>
      <c r="CF95" s="8"/>
      <c r="CG95" s="8"/>
      <c r="CH95" s="8"/>
      <c r="CI95" s="8"/>
      <c r="CJ95" s="8"/>
      <c r="CK95" s="8"/>
      <c r="CL95" s="8"/>
      <c r="CM95" s="8"/>
      <c r="CN95" s="8"/>
      <c r="CO95" s="8"/>
      <c r="CP95" s="8"/>
    </row>
    <row r="96" spans="3:94">
      <c r="C96"/>
      <c r="D96"/>
      <c r="E96"/>
      <c r="F96"/>
      <c r="G96"/>
      <c r="H96"/>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c r="CB96" s="8"/>
      <c r="CC96" s="8"/>
      <c r="CD96" s="8"/>
      <c r="CE96" s="8"/>
      <c r="CF96" s="8"/>
      <c r="CG96" s="8"/>
      <c r="CH96" s="8"/>
      <c r="CI96" s="8"/>
      <c r="CJ96" s="8"/>
      <c r="CK96" s="8"/>
      <c r="CL96" s="8"/>
      <c r="CM96" s="8"/>
      <c r="CN96" s="8"/>
      <c r="CO96" s="8"/>
      <c r="CP96" s="8"/>
    </row>
    <row r="97" spans="3:94">
      <c r="C97"/>
      <c r="D97"/>
      <c r="E97"/>
      <c r="F97"/>
      <c r="G97"/>
      <c r="H97"/>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c r="CB97" s="8"/>
      <c r="CC97" s="8"/>
      <c r="CD97" s="8"/>
      <c r="CE97" s="8"/>
      <c r="CF97" s="8"/>
      <c r="CG97" s="8"/>
      <c r="CH97" s="8"/>
      <c r="CI97" s="8"/>
      <c r="CJ97" s="8"/>
      <c r="CK97" s="8"/>
      <c r="CL97" s="8"/>
      <c r="CM97" s="8"/>
      <c r="CN97" s="8"/>
      <c r="CO97" s="8"/>
      <c r="CP97" s="8"/>
    </row>
    <row r="98" spans="3:94">
      <c r="C98"/>
      <c r="D98"/>
      <c r="E98"/>
      <c r="F98"/>
      <c r="G98"/>
      <c r="H9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c r="CB98" s="8"/>
      <c r="CC98" s="8"/>
      <c r="CD98" s="8"/>
      <c r="CE98" s="8"/>
      <c r="CF98" s="8"/>
      <c r="CG98" s="8"/>
      <c r="CH98" s="8"/>
      <c r="CI98" s="8"/>
      <c r="CJ98" s="8"/>
      <c r="CK98" s="8"/>
      <c r="CL98" s="8"/>
      <c r="CM98" s="8"/>
      <c r="CN98" s="8"/>
      <c r="CO98" s="8"/>
      <c r="CP98" s="8"/>
    </row>
    <row r="99" spans="3:94">
      <c r="C99"/>
      <c r="D99"/>
      <c r="E99"/>
      <c r="F99"/>
      <c r="G99"/>
      <c r="H99"/>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c r="CB99" s="8"/>
      <c r="CC99" s="8"/>
      <c r="CD99" s="8"/>
      <c r="CE99" s="8"/>
      <c r="CF99" s="8"/>
      <c r="CG99" s="8"/>
      <c r="CH99" s="8"/>
      <c r="CI99" s="8"/>
      <c r="CJ99" s="8"/>
      <c r="CK99" s="8"/>
      <c r="CL99" s="8"/>
      <c r="CM99" s="8"/>
      <c r="CN99" s="8"/>
      <c r="CO99" s="8"/>
      <c r="CP99" s="8"/>
    </row>
    <row r="100" spans="3:94">
      <c r="C100"/>
      <c r="D100"/>
      <c r="E100"/>
      <c r="F100"/>
      <c r="G100"/>
      <c r="H100"/>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c r="CB100" s="8"/>
      <c r="CC100" s="8"/>
      <c r="CD100" s="8"/>
      <c r="CE100" s="8"/>
      <c r="CF100" s="8"/>
      <c r="CG100" s="8"/>
      <c r="CH100" s="8"/>
      <c r="CI100" s="8"/>
      <c r="CJ100" s="8"/>
      <c r="CK100" s="8"/>
      <c r="CL100" s="8"/>
      <c r="CM100" s="8"/>
      <c r="CN100" s="8"/>
      <c r="CO100" s="8"/>
      <c r="CP100" s="8"/>
    </row>
    <row r="101" spans="3:94">
      <c r="C101"/>
      <c r="D101"/>
      <c r="E101"/>
      <c r="F101"/>
      <c r="G101"/>
      <c r="H101"/>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c r="CB101" s="8"/>
      <c r="CC101" s="8"/>
      <c r="CD101" s="8"/>
      <c r="CE101" s="8"/>
      <c r="CF101" s="8"/>
      <c r="CG101" s="8"/>
      <c r="CH101" s="8"/>
      <c r="CI101" s="8"/>
      <c r="CJ101" s="8"/>
      <c r="CK101" s="8"/>
      <c r="CL101" s="8"/>
      <c r="CM101" s="8"/>
      <c r="CN101" s="8"/>
      <c r="CO101" s="8"/>
      <c r="CP101" s="8"/>
    </row>
    <row r="102" spans="3:94">
      <c r="C102"/>
      <c r="D102"/>
      <c r="E102"/>
      <c r="F102"/>
      <c r="G102"/>
      <c r="H102"/>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c r="CB102" s="8"/>
      <c r="CC102" s="8"/>
      <c r="CD102" s="8"/>
      <c r="CE102" s="8"/>
      <c r="CF102" s="8"/>
      <c r="CG102" s="8"/>
      <c r="CH102" s="8"/>
      <c r="CI102" s="8"/>
      <c r="CJ102" s="8"/>
      <c r="CK102" s="8"/>
      <c r="CL102" s="8"/>
      <c r="CM102" s="8"/>
      <c r="CN102" s="8"/>
      <c r="CO102" s="8"/>
      <c r="CP102" s="8"/>
    </row>
    <row r="103" spans="3:94">
      <c r="C103"/>
      <c r="D103"/>
      <c r="E103"/>
      <c r="F103"/>
      <c r="G103"/>
      <c r="H103"/>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c r="CP103" s="8"/>
    </row>
    <row r="104" spans="3:94">
      <c r="C104"/>
      <c r="D104"/>
      <c r="E104"/>
      <c r="F104"/>
      <c r="G104"/>
      <c r="H104"/>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c r="CP104" s="8"/>
    </row>
    <row r="105" spans="3:94">
      <c r="C105"/>
      <c r="D105"/>
      <c r="E105"/>
      <c r="F105"/>
      <c r="G105"/>
      <c r="H105"/>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c r="CB105" s="8"/>
      <c r="CC105" s="8"/>
      <c r="CD105" s="8"/>
      <c r="CE105" s="8"/>
      <c r="CF105" s="8"/>
      <c r="CG105" s="8"/>
      <c r="CH105" s="8"/>
      <c r="CI105" s="8"/>
      <c r="CJ105" s="8"/>
      <c r="CK105" s="8"/>
      <c r="CL105" s="8"/>
      <c r="CM105" s="8"/>
      <c r="CN105" s="8"/>
      <c r="CO105" s="8"/>
      <c r="CP105" s="8"/>
    </row>
    <row r="106" spans="3:94">
      <c r="C106"/>
      <c r="D106"/>
      <c r="E106"/>
      <c r="F106"/>
      <c r="G106"/>
      <c r="H106"/>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c r="CB106" s="8"/>
      <c r="CC106" s="8"/>
      <c r="CD106" s="8"/>
      <c r="CE106" s="8"/>
      <c r="CF106" s="8"/>
      <c r="CG106" s="8"/>
      <c r="CH106" s="8"/>
      <c r="CI106" s="8"/>
      <c r="CJ106" s="8"/>
      <c r="CK106" s="8"/>
      <c r="CL106" s="8"/>
      <c r="CM106" s="8"/>
      <c r="CN106" s="8"/>
      <c r="CO106" s="8"/>
      <c r="CP106" s="8"/>
    </row>
    <row r="107" spans="3:94">
      <c r="C107"/>
      <c r="D107"/>
      <c r="E107"/>
      <c r="F107"/>
      <c r="G107"/>
      <c r="H107"/>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c r="CG107" s="8"/>
      <c r="CH107" s="8"/>
      <c r="CI107" s="8"/>
      <c r="CJ107" s="8"/>
      <c r="CK107" s="8"/>
      <c r="CL107" s="8"/>
      <c r="CM107" s="8"/>
      <c r="CN107" s="8"/>
      <c r="CO107" s="8"/>
      <c r="CP107" s="8"/>
    </row>
    <row r="108" spans="3:94">
      <c r="C108"/>
      <c r="D108"/>
      <c r="E108"/>
      <c r="F108"/>
      <c r="G108"/>
      <c r="H10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c r="CG108" s="8"/>
      <c r="CH108" s="8"/>
      <c r="CI108" s="8"/>
      <c r="CJ108" s="8"/>
      <c r="CK108" s="8"/>
      <c r="CL108" s="8"/>
      <c r="CM108" s="8"/>
      <c r="CN108" s="8"/>
      <c r="CO108" s="8"/>
      <c r="CP108" s="8"/>
    </row>
    <row r="109" spans="3:94">
      <c r="C109"/>
      <c r="D109"/>
      <c r="E109"/>
      <c r="F109"/>
      <c r="G109"/>
      <c r="H109"/>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c r="CB109" s="8"/>
      <c r="CC109" s="8"/>
      <c r="CD109" s="8"/>
      <c r="CE109" s="8"/>
      <c r="CF109" s="8"/>
      <c r="CG109" s="8"/>
      <c r="CH109" s="8"/>
      <c r="CI109" s="8"/>
      <c r="CJ109" s="8"/>
      <c r="CK109" s="8"/>
      <c r="CL109" s="8"/>
      <c r="CM109" s="8"/>
      <c r="CN109" s="8"/>
      <c r="CO109" s="8"/>
      <c r="CP109" s="8"/>
    </row>
    <row r="110" spans="3:94">
      <c r="C110"/>
      <c r="D110"/>
      <c r="E110"/>
      <c r="F110"/>
      <c r="G110"/>
      <c r="H110"/>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c r="CB110" s="8"/>
      <c r="CC110" s="8"/>
      <c r="CD110" s="8"/>
      <c r="CE110" s="8"/>
      <c r="CF110" s="8"/>
      <c r="CG110" s="8"/>
      <c r="CH110" s="8"/>
      <c r="CI110" s="8"/>
      <c r="CJ110" s="8"/>
      <c r="CK110" s="8"/>
      <c r="CL110" s="8"/>
      <c r="CM110" s="8"/>
      <c r="CN110" s="8"/>
      <c r="CO110" s="8"/>
      <c r="CP110" s="8"/>
    </row>
    <row r="111" spans="3:94">
      <c r="C111"/>
      <c r="D111"/>
      <c r="E111"/>
      <c r="F111"/>
      <c r="G111"/>
      <c r="H111"/>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c r="CB111" s="8"/>
      <c r="CC111" s="8"/>
      <c r="CD111" s="8"/>
      <c r="CE111" s="8"/>
      <c r="CF111" s="8"/>
      <c r="CG111" s="8"/>
      <c r="CH111" s="8"/>
      <c r="CI111" s="8"/>
      <c r="CJ111" s="8"/>
      <c r="CK111" s="8"/>
      <c r="CL111" s="8"/>
      <c r="CM111" s="8"/>
      <c r="CN111" s="8"/>
      <c r="CO111" s="8"/>
      <c r="CP111" s="8"/>
    </row>
    <row r="112" spans="3:94">
      <c r="C112"/>
      <c r="D112"/>
      <c r="E112"/>
      <c r="F112"/>
      <c r="G112"/>
      <c r="H112"/>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c r="CB112" s="8"/>
      <c r="CC112" s="8"/>
      <c r="CD112" s="8"/>
      <c r="CE112" s="8"/>
      <c r="CF112" s="8"/>
      <c r="CG112" s="8"/>
      <c r="CH112" s="8"/>
      <c r="CI112" s="8"/>
      <c r="CJ112" s="8"/>
      <c r="CK112" s="8"/>
      <c r="CL112" s="8"/>
      <c r="CM112" s="8"/>
      <c r="CN112" s="8"/>
      <c r="CO112" s="8"/>
      <c r="CP112" s="8"/>
    </row>
    <row r="113" spans="3:94">
      <c r="C113"/>
      <c r="D113"/>
      <c r="E113"/>
      <c r="F113"/>
      <c r="G113"/>
      <c r="H113"/>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c r="CB113" s="8"/>
      <c r="CC113" s="8"/>
      <c r="CD113" s="8"/>
      <c r="CE113" s="8"/>
      <c r="CF113" s="8"/>
      <c r="CG113" s="8"/>
      <c r="CH113" s="8"/>
      <c r="CI113" s="8"/>
      <c r="CJ113" s="8"/>
      <c r="CK113" s="8"/>
      <c r="CL113" s="8"/>
      <c r="CM113" s="8"/>
      <c r="CN113" s="8"/>
      <c r="CO113" s="8"/>
      <c r="CP113" s="8"/>
    </row>
    <row r="114" spans="3:94">
      <c r="C114"/>
      <c r="D114"/>
      <c r="E114"/>
      <c r="F114"/>
      <c r="G114"/>
      <c r="H114"/>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c r="CB114" s="8"/>
      <c r="CC114" s="8"/>
      <c r="CD114" s="8"/>
      <c r="CE114" s="8"/>
      <c r="CF114" s="8"/>
      <c r="CG114" s="8"/>
      <c r="CH114" s="8"/>
      <c r="CI114" s="8"/>
      <c r="CJ114" s="8"/>
      <c r="CK114" s="8"/>
      <c r="CL114" s="8"/>
      <c r="CM114" s="8"/>
      <c r="CN114" s="8"/>
      <c r="CO114" s="8"/>
      <c r="CP114" s="8"/>
    </row>
    <row r="115" spans="3:94">
      <c r="C115"/>
      <c r="D115"/>
      <c r="E115"/>
      <c r="F115"/>
      <c r="G115"/>
      <c r="H115"/>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c r="CG115" s="8"/>
      <c r="CH115" s="8"/>
      <c r="CI115" s="8"/>
      <c r="CJ115" s="8"/>
      <c r="CK115" s="8"/>
      <c r="CL115" s="8"/>
      <c r="CM115" s="8"/>
      <c r="CN115" s="8"/>
      <c r="CO115" s="8"/>
      <c r="CP115" s="8"/>
    </row>
    <row r="116" spans="3:94">
      <c r="C116"/>
      <c r="D116"/>
      <c r="E116"/>
      <c r="F116"/>
      <c r="G116"/>
      <c r="H116"/>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c r="CB116" s="8"/>
      <c r="CC116" s="8"/>
      <c r="CD116" s="8"/>
      <c r="CE116" s="8"/>
      <c r="CF116" s="8"/>
      <c r="CG116" s="8"/>
      <c r="CH116" s="8"/>
      <c r="CI116" s="8"/>
      <c r="CJ116" s="8"/>
      <c r="CK116" s="8"/>
      <c r="CL116" s="8"/>
      <c r="CM116" s="8"/>
      <c r="CN116" s="8"/>
      <c r="CO116" s="8"/>
      <c r="CP116" s="8"/>
    </row>
    <row r="117" spans="3:94">
      <c r="C117"/>
      <c r="D117"/>
      <c r="E117"/>
      <c r="F117"/>
      <c r="G117"/>
      <c r="H117"/>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c r="BZ117" s="8"/>
      <c r="CA117" s="8"/>
      <c r="CB117" s="8"/>
      <c r="CC117" s="8"/>
      <c r="CD117" s="8"/>
      <c r="CE117" s="8"/>
      <c r="CF117" s="8"/>
      <c r="CG117" s="8"/>
      <c r="CH117" s="8"/>
      <c r="CI117" s="8"/>
      <c r="CJ117" s="8"/>
      <c r="CK117" s="8"/>
      <c r="CL117" s="8"/>
      <c r="CM117" s="8"/>
      <c r="CN117" s="8"/>
      <c r="CO117" s="8"/>
      <c r="CP117" s="8"/>
    </row>
    <row r="118" spans="3:94">
      <c r="C118"/>
      <c r="D118"/>
      <c r="E118"/>
      <c r="F118"/>
      <c r="G118"/>
      <c r="H11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c r="CA118" s="8"/>
      <c r="CB118" s="8"/>
      <c r="CC118" s="8"/>
      <c r="CD118" s="8"/>
      <c r="CE118" s="8"/>
      <c r="CF118" s="8"/>
      <c r="CG118" s="8"/>
      <c r="CH118" s="8"/>
      <c r="CI118" s="8"/>
      <c r="CJ118" s="8"/>
      <c r="CK118" s="8"/>
      <c r="CL118" s="8"/>
      <c r="CM118" s="8"/>
      <c r="CN118" s="8"/>
      <c r="CO118" s="8"/>
      <c r="CP118" s="8"/>
    </row>
    <row r="119" spans="3:94">
      <c r="C119"/>
      <c r="D119"/>
      <c r="E119"/>
      <c r="F119"/>
      <c r="G119"/>
      <c r="H119"/>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c r="CA119" s="8"/>
      <c r="CB119" s="8"/>
      <c r="CC119" s="8"/>
      <c r="CD119" s="8"/>
      <c r="CE119" s="8"/>
      <c r="CF119" s="8"/>
      <c r="CG119" s="8"/>
      <c r="CH119" s="8"/>
      <c r="CI119" s="8"/>
      <c r="CJ119" s="8"/>
      <c r="CK119" s="8"/>
      <c r="CL119" s="8"/>
      <c r="CM119" s="8"/>
      <c r="CN119" s="8"/>
      <c r="CO119" s="8"/>
      <c r="CP119" s="8"/>
    </row>
    <row r="120" spans="3:94">
      <c r="C120"/>
      <c r="D120"/>
      <c r="E120"/>
      <c r="F120"/>
      <c r="G120"/>
      <c r="H120"/>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c r="CB120" s="8"/>
      <c r="CC120" s="8"/>
      <c r="CD120" s="8"/>
      <c r="CE120" s="8"/>
      <c r="CF120" s="8"/>
      <c r="CG120" s="8"/>
      <c r="CH120" s="8"/>
      <c r="CI120" s="8"/>
      <c r="CJ120" s="8"/>
      <c r="CK120" s="8"/>
      <c r="CL120" s="8"/>
      <c r="CM120" s="8"/>
      <c r="CN120" s="8"/>
      <c r="CO120" s="8"/>
      <c r="CP120" s="8"/>
    </row>
    <row r="121" spans="3:94">
      <c r="C121"/>
      <c r="D121"/>
      <c r="E121"/>
      <c r="F121"/>
      <c r="G121"/>
      <c r="H121"/>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c r="CB121" s="8"/>
      <c r="CC121" s="8"/>
      <c r="CD121" s="8"/>
      <c r="CE121" s="8"/>
      <c r="CF121" s="8"/>
      <c r="CG121" s="8"/>
      <c r="CH121" s="8"/>
      <c r="CI121" s="8"/>
      <c r="CJ121" s="8"/>
      <c r="CK121" s="8"/>
      <c r="CL121" s="8"/>
      <c r="CM121" s="8"/>
      <c r="CN121" s="8"/>
      <c r="CO121" s="8"/>
      <c r="CP121" s="8"/>
    </row>
    <row r="122" spans="3:94">
      <c r="C122"/>
      <c r="D122"/>
      <c r="E122"/>
      <c r="F122"/>
      <c r="G122"/>
      <c r="H122"/>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c r="CA122" s="8"/>
      <c r="CB122" s="8"/>
      <c r="CC122" s="8"/>
      <c r="CD122" s="8"/>
      <c r="CE122" s="8"/>
      <c r="CF122" s="8"/>
      <c r="CG122" s="8"/>
      <c r="CH122" s="8"/>
      <c r="CI122" s="8"/>
      <c r="CJ122" s="8"/>
      <c r="CK122" s="8"/>
      <c r="CL122" s="8"/>
      <c r="CM122" s="8"/>
      <c r="CN122" s="8"/>
      <c r="CO122" s="8"/>
      <c r="CP122" s="8"/>
    </row>
    <row r="123" spans="3:94">
      <c r="C123"/>
      <c r="D123"/>
      <c r="E123"/>
      <c r="F123"/>
      <c r="G123"/>
      <c r="H123"/>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c r="CB123" s="8"/>
      <c r="CC123" s="8"/>
      <c r="CD123" s="8"/>
      <c r="CE123" s="8"/>
      <c r="CF123" s="8"/>
      <c r="CG123" s="8"/>
      <c r="CH123" s="8"/>
      <c r="CI123" s="8"/>
      <c r="CJ123" s="8"/>
      <c r="CK123" s="8"/>
      <c r="CL123" s="8"/>
      <c r="CM123" s="8"/>
      <c r="CN123" s="8"/>
      <c r="CO123" s="8"/>
      <c r="CP123" s="8"/>
    </row>
    <row r="124" spans="3:94">
      <c r="C124"/>
      <c r="D124"/>
      <c r="E124"/>
      <c r="F124"/>
      <c r="G124"/>
      <c r="H124"/>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c r="BZ124" s="8"/>
      <c r="CA124" s="8"/>
      <c r="CB124" s="8"/>
      <c r="CC124" s="8"/>
      <c r="CD124" s="8"/>
      <c r="CE124" s="8"/>
      <c r="CF124" s="8"/>
      <c r="CG124" s="8"/>
      <c r="CH124" s="8"/>
      <c r="CI124" s="8"/>
      <c r="CJ124" s="8"/>
      <c r="CK124" s="8"/>
      <c r="CL124" s="8"/>
      <c r="CM124" s="8"/>
      <c r="CN124" s="8"/>
      <c r="CO124" s="8"/>
      <c r="CP124" s="8"/>
    </row>
    <row r="125" spans="3:94">
      <c r="C125"/>
      <c r="D125"/>
      <c r="E125"/>
      <c r="F125"/>
      <c r="G125"/>
      <c r="H125"/>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c r="CG125" s="8"/>
      <c r="CH125" s="8"/>
      <c r="CI125" s="8"/>
      <c r="CJ125" s="8"/>
      <c r="CK125" s="8"/>
      <c r="CL125" s="8"/>
      <c r="CM125" s="8"/>
      <c r="CN125" s="8"/>
      <c r="CO125" s="8"/>
      <c r="CP125" s="8"/>
    </row>
    <row r="126" spans="3:94">
      <c r="C126"/>
      <c r="D126"/>
      <c r="E126"/>
      <c r="F126"/>
      <c r="G126"/>
      <c r="H126"/>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c r="BX126" s="8"/>
      <c r="BY126" s="8"/>
      <c r="BZ126" s="8"/>
      <c r="CA126" s="8"/>
      <c r="CB126" s="8"/>
      <c r="CC126" s="8"/>
      <c r="CD126" s="8"/>
      <c r="CE126" s="8"/>
      <c r="CF126" s="8"/>
      <c r="CG126" s="8"/>
      <c r="CH126" s="8"/>
      <c r="CI126" s="8"/>
      <c r="CJ126" s="8"/>
      <c r="CK126" s="8"/>
      <c r="CL126" s="8"/>
      <c r="CM126" s="8"/>
      <c r="CN126" s="8"/>
      <c r="CO126" s="8"/>
      <c r="CP126" s="8"/>
    </row>
    <row r="127" spans="3:94">
      <c r="C127"/>
      <c r="D127"/>
      <c r="E127"/>
      <c r="F127"/>
      <c r="G127"/>
      <c r="H127"/>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c r="BX127" s="8"/>
      <c r="BY127" s="8"/>
      <c r="BZ127" s="8"/>
      <c r="CA127" s="8"/>
      <c r="CB127" s="8"/>
      <c r="CC127" s="8"/>
      <c r="CD127" s="8"/>
      <c r="CE127" s="8"/>
      <c r="CF127" s="8"/>
      <c r="CG127" s="8"/>
      <c r="CH127" s="8"/>
      <c r="CI127" s="8"/>
      <c r="CJ127" s="8"/>
      <c r="CK127" s="8"/>
      <c r="CL127" s="8"/>
      <c r="CM127" s="8"/>
      <c r="CN127" s="8"/>
      <c r="CO127" s="8"/>
      <c r="CP127" s="8"/>
    </row>
    <row r="128" spans="3:94">
      <c r="C128"/>
      <c r="D128"/>
      <c r="E128"/>
      <c r="F128"/>
      <c r="G128"/>
      <c r="H12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c r="BQ128" s="8"/>
      <c r="BR128" s="8"/>
      <c r="BS128" s="8"/>
      <c r="BT128" s="8"/>
      <c r="BU128" s="8"/>
      <c r="BV128" s="8"/>
      <c r="BW128" s="8"/>
      <c r="BX128" s="8"/>
      <c r="BY128" s="8"/>
      <c r="BZ128" s="8"/>
      <c r="CA128" s="8"/>
      <c r="CB128" s="8"/>
      <c r="CC128" s="8"/>
      <c r="CD128" s="8"/>
      <c r="CE128" s="8"/>
      <c r="CF128" s="8"/>
      <c r="CG128" s="8"/>
      <c r="CH128" s="8"/>
      <c r="CI128" s="8"/>
      <c r="CJ128" s="8"/>
      <c r="CK128" s="8"/>
      <c r="CL128" s="8"/>
      <c r="CM128" s="8"/>
      <c r="CN128" s="8"/>
      <c r="CO128" s="8"/>
      <c r="CP128" s="8"/>
    </row>
    <row r="129" spans="3:94">
      <c r="C129"/>
      <c r="D129"/>
      <c r="E129"/>
      <c r="F129"/>
      <c r="G129"/>
      <c r="H129"/>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c r="BQ129" s="8"/>
      <c r="BR129" s="8"/>
      <c r="BS129" s="8"/>
      <c r="BT129" s="8"/>
      <c r="BU129" s="8"/>
      <c r="BV129" s="8"/>
      <c r="BW129" s="8"/>
      <c r="BX129" s="8"/>
      <c r="BY129" s="8"/>
      <c r="BZ129" s="8"/>
      <c r="CA129" s="8"/>
      <c r="CB129" s="8"/>
      <c r="CC129" s="8"/>
      <c r="CD129" s="8"/>
      <c r="CE129" s="8"/>
      <c r="CF129" s="8"/>
      <c r="CG129" s="8"/>
      <c r="CH129" s="8"/>
      <c r="CI129" s="8"/>
      <c r="CJ129" s="8"/>
      <c r="CK129" s="8"/>
      <c r="CL129" s="8"/>
      <c r="CM129" s="8"/>
      <c r="CN129" s="8"/>
      <c r="CO129" s="8"/>
      <c r="CP129" s="8"/>
    </row>
    <row r="130" spans="3:94">
      <c r="C130"/>
      <c r="D130"/>
      <c r="E130"/>
      <c r="F130"/>
      <c r="G130"/>
      <c r="H130"/>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c r="BQ130" s="8"/>
      <c r="BR130" s="8"/>
      <c r="BS130" s="8"/>
      <c r="BT130" s="8"/>
      <c r="BU130" s="8"/>
      <c r="BV130" s="8"/>
      <c r="BW130" s="8"/>
      <c r="BX130" s="8"/>
      <c r="BY130" s="8"/>
      <c r="BZ130" s="8"/>
      <c r="CA130" s="8"/>
      <c r="CB130" s="8"/>
      <c r="CC130" s="8"/>
      <c r="CD130" s="8"/>
      <c r="CE130" s="8"/>
      <c r="CF130" s="8"/>
      <c r="CG130" s="8"/>
      <c r="CH130" s="8"/>
      <c r="CI130" s="8"/>
      <c r="CJ130" s="8"/>
      <c r="CK130" s="8"/>
      <c r="CL130" s="8"/>
      <c r="CM130" s="8"/>
      <c r="CN130" s="8"/>
      <c r="CO130" s="8"/>
      <c r="CP130" s="8"/>
    </row>
  </sheetData>
  <mergeCells count="8">
    <mergeCell ref="J34:O34"/>
    <mergeCell ref="C48:H48"/>
    <mergeCell ref="C6:H6"/>
    <mergeCell ref="J6:O6"/>
    <mergeCell ref="J7:O7"/>
    <mergeCell ref="C21:H21"/>
    <mergeCell ref="C33:H33"/>
    <mergeCell ref="J33:O33"/>
  </mergeCell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16">
    <tabColor theme="4"/>
  </sheetPr>
  <dimension ref="B2:CO147"/>
  <sheetViews>
    <sheetView workbookViewId="0">
      <selection activeCell="K36" sqref="K36"/>
    </sheetView>
  </sheetViews>
  <sheetFormatPr baseColWidth="10" defaultColWidth="8.83203125" defaultRowHeight="15"/>
  <cols>
    <col min="2" max="2" width="51.5" customWidth="1"/>
    <col min="3" max="8" width="9.1640625" style="85"/>
    <col min="11" max="11" width="43.1640625" customWidth="1"/>
  </cols>
  <sheetData>
    <row r="2" spans="2:93" ht="29">
      <c r="B2" s="93" t="s">
        <v>375</v>
      </c>
    </row>
    <row r="3" spans="2:93" ht="15" customHeight="1"/>
    <row r="4" spans="2:93">
      <c r="E4" t="s">
        <v>358</v>
      </c>
      <c r="F4"/>
      <c r="G4" s="36">
        <v>7.45</v>
      </c>
      <c r="H4" t="s">
        <v>328</v>
      </c>
    </row>
    <row r="5" spans="2:93" ht="16" thickBot="1">
      <c r="B5" s="8" t="s">
        <v>373</v>
      </c>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c r="BQ5" s="8"/>
      <c r="BR5" s="8"/>
      <c r="BS5" s="8"/>
      <c r="BT5" s="8"/>
      <c r="BU5" s="8"/>
      <c r="BV5" s="8"/>
      <c r="BW5" s="8"/>
      <c r="BX5" s="8"/>
      <c r="BY5" s="8"/>
      <c r="BZ5" s="8"/>
      <c r="CA5" s="8"/>
      <c r="CB5" s="8"/>
      <c r="CC5" s="8"/>
      <c r="CD5" s="8"/>
      <c r="CE5" s="8"/>
      <c r="CF5" s="8"/>
      <c r="CG5" s="8"/>
      <c r="CH5" s="8"/>
      <c r="CI5" s="8"/>
      <c r="CJ5" s="8"/>
      <c r="CK5" s="8"/>
      <c r="CL5" s="8"/>
      <c r="CM5" s="8"/>
      <c r="CN5" s="8"/>
      <c r="CO5" s="8"/>
    </row>
    <row r="6" spans="2:93" ht="16" thickBot="1">
      <c r="J6" s="1259">
        <f>C6</f>
        <v>0</v>
      </c>
      <c r="K6" s="1260"/>
      <c r="L6" s="1260"/>
      <c r="M6" s="1260"/>
      <c r="N6" s="1260"/>
      <c r="O6" s="1261"/>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c r="BQ6" s="8"/>
      <c r="BR6" s="8"/>
      <c r="BS6" s="8"/>
      <c r="BT6" s="8"/>
      <c r="BU6" s="8"/>
      <c r="BV6" s="8"/>
      <c r="BW6" s="8"/>
      <c r="BX6" s="8"/>
      <c r="BY6" s="8"/>
      <c r="BZ6" s="8"/>
      <c r="CA6" s="8"/>
      <c r="CB6" s="8"/>
      <c r="CC6" s="8"/>
      <c r="CD6" s="8"/>
      <c r="CE6" s="8"/>
      <c r="CF6" s="8"/>
      <c r="CG6" s="8"/>
      <c r="CH6" s="8"/>
      <c r="CI6" s="8"/>
      <c r="CJ6" s="8"/>
      <c r="CK6" s="8"/>
      <c r="CL6" s="8"/>
      <c r="CM6" s="8"/>
      <c r="CN6" s="8"/>
      <c r="CO6" s="8"/>
    </row>
    <row r="7" spans="2:93" ht="16" thickBot="1">
      <c r="B7" s="86" t="s">
        <v>0</v>
      </c>
      <c r="C7" s="1290" t="s">
        <v>376</v>
      </c>
      <c r="D7" s="1288"/>
      <c r="E7" s="1288"/>
      <c r="F7" s="1288"/>
      <c r="G7" s="1288"/>
      <c r="H7" s="1289"/>
      <c r="J7" s="1134" t="str">
        <f>C7</f>
        <v>Gas engine driven heat pump heat pump</v>
      </c>
      <c r="K7" s="1135"/>
      <c r="L7" s="1135"/>
      <c r="M7" s="1135"/>
      <c r="N7" s="1135"/>
      <c r="O7" s="1136"/>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c r="BQ7" s="8"/>
      <c r="BR7" s="8"/>
      <c r="BS7" s="8"/>
      <c r="BT7" s="8"/>
      <c r="BU7" s="8"/>
      <c r="BV7" s="8"/>
      <c r="BW7" s="8"/>
      <c r="BX7" s="8"/>
      <c r="BY7" s="8"/>
      <c r="BZ7" s="8"/>
      <c r="CA7" s="8"/>
      <c r="CB7" s="8"/>
      <c r="CC7" s="8"/>
      <c r="CD7" s="8"/>
      <c r="CE7" s="8"/>
      <c r="CF7" s="8"/>
      <c r="CG7" s="8"/>
      <c r="CH7" s="8"/>
      <c r="CI7" s="8"/>
      <c r="CJ7" s="8"/>
      <c r="CK7" s="8"/>
      <c r="CL7" s="8"/>
      <c r="CM7" s="8"/>
      <c r="CN7" s="8"/>
      <c r="CO7" s="8"/>
    </row>
    <row r="8" spans="2:93" ht="16" thickBot="1">
      <c r="B8" s="87"/>
      <c r="C8" s="104">
        <v>2015</v>
      </c>
      <c r="D8" s="104">
        <v>2020</v>
      </c>
      <c r="E8" s="104">
        <v>2030</v>
      </c>
      <c r="F8" s="104">
        <v>2050</v>
      </c>
      <c r="G8" s="104" t="s">
        <v>2</v>
      </c>
      <c r="H8" s="105" t="s">
        <v>3</v>
      </c>
      <c r="J8" s="53" t="s">
        <v>357</v>
      </c>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c r="CL8" s="8"/>
      <c r="CM8" s="8"/>
      <c r="CN8" s="8"/>
      <c r="CO8" s="8"/>
    </row>
    <row r="9" spans="2:93" ht="31" thickBot="1">
      <c r="B9" s="147" t="s">
        <v>4</v>
      </c>
      <c r="C9" s="133"/>
      <c r="D9" s="133"/>
      <c r="E9" s="133"/>
      <c r="F9" s="133"/>
      <c r="G9" s="133"/>
      <c r="H9" s="134"/>
      <c r="J9" s="46" t="s">
        <v>335</v>
      </c>
      <c r="K9" s="46" t="s">
        <v>336</v>
      </c>
      <c r="L9" s="47" t="s">
        <v>337</v>
      </c>
      <c r="M9" s="47" t="s">
        <v>338</v>
      </c>
      <c r="N9" s="47" t="s">
        <v>339</v>
      </c>
      <c r="O9" s="48" t="s">
        <v>340</v>
      </c>
      <c r="P9" s="49" t="s">
        <v>341</v>
      </c>
      <c r="Q9" s="49" t="s">
        <v>342</v>
      </c>
      <c r="R9" s="49" t="s">
        <v>343</v>
      </c>
      <c r="S9" s="49" t="s">
        <v>344</v>
      </c>
      <c r="T9" s="49" t="s">
        <v>345</v>
      </c>
      <c r="U9" s="49" t="s">
        <v>346</v>
      </c>
      <c r="V9" s="49" t="s">
        <v>347</v>
      </c>
      <c r="W9" s="49" t="s">
        <v>348</v>
      </c>
      <c r="X9" s="49" t="s">
        <v>349</v>
      </c>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c r="BQ9" s="8"/>
      <c r="BR9" s="8"/>
      <c r="BS9" s="8"/>
      <c r="BT9" s="8"/>
      <c r="BU9" s="8"/>
      <c r="BV9" s="8"/>
      <c r="BW9" s="8"/>
      <c r="BX9" s="8"/>
      <c r="BY9" s="8"/>
      <c r="BZ9" s="8"/>
      <c r="CA9" s="8"/>
      <c r="CB9" s="8"/>
      <c r="CC9" s="8"/>
      <c r="CD9" s="8"/>
      <c r="CE9" s="8"/>
      <c r="CF9" s="8"/>
      <c r="CG9" s="8"/>
      <c r="CH9" s="8"/>
      <c r="CI9" s="8"/>
      <c r="CJ9" s="8"/>
      <c r="CK9" s="8"/>
      <c r="CL9" s="8"/>
      <c r="CM9" s="8"/>
      <c r="CN9" s="8"/>
      <c r="CO9" s="8"/>
    </row>
    <row r="10" spans="2:93" ht="16" thickBot="1">
      <c r="B10" s="148" t="s">
        <v>5</v>
      </c>
      <c r="C10" s="148" t="s">
        <v>43</v>
      </c>
      <c r="D10" s="149" t="s">
        <v>43</v>
      </c>
      <c r="E10" s="149" t="s">
        <v>43</v>
      </c>
      <c r="F10" s="149" t="s">
        <v>43</v>
      </c>
      <c r="G10" s="149" t="s">
        <v>377</v>
      </c>
      <c r="H10" s="149">
        <v>5</v>
      </c>
      <c r="J10" s="50"/>
      <c r="K10" s="50"/>
      <c r="L10" s="51"/>
      <c r="M10" s="51"/>
      <c r="N10" s="51"/>
      <c r="O10" s="52"/>
      <c r="P10" s="50"/>
      <c r="Q10" s="50"/>
      <c r="R10" s="50"/>
      <c r="S10" s="50"/>
      <c r="T10" s="50"/>
      <c r="U10" s="50"/>
      <c r="V10" s="50"/>
      <c r="W10" s="50"/>
      <c r="X10" s="50"/>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c r="BQ10" s="8"/>
      <c r="BR10" s="8"/>
      <c r="BS10" s="8"/>
      <c r="BT10" s="8"/>
      <c r="BU10" s="8"/>
      <c r="BV10" s="8"/>
      <c r="BW10" s="8"/>
      <c r="BX10" s="8"/>
      <c r="BY10" s="8"/>
      <c r="BZ10" s="8"/>
      <c r="CA10" s="8"/>
      <c r="CB10" s="8"/>
      <c r="CC10" s="8"/>
      <c r="CD10" s="8"/>
      <c r="CE10" s="8"/>
      <c r="CF10" s="8"/>
      <c r="CG10" s="8"/>
      <c r="CH10" s="8"/>
      <c r="CI10" s="8"/>
      <c r="CJ10" s="8"/>
      <c r="CK10" s="8"/>
      <c r="CL10" s="8"/>
      <c r="CM10" s="8"/>
      <c r="CN10" s="8"/>
      <c r="CO10" s="8"/>
    </row>
    <row r="11" spans="2:93" ht="16" thickBot="1">
      <c r="B11" s="148" t="s">
        <v>7</v>
      </c>
      <c r="C11" s="125">
        <v>100</v>
      </c>
      <c r="D11" s="156">
        <v>100</v>
      </c>
      <c r="E11" s="156">
        <v>100</v>
      </c>
      <c r="F11" s="156">
        <v>100</v>
      </c>
      <c r="G11" s="151"/>
      <c r="H11" s="151"/>
      <c r="J11" s="56"/>
      <c r="K11" s="56"/>
      <c r="L11" s="57"/>
      <c r="M11" s="57"/>
      <c r="N11" s="57"/>
      <c r="O11" s="56" t="s">
        <v>350</v>
      </c>
      <c r="P11" s="56" t="s">
        <v>326</v>
      </c>
      <c r="Q11" s="56" t="s">
        <v>327</v>
      </c>
      <c r="R11" s="56" t="s">
        <v>351</v>
      </c>
      <c r="S11" s="56" t="s">
        <v>351</v>
      </c>
      <c r="T11" s="56" t="s">
        <v>352</v>
      </c>
      <c r="U11" s="56" t="s">
        <v>352</v>
      </c>
      <c r="V11" s="56" t="s">
        <v>352</v>
      </c>
      <c r="W11" s="56" t="s">
        <v>352</v>
      </c>
      <c r="X11" s="56" t="s">
        <v>352</v>
      </c>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8"/>
      <c r="BY11" s="8"/>
      <c r="BZ11" s="8"/>
      <c r="CA11" s="8"/>
      <c r="CB11" s="8"/>
      <c r="CC11" s="8"/>
      <c r="CD11" s="8"/>
      <c r="CE11" s="8"/>
      <c r="CF11" s="8"/>
      <c r="CG11" s="8"/>
      <c r="CH11" s="8"/>
      <c r="CI11" s="8"/>
      <c r="CJ11" s="8"/>
      <c r="CK11" s="8"/>
      <c r="CL11" s="8"/>
      <c r="CM11" s="8"/>
      <c r="CN11" s="8"/>
      <c r="CO11" s="8"/>
    </row>
    <row r="12" spans="2:93" ht="16" thickBot="1">
      <c r="B12" s="148" t="s">
        <v>8</v>
      </c>
      <c r="C12" s="125">
        <v>100</v>
      </c>
      <c r="D12" s="151">
        <v>100</v>
      </c>
      <c r="E12" s="151">
        <v>100</v>
      </c>
      <c r="F12" s="151">
        <v>100</v>
      </c>
      <c r="G12" s="151"/>
      <c r="H12" s="151"/>
      <c r="J12" s="58">
        <f>C8</f>
        <v>2015</v>
      </c>
      <c r="K12" s="58">
        <f>J12</f>
        <v>2015</v>
      </c>
      <c r="L12" s="58">
        <f>C13/100</f>
        <v>1.5</v>
      </c>
      <c r="M12" s="58"/>
      <c r="N12" s="58">
        <f>C14</f>
        <v>12.5</v>
      </c>
      <c r="O12" s="59">
        <f>C29</f>
        <v>596</v>
      </c>
      <c r="P12" s="59">
        <f>C31</f>
        <v>20.114999999999998</v>
      </c>
      <c r="Q12" s="59">
        <f>C32</f>
        <v>14.9</v>
      </c>
      <c r="R12" s="58"/>
      <c r="S12" s="58"/>
      <c r="T12" s="58">
        <f>C16</f>
        <v>0</v>
      </c>
      <c r="U12" s="58">
        <f>C17</f>
        <v>115</v>
      </c>
      <c r="V12" s="58">
        <f>C18</f>
        <v>5</v>
      </c>
      <c r="W12" s="58">
        <f>C19</f>
        <v>0</v>
      </c>
      <c r="X12" s="58">
        <f>C20</f>
        <v>0</v>
      </c>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8"/>
      <c r="CI12" s="8"/>
      <c r="CJ12" s="8"/>
      <c r="CK12" s="8"/>
      <c r="CL12" s="8"/>
      <c r="CM12" s="8"/>
      <c r="CN12" s="8"/>
      <c r="CO12" s="8"/>
    </row>
    <row r="13" spans="2:93" ht="16" thickBot="1">
      <c r="B13" s="148" t="s">
        <v>363</v>
      </c>
      <c r="C13" s="125">
        <v>150</v>
      </c>
      <c r="D13" s="151">
        <v>155</v>
      </c>
      <c r="E13" s="151">
        <v>155</v>
      </c>
      <c r="F13" s="151">
        <v>160</v>
      </c>
      <c r="G13" s="151"/>
      <c r="H13" s="151">
        <v>14</v>
      </c>
      <c r="J13" s="58">
        <f>D8</f>
        <v>2020</v>
      </c>
      <c r="K13" s="58"/>
      <c r="L13" s="58">
        <f>D13/100</f>
        <v>1.55</v>
      </c>
      <c r="M13" s="58"/>
      <c r="N13" s="58">
        <f>D14</f>
        <v>17.5</v>
      </c>
      <c r="O13" s="59">
        <f>D29</f>
        <v>596</v>
      </c>
      <c r="P13" s="59">
        <f>D31</f>
        <v>20.114999999999998</v>
      </c>
      <c r="Q13" s="59">
        <f>D32</f>
        <v>14.9</v>
      </c>
      <c r="R13" s="58"/>
      <c r="S13" s="58"/>
      <c r="T13" s="58">
        <f>D16</f>
        <v>0</v>
      </c>
      <c r="U13" s="58">
        <f>D17</f>
        <v>85</v>
      </c>
      <c r="V13" s="58">
        <f>D18</f>
        <v>5</v>
      </c>
      <c r="W13" s="58">
        <f>D19</f>
        <v>0</v>
      </c>
      <c r="X13" s="58">
        <f>D20</f>
        <v>0</v>
      </c>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c r="CO13" s="8"/>
    </row>
    <row r="14" spans="2:93" ht="16" thickBot="1">
      <c r="B14" s="148" t="s">
        <v>11</v>
      </c>
      <c r="C14" s="182">
        <f>(10+15)/2</f>
        <v>12.5</v>
      </c>
      <c r="D14" s="183">
        <f>(15+20)/2</f>
        <v>17.5</v>
      </c>
      <c r="E14" s="183">
        <f>(15+20)/2</f>
        <v>17.5</v>
      </c>
      <c r="F14" s="183">
        <f>(15+20)/2</f>
        <v>17.5</v>
      </c>
      <c r="G14" s="151" t="s">
        <v>59</v>
      </c>
      <c r="H14" s="151"/>
      <c r="J14" s="58">
        <f>E8</f>
        <v>2030</v>
      </c>
      <c r="K14" s="58"/>
      <c r="L14" s="58">
        <f>E13/100</f>
        <v>1.55</v>
      </c>
      <c r="M14" s="58"/>
      <c r="N14" s="58">
        <f>E14</f>
        <v>17.5</v>
      </c>
      <c r="O14" s="59">
        <f>E29</f>
        <v>596</v>
      </c>
      <c r="P14" s="59">
        <f>E31</f>
        <v>20.114999999999998</v>
      </c>
      <c r="Q14" s="59">
        <f>E32</f>
        <v>14.9</v>
      </c>
      <c r="R14" s="58"/>
      <c r="S14" s="58"/>
      <c r="T14" s="58">
        <f>E16</f>
        <v>0</v>
      </c>
      <c r="U14" s="58">
        <f>E17</f>
        <v>55</v>
      </c>
      <c r="V14" s="58">
        <f>E18</f>
        <v>5</v>
      </c>
      <c r="W14" s="58">
        <f>E19</f>
        <v>0</v>
      </c>
      <c r="X14" s="58">
        <f>E20</f>
        <v>0</v>
      </c>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c r="BQ14" s="8"/>
      <c r="BR14" s="8"/>
      <c r="BS14" s="8"/>
      <c r="BT14" s="8"/>
      <c r="BU14" s="8"/>
      <c r="BV14" s="8"/>
      <c r="BW14" s="8"/>
      <c r="BX14" s="8"/>
      <c r="BY14" s="8"/>
      <c r="BZ14" s="8"/>
      <c r="CA14" s="8"/>
      <c r="CB14" s="8"/>
      <c r="CC14" s="8"/>
      <c r="CD14" s="8"/>
      <c r="CE14" s="8"/>
      <c r="CF14" s="8"/>
      <c r="CG14" s="8"/>
      <c r="CH14" s="8"/>
      <c r="CI14" s="8"/>
      <c r="CJ14" s="8"/>
      <c r="CK14" s="8"/>
      <c r="CL14" s="8"/>
      <c r="CM14" s="8"/>
      <c r="CN14" s="8"/>
      <c r="CO14" s="8"/>
    </row>
    <row r="15" spans="2:93" ht="16" thickBot="1">
      <c r="B15" s="143" t="s">
        <v>12</v>
      </c>
      <c r="C15" s="133"/>
      <c r="D15" s="133"/>
      <c r="E15" s="133"/>
      <c r="F15" s="133"/>
      <c r="G15" s="133"/>
      <c r="H15" s="134"/>
      <c r="J15" s="58">
        <f>F8</f>
        <v>2050</v>
      </c>
      <c r="K15" s="58"/>
      <c r="L15" s="58">
        <f>F13/100</f>
        <v>1.6</v>
      </c>
      <c r="M15" s="58"/>
      <c r="N15" s="58">
        <f>F14</f>
        <v>17.5</v>
      </c>
      <c r="O15" s="59">
        <f>F29</f>
        <v>596</v>
      </c>
      <c r="P15" s="59">
        <f>F31</f>
        <v>20.114999999999998</v>
      </c>
      <c r="Q15" s="59">
        <f>F32</f>
        <v>14.9</v>
      </c>
      <c r="R15" s="58"/>
      <c r="S15" s="58"/>
      <c r="T15" s="58">
        <f>F16</f>
        <v>0</v>
      </c>
      <c r="U15" s="58">
        <f>F17</f>
        <v>55</v>
      </c>
      <c r="V15" s="58">
        <f>F18</f>
        <v>5</v>
      </c>
      <c r="W15" s="58">
        <f>F19</f>
        <v>0</v>
      </c>
      <c r="X15" s="58">
        <f>F20</f>
        <v>0</v>
      </c>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row>
    <row r="16" spans="2:93" ht="16" thickBot="1">
      <c r="B16" s="148" t="s">
        <v>364</v>
      </c>
      <c r="C16" s="148">
        <v>0</v>
      </c>
      <c r="D16" s="149">
        <v>0</v>
      </c>
      <c r="E16" s="149">
        <v>0</v>
      </c>
      <c r="F16" s="149">
        <v>0</v>
      </c>
      <c r="G16" s="149"/>
      <c r="H16" s="149"/>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c r="CC16" s="8"/>
      <c r="CD16" s="8"/>
      <c r="CE16" s="8"/>
      <c r="CF16" s="8"/>
      <c r="CG16" s="8"/>
      <c r="CH16" s="8"/>
      <c r="CI16" s="8"/>
      <c r="CJ16" s="8"/>
      <c r="CK16" s="8"/>
      <c r="CL16" s="8"/>
      <c r="CM16" s="8"/>
      <c r="CN16" s="8"/>
      <c r="CO16" s="8"/>
    </row>
    <row r="17" spans="2:93" ht="16" thickBot="1">
      <c r="B17" s="148" t="s">
        <v>365</v>
      </c>
      <c r="C17" s="184">
        <f>(30+200)/2</f>
        <v>115</v>
      </c>
      <c r="D17" s="183">
        <f>(20+150)/2</f>
        <v>85</v>
      </c>
      <c r="E17" s="183">
        <f>(10+100)/2</f>
        <v>55</v>
      </c>
      <c r="F17" s="151">
        <f>(10+100)/2</f>
        <v>55</v>
      </c>
      <c r="G17" s="151" t="s">
        <v>16</v>
      </c>
      <c r="H17" s="151">
        <v>15</v>
      </c>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row>
    <row r="18" spans="2:93" ht="16" thickBot="1">
      <c r="B18" s="148" t="s">
        <v>366</v>
      </c>
      <c r="C18" s="181">
        <v>5</v>
      </c>
      <c r="D18" s="181">
        <v>5</v>
      </c>
      <c r="E18" s="181">
        <v>5</v>
      </c>
      <c r="F18" s="181">
        <v>5</v>
      </c>
      <c r="G18" s="151" t="s">
        <v>20</v>
      </c>
      <c r="H18" s="151"/>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c r="BQ18" s="8"/>
      <c r="BR18" s="8"/>
      <c r="BS18" s="8"/>
      <c r="BT18" s="8"/>
      <c r="BU18" s="8"/>
      <c r="BV18" s="8"/>
      <c r="BW18" s="8"/>
      <c r="BX18" s="8"/>
      <c r="BY18" s="8"/>
      <c r="BZ18" s="8"/>
      <c r="CA18" s="8"/>
      <c r="CB18" s="8"/>
      <c r="CC18" s="8"/>
      <c r="CD18" s="8"/>
      <c r="CE18" s="8"/>
      <c r="CF18" s="8"/>
      <c r="CG18" s="8"/>
      <c r="CH18" s="8"/>
      <c r="CI18" s="8"/>
      <c r="CJ18" s="8"/>
      <c r="CK18" s="8"/>
      <c r="CL18" s="8"/>
      <c r="CM18" s="8"/>
      <c r="CN18" s="8"/>
      <c r="CO18" s="8"/>
    </row>
    <row r="19" spans="2:93" ht="16" thickBot="1">
      <c r="B19" s="148" t="s">
        <v>367</v>
      </c>
      <c r="C19" s="181">
        <v>0</v>
      </c>
      <c r="D19" s="181">
        <v>0</v>
      </c>
      <c r="E19" s="181">
        <v>0</v>
      </c>
      <c r="F19" s="181">
        <v>0</v>
      </c>
      <c r="G19" s="151"/>
      <c r="H19" s="151"/>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c r="CD19" s="8"/>
      <c r="CE19" s="8"/>
      <c r="CF19" s="8"/>
      <c r="CG19" s="8"/>
      <c r="CH19" s="8"/>
      <c r="CI19" s="8"/>
      <c r="CJ19" s="8"/>
      <c r="CK19" s="8"/>
      <c r="CL19" s="8"/>
      <c r="CM19" s="8"/>
      <c r="CN19" s="8"/>
      <c r="CO19" s="8"/>
    </row>
    <row r="20" spans="2:93" ht="16" thickBot="1">
      <c r="B20" s="148" t="s">
        <v>19</v>
      </c>
      <c r="C20" s="181">
        <v>0</v>
      </c>
      <c r="D20" s="181">
        <v>0</v>
      </c>
      <c r="E20" s="181">
        <v>0</v>
      </c>
      <c r="F20" s="181">
        <v>0</v>
      </c>
      <c r="G20" s="151"/>
      <c r="H20" s="151"/>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8"/>
      <c r="CK20" s="8"/>
      <c r="CL20" s="8"/>
      <c r="CM20" s="8"/>
      <c r="CN20" s="8"/>
      <c r="CO20" s="8"/>
    </row>
    <row r="21" spans="2:93" ht="15.75" customHeight="1" thickBot="1">
      <c r="B21" s="143" t="s">
        <v>368</v>
      </c>
      <c r="C21" s="1288" t="s">
        <v>378</v>
      </c>
      <c r="D21" s="1288"/>
      <c r="E21" s="1288"/>
      <c r="F21" s="1288"/>
      <c r="G21" s="1288"/>
      <c r="H21" s="1289"/>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row>
    <row r="22" spans="2:93" ht="16" thickBot="1">
      <c r="B22" s="148" t="s">
        <v>23</v>
      </c>
      <c r="C22" s="152" t="s">
        <v>379</v>
      </c>
      <c r="D22" s="152" t="s">
        <v>380</v>
      </c>
      <c r="E22" s="152" t="s">
        <v>380</v>
      </c>
      <c r="F22" s="152" t="s">
        <v>380</v>
      </c>
      <c r="G22" s="152" t="s">
        <v>374</v>
      </c>
      <c r="H22" s="152">
        <v>14</v>
      </c>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row>
    <row r="23" spans="2:93" ht="16" thickBot="1">
      <c r="B23" s="148" t="s">
        <v>24</v>
      </c>
      <c r="C23" s="152">
        <v>4</v>
      </c>
      <c r="D23" s="152">
        <v>4</v>
      </c>
      <c r="E23" s="152">
        <v>4</v>
      </c>
      <c r="F23" s="152">
        <v>4</v>
      </c>
      <c r="G23" s="152" t="s">
        <v>381</v>
      </c>
      <c r="H23" s="152"/>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8"/>
      <c r="CK23" s="8"/>
      <c r="CL23" s="8"/>
      <c r="CM23" s="8"/>
      <c r="CN23" s="8"/>
      <c r="CO23" s="8"/>
    </row>
    <row r="24" spans="2:93" ht="16" thickBot="1">
      <c r="B24" s="148" t="s">
        <v>26</v>
      </c>
      <c r="C24" s="152">
        <v>83</v>
      </c>
      <c r="D24" s="152">
        <v>83</v>
      </c>
      <c r="E24" s="152">
        <v>83</v>
      </c>
      <c r="F24" s="152">
        <v>83</v>
      </c>
      <c r="G24" s="152"/>
      <c r="H24" s="152"/>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c r="CB24" s="8"/>
      <c r="CC24" s="8"/>
      <c r="CD24" s="8"/>
      <c r="CE24" s="8"/>
      <c r="CF24" s="8"/>
      <c r="CG24" s="8"/>
      <c r="CH24" s="8"/>
      <c r="CI24" s="8"/>
      <c r="CJ24" s="8"/>
      <c r="CK24" s="8"/>
      <c r="CL24" s="8"/>
      <c r="CM24" s="8"/>
      <c r="CN24" s="8"/>
      <c r="CO24" s="8"/>
    </row>
    <row r="25" spans="2:93" ht="16" thickBot="1">
      <c r="B25" s="148" t="s">
        <v>28</v>
      </c>
      <c r="C25" s="152">
        <v>17</v>
      </c>
      <c r="D25" s="152">
        <v>17</v>
      </c>
      <c r="E25" s="152">
        <v>17</v>
      </c>
      <c r="F25" s="152">
        <v>17</v>
      </c>
      <c r="G25" s="152"/>
      <c r="H25" s="152"/>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8"/>
      <c r="CH25" s="8"/>
      <c r="CI25" s="8"/>
      <c r="CJ25" s="8"/>
      <c r="CK25" s="8"/>
      <c r="CL25" s="8"/>
      <c r="CM25" s="8"/>
      <c r="CN25" s="8"/>
      <c r="CO25" s="8"/>
    </row>
    <row r="26" spans="2:93" ht="16" thickBot="1">
      <c r="B26" s="148" t="s">
        <v>369</v>
      </c>
      <c r="C26" s="154">
        <v>1.6</v>
      </c>
      <c r="D26" s="152">
        <v>1.6</v>
      </c>
      <c r="E26" s="152">
        <v>1.6</v>
      </c>
      <c r="F26" s="152">
        <v>1.6</v>
      </c>
      <c r="G26" s="152" t="s">
        <v>55</v>
      </c>
      <c r="H26" s="152"/>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8"/>
      <c r="CK26" s="8"/>
      <c r="CL26" s="8"/>
      <c r="CM26" s="8"/>
      <c r="CN26" s="8"/>
      <c r="CO26" s="8"/>
    </row>
    <row r="27" spans="2:93" ht="16" thickBot="1">
      <c r="B27" s="148" t="s">
        <v>64</v>
      </c>
      <c r="C27" s="154">
        <v>135</v>
      </c>
      <c r="D27" s="152">
        <v>135</v>
      </c>
      <c r="E27" s="152">
        <v>135</v>
      </c>
      <c r="F27" s="152">
        <v>135</v>
      </c>
      <c r="G27" s="152" t="s">
        <v>382</v>
      </c>
      <c r="H27" s="152"/>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8"/>
      <c r="CK27" s="8"/>
      <c r="CL27" s="8"/>
      <c r="CM27" s="8"/>
      <c r="CN27" s="8"/>
      <c r="CO27" s="8"/>
    </row>
    <row r="28" spans="2:93" ht="16" thickBot="1">
      <c r="B28" s="148" t="s">
        <v>407</v>
      </c>
      <c r="C28" s="157">
        <v>100</v>
      </c>
      <c r="D28" s="157">
        <v>100</v>
      </c>
      <c r="E28" s="157">
        <v>100</v>
      </c>
      <c r="F28" s="157">
        <v>100</v>
      </c>
      <c r="G28" s="157" t="s">
        <v>383</v>
      </c>
      <c r="H28" s="152"/>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8"/>
      <c r="CK28" s="8"/>
      <c r="CL28" s="8"/>
      <c r="CM28" s="8"/>
      <c r="CN28" s="8"/>
      <c r="CO28" s="8"/>
    </row>
    <row r="29" spans="2:93">
      <c r="B29" s="36" t="s">
        <v>353</v>
      </c>
      <c r="C29" s="42">
        <f>C30/$G30</f>
        <v>596</v>
      </c>
      <c r="D29" s="42">
        <f>D30/$G30</f>
        <v>596</v>
      </c>
      <c r="E29" s="42">
        <f>E30/$G30</f>
        <v>596</v>
      </c>
      <c r="F29" s="42">
        <f>F30/$G30</f>
        <v>596</v>
      </c>
      <c r="H29" s="63"/>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row>
    <row r="30" spans="2:93">
      <c r="B30" s="36" t="s">
        <v>354</v>
      </c>
      <c r="C30" s="42">
        <f>C23*$G$4*1000</f>
        <v>29800</v>
      </c>
      <c r="D30" s="42">
        <f>D23*$G$4*1000</f>
        <v>29800</v>
      </c>
      <c r="E30" s="42">
        <f>E23*$G$4*1000</f>
        <v>29800</v>
      </c>
      <c r="F30" s="42">
        <f>F23*$G$4*1000</f>
        <v>29800</v>
      </c>
      <c r="G30" s="67">
        <v>50</v>
      </c>
      <c r="H30" s="63" t="s">
        <v>330</v>
      </c>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row>
    <row r="31" spans="2:93">
      <c r="B31" s="36" t="s">
        <v>355</v>
      </c>
      <c r="C31" s="106">
        <f>C27*$G$4/$G30</f>
        <v>20.114999999999998</v>
      </c>
      <c r="D31" s="106">
        <f>D27*$G$4/$G30</f>
        <v>20.114999999999998</v>
      </c>
      <c r="E31" s="106">
        <f>E27*$G$4/$G30</f>
        <v>20.114999999999998</v>
      </c>
      <c r="F31" s="106">
        <f>F27*$G$4/$G30</f>
        <v>20.114999999999998</v>
      </c>
      <c r="G31" s="63" t="s">
        <v>333</v>
      </c>
      <c r="H31" s="63"/>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row>
    <row r="32" spans="2:93" ht="16" thickBot="1">
      <c r="B32" s="36" t="s">
        <v>356</v>
      </c>
      <c r="C32" s="106">
        <f>C28*$G$4/$G30</f>
        <v>14.9</v>
      </c>
      <c r="D32" s="106">
        <f>D28*$G$4/$G30</f>
        <v>14.9</v>
      </c>
      <c r="E32" s="106">
        <f>E28*$G$4/$G30</f>
        <v>14.9</v>
      </c>
      <c r="F32" s="106">
        <f>F28*$G$4/$G30</f>
        <v>14.9</v>
      </c>
      <c r="G32" s="66"/>
      <c r="H32" s="63"/>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row>
    <row r="33" spans="3:93">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8"/>
      <c r="CK33" s="8"/>
      <c r="CL33" s="8"/>
      <c r="CM33" s="8"/>
      <c r="CN33" s="8"/>
      <c r="CO33" s="8"/>
    </row>
    <row r="34" spans="3:93">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c r="CB34" s="8"/>
      <c r="CC34" s="8"/>
      <c r="CD34" s="8"/>
      <c r="CE34" s="8"/>
      <c r="CF34" s="8"/>
      <c r="CG34" s="8"/>
      <c r="CH34" s="8"/>
      <c r="CI34" s="8"/>
      <c r="CJ34" s="8"/>
      <c r="CK34" s="8"/>
      <c r="CL34" s="8"/>
      <c r="CM34" s="8"/>
      <c r="CN34" s="8"/>
      <c r="CO34" s="8"/>
    </row>
    <row r="35" spans="3:93">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8"/>
      <c r="CI35" s="8"/>
      <c r="CJ35" s="8"/>
      <c r="CK35" s="8"/>
      <c r="CL35" s="8"/>
      <c r="CM35" s="8"/>
      <c r="CN35" s="8"/>
      <c r="CO35" s="8"/>
    </row>
    <row r="36" spans="3:93">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8"/>
      <c r="CI36" s="8"/>
      <c r="CJ36" s="8"/>
      <c r="CK36" s="8"/>
      <c r="CL36" s="8"/>
      <c r="CM36" s="8"/>
      <c r="CN36" s="8"/>
      <c r="CO36" s="8"/>
    </row>
    <row r="37" spans="3:93">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8"/>
      <c r="CH37" s="8"/>
      <c r="CI37" s="8"/>
      <c r="CJ37" s="8"/>
      <c r="CK37" s="8"/>
      <c r="CL37" s="8"/>
      <c r="CM37" s="8"/>
      <c r="CN37" s="8"/>
      <c r="CO37" s="8"/>
    </row>
    <row r="38" spans="3:93">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8"/>
      <c r="CK38" s="8"/>
      <c r="CL38" s="8"/>
      <c r="CM38" s="8"/>
      <c r="CN38" s="8"/>
      <c r="CO38" s="8"/>
    </row>
    <row r="39" spans="3:93">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c r="CB39" s="8"/>
      <c r="CC39" s="8"/>
      <c r="CD39" s="8"/>
      <c r="CE39" s="8"/>
      <c r="CF39" s="8"/>
      <c r="CG39" s="8"/>
      <c r="CH39" s="8"/>
      <c r="CI39" s="8"/>
      <c r="CJ39" s="8"/>
      <c r="CK39" s="8"/>
      <c r="CL39" s="8"/>
      <c r="CM39" s="8"/>
      <c r="CN39" s="8"/>
      <c r="CO39" s="8"/>
    </row>
    <row r="40" spans="3:93">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8"/>
      <c r="CJ40" s="8"/>
      <c r="CK40" s="8"/>
      <c r="CL40" s="8"/>
      <c r="CM40" s="8"/>
      <c r="CN40" s="8"/>
      <c r="CO40" s="8"/>
    </row>
    <row r="41" spans="3:93">
      <c r="C41"/>
      <c r="D41"/>
      <c r="E41"/>
      <c r="F41"/>
      <c r="G41"/>
      <c r="H41"/>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c r="CB41" s="8"/>
      <c r="CC41" s="8"/>
      <c r="CD41" s="8"/>
      <c r="CE41" s="8"/>
      <c r="CF41" s="8"/>
      <c r="CG41" s="8"/>
      <c r="CH41" s="8"/>
      <c r="CI41" s="8"/>
      <c r="CJ41" s="8"/>
      <c r="CK41" s="8"/>
      <c r="CL41" s="8"/>
      <c r="CM41" s="8"/>
      <c r="CN41" s="8"/>
      <c r="CO41" s="8"/>
    </row>
    <row r="42" spans="3:93">
      <c r="C42"/>
      <c r="D42"/>
      <c r="E42"/>
      <c r="F42"/>
      <c r="G42"/>
      <c r="H42"/>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c r="CB42" s="8"/>
      <c r="CC42" s="8"/>
      <c r="CD42" s="8"/>
      <c r="CE42" s="8"/>
      <c r="CF42" s="8"/>
      <c r="CG42" s="8"/>
      <c r="CH42" s="8"/>
      <c r="CI42" s="8"/>
      <c r="CJ42" s="8"/>
      <c r="CK42" s="8"/>
      <c r="CL42" s="8"/>
      <c r="CM42" s="8"/>
      <c r="CN42" s="8"/>
      <c r="CO42" s="8"/>
    </row>
    <row r="43" spans="3:93">
      <c r="C43"/>
      <c r="D43"/>
      <c r="E43"/>
      <c r="F43"/>
      <c r="G43"/>
      <c r="H43"/>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c r="CB43" s="8"/>
      <c r="CC43" s="8"/>
      <c r="CD43" s="8"/>
      <c r="CE43" s="8"/>
      <c r="CF43" s="8"/>
      <c r="CG43" s="8"/>
      <c r="CH43" s="8"/>
      <c r="CI43" s="8"/>
      <c r="CJ43" s="8"/>
      <c r="CK43" s="8"/>
      <c r="CL43" s="8"/>
      <c r="CM43" s="8"/>
      <c r="CN43" s="8"/>
      <c r="CO43" s="8"/>
    </row>
    <row r="44" spans="3:93">
      <c r="C44"/>
      <c r="D44"/>
      <c r="E44"/>
      <c r="F44"/>
      <c r="G44"/>
      <c r="H44"/>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c r="CB44" s="8"/>
      <c r="CC44" s="8"/>
      <c r="CD44" s="8"/>
      <c r="CE44" s="8"/>
      <c r="CF44" s="8"/>
      <c r="CG44" s="8"/>
      <c r="CH44" s="8"/>
      <c r="CI44" s="8"/>
      <c r="CJ44" s="8"/>
      <c r="CK44" s="8"/>
      <c r="CL44" s="8"/>
      <c r="CM44" s="8"/>
      <c r="CN44" s="8"/>
      <c r="CO44" s="8"/>
    </row>
    <row r="45" spans="3:93">
      <c r="C45"/>
      <c r="D45"/>
      <c r="E45"/>
      <c r="F45"/>
      <c r="G45"/>
      <c r="H45"/>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c r="CB45" s="8"/>
      <c r="CC45" s="8"/>
      <c r="CD45" s="8"/>
      <c r="CE45" s="8"/>
      <c r="CF45" s="8"/>
      <c r="CG45" s="8"/>
      <c r="CH45" s="8"/>
      <c r="CI45" s="8"/>
      <c r="CJ45" s="8"/>
      <c r="CK45" s="8"/>
      <c r="CL45" s="8"/>
      <c r="CM45" s="8"/>
      <c r="CN45" s="8"/>
      <c r="CO45" s="8"/>
    </row>
    <row r="46" spans="3:93">
      <c r="C46"/>
      <c r="D46"/>
      <c r="E46"/>
      <c r="F46"/>
      <c r="G46"/>
      <c r="H46"/>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c r="CB46" s="8"/>
      <c r="CC46" s="8"/>
      <c r="CD46" s="8"/>
      <c r="CE46" s="8"/>
      <c r="CF46" s="8"/>
      <c r="CG46" s="8"/>
      <c r="CH46" s="8"/>
      <c r="CI46" s="8"/>
      <c r="CJ46" s="8"/>
      <c r="CK46" s="8"/>
      <c r="CL46" s="8"/>
      <c r="CM46" s="8"/>
      <c r="CN46" s="8"/>
      <c r="CO46" s="8"/>
    </row>
    <row r="47" spans="3:93">
      <c r="C47"/>
      <c r="D47"/>
      <c r="E47"/>
      <c r="F47"/>
      <c r="G47"/>
      <c r="H47"/>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c r="CB47" s="8"/>
      <c r="CC47" s="8"/>
      <c r="CD47" s="8"/>
      <c r="CE47" s="8"/>
      <c r="CF47" s="8"/>
      <c r="CG47" s="8"/>
      <c r="CH47" s="8"/>
      <c r="CI47" s="8"/>
      <c r="CJ47" s="8"/>
      <c r="CK47" s="8"/>
      <c r="CL47" s="8"/>
      <c r="CM47" s="8"/>
      <c r="CN47" s="8"/>
      <c r="CO47" s="8"/>
    </row>
    <row r="48" spans="3:93">
      <c r="C48"/>
      <c r="D48"/>
      <c r="E48"/>
      <c r="F48"/>
      <c r="G48"/>
      <c r="H4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c r="CB48" s="8"/>
      <c r="CC48" s="8"/>
      <c r="CD48" s="8"/>
      <c r="CE48" s="8"/>
      <c r="CF48" s="8"/>
      <c r="CG48" s="8"/>
      <c r="CH48" s="8"/>
      <c r="CI48" s="8"/>
      <c r="CJ48" s="8"/>
      <c r="CK48" s="8"/>
      <c r="CL48" s="8"/>
      <c r="CM48" s="8"/>
      <c r="CN48" s="8"/>
      <c r="CO48" s="8"/>
    </row>
    <row r="49" spans="3:93">
      <c r="C49"/>
      <c r="D49"/>
      <c r="E49"/>
      <c r="F49"/>
      <c r="G49"/>
      <c r="H49"/>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c r="CB49" s="8"/>
      <c r="CC49" s="8"/>
      <c r="CD49" s="8"/>
      <c r="CE49" s="8"/>
      <c r="CF49" s="8"/>
      <c r="CG49" s="8"/>
      <c r="CH49" s="8"/>
      <c r="CI49" s="8"/>
      <c r="CJ49" s="8"/>
      <c r="CK49" s="8"/>
      <c r="CL49" s="8"/>
      <c r="CM49" s="8"/>
      <c r="CN49" s="8"/>
      <c r="CO49" s="8"/>
    </row>
    <row r="50" spans="3:93">
      <c r="C50"/>
      <c r="D50"/>
      <c r="E50"/>
      <c r="F50"/>
      <c r="G50"/>
      <c r="H50"/>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c r="CB50" s="8"/>
      <c r="CC50" s="8"/>
      <c r="CD50" s="8"/>
      <c r="CE50" s="8"/>
      <c r="CF50" s="8"/>
      <c r="CG50" s="8"/>
      <c r="CH50" s="8"/>
      <c r="CI50" s="8"/>
      <c r="CJ50" s="8"/>
      <c r="CK50" s="8"/>
      <c r="CL50" s="8"/>
      <c r="CM50" s="8"/>
      <c r="CN50" s="8"/>
      <c r="CO50" s="8"/>
    </row>
    <row r="51" spans="3:93">
      <c r="C51"/>
      <c r="D51"/>
      <c r="E51"/>
      <c r="F51"/>
      <c r="G51"/>
      <c r="H51"/>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c r="CB51" s="8"/>
      <c r="CC51" s="8"/>
      <c r="CD51" s="8"/>
      <c r="CE51" s="8"/>
      <c r="CF51" s="8"/>
      <c r="CG51" s="8"/>
      <c r="CH51" s="8"/>
      <c r="CI51" s="8"/>
      <c r="CJ51" s="8"/>
      <c r="CK51" s="8"/>
      <c r="CL51" s="8"/>
      <c r="CM51" s="8"/>
      <c r="CN51" s="8"/>
      <c r="CO51" s="8"/>
    </row>
    <row r="52" spans="3:93">
      <c r="C52"/>
      <c r="D52"/>
      <c r="E52"/>
      <c r="F52"/>
      <c r="G52"/>
      <c r="H52"/>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c r="CB52" s="8"/>
      <c r="CC52" s="8"/>
      <c r="CD52" s="8"/>
      <c r="CE52" s="8"/>
      <c r="CF52" s="8"/>
      <c r="CG52" s="8"/>
      <c r="CH52" s="8"/>
      <c r="CI52" s="8"/>
      <c r="CJ52" s="8"/>
      <c r="CK52" s="8"/>
      <c r="CL52" s="8"/>
      <c r="CM52" s="8"/>
      <c r="CN52" s="8"/>
      <c r="CO52" s="8"/>
    </row>
    <row r="53" spans="3:93">
      <c r="C53"/>
      <c r="D53"/>
      <c r="E53"/>
      <c r="F53"/>
      <c r="G53"/>
      <c r="H53"/>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c r="CB53" s="8"/>
      <c r="CC53" s="8"/>
      <c r="CD53" s="8"/>
      <c r="CE53" s="8"/>
      <c r="CF53" s="8"/>
      <c r="CG53" s="8"/>
      <c r="CH53" s="8"/>
      <c r="CI53" s="8"/>
      <c r="CJ53" s="8"/>
      <c r="CK53" s="8"/>
      <c r="CL53" s="8"/>
      <c r="CM53" s="8"/>
      <c r="CN53" s="8"/>
      <c r="CO53" s="8"/>
    </row>
    <row r="54" spans="3:93">
      <c r="C54"/>
      <c r="D54"/>
      <c r="E54"/>
      <c r="F54"/>
      <c r="G54"/>
      <c r="H54"/>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c r="CB54" s="8"/>
      <c r="CC54" s="8"/>
      <c r="CD54" s="8"/>
      <c r="CE54" s="8"/>
      <c r="CF54" s="8"/>
      <c r="CG54" s="8"/>
      <c r="CH54" s="8"/>
      <c r="CI54" s="8"/>
      <c r="CJ54" s="8"/>
      <c r="CK54" s="8"/>
      <c r="CL54" s="8"/>
      <c r="CM54" s="8"/>
      <c r="CN54" s="8"/>
      <c r="CO54" s="8"/>
    </row>
    <row r="55" spans="3:93">
      <c r="C55"/>
      <c r="D55"/>
      <c r="E55"/>
      <c r="F55"/>
      <c r="G55"/>
      <c r="H55"/>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c r="CB55" s="8"/>
      <c r="CC55" s="8"/>
      <c r="CD55" s="8"/>
      <c r="CE55" s="8"/>
      <c r="CF55" s="8"/>
      <c r="CG55" s="8"/>
      <c r="CH55" s="8"/>
      <c r="CI55" s="8"/>
      <c r="CJ55" s="8"/>
      <c r="CK55" s="8"/>
      <c r="CL55" s="8"/>
      <c r="CM55" s="8"/>
      <c r="CN55" s="8"/>
      <c r="CO55" s="8"/>
    </row>
    <row r="56" spans="3:93">
      <c r="C56"/>
      <c r="D56"/>
      <c r="E56"/>
      <c r="F56"/>
      <c r="G56"/>
      <c r="H56"/>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c r="CB56" s="8"/>
      <c r="CC56" s="8"/>
      <c r="CD56" s="8"/>
      <c r="CE56" s="8"/>
      <c r="CF56" s="8"/>
      <c r="CG56" s="8"/>
      <c r="CH56" s="8"/>
      <c r="CI56" s="8"/>
      <c r="CJ56" s="8"/>
      <c r="CK56" s="8"/>
      <c r="CL56" s="8"/>
      <c r="CM56" s="8"/>
      <c r="CN56" s="8"/>
      <c r="CO56" s="8"/>
    </row>
    <row r="57" spans="3:93">
      <c r="C57"/>
      <c r="D57"/>
      <c r="E57"/>
      <c r="F57"/>
      <c r="G57"/>
      <c r="H57"/>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c r="CB57" s="8"/>
      <c r="CC57" s="8"/>
      <c r="CD57" s="8"/>
      <c r="CE57" s="8"/>
      <c r="CF57" s="8"/>
      <c r="CG57" s="8"/>
      <c r="CH57" s="8"/>
      <c r="CI57" s="8"/>
      <c r="CJ57" s="8"/>
      <c r="CK57" s="8"/>
      <c r="CL57" s="8"/>
      <c r="CM57" s="8"/>
      <c r="CN57" s="8"/>
      <c r="CO57" s="8"/>
    </row>
    <row r="58" spans="3:93">
      <c r="C58"/>
      <c r="D58"/>
      <c r="E58"/>
      <c r="F58"/>
      <c r="G58"/>
      <c r="H5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c r="CC58" s="8"/>
      <c r="CD58" s="8"/>
      <c r="CE58" s="8"/>
      <c r="CF58" s="8"/>
      <c r="CG58" s="8"/>
      <c r="CH58" s="8"/>
      <c r="CI58" s="8"/>
      <c r="CJ58" s="8"/>
      <c r="CK58" s="8"/>
      <c r="CL58" s="8"/>
      <c r="CM58" s="8"/>
      <c r="CN58" s="8"/>
      <c r="CO58" s="8"/>
    </row>
    <row r="59" spans="3:93">
      <c r="C59"/>
      <c r="D59"/>
      <c r="E59"/>
      <c r="F59"/>
      <c r="G59"/>
      <c r="H59"/>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c r="CC59" s="8"/>
      <c r="CD59" s="8"/>
      <c r="CE59" s="8"/>
      <c r="CF59" s="8"/>
      <c r="CG59" s="8"/>
      <c r="CH59" s="8"/>
      <c r="CI59" s="8"/>
      <c r="CJ59" s="8"/>
      <c r="CK59" s="8"/>
      <c r="CL59" s="8"/>
      <c r="CM59" s="8"/>
      <c r="CN59" s="8"/>
      <c r="CO59" s="8"/>
    </row>
    <row r="60" spans="3:93">
      <c r="C60"/>
      <c r="D60"/>
      <c r="E60"/>
      <c r="F60"/>
      <c r="G60"/>
      <c r="H60"/>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c r="CB60" s="8"/>
      <c r="CC60" s="8"/>
      <c r="CD60" s="8"/>
      <c r="CE60" s="8"/>
      <c r="CF60" s="8"/>
      <c r="CG60" s="8"/>
      <c r="CH60" s="8"/>
      <c r="CI60" s="8"/>
      <c r="CJ60" s="8"/>
      <c r="CK60" s="8"/>
      <c r="CL60" s="8"/>
      <c r="CM60" s="8"/>
      <c r="CN60" s="8"/>
      <c r="CO60" s="8"/>
    </row>
    <row r="61" spans="3:93">
      <c r="C61"/>
      <c r="D61"/>
      <c r="E61"/>
      <c r="F61"/>
      <c r="G61"/>
      <c r="H61"/>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c r="CB61" s="8"/>
      <c r="CC61" s="8"/>
      <c r="CD61" s="8"/>
      <c r="CE61" s="8"/>
      <c r="CF61" s="8"/>
      <c r="CG61" s="8"/>
      <c r="CH61" s="8"/>
      <c r="CI61" s="8"/>
      <c r="CJ61" s="8"/>
      <c r="CK61" s="8"/>
      <c r="CL61" s="8"/>
      <c r="CM61" s="8"/>
      <c r="CN61" s="8"/>
      <c r="CO61" s="8"/>
    </row>
    <row r="62" spans="3:93">
      <c r="C62"/>
      <c r="D62"/>
      <c r="E62"/>
      <c r="F62"/>
      <c r="G62"/>
      <c r="H62"/>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c r="CB62" s="8"/>
      <c r="CC62" s="8"/>
      <c r="CD62" s="8"/>
      <c r="CE62" s="8"/>
      <c r="CF62" s="8"/>
      <c r="CG62" s="8"/>
      <c r="CH62" s="8"/>
      <c r="CI62" s="8"/>
      <c r="CJ62" s="8"/>
      <c r="CK62" s="8"/>
      <c r="CL62" s="8"/>
      <c r="CM62" s="8"/>
      <c r="CN62" s="8"/>
      <c r="CO62" s="8"/>
    </row>
    <row r="63" spans="3:93">
      <c r="C63"/>
      <c r="D63"/>
      <c r="E63"/>
      <c r="F63"/>
      <c r="G63"/>
      <c r="H63"/>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c r="CB63" s="8"/>
      <c r="CC63" s="8"/>
      <c r="CD63" s="8"/>
      <c r="CE63" s="8"/>
      <c r="CF63" s="8"/>
      <c r="CG63" s="8"/>
      <c r="CH63" s="8"/>
      <c r="CI63" s="8"/>
      <c r="CJ63" s="8"/>
      <c r="CK63" s="8"/>
      <c r="CL63" s="8"/>
      <c r="CM63" s="8"/>
      <c r="CN63" s="8"/>
      <c r="CO63" s="8"/>
    </row>
    <row r="64" spans="3:93">
      <c r="C64"/>
      <c r="D64"/>
      <c r="E64"/>
      <c r="F64"/>
      <c r="G64"/>
      <c r="H64"/>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c r="CB64" s="8"/>
      <c r="CC64" s="8"/>
      <c r="CD64" s="8"/>
      <c r="CE64" s="8"/>
      <c r="CF64" s="8"/>
      <c r="CG64" s="8"/>
      <c r="CH64" s="8"/>
      <c r="CI64" s="8"/>
      <c r="CJ64" s="8"/>
      <c r="CK64" s="8"/>
      <c r="CL64" s="8"/>
      <c r="CM64" s="8"/>
      <c r="CN64" s="8"/>
      <c r="CO64" s="8"/>
    </row>
    <row r="65" spans="3:93">
      <c r="C65"/>
      <c r="D65"/>
      <c r="E65"/>
      <c r="F65"/>
      <c r="G65"/>
      <c r="H65"/>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c r="CB65" s="8"/>
      <c r="CC65" s="8"/>
      <c r="CD65" s="8"/>
      <c r="CE65" s="8"/>
      <c r="CF65" s="8"/>
      <c r="CG65" s="8"/>
      <c r="CH65" s="8"/>
      <c r="CI65" s="8"/>
      <c r="CJ65" s="8"/>
      <c r="CK65" s="8"/>
      <c r="CL65" s="8"/>
      <c r="CM65" s="8"/>
      <c r="CN65" s="8"/>
      <c r="CO65" s="8"/>
    </row>
    <row r="66" spans="3:93">
      <c r="C66"/>
      <c r="D66"/>
      <c r="E66"/>
      <c r="F66"/>
      <c r="G66"/>
      <c r="H66"/>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c r="CB66" s="8"/>
      <c r="CC66" s="8"/>
      <c r="CD66" s="8"/>
      <c r="CE66" s="8"/>
      <c r="CF66" s="8"/>
      <c r="CG66" s="8"/>
      <c r="CH66" s="8"/>
      <c r="CI66" s="8"/>
      <c r="CJ66" s="8"/>
      <c r="CK66" s="8"/>
      <c r="CL66" s="8"/>
      <c r="CM66" s="8"/>
      <c r="CN66" s="8"/>
      <c r="CO66" s="8"/>
    </row>
    <row r="67" spans="3:93">
      <c r="C67"/>
      <c r="D67"/>
      <c r="E67"/>
      <c r="F67"/>
      <c r="G67"/>
      <c r="H67"/>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c r="CB67" s="8"/>
      <c r="CC67" s="8"/>
      <c r="CD67" s="8"/>
      <c r="CE67" s="8"/>
      <c r="CF67" s="8"/>
      <c r="CG67" s="8"/>
      <c r="CH67" s="8"/>
      <c r="CI67" s="8"/>
      <c r="CJ67" s="8"/>
      <c r="CK67" s="8"/>
      <c r="CL67" s="8"/>
      <c r="CM67" s="8"/>
      <c r="CN67" s="8"/>
      <c r="CO67" s="8"/>
    </row>
    <row r="68" spans="3:93">
      <c r="C68"/>
      <c r="D68"/>
      <c r="E68"/>
      <c r="F68"/>
      <c r="G68"/>
      <c r="H6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c r="CB68" s="8"/>
      <c r="CC68" s="8"/>
      <c r="CD68" s="8"/>
      <c r="CE68" s="8"/>
      <c r="CF68" s="8"/>
      <c r="CG68" s="8"/>
      <c r="CH68" s="8"/>
      <c r="CI68" s="8"/>
      <c r="CJ68" s="8"/>
      <c r="CK68" s="8"/>
      <c r="CL68" s="8"/>
      <c r="CM68" s="8"/>
      <c r="CN68" s="8"/>
      <c r="CO68" s="8"/>
    </row>
    <row r="69" spans="3:93">
      <c r="C69"/>
      <c r="D69"/>
      <c r="E69"/>
      <c r="F69"/>
      <c r="G69"/>
      <c r="H69"/>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c r="CB69" s="8"/>
      <c r="CC69" s="8"/>
      <c r="CD69" s="8"/>
      <c r="CE69" s="8"/>
      <c r="CF69" s="8"/>
      <c r="CG69" s="8"/>
      <c r="CH69" s="8"/>
      <c r="CI69" s="8"/>
      <c r="CJ69" s="8"/>
      <c r="CK69" s="8"/>
      <c r="CL69" s="8"/>
      <c r="CM69" s="8"/>
      <c r="CN69" s="8"/>
      <c r="CO69" s="8"/>
    </row>
    <row r="70" spans="3:93">
      <c r="C70"/>
      <c r="D70"/>
      <c r="E70"/>
      <c r="F70"/>
      <c r="G70"/>
      <c r="H70"/>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c r="CB70" s="8"/>
      <c r="CC70" s="8"/>
      <c r="CD70" s="8"/>
      <c r="CE70" s="8"/>
      <c r="CF70" s="8"/>
      <c r="CG70" s="8"/>
      <c r="CH70" s="8"/>
      <c r="CI70" s="8"/>
      <c r="CJ70" s="8"/>
      <c r="CK70" s="8"/>
      <c r="CL70" s="8"/>
      <c r="CM70" s="8"/>
      <c r="CN70" s="8"/>
      <c r="CO70" s="8"/>
    </row>
    <row r="71" spans="3:93">
      <c r="C71"/>
      <c r="D71"/>
      <c r="E71"/>
      <c r="F71"/>
      <c r="G71"/>
      <c r="H71"/>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c r="CB71" s="8"/>
      <c r="CC71" s="8"/>
      <c r="CD71" s="8"/>
      <c r="CE71" s="8"/>
      <c r="CF71" s="8"/>
      <c r="CG71" s="8"/>
      <c r="CH71" s="8"/>
      <c r="CI71" s="8"/>
      <c r="CJ71" s="8"/>
      <c r="CK71" s="8"/>
      <c r="CL71" s="8"/>
      <c r="CM71" s="8"/>
      <c r="CN71" s="8"/>
      <c r="CO71" s="8"/>
    </row>
    <row r="72" spans="3:93">
      <c r="C72"/>
      <c r="D72"/>
      <c r="E72"/>
      <c r="F72"/>
      <c r="G72"/>
      <c r="H72"/>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c r="CB72" s="8"/>
      <c r="CC72" s="8"/>
      <c r="CD72" s="8"/>
      <c r="CE72" s="8"/>
      <c r="CF72" s="8"/>
      <c r="CG72" s="8"/>
      <c r="CH72" s="8"/>
      <c r="CI72" s="8"/>
      <c r="CJ72" s="8"/>
      <c r="CK72" s="8"/>
      <c r="CL72" s="8"/>
      <c r="CM72" s="8"/>
      <c r="CN72" s="8"/>
      <c r="CO72" s="8"/>
    </row>
    <row r="73" spans="3:93">
      <c r="C73"/>
      <c r="D73"/>
      <c r="E73"/>
      <c r="F73"/>
      <c r="G73"/>
      <c r="H73"/>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c r="CB73" s="8"/>
      <c r="CC73" s="8"/>
      <c r="CD73" s="8"/>
      <c r="CE73" s="8"/>
      <c r="CF73" s="8"/>
      <c r="CG73" s="8"/>
      <c r="CH73" s="8"/>
      <c r="CI73" s="8"/>
      <c r="CJ73" s="8"/>
      <c r="CK73" s="8"/>
      <c r="CL73" s="8"/>
      <c r="CM73" s="8"/>
      <c r="CN73" s="8"/>
      <c r="CO73" s="8"/>
    </row>
    <row r="74" spans="3:93">
      <c r="C74"/>
      <c r="D74"/>
      <c r="E74"/>
      <c r="F74"/>
      <c r="G74"/>
      <c r="H74"/>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c r="CB74" s="8"/>
      <c r="CC74" s="8"/>
      <c r="CD74" s="8"/>
      <c r="CE74" s="8"/>
      <c r="CF74" s="8"/>
      <c r="CG74" s="8"/>
      <c r="CH74" s="8"/>
      <c r="CI74" s="8"/>
      <c r="CJ74" s="8"/>
      <c r="CK74" s="8"/>
      <c r="CL74" s="8"/>
      <c r="CM74" s="8"/>
      <c r="CN74" s="8"/>
      <c r="CO74" s="8"/>
    </row>
    <row r="75" spans="3:93">
      <c r="C75"/>
      <c r="D75"/>
      <c r="E75"/>
      <c r="F75"/>
      <c r="G75"/>
      <c r="H75"/>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row>
    <row r="76" spans="3:93">
      <c r="C76"/>
      <c r="D76"/>
      <c r="E76"/>
      <c r="F76"/>
      <c r="G76"/>
      <c r="H76"/>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c r="CB76" s="8"/>
      <c r="CC76" s="8"/>
      <c r="CD76" s="8"/>
      <c r="CE76" s="8"/>
      <c r="CF76" s="8"/>
      <c r="CG76" s="8"/>
      <c r="CH76" s="8"/>
      <c r="CI76" s="8"/>
      <c r="CJ76" s="8"/>
      <c r="CK76" s="8"/>
      <c r="CL76" s="8"/>
      <c r="CM76" s="8"/>
      <c r="CN76" s="8"/>
      <c r="CO76" s="8"/>
    </row>
    <row r="77" spans="3:93">
      <c r="C77"/>
      <c r="D77"/>
      <c r="E77"/>
      <c r="F77"/>
      <c r="G77"/>
      <c r="H77"/>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c r="CB77" s="8"/>
      <c r="CC77" s="8"/>
      <c r="CD77" s="8"/>
      <c r="CE77" s="8"/>
      <c r="CF77" s="8"/>
      <c r="CG77" s="8"/>
      <c r="CH77" s="8"/>
      <c r="CI77" s="8"/>
      <c r="CJ77" s="8"/>
      <c r="CK77" s="8"/>
      <c r="CL77" s="8"/>
      <c r="CM77" s="8"/>
      <c r="CN77" s="8"/>
      <c r="CO77" s="8"/>
    </row>
    <row r="78" spans="3:93">
      <c r="C78"/>
      <c r="D78"/>
      <c r="E78"/>
      <c r="F78"/>
      <c r="G78"/>
      <c r="H7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c r="CB78" s="8"/>
      <c r="CC78" s="8"/>
      <c r="CD78" s="8"/>
      <c r="CE78" s="8"/>
      <c r="CF78" s="8"/>
      <c r="CG78" s="8"/>
      <c r="CH78" s="8"/>
      <c r="CI78" s="8"/>
      <c r="CJ78" s="8"/>
      <c r="CK78" s="8"/>
      <c r="CL78" s="8"/>
      <c r="CM78" s="8"/>
      <c r="CN78" s="8"/>
      <c r="CO78" s="8"/>
    </row>
    <row r="79" spans="3:93">
      <c r="C79"/>
      <c r="D79"/>
      <c r="E79"/>
      <c r="F79"/>
      <c r="G79"/>
      <c r="H79"/>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row>
    <row r="80" spans="3:93">
      <c r="C80"/>
      <c r="D80"/>
      <c r="E80"/>
      <c r="F80"/>
      <c r="G80"/>
      <c r="H80"/>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8"/>
      <c r="CK80" s="8"/>
      <c r="CL80" s="8"/>
      <c r="CM80" s="8"/>
      <c r="CN80" s="8"/>
      <c r="CO80" s="8"/>
    </row>
    <row r="81" spans="3:93">
      <c r="C81"/>
      <c r="D81"/>
      <c r="E81"/>
      <c r="F81"/>
      <c r="G81"/>
      <c r="H81"/>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row>
    <row r="82" spans="3:93">
      <c r="C82"/>
      <c r="D82"/>
      <c r="E82"/>
      <c r="F82"/>
      <c r="G82"/>
      <c r="H82"/>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row>
    <row r="83" spans="3:93">
      <c r="C83"/>
      <c r="D83"/>
      <c r="E83"/>
      <c r="F83"/>
      <c r="G83"/>
      <c r="H83"/>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row>
    <row r="84" spans="3:93">
      <c r="C84"/>
      <c r="D84"/>
      <c r="E84"/>
      <c r="F84"/>
      <c r="G84"/>
      <c r="H84"/>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row>
    <row r="85" spans="3:93">
      <c r="C85"/>
      <c r="D85"/>
      <c r="E85"/>
      <c r="F85"/>
      <c r="G85"/>
      <c r="H85"/>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row>
    <row r="86" spans="3:93">
      <c r="C86"/>
      <c r="D86"/>
      <c r="E86"/>
      <c r="F86"/>
      <c r="G86"/>
      <c r="H86"/>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8"/>
      <c r="CK86" s="8"/>
      <c r="CL86" s="8"/>
      <c r="CM86" s="8"/>
      <c r="CN86" s="8"/>
      <c r="CO86" s="8"/>
    </row>
    <row r="87" spans="3:93">
      <c r="C87"/>
      <c r="D87"/>
      <c r="E87"/>
      <c r="F87"/>
      <c r="G87"/>
      <c r="H87"/>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row>
    <row r="88" spans="3:93">
      <c r="C88"/>
      <c r="D88"/>
      <c r="E88"/>
      <c r="F88"/>
      <c r="G88"/>
      <c r="H8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row>
    <row r="89" spans="3:93">
      <c r="C89"/>
      <c r="D89"/>
      <c r="E89"/>
      <c r="F89"/>
      <c r="G89"/>
      <c r="H89"/>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row>
    <row r="90" spans="3:93">
      <c r="C90"/>
      <c r="D90"/>
      <c r="E90"/>
      <c r="F90"/>
      <c r="G90"/>
      <c r="H90"/>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row>
    <row r="91" spans="3:93">
      <c r="C91"/>
      <c r="D91"/>
      <c r="E91"/>
      <c r="F91"/>
      <c r="G91"/>
      <c r="H91"/>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row>
    <row r="92" spans="3:93">
      <c r="C92"/>
      <c r="D92"/>
      <c r="E92"/>
      <c r="F92"/>
      <c r="G92"/>
      <c r="H92"/>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row>
    <row r="93" spans="3:93">
      <c r="C93"/>
      <c r="D93"/>
      <c r="E93"/>
      <c r="F93"/>
      <c r="G93"/>
      <c r="H93"/>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row>
    <row r="94" spans="3:93">
      <c r="C94"/>
      <c r="D94"/>
      <c r="E94"/>
      <c r="F94"/>
      <c r="G94"/>
      <c r="H94"/>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row>
    <row r="95" spans="3:93">
      <c r="C95"/>
      <c r="D95"/>
      <c r="E95"/>
      <c r="F95"/>
      <c r="G95"/>
      <c r="H95"/>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c r="CD95" s="8"/>
      <c r="CE95" s="8"/>
      <c r="CF95" s="8"/>
      <c r="CG95" s="8"/>
      <c r="CH95" s="8"/>
      <c r="CI95" s="8"/>
      <c r="CJ95" s="8"/>
      <c r="CK95" s="8"/>
      <c r="CL95" s="8"/>
      <c r="CM95" s="8"/>
      <c r="CN95" s="8"/>
      <c r="CO95" s="8"/>
    </row>
    <row r="96" spans="3:93">
      <c r="C96"/>
      <c r="D96"/>
      <c r="E96"/>
      <c r="F96"/>
      <c r="G96"/>
      <c r="H96"/>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c r="CB96" s="8"/>
      <c r="CC96" s="8"/>
      <c r="CD96" s="8"/>
      <c r="CE96" s="8"/>
      <c r="CF96" s="8"/>
      <c r="CG96" s="8"/>
      <c r="CH96" s="8"/>
      <c r="CI96" s="8"/>
      <c r="CJ96" s="8"/>
      <c r="CK96" s="8"/>
      <c r="CL96" s="8"/>
      <c r="CM96" s="8"/>
      <c r="CN96" s="8"/>
      <c r="CO96" s="8"/>
    </row>
    <row r="97" spans="3:93">
      <c r="C97"/>
      <c r="D97"/>
      <c r="E97"/>
      <c r="F97"/>
      <c r="G97"/>
      <c r="H97"/>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c r="CB97" s="8"/>
      <c r="CC97" s="8"/>
      <c r="CD97" s="8"/>
      <c r="CE97" s="8"/>
      <c r="CF97" s="8"/>
      <c r="CG97" s="8"/>
      <c r="CH97" s="8"/>
      <c r="CI97" s="8"/>
      <c r="CJ97" s="8"/>
      <c r="CK97" s="8"/>
      <c r="CL97" s="8"/>
      <c r="CM97" s="8"/>
      <c r="CN97" s="8"/>
      <c r="CO97" s="8"/>
    </row>
    <row r="98" spans="3:93">
      <c r="C98"/>
      <c r="D98"/>
      <c r="E98"/>
      <c r="F98"/>
      <c r="G98"/>
      <c r="H9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c r="CB98" s="8"/>
      <c r="CC98" s="8"/>
      <c r="CD98" s="8"/>
      <c r="CE98" s="8"/>
      <c r="CF98" s="8"/>
      <c r="CG98" s="8"/>
      <c r="CH98" s="8"/>
      <c r="CI98" s="8"/>
      <c r="CJ98" s="8"/>
      <c r="CK98" s="8"/>
      <c r="CL98" s="8"/>
      <c r="CM98" s="8"/>
      <c r="CN98" s="8"/>
      <c r="CO98" s="8"/>
    </row>
    <row r="99" spans="3:93">
      <c r="C99"/>
      <c r="D99"/>
      <c r="E99"/>
      <c r="F99"/>
      <c r="G99"/>
      <c r="H99"/>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c r="CB99" s="8"/>
      <c r="CC99" s="8"/>
      <c r="CD99" s="8"/>
      <c r="CE99" s="8"/>
      <c r="CF99" s="8"/>
      <c r="CG99" s="8"/>
      <c r="CH99" s="8"/>
      <c r="CI99" s="8"/>
      <c r="CJ99" s="8"/>
      <c r="CK99" s="8"/>
      <c r="CL99" s="8"/>
      <c r="CM99" s="8"/>
      <c r="CN99" s="8"/>
      <c r="CO99" s="8"/>
    </row>
    <row r="100" spans="3:93">
      <c r="C100"/>
      <c r="D100"/>
      <c r="E100"/>
      <c r="F100"/>
      <c r="G100"/>
      <c r="H100"/>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c r="CB100" s="8"/>
      <c r="CC100" s="8"/>
      <c r="CD100" s="8"/>
      <c r="CE100" s="8"/>
      <c r="CF100" s="8"/>
      <c r="CG100" s="8"/>
      <c r="CH100" s="8"/>
      <c r="CI100" s="8"/>
      <c r="CJ100" s="8"/>
      <c r="CK100" s="8"/>
      <c r="CL100" s="8"/>
      <c r="CM100" s="8"/>
      <c r="CN100" s="8"/>
      <c r="CO100" s="8"/>
    </row>
    <row r="101" spans="3:93">
      <c r="C101"/>
      <c r="D101"/>
      <c r="E101"/>
      <c r="F101"/>
      <c r="G101"/>
      <c r="H101"/>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c r="CB101" s="8"/>
      <c r="CC101" s="8"/>
      <c r="CD101" s="8"/>
      <c r="CE101" s="8"/>
      <c r="CF101" s="8"/>
      <c r="CG101" s="8"/>
      <c r="CH101" s="8"/>
      <c r="CI101" s="8"/>
      <c r="CJ101" s="8"/>
      <c r="CK101" s="8"/>
      <c r="CL101" s="8"/>
      <c r="CM101" s="8"/>
      <c r="CN101" s="8"/>
      <c r="CO101" s="8"/>
    </row>
    <row r="102" spans="3:93">
      <c r="C102"/>
      <c r="D102"/>
      <c r="E102"/>
      <c r="F102"/>
      <c r="G102"/>
      <c r="H102"/>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c r="CB102" s="8"/>
      <c r="CC102" s="8"/>
      <c r="CD102" s="8"/>
      <c r="CE102" s="8"/>
      <c r="CF102" s="8"/>
      <c r="CG102" s="8"/>
      <c r="CH102" s="8"/>
      <c r="CI102" s="8"/>
      <c r="CJ102" s="8"/>
      <c r="CK102" s="8"/>
      <c r="CL102" s="8"/>
      <c r="CM102" s="8"/>
      <c r="CN102" s="8"/>
      <c r="CO102" s="8"/>
    </row>
    <row r="103" spans="3:93">
      <c r="C103"/>
      <c r="D103"/>
      <c r="E103"/>
      <c r="F103"/>
      <c r="G103"/>
      <c r="H103"/>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row>
    <row r="104" spans="3:93">
      <c r="C104"/>
      <c r="D104"/>
      <c r="E104"/>
      <c r="F104"/>
      <c r="G104"/>
      <c r="H104"/>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row>
    <row r="105" spans="3:93">
      <c r="C105"/>
      <c r="D105"/>
      <c r="E105"/>
      <c r="F105"/>
      <c r="G105"/>
      <c r="H105"/>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c r="CB105" s="8"/>
      <c r="CC105" s="8"/>
      <c r="CD105" s="8"/>
      <c r="CE105" s="8"/>
      <c r="CF105" s="8"/>
      <c r="CG105" s="8"/>
      <c r="CH105" s="8"/>
      <c r="CI105" s="8"/>
      <c r="CJ105" s="8"/>
      <c r="CK105" s="8"/>
      <c r="CL105" s="8"/>
      <c r="CM105" s="8"/>
      <c r="CN105" s="8"/>
      <c r="CO105" s="8"/>
    </row>
    <row r="106" spans="3:93">
      <c r="C106"/>
      <c r="D106"/>
      <c r="E106"/>
      <c r="F106"/>
      <c r="G106"/>
      <c r="H106"/>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c r="CB106" s="8"/>
      <c r="CC106" s="8"/>
      <c r="CD106" s="8"/>
      <c r="CE106" s="8"/>
      <c r="CF106" s="8"/>
      <c r="CG106" s="8"/>
      <c r="CH106" s="8"/>
      <c r="CI106" s="8"/>
      <c r="CJ106" s="8"/>
      <c r="CK106" s="8"/>
      <c r="CL106" s="8"/>
      <c r="CM106" s="8"/>
      <c r="CN106" s="8"/>
      <c r="CO106" s="8"/>
    </row>
    <row r="107" spans="3:93">
      <c r="C107"/>
      <c r="D107"/>
      <c r="E107"/>
      <c r="F107"/>
      <c r="G107"/>
      <c r="H107"/>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c r="CG107" s="8"/>
      <c r="CH107" s="8"/>
      <c r="CI107" s="8"/>
      <c r="CJ107" s="8"/>
      <c r="CK107" s="8"/>
      <c r="CL107" s="8"/>
      <c r="CM107" s="8"/>
      <c r="CN107" s="8"/>
      <c r="CO107" s="8"/>
    </row>
    <row r="108" spans="3:93">
      <c r="C108"/>
      <c r="D108"/>
      <c r="E108"/>
      <c r="F108"/>
      <c r="G108"/>
      <c r="H10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c r="CG108" s="8"/>
      <c r="CH108" s="8"/>
      <c r="CI108" s="8"/>
      <c r="CJ108" s="8"/>
      <c r="CK108" s="8"/>
      <c r="CL108" s="8"/>
      <c r="CM108" s="8"/>
      <c r="CN108" s="8"/>
      <c r="CO108" s="8"/>
    </row>
    <row r="109" spans="3:93">
      <c r="C109"/>
      <c r="D109"/>
      <c r="E109"/>
      <c r="F109"/>
      <c r="G109"/>
      <c r="H109"/>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c r="CB109" s="8"/>
      <c r="CC109" s="8"/>
      <c r="CD109" s="8"/>
      <c r="CE109" s="8"/>
      <c r="CF109" s="8"/>
      <c r="CG109" s="8"/>
      <c r="CH109" s="8"/>
      <c r="CI109" s="8"/>
      <c r="CJ109" s="8"/>
      <c r="CK109" s="8"/>
      <c r="CL109" s="8"/>
      <c r="CM109" s="8"/>
      <c r="CN109" s="8"/>
      <c r="CO109" s="8"/>
    </row>
    <row r="110" spans="3:93">
      <c r="C110"/>
      <c r="D110"/>
      <c r="E110"/>
      <c r="F110"/>
      <c r="G110"/>
      <c r="H110"/>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c r="CB110" s="8"/>
      <c r="CC110" s="8"/>
      <c r="CD110" s="8"/>
      <c r="CE110" s="8"/>
      <c r="CF110" s="8"/>
      <c r="CG110" s="8"/>
      <c r="CH110" s="8"/>
      <c r="CI110" s="8"/>
      <c r="CJ110" s="8"/>
      <c r="CK110" s="8"/>
      <c r="CL110" s="8"/>
      <c r="CM110" s="8"/>
      <c r="CN110" s="8"/>
      <c r="CO110" s="8"/>
    </row>
    <row r="111" spans="3:93">
      <c r="C111"/>
      <c r="D111"/>
      <c r="E111"/>
      <c r="F111"/>
      <c r="G111"/>
      <c r="H111"/>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c r="CB111" s="8"/>
      <c r="CC111" s="8"/>
      <c r="CD111" s="8"/>
      <c r="CE111" s="8"/>
      <c r="CF111" s="8"/>
      <c r="CG111" s="8"/>
      <c r="CH111" s="8"/>
      <c r="CI111" s="8"/>
      <c r="CJ111" s="8"/>
      <c r="CK111" s="8"/>
      <c r="CL111" s="8"/>
      <c r="CM111" s="8"/>
      <c r="CN111" s="8"/>
      <c r="CO111" s="8"/>
    </row>
    <row r="112" spans="3:93">
      <c r="C112"/>
      <c r="D112"/>
      <c r="E112"/>
      <c r="F112"/>
      <c r="G112"/>
      <c r="H112"/>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c r="CB112" s="8"/>
      <c r="CC112" s="8"/>
      <c r="CD112" s="8"/>
      <c r="CE112" s="8"/>
      <c r="CF112" s="8"/>
      <c r="CG112" s="8"/>
      <c r="CH112" s="8"/>
      <c r="CI112" s="8"/>
      <c r="CJ112" s="8"/>
      <c r="CK112" s="8"/>
      <c r="CL112" s="8"/>
      <c r="CM112" s="8"/>
      <c r="CN112" s="8"/>
      <c r="CO112" s="8"/>
    </row>
    <row r="113" spans="3:93">
      <c r="C113"/>
      <c r="D113"/>
      <c r="E113"/>
      <c r="F113"/>
      <c r="G113"/>
      <c r="H113"/>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c r="CB113" s="8"/>
      <c r="CC113" s="8"/>
      <c r="CD113" s="8"/>
      <c r="CE113" s="8"/>
      <c r="CF113" s="8"/>
      <c r="CG113" s="8"/>
      <c r="CH113" s="8"/>
      <c r="CI113" s="8"/>
      <c r="CJ113" s="8"/>
      <c r="CK113" s="8"/>
      <c r="CL113" s="8"/>
      <c r="CM113" s="8"/>
      <c r="CN113" s="8"/>
      <c r="CO113" s="8"/>
    </row>
    <row r="114" spans="3:93">
      <c r="C114"/>
      <c r="D114"/>
      <c r="E114"/>
      <c r="F114"/>
      <c r="G114"/>
      <c r="H114"/>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c r="CB114" s="8"/>
      <c r="CC114" s="8"/>
      <c r="CD114" s="8"/>
      <c r="CE114" s="8"/>
      <c r="CF114" s="8"/>
      <c r="CG114" s="8"/>
      <c r="CH114" s="8"/>
      <c r="CI114" s="8"/>
      <c r="CJ114" s="8"/>
      <c r="CK114" s="8"/>
      <c r="CL114" s="8"/>
      <c r="CM114" s="8"/>
      <c r="CN114" s="8"/>
      <c r="CO114" s="8"/>
    </row>
    <row r="115" spans="3:93">
      <c r="C115"/>
      <c r="D115"/>
      <c r="E115"/>
      <c r="F115"/>
      <c r="G115"/>
      <c r="H115"/>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c r="CG115" s="8"/>
      <c r="CH115" s="8"/>
      <c r="CI115" s="8"/>
      <c r="CJ115" s="8"/>
      <c r="CK115" s="8"/>
      <c r="CL115" s="8"/>
      <c r="CM115" s="8"/>
      <c r="CN115" s="8"/>
      <c r="CO115" s="8"/>
    </row>
    <row r="116" spans="3:93">
      <c r="C116"/>
      <c r="D116"/>
      <c r="E116"/>
      <c r="F116"/>
      <c r="G116"/>
      <c r="H116"/>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c r="CB116" s="8"/>
      <c r="CC116" s="8"/>
      <c r="CD116" s="8"/>
      <c r="CE116" s="8"/>
      <c r="CF116" s="8"/>
      <c r="CG116" s="8"/>
      <c r="CH116" s="8"/>
      <c r="CI116" s="8"/>
      <c r="CJ116" s="8"/>
      <c r="CK116" s="8"/>
      <c r="CL116" s="8"/>
      <c r="CM116" s="8"/>
      <c r="CN116" s="8"/>
      <c r="CO116" s="8"/>
    </row>
    <row r="117" spans="3:93">
      <c r="C117"/>
      <c r="D117"/>
      <c r="E117"/>
      <c r="F117"/>
      <c r="G117"/>
      <c r="H117"/>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c r="BZ117" s="8"/>
      <c r="CA117" s="8"/>
      <c r="CB117" s="8"/>
      <c r="CC117" s="8"/>
      <c r="CD117" s="8"/>
      <c r="CE117" s="8"/>
      <c r="CF117" s="8"/>
      <c r="CG117" s="8"/>
      <c r="CH117" s="8"/>
      <c r="CI117" s="8"/>
      <c r="CJ117" s="8"/>
      <c r="CK117" s="8"/>
      <c r="CL117" s="8"/>
      <c r="CM117" s="8"/>
      <c r="CN117" s="8"/>
      <c r="CO117" s="8"/>
    </row>
    <row r="118" spans="3:93">
      <c r="C118"/>
      <c r="D118"/>
      <c r="E118"/>
      <c r="F118"/>
      <c r="G118"/>
      <c r="H11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c r="CA118" s="8"/>
      <c r="CB118" s="8"/>
      <c r="CC118" s="8"/>
      <c r="CD118" s="8"/>
      <c r="CE118" s="8"/>
      <c r="CF118" s="8"/>
      <c r="CG118" s="8"/>
      <c r="CH118" s="8"/>
      <c r="CI118" s="8"/>
      <c r="CJ118" s="8"/>
      <c r="CK118" s="8"/>
      <c r="CL118" s="8"/>
      <c r="CM118" s="8"/>
      <c r="CN118" s="8"/>
      <c r="CO118" s="8"/>
    </row>
    <row r="119" spans="3:93">
      <c r="C119"/>
      <c r="D119"/>
      <c r="E119"/>
      <c r="F119"/>
      <c r="G119"/>
      <c r="H119"/>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c r="CA119" s="8"/>
      <c r="CB119" s="8"/>
      <c r="CC119" s="8"/>
      <c r="CD119" s="8"/>
      <c r="CE119" s="8"/>
      <c r="CF119" s="8"/>
      <c r="CG119" s="8"/>
      <c r="CH119" s="8"/>
      <c r="CI119" s="8"/>
      <c r="CJ119" s="8"/>
      <c r="CK119" s="8"/>
      <c r="CL119" s="8"/>
      <c r="CM119" s="8"/>
      <c r="CN119" s="8"/>
      <c r="CO119" s="8"/>
    </row>
    <row r="120" spans="3:93">
      <c r="C120"/>
      <c r="D120"/>
      <c r="E120"/>
      <c r="F120"/>
      <c r="G120"/>
      <c r="H120"/>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c r="CB120" s="8"/>
      <c r="CC120" s="8"/>
      <c r="CD120" s="8"/>
      <c r="CE120" s="8"/>
      <c r="CF120" s="8"/>
      <c r="CG120" s="8"/>
      <c r="CH120" s="8"/>
      <c r="CI120" s="8"/>
      <c r="CJ120" s="8"/>
      <c r="CK120" s="8"/>
      <c r="CL120" s="8"/>
      <c r="CM120" s="8"/>
      <c r="CN120" s="8"/>
      <c r="CO120" s="8"/>
    </row>
    <row r="121" spans="3:93">
      <c r="C121"/>
      <c r="D121"/>
      <c r="E121"/>
      <c r="F121"/>
      <c r="G121"/>
      <c r="H121"/>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c r="CB121" s="8"/>
      <c r="CC121" s="8"/>
      <c r="CD121" s="8"/>
      <c r="CE121" s="8"/>
      <c r="CF121" s="8"/>
      <c r="CG121" s="8"/>
      <c r="CH121" s="8"/>
      <c r="CI121" s="8"/>
      <c r="CJ121" s="8"/>
      <c r="CK121" s="8"/>
      <c r="CL121" s="8"/>
      <c r="CM121" s="8"/>
      <c r="CN121" s="8"/>
      <c r="CO121" s="8"/>
    </row>
    <row r="122" spans="3:93">
      <c r="C122"/>
      <c r="D122"/>
      <c r="E122"/>
      <c r="F122"/>
      <c r="G122"/>
      <c r="H122"/>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c r="CA122" s="8"/>
      <c r="CB122" s="8"/>
      <c r="CC122" s="8"/>
      <c r="CD122" s="8"/>
      <c r="CE122" s="8"/>
      <c r="CF122" s="8"/>
      <c r="CG122" s="8"/>
      <c r="CH122" s="8"/>
      <c r="CI122" s="8"/>
      <c r="CJ122" s="8"/>
      <c r="CK122" s="8"/>
      <c r="CL122" s="8"/>
      <c r="CM122" s="8"/>
      <c r="CN122" s="8"/>
      <c r="CO122" s="8"/>
    </row>
    <row r="123" spans="3:93">
      <c r="C123"/>
      <c r="D123"/>
      <c r="E123"/>
      <c r="F123"/>
      <c r="G123"/>
      <c r="H123"/>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c r="CB123" s="8"/>
      <c r="CC123" s="8"/>
      <c r="CD123" s="8"/>
      <c r="CE123" s="8"/>
      <c r="CF123" s="8"/>
      <c r="CG123" s="8"/>
      <c r="CH123" s="8"/>
      <c r="CI123" s="8"/>
      <c r="CJ123" s="8"/>
      <c r="CK123" s="8"/>
      <c r="CL123" s="8"/>
      <c r="CM123" s="8"/>
      <c r="CN123" s="8"/>
      <c r="CO123" s="8"/>
    </row>
    <row r="124" spans="3:93">
      <c r="C124"/>
      <c r="D124"/>
      <c r="E124"/>
      <c r="F124"/>
      <c r="G124"/>
      <c r="H124"/>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c r="BZ124" s="8"/>
      <c r="CA124" s="8"/>
      <c r="CB124" s="8"/>
      <c r="CC124" s="8"/>
      <c r="CD124" s="8"/>
      <c r="CE124" s="8"/>
      <c r="CF124" s="8"/>
      <c r="CG124" s="8"/>
      <c r="CH124" s="8"/>
      <c r="CI124" s="8"/>
      <c r="CJ124" s="8"/>
      <c r="CK124" s="8"/>
      <c r="CL124" s="8"/>
      <c r="CM124" s="8"/>
      <c r="CN124" s="8"/>
      <c r="CO124" s="8"/>
    </row>
    <row r="125" spans="3:93">
      <c r="C125"/>
      <c r="D125"/>
      <c r="E125"/>
      <c r="F125"/>
      <c r="G125"/>
      <c r="H125"/>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c r="CG125" s="8"/>
      <c r="CH125" s="8"/>
      <c r="CI125" s="8"/>
      <c r="CJ125" s="8"/>
      <c r="CK125" s="8"/>
      <c r="CL125" s="8"/>
      <c r="CM125" s="8"/>
      <c r="CN125" s="8"/>
      <c r="CO125" s="8"/>
    </row>
    <row r="126" spans="3:93">
      <c r="C126"/>
      <c r="D126"/>
      <c r="E126"/>
      <c r="F126"/>
      <c r="G126"/>
      <c r="H126"/>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c r="BX126" s="8"/>
      <c r="BY126" s="8"/>
      <c r="BZ126" s="8"/>
      <c r="CA126" s="8"/>
      <c r="CB126" s="8"/>
      <c r="CC126" s="8"/>
      <c r="CD126" s="8"/>
      <c r="CE126" s="8"/>
      <c r="CF126" s="8"/>
      <c r="CG126" s="8"/>
      <c r="CH126" s="8"/>
      <c r="CI126" s="8"/>
      <c r="CJ126" s="8"/>
      <c r="CK126" s="8"/>
      <c r="CL126" s="8"/>
      <c r="CM126" s="8"/>
      <c r="CN126" s="8"/>
      <c r="CO126" s="8"/>
    </row>
    <row r="127" spans="3:93">
      <c r="C127"/>
      <c r="D127"/>
      <c r="E127"/>
      <c r="F127"/>
      <c r="G127"/>
      <c r="H127"/>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c r="BX127" s="8"/>
      <c r="BY127" s="8"/>
      <c r="BZ127" s="8"/>
      <c r="CA127" s="8"/>
      <c r="CB127" s="8"/>
      <c r="CC127" s="8"/>
      <c r="CD127" s="8"/>
      <c r="CE127" s="8"/>
      <c r="CF127" s="8"/>
      <c r="CG127" s="8"/>
      <c r="CH127" s="8"/>
      <c r="CI127" s="8"/>
      <c r="CJ127" s="8"/>
      <c r="CK127" s="8"/>
      <c r="CL127" s="8"/>
      <c r="CM127" s="8"/>
      <c r="CN127" s="8"/>
      <c r="CO127" s="8"/>
    </row>
    <row r="128" spans="3:93">
      <c r="C128"/>
      <c r="D128"/>
      <c r="E128"/>
      <c r="F128"/>
      <c r="G128"/>
      <c r="H12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c r="BQ128" s="8"/>
      <c r="BR128" s="8"/>
      <c r="BS128" s="8"/>
      <c r="BT128" s="8"/>
      <c r="BU128" s="8"/>
      <c r="BV128" s="8"/>
      <c r="BW128" s="8"/>
      <c r="BX128" s="8"/>
      <c r="BY128" s="8"/>
      <c r="BZ128" s="8"/>
      <c r="CA128" s="8"/>
      <c r="CB128" s="8"/>
      <c r="CC128" s="8"/>
      <c r="CD128" s="8"/>
      <c r="CE128" s="8"/>
      <c r="CF128" s="8"/>
      <c r="CG128" s="8"/>
      <c r="CH128" s="8"/>
      <c r="CI128" s="8"/>
      <c r="CJ128" s="8"/>
      <c r="CK128" s="8"/>
      <c r="CL128" s="8"/>
      <c r="CM128" s="8"/>
      <c r="CN128" s="8"/>
      <c r="CO128" s="8"/>
    </row>
    <row r="129" spans="3:93">
      <c r="C129"/>
      <c r="D129"/>
      <c r="E129"/>
      <c r="F129"/>
      <c r="G129"/>
      <c r="H129"/>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c r="BQ129" s="8"/>
      <c r="BR129" s="8"/>
      <c r="BS129" s="8"/>
      <c r="BT129" s="8"/>
      <c r="BU129" s="8"/>
      <c r="BV129" s="8"/>
      <c r="BW129" s="8"/>
      <c r="BX129" s="8"/>
      <c r="BY129" s="8"/>
      <c r="BZ129" s="8"/>
      <c r="CA129" s="8"/>
      <c r="CB129" s="8"/>
      <c r="CC129" s="8"/>
      <c r="CD129" s="8"/>
      <c r="CE129" s="8"/>
      <c r="CF129" s="8"/>
      <c r="CG129" s="8"/>
      <c r="CH129" s="8"/>
      <c r="CI129" s="8"/>
      <c r="CJ129" s="8"/>
      <c r="CK129" s="8"/>
      <c r="CL129" s="8"/>
      <c r="CM129" s="8"/>
      <c r="CN129" s="8"/>
      <c r="CO129" s="8"/>
    </row>
    <row r="130" spans="3:93">
      <c r="C130"/>
      <c r="D130"/>
      <c r="E130"/>
      <c r="F130"/>
      <c r="G130"/>
      <c r="H130"/>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c r="BQ130" s="8"/>
      <c r="BR130" s="8"/>
      <c r="BS130" s="8"/>
      <c r="BT130" s="8"/>
      <c r="BU130" s="8"/>
      <c r="BV130" s="8"/>
      <c r="BW130" s="8"/>
      <c r="BX130" s="8"/>
      <c r="BY130" s="8"/>
      <c r="BZ130" s="8"/>
      <c r="CA130" s="8"/>
      <c r="CB130" s="8"/>
      <c r="CC130" s="8"/>
      <c r="CD130" s="8"/>
      <c r="CE130" s="8"/>
      <c r="CF130" s="8"/>
      <c r="CG130" s="8"/>
      <c r="CH130" s="8"/>
      <c r="CI130" s="8"/>
      <c r="CJ130" s="8"/>
      <c r="CK130" s="8"/>
      <c r="CL130" s="8"/>
      <c r="CM130" s="8"/>
      <c r="CN130" s="8"/>
      <c r="CO130" s="8"/>
    </row>
    <row r="131" spans="3:93">
      <c r="C131"/>
      <c r="D131"/>
      <c r="E131"/>
      <c r="F131"/>
      <c r="G131"/>
      <c r="H131"/>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c r="BQ131" s="8"/>
      <c r="BR131" s="8"/>
      <c r="BS131" s="8"/>
      <c r="BT131" s="8"/>
      <c r="BU131" s="8"/>
      <c r="BV131" s="8"/>
      <c r="BW131" s="8"/>
      <c r="BX131" s="8"/>
      <c r="BY131" s="8"/>
      <c r="BZ131" s="8"/>
      <c r="CA131" s="8"/>
      <c r="CB131" s="8"/>
      <c r="CC131" s="8"/>
      <c r="CD131" s="8"/>
      <c r="CE131" s="8"/>
      <c r="CF131" s="8"/>
      <c r="CG131" s="8"/>
      <c r="CH131" s="8"/>
      <c r="CI131" s="8"/>
      <c r="CJ131" s="8"/>
      <c r="CK131" s="8"/>
      <c r="CL131" s="8"/>
      <c r="CM131" s="8"/>
      <c r="CN131" s="8"/>
      <c r="CO131" s="8"/>
    </row>
    <row r="132" spans="3:93">
      <c r="C132"/>
      <c r="D132"/>
      <c r="E132"/>
      <c r="F132"/>
      <c r="G132"/>
      <c r="H132"/>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c r="BQ132" s="8"/>
      <c r="BR132" s="8"/>
      <c r="BS132" s="8"/>
      <c r="BT132" s="8"/>
      <c r="BU132" s="8"/>
      <c r="BV132" s="8"/>
      <c r="BW132" s="8"/>
      <c r="BX132" s="8"/>
      <c r="BY132" s="8"/>
      <c r="BZ132" s="8"/>
      <c r="CA132" s="8"/>
      <c r="CB132" s="8"/>
      <c r="CC132" s="8"/>
      <c r="CD132" s="8"/>
      <c r="CE132" s="8"/>
      <c r="CF132" s="8"/>
      <c r="CG132" s="8"/>
      <c r="CH132" s="8"/>
      <c r="CI132" s="8"/>
      <c r="CJ132" s="8"/>
      <c r="CK132" s="8"/>
      <c r="CL132" s="8"/>
      <c r="CM132" s="8"/>
      <c r="CN132" s="8"/>
      <c r="CO132" s="8"/>
    </row>
    <row r="133" spans="3:93">
      <c r="C133"/>
      <c r="D133"/>
      <c r="E133"/>
      <c r="F133"/>
      <c r="G133"/>
      <c r="H133"/>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c r="BQ133" s="8"/>
      <c r="BR133" s="8"/>
      <c r="BS133" s="8"/>
      <c r="BT133" s="8"/>
      <c r="BU133" s="8"/>
      <c r="BV133" s="8"/>
      <c r="BW133" s="8"/>
      <c r="BX133" s="8"/>
      <c r="BY133" s="8"/>
      <c r="BZ133" s="8"/>
      <c r="CA133" s="8"/>
      <c r="CB133" s="8"/>
      <c r="CC133" s="8"/>
      <c r="CD133" s="8"/>
      <c r="CE133" s="8"/>
      <c r="CF133" s="8"/>
      <c r="CG133" s="8"/>
      <c r="CH133" s="8"/>
      <c r="CI133" s="8"/>
      <c r="CJ133" s="8"/>
      <c r="CK133" s="8"/>
      <c r="CL133" s="8"/>
      <c r="CM133" s="8"/>
      <c r="CN133" s="8"/>
      <c r="CO133" s="8"/>
    </row>
    <row r="134" spans="3:93">
      <c r="C134"/>
      <c r="D134"/>
      <c r="E134"/>
      <c r="F134"/>
      <c r="G134"/>
      <c r="H134"/>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c r="BQ134" s="8"/>
      <c r="BR134" s="8"/>
      <c r="BS134" s="8"/>
      <c r="BT134" s="8"/>
      <c r="BU134" s="8"/>
      <c r="BV134" s="8"/>
      <c r="BW134" s="8"/>
      <c r="BX134" s="8"/>
      <c r="BY134" s="8"/>
      <c r="BZ134" s="8"/>
      <c r="CA134" s="8"/>
      <c r="CB134" s="8"/>
      <c r="CC134" s="8"/>
      <c r="CD134" s="8"/>
      <c r="CE134" s="8"/>
      <c r="CF134" s="8"/>
      <c r="CG134" s="8"/>
      <c r="CH134" s="8"/>
      <c r="CI134" s="8"/>
      <c r="CJ134" s="8"/>
      <c r="CK134" s="8"/>
      <c r="CL134" s="8"/>
      <c r="CM134" s="8"/>
      <c r="CN134" s="8"/>
      <c r="CO134" s="8"/>
    </row>
    <row r="135" spans="3:93">
      <c r="C135"/>
      <c r="D135"/>
      <c r="E135"/>
      <c r="F135"/>
      <c r="G135"/>
      <c r="H135"/>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c r="BQ135" s="8"/>
      <c r="BR135" s="8"/>
      <c r="BS135" s="8"/>
      <c r="BT135" s="8"/>
      <c r="BU135" s="8"/>
      <c r="BV135" s="8"/>
      <c r="BW135" s="8"/>
      <c r="BX135" s="8"/>
      <c r="BY135" s="8"/>
      <c r="BZ135" s="8"/>
      <c r="CA135" s="8"/>
      <c r="CB135" s="8"/>
      <c r="CC135" s="8"/>
      <c r="CD135" s="8"/>
      <c r="CE135" s="8"/>
      <c r="CF135" s="8"/>
      <c r="CG135" s="8"/>
      <c r="CH135" s="8"/>
      <c r="CI135" s="8"/>
      <c r="CJ135" s="8"/>
      <c r="CK135" s="8"/>
      <c r="CL135" s="8"/>
      <c r="CM135" s="8"/>
      <c r="CN135" s="8"/>
      <c r="CO135" s="8"/>
    </row>
    <row r="136" spans="3:93">
      <c r="C136"/>
      <c r="D136"/>
      <c r="E136"/>
      <c r="F136"/>
      <c r="G136"/>
      <c r="H136"/>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c r="BQ136" s="8"/>
      <c r="BR136" s="8"/>
      <c r="BS136" s="8"/>
      <c r="BT136" s="8"/>
      <c r="BU136" s="8"/>
      <c r="BV136" s="8"/>
      <c r="BW136" s="8"/>
      <c r="BX136" s="8"/>
      <c r="BY136" s="8"/>
      <c r="BZ136" s="8"/>
      <c r="CA136" s="8"/>
      <c r="CB136" s="8"/>
      <c r="CC136" s="8"/>
      <c r="CD136" s="8"/>
      <c r="CE136" s="8"/>
      <c r="CF136" s="8"/>
      <c r="CG136" s="8"/>
      <c r="CH136" s="8"/>
      <c r="CI136" s="8"/>
      <c r="CJ136" s="8"/>
      <c r="CK136" s="8"/>
      <c r="CL136" s="8"/>
      <c r="CM136" s="8"/>
      <c r="CN136" s="8"/>
      <c r="CO136" s="8"/>
    </row>
    <row r="137" spans="3:93">
      <c r="C137"/>
      <c r="D137"/>
      <c r="E137"/>
      <c r="F137"/>
      <c r="G137"/>
      <c r="H137"/>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c r="BQ137" s="8"/>
      <c r="BR137" s="8"/>
      <c r="BS137" s="8"/>
      <c r="BT137" s="8"/>
      <c r="BU137" s="8"/>
      <c r="BV137" s="8"/>
      <c r="BW137" s="8"/>
      <c r="BX137" s="8"/>
      <c r="BY137" s="8"/>
      <c r="BZ137" s="8"/>
      <c r="CA137" s="8"/>
      <c r="CB137" s="8"/>
      <c r="CC137" s="8"/>
      <c r="CD137" s="8"/>
      <c r="CE137" s="8"/>
      <c r="CF137" s="8"/>
      <c r="CG137" s="8"/>
      <c r="CH137" s="8"/>
      <c r="CI137" s="8"/>
      <c r="CJ137" s="8"/>
      <c r="CK137" s="8"/>
      <c r="CL137" s="8"/>
      <c r="CM137" s="8"/>
      <c r="CN137" s="8"/>
      <c r="CO137" s="8"/>
    </row>
    <row r="138" spans="3:93">
      <c r="C138"/>
      <c r="D138"/>
      <c r="E138"/>
      <c r="F138"/>
      <c r="G138"/>
      <c r="H13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c r="BQ138" s="8"/>
      <c r="BR138" s="8"/>
      <c r="BS138" s="8"/>
      <c r="BT138" s="8"/>
      <c r="BU138" s="8"/>
      <c r="BV138" s="8"/>
      <c r="BW138" s="8"/>
      <c r="BX138" s="8"/>
      <c r="BY138" s="8"/>
      <c r="BZ138" s="8"/>
      <c r="CA138" s="8"/>
      <c r="CB138" s="8"/>
      <c r="CC138" s="8"/>
      <c r="CD138" s="8"/>
      <c r="CE138" s="8"/>
      <c r="CF138" s="8"/>
      <c r="CG138" s="8"/>
      <c r="CH138" s="8"/>
      <c r="CI138" s="8"/>
      <c r="CJ138" s="8"/>
      <c r="CK138" s="8"/>
      <c r="CL138" s="8"/>
      <c r="CM138" s="8"/>
      <c r="CN138" s="8"/>
      <c r="CO138" s="8"/>
    </row>
    <row r="139" spans="3:93">
      <c r="C139"/>
      <c r="D139"/>
      <c r="E139"/>
      <c r="F139"/>
      <c r="G139"/>
      <c r="H139"/>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c r="BQ139" s="8"/>
      <c r="BR139" s="8"/>
      <c r="BS139" s="8"/>
      <c r="BT139" s="8"/>
      <c r="BU139" s="8"/>
      <c r="BV139" s="8"/>
      <c r="BW139" s="8"/>
      <c r="BX139" s="8"/>
      <c r="BY139" s="8"/>
      <c r="BZ139" s="8"/>
      <c r="CA139" s="8"/>
      <c r="CB139" s="8"/>
      <c r="CC139" s="8"/>
      <c r="CD139" s="8"/>
      <c r="CE139" s="8"/>
      <c r="CF139" s="8"/>
      <c r="CG139" s="8"/>
      <c r="CH139" s="8"/>
      <c r="CI139" s="8"/>
      <c r="CJ139" s="8"/>
      <c r="CK139" s="8"/>
      <c r="CL139" s="8"/>
      <c r="CM139" s="8"/>
      <c r="CN139" s="8"/>
      <c r="CO139" s="8"/>
    </row>
    <row r="140" spans="3:93">
      <c r="C140"/>
      <c r="D140"/>
      <c r="E140"/>
      <c r="F140"/>
      <c r="G140"/>
      <c r="H140"/>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c r="BQ140" s="8"/>
      <c r="BR140" s="8"/>
      <c r="BS140" s="8"/>
      <c r="BT140" s="8"/>
      <c r="BU140" s="8"/>
      <c r="BV140" s="8"/>
      <c r="BW140" s="8"/>
      <c r="BX140" s="8"/>
      <c r="BY140" s="8"/>
      <c r="BZ140" s="8"/>
      <c r="CA140" s="8"/>
      <c r="CB140" s="8"/>
      <c r="CC140" s="8"/>
      <c r="CD140" s="8"/>
      <c r="CE140" s="8"/>
      <c r="CF140" s="8"/>
      <c r="CG140" s="8"/>
      <c r="CH140" s="8"/>
      <c r="CI140" s="8"/>
      <c r="CJ140" s="8"/>
      <c r="CK140" s="8"/>
      <c r="CL140" s="8"/>
      <c r="CM140" s="8"/>
      <c r="CN140" s="8"/>
      <c r="CO140" s="8"/>
    </row>
    <row r="141" spans="3:93">
      <c r="C141"/>
      <c r="D141"/>
      <c r="E141"/>
      <c r="F141"/>
      <c r="G141"/>
      <c r="H141"/>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c r="BQ141" s="8"/>
      <c r="BR141" s="8"/>
      <c r="BS141" s="8"/>
      <c r="BT141" s="8"/>
      <c r="BU141" s="8"/>
      <c r="BV141" s="8"/>
      <c r="BW141" s="8"/>
      <c r="BX141" s="8"/>
      <c r="BY141" s="8"/>
      <c r="BZ141" s="8"/>
      <c r="CA141" s="8"/>
      <c r="CB141" s="8"/>
      <c r="CC141" s="8"/>
      <c r="CD141" s="8"/>
      <c r="CE141" s="8"/>
      <c r="CF141" s="8"/>
      <c r="CG141" s="8"/>
      <c r="CH141" s="8"/>
      <c r="CI141" s="8"/>
      <c r="CJ141" s="8"/>
      <c r="CK141" s="8"/>
      <c r="CL141" s="8"/>
      <c r="CM141" s="8"/>
      <c r="CN141" s="8"/>
      <c r="CO141" s="8"/>
    </row>
    <row r="142" spans="3:93">
      <c r="C142"/>
      <c r="D142"/>
      <c r="E142"/>
      <c r="F142"/>
      <c r="G142"/>
      <c r="H142"/>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c r="BQ142" s="8"/>
      <c r="BR142" s="8"/>
      <c r="BS142" s="8"/>
      <c r="BT142" s="8"/>
      <c r="BU142" s="8"/>
      <c r="BV142" s="8"/>
      <c r="BW142" s="8"/>
      <c r="BX142" s="8"/>
      <c r="BY142" s="8"/>
      <c r="BZ142" s="8"/>
      <c r="CA142" s="8"/>
      <c r="CB142" s="8"/>
      <c r="CC142" s="8"/>
      <c r="CD142" s="8"/>
      <c r="CE142" s="8"/>
      <c r="CF142" s="8"/>
      <c r="CG142" s="8"/>
      <c r="CH142" s="8"/>
      <c r="CI142" s="8"/>
      <c r="CJ142" s="8"/>
      <c r="CK142" s="8"/>
      <c r="CL142" s="8"/>
      <c r="CM142" s="8"/>
      <c r="CN142" s="8"/>
      <c r="CO142" s="8"/>
    </row>
    <row r="143" spans="3:93">
      <c r="C143"/>
      <c r="D143"/>
      <c r="E143"/>
      <c r="F143"/>
      <c r="G143"/>
      <c r="H143"/>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c r="BQ143" s="8"/>
      <c r="BR143" s="8"/>
      <c r="BS143" s="8"/>
      <c r="BT143" s="8"/>
      <c r="BU143" s="8"/>
      <c r="BV143" s="8"/>
      <c r="BW143" s="8"/>
      <c r="BX143" s="8"/>
      <c r="BY143" s="8"/>
      <c r="BZ143" s="8"/>
      <c r="CA143" s="8"/>
      <c r="CB143" s="8"/>
      <c r="CC143" s="8"/>
      <c r="CD143" s="8"/>
      <c r="CE143" s="8"/>
      <c r="CF143" s="8"/>
      <c r="CG143" s="8"/>
      <c r="CH143" s="8"/>
      <c r="CI143" s="8"/>
      <c r="CJ143" s="8"/>
      <c r="CK143" s="8"/>
      <c r="CL143" s="8"/>
      <c r="CM143" s="8"/>
      <c r="CN143" s="8"/>
      <c r="CO143" s="8"/>
    </row>
    <row r="144" spans="3:93">
      <c r="C144"/>
      <c r="D144"/>
      <c r="E144"/>
      <c r="F144"/>
      <c r="G144"/>
      <c r="H144"/>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8"/>
      <c r="BT144" s="8"/>
      <c r="BU144" s="8"/>
      <c r="BV144" s="8"/>
      <c r="BW144" s="8"/>
      <c r="BX144" s="8"/>
      <c r="BY144" s="8"/>
      <c r="BZ144" s="8"/>
      <c r="CA144" s="8"/>
      <c r="CB144" s="8"/>
      <c r="CC144" s="8"/>
      <c r="CD144" s="8"/>
      <c r="CE144" s="8"/>
      <c r="CF144" s="8"/>
      <c r="CG144" s="8"/>
      <c r="CH144" s="8"/>
      <c r="CI144" s="8"/>
      <c r="CJ144" s="8"/>
      <c r="CK144" s="8"/>
      <c r="CL144" s="8"/>
      <c r="CM144" s="8"/>
      <c r="CN144" s="8"/>
      <c r="CO144" s="8"/>
    </row>
    <row r="145" spans="3:93">
      <c r="C145"/>
      <c r="D145"/>
      <c r="E145"/>
      <c r="F145"/>
      <c r="G145"/>
      <c r="H145"/>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8"/>
      <c r="BT145" s="8"/>
      <c r="BU145" s="8"/>
      <c r="BV145" s="8"/>
      <c r="BW145" s="8"/>
      <c r="BX145" s="8"/>
      <c r="BY145" s="8"/>
      <c r="BZ145" s="8"/>
      <c r="CA145" s="8"/>
      <c r="CB145" s="8"/>
      <c r="CC145" s="8"/>
      <c r="CD145" s="8"/>
      <c r="CE145" s="8"/>
      <c r="CF145" s="8"/>
      <c r="CG145" s="8"/>
      <c r="CH145" s="8"/>
      <c r="CI145" s="8"/>
      <c r="CJ145" s="8"/>
      <c r="CK145" s="8"/>
      <c r="CL145" s="8"/>
      <c r="CM145" s="8"/>
      <c r="CN145" s="8"/>
      <c r="CO145" s="8"/>
    </row>
    <row r="146" spans="3:93">
      <c r="C146"/>
      <c r="D146"/>
      <c r="E146"/>
      <c r="F146"/>
      <c r="G146"/>
      <c r="H146"/>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c r="BQ146" s="8"/>
      <c r="BR146" s="8"/>
      <c r="BS146" s="8"/>
      <c r="BT146" s="8"/>
      <c r="BU146" s="8"/>
      <c r="BV146" s="8"/>
      <c r="BW146" s="8"/>
      <c r="BX146" s="8"/>
      <c r="BY146" s="8"/>
      <c r="BZ146" s="8"/>
      <c r="CA146" s="8"/>
      <c r="CB146" s="8"/>
      <c r="CC146" s="8"/>
      <c r="CD146" s="8"/>
      <c r="CE146" s="8"/>
      <c r="CF146" s="8"/>
      <c r="CG146" s="8"/>
      <c r="CH146" s="8"/>
      <c r="CI146" s="8"/>
      <c r="CJ146" s="8"/>
      <c r="CK146" s="8"/>
      <c r="CL146" s="8"/>
      <c r="CM146" s="8"/>
      <c r="CN146" s="8"/>
      <c r="CO146" s="8"/>
    </row>
    <row r="147" spans="3:93">
      <c r="C147"/>
      <c r="D147"/>
      <c r="E147"/>
      <c r="F147"/>
      <c r="G147"/>
      <c r="H147"/>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c r="BQ147" s="8"/>
      <c r="BR147" s="8"/>
      <c r="BS147" s="8"/>
      <c r="BT147" s="8"/>
      <c r="BU147" s="8"/>
      <c r="BV147" s="8"/>
      <c r="BW147" s="8"/>
      <c r="BX147" s="8"/>
      <c r="BY147" s="8"/>
      <c r="BZ147" s="8"/>
      <c r="CA147" s="8"/>
      <c r="CB147" s="8"/>
      <c r="CC147" s="8"/>
      <c r="CD147" s="8"/>
      <c r="CE147" s="8"/>
      <c r="CF147" s="8"/>
      <c r="CG147" s="8"/>
      <c r="CH147" s="8"/>
      <c r="CI147" s="8"/>
      <c r="CJ147" s="8"/>
      <c r="CK147" s="8"/>
      <c r="CL147" s="8"/>
      <c r="CM147" s="8"/>
      <c r="CN147" s="8"/>
      <c r="CO147" s="8"/>
    </row>
  </sheetData>
  <mergeCells count="4">
    <mergeCell ref="J6:O6"/>
    <mergeCell ref="C7:H7"/>
    <mergeCell ref="J7:O7"/>
    <mergeCell ref="C21:H21"/>
  </mergeCell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17">
    <tabColor theme="4"/>
  </sheetPr>
  <dimension ref="B2:CO147"/>
  <sheetViews>
    <sheetView workbookViewId="0">
      <selection activeCell="K36" sqref="K36"/>
    </sheetView>
  </sheetViews>
  <sheetFormatPr baseColWidth="10" defaultColWidth="8.83203125" defaultRowHeight="15"/>
  <cols>
    <col min="2" max="2" width="51.5" customWidth="1"/>
    <col min="3" max="8" width="9.1640625" style="85"/>
    <col min="11" max="11" width="43.1640625" customWidth="1"/>
  </cols>
  <sheetData>
    <row r="2" spans="2:93" ht="29">
      <c r="B2" s="93" t="s">
        <v>375</v>
      </c>
    </row>
    <row r="3" spans="2:93" ht="15" customHeight="1"/>
    <row r="4" spans="2:93">
      <c r="E4" t="s">
        <v>358</v>
      </c>
      <c r="F4"/>
      <c r="G4" s="36">
        <v>7.45</v>
      </c>
      <c r="H4" t="s">
        <v>328</v>
      </c>
    </row>
    <row r="5" spans="2:93" ht="16" thickBot="1">
      <c r="B5" s="8" t="s">
        <v>373</v>
      </c>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c r="BQ5" s="8"/>
      <c r="BR5" s="8"/>
      <c r="BS5" s="8"/>
      <c r="BT5" s="8"/>
      <c r="BU5" s="8"/>
      <c r="BV5" s="8"/>
      <c r="BW5" s="8"/>
      <c r="BX5" s="8"/>
      <c r="BY5" s="8"/>
      <c r="BZ5" s="8"/>
      <c r="CA5" s="8"/>
      <c r="CB5" s="8"/>
      <c r="CC5" s="8"/>
      <c r="CD5" s="8"/>
      <c r="CE5" s="8"/>
      <c r="CF5" s="8"/>
      <c r="CG5" s="8"/>
      <c r="CH5" s="8"/>
      <c r="CI5" s="8"/>
      <c r="CJ5" s="8"/>
      <c r="CK5" s="8"/>
      <c r="CL5" s="8"/>
      <c r="CM5" s="8"/>
      <c r="CN5" s="8"/>
      <c r="CO5" s="8"/>
    </row>
    <row r="6" spans="2:93" ht="16" thickBot="1">
      <c r="J6" s="1259">
        <f>C6</f>
        <v>0</v>
      </c>
      <c r="K6" s="1260"/>
      <c r="L6" s="1260"/>
      <c r="M6" s="1260"/>
      <c r="N6" s="1260"/>
      <c r="O6" s="1261"/>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c r="BQ6" s="8"/>
      <c r="BR6" s="8"/>
      <c r="BS6" s="8"/>
      <c r="BT6" s="8"/>
      <c r="BU6" s="8"/>
      <c r="BV6" s="8"/>
      <c r="BW6" s="8"/>
      <c r="BX6" s="8"/>
      <c r="BY6" s="8"/>
      <c r="BZ6" s="8"/>
      <c r="CA6" s="8"/>
      <c r="CB6" s="8"/>
      <c r="CC6" s="8"/>
      <c r="CD6" s="8"/>
      <c r="CE6" s="8"/>
      <c r="CF6" s="8"/>
      <c r="CG6" s="8"/>
      <c r="CH6" s="8"/>
      <c r="CI6" s="8"/>
      <c r="CJ6" s="8"/>
      <c r="CK6" s="8"/>
      <c r="CL6" s="8"/>
      <c r="CM6" s="8"/>
      <c r="CN6" s="8"/>
      <c r="CO6" s="8"/>
    </row>
    <row r="7" spans="2:93" ht="16" thickBot="1">
      <c r="B7" s="86" t="s">
        <v>0</v>
      </c>
      <c r="C7" s="1290" t="s">
        <v>376</v>
      </c>
      <c r="D7" s="1288"/>
      <c r="E7" s="1288"/>
      <c r="F7" s="1288"/>
      <c r="G7" s="1288"/>
      <c r="H7" s="1289"/>
      <c r="J7" s="1134" t="str">
        <f>C7</f>
        <v>Gas engine driven heat pump heat pump</v>
      </c>
      <c r="K7" s="1135"/>
      <c r="L7" s="1135"/>
      <c r="M7" s="1135"/>
      <c r="N7" s="1135"/>
      <c r="O7" s="1136"/>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c r="BQ7" s="8"/>
      <c r="BR7" s="8"/>
      <c r="BS7" s="8"/>
      <c r="BT7" s="8"/>
      <c r="BU7" s="8"/>
      <c r="BV7" s="8"/>
      <c r="BW7" s="8"/>
      <c r="BX7" s="8"/>
      <c r="BY7" s="8"/>
      <c r="BZ7" s="8"/>
      <c r="CA7" s="8"/>
      <c r="CB7" s="8"/>
      <c r="CC7" s="8"/>
      <c r="CD7" s="8"/>
      <c r="CE7" s="8"/>
      <c r="CF7" s="8"/>
      <c r="CG7" s="8"/>
      <c r="CH7" s="8"/>
      <c r="CI7" s="8"/>
      <c r="CJ7" s="8"/>
      <c r="CK7" s="8"/>
      <c r="CL7" s="8"/>
      <c r="CM7" s="8"/>
      <c r="CN7" s="8"/>
      <c r="CO7" s="8"/>
    </row>
    <row r="8" spans="2:93" ht="16" thickBot="1">
      <c r="B8" s="87"/>
      <c r="C8" s="88">
        <v>2015</v>
      </c>
      <c r="D8" s="88">
        <v>2020</v>
      </c>
      <c r="E8" s="88">
        <v>2030</v>
      </c>
      <c r="F8" s="88">
        <v>2050</v>
      </c>
      <c r="G8" s="88" t="s">
        <v>2</v>
      </c>
      <c r="H8" s="89" t="s">
        <v>3</v>
      </c>
      <c r="J8" s="53" t="s">
        <v>357</v>
      </c>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c r="CL8" s="8"/>
      <c r="CM8" s="8"/>
      <c r="CN8" s="8"/>
      <c r="CO8" s="8"/>
    </row>
    <row r="9" spans="2:93" ht="31" thickBot="1">
      <c r="B9" s="147" t="s">
        <v>4</v>
      </c>
      <c r="C9" s="133"/>
      <c r="D9" s="133"/>
      <c r="E9" s="133"/>
      <c r="F9" s="133"/>
      <c r="G9" s="133"/>
      <c r="H9" s="134"/>
      <c r="J9" s="46" t="s">
        <v>335</v>
      </c>
      <c r="K9" s="46" t="s">
        <v>336</v>
      </c>
      <c r="L9" s="47" t="s">
        <v>337</v>
      </c>
      <c r="M9" s="47" t="s">
        <v>338</v>
      </c>
      <c r="N9" s="47" t="s">
        <v>339</v>
      </c>
      <c r="O9" s="48" t="s">
        <v>340</v>
      </c>
      <c r="P9" s="49" t="s">
        <v>341</v>
      </c>
      <c r="Q9" s="49" t="s">
        <v>342</v>
      </c>
      <c r="R9" s="49" t="s">
        <v>343</v>
      </c>
      <c r="S9" s="49" t="s">
        <v>344</v>
      </c>
      <c r="T9" s="49" t="s">
        <v>345</v>
      </c>
      <c r="U9" s="49" t="s">
        <v>346</v>
      </c>
      <c r="V9" s="49" t="s">
        <v>347</v>
      </c>
      <c r="W9" s="49" t="s">
        <v>348</v>
      </c>
      <c r="X9" s="49" t="s">
        <v>349</v>
      </c>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c r="BQ9" s="8"/>
      <c r="BR9" s="8"/>
      <c r="BS9" s="8"/>
      <c r="BT9" s="8"/>
      <c r="BU9" s="8"/>
      <c r="BV9" s="8"/>
      <c r="BW9" s="8"/>
      <c r="BX9" s="8"/>
      <c r="BY9" s="8"/>
      <c r="BZ9" s="8"/>
      <c r="CA9" s="8"/>
      <c r="CB9" s="8"/>
      <c r="CC9" s="8"/>
      <c r="CD9" s="8"/>
      <c r="CE9" s="8"/>
      <c r="CF9" s="8"/>
      <c r="CG9" s="8"/>
      <c r="CH9" s="8"/>
      <c r="CI9" s="8"/>
      <c r="CJ9" s="8"/>
      <c r="CK9" s="8"/>
      <c r="CL9" s="8"/>
      <c r="CM9" s="8"/>
      <c r="CN9" s="8"/>
      <c r="CO9" s="8"/>
    </row>
    <row r="10" spans="2:93" ht="16" thickBot="1">
      <c r="B10" s="148" t="s">
        <v>5</v>
      </c>
      <c r="C10" s="148" t="s">
        <v>43</v>
      </c>
      <c r="D10" s="149" t="s">
        <v>43</v>
      </c>
      <c r="E10" s="149" t="s">
        <v>43</v>
      </c>
      <c r="F10" s="149" t="s">
        <v>43</v>
      </c>
      <c r="G10" s="149" t="s">
        <v>377</v>
      </c>
      <c r="H10" s="149">
        <v>5</v>
      </c>
      <c r="J10" s="50"/>
      <c r="K10" s="50"/>
      <c r="L10" s="51"/>
      <c r="M10" s="51"/>
      <c r="N10" s="51"/>
      <c r="O10" s="52"/>
      <c r="P10" s="50"/>
      <c r="Q10" s="50"/>
      <c r="R10" s="50"/>
      <c r="S10" s="50"/>
      <c r="T10" s="50"/>
      <c r="U10" s="50"/>
      <c r="V10" s="50"/>
      <c r="W10" s="50"/>
      <c r="X10" s="50"/>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c r="BQ10" s="8"/>
      <c r="BR10" s="8"/>
      <c r="BS10" s="8"/>
      <c r="BT10" s="8"/>
      <c r="BU10" s="8"/>
      <c r="BV10" s="8"/>
      <c r="BW10" s="8"/>
      <c r="BX10" s="8"/>
      <c r="BY10" s="8"/>
      <c r="BZ10" s="8"/>
      <c r="CA10" s="8"/>
      <c r="CB10" s="8"/>
      <c r="CC10" s="8"/>
      <c r="CD10" s="8"/>
      <c r="CE10" s="8"/>
      <c r="CF10" s="8"/>
      <c r="CG10" s="8"/>
      <c r="CH10" s="8"/>
      <c r="CI10" s="8"/>
      <c r="CJ10" s="8"/>
      <c r="CK10" s="8"/>
      <c r="CL10" s="8"/>
      <c r="CM10" s="8"/>
      <c r="CN10" s="8"/>
      <c r="CO10" s="8"/>
    </row>
    <row r="11" spans="2:93" ht="16" thickBot="1">
      <c r="B11" s="148" t="s">
        <v>7</v>
      </c>
      <c r="C11" s="125">
        <v>100</v>
      </c>
      <c r="D11" s="156">
        <v>100</v>
      </c>
      <c r="E11" s="156">
        <v>100</v>
      </c>
      <c r="F11" s="156">
        <v>100</v>
      </c>
      <c r="G11" s="151"/>
      <c r="H11" s="151"/>
      <c r="J11" s="56"/>
      <c r="K11" s="56"/>
      <c r="L11" s="57"/>
      <c r="M11" s="57"/>
      <c r="N11" s="57"/>
      <c r="O11" s="56" t="s">
        <v>350</v>
      </c>
      <c r="P11" s="56" t="s">
        <v>326</v>
      </c>
      <c r="Q11" s="56" t="s">
        <v>327</v>
      </c>
      <c r="R11" s="56" t="s">
        <v>351</v>
      </c>
      <c r="S11" s="56" t="s">
        <v>351</v>
      </c>
      <c r="T11" s="56" t="s">
        <v>352</v>
      </c>
      <c r="U11" s="56" t="s">
        <v>352</v>
      </c>
      <c r="V11" s="56" t="s">
        <v>352</v>
      </c>
      <c r="W11" s="56" t="s">
        <v>352</v>
      </c>
      <c r="X11" s="56" t="s">
        <v>352</v>
      </c>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8"/>
      <c r="BY11" s="8"/>
      <c r="BZ11" s="8"/>
      <c r="CA11" s="8"/>
      <c r="CB11" s="8"/>
      <c r="CC11" s="8"/>
      <c r="CD11" s="8"/>
      <c r="CE11" s="8"/>
      <c r="CF11" s="8"/>
      <c r="CG11" s="8"/>
      <c r="CH11" s="8"/>
      <c r="CI11" s="8"/>
      <c r="CJ11" s="8"/>
      <c r="CK11" s="8"/>
      <c r="CL11" s="8"/>
      <c r="CM11" s="8"/>
      <c r="CN11" s="8"/>
      <c r="CO11" s="8"/>
    </row>
    <row r="12" spans="2:93" ht="16" thickBot="1">
      <c r="B12" s="148" t="s">
        <v>8</v>
      </c>
      <c r="C12" s="125">
        <v>100</v>
      </c>
      <c r="D12" s="151">
        <v>100</v>
      </c>
      <c r="E12" s="151">
        <v>100</v>
      </c>
      <c r="F12" s="151">
        <v>100</v>
      </c>
      <c r="G12" s="151"/>
      <c r="H12" s="151"/>
      <c r="J12" s="58">
        <f>C8</f>
        <v>2015</v>
      </c>
      <c r="K12" s="58">
        <f>J12</f>
        <v>2015</v>
      </c>
      <c r="L12" s="58">
        <f>C13/100</f>
        <v>1.5</v>
      </c>
      <c r="M12" s="58"/>
      <c r="N12" s="58">
        <f>C14</f>
        <v>12.5</v>
      </c>
      <c r="O12" s="59">
        <f>C29</f>
        <v>2831</v>
      </c>
      <c r="P12" s="59">
        <f>C31</f>
        <v>20.114999999999998</v>
      </c>
      <c r="Q12" s="59">
        <f>C32</f>
        <v>14.9</v>
      </c>
      <c r="R12" s="58"/>
      <c r="S12" s="58"/>
      <c r="T12" s="58">
        <f>C16</f>
        <v>0</v>
      </c>
      <c r="U12" s="58">
        <f>C17</f>
        <v>115</v>
      </c>
      <c r="V12" s="58">
        <f>C18</f>
        <v>5</v>
      </c>
      <c r="W12" s="58">
        <f>C19</f>
        <v>0</v>
      </c>
      <c r="X12" s="58">
        <f>C20</f>
        <v>0</v>
      </c>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8"/>
      <c r="CI12" s="8"/>
      <c r="CJ12" s="8"/>
      <c r="CK12" s="8"/>
      <c r="CL12" s="8"/>
      <c r="CM12" s="8"/>
      <c r="CN12" s="8"/>
      <c r="CO12" s="8"/>
    </row>
    <row r="13" spans="2:93" ht="16" thickBot="1">
      <c r="B13" s="148" t="s">
        <v>363</v>
      </c>
      <c r="C13" s="125">
        <v>150</v>
      </c>
      <c r="D13" s="151">
        <v>155</v>
      </c>
      <c r="E13" s="151">
        <v>155</v>
      </c>
      <c r="F13" s="151">
        <v>160</v>
      </c>
      <c r="G13" s="151"/>
      <c r="H13" s="151">
        <v>14</v>
      </c>
      <c r="J13" s="58">
        <f>D8</f>
        <v>2020</v>
      </c>
      <c r="K13" s="58"/>
      <c r="L13" s="58">
        <f>D13/100</f>
        <v>1.55</v>
      </c>
      <c r="M13" s="58"/>
      <c r="N13" s="58">
        <f>D14</f>
        <v>17.5</v>
      </c>
      <c r="O13" s="59">
        <f>D29</f>
        <v>2831</v>
      </c>
      <c r="P13" s="59">
        <f>D31</f>
        <v>20.114999999999998</v>
      </c>
      <c r="Q13" s="59">
        <f>D32</f>
        <v>14.9</v>
      </c>
      <c r="R13" s="58"/>
      <c r="S13" s="58"/>
      <c r="T13" s="58">
        <f>D16</f>
        <v>0</v>
      </c>
      <c r="U13" s="58">
        <f>D17</f>
        <v>85</v>
      </c>
      <c r="V13" s="58">
        <f>D18</f>
        <v>5</v>
      </c>
      <c r="W13" s="58">
        <f>D19</f>
        <v>0</v>
      </c>
      <c r="X13" s="58">
        <f>D20</f>
        <v>0</v>
      </c>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c r="CO13" s="8"/>
    </row>
    <row r="14" spans="2:93" ht="16" thickBot="1">
      <c r="B14" s="148" t="s">
        <v>11</v>
      </c>
      <c r="C14" s="182">
        <f>(10+15)/2</f>
        <v>12.5</v>
      </c>
      <c r="D14" s="183">
        <f>(15+20)/2</f>
        <v>17.5</v>
      </c>
      <c r="E14" s="183">
        <f>(15+20)/2</f>
        <v>17.5</v>
      </c>
      <c r="F14" s="183">
        <f>(15+20)/2</f>
        <v>17.5</v>
      </c>
      <c r="G14" s="151" t="s">
        <v>59</v>
      </c>
      <c r="H14" s="151"/>
      <c r="J14" s="58">
        <f>E8</f>
        <v>2030</v>
      </c>
      <c r="K14" s="58"/>
      <c r="L14" s="58">
        <f>E13/100</f>
        <v>1.55</v>
      </c>
      <c r="M14" s="58"/>
      <c r="N14" s="58">
        <f>E14</f>
        <v>17.5</v>
      </c>
      <c r="O14" s="59">
        <f>E29</f>
        <v>2831</v>
      </c>
      <c r="P14" s="59">
        <f>E31</f>
        <v>20.114999999999998</v>
      </c>
      <c r="Q14" s="59">
        <f>E32</f>
        <v>14.9</v>
      </c>
      <c r="R14" s="58"/>
      <c r="S14" s="58"/>
      <c r="T14" s="58">
        <f>E16</f>
        <v>0</v>
      </c>
      <c r="U14" s="58">
        <f>E17</f>
        <v>55</v>
      </c>
      <c r="V14" s="58">
        <f>E18</f>
        <v>5</v>
      </c>
      <c r="W14" s="58">
        <f>E19</f>
        <v>0</v>
      </c>
      <c r="X14" s="58">
        <f>E20</f>
        <v>0</v>
      </c>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c r="BQ14" s="8"/>
      <c r="BR14" s="8"/>
      <c r="BS14" s="8"/>
      <c r="BT14" s="8"/>
      <c r="BU14" s="8"/>
      <c r="BV14" s="8"/>
      <c r="BW14" s="8"/>
      <c r="BX14" s="8"/>
      <c r="BY14" s="8"/>
      <c r="BZ14" s="8"/>
      <c r="CA14" s="8"/>
      <c r="CB14" s="8"/>
      <c r="CC14" s="8"/>
      <c r="CD14" s="8"/>
      <c r="CE14" s="8"/>
      <c r="CF14" s="8"/>
      <c r="CG14" s="8"/>
      <c r="CH14" s="8"/>
      <c r="CI14" s="8"/>
      <c r="CJ14" s="8"/>
      <c r="CK14" s="8"/>
      <c r="CL14" s="8"/>
      <c r="CM14" s="8"/>
      <c r="CN14" s="8"/>
      <c r="CO14" s="8"/>
    </row>
    <row r="15" spans="2:93" ht="16" thickBot="1">
      <c r="B15" s="143" t="s">
        <v>12</v>
      </c>
      <c r="C15" s="133"/>
      <c r="D15" s="133"/>
      <c r="E15" s="133"/>
      <c r="F15" s="133"/>
      <c r="G15" s="133"/>
      <c r="H15" s="134"/>
      <c r="J15" s="58">
        <f>F8</f>
        <v>2050</v>
      </c>
      <c r="K15" s="58"/>
      <c r="L15" s="58">
        <f>F13/100</f>
        <v>1.6</v>
      </c>
      <c r="M15" s="58"/>
      <c r="N15" s="58">
        <f>F14</f>
        <v>17.5</v>
      </c>
      <c r="O15" s="59">
        <f>F29</f>
        <v>2831</v>
      </c>
      <c r="P15" s="59">
        <f>F31</f>
        <v>20.114999999999998</v>
      </c>
      <c r="Q15" s="59">
        <f>F32</f>
        <v>14.9</v>
      </c>
      <c r="R15" s="58"/>
      <c r="S15" s="58"/>
      <c r="T15" s="58">
        <f>F16</f>
        <v>0</v>
      </c>
      <c r="U15" s="58">
        <f>F17</f>
        <v>55</v>
      </c>
      <c r="V15" s="58">
        <f>F18</f>
        <v>5</v>
      </c>
      <c r="W15" s="58">
        <f>F19</f>
        <v>0</v>
      </c>
      <c r="X15" s="58">
        <f>F20</f>
        <v>0</v>
      </c>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row>
    <row r="16" spans="2:93" ht="16" thickBot="1">
      <c r="B16" s="148" t="s">
        <v>364</v>
      </c>
      <c r="C16" s="148">
        <v>0</v>
      </c>
      <c r="D16" s="149">
        <v>0</v>
      </c>
      <c r="E16" s="149">
        <v>0</v>
      </c>
      <c r="F16" s="149">
        <v>0</v>
      </c>
      <c r="G16" s="149"/>
      <c r="H16" s="149"/>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c r="CC16" s="8"/>
      <c r="CD16" s="8"/>
      <c r="CE16" s="8"/>
      <c r="CF16" s="8"/>
      <c r="CG16" s="8"/>
      <c r="CH16" s="8"/>
      <c r="CI16" s="8"/>
      <c r="CJ16" s="8"/>
      <c r="CK16" s="8"/>
      <c r="CL16" s="8"/>
      <c r="CM16" s="8"/>
      <c r="CN16" s="8"/>
      <c r="CO16" s="8"/>
    </row>
    <row r="17" spans="2:93" ht="16" thickBot="1">
      <c r="B17" s="148" t="s">
        <v>365</v>
      </c>
      <c r="C17" s="184">
        <f>(30+200)/2</f>
        <v>115</v>
      </c>
      <c r="D17" s="183">
        <f>(20+150)/2</f>
        <v>85</v>
      </c>
      <c r="E17" s="183">
        <f>(10+100)/2</f>
        <v>55</v>
      </c>
      <c r="F17" s="183">
        <f>(10+100)/2</f>
        <v>55</v>
      </c>
      <c r="G17" s="151" t="s">
        <v>16</v>
      </c>
      <c r="H17" s="151">
        <v>15</v>
      </c>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row>
    <row r="18" spans="2:93" ht="16" thickBot="1">
      <c r="B18" s="148" t="s">
        <v>366</v>
      </c>
      <c r="C18" s="181">
        <v>5</v>
      </c>
      <c r="D18" s="181">
        <v>5</v>
      </c>
      <c r="E18" s="181">
        <v>5</v>
      </c>
      <c r="F18" s="181">
        <v>5</v>
      </c>
      <c r="G18" s="151" t="s">
        <v>20</v>
      </c>
      <c r="H18" s="151"/>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c r="BQ18" s="8"/>
      <c r="BR18" s="8"/>
      <c r="BS18" s="8"/>
      <c r="BT18" s="8"/>
      <c r="BU18" s="8"/>
      <c r="BV18" s="8"/>
      <c r="BW18" s="8"/>
      <c r="BX18" s="8"/>
      <c r="BY18" s="8"/>
      <c r="BZ18" s="8"/>
      <c r="CA18" s="8"/>
      <c r="CB18" s="8"/>
      <c r="CC18" s="8"/>
      <c r="CD18" s="8"/>
      <c r="CE18" s="8"/>
      <c r="CF18" s="8"/>
      <c r="CG18" s="8"/>
      <c r="CH18" s="8"/>
      <c r="CI18" s="8"/>
      <c r="CJ18" s="8"/>
      <c r="CK18" s="8"/>
      <c r="CL18" s="8"/>
      <c r="CM18" s="8"/>
      <c r="CN18" s="8"/>
      <c r="CO18" s="8"/>
    </row>
    <row r="19" spans="2:93" ht="16" thickBot="1">
      <c r="B19" s="148" t="s">
        <v>367</v>
      </c>
      <c r="C19" s="181">
        <v>0</v>
      </c>
      <c r="D19" s="181">
        <v>0</v>
      </c>
      <c r="E19" s="181">
        <v>0</v>
      </c>
      <c r="F19" s="181">
        <v>0</v>
      </c>
      <c r="G19" s="151"/>
      <c r="H19" s="151"/>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c r="CD19" s="8"/>
      <c r="CE19" s="8"/>
      <c r="CF19" s="8"/>
      <c r="CG19" s="8"/>
      <c r="CH19" s="8"/>
      <c r="CI19" s="8"/>
      <c r="CJ19" s="8"/>
      <c r="CK19" s="8"/>
      <c r="CL19" s="8"/>
      <c r="CM19" s="8"/>
      <c r="CN19" s="8"/>
      <c r="CO19" s="8"/>
    </row>
    <row r="20" spans="2:93" ht="16" thickBot="1">
      <c r="B20" s="148" t="s">
        <v>19</v>
      </c>
      <c r="C20" s="181">
        <v>0</v>
      </c>
      <c r="D20" s="181">
        <v>0</v>
      </c>
      <c r="E20" s="181">
        <v>0</v>
      </c>
      <c r="F20" s="181">
        <v>0</v>
      </c>
      <c r="G20" s="151"/>
      <c r="H20" s="151"/>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8"/>
      <c r="CK20" s="8"/>
      <c r="CL20" s="8"/>
      <c r="CM20" s="8"/>
      <c r="CN20" s="8"/>
      <c r="CO20" s="8"/>
    </row>
    <row r="21" spans="2:93" ht="15.75" customHeight="1" thickBot="1">
      <c r="B21" s="143" t="s">
        <v>371</v>
      </c>
      <c r="C21" s="1291" t="s">
        <v>384</v>
      </c>
      <c r="D21" s="1291"/>
      <c r="E21" s="1291"/>
      <c r="F21" s="1291"/>
      <c r="G21" s="1291"/>
      <c r="H21" s="1292"/>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row>
    <row r="22" spans="2:93" ht="16" thickBot="1">
      <c r="B22" s="148" t="s">
        <v>23</v>
      </c>
      <c r="C22" s="152" t="s">
        <v>379</v>
      </c>
      <c r="D22" s="152" t="s">
        <v>380</v>
      </c>
      <c r="E22" s="152" t="s">
        <v>380</v>
      </c>
      <c r="F22" s="152" t="s">
        <v>380</v>
      </c>
      <c r="G22" s="152" t="s">
        <v>374</v>
      </c>
      <c r="H22" s="152">
        <v>14</v>
      </c>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row>
    <row r="23" spans="2:93" ht="16" thickBot="1">
      <c r="B23" s="148" t="s">
        <v>24</v>
      </c>
      <c r="C23" s="152">
        <f>4+15</f>
        <v>19</v>
      </c>
      <c r="D23" s="152">
        <f>4+15</f>
        <v>19</v>
      </c>
      <c r="E23" s="152">
        <f>4+15</f>
        <v>19</v>
      </c>
      <c r="F23" s="152">
        <f>4+15</f>
        <v>19</v>
      </c>
      <c r="G23" s="152" t="s">
        <v>385</v>
      </c>
      <c r="H23" s="152"/>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8"/>
      <c r="CK23" s="8"/>
      <c r="CL23" s="8"/>
      <c r="CM23" s="8"/>
      <c r="CN23" s="8"/>
      <c r="CO23" s="8"/>
    </row>
    <row r="24" spans="2:93" ht="16" thickBot="1">
      <c r="B24" s="148" t="s">
        <v>26</v>
      </c>
      <c r="C24" s="152">
        <v>51</v>
      </c>
      <c r="D24" s="152">
        <v>51</v>
      </c>
      <c r="E24" s="152">
        <v>51</v>
      </c>
      <c r="F24" s="152">
        <v>51</v>
      </c>
      <c r="G24" s="152"/>
      <c r="H24" s="152"/>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c r="CB24" s="8"/>
      <c r="CC24" s="8"/>
      <c r="CD24" s="8"/>
      <c r="CE24" s="8"/>
      <c r="CF24" s="8"/>
      <c r="CG24" s="8"/>
      <c r="CH24" s="8"/>
      <c r="CI24" s="8"/>
      <c r="CJ24" s="8"/>
      <c r="CK24" s="8"/>
      <c r="CL24" s="8"/>
      <c r="CM24" s="8"/>
      <c r="CN24" s="8"/>
      <c r="CO24" s="8"/>
    </row>
    <row r="25" spans="2:93" ht="16" thickBot="1">
      <c r="B25" s="148" t="s">
        <v>28</v>
      </c>
      <c r="C25" s="152">
        <v>49</v>
      </c>
      <c r="D25" s="152">
        <v>49</v>
      </c>
      <c r="E25" s="152">
        <v>49</v>
      </c>
      <c r="F25" s="152">
        <v>49</v>
      </c>
      <c r="G25" s="152"/>
      <c r="H25" s="152"/>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8"/>
      <c r="CH25" s="8"/>
      <c r="CI25" s="8"/>
      <c r="CJ25" s="8"/>
      <c r="CK25" s="8"/>
      <c r="CL25" s="8"/>
      <c r="CM25" s="8"/>
      <c r="CN25" s="8"/>
      <c r="CO25" s="8"/>
    </row>
    <row r="26" spans="2:93" ht="16" thickBot="1">
      <c r="B26" s="148" t="s">
        <v>369</v>
      </c>
      <c r="C26" s="154" t="s">
        <v>386</v>
      </c>
      <c r="D26" s="152" t="s">
        <v>386</v>
      </c>
      <c r="E26" s="152" t="s">
        <v>386</v>
      </c>
      <c r="F26" s="152" t="s">
        <v>386</v>
      </c>
      <c r="G26" s="152" t="s">
        <v>387</v>
      </c>
      <c r="H26" s="152"/>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8"/>
      <c r="CK26" s="8"/>
      <c r="CL26" s="8"/>
      <c r="CM26" s="8"/>
      <c r="CN26" s="8"/>
      <c r="CO26" s="8"/>
    </row>
    <row r="27" spans="2:93" ht="16" thickBot="1">
      <c r="B27" s="148" t="s">
        <v>64</v>
      </c>
      <c r="C27" s="154">
        <v>135</v>
      </c>
      <c r="D27" s="152">
        <v>135</v>
      </c>
      <c r="E27" s="152">
        <v>135</v>
      </c>
      <c r="F27" s="152">
        <v>135</v>
      </c>
      <c r="G27" s="152" t="s">
        <v>382</v>
      </c>
      <c r="H27" s="152"/>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8"/>
      <c r="CK27" s="8"/>
      <c r="CL27" s="8"/>
      <c r="CM27" s="8"/>
      <c r="CN27" s="8"/>
      <c r="CO27" s="8"/>
    </row>
    <row r="28" spans="2:93" ht="16" thickBot="1">
      <c r="B28" s="148" t="s">
        <v>407</v>
      </c>
      <c r="C28" s="152">
        <v>100</v>
      </c>
      <c r="D28" s="152">
        <v>100</v>
      </c>
      <c r="E28" s="152">
        <v>100</v>
      </c>
      <c r="F28" s="152">
        <v>100</v>
      </c>
      <c r="G28" s="152" t="s">
        <v>383</v>
      </c>
      <c r="H28" s="152"/>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8"/>
      <c r="CK28" s="8"/>
      <c r="CL28" s="8"/>
      <c r="CM28" s="8"/>
      <c r="CN28" s="8"/>
      <c r="CO28" s="8"/>
    </row>
    <row r="29" spans="2:93">
      <c r="B29" s="36" t="s">
        <v>353</v>
      </c>
      <c r="C29" s="42">
        <f>C30/$G30</f>
        <v>2831</v>
      </c>
      <c r="D29" s="42">
        <f>D30/$G30</f>
        <v>2831</v>
      </c>
      <c r="E29" s="42">
        <f>E30/$G30</f>
        <v>2831</v>
      </c>
      <c r="F29" s="42">
        <f>F30/$G30</f>
        <v>2831</v>
      </c>
      <c r="H29" s="63"/>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row>
    <row r="30" spans="2:93">
      <c r="B30" s="36" t="s">
        <v>354</v>
      </c>
      <c r="C30" s="42">
        <f>C23*$G$4*1000</f>
        <v>141550</v>
      </c>
      <c r="D30" s="42">
        <f>D23*$G$4*1000</f>
        <v>141550</v>
      </c>
      <c r="E30" s="42">
        <f>E23*$G$4*1000</f>
        <v>141550</v>
      </c>
      <c r="F30" s="42">
        <f>F23*$G$4*1000</f>
        <v>141550</v>
      </c>
      <c r="G30" s="67">
        <v>50</v>
      </c>
      <c r="H30" s="63" t="s">
        <v>330</v>
      </c>
      <c r="I30" s="63" t="s">
        <v>332</v>
      </c>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row>
    <row r="31" spans="2:93">
      <c r="B31" s="36" t="s">
        <v>355</v>
      </c>
      <c r="C31" s="106">
        <f>C27*$G$4/$G30</f>
        <v>20.114999999999998</v>
      </c>
      <c r="D31" s="106">
        <f>D27*$G$4/$G30</f>
        <v>20.114999999999998</v>
      </c>
      <c r="E31" s="106">
        <f>E27*$G$4/$G30</f>
        <v>20.114999999999998</v>
      </c>
      <c r="F31" s="106">
        <f>F27*$G$4/$G30</f>
        <v>20.114999999999998</v>
      </c>
      <c r="G31" s="63" t="s">
        <v>333</v>
      </c>
      <c r="H31" s="63"/>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row>
    <row r="32" spans="2:93" ht="16" thickBot="1">
      <c r="B32" s="36" t="s">
        <v>356</v>
      </c>
      <c r="C32" s="106">
        <f>C28*$G$4/$G30</f>
        <v>14.9</v>
      </c>
      <c r="D32" s="106">
        <f>D28*$G$4/$G30</f>
        <v>14.9</v>
      </c>
      <c r="E32" s="106">
        <f>E28*$G$4/$G30</f>
        <v>14.9</v>
      </c>
      <c r="F32" s="106">
        <f>F28*$G$4/$G30</f>
        <v>14.9</v>
      </c>
      <c r="G32" s="66"/>
      <c r="H32" s="63"/>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row>
    <row r="33" spans="3:93">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8"/>
      <c r="CK33" s="8"/>
      <c r="CL33" s="8"/>
      <c r="CM33" s="8"/>
      <c r="CN33" s="8"/>
      <c r="CO33" s="8"/>
    </row>
    <row r="34" spans="3:93">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c r="CB34" s="8"/>
      <c r="CC34" s="8"/>
      <c r="CD34" s="8"/>
      <c r="CE34" s="8"/>
      <c r="CF34" s="8"/>
      <c r="CG34" s="8"/>
      <c r="CH34" s="8"/>
      <c r="CI34" s="8"/>
      <c r="CJ34" s="8"/>
      <c r="CK34" s="8"/>
      <c r="CL34" s="8"/>
      <c r="CM34" s="8"/>
      <c r="CN34" s="8"/>
      <c r="CO34" s="8"/>
    </row>
    <row r="35" spans="3:93">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8"/>
      <c r="CI35" s="8"/>
      <c r="CJ35" s="8"/>
      <c r="CK35" s="8"/>
      <c r="CL35" s="8"/>
      <c r="CM35" s="8"/>
      <c r="CN35" s="8"/>
      <c r="CO35" s="8"/>
    </row>
    <row r="36" spans="3:93">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8"/>
      <c r="CI36" s="8"/>
      <c r="CJ36" s="8"/>
      <c r="CK36" s="8"/>
      <c r="CL36" s="8"/>
      <c r="CM36" s="8"/>
      <c r="CN36" s="8"/>
      <c r="CO36" s="8"/>
    </row>
    <row r="37" spans="3:93">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8"/>
      <c r="CH37" s="8"/>
      <c r="CI37" s="8"/>
      <c r="CJ37" s="8"/>
      <c r="CK37" s="8"/>
      <c r="CL37" s="8"/>
      <c r="CM37" s="8"/>
      <c r="CN37" s="8"/>
      <c r="CO37" s="8"/>
    </row>
    <row r="38" spans="3:93">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8"/>
      <c r="CK38" s="8"/>
      <c r="CL38" s="8"/>
      <c r="CM38" s="8"/>
      <c r="CN38" s="8"/>
      <c r="CO38" s="8"/>
    </row>
    <row r="39" spans="3:93">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c r="CB39" s="8"/>
      <c r="CC39" s="8"/>
      <c r="CD39" s="8"/>
      <c r="CE39" s="8"/>
      <c r="CF39" s="8"/>
      <c r="CG39" s="8"/>
      <c r="CH39" s="8"/>
      <c r="CI39" s="8"/>
      <c r="CJ39" s="8"/>
      <c r="CK39" s="8"/>
      <c r="CL39" s="8"/>
      <c r="CM39" s="8"/>
      <c r="CN39" s="8"/>
      <c r="CO39" s="8"/>
    </row>
    <row r="40" spans="3:93">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8"/>
      <c r="CJ40" s="8"/>
      <c r="CK40" s="8"/>
      <c r="CL40" s="8"/>
      <c r="CM40" s="8"/>
      <c r="CN40" s="8"/>
      <c r="CO40" s="8"/>
    </row>
    <row r="41" spans="3:93">
      <c r="C41"/>
      <c r="D41"/>
      <c r="E41"/>
      <c r="F41"/>
      <c r="G41"/>
      <c r="H41"/>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c r="CB41" s="8"/>
      <c r="CC41" s="8"/>
      <c r="CD41" s="8"/>
      <c r="CE41" s="8"/>
      <c r="CF41" s="8"/>
      <c r="CG41" s="8"/>
      <c r="CH41" s="8"/>
      <c r="CI41" s="8"/>
      <c r="CJ41" s="8"/>
      <c r="CK41" s="8"/>
      <c r="CL41" s="8"/>
      <c r="CM41" s="8"/>
      <c r="CN41" s="8"/>
      <c r="CO41" s="8"/>
    </row>
    <row r="42" spans="3:93">
      <c r="C42"/>
      <c r="D42"/>
      <c r="E42"/>
      <c r="F42"/>
      <c r="G42"/>
      <c r="H42"/>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c r="CB42" s="8"/>
      <c r="CC42" s="8"/>
      <c r="CD42" s="8"/>
      <c r="CE42" s="8"/>
      <c r="CF42" s="8"/>
      <c r="CG42" s="8"/>
      <c r="CH42" s="8"/>
      <c r="CI42" s="8"/>
      <c r="CJ42" s="8"/>
      <c r="CK42" s="8"/>
      <c r="CL42" s="8"/>
      <c r="CM42" s="8"/>
      <c r="CN42" s="8"/>
      <c r="CO42" s="8"/>
    </row>
    <row r="43" spans="3:93">
      <c r="C43"/>
      <c r="D43"/>
      <c r="E43"/>
      <c r="F43"/>
      <c r="G43"/>
      <c r="H43"/>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c r="CB43" s="8"/>
      <c r="CC43" s="8"/>
      <c r="CD43" s="8"/>
      <c r="CE43" s="8"/>
      <c r="CF43" s="8"/>
      <c r="CG43" s="8"/>
      <c r="CH43" s="8"/>
      <c r="CI43" s="8"/>
      <c r="CJ43" s="8"/>
      <c r="CK43" s="8"/>
      <c r="CL43" s="8"/>
      <c r="CM43" s="8"/>
      <c r="CN43" s="8"/>
      <c r="CO43" s="8"/>
    </row>
    <row r="44" spans="3:93">
      <c r="C44"/>
      <c r="D44"/>
      <c r="E44"/>
      <c r="F44"/>
      <c r="G44"/>
      <c r="H44"/>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c r="CB44" s="8"/>
      <c r="CC44" s="8"/>
      <c r="CD44" s="8"/>
      <c r="CE44" s="8"/>
      <c r="CF44" s="8"/>
      <c r="CG44" s="8"/>
      <c r="CH44" s="8"/>
      <c r="CI44" s="8"/>
      <c r="CJ44" s="8"/>
      <c r="CK44" s="8"/>
      <c r="CL44" s="8"/>
      <c r="CM44" s="8"/>
      <c r="CN44" s="8"/>
      <c r="CO44" s="8"/>
    </row>
    <row r="45" spans="3:93">
      <c r="C45"/>
      <c r="D45"/>
      <c r="E45"/>
      <c r="F45"/>
      <c r="G45"/>
      <c r="H45"/>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c r="CB45" s="8"/>
      <c r="CC45" s="8"/>
      <c r="CD45" s="8"/>
      <c r="CE45" s="8"/>
      <c r="CF45" s="8"/>
      <c r="CG45" s="8"/>
      <c r="CH45" s="8"/>
      <c r="CI45" s="8"/>
      <c r="CJ45" s="8"/>
      <c r="CK45" s="8"/>
      <c r="CL45" s="8"/>
      <c r="CM45" s="8"/>
      <c r="CN45" s="8"/>
      <c r="CO45" s="8"/>
    </row>
    <row r="46" spans="3:93">
      <c r="C46"/>
      <c r="D46"/>
      <c r="E46"/>
      <c r="F46"/>
      <c r="G46"/>
      <c r="H46"/>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c r="CB46" s="8"/>
      <c r="CC46" s="8"/>
      <c r="CD46" s="8"/>
      <c r="CE46" s="8"/>
      <c r="CF46" s="8"/>
      <c r="CG46" s="8"/>
      <c r="CH46" s="8"/>
      <c r="CI46" s="8"/>
      <c r="CJ46" s="8"/>
      <c r="CK46" s="8"/>
      <c r="CL46" s="8"/>
      <c r="CM46" s="8"/>
      <c r="CN46" s="8"/>
      <c r="CO46" s="8"/>
    </row>
    <row r="47" spans="3:93">
      <c r="C47"/>
      <c r="D47"/>
      <c r="E47"/>
      <c r="F47"/>
      <c r="G47"/>
      <c r="H47"/>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c r="CB47" s="8"/>
      <c r="CC47" s="8"/>
      <c r="CD47" s="8"/>
      <c r="CE47" s="8"/>
      <c r="CF47" s="8"/>
      <c r="CG47" s="8"/>
      <c r="CH47" s="8"/>
      <c r="CI47" s="8"/>
      <c r="CJ47" s="8"/>
      <c r="CK47" s="8"/>
      <c r="CL47" s="8"/>
      <c r="CM47" s="8"/>
      <c r="CN47" s="8"/>
      <c r="CO47" s="8"/>
    </row>
    <row r="48" spans="3:93">
      <c r="C48"/>
      <c r="D48"/>
      <c r="E48"/>
      <c r="F48"/>
      <c r="G48"/>
      <c r="H4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c r="CB48" s="8"/>
      <c r="CC48" s="8"/>
      <c r="CD48" s="8"/>
      <c r="CE48" s="8"/>
      <c r="CF48" s="8"/>
      <c r="CG48" s="8"/>
      <c r="CH48" s="8"/>
      <c r="CI48" s="8"/>
      <c r="CJ48" s="8"/>
      <c r="CK48" s="8"/>
      <c r="CL48" s="8"/>
      <c r="CM48" s="8"/>
      <c r="CN48" s="8"/>
      <c r="CO48" s="8"/>
    </row>
    <row r="49" spans="3:93">
      <c r="C49"/>
      <c r="D49"/>
      <c r="E49"/>
      <c r="F49"/>
      <c r="G49"/>
      <c r="H49"/>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c r="CB49" s="8"/>
      <c r="CC49" s="8"/>
      <c r="CD49" s="8"/>
      <c r="CE49" s="8"/>
      <c r="CF49" s="8"/>
      <c r="CG49" s="8"/>
      <c r="CH49" s="8"/>
      <c r="CI49" s="8"/>
      <c r="CJ49" s="8"/>
      <c r="CK49" s="8"/>
      <c r="CL49" s="8"/>
      <c r="CM49" s="8"/>
      <c r="CN49" s="8"/>
      <c r="CO49" s="8"/>
    </row>
    <row r="50" spans="3:93">
      <c r="C50"/>
      <c r="D50"/>
      <c r="E50"/>
      <c r="F50"/>
      <c r="G50"/>
      <c r="H50"/>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c r="CB50" s="8"/>
      <c r="CC50" s="8"/>
      <c r="CD50" s="8"/>
      <c r="CE50" s="8"/>
      <c r="CF50" s="8"/>
      <c r="CG50" s="8"/>
      <c r="CH50" s="8"/>
      <c r="CI50" s="8"/>
      <c r="CJ50" s="8"/>
      <c r="CK50" s="8"/>
      <c r="CL50" s="8"/>
      <c r="CM50" s="8"/>
      <c r="CN50" s="8"/>
      <c r="CO50" s="8"/>
    </row>
    <row r="51" spans="3:93">
      <c r="C51"/>
      <c r="D51"/>
      <c r="E51"/>
      <c r="F51"/>
      <c r="G51"/>
      <c r="H51"/>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c r="CB51" s="8"/>
      <c r="CC51" s="8"/>
      <c r="CD51" s="8"/>
      <c r="CE51" s="8"/>
      <c r="CF51" s="8"/>
      <c r="CG51" s="8"/>
      <c r="CH51" s="8"/>
      <c r="CI51" s="8"/>
      <c r="CJ51" s="8"/>
      <c r="CK51" s="8"/>
      <c r="CL51" s="8"/>
      <c r="CM51" s="8"/>
      <c r="CN51" s="8"/>
      <c r="CO51" s="8"/>
    </row>
    <row r="52" spans="3:93">
      <c r="C52"/>
      <c r="D52"/>
      <c r="E52"/>
      <c r="F52"/>
      <c r="G52"/>
      <c r="H52"/>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c r="CB52" s="8"/>
      <c r="CC52" s="8"/>
      <c r="CD52" s="8"/>
      <c r="CE52" s="8"/>
      <c r="CF52" s="8"/>
      <c r="CG52" s="8"/>
      <c r="CH52" s="8"/>
      <c r="CI52" s="8"/>
      <c r="CJ52" s="8"/>
      <c r="CK52" s="8"/>
      <c r="CL52" s="8"/>
      <c r="CM52" s="8"/>
      <c r="CN52" s="8"/>
      <c r="CO52" s="8"/>
    </row>
    <row r="53" spans="3:93">
      <c r="C53"/>
      <c r="D53"/>
      <c r="E53"/>
      <c r="F53"/>
      <c r="G53"/>
      <c r="H53"/>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c r="CB53" s="8"/>
      <c r="CC53" s="8"/>
      <c r="CD53" s="8"/>
      <c r="CE53" s="8"/>
      <c r="CF53" s="8"/>
      <c r="CG53" s="8"/>
      <c r="CH53" s="8"/>
      <c r="CI53" s="8"/>
      <c r="CJ53" s="8"/>
      <c r="CK53" s="8"/>
      <c r="CL53" s="8"/>
      <c r="CM53" s="8"/>
      <c r="CN53" s="8"/>
      <c r="CO53" s="8"/>
    </row>
    <row r="54" spans="3:93">
      <c r="C54"/>
      <c r="D54"/>
      <c r="E54"/>
      <c r="F54"/>
      <c r="G54"/>
      <c r="H54"/>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c r="CB54" s="8"/>
      <c r="CC54" s="8"/>
      <c r="CD54" s="8"/>
      <c r="CE54" s="8"/>
      <c r="CF54" s="8"/>
      <c r="CG54" s="8"/>
      <c r="CH54" s="8"/>
      <c r="CI54" s="8"/>
      <c r="CJ54" s="8"/>
      <c r="CK54" s="8"/>
      <c r="CL54" s="8"/>
      <c r="CM54" s="8"/>
      <c r="CN54" s="8"/>
      <c r="CO54" s="8"/>
    </row>
    <row r="55" spans="3:93">
      <c r="C55"/>
      <c r="D55"/>
      <c r="E55"/>
      <c r="F55"/>
      <c r="G55"/>
      <c r="H55"/>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c r="CB55" s="8"/>
      <c r="CC55" s="8"/>
      <c r="CD55" s="8"/>
      <c r="CE55" s="8"/>
      <c r="CF55" s="8"/>
      <c r="CG55" s="8"/>
      <c r="CH55" s="8"/>
      <c r="CI55" s="8"/>
      <c r="CJ55" s="8"/>
      <c r="CK55" s="8"/>
      <c r="CL55" s="8"/>
      <c r="CM55" s="8"/>
      <c r="CN55" s="8"/>
      <c r="CO55" s="8"/>
    </row>
    <row r="56" spans="3:93">
      <c r="C56"/>
      <c r="D56"/>
      <c r="E56"/>
      <c r="F56"/>
      <c r="G56"/>
      <c r="H56"/>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c r="CB56" s="8"/>
      <c r="CC56" s="8"/>
      <c r="CD56" s="8"/>
      <c r="CE56" s="8"/>
      <c r="CF56" s="8"/>
      <c r="CG56" s="8"/>
      <c r="CH56" s="8"/>
      <c r="CI56" s="8"/>
      <c r="CJ56" s="8"/>
      <c r="CK56" s="8"/>
      <c r="CL56" s="8"/>
      <c r="CM56" s="8"/>
      <c r="CN56" s="8"/>
      <c r="CO56" s="8"/>
    </row>
    <row r="57" spans="3:93">
      <c r="C57"/>
      <c r="D57"/>
      <c r="E57"/>
      <c r="F57"/>
      <c r="G57"/>
      <c r="H57"/>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c r="CB57" s="8"/>
      <c r="CC57" s="8"/>
      <c r="CD57" s="8"/>
      <c r="CE57" s="8"/>
      <c r="CF57" s="8"/>
      <c r="CG57" s="8"/>
      <c r="CH57" s="8"/>
      <c r="CI57" s="8"/>
      <c r="CJ57" s="8"/>
      <c r="CK57" s="8"/>
      <c r="CL57" s="8"/>
      <c r="CM57" s="8"/>
      <c r="CN57" s="8"/>
      <c r="CO57" s="8"/>
    </row>
    <row r="58" spans="3:93">
      <c r="C58"/>
      <c r="D58"/>
      <c r="E58"/>
      <c r="F58"/>
      <c r="G58"/>
      <c r="H5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c r="CC58" s="8"/>
      <c r="CD58" s="8"/>
      <c r="CE58" s="8"/>
      <c r="CF58" s="8"/>
      <c r="CG58" s="8"/>
      <c r="CH58" s="8"/>
      <c r="CI58" s="8"/>
      <c r="CJ58" s="8"/>
      <c r="CK58" s="8"/>
      <c r="CL58" s="8"/>
      <c r="CM58" s="8"/>
      <c r="CN58" s="8"/>
      <c r="CO58" s="8"/>
    </row>
    <row r="59" spans="3:93">
      <c r="C59"/>
      <c r="D59"/>
      <c r="E59"/>
      <c r="F59"/>
      <c r="G59"/>
      <c r="H59"/>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c r="CC59" s="8"/>
      <c r="CD59" s="8"/>
      <c r="CE59" s="8"/>
      <c r="CF59" s="8"/>
      <c r="CG59" s="8"/>
      <c r="CH59" s="8"/>
      <c r="CI59" s="8"/>
      <c r="CJ59" s="8"/>
      <c r="CK59" s="8"/>
      <c r="CL59" s="8"/>
      <c r="CM59" s="8"/>
      <c r="CN59" s="8"/>
      <c r="CO59" s="8"/>
    </row>
    <row r="60" spans="3:93">
      <c r="C60"/>
      <c r="D60"/>
      <c r="E60"/>
      <c r="F60"/>
      <c r="G60"/>
      <c r="H60"/>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c r="CB60" s="8"/>
      <c r="CC60" s="8"/>
      <c r="CD60" s="8"/>
      <c r="CE60" s="8"/>
      <c r="CF60" s="8"/>
      <c r="CG60" s="8"/>
      <c r="CH60" s="8"/>
      <c r="CI60" s="8"/>
      <c r="CJ60" s="8"/>
      <c r="CK60" s="8"/>
      <c r="CL60" s="8"/>
      <c r="CM60" s="8"/>
      <c r="CN60" s="8"/>
      <c r="CO60" s="8"/>
    </row>
    <row r="61" spans="3:93">
      <c r="C61"/>
      <c r="D61"/>
      <c r="E61"/>
      <c r="F61"/>
      <c r="G61"/>
      <c r="H61"/>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c r="CB61" s="8"/>
      <c r="CC61" s="8"/>
      <c r="CD61" s="8"/>
      <c r="CE61" s="8"/>
      <c r="CF61" s="8"/>
      <c r="CG61" s="8"/>
      <c r="CH61" s="8"/>
      <c r="CI61" s="8"/>
      <c r="CJ61" s="8"/>
      <c r="CK61" s="8"/>
      <c r="CL61" s="8"/>
      <c r="CM61" s="8"/>
      <c r="CN61" s="8"/>
      <c r="CO61" s="8"/>
    </row>
    <row r="62" spans="3:93">
      <c r="C62"/>
      <c r="D62"/>
      <c r="E62"/>
      <c r="F62"/>
      <c r="G62"/>
      <c r="H62"/>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c r="CB62" s="8"/>
      <c r="CC62" s="8"/>
      <c r="CD62" s="8"/>
      <c r="CE62" s="8"/>
      <c r="CF62" s="8"/>
      <c r="CG62" s="8"/>
      <c r="CH62" s="8"/>
      <c r="CI62" s="8"/>
      <c r="CJ62" s="8"/>
      <c r="CK62" s="8"/>
      <c r="CL62" s="8"/>
      <c r="CM62" s="8"/>
      <c r="CN62" s="8"/>
      <c r="CO62" s="8"/>
    </row>
    <row r="63" spans="3:93">
      <c r="C63"/>
      <c r="D63"/>
      <c r="E63"/>
      <c r="F63"/>
      <c r="G63"/>
      <c r="H63"/>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c r="CB63" s="8"/>
      <c r="CC63" s="8"/>
      <c r="CD63" s="8"/>
      <c r="CE63" s="8"/>
      <c r="CF63" s="8"/>
      <c r="CG63" s="8"/>
      <c r="CH63" s="8"/>
      <c r="CI63" s="8"/>
      <c r="CJ63" s="8"/>
      <c r="CK63" s="8"/>
      <c r="CL63" s="8"/>
      <c r="CM63" s="8"/>
      <c r="CN63" s="8"/>
      <c r="CO63" s="8"/>
    </row>
    <row r="64" spans="3:93">
      <c r="C64"/>
      <c r="D64"/>
      <c r="E64"/>
      <c r="F64"/>
      <c r="G64"/>
      <c r="H64"/>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c r="CB64" s="8"/>
      <c r="CC64" s="8"/>
      <c r="CD64" s="8"/>
      <c r="CE64" s="8"/>
      <c r="CF64" s="8"/>
      <c r="CG64" s="8"/>
      <c r="CH64" s="8"/>
      <c r="CI64" s="8"/>
      <c r="CJ64" s="8"/>
      <c r="CK64" s="8"/>
      <c r="CL64" s="8"/>
      <c r="CM64" s="8"/>
      <c r="CN64" s="8"/>
      <c r="CO64" s="8"/>
    </row>
    <row r="65" spans="3:93">
      <c r="C65"/>
      <c r="D65"/>
      <c r="E65"/>
      <c r="F65"/>
      <c r="G65"/>
      <c r="H65"/>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c r="CB65" s="8"/>
      <c r="CC65" s="8"/>
      <c r="CD65" s="8"/>
      <c r="CE65" s="8"/>
      <c r="CF65" s="8"/>
      <c r="CG65" s="8"/>
      <c r="CH65" s="8"/>
      <c r="CI65" s="8"/>
      <c r="CJ65" s="8"/>
      <c r="CK65" s="8"/>
      <c r="CL65" s="8"/>
      <c r="CM65" s="8"/>
      <c r="CN65" s="8"/>
      <c r="CO65" s="8"/>
    </row>
    <row r="66" spans="3:93">
      <c r="C66"/>
      <c r="D66"/>
      <c r="E66"/>
      <c r="F66"/>
      <c r="G66"/>
      <c r="H66"/>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c r="CB66" s="8"/>
      <c r="CC66" s="8"/>
      <c r="CD66" s="8"/>
      <c r="CE66" s="8"/>
      <c r="CF66" s="8"/>
      <c r="CG66" s="8"/>
      <c r="CH66" s="8"/>
      <c r="CI66" s="8"/>
      <c r="CJ66" s="8"/>
      <c r="CK66" s="8"/>
      <c r="CL66" s="8"/>
      <c r="CM66" s="8"/>
      <c r="CN66" s="8"/>
      <c r="CO66" s="8"/>
    </row>
    <row r="67" spans="3:93">
      <c r="C67"/>
      <c r="D67"/>
      <c r="E67"/>
      <c r="F67"/>
      <c r="G67"/>
      <c r="H67"/>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c r="CB67" s="8"/>
      <c r="CC67" s="8"/>
      <c r="CD67" s="8"/>
      <c r="CE67" s="8"/>
      <c r="CF67" s="8"/>
      <c r="CG67" s="8"/>
      <c r="CH67" s="8"/>
      <c r="CI67" s="8"/>
      <c r="CJ67" s="8"/>
      <c r="CK67" s="8"/>
      <c r="CL67" s="8"/>
      <c r="CM67" s="8"/>
      <c r="CN67" s="8"/>
      <c r="CO67" s="8"/>
    </row>
    <row r="68" spans="3:93">
      <c r="C68"/>
      <c r="D68"/>
      <c r="E68"/>
      <c r="F68"/>
      <c r="G68"/>
      <c r="H6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c r="CB68" s="8"/>
      <c r="CC68" s="8"/>
      <c r="CD68" s="8"/>
      <c r="CE68" s="8"/>
      <c r="CF68" s="8"/>
      <c r="CG68" s="8"/>
      <c r="CH68" s="8"/>
      <c r="CI68" s="8"/>
      <c r="CJ68" s="8"/>
      <c r="CK68" s="8"/>
      <c r="CL68" s="8"/>
      <c r="CM68" s="8"/>
      <c r="CN68" s="8"/>
      <c r="CO68" s="8"/>
    </row>
    <row r="69" spans="3:93">
      <c r="C69"/>
      <c r="D69"/>
      <c r="E69"/>
      <c r="F69"/>
      <c r="G69"/>
      <c r="H69"/>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c r="CB69" s="8"/>
      <c r="CC69" s="8"/>
      <c r="CD69" s="8"/>
      <c r="CE69" s="8"/>
      <c r="CF69" s="8"/>
      <c r="CG69" s="8"/>
      <c r="CH69" s="8"/>
      <c r="CI69" s="8"/>
      <c r="CJ69" s="8"/>
      <c r="CK69" s="8"/>
      <c r="CL69" s="8"/>
      <c r="CM69" s="8"/>
      <c r="CN69" s="8"/>
      <c r="CO69" s="8"/>
    </row>
    <row r="70" spans="3:93">
      <c r="C70"/>
      <c r="D70"/>
      <c r="E70"/>
      <c r="F70"/>
      <c r="G70"/>
      <c r="H70"/>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c r="CB70" s="8"/>
      <c r="CC70" s="8"/>
      <c r="CD70" s="8"/>
      <c r="CE70" s="8"/>
      <c r="CF70" s="8"/>
      <c r="CG70" s="8"/>
      <c r="CH70" s="8"/>
      <c r="CI70" s="8"/>
      <c r="CJ70" s="8"/>
      <c r="CK70" s="8"/>
      <c r="CL70" s="8"/>
      <c r="CM70" s="8"/>
      <c r="CN70" s="8"/>
      <c r="CO70" s="8"/>
    </row>
    <row r="71" spans="3:93">
      <c r="C71"/>
      <c r="D71"/>
      <c r="E71"/>
      <c r="F71"/>
      <c r="G71"/>
      <c r="H71"/>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c r="CB71" s="8"/>
      <c r="CC71" s="8"/>
      <c r="CD71" s="8"/>
      <c r="CE71" s="8"/>
      <c r="CF71" s="8"/>
      <c r="CG71" s="8"/>
      <c r="CH71" s="8"/>
      <c r="CI71" s="8"/>
      <c r="CJ71" s="8"/>
      <c r="CK71" s="8"/>
      <c r="CL71" s="8"/>
      <c r="CM71" s="8"/>
      <c r="CN71" s="8"/>
      <c r="CO71" s="8"/>
    </row>
    <row r="72" spans="3:93">
      <c r="C72"/>
      <c r="D72"/>
      <c r="E72"/>
      <c r="F72"/>
      <c r="G72"/>
      <c r="H72"/>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c r="CB72" s="8"/>
      <c r="CC72" s="8"/>
      <c r="CD72" s="8"/>
      <c r="CE72" s="8"/>
      <c r="CF72" s="8"/>
      <c r="CG72" s="8"/>
      <c r="CH72" s="8"/>
      <c r="CI72" s="8"/>
      <c r="CJ72" s="8"/>
      <c r="CK72" s="8"/>
      <c r="CL72" s="8"/>
      <c r="CM72" s="8"/>
      <c r="CN72" s="8"/>
      <c r="CO72" s="8"/>
    </row>
    <row r="73" spans="3:93">
      <c r="C73"/>
      <c r="D73"/>
      <c r="E73"/>
      <c r="F73"/>
      <c r="G73"/>
      <c r="H73"/>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c r="CB73" s="8"/>
      <c r="CC73" s="8"/>
      <c r="CD73" s="8"/>
      <c r="CE73" s="8"/>
      <c r="CF73" s="8"/>
      <c r="CG73" s="8"/>
      <c r="CH73" s="8"/>
      <c r="CI73" s="8"/>
      <c r="CJ73" s="8"/>
      <c r="CK73" s="8"/>
      <c r="CL73" s="8"/>
      <c r="CM73" s="8"/>
      <c r="CN73" s="8"/>
      <c r="CO73" s="8"/>
    </row>
    <row r="74" spans="3:93">
      <c r="C74"/>
      <c r="D74"/>
      <c r="E74"/>
      <c r="F74"/>
      <c r="G74"/>
      <c r="H74"/>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c r="CB74" s="8"/>
      <c r="CC74" s="8"/>
      <c r="CD74" s="8"/>
      <c r="CE74" s="8"/>
      <c r="CF74" s="8"/>
      <c r="CG74" s="8"/>
      <c r="CH74" s="8"/>
      <c r="CI74" s="8"/>
      <c r="CJ74" s="8"/>
      <c r="CK74" s="8"/>
      <c r="CL74" s="8"/>
      <c r="CM74" s="8"/>
      <c r="CN74" s="8"/>
      <c r="CO74" s="8"/>
    </row>
    <row r="75" spans="3:93">
      <c r="C75"/>
      <c r="D75"/>
      <c r="E75"/>
      <c r="F75"/>
      <c r="G75"/>
      <c r="H75"/>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row>
    <row r="76" spans="3:93">
      <c r="C76"/>
      <c r="D76"/>
      <c r="E76"/>
      <c r="F76"/>
      <c r="G76"/>
      <c r="H76"/>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c r="CB76" s="8"/>
      <c r="CC76" s="8"/>
      <c r="CD76" s="8"/>
      <c r="CE76" s="8"/>
      <c r="CF76" s="8"/>
      <c r="CG76" s="8"/>
      <c r="CH76" s="8"/>
      <c r="CI76" s="8"/>
      <c r="CJ76" s="8"/>
      <c r="CK76" s="8"/>
      <c r="CL76" s="8"/>
      <c r="CM76" s="8"/>
      <c r="CN76" s="8"/>
      <c r="CO76" s="8"/>
    </row>
    <row r="77" spans="3:93">
      <c r="C77"/>
      <c r="D77"/>
      <c r="E77"/>
      <c r="F77"/>
      <c r="G77"/>
      <c r="H77"/>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c r="CB77" s="8"/>
      <c r="CC77" s="8"/>
      <c r="CD77" s="8"/>
      <c r="CE77" s="8"/>
      <c r="CF77" s="8"/>
      <c r="CG77" s="8"/>
      <c r="CH77" s="8"/>
      <c r="CI77" s="8"/>
      <c r="CJ77" s="8"/>
      <c r="CK77" s="8"/>
      <c r="CL77" s="8"/>
      <c r="CM77" s="8"/>
      <c r="CN77" s="8"/>
      <c r="CO77" s="8"/>
    </row>
    <row r="78" spans="3:93">
      <c r="C78"/>
      <c r="D78"/>
      <c r="E78"/>
      <c r="F78"/>
      <c r="G78"/>
      <c r="H7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c r="CB78" s="8"/>
      <c r="CC78" s="8"/>
      <c r="CD78" s="8"/>
      <c r="CE78" s="8"/>
      <c r="CF78" s="8"/>
      <c r="CG78" s="8"/>
      <c r="CH78" s="8"/>
      <c r="CI78" s="8"/>
      <c r="CJ78" s="8"/>
      <c r="CK78" s="8"/>
      <c r="CL78" s="8"/>
      <c r="CM78" s="8"/>
      <c r="CN78" s="8"/>
      <c r="CO78" s="8"/>
    </row>
    <row r="79" spans="3:93">
      <c r="C79"/>
      <c r="D79"/>
      <c r="E79"/>
      <c r="F79"/>
      <c r="G79"/>
      <c r="H79"/>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row>
    <row r="80" spans="3:93">
      <c r="C80"/>
      <c r="D80"/>
      <c r="E80"/>
      <c r="F80"/>
      <c r="G80"/>
      <c r="H80"/>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8"/>
      <c r="CK80" s="8"/>
      <c r="CL80" s="8"/>
      <c r="CM80" s="8"/>
      <c r="CN80" s="8"/>
      <c r="CO80" s="8"/>
    </row>
    <row r="81" spans="3:93">
      <c r="C81"/>
      <c r="D81"/>
      <c r="E81"/>
      <c r="F81"/>
      <c r="G81"/>
      <c r="H81"/>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row>
    <row r="82" spans="3:93">
      <c r="C82"/>
      <c r="D82"/>
      <c r="E82"/>
      <c r="F82"/>
      <c r="G82"/>
      <c r="H82"/>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row>
    <row r="83" spans="3:93">
      <c r="C83"/>
      <c r="D83"/>
      <c r="E83"/>
      <c r="F83"/>
      <c r="G83"/>
      <c r="H83"/>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row>
    <row r="84" spans="3:93">
      <c r="C84"/>
      <c r="D84"/>
      <c r="E84"/>
      <c r="F84"/>
      <c r="G84"/>
      <c r="H84"/>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row>
    <row r="85" spans="3:93">
      <c r="C85"/>
      <c r="D85"/>
      <c r="E85"/>
      <c r="F85"/>
      <c r="G85"/>
      <c r="H85"/>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row>
    <row r="86" spans="3:93">
      <c r="C86"/>
      <c r="D86"/>
      <c r="E86"/>
      <c r="F86"/>
      <c r="G86"/>
      <c r="H86"/>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8"/>
      <c r="CK86" s="8"/>
      <c r="CL86" s="8"/>
      <c r="CM86" s="8"/>
      <c r="CN86" s="8"/>
      <c r="CO86" s="8"/>
    </row>
    <row r="87" spans="3:93">
      <c r="C87"/>
      <c r="D87"/>
      <c r="E87"/>
      <c r="F87"/>
      <c r="G87"/>
      <c r="H87"/>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row>
    <row r="88" spans="3:93">
      <c r="C88"/>
      <c r="D88"/>
      <c r="E88"/>
      <c r="F88"/>
      <c r="G88"/>
      <c r="H8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row>
    <row r="89" spans="3:93">
      <c r="C89"/>
      <c r="D89"/>
      <c r="E89"/>
      <c r="F89"/>
      <c r="G89"/>
      <c r="H89"/>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row>
    <row r="90" spans="3:93">
      <c r="C90"/>
      <c r="D90"/>
      <c r="E90"/>
      <c r="F90"/>
      <c r="G90"/>
      <c r="H90"/>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row>
    <row r="91" spans="3:93">
      <c r="C91"/>
      <c r="D91"/>
      <c r="E91"/>
      <c r="F91"/>
      <c r="G91"/>
      <c r="H91"/>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row>
    <row r="92" spans="3:93">
      <c r="C92"/>
      <c r="D92"/>
      <c r="E92"/>
      <c r="F92"/>
      <c r="G92"/>
      <c r="H92"/>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row>
    <row r="93" spans="3:93">
      <c r="C93"/>
      <c r="D93"/>
      <c r="E93"/>
      <c r="F93"/>
      <c r="G93"/>
      <c r="H93"/>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row>
    <row r="94" spans="3:93">
      <c r="C94"/>
      <c r="D94"/>
      <c r="E94"/>
      <c r="F94"/>
      <c r="G94"/>
      <c r="H94"/>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row>
    <row r="95" spans="3:93">
      <c r="C95"/>
      <c r="D95"/>
      <c r="E95"/>
      <c r="F95"/>
      <c r="G95"/>
      <c r="H95"/>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c r="CD95" s="8"/>
      <c r="CE95" s="8"/>
      <c r="CF95" s="8"/>
      <c r="CG95" s="8"/>
      <c r="CH95" s="8"/>
      <c r="CI95" s="8"/>
      <c r="CJ95" s="8"/>
      <c r="CK95" s="8"/>
      <c r="CL95" s="8"/>
      <c r="CM95" s="8"/>
      <c r="CN95" s="8"/>
      <c r="CO95" s="8"/>
    </row>
    <row r="96" spans="3:93">
      <c r="C96"/>
      <c r="D96"/>
      <c r="E96"/>
      <c r="F96"/>
      <c r="G96"/>
      <c r="H96"/>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c r="CB96" s="8"/>
      <c r="CC96" s="8"/>
      <c r="CD96" s="8"/>
      <c r="CE96" s="8"/>
      <c r="CF96" s="8"/>
      <c r="CG96" s="8"/>
      <c r="CH96" s="8"/>
      <c r="CI96" s="8"/>
      <c r="CJ96" s="8"/>
      <c r="CK96" s="8"/>
      <c r="CL96" s="8"/>
      <c r="CM96" s="8"/>
      <c r="CN96" s="8"/>
      <c r="CO96" s="8"/>
    </row>
    <row r="97" spans="3:93">
      <c r="C97"/>
      <c r="D97"/>
      <c r="E97"/>
      <c r="F97"/>
      <c r="G97"/>
      <c r="H97"/>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c r="CB97" s="8"/>
      <c r="CC97" s="8"/>
      <c r="CD97" s="8"/>
      <c r="CE97" s="8"/>
      <c r="CF97" s="8"/>
      <c r="CG97" s="8"/>
      <c r="CH97" s="8"/>
      <c r="CI97" s="8"/>
      <c r="CJ97" s="8"/>
      <c r="CK97" s="8"/>
      <c r="CL97" s="8"/>
      <c r="CM97" s="8"/>
      <c r="CN97" s="8"/>
      <c r="CO97" s="8"/>
    </row>
    <row r="98" spans="3:93">
      <c r="C98"/>
      <c r="D98"/>
      <c r="E98"/>
      <c r="F98"/>
      <c r="G98"/>
      <c r="H9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c r="CB98" s="8"/>
      <c r="CC98" s="8"/>
      <c r="CD98" s="8"/>
      <c r="CE98" s="8"/>
      <c r="CF98" s="8"/>
      <c r="CG98" s="8"/>
      <c r="CH98" s="8"/>
      <c r="CI98" s="8"/>
      <c r="CJ98" s="8"/>
      <c r="CK98" s="8"/>
      <c r="CL98" s="8"/>
      <c r="CM98" s="8"/>
      <c r="CN98" s="8"/>
      <c r="CO98" s="8"/>
    </row>
    <row r="99" spans="3:93">
      <c r="C99"/>
      <c r="D99"/>
      <c r="E99"/>
      <c r="F99"/>
      <c r="G99"/>
      <c r="H99"/>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c r="CB99" s="8"/>
      <c r="CC99" s="8"/>
      <c r="CD99" s="8"/>
      <c r="CE99" s="8"/>
      <c r="CF99" s="8"/>
      <c r="CG99" s="8"/>
      <c r="CH99" s="8"/>
      <c r="CI99" s="8"/>
      <c r="CJ99" s="8"/>
      <c r="CK99" s="8"/>
      <c r="CL99" s="8"/>
      <c r="CM99" s="8"/>
      <c r="CN99" s="8"/>
      <c r="CO99" s="8"/>
    </row>
    <row r="100" spans="3:93">
      <c r="C100"/>
      <c r="D100"/>
      <c r="E100"/>
      <c r="F100"/>
      <c r="G100"/>
      <c r="H100"/>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c r="CB100" s="8"/>
      <c r="CC100" s="8"/>
      <c r="CD100" s="8"/>
      <c r="CE100" s="8"/>
      <c r="CF100" s="8"/>
      <c r="CG100" s="8"/>
      <c r="CH100" s="8"/>
      <c r="CI100" s="8"/>
      <c r="CJ100" s="8"/>
      <c r="CK100" s="8"/>
      <c r="CL100" s="8"/>
      <c r="CM100" s="8"/>
      <c r="CN100" s="8"/>
      <c r="CO100" s="8"/>
    </row>
    <row r="101" spans="3:93">
      <c r="C101"/>
      <c r="D101"/>
      <c r="E101"/>
      <c r="F101"/>
      <c r="G101"/>
      <c r="H101"/>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c r="CB101" s="8"/>
      <c r="CC101" s="8"/>
      <c r="CD101" s="8"/>
      <c r="CE101" s="8"/>
      <c r="CF101" s="8"/>
      <c r="CG101" s="8"/>
      <c r="CH101" s="8"/>
      <c r="CI101" s="8"/>
      <c r="CJ101" s="8"/>
      <c r="CK101" s="8"/>
      <c r="CL101" s="8"/>
      <c r="CM101" s="8"/>
      <c r="CN101" s="8"/>
      <c r="CO101" s="8"/>
    </row>
    <row r="102" spans="3:93">
      <c r="C102"/>
      <c r="D102"/>
      <c r="E102"/>
      <c r="F102"/>
      <c r="G102"/>
      <c r="H102"/>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c r="CB102" s="8"/>
      <c r="CC102" s="8"/>
      <c r="CD102" s="8"/>
      <c r="CE102" s="8"/>
      <c r="CF102" s="8"/>
      <c r="CG102" s="8"/>
      <c r="CH102" s="8"/>
      <c r="CI102" s="8"/>
      <c r="CJ102" s="8"/>
      <c r="CK102" s="8"/>
      <c r="CL102" s="8"/>
      <c r="CM102" s="8"/>
      <c r="CN102" s="8"/>
      <c r="CO102" s="8"/>
    </row>
    <row r="103" spans="3:93">
      <c r="C103"/>
      <c r="D103"/>
      <c r="E103"/>
      <c r="F103"/>
      <c r="G103"/>
      <c r="H103"/>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row>
    <row r="104" spans="3:93">
      <c r="C104"/>
      <c r="D104"/>
      <c r="E104"/>
      <c r="F104"/>
      <c r="G104"/>
      <c r="H104"/>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row>
    <row r="105" spans="3:93">
      <c r="C105"/>
      <c r="D105"/>
      <c r="E105"/>
      <c r="F105"/>
      <c r="G105"/>
      <c r="H105"/>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c r="CB105" s="8"/>
      <c r="CC105" s="8"/>
      <c r="CD105" s="8"/>
      <c r="CE105" s="8"/>
      <c r="CF105" s="8"/>
      <c r="CG105" s="8"/>
      <c r="CH105" s="8"/>
      <c r="CI105" s="8"/>
      <c r="CJ105" s="8"/>
      <c r="CK105" s="8"/>
      <c r="CL105" s="8"/>
      <c r="CM105" s="8"/>
      <c r="CN105" s="8"/>
      <c r="CO105" s="8"/>
    </row>
    <row r="106" spans="3:93">
      <c r="C106"/>
      <c r="D106"/>
      <c r="E106"/>
      <c r="F106"/>
      <c r="G106"/>
      <c r="H106"/>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c r="CB106" s="8"/>
      <c r="CC106" s="8"/>
      <c r="CD106" s="8"/>
      <c r="CE106" s="8"/>
      <c r="CF106" s="8"/>
      <c r="CG106" s="8"/>
      <c r="CH106" s="8"/>
      <c r="CI106" s="8"/>
      <c r="CJ106" s="8"/>
      <c r="CK106" s="8"/>
      <c r="CL106" s="8"/>
      <c r="CM106" s="8"/>
      <c r="CN106" s="8"/>
      <c r="CO106" s="8"/>
    </row>
    <row r="107" spans="3:93">
      <c r="C107"/>
      <c r="D107"/>
      <c r="E107"/>
      <c r="F107"/>
      <c r="G107"/>
      <c r="H107"/>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c r="CG107" s="8"/>
      <c r="CH107" s="8"/>
      <c r="CI107" s="8"/>
      <c r="CJ107" s="8"/>
      <c r="CK107" s="8"/>
      <c r="CL107" s="8"/>
      <c r="CM107" s="8"/>
      <c r="CN107" s="8"/>
      <c r="CO107" s="8"/>
    </row>
    <row r="108" spans="3:93">
      <c r="C108"/>
      <c r="D108"/>
      <c r="E108"/>
      <c r="F108"/>
      <c r="G108"/>
      <c r="H10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c r="CG108" s="8"/>
      <c r="CH108" s="8"/>
      <c r="CI108" s="8"/>
      <c r="CJ108" s="8"/>
      <c r="CK108" s="8"/>
      <c r="CL108" s="8"/>
      <c r="CM108" s="8"/>
      <c r="CN108" s="8"/>
      <c r="CO108" s="8"/>
    </row>
    <row r="109" spans="3:93">
      <c r="C109"/>
      <c r="D109"/>
      <c r="E109"/>
      <c r="F109"/>
      <c r="G109"/>
      <c r="H109"/>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c r="CB109" s="8"/>
      <c r="CC109" s="8"/>
      <c r="CD109" s="8"/>
      <c r="CE109" s="8"/>
      <c r="CF109" s="8"/>
      <c r="CG109" s="8"/>
      <c r="CH109" s="8"/>
      <c r="CI109" s="8"/>
      <c r="CJ109" s="8"/>
      <c r="CK109" s="8"/>
      <c r="CL109" s="8"/>
      <c r="CM109" s="8"/>
      <c r="CN109" s="8"/>
      <c r="CO109" s="8"/>
    </row>
    <row r="110" spans="3:93">
      <c r="C110"/>
      <c r="D110"/>
      <c r="E110"/>
      <c r="F110"/>
      <c r="G110"/>
      <c r="H110"/>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c r="CB110" s="8"/>
      <c r="CC110" s="8"/>
      <c r="CD110" s="8"/>
      <c r="CE110" s="8"/>
      <c r="CF110" s="8"/>
      <c r="CG110" s="8"/>
      <c r="CH110" s="8"/>
      <c r="CI110" s="8"/>
      <c r="CJ110" s="8"/>
      <c r="CK110" s="8"/>
      <c r="CL110" s="8"/>
      <c r="CM110" s="8"/>
      <c r="CN110" s="8"/>
      <c r="CO110" s="8"/>
    </row>
    <row r="111" spans="3:93">
      <c r="C111"/>
      <c r="D111"/>
      <c r="E111"/>
      <c r="F111"/>
      <c r="G111"/>
      <c r="H111"/>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c r="CB111" s="8"/>
      <c r="CC111" s="8"/>
      <c r="CD111" s="8"/>
      <c r="CE111" s="8"/>
      <c r="CF111" s="8"/>
      <c r="CG111" s="8"/>
      <c r="CH111" s="8"/>
      <c r="CI111" s="8"/>
      <c r="CJ111" s="8"/>
      <c r="CK111" s="8"/>
      <c r="CL111" s="8"/>
      <c r="CM111" s="8"/>
      <c r="CN111" s="8"/>
      <c r="CO111" s="8"/>
    </row>
    <row r="112" spans="3:93">
      <c r="C112"/>
      <c r="D112"/>
      <c r="E112"/>
      <c r="F112"/>
      <c r="G112"/>
      <c r="H112"/>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c r="CB112" s="8"/>
      <c r="CC112" s="8"/>
      <c r="CD112" s="8"/>
      <c r="CE112" s="8"/>
      <c r="CF112" s="8"/>
      <c r="CG112" s="8"/>
      <c r="CH112" s="8"/>
      <c r="CI112" s="8"/>
      <c r="CJ112" s="8"/>
      <c r="CK112" s="8"/>
      <c r="CL112" s="8"/>
      <c r="CM112" s="8"/>
      <c r="CN112" s="8"/>
      <c r="CO112" s="8"/>
    </row>
    <row r="113" spans="3:93">
      <c r="C113"/>
      <c r="D113"/>
      <c r="E113"/>
      <c r="F113"/>
      <c r="G113"/>
      <c r="H113"/>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c r="CB113" s="8"/>
      <c r="CC113" s="8"/>
      <c r="CD113" s="8"/>
      <c r="CE113" s="8"/>
      <c r="CF113" s="8"/>
      <c r="CG113" s="8"/>
      <c r="CH113" s="8"/>
      <c r="CI113" s="8"/>
      <c r="CJ113" s="8"/>
      <c r="CK113" s="8"/>
      <c r="CL113" s="8"/>
      <c r="CM113" s="8"/>
      <c r="CN113" s="8"/>
      <c r="CO113" s="8"/>
    </row>
    <row r="114" spans="3:93">
      <c r="C114"/>
      <c r="D114"/>
      <c r="E114"/>
      <c r="F114"/>
      <c r="G114"/>
      <c r="H114"/>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c r="CB114" s="8"/>
      <c r="CC114" s="8"/>
      <c r="CD114" s="8"/>
      <c r="CE114" s="8"/>
      <c r="CF114" s="8"/>
      <c r="CG114" s="8"/>
      <c r="CH114" s="8"/>
      <c r="CI114" s="8"/>
      <c r="CJ114" s="8"/>
      <c r="CK114" s="8"/>
      <c r="CL114" s="8"/>
      <c r="CM114" s="8"/>
      <c r="CN114" s="8"/>
      <c r="CO114" s="8"/>
    </row>
    <row r="115" spans="3:93">
      <c r="C115"/>
      <c r="D115"/>
      <c r="E115"/>
      <c r="F115"/>
      <c r="G115"/>
      <c r="H115"/>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c r="CG115" s="8"/>
      <c r="CH115" s="8"/>
      <c r="CI115" s="8"/>
      <c r="CJ115" s="8"/>
      <c r="CK115" s="8"/>
      <c r="CL115" s="8"/>
      <c r="CM115" s="8"/>
      <c r="CN115" s="8"/>
      <c r="CO115" s="8"/>
    </row>
    <row r="116" spans="3:93">
      <c r="C116"/>
      <c r="D116"/>
      <c r="E116"/>
      <c r="F116"/>
      <c r="G116"/>
      <c r="H116"/>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c r="CB116" s="8"/>
      <c r="CC116" s="8"/>
      <c r="CD116" s="8"/>
      <c r="CE116" s="8"/>
      <c r="CF116" s="8"/>
      <c r="CG116" s="8"/>
      <c r="CH116" s="8"/>
      <c r="CI116" s="8"/>
      <c r="CJ116" s="8"/>
      <c r="CK116" s="8"/>
      <c r="CL116" s="8"/>
      <c r="CM116" s="8"/>
      <c r="CN116" s="8"/>
      <c r="CO116" s="8"/>
    </row>
    <row r="117" spans="3:93">
      <c r="C117"/>
      <c r="D117"/>
      <c r="E117"/>
      <c r="F117"/>
      <c r="G117"/>
      <c r="H117"/>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c r="BZ117" s="8"/>
      <c r="CA117" s="8"/>
      <c r="CB117" s="8"/>
      <c r="CC117" s="8"/>
      <c r="CD117" s="8"/>
      <c r="CE117" s="8"/>
      <c r="CF117" s="8"/>
      <c r="CG117" s="8"/>
      <c r="CH117" s="8"/>
      <c r="CI117" s="8"/>
      <c r="CJ117" s="8"/>
      <c r="CK117" s="8"/>
      <c r="CL117" s="8"/>
      <c r="CM117" s="8"/>
      <c r="CN117" s="8"/>
      <c r="CO117" s="8"/>
    </row>
    <row r="118" spans="3:93">
      <c r="C118"/>
      <c r="D118"/>
      <c r="E118"/>
      <c r="F118"/>
      <c r="G118"/>
      <c r="H11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c r="CA118" s="8"/>
      <c r="CB118" s="8"/>
      <c r="CC118" s="8"/>
      <c r="CD118" s="8"/>
      <c r="CE118" s="8"/>
      <c r="CF118" s="8"/>
      <c r="CG118" s="8"/>
      <c r="CH118" s="8"/>
      <c r="CI118" s="8"/>
      <c r="CJ118" s="8"/>
      <c r="CK118" s="8"/>
      <c r="CL118" s="8"/>
      <c r="CM118" s="8"/>
      <c r="CN118" s="8"/>
      <c r="CO118" s="8"/>
    </row>
    <row r="119" spans="3:93">
      <c r="C119"/>
      <c r="D119"/>
      <c r="E119"/>
      <c r="F119"/>
      <c r="G119"/>
      <c r="H119"/>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c r="CA119" s="8"/>
      <c r="CB119" s="8"/>
      <c r="CC119" s="8"/>
      <c r="CD119" s="8"/>
      <c r="CE119" s="8"/>
      <c r="CF119" s="8"/>
      <c r="CG119" s="8"/>
      <c r="CH119" s="8"/>
      <c r="CI119" s="8"/>
      <c r="CJ119" s="8"/>
      <c r="CK119" s="8"/>
      <c r="CL119" s="8"/>
      <c r="CM119" s="8"/>
      <c r="CN119" s="8"/>
      <c r="CO119" s="8"/>
    </row>
    <row r="120" spans="3:93">
      <c r="C120"/>
      <c r="D120"/>
      <c r="E120"/>
      <c r="F120"/>
      <c r="G120"/>
      <c r="H120"/>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c r="CB120" s="8"/>
      <c r="CC120" s="8"/>
      <c r="CD120" s="8"/>
      <c r="CE120" s="8"/>
      <c r="CF120" s="8"/>
      <c r="CG120" s="8"/>
      <c r="CH120" s="8"/>
      <c r="CI120" s="8"/>
      <c r="CJ120" s="8"/>
      <c r="CK120" s="8"/>
      <c r="CL120" s="8"/>
      <c r="CM120" s="8"/>
      <c r="CN120" s="8"/>
      <c r="CO120" s="8"/>
    </row>
    <row r="121" spans="3:93">
      <c r="C121"/>
      <c r="D121"/>
      <c r="E121"/>
      <c r="F121"/>
      <c r="G121"/>
      <c r="H121"/>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c r="CB121" s="8"/>
      <c r="CC121" s="8"/>
      <c r="CD121" s="8"/>
      <c r="CE121" s="8"/>
      <c r="CF121" s="8"/>
      <c r="CG121" s="8"/>
      <c r="CH121" s="8"/>
      <c r="CI121" s="8"/>
      <c r="CJ121" s="8"/>
      <c r="CK121" s="8"/>
      <c r="CL121" s="8"/>
      <c r="CM121" s="8"/>
      <c r="CN121" s="8"/>
      <c r="CO121" s="8"/>
    </row>
    <row r="122" spans="3:93">
      <c r="C122"/>
      <c r="D122"/>
      <c r="E122"/>
      <c r="F122"/>
      <c r="G122"/>
      <c r="H122"/>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c r="CA122" s="8"/>
      <c r="CB122" s="8"/>
      <c r="CC122" s="8"/>
      <c r="CD122" s="8"/>
      <c r="CE122" s="8"/>
      <c r="CF122" s="8"/>
      <c r="CG122" s="8"/>
      <c r="CH122" s="8"/>
      <c r="CI122" s="8"/>
      <c r="CJ122" s="8"/>
      <c r="CK122" s="8"/>
      <c r="CL122" s="8"/>
      <c r="CM122" s="8"/>
      <c r="CN122" s="8"/>
      <c r="CO122" s="8"/>
    </row>
    <row r="123" spans="3:93">
      <c r="C123"/>
      <c r="D123"/>
      <c r="E123"/>
      <c r="F123"/>
      <c r="G123"/>
      <c r="H123"/>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c r="CB123" s="8"/>
      <c r="CC123" s="8"/>
      <c r="CD123" s="8"/>
      <c r="CE123" s="8"/>
      <c r="CF123" s="8"/>
      <c r="CG123" s="8"/>
      <c r="CH123" s="8"/>
      <c r="CI123" s="8"/>
      <c r="CJ123" s="8"/>
      <c r="CK123" s="8"/>
      <c r="CL123" s="8"/>
      <c r="CM123" s="8"/>
      <c r="CN123" s="8"/>
      <c r="CO123" s="8"/>
    </row>
    <row r="124" spans="3:93">
      <c r="C124"/>
      <c r="D124"/>
      <c r="E124"/>
      <c r="F124"/>
      <c r="G124"/>
      <c r="H124"/>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c r="BZ124" s="8"/>
      <c r="CA124" s="8"/>
      <c r="CB124" s="8"/>
      <c r="CC124" s="8"/>
      <c r="CD124" s="8"/>
      <c r="CE124" s="8"/>
      <c r="CF124" s="8"/>
      <c r="CG124" s="8"/>
      <c r="CH124" s="8"/>
      <c r="CI124" s="8"/>
      <c r="CJ124" s="8"/>
      <c r="CK124" s="8"/>
      <c r="CL124" s="8"/>
      <c r="CM124" s="8"/>
      <c r="CN124" s="8"/>
      <c r="CO124" s="8"/>
    </row>
    <row r="125" spans="3:93">
      <c r="C125"/>
      <c r="D125"/>
      <c r="E125"/>
      <c r="F125"/>
      <c r="G125"/>
      <c r="H125"/>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c r="CG125" s="8"/>
      <c r="CH125" s="8"/>
      <c r="CI125" s="8"/>
      <c r="CJ125" s="8"/>
      <c r="CK125" s="8"/>
      <c r="CL125" s="8"/>
      <c r="CM125" s="8"/>
      <c r="CN125" s="8"/>
      <c r="CO125" s="8"/>
    </row>
    <row r="126" spans="3:93">
      <c r="C126"/>
      <c r="D126"/>
      <c r="E126"/>
      <c r="F126"/>
      <c r="G126"/>
      <c r="H126"/>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c r="BX126" s="8"/>
      <c r="BY126" s="8"/>
      <c r="BZ126" s="8"/>
      <c r="CA126" s="8"/>
      <c r="CB126" s="8"/>
      <c r="CC126" s="8"/>
      <c r="CD126" s="8"/>
      <c r="CE126" s="8"/>
      <c r="CF126" s="8"/>
      <c r="CG126" s="8"/>
      <c r="CH126" s="8"/>
      <c r="CI126" s="8"/>
      <c r="CJ126" s="8"/>
      <c r="CK126" s="8"/>
      <c r="CL126" s="8"/>
      <c r="CM126" s="8"/>
      <c r="CN126" s="8"/>
      <c r="CO126" s="8"/>
    </row>
    <row r="127" spans="3:93">
      <c r="C127"/>
      <c r="D127"/>
      <c r="E127"/>
      <c r="F127"/>
      <c r="G127"/>
      <c r="H127"/>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c r="BX127" s="8"/>
      <c r="BY127" s="8"/>
      <c r="BZ127" s="8"/>
      <c r="CA127" s="8"/>
      <c r="CB127" s="8"/>
      <c r="CC127" s="8"/>
      <c r="CD127" s="8"/>
      <c r="CE127" s="8"/>
      <c r="CF127" s="8"/>
      <c r="CG127" s="8"/>
      <c r="CH127" s="8"/>
      <c r="CI127" s="8"/>
      <c r="CJ127" s="8"/>
      <c r="CK127" s="8"/>
      <c r="CL127" s="8"/>
      <c r="CM127" s="8"/>
      <c r="CN127" s="8"/>
      <c r="CO127" s="8"/>
    </row>
    <row r="128" spans="3:93">
      <c r="C128"/>
      <c r="D128"/>
      <c r="E128"/>
      <c r="F128"/>
      <c r="G128"/>
      <c r="H12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c r="BQ128" s="8"/>
      <c r="BR128" s="8"/>
      <c r="BS128" s="8"/>
      <c r="BT128" s="8"/>
      <c r="BU128" s="8"/>
      <c r="BV128" s="8"/>
      <c r="BW128" s="8"/>
      <c r="BX128" s="8"/>
      <c r="BY128" s="8"/>
      <c r="BZ128" s="8"/>
      <c r="CA128" s="8"/>
      <c r="CB128" s="8"/>
      <c r="CC128" s="8"/>
      <c r="CD128" s="8"/>
      <c r="CE128" s="8"/>
      <c r="CF128" s="8"/>
      <c r="CG128" s="8"/>
      <c r="CH128" s="8"/>
      <c r="CI128" s="8"/>
      <c r="CJ128" s="8"/>
      <c r="CK128" s="8"/>
      <c r="CL128" s="8"/>
      <c r="CM128" s="8"/>
      <c r="CN128" s="8"/>
      <c r="CO128" s="8"/>
    </row>
    <row r="129" spans="3:93">
      <c r="C129"/>
      <c r="D129"/>
      <c r="E129"/>
      <c r="F129"/>
      <c r="G129"/>
      <c r="H129"/>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c r="BQ129" s="8"/>
      <c r="BR129" s="8"/>
      <c r="BS129" s="8"/>
      <c r="BT129" s="8"/>
      <c r="BU129" s="8"/>
      <c r="BV129" s="8"/>
      <c r="BW129" s="8"/>
      <c r="BX129" s="8"/>
      <c r="BY129" s="8"/>
      <c r="BZ129" s="8"/>
      <c r="CA129" s="8"/>
      <c r="CB129" s="8"/>
      <c r="CC129" s="8"/>
      <c r="CD129" s="8"/>
      <c r="CE129" s="8"/>
      <c r="CF129" s="8"/>
      <c r="CG129" s="8"/>
      <c r="CH129" s="8"/>
      <c r="CI129" s="8"/>
      <c r="CJ129" s="8"/>
      <c r="CK129" s="8"/>
      <c r="CL129" s="8"/>
      <c r="CM129" s="8"/>
      <c r="CN129" s="8"/>
      <c r="CO129" s="8"/>
    </row>
    <row r="130" spans="3:93">
      <c r="C130"/>
      <c r="D130"/>
      <c r="E130"/>
      <c r="F130"/>
      <c r="G130"/>
      <c r="H130"/>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c r="BQ130" s="8"/>
      <c r="BR130" s="8"/>
      <c r="BS130" s="8"/>
      <c r="BT130" s="8"/>
      <c r="BU130" s="8"/>
      <c r="BV130" s="8"/>
      <c r="BW130" s="8"/>
      <c r="BX130" s="8"/>
      <c r="BY130" s="8"/>
      <c r="BZ130" s="8"/>
      <c r="CA130" s="8"/>
      <c r="CB130" s="8"/>
      <c r="CC130" s="8"/>
      <c r="CD130" s="8"/>
      <c r="CE130" s="8"/>
      <c r="CF130" s="8"/>
      <c r="CG130" s="8"/>
      <c r="CH130" s="8"/>
      <c r="CI130" s="8"/>
      <c r="CJ130" s="8"/>
      <c r="CK130" s="8"/>
      <c r="CL130" s="8"/>
      <c r="CM130" s="8"/>
      <c r="CN130" s="8"/>
      <c r="CO130" s="8"/>
    </row>
    <row r="131" spans="3:93">
      <c r="C131"/>
      <c r="D131"/>
      <c r="E131"/>
      <c r="F131"/>
      <c r="G131"/>
      <c r="H131"/>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c r="BQ131" s="8"/>
      <c r="BR131" s="8"/>
      <c r="BS131" s="8"/>
      <c r="BT131" s="8"/>
      <c r="BU131" s="8"/>
      <c r="BV131" s="8"/>
      <c r="BW131" s="8"/>
      <c r="BX131" s="8"/>
      <c r="BY131" s="8"/>
      <c r="BZ131" s="8"/>
      <c r="CA131" s="8"/>
      <c r="CB131" s="8"/>
      <c r="CC131" s="8"/>
      <c r="CD131" s="8"/>
      <c r="CE131" s="8"/>
      <c r="CF131" s="8"/>
      <c r="CG131" s="8"/>
      <c r="CH131" s="8"/>
      <c r="CI131" s="8"/>
      <c r="CJ131" s="8"/>
      <c r="CK131" s="8"/>
      <c r="CL131" s="8"/>
      <c r="CM131" s="8"/>
      <c r="CN131" s="8"/>
      <c r="CO131" s="8"/>
    </row>
    <row r="132" spans="3:93">
      <c r="C132"/>
      <c r="D132"/>
      <c r="E132"/>
      <c r="F132"/>
      <c r="G132"/>
      <c r="H132"/>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c r="BQ132" s="8"/>
      <c r="BR132" s="8"/>
      <c r="BS132" s="8"/>
      <c r="BT132" s="8"/>
      <c r="BU132" s="8"/>
      <c r="BV132" s="8"/>
      <c r="BW132" s="8"/>
      <c r="BX132" s="8"/>
      <c r="BY132" s="8"/>
      <c r="BZ132" s="8"/>
      <c r="CA132" s="8"/>
      <c r="CB132" s="8"/>
      <c r="CC132" s="8"/>
      <c r="CD132" s="8"/>
      <c r="CE132" s="8"/>
      <c r="CF132" s="8"/>
      <c r="CG132" s="8"/>
      <c r="CH132" s="8"/>
      <c r="CI132" s="8"/>
      <c r="CJ132" s="8"/>
      <c r="CK132" s="8"/>
      <c r="CL132" s="8"/>
      <c r="CM132" s="8"/>
      <c r="CN132" s="8"/>
      <c r="CO132" s="8"/>
    </row>
    <row r="133" spans="3:93">
      <c r="C133"/>
      <c r="D133"/>
      <c r="E133"/>
      <c r="F133"/>
      <c r="G133"/>
      <c r="H133"/>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c r="BQ133" s="8"/>
      <c r="BR133" s="8"/>
      <c r="BS133" s="8"/>
      <c r="BT133" s="8"/>
      <c r="BU133" s="8"/>
      <c r="BV133" s="8"/>
      <c r="BW133" s="8"/>
      <c r="BX133" s="8"/>
      <c r="BY133" s="8"/>
      <c r="BZ133" s="8"/>
      <c r="CA133" s="8"/>
      <c r="CB133" s="8"/>
      <c r="CC133" s="8"/>
      <c r="CD133" s="8"/>
      <c r="CE133" s="8"/>
      <c r="CF133" s="8"/>
      <c r="CG133" s="8"/>
      <c r="CH133" s="8"/>
      <c r="CI133" s="8"/>
      <c r="CJ133" s="8"/>
      <c r="CK133" s="8"/>
      <c r="CL133" s="8"/>
      <c r="CM133" s="8"/>
      <c r="CN133" s="8"/>
      <c r="CO133" s="8"/>
    </row>
    <row r="134" spans="3:93">
      <c r="C134"/>
      <c r="D134"/>
      <c r="E134"/>
      <c r="F134"/>
      <c r="G134"/>
      <c r="H134"/>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c r="BQ134" s="8"/>
      <c r="BR134" s="8"/>
      <c r="BS134" s="8"/>
      <c r="BT134" s="8"/>
      <c r="BU134" s="8"/>
      <c r="BV134" s="8"/>
      <c r="BW134" s="8"/>
      <c r="BX134" s="8"/>
      <c r="BY134" s="8"/>
      <c r="BZ134" s="8"/>
      <c r="CA134" s="8"/>
      <c r="CB134" s="8"/>
      <c r="CC134" s="8"/>
      <c r="CD134" s="8"/>
      <c r="CE134" s="8"/>
      <c r="CF134" s="8"/>
      <c r="CG134" s="8"/>
      <c r="CH134" s="8"/>
      <c r="CI134" s="8"/>
      <c r="CJ134" s="8"/>
      <c r="CK134" s="8"/>
      <c r="CL134" s="8"/>
      <c r="CM134" s="8"/>
      <c r="CN134" s="8"/>
      <c r="CO134" s="8"/>
    </row>
    <row r="135" spans="3:93">
      <c r="C135"/>
      <c r="D135"/>
      <c r="E135"/>
      <c r="F135"/>
      <c r="G135"/>
      <c r="H135"/>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c r="BQ135" s="8"/>
      <c r="BR135" s="8"/>
      <c r="BS135" s="8"/>
      <c r="BT135" s="8"/>
      <c r="BU135" s="8"/>
      <c r="BV135" s="8"/>
      <c r="BW135" s="8"/>
      <c r="BX135" s="8"/>
      <c r="BY135" s="8"/>
      <c r="BZ135" s="8"/>
      <c r="CA135" s="8"/>
      <c r="CB135" s="8"/>
      <c r="CC135" s="8"/>
      <c r="CD135" s="8"/>
      <c r="CE135" s="8"/>
      <c r="CF135" s="8"/>
      <c r="CG135" s="8"/>
      <c r="CH135" s="8"/>
      <c r="CI135" s="8"/>
      <c r="CJ135" s="8"/>
      <c r="CK135" s="8"/>
      <c r="CL135" s="8"/>
      <c r="CM135" s="8"/>
      <c r="CN135" s="8"/>
      <c r="CO135" s="8"/>
    </row>
    <row r="136" spans="3:93">
      <c r="C136"/>
      <c r="D136"/>
      <c r="E136"/>
      <c r="F136"/>
      <c r="G136"/>
      <c r="H136"/>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c r="BQ136" s="8"/>
      <c r="BR136" s="8"/>
      <c r="BS136" s="8"/>
      <c r="BT136" s="8"/>
      <c r="BU136" s="8"/>
      <c r="BV136" s="8"/>
      <c r="BW136" s="8"/>
      <c r="BX136" s="8"/>
      <c r="BY136" s="8"/>
      <c r="BZ136" s="8"/>
      <c r="CA136" s="8"/>
      <c r="CB136" s="8"/>
      <c r="CC136" s="8"/>
      <c r="CD136" s="8"/>
      <c r="CE136" s="8"/>
      <c r="CF136" s="8"/>
      <c r="CG136" s="8"/>
      <c r="CH136" s="8"/>
      <c r="CI136" s="8"/>
      <c r="CJ136" s="8"/>
      <c r="CK136" s="8"/>
      <c r="CL136" s="8"/>
      <c r="CM136" s="8"/>
      <c r="CN136" s="8"/>
      <c r="CO136" s="8"/>
    </row>
    <row r="137" spans="3:93">
      <c r="C137"/>
      <c r="D137"/>
      <c r="E137"/>
      <c r="F137"/>
      <c r="G137"/>
      <c r="H137"/>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c r="BQ137" s="8"/>
      <c r="BR137" s="8"/>
      <c r="BS137" s="8"/>
      <c r="BT137" s="8"/>
      <c r="BU137" s="8"/>
      <c r="BV137" s="8"/>
      <c r="BW137" s="8"/>
      <c r="BX137" s="8"/>
      <c r="BY137" s="8"/>
      <c r="BZ137" s="8"/>
      <c r="CA137" s="8"/>
      <c r="CB137" s="8"/>
      <c r="CC137" s="8"/>
      <c r="CD137" s="8"/>
      <c r="CE137" s="8"/>
      <c r="CF137" s="8"/>
      <c r="CG137" s="8"/>
      <c r="CH137" s="8"/>
      <c r="CI137" s="8"/>
      <c r="CJ137" s="8"/>
      <c r="CK137" s="8"/>
      <c r="CL137" s="8"/>
      <c r="CM137" s="8"/>
      <c r="CN137" s="8"/>
      <c r="CO137" s="8"/>
    </row>
    <row r="138" spans="3:93">
      <c r="C138"/>
      <c r="D138"/>
      <c r="E138"/>
      <c r="F138"/>
      <c r="G138"/>
      <c r="H13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c r="BQ138" s="8"/>
      <c r="BR138" s="8"/>
      <c r="BS138" s="8"/>
      <c r="BT138" s="8"/>
      <c r="BU138" s="8"/>
      <c r="BV138" s="8"/>
      <c r="BW138" s="8"/>
      <c r="BX138" s="8"/>
      <c r="BY138" s="8"/>
      <c r="BZ138" s="8"/>
      <c r="CA138" s="8"/>
      <c r="CB138" s="8"/>
      <c r="CC138" s="8"/>
      <c r="CD138" s="8"/>
      <c r="CE138" s="8"/>
      <c r="CF138" s="8"/>
      <c r="CG138" s="8"/>
      <c r="CH138" s="8"/>
      <c r="CI138" s="8"/>
      <c r="CJ138" s="8"/>
      <c r="CK138" s="8"/>
      <c r="CL138" s="8"/>
      <c r="CM138" s="8"/>
      <c r="CN138" s="8"/>
      <c r="CO138" s="8"/>
    </row>
    <row r="139" spans="3:93">
      <c r="C139"/>
      <c r="D139"/>
      <c r="E139"/>
      <c r="F139"/>
      <c r="G139"/>
      <c r="H139"/>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c r="BQ139" s="8"/>
      <c r="BR139" s="8"/>
      <c r="BS139" s="8"/>
      <c r="BT139" s="8"/>
      <c r="BU139" s="8"/>
      <c r="BV139" s="8"/>
      <c r="BW139" s="8"/>
      <c r="BX139" s="8"/>
      <c r="BY139" s="8"/>
      <c r="BZ139" s="8"/>
      <c r="CA139" s="8"/>
      <c r="CB139" s="8"/>
      <c r="CC139" s="8"/>
      <c r="CD139" s="8"/>
      <c r="CE139" s="8"/>
      <c r="CF139" s="8"/>
      <c r="CG139" s="8"/>
      <c r="CH139" s="8"/>
      <c r="CI139" s="8"/>
      <c r="CJ139" s="8"/>
      <c r="CK139" s="8"/>
      <c r="CL139" s="8"/>
      <c r="CM139" s="8"/>
      <c r="CN139" s="8"/>
      <c r="CO139" s="8"/>
    </row>
    <row r="140" spans="3:93">
      <c r="C140"/>
      <c r="D140"/>
      <c r="E140"/>
      <c r="F140"/>
      <c r="G140"/>
      <c r="H140"/>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c r="BQ140" s="8"/>
      <c r="BR140" s="8"/>
      <c r="BS140" s="8"/>
      <c r="BT140" s="8"/>
      <c r="BU140" s="8"/>
      <c r="BV140" s="8"/>
      <c r="BW140" s="8"/>
      <c r="BX140" s="8"/>
      <c r="BY140" s="8"/>
      <c r="BZ140" s="8"/>
      <c r="CA140" s="8"/>
      <c r="CB140" s="8"/>
      <c r="CC140" s="8"/>
      <c r="CD140" s="8"/>
      <c r="CE140" s="8"/>
      <c r="CF140" s="8"/>
      <c r="CG140" s="8"/>
      <c r="CH140" s="8"/>
      <c r="CI140" s="8"/>
      <c r="CJ140" s="8"/>
      <c r="CK140" s="8"/>
      <c r="CL140" s="8"/>
      <c r="CM140" s="8"/>
      <c r="CN140" s="8"/>
      <c r="CO140" s="8"/>
    </row>
    <row r="141" spans="3:93">
      <c r="C141"/>
      <c r="D141"/>
      <c r="E141"/>
      <c r="F141"/>
      <c r="G141"/>
      <c r="H141"/>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c r="BQ141" s="8"/>
      <c r="BR141" s="8"/>
      <c r="BS141" s="8"/>
      <c r="BT141" s="8"/>
      <c r="BU141" s="8"/>
      <c r="BV141" s="8"/>
      <c r="BW141" s="8"/>
      <c r="BX141" s="8"/>
      <c r="BY141" s="8"/>
      <c r="BZ141" s="8"/>
      <c r="CA141" s="8"/>
      <c r="CB141" s="8"/>
      <c r="CC141" s="8"/>
      <c r="CD141" s="8"/>
      <c r="CE141" s="8"/>
      <c r="CF141" s="8"/>
      <c r="CG141" s="8"/>
      <c r="CH141" s="8"/>
      <c r="CI141" s="8"/>
      <c r="CJ141" s="8"/>
      <c r="CK141" s="8"/>
      <c r="CL141" s="8"/>
      <c r="CM141" s="8"/>
      <c r="CN141" s="8"/>
      <c r="CO141" s="8"/>
    </row>
    <row r="142" spans="3:93">
      <c r="C142"/>
      <c r="D142"/>
      <c r="E142"/>
      <c r="F142"/>
      <c r="G142"/>
      <c r="H142"/>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c r="BQ142" s="8"/>
      <c r="BR142" s="8"/>
      <c r="BS142" s="8"/>
      <c r="BT142" s="8"/>
      <c r="BU142" s="8"/>
      <c r="BV142" s="8"/>
      <c r="BW142" s="8"/>
      <c r="BX142" s="8"/>
      <c r="BY142" s="8"/>
      <c r="BZ142" s="8"/>
      <c r="CA142" s="8"/>
      <c r="CB142" s="8"/>
      <c r="CC142" s="8"/>
      <c r="CD142" s="8"/>
      <c r="CE142" s="8"/>
      <c r="CF142" s="8"/>
      <c r="CG142" s="8"/>
      <c r="CH142" s="8"/>
      <c r="CI142" s="8"/>
      <c r="CJ142" s="8"/>
      <c r="CK142" s="8"/>
      <c r="CL142" s="8"/>
      <c r="CM142" s="8"/>
      <c r="CN142" s="8"/>
      <c r="CO142" s="8"/>
    </row>
    <row r="143" spans="3:93">
      <c r="C143"/>
      <c r="D143"/>
      <c r="E143"/>
      <c r="F143"/>
      <c r="G143"/>
      <c r="H143"/>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c r="BQ143" s="8"/>
      <c r="BR143" s="8"/>
      <c r="BS143" s="8"/>
      <c r="BT143" s="8"/>
      <c r="BU143" s="8"/>
      <c r="BV143" s="8"/>
      <c r="BW143" s="8"/>
      <c r="BX143" s="8"/>
      <c r="BY143" s="8"/>
      <c r="BZ143" s="8"/>
      <c r="CA143" s="8"/>
      <c r="CB143" s="8"/>
      <c r="CC143" s="8"/>
      <c r="CD143" s="8"/>
      <c r="CE143" s="8"/>
      <c r="CF143" s="8"/>
      <c r="CG143" s="8"/>
      <c r="CH143" s="8"/>
      <c r="CI143" s="8"/>
      <c r="CJ143" s="8"/>
      <c r="CK143" s="8"/>
      <c r="CL143" s="8"/>
      <c r="CM143" s="8"/>
      <c r="CN143" s="8"/>
      <c r="CO143" s="8"/>
    </row>
    <row r="144" spans="3:93">
      <c r="C144"/>
      <c r="D144"/>
      <c r="E144"/>
      <c r="F144"/>
      <c r="G144"/>
      <c r="H144"/>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8"/>
      <c r="BT144" s="8"/>
      <c r="BU144" s="8"/>
      <c r="BV144" s="8"/>
      <c r="BW144" s="8"/>
      <c r="BX144" s="8"/>
      <c r="BY144" s="8"/>
      <c r="BZ144" s="8"/>
      <c r="CA144" s="8"/>
      <c r="CB144" s="8"/>
      <c r="CC144" s="8"/>
      <c r="CD144" s="8"/>
      <c r="CE144" s="8"/>
      <c r="CF144" s="8"/>
      <c r="CG144" s="8"/>
      <c r="CH144" s="8"/>
      <c r="CI144" s="8"/>
      <c r="CJ144" s="8"/>
      <c r="CK144" s="8"/>
      <c r="CL144" s="8"/>
      <c r="CM144" s="8"/>
      <c r="CN144" s="8"/>
      <c r="CO144" s="8"/>
    </row>
    <row r="145" spans="3:93">
      <c r="C145"/>
      <c r="D145"/>
      <c r="E145"/>
      <c r="F145"/>
      <c r="G145"/>
      <c r="H145"/>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8"/>
      <c r="BT145" s="8"/>
      <c r="BU145" s="8"/>
      <c r="BV145" s="8"/>
      <c r="BW145" s="8"/>
      <c r="BX145" s="8"/>
      <c r="BY145" s="8"/>
      <c r="BZ145" s="8"/>
      <c r="CA145" s="8"/>
      <c r="CB145" s="8"/>
      <c r="CC145" s="8"/>
      <c r="CD145" s="8"/>
      <c r="CE145" s="8"/>
      <c r="CF145" s="8"/>
      <c r="CG145" s="8"/>
      <c r="CH145" s="8"/>
      <c r="CI145" s="8"/>
      <c r="CJ145" s="8"/>
      <c r="CK145" s="8"/>
      <c r="CL145" s="8"/>
      <c r="CM145" s="8"/>
      <c r="CN145" s="8"/>
      <c r="CO145" s="8"/>
    </row>
    <row r="146" spans="3:93">
      <c r="C146"/>
      <c r="D146"/>
      <c r="E146"/>
      <c r="F146"/>
      <c r="G146"/>
      <c r="H146"/>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c r="BQ146" s="8"/>
      <c r="BR146" s="8"/>
      <c r="BS146" s="8"/>
      <c r="BT146" s="8"/>
      <c r="BU146" s="8"/>
      <c r="BV146" s="8"/>
      <c r="BW146" s="8"/>
      <c r="BX146" s="8"/>
      <c r="BY146" s="8"/>
      <c r="BZ146" s="8"/>
      <c r="CA146" s="8"/>
      <c r="CB146" s="8"/>
      <c r="CC146" s="8"/>
      <c r="CD146" s="8"/>
      <c r="CE146" s="8"/>
      <c r="CF146" s="8"/>
      <c r="CG146" s="8"/>
      <c r="CH146" s="8"/>
      <c r="CI146" s="8"/>
      <c r="CJ146" s="8"/>
      <c r="CK146" s="8"/>
      <c r="CL146" s="8"/>
      <c r="CM146" s="8"/>
      <c r="CN146" s="8"/>
      <c r="CO146" s="8"/>
    </row>
    <row r="147" spans="3:93">
      <c r="C147"/>
      <c r="D147"/>
      <c r="E147"/>
      <c r="F147"/>
      <c r="G147"/>
      <c r="H147"/>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c r="BQ147" s="8"/>
      <c r="BR147" s="8"/>
      <c r="BS147" s="8"/>
      <c r="BT147" s="8"/>
      <c r="BU147" s="8"/>
      <c r="BV147" s="8"/>
      <c r="BW147" s="8"/>
      <c r="BX147" s="8"/>
      <c r="BY147" s="8"/>
      <c r="BZ147" s="8"/>
      <c r="CA147" s="8"/>
      <c r="CB147" s="8"/>
      <c r="CC147" s="8"/>
      <c r="CD147" s="8"/>
      <c r="CE147" s="8"/>
      <c r="CF147" s="8"/>
      <c r="CG147" s="8"/>
      <c r="CH147" s="8"/>
      <c r="CI147" s="8"/>
      <c r="CJ147" s="8"/>
      <c r="CK147" s="8"/>
      <c r="CL147" s="8"/>
      <c r="CM147" s="8"/>
      <c r="CN147" s="8"/>
      <c r="CO147" s="8"/>
    </row>
  </sheetData>
  <mergeCells count="4">
    <mergeCell ref="C7:H7"/>
    <mergeCell ref="C21:H21"/>
    <mergeCell ref="J6:O6"/>
    <mergeCell ref="J7:O7"/>
  </mergeCells>
  <pageMargins left="0.7" right="0.7" top="0.75" bottom="0.75" header="0.3" footer="0.3"/>
  <pageSetup paperSize="9" orientation="portrai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18">
    <tabColor theme="4"/>
  </sheetPr>
  <dimension ref="B3:CZ134"/>
  <sheetViews>
    <sheetView topLeftCell="A19" zoomScaleNormal="100" workbookViewId="0">
      <selection activeCell="C31" sqref="C31"/>
    </sheetView>
  </sheetViews>
  <sheetFormatPr baseColWidth="10" defaultColWidth="8.83203125" defaultRowHeight="15"/>
  <cols>
    <col min="2" max="2" width="51.5" customWidth="1"/>
    <col min="3" max="8" width="9.1640625" style="85"/>
    <col min="11" max="12" width="8.83203125" customWidth="1"/>
    <col min="13" max="13" width="9" customWidth="1"/>
  </cols>
  <sheetData>
    <row r="3" spans="2:104" ht="29">
      <c r="B3" s="84" t="s">
        <v>388</v>
      </c>
    </row>
    <row r="4" spans="2:104" ht="15" customHeight="1">
      <c r="E4" t="s">
        <v>358</v>
      </c>
      <c r="F4"/>
      <c r="G4" s="36">
        <v>7.45</v>
      </c>
      <c r="H4" t="s">
        <v>328</v>
      </c>
      <c r="K4" s="94"/>
      <c r="L4" s="94"/>
    </row>
    <row r="5" spans="2:104" ht="15" customHeight="1" thickBot="1">
      <c r="E5"/>
      <c r="F5"/>
      <c r="G5" s="36"/>
      <c r="H5"/>
      <c r="K5" s="94"/>
      <c r="L5" s="94"/>
    </row>
    <row r="6" spans="2:104" ht="16" thickBot="1">
      <c r="C6" s="1290" t="s">
        <v>372</v>
      </c>
      <c r="D6" s="1288"/>
      <c r="E6" s="1288"/>
      <c r="F6" s="1288"/>
      <c r="G6" s="1288"/>
      <c r="H6" s="1289"/>
      <c r="J6" s="1259" t="str">
        <f>C6</f>
        <v>Absorption heat pump, brine-to-water</v>
      </c>
      <c r="K6" s="1260"/>
      <c r="L6" s="1260"/>
      <c r="M6" s="1260"/>
      <c r="N6" s="1260"/>
      <c r="O6" s="1261"/>
    </row>
    <row r="7" spans="2:104" s="8" customFormat="1" ht="15.75" customHeight="1" thickBot="1">
      <c r="B7" s="143" t="s">
        <v>0</v>
      </c>
      <c r="C7" s="1290" t="s">
        <v>372</v>
      </c>
      <c r="D7" s="1288"/>
      <c r="E7" s="1288"/>
      <c r="F7" s="1288"/>
      <c r="G7" s="1288"/>
      <c r="H7" s="1289"/>
      <c r="J7" s="1134" t="str">
        <f>C7</f>
        <v>Absorption heat pump, brine-to-water</v>
      </c>
      <c r="K7" s="1135"/>
      <c r="L7" s="1135"/>
      <c r="M7" s="1135"/>
      <c r="N7" s="1135"/>
      <c r="O7" s="1136"/>
      <c r="P7"/>
      <c r="Q7"/>
      <c r="R7"/>
      <c r="S7"/>
      <c r="T7"/>
      <c r="U7"/>
      <c r="V7"/>
      <c r="W7"/>
      <c r="X7"/>
    </row>
    <row r="8" spans="2:104" ht="16" thickBot="1">
      <c r="B8" s="144"/>
      <c r="C8" s="145">
        <v>2015</v>
      </c>
      <c r="D8" s="145">
        <v>2020</v>
      </c>
      <c r="E8" s="145">
        <v>2030</v>
      </c>
      <c r="F8" s="145">
        <v>2050</v>
      </c>
      <c r="G8" s="145" t="s">
        <v>2</v>
      </c>
      <c r="H8" s="146" t="s">
        <v>3</v>
      </c>
      <c r="J8" s="53" t="s">
        <v>357</v>
      </c>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c r="CL8" s="8"/>
      <c r="CM8" s="8"/>
      <c r="CN8" s="8"/>
      <c r="CO8" s="8"/>
      <c r="CP8" s="8"/>
      <c r="CQ8" s="8"/>
      <c r="CR8" s="8"/>
      <c r="CS8" s="8"/>
      <c r="CT8" s="8"/>
      <c r="CU8" s="8"/>
      <c r="CV8" s="8"/>
      <c r="CW8" s="8"/>
      <c r="CX8" s="8"/>
      <c r="CY8" s="8"/>
      <c r="CZ8" s="8"/>
    </row>
    <row r="9" spans="2:104" ht="15.75" customHeight="1" thickBot="1">
      <c r="B9" s="143" t="s">
        <v>4</v>
      </c>
      <c r="C9" s="133"/>
      <c r="D9" s="133"/>
      <c r="E9" s="133"/>
      <c r="F9" s="133"/>
      <c r="G9" s="133"/>
      <c r="H9" s="134"/>
      <c r="J9" s="46" t="s">
        <v>335</v>
      </c>
      <c r="K9" s="46" t="s">
        <v>336</v>
      </c>
      <c r="L9" s="47" t="s">
        <v>337</v>
      </c>
      <c r="M9" s="47" t="s">
        <v>338</v>
      </c>
      <c r="N9" s="47" t="s">
        <v>339</v>
      </c>
      <c r="O9" s="48" t="s">
        <v>340</v>
      </c>
      <c r="P9" s="49" t="s">
        <v>341</v>
      </c>
      <c r="Q9" s="49" t="s">
        <v>342</v>
      </c>
      <c r="R9" s="49" t="s">
        <v>343</v>
      </c>
      <c r="S9" s="49" t="s">
        <v>344</v>
      </c>
      <c r="T9" s="49" t="s">
        <v>345</v>
      </c>
      <c r="U9" s="49" t="s">
        <v>346</v>
      </c>
      <c r="V9" s="49" t="s">
        <v>347</v>
      </c>
      <c r="W9" s="49" t="s">
        <v>348</v>
      </c>
      <c r="X9" s="49" t="s">
        <v>349</v>
      </c>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c r="BQ9" s="8"/>
      <c r="BR9" s="8"/>
      <c r="BS9" s="8"/>
      <c r="BT9" s="8"/>
      <c r="BU9" s="8"/>
      <c r="BV9" s="8"/>
      <c r="BW9" s="8"/>
      <c r="BX9" s="8"/>
      <c r="BY9" s="8"/>
      <c r="BZ9" s="8"/>
      <c r="CA9" s="8"/>
      <c r="CB9" s="8"/>
      <c r="CC9" s="8"/>
      <c r="CD9" s="8"/>
      <c r="CE9" s="8"/>
      <c r="CF9" s="8"/>
      <c r="CG9" s="8"/>
      <c r="CH9" s="8"/>
      <c r="CI9" s="8"/>
      <c r="CJ9" s="8"/>
      <c r="CK9" s="8"/>
      <c r="CL9" s="8"/>
      <c r="CM9" s="8"/>
      <c r="CN9" s="8"/>
      <c r="CO9" s="8"/>
      <c r="CP9" s="8"/>
      <c r="CQ9" s="8"/>
      <c r="CR9" s="8"/>
      <c r="CS9" s="8"/>
      <c r="CT9" s="8"/>
      <c r="CU9" s="8"/>
      <c r="CV9" s="8"/>
      <c r="CW9" s="8"/>
      <c r="CX9" s="8"/>
      <c r="CY9" s="8"/>
      <c r="CZ9" s="8"/>
    </row>
    <row r="10" spans="2:104" ht="15.75" customHeight="1" thickBot="1">
      <c r="B10" s="148" t="s">
        <v>5</v>
      </c>
      <c r="C10" s="158" t="s">
        <v>389</v>
      </c>
      <c r="D10" s="158"/>
      <c r="E10" s="158"/>
      <c r="F10" s="158"/>
      <c r="G10" s="158" t="s">
        <v>390</v>
      </c>
      <c r="H10" s="150"/>
      <c r="J10" s="50"/>
      <c r="K10" s="50"/>
      <c r="L10" s="51"/>
      <c r="M10" s="51"/>
      <c r="N10" s="51"/>
      <c r="O10" s="52"/>
      <c r="P10" s="50"/>
      <c r="Q10" s="50"/>
      <c r="R10" s="50"/>
      <c r="S10" s="50"/>
      <c r="T10" s="50"/>
      <c r="U10" s="50"/>
      <c r="V10" s="50"/>
      <c r="W10" s="50"/>
      <c r="X10" s="50"/>
      <c r="Y10" s="8"/>
      <c r="Z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c r="BQ10" s="8"/>
      <c r="BR10" s="8"/>
      <c r="BS10" s="8"/>
      <c r="BT10" s="8"/>
      <c r="BU10" s="8"/>
      <c r="BV10" s="8"/>
      <c r="BW10" s="8"/>
      <c r="BX10" s="8"/>
      <c r="BY10" s="8"/>
      <c r="BZ10" s="8"/>
      <c r="CA10" s="8"/>
      <c r="CB10" s="8"/>
      <c r="CC10" s="8"/>
      <c r="CD10" s="8"/>
      <c r="CE10" s="8"/>
      <c r="CF10" s="8"/>
      <c r="CG10" s="8"/>
      <c r="CH10" s="8"/>
      <c r="CI10" s="8"/>
      <c r="CJ10" s="8"/>
      <c r="CK10" s="8"/>
      <c r="CL10" s="8"/>
      <c r="CM10" s="8"/>
      <c r="CN10" s="8"/>
      <c r="CO10" s="8"/>
      <c r="CP10" s="8"/>
      <c r="CQ10" s="8"/>
      <c r="CR10" s="8"/>
      <c r="CS10" s="8"/>
      <c r="CT10" s="8"/>
      <c r="CU10" s="8"/>
      <c r="CV10" s="8"/>
      <c r="CW10" s="8"/>
      <c r="CX10" s="8"/>
      <c r="CY10" s="8"/>
      <c r="CZ10" s="8"/>
    </row>
    <row r="11" spans="2:104" ht="15.75" customHeight="1" thickBot="1">
      <c r="B11" s="148" t="s">
        <v>7</v>
      </c>
      <c r="C11" s="148">
        <v>100</v>
      </c>
      <c r="D11" s="149">
        <v>100</v>
      </c>
      <c r="E11" s="149">
        <v>100</v>
      </c>
      <c r="F11" s="149">
        <v>100</v>
      </c>
      <c r="G11" s="149"/>
      <c r="H11" s="149"/>
      <c r="J11" s="56"/>
      <c r="K11" s="56"/>
      <c r="L11" s="57"/>
      <c r="M11" s="57"/>
      <c r="N11" s="57"/>
      <c r="O11" s="56" t="s">
        <v>350</v>
      </c>
      <c r="P11" s="56" t="s">
        <v>326</v>
      </c>
      <c r="Q11" s="56" t="s">
        <v>327</v>
      </c>
      <c r="R11" s="56" t="s">
        <v>351</v>
      </c>
      <c r="S11" s="56" t="s">
        <v>351</v>
      </c>
      <c r="T11" s="56" t="s">
        <v>352</v>
      </c>
      <c r="U11" s="56" t="s">
        <v>352</v>
      </c>
      <c r="V11" s="56" t="s">
        <v>352</v>
      </c>
      <c r="W11" s="56" t="s">
        <v>352</v>
      </c>
      <c r="X11" s="56" t="s">
        <v>352</v>
      </c>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8"/>
      <c r="BY11" s="8"/>
      <c r="BZ11" s="8"/>
      <c r="CA11" s="8"/>
      <c r="CB11" s="8"/>
      <c r="CC11" s="8"/>
      <c r="CD11" s="8"/>
      <c r="CE11" s="8"/>
      <c r="CF11" s="8"/>
      <c r="CG11" s="8"/>
      <c r="CH11" s="8"/>
      <c r="CI11" s="8"/>
      <c r="CJ11" s="8"/>
      <c r="CK11" s="8"/>
      <c r="CL11" s="8"/>
      <c r="CM11" s="8"/>
      <c r="CN11" s="8"/>
      <c r="CO11" s="8"/>
      <c r="CP11" s="8"/>
      <c r="CQ11" s="8"/>
      <c r="CR11" s="8"/>
      <c r="CS11" s="8"/>
      <c r="CT11" s="8"/>
      <c r="CU11" s="8"/>
      <c r="CV11" s="8"/>
      <c r="CW11" s="8"/>
      <c r="CX11" s="8"/>
      <c r="CY11" s="8"/>
      <c r="CZ11" s="8"/>
    </row>
    <row r="12" spans="2:104" ht="15.75" customHeight="1" thickBot="1">
      <c r="B12" s="148" t="s">
        <v>8</v>
      </c>
      <c r="C12" s="125">
        <v>100</v>
      </c>
      <c r="D12" s="151">
        <v>100</v>
      </c>
      <c r="E12" s="151">
        <v>100</v>
      </c>
      <c r="F12" s="151">
        <v>100</v>
      </c>
      <c r="G12" s="151"/>
      <c r="H12" s="151"/>
      <c r="J12" s="58">
        <f>C8</f>
        <v>2015</v>
      </c>
      <c r="K12" s="58">
        <f>J12</f>
        <v>2015</v>
      </c>
      <c r="L12" s="58">
        <f>C13/100</f>
        <v>1.35</v>
      </c>
      <c r="M12" s="58"/>
      <c r="N12" s="58">
        <f>C14</f>
        <v>20</v>
      </c>
      <c r="O12" s="59">
        <f>C29</f>
        <v>13037.5</v>
      </c>
      <c r="P12" s="59">
        <f>C31</f>
        <v>125.71875</v>
      </c>
      <c r="Q12" s="59">
        <f>C32</f>
        <v>93.125</v>
      </c>
      <c r="R12" s="58"/>
      <c r="S12" s="58"/>
      <c r="T12" s="58">
        <f>C16</f>
        <v>0</v>
      </c>
      <c r="U12" s="58">
        <f>C17</f>
        <v>20</v>
      </c>
      <c r="V12" s="58">
        <f>C18</f>
        <v>2</v>
      </c>
      <c r="W12" s="58">
        <f>C19</f>
        <v>0</v>
      </c>
      <c r="X12" s="58">
        <f>C20</f>
        <v>0</v>
      </c>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8"/>
      <c r="CI12" s="8"/>
      <c r="CJ12" s="8"/>
      <c r="CK12" s="8"/>
      <c r="CL12" s="8"/>
      <c r="CM12" s="8"/>
      <c r="CN12" s="8"/>
      <c r="CO12" s="8"/>
      <c r="CP12" s="8"/>
      <c r="CQ12" s="8"/>
      <c r="CR12" s="8"/>
      <c r="CS12" s="8"/>
      <c r="CT12" s="8"/>
      <c r="CU12" s="8"/>
      <c r="CV12" s="8"/>
      <c r="CW12" s="8"/>
      <c r="CX12" s="8"/>
      <c r="CY12" s="8"/>
      <c r="CZ12" s="8"/>
    </row>
    <row r="13" spans="2:104" ht="15.75" customHeight="1" thickBot="1">
      <c r="B13" s="148" t="s">
        <v>363</v>
      </c>
      <c r="C13" s="125">
        <v>135</v>
      </c>
      <c r="D13" s="183">
        <f>C13</f>
        <v>135</v>
      </c>
      <c r="E13" s="183">
        <f>D13</f>
        <v>135</v>
      </c>
      <c r="F13" s="183">
        <f>E13</f>
        <v>135</v>
      </c>
      <c r="G13" s="151" t="s">
        <v>59</v>
      </c>
      <c r="H13" s="151" t="s">
        <v>391</v>
      </c>
      <c r="J13" s="58">
        <f>D8</f>
        <v>2020</v>
      </c>
      <c r="K13" s="58"/>
      <c r="L13" s="58">
        <f>D13/100</f>
        <v>1.35</v>
      </c>
      <c r="M13" s="58"/>
      <c r="N13" s="58">
        <f>D14</f>
        <v>20</v>
      </c>
      <c r="O13" s="59">
        <f>D29</f>
        <v>13037.5</v>
      </c>
      <c r="P13" s="59">
        <f>D31</f>
        <v>125.71875</v>
      </c>
      <c r="Q13" s="59">
        <f>D32</f>
        <v>93.125</v>
      </c>
      <c r="R13" s="58"/>
      <c r="S13" s="58"/>
      <c r="T13" s="58">
        <f>D16</f>
        <v>0</v>
      </c>
      <c r="U13" s="58">
        <f>D17</f>
        <v>10</v>
      </c>
      <c r="V13" s="58">
        <f>D18</f>
        <v>1</v>
      </c>
      <c r="W13" s="58">
        <f>D19</f>
        <v>0</v>
      </c>
      <c r="X13" s="58">
        <f>D20</f>
        <v>0</v>
      </c>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c r="CO13" s="8"/>
      <c r="CP13" s="8"/>
      <c r="CQ13" s="8"/>
      <c r="CR13" s="8"/>
      <c r="CS13" s="8"/>
      <c r="CT13" s="8"/>
      <c r="CU13" s="8"/>
      <c r="CV13" s="8"/>
      <c r="CW13" s="8"/>
      <c r="CX13" s="8"/>
      <c r="CY13" s="8"/>
      <c r="CZ13" s="8"/>
    </row>
    <row r="14" spans="2:104" ht="15.75" customHeight="1" thickBot="1">
      <c r="B14" s="148" t="s">
        <v>11</v>
      </c>
      <c r="C14" s="125">
        <v>20</v>
      </c>
      <c r="D14" s="151">
        <v>20</v>
      </c>
      <c r="E14" s="151">
        <v>20</v>
      </c>
      <c r="F14" s="151">
        <v>20</v>
      </c>
      <c r="G14" s="151" t="s">
        <v>25</v>
      </c>
      <c r="H14" s="151"/>
      <c r="J14" s="58">
        <f>E8</f>
        <v>2030</v>
      </c>
      <c r="K14" s="58"/>
      <c r="L14" s="58">
        <f>E13/100</f>
        <v>1.35</v>
      </c>
      <c r="M14" s="58"/>
      <c r="N14" s="58">
        <f>E14</f>
        <v>20</v>
      </c>
      <c r="O14" s="59">
        <f>E29</f>
        <v>13037.5</v>
      </c>
      <c r="P14" s="59">
        <f>E31</f>
        <v>125.71875</v>
      </c>
      <c r="Q14" s="59">
        <f>E32</f>
        <v>93.125</v>
      </c>
      <c r="R14" s="58"/>
      <c r="S14" s="58"/>
      <c r="T14" s="58">
        <f>E16</f>
        <v>0</v>
      </c>
      <c r="U14" s="58">
        <f>E17</f>
        <v>5</v>
      </c>
      <c r="V14" s="58">
        <f>E18</f>
        <v>0.5</v>
      </c>
      <c r="W14" s="58">
        <f>E19</f>
        <v>0</v>
      </c>
      <c r="X14" s="58">
        <f>E20</f>
        <v>0</v>
      </c>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c r="BQ14" s="8"/>
      <c r="BR14" s="8"/>
      <c r="BS14" s="8"/>
      <c r="BT14" s="8"/>
      <c r="BU14" s="8"/>
      <c r="BV14" s="8"/>
      <c r="BW14" s="8"/>
      <c r="BX14" s="8"/>
      <c r="BY14" s="8"/>
      <c r="BZ14" s="8"/>
      <c r="CA14" s="8"/>
      <c r="CB14" s="8"/>
      <c r="CC14" s="8"/>
      <c r="CD14" s="8"/>
      <c r="CE14" s="8"/>
      <c r="CF14" s="8"/>
      <c r="CG14" s="8"/>
      <c r="CH14" s="8"/>
      <c r="CI14" s="8"/>
      <c r="CJ14" s="8"/>
      <c r="CK14" s="8"/>
      <c r="CL14" s="8"/>
      <c r="CM14" s="8"/>
      <c r="CN14" s="8"/>
      <c r="CO14" s="8"/>
      <c r="CP14" s="8"/>
      <c r="CQ14" s="8"/>
      <c r="CR14" s="8"/>
      <c r="CS14" s="8"/>
      <c r="CT14" s="8"/>
      <c r="CU14" s="8"/>
      <c r="CV14" s="8"/>
      <c r="CW14" s="8"/>
      <c r="CX14" s="8"/>
      <c r="CY14" s="8"/>
      <c r="CZ14" s="8"/>
    </row>
    <row r="15" spans="2:104" ht="15.75" customHeight="1" thickBot="1">
      <c r="B15" s="143" t="s">
        <v>12</v>
      </c>
      <c r="C15" s="133"/>
      <c r="D15" s="133"/>
      <c r="E15" s="133"/>
      <c r="F15" s="133"/>
      <c r="G15" s="133"/>
      <c r="H15" s="134"/>
      <c r="J15" s="58">
        <f>F8</f>
        <v>2050</v>
      </c>
      <c r="K15" s="58"/>
      <c r="L15" s="58">
        <f>F13/100</f>
        <v>1.35</v>
      </c>
      <c r="M15" s="58"/>
      <c r="N15" s="58">
        <f>F14</f>
        <v>20</v>
      </c>
      <c r="O15" s="59">
        <f>F29</f>
        <v>13037.5</v>
      </c>
      <c r="P15" s="59">
        <f>F31</f>
        <v>125.71875</v>
      </c>
      <c r="Q15" s="59">
        <f>F32</f>
        <v>93.125</v>
      </c>
      <c r="R15" s="58"/>
      <c r="S15" s="58"/>
      <c r="T15" s="58">
        <f>F16</f>
        <v>0</v>
      </c>
      <c r="U15" s="58">
        <f>F17</f>
        <v>5</v>
      </c>
      <c r="V15" s="58">
        <f>F18</f>
        <v>0.5</v>
      </c>
      <c r="W15" s="58">
        <f>F19</f>
        <v>0</v>
      </c>
      <c r="X15" s="58">
        <f>F20</f>
        <v>0</v>
      </c>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c r="CZ15" s="8"/>
    </row>
    <row r="16" spans="2:104" ht="15.75" customHeight="1" thickBot="1">
      <c r="B16" s="148" t="s">
        <v>364</v>
      </c>
      <c r="C16" s="159">
        <v>0</v>
      </c>
      <c r="D16" s="159">
        <v>0</v>
      </c>
      <c r="E16" s="159">
        <v>0</v>
      </c>
      <c r="F16" s="159">
        <v>0</v>
      </c>
      <c r="G16" s="160"/>
      <c r="H16" s="161"/>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c r="CC16" s="8"/>
      <c r="CD16" s="8"/>
      <c r="CE16" s="8"/>
      <c r="CF16" s="8"/>
      <c r="CG16" s="8"/>
      <c r="CH16" s="8"/>
      <c r="CI16" s="8"/>
      <c r="CJ16" s="8"/>
      <c r="CK16" s="8"/>
      <c r="CL16" s="8"/>
      <c r="CM16" s="8"/>
      <c r="CN16" s="8"/>
      <c r="CO16" s="8"/>
      <c r="CP16" s="8"/>
      <c r="CQ16" s="8"/>
      <c r="CR16" s="8"/>
      <c r="CS16" s="8"/>
      <c r="CT16" s="8"/>
      <c r="CU16" s="8"/>
      <c r="CV16" s="8"/>
      <c r="CW16" s="8"/>
      <c r="CX16" s="8"/>
      <c r="CY16" s="8"/>
      <c r="CZ16" s="8"/>
    </row>
    <row r="17" spans="2:104" ht="15.75" customHeight="1" thickBot="1">
      <c r="B17" s="148" t="s">
        <v>365</v>
      </c>
      <c r="C17" s="154">
        <v>20</v>
      </c>
      <c r="D17" s="154">
        <v>10</v>
      </c>
      <c r="E17" s="154">
        <v>5</v>
      </c>
      <c r="F17" s="184">
        <f>E17</f>
        <v>5</v>
      </c>
      <c r="G17" s="152" t="s">
        <v>20</v>
      </c>
      <c r="H17" s="161"/>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c r="CZ17" s="8"/>
    </row>
    <row r="18" spans="2:104" ht="15.75" customHeight="1" thickBot="1">
      <c r="B18" s="148" t="s">
        <v>366</v>
      </c>
      <c r="C18" s="154">
        <v>2</v>
      </c>
      <c r="D18" s="154">
        <v>1</v>
      </c>
      <c r="E18" s="154">
        <v>0.5</v>
      </c>
      <c r="F18" s="184">
        <f>E18</f>
        <v>0.5</v>
      </c>
      <c r="G18" s="152" t="s">
        <v>20</v>
      </c>
      <c r="H18" s="161"/>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c r="BQ18" s="8"/>
      <c r="BR18" s="8"/>
      <c r="BS18" s="8"/>
      <c r="BT18" s="8"/>
      <c r="BU18" s="8"/>
      <c r="BV18" s="8"/>
      <c r="BW18" s="8"/>
      <c r="BX18" s="8"/>
      <c r="BY18" s="8"/>
      <c r="BZ18" s="8"/>
      <c r="CA18" s="8"/>
      <c r="CB18" s="8"/>
      <c r="CC18" s="8"/>
      <c r="CD18" s="8"/>
      <c r="CE18" s="8"/>
      <c r="CF18" s="8"/>
      <c r="CG18" s="8"/>
      <c r="CH18" s="8"/>
      <c r="CI18" s="8"/>
      <c r="CJ18" s="8"/>
      <c r="CK18" s="8"/>
      <c r="CL18" s="8"/>
      <c r="CM18" s="8"/>
      <c r="CN18" s="8"/>
      <c r="CO18" s="8"/>
      <c r="CP18" s="8"/>
      <c r="CQ18" s="8"/>
      <c r="CR18" s="8"/>
      <c r="CS18" s="8"/>
      <c r="CT18" s="8"/>
      <c r="CU18" s="8"/>
      <c r="CV18" s="8"/>
      <c r="CW18" s="8"/>
      <c r="CX18" s="8"/>
      <c r="CY18" s="8"/>
      <c r="CZ18" s="8"/>
    </row>
    <row r="19" spans="2:104" ht="15.75" customHeight="1" thickBot="1">
      <c r="B19" s="148" t="s">
        <v>367</v>
      </c>
      <c r="C19" s="154">
        <v>0</v>
      </c>
      <c r="D19" s="154">
        <v>0</v>
      </c>
      <c r="E19" s="154">
        <v>0</v>
      </c>
      <c r="F19" s="154">
        <v>0</v>
      </c>
      <c r="G19" s="152"/>
      <c r="H19" s="161"/>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c r="CD19" s="8"/>
      <c r="CE19" s="8"/>
      <c r="CF19" s="8"/>
      <c r="CG19" s="8"/>
      <c r="CH19" s="8"/>
      <c r="CI19" s="8"/>
      <c r="CJ19" s="8"/>
      <c r="CK19" s="8"/>
      <c r="CL19" s="8"/>
      <c r="CM19" s="8"/>
      <c r="CN19" s="8"/>
      <c r="CO19" s="8"/>
      <c r="CP19" s="8"/>
      <c r="CQ19" s="8"/>
      <c r="CR19" s="8"/>
      <c r="CS19" s="8"/>
      <c r="CT19" s="8"/>
      <c r="CU19" s="8"/>
      <c r="CV19" s="8"/>
      <c r="CW19" s="8"/>
      <c r="CX19" s="8"/>
      <c r="CY19" s="8"/>
      <c r="CZ19" s="8"/>
    </row>
    <row r="20" spans="2:104" ht="15.75" customHeight="1" thickBot="1">
      <c r="B20" s="148" t="s">
        <v>19</v>
      </c>
      <c r="C20" s="154">
        <v>0</v>
      </c>
      <c r="D20" s="154">
        <v>0</v>
      </c>
      <c r="E20" s="154">
        <v>0</v>
      </c>
      <c r="F20" s="154">
        <v>0</v>
      </c>
      <c r="G20" s="152"/>
      <c r="H20" s="161"/>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8"/>
      <c r="CK20" s="8"/>
      <c r="CL20" s="8"/>
      <c r="CM20" s="8"/>
      <c r="CN20" s="8"/>
      <c r="CO20" s="8"/>
      <c r="CP20" s="8"/>
      <c r="CQ20" s="8"/>
      <c r="CR20" s="8"/>
      <c r="CS20" s="8"/>
      <c r="CT20" s="8"/>
      <c r="CU20" s="8"/>
      <c r="CV20" s="8"/>
      <c r="CW20" s="8"/>
      <c r="CX20" s="8"/>
      <c r="CY20" s="8"/>
      <c r="CZ20" s="8"/>
    </row>
    <row r="21" spans="2:104" ht="15.75" customHeight="1" thickBot="1">
      <c r="B21" s="86" t="s">
        <v>22</v>
      </c>
      <c r="C21" s="95"/>
      <c r="D21" s="95"/>
      <c r="E21" s="95"/>
      <c r="F21" s="95"/>
      <c r="G21" s="95"/>
      <c r="H21" s="68" t="s">
        <v>329</v>
      </c>
      <c r="I21" s="80"/>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c r="CP21" s="8"/>
      <c r="CQ21" s="8"/>
      <c r="CR21" s="8"/>
      <c r="CS21" s="8"/>
      <c r="CT21" s="8"/>
      <c r="CU21" s="8"/>
      <c r="CV21" s="8"/>
      <c r="CW21" s="8"/>
      <c r="CX21" s="8"/>
      <c r="CY21" s="8"/>
      <c r="CZ21" s="8"/>
    </row>
    <row r="22" spans="2:104" ht="15.75" customHeight="1" thickBot="1">
      <c r="B22" s="91" t="s">
        <v>23</v>
      </c>
      <c r="C22" s="35">
        <f>C23/$G30</f>
        <v>1.75</v>
      </c>
      <c r="D22" s="35">
        <f>D23/$G30</f>
        <v>1.75</v>
      </c>
      <c r="E22" s="35">
        <f>E23/$G30</f>
        <v>1.75</v>
      </c>
      <c r="F22" s="35">
        <f>F23/$G30</f>
        <v>1.75</v>
      </c>
      <c r="G22" s="96" t="s">
        <v>52</v>
      </c>
      <c r="H22" s="73" t="str">
        <f>H30</f>
        <v>kW</v>
      </c>
      <c r="I22" s="73">
        <f>I30</f>
        <v>0</v>
      </c>
      <c r="J22" s="64"/>
      <c r="K22" s="64"/>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c r="CP22" s="8"/>
      <c r="CQ22" s="8"/>
      <c r="CR22" s="8"/>
      <c r="CS22" s="8"/>
      <c r="CT22" s="8"/>
      <c r="CU22" s="8"/>
      <c r="CV22" s="8"/>
      <c r="CW22" s="8"/>
      <c r="CX22" s="8"/>
      <c r="CY22" s="8"/>
      <c r="CZ22" s="8"/>
    </row>
    <row r="23" spans="2:104" ht="15.75" customHeight="1" thickBot="1">
      <c r="B23" s="91" t="s">
        <v>24</v>
      </c>
      <c r="C23" s="101">
        <f>(10+4)</f>
        <v>14</v>
      </c>
      <c r="D23" s="101">
        <f>(10+4)</f>
        <v>14</v>
      </c>
      <c r="E23" s="101">
        <f>(10+4)</f>
        <v>14</v>
      </c>
      <c r="F23" s="101">
        <f>(10+4)</f>
        <v>14</v>
      </c>
      <c r="G23" s="92" t="s">
        <v>392</v>
      </c>
      <c r="H23" s="92"/>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8"/>
      <c r="CK23" s="8"/>
      <c r="CL23" s="8"/>
      <c r="CM23" s="8"/>
      <c r="CN23" s="8"/>
      <c r="CO23" s="8"/>
      <c r="CP23" s="8"/>
      <c r="CQ23" s="8"/>
      <c r="CR23" s="8"/>
      <c r="CS23" s="8"/>
      <c r="CT23" s="8"/>
      <c r="CU23" s="8"/>
      <c r="CV23" s="8"/>
      <c r="CW23" s="8"/>
      <c r="CX23" s="8"/>
      <c r="CY23" s="8"/>
      <c r="CZ23" s="8"/>
    </row>
    <row r="24" spans="2:104" ht="15.75" customHeight="1" thickBot="1">
      <c r="B24" s="97" t="s">
        <v>26</v>
      </c>
      <c r="C24" s="100">
        <v>71</v>
      </c>
      <c r="D24" s="100">
        <v>71</v>
      </c>
      <c r="E24" s="100">
        <v>71</v>
      </c>
      <c r="F24" s="100">
        <v>71</v>
      </c>
      <c r="G24" s="92"/>
      <c r="H24" s="92"/>
      <c r="J24" s="64"/>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c r="CB24" s="8"/>
      <c r="CC24" s="8"/>
      <c r="CD24" s="8"/>
      <c r="CE24" s="8"/>
      <c r="CF24" s="8"/>
      <c r="CG24" s="8"/>
      <c r="CH24" s="8"/>
      <c r="CI24" s="8"/>
      <c r="CJ24" s="8"/>
      <c r="CK24" s="8"/>
      <c r="CL24" s="8"/>
      <c r="CM24" s="8"/>
      <c r="CN24" s="8"/>
      <c r="CO24" s="8"/>
      <c r="CP24" s="8"/>
      <c r="CQ24" s="8"/>
      <c r="CR24" s="8"/>
      <c r="CS24" s="8"/>
      <c r="CT24" s="8"/>
      <c r="CU24" s="8"/>
      <c r="CV24" s="8"/>
      <c r="CW24" s="8"/>
      <c r="CX24" s="8"/>
      <c r="CY24" s="8"/>
      <c r="CZ24" s="8"/>
    </row>
    <row r="25" spans="2:104" ht="15.75" customHeight="1" thickBot="1">
      <c r="B25" s="97" t="s">
        <v>28</v>
      </c>
      <c r="C25" s="99">
        <v>29</v>
      </c>
      <c r="D25" s="99">
        <v>29</v>
      </c>
      <c r="E25" s="99">
        <v>29</v>
      </c>
      <c r="F25" s="99">
        <v>29</v>
      </c>
      <c r="G25" s="92"/>
      <c r="H25" s="92"/>
      <c r="J25" s="65"/>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8"/>
      <c r="CH25" s="8"/>
      <c r="CI25" s="8"/>
      <c r="CJ25" s="8"/>
      <c r="CK25" s="8"/>
      <c r="CL25" s="8"/>
      <c r="CM25" s="8"/>
      <c r="CN25" s="8"/>
      <c r="CO25" s="8"/>
      <c r="CP25" s="8"/>
      <c r="CQ25" s="8"/>
      <c r="CR25" s="8"/>
      <c r="CS25" s="8"/>
      <c r="CT25" s="8"/>
      <c r="CU25" s="8"/>
      <c r="CV25" s="8"/>
      <c r="CW25" s="8"/>
      <c r="CX25" s="8"/>
      <c r="CY25" s="8"/>
      <c r="CZ25" s="8"/>
    </row>
    <row r="26" spans="2:104" ht="15.75" customHeight="1" thickBot="1">
      <c r="B26" s="97" t="s">
        <v>369</v>
      </c>
      <c r="C26" s="98">
        <v>1.6</v>
      </c>
      <c r="D26" s="98">
        <v>1.6</v>
      </c>
      <c r="E26" s="98">
        <v>1.6</v>
      </c>
      <c r="F26" s="98">
        <v>1.6</v>
      </c>
      <c r="G26" s="92" t="s">
        <v>109</v>
      </c>
      <c r="H26" s="92"/>
      <c r="J26" s="65"/>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8"/>
      <c r="CK26" s="8"/>
      <c r="CL26" s="8"/>
      <c r="CM26" s="8"/>
      <c r="CN26" s="8"/>
      <c r="CO26" s="8"/>
      <c r="CP26" s="8"/>
      <c r="CQ26" s="8"/>
      <c r="CR26" s="8"/>
      <c r="CS26" s="8"/>
      <c r="CT26" s="8"/>
      <c r="CU26" s="8"/>
      <c r="CV26" s="8"/>
      <c r="CW26" s="8"/>
      <c r="CX26" s="8"/>
      <c r="CY26" s="8"/>
      <c r="CZ26" s="8"/>
    </row>
    <row r="27" spans="2:104" ht="15.75" customHeight="1" thickBot="1">
      <c r="B27" s="91" t="s">
        <v>50</v>
      </c>
      <c r="C27" s="92">
        <v>135</v>
      </c>
      <c r="D27" s="92">
        <v>135</v>
      </c>
      <c r="E27" s="92">
        <v>135</v>
      </c>
      <c r="F27" s="92">
        <v>135</v>
      </c>
      <c r="G27" s="92"/>
      <c r="H27" s="92"/>
      <c r="J27" s="65"/>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8"/>
      <c r="CK27" s="8"/>
      <c r="CL27" s="8"/>
      <c r="CM27" s="8"/>
      <c r="CN27" s="8"/>
      <c r="CO27" s="8"/>
      <c r="CP27" s="8"/>
      <c r="CQ27" s="8"/>
      <c r="CR27" s="8"/>
      <c r="CS27" s="8"/>
      <c r="CT27" s="8"/>
      <c r="CU27" s="8"/>
      <c r="CV27" s="8"/>
      <c r="CW27" s="8"/>
      <c r="CX27" s="8"/>
      <c r="CY27" s="8"/>
      <c r="CZ27" s="8"/>
    </row>
    <row r="28" spans="2:104" ht="15.75" customHeight="1" thickBot="1">
      <c r="B28" s="91" t="s">
        <v>370</v>
      </c>
      <c r="C28" s="92">
        <v>100</v>
      </c>
      <c r="D28" s="92">
        <v>100</v>
      </c>
      <c r="E28" s="92">
        <v>100</v>
      </c>
      <c r="F28" s="92">
        <v>100</v>
      </c>
      <c r="G28" s="92"/>
      <c r="H28" s="92"/>
      <c r="J28" s="65"/>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8"/>
      <c r="CK28" s="8"/>
      <c r="CL28" s="8"/>
      <c r="CM28" s="8"/>
      <c r="CN28" s="8"/>
      <c r="CO28" s="8"/>
      <c r="CP28" s="8"/>
      <c r="CQ28" s="8"/>
      <c r="CR28" s="8"/>
      <c r="CS28" s="8"/>
      <c r="CT28" s="8"/>
      <c r="CU28" s="8"/>
      <c r="CV28" s="8"/>
      <c r="CW28" s="8"/>
      <c r="CX28" s="8"/>
      <c r="CY28" s="8"/>
      <c r="CZ28" s="8"/>
    </row>
    <row r="29" spans="2:104">
      <c r="B29" s="36" t="s">
        <v>353</v>
      </c>
      <c r="C29" s="42">
        <f>C30/$G30</f>
        <v>13037.5</v>
      </c>
      <c r="D29" s="42">
        <f>D30/$G30</f>
        <v>13037.5</v>
      </c>
      <c r="E29" s="42">
        <f>E30/$G30</f>
        <v>13037.5</v>
      </c>
      <c r="F29" s="42">
        <f>F30/$G30</f>
        <v>13037.5</v>
      </c>
      <c r="G29" s="63" t="s">
        <v>332</v>
      </c>
      <c r="H29" s="63"/>
      <c r="J29" s="64"/>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c r="CP29" s="8"/>
      <c r="CQ29" s="8"/>
      <c r="CR29" s="8"/>
      <c r="CS29" s="8"/>
      <c r="CT29" s="8"/>
      <c r="CU29" s="8"/>
      <c r="CV29" s="8"/>
      <c r="CW29" s="8"/>
      <c r="CX29" s="8"/>
      <c r="CY29" s="8"/>
      <c r="CZ29" s="8"/>
    </row>
    <row r="30" spans="2:104">
      <c r="B30" s="36" t="s">
        <v>354</v>
      </c>
      <c r="C30" s="42">
        <f>C23*$G$4*1000</f>
        <v>104300</v>
      </c>
      <c r="D30" s="42">
        <f>D23*$G$4*1000</f>
        <v>104300</v>
      </c>
      <c r="E30" s="42">
        <f>E23*$G$4*1000</f>
        <v>104300</v>
      </c>
      <c r="F30" s="42">
        <f>F23*$G$4*1000</f>
        <v>104300</v>
      </c>
      <c r="G30" s="67">
        <v>8</v>
      </c>
      <c r="H30" s="63" t="s">
        <v>330</v>
      </c>
      <c r="J30" s="64"/>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c r="CP30" s="8"/>
      <c r="CQ30" s="8"/>
      <c r="CR30" s="8"/>
      <c r="CS30" s="8"/>
      <c r="CT30" s="8"/>
      <c r="CU30" s="8"/>
      <c r="CV30" s="8"/>
      <c r="CW30" s="8"/>
      <c r="CX30" s="8"/>
      <c r="CY30" s="8"/>
      <c r="CZ30" s="8"/>
    </row>
    <row r="31" spans="2:104">
      <c r="B31" s="36" t="s">
        <v>355</v>
      </c>
      <c r="C31" s="42">
        <f>C27*$G$4/$G30</f>
        <v>125.71875</v>
      </c>
      <c r="D31" s="42">
        <f>D27*$G$4/$G30</f>
        <v>125.71875</v>
      </c>
      <c r="E31" s="42">
        <f>E27*$G$4/$G30</f>
        <v>125.71875</v>
      </c>
      <c r="F31" s="42">
        <f>F27*$G$4/$G30</f>
        <v>125.71875</v>
      </c>
      <c r="G31" s="63" t="s">
        <v>333</v>
      </c>
      <c r="H31" s="63"/>
      <c r="J31" s="64"/>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c r="CP31" s="8"/>
      <c r="CQ31" s="8"/>
      <c r="CR31" s="8"/>
      <c r="CS31" s="8"/>
      <c r="CT31" s="8"/>
      <c r="CU31" s="8"/>
      <c r="CV31" s="8"/>
      <c r="CW31" s="8"/>
      <c r="CX31" s="8"/>
      <c r="CY31" s="8"/>
      <c r="CZ31" s="8"/>
    </row>
    <row r="32" spans="2:104" ht="16" thickBot="1">
      <c r="B32" s="36" t="s">
        <v>356</v>
      </c>
      <c r="C32" s="42">
        <f>C28*$G$4/$G30</f>
        <v>93.125</v>
      </c>
      <c r="D32" s="42">
        <f>D28*$G$4/$G30</f>
        <v>93.125</v>
      </c>
      <c r="E32" s="42">
        <f>E28*$G$4/$G30</f>
        <v>93.125</v>
      </c>
      <c r="F32" s="42">
        <f>F28*$G$4/$G30</f>
        <v>93.125</v>
      </c>
      <c r="G32" s="66"/>
      <c r="H32" s="63"/>
      <c r="J32" s="64"/>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c r="CP32" s="8"/>
      <c r="CQ32" s="8"/>
      <c r="CR32" s="8"/>
      <c r="CS32" s="8"/>
      <c r="CT32" s="8"/>
      <c r="CU32" s="8"/>
      <c r="CV32" s="8"/>
      <c r="CW32" s="8"/>
      <c r="CX32" s="8"/>
      <c r="CY32" s="8"/>
      <c r="CZ32" s="8"/>
    </row>
    <row r="33" spans="3:104">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8"/>
      <c r="CK33" s="8"/>
      <c r="CL33" s="8"/>
      <c r="CM33" s="8"/>
      <c r="CN33" s="8"/>
      <c r="CO33" s="8"/>
      <c r="CP33" s="8"/>
      <c r="CQ33" s="8"/>
      <c r="CR33" s="8"/>
      <c r="CS33" s="8"/>
      <c r="CT33" s="8"/>
      <c r="CU33" s="8"/>
      <c r="CV33" s="8"/>
      <c r="CW33" s="8"/>
      <c r="CX33" s="8"/>
      <c r="CY33" s="8"/>
      <c r="CZ33" s="8"/>
    </row>
    <row r="34" spans="3:104">
      <c r="C34"/>
      <c r="D34"/>
      <c r="E34"/>
      <c r="F34"/>
      <c r="G34"/>
      <c r="H34"/>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c r="CB34" s="8"/>
      <c r="CC34" s="8"/>
      <c r="CD34" s="8"/>
      <c r="CE34" s="8"/>
      <c r="CF34" s="8"/>
      <c r="CG34" s="8"/>
      <c r="CH34" s="8"/>
      <c r="CI34" s="8"/>
      <c r="CJ34" s="8"/>
      <c r="CK34" s="8"/>
      <c r="CL34" s="8"/>
      <c r="CM34" s="8"/>
      <c r="CN34" s="8"/>
      <c r="CO34" s="8"/>
      <c r="CP34" s="8"/>
      <c r="CQ34" s="8"/>
      <c r="CR34" s="8"/>
      <c r="CS34" s="8"/>
      <c r="CT34" s="8"/>
      <c r="CU34" s="8"/>
      <c r="CV34" s="8"/>
      <c r="CW34" s="8"/>
      <c r="CX34" s="8"/>
      <c r="CY34" s="8"/>
      <c r="CZ34" s="8"/>
    </row>
    <row r="35" spans="3:104">
      <c r="C35"/>
      <c r="D35"/>
      <c r="E35"/>
      <c r="F35"/>
      <c r="G35"/>
      <c r="H35"/>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8"/>
      <c r="CI35" s="8"/>
      <c r="CJ35" s="8"/>
      <c r="CK35" s="8"/>
      <c r="CL35" s="8"/>
      <c r="CM35" s="8"/>
      <c r="CN35" s="8"/>
      <c r="CO35" s="8"/>
      <c r="CP35" s="8"/>
      <c r="CQ35" s="8"/>
      <c r="CR35" s="8"/>
      <c r="CS35" s="8"/>
      <c r="CT35" s="8"/>
      <c r="CU35" s="8"/>
      <c r="CV35" s="8"/>
      <c r="CW35" s="8"/>
      <c r="CX35" s="8"/>
      <c r="CY35" s="8"/>
      <c r="CZ35" s="8"/>
    </row>
    <row r="36" spans="3:104">
      <c r="C36"/>
      <c r="D36"/>
      <c r="E36"/>
      <c r="F36"/>
      <c r="G36"/>
      <c r="H36"/>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8"/>
      <c r="CI36" s="8"/>
      <c r="CJ36" s="8"/>
      <c r="CK36" s="8"/>
      <c r="CL36" s="8"/>
      <c r="CM36" s="8"/>
      <c r="CN36" s="8"/>
      <c r="CO36" s="8"/>
      <c r="CP36" s="8"/>
      <c r="CQ36" s="8"/>
      <c r="CR36" s="8"/>
      <c r="CS36" s="8"/>
      <c r="CT36" s="8"/>
      <c r="CU36" s="8"/>
      <c r="CV36" s="8"/>
      <c r="CW36" s="8"/>
      <c r="CX36" s="8"/>
      <c r="CY36" s="8"/>
      <c r="CZ36" s="8"/>
    </row>
    <row r="37" spans="3:104">
      <c r="C37"/>
      <c r="D37"/>
      <c r="E37"/>
      <c r="F37"/>
      <c r="G37"/>
      <c r="H37"/>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8"/>
      <c r="CH37" s="8"/>
      <c r="CI37" s="8"/>
      <c r="CJ37" s="8"/>
      <c r="CK37" s="8"/>
      <c r="CL37" s="8"/>
      <c r="CM37" s="8"/>
      <c r="CN37" s="8"/>
      <c r="CO37" s="8"/>
      <c r="CP37" s="8"/>
      <c r="CQ37" s="8"/>
      <c r="CR37" s="8"/>
      <c r="CS37" s="8"/>
      <c r="CT37" s="8"/>
      <c r="CU37" s="8"/>
      <c r="CV37" s="8"/>
      <c r="CW37" s="8"/>
      <c r="CX37" s="8"/>
      <c r="CY37" s="8"/>
      <c r="CZ37" s="8"/>
    </row>
    <row r="38" spans="3:104">
      <c r="C38"/>
      <c r="D38"/>
      <c r="E38"/>
      <c r="F38"/>
      <c r="G38"/>
      <c r="H3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8"/>
      <c r="CK38" s="8"/>
      <c r="CL38" s="8"/>
      <c r="CM38" s="8"/>
      <c r="CN38" s="8"/>
      <c r="CO38" s="8"/>
      <c r="CP38" s="8"/>
      <c r="CQ38" s="8"/>
      <c r="CR38" s="8"/>
      <c r="CS38" s="8"/>
      <c r="CT38" s="8"/>
      <c r="CU38" s="8"/>
      <c r="CV38" s="8"/>
      <c r="CW38" s="8"/>
      <c r="CX38" s="8"/>
      <c r="CY38" s="8"/>
      <c r="CZ38" s="8"/>
    </row>
    <row r="39" spans="3:104">
      <c r="C39"/>
      <c r="D39"/>
      <c r="E39"/>
      <c r="F39"/>
      <c r="G39"/>
      <c r="H39"/>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c r="CB39" s="8"/>
      <c r="CC39" s="8"/>
      <c r="CD39" s="8"/>
      <c r="CE39" s="8"/>
      <c r="CF39" s="8"/>
      <c r="CG39" s="8"/>
      <c r="CH39" s="8"/>
      <c r="CI39" s="8"/>
      <c r="CJ39" s="8"/>
      <c r="CK39" s="8"/>
      <c r="CL39" s="8"/>
      <c r="CM39" s="8"/>
      <c r="CN39" s="8"/>
      <c r="CO39" s="8"/>
      <c r="CP39" s="8"/>
      <c r="CQ39" s="8"/>
      <c r="CR39" s="8"/>
      <c r="CS39" s="8"/>
      <c r="CT39" s="8"/>
      <c r="CU39" s="8"/>
      <c r="CV39" s="8"/>
      <c r="CW39" s="8"/>
      <c r="CX39" s="8"/>
      <c r="CY39" s="8"/>
      <c r="CZ39" s="8"/>
    </row>
    <row r="40" spans="3:104">
      <c r="C40"/>
      <c r="D40"/>
      <c r="E40"/>
      <c r="F40"/>
      <c r="G40"/>
      <c r="H40"/>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8"/>
      <c r="CJ40" s="8"/>
      <c r="CK40" s="8"/>
      <c r="CL40" s="8"/>
      <c r="CM40" s="8"/>
      <c r="CN40" s="8"/>
      <c r="CO40" s="8"/>
      <c r="CP40" s="8"/>
      <c r="CQ40" s="8"/>
      <c r="CR40" s="8"/>
      <c r="CS40" s="8"/>
      <c r="CT40" s="8"/>
      <c r="CU40" s="8"/>
      <c r="CV40" s="8"/>
      <c r="CW40" s="8"/>
      <c r="CX40" s="8"/>
      <c r="CY40" s="8"/>
      <c r="CZ40" s="8"/>
    </row>
    <row r="41" spans="3:104">
      <c r="C41"/>
      <c r="D41"/>
      <c r="E41"/>
      <c r="F41"/>
      <c r="G41"/>
      <c r="H41"/>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c r="CB41" s="8"/>
      <c r="CC41" s="8"/>
      <c r="CD41" s="8"/>
      <c r="CE41" s="8"/>
      <c r="CF41" s="8"/>
      <c r="CG41" s="8"/>
      <c r="CH41" s="8"/>
      <c r="CI41" s="8"/>
      <c r="CJ41" s="8"/>
      <c r="CK41" s="8"/>
      <c r="CL41" s="8"/>
      <c r="CM41" s="8"/>
      <c r="CN41" s="8"/>
      <c r="CO41" s="8"/>
      <c r="CP41" s="8"/>
      <c r="CQ41" s="8"/>
      <c r="CR41" s="8"/>
      <c r="CS41" s="8"/>
      <c r="CT41" s="8"/>
      <c r="CU41" s="8"/>
      <c r="CV41" s="8"/>
      <c r="CW41" s="8"/>
      <c r="CX41" s="8"/>
      <c r="CY41" s="8"/>
      <c r="CZ41" s="8"/>
    </row>
    <row r="42" spans="3:104">
      <c r="C42"/>
      <c r="D42"/>
      <c r="E42"/>
      <c r="F42"/>
      <c r="G42"/>
      <c r="H42"/>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c r="CB42" s="8"/>
      <c r="CC42" s="8"/>
      <c r="CD42" s="8"/>
      <c r="CE42" s="8"/>
      <c r="CF42" s="8"/>
      <c r="CG42" s="8"/>
      <c r="CH42" s="8"/>
      <c r="CI42" s="8"/>
      <c r="CJ42" s="8"/>
      <c r="CK42" s="8"/>
      <c r="CL42" s="8"/>
      <c r="CM42" s="8"/>
      <c r="CN42" s="8"/>
      <c r="CO42" s="8"/>
      <c r="CP42" s="8"/>
      <c r="CQ42" s="8"/>
      <c r="CR42" s="8"/>
      <c r="CS42" s="8"/>
      <c r="CT42" s="8"/>
      <c r="CU42" s="8"/>
      <c r="CV42" s="8"/>
      <c r="CW42" s="8"/>
      <c r="CX42" s="8"/>
      <c r="CY42" s="8"/>
      <c r="CZ42" s="8"/>
    </row>
    <row r="43" spans="3:104">
      <c r="C43"/>
      <c r="D43"/>
      <c r="E43"/>
      <c r="F43"/>
      <c r="G43"/>
      <c r="H43"/>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c r="CB43" s="8"/>
      <c r="CC43" s="8"/>
      <c r="CD43" s="8"/>
      <c r="CE43" s="8"/>
      <c r="CF43" s="8"/>
      <c r="CG43" s="8"/>
      <c r="CH43" s="8"/>
      <c r="CI43" s="8"/>
      <c r="CJ43" s="8"/>
      <c r="CK43" s="8"/>
      <c r="CL43" s="8"/>
      <c r="CM43" s="8"/>
      <c r="CN43" s="8"/>
      <c r="CO43" s="8"/>
      <c r="CP43" s="8"/>
      <c r="CQ43" s="8"/>
      <c r="CR43" s="8"/>
      <c r="CS43" s="8"/>
      <c r="CT43" s="8"/>
      <c r="CU43" s="8"/>
      <c r="CV43" s="8"/>
      <c r="CW43" s="8"/>
      <c r="CX43" s="8"/>
      <c r="CY43" s="8"/>
      <c r="CZ43" s="8"/>
    </row>
    <row r="44" spans="3:104">
      <c r="C44"/>
      <c r="D44"/>
      <c r="E44"/>
      <c r="F44"/>
      <c r="G44"/>
      <c r="H44"/>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c r="CB44" s="8"/>
      <c r="CC44" s="8"/>
      <c r="CD44" s="8"/>
      <c r="CE44" s="8"/>
      <c r="CF44" s="8"/>
      <c r="CG44" s="8"/>
      <c r="CH44" s="8"/>
      <c r="CI44" s="8"/>
      <c r="CJ44" s="8"/>
      <c r="CK44" s="8"/>
      <c r="CL44" s="8"/>
      <c r="CM44" s="8"/>
      <c r="CN44" s="8"/>
      <c r="CO44" s="8"/>
      <c r="CP44" s="8"/>
      <c r="CQ44" s="8"/>
      <c r="CR44" s="8"/>
      <c r="CS44" s="8"/>
      <c r="CT44" s="8"/>
      <c r="CU44" s="8"/>
      <c r="CV44" s="8"/>
      <c r="CW44" s="8"/>
      <c r="CX44" s="8"/>
      <c r="CY44" s="8"/>
      <c r="CZ44" s="8"/>
    </row>
    <row r="45" spans="3:104">
      <c r="C45"/>
      <c r="D45"/>
      <c r="E45"/>
      <c r="F45"/>
      <c r="G45"/>
      <c r="H45"/>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c r="CB45" s="8"/>
      <c r="CC45" s="8"/>
      <c r="CD45" s="8"/>
      <c r="CE45" s="8"/>
      <c r="CF45" s="8"/>
      <c r="CG45" s="8"/>
      <c r="CH45" s="8"/>
      <c r="CI45" s="8"/>
      <c r="CJ45" s="8"/>
      <c r="CK45" s="8"/>
      <c r="CL45" s="8"/>
      <c r="CM45" s="8"/>
      <c r="CN45" s="8"/>
      <c r="CO45" s="8"/>
      <c r="CP45" s="8"/>
      <c r="CQ45" s="8"/>
      <c r="CR45" s="8"/>
      <c r="CS45" s="8"/>
      <c r="CT45" s="8"/>
      <c r="CU45" s="8"/>
      <c r="CV45" s="8"/>
      <c r="CW45" s="8"/>
      <c r="CX45" s="8"/>
      <c r="CY45" s="8"/>
      <c r="CZ45" s="8"/>
    </row>
    <row r="46" spans="3:104">
      <c r="C46"/>
      <c r="D46"/>
      <c r="E46"/>
      <c r="F46"/>
      <c r="G46"/>
      <c r="H46"/>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c r="CB46" s="8"/>
      <c r="CC46" s="8"/>
      <c r="CD46" s="8"/>
      <c r="CE46" s="8"/>
      <c r="CF46" s="8"/>
      <c r="CG46" s="8"/>
      <c r="CH46" s="8"/>
      <c r="CI46" s="8"/>
      <c r="CJ46" s="8"/>
      <c r="CK46" s="8"/>
      <c r="CL46" s="8"/>
      <c r="CM46" s="8"/>
      <c r="CN46" s="8"/>
      <c r="CO46" s="8"/>
      <c r="CP46" s="8"/>
      <c r="CQ46" s="8"/>
      <c r="CR46" s="8"/>
      <c r="CS46" s="8"/>
      <c r="CT46" s="8"/>
      <c r="CU46" s="8"/>
      <c r="CV46" s="8"/>
      <c r="CW46" s="8"/>
      <c r="CX46" s="8"/>
      <c r="CY46" s="8"/>
      <c r="CZ46" s="8"/>
    </row>
    <row r="47" spans="3:104">
      <c r="C47"/>
      <c r="D47"/>
      <c r="E47"/>
      <c r="F47"/>
      <c r="G47"/>
      <c r="H47"/>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c r="CB47" s="8"/>
      <c r="CC47" s="8"/>
      <c r="CD47" s="8"/>
      <c r="CE47" s="8"/>
      <c r="CF47" s="8"/>
      <c r="CG47" s="8"/>
      <c r="CH47" s="8"/>
      <c r="CI47" s="8"/>
      <c r="CJ47" s="8"/>
      <c r="CK47" s="8"/>
      <c r="CL47" s="8"/>
      <c r="CM47" s="8"/>
      <c r="CN47" s="8"/>
      <c r="CO47" s="8"/>
      <c r="CP47" s="8"/>
      <c r="CQ47" s="8"/>
      <c r="CR47" s="8"/>
      <c r="CS47" s="8"/>
      <c r="CT47" s="8"/>
      <c r="CU47" s="8"/>
      <c r="CV47" s="8"/>
      <c r="CW47" s="8"/>
      <c r="CX47" s="8"/>
      <c r="CY47" s="8"/>
      <c r="CZ47" s="8"/>
    </row>
    <row r="48" spans="3:104">
      <c r="C48"/>
      <c r="D48"/>
      <c r="E48"/>
      <c r="F48"/>
      <c r="G48"/>
      <c r="H4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c r="CB48" s="8"/>
      <c r="CC48" s="8"/>
      <c r="CD48" s="8"/>
      <c r="CE48" s="8"/>
      <c r="CF48" s="8"/>
      <c r="CG48" s="8"/>
      <c r="CH48" s="8"/>
      <c r="CI48" s="8"/>
      <c r="CJ48" s="8"/>
      <c r="CK48" s="8"/>
      <c r="CL48" s="8"/>
      <c r="CM48" s="8"/>
      <c r="CN48" s="8"/>
      <c r="CO48" s="8"/>
      <c r="CP48" s="8"/>
      <c r="CQ48" s="8"/>
      <c r="CR48" s="8"/>
      <c r="CS48" s="8"/>
      <c r="CT48" s="8"/>
      <c r="CU48" s="8"/>
      <c r="CV48" s="8"/>
      <c r="CW48" s="8"/>
      <c r="CX48" s="8"/>
      <c r="CY48" s="8"/>
      <c r="CZ48" s="8"/>
    </row>
    <row r="49" spans="3:104">
      <c r="C49"/>
      <c r="D49"/>
      <c r="E49"/>
      <c r="F49"/>
      <c r="G49"/>
      <c r="H49"/>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c r="CB49" s="8"/>
      <c r="CC49" s="8"/>
      <c r="CD49" s="8"/>
      <c r="CE49" s="8"/>
      <c r="CF49" s="8"/>
      <c r="CG49" s="8"/>
      <c r="CH49" s="8"/>
      <c r="CI49" s="8"/>
      <c r="CJ49" s="8"/>
      <c r="CK49" s="8"/>
      <c r="CL49" s="8"/>
      <c r="CM49" s="8"/>
      <c r="CN49" s="8"/>
      <c r="CO49" s="8"/>
      <c r="CP49" s="8"/>
      <c r="CQ49" s="8"/>
      <c r="CR49" s="8"/>
      <c r="CS49" s="8"/>
      <c r="CT49" s="8"/>
      <c r="CU49" s="8"/>
      <c r="CV49" s="8"/>
      <c r="CW49" s="8"/>
      <c r="CX49" s="8"/>
      <c r="CY49" s="8"/>
      <c r="CZ49" s="8"/>
    </row>
    <row r="50" spans="3:104">
      <c r="C50"/>
      <c r="D50"/>
      <c r="E50"/>
      <c r="F50"/>
      <c r="G50"/>
      <c r="H50"/>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c r="CB50" s="8"/>
      <c r="CC50" s="8"/>
      <c r="CD50" s="8"/>
      <c r="CE50" s="8"/>
      <c r="CF50" s="8"/>
      <c r="CG50" s="8"/>
      <c r="CH50" s="8"/>
      <c r="CI50" s="8"/>
      <c r="CJ50" s="8"/>
      <c r="CK50" s="8"/>
      <c r="CL50" s="8"/>
      <c r="CM50" s="8"/>
      <c r="CN50" s="8"/>
      <c r="CO50" s="8"/>
      <c r="CP50" s="8"/>
      <c r="CQ50" s="8"/>
      <c r="CR50" s="8"/>
      <c r="CS50" s="8"/>
      <c r="CT50" s="8"/>
      <c r="CU50" s="8"/>
      <c r="CV50" s="8"/>
      <c r="CW50" s="8"/>
      <c r="CX50" s="8"/>
      <c r="CY50" s="8"/>
      <c r="CZ50" s="8"/>
    </row>
    <row r="51" spans="3:104">
      <c r="C51"/>
      <c r="D51"/>
      <c r="E51"/>
      <c r="F51"/>
      <c r="G51"/>
      <c r="H51"/>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c r="CB51" s="8"/>
      <c r="CC51" s="8"/>
      <c r="CD51" s="8"/>
      <c r="CE51" s="8"/>
      <c r="CF51" s="8"/>
      <c r="CG51" s="8"/>
      <c r="CH51" s="8"/>
      <c r="CI51" s="8"/>
      <c r="CJ51" s="8"/>
      <c r="CK51" s="8"/>
      <c r="CL51" s="8"/>
      <c r="CM51" s="8"/>
      <c r="CN51" s="8"/>
      <c r="CO51" s="8"/>
      <c r="CP51" s="8"/>
      <c r="CQ51" s="8"/>
      <c r="CR51" s="8"/>
      <c r="CS51" s="8"/>
      <c r="CT51" s="8"/>
      <c r="CU51" s="8"/>
      <c r="CV51" s="8"/>
      <c r="CW51" s="8"/>
      <c r="CX51" s="8"/>
      <c r="CY51" s="8"/>
      <c r="CZ51" s="8"/>
    </row>
    <row r="52" spans="3:104">
      <c r="C52"/>
      <c r="D52"/>
      <c r="E52"/>
      <c r="F52"/>
      <c r="G52"/>
      <c r="H52"/>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c r="CB52" s="8"/>
      <c r="CC52" s="8"/>
      <c r="CD52" s="8"/>
      <c r="CE52" s="8"/>
      <c r="CF52" s="8"/>
      <c r="CG52" s="8"/>
      <c r="CH52" s="8"/>
      <c r="CI52" s="8"/>
      <c r="CJ52" s="8"/>
      <c r="CK52" s="8"/>
      <c r="CL52" s="8"/>
      <c r="CM52" s="8"/>
      <c r="CN52" s="8"/>
      <c r="CO52" s="8"/>
      <c r="CP52" s="8"/>
      <c r="CQ52" s="8"/>
      <c r="CR52" s="8"/>
      <c r="CS52" s="8"/>
      <c r="CT52" s="8"/>
      <c r="CU52" s="8"/>
      <c r="CV52" s="8"/>
      <c r="CW52" s="8"/>
      <c r="CX52" s="8"/>
      <c r="CY52" s="8"/>
      <c r="CZ52" s="8"/>
    </row>
    <row r="53" spans="3:104">
      <c r="C53"/>
      <c r="D53"/>
      <c r="E53"/>
      <c r="F53"/>
      <c r="G53"/>
      <c r="H53"/>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c r="CB53" s="8"/>
      <c r="CC53" s="8"/>
      <c r="CD53" s="8"/>
      <c r="CE53" s="8"/>
      <c r="CF53" s="8"/>
      <c r="CG53" s="8"/>
      <c r="CH53" s="8"/>
      <c r="CI53" s="8"/>
      <c r="CJ53" s="8"/>
      <c r="CK53" s="8"/>
      <c r="CL53" s="8"/>
      <c r="CM53" s="8"/>
      <c r="CN53" s="8"/>
      <c r="CO53" s="8"/>
      <c r="CP53" s="8"/>
      <c r="CQ53" s="8"/>
      <c r="CR53" s="8"/>
      <c r="CS53" s="8"/>
      <c r="CT53" s="8"/>
      <c r="CU53" s="8"/>
      <c r="CV53" s="8"/>
      <c r="CW53" s="8"/>
      <c r="CX53" s="8"/>
      <c r="CY53" s="8"/>
      <c r="CZ53" s="8"/>
    </row>
    <row r="54" spans="3:104">
      <c r="C54"/>
      <c r="D54"/>
      <c r="E54"/>
      <c r="F54"/>
      <c r="G54"/>
      <c r="H54"/>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c r="CB54" s="8"/>
      <c r="CC54" s="8"/>
      <c r="CD54" s="8"/>
      <c r="CE54" s="8"/>
      <c r="CF54" s="8"/>
      <c r="CG54" s="8"/>
      <c r="CH54" s="8"/>
      <c r="CI54" s="8"/>
      <c r="CJ54" s="8"/>
      <c r="CK54" s="8"/>
      <c r="CL54" s="8"/>
      <c r="CM54" s="8"/>
      <c r="CN54" s="8"/>
      <c r="CO54" s="8"/>
      <c r="CP54" s="8"/>
      <c r="CQ54" s="8"/>
      <c r="CR54" s="8"/>
      <c r="CS54" s="8"/>
      <c r="CT54" s="8"/>
      <c r="CU54" s="8"/>
      <c r="CV54" s="8"/>
      <c r="CW54" s="8"/>
      <c r="CX54" s="8"/>
      <c r="CY54" s="8"/>
      <c r="CZ54" s="8"/>
    </row>
    <row r="55" spans="3:104">
      <c r="C55"/>
      <c r="D55"/>
      <c r="E55"/>
      <c r="F55"/>
      <c r="G55"/>
      <c r="H55"/>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c r="CB55" s="8"/>
      <c r="CC55" s="8"/>
      <c r="CD55" s="8"/>
      <c r="CE55" s="8"/>
      <c r="CF55" s="8"/>
      <c r="CG55" s="8"/>
      <c r="CH55" s="8"/>
      <c r="CI55" s="8"/>
      <c r="CJ55" s="8"/>
      <c r="CK55" s="8"/>
      <c r="CL55" s="8"/>
      <c r="CM55" s="8"/>
      <c r="CN55" s="8"/>
      <c r="CO55" s="8"/>
      <c r="CP55" s="8"/>
      <c r="CQ55" s="8"/>
      <c r="CR55" s="8"/>
      <c r="CS55" s="8"/>
      <c r="CT55" s="8"/>
      <c r="CU55" s="8"/>
      <c r="CV55" s="8"/>
      <c r="CW55" s="8"/>
      <c r="CX55" s="8"/>
      <c r="CY55" s="8"/>
      <c r="CZ55" s="8"/>
    </row>
    <row r="56" spans="3:104">
      <c r="C56"/>
      <c r="D56"/>
      <c r="E56"/>
      <c r="F56"/>
      <c r="G56"/>
      <c r="H56"/>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c r="CB56" s="8"/>
      <c r="CC56" s="8"/>
      <c r="CD56" s="8"/>
      <c r="CE56" s="8"/>
      <c r="CF56" s="8"/>
      <c r="CG56" s="8"/>
      <c r="CH56" s="8"/>
      <c r="CI56" s="8"/>
      <c r="CJ56" s="8"/>
      <c r="CK56" s="8"/>
      <c r="CL56" s="8"/>
      <c r="CM56" s="8"/>
      <c r="CN56" s="8"/>
      <c r="CO56" s="8"/>
      <c r="CP56" s="8"/>
      <c r="CQ56" s="8"/>
      <c r="CR56" s="8"/>
      <c r="CS56" s="8"/>
      <c r="CT56" s="8"/>
      <c r="CU56" s="8"/>
      <c r="CV56" s="8"/>
      <c r="CW56" s="8"/>
      <c r="CX56" s="8"/>
      <c r="CY56" s="8"/>
      <c r="CZ56" s="8"/>
    </row>
    <row r="57" spans="3:104">
      <c r="C57"/>
      <c r="D57"/>
      <c r="E57"/>
      <c r="F57"/>
      <c r="G57"/>
      <c r="H57"/>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c r="CB57" s="8"/>
      <c r="CC57" s="8"/>
      <c r="CD57" s="8"/>
      <c r="CE57" s="8"/>
      <c r="CF57" s="8"/>
      <c r="CG57" s="8"/>
      <c r="CH57" s="8"/>
      <c r="CI57" s="8"/>
      <c r="CJ57" s="8"/>
      <c r="CK57" s="8"/>
      <c r="CL57" s="8"/>
      <c r="CM57" s="8"/>
      <c r="CN57" s="8"/>
      <c r="CO57" s="8"/>
      <c r="CP57" s="8"/>
      <c r="CQ57" s="8"/>
      <c r="CR57" s="8"/>
      <c r="CS57" s="8"/>
      <c r="CT57" s="8"/>
      <c r="CU57" s="8"/>
      <c r="CV57" s="8"/>
      <c r="CW57" s="8"/>
      <c r="CX57" s="8"/>
      <c r="CY57" s="8"/>
      <c r="CZ57" s="8"/>
    </row>
    <row r="58" spans="3:104">
      <c r="C58"/>
      <c r="D58"/>
      <c r="E58"/>
      <c r="F58"/>
      <c r="G58"/>
      <c r="H5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c r="CC58" s="8"/>
      <c r="CD58" s="8"/>
      <c r="CE58" s="8"/>
      <c r="CF58" s="8"/>
      <c r="CG58" s="8"/>
      <c r="CH58" s="8"/>
      <c r="CI58" s="8"/>
      <c r="CJ58" s="8"/>
      <c r="CK58" s="8"/>
      <c r="CL58" s="8"/>
      <c r="CM58" s="8"/>
      <c r="CN58" s="8"/>
      <c r="CO58" s="8"/>
      <c r="CP58" s="8"/>
      <c r="CQ58" s="8"/>
      <c r="CR58" s="8"/>
      <c r="CS58" s="8"/>
      <c r="CT58" s="8"/>
      <c r="CU58" s="8"/>
      <c r="CV58" s="8"/>
      <c r="CW58" s="8"/>
      <c r="CX58" s="8"/>
      <c r="CY58" s="8"/>
      <c r="CZ58" s="8"/>
    </row>
    <row r="59" spans="3:104">
      <c r="C59"/>
      <c r="D59"/>
      <c r="E59"/>
      <c r="F59"/>
      <c r="G59"/>
      <c r="H59"/>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c r="CC59" s="8"/>
      <c r="CD59" s="8"/>
      <c r="CE59" s="8"/>
      <c r="CF59" s="8"/>
      <c r="CG59" s="8"/>
      <c r="CH59" s="8"/>
      <c r="CI59" s="8"/>
      <c r="CJ59" s="8"/>
      <c r="CK59" s="8"/>
      <c r="CL59" s="8"/>
      <c r="CM59" s="8"/>
      <c r="CN59" s="8"/>
      <c r="CO59" s="8"/>
      <c r="CP59" s="8"/>
      <c r="CQ59" s="8"/>
      <c r="CR59" s="8"/>
      <c r="CS59" s="8"/>
      <c r="CT59" s="8"/>
      <c r="CU59" s="8"/>
      <c r="CV59" s="8"/>
      <c r="CW59" s="8"/>
      <c r="CX59" s="8"/>
      <c r="CY59" s="8"/>
      <c r="CZ59" s="8"/>
    </row>
    <row r="60" spans="3:104">
      <c r="C60"/>
      <c r="D60"/>
      <c r="E60"/>
      <c r="F60"/>
      <c r="G60"/>
      <c r="H60"/>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c r="CB60" s="8"/>
      <c r="CC60" s="8"/>
      <c r="CD60" s="8"/>
      <c r="CE60" s="8"/>
      <c r="CF60" s="8"/>
      <c r="CG60" s="8"/>
      <c r="CH60" s="8"/>
      <c r="CI60" s="8"/>
      <c r="CJ60" s="8"/>
      <c r="CK60" s="8"/>
      <c r="CL60" s="8"/>
      <c r="CM60" s="8"/>
      <c r="CN60" s="8"/>
      <c r="CO60" s="8"/>
      <c r="CP60" s="8"/>
      <c r="CQ60" s="8"/>
      <c r="CR60" s="8"/>
      <c r="CS60" s="8"/>
      <c r="CT60" s="8"/>
      <c r="CU60" s="8"/>
      <c r="CV60" s="8"/>
      <c r="CW60" s="8"/>
      <c r="CX60" s="8"/>
      <c r="CY60" s="8"/>
      <c r="CZ60" s="8"/>
    </row>
    <row r="61" spans="3:104">
      <c r="C61"/>
      <c r="D61"/>
      <c r="E61"/>
      <c r="F61"/>
      <c r="G61"/>
      <c r="H61"/>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c r="CB61" s="8"/>
      <c r="CC61" s="8"/>
      <c r="CD61" s="8"/>
      <c r="CE61" s="8"/>
      <c r="CF61" s="8"/>
      <c r="CG61" s="8"/>
      <c r="CH61" s="8"/>
      <c r="CI61" s="8"/>
      <c r="CJ61" s="8"/>
      <c r="CK61" s="8"/>
      <c r="CL61" s="8"/>
      <c r="CM61" s="8"/>
      <c r="CN61" s="8"/>
      <c r="CO61" s="8"/>
      <c r="CP61" s="8"/>
      <c r="CQ61" s="8"/>
      <c r="CR61" s="8"/>
      <c r="CS61" s="8"/>
      <c r="CT61" s="8"/>
      <c r="CU61" s="8"/>
      <c r="CV61" s="8"/>
      <c r="CW61" s="8"/>
      <c r="CX61" s="8"/>
      <c r="CY61" s="8"/>
      <c r="CZ61" s="8"/>
    </row>
    <row r="62" spans="3:104">
      <c r="C62"/>
      <c r="D62"/>
      <c r="E62"/>
      <c r="F62"/>
      <c r="G62"/>
      <c r="H62"/>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c r="CB62" s="8"/>
      <c r="CC62" s="8"/>
      <c r="CD62" s="8"/>
      <c r="CE62" s="8"/>
      <c r="CF62" s="8"/>
      <c r="CG62" s="8"/>
      <c r="CH62" s="8"/>
      <c r="CI62" s="8"/>
      <c r="CJ62" s="8"/>
      <c r="CK62" s="8"/>
      <c r="CL62" s="8"/>
      <c r="CM62" s="8"/>
      <c r="CN62" s="8"/>
      <c r="CO62" s="8"/>
      <c r="CP62" s="8"/>
      <c r="CQ62" s="8"/>
      <c r="CR62" s="8"/>
      <c r="CS62" s="8"/>
      <c r="CT62" s="8"/>
      <c r="CU62" s="8"/>
      <c r="CV62" s="8"/>
      <c r="CW62" s="8"/>
      <c r="CX62" s="8"/>
      <c r="CY62" s="8"/>
      <c r="CZ62" s="8"/>
    </row>
    <row r="63" spans="3:104">
      <c r="C63"/>
      <c r="D63"/>
      <c r="E63"/>
      <c r="F63"/>
      <c r="G63"/>
      <c r="H63"/>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c r="CB63" s="8"/>
      <c r="CC63" s="8"/>
      <c r="CD63" s="8"/>
      <c r="CE63" s="8"/>
      <c r="CF63" s="8"/>
      <c r="CG63" s="8"/>
      <c r="CH63" s="8"/>
      <c r="CI63" s="8"/>
      <c r="CJ63" s="8"/>
      <c r="CK63" s="8"/>
      <c r="CL63" s="8"/>
      <c r="CM63" s="8"/>
      <c r="CN63" s="8"/>
      <c r="CO63" s="8"/>
      <c r="CP63" s="8"/>
      <c r="CQ63" s="8"/>
      <c r="CR63" s="8"/>
      <c r="CS63" s="8"/>
      <c r="CT63" s="8"/>
      <c r="CU63" s="8"/>
      <c r="CV63" s="8"/>
      <c r="CW63" s="8"/>
      <c r="CX63" s="8"/>
      <c r="CY63" s="8"/>
      <c r="CZ63" s="8"/>
    </row>
    <row r="64" spans="3:104">
      <c r="C64"/>
      <c r="D64"/>
      <c r="E64"/>
      <c r="F64"/>
      <c r="G64"/>
      <c r="H64"/>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c r="CB64" s="8"/>
      <c r="CC64" s="8"/>
      <c r="CD64" s="8"/>
      <c r="CE64" s="8"/>
      <c r="CF64" s="8"/>
      <c r="CG64" s="8"/>
      <c r="CH64" s="8"/>
      <c r="CI64" s="8"/>
      <c r="CJ64" s="8"/>
      <c r="CK64" s="8"/>
      <c r="CL64" s="8"/>
      <c r="CM64" s="8"/>
      <c r="CN64" s="8"/>
      <c r="CO64" s="8"/>
      <c r="CP64" s="8"/>
      <c r="CQ64" s="8"/>
      <c r="CR64" s="8"/>
      <c r="CS64" s="8"/>
      <c r="CT64" s="8"/>
      <c r="CU64" s="8"/>
      <c r="CV64" s="8"/>
      <c r="CW64" s="8"/>
      <c r="CX64" s="8"/>
      <c r="CY64" s="8"/>
      <c r="CZ64" s="8"/>
    </row>
    <row r="65" spans="3:104">
      <c r="C65"/>
      <c r="D65"/>
      <c r="E65"/>
      <c r="F65"/>
      <c r="G65"/>
      <c r="H65"/>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c r="CB65" s="8"/>
      <c r="CC65" s="8"/>
      <c r="CD65" s="8"/>
      <c r="CE65" s="8"/>
      <c r="CF65" s="8"/>
      <c r="CG65" s="8"/>
      <c r="CH65" s="8"/>
      <c r="CI65" s="8"/>
      <c r="CJ65" s="8"/>
      <c r="CK65" s="8"/>
      <c r="CL65" s="8"/>
      <c r="CM65" s="8"/>
      <c r="CN65" s="8"/>
      <c r="CO65" s="8"/>
      <c r="CP65" s="8"/>
      <c r="CQ65" s="8"/>
      <c r="CR65" s="8"/>
      <c r="CS65" s="8"/>
      <c r="CT65" s="8"/>
      <c r="CU65" s="8"/>
      <c r="CV65" s="8"/>
      <c r="CW65" s="8"/>
      <c r="CX65" s="8"/>
      <c r="CY65" s="8"/>
      <c r="CZ65" s="8"/>
    </row>
    <row r="66" spans="3:104">
      <c r="C66"/>
      <c r="D66"/>
      <c r="E66"/>
      <c r="F66"/>
      <c r="G66"/>
      <c r="H66"/>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c r="CB66" s="8"/>
      <c r="CC66" s="8"/>
      <c r="CD66" s="8"/>
      <c r="CE66" s="8"/>
      <c r="CF66" s="8"/>
      <c r="CG66" s="8"/>
      <c r="CH66" s="8"/>
      <c r="CI66" s="8"/>
      <c r="CJ66" s="8"/>
      <c r="CK66" s="8"/>
      <c r="CL66" s="8"/>
      <c r="CM66" s="8"/>
      <c r="CN66" s="8"/>
      <c r="CO66" s="8"/>
      <c r="CP66" s="8"/>
      <c r="CQ66" s="8"/>
      <c r="CR66" s="8"/>
      <c r="CS66" s="8"/>
      <c r="CT66" s="8"/>
      <c r="CU66" s="8"/>
      <c r="CV66" s="8"/>
      <c r="CW66" s="8"/>
      <c r="CX66" s="8"/>
      <c r="CY66" s="8"/>
      <c r="CZ66" s="8"/>
    </row>
    <row r="67" spans="3:104">
      <c r="C67"/>
      <c r="D67"/>
      <c r="E67"/>
      <c r="F67"/>
      <c r="G67"/>
      <c r="H67"/>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c r="CB67" s="8"/>
      <c r="CC67" s="8"/>
      <c r="CD67" s="8"/>
      <c r="CE67" s="8"/>
      <c r="CF67" s="8"/>
      <c r="CG67" s="8"/>
      <c r="CH67" s="8"/>
      <c r="CI67" s="8"/>
      <c r="CJ67" s="8"/>
      <c r="CK67" s="8"/>
      <c r="CL67" s="8"/>
      <c r="CM67" s="8"/>
      <c r="CN67" s="8"/>
      <c r="CO67" s="8"/>
      <c r="CP67" s="8"/>
      <c r="CQ67" s="8"/>
      <c r="CR67" s="8"/>
      <c r="CS67" s="8"/>
      <c r="CT67" s="8"/>
      <c r="CU67" s="8"/>
      <c r="CV67" s="8"/>
      <c r="CW67" s="8"/>
      <c r="CX67" s="8"/>
      <c r="CY67" s="8"/>
      <c r="CZ67" s="8"/>
    </row>
    <row r="68" spans="3:104">
      <c r="C68"/>
      <c r="D68"/>
      <c r="E68"/>
      <c r="F68"/>
      <c r="G68"/>
      <c r="H6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c r="CB68" s="8"/>
      <c r="CC68" s="8"/>
      <c r="CD68" s="8"/>
      <c r="CE68" s="8"/>
      <c r="CF68" s="8"/>
      <c r="CG68" s="8"/>
      <c r="CH68" s="8"/>
      <c r="CI68" s="8"/>
      <c r="CJ68" s="8"/>
      <c r="CK68" s="8"/>
      <c r="CL68" s="8"/>
      <c r="CM68" s="8"/>
      <c r="CN68" s="8"/>
      <c r="CO68" s="8"/>
      <c r="CP68" s="8"/>
      <c r="CQ68" s="8"/>
      <c r="CR68" s="8"/>
      <c r="CS68" s="8"/>
      <c r="CT68" s="8"/>
      <c r="CU68" s="8"/>
      <c r="CV68" s="8"/>
      <c r="CW68" s="8"/>
      <c r="CX68" s="8"/>
      <c r="CY68" s="8"/>
      <c r="CZ68" s="8"/>
    </row>
    <row r="69" spans="3:104">
      <c r="C69"/>
      <c r="D69"/>
      <c r="E69"/>
      <c r="F69"/>
      <c r="G69"/>
      <c r="H69"/>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c r="CB69" s="8"/>
      <c r="CC69" s="8"/>
      <c r="CD69" s="8"/>
      <c r="CE69" s="8"/>
      <c r="CF69" s="8"/>
      <c r="CG69" s="8"/>
      <c r="CH69" s="8"/>
      <c r="CI69" s="8"/>
      <c r="CJ69" s="8"/>
      <c r="CK69" s="8"/>
      <c r="CL69" s="8"/>
      <c r="CM69" s="8"/>
      <c r="CN69" s="8"/>
      <c r="CO69" s="8"/>
      <c r="CP69" s="8"/>
      <c r="CQ69" s="8"/>
      <c r="CR69" s="8"/>
      <c r="CS69" s="8"/>
      <c r="CT69" s="8"/>
      <c r="CU69" s="8"/>
      <c r="CV69" s="8"/>
      <c r="CW69" s="8"/>
      <c r="CX69" s="8"/>
      <c r="CY69" s="8"/>
      <c r="CZ69" s="8"/>
    </row>
    <row r="70" spans="3:104">
      <c r="C70"/>
      <c r="D70"/>
      <c r="E70"/>
      <c r="F70"/>
      <c r="G70"/>
      <c r="H70"/>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c r="CB70" s="8"/>
      <c r="CC70" s="8"/>
      <c r="CD70" s="8"/>
      <c r="CE70" s="8"/>
      <c r="CF70" s="8"/>
      <c r="CG70" s="8"/>
      <c r="CH70" s="8"/>
      <c r="CI70" s="8"/>
      <c r="CJ70" s="8"/>
      <c r="CK70" s="8"/>
      <c r="CL70" s="8"/>
      <c r="CM70" s="8"/>
      <c r="CN70" s="8"/>
      <c r="CO70" s="8"/>
      <c r="CP70" s="8"/>
      <c r="CQ70" s="8"/>
      <c r="CR70" s="8"/>
      <c r="CS70" s="8"/>
      <c r="CT70" s="8"/>
      <c r="CU70" s="8"/>
      <c r="CV70" s="8"/>
      <c r="CW70" s="8"/>
      <c r="CX70" s="8"/>
      <c r="CY70" s="8"/>
      <c r="CZ70" s="8"/>
    </row>
    <row r="71" spans="3:104">
      <c r="C71"/>
      <c r="D71"/>
      <c r="E71"/>
      <c r="F71"/>
      <c r="G71"/>
      <c r="H71"/>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c r="CB71" s="8"/>
      <c r="CC71" s="8"/>
      <c r="CD71" s="8"/>
      <c r="CE71" s="8"/>
      <c r="CF71" s="8"/>
      <c r="CG71" s="8"/>
      <c r="CH71" s="8"/>
      <c r="CI71" s="8"/>
      <c r="CJ71" s="8"/>
      <c r="CK71" s="8"/>
      <c r="CL71" s="8"/>
      <c r="CM71" s="8"/>
      <c r="CN71" s="8"/>
      <c r="CO71" s="8"/>
      <c r="CP71" s="8"/>
      <c r="CQ71" s="8"/>
      <c r="CR71" s="8"/>
      <c r="CS71" s="8"/>
      <c r="CT71" s="8"/>
      <c r="CU71" s="8"/>
      <c r="CV71" s="8"/>
      <c r="CW71" s="8"/>
      <c r="CX71" s="8"/>
      <c r="CY71" s="8"/>
      <c r="CZ71" s="8"/>
    </row>
    <row r="72" spans="3:104">
      <c r="C72"/>
      <c r="D72"/>
      <c r="E72"/>
      <c r="F72"/>
      <c r="G72"/>
      <c r="H72"/>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c r="CB72" s="8"/>
      <c r="CC72" s="8"/>
      <c r="CD72" s="8"/>
      <c r="CE72" s="8"/>
      <c r="CF72" s="8"/>
      <c r="CG72" s="8"/>
      <c r="CH72" s="8"/>
      <c r="CI72" s="8"/>
      <c r="CJ72" s="8"/>
      <c r="CK72" s="8"/>
      <c r="CL72" s="8"/>
      <c r="CM72" s="8"/>
      <c r="CN72" s="8"/>
      <c r="CO72" s="8"/>
      <c r="CP72" s="8"/>
      <c r="CQ72" s="8"/>
      <c r="CR72" s="8"/>
      <c r="CS72" s="8"/>
      <c r="CT72" s="8"/>
      <c r="CU72" s="8"/>
      <c r="CV72" s="8"/>
      <c r="CW72" s="8"/>
      <c r="CX72" s="8"/>
      <c r="CY72" s="8"/>
      <c r="CZ72" s="8"/>
    </row>
    <row r="73" spans="3:104">
      <c r="C73"/>
      <c r="D73"/>
      <c r="E73"/>
      <c r="F73"/>
      <c r="G73"/>
      <c r="H73"/>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c r="CB73" s="8"/>
      <c r="CC73" s="8"/>
      <c r="CD73" s="8"/>
      <c r="CE73" s="8"/>
      <c r="CF73" s="8"/>
      <c r="CG73" s="8"/>
      <c r="CH73" s="8"/>
      <c r="CI73" s="8"/>
      <c r="CJ73" s="8"/>
      <c r="CK73" s="8"/>
      <c r="CL73" s="8"/>
      <c r="CM73" s="8"/>
      <c r="CN73" s="8"/>
      <c r="CO73" s="8"/>
      <c r="CP73" s="8"/>
      <c r="CQ73" s="8"/>
      <c r="CR73" s="8"/>
      <c r="CS73" s="8"/>
      <c r="CT73" s="8"/>
      <c r="CU73" s="8"/>
      <c r="CV73" s="8"/>
      <c r="CW73" s="8"/>
      <c r="CX73" s="8"/>
      <c r="CY73" s="8"/>
      <c r="CZ73" s="8"/>
    </row>
    <row r="74" spans="3:104">
      <c r="C74"/>
      <c r="D74"/>
      <c r="E74"/>
      <c r="F74"/>
      <c r="G74"/>
      <c r="H74"/>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c r="CB74" s="8"/>
      <c r="CC74" s="8"/>
      <c r="CD74" s="8"/>
      <c r="CE74" s="8"/>
      <c r="CF74" s="8"/>
      <c r="CG74" s="8"/>
      <c r="CH74" s="8"/>
      <c r="CI74" s="8"/>
      <c r="CJ74" s="8"/>
      <c r="CK74" s="8"/>
      <c r="CL74" s="8"/>
      <c r="CM74" s="8"/>
      <c r="CN74" s="8"/>
      <c r="CO74" s="8"/>
      <c r="CP74" s="8"/>
      <c r="CQ74" s="8"/>
      <c r="CR74" s="8"/>
      <c r="CS74" s="8"/>
      <c r="CT74" s="8"/>
      <c r="CU74" s="8"/>
      <c r="CV74" s="8"/>
      <c r="CW74" s="8"/>
      <c r="CX74" s="8"/>
      <c r="CY74" s="8"/>
      <c r="CZ74" s="8"/>
    </row>
    <row r="75" spans="3:104">
      <c r="C75"/>
      <c r="D75"/>
      <c r="E75"/>
      <c r="F75"/>
      <c r="G75"/>
      <c r="H75"/>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c r="CP75" s="8"/>
      <c r="CQ75" s="8"/>
      <c r="CR75" s="8"/>
      <c r="CS75" s="8"/>
      <c r="CT75" s="8"/>
      <c r="CU75" s="8"/>
      <c r="CV75" s="8"/>
      <c r="CW75" s="8"/>
      <c r="CX75" s="8"/>
      <c r="CY75" s="8"/>
      <c r="CZ75" s="8"/>
    </row>
    <row r="76" spans="3:104">
      <c r="C76"/>
      <c r="D76"/>
      <c r="E76"/>
      <c r="F76"/>
      <c r="G76"/>
      <c r="H76"/>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c r="CB76" s="8"/>
      <c r="CC76" s="8"/>
      <c r="CD76" s="8"/>
      <c r="CE76" s="8"/>
      <c r="CF76" s="8"/>
      <c r="CG76" s="8"/>
      <c r="CH76" s="8"/>
      <c r="CI76" s="8"/>
      <c r="CJ76" s="8"/>
      <c r="CK76" s="8"/>
      <c r="CL76" s="8"/>
      <c r="CM76" s="8"/>
      <c r="CN76" s="8"/>
      <c r="CO76" s="8"/>
      <c r="CP76" s="8"/>
      <c r="CQ76" s="8"/>
      <c r="CR76" s="8"/>
      <c r="CS76" s="8"/>
      <c r="CT76" s="8"/>
      <c r="CU76" s="8"/>
      <c r="CV76" s="8"/>
      <c r="CW76" s="8"/>
      <c r="CX76" s="8"/>
      <c r="CY76" s="8"/>
      <c r="CZ76" s="8"/>
    </row>
    <row r="77" spans="3:104">
      <c r="C77"/>
      <c r="D77"/>
      <c r="E77"/>
      <c r="F77"/>
      <c r="G77"/>
      <c r="H77"/>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c r="CB77" s="8"/>
      <c r="CC77" s="8"/>
      <c r="CD77" s="8"/>
      <c r="CE77" s="8"/>
      <c r="CF77" s="8"/>
      <c r="CG77" s="8"/>
      <c r="CH77" s="8"/>
      <c r="CI77" s="8"/>
      <c r="CJ77" s="8"/>
      <c r="CK77" s="8"/>
      <c r="CL77" s="8"/>
      <c r="CM77" s="8"/>
      <c r="CN77" s="8"/>
      <c r="CO77" s="8"/>
      <c r="CP77" s="8"/>
      <c r="CQ77" s="8"/>
      <c r="CR77" s="8"/>
      <c r="CS77" s="8"/>
      <c r="CT77" s="8"/>
      <c r="CU77" s="8"/>
      <c r="CV77" s="8"/>
      <c r="CW77" s="8"/>
      <c r="CX77" s="8"/>
      <c r="CY77" s="8"/>
      <c r="CZ77" s="8"/>
    </row>
    <row r="78" spans="3:104">
      <c r="C78"/>
      <c r="D78"/>
      <c r="E78"/>
      <c r="F78"/>
      <c r="G78"/>
      <c r="H7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c r="CB78" s="8"/>
      <c r="CC78" s="8"/>
      <c r="CD78" s="8"/>
      <c r="CE78" s="8"/>
      <c r="CF78" s="8"/>
      <c r="CG78" s="8"/>
      <c r="CH78" s="8"/>
      <c r="CI78" s="8"/>
      <c r="CJ78" s="8"/>
      <c r="CK78" s="8"/>
      <c r="CL78" s="8"/>
      <c r="CM78" s="8"/>
      <c r="CN78" s="8"/>
      <c r="CO78" s="8"/>
      <c r="CP78" s="8"/>
      <c r="CQ78" s="8"/>
      <c r="CR78" s="8"/>
      <c r="CS78" s="8"/>
      <c r="CT78" s="8"/>
      <c r="CU78" s="8"/>
      <c r="CV78" s="8"/>
      <c r="CW78" s="8"/>
      <c r="CX78" s="8"/>
      <c r="CY78" s="8"/>
      <c r="CZ78" s="8"/>
    </row>
    <row r="79" spans="3:104">
      <c r="C79"/>
      <c r="D79"/>
      <c r="E79"/>
      <c r="F79"/>
      <c r="G79"/>
      <c r="H79"/>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c r="CP79" s="8"/>
      <c r="CQ79" s="8"/>
      <c r="CR79" s="8"/>
      <c r="CS79" s="8"/>
      <c r="CT79" s="8"/>
      <c r="CU79" s="8"/>
      <c r="CV79" s="8"/>
      <c r="CW79" s="8"/>
      <c r="CX79" s="8"/>
      <c r="CY79" s="8"/>
      <c r="CZ79" s="8"/>
    </row>
    <row r="80" spans="3:104">
      <c r="C80"/>
      <c r="D80"/>
      <c r="E80"/>
      <c r="F80"/>
      <c r="G80"/>
      <c r="H80"/>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8"/>
      <c r="CK80" s="8"/>
      <c r="CL80" s="8"/>
      <c r="CM80" s="8"/>
      <c r="CN80" s="8"/>
      <c r="CO80" s="8"/>
      <c r="CP80" s="8"/>
      <c r="CQ80" s="8"/>
      <c r="CR80" s="8"/>
      <c r="CS80" s="8"/>
      <c r="CT80" s="8"/>
      <c r="CU80" s="8"/>
      <c r="CV80" s="8"/>
      <c r="CW80" s="8"/>
      <c r="CX80" s="8"/>
      <c r="CY80" s="8"/>
      <c r="CZ80" s="8"/>
    </row>
    <row r="81" spans="3:104">
      <c r="C81"/>
      <c r="D81"/>
      <c r="E81"/>
      <c r="F81"/>
      <c r="G81"/>
      <c r="H81"/>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c r="CP81" s="8"/>
      <c r="CQ81" s="8"/>
      <c r="CR81" s="8"/>
      <c r="CS81" s="8"/>
      <c r="CT81" s="8"/>
      <c r="CU81" s="8"/>
      <c r="CV81" s="8"/>
      <c r="CW81" s="8"/>
      <c r="CX81" s="8"/>
      <c r="CY81" s="8"/>
      <c r="CZ81" s="8"/>
    </row>
    <row r="82" spans="3:104">
      <c r="C82"/>
      <c r="D82"/>
      <c r="E82"/>
      <c r="F82"/>
      <c r="G82"/>
      <c r="H82"/>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c r="CP82" s="8"/>
      <c r="CQ82" s="8"/>
      <c r="CR82" s="8"/>
      <c r="CS82" s="8"/>
      <c r="CT82" s="8"/>
      <c r="CU82" s="8"/>
      <c r="CV82" s="8"/>
      <c r="CW82" s="8"/>
      <c r="CX82" s="8"/>
      <c r="CY82" s="8"/>
      <c r="CZ82" s="8"/>
    </row>
    <row r="83" spans="3:104">
      <c r="C83"/>
      <c r="D83"/>
      <c r="E83"/>
      <c r="F83"/>
      <c r="G83"/>
      <c r="H83"/>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c r="CP83" s="8"/>
      <c r="CQ83" s="8"/>
      <c r="CR83" s="8"/>
      <c r="CS83" s="8"/>
      <c r="CT83" s="8"/>
      <c r="CU83" s="8"/>
      <c r="CV83" s="8"/>
      <c r="CW83" s="8"/>
      <c r="CX83" s="8"/>
      <c r="CY83" s="8"/>
      <c r="CZ83" s="8"/>
    </row>
    <row r="84" spans="3:104">
      <c r="C84"/>
      <c r="D84"/>
      <c r="E84"/>
      <c r="F84"/>
      <c r="G84"/>
      <c r="H84"/>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c r="CP84" s="8"/>
      <c r="CQ84" s="8"/>
      <c r="CR84" s="8"/>
      <c r="CS84" s="8"/>
      <c r="CT84" s="8"/>
      <c r="CU84" s="8"/>
      <c r="CV84" s="8"/>
      <c r="CW84" s="8"/>
      <c r="CX84" s="8"/>
      <c r="CY84" s="8"/>
      <c r="CZ84" s="8"/>
    </row>
    <row r="85" spans="3:104">
      <c r="C85"/>
      <c r="D85"/>
      <c r="E85"/>
      <c r="F85"/>
      <c r="G85"/>
      <c r="H85"/>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c r="CP85" s="8"/>
      <c r="CQ85" s="8"/>
      <c r="CR85" s="8"/>
      <c r="CS85" s="8"/>
      <c r="CT85" s="8"/>
      <c r="CU85" s="8"/>
      <c r="CV85" s="8"/>
      <c r="CW85" s="8"/>
      <c r="CX85" s="8"/>
      <c r="CY85" s="8"/>
      <c r="CZ85" s="8"/>
    </row>
    <row r="86" spans="3:104">
      <c r="C86"/>
      <c r="D86"/>
      <c r="E86"/>
      <c r="F86"/>
      <c r="G86"/>
      <c r="H86"/>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8"/>
      <c r="CK86" s="8"/>
      <c r="CL86" s="8"/>
      <c r="CM86" s="8"/>
      <c r="CN86" s="8"/>
      <c r="CO86" s="8"/>
      <c r="CP86" s="8"/>
      <c r="CQ86" s="8"/>
      <c r="CR86" s="8"/>
      <c r="CS86" s="8"/>
      <c r="CT86" s="8"/>
      <c r="CU86" s="8"/>
      <c r="CV86" s="8"/>
      <c r="CW86" s="8"/>
      <c r="CX86" s="8"/>
      <c r="CY86" s="8"/>
      <c r="CZ86" s="8"/>
    </row>
    <row r="87" spans="3:104">
      <c r="C87"/>
      <c r="D87"/>
      <c r="E87"/>
      <c r="F87"/>
      <c r="G87"/>
      <c r="H87"/>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c r="CP87" s="8"/>
      <c r="CQ87" s="8"/>
      <c r="CR87" s="8"/>
      <c r="CS87" s="8"/>
      <c r="CT87" s="8"/>
      <c r="CU87" s="8"/>
      <c r="CV87" s="8"/>
      <c r="CW87" s="8"/>
      <c r="CX87" s="8"/>
      <c r="CY87" s="8"/>
      <c r="CZ87" s="8"/>
    </row>
    <row r="88" spans="3:104">
      <c r="C88"/>
      <c r="D88"/>
      <c r="E88"/>
      <c r="F88"/>
      <c r="G88"/>
      <c r="H8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c r="CP88" s="8"/>
      <c r="CQ88" s="8"/>
      <c r="CR88" s="8"/>
      <c r="CS88" s="8"/>
      <c r="CT88" s="8"/>
      <c r="CU88" s="8"/>
      <c r="CV88" s="8"/>
      <c r="CW88" s="8"/>
      <c r="CX88" s="8"/>
      <c r="CY88" s="8"/>
      <c r="CZ88" s="8"/>
    </row>
    <row r="89" spans="3:104">
      <c r="C89"/>
      <c r="D89"/>
      <c r="E89"/>
      <c r="F89"/>
      <c r="G89"/>
      <c r="H89"/>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c r="CP89" s="8"/>
      <c r="CQ89" s="8"/>
      <c r="CR89" s="8"/>
      <c r="CS89" s="8"/>
      <c r="CT89" s="8"/>
      <c r="CU89" s="8"/>
      <c r="CV89" s="8"/>
      <c r="CW89" s="8"/>
      <c r="CX89" s="8"/>
      <c r="CY89" s="8"/>
      <c r="CZ89" s="8"/>
    </row>
    <row r="90" spans="3:104">
      <c r="C90"/>
      <c r="D90"/>
      <c r="E90"/>
      <c r="F90"/>
      <c r="G90"/>
      <c r="H90"/>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c r="CR90" s="8"/>
      <c r="CS90" s="8"/>
      <c r="CT90" s="8"/>
      <c r="CU90" s="8"/>
      <c r="CV90" s="8"/>
      <c r="CW90" s="8"/>
      <c r="CX90" s="8"/>
      <c r="CY90" s="8"/>
      <c r="CZ90" s="8"/>
    </row>
    <row r="91" spans="3:104">
      <c r="C91"/>
      <c r="D91"/>
      <c r="E91"/>
      <c r="F91"/>
      <c r="G91"/>
      <c r="H91"/>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c r="CP91" s="8"/>
      <c r="CQ91" s="8"/>
      <c r="CR91" s="8"/>
      <c r="CS91" s="8"/>
      <c r="CT91" s="8"/>
      <c r="CU91" s="8"/>
      <c r="CV91" s="8"/>
      <c r="CW91" s="8"/>
      <c r="CX91" s="8"/>
      <c r="CY91" s="8"/>
      <c r="CZ91" s="8"/>
    </row>
    <row r="92" spans="3:104">
      <c r="C92"/>
      <c r="D92"/>
      <c r="E92"/>
      <c r="F92"/>
      <c r="G92"/>
      <c r="H92"/>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c r="CP92" s="8"/>
      <c r="CQ92" s="8"/>
      <c r="CR92" s="8"/>
      <c r="CS92" s="8"/>
      <c r="CT92" s="8"/>
      <c r="CU92" s="8"/>
      <c r="CV92" s="8"/>
      <c r="CW92" s="8"/>
      <c r="CX92" s="8"/>
      <c r="CY92" s="8"/>
      <c r="CZ92" s="8"/>
    </row>
    <row r="93" spans="3:104">
      <c r="C93"/>
      <c r="D93"/>
      <c r="E93"/>
      <c r="F93"/>
      <c r="G93"/>
      <c r="H93"/>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c r="CP93" s="8"/>
      <c r="CQ93" s="8"/>
      <c r="CR93" s="8"/>
      <c r="CS93" s="8"/>
      <c r="CT93" s="8"/>
      <c r="CU93" s="8"/>
      <c r="CV93" s="8"/>
      <c r="CW93" s="8"/>
      <c r="CX93" s="8"/>
      <c r="CY93" s="8"/>
      <c r="CZ93" s="8"/>
    </row>
    <row r="94" spans="3:104">
      <c r="C94"/>
      <c r="D94"/>
      <c r="E94"/>
      <c r="F94"/>
      <c r="G94"/>
      <c r="H94"/>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c r="CP94" s="8"/>
      <c r="CQ94" s="8"/>
      <c r="CR94" s="8"/>
      <c r="CS94" s="8"/>
      <c r="CT94" s="8"/>
      <c r="CU94" s="8"/>
      <c r="CV94" s="8"/>
      <c r="CW94" s="8"/>
      <c r="CX94" s="8"/>
      <c r="CY94" s="8"/>
      <c r="CZ94" s="8"/>
    </row>
    <row r="95" spans="3:104">
      <c r="C95"/>
      <c r="D95"/>
      <c r="E95"/>
      <c r="F95"/>
      <c r="G95"/>
      <c r="H95"/>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c r="CD95" s="8"/>
      <c r="CE95" s="8"/>
      <c r="CF95" s="8"/>
      <c r="CG95" s="8"/>
      <c r="CH95" s="8"/>
      <c r="CI95" s="8"/>
      <c r="CJ95" s="8"/>
      <c r="CK95" s="8"/>
      <c r="CL95" s="8"/>
      <c r="CM95" s="8"/>
      <c r="CN95" s="8"/>
      <c r="CO95" s="8"/>
      <c r="CP95" s="8"/>
      <c r="CQ95" s="8"/>
      <c r="CR95" s="8"/>
      <c r="CS95" s="8"/>
      <c r="CT95" s="8"/>
      <c r="CU95" s="8"/>
      <c r="CV95" s="8"/>
      <c r="CW95" s="8"/>
      <c r="CX95" s="8"/>
      <c r="CY95" s="8"/>
      <c r="CZ95" s="8"/>
    </row>
    <row r="96" spans="3:104">
      <c r="C96"/>
      <c r="D96"/>
      <c r="E96"/>
      <c r="F96"/>
      <c r="G96"/>
      <c r="H96"/>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c r="CB96" s="8"/>
      <c r="CC96" s="8"/>
      <c r="CD96" s="8"/>
      <c r="CE96" s="8"/>
      <c r="CF96" s="8"/>
      <c r="CG96" s="8"/>
      <c r="CH96" s="8"/>
      <c r="CI96" s="8"/>
      <c r="CJ96" s="8"/>
      <c r="CK96" s="8"/>
      <c r="CL96" s="8"/>
      <c r="CM96" s="8"/>
      <c r="CN96" s="8"/>
      <c r="CO96" s="8"/>
      <c r="CP96" s="8"/>
      <c r="CQ96" s="8"/>
      <c r="CR96" s="8"/>
      <c r="CS96" s="8"/>
      <c r="CT96" s="8"/>
      <c r="CU96" s="8"/>
      <c r="CV96" s="8"/>
      <c r="CW96" s="8"/>
      <c r="CX96" s="8"/>
      <c r="CY96" s="8"/>
      <c r="CZ96" s="8"/>
    </row>
    <row r="97" spans="3:104">
      <c r="C97"/>
      <c r="D97"/>
      <c r="E97"/>
      <c r="F97"/>
      <c r="G97"/>
      <c r="H97"/>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c r="CB97" s="8"/>
      <c r="CC97" s="8"/>
      <c r="CD97" s="8"/>
      <c r="CE97" s="8"/>
      <c r="CF97" s="8"/>
      <c r="CG97" s="8"/>
      <c r="CH97" s="8"/>
      <c r="CI97" s="8"/>
      <c r="CJ97" s="8"/>
      <c r="CK97" s="8"/>
      <c r="CL97" s="8"/>
      <c r="CM97" s="8"/>
      <c r="CN97" s="8"/>
      <c r="CO97" s="8"/>
      <c r="CP97" s="8"/>
      <c r="CQ97" s="8"/>
      <c r="CR97" s="8"/>
      <c r="CS97" s="8"/>
      <c r="CT97" s="8"/>
      <c r="CU97" s="8"/>
      <c r="CV97" s="8"/>
      <c r="CW97" s="8"/>
      <c r="CX97" s="8"/>
      <c r="CY97" s="8"/>
      <c r="CZ97" s="8"/>
    </row>
    <row r="98" spans="3:104">
      <c r="C98"/>
      <c r="D98"/>
      <c r="E98"/>
      <c r="F98"/>
      <c r="G98"/>
      <c r="H9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c r="CB98" s="8"/>
      <c r="CC98" s="8"/>
      <c r="CD98" s="8"/>
      <c r="CE98" s="8"/>
      <c r="CF98" s="8"/>
      <c r="CG98" s="8"/>
      <c r="CH98" s="8"/>
      <c r="CI98" s="8"/>
      <c r="CJ98" s="8"/>
      <c r="CK98" s="8"/>
      <c r="CL98" s="8"/>
      <c r="CM98" s="8"/>
      <c r="CN98" s="8"/>
      <c r="CO98" s="8"/>
      <c r="CP98" s="8"/>
      <c r="CQ98" s="8"/>
      <c r="CR98" s="8"/>
      <c r="CS98" s="8"/>
      <c r="CT98" s="8"/>
      <c r="CU98" s="8"/>
      <c r="CV98" s="8"/>
      <c r="CW98" s="8"/>
      <c r="CX98" s="8"/>
      <c r="CY98" s="8"/>
      <c r="CZ98" s="8"/>
    </row>
    <row r="99" spans="3:104">
      <c r="C99"/>
      <c r="D99"/>
      <c r="E99"/>
      <c r="F99"/>
      <c r="G99"/>
      <c r="H99"/>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c r="CB99" s="8"/>
      <c r="CC99" s="8"/>
      <c r="CD99" s="8"/>
      <c r="CE99" s="8"/>
      <c r="CF99" s="8"/>
      <c r="CG99" s="8"/>
      <c r="CH99" s="8"/>
      <c r="CI99" s="8"/>
      <c r="CJ99" s="8"/>
      <c r="CK99" s="8"/>
      <c r="CL99" s="8"/>
      <c r="CM99" s="8"/>
      <c r="CN99" s="8"/>
      <c r="CO99" s="8"/>
      <c r="CP99" s="8"/>
      <c r="CQ99" s="8"/>
      <c r="CR99" s="8"/>
      <c r="CS99" s="8"/>
      <c r="CT99" s="8"/>
      <c r="CU99" s="8"/>
      <c r="CV99" s="8"/>
      <c r="CW99" s="8"/>
      <c r="CX99" s="8"/>
      <c r="CY99" s="8"/>
      <c r="CZ99" s="8"/>
    </row>
    <row r="100" spans="3:104">
      <c r="C100"/>
      <c r="D100"/>
      <c r="E100"/>
      <c r="F100"/>
      <c r="G100"/>
      <c r="H100"/>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c r="CB100" s="8"/>
      <c r="CC100" s="8"/>
      <c r="CD100" s="8"/>
      <c r="CE100" s="8"/>
      <c r="CF100" s="8"/>
      <c r="CG100" s="8"/>
      <c r="CH100" s="8"/>
      <c r="CI100" s="8"/>
      <c r="CJ100" s="8"/>
      <c r="CK100" s="8"/>
      <c r="CL100" s="8"/>
      <c r="CM100" s="8"/>
      <c r="CN100" s="8"/>
      <c r="CO100" s="8"/>
      <c r="CP100" s="8"/>
      <c r="CQ100" s="8"/>
      <c r="CR100" s="8"/>
      <c r="CS100" s="8"/>
      <c r="CT100" s="8"/>
      <c r="CU100" s="8"/>
      <c r="CV100" s="8"/>
      <c r="CW100" s="8"/>
      <c r="CX100" s="8"/>
      <c r="CY100" s="8"/>
      <c r="CZ100" s="8"/>
    </row>
    <row r="101" spans="3:104">
      <c r="C101"/>
      <c r="D101"/>
      <c r="E101"/>
      <c r="F101"/>
      <c r="G101"/>
      <c r="H101"/>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c r="CB101" s="8"/>
      <c r="CC101" s="8"/>
      <c r="CD101" s="8"/>
      <c r="CE101" s="8"/>
      <c r="CF101" s="8"/>
      <c r="CG101" s="8"/>
      <c r="CH101" s="8"/>
      <c r="CI101" s="8"/>
      <c r="CJ101" s="8"/>
      <c r="CK101" s="8"/>
      <c r="CL101" s="8"/>
      <c r="CM101" s="8"/>
      <c r="CN101" s="8"/>
      <c r="CO101" s="8"/>
      <c r="CP101" s="8"/>
      <c r="CQ101" s="8"/>
      <c r="CR101" s="8"/>
      <c r="CS101" s="8"/>
      <c r="CT101" s="8"/>
      <c r="CU101" s="8"/>
      <c r="CV101" s="8"/>
      <c r="CW101" s="8"/>
      <c r="CX101" s="8"/>
      <c r="CY101" s="8"/>
      <c r="CZ101" s="8"/>
    </row>
    <row r="102" spans="3:104">
      <c r="C102"/>
      <c r="D102"/>
      <c r="E102"/>
      <c r="F102"/>
      <c r="G102"/>
      <c r="H102"/>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c r="CB102" s="8"/>
      <c r="CC102" s="8"/>
      <c r="CD102" s="8"/>
      <c r="CE102" s="8"/>
      <c r="CF102" s="8"/>
      <c r="CG102" s="8"/>
      <c r="CH102" s="8"/>
      <c r="CI102" s="8"/>
      <c r="CJ102" s="8"/>
      <c r="CK102" s="8"/>
      <c r="CL102" s="8"/>
      <c r="CM102" s="8"/>
      <c r="CN102" s="8"/>
      <c r="CO102" s="8"/>
      <c r="CP102" s="8"/>
      <c r="CQ102" s="8"/>
      <c r="CR102" s="8"/>
      <c r="CS102" s="8"/>
      <c r="CT102" s="8"/>
      <c r="CU102" s="8"/>
      <c r="CV102" s="8"/>
      <c r="CW102" s="8"/>
      <c r="CX102" s="8"/>
      <c r="CY102" s="8"/>
      <c r="CZ102" s="8"/>
    </row>
    <row r="103" spans="3:104">
      <c r="C103"/>
      <c r="D103"/>
      <c r="E103"/>
      <c r="F103"/>
      <c r="G103"/>
      <c r="H103"/>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c r="CP103" s="8"/>
      <c r="CQ103" s="8"/>
      <c r="CR103" s="8"/>
      <c r="CS103" s="8"/>
      <c r="CT103" s="8"/>
      <c r="CU103" s="8"/>
      <c r="CV103" s="8"/>
      <c r="CW103" s="8"/>
      <c r="CX103" s="8"/>
      <c r="CY103" s="8"/>
      <c r="CZ103" s="8"/>
    </row>
    <row r="104" spans="3:104">
      <c r="C104"/>
      <c r="D104"/>
      <c r="E104"/>
      <c r="F104"/>
      <c r="G104"/>
      <c r="H104"/>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c r="CP104" s="8"/>
      <c r="CQ104" s="8"/>
      <c r="CR104" s="8"/>
      <c r="CS104" s="8"/>
      <c r="CT104" s="8"/>
      <c r="CU104" s="8"/>
      <c r="CV104" s="8"/>
      <c r="CW104" s="8"/>
      <c r="CX104" s="8"/>
      <c r="CY104" s="8"/>
      <c r="CZ104" s="8"/>
    </row>
    <row r="105" spans="3:104">
      <c r="C105"/>
      <c r="D105"/>
      <c r="E105"/>
      <c r="F105"/>
      <c r="G105"/>
      <c r="H105"/>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c r="CB105" s="8"/>
      <c r="CC105" s="8"/>
      <c r="CD105" s="8"/>
      <c r="CE105" s="8"/>
      <c r="CF105" s="8"/>
      <c r="CG105" s="8"/>
      <c r="CH105" s="8"/>
      <c r="CI105" s="8"/>
      <c r="CJ105" s="8"/>
      <c r="CK105" s="8"/>
      <c r="CL105" s="8"/>
      <c r="CM105" s="8"/>
      <c r="CN105" s="8"/>
      <c r="CO105" s="8"/>
      <c r="CP105" s="8"/>
      <c r="CQ105" s="8"/>
      <c r="CR105" s="8"/>
      <c r="CS105" s="8"/>
      <c r="CT105" s="8"/>
      <c r="CU105" s="8"/>
      <c r="CV105" s="8"/>
      <c r="CW105" s="8"/>
      <c r="CX105" s="8"/>
      <c r="CY105" s="8"/>
      <c r="CZ105" s="8"/>
    </row>
    <row r="106" spans="3:104">
      <c r="C106"/>
      <c r="D106"/>
      <c r="E106"/>
      <c r="F106"/>
      <c r="G106"/>
      <c r="H106"/>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c r="CB106" s="8"/>
      <c r="CC106" s="8"/>
      <c r="CD106" s="8"/>
      <c r="CE106" s="8"/>
      <c r="CF106" s="8"/>
      <c r="CG106" s="8"/>
      <c r="CH106" s="8"/>
      <c r="CI106" s="8"/>
      <c r="CJ106" s="8"/>
      <c r="CK106" s="8"/>
      <c r="CL106" s="8"/>
      <c r="CM106" s="8"/>
      <c r="CN106" s="8"/>
      <c r="CO106" s="8"/>
      <c r="CP106" s="8"/>
      <c r="CQ106" s="8"/>
      <c r="CR106" s="8"/>
      <c r="CS106" s="8"/>
      <c r="CT106" s="8"/>
      <c r="CU106" s="8"/>
      <c r="CV106" s="8"/>
      <c r="CW106" s="8"/>
      <c r="CX106" s="8"/>
      <c r="CY106" s="8"/>
      <c r="CZ106" s="8"/>
    </row>
    <row r="107" spans="3:104">
      <c r="C107"/>
      <c r="D107"/>
      <c r="E107"/>
      <c r="F107"/>
      <c r="G107"/>
      <c r="H107"/>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c r="CG107" s="8"/>
      <c r="CH107" s="8"/>
      <c r="CI107" s="8"/>
      <c r="CJ107" s="8"/>
      <c r="CK107" s="8"/>
      <c r="CL107" s="8"/>
      <c r="CM107" s="8"/>
      <c r="CN107" s="8"/>
      <c r="CO107" s="8"/>
      <c r="CP107" s="8"/>
      <c r="CQ107" s="8"/>
      <c r="CR107" s="8"/>
      <c r="CS107" s="8"/>
      <c r="CT107" s="8"/>
      <c r="CU107" s="8"/>
      <c r="CV107" s="8"/>
      <c r="CW107" s="8"/>
      <c r="CX107" s="8"/>
      <c r="CY107" s="8"/>
      <c r="CZ107" s="8"/>
    </row>
    <row r="108" spans="3:104">
      <c r="C108"/>
      <c r="D108"/>
      <c r="E108"/>
      <c r="F108"/>
      <c r="G108"/>
      <c r="H10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c r="CG108" s="8"/>
      <c r="CH108" s="8"/>
      <c r="CI108" s="8"/>
      <c r="CJ108" s="8"/>
      <c r="CK108" s="8"/>
      <c r="CL108" s="8"/>
      <c r="CM108" s="8"/>
      <c r="CN108" s="8"/>
      <c r="CO108" s="8"/>
      <c r="CP108" s="8"/>
      <c r="CQ108" s="8"/>
      <c r="CR108" s="8"/>
      <c r="CS108" s="8"/>
      <c r="CT108" s="8"/>
      <c r="CU108" s="8"/>
      <c r="CV108" s="8"/>
      <c r="CW108" s="8"/>
      <c r="CX108" s="8"/>
      <c r="CY108" s="8"/>
      <c r="CZ108" s="8"/>
    </row>
    <row r="109" spans="3:104">
      <c r="C109"/>
      <c r="D109"/>
      <c r="E109"/>
      <c r="F109"/>
      <c r="G109"/>
      <c r="H109"/>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c r="CB109" s="8"/>
      <c r="CC109" s="8"/>
      <c r="CD109" s="8"/>
      <c r="CE109" s="8"/>
      <c r="CF109" s="8"/>
      <c r="CG109" s="8"/>
      <c r="CH109" s="8"/>
      <c r="CI109" s="8"/>
      <c r="CJ109" s="8"/>
      <c r="CK109" s="8"/>
      <c r="CL109" s="8"/>
      <c r="CM109" s="8"/>
      <c r="CN109" s="8"/>
      <c r="CO109" s="8"/>
      <c r="CP109" s="8"/>
      <c r="CQ109" s="8"/>
      <c r="CR109" s="8"/>
      <c r="CS109" s="8"/>
      <c r="CT109" s="8"/>
      <c r="CU109" s="8"/>
      <c r="CV109" s="8"/>
      <c r="CW109" s="8"/>
      <c r="CX109" s="8"/>
      <c r="CY109" s="8"/>
      <c r="CZ109" s="8"/>
    </row>
    <row r="110" spans="3:104">
      <c r="C110"/>
      <c r="D110"/>
      <c r="E110"/>
      <c r="F110"/>
      <c r="G110"/>
      <c r="H110"/>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c r="CB110" s="8"/>
      <c r="CC110" s="8"/>
      <c r="CD110" s="8"/>
      <c r="CE110" s="8"/>
      <c r="CF110" s="8"/>
      <c r="CG110" s="8"/>
      <c r="CH110" s="8"/>
      <c r="CI110" s="8"/>
      <c r="CJ110" s="8"/>
      <c r="CK110" s="8"/>
      <c r="CL110" s="8"/>
      <c r="CM110" s="8"/>
      <c r="CN110" s="8"/>
      <c r="CO110" s="8"/>
      <c r="CP110" s="8"/>
      <c r="CQ110" s="8"/>
      <c r="CR110" s="8"/>
      <c r="CS110" s="8"/>
      <c r="CT110" s="8"/>
      <c r="CU110" s="8"/>
      <c r="CV110" s="8"/>
      <c r="CW110" s="8"/>
      <c r="CX110" s="8"/>
      <c r="CY110" s="8"/>
      <c r="CZ110" s="8"/>
    </row>
    <row r="111" spans="3:104">
      <c r="C111"/>
      <c r="D111"/>
      <c r="E111"/>
      <c r="F111"/>
      <c r="G111"/>
      <c r="H111"/>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c r="CB111" s="8"/>
      <c r="CC111" s="8"/>
      <c r="CD111" s="8"/>
      <c r="CE111" s="8"/>
      <c r="CF111" s="8"/>
      <c r="CG111" s="8"/>
      <c r="CH111" s="8"/>
      <c r="CI111" s="8"/>
      <c r="CJ111" s="8"/>
      <c r="CK111" s="8"/>
      <c r="CL111" s="8"/>
      <c r="CM111" s="8"/>
      <c r="CN111" s="8"/>
      <c r="CO111" s="8"/>
      <c r="CP111" s="8"/>
      <c r="CQ111" s="8"/>
      <c r="CR111" s="8"/>
      <c r="CS111" s="8"/>
      <c r="CT111" s="8"/>
      <c r="CU111" s="8"/>
      <c r="CV111" s="8"/>
      <c r="CW111" s="8"/>
      <c r="CX111" s="8"/>
      <c r="CY111" s="8"/>
      <c r="CZ111" s="8"/>
    </row>
    <row r="112" spans="3:104">
      <c r="C112"/>
      <c r="D112"/>
      <c r="E112"/>
      <c r="F112"/>
      <c r="G112"/>
      <c r="H112"/>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c r="CB112" s="8"/>
      <c r="CC112" s="8"/>
      <c r="CD112" s="8"/>
      <c r="CE112" s="8"/>
      <c r="CF112" s="8"/>
      <c r="CG112" s="8"/>
      <c r="CH112" s="8"/>
      <c r="CI112" s="8"/>
      <c r="CJ112" s="8"/>
      <c r="CK112" s="8"/>
      <c r="CL112" s="8"/>
      <c r="CM112" s="8"/>
      <c r="CN112" s="8"/>
      <c r="CO112" s="8"/>
      <c r="CP112" s="8"/>
      <c r="CQ112" s="8"/>
      <c r="CR112" s="8"/>
      <c r="CS112" s="8"/>
      <c r="CT112" s="8"/>
      <c r="CU112" s="8"/>
      <c r="CV112" s="8"/>
      <c r="CW112" s="8"/>
      <c r="CX112" s="8"/>
      <c r="CY112" s="8"/>
      <c r="CZ112" s="8"/>
    </row>
    <row r="113" spans="3:104">
      <c r="C113"/>
      <c r="D113"/>
      <c r="E113"/>
      <c r="F113"/>
      <c r="G113"/>
      <c r="H113"/>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c r="CB113" s="8"/>
      <c r="CC113" s="8"/>
      <c r="CD113" s="8"/>
      <c r="CE113" s="8"/>
      <c r="CF113" s="8"/>
      <c r="CG113" s="8"/>
      <c r="CH113" s="8"/>
      <c r="CI113" s="8"/>
      <c r="CJ113" s="8"/>
      <c r="CK113" s="8"/>
      <c r="CL113" s="8"/>
      <c r="CM113" s="8"/>
      <c r="CN113" s="8"/>
      <c r="CO113" s="8"/>
      <c r="CP113" s="8"/>
      <c r="CQ113" s="8"/>
      <c r="CR113" s="8"/>
      <c r="CS113" s="8"/>
      <c r="CT113" s="8"/>
      <c r="CU113" s="8"/>
      <c r="CV113" s="8"/>
      <c r="CW113" s="8"/>
      <c r="CX113" s="8"/>
      <c r="CY113" s="8"/>
      <c r="CZ113" s="8"/>
    </row>
    <row r="114" spans="3:104">
      <c r="C114"/>
      <c r="D114"/>
      <c r="E114"/>
      <c r="F114"/>
      <c r="G114"/>
      <c r="H114"/>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c r="CB114" s="8"/>
      <c r="CC114" s="8"/>
      <c r="CD114" s="8"/>
      <c r="CE114" s="8"/>
      <c r="CF114" s="8"/>
      <c r="CG114" s="8"/>
      <c r="CH114" s="8"/>
      <c r="CI114" s="8"/>
      <c r="CJ114" s="8"/>
      <c r="CK114" s="8"/>
      <c r="CL114" s="8"/>
      <c r="CM114" s="8"/>
      <c r="CN114" s="8"/>
      <c r="CO114" s="8"/>
      <c r="CP114" s="8"/>
      <c r="CQ114" s="8"/>
      <c r="CR114" s="8"/>
      <c r="CS114" s="8"/>
      <c r="CT114" s="8"/>
      <c r="CU114" s="8"/>
      <c r="CV114" s="8"/>
      <c r="CW114" s="8"/>
      <c r="CX114" s="8"/>
      <c r="CY114" s="8"/>
      <c r="CZ114" s="8"/>
    </row>
    <row r="115" spans="3:104">
      <c r="C115"/>
      <c r="D115"/>
      <c r="E115"/>
      <c r="F115"/>
      <c r="G115"/>
      <c r="H115"/>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c r="CG115" s="8"/>
      <c r="CH115" s="8"/>
      <c r="CI115" s="8"/>
      <c r="CJ115" s="8"/>
      <c r="CK115" s="8"/>
      <c r="CL115" s="8"/>
      <c r="CM115" s="8"/>
      <c r="CN115" s="8"/>
      <c r="CO115" s="8"/>
      <c r="CP115" s="8"/>
      <c r="CQ115" s="8"/>
      <c r="CR115" s="8"/>
      <c r="CS115" s="8"/>
      <c r="CT115" s="8"/>
      <c r="CU115" s="8"/>
      <c r="CV115" s="8"/>
      <c r="CW115" s="8"/>
      <c r="CX115" s="8"/>
      <c r="CY115" s="8"/>
      <c r="CZ115" s="8"/>
    </row>
    <row r="116" spans="3:104">
      <c r="C116"/>
      <c r="D116"/>
      <c r="E116"/>
      <c r="F116"/>
      <c r="G116"/>
      <c r="H116"/>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c r="CB116" s="8"/>
      <c r="CC116" s="8"/>
      <c r="CD116" s="8"/>
      <c r="CE116" s="8"/>
      <c r="CF116" s="8"/>
      <c r="CG116" s="8"/>
      <c r="CH116" s="8"/>
      <c r="CI116" s="8"/>
      <c r="CJ116" s="8"/>
      <c r="CK116" s="8"/>
      <c r="CL116" s="8"/>
      <c r="CM116" s="8"/>
      <c r="CN116" s="8"/>
      <c r="CO116" s="8"/>
      <c r="CP116" s="8"/>
      <c r="CQ116" s="8"/>
      <c r="CR116" s="8"/>
      <c r="CS116" s="8"/>
      <c r="CT116" s="8"/>
      <c r="CU116" s="8"/>
      <c r="CV116" s="8"/>
      <c r="CW116" s="8"/>
      <c r="CX116" s="8"/>
      <c r="CY116" s="8"/>
      <c r="CZ116" s="8"/>
    </row>
    <row r="117" spans="3:104">
      <c r="C117"/>
      <c r="D117"/>
      <c r="E117"/>
      <c r="F117"/>
      <c r="G117"/>
      <c r="H117"/>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c r="BZ117" s="8"/>
      <c r="CA117" s="8"/>
      <c r="CB117" s="8"/>
      <c r="CC117" s="8"/>
      <c r="CD117" s="8"/>
      <c r="CE117" s="8"/>
      <c r="CF117" s="8"/>
      <c r="CG117" s="8"/>
      <c r="CH117" s="8"/>
      <c r="CI117" s="8"/>
      <c r="CJ117" s="8"/>
      <c r="CK117" s="8"/>
      <c r="CL117" s="8"/>
      <c r="CM117" s="8"/>
      <c r="CN117" s="8"/>
      <c r="CO117" s="8"/>
      <c r="CP117" s="8"/>
      <c r="CQ117" s="8"/>
      <c r="CR117" s="8"/>
      <c r="CS117" s="8"/>
      <c r="CT117" s="8"/>
      <c r="CU117" s="8"/>
      <c r="CV117" s="8"/>
      <c r="CW117" s="8"/>
      <c r="CX117" s="8"/>
      <c r="CY117" s="8"/>
      <c r="CZ117" s="8"/>
    </row>
    <row r="118" spans="3:104">
      <c r="C118"/>
      <c r="D118"/>
      <c r="E118"/>
      <c r="F118"/>
      <c r="G118"/>
      <c r="H11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c r="CA118" s="8"/>
      <c r="CB118" s="8"/>
      <c r="CC118" s="8"/>
      <c r="CD118" s="8"/>
      <c r="CE118" s="8"/>
      <c r="CF118" s="8"/>
      <c r="CG118" s="8"/>
      <c r="CH118" s="8"/>
      <c r="CI118" s="8"/>
      <c r="CJ118" s="8"/>
      <c r="CK118" s="8"/>
      <c r="CL118" s="8"/>
      <c r="CM118" s="8"/>
      <c r="CN118" s="8"/>
      <c r="CO118" s="8"/>
      <c r="CP118" s="8"/>
      <c r="CQ118" s="8"/>
      <c r="CR118" s="8"/>
      <c r="CS118" s="8"/>
      <c r="CT118" s="8"/>
      <c r="CU118" s="8"/>
      <c r="CV118" s="8"/>
      <c r="CW118" s="8"/>
      <c r="CX118" s="8"/>
      <c r="CY118" s="8"/>
      <c r="CZ118" s="8"/>
    </row>
    <row r="119" spans="3:104">
      <c r="C119"/>
      <c r="D119"/>
      <c r="E119"/>
      <c r="F119"/>
      <c r="G119"/>
      <c r="H119"/>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c r="CA119" s="8"/>
      <c r="CB119" s="8"/>
      <c r="CC119" s="8"/>
      <c r="CD119" s="8"/>
      <c r="CE119" s="8"/>
      <c r="CF119" s="8"/>
      <c r="CG119" s="8"/>
      <c r="CH119" s="8"/>
      <c r="CI119" s="8"/>
      <c r="CJ119" s="8"/>
      <c r="CK119" s="8"/>
      <c r="CL119" s="8"/>
      <c r="CM119" s="8"/>
      <c r="CN119" s="8"/>
      <c r="CO119" s="8"/>
      <c r="CP119" s="8"/>
      <c r="CQ119" s="8"/>
      <c r="CR119" s="8"/>
      <c r="CS119" s="8"/>
      <c r="CT119" s="8"/>
      <c r="CU119" s="8"/>
      <c r="CV119" s="8"/>
      <c r="CW119" s="8"/>
      <c r="CX119" s="8"/>
      <c r="CY119" s="8"/>
      <c r="CZ119" s="8"/>
    </row>
    <row r="120" spans="3:104">
      <c r="C120"/>
      <c r="D120"/>
      <c r="E120"/>
      <c r="F120"/>
      <c r="G120"/>
      <c r="H120"/>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c r="CB120" s="8"/>
      <c r="CC120" s="8"/>
      <c r="CD120" s="8"/>
      <c r="CE120" s="8"/>
      <c r="CF120" s="8"/>
      <c r="CG120" s="8"/>
      <c r="CH120" s="8"/>
      <c r="CI120" s="8"/>
      <c r="CJ120" s="8"/>
      <c r="CK120" s="8"/>
      <c r="CL120" s="8"/>
      <c r="CM120" s="8"/>
      <c r="CN120" s="8"/>
      <c r="CO120" s="8"/>
      <c r="CP120" s="8"/>
      <c r="CQ120" s="8"/>
      <c r="CR120" s="8"/>
      <c r="CS120" s="8"/>
      <c r="CT120" s="8"/>
      <c r="CU120" s="8"/>
      <c r="CV120" s="8"/>
      <c r="CW120" s="8"/>
      <c r="CX120" s="8"/>
      <c r="CY120" s="8"/>
      <c r="CZ120" s="8"/>
    </row>
    <row r="121" spans="3:104">
      <c r="C121"/>
      <c r="D121"/>
      <c r="E121"/>
      <c r="F121"/>
      <c r="G121"/>
      <c r="H121"/>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c r="CB121" s="8"/>
      <c r="CC121" s="8"/>
      <c r="CD121" s="8"/>
      <c r="CE121" s="8"/>
      <c r="CF121" s="8"/>
      <c r="CG121" s="8"/>
      <c r="CH121" s="8"/>
      <c r="CI121" s="8"/>
      <c r="CJ121" s="8"/>
      <c r="CK121" s="8"/>
      <c r="CL121" s="8"/>
      <c r="CM121" s="8"/>
      <c r="CN121" s="8"/>
      <c r="CO121" s="8"/>
      <c r="CP121" s="8"/>
      <c r="CQ121" s="8"/>
      <c r="CR121" s="8"/>
      <c r="CS121" s="8"/>
      <c r="CT121" s="8"/>
      <c r="CU121" s="8"/>
      <c r="CV121" s="8"/>
      <c r="CW121" s="8"/>
      <c r="CX121" s="8"/>
      <c r="CY121" s="8"/>
      <c r="CZ121" s="8"/>
    </row>
    <row r="122" spans="3:104">
      <c r="C122"/>
      <c r="D122"/>
      <c r="E122"/>
      <c r="F122"/>
      <c r="G122"/>
      <c r="H122"/>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c r="CA122" s="8"/>
      <c r="CB122" s="8"/>
      <c r="CC122" s="8"/>
      <c r="CD122" s="8"/>
      <c r="CE122" s="8"/>
      <c r="CF122" s="8"/>
      <c r="CG122" s="8"/>
      <c r="CH122" s="8"/>
      <c r="CI122" s="8"/>
      <c r="CJ122" s="8"/>
      <c r="CK122" s="8"/>
      <c r="CL122" s="8"/>
      <c r="CM122" s="8"/>
      <c r="CN122" s="8"/>
      <c r="CO122" s="8"/>
      <c r="CP122" s="8"/>
      <c r="CQ122" s="8"/>
      <c r="CR122" s="8"/>
      <c r="CS122" s="8"/>
      <c r="CT122" s="8"/>
      <c r="CU122" s="8"/>
      <c r="CV122" s="8"/>
      <c r="CW122" s="8"/>
      <c r="CX122" s="8"/>
      <c r="CY122" s="8"/>
      <c r="CZ122" s="8"/>
    </row>
    <row r="123" spans="3:104">
      <c r="C123"/>
      <c r="D123"/>
      <c r="E123"/>
      <c r="F123"/>
      <c r="G123"/>
      <c r="H123"/>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c r="CB123" s="8"/>
      <c r="CC123" s="8"/>
      <c r="CD123" s="8"/>
      <c r="CE123" s="8"/>
      <c r="CF123" s="8"/>
      <c r="CG123" s="8"/>
      <c r="CH123" s="8"/>
      <c r="CI123" s="8"/>
      <c r="CJ123" s="8"/>
      <c r="CK123" s="8"/>
      <c r="CL123" s="8"/>
      <c r="CM123" s="8"/>
      <c r="CN123" s="8"/>
      <c r="CO123" s="8"/>
      <c r="CP123" s="8"/>
      <c r="CQ123" s="8"/>
      <c r="CR123" s="8"/>
      <c r="CS123" s="8"/>
      <c r="CT123" s="8"/>
      <c r="CU123" s="8"/>
      <c r="CV123" s="8"/>
      <c r="CW123" s="8"/>
      <c r="CX123" s="8"/>
      <c r="CY123" s="8"/>
      <c r="CZ123" s="8"/>
    </row>
    <row r="124" spans="3:104">
      <c r="C124"/>
      <c r="D124"/>
      <c r="E124"/>
      <c r="F124"/>
      <c r="G124"/>
      <c r="H124"/>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c r="BZ124" s="8"/>
      <c r="CA124" s="8"/>
      <c r="CB124" s="8"/>
      <c r="CC124" s="8"/>
      <c r="CD124" s="8"/>
      <c r="CE124" s="8"/>
      <c r="CF124" s="8"/>
      <c r="CG124" s="8"/>
      <c r="CH124" s="8"/>
      <c r="CI124" s="8"/>
      <c r="CJ124" s="8"/>
      <c r="CK124" s="8"/>
      <c r="CL124" s="8"/>
      <c r="CM124" s="8"/>
      <c r="CN124" s="8"/>
      <c r="CO124" s="8"/>
      <c r="CP124" s="8"/>
      <c r="CQ124" s="8"/>
      <c r="CR124" s="8"/>
      <c r="CS124" s="8"/>
      <c r="CT124" s="8"/>
      <c r="CU124" s="8"/>
      <c r="CV124" s="8"/>
      <c r="CW124" s="8"/>
      <c r="CX124" s="8"/>
      <c r="CY124" s="8"/>
      <c r="CZ124" s="8"/>
    </row>
    <row r="125" spans="3:104">
      <c r="C125"/>
      <c r="D125"/>
      <c r="E125"/>
      <c r="F125"/>
      <c r="G125"/>
      <c r="H125"/>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c r="CG125" s="8"/>
      <c r="CH125" s="8"/>
      <c r="CI125" s="8"/>
      <c r="CJ125" s="8"/>
      <c r="CK125" s="8"/>
      <c r="CL125" s="8"/>
      <c r="CM125" s="8"/>
      <c r="CN125" s="8"/>
      <c r="CO125" s="8"/>
      <c r="CP125" s="8"/>
      <c r="CQ125" s="8"/>
      <c r="CR125" s="8"/>
      <c r="CS125" s="8"/>
      <c r="CT125" s="8"/>
      <c r="CU125" s="8"/>
      <c r="CV125" s="8"/>
      <c r="CW125" s="8"/>
      <c r="CX125" s="8"/>
      <c r="CY125" s="8"/>
      <c r="CZ125" s="8"/>
    </row>
    <row r="126" spans="3:104">
      <c r="C126"/>
      <c r="D126"/>
      <c r="E126"/>
      <c r="F126"/>
      <c r="G126"/>
      <c r="H126"/>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c r="BX126" s="8"/>
      <c r="BY126" s="8"/>
      <c r="BZ126" s="8"/>
      <c r="CA126" s="8"/>
      <c r="CB126" s="8"/>
      <c r="CC126" s="8"/>
      <c r="CD126" s="8"/>
      <c r="CE126" s="8"/>
      <c r="CF126" s="8"/>
      <c r="CG126" s="8"/>
      <c r="CH126" s="8"/>
      <c r="CI126" s="8"/>
      <c r="CJ126" s="8"/>
      <c r="CK126" s="8"/>
      <c r="CL126" s="8"/>
      <c r="CM126" s="8"/>
      <c r="CN126" s="8"/>
      <c r="CO126" s="8"/>
      <c r="CP126" s="8"/>
      <c r="CQ126" s="8"/>
      <c r="CR126" s="8"/>
      <c r="CS126" s="8"/>
      <c r="CT126" s="8"/>
      <c r="CU126" s="8"/>
      <c r="CV126" s="8"/>
      <c r="CW126" s="8"/>
      <c r="CX126" s="8"/>
      <c r="CY126" s="8"/>
      <c r="CZ126" s="8"/>
    </row>
    <row r="127" spans="3:104">
      <c r="C127"/>
      <c r="D127"/>
      <c r="E127"/>
      <c r="F127"/>
      <c r="G127"/>
      <c r="H127"/>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c r="BX127" s="8"/>
      <c r="BY127" s="8"/>
      <c r="BZ127" s="8"/>
      <c r="CA127" s="8"/>
      <c r="CB127" s="8"/>
      <c r="CC127" s="8"/>
      <c r="CD127" s="8"/>
      <c r="CE127" s="8"/>
      <c r="CF127" s="8"/>
      <c r="CG127" s="8"/>
      <c r="CH127" s="8"/>
      <c r="CI127" s="8"/>
      <c r="CJ127" s="8"/>
      <c r="CK127" s="8"/>
      <c r="CL127" s="8"/>
      <c r="CM127" s="8"/>
      <c r="CN127" s="8"/>
      <c r="CO127" s="8"/>
      <c r="CP127" s="8"/>
      <c r="CQ127" s="8"/>
      <c r="CR127" s="8"/>
      <c r="CS127" s="8"/>
      <c r="CT127" s="8"/>
      <c r="CU127" s="8"/>
      <c r="CV127" s="8"/>
      <c r="CW127" s="8"/>
      <c r="CX127" s="8"/>
      <c r="CY127" s="8"/>
      <c r="CZ127" s="8"/>
    </row>
    <row r="128" spans="3:104">
      <c r="C128"/>
      <c r="D128"/>
      <c r="E128"/>
      <c r="F128"/>
      <c r="G128"/>
      <c r="H12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c r="BQ128" s="8"/>
      <c r="BR128" s="8"/>
      <c r="BS128" s="8"/>
      <c r="BT128" s="8"/>
      <c r="BU128" s="8"/>
      <c r="BV128" s="8"/>
      <c r="BW128" s="8"/>
      <c r="BX128" s="8"/>
      <c r="BY128" s="8"/>
      <c r="BZ128" s="8"/>
      <c r="CA128" s="8"/>
      <c r="CB128" s="8"/>
      <c r="CC128" s="8"/>
      <c r="CD128" s="8"/>
      <c r="CE128" s="8"/>
      <c r="CF128" s="8"/>
      <c r="CG128" s="8"/>
      <c r="CH128" s="8"/>
      <c r="CI128" s="8"/>
      <c r="CJ128" s="8"/>
      <c r="CK128" s="8"/>
      <c r="CL128" s="8"/>
      <c r="CM128" s="8"/>
      <c r="CN128" s="8"/>
      <c r="CO128" s="8"/>
      <c r="CP128" s="8"/>
      <c r="CQ128" s="8"/>
      <c r="CR128" s="8"/>
      <c r="CS128" s="8"/>
      <c r="CT128" s="8"/>
      <c r="CU128" s="8"/>
      <c r="CV128" s="8"/>
      <c r="CW128" s="8"/>
      <c r="CX128" s="8"/>
      <c r="CY128" s="8"/>
      <c r="CZ128" s="8"/>
    </row>
    <row r="129" spans="3:104">
      <c r="C129"/>
      <c r="D129"/>
      <c r="E129"/>
      <c r="F129"/>
      <c r="G129"/>
      <c r="H129"/>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c r="BQ129" s="8"/>
      <c r="BR129" s="8"/>
      <c r="BS129" s="8"/>
      <c r="BT129" s="8"/>
      <c r="BU129" s="8"/>
      <c r="BV129" s="8"/>
      <c r="BW129" s="8"/>
      <c r="BX129" s="8"/>
      <c r="BY129" s="8"/>
      <c r="BZ129" s="8"/>
      <c r="CA129" s="8"/>
      <c r="CB129" s="8"/>
      <c r="CC129" s="8"/>
      <c r="CD129" s="8"/>
      <c r="CE129" s="8"/>
      <c r="CF129" s="8"/>
      <c r="CG129" s="8"/>
      <c r="CH129" s="8"/>
      <c r="CI129" s="8"/>
      <c r="CJ129" s="8"/>
      <c r="CK129" s="8"/>
      <c r="CL129" s="8"/>
      <c r="CM129" s="8"/>
      <c r="CN129" s="8"/>
      <c r="CO129" s="8"/>
      <c r="CP129" s="8"/>
      <c r="CQ129" s="8"/>
      <c r="CR129" s="8"/>
      <c r="CS129" s="8"/>
      <c r="CT129" s="8"/>
      <c r="CU129" s="8"/>
      <c r="CV129" s="8"/>
      <c r="CW129" s="8"/>
      <c r="CX129" s="8"/>
      <c r="CY129" s="8"/>
      <c r="CZ129" s="8"/>
    </row>
    <row r="130" spans="3:104">
      <c r="C130"/>
      <c r="D130"/>
      <c r="E130"/>
      <c r="F130"/>
      <c r="G130"/>
      <c r="H130"/>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c r="BQ130" s="8"/>
      <c r="BR130" s="8"/>
      <c r="BS130" s="8"/>
      <c r="BT130" s="8"/>
      <c r="BU130" s="8"/>
      <c r="BV130" s="8"/>
      <c r="BW130" s="8"/>
      <c r="BX130" s="8"/>
      <c r="BY130" s="8"/>
      <c r="BZ130" s="8"/>
      <c r="CA130" s="8"/>
      <c r="CB130" s="8"/>
      <c r="CC130" s="8"/>
      <c r="CD130" s="8"/>
      <c r="CE130" s="8"/>
      <c r="CF130" s="8"/>
      <c r="CG130" s="8"/>
      <c r="CH130" s="8"/>
      <c r="CI130" s="8"/>
      <c r="CJ130" s="8"/>
      <c r="CK130" s="8"/>
      <c r="CL130" s="8"/>
      <c r="CM130" s="8"/>
      <c r="CN130" s="8"/>
      <c r="CO130" s="8"/>
      <c r="CP130" s="8"/>
      <c r="CQ130" s="8"/>
      <c r="CR130" s="8"/>
      <c r="CS130" s="8"/>
      <c r="CT130" s="8"/>
      <c r="CU130" s="8"/>
      <c r="CV130" s="8"/>
      <c r="CW130" s="8"/>
      <c r="CX130" s="8"/>
      <c r="CY130" s="8"/>
      <c r="CZ130" s="8"/>
    </row>
    <row r="131" spans="3:104">
      <c r="C131"/>
      <c r="D131"/>
      <c r="E131"/>
      <c r="F131"/>
      <c r="G131"/>
      <c r="H131"/>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c r="BQ131" s="8"/>
      <c r="BR131" s="8"/>
      <c r="BS131" s="8"/>
      <c r="BT131" s="8"/>
      <c r="BU131" s="8"/>
      <c r="BV131" s="8"/>
      <c r="BW131" s="8"/>
      <c r="BX131" s="8"/>
      <c r="BY131" s="8"/>
      <c r="BZ131" s="8"/>
      <c r="CA131" s="8"/>
      <c r="CB131" s="8"/>
      <c r="CC131" s="8"/>
      <c r="CD131" s="8"/>
      <c r="CE131" s="8"/>
      <c r="CF131" s="8"/>
      <c r="CG131" s="8"/>
      <c r="CH131" s="8"/>
      <c r="CI131" s="8"/>
      <c r="CJ131" s="8"/>
      <c r="CK131" s="8"/>
      <c r="CL131" s="8"/>
      <c r="CM131" s="8"/>
      <c r="CN131" s="8"/>
      <c r="CO131" s="8"/>
      <c r="CP131" s="8"/>
      <c r="CQ131" s="8"/>
      <c r="CR131" s="8"/>
      <c r="CS131" s="8"/>
      <c r="CT131" s="8"/>
      <c r="CU131" s="8"/>
      <c r="CV131" s="8"/>
      <c r="CW131" s="8"/>
      <c r="CX131" s="8"/>
      <c r="CY131" s="8"/>
      <c r="CZ131" s="8"/>
    </row>
    <row r="132" spans="3:104">
      <c r="C132"/>
      <c r="D132"/>
      <c r="E132"/>
      <c r="F132"/>
      <c r="G132"/>
      <c r="H132"/>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c r="BQ132" s="8"/>
      <c r="BR132" s="8"/>
      <c r="BS132" s="8"/>
      <c r="BT132" s="8"/>
      <c r="BU132" s="8"/>
      <c r="BV132" s="8"/>
      <c r="BW132" s="8"/>
      <c r="BX132" s="8"/>
      <c r="BY132" s="8"/>
      <c r="BZ132" s="8"/>
      <c r="CA132" s="8"/>
      <c r="CB132" s="8"/>
      <c r="CC132" s="8"/>
      <c r="CD132" s="8"/>
      <c r="CE132" s="8"/>
      <c r="CF132" s="8"/>
      <c r="CG132" s="8"/>
      <c r="CH132" s="8"/>
      <c r="CI132" s="8"/>
      <c r="CJ132" s="8"/>
      <c r="CK132" s="8"/>
      <c r="CL132" s="8"/>
      <c r="CM132" s="8"/>
      <c r="CN132" s="8"/>
      <c r="CO132" s="8"/>
      <c r="CP132" s="8"/>
      <c r="CQ132" s="8"/>
      <c r="CR132" s="8"/>
      <c r="CS132" s="8"/>
      <c r="CT132" s="8"/>
      <c r="CU132" s="8"/>
      <c r="CV132" s="8"/>
      <c r="CW132" s="8"/>
      <c r="CX132" s="8"/>
      <c r="CY132" s="8"/>
      <c r="CZ132" s="8"/>
    </row>
    <row r="133" spans="3:104">
      <c r="C133"/>
      <c r="D133"/>
      <c r="E133"/>
      <c r="F133"/>
      <c r="G133"/>
      <c r="H133"/>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c r="BQ133" s="8"/>
      <c r="BR133" s="8"/>
      <c r="BS133" s="8"/>
      <c r="BT133" s="8"/>
      <c r="BU133" s="8"/>
      <c r="BV133" s="8"/>
      <c r="BW133" s="8"/>
      <c r="BX133" s="8"/>
      <c r="BY133" s="8"/>
      <c r="BZ133" s="8"/>
      <c r="CA133" s="8"/>
      <c r="CB133" s="8"/>
      <c r="CC133" s="8"/>
      <c r="CD133" s="8"/>
      <c r="CE133" s="8"/>
      <c r="CF133" s="8"/>
      <c r="CG133" s="8"/>
      <c r="CH133" s="8"/>
      <c r="CI133" s="8"/>
      <c r="CJ133" s="8"/>
      <c r="CK133" s="8"/>
      <c r="CL133" s="8"/>
      <c r="CM133" s="8"/>
      <c r="CN133" s="8"/>
      <c r="CO133" s="8"/>
      <c r="CP133" s="8"/>
      <c r="CQ133" s="8"/>
      <c r="CR133" s="8"/>
      <c r="CS133" s="8"/>
      <c r="CT133" s="8"/>
      <c r="CU133" s="8"/>
      <c r="CV133" s="8"/>
      <c r="CW133" s="8"/>
      <c r="CX133" s="8"/>
      <c r="CY133" s="8"/>
      <c r="CZ133" s="8"/>
    </row>
    <row r="134" spans="3:104">
      <c r="C134"/>
      <c r="D134"/>
      <c r="E134"/>
      <c r="F134"/>
      <c r="G134"/>
      <c r="H134"/>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c r="BQ134" s="8"/>
      <c r="BR134" s="8"/>
      <c r="BS134" s="8"/>
      <c r="BT134" s="8"/>
      <c r="BU134" s="8"/>
      <c r="BV134" s="8"/>
      <c r="BW134" s="8"/>
      <c r="BX134" s="8"/>
      <c r="BY134" s="8"/>
      <c r="BZ134" s="8"/>
      <c r="CA134" s="8"/>
      <c r="CB134" s="8"/>
      <c r="CC134" s="8"/>
      <c r="CD134" s="8"/>
      <c r="CE134" s="8"/>
      <c r="CF134" s="8"/>
      <c r="CG134" s="8"/>
      <c r="CH134" s="8"/>
      <c r="CI134" s="8"/>
      <c r="CJ134" s="8"/>
      <c r="CK134" s="8"/>
      <c r="CL134" s="8"/>
      <c r="CM134" s="8"/>
      <c r="CN134" s="8"/>
      <c r="CO134" s="8"/>
      <c r="CP134" s="8"/>
      <c r="CQ134" s="8"/>
      <c r="CR134" s="8"/>
      <c r="CS134" s="8"/>
      <c r="CT134" s="8"/>
      <c r="CU134" s="8"/>
      <c r="CV134" s="8"/>
      <c r="CW134" s="8"/>
      <c r="CX134" s="8"/>
      <c r="CY134" s="8"/>
      <c r="CZ134" s="8"/>
    </row>
  </sheetData>
  <mergeCells count="4">
    <mergeCell ref="C6:H6"/>
    <mergeCell ref="J6:O6"/>
    <mergeCell ref="J7:O7"/>
    <mergeCell ref="C7:H7"/>
  </mergeCell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20">
    <tabColor theme="4"/>
  </sheetPr>
  <dimension ref="B3:H55"/>
  <sheetViews>
    <sheetView topLeftCell="A37" workbookViewId="0">
      <selection activeCell="K36" sqref="K36"/>
    </sheetView>
  </sheetViews>
  <sheetFormatPr baseColWidth="10" defaultColWidth="8.83203125" defaultRowHeight="15"/>
  <cols>
    <col min="2" max="2" width="36.83203125" customWidth="1"/>
  </cols>
  <sheetData>
    <row r="3" spans="2:8">
      <c r="B3" s="8" t="s">
        <v>316</v>
      </c>
    </row>
    <row r="5" spans="2:8" ht="16" thickBot="1"/>
    <row r="6" spans="2:8">
      <c r="B6" s="1257" t="s">
        <v>0</v>
      </c>
      <c r="C6" s="1259" t="s">
        <v>117</v>
      </c>
      <c r="D6" s="1260"/>
      <c r="E6" s="1260"/>
      <c r="F6" s="1260"/>
      <c r="G6" s="1260"/>
      <c r="H6" s="1261"/>
    </row>
    <row r="7" spans="2:8" ht="16" thickBot="1">
      <c r="B7" s="1258"/>
      <c r="C7" s="1134" t="s">
        <v>34</v>
      </c>
      <c r="D7" s="1135"/>
      <c r="E7" s="1135"/>
      <c r="F7" s="1135"/>
      <c r="G7" s="1135"/>
      <c r="H7" s="1136"/>
    </row>
    <row r="8" spans="2:8" ht="16" thickBot="1">
      <c r="B8" s="1"/>
      <c r="C8" s="2">
        <v>2015</v>
      </c>
      <c r="D8" s="2">
        <v>2020</v>
      </c>
      <c r="E8" s="2">
        <v>2030</v>
      </c>
      <c r="F8" s="2">
        <v>2050</v>
      </c>
      <c r="G8" s="2" t="s">
        <v>2</v>
      </c>
      <c r="H8" s="2" t="s">
        <v>3</v>
      </c>
    </row>
    <row r="9" spans="2:8" ht="16" thickBot="1">
      <c r="B9" s="3" t="s">
        <v>4</v>
      </c>
      <c r="C9" s="4"/>
      <c r="D9" s="4"/>
      <c r="E9" s="4"/>
      <c r="F9" s="4"/>
      <c r="G9" s="4"/>
      <c r="H9" s="5"/>
    </row>
    <row r="10" spans="2:8" ht="16" thickBot="1">
      <c r="B10" s="1" t="s">
        <v>5</v>
      </c>
      <c r="C10" s="2">
        <v>2</v>
      </c>
      <c r="D10" s="2">
        <v>2</v>
      </c>
      <c r="E10" s="2">
        <v>2</v>
      </c>
      <c r="F10" s="2">
        <v>2</v>
      </c>
      <c r="G10" s="2"/>
      <c r="H10" s="2"/>
    </row>
    <row r="11" spans="2:8" ht="28" thickBot="1">
      <c r="B11" s="1" t="s">
        <v>7</v>
      </c>
      <c r="C11" s="2">
        <v>40</v>
      </c>
      <c r="D11" s="2">
        <v>40</v>
      </c>
      <c r="E11" s="2">
        <v>40</v>
      </c>
      <c r="F11" s="2">
        <v>40</v>
      </c>
      <c r="G11" s="2" t="s">
        <v>6</v>
      </c>
      <c r="H11" s="2"/>
    </row>
    <row r="12" spans="2:8" ht="28" thickBot="1">
      <c r="B12" s="1" t="s">
        <v>8</v>
      </c>
      <c r="C12" s="2">
        <v>0</v>
      </c>
      <c r="D12" s="2">
        <v>0</v>
      </c>
      <c r="E12" s="2">
        <v>0</v>
      </c>
      <c r="F12" s="2">
        <v>0</v>
      </c>
      <c r="G12" s="2" t="s">
        <v>59</v>
      </c>
      <c r="H12" s="2"/>
    </row>
    <row r="13" spans="2:8" ht="16" thickBot="1">
      <c r="B13" s="1" t="s">
        <v>9</v>
      </c>
      <c r="C13" s="2">
        <v>300</v>
      </c>
      <c r="D13" s="2">
        <v>310</v>
      </c>
      <c r="E13" s="2">
        <v>340</v>
      </c>
      <c r="F13" s="2">
        <v>350</v>
      </c>
      <c r="G13" s="2"/>
      <c r="H13" s="2" t="s">
        <v>118</v>
      </c>
    </row>
    <row r="14" spans="2:8" ht="16" thickBot="1">
      <c r="B14" s="1" t="s">
        <v>11</v>
      </c>
      <c r="C14" s="2">
        <v>20</v>
      </c>
      <c r="D14" s="2">
        <v>20</v>
      </c>
      <c r="E14" s="2">
        <v>20</v>
      </c>
      <c r="F14" s="2">
        <v>20</v>
      </c>
      <c r="G14" s="2"/>
      <c r="H14" s="2">
        <v>4</v>
      </c>
    </row>
    <row r="15" spans="2:8" ht="16" thickBot="1">
      <c r="B15" s="3" t="s">
        <v>12</v>
      </c>
      <c r="C15" s="18"/>
      <c r="D15" s="18"/>
      <c r="E15" s="18"/>
      <c r="F15" s="18"/>
      <c r="G15" s="18"/>
      <c r="H15" s="2"/>
    </row>
    <row r="16" spans="2:8" ht="27" customHeight="1" thickBot="1">
      <c r="B16" s="1" t="s">
        <v>13</v>
      </c>
      <c r="C16" s="1279" t="s">
        <v>98</v>
      </c>
      <c r="D16" s="1280"/>
      <c r="E16" s="1280"/>
      <c r="F16" s="1280"/>
      <c r="G16" s="1280"/>
      <c r="H16" s="1281"/>
    </row>
    <row r="17" spans="2:8" ht="16" thickBot="1">
      <c r="B17" s="1" t="s">
        <v>15</v>
      </c>
      <c r="C17" s="1282"/>
      <c r="D17" s="1283"/>
      <c r="E17" s="1283"/>
      <c r="F17" s="1283"/>
      <c r="G17" s="1283"/>
      <c r="H17" s="1284"/>
    </row>
    <row r="18" spans="2:8" ht="16" thickBot="1">
      <c r="B18" s="1" t="s">
        <v>17</v>
      </c>
      <c r="C18" s="1282"/>
      <c r="D18" s="1283"/>
      <c r="E18" s="1283"/>
      <c r="F18" s="1283"/>
      <c r="G18" s="1283"/>
      <c r="H18" s="1284"/>
    </row>
    <row r="19" spans="2:8" ht="16" thickBot="1">
      <c r="B19" s="1" t="s">
        <v>18</v>
      </c>
      <c r="C19" s="1282"/>
      <c r="D19" s="1283"/>
      <c r="E19" s="1283"/>
      <c r="F19" s="1283"/>
      <c r="G19" s="1283"/>
      <c r="H19" s="1284"/>
    </row>
    <row r="20" spans="2:8" ht="16" thickBot="1">
      <c r="B20" s="1" t="s">
        <v>19</v>
      </c>
      <c r="C20" s="1285"/>
      <c r="D20" s="1286"/>
      <c r="E20" s="1286"/>
      <c r="F20" s="1286"/>
      <c r="G20" s="1286"/>
      <c r="H20" s="1287"/>
    </row>
    <row r="21" spans="2:8" ht="16" thickBot="1">
      <c r="B21" s="3" t="s">
        <v>22</v>
      </c>
      <c r="C21" s="18"/>
      <c r="D21" s="18"/>
      <c r="E21" s="18"/>
      <c r="F21" s="18"/>
      <c r="G21" s="18"/>
      <c r="H21" s="2"/>
    </row>
    <row r="22" spans="2:8" ht="16" thickBot="1">
      <c r="B22" s="1" t="s">
        <v>23</v>
      </c>
      <c r="C22" s="2"/>
      <c r="D22" s="2"/>
      <c r="E22" s="2"/>
      <c r="F22" s="2"/>
      <c r="G22" s="2"/>
      <c r="H22" s="2"/>
    </row>
    <row r="23" spans="2:8">
      <c r="B23" s="6" t="s">
        <v>24</v>
      </c>
      <c r="C23" s="7">
        <v>2.5</v>
      </c>
      <c r="D23" s="7">
        <v>2.4</v>
      </c>
      <c r="E23" s="7">
        <v>2.2000000000000002</v>
      </c>
      <c r="F23" s="7">
        <v>2.1</v>
      </c>
      <c r="G23" s="7" t="s">
        <v>119</v>
      </c>
      <c r="H23" s="7" t="s">
        <v>65</v>
      </c>
    </row>
    <row r="24" spans="2:8">
      <c r="B24" s="6" t="s">
        <v>26</v>
      </c>
      <c r="C24" s="7" t="s">
        <v>120</v>
      </c>
      <c r="D24" s="7">
        <v>90</v>
      </c>
      <c r="E24" s="7">
        <v>90</v>
      </c>
      <c r="F24" s="7">
        <v>90</v>
      </c>
      <c r="G24" s="7" t="s">
        <v>20</v>
      </c>
      <c r="H24" s="7"/>
    </row>
    <row r="25" spans="2:8" ht="16" thickBot="1">
      <c r="B25" s="1" t="s">
        <v>96</v>
      </c>
      <c r="C25" s="2" t="s">
        <v>121</v>
      </c>
      <c r="D25" s="2">
        <v>10</v>
      </c>
      <c r="E25" s="2">
        <v>10</v>
      </c>
      <c r="F25" s="2">
        <v>10</v>
      </c>
      <c r="G25" s="2" t="s">
        <v>20</v>
      </c>
      <c r="H25" s="2"/>
    </row>
    <row r="26" spans="2:8" ht="28" thickBot="1">
      <c r="B26" s="1" t="s">
        <v>30</v>
      </c>
      <c r="C26" s="2"/>
      <c r="D26" s="2"/>
      <c r="E26" s="2"/>
      <c r="F26" s="2"/>
      <c r="G26" s="2"/>
      <c r="H26" s="2"/>
    </row>
    <row r="27" spans="2:8" ht="16" thickBot="1">
      <c r="B27" s="1" t="s">
        <v>64</v>
      </c>
      <c r="C27" s="2">
        <v>44</v>
      </c>
      <c r="D27" s="2">
        <v>44</v>
      </c>
      <c r="E27" s="2">
        <v>44</v>
      </c>
      <c r="F27" s="2">
        <v>44</v>
      </c>
      <c r="G27" s="2" t="s">
        <v>76</v>
      </c>
      <c r="H27" s="2">
        <v>2</v>
      </c>
    </row>
    <row r="28" spans="2:8" ht="16" thickBot="1">
      <c r="B28" s="1" t="s">
        <v>31</v>
      </c>
      <c r="C28" s="2"/>
      <c r="D28" s="2"/>
      <c r="E28" s="2"/>
      <c r="F28" s="2"/>
      <c r="G28" s="2"/>
      <c r="H28" s="2"/>
    </row>
    <row r="32" spans="2:8" ht="16" thickBot="1"/>
    <row r="33" spans="2:8">
      <c r="B33" s="1257" t="s">
        <v>0</v>
      </c>
      <c r="C33" s="1259" t="s">
        <v>117</v>
      </c>
      <c r="D33" s="1260"/>
      <c r="E33" s="1260"/>
      <c r="F33" s="1260"/>
      <c r="G33" s="1260"/>
      <c r="H33" s="1261"/>
    </row>
    <row r="34" spans="2:8" ht="16" thickBot="1">
      <c r="B34" s="1258"/>
      <c r="C34" s="1134" t="s">
        <v>35</v>
      </c>
      <c r="D34" s="1135"/>
      <c r="E34" s="1135"/>
      <c r="F34" s="1135"/>
      <c r="G34" s="1135"/>
      <c r="H34" s="1136"/>
    </row>
    <row r="35" spans="2:8" ht="16" thickBot="1">
      <c r="B35" s="1"/>
      <c r="C35" s="2">
        <v>2015</v>
      </c>
      <c r="D35" s="2">
        <v>2020</v>
      </c>
      <c r="E35" s="2">
        <v>2030</v>
      </c>
      <c r="F35" s="2">
        <v>2050</v>
      </c>
      <c r="G35" s="2" t="s">
        <v>2</v>
      </c>
      <c r="H35" s="2" t="s">
        <v>3</v>
      </c>
    </row>
    <row r="36" spans="2:8" ht="16" thickBot="1">
      <c r="B36" s="3" t="s">
        <v>4</v>
      </c>
      <c r="C36" s="4"/>
      <c r="D36" s="4"/>
      <c r="E36" s="4"/>
      <c r="F36" s="4"/>
      <c r="G36" s="4"/>
      <c r="H36" s="5"/>
    </row>
    <row r="37" spans="2:8" ht="16" thickBot="1">
      <c r="B37" s="1" t="s">
        <v>5</v>
      </c>
      <c r="C37" s="2" t="s">
        <v>122</v>
      </c>
      <c r="D37" s="2" t="s">
        <v>122</v>
      </c>
      <c r="E37" s="2" t="s">
        <v>122</v>
      </c>
      <c r="F37" s="2" t="s">
        <v>122</v>
      </c>
      <c r="G37" s="2"/>
      <c r="H37" s="2"/>
    </row>
    <row r="38" spans="2:8" ht="28" thickBot="1">
      <c r="B38" s="1" t="s">
        <v>7</v>
      </c>
      <c r="C38" s="2">
        <v>40</v>
      </c>
      <c r="D38" s="2">
        <v>40</v>
      </c>
      <c r="E38" s="2">
        <v>40</v>
      </c>
      <c r="F38" s="2">
        <v>40</v>
      </c>
      <c r="G38" s="2" t="s">
        <v>6</v>
      </c>
      <c r="H38" s="2"/>
    </row>
    <row r="39" spans="2:8" ht="28" thickBot="1">
      <c r="B39" s="1" t="s">
        <v>8</v>
      </c>
      <c r="C39" s="2">
        <v>0</v>
      </c>
      <c r="D39" s="2">
        <v>0</v>
      </c>
      <c r="E39" s="2">
        <v>0</v>
      </c>
      <c r="F39" s="2">
        <v>0</v>
      </c>
      <c r="G39" s="2"/>
      <c r="H39" s="2"/>
    </row>
    <row r="40" spans="2:8" ht="16" thickBot="1">
      <c r="B40" s="1" t="s">
        <v>9</v>
      </c>
      <c r="C40" s="2">
        <v>300</v>
      </c>
      <c r="D40" s="2">
        <v>310</v>
      </c>
      <c r="E40" s="2">
        <v>340</v>
      </c>
      <c r="F40" s="2">
        <v>350</v>
      </c>
      <c r="G40" s="2"/>
      <c r="H40" s="2" t="s">
        <v>118</v>
      </c>
    </row>
    <row r="41" spans="2:8" ht="16" thickBot="1">
      <c r="B41" s="1" t="s">
        <v>11</v>
      </c>
      <c r="C41" s="2">
        <v>20</v>
      </c>
      <c r="D41" s="2">
        <v>20</v>
      </c>
      <c r="E41" s="2">
        <v>20</v>
      </c>
      <c r="F41" s="2">
        <v>20</v>
      </c>
      <c r="G41" s="2"/>
      <c r="H41" s="2">
        <v>4</v>
      </c>
    </row>
    <row r="42" spans="2:8" ht="16" thickBot="1">
      <c r="B42" s="3" t="s">
        <v>12</v>
      </c>
      <c r="C42" s="18"/>
      <c r="D42" s="18"/>
      <c r="E42" s="18"/>
      <c r="F42" s="18"/>
      <c r="G42" s="20"/>
      <c r="H42" s="21"/>
    </row>
    <row r="43" spans="2:8" ht="27" customHeight="1" thickBot="1">
      <c r="B43" s="1" t="s">
        <v>13</v>
      </c>
      <c r="C43" s="1279" t="s">
        <v>98</v>
      </c>
      <c r="D43" s="1280"/>
      <c r="E43" s="1280"/>
      <c r="F43" s="1280"/>
      <c r="G43" s="1280"/>
      <c r="H43" s="1281"/>
    </row>
    <row r="44" spans="2:8" ht="16" thickBot="1">
      <c r="B44" s="1" t="s">
        <v>15</v>
      </c>
      <c r="C44" s="1282"/>
      <c r="D44" s="1283"/>
      <c r="E44" s="1283"/>
      <c r="F44" s="1283"/>
      <c r="G44" s="1283"/>
      <c r="H44" s="1284"/>
    </row>
    <row r="45" spans="2:8" ht="16" thickBot="1">
      <c r="B45" s="1" t="s">
        <v>17</v>
      </c>
      <c r="C45" s="1282"/>
      <c r="D45" s="1283"/>
      <c r="E45" s="1283"/>
      <c r="F45" s="1283"/>
      <c r="G45" s="1283"/>
      <c r="H45" s="1284"/>
    </row>
    <row r="46" spans="2:8" ht="16" thickBot="1">
      <c r="B46" s="1" t="s">
        <v>18</v>
      </c>
      <c r="C46" s="1282"/>
      <c r="D46" s="1283"/>
      <c r="E46" s="1283"/>
      <c r="F46" s="1283"/>
      <c r="G46" s="1283"/>
      <c r="H46" s="1284"/>
    </row>
    <row r="47" spans="2:8" ht="16" thickBot="1">
      <c r="B47" s="1" t="s">
        <v>19</v>
      </c>
      <c r="C47" s="1285"/>
      <c r="D47" s="1286"/>
      <c r="E47" s="1286"/>
      <c r="F47" s="1286"/>
      <c r="G47" s="1286"/>
      <c r="H47" s="1287"/>
    </row>
    <row r="48" spans="2:8" ht="16" thickBot="1">
      <c r="B48" s="3" t="s">
        <v>22</v>
      </c>
      <c r="C48" s="18"/>
      <c r="D48" s="18"/>
      <c r="E48" s="18"/>
      <c r="F48" s="18"/>
      <c r="G48" s="20"/>
      <c r="H48" s="21"/>
    </row>
    <row r="49" spans="2:8" ht="16" thickBot="1">
      <c r="B49" s="1" t="s">
        <v>23</v>
      </c>
      <c r="C49" s="2">
        <v>1</v>
      </c>
      <c r="D49" s="2">
        <v>1</v>
      </c>
      <c r="E49" s="2">
        <v>0.9</v>
      </c>
      <c r="F49" s="2">
        <v>0.9</v>
      </c>
      <c r="G49" s="2" t="s">
        <v>16</v>
      </c>
      <c r="H49" s="2" t="s">
        <v>65</v>
      </c>
    </row>
    <row r="50" spans="2:8">
      <c r="B50" s="6" t="s">
        <v>24</v>
      </c>
      <c r="C50" s="7"/>
      <c r="D50" s="7"/>
      <c r="E50" s="7"/>
      <c r="F50" s="7"/>
      <c r="G50" s="7"/>
      <c r="H50" s="7"/>
    </row>
    <row r="51" spans="2:8">
      <c r="B51" s="6" t="s">
        <v>26</v>
      </c>
      <c r="C51" s="7"/>
      <c r="D51" s="7"/>
      <c r="E51" s="7"/>
      <c r="F51" s="7"/>
      <c r="G51" s="7"/>
      <c r="H51" s="7"/>
    </row>
    <row r="52" spans="2:8" ht="16" thickBot="1">
      <c r="B52" s="1" t="s">
        <v>96</v>
      </c>
      <c r="C52" s="2"/>
      <c r="D52" s="2"/>
      <c r="E52" s="2"/>
      <c r="F52" s="2"/>
      <c r="G52" s="2"/>
      <c r="H52" s="2"/>
    </row>
    <row r="53" spans="2:8" ht="28" thickBot="1">
      <c r="B53" s="1" t="s">
        <v>30</v>
      </c>
      <c r="C53" s="2"/>
      <c r="D53" s="2"/>
      <c r="E53" s="2"/>
      <c r="F53" s="2"/>
      <c r="G53" s="2"/>
      <c r="H53" s="2"/>
    </row>
    <row r="54" spans="2:8" ht="16" thickBot="1">
      <c r="B54" s="1" t="s">
        <v>64</v>
      </c>
      <c r="C54" s="2">
        <v>135</v>
      </c>
      <c r="D54" s="2">
        <v>135</v>
      </c>
      <c r="E54" s="2">
        <v>135</v>
      </c>
      <c r="F54" s="2">
        <v>135</v>
      </c>
      <c r="G54" s="2" t="s">
        <v>76</v>
      </c>
      <c r="H54" s="2">
        <v>2</v>
      </c>
    </row>
    <row r="55" spans="2:8" ht="16" thickBot="1">
      <c r="B55" s="1" t="s">
        <v>31</v>
      </c>
      <c r="C55" s="2"/>
      <c r="D55" s="2"/>
      <c r="E55" s="2"/>
      <c r="F55" s="2"/>
      <c r="G55" s="2"/>
      <c r="H55" s="2"/>
    </row>
  </sheetData>
  <mergeCells count="8">
    <mergeCell ref="C43:H47"/>
    <mergeCell ref="B6:B7"/>
    <mergeCell ref="C6:H6"/>
    <mergeCell ref="C7:H7"/>
    <mergeCell ref="C16:H20"/>
    <mergeCell ref="B33:B34"/>
    <mergeCell ref="C33:H33"/>
    <mergeCell ref="C34:H34"/>
  </mergeCells>
  <pageMargins left="0.7" right="0.7" top="0.75" bottom="0.75" header="0.3" footer="0.3"/>
  <pageSetup paperSize="9" orientation="portrai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21">
    <tabColor theme="4"/>
  </sheetPr>
  <dimension ref="B3:X140"/>
  <sheetViews>
    <sheetView topLeftCell="A49" workbookViewId="0">
      <selection activeCell="L43" sqref="L43"/>
    </sheetView>
  </sheetViews>
  <sheetFormatPr baseColWidth="10" defaultColWidth="8.83203125" defaultRowHeight="15"/>
  <cols>
    <col min="2" max="2" width="36.83203125" customWidth="1"/>
    <col min="3" max="6" width="10" bestFit="1" customWidth="1"/>
    <col min="10" max="10" width="15.83203125" customWidth="1"/>
    <col min="15" max="15" width="10" bestFit="1" customWidth="1"/>
  </cols>
  <sheetData>
    <row r="3" spans="2:24">
      <c r="B3" s="8" t="s">
        <v>318</v>
      </c>
    </row>
    <row r="4" spans="2:24">
      <c r="E4" t="s">
        <v>334</v>
      </c>
      <c r="F4" s="36">
        <v>7.45</v>
      </c>
      <c r="G4" t="s">
        <v>328</v>
      </c>
    </row>
    <row r="5" spans="2:24" ht="16" thickBot="1"/>
    <row r="6" spans="2:24">
      <c r="B6" s="1257" t="s">
        <v>0</v>
      </c>
      <c r="C6" s="1259" t="s">
        <v>131</v>
      </c>
      <c r="D6" s="1260"/>
      <c r="E6" s="1260"/>
      <c r="F6" s="1260"/>
      <c r="G6" s="1260"/>
      <c r="H6" s="1261"/>
      <c r="J6" s="1259" t="str">
        <f>C6</f>
        <v>Electric heating</v>
      </c>
      <c r="K6" s="1260"/>
      <c r="L6" s="1260"/>
      <c r="M6" s="1260"/>
      <c r="N6" s="1260"/>
      <c r="O6" s="1261"/>
    </row>
    <row r="7" spans="2:24" ht="16" thickBot="1">
      <c r="B7" s="1258"/>
      <c r="C7" s="1134" t="s">
        <v>34</v>
      </c>
      <c r="D7" s="1135"/>
      <c r="E7" s="1135"/>
      <c r="F7" s="1135"/>
      <c r="G7" s="1135"/>
      <c r="H7" s="1136"/>
      <c r="J7" s="1134" t="str">
        <f>C7</f>
        <v>One-family house, new building</v>
      </c>
      <c r="K7" s="1135"/>
      <c r="L7" s="1135"/>
      <c r="M7" s="1135"/>
      <c r="N7" s="1135"/>
      <c r="O7" s="1136"/>
    </row>
    <row r="8" spans="2:24" ht="16" thickBot="1">
      <c r="B8" s="1"/>
      <c r="C8" s="2">
        <v>2015</v>
      </c>
      <c r="D8" s="2">
        <v>2020</v>
      </c>
      <c r="E8" s="2">
        <v>2030</v>
      </c>
      <c r="F8" s="2">
        <v>2050</v>
      </c>
      <c r="G8" s="2" t="s">
        <v>2</v>
      </c>
      <c r="H8" s="2" t="s">
        <v>3</v>
      </c>
      <c r="J8" s="53" t="s">
        <v>357</v>
      </c>
    </row>
    <row r="9" spans="2:24" ht="31" thickBot="1">
      <c r="B9" s="3" t="s">
        <v>4</v>
      </c>
      <c r="C9" s="4"/>
      <c r="D9" s="4"/>
      <c r="E9" s="4"/>
      <c r="F9" s="4"/>
      <c r="G9" s="4"/>
      <c r="H9" s="5"/>
      <c r="J9" s="46" t="s">
        <v>335</v>
      </c>
      <c r="K9" s="46" t="s">
        <v>336</v>
      </c>
      <c r="L9" s="47" t="s">
        <v>337</v>
      </c>
      <c r="M9" s="47" t="s">
        <v>338</v>
      </c>
      <c r="N9" s="47" t="s">
        <v>339</v>
      </c>
      <c r="O9" s="48" t="s">
        <v>340</v>
      </c>
      <c r="P9" s="49" t="s">
        <v>341</v>
      </c>
      <c r="Q9" s="49" t="s">
        <v>342</v>
      </c>
      <c r="R9" s="49" t="s">
        <v>343</v>
      </c>
      <c r="S9" s="49" t="s">
        <v>344</v>
      </c>
      <c r="T9" s="49" t="s">
        <v>345</v>
      </c>
      <c r="U9" s="49" t="s">
        <v>346</v>
      </c>
      <c r="V9" s="49" t="s">
        <v>347</v>
      </c>
      <c r="W9" s="49" t="s">
        <v>348</v>
      </c>
      <c r="X9" s="49" t="s">
        <v>349</v>
      </c>
    </row>
    <row r="10" spans="2:24" ht="16" thickBot="1">
      <c r="B10" s="1" t="s">
        <v>5</v>
      </c>
      <c r="C10" s="2">
        <v>5</v>
      </c>
      <c r="D10" s="2">
        <v>5</v>
      </c>
      <c r="E10" s="2">
        <v>5</v>
      </c>
      <c r="F10" s="2">
        <v>5</v>
      </c>
      <c r="G10" s="2"/>
      <c r="H10" s="2"/>
      <c r="J10" s="50"/>
      <c r="K10" s="50"/>
      <c r="L10" s="51"/>
      <c r="M10" s="51"/>
      <c r="N10" s="51"/>
      <c r="O10" s="52"/>
      <c r="P10" s="50"/>
      <c r="Q10" s="50"/>
      <c r="R10" s="50"/>
      <c r="S10" s="50"/>
      <c r="T10" s="50"/>
      <c r="U10" s="50"/>
      <c r="V10" s="50"/>
      <c r="W10" s="50"/>
      <c r="X10" s="50"/>
    </row>
    <row r="11" spans="2:24" ht="28" thickBot="1">
      <c r="B11" s="1" t="s">
        <v>7</v>
      </c>
      <c r="C11" s="2">
        <v>100</v>
      </c>
      <c r="D11" s="2">
        <v>100</v>
      </c>
      <c r="E11" s="2">
        <v>100</v>
      </c>
      <c r="F11" s="2">
        <v>100</v>
      </c>
      <c r="G11" s="2"/>
      <c r="H11" s="2"/>
      <c r="J11" s="56"/>
      <c r="K11" s="56"/>
      <c r="L11" s="57"/>
      <c r="M11" s="57"/>
      <c r="N11" s="57"/>
      <c r="O11" s="56" t="s">
        <v>350</v>
      </c>
      <c r="P11" s="56" t="s">
        <v>326</v>
      </c>
      <c r="Q11" s="56" t="s">
        <v>327</v>
      </c>
      <c r="R11" s="56" t="s">
        <v>351</v>
      </c>
      <c r="S11" s="56" t="s">
        <v>351</v>
      </c>
      <c r="T11" s="56" t="s">
        <v>352</v>
      </c>
      <c r="U11" s="56" t="s">
        <v>352</v>
      </c>
      <c r="V11" s="56" t="s">
        <v>352</v>
      </c>
      <c r="W11" s="56" t="s">
        <v>352</v>
      </c>
      <c r="X11" s="56" t="s">
        <v>352</v>
      </c>
    </row>
    <row r="12" spans="2:24" ht="28" thickBot="1">
      <c r="B12" s="1" t="s">
        <v>8</v>
      </c>
      <c r="C12" s="2">
        <v>100</v>
      </c>
      <c r="D12" s="2">
        <v>100</v>
      </c>
      <c r="E12" s="2">
        <v>100</v>
      </c>
      <c r="F12" s="2">
        <v>100</v>
      </c>
      <c r="G12" s="2"/>
      <c r="H12" s="2"/>
      <c r="J12" s="58">
        <f>C8</f>
        <v>2015</v>
      </c>
      <c r="K12" s="58">
        <f>J12</f>
        <v>2015</v>
      </c>
      <c r="L12" s="58">
        <f>C13/100</f>
        <v>1</v>
      </c>
      <c r="M12" s="58"/>
      <c r="N12" s="58">
        <f>C14</f>
        <v>30</v>
      </c>
      <c r="O12" s="59">
        <f>C29</f>
        <v>5960</v>
      </c>
      <c r="P12" s="59">
        <f>C31</f>
        <v>74.5</v>
      </c>
      <c r="Q12" s="59">
        <f>C32</f>
        <v>0</v>
      </c>
      <c r="R12" s="58"/>
      <c r="S12" s="58"/>
      <c r="T12" s="58"/>
      <c r="U12" s="58"/>
      <c r="V12" s="58"/>
      <c r="W12" s="58"/>
      <c r="X12" s="58"/>
    </row>
    <row r="13" spans="2:24" ht="16" thickBot="1">
      <c r="B13" s="1" t="s">
        <v>9</v>
      </c>
      <c r="C13" s="2">
        <v>100</v>
      </c>
      <c r="D13" s="2">
        <v>100</v>
      </c>
      <c r="E13" s="2">
        <v>100</v>
      </c>
      <c r="F13" s="2">
        <v>100</v>
      </c>
      <c r="G13" s="2" t="s">
        <v>6</v>
      </c>
      <c r="H13" s="2"/>
      <c r="J13" s="58">
        <f>D8</f>
        <v>2020</v>
      </c>
      <c r="K13" s="58"/>
      <c r="L13" s="58">
        <f>D13/100</f>
        <v>1</v>
      </c>
      <c r="M13" s="58"/>
      <c r="N13" s="58">
        <f>D14</f>
        <v>30</v>
      </c>
      <c r="O13" s="59">
        <f>D29</f>
        <v>5960</v>
      </c>
      <c r="P13" s="59">
        <f>D31</f>
        <v>74.5</v>
      </c>
      <c r="Q13" s="59">
        <f>D32</f>
        <v>0</v>
      </c>
      <c r="R13" s="58"/>
      <c r="S13" s="58"/>
      <c r="T13" s="58"/>
      <c r="U13" s="58"/>
      <c r="V13" s="58"/>
      <c r="W13" s="58"/>
      <c r="X13" s="58"/>
    </row>
    <row r="14" spans="2:24" ht="16" thickBot="1">
      <c r="B14" s="1" t="s">
        <v>11</v>
      </c>
      <c r="C14" s="2">
        <v>30</v>
      </c>
      <c r="D14" s="2">
        <v>30</v>
      </c>
      <c r="E14" s="2">
        <v>30</v>
      </c>
      <c r="F14" s="2">
        <v>30</v>
      </c>
      <c r="G14" s="2"/>
      <c r="H14" s="2"/>
      <c r="J14" s="58">
        <f>E8</f>
        <v>2030</v>
      </c>
      <c r="K14" s="58"/>
      <c r="L14" s="58">
        <f>E13/100</f>
        <v>1</v>
      </c>
      <c r="M14" s="58"/>
      <c r="N14" s="58">
        <f>E14</f>
        <v>30</v>
      </c>
      <c r="O14" s="59">
        <f>E29</f>
        <v>5960</v>
      </c>
      <c r="P14" s="59">
        <f>E31</f>
        <v>74.5</v>
      </c>
      <c r="Q14" s="59">
        <f>E32</f>
        <v>0</v>
      </c>
      <c r="R14" s="58"/>
      <c r="S14" s="58"/>
      <c r="T14" s="58"/>
      <c r="U14" s="58"/>
      <c r="V14" s="58"/>
      <c r="W14" s="58"/>
      <c r="X14" s="58"/>
    </row>
    <row r="15" spans="2:24" ht="16" thickBot="1">
      <c r="B15" s="3" t="s">
        <v>12</v>
      </c>
      <c r="C15" s="4"/>
      <c r="D15" s="4"/>
      <c r="E15" s="4"/>
      <c r="F15" s="4"/>
      <c r="G15" s="4"/>
      <c r="H15" s="5"/>
      <c r="J15" s="58">
        <f>F8</f>
        <v>2050</v>
      </c>
      <c r="K15" s="58"/>
      <c r="L15" s="58">
        <f>F13/100</f>
        <v>1</v>
      </c>
      <c r="M15" s="58"/>
      <c r="N15" s="58">
        <f>F14</f>
        <v>30</v>
      </c>
      <c r="O15" s="59">
        <f>F29</f>
        <v>5960</v>
      </c>
      <c r="P15" s="59">
        <f>F31</f>
        <v>74.5</v>
      </c>
      <c r="Q15" s="59">
        <f>F32</f>
        <v>0</v>
      </c>
      <c r="R15" s="58"/>
      <c r="S15" s="58"/>
      <c r="T15" s="58"/>
      <c r="U15" s="58"/>
      <c r="V15" s="58"/>
      <c r="W15" s="58"/>
      <c r="X15" s="58"/>
    </row>
    <row r="16" spans="2:24" ht="27" customHeight="1" thickBot="1">
      <c r="B16" s="1" t="s">
        <v>13</v>
      </c>
      <c r="C16" s="1279" t="s">
        <v>133</v>
      </c>
      <c r="D16" s="1280"/>
      <c r="E16" s="1280"/>
      <c r="F16" s="1280"/>
      <c r="G16" s="1280"/>
      <c r="H16" s="1281"/>
    </row>
    <row r="17" spans="2:8" ht="16" thickBot="1">
      <c r="B17" s="1" t="s">
        <v>15</v>
      </c>
      <c r="C17" s="1282"/>
      <c r="D17" s="1283"/>
      <c r="E17" s="1283"/>
      <c r="F17" s="1283"/>
      <c r="G17" s="1283"/>
      <c r="H17" s="1284"/>
    </row>
    <row r="18" spans="2:8" ht="16" thickBot="1">
      <c r="B18" s="1" t="s">
        <v>17</v>
      </c>
      <c r="C18" s="1282"/>
      <c r="D18" s="1283"/>
      <c r="E18" s="1283"/>
      <c r="F18" s="1283"/>
      <c r="G18" s="1283"/>
      <c r="H18" s="1284"/>
    </row>
    <row r="19" spans="2:8" ht="16" thickBot="1">
      <c r="B19" s="1" t="s">
        <v>18</v>
      </c>
      <c r="C19" s="1282"/>
      <c r="D19" s="1283"/>
      <c r="E19" s="1283"/>
      <c r="F19" s="1283"/>
      <c r="G19" s="1283"/>
      <c r="H19" s="1284"/>
    </row>
    <row r="20" spans="2:8" ht="16" thickBot="1">
      <c r="B20" s="1" t="s">
        <v>19</v>
      </c>
      <c r="C20" s="1285"/>
      <c r="D20" s="1286"/>
      <c r="E20" s="1286"/>
      <c r="F20" s="1286"/>
      <c r="G20" s="1286"/>
      <c r="H20" s="1287"/>
    </row>
    <row r="21" spans="2:8" ht="16" thickBot="1">
      <c r="B21" s="3" t="s">
        <v>22</v>
      </c>
      <c r="C21" s="4"/>
      <c r="D21" s="4"/>
      <c r="E21" s="4"/>
      <c r="F21" s="4"/>
      <c r="G21" s="4"/>
      <c r="H21" s="5"/>
    </row>
    <row r="22" spans="2:8" ht="16" thickBot="1">
      <c r="B22" s="1" t="s">
        <v>23</v>
      </c>
      <c r="C22" s="2"/>
      <c r="D22" s="2"/>
      <c r="E22" s="2"/>
      <c r="F22" s="2"/>
      <c r="G22" s="2"/>
      <c r="H22" s="2"/>
    </row>
    <row r="23" spans="2:8">
      <c r="B23" s="6" t="s">
        <v>24</v>
      </c>
      <c r="C23" s="7">
        <v>4</v>
      </c>
      <c r="D23" s="7">
        <v>4</v>
      </c>
      <c r="E23" s="7">
        <v>4</v>
      </c>
      <c r="F23" s="7">
        <v>4</v>
      </c>
      <c r="G23" s="7" t="s">
        <v>20</v>
      </c>
      <c r="H23" s="7">
        <v>6</v>
      </c>
    </row>
    <row r="24" spans="2:8">
      <c r="B24" s="6" t="s">
        <v>26</v>
      </c>
      <c r="C24" s="7" t="s">
        <v>27</v>
      </c>
      <c r="D24" s="7">
        <v>70</v>
      </c>
      <c r="E24" s="7">
        <v>70</v>
      </c>
      <c r="F24" s="7">
        <v>70</v>
      </c>
      <c r="G24" s="7"/>
      <c r="H24" s="7">
        <v>6</v>
      </c>
    </row>
    <row r="25" spans="2:8" ht="16" thickBot="1">
      <c r="B25" s="1" t="s">
        <v>96</v>
      </c>
      <c r="C25" s="2" t="s">
        <v>29</v>
      </c>
      <c r="D25" s="2">
        <v>30</v>
      </c>
      <c r="E25" s="2">
        <v>30</v>
      </c>
      <c r="F25" s="2">
        <v>30</v>
      </c>
      <c r="G25" s="2"/>
      <c r="H25" s="2">
        <v>6</v>
      </c>
    </row>
    <row r="26" spans="2:8" ht="28" thickBot="1">
      <c r="B26" s="1" t="s">
        <v>30</v>
      </c>
      <c r="C26" s="2"/>
      <c r="D26" s="2"/>
      <c r="E26" s="2"/>
      <c r="F26" s="2"/>
      <c r="G26" s="2"/>
      <c r="H26" s="2"/>
    </row>
    <row r="27" spans="2:8" ht="16" thickBot="1">
      <c r="B27" s="1" t="s">
        <v>50</v>
      </c>
      <c r="C27" s="2">
        <v>10</v>
      </c>
      <c r="D27" s="2">
        <v>10</v>
      </c>
      <c r="E27" s="2">
        <v>10</v>
      </c>
      <c r="F27" s="2">
        <v>10</v>
      </c>
      <c r="G27" s="2" t="s">
        <v>16</v>
      </c>
      <c r="H27" s="2"/>
    </row>
    <row r="28" spans="2:8" ht="16" thickBot="1">
      <c r="B28" s="1" t="s">
        <v>31</v>
      </c>
      <c r="C28" s="2"/>
      <c r="D28" s="2"/>
      <c r="E28" s="2"/>
      <c r="F28" s="2"/>
      <c r="G28" s="2"/>
      <c r="H28" s="2"/>
    </row>
    <row r="29" spans="2:8">
      <c r="B29" s="36" t="s">
        <v>353</v>
      </c>
      <c r="C29" s="60">
        <f>C30/C10</f>
        <v>5960</v>
      </c>
      <c r="D29" s="60">
        <f>D30/D10</f>
        <v>5960</v>
      </c>
      <c r="E29" s="60">
        <f>E30/E10</f>
        <v>5960</v>
      </c>
      <c r="F29" s="60">
        <f>F30/F10</f>
        <v>5960</v>
      </c>
      <c r="G29" s="63" t="s">
        <v>332</v>
      </c>
      <c r="H29" s="63"/>
    </row>
    <row r="30" spans="2:8">
      <c r="B30" s="36" t="s">
        <v>354</v>
      </c>
      <c r="C30" s="60">
        <f>C23*$F$4*1000</f>
        <v>29800</v>
      </c>
      <c r="D30" s="60">
        <f>D23*$F$4*1000</f>
        <v>29800</v>
      </c>
      <c r="E30" s="60">
        <f>E23*$F$4*1000</f>
        <v>29800</v>
      </c>
      <c r="F30" s="60">
        <f>F23*$F$4*1000</f>
        <v>29800</v>
      </c>
      <c r="G30" s="70">
        <f>C10</f>
        <v>5</v>
      </c>
      <c r="H30" s="69" t="s">
        <v>330</v>
      </c>
    </row>
    <row r="31" spans="2:8">
      <c r="B31" s="36" t="s">
        <v>355</v>
      </c>
      <c r="C31" s="60">
        <f>C27*$F$4</f>
        <v>74.5</v>
      </c>
      <c r="D31" s="60">
        <f t="shared" ref="D31:F31" si="0">D27*$F$4</f>
        <v>74.5</v>
      </c>
      <c r="E31" s="60">
        <f t="shared" si="0"/>
        <v>74.5</v>
      </c>
      <c r="F31" s="60">
        <f t="shared" si="0"/>
        <v>74.5</v>
      </c>
      <c r="G31" s="69" t="s">
        <v>331</v>
      </c>
      <c r="H31" s="69"/>
    </row>
    <row r="32" spans="2:8" ht="16" thickBot="1">
      <c r="B32" s="36" t="s">
        <v>356</v>
      </c>
      <c r="C32" s="60">
        <f t="shared" ref="C32:F32" si="1">C28*$F$4</f>
        <v>0</v>
      </c>
      <c r="D32" s="60">
        <f t="shared" si="1"/>
        <v>0</v>
      </c>
      <c r="E32" s="60">
        <f t="shared" si="1"/>
        <v>0</v>
      </c>
      <c r="F32" s="60">
        <f t="shared" si="1"/>
        <v>0</v>
      </c>
      <c r="G32" s="61"/>
      <c r="H32" s="61"/>
    </row>
    <row r="33" spans="2:24">
      <c r="B33" s="1257" t="s">
        <v>0</v>
      </c>
      <c r="C33" s="1259" t="s">
        <v>131</v>
      </c>
      <c r="D33" s="1260"/>
      <c r="E33" s="1260"/>
      <c r="F33" s="1260"/>
      <c r="G33" s="1260"/>
      <c r="H33" s="1261"/>
      <c r="J33" s="1257" t="s">
        <v>0</v>
      </c>
      <c r="K33" s="1259" t="s">
        <v>131</v>
      </c>
      <c r="L33" s="1260"/>
      <c r="M33" s="1260"/>
      <c r="N33" s="1260"/>
      <c r="O33" s="1260"/>
      <c r="P33" s="1261"/>
    </row>
    <row r="34" spans="2:24" ht="15.75" customHeight="1" thickBot="1">
      <c r="B34" s="1258"/>
      <c r="C34" s="1134" t="s">
        <v>35</v>
      </c>
      <c r="D34" s="1135"/>
      <c r="E34" s="1135"/>
      <c r="F34" s="1135"/>
      <c r="G34" s="1135"/>
      <c r="H34" s="1136"/>
      <c r="J34" s="1258"/>
      <c r="K34" s="1134" t="s">
        <v>35</v>
      </c>
      <c r="L34" s="1135"/>
      <c r="M34" s="1135"/>
      <c r="N34" s="1135"/>
      <c r="O34" s="1135"/>
      <c r="P34" s="1136"/>
    </row>
    <row r="35" spans="2:24" ht="16" thickBot="1">
      <c r="B35" s="1"/>
      <c r="C35" s="2">
        <v>2015</v>
      </c>
      <c r="D35" s="2">
        <v>2020</v>
      </c>
      <c r="E35" s="2">
        <v>2030</v>
      </c>
      <c r="F35" s="2">
        <v>2050</v>
      </c>
      <c r="G35" s="2" t="s">
        <v>2</v>
      </c>
      <c r="H35" s="2" t="s">
        <v>3</v>
      </c>
      <c r="J35" s="53" t="s">
        <v>357</v>
      </c>
    </row>
    <row r="36" spans="2:24" ht="31" thickBot="1">
      <c r="B36" s="3" t="s">
        <v>4</v>
      </c>
      <c r="C36" s="4"/>
      <c r="D36" s="4"/>
      <c r="E36" s="4"/>
      <c r="F36" s="4"/>
      <c r="G36" s="4"/>
      <c r="H36" s="5"/>
      <c r="J36" s="46" t="s">
        <v>335</v>
      </c>
      <c r="K36" s="46" t="s">
        <v>336</v>
      </c>
      <c r="L36" s="47" t="s">
        <v>337</v>
      </c>
      <c r="M36" s="47" t="s">
        <v>338</v>
      </c>
      <c r="N36" s="47" t="s">
        <v>339</v>
      </c>
      <c r="O36" s="48" t="s">
        <v>340</v>
      </c>
      <c r="P36" s="49" t="s">
        <v>341</v>
      </c>
      <c r="Q36" s="49" t="s">
        <v>342</v>
      </c>
      <c r="R36" s="49" t="s">
        <v>343</v>
      </c>
      <c r="S36" s="49" t="s">
        <v>344</v>
      </c>
      <c r="T36" s="49" t="s">
        <v>345</v>
      </c>
      <c r="U36" s="49" t="s">
        <v>346</v>
      </c>
      <c r="V36" s="49" t="s">
        <v>347</v>
      </c>
      <c r="W36" s="49" t="s">
        <v>348</v>
      </c>
      <c r="X36" s="49" t="s">
        <v>349</v>
      </c>
    </row>
    <row r="37" spans="2:24" ht="16" thickBot="1">
      <c r="B37" s="1" t="s">
        <v>5</v>
      </c>
      <c r="C37" s="2">
        <v>400</v>
      </c>
      <c r="D37" s="2">
        <v>400</v>
      </c>
      <c r="E37" s="2">
        <v>400</v>
      </c>
      <c r="F37" s="2">
        <v>400</v>
      </c>
      <c r="G37" s="2" t="s">
        <v>59</v>
      </c>
      <c r="H37" s="2"/>
      <c r="J37" s="50"/>
      <c r="K37" s="50"/>
      <c r="L37" s="51"/>
      <c r="M37" s="51"/>
      <c r="N37" s="51"/>
      <c r="O37" s="52"/>
      <c r="P37" s="50"/>
      <c r="Q37" s="50"/>
      <c r="R37" s="50"/>
      <c r="S37" s="50"/>
      <c r="T37" s="50"/>
      <c r="U37" s="50"/>
      <c r="V37" s="50"/>
      <c r="W37" s="50"/>
      <c r="X37" s="50"/>
    </row>
    <row r="38" spans="2:24" ht="28" thickBot="1">
      <c r="B38" s="1" t="s">
        <v>7</v>
      </c>
      <c r="C38" s="2">
        <v>100</v>
      </c>
      <c r="D38" s="2">
        <v>100</v>
      </c>
      <c r="E38" s="2">
        <v>100</v>
      </c>
      <c r="F38" s="2">
        <v>100</v>
      </c>
      <c r="G38" s="2"/>
      <c r="H38" s="2"/>
      <c r="J38" s="56"/>
      <c r="K38" s="56"/>
      <c r="L38" s="57"/>
      <c r="M38" s="57"/>
      <c r="N38" s="57"/>
      <c r="O38" s="56" t="s">
        <v>350</v>
      </c>
      <c r="P38" s="56" t="s">
        <v>326</v>
      </c>
      <c r="Q38" s="56" t="s">
        <v>327</v>
      </c>
      <c r="R38" s="56" t="s">
        <v>351</v>
      </c>
      <c r="S38" s="56" t="s">
        <v>351</v>
      </c>
      <c r="T38" s="56" t="s">
        <v>352</v>
      </c>
      <c r="U38" s="56" t="s">
        <v>352</v>
      </c>
      <c r="V38" s="56" t="s">
        <v>352</v>
      </c>
      <c r="W38" s="56" t="s">
        <v>352</v>
      </c>
      <c r="X38" s="56" t="s">
        <v>352</v>
      </c>
    </row>
    <row r="39" spans="2:24" ht="28" thickBot="1">
      <c r="B39" s="1" t="s">
        <v>8</v>
      </c>
      <c r="C39" s="2">
        <v>100</v>
      </c>
      <c r="D39" s="2">
        <v>100</v>
      </c>
      <c r="E39" s="2">
        <v>100</v>
      </c>
      <c r="F39" s="2">
        <v>100</v>
      </c>
      <c r="G39" s="2"/>
      <c r="H39" s="2"/>
      <c r="J39" s="58">
        <f>C35</f>
        <v>2015</v>
      </c>
      <c r="K39" s="58">
        <f>J39</f>
        <v>2015</v>
      </c>
      <c r="L39" s="353">
        <f>C109/100</f>
        <v>0.98</v>
      </c>
      <c r="M39" s="353"/>
      <c r="N39" s="353">
        <f>C114</f>
        <v>20</v>
      </c>
      <c r="O39" s="354">
        <f>C129*1000*7.5</f>
        <v>1125</v>
      </c>
      <c r="P39" s="355">
        <f>C135/1000</f>
        <v>1.1000000000000001</v>
      </c>
      <c r="Q39" s="354">
        <f>C136</f>
        <v>0.8</v>
      </c>
      <c r="R39" s="58"/>
      <c r="S39" s="58"/>
      <c r="T39" s="58"/>
      <c r="U39" s="58"/>
      <c r="V39" s="58"/>
      <c r="W39" s="58"/>
      <c r="X39" s="58"/>
    </row>
    <row r="40" spans="2:24" ht="16" thickBot="1">
      <c r="B40" s="1" t="s">
        <v>9</v>
      </c>
      <c r="C40" s="2">
        <v>95</v>
      </c>
      <c r="D40" s="2">
        <v>95</v>
      </c>
      <c r="E40" s="2">
        <v>95</v>
      </c>
      <c r="F40" s="2">
        <v>95</v>
      </c>
      <c r="G40" s="2" t="s">
        <v>6</v>
      </c>
      <c r="H40" s="2"/>
      <c r="J40" s="58">
        <f>D35</f>
        <v>2020</v>
      </c>
      <c r="K40" s="58"/>
      <c r="L40" s="353">
        <f>D109/100</f>
        <v>0.99</v>
      </c>
      <c r="M40" s="353"/>
      <c r="N40" s="353">
        <f>C114</f>
        <v>20</v>
      </c>
      <c r="O40" s="354">
        <f>D129*1000*7.5</f>
        <v>1125</v>
      </c>
      <c r="P40" s="355">
        <f>D135/1000</f>
        <v>1.07</v>
      </c>
      <c r="Q40" s="354">
        <f>D136</f>
        <v>0.9</v>
      </c>
      <c r="R40" s="58"/>
      <c r="S40" s="58"/>
      <c r="T40" s="58"/>
      <c r="U40" s="58"/>
      <c r="V40" s="58"/>
      <c r="W40" s="58"/>
      <c r="X40" s="58"/>
    </row>
    <row r="41" spans="2:24" ht="16" thickBot="1">
      <c r="B41" s="1" t="s">
        <v>11</v>
      </c>
      <c r="C41" s="2">
        <v>30</v>
      </c>
      <c r="D41" s="2">
        <v>30</v>
      </c>
      <c r="E41" s="2">
        <v>30</v>
      </c>
      <c r="F41" s="2">
        <v>30</v>
      </c>
      <c r="G41" s="2"/>
      <c r="H41" s="2"/>
      <c r="J41" s="58">
        <f>E35</f>
        <v>2030</v>
      </c>
      <c r="K41" s="58"/>
      <c r="L41" s="353">
        <f>E109/100</f>
        <v>0.99</v>
      </c>
      <c r="M41" s="353"/>
      <c r="N41" s="353">
        <f>E114</f>
        <v>20</v>
      </c>
      <c r="O41" s="354">
        <f>E129*1000*7.5</f>
        <v>1050</v>
      </c>
      <c r="P41" s="355">
        <f>E135/1000</f>
        <v>1.02</v>
      </c>
      <c r="Q41" s="354">
        <f>E136</f>
        <v>1</v>
      </c>
      <c r="R41" s="58"/>
      <c r="S41" s="58"/>
      <c r="T41" s="58"/>
      <c r="U41" s="58"/>
      <c r="V41" s="58"/>
      <c r="W41" s="58"/>
      <c r="X41" s="58"/>
    </row>
    <row r="42" spans="2:24" ht="16" thickBot="1">
      <c r="B42" s="3" t="s">
        <v>12</v>
      </c>
      <c r="C42" s="4"/>
      <c r="D42" s="4"/>
      <c r="E42" s="4"/>
      <c r="F42" s="4"/>
      <c r="G42" s="4"/>
      <c r="H42" s="5"/>
      <c r="J42" s="58">
        <f>F35</f>
        <v>2050</v>
      </c>
      <c r="K42" s="58"/>
      <c r="L42" s="353">
        <f>F109/100</f>
        <v>0.99</v>
      </c>
      <c r="M42" s="353"/>
      <c r="N42" s="353">
        <f>F114</f>
        <v>20</v>
      </c>
      <c r="O42" s="354">
        <f>F129*1000*7.5</f>
        <v>975</v>
      </c>
      <c r="P42" s="355">
        <f>F135/1000</f>
        <v>0.92</v>
      </c>
      <c r="Q42" s="354">
        <f>F136</f>
        <v>1</v>
      </c>
      <c r="R42" s="58"/>
      <c r="S42" s="58"/>
      <c r="T42" s="58"/>
      <c r="U42" s="58"/>
      <c r="V42" s="58"/>
      <c r="W42" s="58"/>
      <c r="X42" s="58"/>
    </row>
    <row r="43" spans="2:24" ht="27" customHeight="1" thickBot="1">
      <c r="B43" s="1" t="s">
        <v>13</v>
      </c>
      <c r="C43" s="1279" t="s">
        <v>133</v>
      </c>
      <c r="D43" s="1280"/>
      <c r="E43" s="1280"/>
      <c r="F43" s="1280"/>
      <c r="G43" s="1280"/>
      <c r="H43" s="1281"/>
      <c r="J43" s="58"/>
      <c r="K43" s="58"/>
      <c r="L43" s="58"/>
      <c r="M43" s="58"/>
      <c r="N43" s="58"/>
      <c r="O43" s="59"/>
      <c r="P43" s="59"/>
      <c r="Q43" s="59"/>
      <c r="R43" s="58"/>
      <c r="S43" s="58"/>
      <c r="T43" s="58"/>
      <c r="U43" s="58"/>
      <c r="V43" s="58"/>
      <c r="W43" s="58"/>
      <c r="X43" s="58"/>
    </row>
    <row r="44" spans="2:24" ht="16" thickBot="1">
      <c r="B44" s="1" t="s">
        <v>15</v>
      </c>
      <c r="C44" s="1282"/>
      <c r="D44" s="1283"/>
      <c r="E44" s="1283"/>
      <c r="F44" s="1283"/>
      <c r="G44" s="1283"/>
      <c r="H44" s="1284"/>
    </row>
    <row r="45" spans="2:24" ht="16" thickBot="1">
      <c r="B45" s="1" t="s">
        <v>17</v>
      </c>
      <c r="C45" s="1282"/>
      <c r="D45" s="1283"/>
      <c r="E45" s="1283"/>
      <c r="F45" s="1283"/>
      <c r="G45" s="1283"/>
      <c r="H45" s="1284"/>
    </row>
    <row r="46" spans="2:24" ht="16" thickBot="1">
      <c r="B46" s="1" t="s">
        <v>18</v>
      </c>
      <c r="C46" s="1282"/>
      <c r="D46" s="1283"/>
      <c r="E46" s="1283"/>
      <c r="F46" s="1283"/>
      <c r="G46" s="1283"/>
      <c r="H46" s="1284"/>
    </row>
    <row r="47" spans="2:24" ht="16" thickBot="1">
      <c r="B47" s="1" t="s">
        <v>19</v>
      </c>
      <c r="C47" s="1285"/>
      <c r="D47" s="1286"/>
      <c r="E47" s="1286"/>
      <c r="F47" s="1286"/>
      <c r="G47" s="1286"/>
      <c r="H47" s="1287"/>
    </row>
    <row r="48" spans="2:24" ht="16" thickBot="1">
      <c r="B48" s="3" t="s">
        <v>22</v>
      </c>
      <c r="C48" s="4"/>
      <c r="D48" s="4"/>
      <c r="E48" s="4"/>
      <c r="F48" s="4"/>
      <c r="G48" s="4"/>
      <c r="H48" s="5"/>
    </row>
    <row r="49" spans="2:15" ht="16" thickBot="1">
      <c r="B49" s="1" t="s">
        <v>23</v>
      </c>
      <c r="C49" s="2"/>
      <c r="D49" s="2"/>
      <c r="E49" s="2"/>
      <c r="F49" s="2"/>
      <c r="G49" s="2"/>
      <c r="H49" s="2"/>
    </row>
    <row r="50" spans="2:15">
      <c r="B50" s="6" t="s">
        <v>24</v>
      </c>
      <c r="C50" s="7">
        <v>266</v>
      </c>
      <c r="D50" s="7">
        <v>266</v>
      </c>
      <c r="E50" s="7">
        <v>266</v>
      </c>
      <c r="F50" s="7">
        <v>266</v>
      </c>
      <c r="G50" s="7" t="s">
        <v>132</v>
      </c>
      <c r="H50" s="7">
        <v>6</v>
      </c>
    </row>
    <row r="51" spans="2:15">
      <c r="B51" s="6" t="s">
        <v>26</v>
      </c>
      <c r="C51" s="7" t="s">
        <v>27</v>
      </c>
      <c r="D51" s="7">
        <v>70</v>
      </c>
      <c r="E51" s="7">
        <v>70</v>
      </c>
      <c r="F51" s="7">
        <v>70</v>
      </c>
      <c r="G51" s="7"/>
      <c r="H51" s="7">
        <v>6</v>
      </c>
    </row>
    <row r="52" spans="2:15" ht="16" thickBot="1">
      <c r="B52" s="1" t="s">
        <v>96</v>
      </c>
      <c r="C52" s="2" t="s">
        <v>29</v>
      </c>
      <c r="D52" s="2">
        <v>30</v>
      </c>
      <c r="E52" s="2">
        <v>30</v>
      </c>
      <c r="F52" s="2">
        <v>30</v>
      </c>
      <c r="G52" s="2"/>
      <c r="H52" s="2">
        <v>6</v>
      </c>
    </row>
    <row r="53" spans="2:15" ht="28" thickBot="1">
      <c r="B53" s="1" t="s">
        <v>30</v>
      </c>
      <c r="C53" s="2"/>
      <c r="D53" s="2"/>
      <c r="E53" s="2"/>
      <c r="F53" s="2"/>
      <c r="G53" s="2"/>
      <c r="H53" s="2"/>
    </row>
    <row r="54" spans="2:15" ht="16" thickBot="1">
      <c r="B54" s="1" t="s">
        <v>50</v>
      </c>
      <c r="C54" s="2">
        <v>10</v>
      </c>
      <c r="D54" s="2">
        <v>10</v>
      </c>
      <c r="E54" s="2">
        <v>10</v>
      </c>
      <c r="F54" s="2">
        <v>10</v>
      </c>
      <c r="G54" s="2" t="s">
        <v>16</v>
      </c>
      <c r="H54" s="2"/>
    </row>
    <row r="55" spans="2:15" ht="16" thickBot="1">
      <c r="B55" s="1" t="s">
        <v>31</v>
      </c>
      <c r="C55" s="2"/>
      <c r="D55" s="2"/>
      <c r="E55" s="2"/>
      <c r="F55" s="2"/>
      <c r="G55" s="2"/>
      <c r="H55" s="2"/>
    </row>
    <row r="56" spans="2:15">
      <c r="B56" s="36" t="s">
        <v>353</v>
      </c>
      <c r="C56" s="60">
        <f>C50*$F$4/C37*1000</f>
        <v>4954.25</v>
      </c>
      <c r="D56" s="60">
        <f>D50*$F$4/D37*1000</f>
        <v>4954.25</v>
      </c>
      <c r="E56" s="60">
        <f>E50*$F$4/E37*1000</f>
        <v>4954.25</v>
      </c>
      <c r="F56" s="60">
        <f>F50*$F$4/F37*1000</f>
        <v>4954.25</v>
      </c>
      <c r="G56" s="63" t="s">
        <v>332</v>
      </c>
      <c r="H56" s="63"/>
    </row>
    <row r="57" spans="2:15">
      <c r="B57" s="36" t="s">
        <v>354</v>
      </c>
      <c r="C57" s="60">
        <f>C50*$F$4*1000</f>
        <v>1981700</v>
      </c>
      <c r="D57" s="60">
        <f>D50*$F$4*1000</f>
        <v>1981700</v>
      </c>
      <c r="E57" s="60">
        <f>E50*$F$4*1000</f>
        <v>1981700</v>
      </c>
      <c r="F57" s="60">
        <f>F50*$F$4*1000</f>
        <v>1981700</v>
      </c>
      <c r="G57" s="70">
        <f>C37</f>
        <v>400</v>
      </c>
      <c r="H57" s="69" t="s">
        <v>330</v>
      </c>
    </row>
    <row r="58" spans="2:15">
      <c r="B58" s="36" t="s">
        <v>355</v>
      </c>
      <c r="C58" s="307">
        <f>C54*$F$4</f>
        <v>74.5</v>
      </c>
      <c r="D58" s="307">
        <f t="shared" ref="C58:F59" si="2">D54*$F$4</f>
        <v>74.5</v>
      </c>
      <c r="E58" s="307">
        <f t="shared" si="2"/>
        <v>74.5</v>
      </c>
      <c r="F58" s="307">
        <f t="shared" si="2"/>
        <v>74.5</v>
      </c>
      <c r="G58" s="69" t="s">
        <v>331</v>
      </c>
      <c r="H58" s="69"/>
    </row>
    <row r="59" spans="2:15">
      <c r="B59" s="36" t="s">
        <v>356</v>
      </c>
      <c r="C59" s="60">
        <f t="shared" si="2"/>
        <v>0</v>
      </c>
      <c r="D59" s="60">
        <f t="shared" si="2"/>
        <v>0</v>
      </c>
      <c r="E59" s="60">
        <f t="shared" si="2"/>
        <v>0</v>
      </c>
      <c r="F59" s="60">
        <f t="shared" si="2"/>
        <v>0</v>
      </c>
      <c r="G59" s="61"/>
      <c r="H59" s="61"/>
    </row>
    <row r="60" spans="2:15">
      <c r="C60">
        <f>C58/1000</f>
        <v>7.4499999999999997E-2</v>
      </c>
    </row>
    <row r="61" spans="2:15" ht="16" thickBot="1"/>
    <row r="62" spans="2:15">
      <c r="J62" s="1259">
        <f>C62</f>
        <v>0</v>
      </c>
      <c r="K62" s="1260"/>
      <c r="L62" s="1260"/>
      <c r="M62" s="1260"/>
      <c r="N62" s="1260"/>
      <c r="O62" s="1261"/>
    </row>
    <row r="63" spans="2:15" ht="16" thickBot="1">
      <c r="B63" s="124" t="s">
        <v>410</v>
      </c>
      <c r="J63" s="1134">
        <f>C63</f>
        <v>0</v>
      </c>
      <c r="K63" s="1135"/>
      <c r="L63" s="1135"/>
      <c r="M63" s="1135"/>
      <c r="N63" s="1135"/>
      <c r="O63" s="1136"/>
    </row>
    <row r="64" spans="2:15">
      <c r="B64" s="124" t="s">
        <v>411</v>
      </c>
      <c r="J64" s="53" t="s">
        <v>357</v>
      </c>
    </row>
    <row r="65" spans="2:24" ht="30">
      <c r="B65" s="124" t="s">
        <v>412</v>
      </c>
      <c r="J65" s="46" t="s">
        <v>335</v>
      </c>
      <c r="K65" s="46" t="s">
        <v>336</v>
      </c>
      <c r="L65" s="47" t="s">
        <v>337</v>
      </c>
      <c r="M65" s="47" t="s">
        <v>338</v>
      </c>
      <c r="N65" s="47" t="s">
        <v>339</v>
      </c>
      <c r="O65" s="48" t="s">
        <v>340</v>
      </c>
      <c r="P65" s="49" t="s">
        <v>341</v>
      </c>
      <c r="Q65" s="49" t="s">
        <v>342</v>
      </c>
      <c r="R65" s="49" t="s">
        <v>343</v>
      </c>
      <c r="S65" s="49" t="s">
        <v>344</v>
      </c>
      <c r="T65" s="49" t="s">
        <v>345</v>
      </c>
      <c r="U65" s="49" t="s">
        <v>346</v>
      </c>
      <c r="V65" s="49" t="s">
        <v>347</v>
      </c>
      <c r="W65" s="49" t="s">
        <v>348</v>
      </c>
      <c r="X65" s="49" t="s">
        <v>349</v>
      </c>
    </row>
    <row r="66" spans="2:24" ht="16" thickBot="1">
      <c r="B66" s="124" t="s">
        <v>413</v>
      </c>
      <c r="J66" s="50"/>
      <c r="K66" s="50"/>
      <c r="L66" s="51"/>
      <c r="M66" s="51"/>
      <c r="N66" s="51"/>
      <c r="O66" s="52"/>
      <c r="P66" s="50"/>
      <c r="Q66" s="50"/>
      <c r="R66" s="50"/>
      <c r="S66" s="50"/>
      <c r="T66" s="50"/>
      <c r="U66" s="50"/>
      <c r="V66" s="50"/>
      <c r="W66" s="50"/>
      <c r="X66" s="50"/>
    </row>
    <row r="67" spans="2:24">
      <c r="B67" s="124" t="s">
        <v>414</v>
      </c>
      <c r="J67" s="56"/>
      <c r="K67" s="56"/>
      <c r="L67" s="57"/>
      <c r="M67" s="57"/>
      <c r="N67" s="57"/>
      <c r="O67" s="56" t="s">
        <v>350</v>
      </c>
      <c r="P67" s="56" t="s">
        <v>326</v>
      </c>
      <c r="Q67" s="56" t="s">
        <v>327</v>
      </c>
      <c r="R67" s="56" t="s">
        <v>351</v>
      </c>
      <c r="S67" s="56" t="s">
        <v>351</v>
      </c>
      <c r="T67" s="56" t="s">
        <v>352</v>
      </c>
      <c r="U67" s="56" t="s">
        <v>352</v>
      </c>
      <c r="V67" s="56" t="s">
        <v>352</v>
      </c>
      <c r="W67" s="56" t="s">
        <v>352</v>
      </c>
      <c r="X67" s="56" t="s">
        <v>352</v>
      </c>
    </row>
    <row r="68" spans="2:24">
      <c r="B68" s="124"/>
      <c r="J68" s="58">
        <f>C64</f>
        <v>0</v>
      </c>
      <c r="K68" s="58">
        <f>J68</f>
        <v>0</v>
      </c>
      <c r="L68" s="58">
        <f>C69/100</f>
        <v>0</v>
      </c>
      <c r="M68" s="58"/>
      <c r="N68" s="58">
        <f>C70</f>
        <v>0</v>
      </c>
      <c r="O68" s="59">
        <f>C85</f>
        <v>0</v>
      </c>
      <c r="P68" s="59">
        <f>C87</f>
        <v>0</v>
      </c>
      <c r="Q68" s="59">
        <f>C88</f>
        <v>0</v>
      </c>
      <c r="R68" s="58"/>
      <c r="S68" s="58"/>
      <c r="T68" s="58"/>
      <c r="U68" s="58"/>
      <c r="V68" s="58"/>
      <c r="W68" s="58"/>
      <c r="X68" s="58"/>
    </row>
    <row r="69" spans="2:24">
      <c r="B69" s="124"/>
      <c r="J69" s="58">
        <f>D64</f>
        <v>0</v>
      </c>
      <c r="K69" s="58"/>
      <c r="L69" s="58">
        <f>D69/100</f>
        <v>0</v>
      </c>
      <c r="M69" s="58"/>
      <c r="N69" s="58">
        <f>D70</f>
        <v>0</v>
      </c>
      <c r="O69" s="59">
        <f>D85</f>
        <v>0</v>
      </c>
      <c r="P69" s="59">
        <f>D87</f>
        <v>0</v>
      </c>
      <c r="Q69" s="59">
        <f>D88</f>
        <v>0</v>
      </c>
      <c r="R69" s="58"/>
      <c r="S69" s="58"/>
      <c r="T69" s="58"/>
      <c r="U69" s="58"/>
      <c r="V69" s="58"/>
      <c r="W69" s="58"/>
      <c r="X69" s="58"/>
    </row>
    <row r="70" spans="2:24">
      <c r="B70" s="124" t="s">
        <v>415</v>
      </c>
      <c r="J70" s="58">
        <f>E64</f>
        <v>0</v>
      </c>
      <c r="K70" s="58"/>
      <c r="L70" s="58">
        <f>E69/100</f>
        <v>0</v>
      </c>
      <c r="M70" s="58"/>
      <c r="N70" s="58">
        <f>E70</f>
        <v>0</v>
      </c>
      <c r="O70" s="59">
        <f>E85</f>
        <v>0</v>
      </c>
      <c r="P70" s="59">
        <f>E87</f>
        <v>0</v>
      </c>
      <c r="Q70" s="59">
        <f>E88</f>
        <v>0</v>
      </c>
      <c r="R70" s="58"/>
      <c r="S70" s="58"/>
      <c r="T70" s="58"/>
      <c r="U70" s="58"/>
      <c r="V70" s="58"/>
      <c r="W70" s="58"/>
      <c r="X70" s="58"/>
    </row>
    <row r="71" spans="2:24">
      <c r="B71" s="124" t="s">
        <v>416</v>
      </c>
      <c r="J71" s="58">
        <f>F64</f>
        <v>0</v>
      </c>
      <c r="K71" s="58"/>
      <c r="L71" s="58">
        <f>F69/100</f>
        <v>0</v>
      </c>
      <c r="M71" s="58"/>
      <c r="N71" s="58">
        <f>F70</f>
        <v>0</v>
      </c>
      <c r="O71" s="59">
        <f>F85</f>
        <v>0</v>
      </c>
      <c r="P71" s="59">
        <f>F87</f>
        <v>0</v>
      </c>
      <c r="Q71" s="59">
        <f>F88</f>
        <v>0</v>
      </c>
      <c r="R71" s="58"/>
      <c r="S71" s="58"/>
      <c r="T71" s="58"/>
      <c r="U71" s="58"/>
      <c r="V71" s="58"/>
      <c r="W71" s="58"/>
      <c r="X71" s="58"/>
    </row>
    <row r="72" spans="2:24">
      <c r="B72" s="124" t="s">
        <v>417</v>
      </c>
    </row>
    <row r="73" spans="2:24">
      <c r="B73" s="124" t="s">
        <v>418</v>
      </c>
    </row>
    <row r="74" spans="2:24">
      <c r="B74" s="124" t="s">
        <v>419</v>
      </c>
    </row>
    <row r="75" spans="2:24">
      <c r="B75" s="124" t="s">
        <v>420</v>
      </c>
    </row>
    <row r="76" spans="2:24">
      <c r="B76" s="124" t="s">
        <v>421</v>
      </c>
    </row>
    <row r="89" spans="10:24" ht="16" thickBot="1"/>
    <row r="90" spans="10:24">
      <c r="J90" s="1259">
        <f>C90</f>
        <v>0</v>
      </c>
      <c r="K90" s="1260"/>
      <c r="L90" s="1260"/>
      <c r="M90" s="1260"/>
      <c r="N90" s="1260"/>
      <c r="O90" s="1261"/>
    </row>
    <row r="91" spans="10:24" ht="16" thickBot="1">
      <c r="J91" s="1134">
        <f>C91</f>
        <v>0</v>
      </c>
      <c r="K91" s="1135"/>
      <c r="L91" s="1135"/>
      <c r="M91" s="1135"/>
      <c r="N91" s="1135"/>
      <c r="O91" s="1136"/>
    </row>
    <row r="92" spans="10:24">
      <c r="J92" s="53" t="s">
        <v>357</v>
      </c>
    </row>
    <row r="93" spans="10:24" ht="30">
      <c r="J93" s="46" t="s">
        <v>335</v>
      </c>
      <c r="K93" s="46" t="s">
        <v>336</v>
      </c>
      <c r="L93" s="47" t="s">
        <v>337</v>
      </c>
      <c r="M93" s="47" t="s">
        <v>338</v>
      </c>
      <c r="N93" s="47" t="s">
        <v>339</v>
      </c>
      <c r="O93" s="48" t="s">
        <v>340</v>
      </c>
      <c r="P93" s="49" t="s">
        <v>341</v>
      </c>
      <c r="Q93" s="49" t="s">
        <v>342</v>
      </c>
      <c r="R93" s="49" t="s">
        <v>343</v>
      </c>
      <c r="S93" s="49" t="s">
        <v>344</v>
      </c>
      <c r="T93" s="49" t="s">
        <v>345</v>
      </c>
      <c r="U93" s="49" t="s">
        <v>346</v>
      </c>
      <c r="V93" s="49" t="s">
        <v>347</v>
      </c>
      <c r="W93" s="49" t="s">
        <v>348</v>
      </c>
      <c r="X93" s="49" t="s">
        <v>349</v>
      </c>
    </row>
    <row r="94" spans="10:24" ht="16" thickBot="1">
      <c r="J94" s="50"/>
      <c r="K94" s="50"/>
      <c r="L94" s="51"/>
      <c r="M94" s="51"/>
      <c r="N94" s="51"/>
      <c r="O94" s="52"/>
      <c r="P94" s="50"/>
      <c r="Q94" s="50"/>
      <c r="R94" s="50"/>
      <c r="S94" s="50"/>
      <c r="T94" s="50"/>
      <c r="U94" s="50"/>
      <c r="V94" s="50"/>
      <c r="W94" s="50"/>
      <c r="X94" s="50"/>
    </row>
    <row r="95" spans="10:24">
      <c r="J95" s="56"/>
      <c r="K95" s="56"/>
      <c r="L95" s="57"/>
      <c r="M95" s="57"/>
      <c r="N95" s="57"/>
      <c r="O95" s="56" t="s">
        <v>350</v>
      </c>
      <c r="P95" s="56" t="s">
        <v>326</v>
      </c>
      <c r="Q95" s="56" t="s">
        <v>327</v>
      </c>
      <c r="R95" s="56" t="s">
        <v>351</v>
      </c>
      <c r="S95" s="56" t="s">
        <v>351</v>
      </c>
      <c r="T95" s="56" t="s">
        <v>352</v>
      </c>
      <c r="U95" s="56" t="s">
        <v>352</v>
      </c>
      <c r="V95" s="56" t="s">
        <v>352</v>
      </c>
      <c r="W95" s="56" t="s">
        <v>352</v>
      </c>
      <c r="X95" s="56" t="s">
        <v>352</v>
      </c>
    </row>
    <row r="96" spans="10:24">
      <c r="J96" s="58">
        <f>C92</f>
        <v>0</v>
      </c>
      <c r="K96" s="58">
        <f>J96</f>
        <v>0</v>
      </c>
      <c r="L96" s="58">
        <f>C97/100</f>
        <v>0</v>
      </c>
      <c r="M96" s="58"/>
      <c r="N96" s="58">
        <f>C98</f>
        <v>0</v>
      </c>
      <c r="O96" s="59" t="str">
        <f>C113</f>
        <v>0.2</v>
      </c>
      <c r="P96" s="59" t="str">
        <f>C115</f>
        <v>0.5</v>
      </c>
      <c r="Q96" s="59">
        <f>C116</f>
        <v>0</v>
      </c>
      <c r="R96" s="58"/>
      <c r="S96" s="58"/>
      <c r="T96" s="58"/>
      <c r="U96" s="58"/>
      <c r="V96" s="58"/>
      <c r="W96" s="58"/>
      <c r="X96" s="58"/>
    </row>
    <row r="97" spans="2:24">
      <c r="J97" s="58">
        <f>D92</f>
        <v>0</v>
      </c>
      <c r="K97" s="58"/>
      <c r="L97" s="58">
        <f>D97/100</f>
        <v>0</v>
      </c>
      <c r="M97" s="58"/>
      <c r="N97" s="58">
        <f>D98</f>
        <v>0</v>
      </c>
      <c r="O97" s="59" t="str">
        <f>D113</f>
        <v>0.2</v>
      </c>
      <c r="P97" s="59" t="str">
        <f>D115</f>
        <v>0.5</v>
      </c>
      <c r="Q97" s="59">
        <f>D116</f>
        <v>0</v>
      </c>
      <c r="R97" s="58"/>
      <c r="S97" s="58"/>
      <c r="T97" s="58"/>
      <c r="U97" s="58"/>
      <c r="V97" s="58"/>
      <c r="W97" s="58"/>
      <c r="X97" s="58"/>
    </row>
    <row r="98" spans="2:24">
      <c r="J98" s="58">
        <f>E92</f>
        <v>0</v>
      </c>
      <c r="K98" s="58"/>
      <c r="L98" s="58">
        <f>E97/100</f>
        <v>0</v>
      </c>
      <c r="M98" s="58"/>
      <c r="N98" s="58">
        <f>E98</f>
        <v>0</v>
      </c>
      <c r="O98" s="59" t="str">
        <f>E113</f>
        <v>0.2</v>
      </c>
      <c r="P98" s="59" t="str">
        <f>E115</f>
        <v>0.5</v>
      </c>
      <c r="Q98" s="59">
        <f>E116</f>
        <v>0</v>
      </c>
      <c r="R98" s="58"/>
      <c r="S98" s="58"/>
      <c r="T98" s="58"/>
      <c r="U98" s="58"/>
      <c r="V98" s="58"/>
      <c r="W98" s="58"/>
      <c r="X98" s="58"/>
    </row>
    <row r="99" spans="2:24">
      <c r="J99" s="58">
        <f>F92</f>
        <v>0</v>
      </c>
      <c r="K99" s="58"/>
      <c r="L99" s="58">
        <f>F97/100</f>
        <v>0</v>
      </c>
      <c r="M99" s="58"/>
      <c r="N99" s="58">
        <f>F98</f>
        <v>0</v>
      </c>
      <c r="O99" s="59" t="str">
        <f>F113</f>
        <v>0.2</v>
      </c>
      <c r="P99" s="59" t="str">
        <f>F115</f>
        <v>0.5</v>
      </c>
      <c r="Q99" s="59">
        <f>F116</f>
        <v>0</v>
      </c>
      <c r="R99" s="58"/>
      <c r="S99" s="58"/>
      <c r="T99" s="58"/>
      <c r="U99" s="58"/>
      <c r="V99" s="58"/>
      <c r="W99" s="58"/>
      <c r="X99" s="58"/>
    </row>
    <row r="105" spans="2:24">
      <c r="B105" s="334" t="s">
        <v>0</v>
      </c>
      <c r="C105" s="1306" t="s">
        <v>646</v>
      </c>
      <c r="D105" s="1307"/>
      <c r="E105" s="1307"/>
      <c r="F105" s="1307"/>
      <c r="G105" s="1307"/>
      <c r="H105" s="1307"/>
      <c r="I105" s="1307"/>
      <c r="J105" s="1307"/>
      <c r="K105" s="1307"/>
      <c r="L105" s="1307"/>
    </row>
    <row r="106" spans="2:24">
      <c r="B106" s="335"/>
      <c r="C106" s="336">
        <v>2015</v>
      </c>
      <c r="D106" s="336">
        <v>2020</v>
      </c>
      <c r="E106" s="336">
        <v>2030</v>
      </c>
      <c r="F106" s="336">
        <v>2050</v>
      </c>
      <c r="G106" s="1306" t="s">
        <v>647</v>
      </c>
      <c r="H106" s="1306"/>
      <c r="I106" s="1306" t="s">
        <v>648</v>
      </c>
      <c r="J106" s="1306"/>
      <c r="K106" s="336" t="s">
        <v>2</v>
      </c>
      <c r="L106" s="336" t="s">
        <v>3</v>
      </c>
    </row>
    <row r="107" spans="2:24">
      <c r="B107" s="334" t="s">
        <v>4</v>
      </c>
      <c r="C107" s="334"/>
      <c r="D107" s="334"/>
      <c r="E107" s="334"/>
      <c r="F107" s="334"/>
      <c r="G107" s="336" t="s">
        <v>649</v>
      </c>
      <c r="H107" s="336" t="s">
        <v>650</v>
      </c>
      <c r="I107" s="336" t="s">
        <v>649</v>
      </c>
      <c r="J107" s="336" t="s">
        <v>650</v>
      </c>
      <c r="K107" s="334"/>
      <c r="L107" s="334"/>
    </row>
    <row r="108" spans="2:24">
      <c r="B108" s="335" t="s">
        <v>651</v>
      </c>
      <c r="C108" s="1296">
        <v>5</v>
      </c>
      <c r="D108" s="1296"/>
      <c r="E108" s="1307"/>
      <c r="F108" s="1307"/>
      <c r="G108" s="337">
        <v>1</v>
      </c>
      <c r="H108" s="337">
        <v>25</v>
      </c>
      <c r="I108" s="337">
        <v>1</v>
      </c>
      <c r="J108" s="337">
        <v>25</v>
      </c>
      <c r="K108" s="338"/>
      <c r="L108" s="338"/>
    </row>
    <row r="109" spans="2:24">
      <c r="B109" s="335" t="s">
        <v>652</v>
      </c>
      <c r="C109" s="338">
        <v>98</v>
      </c>
      <c r="D109" s="338">
        <v>99</v>
      </c>
      <c r="E109" s="338">
        <v>99</v>
      </c>
      <c r="F109" s="338">
        <v>99</v>
      </c>
      <c r="G109" s="338">
        <v>98</v>
      </c>
      <c r="H109" s="338">
        <v>99</v>
      </c>
      <c r="I109" s="338">
        <v>99</v>
      </c>
      <c r="J109" s="338">
        <v>99</v>
      </c>
      <c r="K109" s="338"/>
      <c r="L109" s="338">
        <v>1</v>
      </c>
    </row>
    <row r="110" spans="2:24">
      <c r="B110" s="335" t="s">
        <v>653</v>
      </c>
      <c r="C110" s="338">
        <v>98</v>
      </c>
      <c r="D110" s="338">
        <v>99</v>
      </c>
      <c r="E110" s="338">
        <v>99</v>
      </c>
      <c r="F110" s="338">
        <v>99</v>
      </c>
      <c r="G110" s="338">
        <v>98</v>
      </c>
      <c r="H110" s="338">
        <v>99</v>
      </c>
      <c r="I110" s="338">
        <v>99</v>
      </c>
      <c r="J110" s="338">
        <v>99</v>
      </c>
      <c r="K110" s="338"/>
      <c r="L110" s="338">
        <v>1</v>
      </c>
    </row>
    <row r="111" spans="2:24" ht="26">
      <c r="B111" s="335" t="s">
        <v>654</v>
      </c>
      <c r="C111" s="339" t="s">
        <v>655</v>
      </c>
      <c r="D111" s="339" t="s">
        <v>655</v>
      </c>
      <c r="E111" s="339" t="s">
        <v>655</v>
      </c>
      <c r="F111" s="339" t="s">
        <v>655</v>
      </c>
      <c r="G111" s="338" t="s">
        <v>656</v>
      </c>
      <c r="H111" s="338" t="s">
        <v>655</v>
      </c>
      <c r="I111" s="338" t="s">
        <v>656</v>
      </c>
      <c r="J111" s="338" t="s">
        <v>655</v>
      </c>
      <c r="K111" s="338"/>
      <c r="L111" s="338">
        <v>1</v>
      </c>
    </row>
    <row r="112" spans="2:24">
      <c r="B112" s="335" t="s">
        <v>657</v>
      </c>
      <c r="C112" s="338">
        <v>1</v>
      </c>
      <c r="D112" s="338">
        <v>1</v>
      </c>
      <c r="E112" s="338">
        <v>1</v>
      </c>
      <c r="F112" s="338">
        <v>1</v>
      </c>
      <c r="G112" s="338" t="s">
        <v>655</v>
      </c>
      <c r="H112" s="338">
        <v>1</v>
      </c>
      <c r="I112" s="338" t="s">
        <v>655</v>
      </c>
      <c r="J112" s="338">
        <v>1</v>
      </c>
      <c r="K112" s="338" t="s">
        <v>76</v>
      </c>
      <c r="L112" s="338">
        <v>1</v>
      </c>
    </row>
    <row r="113" spans="2:12">
      <c r="B113" s="335" t="s">
        <v>658</v>
      </c>
      <c r="C113" s="338" t="s">
        <v>659</v>
      </c>
      <c r="D113" s="338" t="s">
        <v>659</v>
      </c>
      <c r="E113" s="338" t="s">
        <v>659</v>
      </c>
      <c r="F113" s="338" t="s">
        <v>659</v>
      </c>
      <c r="G113" s="338" t="s">
        <v>659</v>
      </c>
      <c r="H113" s="338" t="s">
        <v>659</v>
      </c>
      <c r="I113" s="338" t="s">
        <v>659</v>
      </c>
      <c r="J113" s="338" t="s">
        <v>659</v>
      </c>
      <c r="K113" s="338" t="s">
        <v>76</v>
      </c>
      <c r="L113" s="338">
        <v>1</v>
      </c>
    </row>
    <row r="114" spans="2:12">
      <c r="B114" s="335" t="s">
        <v>11</v>
      </c>
      <c r="C114" s="338">
        <v>20</v>
      </c>
      <c r="D114" s="338">
        <v>20</v>
      </c>
      <c r="E114" s="338">
        <v>20</v>
      </c>
      <c r="F114" s="338">
        <v>20</v>
      </c>
      <c r="G114" s="338">
        <v>20</v>
      </c>
      <c r="H114" s="338">
        <v>20</v>
      </c>
      <c r="I114" s="338">
        <v>20</v>
      </c>
      <c r="J114" s="338">
        <v>20</v>
      </c>
      <c r="K114" s="338"/>
      <c r="L114" s="338">
        <v>1</v>
      </c>
    </row>
    <row r="115" spans="2:12">
      <c r="B115" s="335" t="s">
        <v>273</v>
      </c>
      <c r="C115" s="338" t="s">
        <v>655</v>
      </c>
      <c r="D115" s="338" t="s">
        <v>655</v>
      </c>
      <c r="E115" s="338" t="s">
        <v>655</v>
      </c>
      <c r="F115" s="338" t="s">
        <v>655</v>
      </c>
      <c r="G115" s="338" t="s">
        <v>655</v>
      </c>
      <c r="H115" s="338">
        <v>1</v>
      </c>
      <c r="I115" s="338" t="s">
        <v>655</v>
      </c>
      <c r="J115" s="338">
        <v>1</v>
      </c>
      <c r="K115" s="338"/>
      <c r="L115" s="338">
        <v>1</v>
      </c>
    </row>
    <row r="116" spans="2:12">
      <c r="B116" s="1295" t="s">
        <v>660</v>
      </c>
      <c r="C116" s="1295"/>
      <c r="D116" s="1295"/>
      <c r="E116" s="1295"/>
      <c r="F116" s="1295"/>
      <c r="G116" s="1295"/>
      <c r="H116" s="1295"/>
      <c r="I116" s="1295"/>
      <c r="J116" s="1295"/>
      <c r="K116" s="1295"/>
      <c r="L116" s="1295"/>
    </row>
    <row r="117" spans="2:12">
      <c r="B117" s="335" t="s">
        <v>661</v>
      </c>
      <c r="C117" s="338">
        <v>100</v>
      </c>
      <c r="D117" s="338">
        <v>100</v>
      </c>
      <c r="E117" s="338">
        <v>100</v>
      </c>
      <c r="F117" s="338">
        <v>100</v>
      </c>
      <c r="G117" s="338">
        <v>100</v>
      </c>
      <c r="H117" s="338">
        <v>100</v>
      </c>
      <c r="I117" s="338">
        <v>100</v>
      </c>
      <c r="J117" s="338">
        <v>100</v>
      </c>
      <c r="K117" s="338"/>
      <c r="L117" s="338">
        <v>1</v>
      </c>
    </row>
    <row r="118" spans="2:12">
      <c r="B118" s="335" t="s">
        <v>662</v>
      </c>
      <c r="C118" s="338">
        <v>100</v>
      </c>
      <c r="D118" s="338">
        <v>100</v>
      </c>
      <c r="E118" s="338">
        <v>100</v>
      </c>
      <c r="F118" s="338">
        <v>100</v>
      </c>
      <c r="G118" s="338">
        <v>100</v>
      </c>
      <c r="H118" s="338">
        <v>100</v>
      </c>
      <c r="I118" s="338">
        <v>100</v>
      </c>
      <c r="J118" s="338">
        <v>100</v>
      </c>
      <c r="K118" s="338"/>
      <c r="L118" s="338">
        <v>1</v>
      </c>
    </row>
    <row r="119" spans="2:12">
      <c r="B119" s="335" t="s">
        <v>663</v>
      </c>
      <c r="C119" s="1296">
        <v>5</v>
      </c>
      <c r="D119" s="1296"/>
      <c r="E119" s="1296"/>
      <c r="F119" s="1296"/>
      <c r="G119" s="1296"/>
      <c r="H119" s="1296"/>
      <c r="I119" s="1296"/>
      <c r="J119" s="1296"/>
      <c r="K119" s="338"/>
      <c r="L119" s="338">
        <v>1</v>
      </c>
    </row>
    <row r="120" spans="2:12">
      <c r="B120" s="335" t="s">
        <v>664</v>
      </c>
      <c r="C120" s="1296" t="s">
        <v>665</v>
      </c>
      <c r="D120" s="1296"/>
      <c r="E120" s="1296"/>
      <c r="F120" s="1296"/>
      <c r="G120" s="1296"/>
      <c r="H120" s="1296"/>
      <c r="I120" s="1296"/>
      <c r="J120" s="1296"/>
      <c r="K120" s="338"/>
      <c r="L120" s="338">
        <v>2</v>
      </c>
    </row>
    <row r="121" spans="2:12">
      <c r="B121" s="335" t="s">
        <v>666</v>
      </c>
      <c r="C121" s="1296" t="s">
        <v>667</v>
      </c>
      <c r="D121" s="1296"/>
      <c r="E121" s="1296"/>
      <c r="F121" s="1296"/>
      <c r="G121" s="1296"/>
      <c r="H121" s="1296"/>
      <c r="I121" s="1296"/>
      <c r="J121" s="1296"/>
      <c r="K121" s="338"/>
      <c r="L121" s="338">
        <v>2</v>
      </c>
    </row>
    <row r="122" spans="2:12">
      <c r="B122" s="1295" t="s">
        <v>12</v>
      </c>
      <c r="C122" s="1295"/>
      <c r="D122" s="1295"/>
      <c r="E122" s="1295"/>
      <c r="F122" s="1295"/>
      <c r="G122" s="1295"/>
      <c r="H122" s="1295"/>
      <c r="I122" s="1295"/>
      <c r="J122" s="1295"/>
      <c r="K122" s="1295"/>
      <c r="L122" s="1295"/>
    </row>
    <row r="123" spans="2:12">
      <c r="B123" s="335" t="s">
        <v>668</v>
      </c>
      <c r="C123" s="1297" t="s">
        <v>669</v>
      </c>
      <c r="D123" s="1298"/>
      <c r="E123" s="1298"/>
      <c r="F123" s="1298"/>
      <c r="G123" s="1298"/>
      <c r="H123" s="1298"/>
      <c r="I123" s="1298"/>
      <c r="J123" s="1298"/>
      <c r="K123" s="1299"/>
      <c r="L123" s="338"/>
    </row>
    <row r="124" spans="2:12">
      <c r="B124" s="335" t="s">
        <v>670</v>
      </c>
      <c r="C124" s="1300"/>
      <c r="D124" s="1301"/>
      <c r="E124" s="1301"/>
      <c r="F124" s="1301"/>
      <c r="G124" s="1301"/>
      <c r="H124" s="1301"/>
      <c r="I124" s="1301"/>
      <c r="J124" s="1301"/>
      <c r="K124" s="1302"/>
      <c r="L124" s="338"/>
    </row>
    <row r="125" spans="2:12">
      <c r="B125" s="335" t="s">
        <v>671</v>
      </c>
      <c r="C125" s="1300"/>
      <c r="D125" s="1301"/>
      <c r="E125" s="1301"/>
      <c r="F125" s="1301"/>
      <c r="G125" s="1301"/>
      <c r="H125" s="1301"/>
      <c r="I125" s="1301"/>
      <c r="J125" s="1301"/>
      <c r="K125" s="1302"/>
      <c r="L125" s="338"/>
    </row>
    <row r="126" spans="2:12">
      <c r="B126" s="335" t="s">
        <v>672</v>
      </c>
      <c r="C126" s="1300"/>
      <c r="D126" s="1301"/>
      <c r="E126" s="1301"/>
      <c r="F126" s="1301"/>
      <c r="G126" s="1301"/>
      <c r="H126" s="1301"/>
      <c r="I126" s="1301"/>
      <c r="J126" s="1301"/>
      <c r="K126" s="1302"/>
      <c r="L126" s="338"/>
    </row>
    <row r="127" spans="2:12">
      <c r="B127" s="340" t="s">
        <v>673</v>
      </c>
      <c r="C127" s="1303"/>
      <c r="D127" s="1304"/>
      <c r="E127" s="1304"/>
      <c r="F127" s="1304"/>
      <c r="G127" s="1304"/>
      <c r="H127" s="1304"/>
      <c r="I127" s="1304"/>
      <c r="J127" s="1304"/>
      <c r="K127" s="1305"/>
      <c r="L127" s="338"/>
    </row>
    <row r="128" spans="2:12">
      <c r="B128" s="1295" t="s">
        <v>674</v>
      </c>
      <c r="C128" s="1295"/>
      <c r="D128" s="1295"/>
      <c r="E128" s="1295"/>
      <c r="F128" s="1295"/>
      <c r="G128" s="1295"/>
      <c r="H128" s="1295"/>
      <c r="I128" s="1295"/>
      <c r="J128" s="1295"/>
      <c r="K128" s="1295"/>
      <c r="L128" s="1295"/>
    </row>
    <row r="129" spans="2:12" ht="26">
      <c r="B129" s="335" t="s">
        <v>675</v>
      </c>
      <c r="C129" s="341">
        <v>0.15</v>
      </c>
      <c r="D129" s="342">
        <v>0.15</v>
      </c>
      <c r="E129" s="342">
        <v>0.14000000000000001</v>
      </c>
      <c r="F129" s="342">
        <v>0.13</v>
      </c>
      <c r="G129" s="343">
        <v>0.1</v>
      </c>
      <c r="H129" s="344">
        <v>0.25</v>
      </c>
      <c r="I129" s="343">
        <v>0.1</v>
      </c>
      <c r="J129" s="344">
        <v>0.25</v>
      </c>
      <c r="K129" s="338" t="s">
        <v>6</v>
      </c>
      <c r="L129" s="338">
        <v>1</v>
      </c>
    </row>
    <row r="130" spans="2:12">
      <c r="B130" s="335" t="s">
        <v>676</v>
      </c>
      <c r="C130" s="344">
        <v>0.12</v>
      </c>
      <c r="D130" s="343">
        <f>$C$29*0.995^(D$5-$C$5)</f>
        <v>5960</v>
      </c>
      <c r="E130" s="343">
        <f>$C$29*0.995^(E$5-$C$5)</f>
        <v>5960</v>
      </c>
      <c r="F130" s="343">
        <f>$C$29*0.995^(F$5-$C$5)</f>
        <v>5960</v>
      </c>
      <c r="G130" s="344">
        <v>0.08</v>
      </c>
      <c r="H130" s="343">
        <v>0.2</v>
      </c>
      <c r="I130" s="343">
        <v>0.08</v>
      </c>
      <c r="J130" s="343">
        <v>0.2</v>
      </c>
      <c r="K130" s="338" t="s">
        <v>59</v>
      </c>
      <c r="L130" s="338">
        <v>1</v>
      </c>
    </row>
    <row r="131" spans="2:12">
      <c r="B131" s="335" t="s">
        <v>677</v>
      </c>
      <c r="C131" s="344">
        <v>0.03</v>
      </c>
      <c r="D131" s="343">
        <f>$C131*0.995^(D$5-$C$5)</f>
        <v>0.03</v>
      </c>
      <c r="E131" s="343">
        <f>$C131*0.995^(E$5-$C$5)</f>
        <v>0.03</v>
      </c>
      <c r="F131" s="343">
        <f>$C131*0.995^(F$5-$C$5)</f>
        <v>0.03</v>
      </c>
      <c r="G131" s="344">
        <v>0.02</v>
      </c>
      <c r="H131" s="344">
        <v>0.05</v>
      </c>
      <c r="I131" s="344">
        <v>0.02</v>
      </c>
      <c r="J131" s="344">
        <v>0.05</v>
      </c>
      <c r="K131" s="338" t="s">
        <v>20</v>
      </c>
      <c r="L131" s="338">
        <v>1</v>
      </c>
    </row>
    <row r="132" spans="2:12" ht="26">
      <c r="B132" s="335" t="s">
        <v>678</v>
      </c>
      <c r="C132" s="345">
        <v>7.0000000000000007E-2</v>
      </c>
      <c r="D132" s="345">
        <v>7.0000000000000007E-2</v>
      </c>
      <c r="E132" s="345">
        <v>0.06</v>
      </c>
      <c r="F132" s="345">
        <v>0.06</v>
      </c>
      <c r="G132" s="346">
        <v>0.02</v>
      </c>
      <c r="H132" s="346">
        <v>0.17</v>
      </c>
      <c r="I132" s="346">
        <v>0.02</v>
      </c>
      <c r="J132" s="346">
        <v>0.17</v>
      </c>
      <c r="K132" s="337" t="s">
        <v>6</v>
      </c>
      <c r="L132" s="338">
        <v>1</v>
      </c>
    </row>
    <row r="133" spans="2:12">
      <c r="B133" s="335" t="s">
        <v>676</v>
      </c>
      <c r="C133" s="345">
        <v>0.06</v>
      </c>
      <c r="D133" s="345">
        <f>$C133*0.995^(D$5-$C$5)</f>
        <v>0.06</v>
      </c>
      <c r="E133" s="345">
        <v>0.05</v>
      </c>
      <c r="F133" s="345">
        <f>$C133*0.995^(F$5-$C$5)</f>
        <v>0.06</v>
      </c>
      <c r="G133" s="346">
        <v>0.02</v>
      </c>
      <c r="H133" s="346">
        <v>0.14000000000000001</v>
      </c>
      <c r="I133" s="346">
        <v>0.02</v>
      </c>
      <c r="J133" s="346">
        <v>0.14000000000000001</v>
      </c>
      <c r="K133" s="337" t="s">
        <v>16</v>
      </c>
      <c r="L133" s="338">
        <v>1</v>
      </c>
    </row>
    <row r="134" spans="2:12">
      <c r="B134" s="335" t="s">
        <v>677</v>
      </c>
      <c r="C134" s="345">
        <v>0.01</v>
      </c>
      <c r="D134" s="345">
        <f>$C134*0.995^(D$5-$C$5)</f>
        <v>0.01</v>
      </c>
      <c r="E134" s="345">
        <f>$C134*0.995^(E$5-$C$5)</f>
        <v>0.01</v>
      </c>
      <c r="F134" s="345">
        <f>$C134*0.995^(F$5-$C$5)</f>
        <v>0.01</v>
      </c>
      <c r="G134" s="346">
        <v>0</v>
      </c>
      <c r="H134" s="346">
        <v>0.03</v>
      </c>
      <c r="I134" s="346">
        <v>0</v>
      </c>
      <c r="J134" s="346">
        <v>0.03</v>
      </c>
      <c r="K134" s="337" t="s">
        <v>20</v>
      </c>
      <c r="L134" s="338">
        <v>1</v>
      </c>
    </row>
    <row r="135" spans="2:12">
      <c r="B135" s="335" t="s">
        <v>276</v>
      </c>
      <c r="C135" s="347">
        <v>1100</v>
      </c>
      <c r="D135" s="347">
        <v>1070</v>
      </c>
      <c r="E135" s="347">
        <v>1020</v>
      </c>
      <c r="F135" s="347">
        <v>920</v>
      </c>
      <c r="G135" s="337">
        <v>1000</v>
      </c>
      <c r="H135" s="337">
        <v>1100</v>
      </c>
      <c r="I135" s="337">
        <v>900</v>
      </c>
      <c r="J135" s="337">
        <v>1000</v>
      </c>
      <c r="K135" s="337" t="s">
        <v>6</v>
      </c>
      <c r="L135" s="338">
        <v>1</v>
      </c>
    </row>
    <row r="136" spans="2:12">
      <c r="B136" s="335" t="s">
        <v>679</v>
      </c>
      <c r="C136" s="348">
        <v>0.8</v>
      </c>
      <c r="D136" s="348">
        <v>0.9</v>
      </c>
      <c r="E136" s="348">
        <v>1</v>
      </c>
      <c r="F136" s="348">
        <v>1</v>
      </c>
      <c r="G136" s="348">
        <v>0.5</v>
      </c>
      <c r="H136" s="348">
        <v>0.9</v>
      </c>
      <c r="I136" s="348">
        <v>0.5</v>
      </c>
      <c r="J136" s="348">
        <v>1</v>
      </c>
      <c r="K136" s="349"/>
      <c r="L136" s="338">
        <v>1</v>
      </c>
    </row>
    <row r="137" spans="2:12">
      <c r="B137" s="350" t="s">
        <v>680</v>
      </c>
      <c r="C137" s="348">
        <v>0.3</v>
      </c>
      <c r="D137" s="348">
        <v>0.4</v>
      </c>
      <c r="E137" s="348">
        <v>0.5</v>
      </c>
      <c r="F137" s="348">
        <v>0.8</v>
      </c>
      <c r="G137" s="348">
        <v>0.1</v>
      </c>
      <c r="H137" s="348">
        <v>0.4</v>
      </c>
      <c r="I137" s="348">
        <v>0.2</v>
      </c>
      <c r="J137" s="348">
        <v>0.8</v>
      </c>
      <c r="K137" s="351" t="s">
        <v>25</v>
      </c>
      <c r="L137" s="351"/>
    </row>
    <row r="138" spans="2:12">
      <c r="B138" s="350" t="s">
        <v>681</v>
      </c>
      <c r="C138" s="348">
        <v>0.5</v>
      </c>
      <c r="D138" s="348">
        <v>0.5</v>
      </c>
      <c r="E138" s="348">
        <v>0.5</v>
      </c>
      <c r="F138" s="348">
        <v>0.4</v>
      </c>
      <c r="G138" s="348">
        <v>0.4</v>
      </c>
      <c r="H138" s="348">
        <v>0.5</v>
      </c>
      <c r="I138" s="348">
        <v>0.3</v>
      </c>
      <c r="J138" s="348">
        <v>0.5</v>
      </c>
      <c r="K138" s="337" t="s">
        <v>6</v>
      </c>
      <c r="L138" s="351">
        <v>1</v>
      </c>
    </row>
    <row r="139" spans="2:12">
      <c r="B139" s="1295" t="s">
        <v>682</v>
      </c>
      <c r="C139" s="1295"/>
      <c r="D139" s="1295"/>
      <c r="E139" s="1295"/>
      <c r="F139" s="1295"/>
      <c r="G139" s="1295"/>
      <c r="H139" s="1295"/>
      <c r="I139" s="1295"/>
      <c r="J139" s="1295"/>
      <c r="K139" s="1295"/>
      <c r="L139" s="1295"/>
    </row>
    <row r="140" spans="2:12">
      <c r="B140" s="335" t="s">
        <v>683</v>
      </c>
      <c r="C140" s="352">
        <v>0</v>
      </c>
      <c r="D140" s="352">
        <v>0</v>
      </c>
      <c r="E140" s="352">
        <v>0</v>
      </c>
      <c r="F140" s="352">
        <v>0</v>
      </c>
      <c r="G140" s="352">
        <v>0</v>
      </c>
      <c r="H140" s="352">
        <v>0</v>
      </c>
      <c r="I140" s="352">
        <v>0</v>
      </c>
      <c r="J140" s="352">
        <v>0</v>
      </c>
      <c r="K140" s="338"/>
      <c r="L140" s="338">
        <v>1</v>
      </c>
    </row>
  </sheetData>
  <mergeCells count="29">
    <mergeCell ref="C43:H47"/>
    <mergeCell ref="B6:B7"/>
    <mergeCell ref="C6:H6"/>
    <mergeCell ref="C7:H7"/>
    <mergeCell ref="C16:H20"/>
    <mergeCell ref="B33:B34"/>
    <mergeCell ref="C33:H33"/>
    <mergeCell ref="C34:H34"/>
    <mergeCell ref="J63:O63"/>
    <mergeCell ref="J90:O90"/>
    <mergeCell ref="J91:O91"/>
    <mergeCell ref="J6:O6"/>
    <mergeCell ref="J7:O7"/>
    <mergeCell ref="J62:O62"/>
    <mergeCell ref="J33:J34"/>
    <mergeCell ref="K33:P33"/>
    <mergeCell ref="K34:P34"/>
    <mergeCell ref="C105:L105"/>
    <mergeCell ref="G106:H106"/>
    <mergeCell ref="I106:J106"/>
    <mergeCell ref="C108:F108"/>
    <mergeCell ref="B116:L116"/>
    <mergeCell ref="B128:L128"/>
    <mergeCell ref="B139:L139"/>
    <mergeCell ref="C119:J119"/>
    <mergeCell ref="C120:J120"/>
    <mergeCell ref="C121:J121"/>
    <mergeCell ref="B122:L122"/>
    <mergeCell ref="C123:K127"/>
  </mergeCells>
  <pageMargins left="0.7" right="0.7" top="0.75" bottom="0.75" header="0.3" footer="0.3"/>
  <pageSetup paperSize="9" orientation="portrait"/>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22">
    <tabColor theme="4"/>
  </sheetPr>
  <dimension ref="B3:H30"/>
  <sheetViews>
    <sheetView workbookViewId="0">
      <selection activeCell="K36" sqref="K36"/>
    </sheetView>
  </sheetViews>
  <sheetFormatPr baseColWidth="10" defaultColWidth="8.83203125" defaultRowHeight="15"/>
  <cols>
    <col min="2" max="2" width="36.83203125" customWidth="1"/>
  </cols>
  <sheetData>
    <row r="3" spans="2:8">
      <c r="B3" s="8" t="s">
        <v>319</v>
      </c>
    </row>
    <row r="5" spans="2:8" ht="16" thickBot="1"/>
    <row r="6" spans="2:8" ht="15" customHeight="1">
      <c r="B6" s="1257" t="s">
        <v>0</v>
      </c>
      <c r="C6" s="1259" t="s">
        <v>134</v>
      </c>
      <c r="D6" s="1260"/>
      <c r="E6" s="1260"/>
      <c r="F6" s="1260"/>
      <c r="G6" s="1260"/>
      <c r="H6" s="1261"/>
    </row>
    <row r="7" spans="2:8" ht="15.75" customHeight="1" thickBot="1">
      <c r="B7" s="1258"/>
      <c r="C7" s="1134" t="s">
        <v>38</v>
      </c>
      <c r="D7" s="1135"/>
      <c r="E7" s="1135"/>
      <c r="F7" s="1135"/>
      <c r="G7" s="1135"/>
      <c r="H7" s="1136"/>
    </row>
    <row r="8" spans="2:8" ht="16" thickBot="1">
      <c r="B8" s="125"/>
      <c r="C8" s="126">
        <v>2015</v>
      </c>
      <c r="D8" s="126">
        <v>2020</v>
      </c>
      <c r="E8" s="126">
        <v>2030</v>
      </c>
      <c r="F8" s="126">
        <v>2050</v>
      </c>
      <c r="G8" s="126" t="s">
        <v>2</v>
      </c>
      <c r="H8" s="126" t="s">
        <v>3</v>
      </c>
    </row>
    <row r="9" spans="2:8" ht="16" thickBot="1">
      <c r="B9" s="127" t="s">
        <v>4</v>
      </c>
      <c r="C9" s="128"/>
      <c r="D9" s="128"/>
      <c r="E9" s="128"/>
      <c r="F9" s="128"/>
      <c r="G9" s="128"/>
      <c r="H9" s="129"/>
    </row>
    <row r="10" spans="2:8" ht="16" thickBot="1">
      <c r="B10" s="125" t="s">
        <v>5</v>
      </c>
      <c r="C10" s="132" t="s">
        <v>135</v>
      </c>
      <c r="D10" s="132" t="s">
        <v>135</v>
      </c>
      <c r="E10" s="132" t="s">
        <v>135</v>
      </c>
      <c r="F10" s="132"/>
      <c r="G10" s="132" t="s">
        <v>16</v>
      </c>
      <c r="H10" s="132" t="s">
        <v>136</v>
      </c>
    </row>
    <row r="11" spans="2:8" ht="16" thickBot="1">
      <c r="B11" s="125" t="s">
        <v>137</v>
      </c>
      <c r="C11" s="132" t="s">
        <v>138</v>
      </c>
      <c r="D11" s="132" t="s">
        <v>138</v>
      </c>
      <c r="E11" s="132" t="s">
        <v>138</v>
      </c>
      <c r="F11" s="132"/>
      <c r="G11" s="132"/>
      <c r="H11" s="132">
        <v>1</v>
      </c>
    </row>
    <row r="12" spans="2:8" ht="28" thickBot="1">
      <c r="B12" s="125" t="s">
        <v>7</v>
      </c>
      <c r="C12" s="132" t="s">
        <v>139</v>
      </c>
      <c r="D12" s="132" t="s">
        <v>139</v>
      </c>
      <c r="E12" s="132" t="s">
        <v>139</v>
      </c>
      <c r="F12" s="132"/>
      <c r="G12" s="132" t="s">
        <v>20</v>
      </c>
      <c r="H12" s="132"/>
    </row>
    <row r="13" spans="2:8" ht="28" thickBot="1">
      <c r="B13" s="125" t="s">
        <v>8</v>
      </c>
      <c r="C13" s="132" t="s">
        <v>140</v>
      </c>
      <c r="D13" s="132" t="s">
        <v>140</v>
      </c>
      <c r="E13" s="132" t="s">
        <v>140</v>
      </c>
      <c r="F13" s="132"/>
      <c r="G13" s="132" t="s">
        <v>141</v>
      </c>
      <c r="H13" s="132"/>
    </row>
    <row r="14" spans="2:8" ht="16" thickBot="1">
      <c r="B14" s="125" t="s">
        <v>142</v>
      </c>
      <c r="C14" s="132" t="s">
        <v>143</v>
      </c>
      <c r="D14" s="132" t="s">
        <v>144</v>
      </c>
      <c r="E14" s="132" t="s">
        <v>145</v>
      </c>
      <c r="F14" s="132"/>
      <c r="G14" s="132" t="s">
        <v>51</v>
      </c>
      <c r="H14" s="132">
        <v>1</v>
      </c>
    </row>
    <row r="15" spans="2:8" ht="16" thickBot="1">
      <c r="B15" s="125" t="s">
        <v>146</v>
      </c>
      <c r="C15" s="132" t="s">
        <v>147</v>
      </c>
      <c r="D15" s="132" t="s">
        <v>148</v>
      </c>
      <c r="E15" s="132" t="s">
        <v>148</v>
      </c>
      <c r="F15" s="132"/>
      <c r="G15" s="132" t="s">
        <v>51</v>
      </c>
      <c r="H15" s="132">
        <v>1</v>
      </c>
    </row>
    <row r="16" spans="2:8" ht="16" thickBot="1">
      <c r="B16" s="125" t="s">
        <v>9</v>
      </c>
      <c r="C16" s="132" t="s">
        <v>149</v>
      </c>
      <c r="D16" s="132" t="s">
        <v>150</v>
      </c>
      <c r="E16" s="132" t="s">
        <v>151</v>
      </c>
      <c r="F16" s="132"/>
      <c r="G16" s="132" t="s">
        <v>51</v>
      </c>
      <c r="H16" s="132">
        <v>1</v>
      </c>
    </row>
    <row r="17" spans="2:8" ht="16" thickBot="1">
      <c r="B17" s="125" t="s">
        <v>11</v>
      </c>
      <c r="C17" s="132" t="s">
        <v>152</v>
      </c>
      <c r="D17" s="132" t="s">
        <v>153</v>
      </c>
      <c r="E17" s="132" t="s">
        <v>153</v>
      </c>
      <c r="F17" s="132"/>
      <c r="G17" s="132"/>
      <c r="H17" s="132">
        <v>6</v>
      </c>
    </row>
    <row r="18" spans="2:8" ht="16" thickBot="1">
      <c r="B18" s="127" t="s">
        <v>12</v>
      </c>
      <c r="C18" s="128"/>
      <c r="D18" s="128"/>
      <c r="E18" s="128"/>
      <c r="F18" s="128"/>
      <c r="G18" s="128"/>
      <c r="H18" s="129"/>
    </row>
    <row r="19" spans="2:8" ht="16" thickBot="1">
      <c r="B19" s="125" t="s">
        <v>13</v>
      </c>
      <c r="C19" s="126">
        <v>0</v>
      </c>
      <c r="D19" s="126">
        <v>0</v>
      </c>
      <c r="E19" s="126">
        <v>0</v>
      </c>
      <c r="F19" s="126"/>
      <c r="G19" s="126"/>
      <c r="H19" s="126"/>
    </row>
    <row r="20" spans="2:8" ht="16" thickBot="1">
      <c r="B20" s="125" t="s">
        <v>15</v>
      </c>
      <c r="C20" s="35">
        <v>2</v>
      </c>
      <c r="D20" s="35">
        <v>2</v>
      </c>
      <c r="E20" s="35">
        <v>2</v>
      </c>
      <c r="F20" s="126"/>
      <c r="G20" s="126"/>
      <c r="H20" s="126" t="s">
        <v>154</v>
      </c>
    </row>
    <row r="21" spans="2:8" ht="16" thickBot="1">
      <c r="B21" s="125" t="s">
        <v>17</v>
      </c>
      <c r="C21" s="126" t="s">
        <v>155</v>
      </c>
      <c r="D21" s="126" t="s">
        <v>155</v>
      </c>
      <c r="E21" s="126" t="s">
        <v>155</v>
      </c>
      <c r="F21" s="126"/>
      <c r="G21" s="126" t="s">
        <v>25</v>
      </c>
      <c r="H21" s="126" t="s">
        <v>154</v>
      </c>
    </row>
    <row r="22" spans="2:8" ht="16" thickBot="1">
      <c r="B22" s="125" t="s">
        <v>18</v>
      </c>
      <c r="C22" s="35">
        <v>0</v>
      </c>
      <c r="D22" s="35">
        <v>0</v>
      </c>
      <c r="E22" s="35">
        <v>0</v>
      </c>
      <c r="F22" s="126"/>
      <c r="G22" s="126"/>
      <c r="H22" s="126"/>
    </row>
    <row r="23" spans="2:8" ht="16" thickBot="1">
      <c r="B23" s="125" t="s">
        <v>19</v>
      </c>
      <c r="C23" s="126">
        <v>0</v>
      </c>
      <c r="D23" s="126">
        <v>0</v>
      </c>
      <c r="E23" s="126">
        <v>0</v>
      </c>
      <c r="F23" s="126"/>
      <c r="G23" s="126"/>
      <c r="H23" s="126">
        <v>7</v>
      </c>
    </row>
    <row r="24" spans="2:8" ht="16" thickBot="1">
      <c r="B24" s="127" t="s">
        <v>22</v>
      </c>
      <c r="C24" s="128"/>
      <c r="D24" s="128"/>
      <c r="E24" s="128"/>
      <c r="F24" s="128"/>
      <c r="G24" s="128"/>
      <c r="H24" s="129"/>
    </row>
    <row r="25" spans="2:8">
      <c r="B25" s="130" t="s">
        <v>24</v>
      </c>
      <c r="C25" s="139" t="s">
        <v>296</v>
      </c>
      <c r="D25" s="131">
        <v>4.4000000000000004</v>
      </c>
      <c r="E25" s="131">
        <v>2.6</v>
      </c>
      <c r="F25" s="131"/>
      <c r="G25" s="131" t="s">
        <v>109</v>
      </c>
      <c r="H25" s="131" t="s">
        <v>156</v>
      </c>
    </row>
    <row r="26" spans="2:8">
      <c r="B26" s="130" t="s">
        <v>26</v>
      </c>
      <c r="C26" s="131" t="s">
        <v>95</v>
      </c>
      <c r="D26" s="131">
        <v>80</v>
      </c>
      <c r="E26" s="131">
        <v>80</v>
      </c>
      <c r="F26" s="131"/>
      <c r="G26" s="131"/>
      <c r="H26" s="131"/>
    </row>
    <row r="27" spans="2:8" ht="16" thickBot="1">
      <c r="B27" s="125" t="s">
        <v>28</v>
      </c>
      <c r="C27" s="126" t="s">
        <v>97</v>
      </c>
      <c r="D27" s="126">
        <v>20</v>
      </c>
      <c r="E27" s="126">
        <v>20</v>
      </c>
      <c r="F27" s="126"/>
      <c r="G27" s="126"/>
      <c r="H27" s="126"/>
    </row>
    <row r="28" spans="2:8" ht="28" thickBot="1">
      <c r="B28" s="125" t="s">
        <v>30</v>
      </c>
      <c r="C28" s="126" t="s">
        <v>157</v>
      </c>
      <c r="D28" s="126" t="s">
        <v>157</v>
      </c>
      <c r="E28" s="126" t="s">
        <v>157</v>
      </c>
      <c r="F28" s="126"/>
      <c r="G28" s="126" t="s">
        <v>76</v>
      </c>
      <c r="H28" s="126"/>
    </row>
    <row r="29" spans="2:8" ht="16" thickBot="1">
      <c r="B29" s="125" t="s">
        <v>50</v>
      </c>
      <c r="C29" s="126" t="s">
        <v>68</v>
      </c>
      <c r="D29" s="126" t="s">
        <v>68</v>
      </c>
      <c r="E29" s="126" t="s">
        <v>68</v>
      </c>
      <c r="F29" s="126"/>
      <c r="G29" s="126"/>
      <c r="H29" s="126"/>
    </row>
    <row r="30" spans="2:8" ht="16" thickBot="1">
      <c r="B30" s="125" t="s">
        <v>31</v>
      </c>
      <c r="C30" s="126" t="s">
        <v>68</v>
      </c>
      <c r="D30" s="126" t="s">
        <v>68</v>
      </c>
      <c r="E30" s="126" t="s">
        <v>68</v>
      </c>
      <c r="F30" s="126"/>
      <c r="G30" s="126"/>
      <c r="H30" s="126"/>
    </row>
  </sheetData>
  <mergeCells count="3">
    <mergeCell ref="B6:B7"/>
    <mergeCell ref="C6:H6"/>
    <mergeCell ref="C7:H7"/>
  </mergeCells>
  <pageMargins left="0.7" right="0.7" top="0.75" bottom="0.75" header="0.3" footer="0.3"/>
  <pageSetup paperSize="9" orientation="portrait"/>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23">
    <tabColor theme="4"/>
  </sheetPr>
  <dimension ref="B3:H31"/>
  <sheetViews>
    <sheetView workbookViewId="0">
      <selection activeCell="K36" sqref="K36"/>
    </sheetView>
  </sheetViews>
  <sheetFormatPr baseColWidth="10" defaultColWidth="8.83203125" defaultRowHeight="15"/>
  <cols>
    <col min="2" max="2" width="36.83203125" customWidth="1"/>
  </cols>
  <sheetData>
    <row r="3" spans="2:8">
      <c r="B3" s="8" t="s">
        <v>320</v>
      </c>
    </row>
    <row r="5" spans="2:8" ht="16" thickBot="1"/>
    <row r="6" spans="2:8">
      <c r="B6" s="1257" t="s">
        <v>0</v>
      </c>
      <c r="C6" s="1259" t="s">
        <v>158</v>
      </c>
      <c r="D6" s="1260"/>
      <c r="E6" s="1260"/>
      <c r="F6" s="1260"/>
      <c r="G6" s="1260"/>
      <c r="H6" s="1261"/>
    </row>
    <row r="7" spans="2:8" ht="16" thickBot="1">
      <c r="B7" s="1258"/>
      <c r="C7" s="1134" t="s">
        <v>38</v>
      </c>
      <c r="D7" s="1135"/>
      <c r="E7" s="1135"/>
      <c r="F7" s="1135"/>
      <c r="G7" s="1135"/>
      <c r="H7" s="1136"/>
    </row>
    <row r="8" spans="2:8" ht="16" thickBot="1">
      <c r="B8" s="1"/>
      <c r="C8" s="2">
        <v>2015</v>
      </c>
      <c r="D8" s="2">
        <v>2020</v>
      </c>
      <c r="E8" s="2">
        <v>2030</v>
      </c>
      <c r="F8" s="2">
        <v>2050</v>
      </c>
      <c r="G8" s="2" t="s">
        <v>2</v>
      </c>
      <c r="H8" s="2" t="s">
        <v>3</v>
      </c>
    </row>
    <row r="9" spans="2:8" ht="16" thickBot="1">
      <c r="B9" s="3" t="s">
        <v>4</v>
      </c>
      <c r="C9" s="4"/>
      <c r="D9" s="4"/>
      <c r="E9" s="4"/>
      <c r="F9" s="4"/>
      <c r="G9" s="4"/>
      <c r="H9" s="5"/>
    </row>
    <row r="10" spans="2:8" ht="16" thickBot="1">
      <c r="B10" s="1" t="s">
        <v>5</v>
      </c>
      <c r="C10" s="9">
        <v>1.6</v>
      </c>
      <c r="D10" s="9">
        <v>1.6</v>
      </c>
      <c r="E10" s="9">
        <v>1.6</v>
      </c>
      <c r="F10" s="9"/>
      <c r="G10" s="9" t="s">
        <v>6</v>
      </c>
      <c r="H10" s="9">
        <v>3</v>
      </c>
    </row>
    <row r="11" spans="2:8" ht="16" thickBot="1">
      <c r="B11" s="1" t="s">
        <v>137</v>
      </c>
      <c r="C11" s="9">
        <v>1.4</v>
      </c>
      <c r="D11" s="9">
        <v>1.4</v>
      </c>
      <c r="E11" s="9">
        <v>1.4</v>
      </c>
      <c r="F11" s="9"/>
      <c r="G11" s="9"/>
      <c r="H11" s="9">
        <v>3</v>
      </c>
    </row>
    <row r="12" spans="2:8" ht="28" thickBot="1">
      <c r="B12" s="1" t="s">
        <v>7</v>
      </c>
      <c r="C12" s="9" t="s">
        <v>159</v>
      </c>
      <c r="D12" s="9" t="s">
        <v>159</v>
      </c>
      <c r="E12" s="9" t="s">
        <v>159</v>
      </c>
      <c r="F12" s="9"/>
      <c r="G12" s="9" t="s">
        <v>20</v>
      </c>
      <c r="H12" s="9"/>
    </row>
    <row r="13" spans="2:8" ht="28" thickBot="1">
      <c r="B13" s="1" t="s">
        <v>8</v>
      </c>
      <c r="C13" s="9" t="s">
        <v>159</v>
      </c>
      <c r="D13" s="9" t="s">
        <v>159</v>
      </c>
      <c r="E13" s="9" t="s">
        <v>159</v>
      </c>
      <c r="F13" s="9"/>
      <c r="G13" s="9" t="s">
        <v>20</v>
      </c>
      <c r="H13" s="9"/>
    </row>
    <row r="14" spans="2:8" ht="16" thickBot="1">
      <c r="B14" s="1" t="s">
        <v>142</v>
      </c>
      <c r="C14" s="9" t="s">
        <v>160</v>
      </c>
      <c r="D14" s="9" t="s">
        <v>161</v>
      </c>
      <c r="E14" s="9" t="s">
        <v>162</v>
      </c>
      <c r="F14" s="9"/>
      <c r="G14" s="9" t="s">
        <v>76</v>
      </c>
      <c r="H14" s="9">
        <v>1</v>
      </c>
    </row>
    <row r="15" spans="2:8" ht="16" thickBot="1">
      <c r="B15" s="1" t="s">
        <v>146</v>
      </c>
      <c r="C15" s="9" t="s">
        <v>163</v>
      </c>
      <c r="D15" s="9" t="s">
        <v>164</v>
      </c>
      <c r="E15" s="9" t="s">
        <v>144</v>
      </c>
      <c r="F15" s="9"/>
      <c r="G15" s="9" t="s">
        <v>76</v>
      </c>
      <c r="H15" s="9">
        <v>1</v>
      </c>
    </row>
    <row r="16" spans="2:8" ht="16" thickBot="1">
      <c r="B16" s="1" t="s">
        <v>9</v>
      </c>
      <c r="C16" s="9" t="s">
        <v>149</v>
      </c>
      <c r="D16" s="9" t="s">
        <v>165</v>
      </c>
      <c r="E16" s="9" t="s">
        <v>151</v>
      </c>
      <c r="F16" s="9"/>
      <c r="G16" s="9" t="s">
        <v>166</v>
      </c>
      <c r="H16" s="9">
        <v>1</v>
      </c>
    </row>
    <row r="17" spans="2:8" ht="16" thickBot="1">
      <c r="B17" s="1" t="s">
        <v>167</v>
      </c>
      <c r="C17" s="9" t="s">
        <v>168</v>
      </c>
      <c r="D17" s="9" t="s">
        <v>169</v>
      </c>
      <c r="E17" s="9" t="s">
        <v>170</v>
      </c>
      <c r="F17" s="9"/>
      <c r="G17" s="9"/>
      <c r="H17" s="9" t="s">
        <v>65</v>
      </c>
    </row>
    <row r="18" spans="2:8" ht="16" thickBot="1">
      <c r="B18" s="1" t="s">
        <v>11</v>
      </c>
      <c r="C18" s="9">
        <v>7</v>
      </c>
      <c r="D18" s="9" t="s">
        <v>153</v>
      </c>
      <c r="E18" s="9" t="s">
        <v>153</v>
      </c>
      <c r="F18" s="9"/>
      <c r="G18" s="9" t="s">
        <v>59</v>
      </c>
      <c r="H18" s="9">
        <v>1</v>
      </c>
    </row>
    <row r="19" spans="2:8" ht="16" thickBot="1">
      <c r="B19" s="3" t="s">
        <v>12</v>
      </c>
      <c r="C19" s="4"/>
      <c r="D19" s="4"/>
      <c r="E19" s="4"/>
      <c r="F19" s="4"/>
      <c r="G19" s="4"/>
      <c r="H19" s="5"/>
    </row>
    <row r="20" spans="2:8" ht="15.75" customHeight="1" thickBot="1">
      <c r="B20" s="22" t="s">
        <v>13</v>
      </c>
      <c r="C20" s="1308" t="s">
        <v>173</v>
      </c>
      <c r="D20" s="1309"/>
      <c r="E20" s="1309"/>
      <c r="F20" s="1309"/>
      <c r="G20" s="1309"/>
      <c r="H20" s="1310"/>
    </row>
    <row r="21" spans="2:8" ht="15.75" customHeight="1" thickBot="1">
      <c r="B21" s="1" t="s">
        <v>15</v>
      </c>
      <c r="C21" s="1311"/>
      <c r="D21" s="1312"/>
      <c r="E21" s="1312"/>
      <c r="F21" s="1312"/>
      <c r="G21" s="1312"/>
      <c r="H21" s="1313"/>
    </row>
    <row r="22" spans="2:8" ht="16" thickBot="1">
      <c r="B22" s="1" t="s">
        <v>17</v>
      </c>
      <c r="C22" s="1311"/>
      <c r="D22" s="1312"/>
      <c r="E22" s="1312"/>
      <c r="F22" s="1312"/>
      <c r="G22" s="1312"/>
      <c r="H22" s="1313"/>
    </row>
    <row r="23" spans="2:8" ht="16" thickBot="1">
      <c r="B23" s="1" t="s">
        <v>18</v>
      </c>
      <c r="C23" s="1311"/>
      <c r="D23" s="1312"/>
      <c r="E23" s="1312"/>
      <c r="F23" s="1312"/>
      <c r="G23" s="1312"/>
      <c r="H23" s="1313"/>
    </row>
    <row r="24" spans="2:8" ht="16" thickBot="1">
      <c r="B24" s="1" t="s">
        <v>19</v>
      </c>
      <c r="C24" s="1314"/>
      <c r="D24" s="1315"/>
      <c r="E24" s="1315"/>
      <c r="F24" s="1315"/>
      <c r="G24" s="1315"/>
      <c r="H24" s="1316"/>
    </row>
    <row r="25" spans="2:8" ht="16" thickBot="1">
      <c r="B25" s="3" t="s">
        <v>22</v>
      </c>
      <c r="C25" s="4"/>
      <c r="D25" s="4"/>
      <c r="E25" s="4"/>
      <c r="F25" s="4"/>
      <c r="G25" s="4"/>
      <c r="H25" s="5"/>
    </row>
    <row r="26" spans="2:8">
      <c r="B26" s="6" t="s">
        <v>24</v>
      </c>
      <c r="C26" s="7">
        <v>10.5</v>
      </c>
      <c r="D26" s="7">
        <v>4.4000000000000004</v>
      </c>
      <c r="E26" s="7">
        <v>2.6</v>
      </c>
      <c r="F26" s="7"/>
      <c r="G26" s="7"/>
      <c r="H26" s="7">
        <v>1</v>
      </c>
    </row>
    <row r="27" spans="2:8">
      <c r="B27" s="6" t="s">
        <v>26</v>
      </c>
      <c r="C27" s="7" t="s">
        <v>171</v>
      </c>
      <c r="D27" s="7">
        <v>70</v>
      </c>
      <c r="E27" s="7">
        <v>70</v>
      </c>
      <c r="F27" s="7"/>
      <c r="G27" s="7"/>
      <c r="H27" s="7"/>
    </row>
    <row r="28" spans="2:8" ht="16" thickBot="1">
      <c r="B28" s="1" t="s">
        <v>96</v>
      </c>
      <c r="C28" s="2" t="s">
        <v>172</v>
      </c>
      <c r="D28" s="2">
        <v>30</v>
      </c>
      <c r="E28" s="2">
        <v>30</v>
      </c>
      <c r="F28" s="2"/>
      <c r="G28" s="2"/>
      <c r="H28" s="2"/>
    </row>
    <row r="29" spans="2:8" ht="28" thickBot="1">
      <c r="B29" s="1" t="s">
        <v>30</v>
      </c>
      <c r="C29" s="2" t="s">
        <v>157</v>
      </c>
      <c r="D29" s="2" t="s">
        <v>157</v>
      </c>
      <c r="E29" s="2" t="s">
        <v>157</v>
      </c>
      <c r="F29" s="2"/>
      <c r="G29" s="2" t="s">
        <v>25</v>
      </c>
      <c r="H29" s="2"/>
    </row>
    <row r="30" spans="2:8" ht="16" thickBot="1">
      <c r="B30" s="1" t="s">
        <v>50</v>
      </c>
      <c r="C30" s="2" t="s">
        <v>68</v>
      </c>
      <c r="D30" s="2" t="s">
        <v>68</v>
      </c>
      <c r="E30" s="2" t="s">
        <v>68</v>
      </c>
      <c r="F30" s="2"/>
      <c r="G30" s="2"/>
      <c r="H30" s="2"/>
    </row>
    <row r="31" spans="2:8" ht="16" thickBot="1">
      <c r="B31" s="1" t="s">
        <v>31</v>
      </c>
      <c r="C31" s="2" t="s">
        <v>68</v>
      </c>
      <c r="D31" s="2" t="s">
        <v>68</v>
      </c>
      <c r="E31" s="2" t="s">
        <v>68</v>
      </c>
      <c r="F31" s="2"/>
      <c r="G31" s="2"/>
      <c r="H31" s="2"/>
    </row>
  </sheetData>
  <mergeCells count="4">
    <mergeCell ref="C20:H24"/>
    <mergeCell ref="B6:B7"/>
    <mergeCell ref="C6:H6"/>
    <mergeCell ref="C7:H7"/>
  </mergeCells>
  <pageMargins left="0.7" right="0.7" top="0.75" bottom="0.75" header="0.3" footer="0.3"/>
  <pageSetup paperSize="9" orientation="portrait"/>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24">
    <tabColor theme="4"/>
  </sheetPr>
  <dimension ref="B3:H91"/>
  <sheetViews>
    <sheetView topLeftCell="A10" workbookViewId="0">
      <selection activeCell="K36" sqref="K36"/>
    </sheetView>
  </sheetViews>
  <sheetFormatPr baseColWidth="10" defaultColWidth="8.83203125" defaultRowHeight="15"/>
  <cols>
    <col min="2" max="2" width="36.83203125" customWidth="1"/>
  </cols>
  <sheetData>
    <row r="3" spans="2:8">
      <c r="B3" s="8" t="s">
        <v>321</v>
      </c>
    </row>
    <row r="5" spans="2:8" ht="16" thickBot="1"/>
    <row r="6" spans="2:8">
      <c r="B6" s="1257" t="s">
        <v>0</v>
      </c>
      <c r="C6" s="1259" t="s">
        <v>174</v>
      </c>
      <c r="D6" s="1260"/>
      <c r="E6" s="1260"/>
      <c r="F6" s="1260"/>
      <c r="G6" s="1260"/>
      <c r="H6" s="1261"/>
    </row>
    <row r="7" spans="2:8" ht="16" thickBot="1">
      <c r="B7" s="1258"/>
      <c r="C7" s="1134" t="s">
        <v>1</v>
      </c>
      <c r="D7" s="1135"/>
      <c r="E7" s="1135"/>
      <c r="F7" s="1135"/>
      <c r="G7" s="1135"/>
      <c r="H7" s="1136"/>
    </row>
    <row r="8" spans="2:8" ht="16" thickBot="1">
      <c r="B8" s="1"/>
      <c r="C8" s="2">
        <v>2015</v>
      </c>
      <c r="D8" s="2">
        <v>2020</v>
      </c>
      <c r="E8" s="2">
        <v>2030</v>
      </c>
      <c r="F8" s="2">
        <v>2050</v>
      </c>
      <c r="G8" s="2" t="s">
        <v>2</v>
      </c>
      <c r="H8" s="2" t="s">
        <v>3</v>
      </c>
    </row>
    <row r="9" spans="2:8" ht="16" thickBot="1">
      <c r="B9" s="3" t="s">
        <v>4</v>
      </c>
      <c r="C9" s="4"/>
      <c r="D9" s="4"/>
      <c r="E9" s="4"/>
      <c r="F9" s="4"/>
      <c r="G9" s="4"/>
      <c r="H9" s="5"/>
    </row>
    <row r="10" spans="2:8" ht="16" thickBot="1">
      <c r="B10" s="1" t="s">
        <v>5</v>
      </c>
      <c r="C10" s="32" t="s">
        <v>297</v>
      </c>
      <c r="D10" s="32" t="s">
        <v>298</v>
      </c>
      <c r="E10" s="32" t="s">
        <v>299</v>
      </c>
      <c r="F10" s="9"/>
      <c r="G10" s="9" t="s">
        <v>6</v>
      </c>
      <c r="H10" s="9"/>
    </row>
    <row r="11" spans="2:8" ht="16" thickBot="1">
      <c r="B11" s="1" t="s">
        <v>137</v>
      </c>
      <c r="C11" s="9">
        <v>1</v>
      </c>
      <c r="D11" s="9">
        <v>1</v>
      </c>
      <c r="E11" s="9">
        <v>1</v>
      </c>
      <c r="F11" s="9"/>
      <c r="G11" s="9"/>
      <c r="H11" s="9"/>
    </row>
    <row r="12" spans="2:8" ht="28" thickBot="1">
      <c r="B12" s="1" t="s">
        <v>7</v>
      </c>
      <c r="C12" s="9" t="s">
        <v>175</v>
      </c>
      <c r="D12" s="9" t="s">
        <v>175</v>
      </c>
      <c r="E12" s="9" t="s">
        <v>175</v>
      </c>
      <c r="F12" s="9"/>
      <c r="G12" s="9" t="s">
        <v>16</v>
      </c>
      <c r="H12" s="9"/>
    </row>
    <row r="13" spans="2:8" ht="28" thickBot="1">
      <c r="B13" s="1" t="s">
        <v>8</v>
      </c>
      <c r="C13" s="9" t="s">
        <v>159</v>
      </c>
      <c r="D13" s="9" t="s">
        <v>159</v>
      </c>
      <c r="E13" s="9" t="s">
        <v>159</v>
      </c>
      <c r="F13" s="9"/>
      <c r="G13" s="9" t="s">
        <v>16</v>
      </c>
      <c r="H13" s="9"/>
    </row>
    <row r="14" spans="2:8" ht="16" thickBot="1">
      <c r="B14" s="1" t="s">
        <v>142</v>
      </c>
      <c r="C14" s="9">
        <v>12</v>
      </c>
      <c r="D14" s="9">
        <v>14</v>
      </c>
      <c r="E14" s="9">
        <v>16</v>
      </c>
      <c r="F14" s="9"/>
      <c r="G14" s="9"/>
      <c r="H14" s="9">
        <v>-4</v>
      </c>
    </row>
    <row r="15" spans="2:8" ht="16" thickBot="1">
      <c r="B15" s="1" t="s">
        <v>146</v>
      </c>
      <c r="C15" s="9" t="s">
        <v>63</v>
      </c>
      <c r="D15" s="9" t="s">
        <v>176</v>
      </c>
      <c r="E15" s="9" t="s">
        <v>169</v>
      </c>
      <c r="F15" s="9"/>
      <c r="G15" s="9"/>
      <c r="H15" s="9">
        <v>-4</v>
      </c>
    </row>
    <row r="16" spans="2:8" ht="16" thickBot="1">
      <c r="B16" s="1" t="s">
        <v>9</v>
      </c>
      <c r="C16" s="9" t="s">
        <v>177</v>
      </c>
      <c r="D16" s="9" t="s">
        <v>178</v>
      </c>
      <c r="E16" s="9" t="s">
        <v>179</v>
      </c>
      <c r="F16" s="9"/>
      <c r="G16" s="9"/>
      <c r="H16" s="9">
        <v>-4</v>
      </c>
    </row>
    <row r="17" spans="2:8" ht="16" thickBot="1">
      <c r="B17" s="1" t="s">
        <v>11</v>
      </c>
      <c r="C17" s="9">
        <v>10</v>
      </c>
      <c r="D17" s="9" t="s">
        <v>153</v>
      </c>
      <c r="E17" s="9" t="s">
        <v>153</v>
      </c>
      <c r="F17" s="9"/>
      <c r="G17" s="9"/>
      <c r="H17" s="9"/>
    </row>
    <row r="18" spans="2:8" ht="16" thickBot="1">
      <c r="B18" s="3" t="s">
        <v>12</v>
      </c>
      <c r="C18" s="4"/>
      <c r="D18" s="4"/>
      <c r="E18" s="4"/>
      <c r="F18" s="4"/>
      <c r="G18" s="4"/>
      <c r="H18" s="5"/>
    </row>
    <row r="19" spans="2:8" ht="16" thickBot="1">
      <c r="B19" s="1" t="s">
        <v>13</v>
      </c>
      <c r="C19" s="2">
        <v>0</v>
      </c>
      <c r="D19" s="2">
        <v>0</v>
      </c>
      <c r="E19" s="2">
        <v>0</v>
      </c>
      <c r="F19" s="2"/>
      <c r="G19" s="2"/>
      <c r="H19" s="2"/>
    </row>
    <row r="20" spans="2:8" ht="16" thickBot="1">
      <c r="B20" s="1" t="s">
        <v>15</v>
      </c>
      <c r="C20" s="2" t="s">
        <v>180</v>
      </c>
      <c r="D20" s="27" t="s">
        <v>300</v>
      </c>
      <c r="E20" s="27" t="s">
        <v>300</v>
      </c>
      <c r="F20" s="2"/>
      <c r="G20" s="2" t="s">
        <v>59</v>
      </c>
      <c r="H20" s="2">
        <v>3</v>
      </c>
    </row>
    <row r="21" spans="2:8" ht="16" thickBot="1">
      <c r="B21" s="1" t="s">
        <v>17</v>
      </c>
      <c r="C21" s="35">
        <v>0</v>
      </c>
      <c r="D21" s="35">
        <v>0</v>
      </c>
      <c r="E21" s="35">
        <v>0</v>
      </c>
      <c r="F21" s="2"/>
      <c r="G21" s="2"/>
      <c r="H21" s="2">
        <v>3</v>
      </c>
    </row>
    <row r="22" spans="2:8" ht="16" thickBot="1">
      <c r="B22" s="1" t="s">
        <v>18</v>
      </c>
      <c r="C22" s="35">
        <v>0</v>
      </c>
      <c r="D22" s="35">
        <v>0</v>
      </c>
      <c r="E22" s="35">
        <v>0</v>
      </c>
      <c r="F22" s="2"/>
      <c r="G22" s="2"/>
      <c r="H22" s="2"/>
    </row>
    <row r="23" spans="2:8" ht="16" thickBot="1">
      <c r="B23" s="1" t="s">
        <v>19</v>
      </c>
      <c r="C23" s="35">
        <v>0</v>
      </c>
      <c r="D23" s="35">
        <v>0</v>
      </c>
      <c r="E23" s="35">
        <v>0</v>
      </c>
      <c r="F23" s="2"/>
      <c r="G23" s="2"/>
      <c r="H23" s="2"/>
    </row>
    <row r="24" spans="2:8" ht="16" thickBot="1">
      <c r="B24" s="3" t="s">
        <v>22</v>
      </c>
      <c r="C24" s="4"/>
      <c r="D24" s="4"/>
      <c r="E24" s="4"/>
      <c r="F24" s="4"/>
      <c r="G24" s="4"/>
      <c r="H24" s="5"/>
    </row>
    <row r="25" spans="2:8">
      <c r="B25" s="6" t="s">
        <v>24</v>
      </c>
      <c r="C25" s="26" t="s">
        <v>301</v>
      </c>
      <c r="D25" s="28" t="s">
        <v>302</v>
      </c>
      <c r="E25" s="7">
        <v>5</v>
      </c>
      <c r="F25" s="7"/>
      <c r="G25" s="7"/>
      <c r="H25" s="7" t="s">
        <v>94</v>
      </c>
    </row>
    <row r="26" spans="2:8">
      <c r="B26" s="6" t="s">
        <v>26</v>
      </c>
      <c r="C26" s="7" t="s">
        <v>27</v>
      </c>
      <c r="D26" s="7">
        <v>70</v>
      </c>
      <c r="E26" s="7">
        <v>70</v>
      </c>
      <c r="F26" s="7"/>
      <c r="G26" s="7"/>
      <c r="H26" s="7"/>
    </row>
    <row r="27" spans="2:8" ht="16" thickBot="1">
      <c r="B27" s="1" t="s">
        <v>28</v>
      </c>
      <c r="C27" s="2" t="s">
        <v>29</v>
      </c>
      <c r="D27" s="2">
        <v>30</v>
      </c>
      <c r="E27" s="2">
        <v>30</v>
      </c>
      <c r="F27" s="2"/>
      <c r="G27" s="2"/>
      <c r="H27" s="2"/>
    </row>
    <row r="28" spans="2:8" ht="28" thickBot="1">
      <c r="B28" s="1" t="s">
        <v>30</v>
      </c>
      <c r="C28" s="2" t="s">
        <v>157</v>
      </c>
      <c r="D28" s="2" t="s">
        <v>157</v>
      </c>
      <c r="E28" s="2" t="s">
        <v>157</v>
      </c>
      <c r="F28" s="2"/>
      <c r="G28" s="2" t="s">
        <v>16</v>
      </c>
      <c r="H28" s="2"/>
    </row>
    <row r="29" spans="2:8" ht="16" thickBot="1">
      <c r="B29" s="1" t="s">
        <v>50</v>
      </c>
      <c r="C29" s="2" t="s">
        <v>68</v>
      </c>
      <c r="D29" s="2" t="s">
        <v>68</v>
      </c>
      <c r="E29" s="2" t="s">
        <v>68</v>
      </c>
      <c r="F29" s="2"/>
      <c r="G29" s="2"/>
      <c r="H29" s="2"/>
    </row>
    <row r="30" spans="2:8" ht="16" thickBot="1">
      <c r="B30" s="1" t="s">
        <v>31</v>
      </c>
      <c r="C30" s="2" t="s">
        <v>74</v>
      </c>
      <c r="D30" s="2" t="s">
        <v>74</v>
      </c>
      <c r="E30" s="2" t="s">
        <v>74</v>
      </c>
      <c r="F30" s="2"/>
      <c r="G30" s="2"/>
      <c r="H30" s="2">
        <v>3</v>
      </c>
    </row>
    <row r="34" spans="2:8" ht="16" thickBot="1"/>
    <row r="35" spans="2:8">
      <c r="B35" s="1257" t="s">
        <v>0</v>
      </c>
      <c r="C35" s="1259" t="s">
        <v>174</v>
      </c>
      <c r="D35" s="1260"/>
      <c r="E35" s="1260"/>
      <c r="F35" s="1260"/>
      <c r="G35" s="1260"/>
      <c r="H35" s="1261"/>
    </row>
    <row r="36" spans="2:8" ht="16" thickBot="1">
      <c r="B36" s="1258"/>
      <c r="C36" s="1134" t="s">
        <v>34</v>
      </c>
      <c r="D36" s="1135"/>
      <c r="E36" s="1135"/>
      <c r="F36" s="1135"/>
      <c r="G36" s="1135"/>
      <c r="H36" s="1136"/>
    </row>
    <row r="37" spans="2:8" ht="16" thickBot="1">
      <c r="B37" s="1"/>
      <c r="C37" s="2">
        <v>2015</v>
      </c>
      <c r="D37" s="2">
        <v>2020</v>
      </c>
      <c r="E37" s="2">
        <v>2030</v>
      </c>
      <c r="F37" s="2">
        <v>2050</v>
      </c>
      <c r="G37" s="2" t="s">
        <v>2</v>
      </c>
      <c r="H37" s="2" t="s">
        <v>3</v>
      </c>
    </row>
    <row r="38" spans="2:8" ht="16" thickBot="1">
      <c r="B38" s="3" t="s">
        <v>4</v>
      </c>
      <c r="C38" s="4"/>
      <c r="D38" s="4"/>
      <c r="E38" s="4"/>
      <c r="F38" s="4"/>
      <c r="G38" s="4"/>
      <c r="H38" s="5"/>
    </row>
    <row r="39" spans="2:8" ht="16" thickBot="1">
      <c r="B39" s="1" t="s">
        <v>5</v>
      </c>
      <c r="C39" s="32" t="s">
        <v>297</v>
      </c>
      <c r="D39" s="32" t="s">
        <v>298</v>
      </c>
      <c r="E39" s="32" t="s">
        <v>299</v>
      </c>
      <c r="F39" s="9"/>
      <c r="G39" s="9" t="s">
        <v>6</v>
      </c>
      <c r="H39" s="9"/>
    </row>
    <row r="40" spans="2:8" ht="16" thickBot="1">
      <c r="B40" s="1" t="s">
        <v>137</v>
      </c>
      <c r="C40" s="9">
        <v>1</v>
      </c>
      <c r="D40" s="9">
        <v>1</v>
      </c>
      <c r="E40" s="9">
        <v>1</v>
      </c>
      <c r="F40" s="9"/>
      <c r="G40" s="9"/>
      <c r="H40" s="9"/>
    </row>
    <row r="41" spans="2:8" ht="28" thickBot="1">
      <c r="B41" s="1" t="s">
        <v>7</v>
      </c>
      <c r="C41" s="9" t="s">
        <v>181</v>
      </c>
      <c r="D41" s="9" t="s">
        <v>181</v>
      </c>
      <c r="E41" s="9" t="s">
        <v>181</v>
      </c>
      <c r="F41" s="9"/>
      <c r="G41" s="9" t="s">
        <v>16</v>
      </c>
      <c r="H41" s="9"/>
    </row>
    <row r="42" spans="2:8" ht="28" thickBot="1">
      <c r="B42" s="1" t="s">
        <v>8</v>
      </c>
      <c r="C42" s="9" t="s">
        <v>182</v>
      </c>
      <c r="D42" s="9" t="s">
        <v>182</v>
      </c>
      <c r="E42" s="9" t="s">
        <v>182</v>
      </c>
      <c r="F42" s="9"/>
      <c r="G42" s="9" t="s">
        <v>16</v>
      </c>
      <c r="H42" s="9"/>
    </row>
    <row r="43" spans="2:8" ht="16" thickBot="1">
      <c r="B43" s="1" t="s">
        <v>142</v>
      </c>
      <c r="C43" s="9">
        <v>12</v>
      </c>
      <c r="D43" s="9">
        <v>14</v>
      </c>
      <c r="E43" s="9">
        <v>16</v>
      </c>
      <c r="F43" s="9"/>
      <c r="G43" s="9"/>
      <c r="H43" s="9">
        <v>-4</v>
      </c>
    </row>
    <row r="44" spans="2:8" ht="16" thickBot="1">
      <c r="B44" s="1" t="s">
        <v>146</v>
      </c>
      <c r="C44" s="9" t="s">
        <v>63</v>
      </c>
      <c r="D44" s="9" t="s">
        <v>176</v>
      </c>
      <c r="E44" s="9" t="s">
        <v>169</v>
      </c>
      <c r="F44" s="9"/>
      <c r="G44" s="9"/>
      <c r="H44" s="9">
        <v>-4</v>
      </c>
    </row>
    <row r="45" spans="2:8" ht="16" thickBot="1">
      <c r="B45" s="1" t="s">
        <v>9</v>
      </c>
      <c r="C45" s="9" t="s">
        <v>177</v>
      </c>
      <c r="D45" s="9" t="s">
        <v>178</v>
      </c>
      <c r="E45" s="9" t="s">
        <v>179</v>
      </c>
      <c r="F45" s="9"/>
      <c r="G45" s="9"/>
      <c r="H45" s="9">
        <v>-4</v>
      </c>
    </row>
    <row r="46" spans="2:8" ht="16" thickBot="1">
      <c r="B46" s="1" t="s">
        <v>11</v>
      </c>
      <c r="C46" s="9">
        <v>15</v>
      </c>
      <c r="D46" s="9" t="s">
        <v>183</v>
      </c>
      <c r="E46" s="9" t="s">
        <v>183</v>
      </c>
      <c r="F46" s="9"/>
      <c r="G46" s="9" t="s">
        <v>20</v>
      </c>
      <c r="H46" s="9"/>
    </row>
    <row r="47" spans="2:8" ht="16" thickBot="1">
      <c r="B47" s="3" t="s">
        <v>12</v>
      </c>
      <c r="C47" s="4"/>
      <c r="D47" s="4"/>
      <c r="E47" s="4"/>
      <c r="F47" s="4"/>
      <c r="G47" s="4"/>
      <c r="H47" s="5"/>
    </row>
    <row r="48" spans="2:8" ht="16" thickBot="1">
      <c r="B48" s="1" t="s">
        <v>13</v>
      </c>
      <c r="C48" s="2">
        <v>0</v>
      </c>
      <c r="D48" s="2">
        <v>0</v>
      </c>
      <c r="E48" s="2">
        <v>0</v>
      </c>
      <c r="F48" s="2"/>
      <c r="G48" s="2"/>
      <c r="H48" s="2"/>
    </row>
    <row r="49" spans="2:8" ht="16" thickBot="1">
      <c r="B49" s="1" t="s">
        <v>15</v>
      </c>
      <c r="C49" s="2" t="s">
        <v>180</v>
      </c>
      <c r="D49" s="27" t="s">
        <v>300</v>
      </c>
      <c r="E49" s="27" t="s">
        <v>300</v>
      </c>
      <c r="F49" s="2"/>
      <c r="G49" s="2" t="s">
        <v>59</v>
      </c>
      <c r="H49" s="2">
        <v>3</v>
      </c>
    </row>
    <row r="50" spans="2:8" ht="16" thickBot="1">
      <c r="B50" s="1" t="s">
        <v>17</v>
      </c>
      <c r="C50" s="2">
        <v>0</v>
      </c>
      <c r="D50" s="178">
        <v>0</v>
      </c>
      <c r="E50" s="178">
        <v>0</v>
      </c>
      <c r="F50" s="2"/>
      <c r="G50" s="2"/>
      <c r="H50" s="2">
        <v>3</v>
      </c>
    </row>
    <row r="51" spans="2:8" ht="16" thickBot="1">
      <c r="B51" s="1" t="s">
        <v>18</v>
      </c>
      <c r="C51" s="178">
        <v>0</v>
      </c>
      <c r="D51" s="178">
        <v>0</v>
      </c>
      <c r="E51" s="178">
        <v>0</v>
      </c>
      <c r="F51" s="2"/>
      <c r="G51" s="2"/>
      <c r="H51" s="2"/>
    </row>
    <row r="52" spans="2:8" ht="16" thickBot="1">
      <c r="B52" s="1" t="s">
        <v>19</v>
      </c>
      <c r="C52" s="178">
        <v>0</v>
      </c>
      <c r="D52" s="178">
        <v>0</v>
      </c>
      <c r="E52" s="178">
        <v>0</v>
      </c>
      <c r="F52" s="2"/>
      <c r="G52" s="2"/>
      <c r="H52" s="2"/>
    </row>
    <row r="53" spans="2:8" ht="16" thickBot="1">
      <c r="B53" s="3" t="s">
        <v>22</v>
      </c>
      <c r="C53" s="4"/>
      <c r="D53" s="4"/>
      <c r="E53" s="4"/>
      <c r="F53" s="4"/>
      <c r="G53" s="4"/>
      <c r="H53" s="5"/>
    </row>
    <row r="54" spans="2:8">
      <c r="B54" s="6" t="s">
        <v>24</v>
      </c>
      <c r="C54" s="26" t="s">
        <v>301</v>
      </c>
      <c r="D54" s="28" t="s">
        <v>302</v>
      </c>
      <c r="E54" s="7">
        <v>5</v>
      </c>
      <c r="F54" s="7"/>
      <c r="G54" s="7"/>
      <c r="H54" s="7" t="s">
        <v>94</v>
      </c>
    </row>
    <row r="55" spans="2:8">
      <c r="B55" s="6" t="s">
        <v>26</v>
      </c>
      <c r="C55" s="7" t="s">
        <v>27</v>
      </c>
      <c r="D55" s="7">
        <v>70</v>
      </c>
      <c r="E55" s="7">
        <v>70</v>
      </c>
      <c r="F55" s="7"/>
      <c r="G55" s="7"/>
      <c r="H55" s="7"/>
    </row>
    <row r="56" spans="2:8" ht="16" thickBot="1">
      <c r="B56" s="1" t="s">
        <v>28</v>
      </c>
      <c r="C56" s="2" t="s">
        <v>29</v>
      </c>
      <c r="D56" s="2">
        <v>30</v>
      </c>
      <c r="E56" s="2">
        <v>30</v>
      </c>
      <c r="F56" s="2"/>
      <c r="G56" s="2"/>
      <c r="H56" s="2"/>
    </row>
    <row r="57" spans="2:8" ht="28" thickBot="1">
      <c r="B57" s="1" t="s">
        <v>30</v>
      </c>
      <c r="C57" s="2" t="s">
        <v>157</v>
      </c>
      <c r="D57" s="2" t="s">
        <v>157</v>
      </c>
      <c r="E57" s="2" t="s">
        <v>157</v>
      </c>
      <c r="F57" s="2"/>
      <c r="G57" s="2" t="s">
        <v>16</v>
      </c>
      <c r="H57" s="2"/>
    </row>
    <row r="58" spans="2:8" ht="16" thickBot="1">
      <c r="B58" s="1" t="s">
        <v>50</v>
      </c>
      <c r="C58" s="2" t="s">
        <v>68</v>
      </c>
      <c r="D58" s="2" t="s">
        <v>68</v>
      </c>
      <c r="E58" s="2" t="s">
        <v>68</v>
      </c>
      <c r="F58" s="2"/>
      <c r="G58" s="2"/>
      <c r="H58" s="2"/>
    </row>
    <row r="59" spans="2:8" ht="16" thickBot="1">
      <c r="B59" s="1" t="s">
        <v>31</v>
      </c>
      <c r="C59" s="2" t="s">
        <v>74</v>
      </c>
      <c r="D59" s="2" t="s">
        <v>74</v>
      </c>
      <c r="E59" s="2" t="s">
        <v>74</v>
      </c>
      <c r="F59" s="2"/>
      <c r="G59" s="2"/>
      <c r="H59" s="2">
        <v>3</v>
      </c>
    </row>
    <row r="63" spans="2:8" ht="16" thickBot="1"/>
    <row r="64" spans="2:8">
      <c r="B64" s="1257" t="s">
        <v>0</v>
      </c>
      <c r="C64" s="1259" t="s">
        <v>184</v>
      </c>
      <c r="D64" s="1260"/>
      <c r="E64" s="1260"/>
      <c r="F64" s="1260"/>
      <c r="G64" s="1260"/>
      <c r="H64" s="1261"/>
    </row>
    <row r="65" spans="2:8" ht="15.75" customHeight="1" thickBot="1">
      <c r="B65" s="1258"/>
      <c r="C65" s="1317" t="s">
        <v>188</v>
      </c>
      <c r="D65" s="1318"/>
      <c r="E65" s="1318"/>
      <c r="F65" s="1318"/>
      <c r="G65" s="1318"/>
      <c r="H65" s="1319"/>
    </row>
    <row r="66" spans="2:8" ht="16" thickBot="1">
      <c r="B66" s="1"/>
      <c r="C66" s="2">
        <v>2015</v>
      </c>
      <c r="D66" s="2">
        <v>2020</v>
      </c>
      <c r="E66" s="2">
        <v>2030</v>
      </c>
      <c r="F66" s="2">
        <v>2050</v>
      </c>
      <c r="G66" s="2" t="s">
        <v>2</v>
      </c>
      <c r="H66" s="2" t="s">
        <v>3</v>
      </c>
    </row>
    <row r="67" spans="2:8" ht="16" thickBot="1">
      <c r="B67" s="3" t="s">
        <v>4</v>
      </c>
      <c r="C67" s="4"/>
      <c r="D67" s="4"/>
      <c r="E67" s="4"/>
      <c r="F67" s="4"/>
      <c r="G67" s="4"/>
      <c r="H67" s="5"/>
    </row>
    <row r="68" spans="2:8" ht="16" thickBot="1">
      <c r="B68" s="1" t="s">
        <v>5</v>
      </c>
      <c r="C68" s="9">
        <v>15</v>
      </c>
      <c r="D68" s="9">
        <v>14</v>
      </c>
      <c r="E68" s="9">
        <v>13</v>
      </c>
      <c r="F68" s="9"/>
      <c r="G68" s="9" t="s">
        <v>185</v>
      </c>
      <c r="H68" s="9"/>
    </row>
    <row r="69" spans="2:8" ht="16" thickBot="1">
      <c r="B69" s="1" t="s">
        <v>137</v>
      </c>
      <c r="C69" s="9">
        <v>7</v>
      </c>
      <c r="D69" s="9">
        <v>7</v>
      </c>
      <c r="E69" s="9">
        <v>7</v>
      </c>
      <c r="F69" s="9"/>
      <c r="G69" s="9" t="s">
        <v>6</v>
      </c>
      <c r="H69" s="9"/>
    </row>
    <row r="70" spans="2:8" ht="28" thickBot="1">
      <c r="B70" s="1" t="s">
        <v>7</v>
      </c>
      <c r="C70" s="9" t="s">
        <v>175</v>
      </c>
      <c r="D70" s="9" t="s">
        <v>175</v>
      </c>
      <c r="E70" s="9" t="s">
        <v>175</v>
      </c>
      <c r="F70" s="9"/>
      <c r="G70" s="9" t="s">
        <v>45</v>
      </c>
      <c r="H70" s="9"/>
    </row>
    <row r="71" spans="2:8" ht="28" thickBot="1">
      <c r="B71" s="1" t="s">
        <v>8</v>
      </c>
      <c r="C71" s="9" t="s">
        <v>186</v>
      </c>
      <c r="D71" s="9" t="s">
        <v>186</v>
      </c>
      <c r="E71" s="9" t="s">
        <v>186</v>
      </c>
      <c r="F71" s="9"/>
      <c r="G71" s="9" t="s">
        <v>45</v>
      </c>
      <c r="H71" s="9"/>
    </row>
    <row r="72" spans="2:8" ht="16" thickBot="1">
      <c r="B72" s="1" t="s">
        <v>142</v>
      </c>
      <c r="C72" s="9">
        <v>25</v>
      </c>
      <c r="D72" s="9">
        <v>27</v>
      </c>
      <c r="E72" s="9">
        <v>30</v>
      </c>
      <c r="F72" s="9"/>
      <c r="G72" s="9"/>
      <c r="H72" s="9">
        <v>1</v>
      </c>
    </row>
    <row r="73" spans="2:8" ht="16" thickBot="1">
      <c r="B73" s="1" t="s">
        <v>146</v>
      </c>
      <c r="C73" s="9">
        <v>55</v>
      </c>
      <c r="D73" s="9">
        <v>55</v>
      </c>
      <c r="E73" s="9">
        <v>55</v>
      </c>
      <c r="F73" s="9"/>
      <c r="G73" s="9"/>
      <c r="H73" s="9">
        <v>1</v>
      </c>
    </row>
    <row r="74" spans="2:8" ht="16" thickBot="1">
      <c r="B74" s="1" t="s">
        <v>9</v>
      </c>
      <c r="C74" s="9">
        <v>80</v>
      </c>
      <c r="D74" s="9">
        <v>82</v>
      </c>
      <c r="E74" s="9">
        <v>85</v>
      </c>
      <c r="F74" s="9"/>
      <c r="G74" s="9"/>
      <c r="H74" s="9">
        <v>1</v>
      </c>
    </row>
    <row r="75" spans="2:8" ht="16" thickBot="1">
      <c r="B75" s="1" t="s">
        <v>11</v>
      </c>
      <c r="C75" s="9">
        <v>10</v>
      </c>
      <c r="D75" s="9" t="s">
        <v>153</v>
      </c>
      <c r="E75" s="9" t="s">
        <v>153</v>
      </c>
      <c r="F75" s="9"/>
      <c r="G75" s="9"/>
      <c r="H75" s="9"/>
    </row>
    <row r="76" spans="2:8" ht="16" thickBot="1">
      <c r="B76" s="3" t="s">
        <v>12</v>
      </c>
      <c r="C76" s="4"/>
      <c r="D76" s="4"/>
      <c r="E76" s="4"/>
      <c r="F76" s="4"/>
      <c r="G76" s="4"/>
      <c r="H76" s="5"/>
    </row>
    <row r="77" spans="2:8" ht="16" thickBot="1">
      <c r="B77" s="1" t="s">
        <v>13</v>
      </c>
      <c r="C77" s="2">
        <v>0</v>
      </c>
      <c r="D77" s="2">
        <v>0</v>
      </c>
      <c r="E77" s="2">
        <v>0</v>
      </c>
      <c r="F77" s="2"/>
      <c r="G77" s="2"/>
      <c r="H77" s="2"/>
    </row>
    <row r="78" spans="2:8" ht="16" thickBot="1">
      <c r="B78" s="1" t="s">
        <v>15</v>
      </c>
      <c r="C78" s="2">
        <v>20</v>
      </c>
      <c r="D78" s="27" t="s">
        <v>300</v>
      </c>
      <c r="E78" s="27" t="s">
        <v>300</v>
      </c>
      <c r="F78" s="2"/>
      <c r="G78" s="2"/>
      <c r="H78" s="2">
        <v>1</v>
      </c>
    </row>
    <row r="79" spans="2:8" ht="16" thickBot="1">
      <c r="B79" s="1" t="s">
        <v>17</v>
      </c>
      <c r="C79" s="35">
        <v>1</v>
      </c>
      <c r="D79" s="35">
        <v>1</v>
      </c>
      <c r="E79" s="35">
        <v>1</v>
      </c>
      <c r="F79" s="2"/>
      <c r="G79" s="2"/>
      <c r="H79" s="2">
        <v>1</v>
      </c>
    </row>
    <row r="80" spans="2:8" ht="16" thickBot="1">
      <c r="B80" s="1" t="s">
        <v>18</v>
      </c>
      <c r="C80" s="35">
        <v>0</v>
      </c>
      <c r="D80" s="35">
        <v>0</v>
      </c>
      <c r="E80" s="35">
        <v>0</v>
      </c>
      <c r="F80" s="2"/>
      <c r="G80" s="2"/>
      <c r="H80" s="2"/>
    </row>
    <row r="81" spans="2:8" ht="16" thickBot="1">
      <c r="B81" s="1" t="s">
        <v>19</v>
      </c>
      <c r="C81" s="35">
        <v>0</v>
      </c>
      <c r="D81" s="35">
        <v>0</v>
      </c>
      <c r="E81" s="35">
        <v>0</v>
      </c>
      <c r="F81" s="2"/>
      <c r="G81" s="2"/>
      <c r="H81" s="2"/>
    </row>
    <row r="82" spans="2:8" ht="16" thickBot="1">
      <c r="B82" s="3" t="s">
        <v>22</v>
      </c>
      <c r="C82" s="4"/>
      <c r="D82" s="4"/>
      <c r="E82" s="4"/>
      <c r="F82" s="4"/>
      <c r="G82" s="4"/>
      <c r="H82" s="5"/>
    </row>
    <row r="83" spans="2:8">
      <c r="B83" s="6" t="s">
        <v>24</v>
      </c>
      <c r="C83" s="7">
        <v>20</v>
      </c>
      <c r="D83" s="7">
        <v>18</v>
      </c>
      <c r="E83" s="7">
        <v>15</v>
      </c>
      <c r="F83" s="7"/>
      <c r="G83" s="7"/>
      <c r="H83" s="7"/>
    </row>
    <row r="84" spans="2:8">
      <c r="B84" s="6" t="s">
        <v>26</v>
      </c>
      <c r="C84" s="7" t="s">
        <v>115</v>
      </c>
      <c r="D84" s="7">
        <v>75</v>
      </c>
      <c r="E84" s="7">
        <v>75</v>
      </c>
      <c r="F84" s="7"/>
      <c r="G84" s="7"/>
      <c r="H84" s="7"/>
    </row>
    <row r="85" spans="2:8" ht="16" thickBot="1">
      <c r="B85" s="1" t="s">
        <v>96</v>
      </c>
      <c r="C85" s="2" t="s">
        <v>116</v>
      </c>
      <c r="D85" s="2">
        <v>25</v>
      </c>
      <c r="E85" s="2">
        <v>25</v>
      </c>
      <c r="F85" s="2"/>
      <c r="G85" s="2"/>
      <c r="H85" s="2"/>
    </row>
    <row r="86" spans="2:8" ht="28" thickBot="1">
      <c r="B86" s="1" t="s">
        <v>113</v>
      </c>
      <c r="C86" s="2">
        <v>0.2</v>
      </c>
      <c r="D86" s="2">
        <v>0.2</v>
      </c>
      <c r="E86" s="2">
        <v>0.2</v>
      </c>
      <c r="F86" s="2"/>
      <c r="G86" s="2" t="s">
        <v>16</v>
      </c>
      <c r="H86" s="2"/>
    </row>
    <row r="87" spans="2:8" ht="16" thickBot="1">
      <c r="B87" s="1" t="s">
        <v>50</v>
      </c>
      <c r="C87" s="2" t="s">
        <v>68</v>
      </c>
      <c r="D87" s="2" t="s">
        <v>68</v>
      </c>
      <c r="E87" s="2" t="s">
        <v>68</v>
      </c>
      <c r="F87" s="2"/>
      <c r="G87" s="2"/>
      <c r="H87" s="2"/>
    </row>
    <row r="88" spans="2:8" ht="16" thickBot="1">
      <c r="B88" s="1" t="s">
        <v>31</v>
      </c>
      <c r="C88" s="2" t="s">
        <v>187</v>
      </c>
      <c r="D88" s="2" t="s">
        <v>187</v>
      </c>
      <c r="E88" s="2" t="s">
        <v>187</v>
      </c>
      <c r="F88" s="2"/>
      <c r="G88" s="2"/>
      <c r="H88" s="2">
        <v>2</v>
      </c>
    </row>
    <row r="91" spans="2:8">
      <c r="B91" s="23"/>
    </row>
  </sheetData>
  <mergeCells count="9">
    <mergeCell ref="B64:B65"/>
    <mergeCell ref="C64:H64"/>
    <mergeCell ref="C65:H65"/>
    <mergeCell ref="B6:B7"/>
    <mergeCell ref="C6:H6"/>
    <mergeCell ref="C7:H7"/>
    <mergeCell ref="B35:B36"/>
    <mergeCell ref="C35:H35"/>
    <mergeCell ref="C36:H36"/>
  </mergeCells>
  <pageMargins left="0.7" right="0.7" top="0.75" bottom="0.75" header="0.3" footer="0.3"/>
  <pageSetup paperSize="9" orientation="portrait"/>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25">
    <tabColor theme="4"/>
  </sheetPr>
  <dimension ref="B3:H117"/>
  <sheetViews>
    <sheetView workbookViewId="0">
      <selection activeCell="K36" sqref="K36"/>
    </sheetView>
  </sheetViews>
  <sheetFormatPr baseColWidth="10" defaultColWidth="8.83203125" defaultRowHeight="15"/>
  <cols>
    <col min="2" max="2" width="36.83203125" customWidth="1"/>
  </cols>
  <sheetData>
    <row r="3" spans="2:8">
      <c r="B3" s="8" t="s">
        <v>322</v>
      </c>
    </row>
    <row r="5" spans="2:8" ht="16" thickBot="1"/>
    <row r="6" spans="2:8">
      <c r="B6" s="1257" t="s">
        <v>0</v>
      </c>
      <c r="C6" s="1259" t="s">
        <v>189</v>
      </c>
      <c r="D6" s="1260"/>
      <c r="E6" s="1260"/>
      <c r="F6" s="1260"/>
      <c r="G6" s="1260"/>
      <c r="H6" s="1261"/>
    </row>
    <row r="7" spans="2:8" ht="16" thickBot="1">
      <c r="B7" s="1258"/>
      <c r="C7" s="1134" t="s">
        <v>1</v>
      </c>
      <c r="D7" s="1135"/>
      <c r="E7" s="1135"/>
      <c r="F7" s="1135"/>
      <c r="G7" s="1135"/>
      <c r="H7" s="1136"/>
    </row>
    <row r="8" spans="2:8" ht="16" thickBot="1">
      <c r="B8" s="1"/>
      <c r="C8" s="2">
        <v>2015</v>
      </c>
      <c r="D8" s="2">
        <v>2020</v>
      </c>
      <c r="E8" s="2">
        <v>2030</v>
      </c>
      <c r="F8" s="2">
        <v>2050</v>
      </c>
      <c r="G8" s="2" t="s">
        <v>2</v>
      </c>
      <c r="H8" s="2" t="s">
        <v>3</v>
      </c>
    </row>
    <row r="9" spans="2:8" ht="16" thickBot="1">
      <c r="B9" s="3" t="s">
        <v>4</v>
      </c>
      <c r="C9" s="4"/>
      <c r="D9" s="4"/>
      <c r="E9" s="4"/>
      <c r="F9" s="4"/>
      <c r="G9" s="4"/>
      <c r="H9" s="5"/>
    </row>
    <row r="10" spans="2:8" ht="16" thickBot="1">
      <c r="B10" s="1" t="s">
        <v>5</v>
      </c>
      <c r="C10" s="9">
        <v>3.2</v>
      </c>
      <c r="D10" s="9">
        <v>3.2</v>
      </c>
      <c r="E10" s="9">
        <v>3.2</v>
      </c>
      <c r="F10" s="9"/>
      <c r="G10" s="9" t="s">
        <v>16</v>
      </c>
      <c r="H10" s="9">
        <v>2</v>
      </c>
    </row>
    <row r="11" spans="2:8" ht="16" thickBot="1">
      <c r="B11" s="1" t="s">
        <v>137</v>
      </c>
      <c r="C11" s="9">
        <v>1</v>
      </c>
      <c r="D11" s="9">
        <v>1</v>
      </c>
      <c r="E11" s="9">
        <v>1</v>
      </c>
      <c r="F11" s="9"/>
      <c r="G11" s="9"/>
      <c r="H11" s="9">
        <v>2</v>
      </c>
    </row>
    <row r="12" spans="2:8" ht="28" thickBot="1">
      <c r="B12" s="1" t="s">
        <v>7</v>
      </c>
      <c r="C12" s="9" t="s">
        <v>168</v>
      </c>
      <c r="D12" s="9" t="s">
        <v>190</v>
      </c>
      <c r="E12" s="9" t="s">
        <v>190</v>
      </c>
      <c r="F12" s="9"/>
      <c r="G12" s="9" t="s">
        <v>6</v>
      </c>
      <c r="H12" s="9"/>
    </row>
    <row r="13" spans="2:8" ht="28" thickBot="1">
      <c r="B13" s="1" t="s">
        <v>8</v>
      </c>
      <c r="C13" s="9" t="s">
        <v>191</v>
      </c>
      <c r="D13" s="9" t="s">
        <v>191</v>
      </c>
      <c r="E13" s="9" t="s">
        <v>192</v>
      </c>
      <c r="F13" s="9"/>
      <c r="G13" s="9" t="s">
        <v>6</v>
      </c>
      <c r="H13" s="9"/>
    </row>
    <row r="14" spans="2:8" ht="16" thickBot="1">
      <c r="B14" s="1" t="s">
        <v>142</v>
      </c>
      <c r="C14" s="9">
        <v>20</v>
      </c>
      <c r="D14" s="9">
        <v>22</v>
      </c>
      <c r="E14" s="9">
        <v>25</v>
      </c>
      <c r="F14" s="9"/>
      <c r="G14" s="9"/>
      <c r="H14" s="9">
        <v>2</v>
      </c>
    </row>
    <row r="15" spans="2:8" ht="16" thickBot="1">
      <c r="B15" s="1" t="s">
        <v>146</v>
      </c>
      <c r="C15" s="9">
        <v>65</v>
      </c>
      <c r="D15" s="9">
        <v>70</v>
      </c>
      <c r="E15" s="9" t="s">
        <v>193</v>
      </c>
      <c r="F15" s="9"/>
      <c r="G15" s="9"/>
      <c r="H15" s="9">
        <v>2</v>
      </c>
    </row>
    <row r="16" spans="2:8" ht="16" thickBot="1">
      <c r="B16" s="1" t="s">
        <v>9</v>
      </c>
      <c r="C16" s="9">
        <v>85</v>
      </c>
      <c r="D16" s="9">
        <v>92</v>
      </c>
      <c r="E16" s="9" t="s">
        <v>150</v>
      </c>
      <c r="F16" s="9"/>
      <c r="G16" s="9"/>
      <c r="H16" s="9">
        <v>2</v>
      </c>
    </row>
    <row r="17" spans="2:8" ht="16" thickBot="1">
      <c r="B17" s="1" t="s">
        <v>11</v>
      </c>
      <c r="C17" s="9">
        <v>10</v>
      </c>
      <c r="D17" s="9" t="s">
        <v>153</v>
      </c>
      <c r="E17" s="9" t="s">
        <v>153</v>
      </c>
      <c r="F17" s="9"/>
      <c r="G17" s="9"/>
      <c r="H17" s="9"/>
    </row>
    <row r="18" spans="2:8" ht="16" thickBot="1">
      <c r="B18" s="3" t="s">
        <v>12</v>
      </c>
      <c r="C18" s="4"/>
      <c r="D18" s="4"/>
      <c r="E18" s="4"/>
      <c r="F18" s="4"/>
      <c r="G18" s="4"/>
      <c r="H18" s="5"/>
    </row>
    <row r="19" spans="2:8" ht="16" thickBot="1">
      <c r="B19" s="1" t="s">
        <v>13</v>
      </c>
      <c r="C19" s="2">
        <v>0</v>
      </c>
      <c r="D19" s="2">
        <v>0</v>
      </c>
      <c r="E19" s="2">
        <v>0</v>
      </c>
      <c r="F19" s="2"/>
      <c r="G19" s="2"/>
      <c r="H19" s="2"/>
    </row>
    <row r="20" spans="2:8" ht="16" thickBot="1">
      <c r="B20" s="1" t="s">
        <v>15</v>
      </c>
      <c r="C20" s="2">
        <v>25</v>
      </c>
      <c r="D20" s="2">
        <v>15</v>
      </c>
      <c r="E20" s="2">
        <v>10</v>
      </c>
      <c r="F20" s="2"/>
      <c r="G20" s="2" t="s">
        <v>59</v>
      </c>
      <c r="H20" s="2">
        <v>1</v>
      </c>
    </row>
    <row r="21" spans="2:8" ht="16" thickBot="1">
      <c r="B21" s="1" t="s">
        <v>17</v>
      </c>
      <c r="C21" s="35">
        <v>5</v>
      </c>
      <c r="D21" s="35">
        <v>5</v>
      </c>
      <c r="E21" s="35">
        <v>5</v>
      </c>
      <c r="F21" s="2"/>
      <c r="G21" s="2"/>
      <c r="H21" s="2">
        <v>1</v>
      </c>
    </row>
    <row r="22" spans="2:8" ht="16" thickBot="1">
      <c r="B22" s="1" t="s">
        <v>18</v>
      </c>
      <c r="C22" s="35">
        <v>0</v>
      </c>
      <c r="D22" s="35">
        <v>0</v>
      </c>
      <c r="E22" s="35">
        <v>0</v>
      </c>
      <c r="F22" s="2"/>
      <c r="G22" s="2"/>
      <c r="H22" s="2"/>
    </row>
    <row r="23" spans="2:8" ht="16" thickBot="1">
      <c r="B23" s="1" t="s">
        <v>19</v>
      </c>
      <c r="C23" s="35">
        <v>0</v>
      </c>
      <c r="D23" s="35">
        <v>0</v>
      </c>
      <c r="E23" s="35">
        <v>0</v>
      </c>
      <c r="F23" s="2"/>
      <c r="G23" s="2"/>
      <c r="H23" s="2"/>
    </row>
    <row r="24" spans="2:8" ht="16" thickBot="1">
      <c r="B24" s="3" t="s">
        <v>22</v>
      </c>
      <c r="C24" s="4"/>
      <c r="D24" s="4"/>
      <c r="E24" s="4"/>
      <c r="F24" s="4"/>
      <c r="G24" s="4"/>
      <c r="H24" s="5"/>
    </row>
    <row r="25" spans="2:8">
      <c r="B25" s="6" t="s">
        <v>24</v>
      </c>
      <c r="C25" s="7">
        <v>15</v>
      </c>
      <c r="D25" s="7">
        <v>12</v>
      </c>
      <c r="E25" s="7">
        <v>10</v>
      </c>
      <c r="F25" s="7"/>
      <c r="G25" s="7"/>
      <c r="H25" s="7" t="s">
        <v>94</v>
      </c>
    </row>
    <row r="26" spans="2:8">
      <c r="B26" s="6" t="s">
        <v>26</v>
      </c>
      <c r="C26" s="7" t="s">
        <v>27</v>
      </c>
      <c r="D26" s="7">
        <v>70</v>
      </c>
      <c r="E26" s="7">
        <v>70</v>
      </c>
      <c r="F26" s="7"/>
      <c r="G26" s="7"/>
      <c r="H26" s="7"/>
    </row>
    <row r="27" spans="2:8" ht="16" thickBot="1">
      <c r="B27" s="1" t="s">
        <v>28</v>
      </c>
      <c r="C27" s="2" t="s">
        <v>29</v>
      </c>
      <c r="D27" s="2">
        <v>30</v>
      </c>
      <c r="E27" s="2">
        <v>30</v>
      </c>
      <c r="F27" s="2"/>
      <c r="G27" s="2"/>
      <c r="H27" s="2"/>
    </row>
    <row r="28" spans="2:8" ht="28" thickBot="1">
      <c r="B28" s="1" t="s">
        <v>30</v>
      </c>
      <c r="C28" s="2" t="s">
        <v>157</v>
      </c>
      <c r="D28" s="2" t="s">
        <v>157</v>
      </c>
      <c r="E28" s="2" t="s">
        <v>157</v>
      </c>
      <c r="F28" s="2"/>
      <c r="G28" s="2" t="s">
        <v>6</v>
      </c>
      <c r="H28" s="2"/>
    </row>
    <row r="29" spans="2:8" ht="16" thickBot="1">
      <c r="B29" s="1" t="s">
        <v>50</v>
      </c>
      <c r="C29" s="2" t="s">
        <v>68</v>
      </c>
      <c r="D29" s="2" t="s">
        <v>68</v>
      </c>
      <c r="E29" s="2" t="s">
        <v>68</v>
      </c>
      <c r="F29" s="2"/>
      <c r="G29" s="2"/>
      <c r="H29" s="2"/>
    </row>
    <row r="30" spans="2:8" ht="16" thickBot="1">
      <c r="B30" s="1" t="s">
        <v>31</v>
      </c>
      <c r="C30" s="2" t="s">
        <v>194</v>
      </c>
      <c r="D30" s="2" t="s">
        <v>194</v>
      </c>
      <c r="E30" s="2" t="s">
        <v>194</v>
      </c>
      <c r="F30" s="2"/>
      <c r="G30" s="2"/>
      <c r="H30" s="2">
        <v>3</v>
      </c>
    </row>
    <row r="34" spans="2:8" ht="16" thickBot="1"/>
    <row r="35" spans="2:8">
      <c r="B35" s="1257" t="s">
        <v>0</v>
      </c>
      <c r="C35" s="1259" t="s">
        <v>195</v>
      </c>
      <c r="D35" s="1260"/>
      <c r="E35" s="1260"/>
      <c r="F35" s="1260"/>
      <c r="G35" s="1260"/>
      <c r="H35" s="1261"/>
    </row>
    <row r="36" spans="2:8" ht="16" thickBot="1">
      <c r="B36" s="1258"/>
      <c r="C36" s="1134" t="s">
        <v>32</v>
      </c>
      <c r="D36" s="1135"/>
      <c r="E36" s="1135"/>
      <c r="F36" s="1135"/>
      <c r="G36" s="1135"/>
      <c r="H36" s="1136"/>
    </row>
    <row r="37" spans="2:8" ht="16" thickBot="1">
      <c r="B37" s="1"/>
      <c r="C37" s="2">
        <v>2015</v>
      </c>
      <c r="D37" s="2">
        <v>2020</v>
      </c>
      <c r="E37" s="2">
        <v>2030</v>
      </c>
      <c r="F37" s="2">
        <v>2050</v>
      </c>
      <c r="G37" s="2" t="s">
        <v>2</v>
      </c>
      <c r="H37" s="2" t="s">
        <v>3</v>
      </c>
    </row>
    <row r="38" spans="2:8" ht="16" thickBot="1">
      <c r="B38" s="3" t="s">
        <v>4</v>
      </c>
      <c r="C38" s="4"/>
      <c r="D38" s="4"/>
      <c r="E38" s="4"/>
      <c r="F38" s="4"/>
      <c r="G38" s="4"/>
      <c r="H38" s="5"/>
    </row>
    <row r="39" spans="2:8" ht="16" thickBot="1">
      <c r="B39" s="1" t="s">
        <v>5</v>
      </c>
      <c r="C39" s="9" t="s">
        <v>196</v>
      </c>
      <c r="D39" s="9" t="s">
        <v>196</v>
      </c>
      <c r="E39" s="9" t="s">
        <v>196</v>
      </c>
      <c r="F39" s="9"/>
      <c r="G39" s="9"/>
      <c r="H39" s="9">
        <v>1</v>
      </c>
    </row>
    <row r="40" spans="2:8" ht="16" thickBot="1">
      <c r="B40" s="1" t="s">
        <v>137</v>
      </c>
      <c r="C40" s="9" t="s">
        <v>197</v>
      </c>
      <c r="D40" s="9" t="s">
        <v>198</v>
      </c>
      <c r="E40" s="9" t="s">
        <v>199</v>
      </c>
      <c r="F40" s="9"/>
      <c r="G40" s="9"/>
      <c r="H40" s="9">
        <v>1</v>
      </c>
    </row>
    <row r="41" spans="2:8" ht="28" thickBot="1">
      <c r="B41" s="1" t="s">
        <v>7</v>
      </c>
      <c r="C41" s="9" t="s">
        <v>200</v>
      </c>
      <c r="D41" s="9" t="s">
        <v>200</v>
      </c>
      <c r="E41" s="9" t="s">
        <v>200</v>
      </c>
      <c r="F41" s="9"/>
      <c r="G41" s="9" t="s">
        <v>6</v>
      </c>
      <c r="H41" s="9">
        <v>3</v>
      </c>
    </row>
    <row r="42" spans="2:8" ht="28" thickBot="1">
      <c r="B42" s="1" t="s">
        <v>8</v>
      </c>
      <c r="C42" s="9" t="s">
        <v>159</v>
      </c>
      <c r="D42" s="9" t="s">
        <v>159</v>
      </c>
      <c r="E42" s="9" t="s">
        <v>159</v>
      </c>
      <c r="F42" s="9"/>
      <c r="G42" s="9" t="s">
        <v>6</v>
      </c>
      <c r="H42" s="9"/>
    </row>
    <row r="43" spans="2:8" ht="16" thickBot="1">
      <c r="B43" s="1" t="s">
        <v>142</v>
      </c>
      <c r="C43" s="9" t="s">
        <v>201</v>
      </c>
      <c r="D43" s="9" t="s">
        <v>202</v>
      </c>
      <c r="E43" s="9" t="s">
        <v>203</v>
      </c>
      <c r="F43" s="9"/>
      <c r="G43" s="9"/>
      <c r="H43" s="9">
        <v>-1</v>
      </c>
    </row>
    <row r="44" spans="2:8" ht="16" thickBot="1">
      <c r="B44" s="1" t="s">
        <v>146</v>
      </c>
      <c r="C44" s="9" t="s">
        <v>204</v>
      </c>
      <c r="D44" s="9" t="s">
        <v>205</v>
      </c>
      <c r="E44" s="9" t="s">
        <v>206</v>
      </c>
      <c r="F44" s="9"/>
      <c r="G44" s="9"/>
      <c r="H44" s="9">
        <v>-1</v>
      </c>
    </row>
    <row r="45" spans="2:8" ht="16" thickBot="1">
      <c r="B45" s="1" t="s">
        <v>9</v>
      </c>
      <c r="C45" s="9" t="s">
        <v>207</v>
      </c>
      <c r="D45" s="9" t="s">
        <v>208</v>
      </c>
      <c r="E45" s="9" t="s">
        <v>209</v>
      </c>
      <c r="F45" s="9"/>
      <c r="G45" s="9"/>
      <c r="H45" s="9">
        <v>-1</v>
      </c>
    </row>
    <row r="46" spans="2:8" ht="16" thickBot="1">
      <c r="B46" s="1" t="s">
        <v>11</v>
      </c>
      <c r="C46" s="25" t="s">
        <v>303</v>
      </c>
      <c r="D46" s="25" t="s">
        <v>303</v>
      </c>
      <c r="E46" s="25" t="s">
        <v>303</v>
      </c>
      <c r="F46" s="9"/>
      <c r="G46" s="9"/>
      <c r="H46" s="9"/>
    </row>
    <row r="47" spans="2:8" ht="16" thickBot="1">
      <c r="B47" s="3" t="s">
        <v>12</v>
      </c>
      <c r="C47" s="4"/>
      <c r="D47" s="4"/>
      <c r="E47" s="4"/>
      <c r="F47" s="4"/>
      <c r="G47" s="4"/>
      <c r="H47" s="5"/>
    </row>
    <row r="48" spans="2:8" ht="16" thickBot="1">
      <c r="B48" s="1" t="s">
        <v>13</v>
      </c>
      <c r="C48" s="2">
        <v>0</v>
      </c>
      <c r="D48" s="2">
        <v>0</v>
      </c>
      <c r="E48" s="2">
        <v>0</v>
      </c>
      <c r="F48" s="2"/>
      <c r="G48" s="2"/>
      <c r="H48" s="2"/>
    </row>
    <row r="49" spans="2:8" ht="16" thickBot="1">
      <c r="B49" s="1" t="s">
        <v>15</v>
      </c>
      <c r="C49" s="2" t="s">
        <v>210</v>
      </c>
      <c r="D49" s="11">
        <v>29495</v>
      </c>
      <c r="E49" s="11">
        <v>18537</v>
      </c>
      <c r="F49" s="2"/>
      <c r="G49" s="2"/>
      <c r="H49" s="2"/>
    </row>
    <row r="50" spans="2:8" ht="16" thickBot="1">
      <c r="B50" s="1" t="s">
        <v>17</v>
      </c>
      <c r="C50" s="2" t="s">
        <v>211</v>
      </c>
      <c r="D50" s="2" t="s">
        <v>212</v>
      </c>
      <c r="E50" s="2" t="s">
        <v>213</v>
      </c>
      <c r="F50" s="2"/>
      <c r="G50" s="2"/>
      <c r="H50" s="2">
        <v>2</v>
      </c>
    </row>
    <row r="51" spans="2:8" ht="16" thickBot="1">
      <c r="B51" s="1" t="s">
        <v>18</v>
      </c>
      <c r="C51" s="2" t="s">
        <v>214</v>
      </c>
      <c r="D51" s="2" t="s">
        <v>215</v>
      </c>
      <c r="E51" s="2" t="s">
        <v>215</v>
      </c>
      <c r="F51" s="2"/>
      <c r="G51" s="2"/>
      <c r="H51" s="2">
        <v>2</v>
      </c>
    </row>
    <row r="52" spans="2:8" ht="16" thickBot="1">
      <c r="B52" s="1" t="s">
        <v>19</v>
      </c>
      <c r="C52" s="35">
        <v>0</v>
      </c>
      <c r="D52" s="35">
        <v>0</v>
      </c>
      <c r="E52" s="35">
        <v>0</v>
      </c>
      <c r="F52" s="2"/>
      <c r="G52" s="2"/>
      <c r="H52" s="2">
        <v>2</v>
      </c>
    </row>
    <row r="53" spans="2:8" ht="16" thickBot="1">
      <c r="B53" s="3" t="s">
        <v>22</v>
      </c>
      <c r="C53" s="4"/>
      <c r="D53" s="4"/>
      <c r="E53" s="4"/>
      <c r="F53" s="4"/>
      <c r="G53" s="4"/>
      <c r="H53" s="5"/>
    </row>
    <row r="54" spans="2:8">
      <c r="B54" s="6" t="s">
        <v>24</v>
      </c>
      <c r="C54" s="7" t="s">
        <v>216</v>
      </c>
      <c r="D54" s="7" t="s">
        <v>216</v>
      </c>
      <c r="E54" s="7" t="s">
        <v>216</v>
      </c>
      <c r="F54" s="7"/>
      <c r="G54" s="7"/>
      <c r="H54" s="7">
        <v>-1</v>
      </c>
    </row>
    <row r="55" spans="2:8">
      <c r="B55" s="6" t="s">
        <v>26</v>
      </c>
      <c r="C55" s="7" t="s">
        <v>217</v>
      </c>
      <c r="D55" s="7" t="s">
        <v>217</v>
      </c>
      <c r="E55" s="7" t="s">
        <v>217</v>
      </c>
      <c r="F55" s="7"/>
      <c r="G55" s="7"/>
      <c r="H55" s="7"/>
    </row>
    <row r="56" spans="2:8" ht="16" thickBot="1">
      <c r="B56" s="1" t="s">
        <v>28</v>
      </c>
      <c r="C56" s="2" t="s">
        <v>218</v>
      </c>
      <c r="D56" s="2" t="s">
        <v>218</v>
      </c>
      <c r="E56" s="2" t="s">
        <v>218</v>
      </c>
      <c r="F56" s="2"/>
      <c r="G56" s="2"/>
      <c r="H56" s="2"/>
    </row>
    <row r="57" spans="2:8" ht="28" thickBot="1">
      <c r="B57" s="1" t="s">
        <v>113</v>
      </c>
      <c r="C57" s="2">
        <v>0.2</v>
      </c>
      <c r="D57" s="2">
        <v>0.2</v>
      </c>
      <c r="E57" s="2">
        <v>0.2</v>
      </c>
      <c r="F57" s="2"/>
      <c r="G57" s="2" t="s">
        <v>6</v>
      </c>
      <c r="H57" s="2"/>
    </row>
    <row r="58" spans="2:8" ht="16" thickBot="1">
      <c r="B58" s="1" t="s">
        <v>50</v>
      </c>
      <c r="C58" s="2" t="s">
        <v>68</v>
      </c>
      <c r="D58" s="2" t="s">
        <v>68</v>
      </c>
      <c r="E58" s="2" t="s">
        <v>68</v>
      </c>
      <c r="F58" s="2"/>
      <c r="G58" s="2"/>
      <c r="H58" s="2"/>
    </row>
    <row r="59" spans="2:8" ht="16" thickBot="1">
      <c r="B59" s="1" t="s">
        <v>31</v>
      </c>
      <c r="C59" s="2" t="s">
        <v>219</v>
      </c>
      <c r="D59" s="2" t="s">
        <v>219</v>
      </c>
      <c r="E59" s="2" t="s">
        <v>219</v>
      </c>
      <c r="F59" s="2"/>
      <c r="G59" s="2" t="s">
        <v>59</v>
      </c>
      <c r="H59" s="2">
        <v>4</v>
      </c>
    </row>
    <row r="63" spans="2:8" ht="16" thickBot="1"/>
    <row r="64" spans="2:8">
      <c r="B64" s="1257" t="s">
        <v>0</v>
      </c>
      <c r="C64" s="1259" t="s">
        <v>189</v>
      </c>
      <c r="D64" s="1260"/>
      <c r="E64" s="1260"/>
      <c r="F64" s="1260"/>
      <c r="G64" s="1260"/>
      <c r="H64" s="1261"/>
    </row>
    <row r="65" spans="2:8" ht="16" thickBot="1">
      <c r="B65" s="1258"/>
      <c r="C65" s="1134" t="s">
        <v>34</v>
      </c>
      <c r="D65" s="1135"/>
      <c r="E65" s="1135"/>
      <c r="F65" s="1135"/>
      <c r="G65" s="1135"/>
      <c r="H65" s="1136"/>
    </row>
    <row r="66" spans="2:8" ht="16" thickBot="1">
      <c r="B66" s="1"/>
      <c r="C66" s="2">
        <v>2015</v>
      </c>
      <c r="D66" s="2">
        <v>2020</v>
      </c>
      <c r="E66" s="2">
        <v>2030</v>
      </c>
      <c r="F66" s="2">
        <v>2050</v>
      </c>
      <c r="G66" s="2" t="s">
        <v>2</v>
      </c>
      <c r="H66" s="2" t="s">
        <v>3</v>
      </c>
    </row>
    <row r="67" spans="2:8" ht="16" thickBot="1">
      <c r="B67" s="3" t="s">
        <v>4</v>
      </c>
      <c r="C67" s="4"/>
      <c r="D67" s="4"/>
      <c r="E67" s="4"/>
      <c r="F67" s="4"/>
      <c r="G67" s="4"/>
      <c r="H67" s="5"/>
    </row>
    <row r="68" spans="2:8" ht="16" thickBot="1">
      <c r="B68" s="1" t="s">
        <v>5</v>
      </c>
      <c r="C68" s="2">
        <v>3.2</v>
      </c>
      <c r="D68" s="2">
        <v>3.2</v>
      </c>
      <c r="E68" s="2">
        <v>3</v>
      </c>
      <c r="F68" s="2"/>
      <c r="G68" s="2" t="s">
        <v>16</v>
      </c>
      <c r="H68" s="2">
        <v>2</v>
      </c>
    </row>
    <row r="69" spans="2:8" ht="16" thickBot="1">
      <c r="B69" s="1" t="s">
        <v>137</v>
      </c>
      <c r="C69" s="2">
        <v>1</v>
      </c>
      <c r="D69" s="2">
        <v>1</v>
      </c>
      <c r="E69" s="2">
        <v>1</v>
      </c>
      <c r="F69" s="2"/>
      <c r="G69" s="2"/>
      <c r="H69" s="2">
        <v>2</v>
      </c>
    </row>
    <row r="70" spans="2:8" ht="28" thickBot="1">
      <c r="B70" s="1" t="s">
        <v>7</v>
      </c>
      <c r="C70" s="2" t="s">
        <v>175</v>
      </c>
      <c r="D70" s="2" t="s">
        <v>220</v>
      </c>
      <c r="E70" s="2" t="s">
        <v>181</v>
      </c>
      <c r="F70" s="2"/>
      <c r="G70" s="2" t="s">
        <v>6</v>
      </c>
      <c r="H70" s="2"/>
    </row>
    <row r="71" spans="2:8" ht="28" thickBot="1">
      <c r="B71" s="1" t="s">
        <v>8</v>
      </c>
      <c r="C71" s="2" t="s">
        <v>221</v>
      </c>
      <c r="D71" s="2" t="s">
        <v>222</v>
      </c>
      <c r="E71" s="2" t="s">
        <v>139</v>
      </c>
      <c r="F71" s="2"/>
      <c r="G71" s="2" t="s">
        <v>6</v>
      </c>
      <c r="H71" s="2"/>
    </row>
    <row r="72" spans="2:8" ht="16" thickBot="1">
      <c r="B72" s="1" t="s">
        <v>142</v>
      </c>
      <c r="C72" s="2">
        <v>20</v>
      </c>
      <c r="D72" s="2">
        <v>22</v>
      </c>
      <c r="E72" s="2">
        <v>25</v>
      </c>
      <c r="F72" s="2"/>
      <c r="G72" s="2"/>
      <c r="H72" s="2"/>
    </row>
    <row r="73" spans="2:8" ht="16" thickBot="1">
      <c r="B73" s="1" t="s">
        <v>146</v>
      </c>
      <c r="C73" s="2">
        <v>65</v>
      </c>
      <c r="D73" s="2">
        <v>70</v>
      </c>
      <c r="E73" s="2" t="s">
        <v>193</v>
      </c>
      <c r="F73" s="2"/>
      <c r="G73" s="2"/>
      <c r="H73" s="2">
        <v>2</v>
      </c>
    </row>
    <row r="74" spans="2:8" ht="16" thickBot="1">
      <c r="B74" s="1" t="s">
        <v>223</v>
      </c>
      <c r="C74" s="2">
        <v>85</v>
      </c>
      <c r="D74" s="2">
        <v>92</v>
      </c>
      <c r="E74" s="2" t="s">
        <v>150</v>
      </c>
      <c r="F74" s="2"/>
      <c r="G74" s="2"/>
      <c r="H74" s="2">
        <v>2</v>
      </c>
    </row>
    <row r="75" spans="2:8" ht="16" thickBot="1">
      <c r="B75" s="1" t="s">
        <v>11</v>
      </c>
      <c r="C75" s="2">
        <v>10</v>
      </c>
      <c r="D75" s="2" t="s">
        <v>153</v>
      </c>
      <c r="E75" s="2" t="s">
        <v>153</v>
      </c>
      <c r="F75" s="2"/>
      <c r="G75" s="2"/>
      <c r="H75" s="2"/>
    </row>
    <row r="76" spans="2:8" ht="16" thickBot="1">
      <c r="B76" s="3" t="s">
        <v>12</v>
      </c>
      <c r="C76" s="4"/>
      <c r="D76" s="4"/>
      <c r="E76" s="4"/>
      <c r="F76" s="4"/>
      <c r="G76" s="4"/>
      <c r="H76" s="5"/>
    </row>
    <row r="77" spans="2:8" ht="16" thickBot="1">
      <c r="B77" s="1" t="s">
        <v>13</v>
      </c>
      <c r="C77" s="2">
        <v>0</v>
      </c>
      <c r="D77" s="2">
        <v>0</v>
      </c>
      <c r="E77" s="2">
        <v>0</v>
      </c>
      <c r="F77" s="2"/>
      <c r="G77" s="2"/>
      <c r="H77" s="2"/>
    </row>
    <row r="78" spans="2:8" ht="16" thickBot="1">
      <c r="B78" s="1" t="s">
        <v>15</v>
      </c>
      <c r="C78" s="2">
        <v>25</v>
      </c>
      <c r="D78" s="2">
        <v>15</v>
      </c>
      <c r="E78" s="2">
        <v>10</v>
      </c>
      <c r="F78" s="2"/>
      <c r="G78" s="2" t="s">
        <v>59</v>
      </c>
      <c r="H78" s="2">
        <v>1</v>
      </c>
    </row>
    <row r="79" spans="2:8" ht="16" thickBot="1">
      <c r="B79" s="1" t="s">
        <v>17</v>
      </c>
      <c r="C79" s="35">
        <v>5</v>
      </c>
      <c r="D79" s="35">
        <v>5</v>
      </c>
      <c r="E79" s="35">
        <v>5</v>
      </c>
      <c r="F79" s="2"/>
      <c r="G79" s="2"/>
      <c r="H79" s="2">
        <v>1</v>
      </c>
    </row>
    <row r="80" spans="2:8" ht="16" thickBot="1">
      <c r="B80" s="1" t="s">
        <v>18</v>
      </c>
      <c r="C80" s="35">
        <v>0</v>
      </c>
      <c r="D80" s="35">
        <v>0</v>
      </c>
      <c r="E80" s="35">
        <v>0</v>
      </c>
      <c r="F80" s="2"/>
      <c r="G80" s="2"/>
      <c r="H80" s="2"/>
    </row>
    <row r="81" spans="2:8" ht="16" thickBot="1">
      <c r="B81" s="1" t="s">
        <v>19</v>
      </c>
      <c r="C81" s="35">
        <v>0</v>
      </c>
      <c r="D81" s="35">
        <v>0</v>
      </c>
      <c r="E81" s="35">
        <v>0</v>
      </c>
      <c r="F81" s="2"/>
      <c r="G81" s="2"/>
      <c r="H81" s="2"/>
    </row>
    <row r="82" spans="2:8" ht="16" thickBot="1">
      <c r="B82" s="3" t="s">
        <v>22</v>
      </c>
      <c r="C82" s="4"/>
      <c r="D82" s="4"/>
      <c r="E82" s="4"/>
      <c r="F82" s="4"/>
      <c r="G82" s="4"/>
      <c r="H82" s="5"/>
    </row>
    <row r="83" spans="2:8">
      <c r="B83" s="6" t="s">
        <v>24</v>
      </c>
      <c r="C83" s="7">
        <v>15</v>
      </c>
      <c r="D83" s="7">
        <v>12</v>
      </c>
      <c r="E83" s="7">
        <v>10</v>
      </c>
      <c r="F83" s="7"/>
      <c r="G83" s="7"/>
      <c r="H83" s="7" t="s">
        <v>94</v>
      </c>
    </row>
    <row r="84" spans="2:8">
      <c r="B84" s="6" t="s">
        <v>26</v>
      </c>
      <c r="C84" s="7" t="s">
        <v>27</v>
      </c>
      <c r="D84" s="7">
        <v>70</v>
      </c>
      <c r="E84" s="7">
        <v>70</v>
      </c>
      <c r="F84" s="7"/>
      <c r="G84" s="7"/>
      <c r="H84" s="7"/>
    </row>
    <row r="85" spans="2:8" ht="16" thickBot="1">
      <c r="B85" s="1" t="s">
        <v>28</v>
      </c>
      <c r="C85" s="2" t="s">
        <v>29</v>
      </c>
      <c r="D85" s="2">
        <v>30</v>
      </c>
      <c r="E85" s="2">
        <v>30</v>
      </c>
      <c r="F85" s="2"/>
      <c r="G85" s="2"/>
      <c r="H85" s="2"/>
    </row>
    <row r="86" spans="2:8" ht="28" thickBot="1">
      <c r="B86" s="1" t="s">
        <v>30</v>
      </c>
      <c r="C86" s="2" t="s">
        <v>157</v>
      </c>
      <c r="D86" s="2" t="s">
        <v>157</v>
      </c>
      <c r="E86" s="2" t="s">
        <v>157</v>
      </c>
      <c r="F86" s="2"/>
      <c r="G86" s="2" t="s">
        <v>6</v>
      </c>
      <c r="H86" s="2"/>
    </row>
    <row r="87" spans="2:8" ht="16" thickBot="1">
      <c r="B87" s="1" t="s">
        <v>50</v>
      </c>
      <c r="C87" s="2" t="s">
        <v>68</v>
      </c>
      <c r="D87" s="2" t="s">
        <v>68</v>
      </c>
      <c r="E87" s="2" t="s">
        <v>68</v>
      </c>
      <c r="F87" s="2"/>
      <c r="G87" s="2"/>
      <c r="H87" s="2"/>
    </row>
    <row r="88" spans="2:8" ht="16" thickBot="1">
      <c r="B88" s="1" t="s">
        <v>31</v>
      </c>
      <c r="C88" s="2" t="s">
        <v>194</v>
      </c>
      <c r="D88" s="2" t="s">
        <v>194</v>
      </c>
      <c r="E88" s="2" t="s">
        <v>194</v>
      </c>
      <c r="F88" s="2"/>
      <c r="G88" s="2"/>
      <c r="H88" s="2">
        <v>3</v>
      </c>
    </row>
    <row r="92" spans="2:8" ht="16" thickBot="1"/>
    <row r="93" spans="2:8">
      <c r="B93" s="1257" t="s">
        <v>0</v>
      </c>
      <c r="C93" s="1259" t="s">
        <v>195</v>
      </c>
      <c r="D93" s="1260"/>
      <c r="E93" s="1260"/>
      <c r="F93" s="1260"/>
      <c r="G93" s="1260"/>
      <c r="H93" s="1261"/>
    </row>
    <row r="94" spans="2:8" ht="16" thickBot="1">
      <c r="B94" s="1258"/>
      <c r="C94" s="1134" t="s">
        <v>35</v>
      </c>
      <c r="D94" s="1135"/>
      <c r="E94" s="1135"/>
      <c r="F94" s="1135"/>
      <c r="G94" s="1135"/>
      <c r="H94" s="1136"/>
    </row>
    <row r="95" spans="2:8" ht="16" thickBot="1">
      <c r="B95" s="1"/>
      <c r="C95" s="2">
        <v>2015</v>
      </c>
      <c r="D95" s="2">
        <v>2020</v>
      </c>
      <c r="E95" s="2">
        <v>2030</v>
      </c>
      <c r="F95" s="2">
        <v>2050</v>
      </c>
      <c r="G95" s="2" t="s">
        <v>2</v>
      </c>
      <c r="H95" s="2" t="s">
        <v>3</v>
      </c>
    </row>
    <row r="96" spans="2:8" ht="16" thickBot="1">
      <c r="B96" s="3" t="s">
        <v>4</v>
      </c>
      <c r="C96" s="4"/>
      <c r="D96" s="4"/>
      <c r="E96" s="4"/>
      <c r="F96" s="4"/>
      <c r="G96" s="4"/>
      <c r="H96" s="5"/>
    </row>
    <row r="97" spans="2:8" ht="16" thickBot="1">
      <c r="B97" s="1" t="s">
        <v>5</v>
      </c>
      <c r="C97" s="2" t="s">
        <v>224</v>
      </c>
      <c r="D97" s="2" t="s">
        <v>224</v>
      </c>
      <c r="E97" s="2" t="s">
        <v>224</v>
      </c>
      <c r="F97" s="2"/>
      <c r="G97" s="2"/>
      <c r="H97" s="2">
        <v>1</v>
      </c>
    </row>
    <row r="98" spans="2:8" ht="16" thickBot="1">
      <c r="B98" s="1" t="s">
        <v>137</v>
      </c>
      <c r="C98" s="2" t="s">
        <v>225</v>
      </c>
      <c r="D98" s="2" t="s">
        <v>226</v>
      </c>
      <c r="E98" s="2" t="s">
        <v>227</v>
      </c>
      <c r="F98" s="2"/>
      <c r="G98" s="2"/>
      <c r="H98" s="2">
        <v>1</v>
      </c>
    </row>
    <row r="99" spans="2:8" ht="28" thickBot="1">
      <c r="B99" s="1" t="s">
        <v>7</v>
      </c>
      <c r="C99" s="2" t="s">
        <v>169</v>
      </c>
      <c r="D99" s="2" t="s">
        <v>169</v>
      </c>
      <c r="E99" s="2" t="s">
        <v>169</v>
      </c>
      <c r="F99" s="2"/>
      <c r="G99" s="2" t="s">
        <v>6</v>
      </c>
      <c r="H99" s="2"/>
    </row>
    <row r="100" spans="2:8" ht="28" thickBot="1">
      <c r="B100" s="1" t="s">
        <v>8</v>
      </c>
      <c r="C100" s="2" t="s">
        <v>159</v>
      </c>
      <c r="D100" s="2" t="s">
        <v>159</v>
      </c>
      <c r="E100" s="2" t="s">
        <v>159</v>
      </c>
      <c r="F100" s="2"/>
      <c r="G100" s="2" t="s">
        <v>6</v>
      </c>
      <c r="H100" s="2"/>
    </row>
    <row r="101" spans="2:8" ht="16" thickBot="1">
      <c r="B101" s="1" t="s">
        <v>142</v>
      </c>
      <c r="C101" s="2" t="s">
        <v>228</v>
      </c>
      <c r="D101" s="2" t="s">
        <v>229</v>
      </c>
      <c r="E101" s="2" t="s">
        <v>230</v>
      </c>
      <c r="F101" s="2"/>
      <c r="G101" s="2"/>
      <c r="H101" s="2">
        <v>-1</v>
      </c>
    </row>
    <row r="102" spans="2:8" ht="16" thickBot="1">
      <c r="B102" s="1" t="s">
        <v>146</v>
      </c>
      <c r="C102" s="2" t="s">
        <v>231</v>
      </c>
      <c r="D102" s="2" t="s">
        <v>232</v>
      </c>
      <c r="E102" s="2" t="s">
        <v>233</v>
      </c>
      <c r="F102" s="2"/>
      <c r="G102" s="2"/>
      <c r="H102" s="2">
        <v>-1</v>
      </c>
    </row>
    <row r="103" spans="2:8" ht="16" thickBot="1">
      <c r="B103" s="1" t="s">
        <v>9</v>
      </c>
      <c r="C103" s="2" t="s">
        <v>234</v>
      </c>
      <c r="D103" s="2" t="s">
        <v>235</v>
      </c>
      <c r="E103" s="2" t="s">
        <v>236</v>
      </c>
      <c r="F103" s="2"/>
      <c r="G103" s="2"/>
      <c r="H103" s="2">
        <v>-1</v>
      </c>
    </row>
    <row r="104" spans="2:8" ht="16" thickBot="1">
      <c r="B104" s="1" t="s">
        <v>11</v>
      </c>
      <c r="C104" s="27" t="s">
        <v>303</v>
      </c>
      <c r="D104" s="27" t="s">
        <v>303</v>
      </c>
      <c r="E104" s="27" t="s">
        <v>303</v>
      </c>
      <c r="F104" s="2"/>
      <c r="G104" s="2"/>
      <c r="H104" s="2"/>
    </row>
    <row r="105" spans="2:8" ht="16" thickBot="1">
      <c r="B105" s="3" t="s">
        <v>12</v>
      </c>
      <c r="C105" s="4"/>
      <c r="D105" s="4"/>
      <c r="E105" s="4"/>
      <c r="F105" s="4"/>
      <c r="G105" s="4"/>
      <c r="H105" s="5"/>
    </row>
    <row r="106" spans="2:8" ht="16" thickBot="1">
      <c r="B106" s="1" t="s">
        <v>13</v>
      </c>
      <c r="C106" s="2">
        <v>0</v>
      </c>
      <c r="D106" s="2">
        <v>0</v>
      </c>
      <c r="E106" s="2">
        <v>0</v>
      </c>
      <c r="F106" s="2"/>
      <c r="G106" s="2"/>
      <c r="H106" s="2"/>
    </row>
    <row r="107" spans="2:8" ht="16" thickBot="1">
      <c r="B107" s="1" t="s">
        <v>15</v>
      </c>
      <c r="C107" s="2" t="s">
        <v>210</v>
      </c>
      <c r="D107" s="27" t="s">
        <v>304</v>
      </c>
      <c r="E107" s="27" t="s">
        <v>305</v>
      </c>
      <c r="F107" s="2"/>
      <c r="G107" s="2"/>
      <c r="H107" s="2">
        <v>1</v>
      </c>
    </row>
    <row r="108" spans="2:8" ht="16" thickBot="1">
      <c r="B108" s="1" t="s">
        <v>17</v>
      </c>
      <c r="C108" s="2" t="s">
        <v>211</v>
      </c>
      <c r="D108" s="2" t="s">
        <v>212</v>
      </c>
      <c r="E108" s="2" t="s">
        <v>213</v>
      </c>
      <c r="F108" s="2"/>
      <c r="G108" s="2"/>
      <c r="H108" s="2">
        <v>2</v>
      </c>
    </row>
    <row r="109" spans="2:8" ht="16" thickBot="1">
      <c r="B109" s="1" t="s">
        <v>18</v>
      </c>
      <c r="C109" s="2" t="s">
        <v>214</v>
      </c>
      <c r="D109" s="2" t="s">
        <v>215</v>
      </c>
      <c r="E109" s="2" t="s">
        <v>215</v>
      </c>
      <c r="F109" s="2"/>
      <c r="G109" s="2"/>
      <c r="H109" s="2">
        <v>2</v>
      </c>
    </row>
    <row r="110" spans="2:8" ht="16" thickBot="1">
      <c r="B110" s="1" t="s">
        <v>19</v>
      </c>
      <c r="C110" s="35">
        <v>0</v>
      </c>
      <c r="D110" s="35">
        <v>0</v>
      </c>
      <c r="E110" s="35">
        <v>0</v>
      </c>
      <c r="F110" s="2"/>
      <c r="G110" s="2"/>
      <c r="H110" s="2">
        <v>2</v>
      </c>
    </row>
    <row r="111" spans="2:8" ht="16" thickBot="1">
      <c r="B111" s="3" t="s">
        <v>22</v>
      </c>
      <c r="C111" s="4"/>
      <c r="D111" s="4"/>
      <c r="E111" s="4"/>
      <c r="F111" s="4"/>
      <c r="G111" s="4"/>
      <c r="H111" s="5"/>
    </row>
    <row r="112" spans="2:8">
      <c r="B112" s="6" t="s">
        <v>24</v>
      </c>
      <c r="C112" s="7" t="s">
        <v>237</v>
      </c>
      <c r="D112" s="7" t="s">
        <v>237</v>
      </c>
      <c r="E112" s="7" t="s">
        <v>237</v>
      </c>
      <c r="F112" s="7"/>
      <c r="G112" s="7"/>
      <c r="H112" s="7">
        <v>1</v>
      </c>
    </row>
    <row r="113" spans="2:8">
      <c r="B113" s="6" t="s">
        <v>26</v>
      </c>
      <c r="C113" s="7" t="s">
        <v>27</v>
      </c>
      <c r="D113" s="7">
        <v>70</v>
      </c>
      <c r="E113" s="7">
        <v>70</v>
      </c>
      <c r="F113" s="7"/>
      <c r="G113" s="7"/>
      <c r="H113" s="7"/>
    </row>
    <row r="114" spans="2:8" ht="16" thickBot="1">
      <c r="B114" s="1" t="s">
        <v>28</v>
      </c>
      <c r="C114" s="2" t="s">
        <v>29</v>
      </c>
      <c r="D114" s="2">
        <v>30</v>
      </c>
      <c r="E114" s="2">
        <v>30</v>
      </c>
      <c r="F114" s="2"/>
      <c r="G114" s="2"/>
      <c r="H114" s="2"/>
    </row>
    <row r="115" spans="2:8" ht="28" thickBot="1">
      <c r="B115" s="1" t="s">
        <v>113</v>
      </c>
      <c r="C115" s="2">
        <v>0.2</v>
      </c>
      <c r="D115" s="2">
        <v>0.2</v>
      </c>
      <c r="E115" s="2">
        <v>0.2</v>
      </c>
      <c r="F115" s="2"/>
      <c r="G115" s="2" t="s">
        <v>6</v>
      </c>
      <c r="H115" s="2"/>
    </row>
    <row r="116" spans="2:8" ht="16" thickBot="1">
      <c r="B116" s="1" t="s">
        <v>50</v>
      </c>
      <c r="C116" s="2" t="s">
        <v>68</v>
      </c>
      <c r="D116" s="2" t="s">
        <v>68</v>
      </c>
      <c r="E116" s="2" t="s">
        <v>68</v>
      </c>
      <c r="F116" s="2"/>
      <c r="G116" s="2"/>
      <c r="H116" s="2"/>
    </row>
    <row r="117" spans="2:8" ht="16" thickBot="1">
      <c r="B117" s="1" t="s">
        <v>31</v>
      </c>
      <c r="C117" s="2" t="s">
        <v>219</v>
      </c>
      <c r="D117" s="2" t="s">
        <v>219</v>
      </c>
      <c r="E117" s="2" t="s">
        <v>219</v>
      </c>
      <c r="F117" s="2"/>
      <c r="G117" s="2" t="s">
        <v>59</v>
      </c>
      <c r="H117" s="2">
        <v>3</v>
      </c>
    </row>
  </sheetData>
  <mergeCells count="12">
    <mergeCell ref="B6:B7"/>
    <mergeCell ref="C6:H6"/>
    <mergeCell ref="C7:H7"/>
    <mergeCell ref="B35:B36"/>
    <mergeCell ref="C35:H35"/>
    <mergeCell ref="C36:H36"/>
    <mergeCell ref="B64:B65"/>
    <mergeCell ref="C64:H64"/>
    <mergeCell ref="C65:H65"/>
    <mergeCell ref="B93:B94"/>
    <mergeCell ref="C93:H93"/>
    <mergeCell ref="C94:H94"/>
  </mergeCells>
  <pageMargins left="0.7" right="0.7" top="0.75" bottom="0.75" header="0.3" footer="0.3"/>
  <pageSetup paperSize="9" orientation="portrait"/>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82FD97-A13A-4F61-AE74-4DF246F3970E}">
  <sheetPr>
    <tabColor rgb="FF00B0F0"/>
  </sheetPr>
  <dimension ref="B3:P35"/>
  <sheetViews>
    <sheetView workbookViewId="0">
      <selection activeCell="M14" sqref="M14"/>
    </sheetView>
  </sheetViews>
  <sheetFormatPr baseColWidth="10" defaultColWidth="9.1640625" defaultRowHeight="13"/>
  <cols>
    <col min="1" max="16384" width="9.1640625" style="904"/>
  </cols>
  <sheetData>
    <row r="3" spans="2:16" ht="48">
      <c r="B3" s="934" t="s">
        <v>1284</v>
      </c>
      <c r="C3" s="934" t="s">
        <v>1133</v>
      </c>
      <c r="D3" s="934" t="s">
        <v>337</v>
      </c>
      <c r="E3" s="934" t="s">
        <v>1275</v>
      </c>
      <c r="F3" s="934" t="s">
        <v>1276</v>
      </c>
      <c r="G3" s="933" t="s">
        <v>340</v>
      </c>
      <c r="H3" s="933" t="s">
        <v>341</v>
      </c>
      <c r="I3" s="933" t="s">
        <v>342</v>
      </c>
      <c r="J3" s="933" t="s">
        <v>343</v>
      </c>
      <c r="K3" s="933" t="s">
        <v>344</v>
      </c>
      <c r="L3" s="933" t="s">
        <v>1274</v>
      </c>
      <c r="M3" s="933" t="s">
        <v>339</v>
      </c>
      <c r="N3" s="905"/>
      <c r="O3" s="905"/>
      <c r="P3" s="905"/>
    </row>
    <row r="4" spans="2:16" ht="80">
      <c r="B4" s="932" t="s">
        <v>1283</v>
      </c>
      <c r="C4" s="932"/>
      <c r="D4" s="932"/>
      <c r="E4" s="932" t="s">
        <v>1272</v>
      </c>
      <c r="F4" s="932" t="s">
        <v>1273</v>
      </c>
      <c r="G4" s="932" t="s">
        <v>1271</v>
      </c>
      <c r="H4" s="932" t="s">
        <v>1270</v>
      </c>
      <c r="I4" s="932" t="s">
        <v>1269</v>
      </c>
      <c r="J4" s="932" t="s">
        <v>1268</v>
      </c>
      <c r="K4" s="932" t="s">
        <v>1267</v>
      </c>
      <c r="L4" s="932" t="s">
        <v>1266</v>
      </c>
      <c r="M4" s="932" t="s">
        <v>1265</v>
      </c>
      <c r="N4" s="905"/>
      <c r="O4" s="905"/>
      <c r="P4" s="905"/>
    </row>
    <row r="5" spans="2:16" ht="16" thickBot="1">
      <c r="B5" s="931"/>
      <c r="C5" s="931"/>
      <c r="D5" s="931"/>
      <c r="E5" s="931"/>
      <c r="F5" s="931" t="s">
        <v>330</v>
      </c>
      <c r="G5" s="931" t="s">
        <v>1262</v>
      </c>
      <c r="H5" s="931" t="s">
        <v>1262</v>
      </c>
      <c r="I5" s="931" t="s">
        <v>1261</v>
      </c>
      <c r="J5" s="931" t="s">
        <v>351</v>
      </c>
      <c r="K5" s="931" t="s">
        <v>351</v>
      </c>
      <c r="L5" s="931"/>
      <c r="M5" s="931" t="s">
        <v>1260</v>
      </c>
      <c r="N5" s="905"/>
      <c r="O5" s="905" t="s">
        <v>1282</v>
      </c>
      <c r="P5" s="905">
        <v>7.45</v>
      </c>
    </row>
    <row r="6" spans="2:16" ht="15">
      <c r="B6" s="928"/>
      <c r="C6" s="928">
        <v>2015</v>
      </c>
      <c r="D6" s="928">
        <v>1</v>
      </c>
      <c r="E6" s="927"/>
      <c r="F6" s="913">
        <v>250</v>
      </c>
      <c r="G6" s="927">
        <v>0.52150000000000007</v>
      </c>
      <c r="H6" s="905">
        <v>3.7249999999999998E-2</v>
      </c>
      <c r="I6" s="905">
        <v>0</v>
      </c>
      <c r="J6" s="929">
        <v>3.1536000000000002E-2</v>
      </c>
      <c r="K6" s="930">
        <v>1</v>
      </c>
      <c r="L6" s="929">
        <v>1</v>
      </c>
      <c r="M6" s="905">
        <v>20</v>
      </c>
      <c r="N6" s="905"/>
      <c r="O6" s="905"/>
      <c r="P6" s="905"/>
    </row>
    <row r="7" spans="2:16" ht="15">
      <c r="B7" s="928"/>
      <c r="C7" s="928">
        <v>2020</v>
      </c>
      <c r="D7" s="928">
        <v>1</v>
      </c>
      <c r="E7" s="927"/>
      <c r="F7" s="913">
        <v>250</v>
      </c>
      <c r="G7" s="927">
        <v>0.52150000000000007</v>
      </c>
      <c r="H7" s="905">
        <v>3.7249999999999998E-2</v>
      </c>
      <c r="I7" s="905">
        <v>0</v>
      </c>
      <c r="J7" s="905"/>
      <c r="K7" s="905"/>
      <c r="L7" s="905"/>
      <c r="M7" s="905">
        <v>20</v>
      </c>
      <c r="N7" s="905"/>
      <c r="O7" s="905"/>
      <c r="P7" s="905"/>
    </row>
    <row r="8" spans="2:16" ht="15">
      <c r="B8" s="928"/>
      <c r="C8" s="928">
        <v>2030</v>
      </c>
      <c r="D8" s="928">
        <v>1</v>
      </c>
      <c r="E8" s="927"/>
      <c r="F8" s="913">
        <v>250</v>
      </c>
      <c r="G8" s="927">
        <v>0.52150000000000007</v>
      </c>
      <c r="H8" s="905">
        <v>3.7249999999999998E-2</v>
      </c>
      <c r="I8" s="905">
        <v>0</v>
      </c>
      <c r="J8" s="905"/>
      <c r="K8" s="905"/>
      <c r="L8" s="905"/>
      <c r="M8" s="905">
        <v>20</v>
      </c>
      <c r="N8" s="905"/>
      <c r="O8" s="905"/>
      <c r="P8" s="905"/>
    </row>
    <row r="9" spans="2:16" ht="15">
      <c r="B9" s="928"/>
      <c r="C9" s="928">
        <v>2050</v>
      </c>
      <c r="D9" s="928">
        <v>1</v>
      </c>
      <c r="E9" s="927"/>
      <c r="F9" s="913">
        <v>250</v>
      </c>
      <c r="G9" s="927">
        <v>0.52150000000000007</v>
      </c>
      <c r="H9" s="905">
        <v>3.7249999999999998E-2</v>
      </c>
      <c r="I9" s="905">
        <v>0</v>
      </c>
      <c r="J9" s="905"/>
      <c r="K9" s="905"/>
      <c r="L9" s="905"/>
      <c r="M9" s="905">
        <v>20</v>
      </c>
      <c r="N9" s="905"/>
      <c r="O9" s="905"/>
      <c r="P9" s="905"/>
    </row>
    <row r="11" spans="2:16" ht="15">
      <c r="B11" s="905" t="s">
        <v>1281</v>
      </c>
      <c r="C11" s="905"/>
      <c r="D11" s="905"/>
      <c r="E11" s="905"/>
      <c r="F11" s="905"/>
      <c r="G11" s="905"/>
      <c r="H11" s="905"/>
      <c r="I11" s="905"/>
      <c r="J11" s="905"/>
      <c r="K11" s="905"/>
      <c r="L11" s="905"/>
      <c r="M11" s="905"/>
      <c r="N11" s="905"/>
      <c r="O11" s="905"/>
      <c r="P11" s="905"/>
    </row>
    <row r="12" spans="2:16" ht="16" thickBot="1">
      <c r="B12" s="905"/>
      <c r="C12" s="905"/>
      <c r="D12" s="905"/>
      <c r="E12" s="905"/>
      <c r="F12" s="905"/>
      <c r="G12" s="905"/>
      <c r="H12" s="905"/>
      <c r="I12" s="905"/>
      <c r="J12" s="905"/>
      <c r="K12" s="905"/>
      <c r="L12" s="905"/>
      <c r="M12" s="905"/>
      <c r="N12" s="905"/>
      <c r="O12" s="905"/>
      <c r="P12" s="905"/>
    </row>
    <row r="13" spans="2:16" ht="15">
      <c r="B13" s="1320" t="s">
        <v>0</v>
      </c>
      <c r="C13" s="1322" t="s">
        <v>58</v>
      </c>
      <c r="D13" s="1323"/>
      <c r="E13" s="1323"/>
      <c r="F13" s="1323"/>
      <c r="G13" s="1323"/>
      <c r="H13" s="1324"/>
      <c r="I13" s="905"/>
      <c r="J13" s="905"/>
      <c r="K13" s="905"/>
      <c r="L13" s="905"/>
      <c r="M13" s="905"/>
      <c r="N13" s="905"/>
      <c r="O13" s="905"/>
      <c r="P13" s="905"/>
    </row>
    <row r="14" spans="2:16" ht="16" thickBot="1">
      <c r="B14" s="1321"/>
      <c r="C14" s="1325" t="s">
        <v>53</v>
      </c>
      <c r="D14" s="1326"/>
      <c r="E14" s="1326"/>
      <c r="F14" s="1326"/>
      <c r="G14" s="1326"/>
      <c r="H14" s="1327"/>
      <c r="I14" s="905"/>
      <c r="J14" s="905"/>
      <c r="K14" s="905"/>
      <c r="L14" s="905"/>
      <c r="M14" s="905"/>
      <c r="N14" s="905"/>
      <c r="O14" s="905"/>
      <c r="P14" s="905"/>
    </row>
    <row r="15" spans="2:16" ht="16" thickBot="1">
      <c r="B15" s="920"/>
      <c r="C15" s="919">
        <v>2015</v>
      </c>
      <c r="D15" s="919">
        <v>2020</v>
      </c>
      <c r="E15" s="919">
        <v>2030</v>
      </c>
      <c r="F15" s="919">
        <v>2050</v>
      </c>
      <c r="G15" s="919" t="s">
        <v>2</v>
      </c>
      <c r="H15" s="919" t="s">
        <v>3</v>
      </c>
      <c r="I15" s="905"/>
      <c r="J15" s="905"/>
      <c r="K15" s="905"/>
      <c r="L15" s="905"/>
      <c r="M15" s="905"/>
      <c r="N15" s="905"/>
      <c r="O15" s="905"/>
      <c r="P15" s="905"/>
    </row>
    <row r="16" spans="2:16" ht="28" thickBot="1">
      <c r="B16" s="926" t="s">
        <v>4</v>
      </c>
      <c r="C16" s="925"/>
      <c r="D16" s="925"/>
      <c r="E16" s="925"/>
      <c r="F16" s="925"/>
      <c r="G16" s="925"/>
      <c r="H16" s="924"/>
      <c r="I16" s="905"/>
      <c r="J16" s="905"/>
      <c r="K16" s="905"/>
      <c r="L16" s="905"/>
      <c r="M16" s="905"/>
      <c r="N16" s="905"/>
      <c r="O16" s="905"/>
      <c r="P16" s="905"/>
    </row>
    <row r="17" spans="2:8" ht="66" thickBot="1">
      <c r="B17" s="920" t="s">
        <v>5</v>
      </c>
      <c r="C17" s="919">
        <v>250</v>
      </c>
      <c r="D17" s="919">
        <v>250</v>
      </c>
      <c r="E17" s="919">
        <v>250</v>
      </c>
      <c r="F17" s="919">
        <v>250</v>
      </c>
      <c r="G17" s="919" t="s">
        <v>6</v>
      </c>
      <c r="H17" s="919"/>
    </row>
    <row r="18" spans="2:8" ht="92" thickBot="1">
      <c r="B18" s="920" t="s">
        <v>7</v>
      </c>
      <c r="C18" s="919">
        <v>100</v>
      </c>
      <c r="D18" s="919">
        <v>100</v>
      </c>
      <c r="E18" s="919">
        <v>100</v>
      </c>
      <c r="F18" s="919">
        <v>100</v>
      </c>
      <c r="G18" s="919"/>
      <c r="H18" s="919"/>
    </row>
    <row r="19" spans="2:8" ht="92" thickBot="1">
      <c r="B19" s="920" t="s">
        <v>8</v>
      </c>
      <c r="C19" s="919">
        <v>100</v>
      </c>
      <c r="D19" s="919">
        <v>100</v>
      </c>
      <c r="E19" s="919">
        <v>100</v>
      </c>
      <c r="F19" s="919">
        <v>100</v>
      </c>
      <c r="G19" s="919"/>
      <c r="H19" s="919"/>
    </row>
    <row r="20" spans="2:8" ht="66" thickBot="1">
      <c r="B20" s="920" t="s">
        <v>9</v>
      </c>
      <c r="C20" s="919">
        <v>100</v>
      </c>
      <c r="D20" s="919">
        <v>100</v>
      </c>
      <c r="E20" s="919">
        <v>100</v>
      </c>
      <c r="F20" s="919">
        <v>100</v>
      </c>
      <c r="G20" s="919" t="s">
        <v>59</v>
      </c>
      <c r="H20" s="919"/>
    </row>
    <row r="21" spans="2:8" ht="40" thickBot="1">
      <c r="B21" s="920" t="s">
        <v>11</v>
      </c>
      <c r="C21" s="919">
        <v>20</v>
      </c>
      <c r="D21" s="919">
        <v>20</v>
      </c>
      <c r="E21" s="919">
        <v>20</v>
      </c>
      <c r="F21" s="919">
        <v>20</v>
      </c>
      <c r="G21" s="919"/>
      <c r="H21" s="919"/>
    </row>
    <row r="22" spans="2:8" ht="27" thickBot="1">
      <c r="B22" s="926" t="s">
        <v>12</v>
      </c>
      <c r="C22" s="925"/>
      <c r="D22" s="925"/>
      <c r="E22" s="925"/>
      <c r="F22" s="925"/>
      <c r="G22" s="925"/>
      <c r="H22" s="924"/>
    </row>
    <row r="23" spans="2:8" ht="27" thickBot="1">
      <c r="B23" s="920" t="s">
        <v>1280</v>
      </c>
      <c r="C23" s="919" t="s">
        <v>36</v>
      </c>
      <c r="D23" s="919" t="s">
        <v>36</v>
      </c>
      <c r="E23" s="919" t="s">
        <v>36</v>
      </c>
      <c r="F23" s="919" t="s">
        <v>36</v>
      </c>
      <c r="G23" s="919"/>
      <c r="H23" s="919"/>
    </row>
    <row r="24" spans="2:8" ht="27" thickBot="1">
      <c r="B24" s="920" t="s">
        <v>1279</v>
      </c>
      <c r="C24" s="919" t="s">
        <v>36</v>
      </c>
      <c r="D24" s="919" t="s">
        <v>36</v>
      </c>
      <c r="E24" s="919" t="s">
        <v>36</v>
      </c>
      <c r="F24" s="919" t="s">
        <v>36</v>
      </c>
      <c r="G24" s="919"/>
      <c r="H24" s="919"/>
    </row>
    <row r="25" spans="2:8" ht="27" thickBot="1">
      <c r="B25" s="920" t="s">
        <v>1278</v>
      </c>
      <c r="C25" s="919" t="s">
        <v>36</v>
      </c>
      <c r="D25" s="919" t="s">
        <v>36</v>
      </c>
      <c r="E25" s="919" t="s">
        <v>36</v>
      </c>
      <c r="F25" s="919" t="s">
        <v>36</v>
      </c>
      <c r="G25" s="919"/>
      <c r="H25" s="919"/>
    </row>
    <row r="26" spans="2:8" ht="27" thickBot="1">
      <c r="B26" s="920" t="s">
        <v>1277</v>
      </c>
      <c r="C26" s="919" t="s">
        <v>36</v>
      </c>
      <c r="D26" s="919" t="s">
        <v>36</v>
      </c>
      <c r="E26" s="919" t="s">
        <v>36</v>
      </c>
      <c r="F26" s="919" t="s">
        <v>36</v>
      </c>
      <c r="G26" s="919"/>
      <c r="H26" s="919"/>
    </row>
    <row r="27" spans="2:8" ht="40" thickBot="1">
      <c r="B27" s="920" t="s">
        <v>19</v>
      </c>
      <c r="C27" s="919" t="s">
        <v>36</v>
      </c>
      <c r="D27" s="919" t="s">
        <v>36</v>
      </c>
      <c r="E27" s="919" t="s">
        <v>36</v>
      </c>
      <c r="F27" s="919" t="s">
        <v>36</v>
      </c>
      <c r="G27" s="919"/>
      <c r="H27" s="919"/>
    </row>
    <row r="28" spans="2:8" ht="27" thickBot="1">
      <c r="B28" s="926" t="s">
        <v>22</v>
      </c>
      <c r="C28" s="925"/>
      <c r="D28" s="925"/>
      <c r="E28" s="925"/>
      <c r="F28" s="925"/>
      <c r="G28" s="925"/>
      <c r="H28" s="924"/>
    </row>
    <row r="29" spans="2:8" ht="40" thickBot="1">
      <c r="B29" s="920" t="s">
        <v>23</v>
      </c>
      <c r="C29" s="919">
        <v>7.0000000000000007E-2</v>
      </c>
      <c r="D29" s="919">
        <v>7.0000000000000007E-2</v>
      </c>
      <c r="E29" s="919">
        <v>7.0000000000000007E-2</v>
      </c>
      <c r="F29" s="919">
        <v>7.0000000000000007E-2</v>
      </c>
      <c r="G29" s="919" t="s">
        <v>33</v>
      </c>
      <c r="H29" s="919" t="s">
        <v>65</v>
      </c>
    </row>
    <row r="30" spans="2:8" ht="52">
      <c r="B30" s="923" t="s">
        <v>24</v>
      </c>
      <c r="C30" s="922"/>
      <c r="D30" s="922"/>
      <c r="E30" s="922"/>
      <c r="F30" s="922"/>
      <c r="G30" s="922"/>
      <c r="H30" s="922"/>
    </row>
    <row r="31" spans="2:8" ht="39">
      <c r="B31" s="923" t="s">
        <v>26</v>
      </c>
      <c r="C31" s="922" t="s">
        <v>27</v>
      </c>
      <c r="D31" s="922">
        <v>70</v>
      </c>
      <c r="E31" s="922">
        <v>70</v>
      </c>
      <c r="F31" s="922">
        <v>70</v>
      </c>
      <c r="G31" s="922"/>
      <c r="H31" s="922"/>
    </row>
    <row r="32" spans="2:8" ht="40" thickBot="1">
      <c r="B32" s="920" t="s">
        <v>28</v>
      </c>
      <c r="C32" s="919" t="s">
        <v>29</v>
      </c>
      <c r="D32" s="919">
        <v>30</v>
      </c>
      <c r="E32" s="919">
        <v>30</v>
      </c>
      <c r="F32" s="919">
        <v>30</v>
      </c>
      <c r="G32" s="919"/>
      <c r="H32" s="919"/>
    </row>
    <row r="33" spans="2:8" ht="79" thickBot="1">
      <c r="B33" s="920" t="s">
        <v>30</v>
      </c>
      <c r="C33" s="919">
        <v>4</v>
      </c>
      <c r="D33" s="919">
        <v>4</v>
      </c>
      <c r="E33" s="919">
        <v>4</v>
      </c>
      <c r="F33" s="919">
        <v>4</v>
      </c>
      <c r="G33" s="919" t="s">
        <v>20</v>
      </c>
      <c r="H33" s="919"/>
    </row>
    <row r="34" spans="2:8" ht="40" thickBot="1">
      <c r="B34" s="920" t="s">
        <v>64</v>
      </c>
      <c r="C34" s="921">
        <v>1250</v>
      </c>
      <c r="D34" s="921">
        <v>1250</v>
      </c>
      <c r="E34" s="921">
        <v>1250</v>
      </c>
      <c r="F34" s="921">
        <v>1250</v>
      </c>
      <c r="G34" s="919"/>
      <c r="H34" s="919">
        <v>7</v>
      </c>
    </row>
    <row r="35" spans="2:8" ht="40" thickBot="1">
      <c r="B35" s="920" t="s">
        <v>31</v>
      </c>
      <c r="C35" s="919"/>
      <c r="D35" s="919"/>
      <c r="E35" s="919"/>
      <c r="F35" s="919"/>
      <c r="G35" s="919"/>
      <c r="H35" s="919"/>
    </row>
  </sheetData>
  <mergeCells count="3">
    <mergeCell ref="B13:B14"/>
    <mergeCell ref="C13:H13"/>
    <mergeCell ref="C14:H14"/>
  </mergeCell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EC7992-9B97-437C-B269-D5105B20CF6E}">
  <sheetPr>
    <tabColor rgb="FF00B0F0"/>
  </sheetPr>
  <dimension ref="A3:Z54"/>
  <sheetViews>
    <sheetView zoomScale="80" zoomScaleNormal="80" workbookViewId="0">
      <selection activeCell="M14" sqref="M14"/>
    </sheetView>
  </sheetViews>
  <sheetFormatPr baseColWidth="10" defaultColWidth="9.1640625" defaultRowHeight="13"/>
  <cols>
    <col min="1" max="1" width="9.1640625" style="904"/>
    <col min="2" max="2" width="23.5" style="904" customWidth="1"/>
    <col min="3" max="3" width="9.1640625" style="904"/>
    <col min="4" max="4" width="12.83203125" style="904" customWidth="1"/>
    <col min="5" max="5" width="14.33203125" style="904" customWidth="1"/>
    <col min="6" max="6" width="12.1640625" style="904" customWidth="1"/>
    <col min="7" max="7" width="13.33203125" style="904" customWidth="1"/>
    <col min="8" max="9" width="13.6640625" style="904" customWidth="1"/>
    <col min="10" max="10" width="14" style="904" customWidth="1"/>
    <col min="11" max="11" width="14.5" style="904" customWidth="1"/>
    <col min="12" max="24" width="9.1640625" style="904"/>
    <col min="25" max="25" width="16.6640625" style="904" customWidth="1"/>
    <col min="26" max="16384" width="9.1640625" style="904"/>
  </cols>
  <sheetData>
    <row r="3" spans="1:26" ht="32">
      <c r="A3" s="905"/>
      <c r="B3" s="934" t="s">
        <v>1284</v>
      </c>
      <c r="C3" s="934" t="s">
        <v>1133</v>
      </c>
      <c r="D3" s="934" t="s">
        <v>1275</v>
      </c>
      <c r="E3" s="934" t="s">
        <v>1276</v>
      </c>
      <c r="F3" s="933" t="s">
        <v>340</v>
      </c>
      <c r="G3" s="933" t="s">
        <v>341</v>
      </c>
      <c r="H3" s="933" t="s">
        <v>342</v>
      </c>
      <c r="I3" s="933" t="s">
        <v>343</v>
      </c>
      <c r="J3" s="933" t="s">
        <v>344</v>
      </c>
      <c r="K3" s="933" t="s">
        <v>1274</v>
      </c>
      <c r="L3" s="933" t="s">
        <v>339</v>
      </c>
      <c r="M3" s="933" t="s">
        <v>1264</v>
      </c>
      <c r="N3" s="905"/>
      <c r="O3" s="905"/>
      <c r="P3" s="905"/>
      <c r="Q3" s="905"/>
    </row>
    <row r="4" spans="1:26" ht="48">
      <c r="A4" s="905"/>
      <c r="B4" s="932" t="s">
        <v>1308</v>
      </c>
      <c r="C4" s="932"/>
      <c r="D4" s="978" t="s">
        <v>1272</v>
      </c>
      <c r="E4" s="978" t="s">
        <v>1273</v>
      </c>
      <c r="F4" s="978" t="s">
        <v>1271</v>
      </c>
      <c r="G4" s="978" t="s">
        <v>1270</v>
      </c>
      <c r="H4" s="978" t="s">
        <v>1269</v>
      </c>
      <c r="I4" s="978" t="s">
        <v>1268</v>
      </c>
      <c r="J4" s="978" t="s">
        <v>1267</v>
      </c>
      <c r="K4" s="978" t="s">
        <v>1266</v>
      </c>
      <c r="L4" s="978" t="s">
        <v>1265</v>
      </c>
      <c r="M4" s="978" t="s">
        <v>1263</v>
      </c>
      <c r="N4" s="905"/>
      <c r="O4" s="905"/>
      <c r="P4" s="1328" t="s">
        <v>1307</v>
      </c>
      <c r="Q4" s="1329"/>
    </row>
    <row r="5" spans="1:26" ht="16" thickBot="1">
      <c r="A5" s="905"/>
      <c r="B5" s="931"/>
      <c r="C5" s="931"/>
      <c r="D5" s="977"/>
      <c r="E5" s="977" t="s">
        <v>449</v>
      </c>
      <c r="F5" s="977" t="s">
        <v>1262</v>
      </c>
      <c r="G5" s="977" t="s">
        <v>1262</v>
      </c>
      <c r="H5" s="977" t="s">
        <v>1261</v>
      </c>
      <c r="I5" s="977" t="s">
        <v>351</v>
      </c>
      <c r="J5" s="977" t="s">
        <v>351</v>
      </c>
      <c r="K5" s="977"/>
      <c r="L5" s="977" t="s">
        <v>1260</v>
      </c>
      <c r="M5" s="977" t="s">
        <v>1260</v>
      </c>
      <c r="N5" s="905"/>
      <c r="O5" s="905"/>
      <c r="P5" s="976" t="s">
        <v>1282</v>
      </c>
      <c r="Q5" s="975">
        <v>7.45</v>
      </c>
    </row>
    <row r="6" spans="1:26" ht="15">
      <c r="A6" s="905"/>
      <c r="B6" s="974">
        <f>$Z$15</f>
        <v>22.465873891698152</v>
      </c>
      <c r="C6" s="971">
        <v>2015</v>
      </c>
      <c r="D6" s="969">
        <f>1/(C26/100)</f>
        <v>0.22727272727272727</v>
      </c>
      <c r="E6" s="970">
        <f>C22</f>
        <v>4</v>
      </c>
      <c r="F6" s="969">
        <f>C46*$Q$5</f>
        <v>5.2149999999999999</v>
      </c>
      <c r="G6" s="911">
        <f>C49/1000000*$Q$5</f>
        <v>1.49E-2</v>
      </c>
      <c r="H6" s="968">
        <f>C52*$Q$5/3.6</f>
        <v>4.1388888888888893</v>
      </c>
      <c r="I6" s="973">
        <f>8760*3.6/10^6</f>
        <v>3.1536000000000002E-2</v>
      </c>
      <c r="J6" s="972">
        <f>1-C30/52</f>
        <v>0.99038461538461542</v>
      </c>
      <c r="K6" s="972">
        <v>1</v>
      </c>
      <c r="L6" s="911">
        <v>25</v>
      </c>
      <c r="M6" s="911">
        <f>C32</f>
        <v>0.5</v>
      </c>
      <c r="N6" s="905"/>
      <c r="O6" s="905"/>
      <c r="P6" s="905"/>
      <c r="Q6" s="905"/>
    </row>
    <row r="7" spans="1:26" ht="15">
      <c r="A7" s="905"/>
      <c r="B7" s="905"/>
      <c r="C7" s="971">
        <v>2020</v>
      </c>
      <c r="D7" s="969">
        <f>1/(D26/100)</f>
        <v>0.2</v>
      </c>
      <c r="E7" s="970">
        <f>D22</f>
        <v>4</v>
      </c>
      <c r="F7" s="969">
        <f>D46*$Q$5</f>
        <v>4.9020999999999999</v>
      </c>
      <c r="G7" s="911">
        <f>D49/1000000*$Q$5</f>
        <v>1.49E-2</v>
      </c>
      <c r="H7" s="968">
        <f>D52*$Q$5/3.6</f>
        <v>3.7250000000000001</v>
      </c>
      <c r="I7" s="911"/>
      <c r="J7" s="911"/>
      <c r="K7" s="911"/>
      <c r="L7" s="911"/>
      <c r="M7" s="911"/>
      <c r="N7" s="905"/>
      <c r="O7" s="905"/>
      <c r="P7" s="905"/>
      <c r="Q7" s="905"/>
    </row>
    <row r="8" spans="1:26" ht="15">
      <c r="A8" s="905"/>
      <c r="B8" s="905"/>
      <c r="C8" s="971">
        <v>2030</v>
      </c>
      <c r="D8" s="969">
        <f>1/(E26/100)</f>
        <v>0.16666666666666666</v>
      </c>
      <c r="E8" s="970">
        <f>E22</f>
        <v>4</v>
      </c>
      <c r="F8" s="969">
        <f>E46*$Q$5</f>
        <v>4.4118899999999996</v>
      </c>
      <c r="G8" s="911">
        <f>E49/1000000*$Q$5</f>
        <v>1.49E-2</v>
      </c>
      <c r="H8" s="968">
        <f>E52*$Q$5/3.6</f>
        <v>3.5180555555555553</v>
      </c>
      <c r="I8" s="911"/>
      <c r="J8" s="911"/>
      <c r="K8" s="911"/>
      <c r="L8" s="911"/>
      <c r="M8" s="911"/>
      <c r="N8" s="905"/>
      <c r="O8" s="905"/>
      <c r="P8" s="905"/>
      <c r="Q8" s="905"/>
    </row>
    <row r="9" spans="1:26" ht="15">
      <c r="A9" s="905"/>
      <c r="B9" s="905"/>
      <c r="C9" s="971">
        <v>2050</v>
      </c>
      <c r="D9" s="969">
        <f>1/(F26/100)</f>
        <v>0.13513513513513511</v>
      </c>
      <c r="E9" s="970">
        <f>F22</f>
        <v>4</v>
      </c>
      <c r="F9" s="969">
        <f>F46*$Q$5</f>
        <v>3.970701</v>
      </c>
      <c r="G9" s="911">
        <f>F49/1000000*$Q$5</f>
        <v>1.49E-2</v>
      </c>
      <c r="H9" s="968">
        <f>F52*$Q$5/3.6</f>
        <v>3.3111111111111113</v>
      </c>
      <c r="I9" s="911"/>
      <c r="J9" s="911"/>
      <c r="K9" s="911"/>
      <c r="L9" s="911"/>
      <c r="M9" s="911"/>
      <c r="N9" s="905"/>
      <c r="O9" s="905"/>
      <c r="P9" s="905"/>
      <c r="Q9" s="905"/>
    </row>
    <row r="10" spans="1:26" ht="15">
      <c r="A10" s="967"/>
      <c r="B10" s="964"/>
      <c r="C10" s="964"/>
      <c r="D10" s="962"/>
      <c r="E10" s="963"/>
      <c r="F10" s="962"/>
      <c r="G10" s="961"/>
      <c r="H10" s="961"/>
      <c r="I10" s="965"/>
      <c r="J10" s="966"/>
      <c r="K10" s="965"/>
      <c r="L10" s="961"/>
      <c r="M10" s="905"/>
      <c r="N10" s="905"/>
      <c r="O10" s="905"/>
      <c r="P10" s="905"/>
      <c r="Q10" s="905"/>
    </row>
    <row r="11" spans="1:26" ht="15">
      <c r="A11" s="905"/>
      <c r="B11" s="964"/>
      <c r="C11" s="964"/>
      <c r="D11" s="962"/>
      <c r="E11" s="963"/>
      <c r="F11" s="962"/>
      <c r="G11" s="961"/>
      <c r="H11" s="961"/>
      <c r="I11" s="961"/>
      <c r="J11" s="961"/>
      <c r="K11" s="961"/>
      <c r="L11" s="961"/>
      <c r="M11" s="905"/>
      <c r="N11" s="905"/>
      <c r="O11" s="905"/>
      <c r="P11" s="905"/>
      <c r="Q11" s="905"/>
    </row>
    <row r="12" spans="1:26" ht="15">
      <c r="A12" s="905"/>
      <c r="B12" s="964"/>
      <c r="C12" s="964"/>
      <c r="D12" s="962"/>
      <c r="E12" s="963"/>
      <c r="F12" s="962"/>
      <c r="G12" s="961"/>
      <c r="H12" s="961"/>
      <c r="I12" s="961"/>
      <c r="J12" s="961"/>
      <c r="K12" s="961"/>
      <c r="L12" s="961"/>
      <c r="M12" s="905"/>
      <c r="N12" s="905"/>
      <c r="O12" s="905"/>
      <c r="P12" s="905"/>
      <c r="Q12" s="905"/>
      <c r="Y12" s="904" t="s">
        <v>1306</v>
      </c>
      <c r="Z12" s="904">
        <f>28+273</f>
        <v>301</v>
      </c>
    </row>
    <row r="13" spans="1:26" ht="15">
      <c r="A13" s="905"/>
      <c r="B13" s="964"/>
      <c r="C13" s="964"/>
      <c r="D13" s="962"/>
      <c r="E13" s="963"/>
      <c r="F13" s="962"/>
      <c r="G13" s="961"/>
      <c r="H13" s="961"/>
      <c r="I13" s="961"/>
      <c r="J13" s="961"/>
      <c r="K13" s="961"/>
      <c r="L13" s="961"/>
      <c r="M13" s="905"/>
      <c r="N13" s="905"/>
      <c r="O13" s="905"/>
      <c r="P13" s="905"/>
      <c r="Q13" s="905"/>
      <c r="Y13" s="904" t="s">
        <v>1305</v>
      </c>
      <c r="Z13" s="904">
        <f>17+273</f>
        <v>290</v>
      </c>
    </row>
    <row r="14" spans="1:26" ht="15">
      <c r="A14" s="905"/>
      <c r="B14" s="905"/>
      <c r="C14" s="905"/>
      <c r="D14" s="905"/>
      <c r="E14" s="913"/>
      <c r="F14" s="905"/>
      <c r="G14" s="905"/>
      <c r="H14" s="905"/>
      <c r="I14" s="905"/>
      <c r="J14" s="905"/>
      <c r="K14" s="905"/>
      <c r="L14" s="905"/>
      <c r="M14" s="905"/>
      <c r="N14" s="905"/>
      <c r="O14" s="905"/>
      <c r="P14" s="905"/>
      <c r="Q14" s="905"/>
    </row>
    <row r="15" spans="1:26" ht="15">
      <c r="A15" s="905"/>
      <c r="B15" s="905"/>
      <c r="C15" s="905"/>
      <c r="D15" s="905"/>
      <c r="E15" s="913"/>
      <c r="F15" s="905"/>
      <c r="G15" s="905"/>
      <c r="H15" s="905"/>
      <c r="I15" s="905"/>
      <c r="J15" s="927"/>
      <c r="K15" s="905"/>
      <c r="L15" s="905"/>
      <c r="M15" s="905"/>
      <c r="N15" s="905"/>
      <c r="O15" s="905"/>
      <c r="P15" s="905"/>
      <c r="Q15" s="905"/>
      <c r="Y15" s="904" t="s">
        <v>1304</v>
      </c>
      <c r="Z15" s="960">
        <f>(Z12-Z13)/(LN(Z12/Z13))-273</f>
        <v>22.465873891698152</v>
      </c>
    </row>
    <row r="16" spans="1:26" ht="15">
      <c r="A16" s="905"/>
      <c r="B16" s="905"/>
      <c r="C16" s="905"/>
      <c r="D16" s="905"/>
      <c r="E16" s="913"/>
      <c r="F16" s="905"/>
      <c r="G16" s="905"/>
      <c r="H16" s="905"/>
      <c r="I16" s="905"/>
      <c r="J16" s="905"/>
      <c r="K16" s="905"/>
      <c r="L16" s="905"/>
      <c r="M16" s="905"/>
      <c r="N16" s="905"/>
      <c r="O16" s="905"/>
      <c r="P16" s="905"/>
      <c r="Q16" s="905"/>
    </row>
    <row r="17" spans="2:12" ht="15">
      <c r="B17" s="905" t="s">
        <v>1281</v>
      </c>
      <c r="C17" s="928"/>
      <c r="D17" s="905"/>
      <c r="E17" s="913"/>
      <c r="F17" s="905"/>
      <c r="G17" s="905"/>
      <c r="H17" s="905"/>
      <c r="I17" s="905"/>
      <c r="J17" s="905"/>
      <c r="K17" s="905"/>
      <c r="L17" s="905"/>
    </row>
    <row r="19" spans="2:12" ht="15">
      <c r="B19" s="959" t="s">
        <v>0</v>
      </c>
      <c r="C19" s="1334" t="s">
        <v>1303</v>
      </c>
      <c r="D19" s="1335"/>
      <c r="E19" s="1335"/>
      <c r="F19" s="1335"/>
      <c r="G19" s="1335"/>
      <c r="H19" s="1335"/>
      <c r="I19" s="1335"/>
      <c r="J19" s="1335"/>
      <c r="K19" s="1335"/>
      <c r="L19" s="1336"/>
    </row>
    <row r="20" spans="2:12" ht="14">
      <c r="B20" s="940"/>
      <c r="C20" s="958">
        <v>2015</v>
      </c>
      <c r="D20" s="958">
        <v>2020</v>
      </c>
      <c r="E20" s="958">
        <v>2030</v>
      </c>
      <c r="F20" s="958">
        <v>2050</v>
      </c>
      <c r="G20" s="1334" t="s">
        <v>647</v>
      </c>
      <c r="H20" s="1337"/>
      <c r="I20" s="1334" t="s">
        <v>648</v>
      </c>
      <c r="J20" s="1337"/>
      <c r="K20" s="958" t="s">
        <v>2</v>
      </c>
      <c r="L20" s="958" t="s">
        <v>3</v>
      </c>
    </row>
    <row r="21" spans="2:12" ht="14">
      <c r="B21" s="957" t="s">
        <v>4</v>
      </c>
      <c r="C21" s="956"/>
      <c r="D21" s="956"/>
      <c r="E21" s="956"/>
      <c r="F21" s="956"/>
      <c r="G21" s="956" t="s">
        <v>649</v>
      </c>
      <c r="H21" s="956" t="s">
        <v>650</v>
      </c>
      <c r="I21" s="956" t="s">
        <v>649</v>
      </c>
      <c r="J21" s="956" t="s">
        <v>650</v>
      </c>
      <c r="K21" s="956"/>
      <c r="L21" s="955"/>
    </row>
    <row r="22" spans="2:12" ht="35.25" customHeight="1">
      <c r="B22" s="951" t="s">
        <v>1302</v>
      </c>
      <c r="C22" s="947">
        <v>4</v>
      </c>
      <c r="D22" s="947">
        <v>4</v>
      </c>
      <c r="E22" s="947">
        <v>4</v>
      </c>
      <c r="F22" s="947">
        <v>4</v>
      </c>
      <c r="G22" s="947">
        <v>3</v>
      </c>
      <c r="H22" s="947">
        <v>6</v>
      </c>
      <c r="I22" s="947">
        <v>3</v>
      </c>
      <c r="J22" s="947">
        <v>10</v>
      </c>
      <c r="K22" s="947"/>
      <c r="L22" s="947">
        <v>3</v>
      </c>
    </row>
    <row r="23" spans="2:12" ht="33.75" customHeight="1">
      <c r="B23" s="936" t="s">
        <v>652</v>
      </c>
      <c r="C23" s="944" t="s">
        <v>1301</v>
      </c>
      <c r="D23" s="944" t="s">
        <v>1301</v>
      </c>
      <c r="E23" s="944" t="s">
        <v>1301</v>
      </c>
      <c r="F23" s="944" t="s">
        <v>1301</v>
      </c>
      <c r="G23" s="944" t="s">
        <v>1301</v>
      </c>
      <c r="H23" s="944" t="s">
        <v>1301</v>
      </c>
      <c r="I23" s="944" t="s">
        <v>1301</v>
      </c>
      <c r="J23" s="944" t="s">
        <v>1301</v>
      </c>
      <c r="K23" s="944"/>
      <c r="L23" s="944"/>
    </row>
    <row r="24" spans="2:12" ht="60.75" customHeight="1">
      <c r="B24" s="954" t="s">
        <v>1300</v>
      </c>
      <c r="C24" s="953">
        <v>350</v>
      </c>
      <c r="D24" s="952">
        <v>360</v>
      </c>
      <c r="E24" s="952">
        <v>380</v>
      </c>
      <c r="F24" s="952">
        <v>410</v>
      </c>
      <c r="G24" s="952">
        <v>350</v>
      </c>
      <c r="H24" s="952">
        <v>380</v>
      </c>
      <c r="I24" s="952">
        <v>350</v>
      </c>
      <c r="J24" s="952">
        <v>450</v>
      </c>
      <c r="K24" s="952" t="s">
        <v>1299</v>
      </c>
      <c r="L24" s="952">
        <v>4</v>
      </c>
    </row>
    <row r="25" spans="2:12" ht="57.75" customHeight="1">
      <c r="B25" s="936" t="s">
        <v>1298</v>
      </c>
      <c r="C25" s="935">
        <v>350</v>
      </c>
      <c r="D25" s="935">
        <v>400</v>
      </c>
      <c r="E25" s="935">
        <v>480</v>
      </c>
      <c r="F25" s="935">
        <v>600</v>
      </c>
      <c r="G25" s="935">
        <v>350</v>
      </c>
      <c r="H25" s="935">
        <v>450</v>
      </c>
      <c r="I25" s="935">
        <v>350</v>
      </c>
      <c r="J25" s="935">
        <v>700</v>
      </c>
      <c r="K25" s="935" t="s">
        <v>1295</v>
      </c>
      <c r="L25" s="935" t="s">
        <v>1294</v>
      </c>
    </row>
    <row r="26" spans="2:12" ht="48.75" customHeight="1">
      <c r="B26" s="951" t="s">
        <v>1297</v>
      </c>
      <c r="C26" s="946">
        <v>440</v>
      </c>
      <c r="D26" s="950">
        <v>500</v>
      </c>
      <c r="E26" s="950">
        <v>600</v>
      </c>
      <c r="F26" s="950">
        <v>740</v>
      </c>
      <c r="G26" s="950">
        <v>440</v>
      </c>
      <c r="H26" s="950">
        <v>600</v>
      </c>
      <c r="I26" s="950">
        <v>440</v>
      </c>
      <c r="J26" s="950">
        <v>850</v>
      </c>
      <c r="K26" s="950" t="s">
        <v>1295</v>
      </c>
      <c r="L26" s="950" t="s">
        <v>1294</v>
      </c>
    </row>
    <row r="27" spans="2:12" ht="50.25" customHeight="1">
      <c r="B27" s="949" t="s">
        <v>1296</v>
      </c>
      <c r="C27" s="935">
        <v>700</v>
      </c>
      <c r="D27" s="935">
        <v>900</v>
      </c>
      <c r="E27" s="935">
        <v>1200</v>
      </c>
      <c r="F27" s="935">
        <v>1800</v>
      </c>
      <c r="G27" s="935">
        <v>700</v>
      </c>
      <c r="H27" s="935">
        <v>1200</v>
      </c>
      <c r="I27" s="935">
        <v>700</v>
      </c>
      <c r="J27" s="935">
        <v>2000</v>
      </c>
      <c r="K27" s="935" t="s">
        <v>1295</v>
      </c>
      <c r="L27" s="935" t="s">
        <v>1294</v>
      </c>
    </row>
    <row r="28" spans="2:12" ht="35.25" customHeight="1">
      <c r="B28" s="936" t="s">
        <v>654</v>
      </c>
      <c r="C28" s="935">
        <v>10</v>
      </c>
      <c r="D28" s="935">
        <v>9</v>
      </c>
      <c r="E28" s="935">
        <v>7</v>
      </c>
      <c r="F28" s="935">
        <v>4</v>
      </c>
      <c r="G28" s="935">
        <v>4</v>
      </c>
      <c r="H28" s="935">
        <v>10</v>
      </c>
      <c r="I28" s="935">
        <v>3</v>
      </c>
      <c r="J28" s="935">
        <v>6</v>
      </c>
      <c r="K28" s="935" t="s">
        <v>1293</v>
      </c>
      <c r="L28" s="935">
        <v>3</v>
      </c>
    </row>
    <row r="29" spans="2:12" ht="25.5" customHeight="1">
      <c r="B29" s="936" t="s">
        <v>657</v>
      </c>
      <c r="C29" s="935">
        <v>0</v>
      </c>
      <c r="D29" s="935">
        <v>0</v>
      </c>
      <c r="E29" s="935">
        <v>0</v>
      </c>
      <c r="F29" s="935">
        <v>0</v>
      </c>
      <c r="G29" s="935">
        <v>0</v>
      </c>
      <c r="H29" s="935">
        <v>1</v>
      </c>
      <c r="I29" s="935">
        <v>0</v>
      </c>
      <c r="J29" s="935">
        <v>1</v>
      </c>
      <c r="K29" s="935" t="s">
        <v>33</v>
      </c>
      <c r="L29" s="935">
        <v>3</v>
      </c>
    </row>
    <row r="30" spans="2:12" ht="32.25" customHeight="1">
      <c r="B30" s="948" t="s">
        <v>658</v>
      </c>
      <c r="C30" s="947">
        <v>0.5</v>
      </c>
      <c r="D30" s="947">
        <v>0.5</v>
      </c>
      <c r="E30" s="947">
        <v>0.5</v>
      </c>
      <c r="F30" s="947">
        <v>0.5</v>
      </c>
      <c r="G30" s="947">
        <v>0</v>
      </c>
      <c r="H30" s="947">
        <v>1</v>
      </c>
      <c r="I30" s="947">
        <v>0</v>
      </c>
      <c r="J30" s="947">
        <v>1</v>
      </c>
      <c r="K30" s="947" t="s">
        <v>51</v>
      </c>
      <c r="L30" s="946">
        <v>3</v>
      </c>
    </row>
    <row r="31" spans="2:12" ht="27.75" customHeight="1">
      <c r="B31" s="948" t="s">
        <v>11</v>
      </c>
      <c r="C31" s="947">
        <v>25</v>
      </c>
      <c r="D31" s="947">
        <v>25</v>
      </c>
      <c r="E31" s="947">
        <v>25</v>
      </c>
      <c r="F31" s="947">
        <v>25</v>
      </c>
      <c r="G31" s="947">
        <v>15</v>
      </c>
      <c r="H31" s="947">
        <v>30</v>
      </c>
      <c r="I31" s="947">
        <v>15</v>
      </c>
      <c r="J31" s="947">
        <v>30</v>
      </c>
      <c r="K31" s="947"/>
      <c r="L31" s="946">
        <v>3</v>
      </c>
    </row>
    <row r="32" spans="2:12" ht="28.5" customHeight="1">
      <c r="B32" s="948" t="s">
        <v>273</v>
      </c>
      <c r="C32" s="947">
        <v>0.5</v>
      </c>
      <c r="D32" s="947">
        <v>0.5</v>
      </c>
      <c r="E32" s="947">
        <v>0.5</v>
      </c>
      <c r="F32" s="947">
        <v>0.5</v>
      </c>
      <c r="G32" s="947">
        <v>0.3</v>
      </c>
      <c r="H32" s="947">
        <v>0.7</v>
      </c>
      <c r="I32" s="947">
        <v>0.3</v>
      </c>
      <c r="J32" s="947">
        <v>0.7</v>
      </c>
      <c r="K32" s="947" t="s">
        <v>16</v>
      </c>
      <c r="L32" s="946"/>
    </row>
    <row r="33" spans="2:12" ht="38.25" customHeight="1">
      <c r="B33" s="945" t="s">
        <v>1292</v>
      </c>
      <c r="C33" s="935">
        <v>0.02</v>
      </c>
      <c r="D33" s="935">
        <v>0.02</v>
      </c>
      <c r="E33" s="935">
        <v>0.02</v>
      </c>
      <c r="F33" s="935">
        <v>0.02</v>
      </c>
      <c r="G33" s="935">
        <v>0.01</v>
      </c>
      <c r="H33" s="935">
        <v>0.04</v>
      </c>
      <c r="I33" s="935">
        <v>0.01</v>
      </c>
      <c r="J33" s="937">
        <v>0.04</v>
      </c>
      <c r="K33" s="937"/>
      <c r="L33" s="935">
        <v>1</v>
      </c>
    </row>
    <row r="34" spans="2:12">
      <c r="B34" s="1330" t="s">
        <v>660</v>
      </c>
      <c r="C34" s="1331"/>
      <c r="D34" s="1331"/>
      <c r="E34" s="1331"/>
      <c r="F34" s="1331"/>
      <c r="G34" s="1331"/>
      <c r="H34" s="1331"/>
      <c r="I34" s="1331"/>
      <c r="J34" s="1331"/>
      <c r="K34" s="1331"/>
      <c r="L34" s="1332"/>
    </row>
    <row r="35" spans="2:12" ht="26">
      <c r="B35" s="940" t="s">
        <v>661</v>
      </c>
      <c r="C35" s="937">
        <v>10</v>
      </c>
      <c r="D35" s="937">
        <v>10</v>
      </c>
      <c r="E35" s="937">
        <v>10</v>
      </c>
      <c r="F35" s="937">
        <v>10</v>
      </c>
      <c r="G35" s="937">
        <v>10</v>
      </c>
      <c r="H35" s="937">
        <v>25</v>
      </c>
      <c r="I35" s="937">
        <v>10</v>
      </c>
      <c r="J35" s="937">
        <v>30</v>
      </c>
      <c r="K35" s="937" t="s">
        <v>20</v>
      </c>
      <c r="L35" s="937">
        <v>3</v>
      </c>
    </row>
    <row r="36" spans="2:12" ht="26">
      <c r="B36" s="940" t="s">
        <v>662</v>
      </c>
      <c r="C36" s="937">
        <v>20</v>
      </c>
      <c r="D36" s="937">
        <v>20</v>
      </c>
      <c r="E36" s="937">
        <v>20</v>
      </c>
      <c r="F36" s="937">
        <v>20</v>
      </c>
      <c r="G36" s="937">
        <v>20</v>
      </c>
      <c r="H36" s="937">
        <v>40</v>
      </c>
      <c r="I36" s="937">
        <v>20</v>
      </c>
      <c r="J36" s="937">
        <v>40</v>
      </c>
      <c r="K36" s="937" t="s">
        <v>20</v>
      </c>
      <c r="L36" s="937">
        <v>3</v>
      </c>
    </row>
    <row r="37" spans="2:12">
      <c r="B37" s="940" t="s">
        <v>663</v>
      </c>
      <c r="C37" s="937">
        <v>10</v>
      </c>
      <c r="D37" s="937">
        <v>10</v>
      </c>
      <c r="E37" s="937">
        <v>10</v>
      </c>
      <c r="F37" s="937">
        <v>10</v>
      </c>
      <c r="G37" s="937">
        <v>10</v>
      </c>
      <c r="H37" s="937">
        <v>10</v>
      </c>
      <c r="I37" s="937">
        <v>10</v>
      </c>
      <c r="J37" s="937">
        <v>10</v>
      </c>
      <c r="K37" s="937" t="s">
        <v>20</v>
      </c>
      <c r="L37" s="937">
        <v>3</v>
      </c>
    </row>
    <row r="38" spans="2:12">
      <c r="B38" s="940" t="s">
        <v>664</v>
      </c>
      <c r="C38" s="937">
        <v>0</v>
      </c>
      <c r="D38" s="937">
        <v>0</v>
      </c>
      <c r="E38" s="937">
        <v>0</v>
      </c>
      <c r="F38" s="937">
        <v>0</v>
      </c>
      <c r="G38" s="937">
        <v>0</v>
      </c>
      <c r="H38" s="937">
        <v>1</v>
      </c>
      <c r="I38" s="937">
        <v>0</v>
      </c>
      <c r="J38" s="937">
        <v>1</v>
      </c>
      <c r="K38" s="937"/>
      <c r="L38" s="937">
        <v>3</v>
      </c>
    </row>
    <row r="39" spans="2:12">
      <c r="B39" s="940" t="s">
        <v>666</v>
      </c>
      <c r="C39" s="937">
        <v>6</v>
      </c>
      <c r="D39" s="937">
        <v>6</v>
      </c>
      <c r="E39" s="937">
        <v>6</v>
      </c>
      <c r="F39" s="937">
        <v>6</v>
      </c>
      <c r="G39" s="937">
        <v>1</v>
      </c>
      <c r="H39" s="937">
        <v>12</v>
      </c>
      <c r="I39" s="937">
        <v>1</v>
      </c>
      <c r="J39" s="937">
        <v>12</v>
      </c>
      <c r="K39" s="937" t="s">
        <v>76</v>
      </c>
      <c r="L39" s="937" t="s">
        <v>1291</v>
      </c>
    </row>
    <row r="40" spans="2:12">
      <c r="B40" s="1330" t="s">
        <v>12</v>
      </c>
      <c r="C40" s="1331"/>
      <c r="D40" s="1331"/>
      <c r="E40" s="1331"/>
      <c r="F40" s="1331"/>
      <c r="G40" s="1331"/>
      <c r="H40" s="1331"/>
      <c r="I40" s="1331"/>
      <c r="J40" s="1331"/>
      <c r="K40" s="1331"/>
      <c r="L40" s="1332"/>
    </row>
    <row r="41" spans="2:12">
      <c r="B41" s="940" t="s">
        <v>668</v>
      </c>
      <c r="C41" s="937">
        <v>0</v>
      </c>
      <c r="D41" s="937">
        <v>0</v>
      </c>
      <c r="E41" s="937">
        <v>0</v>
      </c>
      <c r="F41" s="937">
        <v>0</v>
      </c>
      <c r="G41" s="937">
        <v>0</v>
      </c>
      <c r="H41" s="937">
        <v>0</v>
      </c>
      <c r="I41" s="937">
        <v>0</v>
      </c>
      <c r="J41" s="937">
        <v>0</v>
      </c>
      <c r="K41" s="935"/>
      <c r="L41" s="944"/>
    </row>
    <row r="42" spans="2:12">
      <c r="B42" s="940" t="s">
        <v>670</v>
      </c>
      <c r="C42" s="937">
        <v>0</v>
      </c>
      <c r="D42" s="937">
        <v>0</v>
      </c>
      <c r="E42" s="937">
        <v>0</v>
      </c>
      <c r="F42" s="937">
        <v>0</v>
      </c>
      <c r="G42" s="937">
        <v>0</v>
      </c>
      <c r="H42" s="937">
        <v>0</v>
      </c>
      <c r="I42" s="937">
        <v>0</v>
      </c>
      <c r="J42" s="937">
        <v>0</v>
      </c>
      <c r="K42" s="937"/>
      <c r="L42" s="935"/>
    </row>
    <row r="43" spans="2:12">
      <c r="B43" s="940" t="s">
        <v>366</v>
      </c>
      <c r="C43" s="943">
        <v>0</v>
      </c>
      <c r="D43" s="943">
        <v>0</v>
      </c>
      <c r="E43" s="943">
        <v>0</v>
      </c>
      <c r="F43" s="943">
        <v>0</v>
      </c>
      <c r="G43" s="943">
        <v>0</v>
      </c>
      <c r="H43" s="943">
        <v>0</v>
      </c>
      <c r="I43" s="943">
        <v>0</v>
      </c>
      <c r="J43" s="943">
        <v>0</v>
      </c>
      <c r="K43" s="937"/>
      <c r="L43" s="935"/>
    </row>
    <row r="44" spans="2:12">
      <c r="B44" s="940" t="s">
        <v>367</v>
      </c>
      <c r="C44" s="942">
        <v>0</v>
      </c>
      <c r="D44" s="942">
        <v>0</v>
      </c>
      <c r="E44" s="942">
        <v>0</v>
      </c>
      <c r="F44" s="942">
        <v>0</v>
      </c>
      <c r="G44" s="942">
        <v>0</v>
      </c>
      <c r="H44" s="942">
        <v>0</v>
      </c>
      <c r="I44" s="942">
        <v>0</v>
      </c>
      <c r="J44" s="942">
        <v>0</v>
      </c>
      <c r="K44" s="942"/>
      <c r="L44" s="935"/>
    </row>
    <row r="45" spans="2:12">
      <c r="B45" s="1333" t="s">
        <v>674</v>
      </c>
      <c r="C45" s="1333"/>
      <c r="D45" s="1333"/>
      <c r="E45" s="1333"/>
      <c r="F45" s="1333"/>
      <c r="G45" s="1333"/>
      <c r="H45" s="1333"/>
      <c r="I45" s="1333"/>
      <c r="J45" s="1333"/>
      <c r="K45" s="1333"/>
      <c r="L45" s="1333"/>
    </row>
    <row r="46" spans="2:12" ht="37.5" customHeight="1">
      <c r="B46" s="936" t="s">
        <v>1290</v>
      </c>
      <c r="C46" s="941">
        <v>0.7</v>
      </c>
      <c r="D46" s="941">
        <v>0.65799999999999992</v>
      </c>
      <c r="E46" s="941">
        <v>0.59219999999999995</v>
      </c>
      <c r="F46" s="941">
        <v>0.53298000000000001</v>
      </c>
      <c r="G46" s="941">
        <v>0.5</v>
      </c>
      <c r="H46" s="941">
        <v>1</v>
      </c>
      <c r="I46" s="941">
        <v>0.5</v>
      </c>
      <c r="J46" s="941">
        <v>1</v>
      </c>
      <c r="K46" s="937" t="s">
        <v>1289</v>
      </c>
      <c r="L46" s="937"/>
    </row>
    <row r="47" spans="2:12" ht="25.5" customHeight="1">
      <c r="B47" s="940" t="s">
        <v>839</v>
      </c>
      <c r="C47" s="937">
        <v>50</v>
      </c>
      <c r="D47" s="937">
        <v>50</v>
      </c>
      <c r="E47" s="937">
        <v>50</v>
      </c>
      <c r="F47" s="937">
        <v>50</v>
      </c>
      <c r="G47" s="937">
        <v>30</v>
      </c>
      <c r="H47" s="937">
        <v>70</v>
      </c>
      <c r="I47" s="937">
        <v>30</v>
      </c>
      <c r="J47" s="937">
        <v>70</v>
      </c>
      <c r="K47" s="937"/>
      <c r="L47" s="937">
        <v>3</v>
      </c>
    </row>
    <row r="48" spans="2:12" ht="26.25" customHeight="1">
      <c r="B48" s="940" t="s">
        <v>840</v>
      </c>
      <c r="C48" s="937">
        <v>50</v>
      </c>
      <c r="D48" s="937">
        <v>50</v>
      </c>
      <c r="E48" s="937">
        <v>50</v>
      </c>
      <c r="F48" s="937">
        <v>50</v>
      </c>
      <c r="G48" s="937">
        <v>30</v>
      </c>
      <c r="H48" s="937">
        <v>70</v>
      </c>
      <c r="I48" s="937">
        <v>30</v>
      </c>
      <c r="J48" s="937">
        <v>70</v>
      </c>
      <c r="K48" s="937"/>
      <c r="L48" s="937">
        <v>3</v>
      </c>
    </row>
    <row r="49" spans="2:12" ht="30" customHeight="1">
      <c r="B49" s="940" t="s">
        <v>1288</v>
      </c>
      <c r="C49" s="937">
        <v>2000</v>
      </c>
      <c r="D49" s="937">
        <v>2000</v>
      </c>
      <c r="E49" s="937">
        <v>2000</v>
      </c>
      <c r="F49" s="937">
        <v>2000</v>
      </c>
      <c r="G49" s="937">
        <v>1000</v>
      </c>
      <c r="H49" s="937">
        <v>3000</v>
      </c>
      <c r="I49" s="937">
        <v>1000</v>
      </c>
      <c r="J49" s="937">
        <v>3000</v>
      </c>
      <c r="K49" s="937"/>
      <c r="L49" s="937">
        <v>3</v>
      </c>
    </row>
    <row r="50" spans="2:12" ht="30.75" customHeight="1">
      <c r="B50" s="940" t="s">
        <v>1287</v>
      </c>
      <c r="C50" s="938">
        <v>8.4</v>
      </c>
      <c r="D50" s="938">
        <v>8.2000000000000011</v>
      </c>
      <c r="E50" s="938">
        <v>8.7999999999999989</v>
      </c>
      <c r="F50" s="938">
        <v>8.1999999999999993</v>
      </c>
      <c r="G50" s="938">
        <v>4.3</v>
      </c>
      <c r="H50" s="938">
        <v>9.1</v>
      </c>
      <c r="I50" s="938">
        <v>6.5</v>
      </c>
      <c r="J50" s="938">
        <v>11.9</v>
      </c>
      <c r="K50" s="937"/>
      <c r="L50" s="937"/>
    </row>
    <row r="51" spans="2:12" ht="36.75" customHeight="1">
      <c r="B51" s="939" t="s">
        <v>1286</v>
      </c>
      <c r="C51" s="938">
        <v>6.4</v>
      </c>
      <c r="D51" s="938">
        <v>6.4</v>
      </c>
      <c r="E51" s="938">
        <v>7.1</v>
      </c>
      <c r="F51" s="938">
        <v>6.6</v>
      </c>
      <c r="G51" s="938">
        <v>2.8</v>
      </c>
      <c r="H51" s="938">
        <v>7.1</v>
      </c>
      <c r="I51" s="938">
        <v>5</v>
      </c>
      <c r="J51" s="938">
        <v>9.9</v>
      </c>
      <c r="K51" s="937" t="s">
        <v>886</v>
      </c>
      <c r="L51" s="937"/>
    </row>
    <row r="52" spans="2:12" ht="37.5" customHeight="1">
      <c r="B52" s="939" t="s">
        <v>1285</v>
      </c>
      <c r="C52" s="938">
        <v>2</v>
      </c>
      <c r="D52" s="938">
        <v>1.8</v>
      </c>
      <c r="E52" s="938">
        <v>1.7</v>
      </c>
      <c r="F52" s="938">
        <v>1.6</v>
      </c>
      <c r="G52" s="938">
        <v>1.5</v>
      </c>
      <c r="H52" s="938">
        <v>2</v>
      </c>
      <c r="I52" s="938">
        <v>1.5</v>
      </c>
      <c r="J52" s="938">
        <v>2</v>
      </c>
      <c r="K52" s="937" t="s">
        <v>25</v>
      </c>
      <c r="L52" s="937">
        <v>3</v>
      </c>
    </row>
    <row r="53" spans="2:12">
      <c r="B53" s="1330" t="s">
        <v>682</v>
      </c>
      <c r="C53" s="1331"/>
      <c r="D53" s="1331"/>
      <c r="E53" s="1331"/>
      <c r="F53" s="1331"/>
      <c r="G53" s="1331"/>
      <c r="H53" s="1331"/>
      <c r="I53" s="1331"/>
      <c r="J53" s="1331"/>
      <c r="K53" s="1331"/>
      <c r="L53" s="1332"/>
    </row>
    <row r="54" spans="2:12">
      <c r="B54" s="936"/>
      <c r="C54" s="935"/>
      <c r="D54" s="935"/>
      <c r="E54" s="935"/>
      <c r="F54" s="935"/>
      <c r="G54" s="935"/>
      <c r="H54" s="935"/>
      <c r="I54" s="935"/>
      <c r="J54" s="935"/>
      <c r="K54" s="935"/>
      <c r="L54" s="935"/>
    </row>
  </sheetData>
  <mergeCells count="8">
    <mergeCell ref="P4:Q4"/>
    <mergeCell ref="B53:L53"/>
    <mergeCell ref="B45:L45"/>
    <mergeCell ref="C19:L19"/>
    <mergeCell ref="G20:H20"/>
    <mergeCell ref="I20:J20"/>
    <mergeCell ref="B34:L34"/>
    <mergeCell ref="B40:L40"/>
  </mergeCells>
  <pageMargins left="0.7" right="0.7" top="0.75" bottom="0.75" header="0.3" footer="0.3"/>
  <pageSetup paperSize="9" orientation="portrait"/>
  <drawing r:id="rId1"/>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65F01C-7B84-4D5C-8996-D82722FC84BC}">
  <sheetPr>
    <tabColor theme="4" tint="0.39997558519241921"/>
  </sheetPr>
  <dimension ref="A3:Q54"/>
  <sheetViews>
    <sheetView workbookViewId="0">
      <selection activeCell="M14" sqref="M14"/>
    </sheetView>
  </sheetViews>
  <sheetFormatPr baseColWidth="10" defaultColWidth="9.1640625" defaultRowHeight="15"/>
  <cols>
    <col min="1" max="1" width="9.1640625" style="912"/>
    <col min="2" max="2" width="15.83203125" style="979" customWidth="1"/>
    <col min="3" max="3" width="12.33203125" style="912" bestFit="1" customWidth="1"/>
    <col min="4" max="4" width="9.1640625" style="912"/>
    <col min="5" max="5" width="17.5" style="912" bestFit="1" customWidth="1"/>
    <col min="6" max="16384" width="9.1640625" style="912"/>
  </cols>
  <sheetData>
    <row r="3" spans="1:17" ht="32">
      <c r="B3" s="918" t="s">
        <v>1284</v>
      </c>
      <c r="C3" s="918" t="s">
        <v>1133</v>
      </c>
      <c r="D3" s="918" t="s">
        <v>1275</v>
      </c>
      <c r="E3" s="918" t="s">
        <v>1276</v>
      </c>
      <c r="F3" s="917" t="s">
        <v>340</v>
      </c>
      <c r="G3" s="917" t="s">
        <v>341</v>
      </c>
      <c r="H3" s="917" t="s">
        <v>342</v>
      </c>
      <c r="I3" s="917" t="s">
        <v>343</v>
      </c>
      <c r="J3" s="917" t="s">
        <v>344</v>
      </c>
      <c r="K3" s="917" t="s">
        <v>1274</v>
      </c>
      <c r="L3" s="917" t="s">
        <v>339</v>
      </c>
    </row>
    <row r="4" spans="1:17" ht="42" customHeight="1">
      <c r="B4" s="916" t="s">
        <v>1283</v>
      </c>
      <c r="C4" s="916"/>
      <c r="D4" s="916" t="s">
        <v>1272</v>
      </c>
      <c r="E4" s="916" t="s">
        <v>1273</v>
      </c>
      <c r="F4" s="916" t="s">
        <v>1271</v>
      </c>
      <c r="G4" s="916" t="s">
        <v>1270</v>
      </c>
      <c r="H4" s="916" t="s">
        <v>1269</v>
      </c>
      <c r="I4" s="916" t="s">
        <v>1268</v>
      </c>
      <c r="J4" s="916" t="s">
        <v>1267</v>
      </c>
      <c r="K4" s="916" t="s">
        <v>1266</v>
      </c>
      <c r="L4" s="916" t="s">
        <v>1265</v>
      </c>
    </row>
    <row r="5" spans="1:17" ht="16" thickBot="1">
      <c r="B5" s="915"/>
      <c r="C5" s="915"/>
      <c r="D5" s="915"/>
      <c r="E5" s="915" t="s">
        <v>449</v>
      </c>
      <c r="F5" s="915" t="s">
        <v>1262</v>
      </c>
      <c r="G5" s="915" t="s">
        <v>1262</v>
      </c>
      <c r="H5" s="915" t="s">
        <v>1261</v>
      </c>
      <c r="I5" s="915" t="s">
        <v>351</v>
      </c>
      <c r="J5" s="915" t="s">
        <v>351</v>
      </c>
      <c r="K5" s="915"/>
      <c r="L5" s="915" t="s">
        <v>1260</v>
      </c>
      <c r="P5" s="912" t="s">
        <v>1282</v>
      </c>
      <c r="Q5" s="912">
        <v>7.45</v>
      </c>
    </row>
    <row r="6" spans="1:17">
      <c r="B6" s="979">
        <v>40</v>
      </c>
      <c r="C6" s="979">
        <v>2015</v>
      </c>
      <c r="D6" s="914">
        <f>1/(C27/100)</f>
        <v>0.14285714285714285</v>
      </c>
      <c r="E6" s="913">
        <f>C22</f>
        <v>4</v>
      </c>
      <c r="F6" s="914">
        <f>C46*$Q$5</f>
        <v>5.2149999999999999</v>
      </c>
      <c r="G6" s="912">
        <f>C49/1000000*$Q$5</f>
        <v>1.49E-2</v>
      </c>
      <c r="H6" s="912">
        <f>C52*$Q$5/3.6</f>
        <v>4.1388888888888893</v>
      </c>
      <c r="I6" s="929">
        <v>3.1536000000000002E-2</v>
      </c>
      <c r="J6" s="930">
        <v>0.98</v>
      </c>
      <c r="K6" s="929">
        <v>1</v>
      </c>
      <c r="L6" s="912">
        <f>C31</f>
        <v>25</v>
      </c>
    </row>
    <row r="7" spans="1:17">
      <c r="C7" s="979">
        <v>2020</v>
      </c>
      <c r="D7" s="914">
        <f>1/(D27/100)</f>
        <v>0.1111111111111111</v>
      </c>
      <c r="E7" s="913">
        <f>D22</f>
        <v>4</v>
      </c>
      <c r="F7" s="914">
        <f>D46*$Q$5</f>
        <v>4.9020999999999999</v>
      </c>
      <c r="G7" s="912">
        <f>D49/1000000*$Q$5</f>
        <v>1.49E-2</v>
      </c>
      <c r="H7" s="912">
        <f>D52*$Q$5/3.6</f>
        <v>3.7250000000000001</v>
      </c>
      <c r="L7" s="912">
        <f>D31</f>
        <v>25</v>
      </c>
    </row>
    <row r="8" spans="1:17">
      <c r="C8" s="979">
        <v>2030</v>
      </c>
      <c r="D8" s="914">
        <f>1/(E27/100)</f>
        <v>8.3333333333333329E-2</v>
      </c>
      <c r="E8" s="913">
        <f>E22</f>
        <v>4</v>
      </c>
      <c r="F8" s="914">
        <f>E46*$Q$5</f>
        <v>4.4118899999999996</v>
      </c>
      <c r="G8" s="912">
        <f>E49/1000000*$Q$5</f>
        <v>1.49E-2</v>
      </c>
      <c r="H8" s="912">
        <f>E52*$Q$5/3.6</f>
        <v>3.5180555555555553</v>
      </c>
      <c r="L8" s="912">
        <f>E31</f>
        <v>25</v>
      </c>
    </row>
    <row r="9" spans="1:17">
      <c r="C9" s="979">
        <v>2050</v>
      </c>
      <c r="D9" s="914">
        <f>1/(F27/100)</f>
        <v>5.5555555555555552E-2</v>
      </c>
      <c r="E9" s="913">
        <f>F22</f>
        <v>4</v>
      </c>
      <c r="F9" s="914">
        <f>F46*$Q$5</f>
        <v>3.970701</v>
      </c>
      <c r="G9" s="912">
        <f>F49/1000000*$Q$5</f>
        <v>1.49E-2</v>
      </c>
      <c r="H9" s="912">
        <f>F52*$Q$5/3.6</f>
        <v>3.3111111111111113</v>
      </c>
      <c r="L9" s="912">
        <f>F31</f>
        <v>25</v>
      </c>
    </row>
    <row r="10" spans="1:17">
      <c r="A10" s="1001"/>
      <c r="B10" s="1000">
        <v>80</v>
      </c>
      <c r="C10" s="1000">
        <v>2015</v>
      </c>
      <c r="D10" s="999">
        <f>1/(C27*2/100)</f>
        <v>7.1428571428571425E-2</v>
      </c>
      <c r="E10" s="963">
        <f>C22</f>
        <v>4</v>
      </c>
      <c r="F10" s="999">
        <f>C46*$Q$5</f>
        <v>5.2149999999999999</v>
      </c>
      <c r="G10" s="998">
        <f>C49/1000000*$Q$5</f>
        <v>1.49E-2</v>
      </c>
      <c r="H10" s="998">
        <f>C52*$Q$5/3.6</f>
        <v>4.1388888888888893</v>
      </c>
      <c r="I10" s="965">
        <v>3.1536000000000002E-2</v>
      </c>
      <c r="J10" s="966">
        <v>0.98</v>
      </c>
      <c r="K10" s="965">
        <v>1</v>
      </c>
      <c r="L10" s="998">
        <f>C31</f>
        <v>25</v>
      </c>
    </row>
    <row r="11" spans="1:17">
      <c r="B11" s="1000"/>
      <c r="C11" s="1000">
        <v>2020</v>
      </c>
      <c r="D11" s="999">
        <f>1/(D27*2/100)</f>
        <v>5.5555555555555552E-2</v>
      </c>
      <c r="E11" s="963">
        <f>D22</f>
        <v>4</v>
      </c>
      <c r="F11" s="999">
        <f>D46*$Q$5</f>
        <v>4.9020999999999999</v>
      </c>
      <c r="G11" s="998">
        <f>D49/1000000*$Q$5</f>
        <v>1.49E-2</v>
      </c>
      <c r="H11" s="998">
        <f>D52*$Q$5/3.6</f>
        <v>3.7250000000000001</v>
      </c>
      <c r="I11" s="998"/>
      <c r="J11" s="998"/>
      <c r="K11" s="998"/>
      <c r="L11" s="998">
        <f>D31</f>
        <v>25</v>
      </c>
    </row>
    <row r="12" spans="1:17">
      <c r="B12" s="1000"/>
      <c r="C12" s="1000">
        <v>2030</v>
      </c>
      <c r="D12" s="999">
        <f>1/(E27*2/100)</f>
        <v>4.1666666666666664E-2</v>
      </c>
      <c r="E12" s="963">
        <f>E22</f>
        <v>4</v>
      </c>
      <c r="F12" s="999">
        <f>E46*$Q$5</f>
        <v>4.4118899999999996</v>
      </c>
      <c r="G12" s="998">
        <f>E49/1000000*$Q$5</f>
        <v>1.49E-2</v>
      </c>
      <c r="H12" s="998">
        <f>E52*$Q$5/3.6</f>
        <v>3.5180555555555553</v>
      </c>
      <c r="I12" s="998"/>
      <c r="J12" s="998"/>
      <c r="K12" s="998"/>
      <c r="L12" s="998">
        <f>E31</f>
        <v>25</v>
      </c>
    </row>
    <row r="13" spans="1:17">
      <c r="B13" s="1000"/>
      <c r="C13" s="1000">
        <v>2050</v>
      </c>
      <c r="D13" s="999">
        <f>1/(F27*2/100)</f>
        <v>2.7777777777777776E-2</v>
      </c>
      <c r="E13" s="963">
        <f>F22</f>
        <v>4</v>
      </c>
      <c r="F13" s="999">
        <f>F46*$Q$5</f>
        <v>3.970701</v>
      </c>
      <c r="G13" s="998">
        <f>F49/1000000*$Q$5</f>
        <v>1.49E-2</v>
      </c>
      <c r="H13" s="998">
        <f>F52*$Q$5/3.6</f>
        <v>3.3111111111111113</v>
      </c>
      <c r="I13" s="998"/>
      <c r="J13" s="998"/>
      <c r="K13" s="998"/>
      <c r="L13" s="998">
        <f>F31</f>
        <v>25</v>
      </c>
    </row>
    <row r="14" spans="1:17">
      <c r="E14" s="913"/>
    </row>
    <row r="15" spans="1:17">
      <c r="E15" s="913"/>
    </row>
    <row r="16" spans="1:17">
      <c r="E16" s="913"/>
    </row>
    <row r="17" spans="2:12">
      <c r="B17" s="912" t="s">
        <v>1281</v>
      </c>
      <c r="C17" s="979"/>
      <c r="E17" s="913"/>
    </row>
    <row r="19" spans="2:12">
      <c r="B19" s="997" t="s">
        <v>0</v>
      </c>
      <c r="C19" s="1342" t="s">
        <v>1303</v>
      </c>
      <c r="D19" s="1343"/>
      <c r="E19" s="1343"/>
      <c r="F19" s="1343"/>
      <c r="G19" s="1343"/>
      <c r="H19" s="1343"/>
      <c r="I19" s="1343"/>
      <c r="J19" s="1343"/>
      <c r="K19" s="1343"/>
      <c r="L19" s="1344"/>
    </row>
    <row r="20" spans="2:12">
      <c r="B20" s="985"/>
      <c r="C20" s="996">
        <v>2015</v>
      </c>
      <c r="D20" s="996">
        <v>2020</v>
      </c>
      <c r="E20" s="996">
        <v>2030</v>
      </c>
      <c r="F20" s="996">
        <v>2050</v>
      </c>
      <c r="G20" s="1342" t="s">
        <v>647</v>
      </c>
      <c r="H20" s="1345"/>
      <c r="I20" s="1342" t="s">
        <v>648</v>
      </c>
      <c r="J20" s="1345"/>
      <c r="K20" s="996" t="s">
        <v>2</v>
      </c>
      <c r="L20" s="996" t="s">
        <v>3</v>
      </c>
    </row>
    <row r="21" spans="2:12" ht="28">
      <c r="B21" s="995" t="s">
        <v>4</v>
      </c>
      <c r="C21" s="994"/>
      <c r="D21" s="994"/>
      <c r="E21" s="994"/>
      <c r="F21" s="994"/>
      <c r="G21" s="994" t="s">
        <v>649</v>
      </c>
      <c r="H21" s="994" t="s">
        <v>650</v>
      </c>
      <c r="I21" s="994" t="s">
        <v>649</v>
      </c>
      <c r="J21" s="994" t="s">
        <v>650</v>
      </c>
      <c r="K21" s="994"/>
      <c r="L21" s="993"/>
    </row>
    <row r="22" spans="2:12" ht="39">
      <c r="B22" s="981" t="s">
        <v>1302</v>
      </c>
      <c r="C22" s="982">
        <v>4</v>
      </c>
      <c r="D22" s="982">
        <v>4</v>
      </c>
      <c r="E22" s="982">
        <v>4</v>
      </c>
      <c r="F22" s="982">
        <v>4</v>
      </c>
      <c r="G22" s="982">
        <v>3</v>
      </c>
      <c r="H22" s="982">
        <v>6</v>
      </c>
      <c r="I22" s="982">
        <v>3</v>
      </c>
      <c r="J22" s="982">
        <v>10</v>
      </c>
      <c r="K22" s="982"/>
      <c r="L22" s="982">
        <v>3</v>
      </c>
    </row>
    <row r="23" spans="2:12" ht="26">
      <c r="B23" s="981" t="s">
        <v>652</v>
      </c>
      <c r="C23" s="989" t="s">
        <v>1301</v>
      </c>
      <c r="D23" s="989" t="s">
        <v>1301</v>
      </c>
      <c r="E23" s="989" t="s">
        <v>1301</v>
      </c>
      <c r="F23" s="989" t="s">
        <v>1301</v>
      </c>
      <c r="G23" s="989" t="s">
        <v>1301</v>
      </c>
      <c r="H23" s="989" t="s">
        <v>1301</v>
      </c>
      <c r="I23" s="989" t="s">
        <v>1301</v>
      </c>
      <c r="J23" s="989" t="s">
        <v>1301</v>
      </c>
      <c r="K23" s="989"/>
      <c r="L23" s="989"/>
    </row>
    <row r="24" spans="2:12" ht="65">
      <c r="B24" s="981" t="s">
        <v>1300</v>
      </c>
      <c r="C24" s="980">
        <v>350</v>
      </c>
      <c r="D24" s="992">
        <v>360</v>
      </c>
      <c r="E24" s="992">
        <v>380</v>
      </c>
      <c r="F24" s="992">
        <v>410</v>
      </c>
      <c r="G24" s="992">
        <v>350</v>
      </c>
      <c r="H24" s="992">
        <v>380</v>
      </c>
      <c r="I24" s="992">
        <v>350</v>
      </c>
      <c r="J24" s="992">
        <v>450</v>
      </c>
      <c r="K24" s="992" t="s">
        <v>1299</v>
      </c>
      <c r="L24" s="992">
        <v>4</v>
      </c>
    </row>
    <row r="25" spans="2:12" ht="65">
      <c r="B25" s="981" t="s">
        <v>1298</v>
      </c>
      <c r="C25" s="980">
        <v>350</v>
      </c>
      <c r="D25" s="980">
        <v>400</v>
      </c>
      <c r="E25" s="980">
        <v>480</v>
      </c>
      <c r="F25" s="980">
        <v>600</v>
      </c>
      <c r="G25" s="980">
        <v>350</v>
      </c>
      <c r="H25" s="980">
        <v>450</v>
      </c>
      <c r="I25" s="980">
        <v>350</v>
      </c>
      <c r="J25" s="980">
        <v>700</v>
      </c>
      <c r="K25" s="980" t="s">
        <v>1295</v>
      </c>
      <c r="L25" s="980" t="s">
        <v>1294</v>
      </c>
    </row>
    <row r="26" spans="2:12" ht="65">
      <c r="B26" s="981" t="s">
        <v>1309</v>
      </c>
      <c r="C26" s="980">
        <v>440</v>
      </c>
      <c r="D26" s="980">
        <v>500</v>
      </c>
      <c r="E26" s="980">
        <v>600</v>
      </c>
      <c r="F26" s="980">
        <v>740</v>
      </c>
      <c r="G26" s="980">
        <v>440</v>
      </c>
      <c r="H26" s="980">
        <v>600</v>
      </c>
      <c r="I26" s="980">
        <v>440</v>
      </c>
      <c r="J26" s="980">
        <v>850</v>
      </c>
      <c r="K26" s="980" t="s">
        <v>1295</v>
      </c>
      <c r="L26" s="980" t="s">
        <v>1294</v>
      </c>
    </row>
    <row r="27" spans="2:12" ht="65">
      <c r="B27" s="991" t="s">
        <v>1296</v>
      </c>
      <c r="C27" s="980">
        <v>700</v>
      </c>
      <c r="D27" s="980">
        <v>900</v>
      </c>
      <c r="E27" s="980">
        <v>1200</v>
      </c>
      <c r="F27" s="980">
        <v>1800</v>
      </c>
      <c r="G27" s="980">
        <v>700</v>
      </c>
      <c r="H27" s="980">
        <v>1200</v>
      </c>
      <c r="I27" s="980">
        <v>700</v>
      </c>
      <c r="J27" s="980">
        <v>2000</v>
      </c>
      <c r="K27" s="980" t="s">
        <v>1295</v>
      </c>
      <c r="L27" s="980" t="s">
        <v>1294</v>
      </c>
    </row>
    <row r="28" spans="2:12" ht="52">
      <c r="B28" s="981" t="s">
        <v>654</v>
      </c>
      <c r="C28" s="980">
        <v>10</v>
      </c>
      <c r="D28" s="980">
        <v>9</v>
      </c>
      <c r="E28" s="980">
        <v>7</v>
      </c>
      <c r="F28" s="980">
        <v>4</v>
      </c>
      <c r="G28" s="980">
        <v>4</v>
      </c>
      <c r="H28" s="980">
        <v>10</v>
      </c>
      <c r="I28" s="980">
        <v>3</v>
      </c>
      <c r="J28" s="980">
        <v>6</v>
      </c>
      <c r="K28" s="980" t="s">
        <v>1293</v>
      </c>
      <c r="L28" s="980">
        <v>3</v>
      </c>
    </row>
    <row r="29" spans="2:12">
      <c r="B29" s="981" t="s">
        <v>657</v>
      </c>
      <c r="C29" s="980">
        <v>0</v>
      </c>
      <c r="D29" s="980">
        <v>0</v>
      </c>
      <c r="E29" s="980">
        <v>0</v>
      </c>
      <c r="F29" s="980">
        <v>0</v>
      </c>
      <c r="G29" s="980">
        <v>0</v>
      </c>
      <c r="H29" s="980">
        <v>1</v>
      </c>
      <c r="I29" s="980">
        <v>0</v>
      </c>
      <c r="J29" s="980">
        <v>1</v>
      </c>
      <c r="K29" s="980" t="s">
        <v>33</v>
      </c>
      <c r="L29" s="980">
        <v>3</v>
      </c>
    </row>
    <row r="30" spans="2:12" ht="26">
      <c r="B30" s="985" t="s">
        <v>658</v>
      </c>
      <c r="C30" s="982">
        <v>0.5</v>
      </c>
      <c r="D30" s="982">
        <v>0.5</v>
      </c>
      <c r="E30" s="982">
        <v>0.5</v>
      </c>
      <c r="F30" s="982">
        <v>0.5</v>
      </c>
      <c r="G30" s="982">
        <v>0</v>
      </c>
      <c r="H30" s="982">
        <v>1</v>
      </c>
      <c r="I30" s="982">
        <v>0</v>
      </c>
      <c r="J30" s="982">
        <v>1</v>
      </c>
      <c r="K30" s="982" t="s">
        <v>51</v>
      </c>
      <c r="L30" s="980">
        <v>3</v>
      </c>
    </row>
    <row r="31" spans="2:12" ht="26">
      <c r="B31" s="985" t="s">
        <v>11</v>
      </c>
      <c r="C31" s="982">
        <v>25</v>
      </c>
      <c r="D31" s="982">
        <v>25</v>
      </c>
      <c r="E31" s="982">
        <v>25</v>
      </c>
      <c r="F31" s="982">
        <v>25</v>
      </c>
      <c r="G31" s="982">
        <v>15</v>
      </c>
      <c r="H31" s="982">
        <v>30</v>
      </c>
      <c r="I31" s="982">
        <v>15</v>
      </c>
      <c r="J31" s="982">
        <v>30</v>
      </c>
      <c r="K31" s="982"/>
      <c r="L31" s="980">
        <v>3</v>
      </c>
    </row>
    <row r="32" spans="2:12" ht="26">
      <c r="B32" s="985" t="s">
        <v>273</v>
      </c>
      <c r="C32" s="982">
        <v>0.5</v>
      </c>
      <c r="D32" s="982">
        <v>0.5</v>
      </c>
      <c r="E32" s="982">
        <v>0.5</v>
      </c>
      <c r="F32" s="982">
        <v>0.5</v>
      </c>
      <c r="G32" s="982">
        <v>0.3</v>
      </c>
      <c r="H32" s="982">
        <v>0.7</v>
      </c>
      <c r="I32" s="982">
        <v>0.3</v>
      </c>
      <c r="J32" s="982">
        <v>0.7</v>
      </c>
      <c r="K32" s="982" t="s">
        <v>16</v>
      </c>
      <c r="L32" s="980"/>
    </row>
    <row r="33" spans="2:12" ht="26">
      <c r="B33" s="990" t="s">
        <v>1292</v>
      </c>
      <c r="C33" s="980">
        <v>0.02</v>
      </c>
      <c r="D33" s="980">
        <v>0.02</v>
      </c>
      <c r="E33" s="980">
        <v>0.02</v>
      </c>
      <c r="F33" s="980">
        <v>0.02</v>
      </c>
      <c r="G33" s="980">
        <v>0.01</v>
      </c>
      <c r="H33" s="980">
        <v>0.04</v>
      </c>
      <c r="I33" s="980">
        <v>0.01</v>
      </c>
      <c r="J33" s="982">
        <v>0.04</v>
      </c>
      <c r="K33" s="982"/>
      <c r="L33" s="980">
        <v>1</v>
      </c>
    </row>
    <row r="34" spans="2:12">
      <c r="B34" s="1338" t="s">
        <v>660</v>
      </c>
      <c r="C34" s="1339"/>
      <c r="D34" s="1339"/>
      <c r="E34" s="1339"/>
      <c r="F34" s="1339"/>
      <c r="G34" s="1339"/>
      <c r="H34" s="1339"/>
      <c r="I34" s="1339"/>
      <c r="J34" s="1339"/>
      <c r="K34" s="1339"/>
      <c r="L34" s="1340"/>
    </row>
    <row r="35" spans="2:12" ht="26">
      <c r="B35" s="985" t="s">
        <v>661</v>
      </c>
      <c r="C35" s="982">
        <v>10</v>
      </c>
      <c r="D35" s="982">
        <v>10</v>
      </c>
      <c r="E35" s="982">
        <v>10</v>
      </c>
      <c r="F35" s="982">
        <v>10</v>
      </c>
      <c r="G35" s="982">
        <v>10</v>
      </c>
      <c r="H35" s="982">
        <v>25</v>
      </c>
      <c r="I35" s="982">
        <v>10</v>
      </c>
      <c r="J35" s="982">
        <v>30</v>
      </c>
      <c r="K35" s="982" t="s">
        <v>20</v>
      </c>
      <c r="L35" s="982">
        <v>3</v>
      </c>
    </row>
    <row r="36" spans="2:12" ht="26">
      <c r="B36" s="985" t="s">
        <v>662</v>
      </c>
      <c r="C36" s="982">
        <v>20</v>
      </c>
      <c r="D36" s="982">
        <v>20</v>
      </c>
      <c r="E36" s="982">
        <v>20</v>
      </c>
      <c r="F36" s="982">
        <v>20</v>
      </c>
      <c r="G36" s="982">
        <v>20</v>
      </c>
      <c r="H36" s="982">
        <v>40</v>
      </c>
      <c r="I36" s="982">
        <v>20</v>
      </c>
      <c r="J36" s="982">
        <v>40</v>
      </c>
      <c r="K36" s="982" t="s">
        <v>20</v>
      </c>
      <c r="L36" s="982">
        <v>3</v>
      </c>
    </row>
    <row r="37" spans="2:12" ht="26">
      <c r="B37" s="985" t="s">
        <v>663</v>
      </c>
      <c r="C37" s="982">
        <v>10</v>
      </c>
      <c r="D37" s="982">
        <v>10</v>
      </c>
      <c r="E37" s="982">
        <v>10</v>
      </c>
      <c r="F37" s="982">
        <v>10</v>
      </c>
      <c r="G37" s="982">
        <v>10</v>
      </c>
      <c r="H37" s="982">
        <v>10</v>
      </c>
      <c r="I37" s="982">
        <v>10</v>
      </c>
      <c r="J37" s="982">
        <v>10</v>
      </c>
      <c r="K37" s="982" t="s">
        <v>20</v>
      </c>
      <c r="L37" s="982">
        <v>3</v>
      </c>
    </row>
    <row r="38" spans="2:12" ht="26">
      <c r="B38" s="985" t="s">
        <v>664</v>
      </c>
      <c r="C38" s="982">
        <v>0</v>
      </c>
      <c r="D38" s="982">
        <v>0</v>
      </c>
      <c r="E38" s="982">
        <v>0</v>
      </c>
      <c r="F38" s="982">
        <v>0</v>
      </c>
      <c r="G38" s="982">
        <v>0</v>
      </c>
      <c r="H38" s="982">
        <v>1</v>
      </c>
      <c r="I38" s="982">
        <v>0</v>
      </c>
      <c r="J38" s="982">
        <v>1</v>
      </c>
      <c r="K38" s="982"/>
      <c r="L38" s="982">
        <v>3</v>
      </c>
    </row>
    <row r="39" spans="2:12" ht="26">
      <c r="B39" s="985" t="s">
        <v>666</v>
      </c>
      <c r="C39" s="982">
        <v>6</v>
      </c>
      <c r="D39" s="982">
        <v>6</v>
      </c>
      <c r="E39" s="982">
        <v>6</v>
      </c>
      <c r="F39" s="982">
        <v>6</v>
      </c>
      <c r="G39" s="982">
        <v>1</v>
      </c>
      <c r="H39" s="982">
        <v>12</v>
      </c>
      <c r="I39" s="982">
        <v>1</v>
      </c>
      <c r="J39" s="982">
        <v>12</v>
      </c>
      <c r="K39" s="982" t="s">
        <v>76</v>
      </c>
      <c r="L39" s="982" t="s">
        <v>1291</v>
      </c>
    </row>
    <row r="40" spans="2:12">
      <c r="B40" s="1338" t="s">
        <v>12</v>
      </c>
      <c r="C40" s="1339"/>
      <c r="D40" s="1339"/>
      <c r="E40" s="1339"/>
      <c r="F40" s="1339"/>
      <c r="G40" s="1339"/>
      <c r="H40" s="1339"/>
      <c r="I40" s="1339"/>
      <c r="J40" s="1339"/>
      <c r="K40" s="1339"/>
      <c r="L40" s="1340"/>
    </row>
    <row r="41" spans="2:12">
      <c r="B41" s="985" t="s">
        <v>668</v>
      </c>
      <c r="C41" s="982">
        <v>0</v>
      </c>
      <c r="D41" s="982">
        <v>0</v>
      </c>
      <c r="E41" s="982">
        <v>0</v>
      </c>
      <c r="F41" s="982">
        <v>0</v>
      </c>
      <c r="G41" s="982">
        <v>0</v>
      </c>
      <c r="H41" s="982">
        <v>0</v>
      </c>
      <c r="I41" s="982">
        <v>0</v>
      </c>
      <c r="J41" s="982">
        <v>0</v>
      </c>
      <c r="K41" s="980"/>
      <c r="L41" s="989"/>
    </row>
    <row r="42" spans="2:12">
      <c r="B42" s="985" t="s">
        <v>670</v>
      </c>
      <c r="C42" s="982">
        <v>0</v>
      </c>
      <c r="D42" s="982">
        <v>0</v>
      </c>
      <c r="E42" s="982">
        <v>0</v>
      </c>
      <c r="F42" s="982">
        <v>0</v>
      </c>
      <c r="G42" s="982">
        <v>0</v>
      </c>
      <c r="H42" s="982">
        <v>0</v>
      </c>
      <c r="I42" s="982">
        <v>0</v>
      </c>
      <c r="J42" s="982">
        <v>0</v>
      </c>
      <c r="K42" s="982"/>
      <c r="L42" s="980"/>
    </row>
    <row r="43" spans="2:12">
      <c r="B43" s="985" t="s">
        <v>366</v>
      </c>
      <c r="C43" s="988">
        <v>0</v>
      </c>
      <c r="D43" s="988">
        <v>0</v>
      </c>
      <c r="E43" s="988">
        <v>0</v>
      </c>
      <c r="F43" s="988">
        <v>0</v>
      </c>
      <c r="G43" s="988">
        <v>0</v>
      </c>
      <c r="H43" s="988">
        <v>0</v>
      </c>
      <c r="I43" s="988">
        <v>0</v>
      </c>
      <c r="J43" s="988">
        <v>0</v>
      </c>
      <c r="K43" s="982"/>
      <c r="L43" s="980"/>
    </row>
    <row r="44" spans="2:12">
      <c r="B44" s="985" t="s">
        <v>367</v>
      </c>
      <c r="C44" s="987">
        <v>0</v>
      </c>
      <c r="D44" s="987">
        <v>0</v>
      </c>
      <c r="E44" s="987">
        <v>0</v>
      </c>
      <c r="F44" s="987">
        <v>0</v>
      </c>
      <c r="G44" s="987">
        <v>0</v>
      </c>
      <c r="H44" s="987">
        <v>0</v>
      </c>
      <c r="I44" s="987">
        <v>0</v>
      </c>
      <c r="J44" s="987">
        <v>0</v>
      </c>
      <c r="K44" s="987"/>
      <c r="L44" s="980"/>
    </row>
    <row r="45" spans="2:12">
      <c r="B45" s="1341" t="s">
        <v>674</v>
      </c>
      <c r="C45" s="1341"/>
      <c r="D45" s="1341"/>
      <c r="E45" s="1341"/>
      <c r="F45" s="1341"/>
      <c r="G45" s="1341"/>
      <c r="H45" s="1341"/>
      <c r="I45" s="1341"/>
      <c r="J45" s="1341"/>
      <c r="K45" s="1341"/>
      <c r="L45" s="1341"/>
    </row>
    <row r="46" spans="2:12" ht="26">
      <c r="B46" s="981" t="s">
        <v>1290</v>
      </c>
      <c r="C46" s="986">
        <v>0.7</v>
      </c>
      <c r="D46" s="986">
        <v>0.65799999999999992</v>
      </c>
      <c r="E46" s="986">
        <v>0.59219999999999995</v>
      </c>
      <c r="F46" s="986">
        <v>0.53298000000000001</v>
      </c>
      <c r="G46" s="986">
        <v>0.5</v>
      </c>
      <c r="H46" s="986">
        <v>1</v>
      </c>
      <c r="I46" s="986">
        <v>0.5</v>
      </c>
      <c r="J46" s="986">
        <v>1</v>
      </c>
      <c r="K46" s="982" t="s">
        <v>1289</v>
      </c>
      <c r="L46" s="982"/>
    </row>
    <row r="47" spans="2:12" ht="26">
      <c r="B47" s="985" t="s">
        <v>839</v>
      </c>
      <c r="C47" s="982">
        <v>50</v>
      </c>
      <c r="D47" s="982">
        <v>50</v>
      </c>
      <c r="E47" s="982">
        <v>50</v>
      </c>
      <c r="F47" s="982">
        <v>50</v>
      </c>
      <c r="G47" s="982">
        <v>30</v>
      </c>
      <c r="H47" s="982">
        <v>70</v>
      </c>
      <c r="I47" s="982">
        <v>30</v>
      </c>
      <c r="J47" s="982">
        <v>70</v>
      </c>
      <c r="K47" s="982"/>
      <c r="L47" s="982">
        <v>3</v>
      </c>
    </row>
    <row r="48" spans="2:12" ht="26">
      <c r="B48" s="985" t="s">
        <v>840</v>
      </c>
      <c r="C48" s="982">
        <v>50</v>
      </c>
      <c r="D48" s="982">
        <v>50</v>
      </c>
      <c r="E48" s="982">
        <v>50</v>
      </c>
      <c r="F48" s="982">
        <v>50</v>
      </c>
      <c r="G48" s="982">
        <v>30</v>
      </c>
      <c r="H48" s="982">
        <v>70</v>
      </c>
      <c r="I48" s="982">
        <v>30</v>
      </c>
      <c r="J48" s="982">
        <v>70</v>
      </c>
      <c r="K48" s="982"/>
      <c r="L48" s="982">
        <v>3</v>
      </c>
    </row>
    <row r="49" spans="2:12" ht="26">
      <c r="B49" s="985" t="s">
        <v>1288</v>
      </c>
      <c r="C49" s="982">
        <v>2000</v>
      </c>
      <c r="D49" s="982">
        <v>2000</v>
      </c>
      <c r="E49" s="982">
        <v>2000</v>
      </c>
      <c r="F49" s="982">
        <v>2000</v>
      </c>
      <c r="G49" s="982">
        <v>1000</v>
      </c>
      <c r="H49" s="982">
        <v>3000</v>
      </c>
      <c r="I49" s="982">
        <v>1000</v>
      </c>
      <c r="J49" s="982">
        <v>3000</v>
      </c>
      <c r="K49" s="982"/>
      <c r="L49" s="982">
        <v>3</v>
      </c>
    </row>
    <row r="50" spans="2:12" ht="26">
      <c r="B50" s="985" t="s">
        <v>1287</v>
      </c>
      <c r="C50" s="983">
        <v>8.4</v>
      </c>
      <c r="D50" s="983">
        <v>8.2000000000000011</v>
      </c>
      <c r="E50" s="983">
        <v>8.7999999999999989</v>
      </c>
      <c r="F50" s="983">
        <v>8.1999999999999993</v>
      </c>
      <c r="G50" s="983">
        <v>4.3</v>
      </c>
      <c r="H50" s="983">
        <v>9.1</v>
      </c>
      <c r="I50" s="983">
        <v>6.5</v>
      </c>
      <c r="J50" s="983">
        <v>11.9</v>
      </c>
      <c r="K50" s="982"/>
      <c r="L50" s="982"/>
    </row>
    <row r="51" spans="2:12" ht="39">
      <c r="B51" s="984" t="s">
        <v>1286</v>
      </c>
      <c r="C51" s="983">
        <v>6.4</v>
      </c>
      <c r="D51" s="983">
        <v>6.4</v>
      </c>
      <c r="E51" s="983">
        <v>7.1</v>
      </c>
      <c r="F51" s="983">
        <v>6.6</v>
      </c>
      <c r="G51" s="983">
        <v>2.8</v>
      </c>
      <c r="H51" s="983">
        <v>7.1</v>
      </c>
      <c r="I51" s="983">
        <v>5</v>
      </c>
      <c r="J51" s="983">
        <v>9.9</v>
      </c>
      <c r="K51" s="982" t="s">
        <v>886</v>
      </c>
      <c r="L51" s="982"/>
    </row>
    <row r="52" spans="2:12" ht="39">
      <c r="B52" s="984" t="s">
        <v>1285</v>
      </c>
      <c r="C52" s="983">
        <v>2</v>
      </c>
      <c r="D52" s="983">
        <v>1.8</v>
      </c>
      <c r="E52" s="983">
        <v>1.7</v>
      </c>
      <c r="F52" s="983">
        <v>1.6</v>
      </c>
      <c r="G52" s="983">
        <v>1.5</v>
      </c>
      <c r="H52" s="983">
        <v>2</v>
      </c>
      <c r="I52" s="983">
        <v>1.5</v>
      </c>
      <c r="J52" s="983">
        <v>2</v>
      </c>
      <c r="K52" s="982" t="s">
        <v>25</v>
      </c>
      <c r="L52" s="982">
        <v>3</v>
      </c>
    </row>
    <row r="53" spans="2:12">
      <c r="B53" s="1338" t="s">
        <v>682</v>
      </c>
      <c r="C53" s="1339"/>
      <c r="D53" s="1339"/>
      <c r="E53" s="1339"/>
      <c r="F53" s="1339"/>
      <c r="G53" s="1339"/>
      <c r="H53" s="1339"/>
      <c r="I53" s="1339"/>
      <c r="J53" s="1339"/>
      <c r="K53" s="1339"/>
      <c r="L53" s="1340"/>
    </row>
    <row r="54" spans="2:12">
      <c r="B54" s="981"/>
      <c r="C54" s="980"/>
      <c r="D54" s="980"/>
      <c r="E54" s="980"/>
      <c r="F54" s="980"/>
      <c r="G54" s="980"/>
      <c r="H54" s="980"/>
      <c r="I54" s="980"/>
      <c r="J54" s="980"/>
      <c r="K54" s="980"/>
      <c r="L54" s="980"/>
    </row>
  </sheetData>
  <mergeCells count="7">
    <mergeCell ref="B53:L53"/>
    <mergeCell ref="B45:L45"/>
    <mergeCell ref="C19:L19"/>
    <mergeCell ref="G20:H20"/>
    <mergeCell ref="I20:J20"/>
    <mergeCell ref="B34:L34"/>
    <mergeCell ref="B40:L40"/>
  </mergeCells>
  <pageMargins left="0.7" right="0.7" top="0.75" bottom="0.75" header="0.3" footer="0.3"/>
  <pageSetup orientation="portrait" horizontalDpi="1200" verticalDpi="1200"/>
  <legacyDrawing r:id="rId1"/>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958962-B9B5-4FA4-9E49-1724C60FCE95}">
  <sheetPr>
    <tabColor theme="4" tint="0.39997558519241921"/>
  </sheetPr>
  <dimension ref="B3:P35"/>
  <sheetViews>
    <sheetView workbookViewId="0">
      <selection activeCell="M14" sqref="M14"/>
    </sheetView>
  </sheetViews>
  <sheetFormatPr baseColWidth="10" defaultColWidth="9.1640625" defaultRowHeight="15"/>
  <cols>
    <col min="1" max="1" width="9.1640625" style="912"/>
    <col min="2" max="2" width="18.83203125" style="912" customWidth="1"/>
    <col min="3" max="3" width="5.5" style="912" bestFit="1" customWidth="1"/>
    <col min="4" max="4" width="8.83203125" style="912" customWidth="1"/>
    <col min="5" max="5" width="12.33203125" style="912" customWidth="1"/>
    <col min="6" max="6" width="12.33203125" style="912" bestFit="1" customWidth="1"/>
    <col min="7" max="7" width="15" style="912" bestFit="1" customWidth="1"/>
    <col min="8" max="8" width="14.1640625" style="912" customWidth="1"/>
    <col min="9" max="9" width="18.6640625" style="912" customWidth="1"/>
    <col min="10" max="10" width="18.33203125" style="912" bestFit="1" customWidth="1"/>
    <col min="11" max="11" width="10.1640625" style="912" customWidth="1"/>
    <col min="12" max="16384" width="9.1640625" style="912"/>
  </cols>
  <sheetData>
    <row r="3" spans="2:16" ht="32">
      <c r="B3" s="918" t="s">
        <v>1284</v>
      </c>
      <c r="C3" s="918" t="s">
        <v>1133</v>
      </c>
      <c r="D3" s="918" t="s">
        <v>337</v>
      </c>
      <c r="E3" s="918" t="s">
        <v>1275</v>
      </c>
      <c r="F3" s="918" t="s">
        <v>1276</v>
      </c>
      <c r="G3" s="917" t="s">
        <v>340</v>
      </c>
      <c r="H3" s="917" t="s">
        <v>341</v>
      </c>
      <c r="I3" s="917" t="s">
        <v>342</v>
      </c>
      <c r="J3" s="917" t="s">
        <v>343</v>
      </c>
      <c r="K3" s="917" t="s">
        <v>344</v>
      </c>
      <c r="L3" s="917" t="s">
        <v>1274</v>
      </c>
      <c r="M3" s="917" t="s">
        <v>339</v>
      </c>
    </row>
    <row r="4" spans="2:16" ht="42.75" customHeight="1">
      <c r="B4" s="916" t="s">
        <v>1283</v>
      </c>
      <c r="C4" s="916"/>
      <c r="D4" s="916"/>
      <c r="E4" s="916" t="s">
        <v>1272</v>
      </c>
      <c r="F4" s="916" t="s">
        <v>1273</v>
      </c>
      <c r="G4" s="916" t="s">
        <v>1271</v>
      </c>
      <c r="H4" s="916" t="s">
        <v>1270</v>
      </c>
      <c r="I4" s="916" t="s">
        <v>1269</v>
      </c>
      <c r="J4" s="916" t="s">
        <v>1268</v>
      </c>
      <c r="K4" s="916" t="s">
        <v>1267</v>
      </c>
      <c r="L4" s="916" t="s">
        <v>1266</v>
      </c>
      <c r="M4" s="916" t="s">
        <v>1265</v>
      </c>
    </row>
    <row r="5" spans="2:16" ht="16" thickBot="1">
      <c r="B5" s="915"/>
      <c r="C5" s="915"/>
      <c r="D5" s="915"/>
      <c r="E5" s="915"/>
      <c r="F5" s="915" t="s">
        <v>330</v>
      </c>
      <c r="G5" s="915" t="s">
        <v>1262</v>
      </c>
      <c r="H5" s="915" t="s">
        <v>1262</v>
      </c>
      <c r="I5" s="915" t="s">
        <v>1261</v>
      </c>
      <c r="J5" s="915" t="s">
        <v>351</v>
      </c>
      <c r="K5" s="915" t="s">
        <v>351</v>
      </c>
      <c r="L5" s="915"/>
      <c r="M5" s="915" t="s">
        <v>1260</v>
      </c>
      <c r="O5" s="912" t="s">
        <v>1282</v>
      </c>
      <c r="P5" s="912">
        <v>7.45</v>
      </c>
    </row>
    <row r="6" spans="2:16">
      <c r="B6" s="979">
        <v>40</v>
      </c>
      <c r="C6" s="979">
        <v>2015</v>
      </c>
      <c r="D6" s="979">
        <f>C20/100</f>
        <v>1</v>
      </c>
      <c r="E6" s="914"/>
      <c r="F6" s="913">
        <f>C17</f>
        <v>250</v>
      </c>
      <c r="G6" s="914">
        <f>C29*$P$5</f>
        <v>0.52150000000000007</v>
      </c>
      <c r="H6" s="912">
        <f>(C34*$P$5/1000000)*1/(C17/1000)</f>
        <v>3.7249999999999998E-2</v>
      </c>
      <c r="I6" s="912">
        <f>C35</f>
        <v>0</v>
      </c>
      <c r="J6" s="929">
        <v>3.1536000000000002E-2</v>
      </c>
      <c r="K6" s="930">
        <v>1</v>
      </c>
      <c r="L6" s="929">
        <v>1</v>
      </c>
      <c r="M6" s="912">
        <f>C21</f>
        <v>20</v>
      </c>
    </row>
    <row r="7" spans="2:16">
      <c r="B7" s="979"/>
      <c r="C7" s="979">
        <v>2020</v>
      </c>
      <c r="D7" s="979">
        <f>D20/100</f>
        <v>1</v>
      </c>
      <c r="E7" s="914"/>
      <c r="F7" s="913">
        <f>D17</f>
        <v>250</v>
      </c>
      <c r="G7" s="914">
        <f>D29*$P$5</f>
        <v>0.52150000000000007</v>
      </c>
      <c r="H7" s="912">
        <f>(D34*$P$5/1000000)*1/(D17/1000)</f>
        <v>3.7249999999999998E-2</v>
      </c>
      <c r="I7" s="912">
        <f>D35</f>
        <v>0</v>
      </c>
      <c r="M7" s="912">
        <f>D21</f>
        <v>20</v>
      </c>
    </row>
    <row r="8" spans="2:16">
      <c r="B8" s="979"/>
      <c r="C8" s="979">
        <v>2030</v>
      </c>
      <c r="D8" s="979">
        <f>E20/100</f>
        <v>1</v>
      </c>
      <c r="E8" s="914"/>
      <c r="F8" s="913">
        <f>E17</f>
        <v>250</v>
      </c>
      <c r="G8" s="914">
        <f>E29*$P$5</f>
        <v>0.52150000000000007</v>
      </c>
      <c r="H8" s="912">
        <f>(E34*$P$5/1000000)*1/(E17/1000)</f>
        <v>3.7249999999999998E-2</v>
      </c>
      <c r="I8" s="912">
        <f>E35</f>
        <v>0</v>
      </c>
      <c r="M8" s="912">
        <f>E21</f>
        <v>20</v>
      </c>
    </row>
    <row r="9" spans="2:16">
      <c r="B9" s="979"/>
      <c r="C9" s="979">
        <v>2050</v>
      </c>
      <c r="D9" s="979">
        <f>F20/100</f>
        <v>1</v>
      </c>
      <c r="E9" s="914"/>
      <c r="F9" s="913">
        <f>F17</f>
        <v>250</v>
      </c>
      <c r="G9" s="914">
        <f>F29*$P$5</f>
        <v>0.52150000000000007</v>
      </c>
      <c r="H9" s="912">
        <f>(F34*$P$5/1000000)*1/(F17/1000)</f>
        <v>3.7249999999999998E-2</v>
      </c>
      <c r="I9" s="912">
        <f>F35</f>
        <v>0</v>
      </c>
      <c r="M9" s="912">
        <f>F21</f>
        <v>20</v>
      </c>
    </row>
    <row r="11" spans="2:16">
      <c r="B11" s="912" t="s">
        <v>1281</v>
      </c>
    </row>
    <row r="12" spans="2:16" ht="16" thickBot="1"/>
    <row r="13" spans="2:16">
      <c r="B13" s="1346" t="s">
        <v>0</v>
      </c>
      <c r="C13" s="1348" t="s">
        <v>58</v>
      </c>
      <c r="D13" s="1349"/>
      <c r="E13" s="1349"/>
      <c r="F13" s="1349"/>
      <c r="G13" s="1349"/>
      <c r="H13" s="1350"/>
    </row>
    <row r="14" spans="2:16" ht="16" thickBot="1">
      <c r="B14" s="1347"/>
      <c r="C14" s="1351" t="s">
        <v>53</v>
      </c>
      <c r="D14" s="1352"/>
      <c r="E14" s="1352"/>
      <c r="F14" s="1352"/>
      <c r="G14" s="1352"/>
      <c r="H14" s="1353"/>
    </row>
    <row r="15" spans="2:16" ht="16" thickBot="1">
      <c r="B15" s="1003"/>
      <c r="C15" s="1002">
        <v>2015</v>
      </c>
      <c r="D15" s="1002">
        <v>2020</v>
      </c>
      <c r="E15" s="1002">
        <v>2030</v>
      </c>
      <c r="F15" s="1002">
        <v>2050</v>
      </c>
      <c r="G15" s="1002" t="s">
        <v>2</v>
      </c>
      <c r="H15" s="1002" t="s">
        <v>3</v>
      </c>
    </row>
    <row r="16" spans="2:16" ht="16" thickBot="1">
      <c r="B16" s="1009" t="s">
        <v>4</v>
      </c>
      <c r="C16" s="1008"/>
      <c r="D16" s="1008"/>
      <c r="E16" s="1008"/>
      <c r="F16" s="1008"/>
      <c r="G16" s="1008"/>
      <c r="H16" s="1007"/>
    </row>
    <row r="17" spans="2:8" ht="28" thickBot="1">
      <c r="B17" s="1003" t="s">
        <v>5</v>
      </c>
      <c r="C17" s="1002">
        <v>250</v>
      </c>
      <c r="D17" s="1002">
        <v>250</v>
      </c>
      <c r="E17" s="1002">
        <v>250</v>
      </c>
      <c r="F17" s="1002">
        <v>250</v>
      </c>
      <c r="G17" s="1002" t="s">
        <v>6</v>
      </c>
      <c r="H17" s="1002"/>
    </row>
    <row r="18" spans="2:8" ht="41" thickBot="1">
      <c r="B18" s="1003" t="s">
        <v>7</v>
      </c>
      <c r="C18" s="1002">
        <v>100</v>
      </c>
      <c r="D18" s="1002">
        <v>100</v>
      </c>
      <c r="E18" s="1002">
        <v>100</v>
      </c>
      <c r="F18" s="1002">
        <v>100</v>
      </c>
      <c r="G18" s="1002"/>
      <c r="H18" s="1002"/>
    </row>
    <row r="19" spans="2:8" ht="41" thickBot="1">
      <c r="B19" s="1003" t="s">
        <v>8</v>
      </c>
      <c r="C19" s="1002">
        <v>100</v>
      </c>
      <c r="D19" s="1002">
        <v>100</v>
      </c>
      <c r="E19" s="1002">
        <v>100</v>
      </c>
      <c r="F19" s="1002">
        <v>100</v>
      </c>
      <c r="G19" s="1002"/>
      <c r="H19" s="1002"/>
    </row>
    <row r="20" spans="2:8" ht="28" thickBot="1">
      <c r="B20" s="1003" t="s">
        <v>9</v>
      </c>
      <c r="C20" s="1002">
        <v>100</v>
      </c>
      <c r="D20" s="1002">
        <v>100</v>
      </c>
      <c r="E20" s="1002">
        <v>100</v>
      </c>
      <c r="F20" s="1002">
        <v>100</v>
      </c>
      <c r="G20" s="1002" t="s">
        <v>59</v>
      </c>
      <c r="H20" s="1002"/>
    </row>
    <row r="21" spans="2:8" ht="16" thickBot="1">
      <c r="B21" s="1003" t="s">
        <v>11</v>
      </c>
      <c r="C21" s="1002">
        <v>20</v>
      </c>
      <c r="D21" s="1002">
        <v>20</v>
      </c>
      <c r="E21" s="1002">
        <v>20</v>
      </c>
      <c r="F21" s="1002">
        <v>20</v>
      </c>
      <c r="G21" s="1002"/>
      <c r="H21" s="1002"/>
    </row>
    <row r="22" spans="2:8" ht="16" thickBot="1">
      <c r="B22" s="1009" t="s">
        <v>12</v>
      </c>
      <c r="C22" s="1008"/>
      <c r="D22" s="1008"/>
      <c r="E22" s="1008"/>
      <c r="F22" s="1008"/>
      <c r="G22" s="1008"/>
      <c r="H22" s="1007"/>
    </row>
    <row r="23" spans="2:8" ht="16" thickBot="1">
      <c r="B23" s="1003" t="s">
        <v>1280</v>
      </c>
      <c r="C23" s="1002" t="s">
        <v>36</v>
      </c>
      <c r="D23" s="1002" t="s">
        <v>36</v>
      </c>
      <c r="E23" s="1002" t="s">
        <v>36</v>
      </c>
      <c r="F23" s="1002" t="s">
        <v>36</v>
      </c>
      <c r="G23" s="1002"/>
      <c r="H23" s="1002"/>
    </row>
    <row r="24" spans="2:8" ht="16" thickBot="1">
      <c r="B24" s="1003" t="s">
        <v>1279</v>
      </c>
      <c r="C24" s="1002" t="s">
        <v>36</v>
      </c>
      <c r="D24" s="1002" t="s">
        <v>36</v>
      </c>
      <c r="E24" s="1002" t="s">
        <v>36</v>
      </c>
      <c r="F24" s="1002" t="s">
        <v>36</v>
      </c>
      <c r="G24" s="1002"/>
      <c r="H24" s="1002"/>
    </row>
    <row r="25" spans="2:8" ht="16" thickBot="1">
      <c r="B25" s="1003" t="s">
        <v>1278</v>
      </c>
      <c r="C25" s="1002" t="s">
        <v>36</v>
      </c>
      <c r="D25" s="1002" t="s">
        <v>36</v>
      </c>
      <c r="E25" s="1002" t="s">
        <v>36</v>
      </c>
      <c r="F25" s="1002" t="s">
        <v>36</v>
      </c>
      <c r="G25" s="1002"/>
      <c r="H25" s="1002"/>
    </row>
    <row r="26" spans="2:8" ht="16" thickBot="1">
      <c r="B26" s="1003" t="s">
        <v>1277</v>
      </c>
      <c r="C26" s="1002" t="s">
        <v>36</v>
      </c>
      <c r="D26" s="1002" t="s">
        <v>36</v>
      </c>
      <c r="E26" s="1002" t="s">
        <v>36</v>
      </c>
      <c r="F26" s="1002" t="s">
        <v>36</v>
      </c>
      <c r="G26" s="1002"/>
      <c r="H26" s="1002"/>
    </row>
    <row r="27" spans="2:8" ht="16" thickBot="1">
      <c r="B27" s="1003" t="s">
        <v>19</v>
      </c>
      <c r="C27" s="1002" t="s">
        <v>36</v>
      </c>
      <c r="D27" s="1002" t="s">
        <v>36</v>
      </c>
      <c r="E27" s="1002" t="s">
        <v>36</v>
      </c>
      <c r="F27" s="1002" t="s">
        <v>36</v>
      </c>
      <c r="G27" s="1002"/>
      <c r="H27" s="1002"/>
    </row>
    <row r="28" spans="2:8" ht="16" thickBot="1">
      <c r="B28" s="1009" t="s">
        <v>22</v>
      </c>
      <c r="C28" s="1008"/>
      <c r="D28" s="1008"/>
      <c r="E28" s="1008"/>
      <c r="F28" s="1008"/>
      <c r="G28" s="1008"/>
      <c r="H28" s="1007"/>
    </row>
    <row r="29" spans="2:8" ht="28" thickBot="1">
      <c r="B29" s="1003" t="s">
        <v>23</v>
      </c>
      <c r="C29" s="1002">
        <v>7.0000000000000007E-2</v>
      </c>
      <c r="D29" s="1002">
        <v>7.0000000000000007E-2</v>
      </c>
      <c r="E29" s="1002">
        <v>7.0000000000000007E-2</v>
      </c>
      <c r="F29" s="1002">
        <v>7.0000000000000007E-2</v>
      </c>
      <c r="G29" s="1002" t="s">
        <v>33</v>
      </c>
      <c r="H29" s="1002" t="s">
        <v>65</v>
      </c>
    </row>
    <row r="30" spans="2:8" ht="27">
      <c r="B30" s="1006" t="s">
        <v>24</v>
      </c>
      <c r="C30" s="1005"/>
      <c r="D30" s="1005"/>
      <c r="E30" s="1005"/>
      <c r="F30" s="1005"/>
      <c r="G30" s="1005"/>
      <c r="H30" s="1005"/>
    </row>
    <row r="31" spans="2:8">
      <c r="B31" s="1006" t="s">
        <v>26</v>
      </c>
      <c r="C31" s="1005" t="s">
        <v>27</v>
      </c>
      <c r="D31" s="1005">
        <v>70</v>
      </c>
      <c r="E31" s="1005">
        <v>70</v>
      </c>
      <c r="F31" s="1005">
        <v>70</v>
      </c>
      <c r="G31" s="1005"/>
      <c r="H31" s="1005"/>
    </row>
    <row r="32" spans="2:8" ht="16" thickBot="1">
      <c r="B32" s="1003" t="s">
        <v>28</v>
      </c>
      <c r="C32" s="1002" t="s">
        <v>29</v>
      </c>
      <c r="D32" s="1002">
        <v>30</v>
      </c>
      <c r="E32" s="1002">
        <v>30</v>
      </c>
      <c r="F32" s="1002">
        <v>30</v>
      </c>
      <c r="G32" s="1002"/>
      <c r="H32" s="1002"/>
    </row>
    <row r="33" spans="2:8" ht="41" thickBot="1">
      <c r="B33" s="1003" t="s">
        <v>30</v>
      </c>
      <c r="C33" s="1002">
        <v>4</v>
      </c>
      <c r="D33" s="1002">
        <v>4</v>
      </c>
      <c r="E33" s="1002">
        <v>4</v>
      </c>
      <c r="F33" s="1002">
        <v>4</v>
      </c>
      <c r="G33" s="1002" t="s">
        <v>20</v>
      </c>
      <c r="H33" s="1002"/>
    </row>
    <row r="34" spans="2:8" ht="16" thickBot="1">
      <c r="B34" s="1003" t="s">
        <v>64</v>
      </c>
      <c r="C34" s="1004">
        <v>1250</v>
      </c>
      <c r="D34" s="1004">
        <v>1250</v>
      </c>
      <c r="E34" s="1004">
        <v>1250</v>
      </c>
      <c r="F34" s="1004">
        <v>1250</v>
      </c>
      <c r="G34" s="1002"/>
      <c r="H34" s="1002">
        <v>7</v>
      </c>
    </row>
    <row r="35" spans="2:8" ht="16" thickBot="1">
      <c r="B35" s="1003" t="s">
        <v>31</v>
      </c>
      <c r="C35" s="1002"/>
      <c r="D35" s="1002"/>
      <c r="E35" s="1002"/>
      <c r="F35" s="1002"/>
      <c r="G35" s="1002"/>
      <c r="H35" s="1002"/>
    </row>
  </sheetData>
  <mergeCells count="3">
    <mergeCell ref="B13:B14"/>
    <mergeCell ref="C13:H13"/>
    <mergeCell ref="C14:H14"/>
  </mergeCells>
  <pageMargins left="0.7" right="0.7" top="0.75" bottom="0.75" header="0.3" footer="0.3"/>
  <legacyDrawing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EB86D-53D5-402C-B0B6-B2C5E6670ACE}">
  <sheetPr>
    <tabColor rgb="FF0070C0"/>
  </sheetPr>
  <dimension ref="A1:CD444"/>
  <sheetViews>
    <sheetView topLeftCell="AS4" zoomScale="90" zoomScaleNormal="90" workbookViewId="0">
      <selection activeCell="AX18" sqref="AX18"/>
    </sheetView>
  </sheetViews>
  <sheetFormatPr baseColWidth="10" defaultColWidth="9.1640625" defaultRowHeight="15"/>
  <cols>
    <col min="1" max="1" width="12.6640625" style="906" bestFit="1" customWidth="1"/>
    <col min="2" max="2" width="76.6640625" style="906" bestFit="1" customWidth="1"/>
    <col min="3" max="3" width="14" style="906" bestFit="1" customWidth="1"/>
    <col min="4" max="4" width="10.5" style="906" bestFit="1" customWidth="1"/>
    <col min="5" max="5" width="11.5" style="906" bestFit="1" customWidth="1"/>
    <col min="6" max="6" width="16.33203125" style="1010" bestFit="1" customWidth="1"/>
    <col min="7" max="7" width="17.83203125" style="906" bestFit="1" customWidth="1"/>
    <col min="8" max="9" width="16.33203125" style="906" bestFit="1" customWidth="1"/>
    <col min="10" max="10" width="16.5" style="906" bestFit="1" customWidth="1"/>
    <col min="11" max="11" width="9.5" style="906" customWidth="1"/>
    <col min="12" max="12" width="16.33203125" style="906" customWidth="1"/>
    <col min="13" max="13" width="9.1640625" style="906"/>
    <col min="14" max="14" width="59.6640625" style="906" bestFit="1" customWidth="1"/>
    <col min="15" max="26" width="9.1640625" style="906"/>
    <col min="27" max="27" width="12.5" style="906" bestFit="1" customWidth="1"/>
    <col min="28" max="28" width="9.1640625" style="906"/>
    <col min="29" max="29" width="19.33203125" style="906" customWidth="1"/>
    <col min="30" max="30" width="17.83203125" style="906" customWidth="1"/>
    <col min="31" max="31" width="19.33203125" style="906" bestFit="1" customWidth="1"/>
    <col min="32" max="32" width="17.83203125" style="906" bestFit="1" customWidth="1"/>
    <col min="33" max="33" width="16.6640625" style="906" bestFit="1" customWidth="1"/>
    <col min="34" max="34" width="15" style="906" bestFit="1" customWidth="1"/>
    <col min="35" max="35" width="17.6640625" style="906" bestFit="1" customWidth="1"/>
    <col min="36" max="36" width="17.83203125" style="906" bestFit="1" customWidth="1"/>
    <col min="37" max="37" width="9.1640625" style="906"/>
    <col min="38" max="38" width="11.1640625" style="906" bestFit="1" customWidth="1"/>
    <col min="39" max="39" width="10.33203125" style="906" bestFit="1" customWidth="1"/>
    <col min="40" max="46" width="9.1640625" style="906"/>
    <col min="47" max="47" width="12.5" style="906" bestFit="1" customWidth="1"/>
    <col min="48" max="48" width="9.1640625" style="906"/>
    <col min="49" max="49" width="19.33203125" style="906" customWidth="1"/>
    <col min="50" max="50" width="17.83203125" style="906" customWidth="1"/>
    <col min="51" max="51" width="11.5" style="906" customWidth="1"/>
    <col min="52" max="52" width="11.1640625" style="906" customWidth="1"/>
    <col min="53" max="53" width="10.33203125" style="906" customWidth="1"/>
    <col min="54" max="54" width="10.6640625" style="906" customWidth="1"/>
    <col min="55" max="55" width="17.6640625" style="906" bestFit="1" customWidth="1"/>
    <col min="56" max="56" width="17.83203125" style="906" bestFit="1" customWidth="1"/>
    <col min="57" max="57" width="9.1640625" style="906"/>
    <col min="58" max="58" width="11.1640625" style="906" bestFit="1" customWidth="1"/>
    <col min="59" max="60" width="11.1640625" style="906" customWidth="1"/>
    <col min="61" max="61" width="10.33203125" style="906" bestFit="1" customWidth="1"/>
    <col min="62" max="68" width="9.1640625" style="906"/>
    <col min="69" max="69" width="21.1640625" style="906" bestFit="1" customWidth="1"/>
    <col min="70" max="79" width="9.1640625" style="906"/>
    <col min="80" max="80" width="22.1640625" style="906" bestFit="1" customWidth="1"/>
    <col min="81" max="81" width="20.6640625" style="906" bestFit="1" customWidth="1"/>
    <col min="82" max="82" width="21.33203125" style="906" bestFit="1" customWidth="1"/>
    <col min="83" max="16384" width="9.1640625" style="906"/>
  </cols>
  <sheetData>
    <row r="1" spans="1:82">
      <c r="A1" s="906" t="s">
        <v>2000</v>
      </c>
      <c r="B1" s="906" t="s">
        <v>1999</v>
      </c>
      <c r="C1" s="906" t="s">
        <v>1998</v>
      </c>
      <c r="D1" s="906" t="s">
        <v>1997</v>
      </c>
      <c r="E1" s="906" t="s">
        <v>1996</v>
      </c>
      <c r="F1" s="1010" t="s">
        <v>1995</v>
      </c>
      <c r="G1" s="906" t="s">
        <v>1874</v>
      </c>
      <c r="H1" s="906" t="s">
        <v>1873</v>
      </c>
      <c r="I1" s="906" t="s">
        <v>1870</v>
      </c>
      <c r="J1" s="906" t="s">
        <v>1869</v>
      </c>
      <c r="K1" s="906" t="s">
        <v>1994</v>
      </c>
      <c r="L1" s="1105" t="s">
        <v>1993</v>
      </c>
    </row>
    <row r="2" spans="1:82">
      <c r="A2" s="906">
        <v>1</v>
      </c>
      <c r="B2" s="906" t="s">
        <v>1992</v>
      </c>
      <c r="C2" s="906">
        <v>29189</v>
      </c>
      <c r="D2" s="906" t="s">
        <v>1256</v>
      </c>
      <c r="E2" s="906" t="s">
        <v>1258</v>
      </c>
      <c r="F2" s="1015"/>
      <c r="G2" s="1014"/>
      <c r="H2" s="1014"/>
      <c r="I2" s="1014"/>
      <c r="J2" s="1013"/>
      <c r="K2" s="1012"/>
      <c r="L2" s="1011"/>
      <c r="N2" s="1104" t="s">
        <v>1991</v>
      </c>
      <c r="O2" s="1103"/>
      <c r="P2" s="1036">
        <v>75</v>
      </c>
      <c r="Q2" s="1014">
        <v>46</v>
      </c>
      <c r="R2" s="1014">
        <v>81</v>
      </c>
      <c r="S2" s="1013">
        <v>42</v>
      </c>
      <c r="T2" s="1012">
        <v>27.491034722222221</v>
      </c>
      <c r="U2" s="1035">
        <v>0.21000010862127022</v>
      </c>
      <c r="V2" s="906">
        <v>1818.2439999999999</v>
      </c>
      <c r="X2" s="906">
        <v>1</v>
      </c>
      <c r="AA2" s="906" t="s">
        <v>1990</v>
      </c>
      <c r="AU2" s="909" t="s">
        <v>1989</v>
      </c>
    </row>
    <row r="3" spans="1:82" ht="16" thickBot="1">
      <c r="A3" s="906">
        <v>2</v>
      </c>
      <c r="B3" s="906" t="s">
        <v>1988</v>
      </c>
      <c r="C3" s="906">
        <v>60183</v>
      </c>
      <c r="D3" s="906" t="s">
        <v>1256</v>
      </c>
      <c r="E3" s="906" t="s">
        <v>1259</v>
      </c>
      <c r="F3" s="1015"/>
      <c r="H3" s="1014"/>
      <c r="I3" s="1014"/>
      <c r="J3" s="1013"/>
      <c r="K3" s="1012"/>
      <c r="L3" s="1011"/>
      <c r="N3" s="1032" t="s">
        <v>1987</v>
      </c>
      <c r="O3" s="1031"/>
      <c r="P3" s="1030">
        <v>75</v>
      </c>
      <c r="Q3" s="1029">
        <v>37</v>
      </c>
      <c r="R3" s="1029">
        <v>83</v>
      </c>
      <c r="S3" s="1028">
        <v>37</v>
      </c>
      <c r="T3" s="1027"/>
      <c r="U3" s="1026">
        <v>0.27873918417799753</v>
      </c>
      <c r="V3" s="906">
        <v>11.67</v>
      </c>
      <c r="X3" s="906">
        <v>2</v>
      </c>
      <c r="AC3" s="1356" t="s">
        <v>1882</v>
      </c>
      <c r="AD3" s="1356"/>
      <c r="AE3" s="1357" t="s">
        <v>1881</v>
      </c>
      <c r="AF3" s="1357"/>
      <c r="AG3" s="1358" t="s">
        <v>1880</v>
      </c>
      <c r="AH3" s="1358"/>
      <c r="AI3" s="1359" t="s">
        <v>1879</v>
      </c>
      <c r="AJ3" s="1359"/>
      <c r="AL3" s="906" t="s">
        <v>1986</v>
      </c>
      <c r="AV3" s="1096"/>
      <c r="AW3" s="1356" t="s">
        <v>1882</v>
      </c>
      <c r="AX3" s="1356"/>
      <c r="AY3" s="1357" t="s">
        <v>1881</v>
      </c>
      <c r="AZ3" s="1357"/>
      <c r="BA3" s="1358" t="s">
        <v>1880</v>
      </c>
      <c r="BB3" s="1358"/>
      <c r="BC3" s="1359" t="s">
        <v>1879</v>
      </c>
      <c r="BD3" s="1359"/>
      <c r="BF3" s="906" t="s">
        <v>1986</v>
      </c>
    </row>
    <row r="4" spans="1:82" ht="16">
      <c r="A4" s="906">
        <v>3</v>
      </c>
      <c r="B4" s="906" t="s">
        <v>1985</v>
      </c>
      <c r="C4" s="906">
        <v>29189</v>
      </c>
      <c r="D4" s="906" t="s">
        <v>1256</v>
      </c>
      <c r="E4" s="906" t="s">
        <v>1258</v>
      </c>
      <c r="F4" s="1015">
        <f t="shared" ref="F4:L5" si="0">O3</f>
        <v>0</v>
      </c>
      <c r="G4" s="1014">
        <f t="shared" si="0"/>
        <v>75</v>
      </c>
      <c r="H4" s="1014">
        <f t="shared" si="0"/>
        <v>37</v>
      </c>
      <c r="I4" s="1014">
        <f t="shared" si="0"/>
        <v>83</v>
      </c>
      <c r="J4" s="1013">
        <f t="shared" si="0"/>
        <v>37</v>
      </c>
      <c r="K4" s="1012">
        <f t="shared" si="0"/>
        <v>0</v>
      </c>
      <c r="L4" s="1011">
        <f t="shared" si="0"/>
        <v>0.27873918417799753</v>
      </c>
      <c r="N4" s="1032" t="s">
        <v>1984</v>
      </c>
      <c r="O4" s="1031"/>
      <c r="P4" s="1030">
        <v>75</v>
      </c>
      <c r="Q4" s="1029">
        <v>35</v>
      </c>
      <c r="R4" s="1029">
        <v>82</v>
      </c>
      <c r="S4" s="1028">
        <v>38</v>
      </c>
      <c r="T4" s="1027">
        <v>28.778797668068407</v>
      </c>
      <c r="U4" s="1026">
        <v>0.15252544113528155</v>
      </c>
      <c r="V4" s="906">
        <v>9.0772999999999993</v>
      </c>
      <c r="X4" s="906">
        <v>3</v>
      </c>
      <c r="AA4" s="1077"/>
      <c r="AB4" s="1089"/>
      <c r="AC4" s="1076" t="s">
        <v>1876</v>
      </c>
      <c r="AD4" s="1076" t="s">
        <v>1875</v>
      </c>
      <c r="AE4" s="1075" t="s">
        <v>1874</v>
      </c>
      <c r="AF4" s="1075" t="s">
        <v>1873</v>
      </c>
      <c r="AG4" s="1074" t="s">
        <v>1872</v>
      </c>
      <c r="AH4" s="1074" t="s">
        <v>1871</v>
      </c>
      <c r="AI4" s="1073" t="s">
        <v>1870</v>
      </c>
      <c r="AJ4" s="1072" t="s">
        <v>1869</v>
      </c>
      <c r="AK4" s="1102"/>
      <c r="AL4" s="1101"/>
      <c r="AM4" s="1099" t="s">
        <v>1983</v>
      </c>
      <c r="AN4" s="1099"/>
      <c r="AO4" s="1099" t="s">
        <v>1982</v>
      </c>
      <c r="AP4" s="1099"/>
      <c r="AQ4" s="1099" t="s">
        <v>1981</v>
      </c>
      <c r="AR4" s="1098"/>
      <c r="AU4" s="1090" t="s">
        <v>1958</v>
      </c>
      <c r="AV4" s="1089"/>
      <c r="AW4" s="1076" t="s">
        <v>1876</v>
      </c>
      <c r="AX4" s="1076" t="s">
        <v>1875</v>
      </c>
      <c r="AY4" s="1075" t="s">
        <v>1874</v>
      </c>
      <c r="AZ4" s="1075" t="s">
        <v>1873</v>
      </c>
      <c r="BA4" s="1074" t="s">
        <v>1872</v>
      </c>
      <c r="BB4" s="1074" t="s">
        <v>1871</v>
      </c>
      <c r="BC4" s="1073" t="s">
        <v>1870</v>
      </c>
      <c r="BD4" s="1072" t="s">
        <v>1869</v>
      </c>
      <c r="BE4" s="1102"/>
      <c r="BF4" s="1101"/>
      <c r="BG4" s="1100"/>
      <c r="BH4" s="1100"/>
      <c r="BI4" s="1099" t="s">
        <v>1983</v>
      </c>
      <c r="BJ4" s="1099"/>
      <c r="BK4" s="1099" t="s">
        <v>1982</v>
      </c>
      <c r="BL4" s="1099"/>
      <c r="BM4" s="1099" t="s">
        <v>1981</v>
      </c>
      <c r="BN4" s="1098"/>
      <c r="BR4" s="909" t="s">
        <v>1980</v>
      </c>
    </row>
    <row r="5" spans="1:82" ht="21">
      <c r="A5" s="906">
        <v>4</v>
      </c>
      <c r="B5" s="906" t="s">
        <v>1979</v>
      </c>
      <c r="C5" s="906">
        <v>29189</v>
      </c>
      <c r="D5" s="906" t="s">
        <v>1256</v>
      </c>
      <c r="E5" s="906" t="s">
        <v>1258</v>
      </c>
      <c r="F5" s="1015">
        <f t="shared" si="0"/>
        <v>0</v>
      </c>
      <c r="G5" s="1014">
        <f t="shared" si="0"/>
        <v>75</v>
      </c>
      <c r="H5" s="1014">
        <f t="shared" si="0"/>
        <v>35</v>
      </c>
      <c r="I5" s="1014">
        <f t="shared" si="0"/>
        <v>82</v>
      </c>
      <c r="J5" s="1013">
        <f t="shared" si="0"/>
        <v>38</v>
      </c>
      <c r="K5" s="1012">
        <f t="shared" si="0"/>
        <v>28.778797668068407</v>
      </c>
      <c r="L5" s="1011">
        <f t="shared" si="0"/>
        <v>0.15252544113528155</v>
      </c>
      <c r="N5" s="1032" t="s">
        <v>1978</v>
      </c>
      <c r="O5" s="1031">
        <v>2.6848387184879734E-2</v>
      </c>
      <c r="P5" s="1030">
        <v>76</v>
      </c>
      <c r="Q5" s="1029">
        <v>38</v>
      </c>
      <c r="R5" s="1029">
        <v>76</v>
      </c>
      <c r="S5" s="1028">
        <v>34</v>
      </c>
      <c r="T5" s="1027">
        <v>41.416233020206796</v>
      </c>
      <c r="U5" s="1026">
        <v>0.24038731406118438</v>
      </c>
      <c r="V5" s="906">
        <v>10.826000000000001</v>
      </c>
      <c r="X5" s="906">
        <v>4</v>
      </c>
      <c r="AA5" s="1057" t="s">
        <v>1257</v>
      </c>
      <c r="AB5" s="1082" t="s">
        <v>1259</v>
      </c>
      <c r="AC5" s="1071">
        <f t="shared" ref="AC5:AD8" si="1">AG5</f>
        <v>81.850000000000009</v>
      </c>
      <c r="AD5" s="1071">
        <f t="shared" si="1"/>
        <v>48.903125000000003</v>
      </c>
      <c r="AE5" s="1088">
        <f>AVERAGEIFS(G$2:G$439,$E$2:$E$439,"=DKE",$D$2:$D$439,"=Central",G$2:G$439,"&gt;0",G$2:G$439,"&lt;140")</f>
        <v>77.835294117647067</v>
      </c>
      <c r="AF5" s="1088">
        <f>AVERAGEIFS(H$2:H$439,$E$2:$E$439,"=DKE",$D$2:$D$439,"=Central",H$2:H$439,"&gt;0",H$2:H$439,"&lt;60")</f>
        <v>49.1875</v>
      </c>
      <c r="AG5" s="1069">
        <f t="shared" ref="AG5:AH8" si="2">AVERAGE(AE5,AI5)</f>
        <v>81.850000000000009</v>
      </c>
      <c r="AH5" s="1069">
        <f t="shared" si="2"/>
        <v>48.903125000000003</v>
      </c>
      <c r="AI5" s="1068">
        <f>AVERAGEIFS(I$2:I$439,$E$2:$E$439,"=DKE",$D$2:$D$439,"=Central",I$2:I$439,"&gt;0",I$2:I$439,"&lt;140")</f>
        <v>85.864705882352951</v>
      </c>
      <c r="AJ5" s="1067">
        <f>AVERAGEIFS(J$2:J$439,$E$2:$E$439,"=DKE",$D$2:$D$439,"=Central",J$2:J$439,"&gt;0",J$2:J$439,"&lt;60")</f>
        <v>48.618750000000006</v>
      </c>
      <c r="AL5" s="1051" t="s">
        <v>1977</v>
      </c>
      <c r="AM5" s="906">
        <v>47</v>
      </c>
      <c r="AN5" s="1097" t="s">
        <v>1960</v>
      </c>
      <c r="AO5" s="906">
        <v>5</v>
      </c>
      <c r="AQ5" s="906">
        <v>10</v>
      </c>
      <c r="AR5" s="1050"/>
      <c r="AU5" s="1057" t="s">
        <v>1257</v>
      </c>
      <c r="AV5" s="1082" t="s">
        <v>1259</v>
      </c>
      <c r="AW5" s="1071">
        <f t="shared" ref="AW5:BD8" si="3">AC5</f>
        <v>81.850000000000009</v>
      </c>
      <c r="AX5" s="1071">
        <f t="shared" si="3"/>
        <v>48.903125000000003</v>
      </c>
      <c r="AY5" s="1088">
        <f t="shared" si="3"/>
        <v>77.835294117647067</v>
      </c>
      <c r="AZ5" s="1088">
        <f t="shared" si="3"/>
        <v>49.1875</v>
      </c>
      <c r="BA5" s="1069">
        <f t="shared" si="3"/>
        <v>81.850000000000009</v>
      </c>
      <c r="BB5" s="1069">
        <f t="shared" si="3"/>
        <v>48.903125000000003</v>
      </c>
      <c r="BC5" s="1068">
        <f t="shared" si="3"/>
        <v>85.864705882352951</v>
      </c>
      <c r="BD5" s="1067">
        <f t="shared" si="3"/>
        <v>48.618750000000006</v>
      </c>
      <c r="BF5" s="1051" t="s">
        <v>1977</v>
      </c>
      <c r="BG5" s="906">
        <v>37.5</v>
      </c>
      <c r="BH5" s="1096" t="s">
        <v>1958</v>
      </c>
      <c r="BI5" s="906">
        <f>BG5+273.15</f>
        <v>310.64999999999998</v>
      </c>
      <c r="BJ5" s="1096" t="s">
        <v>1946</v>
      </c>
      <c r="BK5" s="906">
        <v>5</v>
      </c>
      <c r="BM5" s="906">
        <f>273.15+15</f>
        <v>288.14999999999998</v>
      </c>
      <c r="BN5" s="1096" t="s">
        <v>1946</v>
      </c>
    </row>
    <row r="6" spans="1:82" ht="21">
      <c r="A6" s="906">
        <v>5</v>
      </c>
      <c r="B6" s="906" t="s">
        <v>1962</v>
      </c>
      <c r="C6" s="906">
        <v>29189</v>
      </c>
      <c r="D6" s="906" t="s">
        <v>1257</v>
      </c>
      <c r="E6" s="906" t="s">
        <v>1258</v>
      </c>
      <c r="F6" s="1015">
        <f t="shared" ref="F6:L6" si="4">O137</f>
        <v>0</v>
      </c>
      <c r="G6" s="1014">
        <f t="shared" si="4"/>
        <v>63</v>
      </c>
      <c r="H6" s="1014">
        <f t="shared" si="4"/>
        <v>63</v>
      </c>
      <c r="I6" s="1014">
        <f t="shared" si="4"/>
        <v>73</v>
      </c>
      <c r="J6" s="1013">
        <f t="shared" si="4"/>
        <v>73</v>
      </c>
      <c r="K6" s="1012">
        <f t="shared" si="4"/>
        <v>20.783333333333335</v>
      </c>
      <c r="L6" s="1011">
        <f t="shared" si="4"/>
        <v>0.21572413793103448</v>
      </c>
      <c r="N6" s="1032" t="s">
        <v>1976</v>
      </c>
      <c r="O6" s="1031">
        <v>7.0248372927870801E-3</v>
      </c>
      <c r="P6" s="1030">
        <v>75</v>
      </c>
      <c r="Q6" s="1029">
        <v>43</v>
      </c>
      <c r="R6" s="1029">
        <v>75</v>
      </c>
      <c r="S6" s="1028">
        <v>38</v>
      </c>
      <c r="T6" s="1027">
        <v>36.218348662556075</v>
      </c>
      <c r="U6" s="1026">
        <v>0.24022658750966139</v>
      </c>
      <c r="V6" s="906">
        <v>66.662000000000006</v>
      </c>
      <c r="X6" s="906">
        <v>5</v>
      </c>
      <c r="AA6" s="1057" t="s">
        <v>1257</v>
      </c>
      <c r="AB6" s="1082" t="s">
        <v>1258</v>
      </c>
      <c r="AC6" s="1071">
        <f t="shared" si="1"/>
        <v>74.086206896551715</v>
      </c>
      <c r="AD6" s="1071">
        <f t="shared" si="1"/>
        <v>41.023807692307699</v>
      </c>
      <c r="AE6" s="1088">
        <f>AVERAGEIFS(G$2:G$439,$E$2:$E$439,"=DKW",$D$2:$D$439,"=Central",G$2:G$439,"&gt;0",G$2:G$439,"&lt;140")</f>
        <v>70.565862068965515</v>
      </c>
      <c r="AF6" s="1088">
        <f>AVERAGEIFS(H$2:H$439,$E$2:$E$439,"=DKW",$D$2:$D$439,"=Central",H$2:H$439,"&gt;0",H$2:H$439,"&lt;60")</f>
        <v>42.59961538461539</v>
      </c>
      <c r="AG6" s="1069">
        <f t="shared" si="2"/>
        <v>74.086206896551715</v>
      </c>
      <c r="AH6" s="1069">
        <f t="shared" si="2"/>
        <v>41.023807692307699</v>
      </c>
      <c r="AI6" s="1068">
        <f>AVERAGEIFS(I$2:I$439,$E$2:$E$439,"=DKW",$D$2:$D$439,"=Central",I$2:I$439,"&gt;0",I$2:I$439,"&lt;140")</f>
        <v>77.60655172413793</v>
      </c>
      <c r="AJ6" s="1067">
        <f>AVERAGEIFS(J$2:J$439,$E$2:$E$439,"=DKW",$D$2:$D$439,"=Central",J$2:J$439,"&gt;0",J$2:J$439,"&lt;60")</f>
        <v>39.448</v>
      </c>
      <c r="AL6" s="1051" t="s">
        <v>1849</v>
      </c>
      <c r="AM6" s="906">
        <v>70</v>
      </c>
      <c r="AN6" s="1097" t="s">
        <v>1960</v>
      </c>
      <c r="AO6" s="906">
        <v>10</v>
      </c>
      <c r="AQ6" s="906">
        <v>10</v>
      </c>
      <c r="AR6" s="1050"/>
      <c r="AU6" s="1057" t="s">
        <v>1257</v>
      </c>
      <c r="AV6" s="1082" t="s">
        <v>1258</v>
      </c>
      <c r="AW6" s="1071">
        <f t="shared" si="3"/>
        <v>74.086206896551715</v>
      </c>
      <c r="AX6" s="1071">
        <f t="shared" si="3"/>
        <v>41.023807692307699</v>
      </c>
      <c r="AY6" s="1088">
        <f t="shared" si="3"/>
        <v>70.565862068965515</v>
      </c>
      <c r="AZ6" s="1088">
        <f t="shared" si="3"/>
        <v>42.59961538461539</v>
      </c>
      <c r="BA6" s="1069">
        <f t="shared" si="3"/>
        <v>74.086206896551715</v>
      </c>
      <c r="BB6" s="1069">
        <f t="shared" si="3"/>
        <v>41.023807692307699</v>
      </c>
      <c r="BC6" s="1068">
        <f t="shared" si="3"/>
        <v>77.60655172413793</v>
      </c>
      <c r="BD6" s="1067">
        <f t="shared" si="3"/>
        <v>39.448</v>
      </c>
      <c r="BF6" s="1051" t="s">
        <v>1849</v>
      </c>
      <c r="BG6" s="906">
        <v>70</v>
      </c>
      <c r="BH6" s="1096" t="s">
        <v>1958</v>
      </c>
      <c r="BI6" s="906">
        <f>BG6+273.15</f>
        <v>343.15</v>
      </c>
      <c r="BJ6" s="1096" t="s">
        <v>1946</v>
      </c>
      <c r="BK6" s="906">
        <v>10</v>
      </c>
      <c r="BM6" s="906">
        <f>273.15+15</f>
        <v>288.14999999999998</v>
      </c>
      <c r="BN6" s="1096" t="s">
        <v>1946</v>
      </c>
      <c r="BQ6" s="909" t="s">
        <v>1975</v>
      </c>
      <c r="BR6" s="909" t="s">
        <v>1133</v>
      </c>
      <c r="BS6" s="909" t="s">
        <v>1974</v>
      </c>
      <c r="BT6" s="909" t="s">
        <v>1973</v>
      </c>
      <c r="BU6" s="909" t="s">
        <v>1972</v>
      </c>
      <c r="BV6" s="909" t="s">
        <v>1971</v>
      </c>
      <c r="BW6" s="909" t="s">
        <v>1970</v>
      </c>
      <c r="BX6" s="909" t="s">
        <v>1969</v>
      </c>
      <c r="BY6" s="909" t="s">
        <v>1968</v>
      </c>
      <c r="BZ6" s="909" t="s">
        <v>1967</v>
      </c>
      <c r="CA6" s="909" t="s">
        <v>1966</v>
      </c>
      <c r="CB6" s="909" t="s">
        <v>1965</v>
      </c>
      <c r="CC6" s="909" t="s">
        <v>1964</v>
      </c>
      <c r="CD6" s="909" t="s">
        <v>1963</v>
      </c>
    </row>
    <row r="7" spans="1:82" ht="21">
      <c r="A7" s="906">
        <v>6</v>
      </c>
      <c r="B7" s="906" t="s">
        <v>1962</v>
      </c>
      <c r="C7" s="906">
        <v>29189</v>
      </c>
      <c r="D7" s="906" t="s">
        <v>1256</v>
      </c>
      <c r="E7" s="906" t="s">
        <v>1258</v>
      </c>
      <c r="F7" s="1015">
        <f t="shared" ref="F7:L7" si="5">F6</f>
        <v>0</v>
      </c>
      <c r="G7" s="1014">
        <f t="shared" si="5"/>
        <v>63</v>
      </c>
      <c r="H7" s="1014">
        <f t="shared" si="5"/>
        <v>63</v>
      </c>
      <c r="I7" s="1014">
        <f t="shared" si="5"/>
        <v>73</v>
      </c>
      <c r="J7" s="1013">
        <f t="shared" si="5"/>
        <v>73</v>
      </c>
      <c r="K7" s="1012">
        <f t="shared" si="5"/>
        <v>20.783333333333335</v>
      </c>
      <c r="L7" s="1011">
        <f t="shared" si="5"/>
        <v>0.21572413793103448</v>
      </c>
      <c r="N7" s="1032" t="s">
        <v>1961</v>
      </c>
      <c r="O7" s="1031"/>
      <c r="P7" s="1030">
        <v>67</v>
      </c>
      <c r="Q7" s="1029">
        <v>38</v>
      </c>
      <c r="R7" s="1029">
        <v>67</v>
      </c>
      <c r="S7" s="1028">
        <v>34</v>
      </c>
      <c r="T7" s="1027">
        <v>32.944934232948974</v>
      </c>
      <c r="U7" s="1026">
        <v>0.25541295960947957</v>
      </c>
      <c r="V7" s="906">
        <v>9.4570000000000007</v>
      </c>
      <c r="X7" s="906">
        <v>6</v>
      </c>
      <c r="AA7" s="1057" t="s">
        <v>1256</v>
      </c>
      <c r="AB7" s="1082" t="s">
        <v>1259</v>
      </c>
      <c r="AC7" s="1071">
        <f t="shared" si="1"/>
        <v>78.112857142857138</v>
      </c>
      <c r="AD7" s="1071">
        <f t="shared" si="1"/>
        <v>44.137931034482762</v>
      </c>
      <c r="AE7" s="1088">
        <f>AVERAGEIFS(G$2:G$439,$E$2:$E$439,"=DKE",$D$2:$D$439,"=Decentral",G$2:G$439,"&gt;0",G$2:G$439,"&lt;140")</f>
        <v>74.52</v>
      </c>
      <c r="AF7" s="1088">
        <f>AVERAGEIFS(H$2:H$439,$E$2:$E$439,"=DKE",$D$2:$D$439,"=Decentral",H$2:H$439,"&gt;0",H$2:H$439,"&lt;60")</f>
        <v>45.817241379310346</v>
      </c>
      <c r="AG7" s="1069">
        <f t="shared" si="2"/>
        <v>78.112857142857138</v>
      </c>
      <c r="AH7" s="1069">
        <f t="shared" si="2"/>
        <v>44.137931034482762</v>
      </c>
      <c r="AI7" s="1068">
        <f>AVERAGEIFS(I$2:I$439,$E$2:$E$439,"=DKE",$D$2:$D$439,"=Decentral",I$2:I$439,"&gt;0",I$2:I$439,"&lt;140")</f>
        <v>81.705714285714279</v>
      </c>
      <c r="AJ7" s="1067">
        <f>AVERAGEIFS(J$2:J$439,$E$2:$E$439,"=DKE",$D$2:$D$439,"=Decentral",J$2:J$439,"&gt;0",J$2:J$439,"&lt;60")</f>
        <v>42.45862068965517</v>
      </c>
      <c r="AL7" s="1051" t="s">
        <v>1959</v>
      </c>
      <c r="AM7" s="906">
        <v>100</v>
      </c>
      <c r="AN7" s="1097" t="s">
        <v>1960</v>
      </c>
      <c r="AO7" s="906">
        <v>5</v>
      </c>
      <c r="AR7" s="1050"/>
      <c r="AU7" s="1057" t="s">
        <v>1256</v>
      </c>
      <c r="AV7" s="1082" t="s">
        <v>1259</v>
      </c>
      <c r="AW7" s="1071">
        <f t="shared" si="3"/>
        <v>78.112857142857138</v>
      </c>
      <c r="AX7" s="1071">
        <f t="shared" si="3"/>
        <v>44.137931034482762</v>
      </c>
      <c r="AY7" s="1088">
        <f t="shared" si="3"/>
        <v>74.52</v>
      </c>
      <c r="AZ7" s="1088">
        <f t="shared" si="3"/>
        <v>45.817241379310346</v>
      </c>
      <c r="BA7" s="1069">
        <f t="shared" si="3"/>
        <v>78.112857142857138</v>
      </c>
      <c r="BB7" s="1069">
        <f t="shared" si="3"/>
        <v>44.137931034482762</v>
      </c>
      <c r="BC7" s="1068">
        <f t="shared" si="3"/>
        <v>81.705714285714279</v>
      </c>
      <c r="BD7" s="1067">
        <f t="shared" si="3"/>
        <v>42.45862068965517</v>
      </c>
      <c r="BF7" s="1051" t="s">
        <v>1959</v>
      </c>
      <c r="BG7" s="906">
        <v>215</v>
      </c>
      <c r="BH7" s="1096" t="s">
        <v>1958</v>
      </c>
      <c r="BI7" s="906">
        <f>BG7+273.15</f>
        <v>488.15</v>
      </c>
      <c r="BJ7" s="1096" t="s">
        <v>1946</v>
      </c>
      <c r="BK7" s="906">
        <v>5</v>
      </c>
      <c r="BM7" s="906">
        <f>273.15+40</f>
        <v>313.14999999999998</v>
      </c>
      <c r="BN7" s="1096" t="s">
        <v>1946</v>
      </c>
      <c r="BQ7" s="909" t="s">
        <v>1939</v>
      </c>
      <c r="BR7" s="906">
        <v>2015</v>
      </c>
      <c r="BS7" s="906">
        <v>3.5</v>
      </c>
      <c r="BV7" s="906">
        <f t="shared" ref="BV7:BV12" si="6">40+273.15</f>
        <v>313.14999999999998</v>
      </c>
      <c r="BW7" s="906">
        <f>80+273.15</f>
        <v>353.15</v>
      </c>
      <c r="BX7" s="906">
        <f t="shared" ref="BX7:BX14" si="7">7.5+273.15</f>
        <v>280.64999999999998</v>
      </c>
      <c r="BY7" s="906">
        <f t="shared" ref="BY7:BY14" si="8">2.5+273.15</f>
        <v>275.64999999999998</v>
      </c>
      <c r="BZ7" s="909" t="s">
        <v>1938</v>
      </c>
      <c r="CA7" s="1087" t="s">
        <v>1937</v>
      </c>
      <c r="CB7" s="908">
        <f t="shared" ref="CB7:CB22" si="9">BS7/((($BV7-$BW7)/LN($BV7/$BW7))/(($BV7-$BW7)/LN($BV7/$BW7)-($BX7-$BY7)/LN($BX7/$BY7)))</f>
        <v>0.57437849443193578</v>
      </c>
      <c r="CC7" s="908"/>
      <c r="CD7" s="908"/>
    </row>
    <row r="8" spans="1:82" ht="22" thickBot="1">
      <c r="A8" s="906">
        <v>7</v>
      </c>
      <c r="B8" s="906" t="s">
        <v>1957</v>
      </c>
      <c r="C8" s="906">
        <v>29189</v>
      </c>
      <c r="D8" s="906" t="s">
        <v>1256</v>
      </c>
      <c r="E8" s="906" t="s">
        <v>1258</v>
      </c>
      <c r="F8" s="1015">
        <f t="shared" ref="F8:L8" si="10">O152</f>
        <v>3.2552457602759412E-2</v>
      </c>
      <c r="G8" s="1014">
        <f t="shared" si="10"/>
        <v>71.3</v>
      </c>
      <c r="H8" s="1014">
        <f t="shared" si="10"/>
        <v>34.6</v>
      </c>
      <c r="I8" s="1014">
        <f t="shared" si="10"/>
        <v>69.5</v>
      </c>
      <c r="J8" s="1013">
        <f t="shared" si="10"/>
        <v>32.6</v>
      </c>
      <c r="K8" s="1012">
        <f t="shared" si="10"/>
        <v>35.553078526925404</v>
      </c>
      <c r="L8" s="1011">
        <f t="shared" si="10"/>
        <v>0.17525811483324669</v>
      </c>
      <c r="N8" s="1032" t="s">
        <v>1956</v>
      </c>
      <c r="O8" s="1031">
        <v>9.2234454031538231E-3</v>
      </c>
      <c r="P8" s="1030">
        <v>72</v>
      </c>
      <c r="Q8" s="1029">
        <v>36.799999999999997</v>
      </c>
      <c r="R8" s="1029">
        <v>72</v>
      </c>
      <c r="S8" s="1028">
        <v>33.299999999999997</v>
      </c>
      <c r="T8" s="1027">
        <v>36.219113113587859</v>
      </c>
      <c r="U8" s="1026">
        <v>0.25401651651651652</v>
      </c>
      <c r="V8" s="906">
        <v>19.873000000000001</v>
      </c>
      <c r="X8" s="906">
        <v>7</v>
      </c>
      <c r="AA8" s="1055" t="s">
        <v>1256</v>
      </c>
      <c r="AB8" s="1081" t="s">
        <v>1258</v>
      </c>
      <c r="AC8" s="1066">
        <f t="shared" si="1"/>
        <v>72.672803468208087</v>
      </c>
      <c r="AD8" s="1066">
        <f t="shared" si="1"/>
        <v>38.255032467532459</v>
      </c>
      <c r="AE8" s="1086">
        <f>AVERAGEIFS(G$2:G$439,$E$2:$E$439,"=DKW",$D$2:$D$439,"=Decentral",G$2:G$439,"&gt;0",G$2:G$439,"&lt;140")</f>
        <v>70.699017341040459</v>
      </c>
      <c r="AF8" s="1086">
        <f>AVERAGEIFS(H$2:H$439,$E$2:$E$439,"=DKW",$D$2:$D$439,"=Decentral",H$2:H$439,"&gt;0",H$2:H$439,"&lt;60")</f>
        <v>39.665064935064933</v>
      </c>
      <c r="AG8" s="1063">
        <f t="shared" si="2"/>
        <v>72.672803468208087</v>
      </c>
      <c r="AH8" s="1063">
        <f t="shared" si="2"/>
        <v>38.255032467532459</v>
      </c>
      <c r="AI8" s="1062">
        <f>AVERAGEIFS(I$2:I$439,$E$2:$E$439,"=DKW",$D$2:$D$439,"=Decentral",I$2:I$439,"&gt;0",I$2:I$439,"&lt;140")</f>
        <v>74.64658959537573</v>
      </c>
      <c r="AJ8" s="1061">
        <f>AVERAGEIFS(J$2:J$439,$E$2:$E$439,"=DKW",$D$2:$D$439,"=Decentral",J$2:J$439,"&gt;0",J$2:J$439,"&lt;60")</f>
        <v>36.844999999999992</v>
      </c>
      <c r="AL8" s="1051" t="s">
        <v>1955</v>
      </c>
      <c r="AM8" s="906">
        <v>0.55000000000000004</v>
      </c>
      <c r="AR8" s="1050"/>
      <c r="AU8" s="1055" t="s">
        <v>1256</v>
      </c>
      <c r="AV8" s="1081" t="s">
        <v>1258</v>
      </c>
      <c r="AW8" s="1066">
        <f t="shared" si="3"/>
        <v>72.672803468208087</v>
      </c>
      <c r="AX8" s="1066">
        <f t="shared" si="3"/>
        <v>38.255032467532459</v>
      </c>
      <c r="AY8" s="1086">
        <f t="shared" si="3"/>
        <v>70.699017341040459</v>
      </c>
      <c r="AZ8" s="1086">
        <f t="shared" si="3"/>
        <v>39.665064935064933</v>
      </c>
      <c r="BA8" s="1063">
        <f t="shared" si="3"/>
        <v>72.672803468208087</v>
      </c>
      <c r="BB8" s="1063">
        <f t="shared" si="3"/>
        <v>38.255032467532459</v>
      </c>
      <c r="BC8" s="1062">
        <f t="shared" si="3"/>
        <v>74.64658959537573</v>
      </c>
      <c r="BD8" s="1061">
        <f t="shared" si="3"/>
        <v>36.844999999999992</v>
      </c>
      <c r="BF8" s="1095" t="s">
        <v>1954</v>
      </c>
      <c r="BI8" s="908">
        <f>CB19</f>
        <v>0.57137667700311223</v>
      </c>
      <c r="BN8" s="1050"/>
      <c r="BQ8" s="909" t="s">
        <v>1939</v>
      </c>
      <c r="BR8" s="906">
        <v>2020</v>
      </c>
      <c r="BS8" s="906">
        <v>3.6</v>
      </c>
      <c r="BT8" s="906">
        <v>3.5</v>
      </c>
      <c r="BU8" s="906">
        <v>3.8</v>
      </c>
      <c r="BV8" s="906">
        <f t="shared" si="6"/>
        <v>313.14999999999998</v>
      </c>
      <c r="BW8" s="906">
        <f>80+273.15</f>
        <v>353.15</v>
      </c>
      <c r="BX8" s="906">
        <f t="shared" si="7"/>
        <v>280.64999999999998</v>
      </c>
      <c r="BY8" s="906">
        <f t="shared" si="8"/>
        <v>275.64999999999998</v>
      </c>
      <c r="BZ8" s="909" t="s">
        <v>1938</v>
      </c>
      <c r="CA8" s="1087" t="s">
        <v>1937</v>
      </c>
      <c r="CB8" s="908">
        <f t="shared" si="9"/>
        <v>0.5907893085585626</v>
      </c>
      <c r="CC8" s="908">
        <f>BT8/((($BV8-$BW8)/LN($BV8/$BW8))/(($BV8-$BW8)/LN($BV8/$BW8)-($BX8-$BY8)/LN($BX8/$BY8)))</f>
        <v>0.57437849443193578</v>
      </c>
      <c r="CD8" s="908">
        <f>BU8/((($BV8-$BW8)/LN($BV8/$BW8))/(($BV8-$BW8)/LN($BV8/$BW8)-($BX8-$BY8)/LN($BX8/$BY8)))</f>
        <v>0.62361093681181601</v>
      </c>
    </row>
    <row r="9" spans="1:82" ht="21">
      <c r="A9" s="906">
        <v>8</v>
      </c>
      <c r="B9" s="906" t="s">
        <v>1953</v>
      </c>
      <c r="C9" s="906">
        <v>29189</v>
      </c>
      <c r="D9" s="906" t="s">
        <v>1256</v>
      </c>
      <c r="E9" s="906" t="s">
        <v>1258</v>
      </c>
      <c r="F9" s="1015"/>
      <c r="G9" s="1014"/>
      <c r="H9" s="1014"/>
      <c r="I9" s="1014"/>
      <c r="J9" s="1013"/>
      <c r="K9" s="1012"/>
      <c r="L9" s="1011"/>
      <c r="N9" s="1032" t="s">
        <v>1952</v>
      </c>
      <c r="O9" s="1031">
        <v>1.8127714881827821E-3</v>
      </c>
      <c r="P9" s="1030">
        <v>72</v>
      </c>
      <c r="Q9" s="1029">
        <v>35</v>
      </c>
      <c r="R9" s="1029">
        <v>72</v>
      </c>
      <c r="S9" s="1028">
        <v>32</v>
      </c>
      <c r="T9" s="1027" t="s">
        <v>842</v>
      </c>
      <c r="U9" s="1026">
        <v>0.28255208333333331</v>
      </c>
      <c r="V9" s="906">
        <v>20.937999999999999</v>
      </c>
      <c r="X9" s="906">
        <v>8</v>
      </c>
      <c r="AL9" s="1093" t="s">
        <v>1951</v>
      </c>
      <c r="AM9" s="1092">
        <v>1</v>
      </c>
      <c r="AN9" s="1092"/>
      <c r="AO9" s="1092"/>
      <c r="AP9" s="1092"/>
      <c r="AQ9" s="1092"/>
      <c r="AR9" s="1091"/>
      <c r="AU9" s="1094"/>
      <c r="AV9" s="1082"/>
      <c r="AW9" s="1071"/>
      <c r="AX9" s="1071"/>
      <c r="AY9" s="1088"/>
      <c r="AZ9" s="1088"/>
      <c r="BA9" s="1069"/>
      <c r="BB9" s="1069"/>
      <c r="BC9" s="1068"/>
      <c r="BD9" s="1068"/>
      <c r="BF9" s="1093" t="s">
        <v>1951</v>
      </c>
      <c r="BG9" s="1092"/>
      <c r="BH9" s="1092"/>
      <c r="BI9" s="1092">
        <v>1</v>
      </c>
      <c r="BJ9" s="1092"/>
      <c r="BK9" s="1092"/>
      <c r="BL9" s="1092"/>
      <c r="BM9" s="1092"/>
      <c r="BN9" s="1091"/>
      <c r="BQ9" s="909" t="s">
        <v>1939</v>
      </c>
      <c r="BR9" s="906">
        <v>2030</v>
      </c>
      <c r="BS9" s="906">
        <v>3.8</v>
      </c>
      <c r="BV9" s="906">
        <f t="shared" si="6"/>
        <v>313.14999999999998</v>
      </c>
      <c r="BW9" s="906">
        <f>80+273.15</f>
        <v>353.15</v>
      </c>
      <c r="BX9" s="906">
        <f t="shared" si="7"/>
        <v>280.64999999999998</v>
      </c>
      <c r="BY9" s="906">
        <f t="shared" si="8"/>
        <v>275.64999999999998</v>
      </c>
      <c r="BZ9" s="909" t="s">
        <v>1938</v>
      </c>
      <c r="CA9" s="1087" t="s">
        <v>1937</v>
      </c>
      <c r="CB9" s="908">
        <f t="shared" si="9"/>
        <v>0.62361093681181601</v>
      </c>
      <c r="CC9" s="908"/>
      <c r="CD9" s="908"/>
    </row>
    <row r="10" spans="1:82" ht="16" thickBot="1">
      <c r="A10" s="906">
        <v>9</v>
      </c>
      <c r="B10" s="906" t="s">
        <v>1950</v>
      </c>
      <c r="C10" s="906">
        <v>29189</v>
      </c>
      <c r="D10" s="906" t="s">
        <v>1256</v>
      </c>
      <c r="E10" s="906" t="s">
        <v>1258</v>
      </c>
      <c r="F10" s="1015">
        <f t="shared" ref="F10:L10" si="11">O5</f>
        <v>2.6848387184879734E-2</v>
      </c>
      <c r="G10" s="1014">
        <f t="shared" si="11"/>
        <v>76</v>
      </c>
      <c r="H10" s="1014">
        <f t="shared" si="11"/>
        <v>38</v>
      </c>
      <c r="I10" s="1014">
        <f t="shared" si="11"/>
        <v>76</v>
      </c>
      <c r="J10" s="1013">
        <f t="shared" si="11"/>
        <v>34</v>
      </c>
      <c r="K10" s="1012">
        <f t="shared" si="11"/>
        <v>41.416233020206796</v>
      </c>
      <c r="L10" s="1011">
        <f t="shared" si="11"/>
        <v>0.24038731406118438</v>
      </c>
      <c r="N10" s="1032" t="s">
        <v>1949</v>
      </c>
      <c r="O10" s="1031"/>
      <c r="P10" s="1030">
        <v>71</v>
      </c>
      <c r="Q10" s="1029">
        <v>39</v>
      </c>
      <c r="R10" s="1029">
        <v>74</v>
      </c>
      <c r="S10" s="1028">
        <v>36</v>
      </c>
      <c r="T10" s="1027">
        <v>36.171486224056316</v>
      </c>
      <c r="U10" s="1026">
        <v>0.28352421318423665</v>
      </c>
      <c r="V10" s="906">
        <v>7.9450000000000003</v>
      </c>
      <c r="X10" s="906">
        <v>9</v>
      </c>
      <c r="AA10" s="906" t="s">
        <v>1836</v>
      </c>
      <c r="AC10" s="906" t="s">
        <v>1848</v>
      </c>
      <c r="AD10" s="906" t="s">
        <v>1847</v>
      </c>
      <c r="AE10" s="906" t="s">
        <v>1846</v>
      </c>
      <c r="AF10" s="906" t="s">
        <v>1845</v>
      </c>
      <c r="AW10" s="1356" t="s">
        <v>1882</v>
      </c>
      <c r="AX10" s="1356"/>
      <c r="AY10" s="1357" t="s">
        <v>1881</v>
      </c>
      <c r="AZ10" s="1357"/>
      <c r="BA10" s="1358" t="s">
        <v>1880</v>
      </c>
      <c r="BB10" s="1358"/>
      <c r="BC10" s="1359" t="s">
        <v>1879</v>
      </c>
      <c r="BD10" s="1359"/>
      <c r="BQ10" s="909" t="s">
        <v>1939</v>
      </c>
      <c r="BR10" s="906">
        <v>2050</v>
      </c>
      <c r="BS10" s="906">
        <v>4.0999999999999996</v>
      </c>
      <c r="BT10" s="906">
        <v>3.5</v>
      </c>
      <c r="BU10" s="906">
        <v>4.5</v>
      </c>
      <c r="BV10" s="906">
        <f t="shared" si="6"/>
        <v>313.14999999999998</v>
      </c>
      <c r="BW10" s="906">
        <f>80+273.15</f>
        <v>353.15</v>
      </c>
      <c r="BX10" s="906">
        <f t="shared" si="7"/>
        <v>280.64999999999998</v>
      </c>
      <c r="BY10" s="906">
        <f t="shared" si="8"/>
        <v>275.64999999999998</v>
      </c>
      <c r="BZ10" s="909" t="s">
        <v>1938</v>
      </c>
      <c r="CA10" s="1087" t="s">
        <v>1937</v>
      </c>
      <c r="CB10" s="908">
        <f t="shared" si="9"/>
        <v>0.67284337919169623</v>
      </c>
      <c r="CC10" s="908">
        <f>BT10/((($BV10-$BW10)/LN($BV10/$BW10))/(($BV10-$BW10)/LN($BV10/$BW10)-($BX10-$BY10)/LN($BX10/$BY10)))</f>
        <v>0.57437849443193578</v>
      </c>
      <c r="CD10" s="908">
        <f>BU10/((($BV10-$BW10)/LN($BV10/$BW10))/(($BV10-$BW10)/LN($BV10/$BW10)-($BX10-$BY10)/LN($BX10/$BY10)))</f>
        <v>0.73848663569820316</v>
      </c>
    </row>
    <row r="11" spans="1:82" ht="19">
      <c r="A11" s="906">
        <v>10</v>
      </c>
      <c r="B11" s="906" t="s">
        <v>1948</v>
      </c>
      <c r="C11" s="906">
        <v>29189</v>
      </c>
      <c r="D11" s="906" t="s">
        <v>1256</v>
      </c>
      <c r="E11" s="906" t="s">
        <v>1258</v>
      </c>
      <c r="F11" s="1015"/>
      <c r="G11" s="1014"/>
      <c r="H11" s="1014"/>
      <c r="I11" s="1014"/>
      <c r="J11" s="1013"/>
      <c r="K11" s="1012"/>
      <c r="L11" s="1011"/>
      <c r="N11" s="1032" t="s">
        <v>1947</v>
      </c>
      <c r="O11" s="1031"/>
      <c r="P11" s="1030">
        <v>67</v>
      </c>
      <c r="Q11" s="1029">
        <v>39</v>
      </c>
      <c r="R11" s="1029">
        <v>68</v>
      </c>
      <c r="S11" s="1028">
        <v>39</v>
      </c>
      <c r="T11" s="1027" t="s">
        <v>842</v>
      </c>
      <c r="U11" s="1026">
        <v>0.13224844990753837</v>
      </c>
      <c r="V11" s="906">
        <v>7.9772400000000001</v>
      </c>
      <c r="X11" s="906">
        <v>10</v>
      </c>
      <c r="AA11" s="1362" t="s">
        <v>1257</v>
      </c>
      <c r="AB11" s="1083" t="s">
        <v>1259</v>
      </c>
      <c r="AC11" s="1059">
        <f>(AC5+273.15+$AO$5)/((AC5+273.15+$AO$5)-($AM$5+273.15-$AO$5))*$AM$8*$AM$9</f>
        <v>4.414715719063544</v>
      </c>
      <c r="AD11" s="1059">
        <f>(AE5+273.15+$AO$5)/((AE5+273.15+$AO$5)-($AM$5+273.15-$AO$5))*$AM$8*$AM$9</f>
        <v>4.7946737251512497</v>
      </c>
      <c r="AE11" s="1059">
        <f>(AG5+273.15+$AO$5)/((AG5+273.15+$AO$5)-($AM$5+273.15-$AO$5))*$AM$8*$AM$9</f>
        <v>4.414715719063544</v>
      </c>
      <c r="AF11" s="1058">
        <f>(AI5+273.15+$AO$5)/((AI5+273.15+$AO$5)-($AM$5+273.15-$AO$5))*$AM$8</f>
        <v>4.097192127121704</v>
      </c>
      <c r="AH11" s="1084"/>
      <c r="AI11" s="1085"/>
      <c r="AJ11" s="1085"/>
      <c r="AK11" s="1085"/>
      <c r="AL11" s="1085"/>
      <c r="AU11" s="1090" t="s">
        <v>1946</v>
      </c>
      <c r="AV11" s="1089"/>
      <c r="AW11" s="1076" t="s">
        <v>1876</v>
      </c>
      <c r="AX11" s="1076" t="s">
        <v>1875</v>
      </c>
      <c r="AY11" s="1075" t="s">
        <v>1874</v>
      </c>
      <c r="AZ11" s="1075" t="s">
        <v>1873</v>
      </c>
      <c r="BA11" s="1074" t="s">
        <v>1872</v>
      </c>
      <c r="BB11" s="1074" t="s">
        <v>1871</v>
      </c>
      <c r="BC11" s="1073" t="s">
        <v>1870</v>
      </c>
      <c r="BD11" s="1072" t="s">
        <v>1869</v>
      </c>
      <c r="BE11" s="1085"/>
      <c r="BF11" s="1085"/>
      <c r="BG11" s="1085"/>
      <c r="BH11" s="1085"/>
      <c r="BQ11" s="909" t="s">
        <v>1939</v>
      </c>
      <c r="BR11" s="906">
        <v>2015</v>
      </c>
      <c r="BS11" s="906">
        <v>3.5</v>
      </c>
      <c r="BV11" s="906">
        <f t="shared" si="6"/>
        <v>313.14999999999998</v>
      </c>
      <c r="BW11" s="906">
        <f>80+273.15</f>
        <v>353.15</v>
      </c>
      <c r="BX11" s="906">
        <f t="shared" si="7"/>
        <v>280.64999999999998</v>
      </c>
      <c r="BY11" s="906">
        <f t="shared" si="8"/>
        <v>275.64999999999998</v>
      </c>
      <c r="BZ11" s="909" t="s">
        <v>1938</v>
      </c>
      <c r="CA11" s="1087" t="s">
        <v>1937</v>
      </c>
      <c r="CB11" s="908">
        <f t="shared" si="9"/>
        <v>0.57437849443193578</v>
      </c>
      <c r="CC11" s="908"/>
      <c r="CD11" s="908"/>
    </row>
    <row r="12" spans="1:82" ht="21">
      <c r="A12" s="906">
        <v>11</v>
      </c>
      <c r="B12" s="906" t="s">
        <v>1945</v>
      </c>
      <c r="C12" s="906">
        <v>29189</v>
      </c>
      <c r="D12" s="906" t="s">
        <v>1256</v>
      </c>
      <c r="E12" s="906" t="s">
        <v>1258</v>
      </c>
      <c r="F12" s="1015">
        <f t="shared" ref="F12:L12" si="12">O6</f>
        <v>7.0248372927870801E-3</v>
      </c>
      <c r="G12" s="1014">
        <f t="shared" si="12"/>
        <v>75</v>
      </c>
      <c r="H12" s="1014">
        <f t="shared" si="12"/>
        <v>43</v>
      </c>
      <c r="I12" s="1014">
        <f t="shared" si="12"/>
        <v>75</v>
      </c>
      <c r="J12" s="1013">
        <f t="shared" si="12"/>
        <v>38</v>
      </c>
      <c r="K12" s="1012">
        <f t="shared" si="12"/>
        <v>36.218348662556075</v>
      </c>
      <c r="L12" s="1011">
        <f t="shared" si="12"/>
        <v>0.24022658750966139</v>
      </c>
      <c r="N12" s="1032" t="s">
        <v>1944</v>
      </c>
      <c r="O12" s="1031"/>
      <c r="P12" s="1030">
        <v>72</v>
      </c>
      <c r="Q12" s="1029">
        <v>42</v>
      </c>
      <c r="R12" s="1029">
        <v>85</v>
      </c>
      <c r="S12" s="1028">
        <v>45</v>
      </c>
      <c r="T12" s="1027">
        <v>32.071334210213017</v>
      </c>
      <c r="U12" s="1026">
        <v>0.16574868264164008</v>
      </c>
      <c r="V12" s="906">
        <v>65.069099999999992</v>
      </c>
      <c r="X12" s="906">
        <v>11</v>
      </c>
      <c r="AA12" s="1360"/>
      <c r="AB12" s="1082" t="s">
        <v>1258</v>
      </c>
      <c r="AC12" s="908">
        <f>(AC6+273.15+$AO$5)/((AC6+273.15+$AO$5)-($AM$5+273.15-$AO$5))*$AM$8*$AM$9</f>
        <v>5.2237726638772637</v>
      </c>
      <c r="AD12" s="908">
        <f>(AE6+273.15+$AO$5)/((AE6+273.15+$AO$5)-($AM$5+273.15-$AO$5))*$AM$8*$AM$9</f>
        <v>5.7139519832341934</v>
      </c>
      <c r="AE12" s="908">
        <f>(AG6+273.15+$AO$5)/((AG6+273.15+$AO$5)-($AM$5+273.15-$AO$5))*$AM$8*$AM$9</f>
        <v>5.2237726638772637</v>
      </c>
      <c r="AF12" s="1056">
        <f>(AI6+273.15+$AO$5)/((AI6+273.15+$AO$5)-($AM$5+273.15-$AO$5))*$AM$8</f>
        <v>4.8185845667847031</v>
      </c>
      <c r="AH12" s="1084"/>
      <c r="AI12" s="1085"/>
      <c r="AJ12" s="1085"/>
      <c r="AK12" s="1085"/>
      <c r="AL12" s="1085"/>
      <c r="AU12" s="1057" t="s">
        <v>1257</v>
      </c>
      <c r="AV12" s="1082" t="s">
        <v>1259</v>
      </c>
      <c r="AW12" s="1071">
        <f t="shared" ref="AW12:BD15" si="13">AC5+273.15</f>
        <v>355</v>
      </c>
      <c r="AX12" s="1071">
        <f t="shared" si="13"/>
        <v>322.05312499999997</v>
      </c>
      <c r="AY12" s="1088">
        <f t="shared" si="13"/>
        <v>350.98529411764707</v>
      </c>
      <c r="AZ12" s="1088">
        <f t="shared" si="13"/>
        <v>322.33749999999998</v>
      </c>
      <c r="BA12" s="1069">
        <f t="shared" si="13"/>
        <v>355</v>
      </c>
      <c r="BB12" s="1069">
        <f t="shared" si="13"/>
        <v>322.05312499999997</v>
      </c>
      <c r="BC12" s="1068">
        <f t="shared" si="13"/>
        <v>359.01470588235293</v>
      </c>
      <c r="BD12" s="1067">
        <f t="shared" si="13"/>
        <v>321.76874999999995</v>
      </c>
      <c r="BE12" s="1085"/>
      <c r="BF12" s="1085"/>
      <c r="BG12" s="1085"/>
      <c r="BH12" s="1085"/>
      <c r="BQ12" s="909" t="s">
        <v>1939</v>
      </c>
      <c r="BR12" s="906">
        <v>2020</v>
      </c>
      <c r="BS12" s="906">
        <v>4</v>
      </c>
      <c r="BT12" s="906">
        <v>3.5</v>
      </c>
      <c r="BU12" s="906">
        <v>4.5</v>
      </c>
      <c r="BV12" s="906">
        <f t="shared" si="6"/>
        <v>313.14999999999998</v>
      </c>
      <c r="BW12" s="906">
        <f>75+273.15</f>
        <v>348.15</v>
      </c>
      <c r="BX12" s="906">
        <f t="shared" si="7"/>
        <v>280.64999999999998</v>
      </c>
      <c r="BY12" s="906">
        <f t="shared" si="8"/>
        <v>275.64999999999998</v>
      </c>
      <c r="BZ12" s="909" t="s">
        <v>1938</v>
      </c>
      <c r="CA12" s="1087" t="s">
        <v>1937</v>
      </c>
      <c r="CB12" s="908">
        <f t="shared" si="9"/>
        <v>0.63205619065481244</v>
      </c>
      <c r="CC12" s="908">
        <f>BT12/((($BV12-$BW12)/LN($BV12/$BW12))/(($BV12-$BW12)/LN($BV12/$BW12)-($BX12-$BY12)/LN($BX12/$BY12)))</f>
        <v>0.5530491668229609</v>
      </c>
      <c r="CD12" s="908">
        <f>BU12/((($BV12-$BW12)/LN($BV12/$BW12))/(($BV12-$BW12)/LN($BV12/$BW12)-($BX12-$BY12)/LN($BX12/$BY12)))</f>
        <v>0.71106321448666399</v>
      </c>
    </row>
    <row r="13" spans="1:82" ht="21">
      <c r="A13" s="906">
        <v>12</v>
      </c>
      <c r="B13" s="906" t="s">
        <v>1943</v>
      </c>
      <c r="C13" s="906">
        <v>29189</v>
      </c>
      <c r="D13" s="906" t="s">
        <v>1256</v>
      </c>
      <c r="E13" s="906" t="s">
        <v>1258</v>
      </c>
      <c r="F13" s="1015"/>
      <c r="G13" s="1014"/>
      <c r="H13" s="1014"/>
      <c r="I13" s="1014"/>
      <c r="J13" s="1013"/>
      <c r="K13" s="1012"/>
      <c r="L13" s="1011"/>
      <c r="N13" s="1032" t="s">
        <v>1942</v>
      </c>
      <c r="O13" s="1031">
        <v>7.1007682553889756E-2</v>
      </c>
      <c r="P13" s="1030">
        <v>68</v>
      </c>
      <c r="Q13" s="1029">
        <v>38</v>
      </c>
      <c r="R13" s="1029">
        <v>72</v>
      </c>
      <c r="S13" s="1028">
        <v>33</v>
      </c>
      <c r="T13" s="1027">
        <v>35.785327457812848</v>
      </c>
      <c r="U13" s="1026">
        <v>0.28133279807306305</v>
      </c>
      <c r="V13" s="906">
        <v>8.9510000000000005</v>
      </c>
      <c r="X13" s="906">
        <v>12</v>
      </c>
      <c r="AA13" s="1360" t="s">
        <v>1256</v>
      </c>
      <c r="AB13" s="1082" t="s">
        <v>1259</v>
      </c>
      <c r="AC13" s="908">
        <f>(AC7+273.15+$AO$5)/((AC7+273.15+$AO$5)-($AM$5+273.15-$AO$5))*$AM$8*$AM$9</f>
        <v>4.7660168873136666</v>
      </c>
      <c r="AD13" s="908">
        <f>(AE7+273.15+$AO$5)/((AE7+273.15+$AO$5)-($AM$5+273.15-$AO$5))*$AM$8*$AM$9</f>
        <v>5.1697361407249485</v>
      </c>
      <c r="AE13" s="908">
        <f>(AG7+273.15+$AO$5)/((AG7+273.15+$AO$5)-($AM$5+273.15-$AO$5))*$AM$8*$AM$9</f>
        <v>4.7660168873136666</v>
      </c>
      <c r="AF13" s="1056">
        <f>(AI7+273.15+$AO$5)/((AI7+273.15+$AO$5)-($AM$5+273.15-$AO$5))*$AM$8</f>
        <v>4.4271889180034503</v>
      </c>
      <c r="AH13" s="1084"/>
      <c r="AI13" s="1084"/>
      <c r="AJ13" s="1084"/>
      <c r="AK13" s="1084"/>
      <c r="AL13" s="1084"/>
      <c r="AU13" s="1057" t="s">
        <v>1257</v>
      </c>
      <c r="AV13" s="1082" t="s">
        <v>1258</v>
      </c>
      <c r="AW13" s="1071">
        <f t="shared" si="13"/>
        <v>347.23620689655172</v>
      </c>
      <c r="AX13" s="1071">
        <f t="shared" si="13"/>
        <v>314.17380769230766</v>
      </c>
      <c r="AY13" s="1088">
        <f t="shared" si="13"/>
        <v>343.71586206896552</v>
      </c>
      <c r="AZ13" s="1088">
        <f t="shared" si="13"/>
        <v>315.74961538461537</v>
      </c>
      <c r="BA13" s="1069">
        <f t="shared" si="13"/>
        <v>347.23620689655172</v>
      </c>
      <c r="BB13" s="1069">
        <f t="shared" si="13"/>
        <v>314.17380769230766</v>
      </c>
      <c r="BC13" s="1068">
        <f t="shared" si="13"/>
        <v>350.75655172413792</v>
      </c>
      <c r="BD13" s="1067">
        <f t="shared" si="13"/>
        <v>312.59799999999996</v>
      </c>
      <c r="BE13" s="1084"/>
      <c r="BF13" s="1084"/>
      <c r="BG13" s="1084"/>
      <c r="BH13" s="1084"/>
      <c r="BQ13" s="909" t="s">
        <v>1939</v>
      </c>
      <c r="BR13" s="906">
        <v>2030</v>
      </c>
      <c r="BS13" s="906">
        <v>4.8</v>
      </c>
      <c r="BV13" s="906">
        <f>35+273.15</f>
        <v>308.14999999999998</v>
      </c>
      <c r="BW13" s="906">
        <f>70+273.15</f>
        <v>343.15</v>
      </c>
      <c r="BX13" s="906">
        <f t="shared" si="7"/>
        <v>280.64999999999998</v>
      </c>
      <c r="BY13" s="906">
        <f t="shared" si="8"/>
        <v>275.64999999999998</v>
      </c>
      <c r="BZ13" s="909" t="s">
        <v>1938</v>
      </c>
      <c r="CA13" s="1087" t="s">
        <v>1937</v>
      </c>
      <c r="CB13" s="908">
        <f t="shared" si="9"/>
        <v>0.69629525282299742</v>
      </c>
      <c r="CC13" s="908"/>
      <c r="CD13" s="908"/>
    </row>
    <row r="14" spans="1:82" ht="22" thickBot="1">
      <c r="A14" s="906">
        <v>13</v>
      </c>
      <c r="B14" s="906" t="s">
        <v>1941</v>
      </c>
      <c r="C14" s="906">
        <v>29189</v>
      </c>
      <c r="D14" s="906" t="s">
        <v>1256</v>
      </c>
      <c r="E14" s="906" t="s">
        <v>1258</v>
      </c>
      <c r="F14" s="1015">
        <f t="shared" ref="F14:L16" si="14">O7</f>
        <v>0</v>
      </c>
      <c r="G14" s="1014">
        <f t="shared" si="14"/>
        <v>67</v>
      </c>
      <c r="H14" s="1014">
        <f t="shared" si="14"/>
        <v>38</v>
      </c>
      <c r="I14" s="1014">
        <f t="shared" si="14"/>
        <v>67</v>
      </c>
      <c r="J14" s="1013">
        <f t="shared" si="14"/>
        <v>34</v>
      </c>
      <c r="K14" s="1012">
        <f t="shared" si="14"/>
        <v>32.944934232948974</v>
      </c>
      <c r="L14" s="1011">
        <f t="shared" si="14"/>
        <v>0.25541295960947957</v>
      </c>
      <c r="N14" s="1032" t="s">
        <v>1940</v>
      </c>
      <c r="O14" s="1031"/>
      <c r="P14" s="1030">
        <v>69</v>
      </c>
      <c r="Q14" s="1029">
        <v>41</v>
      </c>
      <c r="R14" s="1029">
        <v>72</v>
      </c>
      <c r="S14" s="1028">
        <v>36</v>
      </c>
      <c r="T14" s="1027">
        <v>34.4</v>
      </c>
      <c r="U14" s="1026">
        <v>0.18216666666666667</v>
      </c>
      <c r="V14" s="906">
        <v>63.790999999999997</v>
      </c>
      <c r="X14" s="906">
        <v>13</v>
      </c>
      <c r="AA14" s="1361"/>
      <c r="AB14" s="1081" t="s">
        <v>1258</v>
      </c>
      <c r="AC14" s="1054">
        <f>(AC8+273.15+$AO$5)/((AC8+273.15+$AO$5)-($AM$5+273.15-$AO$5))*$AM$8*$AM$9</f>
        <v>5.4089536887527059</v>
      </c>
      <c r="AD14" s="1054">
        <f>(AE8+273.15+$AO$5)/((AE8+273.15+$AO$5)-($AM$5+273.15-$AO$5))*$AM$8*$AM$9</f>
        <v>5.6935476069180924</v>
      </c>
      <c r="AE14" s="1054">
        <f>(AG8+273.15+$AO$5)/((AG8+273.15+$AO$5)-($AM$5+273.15-$AO$5))*$AM$8*$AM$9</f>
        <v>5.4089536887527059</v>
      </c>
      <c r="AF14" s="1053">
        <f>(AI8+273.15+$AO$5)/((AI8+273.15+$AO$5)-($AM$5+273.15-$AO$5))*$AM$8</f>
        <v>5.1542019174371889</v>
      </c>
      <c r="AH14" s="1084"/>
      <c r="AI14" s="1084"/>
      <c r="AJ14" s="1084"/>
      <c r="AU14" s="1057" t="s">
        <v>1256</v>
      </c>
      <c r="AV14" s="1082" t="s">
        <v>1259</v>
      </c>
      <c r="AW14" s="1071">
        <f t="shared" si="13"/>
        <v>351.26285714285711</v>
      </c>
      <c r="AX14" s="1071">
        <f t="shared" si="13"/>
        <v>317.28793103448277</v>
      </c>
      <c r="AY14" s="1088">
        <f t="shared" si="13"/>
        <v>347.66999999999996</v>
      </c>
      <c r="AZ14" s="1088">
        <f t="shared" si="13"/>
        <v>318.96724137931034</v>
      </c>
      <c r="BA14" s="1069">
        <f t="shared" si="13"/>
        <v>351.26285714285711</v>
      </c>
      <c r="BB14" s="1069">
        <f t="shared" si="13"/>
        <v>317.28793103448277</v>
      </c>
      <c r="BC14" s="1068">
        <f t="shared" si="13"/>
        <v>354.85571428571427</v>
      </c>
      <c r="BD14" s="1067">
        <f t="shared" si="13"/>
        <v>315.60862068965514</v>
      </c>
      <c r="BI14" s="908"/>
      <c r="BQ14" s="909" t="s">
        <v>1939</v>
      </c>
      <c r="BR14" s="906">
        <v>2050</v>
      </c>
      <c r="BS14" s="906">
        <v>6</v>
      </c>
      <c r="BT14" s="906">
        <v>3.5</v>
      </c>
      <c r="BU14" s="906">
        <v>7</v>
      </c>
      <c r="BV14" s="906">
        <f>30+273.15</f>
        <v>303.14999999999998</v>
      </c>
      <c r="BW14" s="906">
        <f>60+273.15</f>
        <v>333.15</v>
      </c>
      <c r="BX14" s="906">
        <f t="shared" si="7"/>
        <v>280.64999999999998</v>
      </c>
      <c r="BY14" s="906">
        <f t="shared" si="8"/>
        <v>275.64999999999998</v>
      </c>
      <c r="BZ14" s="909" t="s">
        <v>1938</v>
      </c>
      <c r="CA14" s="1087" t="s">
        <v>1937</v>
      </c>
      <c r="CB14" s="908">
        <f t="shared" si="9"/>
        <v>0.75061048720144463</v>
      </c>
      <c r="CC14" s="908">
        <f>BT14/((($BV14-$BW14)/LN($BV14/$BW14))/(($BV14-$BW14)/LN($BV14/$BW14)-($BX14-$BY14)/LN($BX14/$BY14)))</f>
        <v>0.43785611753417603</v>
      </c>
      <c r="CD14" s="908">
        <f>BU14/((($BV14-$BW14)/LN($BV14/$BW14))/(($BV14-$BW14)/LN($BV14/$BW14)-($BX14-$BY14)/LN($BX14/$BY14)))</f>
        <v>0.87571223506835205</v>
      </c>
    </row>
    <row r="15" spans="1:82" ht="22" thickBot="1">
      <c r="A15" s="906">
        <v>14</v>
      </c>
      <c r="B15" s="906" t="s">
        <v>1936</v>
      </c>
      <c r="C15" s="906">
        <v>29189</v>
      </c>
      <c r="D15" s="906" t="s">
        <v>1256</v>
      </c>
      <c r="E15" s="906" t="s">
        <v>1258</v>
      </c>
      <c r="F15" s="1015">
        <f t="shared" si="14"/>
        <v>9.2234454031538231E-3</v>
      </c>
      <c r="G15" s="1014">
        <f t="shared" si="14"/>
        <v>72</v>
      </c>
      <c r="H15" s="1014">
        <f t="shared" si="14"/>
        <v>36.799999999999997</v>
      </c>
      <c r="I15" s="1014">
        <f t="shared" si="14"/>
        <v>72</v>
      </c>
      <c r="J15" s="1013">
        <f t="shared" si="14"/>
        <v>33.299999999999997</v>
      </c>
      <c r="K15" s="1012">
        <f t="shared" si="14"/>
        <v>36.219113113587859</v>
      </c>
      <c r="L15" s="1011">
        <f t="shared" si="14"/>
        <v>0.25401651651651652</v>
      </c>
      <c r="N15" s="1032" t="s">
        <v>1935</v>
      </c>
      <c r="O15" s="1031"/>
      <c r="P15" s="1030">
        <v>68</v>
      </c>
      <c r="Q15" s="1029">
        <v>38</v>
      </c>
      <c r="R15" s="1029">
        <v>66</v>
      </c>
      <c r="S15" s="1028">
        <v>35</v>
      </c>
      <c r="T15" s="1027" t="s">
        <v>842</v>
      </c>
      <c r="U15" s="1026">
        <v>0.20638929769658007</v>
      </c>
      <c r="V15" s="906">
        <v>28.148578000000001</v>
      </c>
      <c r="X15" s="906">
        <v>14</v>
      </c>
      <c r="AI15" s="1014"/>
      <c r="AU15" s="1055" t="s">
        <v>1256</v>
      </c>
      <c r="AV15" s="1081" t="s">
        <v>1258</v>
      </c>
      <c r="AW15" s="1066">
        <f t="shared" si="13"/>
        <v>345.82280346820806</v>
      </c>
      <c r="AX15" s="1066">
        <f t="shared" si="13"/>
        <v>311.40503246753246</v>
      </c>
      <c r="AY15" s="1086">
        <f t="shared" si="13"/>
        <v>343.84901734104045</v>
      </c>
      <c r="AZ15" s="1086">
        <f t="shared" si="13"/>
        <v>312.81506493506492</v>
      </c>
      <c r="BA15" s="1063">
        <f t="shared" si="13"/>
        <v>345.82280346820806</v>
      </c>
      <c r="BB15" s="1063">
        <f t="shared" si="13"/>
        <v>311.40503246753246</v>
      </c>
      <c r="BC15" s="1062">
        <f t="shared" si="13"/>
        <v>347.79658959537574</v>
      </c>
      <c r="BD15" s="1061">
        <f t="shared" si="13"/>
        <v>309.99499999999995</v>
      </c>
      <c r="BI15" s="908"/>
      <c r="BQ15" s="909" t="s">
        <v>1928</v>
      </c>
      <c r="BR15" s="906">
        <v>2015</v>
      </c>
      <c r="BS15" s="906">
        <v>4.4000000000000004</v>
      </c>
      <c r="BV15" s="906">
        <f>40+273.15</f>
        <v>313.14999999999998</v>
      </c>
      <c r="BW15" s="906">
        <f>80+273.15</f>
        <v>353.15</v>
      </c>
      <c r="BX15" s="906">
        <f>20+273.15</f>
        <v>293.14999999999998</v>
      </c>
      <c r="BY15" s="906">
        <f>15+273.15</f>
        <v>288.14999999999998</v>
      </c>
      <c r="CB15" s="908">
        <f t="shared" si="9"/>
        <v>0.55678200488073171</v>
      </c>
      <c r="CC15" s="908"/>
      <c r="CD15" s="908"/>
    </row>
    <row r="16" spans="1:82">
      <c r="A16" s="906">
        <v>15</v>
      </c>
      <c r="B16" s="906" t="s">
        <v>1934</v>
      </c>
      <c r="C16" s="906">
        <v>29189</v>
      </c>
      <c r="D16" s="906" t="s">
        <v>1256</v>
      </c>
      <c r="E16" s="906" t="s">
        <v>1258</v>
      </c>
      <c r="F16" s="1015">
        <f t="shared" si="14"/>
        <v>1.8127714881827821E-3</v>
      </c>
      <c r="G16" s="1014">
        <f t="shared" si="14"/>
        <v>72</v>
      </c>
      <c r="H16" s="1014">
        <f t="shared" si="14"/>
        <v>35</v>
      </c>
      <c r="I16" s="1014">
        <f t="shared" si="14"/>
        <v>72</v>
      </c>
      <c r="J16" s="1013">
        <f t="shared" si="14"/>
        <v>32</v>
      </c>
      <c r="K16" s="1012" t="str">
        <f t="shared" si="14"/>
        <v/>
      </c>
      <c r="L16" s="1011">
        <f t="shared" si="14"/>
        <v>0.28255208333333331</v>
      </c>
      <c r="N16" s="1032" t="s">
        <v>1933</v>
      </c>
      <c r="O16" s="1031"/>
      <c r="P16" s="1030">
        <v>75</v>
      </c>
      <c r="Q16" s="1029">
        <v>45</v>
      </c>
      <c r="R16" s="1029">
        <v>80</v>
      </c>
      <c r="S16" s="1028">
        <v>42</v>
      </c>
      <c r="T16" s="1027" t="s">
        <v>842</v>
      </c>
      <c r="U16" s="1026">
        <v>0.23425876726886291</v>
      </c>
      <c r="V16" s="906">
        <v>23.058</v>
      </c>
      <c r="X16" s="906">
        <v>15</v>
      </c>
      <c r="BI16" s="908"/>
      <c r="BQ16" s="909" t="s">
        <v>1928</v>
      </c>
      <c r="BR16" s="906">
        <v>2020</v>
      </c>
      <c r="BS16" s="906">
        <v>5</v>
      </c>
      <c r="BT16" s="906">
        <v>4.4000000000000004</v>
      </c>
      <c r="BU16" s="906">
        <v>6</v>
      </c>
      <c r="BV16" s="906">
        <f>40+273.15</f>
        <v>313.14999999999998</v>
      </c>
      <c r="BW16" s="906">
        <f>75+273.15</f>
        <v>348.15</v>
      </c>
      <c r="BX16" s="906">
        <f>20+273.15</f>
        <v>293.14999999999998</v>
      </c>
      <c r="BY16" s="906">
        <f>15+273.15</f>
        <v>288.14999999999998</v>
      </c>
      <c r="CB16" s="908">
        <f t="shared" si="9"/>
        <v>0.60086694739965307</v>
      </c>
      <c r="CC16" s="908">
        <f>BT16/((($BV16-$BW16)/LN($BV16/$BW16))/(($BV16-$BW16)/LN($BV16/$BW16)-($BX16-$BY16)/LN($BX16/$BY16)))</f>
        <v>0.52876291371169482</v>
      </c>
      <c r="CD16" s="908">
        <f>BU16/((($BV16-$BW16)/LN($BV16/$BW16))/(($BV16-$BW16)/LN($BV16/$BW16)-($BX16-$BY16)/LN($BX16/$BY16)))</f>
        <v>0.7210403368795838</v>
      </c>
    </row>
    <row r="17" spans="1:82" ht="16" thickBot="1">
      <c r="A17" s="906">
        <v>16</v>
      </c>
      <c r="B17" s="906" t="s">
        <v>1932</v>
      </c>
      <c r="C17" s="906">
        <v>29189</v>
      </c>
      <c r="D17" s="906" t="s">
        <v>1256</v>
      </c>
      <c r="E17" s="906" t="s">
        <v>1258</v>
      </c>
      <c r="F17" s="1015"/>
      <c r="G17" s="1014"/>
      <c r="H17" s="1014"/>
      <c r="I17" s="1014"/>
      <c r="J17" s="1013"/>
      <c r="K17" s="1012"/>
      <c r="L17" s="1011"/>
      <c r="N17" s="1032" t="s">
        <v>1931</v>
      </c>
      <c r="O17" s="1031"/>
      <c r="P17" s="1030">
        <v>68</v>
      </c>
      <c r="Q17" s="1029">
        <v>42</v>
      </c>
      <c r="R17" s="1029">
        <v>71</v>
      </c>
      <c r="S17" s="1028">
        <v>39</v>
      </c>
      <c r="T17" s="1027"/>
      <c r="U17" s="1026">
        <v>0.36491505815015529</v>
      </c>
      <c r="V17" s="906">
        <v>10.43</v>
      </c>
      <c r="X17" s="906">
        <v>16</v>
      </c>
      <c r="AA17" s="906" t="s">
        <v>1849</v>
      </c>
      <c r="AC17" s="906" t="s">
        <v>1848</v>
      </c>
      <c r="AD17" s="906" t="s">
        <v>1847</v>
      </c>
      <c r="AE17" s="906" t="s">
        <v>1846</v>
      </c>
      <c r="AF17" s="906" t="s">
        <v>1845</v>
      </c>
      <c r="AU17" s="906" t="s">
        <v>1836</v>
      </c>
      <c r="AW17" s="906" t="s">
        <v>1848</v>
      </c>
      <c r="AX17" s="906" t="s">
        <v>1847</v>
      </c>
      <c r="AY17" s="906" t="s">
        <v>1846</v>
      </c>
      <c r="AZ17" s="906" t="s">
        <v>1845</v>
      </c>
      <c r="BI17" s="908"/>
      <c r="BQ17" s="909" t="s">
        <v>1928</v>
      </c>
      <c r="BR17" s="906">
        <v>2030</v>
      </c>
      <c r="BS17" s="906">
        <v>6</v>
      </c>
      <c r="BV17" s="906">
        <f>35+273.15</f>
        <v>308.14999999999998</v>
      </c>
      <c r="BW17" s="906">
        <f>70+273.15</f>
        <v>343.15</v>
      </c>
      <c r="BX17" s="906">
        <f>20+273.15</f>
        <v>293.14999999999998</v>
      </c>
      <c r="BY17" s="906">
        <f>15+273.15</f>
        <v>288.14999999999998</v>
      </c>
      <c r="CB17" s="908">
        <f t="shared" si="9"/>
        <v>0.63983242792604467</v>
      </c>
      <c r="CC17" s="908"/>
      <c r="CD17" s="908"/>
    </row>
    <row r="18" spans="1:82" ht="19">
      <c r="A18" s="906">
        <v>17</v>
      </c>
      <c r="B18" s="906" t="s">
        <v>1930</v>
      </c>
      <c r="C18" s="906">
        <v>55606</v>
      </c>
      <c r="D18" s="906" t="s">
        <v>1257</v>
      </c>
      <c r="E18" s="906" t="s">
        <v>1259</v>
      </c>
      <c r="F18" s="1015">
        <f t="shared" ref="F18:L18" si="15">O47</f>
        <v>0</v>
      </c>
      <c r="G18" s="1014">
        <f t="shared" si="15"/>
        <v>165</v>
      </c>
      <c r="H18" s="1014">
        <f t="shared" si="15"/>
        <v>100</v>
      </c>
      <c r="I18" s="1014">
        <f t="shared" si="15"/>
        <v>165</v>
      </c>
      <c r="J18" s="1013">
        <f t="shared" si="15"/>
        <v>70</v>
      </c>
      <c r="K18" s="1012" t="str">
        <f t="shared" si="15"/>
        <v/>
      </c>
      <c r="L18" s="1011">
        <f t="shared" si="15"/>
        <v>0.2390308275898915</v>
      </c>
      <c r="N18" s="1038" t="s">
        <v>1929</v>
      </c>
      <c r="O18" s="1037"/>
      <c r="P18" s="1036">
        <v>68</v>
      </c>
      <c r="Q18" s="1014">
        <v>0</v>
      </c>
      <c r="R18" s="1014">
        <v>68</v>
      </c>
      <c r="S18" s="1013">
        <v>0</v>
      </c>
      <c r="T18" s="1012" t="s">
        <v>842</v>
      </c>
      <c r="U18" s="1035"/>
      <c r="V18" s="906" t="s">
        <v>842</v>
      </c>
      <c r="X18" s="906">
        <v>17</v>
      </c>
      <c r="AA18" s="1362" t="s">
        <v>1257</v>
      </c>
      <c r="AB18" s="1083" t="s">
        <v>1259</v>
      </c>
      <c r="AC18" s="1059">
        <f>(AC5+273.15+$AO$6)/((AC5+273.15+$AO$6)-($AM$6+273.15-$AO$6))*$AM$8*$AM$9</f>
        <v>6.302982731554156</v>
      </c>
      <c r="AD18" s="1059">
        <f>(AE5+273.15+$AO$6)/((AE5+273.15+$AO$6)-($AM$6+273.15-$AO$6))*$AM$8*$AM$9</f>
        <v>7.1327398562975395</v>
      </c>
      <c r="AE18" s="1059">
        <f>(AG5+273.15+$AO$6)/((AG5+273.15+$AO$6)-($AM$6+273.15-$AO$6))*$AM$8*$AM$9</f>
        <v>6.302982731554156</v>
      </c>
      <c r="AF18" s="1058">
        <f>(AI5+273.15+$AO$6)/((AI5+273.15+$AO$6)-($AM$6+273.15-$AO$6))*$AM$8</f>
        <v>5.6589921272757078</v>
      </c>
      <c r="AU18" s="1362" t="s">
        <v>1257</v>
      </c>
      <c r="AV18" s="1083" t="s">
        <v>1259</v>
      </c>
      <c r="AW18" s="1059">
        <f>((AX12-AW12)/LN(AX12/AW12))/((AX12-AW12)/LN(AX12/AW12)-($BI$5-$BK$5-$BM$5)/LN(($BI$5-$BK$5)/$BM$5))*$BI$8</f>
        <v>4.6633529060719239</v>
      </c>
      <c r="AX18" s="1059">
        <f>((AZ12-AY12)/LN(AZ12/AY12))/((AZ12-AY12)/LN(AZ12/AY12)-($BI$5-$BK$5-$BM$5)/LN(($BI$5-$BK$5)/$BM$5))*$BI$8</f>
        <v>4.8492510247196225</v>
      </c>
      <c r="AY18" s="1059">
        <f>((BB12-BA12)/LN(BB12/BA12))/((BB12-BA12)/LN(BB12/BA12)-($BI$5-$BK$5-$BM$5)/LN(($BI$5-$BK$5)/$BM$5))*$BI$8</f>
        <v>4.6633529060719239</v>
      </c>
      <c r="AZ18" s="1059">
        <f>((BD12-BC12)/LN(BD12/BC12))/((BD12-BC12)/LN(BD12/BC12)-($BI$5-$BK$5-$BM$5)/LN(($BI$5-$BK$5)/$BM$5))*$BI$8</f>
        <v>4.4936985661605204</v>
      </c>
      <c r="BB18" s="1084"/>
      <c r="BC18" s="1085"/>
      <c r="BD18" s="1085"/>
      <c r="BQ18" s="909" t="s">
        <v>1928</v>
      </c>
      <c r="BR18" s="906">
        <v>2050</v>
      </c>
      <c r="BS18" s="906">
        <v>7.4</v>
      </c>
      <c r="BT18" s="906">
        <v>4.4000000000000004</v>
      </c>
      <c r="BU18" s="906">
        <v>8.5</v>
      </c>
      <c r="BV18" s="906">
        <f>30+273.15</f>
        <v>303.14999999999998</v>
      </c>
      <c r="BW18" s="906">
        <f>60+273.15</f>
        <v>333.15</v>
      </c>
      <c r="BX18" s="906">
        <f>20+273.15</f>
        <v>293.14999999999998</v>
      </c>
      <c r="BY18" s="906">
        <f>15+273.15</f>
        <v>288.14999999999998</v>
      </c>
      <c r="CB18" s="908">
        <f t="shared" si="9"/>
        <v>0.63478635747606904</v>
      </c>
      <c r="CC18" s="908">
        <f>BT18/((($BV18-$BW18)/LN($BV18/$BW18))/(($BV18-$BW18)/LN($BV18/$BW18)-($BX18-$BY18)/LN($BX18/$BY18)))</f>
        <v>0.37744053687766266</v>
      </c>
      <c r="CD18" s="908">
        <f>BU18/((($BV18-$BW18)/LN($BV18/$BW18))/(($BV18-$BW18)/LN($BV18/$BW18)-($BX18-$BY18)/LN($BX18/$BY18)))</f>
        <v>0.72914649169548462</v>
      </c>
    </row>
    <row r="19" spans="1:82" ht="19">
      <c r="A19" s="906">
        <v>18</v>
      </c>
      <c r="B19" s="906" t="s">
        <v>1927</v>
      </c>
      <c r="C19" s="906">
        <v>23795</v>
      </c>
      <c r="D19" s="906" t="s">
        <v>1256</v>
      </c>
      <c r="E19" s="906" t="s">
        <v>1258</v>
      </c>
      <c r="F19" s="1015"/>
      <c r="G19" s="1014"/>
      <c r="H19" s="1014"/>
      <c r="I19" s="1014"/>
      <c r="J19" s="1013"/>
      <c r="K19" s="1012"/>
      <c r="L19" s="1011"/>
      <c r="N19" s="1032" t="s">
        <v>1926</v>
      </c>
      <c r="O19" s="1031"/>
      <c r="P19" s="1030">
        <v>70</v>
      </c>
      <c r="Q19" s="1029">
        <v>0</v>
      </c>
      <c r="R19" s="1029">
        <v>75</v>
      </c>
      <c r="S19" s="1028">
        <v>0</v>
      </c>
      <c r="T19" s="1027" t="s">
        <v>842</v>
      </c>
      <c r="U19" s="1026"/>
      <c r="V19" s="906" t="s">
        <v>842</v>
      </c>
      <c r="X19" s="906">
        <v>18</v>
      </c>
      <c r="AA19" s="1360"/>
      <c r="AB19" s="1082" t="s">
        <v>1258</v>
      </c>
      <c r="AC19" s="908">
        <f>(AC6+273.15+$AO$6)/((AC6+273.15+$AO$6)-($AM$6+273.15-$AO$6))*$AM$8*$AM$9</f>
        <v>8.1573622047244037</v>
      </c>
      <c r="AD19" s="908">
        <f>(AE6+273.15+$AO$6)/((AE6+273.15+$AO$6)-($AM$6+273.15-$AO$6))*$AM$8*$AM$9</f>
        <v>9.459546285273543</v>
      </c>
      <c r="AE19" s="908">
        <f>(AG6+273.15+$AO$6)/((AG6+273.15+$AO$6)-($AM$6+273.15-$AO$6))*$AM$8*$AM$9</f>
        <v>8.1573622047244037</v>
      </c>
      <c r="AF19" s="1056">
        <f>(AI6+273.15+$AO$6)/((AI6+273.15+$AO$6)-($AM$6+273.15-$AO$6))*$AM$8</f>
        <v>7.1872831286925862</v>
      </c>
      <c r="AU19" s="1360"/>
      <c r="AV19" s="1082" t="s">
        <v>1258</v>
      </c>
      <c r="AW19" s="908">
        <f>((AX13-AW13)/LN(AX13/AW13))/((AX13-AW13)/LN(AX13/AW13)-($BI$5-$BK$5-$BM$5)/LN(($BI$5-$BK$5)/$BM$5))*$BI$8</f>
        <v>5.6164711608549638</v>
      </c>
      <c r="AX19" s="908">
        <f>((AZ13-AY13)/LN(AZ13/AY13))/((AZ13-AY13)/LN(AZ13/AY13)-($BI$5-$BK$5-$BM$5)/LN(($BI$5-$BK$5)/$BM$5))*$BI$8</f>
        <v>5.7543730542548044</v>
      </c>
      <c r="AY19" s="908">
        <f>((BB13-BA13)/LN(BB13/BA13))/((BB13-BA13)/LN(BB13/BA13)-($BI$5-$BK$5-$BM$5)/LN(($BI$5-$BK$5)/$BM$5))*$BI$8</f>
        <v>5.6164711608549638</v>
      </c>
      <c r="AZ19" s="908">
        <f>((BD13-BC13)/LN(BD13/BC13))/((BD13-BC13)/LN(BD13/BC13)-($BI$5-$BK$5-$BM$5)/LN(($BI$5-$BK$5)/$BM$5))*$BI$8</f>
        <v>5.4875186252728483</v>
      </c>
      <c r="BB19" s="1084"/>
      <c r="BC19" s="1085"/>
      <c r="BD19" s="1085"/>
      <c r="BQ19" s="909" t="s">
        <v>1919</v>
      </c>
      <c r="BR19" s="906">
        <v>2015</v>
      </c>
      <c r="BS19" s="906">
        <v>7</v>
      </c>
      <c r="BV19" s="906">
        <f>40+273.15</f>
        <v>313.14999999999998</v>
      </c>
      <c r="BW19" s="906">
        <f>80+273.15</f>
        <v>353.15</v>
      </c>
      <c r="BX19" s="906">
        <f>40+273.15</f>
        <v>313.14999999999998</v>
      </c>
      <c r="BY19" s="906">
        <f>25+273.15</f>
        <v>298.14999999999998</v>
      </c>
      <c r="CB19" s="908">
        <f t="shared" si="9"/>
        <v>0.57137667700311223</v>
      </c>
      <c r="CC19" s="908"/>
      <c r="CD19" s="908"/>
    </row>
    <row r="20" spans="1:82" ht="19">
      <c r="A20" s="906">
        <v>19</v>
      </c>
      <c r="B20" s="906" t="s">
        <v>1925</v>
      </c>
      <c r="C20" s="906">
        <v>29189</v>
      </c>
      <c r="D20" s="906" t="s">
        <v>1256</v>
      </c>
      <c r="E20" s="906" t="s">
        <v>1258</v>
      </c>
      <c r="F20" s="1015">
        <f t="shared" ref="F20:L24" si="16">O10</f>
        <v>0</v>
      </c>
      <c r="G20" s="1014">
        <f t="shared" si="16"/>
        <v>71</v>
      </c>
      <c r="H20" s="1014">
        <f t="shared" si="16"/>
        <v>39</v>
      </c>
      <c r="I20" s="1014">
        <f t="shared" si="16"/>
        <v>74</v>
      </c>
      <c r="J20" s="1013">
        <f t="shared" si="16"/>
        <v>36</v>
      </c>
      <c r="K20" s="1012">
        <f t="shared" si="16"/>
        <v>36.171486224056316</v>
      </c>
      <c r="L20" s="1011">
        <f t="shared" si="16"/>
        <v>0.28352421318423665</v>
      </c>
      <c r="N20" s="1038" t="s">
        <v>1924</v>
      </c>
      <c r="O20" s="1037">
        <v>1.9270222743259086E-2</v>
      </c>
      <c r="P20" s="1036">
        <v>65</v>
      </c>
      <c r="Q20" s="1014">
        <v>65</v>
      </c>
      <c r="R20" s="1014">
        <v>72</v>
      </c>
      <c r="S20" s="1013">
        <v>72</v>
      </c>
      <c r="T20" s="1012">
        <v>37.546684236792231</v>
      </c>
      <c r="U20" s="1035"/>
      <c r="V20" s="906">
        <v>9.9410000000000002E-3</v>
      </c>
      <c r="X20" s="906">
        <v>19</v>
      </c>
      <c r="AA20" s="1360" t="s">
        <v>1256</v>
      </c>
      <c r="AB20" s="1082" t="s">
        <v>1259</v>
      </c>
      <c r="AC20" s="908">
        <f>(AC7+273.15+$AO$6)/((AC7+273.15+$AO$6)-($AM$6+273.15-$AO$6))*$AM$8*$AM$9</f>
        <v>7.0677473448854125</v>
      </c>
      <c r="AD20" s="908">
        <f>(AE7+273.15+$AO$6)/((AE7+273.15+$AO$6)-($AM$6+273.15-$AO$6))*$AM$8*$AM$9</f>
        <v>8.0227773246329583</v>
      </c>
      <c r="AE20" s="908">
        <f>(AG7+273.15+$AO$6)/((AG7+273.15+$AO$6)-($AM$6+273.15-$AO$6))*$AM$8*$AM$9</f>
        <v>7.0677473448854125</v>
      </c>
      <c r="AF20" s="1056">
        <f>(AI7+273.15+$AO$6)/((AI7+273.15+$AO$6)-($AM$6+273.15-$AO$6))*$AM$8</f>
        <v>6.329163287374965</v>
      </c>
      <c r="AU20" s="1360" t="s">
        <v>1256</v>
      </c>
      <c r="AV20" s="1082" t="s">
        <v>1259</v>
      </c>
      <c r="AW20" s="908">
        <f>((AX14-AW14)/LN(AX14/AW14))/((AX14-AW14)/LN(AX14/AW14)-($BI$5-$BK$5-$BM$5)/LN(($BI$5-$BK$5)/$BM$5))*$BI$8</f>
        <v>5.1335784752540965</v>
      </c>
      <c r="AX20" s="908">
        <f>((AZ14-AY14)/LN(AZ14/AY14))/((AZ14-AY14)/LN(AZ14/AY14)-($BI$5-$BK$5-$BM$5)/LN(($BI$5-$BK$5)/$BM$5))*$BI$8</f>
        <v>5.2435392226385922</v>
      </c>
      <c r="AY20" s="908">
        <f>((BB14-BA14)/LN(BB14/BA14))/((BB14-BA14)/LN(BB14/BA14)-($BI$5-$BK$5-$BM$5)/LN(($BI$5-$BK$5)/$BM$5))*$BI$8</f>
        <v>5.1335784752540965</v>
      </c>
      <c r="AZ20" s="908">
        <f>((BD14-BC14)/LN(BD14/BC14))/((BD14-BC14)/LN(BD14/BC14)-($BI$5-$BK$5-$BM$5)/LN(($BI$5-$BK$5)/$BM$5))*$BI$8</f>
        <v>5.030245890805495</v>
      </c>
      <c r="BB20" s="1084"/>
      <c r="BC20" s="1084"/>
      <c r="BD20" s="1084"/>
      <c r="BQ20" s="909" t="s">
        <v>1919</v>
      </c>
      <c r="BR20" s="906">
        <v>2020</v>
      </c>
      <c r="BS20" s="906">
        <v>9</v>
      </c>
      <c r="BT20" s="906">
        <v>7</v>
      </c>
      <c r="BU20" s="906">
        <v>12</v>
      </c>
      <c r="BV20" s="906">
        <f>40+273.15</f>
        <v>313.14999999999998</v>
      </c>
      <c r="BW20" s="906">
        <f>75+273.15</f>
        <v>348.15</v>
      </c>
      <c r="BX20" s="906">
        <f>40+273.15</f>
        <v>313.14999999999998</v>
      </c>
      <c r="BY20" s="906">
        <f>25+273.15</f>
        <v>298.14999999999998</v>
      </c>
      <c r="CB20" s="908">
        <f t="shared" si="9"/>
        <v>0.67436821805068214</v>
      </c>
      <c r="CC20" s="908">
        <f>BT20/((($BV20-$BW20)/LN($BV20/$BW20))/(($BV20-$BW20)/LN($BV20/$BW20)-($BX20-$BY20)/LN($BX20/$BY20)))</f>
        <v>0.52450861403941951</v>
      </c>
      <c r="CD20" s="908">
        <f>BU20/((($BV20-$BW20)/LN($BV20/$BW20))/(($BV20-$BW20)/LN($BV20/$BW20)-($BX20-$BY20)/LN($BX20/$BY20)))</f>
        <v>0.89915762406757627</v>
      </c>
    </row>
    <row r="21" spans="1:82" ht="20" thickBot="1">
      <c r="A21" s="906">
        <v>20</v>
      </c>
      <c r="B21" s="906" t="s">
        <v>1923</v>
      </c>
      <c r="C21" s="906">
        <v>29189</v>
      </c>
      <c r="D21" s="906" t="s">
        <v>1256</v>
      </c>
      <c r="E21" s="906" t="s">
        <v>1258</v>
      </c>
      <c r="F21" s="1015">
        <f t="shared" si="16"/>
        <v>0</v>
      </c>
      <c r="G21" s="1014">
        <f t="shared" si="16"/>
        <v>67</v>
      </c>
      <c r="H21" s="1014">
        <f t="shared" si="16"/>
        <v>39</v>
      </c>
      <c r="I21" s="1014">
        <f t="shared" si="16"/>
        <v>68</v>
      </c>
      <c r="J21" s="1013">
        <f t="shared" si="16"/>
        <v>39</v>
      </c>
      <c r="K21" s="1012" t="str">
        <f t="shared" si="16"/>
        <v/>
      </c>
      <c r="L21" s="1011">
        <f t="shared" si="16"/>
        <v>0.13224844990753837</v>
      </c>
      <c r="N21" s="1032" t="s">
        <v>1922</v>
      </c>
      <c r="O21" s="1031"/>
      <c r="P21" s="1030">
        <v>72</v>
      </c>
      <c r="Q21" s="1029">
        <v>42</v>
      </c>
      <c r="R21" s="1029">
        <v>74</v>
      </c>
      <c r="S21" s="1028">
        <v>40</v>
      </c>
      <c r="T21" s="1027">
        <v>32.595774946199725</v>
      </c>
      <c r="U21" s="1026">
        <v>0.25657123145912386</v>
      </c>
      <c r="V21" s="906">
        <v>10.776</v>
      </c>
      <c r="X21" s="906">
        <v>20</v>
      </c>
      <c r="AA21" s="1361"/>
      <c r="AB21" s="1081" t="s">
        <v>1258</v>
      </c>
      <c r="AC21" s="1054">
        <f>(AC8+273.15+$AO$6)/((AC8+273.15+$AO$6)-($AM$6+273.15-$AO$6))*$AM$8*$AM$9</f>
        <v>8.6315987426049663</v>
      </c>
      <c r="AD21" s="1054">
        <f>(AE8+273.15+$AO$6)/((AE8+273.15+$AO$6)-($AM$6+273.15-$AO$6))*$AM$8*$AM$9</f>
        <v>9.4022318224595232</v>
      </c>
      <c r="AE21" s="1054">
        <f>(AG8+273.15+$AO$6)/((AG8+273.15+$AO$6)-($AM$6+273.15-$AO$6))*$AM$8*$AM$9</f>
        <v>8.6315987426049663</v>
      </c>
      <c r="AF21" s="1053">
        <f>(AI8+273.15+$AO$6)/((AI8+273.15+$AO$6)-($AM$6+273.15-$AO$6))*$AM$8</f>
        <v>7.9843957118667017</v>
      </c>
      <c r="AU21" s="1361"/>
      <c r="AV21" s="1081" t="s">
        <v>1258</v>
      </c>
      <c r="AW21" s="1054">
        <f>((AX15-AW15)/LN(AX15/AW15))/((AX15-AW15)/LN(AX15/AW15)-($BI$5-$BK$5-$BM$5)/LN(($BI$5-$BK$5)/$BM$5))*$BI$8</f>
        <v>5.9553926797050414</v>
      </c>
      <c r="AX21" s="1054">
        <f>((AZ15-AY15)/LN(AZ15/AY15))/((AZ15-AY15)/LN(AZ15/AY15)-($BI$5-$BK$5-$BM$5)/LN(($BI$5-$BK$5)/$BM$5))*$BI$8</f>
        <v>5.9942745260623997</v>
      </c>
      <c r="AY21" s="1054">
        <f>((BB15-BA15)/LN(BB15/BA15))/((BB15-BA15)/LN(BB15/BA15)-($BI$5-$BK$5-$BM$5)/LN(($BI$5-$BK$5)/$BM$5))*$BI$8</f>
        <v>5.9553926797050414</v>
      </c>
      <c r="AZ21" s="1054">
        <f>((BD15-BC15)/LN(BD15/BC15))/((BD15-BC15)/LN(BD15/BC15)-($BI$5-$BK$5-$BM$5)/LN(($BI$5-$BK$5)/$BM$5))*$BI$8</f>
        <v>5.9180303774552367</v>
      </c>
      <c r="BB21" s="1084"/>
      <c r="BC21" s="1084"/>
      <c r="BD21" s="1084"/>
      <c r="BQ21" s="909" t="s">
        <v>1919</v>
      </c>
      <c r="BR21" s="906">
        <v>2030</v>
      </c>
      <c r="BS21" s="906">
        <v>12</v>
      </c>
      <c r="BV21" s="906">
        <f>35+273.15</f>
        <v>308.14999999999998</v>
      </c>
      <c r="BW21" s="906">
        <f>70+273.15</f>
        <v>343.15</v>
      </c>
      <c r="BX21" s="906">
        <f>40+273.15</f>
        <v>313.14999999999998</v>
      </c>
      <c r="BY21" s="906">
        <f>25+273.15</f>
        <v>298.14999999999998</v>
      </c>
      <c r="CB21" s="908">
        <f t="shared" si="9"/>
        <v>0.72838984888070513</v>
      </c>
      <c r="CC21" s="908"/>
      <c r="CD21" s="908"/>
    </row>
    <row r="22" spans="1:82">
      <c r="A22" s="906">
        <v>21</v>
      </c>
      <c r="B22" s="906" t="s">
        <v>1921</v>
      </c>
      <c r="C22" s="906">
        <v>29189</v>
      </c>
      <c r="D22" s="906" t="s">
        <v>1256</v>
      </c>
      <c r="E22" s="906" t="s">
        <v>1258</v>
      </c>
      <c r="F22" s="1015">
        <f t="shared" si="16"/>
        <v>0</v>
      </c>
      <c r="G22" s="1014">
        <f t="shared" si="16"/>
        <v>72</v>
      </c>
      <c r="H22" s="1014">
        <f t="shared" si="16"/>
        <v>42</v>
      </c>
      <c r="I22" s="1014">
        <f t="shared" si="16"/>
        <v>85</v>
      </c>
      <c r="J22" s="1013">
        <f t="shared" si="16"/>
        <v>45</v>
      </c>
      <c r="K22" s="1012">
        <f t="shared" si="16"/>
        <v>32.071334210213017</v>
      </c>
      <c r="L22" s="1011">
        <f t="shared" si="16"/>
        <v>0.16574868264164008</v>
      </c>
      <c r="N22" s="1032" t="s">
        <v>1920</v>
      </c>
      <c r="O22" s="1031">
        <v>5.0035402407363698E-2</v>
      </c>
      <c r="P22" s="1030">
        <v>72</v>
      </c>
      <c r="Q22" s="1029">
        <v>38</v>
      </c>
      <c r="R22" s="1029">
        <v>76</v>
      </c>
      <c r="S22" s="1028">
        <v>33</v>
      </c>
      <c r="T22" s="1027">
        <v>40.247738014723978</v>
      </c>
      <c r="U22" s="1026">
        <v>0.2653447329192547</v>
      </c>
      <c r="V22" s="906">
        <v>17.736999999999998</v>
      </c>
      <c r="X22" s="906">
        <v>21</v>
      </c>
      <c r="BC22" s="1014"/>
      <c r="BQ22" s="909" t="s">
        <v>1919</v>
      </c>
      <c r="BR22" s="906">
        <v>2050</v>
      </c>
      <c r="BS22" s="906">
        <v>18</v>
      </c>
      <c r="BT22" s="906">
        <v>7</v>
      </c>
      <c r="BU22" s="906">
        <v>20</v>
      </c>
      <c r="BV22" s="906">
        <f>30+273.15</f>
        <v>303.14999999999998</v>
      </c>
      <c r="BW22" s="906">
        <f>60+273.15</f>
        <v>333.15</v>
      </c>
      <c r="BX22" s="906">
        <f>40+273.15</f>
        <v>313.14999999999998</v>
      </c>
      <c r="BY22" s="906">
        <f>25+273.15</f>
        <v>298.14999999999998</v>
      </c>
      <c r="CB22" s="908">
        <f t="shared" si="9"/>
        <v>0.69785695659241953</v>
      </c>
      <c r="CC22" s="908">
        <f>BT22/((($BV22-$BW22)/LN($BV22/$BW22))/(($BV22-$BW22)/LN($BV22/$BW22)-($BX22-$BY22)/LN($BX22/$BY22)))</f>
        <v>0.2713888164526076</v>
      </c>
      <c r="CD22" s="908">
        <f>BU22/((($BV22-$BW22)/LN($BV22/$BW22))/(($BV22-$BW22)/LN($BV22/$BW22)-($BX22-$BY22)/LN($BX22/$BY22)))</f>
        <v>0.7753966184360217</v>
      </c>
    </row>
    <row r="23" spans="1:82">
      <c r="A23" s="906">
        <v>22</v>
      </c>
      <c r="B23" s="906" t="s">
        <v>1918</v>
      </c>
      <c r="C23" s="906">
        <v>29189</v>
      </c>
      <c r="D23" s="906" t="s">
        <v>1256</v>
      </c>
      <c r="E23" s="906" t="s">
        <v>1258</v>
      </c>
      <c r="F23" s="1015">
        <f t="shared" si="16"/>
        <v>7.1007682553889756E-2</v>
      </c>
      <c r="G23" s="1014">
        <f t="shared" si="16"/>
        <v>68</v>
      </c>
      <c r="H23" s="1014">
        <f t="shared" si="16"/>
        <v>38</v>
      </c>
      <c r="I23" s="1014">
        <f t="shared" si="16"/>
        <v>72</v>
      </c>
      <c r="J23" s="1013">
        <f t="shared" si="16"/>
        <v>33</v>
      </c>
      <c r="K23" s="1012">
        <f t="shared" si="16"/>
        <v>35.785327457812848</v>
      </c>
      <c r="L23" s="1011">
        <f t="shared" si="16"/>
        <v>0.28133279807306305</v>
      </c>
      <c r="N23" s="1032" t="s">
        <v>1917</v>
      </c>
      <c r="O23" s="1031"/>
      <c r="P23" s="1030">
        <v>75</v>
      </c>
      <c r="Q23" s="1029">
        <v>39</v>
      </c>
      <c r="R23" s="1029">
        <v>80</v>
      </c>
      <c r="S23" s="1028">
        <v>36</v>
      </c>
      <c r="T23" s="1027" t="s">
        <v>842</v>
      </c>
      <c r="U23" s="1026">
        <v>0.30849074850106378</v>
      </c>
      <c r="V23" s="906">
        <v>21.452000000000002</v>
      </c>
      <c r="X23" s="906">
        <v>22</v>
      </c>
    </row>
    <row r="24" spans="1:82" ht="16" thickBot="1">
      <c r="A24" s="906">
        <v>23</v>
      </c>
      <c r="B24" s="906" t="s">
        <v>1916</v>
      </c>
      <c r="C24" s="906">
        <v>29189</v>
      </c>
      <c r="D24" s="906" t="s">
        <v>1256</v>
      </c>
      <c r="E24" s="906" t="s">
        <v>1258</v>
      </c>
      <c r="F24" s="1015">
        <f t="shared" si="16"/>
        <v>0</v>
      </c>
      <c r="G24" s="1014">
        <f t="shared" si="16"/>
        <v>69</v>
      </c>
      <c r="H24" s="1014">
        <f t="shared" si="16"/>
        <v>41</v>
      </c>
      <c r="I24" s="1014">
        <f t="shared" si="16"/>
        <v>72</v>
      </c>
      <c r="J24" s="1013">
        <f t="shared" si="16"/>
        <v>36</v>
      </c>
      <c r="K24" s="1012">
        <f t="shared" si="16"/>
        <v>34.4</v>
      </c>
      <c r="L24" s="1011">
        <f t="shared" si="16"/>
        <v>0.18216666666666667</v>
      </c>
      <c r="N24" s="1032" t="s">
        <v>1915</v>
      </c>
      <c r="O24" s="1031">
        <v>1.9463230203951222E-2</v>
      </c>
      <c r="P24" s="1030">
        <v>68</v>
      </c>
      <c r="Q24" s="1029">
        <v>38</v>
      </c>
      <c r="R24" s="1029">
        <v>75</v>
      </c>
      <c r="S24" s="1028">
        <v>35</v>
      </c>
      <c r="T24" s="1027">
        <v>36.000250071042913</v>
      </c>
      <c r="U24" s="1026"/>
      <c r="V24" s="906" t="s">
        <v>842</v>
      </c>
      <c r="X24" s="906">
        <v>23</v>
      </c>
      <c r="AA24" s="1080" t="s">
        <v>1901</v>
      </c>
      <c r="AB24" s="1079"/>
      <c r="AC24" s="1079" t="s">
        <v>1900</v>
      </c>
      <c r="AD24" s="1079"/>
      <c r="AE24" s="1079"/>
      <c r="AF24" s="1079"/>
      <c r="AG24" s="1079"/>
      <c r="AH24" s="1079"/>
      <c r="AI24" s="1079"/>
      <c r="AU24" s="906" t="s">
        <v>1849</v>
      </c>
      <c r="AW24" s="906" t="s">
        <v>1848</v>
      </c>
      <c r="AX24" s="906" t="s">
        <v>1847</v>
      </c>
      <c r="AY24" s="906" t="s">
        <v>1846</v>
      </c>
      <c r="AZ24" s="906" t="s">
        <v>1845</v>
      </c>
    </row>
    <row r="25" spans="1:82" ht="19">
      <c r="A25" s="906">
        <v>24</v>
      </c>
      <c r="B25" s="906" t="s">
        <v>1914</v>
      </c>
      <c r="C25" s="906">
        <v>29189</v>
      </c>
      <c r="D25" s="906" t="s">
        <v>1256</v>
      </c>
      <c r="E25" s="906" t="s">
        <v>1258</v>
      </c>
      <c r="F25" s="1015"/>
      <c r="G25" s="1014"/>
      <c r="H25" s="1014"/>
      <c r="I25" s="1014"/>
      <c r="J25" s="1013"/>
      <c r="K25" s="1012"/>
      <c r="L25" s="1011"/>
      <c r="N25" s="1032" t="s">
        <v>1913</v>
      </c>
      <c r="O25" s="1031">
        <v>0.13582889469679427</v>
      </c>
      <c r="P25" s="1030">
        <v>70.3</v>
      </c>
      <c r="Q25" s="1029">
        <v>47.6</v>
      </c>
      <c r="R25" s="1029">
        <v>75.5</v>
      </c>
      <c r="S25" s="1028">
        <v>48.5</v>
      </c>
      <c r="T25" s="1027"/>
      <c r="U25" s="1026">
        <v>0.13322763311626915</v>
      </c>
      <c r="V25" s="906">
        <v>226.101</v>
      </c>
      <c r="X25" s="906">
        <v>24</v>
      </c>
      <c r="AU25" s="1362" t="s">
        <v>1257</v>
      </c>
      <c r="AV25" s="1083" t="s">
        <v>1259</v>
      </c>
      <c r="AW25" s="1059">
        <f>((AX12-AW12)/LN(AX12/AW12))/((AX12-AW12)/LN(AX12/AW12)-($BI$6-$BK$6-$BM$6)/LN(($BI$6-$BK$6)/$BM$6))*$BI$8</f>
        <v>6.865069691519631</v>
      </c>
      <c r="AX25" s="1059">
        <f>((AZ12-AY12)/LN(AZ12/AY12))/((AZ12-AY12)/LN(AZ12/AY12)-($BI$6-$BK$6-$BM$6)/LN(($BI$6-$BK$6)/$BM$6))*$BI$8</f>
        <v>7.2952104605878532</v>
      </c>
      <c r="AY25" s="1059">
        <f>((BB12-BA12)/LN(BB12/BA12))/((BB12-BA12)/LN(BB12/BA12)-($BI$6-$BK$6-$BM$6)/LN(($BI$6-$BK$6)/$BM$6))*$BI$8</f>
        <v>6.865069691519631</v>
      </c>
      <c r="AZ25" s="1059">
        <f>((BD12-BC12)/LN(BD12/BC12))/((BD12-BC12)/LN(BD12/BC12)-($BI$6-$BK$6-$BM$6)/LN(($BI$6-$BK$6)/$BM$6))*$BI$8</f>
        <v>6.4883094676976381</v>
      </c>
      <c r="BA25" s="908"/>
      <c r="BR25" s="909">
        <f>31+28</f>
        <v>59</v>
      </c>
      <c r="BS25" s="906">
        <f>31+30+31+BR25</f>
        <v>151</v>
      </c>
      <c r="BT25" s="906">
        <f>31+30+31+BS25</f>
        <v>243</v>
      </c>
      <c r="BU25" s="906">
        <f>31+30+30+BT25</f>
        <v>334</v>
      </c>
      <c r="BV25" s="906">
        <f>BU25+31</f>
        <v>365</v>
      </c>
    </row>
    <row r="26" spans="1:82" ht="20" thickBot="1">
      <c r="A26" s="906">
        <v>25</v>
      </c>
      <c r="B26" s="906" t="s">
        <v>1912</v>
      </c>
      <c r="C26" s="906">
        <v>29189</v>
      </c>
      <c r="D26" s="906" t="s">
        <v>1256</v>
      </c>
      <c r="E26" s="906" t="s">
        <v>1258</v>
      </c>
      <c r="F26" s="1015"/>
      <c r="G26" s="1014"/>
      <c r="H26" s="1014"/>
      <c r="I26" s="1014"/>
      <c r="J26" s="1013"/>
      <c r="K26" s="1012"/>
      <c r="L26" s="1011"/>
      <c r="N26" s="1032" t="s">
        <v>1911</v>
      </c>
      <c r="O26" s="1031"/>
      <c r="P26" s="1030">
        <v>65</v>
      </c>
      <c r="Q26" s="1029">
        <v>35</v>
      </c>
      <c r="R26" s="1029">
        <v>65</v>
      </c>
      <c r="S26" s="1028">
        <v>33</v>
      </c>
      <c r="T26" s="1027" t="s">
        <v>842</v>
      </c>
      <c r="U26" s="1026">
        <v>0.16795656732669273</v>
      </c>
      <c r="V26" s="906">
        <v>20.632180999999999</v>
      </c>
      <c r="X26" s="906">
        <v>25</v>
      </c>
      <c r="AB26" s="1356" t="s">
        <v>1882</v>
      </c>
      <c r="AC26" s="1356"/>
      <c r="AD26" s="1357" t="s">
        <v>1881</v>
      </c>
      <c r="AE26" s="1357"/>
      <c r="AF26" s="1358" t="s">
        <v>1880</v>
      </c>
      <c r="AG26" s="1358"/>
      <c r="AH26" s="1359" t="s">
        <v>1879</v>
      </c>
      <c r="AI26" s="1359"/>
      <c r="AU26" s="1360"/>
      <c r="AV26" s="1082" t="s">
        <v>1258</v>
      </c>
      <c r="AW26" s="908">
        <f>((AX13-AW13)/LN(AX13/AW13))/((AX13-AW13)/LN(AX13/AW13)-($BI$6-$BK$6-$BM$6)/LN(($BI$6-$BK$6)/$BM$6))*$BI$8</f>
        <v>9.2897896563308411</v>
      </c>
      <c r="AX26" s="908">
        <f>((AZ13-AY13)/LN(AZ13/AY13))/((AZ13-AY13)/LN(AZ13/AY13)-($BI$6-$BK$6-$BM$6)/LN(($BI$6-$BK$6)/$BM$6))*$BI$8</f>
        <v>9.6911318795609045</v>
      </c>
      <c r="AY26" s="908">
        <f>((BB13-BA13)/LN(BB13/BA13))/((BB13-BA13)/LN(BB13/BA13)-($BI$6-$BK$6-$BM$6)/LN(($BI$6-$BK$6)/$BM$6))*$BI$8</f>
        <v>9.2897896563308411</v>
      </c>
      <c r="AZ26" s="908">
        <f>((BD13-BC13)/LN(BD13/BC13))/((BD13-BC13)/LN(BD13/BC13)-($BI$6-$BK$6-$BM$6)/LN(($BI$6-$BK$6)/$BM$6))*$BI$8</f>
        <v>8.9272626825264094</v>
      </c>
      <c r="BA26" s="908"/>
    </row>
    <row r="27" spans="1:82" ht="19">
      <c r="A27" s="906">
        <v>26</v>
      </c>
      <c r="B27" s="906" t="s">
        <v>1910</v>
      </c>
      <c r="C27" s="906">
        <v>29188</v>
      </c>
      <c r="D27" s="906" t="s">
        <v>1256</v>
      </c>
      <c r="E27" s="906" t="s">
        <v>1258</v>
      </c>
      <c r="F27" s="1015">
        <f t="shared" ref="F27:L27" si="17">O15</f>
        <v>0</v>
      </c>
      <c r="G27" s="1014">
        <f t="shared" si="17"/>
        <v>68</v>
      </c>
      <c r="H27" s="1014">
        <f t="shared" si="17"/>
        <v>38</v>
      </c>
      <c r="I27" s="1014">
        <f t="shared" si="17"/>
        <v>66</v>
      </c>
      <c r="J27" s="1013">
        <f t="shared" si="17"/>
        <v>35</v>
      </c>
      <c r="K27" s="1012" t="str">
        <f t="shared" si="17"/>
        <v/>
      </c>
      <c r="L27" s="1011">
        <f t="shared" si="17"/>
        <v>0.20638929769658007</v>
      </c>
      <c r="N27" s="1032" t="s">
        <v>1909</v>
      </c>
      <c r="O27" s="1031"/>
      <c r="P27" s="1030">
        <v>69</v>
      </c>
      <c r="Q27" s="1029">
        <v>0</v>
      </c>
      <c r="R27" s="1029">
        <v>78</v>
      </c>
      <c r="S27" s="1028">
        <v>0</v>
      </c>
      <c r="T27" s="1027" t="s">
        <v>842</v>
      </c>
      <c r="U27" s="1026"/>
      <c r="V27" s="906" t="s">
        <v>842</v>
      </c>
      <c r="X27" s="906">
        <v>26</v>
      </c>
      <c r="AA27" s="1077"/>
      <c r="AB27" s="1076" t="s">
        <v>1876</v>
      </c>
      <c r="AC27" s="1076" t="s">
        <v>1875</v>
      </c>
      <c r="AD27" s="1075" t="s">
        <v>1874</v>
      </c>
      <c r="AE27" s="1075" t="s">
        <v>1873</v>
      </c>
      <c r="AF27" s="1074" t="s">
        <v>1872</v>
      </c>
      <c r="AG27" s="1074" t="s">
        <v>1871</v>
      </c>
      <c r="AH27" s="1073" t="s">
        <v>1870</v>
      </c>
      <c r="AI27" s="1072" t="s">
        <v>1869</v>
      </c>
      <c r="AU27" s="1360" t="s">
        <v>1256</v>
      </c>
      <c r="AV27" s="1082" t="s">
        <v>1259</v>
      </c>
      <c r="AW27" s="908">
        <f>((AX14-AW14)/LN(AX14/AW14))/((AX14-AW14)/LN(AX14/AW14)-($BI$6-$BK$6-$BM$6)/LN(($BI$6-$BK$6)/$BM$6))*$BI$8</f>
        <v>7.9908434205699788</v>
      </c>
      <c r="AX27" s="908">
        <f>((AZ14-AY14)/LN(AZ14/AY14))/((AZ14-AY14)/LN(AZ14/AY14)-($BI$6-$BK$6-$BM$6)/LN(($BI$6-$BK$6)/$BM$6))*$BI$8</f>
        <v>8.2729893765411635</v>
      </c>
      <c r="AY27" s="908">
        <f>((BB14-BA14)/LN(BB14/BA14))/((BB14-BA14)/LN(BB14/BA14)-($BI$6-$BK$6-$BM$6)/LN(($BI$6-$BK$6)/$BM$6))*$BI$8</f>
        <v>7.9908434205699788</v>
      </c>
      <c r="AZ27" s="908">
        <f>((BD14-BC14)/LN(BD14/BC14))/((BD14-BC14)/LN(BD14/BC14)-($BI$6-$BK$6-$BM$6)/LN(($BI$6-$BK$6)/$BM$6))*$BI$8</f>
        <v>7.732517958339483</v>
      </c>
      <c r="BA27" s="908"/>
      <c r="BQ27" s="909" t="s">
        <v>1908</v>
      </c>
    </row>
    <row r="28" spans="1:82" ht="22" thickBot="1">
      <c r="A28" s="906">
        <v>27</v>
      </c>
      <c r="B28" s="906" t="s">
        <v>1907</v>
      </c>
      <c r="C28" s="906">
        <v>26696</v>
      </c>
      <c r="D28" s="906" t="s">
        <v>1256</v>
      </c>
      <c r="E28" s="906" t="s">
        <v>1259</v>
      </c>
      <c r="F28" s="1015"/>
      <c r="G28" s="1014"/>
      <c r="H28" s="1014"/>
      <c r="I28" s="1014"/>
      <c r="J28" s="1013"/>
      <c r="K28" s="1012"/>
      <c r="L28" s="1011"/>
      <c r="N28" s="1032" t="s">
        <v>1906</v>
      </c>
      <c r="O28" s="1031"/>
      <c r="P28" s="1030">
        <v>70</v>
      </c>
      <c r="Q28" s="1029">
        <v>43</v>
      </c>
      <c r="R28" s="1029">
        <v>76</v>
      </c>
      <c r="S28" s="1028">
        <v>36</v>
      </c>
      <c r="T28" s="1027" t="s">
        <v>842</v>
      </c>
      <c r="U28" s="1026">
        <v>0.26724137931034481</v>
      </c>
      <c r="V28" s="906">
        <v>6.29</v>
      </c>
      <c r="X28" s="906">
        <v>27</v>
      </c>
      <c r="AA28" s="1057">
        <v>2020</v>
      </c>
      <c r="AB28" s="1071">
        <v>75</v>
      </c>
      <c r="AC28" s="1071">
        <v>40</v>
      </c>
      <c r="AD28" s="1070">
        <f t="shared" ref="AD28:AE30" si="18">AVERAGE(AE5:AE8)/AVERAGE(AC5:AC8)*AB28</f>
        <v>71.796358027935881</v>
      </c>
      <c r="AE28" s="1070">
        <f t="shared" si="18"/>
        <v>41.1489156189106</v>
      </c>
      <c r="AF28" s="1069">
        <v>75</v>
      </c>
      <c r="AG28" s="1069">
        <v>40</v>
      </c>
      <c r="AH28" s="1068">
        <f t="shared" ref="AH28:AI30" si="19">AVERAGE(AI5:AI8)/AVERAGE(AG5:AG8)*AF28</f>
        <v>78.203641972064148</v>
      </c>
      <c r="AI28" s="1067">
        <f t="shared" si="19"/>
        <v>38.851084381089407</v>
      </c>
      <c r="AU28" s="1361"/>
      <c r="AV28" s="1081" t="s">
        <v>1258</v>
      </c>
      <c r="AW28" s="1054">
        <f>((AX15-AW15)/LN(AX15/AW15))/((AX15-AW15)/LN(AX15/AW15)-($BI$6-$BK$6-$BM$6)/LN(($BI$6-$BK$6)/$BM$6))*$BI$8</f>
        <v>10.30305423297294</v>
      </c>
      <c r="AX28" s="1054">
        <f>((AZ15-AY15)/LN(AZ15/AY15))/((AZ15-AY15)/LN(AZ15/AY15)-($BI$6-$BK$6-$BM$6)/LN(($BI$6-$BK$6)/$BM$6))*$BI$8</f>
        <v>10.425284720592808</v>
      </c>
      <c r="AY28" s="1054">
        <f>((BB15-BA15)/LN(BB15/BA15))/((BB15-BA15)/LN(BB15/BA15)-($BI$6-$BK$6-$BM$6)/LN(($BI$6-$BK$6)/$BM$6))*$BI$8</f>
        <v>10.30305423297294</v>
      </c>
      <c r="AZ28" s="1054">
        <f>((BD15-BC15)/LN(BD15/BC15))/((BD15-BC15)/LN(BD15/BC15)-($BI$6-$BK$6-$BM$6)/LN(($BI$6-$BK$6)/$BM$6))*$BI$8</f>
        <v>10.18680878319549</v>
      </c>
      <c r="BA28" s="908"/>
      <c r="BQ28" s="909" t="s">
        <v>1259</v>
      </c>
      <c r="BR28" s="909" t="s">
        <v>1845</v>
      </c>
      <c r="BS28" s="909" t="s">
        <v>1848</v>
      </c>
      <c r="BT28" s="909" t="s">
        <v>1847</v>
      </c>
      <c r="BU28" s="909" t="s">
        <v>1846</v>
      </c>
    </row>
    <row r="29" spans="1:82" ht="21">
      <c r="A29" s="906">
        <v>28</v>
      </c>
      <c r="B29" s="906" t="s">
        <v>1905</v>
      </c>
      <c r="C29" s="906">
        <v>29189</v>
      </c>
      <c r="D29" s="906" t="s">
        <v>1256</v>
      </c>
      <c r="E29" s="906" t="s">
        <v>1259</v>
      </c>
      <c r="F29" s="1015">
        <f t="shared" ref="F29:L30" si="20">O16</f>
        <v>0</v>
      </c>
      <c r="G29" s="1014">
        <f t="shared" si="20"/>
        <v>75</v>
      </c>
      <c r="H29" s="1014">
        <f t="shared" si="20"/>
        <v>45</v>
      </c>
      <c r="I29" s="1014">
        <f t="shared" si="20"/>
        <v>80</v>
      </c>
      <c r="J29" s="1013">
        <f t="shared" si="20"/>
        <v>42</v>
      </c>
      <c r="K29" s="1012" t="str">
        <f t="shared" si="20"/>
        <v/>
      </c>
      <c r="L29" s="1011">
        <f t="shared" si="20"/>
        <v>0.23425876726886291</v>
      </c>
      <c r="N29" s="1032" t="s">
        <v>1904</v>
      </c>
      <c r="O29" s="1031">
        <v>3.0235450529656475E-2</v>
      </c>
      <c r="P29" s="1030">
        <v>70</v>
      </c>
      <c r="Q29" s="1029">
        <v>39</v>
      </c>
      <c r="R29" s="1029">
        <v>70</v>
      </c>
      <c r="S29" s="1028">
        <v>36</v>
      </c>
      <c r="T29" s="1027">
        <v>34.829437787688285</v>
      </c>
      <c r="U29" s="1026">
        <v>0.24540067220944631</v>
      </c>
      <c r="V29" s="906">
        <v>17.062999999999999</v>
      </c>
      <c r="X29" s="906">
        <v>28</v>
      </c>
      <c r="AA29" s="1057">
        <v>2030</v>
      </c>
      <c r="AB29" s="1071">
        <v>70</v>
      </c>
      <c r="AC29" s="1071">
        <v>35</v>
      </c>
      <c r="AD29" s="1070">
        <f t="shared" si="18"/>
        <v>67.171326169507537</v>
      </c>
      <c r="AE29" s="1070">
        <f t="shared" si="18"/>
        <v>36.322999022606751</v>
      </c>
      <c r="AF29" s="1069">
        <v>70</v>
      </c>
      <c r="AG29" s="1069">
        <v>35</v>
      </c>
      <c r="AH29" s="1068">
        <f t="shared" si="19"/>
        <v>72.828673830492477</v>
      </c>
      <c r="AI29" s="1067">
        <f t="shared" si="19"/>
        <v>33.677000977393234</v>
      </c>
      <c r="BQ29" s="909" t="s">
        <v>1893</v>
      </c>
      <c r="BR29" s="906" t="e">
        <v>#REF!</v>
      </c>
      <c r="BS29" s="906">
        <v>6.1699954710144986</v>
      </c>
      <c r="BT29" s="906" t="e">
        <v>#REF!</v>
      </c>
      <c r="BU29" s="906" t="e">
        <v>#REF!</v>
      </c>
    </row>
    <row r="30" spans="1:82" ht="22" thickBot="1">
      <c r="A30" s="906">
        <v>29</v>
      </c>
      <c r="B30" s="906" t="s">
        <v>1902</v>
      </c>
      <c r="C30" s="906">
        <v>32264</v>
      </c>
      <c r="D30" s="906" t="s">
        <v>1257</v>
      </c>
      <c r="E30" s="906" t="s">
        <v>1258</v>
      </c>
      <c r="F30" s="1015">
        <f t="shared" si="20"/>
        <v>0</v>
      </c>
      <c r="G30" s="1014">
        <f t="shared" si="20"/>
        <v>68</v>
      </c>
      <c r="H30" s="1014">
        <f t="shared" si="20"/>
        <v>42</v>
      </c>
      <c r="I30" s="1014">
        <f t="shared" si="20"/>
        <v>71</v>
      </c>
      <c r="J30" s="1013">
        <f t="shared" si="20"/>
        <v>39</v>
      </c>
      <c r="K30" s="1012">
        <f t="shared" si="20"/>
        <v>0</v>
      </c>
      <c r="L30" s="1011">
        <f t="shared" si="20"/>
        <v>0.36491505815015529</v>
      </c>
      <c r="N30" s="1032" t="s">
        <v>1903</v>
      </c>
      <c r="O30" s="1031"/>
      <c r="P30" s="1030">
        <v>65</v>
      </c>
      <c r="Q30" s="1029">
        <v>48</v>
      </c>
      <c r="R30" s="1029">
        <v>67</v>
      </c>
      <c r="S30" s="1028">
        <v>43</v>
      </c>
      <c r="T30" s="1027">
        <v>27.127571597013578</v>
      </c>
      <c r="U30" s="1026">
        <v>0.32371300580157158</v>
      </c>
      <c r="V30" s="906">
        <v>36.835999999999999</v>
      </c>
      <c r="X30" s="906">
        <v>29</v>
      </c>
      <c r="AA30" s="1055">
        <v>2050</v>
      </c>
      <c r="AB30" s="1066">
        <v>60</v>
      </c>
      <c r="AC30" s="1066">
        <v>30</v>
      </c>
      <c r="AD30" s="1065">
        <f t="shared" si="18"/>
        <v>57.784944570671094</v>
      </c>
      <c r="AE30" s="1064">
        <f t="shared" si="18"/>
        <v>31.124856789118102</v>
      </c>
      <c r="AF30" s="1063">
        <v>60</v>
      </c>
      <c r="AG30" s="1063">
        <v>30</v>
      </c>
      <c r="AH30" s="1062">
        <f t="shared" si="19"/>
        <v>62.215055429328899</v>
      </c>
      <c r="AI30" s="1061">
        <f t="shared" si="19"/>
        <v>28.875143210881898</v>
      </c>
      <c r="BQ30" s="909" t="s">
        <v>1890</v>
      </c>
      <c r="BR30" s="906" t="e">
        <v>#REF!</v>
      </c>
      <c r="BS30" s="906">
        <v>5.3999999999999879</v>
      </c>
      <c r="BT30" s="906" t="e">
        <v>#REF!</v>
      </c>
      <c r="BU30" s="906" t="e">
        <v>#REF!</v>
      </c>
    </row>
    <row r="31" spans="1:82">
      <c r="A31" s="906">
        <v>30</v>
      </c>
      <c r="B31" s="906" t="s">
        <v>1902</v>
      </c>
      <c r="C31" s="906">
        <v>32264</v>
      </c>
      <c r="D31" s="906" t="s">
        <v>1256</v>
      </c>
      <c r="E31" s="906" t="s">
        <v>1258</v>
      </c>
      <c r="F31" s="1015">
        <f t="shared" ref="F31:L31" si="21">O17</f>
        <v>0</v>
      </c>
      <c r="G31" s="1014">
        <f t="shared" si="21"/>
        <v>68</v>
      </c>
      <c r="H31" s="1014">
        <f t="shared" si="21"/>
        <v>42</v>
      </c>
      <c r="I31" s="1014">
        <f t="shared" si="21"/>
        <v>71</v>
      </c>
      <c r="J31" s="1013">
        <f t="shared" si="21"/>
        <v>39</v>
      </c>
      <c r="K31" s="1012">
        <f t="shared" si="21"/>
        <v>0</v>
      </c>
      <c r="L31" s="1011">
        <f t="shared" si="21"/>
        <v>0.36491505815015529</v>
      </c>
      <c r="N31" s="1032" t="s">
        <v>1842</v>
      </c>
      <c r="O31" s="1031">
        <v>1.843368237347295E-2</v>
      </c>
      <c r="P31" s="1030">
        <v>68</v>
      </c>
      <c r="Q31" s="1029">
        <v>36</v>
      </c>
      <c r="R31" s="1029">
        <v>72</v>
      </c>
      <c r="S31" s="1028">
        <v>36</v>
      </c>
      <c r="T31" s="1027">
        <v>34.286461102250577</v>
      </c>
      <c r="U31" s="1026">
        <v>0.16590732303589287</v>
      </c>
      <c r="V31" s="906">
        <v>7.5060000000000002</v>
      </c>
      <c r="X31" s="906">
        <v>30</v>
      </c>
      <c r="AU31" s="1080" t="s">
        <v>1901</v>
      </c>
      <c r="AV31" s="1079"/>
      <c r="AW31" s="1079" t="s">
        <v>1900</v>
      </c>
      <c r="AX31" s="1079"/>
      <c r="AY31" s="1079"/>
      <c r="AZ31" s="1079"/>
      <c r="BA31" s="1079"/>
      <c r="BB31" s="1079"/>
      <c r="BC31" s="1079"/>
      <c r="BP31" s="1078" t="s">
        <v>1887</v>
      </c>
      <c r="BQ31" s="909" t="s">
        <v>1886</v>
      </c>
      <c r="BR31" s="906">
        <f>AVERAGE(3,2.2,4.5)</f>
        <v>3.2333333333333329</v>
      </c>
      <c r="BS31" s="909">
        <f>AVERAGE(6,10.5,3)</f>
        <v>6.5</v>
      </c>
      <c r="BT31" s="906">
        <f>AVERAGE(14.5,17.5,18)</f>
        <v>16.666666666666668</v>
      </c>
      <c r="BU31" s="906">
        <f>AVERAGE(16,12.5,8.5)</f>
        <v>12.333333333333334</v>
      </c>
    </row>
    <row r="32" spans="1:82" ht="17" thickBot="1">
      <c r="A32" s="906">
        <v>31</v>
      </c>
      <c r="B32" s="906" t="s">
        <v>1899</v>
      </c>
      <c r="C32" s="906">
        <v>29189</v>
      </c>
      <c r="D32" s="906" t="s">
        <v>1256</v>
      </c>
      <c r="E32" s="906" t="s">
        <v>1258</v>
      </c>
      <c r="F32" s="1015">
        <f t="shared" ref="F32:K32" si="22">O19</f>
        <v>0</v>
      </c>
      <c r="G32" s="1014">
        <f t="shared" si="22"/>
        <v>70</v>
      </c>
      <c r="H32" s="1014">
        <f t="shared" si="22"/>
        <v>0</v>
      </c>
      <c r="I32" s="1014">
        <f t="shared" si="22"/>
        <v>75</v>
      </c>
      <c r="J32" s="1013">
        <f t="shared" si="22"/>
        <v>0</v>
      </c>
      <c r="K32" s="1012" t="str">
        <f t="shared" si="22"/>
        <v/>
      </c>
      <c r="L32" s="1016">
        <v>0.22800028617798151</v>
      </c>
      <c r="N32" s="1032" t="s">
        <v>1898</v>
      </c>
      <c r="O32" s="1031"/>
      <c r="P32" s="1030">
        <v>70</v>
      </c>
      <c r="Q32" s="1029">
        <v>0</v>
      </c>
      <c r="R32" s="1029">
        <v>76</v>
      </c>
      <c r="S32" s="1028">
        <v>0</v>
      </c>
      <c r="T32" s="1027">
        <v>47.210473186119877</v>
      </c>
      <c r="U32" s="1026">
        <v>0.22411217101482589</v>
      </c>
      <c r="V32" s="906">
        <v>6.7510000000000003</v>
      </c>
      <c r="X32" s="906">
        <v>31</v>
      </c>
      <c r="AA32" s="906" t="s">
        <v>1836</v>
      </c>
      <c r="AB32" s="906" t="s">
        <v>1848</v>
      </c>
      <c r="AC32" s="906" t="s">
        <v>1847</v>
      </c>
      <c r="AD32" s="906" t="s">
        <v>1846</v>
      </c>
      <c r="AE32" s="906" t="s">
        <v>1845</v>
      </c>
      <c r="BQ32" s="909"/>
    </row>
    <row r="33" spans="1:73" ht="20" thickBot="1">
      <c r="A33" s="906">
        <v>32</v>
      </c>
      <c r="B33" s="906" t="s">
        <v>1897</v>
      </c>
      <c r="C33" s="906">
        <v>29189</v>
      </c>
      <c r="D33" s="906" t="s">
        <v>1256</v>
      </c>
      <c r="E33" s="906" t="s">
        <v>1258</v>
      </c>
      <c r="F33" s="1015">
        <f t="shared" ref="F33:L35" si="23">O21</f>
        <v>0</v>
      </c>
      <c r="G33" s="1014">
        <f t="shared" si="23"/>
        <v>72</v>
      </c>
      <c r="H33" s="1014">
        <f t="shared" si="23"/>
        <v>42</v>
      </c>
      <c r="I33" s="1014">
        <f t="shared" si="23"/>
        <v>74</v>
      </c>
      <c r="J33" s="1013">
        <f t="shared" si="23"/>
        <v>40</v>
      </c>
      <c r="K33" s="1012">
        <f t="shared" si="23"/>
        <v>32.595774946199725</v>
      </c>
      <c r="L33" s="1011">
        <f t="shared" si="23"/>
        <v>0.25657123145912386</v>
      </c>
      <c r="N33" s="1032" t="s">
        <v>1896</v>
      </c>
      <c r="O33" s="1031"/>
      <c r="P33" s="1030">
        <v>75</v>
      </c>
      <c r="Q33" s="1029">
        <v>41</v>
      </c>
      <c r="R33" s="1029">
        <v>75</v>
      </c>
      <c r="S33" s="1028">
        <v>36</v>
      </c>
      <c r="T33" s="1027">
        <v>40.59779889728101</v>
      </c>
      <c r="U33" s="1026">
        <v>0.21783451189273578</v>
      </c>
      <c r="V33" s="906">
        <v>42.585000000000001</v>
      </c>
      <c r="X33" s="906">
        <v>32</v>
      </c>
      <c r="AA33" s="1060">
        <v>2020</v>
      </c>
      <c r="AB33" s="1059">
        <f>(AB28+273.15+$AO$5)/((AB28+273.15+$AO$5)-($AM$5+273.15-$AO$5))*$AM$8*$AM$9</f>
        <v>5.111381578947368</v>
      </c>
      <c r="AC33" s="1059">
        <f>(AD28+273.15+$AO$5)/((AD28+273.15+$AO$5)-($AM$5+273.15-$AO$5))*$AM$8*$AM$9</f>
        <v>5.5313402845447772</v>
      </c>
      <c r="AD33" s="1059">
        <f>(AF28+273.15+$AO$5)/((AF28+273.15+$AO$5)-($AM$5+273.15-$AO$5))*$AM$8*$AM$9</f>
        <v>5.111381578947368</v>
      </c>
      <c r="AE33" s="1058">
        <f>(AH28+273.15+$AO$5)/((AH28+273.15+$AO$5)-($AM$5+273.15-$AO$5))*$AM$8</f>
        <v>4.7567276508595668</v>
      </c>
      <c r="AV33" s="1356" t="s">
        <v>1882</v>
      </c>
      <c r="AW33" s="1356"/>
      <c r="AX33" s="1357" t="s">
        <v>1881</v>
      </c>
      <c r="AY33" s="1357"/>
      <c r="AZ33" s="1358" t="s">
        <v>1880</v>
      </c>
      <c r="BA33" s="1358"/>
      <c r="BB33" s="1359" t="s">
        <v>1879</v>
      </c>
      <c r="BC33" s="1359"/>
      <c r="BQ33" s="909" t="s">
        <v>1258</v>
      </c>
      <c r="BR33" s="909" t="s">
        <v>1845</v>
      </c>
      <c r="BS33" s="909" t="s">
        <v>1848</v>
      </c>
      <c r="BT33" s="909" t="s">
        <v>1847</v>
      </c>
      <c r="BU33" s="909" t="s">
        <v>1846</v>
      </c>
    </row>
    <row r="34" spans="1:73" ht="19">
      <c r="A34" s="906">
        <v>33</v>
      </c>
      <c r="B34" s="906" t="s">
        <v>1895</v>
      </c>
      <c r="C34" s="906">
        <v>29189</v>
      </c>
      <c r="D34" s="906" t="s">
        <v>1256</v>
      </c>
      <c r="E34" s="906" t="s">
        <v>1258</v>
      </c>
      <c r="F34" s="1015">
        <f t="shared" si="23"/>
        <v>5.0035402407363698E-2</v>
      </c>
      <c r="G34" s="1014">
        <f t="shared" si="23"/>
        <v>72</v>
      </c>
      <c r="H34" s="1014">
        <f t="shared" si="23"/>
        <v>38</v>
      </c>
      <c r="I34" s="1014">
        <f t="shared" si="23"/>
        <v>76</v>
      </c>
      <c r="J34" s="1013">
        <f t="shared" si="23"/>
        <v>33</v>
      </c>
      <c r="K34" s="1012">
        <f t="shared" si="23"/>
        <v>40.247738014723978</v>
      </c>
      <c r="L34" s="1011">
        <f t="shared" si="23"/>
        <v>0.2653447329192547</v>
      </c>
      <c r="N34" s="1038" t="s">
        <v>1894</v>
      </c>
      <c r="O34" s="1037"/>
      <c r="P34" s="1036">
        <v>65</v>
      </c>
      <c r="Q34" s="1014">
        <v>70</v>
      </c>
      <c r="R34" s="1014">
        <v>70</v>
      </c>
      <c r="S34" s="1013">
        <v>70</v>
      </c>
      <c r="T34" s="1012" t="s">
        <v>842</v>
      </c>
      <c r="U34" s="1035"/>
      <c r="V34" s="906" t="s">
        <v>842</v>
      </c>
      <c r="X34" s="906">
        <v>33</v>
      </c>
      <c r="AA34" s="1057">
        <v>2030</v>
      </c>
      <c r="AB34" s="908">
        <f>(AB29+273.15+$AO$5)/((AB29+273.15+$AO$5)-($AM$5+273.15-$AO$5))*$AM$8*$AM$9</f>
        <v>5.8025000000000002</v>
      </c>
      <c r="AC34" s="908">
        <f>(AD29+273.15+$AO$5)/((AD29+273.15+$AO$5)-($AM$5+273.15-$AO$5))*$AM$8*$AM$9</f>
        <v>6.2949413733486246</v>
      </c>
      <c r="AD34" s="908">
        <f>(AF29+273.15+$AO$5)/((AF29+273.15+$AO$5)-($AM$5+273.15-$AO$5))*$AM$8*$AM$9</f>
        <v>5.8025000000000002</v>
      </c>
      <c r="AE34" s="1056">
        <f>(AH29+273.15+$AO$5)/((AH29+273.15+$AO$5)-($AM$5+273.15-$AO$5))*$AM$8</f>
        <v>5.3878151203710809</v>
      </c>
      <c r="AU34" s="1077"/>
      <c r="AV34" s="1076" t="s">
        <v>1876</v>
      </c>
      <c r="AW34" s="1076" t="s">
        <v>1875</v>
      </c>
      <c r="AX34" s="1075" t="s">
        <v>1874</v>
      </c>
      <c r="AY34" s="1075" t="s">
        <v>1873</v>
      </c>
      <c r="AZ34" s="1074" t="s">
        <v>1872</v>
      </c>
      <c r="BA34" s="1074" t="s">
        <v>1871</v>
      </c>
      <c r="BB34" s="1073" t="s">
        <v>1870</v>
      </c>
      <c r="BC34" s="1072" t="s">
        <v>1869</v>
      </c>
      <c r="BQ34" s="909" t="s">
        <v>1893</v>
      </c>
      <c r="BR34" s="906" t="e">
        <v>#REF!</v>
      </c>
      <c r="BS34" s="906">
        <v>6.0428291062801973</v>
      </c>
      <c r="BT34" s="906" t="e">
        <v>#REF!</v>
      </c>
      <c r="BU34" s="906" t="e">
        <v>#REF!</v>
      </c>
    </row>
    <row r="35" spans="1:73" ht="22" thickBot="1">
      <c r="A35" s="906">
        <v>34</v>
      </c>
      <c r="B35" s="906" t="s">
        <v>1892</v>
      </c>
      <c r="C35" s="906">
        <v>29189</v>
      </c>
      <c r="D35" s="906" t="s">
        <v>1256</v>
      </c>
      <c r="E35" s="906" t="s">
        <v>1258</v>
      </c>
      <c r="F35" s="1015">
        <f t="shared" si="23"/>
        <v>0</v>
      </c>
      <c r="G35" s="1014">
        <f t="shared" si="23"/>
        <v>75</v>
      </c>
      <c r="H35" s="1014">
        <f t="shared" si="23"/>
        <v>39</v>
      </c>
      <c r="I35" s="1014">
        <f t="shared" si="23"/>
        <v>80</v>
      </c>
      <c r="J35" s="1013">
        <f t="shared" si="23"/>
        <v>36</v>
      </c>
      <c r="K35" s="1012" t="str">
        <f t="shared" si="23"/>
        <v/>
      </c>
      <c r="L35" s="1011">
        <f t="shared" si="23"/>
        <v>0.30849074850106378</v>
      </c>
      <c r="N35" s="1032" t="s">
        <v>1891</v>
      </c>
      <c r="O35" s="1031">
        <v>9.067439078143693E-3</v>
      </c>
      <c r="P35" s="1030">
        <v>68</v>
      </c>
      <c r="Q35" s="1029">
        <v>36</v>
      </c>
      <c r="R35" s="1029">
        <v>68</v>
      </c>
      <c r="S35" s="1028">
        <v>36</v>
      </c>
      <c r="T35" s="1027">
        <v>33.374071251901881</v>
      </c>
      <c r="U35" s="1026">
        <v>0.24477346381139989</v>
      </c>
      <c r="V35" s="906">
        <v>11.885</v>
      </c>
      <c r="X35" s="906">
        <v>34</v>
      </c>
      <c r="AA35" s="1055">
        <v>2050</v>
      </c>
      <c r="AB35" s="1054">
        <f>(AB30+273.15+$AO$5)/((AB30+273.15+$AO$5)-($AM$5+273.15-$AO$5))*$AM$8*$AM$9</f>
        <v>8.0861956521739131</v>
      </c>
      <c r="AC35" s="1054">
        <f>(AD30+273.15+$AO$5)/((AD30+273.15+$AO$5)-($AM$5+273.15-$AO$5))*$AM$8*$AM$9</f>
        <v>8.8893294319669955</v>
      </c>
      <c r="AD35" s="1054">
        <f>(AF30+273.15+$AO$5)/((AF30+273.15+$AO$5)-($AM$5+273.15-$AO$5))*$AM$8*$AM$9</f>
        <v>8.0861956521739131</v>
      </c>
      <c r="AE35" s="1053">
        <f>(AH30+273.15+$AO$5)/((AH30+273.15+$AO$5)-($AM$5+273.15-$AO$5))*$AM$8</f>
        <v>7.4241669232417449</v>
      </c>
      <c r="AU35" s="1057">
        <v>2020</v>
      </c>
      <c r="AV35" s="1071">
        <v>75</v>
      </c>
      <c r="AW35" s="1071">
        <v>40</v>
      </c>
      <c r="AX35" s="1070">
        <f t="shared" ref="AX35:AY37" si="24">AVERAGE(AY12:AY15)/AVERAGE(AW12:AW15)*AV35</f>
        <v>74.297783396862442</v>
      </c>
      <c r="AY35" s="1070">
        <f t="shared" si="24"/>
        <v>40.156516646455131</v>
      </c>
      <c r="AZ35" s="1069">
        <v>75</v>
      </c>
      <c r="BA35" s="1069">
        <v>40</v>
      </c>
      <c r="BB35" s="1068">
        <f t="shared" ref="BB35:BC37" si="25">AVERAGE(BC12:BC15)/AVERAGE(BA12:BA15)*AZ35</f>
        <v>75.702216603137543</v>
      </c>
      <c r="BC35" s="1067">
        <f t="shared" si="25"/>
        <v>39.843483353544862</v>
      </c>
      <c r="BQ35" s="909" t="s">
        <v>1890</v>
      </c>
      <c r="BR35" s="906" t="e">
        <v>#REF!</v>
      </c>
      <c r="BS35" s="906">
        <v>5.318840579710165</v>
      </c>
      <c r="BT35" s="906" t="e">
        <v>#REF!</v>
      </c>
      <c r="BU35" s="906" t="e">
        <v>#REF!</v>
      </c>
    </row>
    <row r="36" spans="1:73" ht="21">
      <c r="A36" s="906">
        <v>35</v>
      </c>
      <c r="B36" s="906" t="s">
        <v>1889</v>
      </c>
      <c r="C36" s="906">
        <v>29189</v>
      </c>
      <c r="D36" s="906" t="s">
        <v>1256</v>
      </c>
      <c r="E36" s="906" t="s">
        <v>1258</v>
      </c>
      <c r="F36" s="1015">
        <f t="shared" ref="F36:K37" si="26">O24</f>
        <v>1.9463230203951222E-2</v>
      </c>
      <c r="G36" s="1014">
        <f t="shared" si="26"/>
        <v>68</v>
      </c>
      <c r="H36" s="1014">
        <f t="shared" si="26"/>
        <v>38</v>
      </c>
      <c r="I36" s="1014">
        <f t="shared" si="26"/>
        <v>75</v>
      </c>
      <c r="J36" s="1013">
        <f t="shared" si="26"/>
        <v>35</v>
      </c>
      <c r="K36" s="1012">
        <f t="shared" si="26"/>
        <v>36.000250071042913</v>
      </c>
      <c r="L36" s="1016">
        <v>0.22800028617798151</v>
      </c>
      <c r="N36" s="1032" t="s">
        <v>1888</v>
      </c>
      <c r="O36" s="1031"/>
      <c r="P36" s="1030">
        <v>69</v>
      </c>
      <c r="Q36" s="1029">
        <v>41</v>
      </c>
      <c r="R36" s="1029">
        <v>70</v>
      </c>
      <c r="S36" s="1028">
        <v>39</v>
      </c>
      <c r="T36" s="1027">
        <v>21.286858901815219</v>
      </c>
      <c r="U36" s="1026">
        <v>0.32589612289685443</v>
      </c>
      <c r="V36" s="906">
        <v>1.843</v>
      </c>
      <c r="X36" s="906">
        <v>35</v>
      </c>
      <c r="AU36" s="1057">
        <v>2030</v>
      </c>
      <c r="AV36" s="1071">
        <v>70</v>
      </c>
      <c r="AW36" s="1071">
        <v>35</v>
      </c>
      <c r="AX36" s="1070">
        <f t="shared" si="24"/>
        <v>69.390906973583867</v>
      </c>
      <c r="AY36" s="1070">
        <f t="shared" si="24"/>
        <v>35.173174273027513</v>
      </c>
      <c r="AZ36" s="1069">
        <v>70</v>
      </c>
      <c r="BA36" s="1069">
        <v>35</v>
      </c>
      <c r="BB36" s="1068">
        <f t="shared" si="25"/>
        <v>70.609093026416147</v>
      </c>
      <c r="BC36" s="1067">
        <f t="shared" si="25"/>
        <v>34.826825726972494</v>
      </c>
      <c r="BP36" s="1078" t="s">
        <v>1887</v>
      </c>
      <c r="BQ36" s="909" t="s">
        <v>1886</v>
      </c>
      <c r="BR36" s="906">
        <f>AVERAGE(3.8,3,4.8)</f>
        <v>3.8666666666666667</v>
      </c>
      <c r="BS36" s="909">
        <f>AVERAGE(6,10.5,3.5)</f>
        <v>6.666666666666667</v>
      </c>
      <c r="BT36" s="906">
        <f>AVERAGE(14.5,17,17.8)</f>
        <v>16.433333333333334</v>
      </c>
      <c r="BU36" s="906">
        <f>AVERAGE(15.5,12.5,9)</f>
        <v>12.333333333333334</v>
      </c>
    </row>
    <row r="37" spans="1:73" ht="22" thickBot="1">
      <c r="A37" s="906">
        <v>36</v>
      </c>
      <c r="B37" s="906" t="s">
        <v>1884</v>
      </c>
      <c r="C37" s="906">
        <v>65113</v>
      </c>
      <c r="D37" s="906" t="s">
        <v>1257</v>
      </c>
      <c r="E37" s="906" t="s">
        <v>1259</v>
      </c>
      <c r="F37" s="1015">
        <f t="shared" si="26"/>
        <v>0.13582889469679427</v>
      </c>
      <c r="G37" s="1014">
        <f t="shared" si="26"/>
        <v>70.3</v>
      </c>
      <c r="H37" s="1014">
        <f t="shared" si="26"/>
        <v>47.6</v>
      </c>
      <c r="I37" s="1014">
        <f t="shared" si="26"/>
        <v>75.5</v>
      </c>
      <c r="J37" s="1013">
        <f t="shared" si="26"/>
        <v>48.5</v>
      </c>
      <c r="K37" s="1012">
        <f t="shared" si="26"/>
        <v>0</v>
      </c>
      <c r="L37" s="1011">
        <f>U25</f>
        <v>0.13322763311626915</v>
      </c>
      <c r="N37" s="1032" t="s">
        <v>1885</v>
      </c>
      <c r="O37" s="1031">
        <v>3.3558611046376134E-2</v>
      </c>
      <c r="P37" s="1030">
        <v>70</v>
      </c>
      <c r="Q37" s="1029">
        <v>32</v>
      </c>
      <c r="R37" s="1029">
        <v>70</v>
      </c>
      <c r="S37" s="1028">
        <v>32</v>
      </c>
      <c r="T37" s="1027">
        <v>36.56048017140192</v>
      </c>
      <c r="U37" s="1026">
        <v>0.18971545695683625</v>
      </c>
      <c r="V37" s="906">
        <v>13.441000000000001</v>
      </c>
      <c r="X37" s="906">
        <v>36</v>
      </c>
      <c r="AU37" s="1055">
        <v>2050</v>
      </c>
      <c r="AV37" s="1066">
        <v>60</v>
      </c>
      <c r="AW37" s="1066">
        <v>30</v>
      </c>
      <c r="AX37" s="1065">
        <f t="shared" si="24"/>
        <v>59.520864342685371</v>
      </c>
      <c r="AY37" s="1064">
        <f t="shared" si="24"/>
        <v>30.147417403647317</v>
      </c>
      <c r="AZ37" s="1063">
        <v>60</v>
      </c>
      <c r="BA37" s="1063">
        <v>30</v>
      </c>
      <c r="BB37" s="1062">
        <f t="shared" si="25"/>
        <v>60.479135657314643</v>
      </c>
      <c r="BC37" s="1061">
        <f t="shared" si="25"/>
        <v>29.852582596352686</v>
      </c>
    </row>
    <row r="38" spans="1:73" ht="16" thickBot="1">
      <c r="A38" s="906">
        <v>37</v>
      </c>
      <c r="B38" s="906" t="s">
        <v>1884</v>
      </c>
      <c r="C38" s="906">
        <v>65120</v>
      </c>
      <c r="D38" s="906" t="s">
        <v>1257</v>
      </c>
      <c r="E38" s="906" t="s">
        <v>1259</v>
      </c>
      <c r="F38" s="1015">
        <f t="shared" ref="F38:L38" si="27">O25</f>
        <v>0.13582889469679427</v>
      </c>
      <c r="G38" s="1014">
        <f t="shared" si="27"/>
        <v>70.3</v>
      </c>
      <c r="H38" s="1014">
        <f t="shared" si="27"/>
        <v>47.6</v>
      </c>
      <c r="I38" s="1014">
        <f t="shared" si="27"/>
        <v>75.5</v>
      </c>
      <c r="J38" s="1013">
        <f t="shared" si="27"/>
        <v>48.5</v>
      </c>
      <c r="K38" s="1012">
        <f t="shared" si="27"/>
        <v>0</v>
      </c>
      <c r="L38" s="1011">
        <f t="shared" si="27"/>
        <v>0.13322763311626915</v>
      </c>
      <c r="N38" s="1032" t="s">
        <v>1883</v>
      </c>
      <c r="O38" s="1031"/>
      <c r="P38" s="1030">
        <v>78</v>
      </c>
      <c r="Q38" s="1029">
        <v>0</v>
      </c>
      <c r="R38" s="1029">
        <v>83</v>
      </c>
      <c r="S38" s="1028">
        <v>0</v>
      </c>
      <c r="T38" s="1027" t="s">
        <v>842</v>
      </c>
      <c r="U38" s="1026">
        <v>0.41862845445240532</v>
      </c>
      <c r="V38" s="906">
        <v>6.2480000000000002</v>
      </c>
      <c r="X38" s="906">
        <v>37</v>
      </c>
      <c r="AA38" s="906" t="s">
        <v>1849</v>
      </c>
      <c r="AB38" s="906" t="s">
        <v>1848</v>
      </c>
      <c r="AC38" s="906" t="s">
        <v>1847</v>
      </c>
      <c r="AD38" s="906" t="s">
        <v>1846</v>
      </c>
      <c r="AE38" s="906" t="s">
        <v>1845</v>
      </c>
      <c r="AV38" s="1356" t="s">
        <v>1882</v>
      </c>
      <c r="AW38" s="1356"/>
      <c r="AX38" s="1357" t="s">
        <v>1881</v>
      </c>
      <c r="AY38" s="1357"/>
      <c r="AZ38" s="1358" t="s">
        <v>1880</v>
      </c>
      <c r="BA38" s="1358"/>
      <c r="BB38" s="1359" t="s">
        <v>1879</v>
      </c>
      <c r="BC38" s="1359"/>
    </row>
    <row r="39" spans="1:73" ht="19">
      <c r="A39" s="906">
        <v>38</v>
      </c>
      <c r="B39" s="906" t="s">
        <v>1878</v>
      </c>
      <c r="C39" s="906">
        <v>29189</v>
      </c>
      <c r="D39" s="906" t="s">
        <v>1256</v>
      </c>
      <c r="E39" s="906" t="s">
        <v>1258</v>
      </c>
      <c r="F39" s="1015"/>
      <c r="G39" s="1014"/>
      <c r="H39" s="1014"/>
      <c r="I39" s="1014"/>
      <c r="J39" s="1013"/>
      <c r="K39" s="1012"/>
      <c r="L39" s="1011"/>
      <c r="N39" s="1038" t="s">
        <v>1877</v>
      </c>
      <c r="O39" s="1037"/>
      <c r="P39" s="1036">
        <v>80</v>
      </c>
      <c r="Q39" s="1014">
        <v>44</v>
      </c>
      <c r="R39" s="1014">
        <v>93</v>
      </c>
      <c r="S39" s="1013">
        <v>41</v>
      </c>
      <c r="T39" s="1012" t="s">
        <v>842</v>
      </c>
      <c r="U39" s="1035">
        <v>2.4996677333278809E-2</v>
      </c>
      <c r="V39" s="906">
        <v>286.10399999999998</v>
      </c>
      <c r="X39" s="906">
        <v>38</v>
      </c>
      <c r="AA39" s="1060">
        <v>2020</v>
      </c>
      <c r="AB39" s="1059">
        <f>(AB28+273.15+$AO$6)/((AB28+273.15+$AO$6)-($AM$6+273.15-$AO$6))*$AM$8*$AM$9</f>
        <v>7.8792999999999997</v>
      </c>
      <c r="AC39" s="1059">
        <f>(AD28+273.15+$AO$6)/((AD28+273.15+$AO$6)-($AM$6+273.15-$AO$6))*$AM$8*$AM$9</f>
        <v>8.9565649759081456</v>
      </c>
      <c r="AD39" s="1059">
        <f>(AF28+273.15+$AO$6)/((AF28+273.15+$AO$6)-($AM$6+273.15-$AO$6))*$AM$8*$AM$9</f>
        <v>7.8792999999999997</v>
      </c>
      <c r="AE39" s="1058">
        <f>(AH28+273.15+$AO$6)/((AH28+273.15+$AO$6)-($AM$6+273.15-$AO$6))*$AM$8</f>
        <v>7.0467673388242851</v>
      </c>
      <c r="AU39" s="1077"/>
      <c r="AV39" s="1076" t="s">
        <v>1876</v>
      </c>
      <c r="AW39" s="1076" t="s">
        <v>1875</v>
      </c>
      <c r="AX39" s="1075" t="s">
        <v>1874</v>
      </c>
      <c r="AY39" s="1075" t="s">
        <v>1873</v>
      </c>
      <c r="AZ39" s="1074" t="s">
        <v>1872</v>
      </c>
      <c r="BA39" s="1074" t="s">
        <v>1871</v>
      </c>
      <c r="BB39" s="1073" t="s">
        <v>1870</v>
      </c>
      <c r="BC39" s="1072" t="s">
        <v>1869</v>
      </c>
    </row>
    <row r="40" spans="1:73" ht="21">
      <c r="A40" s="906">
        <v>39</v>
      </c>
      <c r="B40" s="906" t="s">
        <v>1868</v>
      </c>
      <c r="C40" s="906">
        <v>29189</v>
      </c>
      <c r="D40" s="906" t="s">
        <v>1256</v>
      </c>
      <c r="E40" s="906" t="s">
        <v>1258</v>
      </c>
      <c r="F40" s="1015">
        <f t="shared" ref="F40:L40" si="28">O26</f>
        <v>0</v>
      </c>
      <c r="G40" s="1014">
        <f t="shared" si="28"/>
        <v>65</v>
      </c>
      <c r="H40" s="1014">
        <f t="shared" si="28"/>
        <v>35</v>
      </c>
      <c r="I40" s="1014">
        <f t="shared" si="28"/>
        <v>65</v>
      </c>
      <c r="J40" s="1013">
        <f t="shared" si="28"/>
        <v>33</v>
      </c>
      <c r="K40" s="1012" t="str">
        <f t="shared" si="28"/>
        <v/>
      </c>
      <c r="L40" s="1011">
        <f t="shared" si="28"/>
        <v>0.16795656732669273</v>
      </c>
      <c r="N40" s="1038" t="s">
        <v>1867</v>
      </c>
      <c r="O40" s="1037"/>
      <c r="P40" s="1036">
        <v>70</v>
      </c>
      <c r="Q40" s="1014">
        <v>40</v>
      </c>
      <c r="R40" s="1014">
        <v>72</v>
      </c>
      <c r="S40" s="1013">
        <v>36</v>
      </c>
      <c r="T40" s="1012">
        <v>32.408687686394138</v>
      </c>
      <c r="U40" s="1035">
        <v>0.19836697371627801</v>
      </c>
      <c r="V40" s="906">
        <v>448.43799999999999</v>
      </c>
      <c r="X40" s="906">
        <v>39</v>
      </c>
      <c r="AA40" s="1057">
        <v>2030</v>
      </c>
      <c r="AB40" s="908">
        <f>(AB29+273.15+$AO$6)/((AB29+273.15+$AO$6)-($AM$6+273.15-$AO$6))*$AM$8*$AM$9</f>
        <v>9.7116249999999997</v>
      </c>
      <c r="AC40" s="908">
        <f>(AD29+273.15+$AO$6)/((AD29+273.15+$AO$6)-($AM$6+273.15-$AO$6))*$AM$8*$AM$9</f>
        <v>11.220841505845954</v>
      </c>
      <c r="AD40" s="908">
        <f>(AF29+273.15+$AO$6)/((AF29+273.15+$AO$6)-($AM$6+273.15-$AO$6))*$AM$8*$AM$9</f>
        <v>9.7116249999999997</v>
      </c>
      <c r="AE40" s="1056">
        <f>(AH29+273.15+$AO$6)/((AH29+273.15+$AO$6)-($AM$6+273.15-$AO$6))*$AM$8</f>
        <v>8.5764189396431263</v>
      </c>
      <c r="AU40" s="1057">
        <v>2020</v>
      </c>
      <c r="AV40" s="1071">
        <f t="shared" ref="AV40:BC42" si="29">AV35+273.15</f>
        <v>348.15</v>
      </c>
      <c r="AW40" s="1071">
        <f t="shared" si="29"/>
        <v>313.14999999999998</v>
      </c>
      <c r="AX40" s="1070">
        <f t="shared" si="29"/>
        <v>347.44778339686241</v>
      </c>
      <c r="AY40" s="1070">
        <f t="shared" si="29"/>
        <v>313.30651664645512</v>
      </c>
      <c r="AZ40" s="1069">
        <f t="shared" si="29"/>
        <v>348.15</v>
      </c>
      <c r="BA40" s="1069">
        <f t="shared" si="29"/>
        <v>313.14999999999998</v>
      </c>
      <c r="BB40" s="1068">
        <f t="shared" si="29"/>
        <v>348.85221660313755</v>
      </c>
      <c r="BC40" s="1067">
        <f t="shared" si="29"/>
        <v>312.99348335354483</v>
      </c>
    </row>
    <row r="41" spans="1:73" ht="22" thickBot="1">
      <c r="A41" s="906">
        <v>40</v>
      </c>
      <c r="B41" s="906" t="s">
        <v>1866</v>
      </c>
      <c r="C41" s="906">
        <v>29189</v>
      </c>
      <c r="D41" s="906" t="s">
        <v>1256</v>
      </c>
      <c r="E41" s="906" t="s">
        <v>1258</v>
      </c>
      <c r="F41" s="1015">
        <f t="shared" ref="F41:K42" si="30">O27</f>
        <v>0</v>
      </c>
      <c r="G41" s="1014">
        <f t="shared" si="30"/>
        <v>69</v>
      </c>
      <c r="H41" s="1014">
        <f t="shared" si="30"/>
        <v>0</v>
      </c>
      <c r="I41" s="1014">
        <f t="shared" si="30"/>
        <v>78</v>
      </c>
      <c r="J41" s="1013">
        <f t="shared" si="30"/>
        <v>0</v>
      </c>
      <c r="K41" s="1012" t="str">
        <f t="shared" si="30"/>
        <v/>
      </c>
      <c r="L41" s="1016">
        <v>0.22800028617798151</v>
      </c>
      <c r="N41" s="1032" t="s">
        <v>1865</v>
      </c>
      <c r="O41" s="1031"/>
      <c r="P41" s="1030">
        <v>75</v>
      </c>
      <c r="Q41" s="1029">
        <v>40</v>
      </c>
      <c r="R41" s="1029">
        <v>85</v>
      </c>
      <c r="S41" s="1028">
        <v>38</v>
      </c>
      <c r="T41" s="1027" t="s">
        <v>842</v>
      </c>
      <c r="U41" s="1026">
        <v>0.10113396244729383</v>
      </c>
      <c r="V41" s="906">
        <v>842.69500000000005</v>
      </c>
      <c r="X41" s="906">
        <v>40</v>
      </c>
      <c r="AA41" s="1055">
        <v>2050</v>
      </c>
      <c r="AB41" s="1054">
        <f>(AB30+273.15+$AO$6)/((AB30+273.15+$AO$6)-($AM$6+273.15-$AO$6))*$AM$8*$AM$9</f>
        <v>18.873249999999999</v>
      </c>
      <c r="AC41" s="1054">
        <f>(AD30+273.15+$AO$6)/((AD30+273.15+$AO$6)-($AM$6+273.15-$AO$6))*$AM$8*$AM$9</f>
        <v>24.086776445436499</v>
      </c>
      <c r="AD41" s="1054">
        <f>(AF30+273.15+$AO$6)/((AF30+273.15+$AO$6)-($AM$6+273.15-$AO$6))*$AM$8*$AM$9</f>
        <v>18.873249999999999</v>
      </c>
      <c r="AE41" s="1053">
        <f>(AH30+273.15+$AO$6)/((AH30+273.15+$AO$6)-($AM$6+273.15-$AO$6))*$AM$8</f>
        <v>15.550545929578862</v>
      </c>
      <c r="AU41" s="1057">
        <v>2030</v>
      </c>
      <c r="AV41" s="1071">
        <f t="shared" si="29"/>
        <v>343.15</v>
      </c>
      <c r="AW41" s="1071">
        <f t="shared" si="29"/>
        <v>308.14999999999998</v>
      </c>
      <c r="AX41" s="1070">
        <f t="shared" si="29"/>
        <v>342.54090697358384</v>
      </c>
      <c r="AY41" s="1070">
        <f t="shared" si="29"/>
        <v>308.32317427302746</v>
      </c>
      <c r="AZ41" s="1069">
        <f t="shared" si="29"/>
        <v>343.15</v>
      </c>
      <c r="BA41" s="1069">
        <f t="shared" si="29"/>
        <v>308.14999999999998</v>
      </c>
      <c r="BB41" s="1068">
        <f t="shared" si="29"/>
        <v>343.75909302641611</v>
      </c>
      <c r="BC41" s="1067">
        <f t="shared" si="29"/>
        <v>307.97682572697249</v>
      </c>
    </row>
    <row r="42" spans="1:73" ht="22" thickBot="1">
      <c r="A42" s="906">
        <v>41</v>
      </c>
      <c r="B42" s="906" t="s">
        <v>1864</v>
      </c>
      <c r="C42" s="906">
        <v>29189</v>
      </c>
      <c r="D42" s="906" t="s">
        <v>1256</v>
      </c>
      <c r="E42" s="906" t="s">
        <v>1258</v>
      </c>
      <c r="F42" s="1015">
        <f t="shared" si="30"/>
        <v>0</v>
      </c>
      <c r="G42" s="1014">
        <f t="shared" si="30"/>
        <v>70</v>
      </c>
      <c r="H42" s="1014">
        <f t="shared" si="30"/>
        <v>43</v>
      </c>
      <c r="I42" s="1014">
        <f t="shared" si="30"/>
        <v>76</v>
      </c>
      <c r="J42" s="1013">
        <f t="shared" si="30"/>
        <v>36</v>
      </c>
      <c r="K42" s="1012" t="str">
        <f t="shared" si="30"/>
        <v/>
      </c>
      <c r="L42" s="1011">
        <f>U28</f>
        <v>0.26724137931034481</v>
      </c>
      <c r="N42" s="1032" t="s">
        <v>1863</v>
      </c>
      <c r="O42" s="1031"/>
      <c r="P42" s="1030">
        <v>72</v>
      </c>
      <c r="Q42" s="1029">
        <v>40</v>
      </c>
      <c r="R42" s="1029">
        <v>78</v>
      </c>
      <c r="S42" s="1028">
        <v>35</v>
      </c>
      <c r="T42" s="1027">
        <v>54.930040106085251</v>
      </c>
      <c r="U42" s="1026">
        <v>0.28083553337884187</v>
      </c>
      <c r="V42" s="906">
        <v>32.595999999999997</v>
      </c>
      <c r="X42" s="906">
        <v>41</v>
      </c>
      <c r="AU42" s="1055">
        <v>2050</v>
      </c>
      <c r="AV42" s="1066">
        <f t="shared" si="29"/>
        <v>333.15</v>
      </c>
      <c r="AW42" s="1066">
        <f t="shared" si="29"/>
        <v>303.14999999999998</v>
      </c>
      <c r="AX42" s="1065">
        <f t="shared" si="29"/>
        <v>332.67086434268538</v>
      </c>
      <c r="AY42" s="1064">
        <f t="shared" si="29"/>
        <v>303.29741740364727</v>
      </c>
      <c r="AZ42" s="1063">
        <f t="shared" si="29"/>
        <v>333.15</v>
      </c>
      <c r="BA42" s="1063">
        <f t="shared" si="29"/>
        <v>303.14999999999998</v>
      </c>
      <c r="BB42" s="1062">
        <f t="shared" si="29"/>
        <v>333.62913565731463</v>
      </c>
      <c r="BC42" s="1061">
        <f t="shared" si="29"/>
        <v>303.00258259635268</v>
      </c>
    </row>
    <row r="43" spans="1:73">
      <c r="A43" s="906">
        <v>42</v>
      </c>
      <c r="B43" s="906" t="s">
        <v>1862</v>
      </c>
      <c r="C43" s="906">
        <v>29189</v>
      </c>
      <c r="D43" s="906" t="s">
        <v>1256</v>
      </c>
      <c r="E43" s="906" t="s">
        <v>1258</v>
      </c>
      <c r="F43" s="1015"/>
      <c r="G43" s="1014"/>
      <c r="H43" s="1014"/>
      <c r="I43" s="1014"/>
      <c r="J43" s="1013"/>
      <c r="K43" s="1012"/>
      <c r="L43" s="1011"/>
      <c r="N43" s="1032" t="s">
        <v>1861</v>
      </c>
      <c r="O43" s="1031"/>
      <c r="P43" s="1030">
        <v>72</v>
      </c>
      <c r="Q43" s="1029">
        <v>0</v>
      </c>
      <c r="R43" s="1029">
        <v>80</v>
      </c>
      <c r="S43" s="1028">
        <v>0</v>
      </c>
      <c r="T43" s="1027" t="s">
        <v>842</v>
      </c>
      <c r="U43" s="1026"/>
      <c r="V43" s="906" t="s">
        <v>842</v>
      </c>
      <c r="X43" s="906">
        <v>42</v>
      </c>
    </row>
    <row r="44" spans="1:73" ht="16" thickBot="1">
      <c r="A44" s="906">
        <v>43</v>
      </c>
      <c r="B44" s="906" t="s">
        <v>1860</v>
      </c>
      <c r="C44" s="906">
        <v>29189</v>
      </c>
      <c r="D44" s="906" t="s">
        <v>1256</v>
      </c>
      <c r="E44" s="906" t="s">
        <v>1258</v>
      </c>
      <c r="F44" s="1015">
        <f t="shared" ref="F44:L44" si="31">O29</f>
        <v>3.0235450529656475E-2</v>
      </c>
      <c r="G44" s="1014">
        <f t="shared" si="31"/>
        <v>70</v>
      </c>
      <c r="H44" s="1014">
        <f t="shared" si="31"/>
        <v>39</v>
      </c>
      <c r="I44" s="1014">
        <f t="shared" si="31"/>
        <v>70</v>
      </c>
      <c r="J44" s="1013">
        <f t="shared" si="31"/>
        <v>36</v>
      </c>
      <c r="K44" s="1012">
        <f t="shared" si="31"/>
        <v>34.829437787688285</v>
      </c>
      <c r="L44" s="1011">
        <f t="shared" si="31"/>
        <v>0.24540067220944631</v>
      </c>
      <c r="N44" s="1032" t="s">
        <v>1859</v>
      </c>
      <c r="O44" s="1031">
        <v>4.4507744347516464E-3</v>
      </c>
      <c r="P44" s="1030">
        <v>72</v>
      </c>
      <c r="Q44" s="1029">
        <v>42</v>
      </c>
      <c r="R44" s="1029">
        <v>75</v>
      </c>
      <c r="S44" s="1028">
        <v>39</v>
      </c>
      <c r="T44" s="1027" t="s">
        <v>842</v>
      </c>
      <c r="U44" s="1026">
        <v>0.28107117310443491</v>
      </c>
      <c r="V44" s="906">
        <v>16.081</v>
      </c>
      <c r="X44" s="906">
        <v>43</v>
      </c>
      <c r="AC44" s="1354" t="str">
        <f>AA32</f>
        <v>LTMEH</v>
      </c>
      <c r="AD44" s="1354"/>
      <c r="AE44" s="1354"/>
      <c r="AU44" s="906" t="s">
        <v>1836</v>
      </c>
      <c r="AV44" s="906" t="s">
        <v>1848</v>
      </c>
      <c r="AW44" s="906" t="s">
        <v>1847</v>
      </c>
      <c r="AX44" s="906" t="s">
        <v>1846</v>
      </c>
      <c r="AY44" s="906" t="s">
        <v>1845</v>
      </c>
    </row>
    <row r="45" spans="1:73" ht="19">
      <c r="A45" s="906">
        <v>44</v>
      </c>
      <c r="B45" s="906" t="s">
        <v>1858</v>
      </c>
      <c r="C45" s="906">
        <v>29188</v>
      </c>
      <c r="D45" s="906" t="s">
        <v>1256</v>
      </c>
      <c r="E45" s="906" t="s">
        <v>1259</v>
      </c>
      <c r="F45" s="1015"/>
      <c r="G45" s="1014"/>
      <c r="H45" s="1014"/>
      <c r="I45" s="1014"/>
      <c r="J45" s="1013"/>
      <c r="K45" s="1012"/>
      <c r="L45" s="1011"/>
      <c r="N45" s="1032" t="s">
        <v>1857</v>
      </c>
      <c r="O45" s="1031">
        <v>0.26081833761782347</v>
      </c>
      <c r="P45" s="1030">
        <v>75</v>
      </c>
      <c r="Q45" s="1029">
        <v>42</v>
      </c>
      <c r="R45" s="1029">
        <v>85</v>
      </c>
      <c r="S45" s="1028">
        <v>42</v>
      </c>
      <c r="T45" s="1027" t="s">
        <v>842</v>
      </c>
      <c r="U45" s="1026"/>
      <c r="V45" s="906" t="s">
        <v>842</v>
      </c>
      <c r="X45" s="906">
        <v>44</v>
      </c>
      <c r="AC45" s="906" t="s">
        <v>694</v>
      </c>
      <c r="AD45" s="906">
        <v>2020</v>
      </c>
      <c r="AE45" s="908">
        <f>AE33</f>
        <v>4.7567276508595668</v>
      </c>
      <c r="AU45" s="1060">
        <v>2020</v>
      </c>
      <c r="AV45" s="1059">
        <f>((AW40-AV40)/LN(AW40/AV40))/((AW40-AV40)/LN(AW40/AV40)-($BI$5-$BK$5-$BM$5)/LN(($BI$5-$BK$5)/$BM$5))*$CB20</f>
        <v>6.6445378076781401</v>
      </c>
      <c r="AW45" s="1059">
        <f>((AY40-AX40)/LN(AY40/AX40))/((AY40-AX40)/LN(AY40/AX40)-($BI$5-$BK$5-$BM$5)/LN(($BI$5-$BK$5)/$BM$5))*$CB20</f>
        <v>6.6908556685573926</v>
      </c>
      <c r="AX45" s="1059">
        <f>((BA40-AZ40)/LN(BA40/AZ40))/((BA40-AZ40)/LN(BA40/AZ40)-($BI$5-$BK$5-$BM$5)/LN(($BI$5-$BK$5)/$BM$5))*$CB20</f>
        <v>6.6445378076781401</v>
      </c>
      <c r="AY45" s="1058">
        <f>((BC40-BB40)/LN(BC40/BB40))/((BC40-BB40)/LN(BC40/BB40)-($BI$5-$BK$5-$BM$5)/LN(($BI$5-$BK$5)/$BM$5))*$CB20</f>
        <v>6.5989887992630001</v>
      </c>
      <c r="BA45" s="908"/>
    </row>
    <row r="46" spans="1:73" ht="19">
      <c r="A46" s="906">
        <v>45</v>
      </c>
      <c r="B46" s="906" t="s">
        <v>1856</v>
      </c>
      <c r="C46" s="906">
        <v>29189</v>
      </c>
      <c r="D46" s="906" t="s">
        <v>1256</v>
      </c>
      <c r="E46" s="906" t="s">
        <v>1258</v>
      </c>
      <c r="F46" s="1015">
        <f t="shared" ref="F46:L46" si="32">O30</f>
        <v>0</v>
      </c>
      <c r="G46" s="1014">
        <f t="shared" si="32"/>
        <v>65</v>
      </c>
      <c r="H46" s="1014">
        <f t="shared" si="32"/>
        <v>48</v>
      </c>
      <c r="I46" s="1014">
        <f t="shared" si="32"/>
        <v>67</v>
      </c>
      <c r="J46" s="1013">
        <f t="shared" si="32"/>
        <v>43</v>
      </c>
      <c r="K46" s="1012">
        <f t="shared" si="32"/>
        <v>27.127571597013578</v>
      </c>
      <c r="L46" s="1011">
        <f t="shared" si="32"/>
        <v>0.32371300580157158</v>
      </c>
      <c r="N46" s="1032" t="s">
        <v>1793</v>
      </c>
      <c r="O46" s="1031"/>
      <c r="P46" s="1030">
        <v>75</v>
      </c>
      <c r="Q46" s="1029">
        <v>42</v>
      </c>
      <c r="R46" s="1029">
        <v>85</v>
      </c>
      <c r="S46" s="1028">
        <v>36</v>
      </c>
      <c r="T46" s="1027">
        <v>34.802769684210524</v>
      </c>
      <c r="U46" s="1026">
        <v>0.17170737620018459</v>
      </c>
      <c r="V46" s="906">
        <v>1590.2919999999999</v>
      </c>
      <c r="X46" s="906">
        <v>45</v>
      </c>
      <c r="AC46" s="906" t="s">
        <v>691</v>
      </c>
      <c r="AD46" s="906">
        <v>2020</v>
      </c>
      <c r="AE46" s="908">
        <f>AB33</f>
        <v>5.111381578947368</v>
      </c>
      <c r="AU46" s="1057">
        <v>2030</v>
      </c>
      <c r="AV46" s="908">
        <f>((AW41-AV41)/LN(AW41/AV41))/((AW41-AV41)/LN(AW41/AV41)-($BI$5-$BK$5-$BM$5)/LN(($BI$5-$BK$5)/$BM$5))*$CB21</f>
        <v>8.3083053026786882</v>
      </c>
      <c r="AW46" s="908">
        <f>((AY41-AX41)/LN(AY41/AX41))/((AY41-AX41)/LN(AY41/AX41)-($BI$5-$BK$5-$BM$5)/LN(($BI$5-$BK$5)/$BM$5))*$CB21</f>
        <v>8.3629861752110095</v>
      </c>
      <c r="AX46" s="908">
        <f>((BA41-AZ41)/LN(BA41/AZ41))/((BA41-AZ41)/LN(BA41/AZ41)-($BI$5-$BK$5-$BM$5)/LN(($BI$5-$BK$5)/$BM$5))*$CB21</f>
        <v>8.3083053026786882</v>
      </c>
      <c r="AY46" s="1056">
        <f>((BC41-BB41)/LN(BC41/BB41))/((BC41-BB41)/LN(BC41/BB41)-($BI$5-$BK$5-$BM$5)/LN(($BI$5-$BK$5)/$BM$5))*$CB21</f>
        <v>8.2544797063462862</v>
      </c>
      <c r="BA46" s="908"/>
    </row>
    <row r="47" spans="1:73" ht="20" thickBot="1">
      <c r="A47" s="906">
        <v>46</v>
      </c>
      <c r="B47" s="906" t="s">
        <v>1855</v>
      </c>
      <c r="C47" s="906">
        <v>29189</v>
      </c>
      <c r="D47" s="906" t="s">
        <v>1256</v>
      </c>
      <c r="E47" s="906" t="s">
        <v>1259</v>
      </c>
      <c r="F47" s="1015"/>
      <c r="G47" s="1014"/>
      <c r="H47" s="1014"/>
      <c r="I47" s="1014"/>
      <c r="J47" s="1013"/>
      <c r="K47" s="1012"/>
      <c r="L47" s="1011"/>
      <c r="N47" s="1032" t="s">
        <v>1854</v>
      </c>
      <c r="O47" s="1031"/>
      <c r="P47" s="1030">
        <v>165</v>
      </c>
      <c r="Q47" s="1029">
        <v>100</v>
      </c>
      <c r="R47" s="1029">
        <v>165</v>
      </c>
      <c r="S47" s="1028">
        <v>70</v>
      </c>
      <c r="T47" s="1027" t="s">
        <v>842</v>
      </c>
      <c r="U47" s="1026">
        <v>0.2390308275898915</v>
      </c>
      <c r="V47" s="1018">
        <v>71.215299999999999</v>
      </c>
      <c r="W47" s="1018"/>
      <c r="X47" s="1018">
        <v>46</v>
      </c>
      <c r="AC47" s="906" t="s">
        <v>693</v>
      </c>
      <c r="AD47" s="906">
        <v>2020</v>
      </c>
      <c r="AE47" s="908">
        <f>AC33</f>
        <v>5.5313402845447772</v>
      </c>
      <c r="AU47" s="1055">
        <v>2050</v>
      </c>
      <c r="AV47" s="1054">
        <f>((AW42-AV42)/LN(AW42/AV42))/((AW42-AV42)/LN(AW42/AV42)-($BI$5-$BK$5-$BM$5)/LN(($BI$5-$BK$5)/$BM$5))*$CB22</f>
        <v>10.514574982307002</v>
      </c>
      <c r="AW47" s="1054">
        <f>((AY42-AX42)/LN(AY42/AX42))/((AY42-AX42)/LN(AY42/AX42)-($BI$5-$BK$5-$BM$5)/LN(($BI$5-$BK$5)/$BM$5))*$CB22</f>
        <v>10.5877985827362</v>
      </c>
      <c r="AX47" s="1054">
        <f>((BA42-AZ42)/LN(BA42/AZ42))/((BA42-AZ42)/LN(BA42/AZ42)-($BI$5-$BK$5-$BM$5)/LN(($BI$5-$BK$5)/$BM$5))*$CB22</f>
        <v>10.514574982307002</v>
      </c>
      <c r="AY47" s="1053">
        <f>((BC42-BB42)/LN(BC42/BB42))/((BC42-BB42)/LN(BC42/BB42)-($BI$5-$BK$5-$BM$5)/LN(($BI$5-$BK$5)/$BM$5))*$CB22</f>
        <v>10.442517635565746</v>
      </c>
      <c r="BA47" s="908"/>
    </row>
    <row r="48" spans="1:73">
      <c r="A48" s="906">
        <v>47</v>
      </c>
      <c r="B48" s="906" t="s">
        <v>1853</v>
      </c>
      <c r="C48" s="906">
        <v>29189</v>
      </c>
      <c r="D48" s="906" t="s">
        <v>1256</v>
      </c>
      <c r="E48" s="906" t="s">
        <v>1258</v>
      </c>
      <c r="F48" s="1015"/>
      <c r="G48" s="1014"/>
      <c r="H48" s="1014"/>
      <c r="I48" s="1014"/>
      <c r="J48" s="1013"/>
      <c r="K48" s="1012"/>
      <c r="L48" s="1011"/>
      <c r="N48" s="1032" t="s">
        <v>1787</v>
      </c>
      <c r="O48" s="1031"/>
      <c r="P48" s="1030">
        <v>76</v>
      </c>
      <c r="Q48" s="1029">
        <v>0</v>
      </c>
      <c r="R48" s="1029">
        <v>80</v>
      </c>
      <c r="S48" s="1028">
        <v>0</v>
      </c>
      <c r="T48" s="1027" t="s">
        <v>842</v>
      </c>
      <c r="U48" s="1026">
        <v>0.30656911045818702</v>
      </c>
      <c r="V48" s="906">
        <v>43.52</v>
      </c>
      <c r="X48" s="906">
        <v>47</v>
      </c>
      <c r="AC48" s="906" t="s">
        <v>25</v>
      </c>
      <c r="AD48" s="906">
        <v>2020</v>
      </c>
      <c r="AE48" s="908">
        <f>AD33</f>
        <v>5.111381578947368</v>
      </c>
    </row>
    <row r="49" spans="1:63">
      <c r="A49" s="906">
        <v>48</v>
      </c>
      <c r="B49" s="906" t="s">
        <v>1852</v>
      </c>
      <c r="C49" s="906">
        <v>29189</v>
      </c>
      <c r="D49" s="906" t="s">
        <v>1256</v>
      </c>
      <c r="E49" s="906" t="s">
        <v>1258</v>
      </c>
      <c r="F49" s="1015"/>
      <c r="G49" s="1014"/>
      <c r="H49" s="1014"/>
      <c r="I49" s="1014"/>
      <c r="J49" s="1013"/>
      <c r="K49" s="1012"/>
      <c r="L49" s="1011"/>
      <c r="N49" s="1032" t="s">
        <v>1780</v>
      </c>
      <c r="O49" s="1031"/>
      <c r="P49" s="1030">
        <v>65</v>
      </c>
      <c r="Q49" s="1029">
        <v>45</v>
      </c>
      <c r="R49" s="1029">
        <v>75</v>
      </c>
      <c r="S49" s="1028">
        <v>41</v>
      </c>
      <c r="T49" s="1027">
        <v>31.617746183189187</v>
      </c>
      <c r="U49" s="1026">
        <v>0.12362072151822474</v>
      </c>
      <c r="V49" s="906">
        <v>238.42746296000001</v>
      </c>
      <c r="X49" s="906">
        <v>48</v>
      </c>
      <c r="AC49" s="906" t="s">
        <v>694</v>
      </c>
      <c r="AD49" s="906">
        <v>2030</v>
      </c>
      <c r="AE49" s="908">
        <f>AE34</f>
        <v>5.3878151203710809</v>
      </c>
    </row>
    <row r="50" spans="1:63" ht="16" thickBot="1">
      <c r="A50" s="906">
        <v>49</v>
      </c>
      <c r="B50" s="906" t="s">
        <v>1851</v>
      </c>
      <c r="C50" s="906">
        <v>29189</v>
      </c>
      <c r="D50" s="906" t="s">
        <v>1256</v>
      </c>
      <c r="E50" s="906" t="s">
        <v>1258</v>
      </c>
      <c r="F50" s="1015"/>
      <c r="G50" s="1014"/>
      <c r="H50" s="1014"/>
      <c r="I50" s="1014"/>
      <c r="J50" s="1013"/>
      <c r="K50" s="1012"/>
      <c r="L50" s="1011"/>
      <c r="N50" s="1032" t="s">
        <v>1850</v>
      </c>
      <c r="O50" s="1031">
        <v>2.4049357844371694E-2</v>
      </c>
      <c r="P50" s="1030">
        <v>70</v>
      </c>
      <c r="Q50" s="1029">
        <v>40</v>
      </c>
      <c r="R50" s="1029">
        <v>73</v>
      </c>
      <c r="S50" s="1028">
        <v>33</v>
      </c>
      <c r="T50" s="1027">
        <v>35.076642969526986</v>
      </c>
      <c r="U50" s="1026">
        <v>0.25854728422139078</v>
      </c>
      <c r="V50" s="906">
        <v>11.494</v>
      </c>
      <c r="X50" s="906">
        <v>49</v>
      </c>
      <c r="AC50" s="906" t="s">
        <v>691</v>
      </c>
      <c r="AD50" s="906">
        <v>2030</v>
      </c>
      <c r="AE50" s="908">
        <f>AB34</f>
        <v>5.8025000000000002</v>
      </c>
      <c r="AU50" s="906" t="s">
        <v>1849</v>
      </c>
      <c r="AV50" s="906" t="s">
        <v>1848</v>
      </c>
      <c r="AW50" s="906" t="s">
        <v>1847</v>
      </c>
      <c r="AX50" s="906" t="s">
        <v>1846</v>
      </c>
      <c r="AY50" s="906" t="s">
        <v>1845</v>
      </c>
    </row>
    <row r="51" spans="1:63" ht="19">
      <c r="A51" s="906">
        <v>50</v>
      </c>
      <c r="B51" s="906" t="s">
        <v>1844</v>
      </c>
      <c r="C51" s="906">
        <v>11715</v>
      </c>
      <c r="D51" s="906" t="s">
        <v>1257</v>
      </c>
      <c r="E51" s="906" t="s">
        <v>1259</v>
      </c>
      <c r="F51" s="1015"/>
      <c r="G51" s="1014"/>
      <c r="H51" s="1014"/>
      <c r="I51" s="1014"/>
      <c r="J51" s="1013"/>
      <c r="K51" s="1012"/>
      <c r="L51" s="1011"/>
      <c r="N51" s="1032" t="s">
        <v>1843</v>
      </c>
      <c r="O51" s="1031"/>
      <c r="P51" s="1030">
        <v>75.900000000000006</v>
      </c>
      <c r="Q51" s="1029">
        <v>49.2</v>
      </c>
      <c r="R51" s="1029">
        <v>82.5</v>
      </c>
      <c r="S51" s="1028">
        <v>47.9</v>
      </c>
      <c r="T51" s="1027" t="s">
        <v>842</v>
      </c>
      <c r="U51" s="1026">
        <v>7.2431643736827686E-2</v>
      </c>
      <c r="V51" s="906">
        <v>663.69</v>
      </c>
      <c r="X51" s="906">
        <v>50</v>
      </c>
      <c r="AC51" s="906" t="s">
        <v>693</v>
      </c>
      <c r="AD51" s="906">
        <v>2030</v>
      </c>
      <c r="AE51" s="908">
        <f>AC34</f>
        <v>6.2949413733486246</v>
      </c>
      <c r="AU51" s="1060">
        <v>2020</v>
      </c>
      <c r="AV51" s="1059">
        <f>((AW40-AV40)/LN(AW40/AV40))/((AW40-AV40)/LN(AW40/AV40)-($BI$6-$BK$6-$BM$6)/LN(($BI$6-$BK$6)/$BM$6))*$CB20</f>
        <v>11.009210126041081</v>
      </c>
      <c r="AW51" s="1059">
        <f>((AY40-AX40)/LN(AY40/AX40))/((AY40-AX40)/LN(AY40/AX40)-($BI$6-$BK$6-$BM$6)/LN(($BI$6-$BK$6)/$BM$6))*$CB20</f>
        <v>11.142739240666591</v>
      </c>
      <c r="AX51" s="1059">
        <f>((BA40-AZ40)/LN(BA40/AZ40))/((BA40-AZ40)/LN(BA40/AZ40)-($BI$6-$BK$6-$BM$6)/LN(($BI$6-$BK$6)/$BM$6))*$CB20</f>
        <v>11.009210126041081</v>
      </c>
      <c r="AY51" s="1058">
        <f>((BC40-BB40)/LN(BC40/BB40))/((BC40-BB40)/LN(BC40/BB40)-($BI$6-$BK$6-$BM$6)/LN(($BI$6-$BK$6)/$BM$6))*$CB20</f>
        <v>10.87921819581009</v>
      </c>
    </row>
    <row r="52" spans="1:63" ht="19">
      <c r="A52" s="906">
        <v>51</v>
      </c>
      <c r="B52" s="906" t="s">
        <v>1842</v>
      </c>
      <c r="C52" s="906">
        <v>29189</v>
      </c>
      <c r="D52" s="906" t="s">
        <v>1256</v>
      </c>
      <c r="E52" s="906" t="s">
        <v>1258</v>
      </c>
      <c r="F52" s="1015">
        <f t="shared" ref="F52:L53" si="33">O31</f>
        <v>1.843368237347295E-2</v>
      </c>
      <c r="G52" s="1014">
        <f t="shared" si="33"/>
        <v>68</v>
      </c>
      <c r="H52" s="1014">
        <f t="shared" si="33"/>
        <v>36</v>
      </c>
      <c r="I52" s="1014">
        <f t="shared" si="33"/>
        <v>72</v>
      </c>
      <c r="J52" s="1013">
        <f t="shared" si="33"/>
        <v>36</v>
      </c>
      <c r="K52" s="1012">
        <f t="shared" si="33"/>
        <v>34.286461102250577</v>
      </c>
      <c r="L52" s="1011">
        <f t="shared" si="33"/>
        <v>0.16590732303589287</v>
      </c>
      <c r="N52" s="1032" t="s">
        <v>1774</v>
      </c>
      <c r="O52" s="1031">
        <v>2.7058694647798771E-2</v>
      </c>
      <c r="P52" s="1030">
        <v>75</v>
      </c>
      <c r="Q52" s="1029">
        <v>70</v>
      </c>
      <c r="R52" s="1029">
        <v>85</v>
      </c>
      <c r="S52" s="1028">
        <v>75</v>
      </c>
      <c r="T52" s="1027"/>
      <c r="U52" s="1026">
        <v>0.17929211337935086</v>
      </c>
      <c r="V52" s="906">
        <v>167.64599999999999</v>
      </c>
      <c r="X52" s="906">
        <v>51</v>
      </c>
      <c r="AC52" s="906" t="s">
        <v>25</v>
      </c>
      <c r="AD52" s="906">
        <v>2030</v>
      </c>
      <c r="AE52" s="908">
        <f>AD34</f>
        <v>5.8025000000000002</v>
      </c>
      <c r="AU52" s="1057">
        <v>2030</v>
      </c>
      <c r="AV52" s="908">
        <f>((AW41-AV41)/LN(AW41/AV41))/((AW41-AV41)/LN(AW41/AV41)-($BI$6-$BK$6-$BM$6)/LN(($BI$6-$BK$6)/$BM$6))*$CB21</f>
        <v>15.559264158948105</v>
      </c>
      <c r="AW52" s="908">
        <f>((AY41-AX41)/LN(AY41/AX41))/((AY41-AX41)/LN(AY41/AX41)-($BI$6-$BK$6-$BM$6)/LN(($BI$6-$BK$6)/$BM$6))*$CB21</f>
        <v>15.760895171138014</v>
      </c>
      <c r="AX52" s="908">
        <f>((BA41-AZ41)/LN(BA41/AZ41))/((BA41-AZ41)/LN(BA41/AZ41)-($BI$6-$BK$6-$BM$6)/LN(($BI$6-$BK$6)/$BM$6))*$CB21</f>
        <v>15.559264158948105</v>
      </c>
      <c r="AY52" s="1056">
        <f>((BC41-BB41)/LN(BC41/BB41))/((BC41-BB41)/LN(BC41/BB41)-($BI$6-$BK$6-$BM$6)/LN(($BI$6-$BK$6)/$BM$6))*$CB21</f>
        <v>15.363251250973041</v>
      </c>
    </row>
    <row r="53" spans="1:63" ht="20" thickBot="1">
      <c r="A53" s="906">
        <v>52</v>
      </c>
      <c r="B53" s="906" t="s">
        <v>1841</v>
      </c>
      <c r="C53" s="906">
        <v>29189</v>
      </c>
      <c r="D53" s="906" t="s">
        <v>1256</v>
      </c>
      <c r="E53" s="906" t="s">
        <v>1258</v>
      </c>
      <c r="F53" s="1015">
        <f t="shared" si="33"/>
        <v>0</v>
      </c>
      <c r="G53" s="1014">
        <f t="shared" si="33"/>
        <v>70</v>
      </c>
      <c r="H53" s="1014">
        <f t="shared" si="33"/>
        <v>0</v>
      </c>
      <c r="I53" s="1014">
        <f t="shared" si="33"/>
        <v>76</v>
      </c>
      <c r="J53" s="1013">
        <f t="shared" si="33"/>
        <v>0</v>
      </c>
      <c r="K53" s="1012">
        <f t="shared" si="33"/>
        <v>47.210473186119877</v>
      </c>
      <c r="L53" s="1011">
        <f t="shared" si="33"/>
        <v>0.22411217101482589</v>
      </c>
      <c r="N53" s="1032" t="s">
        <v>1840</v>
      </c>
      <c r="O53" s="1031"/>
      <c r="P53" s="1030">
        <v>69</v>
      </c>
      <c r="Q53" s="1029">
        <v>44</v>
      </c>
      <c r="R53" s="1029">
        <v>75</v>
      </c>
      <c r="S53" s="1028">
        <v>41</v>
      </c>
      <c r="T53" s="1027" t="s">
        <v>842</v>
      </c>
      <c r="U53" s="1026"/>
      <c r="V53" s="906" t="s">
        <v>842</v>
      </c>
      <c r="X53" s="906">
        <v>52</v>
      </c>
      <c r="AC53" s="906" t="s">
        <v>694</v>
      </c>
      <c r="AD53" s="906">
        <v>2050</v>
      </c>
      <c r="AE53" s="908">
        <f>AE35</f>
        <v>7.4241669232417449</v>
      </c>
      <c r="AU53" s="1055">
        <v>2050</v>
      </c>
      <c r="AV53" s="1054">
        <f>((AW42-AV42)/LN(AW42/AV42))/((AW42-AV42)/LN(AW42/AV42)-($BI$6-$BK$6-$BM$6)/LN(($BI$6-$BK$6)/$BM$6))*$CB22</f>
        <v>28.413900873646334</v>
      </c>
      <c r="AW53" s="1054">
        <f>((AY42-AX42)/LN(AY42/AX42))/((AY42-AX42)/LN(AY42/AX42)-($BI$6-$BK$6-$BM$6)/LN(($BI$6-$BK$6)/$BM$6))*$CB22</f>
        <v>28.979755737759366</v>
      </c>
      <c r="AX53" s="1054">
        <f>((BA42-AZ42)/LN(BA42/AZ42))/((BA42-AZ42)/LN(BA42/AZ42)-($BI$6-$BK$6-$BM$6)/LN(($BI$6-$BK$6)/$BM$6))*$CB22</f>
        <v>28.413900873646334</v>
      </c>
      <c r="AY53" s="1053">
        <f>((BC42-BB42)/LN(BC42/BB42))/((BC42-BB42)/LN(BC42/BB42)-($BI$6-$BK$6-$BM$6)/LN(($BI$6-$BK$6)/$BM$6))*$CB22</f>
        <v>27.870914179192194</v>
      </c>
    </row>
    <row r="54" spans="1:63">
      <c r="A54" s="906">
        <v>53</v>
      </c>
      <c r="B54" s="906" t="s">
        <v>1839</v>
      </c>
      <c r="C54" s="906">
        <v>29188</v>
      </c>
      <c r="D54" s="906" t="s">
        <v>1256</v>
      </c>
      <c r="E54" s="906" t="s">
        <v>1259</v>
      </c>
      <c r="F54" s="1015"/>
      <c r="G54" s="1014"/>
      <c r="H54" s="1014"/>
      <c r="I54" s="1014"/>
      <c r="J54" s="1013"/>
      <c r="K54" s="1012"/>
      <c r="L54" s="1011"/>
      <c r="N54" s="1032" t="s">
        <v>1768</v>
      </c>
      <c r="O54" s="1031"/>
      <c r="P54" s="1030">
        <v>70</v>
      </c>
      <c r="Q54" s="1029">
        <v>0</v>
      </c>
      <c r="R54" s="1029">
        <v>80</v>
      </c>
      <c r="S54" s="1028">
        <v>0</v>
      </c>
      <c r="T54" s="1027" t="s">
        <v>842</v>
      </c>
      <c r="U54" s="1026"/>
      <c r="V54" s="906" t="s">
        <v>842</v>
      </c>
      <c r="X54" s="906">
        <v>53</v>
      </c>
      <c r="AC54" s="906" t="s">
        <v>691</v>
      </c>
      <c r="AD54" s="906">
        <v>2050</v>
      </c>
      <c r="AE54" s="908">
        <f>AB35</f>
        <v>8.0861956521739131</v>
      </c>
    </row>
    <row r="55" spans="1:63" ht="16">
      <c r="A55" s="906">
        <v>54</v>
      </c>
      <c r="B55" s="906" t="s">
        <v>1839</v>
      </c>
      <c r="C55" s="906">
        <v>29189</v>
      </c>
      <c r="D55" s="906" t="s">
        <v>1256</v>
      </c>
      <c r="E55" s="906" t="s">
        <v>1259</v>
      </c>
      <c r="F55" s="1015"/>
      <c r="G55" s="1014"/>
      <c r="H55" s="1014"/>
      <c r="I55" s="1014"/>
      <c r="J55" s="1013"/>
      <c r="K55" s="1012"/>
      <c r="L55" s="1011"/>
      <c r="N55" s="1032" t="s">
        <v>1838</v>
      </c>
      <c r="O55" s="1031"/>
      <c r="P55" s="1030">
        <v>75</v>
      </c>
      <c r="Q55" s="1029">
        <v>37</v>
      </c>
      <c r="R55" s="1029">
        <v>78</v>
      </c>
      <c r="S55" s="1028">
        <v>37</v>
      </c>
      <c r="T55" s="1027" t="s">
        <v>842</v>
      </c>
      <c r="U55" s="1026">
        <v>0.17356165075516491</v>
      </c>
      <c r="V55" s="1018">
        <v>32.722000000000001</v>
      </c>
      <c r="W55" s="1018"/>
      <c r="X55" s="1018">
        <v>54</v>
      </c>
      <c r="AC55" s="906" t="s">
        <v>693</v>
      </c>
      <c r="AD55" s="906">
        <v>2050</v>
      </c>
      <c r="AE55" s="908">
        <f>AC35</f>
        <v>8.8893294319669955</v>
      </c>
      <c r="AY55" s="910" t="s">
        <v>1259</v>
      </c>
      <c r="AZ55" s="910" t="s">
        <v>1259</v>
      </c>
      <c r="BA55" s="909" t="s">
        <v>1258</v>
      </c>
      <c r="BB55" s="909" t="s">
        <v>1258</v>
      </c>
      <c r="BC55" s="909"/>
      <c r="BD55" s="909"/>
      <c r="BH55" s="910" t="s">
        <v>1259</v>
      </c>
      <c r="BI55" s="910" t="s">
        <v>1259</v>
      </c>
      <c r="BJ55" s="909" t="s">
        <v>1258</v>
      </c>
      <c r="BK55" s="909" t="s">
        <v>1258</v>
      </c>
    </row>
    <row r="56" spans="1:63">
      <c r="A56" s="906">
        <v>55</v>
      </c>
      <c r="B56" s="906" t="s">
        <v>1834</v>
      </c>
      <c r="C56" s="906">
        <v>18957</v>
      </c>
      <c r="D56" s="906" t="s">
        <v>1256</v>
      </c>
      <c r="E56" s="906" t="s">
        <v>1259</v>
      </c>
      <c r="F56" s="1015"/>
      <c r="G56" s="1014"/>
      <c r="H56" s="1014"/>
      <c r="I56" s="1014"/>
      <c r="J56" s="1013"/>
      <c r="K56" s="1012"/>
      <c r="L56" s="1011"/>
      <c r="N56" s="1032" t="s">
        <v>1837</v>
      </c>
      <c r="O56" s="1031"/>
      <c r="P56" s="1030">
        <v>72</v>
      </c>
      <c r="Q56" s="1029">
        <v>36</v>
      </c>
      <c r="R56" s="1029">
        <v>74</v>
      </c>
      <c r="S56" s="1028">
        <v>37</v>
      </c>
      <c r="T56" s="1027"/>
      <c r="U56" s="1026">
        <v>0.30976614978254435</v>
      </c>
      <c r="V56" s="1018">
        <v>30.312999999999999</v>
      </c>
      <c r="W56" s="1018"/>
      <c r="X56" s="1018">
        <v>55</v>
      </c>
      <c r="AC56" s="906" t="s">
        <v>25</v>
      </c>
      <c r="AD56" s="906">
        <v>2050</v>
      </c>
      <c r="AE56" s="908">
        <f>AD35</f>
        <v>8.0861956521739131</v>
      </c>
      <c r="AV56" s="1354" t="str">
        <f>AU44</f>
        <v>LTMEH</v>
      </c>
      <c r="AW56" s="1354"/>
      <c r="AX56" s="1354"/>
      <c r="AY56" s="909" t="s">
        <v>1257</v>
      </c>
      <c r="AZ56" s="909" t="s">
        <v>1256</v>
      </c>
      <c r="BA56" s="909" t="s">
        <v>1257</v>
      </c>
      <c r="BB56" s="909" t="s">
        <v>1256</v>
      </c>
      <c r="BC56" s="909"/>
      <c r="BE56" s="1354" t="s">
        <v>1836</v>
      </c>
      <c r="BF56" s="1354"/>
      <c r="BG56" s="1354"/>
      <c r="BH56" s="909" t="s">
        <v>1257</v>
      </c>
      <c r="BI56" s="909" t="s">
        <v>1256</v>
      </c>
      <c r="BJ56" s="909" t="s">
        <v>1257</v>
      </c>
      <c r="BK56" s="909" t="s">
        <v>1256</v>
      </c>
    </row>
    <row r="57" spans="1:63">
      <c r="A57" s="906">
        <v>56</v>
      </c>
      <c r="B57" s="906" t="s">
        <v>1834</v>
      </c>
      <c r="C57" s="906">
        <v>29188</v>
      </c>
      <c r="D57" s="906" t="s">
        <v>1256</v>
      </c>
      <c r="E57" s="906" t="s">
        <v>1259</v>
      </c>
      <c r="F57" s="1015"/>
      <c r="G57" s="1014"/>
      <c r="H57" s="1014"/>
      <c r="I57" s="1014"/>
      <c r="J57" s="1013"/>
      <c r="K57" s="1012"/>
      <c r="L57" s="1011"/>
      <c r="N57" s="1032" t="s">
        <v>1835</v>
      </c>
      <c r="O57" s="1031"/>
      <c r="P57" s="1027">
        <v>67.900000000000006</v>
      </c>
      <c r="Q57" s="1040">
        <v>44</v>
      </c>
      <c r="R57" s="1040">
        <v>68.52</v>
      </c>
      <c r="S57" s="1039">
        <v>38</v>
      </c>
      <c r="T57" s="1027"/>
      <c r="U57" s="1026">
        <v>0.25009485094850947</v>
      </c>
      <c r="V57" s="1018">
        <v>55.343000000000004</v>
      </c>
      <c r="W57" s="1018"/>
      <c r="X57" s="1018">
        <v>56</v>
      </c>
      <c r="AC57" s="1355" t="str">
        <f>AA38</f>
        <v>MTEH</v>
      </c>
      <c r="AD57" s="1355"/>
      <c r="AE57" s="1355"/>
      <c r="AV57" s="907"/>
      <c r="AW57" s="906" t="s">
        <v>694</v>
      </c>
      <c r="AX57" s="906">
        <v>2015</v>
      </c>
      <c r="AY57" s="908">
        <f>AZ18</f>
        <v>4.4936985661605204</v>
      </c>
      <c r="AZ57" s="908">
        <f>AZ20</f>
        <v>5.030245890805495</v>
      </c>
      <c r="BA57" s="908">
        <f>AZ19</f>
        <v>5.4875186252728483</v>
      </c>
      <c r="BB57" s="908">
        <f>AZ21</f>
        <v>5.9180303774552367</v>
      </c>
      <c r="BC57" s="908"/>
      <c r="BD57" s="908"/>
      <c r="BE57" s="907"/>
      <c r="BF57" s="906" t="s">
        <v>694</v>
      </c>
      <c r="BG57" s="906">
        <v>2015</v>
      </c>
      <c r="BH57" s="908">
        <f t="shared" ref="BH57:BK60" si="34">AY57</f>
        <v>4.4936985661605204</v>
      </c>
      <c r="BI57" s="908">
        <f t="shared" si="34"/>
        <v>5.030245890805495</v>
      </c>
      <c r="BJ57" s="908">
        <f t="shared" si="34"/>
        <v>5.4875186252728483</v>
      </c>
      <c r="BK57" s="908">
        <f t="shared" si="34"/>
        <v>5.9180303774552367</v>
      </c>
    </row>
    <row r="58" spans="1:63">
      <c r="A58" s="906">
        <v>57</v>
      </c>
      <c r="B58" s="906" t="s">
        <v>1834</v>
      </c>
      <c r="C58" s="906">
        <v>29189</v>
      </c>
      <c r="D58" s="906" t="s">
        <v>1256</v>
      </c>
      <c r="E58" s="906" t="s">
        <v>1259</v>
      </c>
      <c r="F58" s="1015"/>
      <c r="G58" s="1014"/>
      <c r="H58" s="1014"/>
      <c r="I58" s="1014"/>
      <c r="J58" s="1013"/>
      <c r="K58" s="1012"/>
      <c r="L58" s="1011"/>
      <c r="N58" s="1032" t="s">
        <v>1833</v>
      </c>
      <c r="O58" s="1031">
        <v>0.05</v>
      </c>
      <c r="P58" s="1030">
        <v>68</v>
      </c>
      <c r="Q58" s="1029">
        <v>33</v>
      </c>
      <c r="R58" s="1029">
        <v>72</v>
      </c>
      <c r="S58" s="1028">
        <v>35</v>
      </c>
      <c r="T58" s="1027">
        <v>35.964255843641325</v>
      </c>
      <c r="U58" s="1026">
        <v>0.27610526315789474</v>
      </c>
      <c r="V58" s="1018">
        <v>6.8769999999999998</v>
      </c>
      <c r="W58" s="1018"/>
      <c r="X58" s="1018">
        <v>57</v>
      </c>
      <c r="AC58" s="906" t="s">
        <v>694</v>
      </c>
      <c r="AD58" s="906">
        <v>2020</v>
      </c>
      <c r="AE58" s="908">
        <f>AE39</f>
        <v>7.0467673388242851</v>
      </c>
      <c r="AV58" s="907"/>
      <c r="AW58" s="906" t="s">
        <v>691</v>
      </c>
      <c r="AX58" s="906">
        <v>2015</v>
      </c>
      <c r="AY58" s="908">
        <f>AW18</f>
        <v>4.6633529060719239</v>
      </c>
      <c r="AZ58" s="908">
        <f>AW20</f>
        <v>5.1335784752540965</v>
      </c>
      <c r="BA58" s="908">
        <f>AW19</f>
        <v>5.6164711608549638</v>
      </c>
      <c r="BB58" s="908">
        <f>AW21</f>
        <v>5.9553926797050414</v>
      </c>
      <c r="BC58" s="908"/>
      <c r="BE58" s="907"/>
      <c r="BF58" s="906" t="s">
        <v>691</v>
      </c>
      <c r="BG58" s="906">
        <v>2015</v>
      </c>
      <c r="BH58" s="908">
        <f t="shared" si="34"/>
        <v>4.6633529060719239</v>
      </c>
      <c r="BI58" s="908">
        <f t="shared" si="34"/>
        <v>5.1335784752540965</v>
      </c>
      <c r="BJ58" s="908">
        <f t="shared" si="34"/>
        <v>5.6164711608549638</v>
      </c>
      <c r="BK58" s="908">
        <f t="shared" si="34"/>
        <v>5.9553926797050414</v>
      </c>
    </row>
    <row r="59" spans="1:63">
      <c r="A59" s="906">
        <v>58</v>
      </c>
      <c r="B59" s="906" t="s">
        <v>1832</v>
      </c>
      <c r="C59" s="906">
        <v>29189</v>
      </c>
      <c r="D59" s="906" t="s">
        <v>1256</v>
      </c>
      <c r="E59" s="906" t="s">
        <v>1258</v>
      </c>
      <c r="F59" s="1015">
        <f t="shared" ref="F59:L59" si="35">O33</f>
        <v>0</v>
      </c>
      <c r="G59" s="1014">
        <f t="shared" si="35"/>
        <v>75</v>
      </c>
      <c r="H59" s="1014">
        <f t="shared" si="35"/>
        <v>41</v>
      </c>
      <c r="I59" s="1014">
        <f t="shared" si="35"/>
        <v>75</v>
      </c>
      <c r="J59" s="1013">
        <f t="shared" si="35"/>
        <v>36</v>
      </c>
      <c r="K59" s="1012">
        <f t="shared" si="35"/>
        <v>40.59779889728101</v>
      </c>
      <c r="L59" s="1011">
        <f t="shared" si="35"/>
        <v>0.21783451189273578</v>
      </c>
      <c r="N59" s="1032" t="s">
        <v>1831</v>
      </c>
      <c r="O59" s="1031">
        <v>1.2185833968012186E-2</v>
      </c>
      <c r="P59" s="1030">
        <v>65</v>
      </c>
      <c r="Q59" s="1029">
        <v>40</v>
      </c>
      <c r="R59" s="1029">
        <v>72</v>
      </c>
      <c r="S59" s="1028">
        <v>38</v>
      </c>
      <c r="T59" s="1027">
        <v>28.453720804465171</v>
      </c>
      <c r="U59" s="1026">
        <v>0.40100231303006939</v>
      </c>
      <c r="V59" s="1018">
        <v>7.7690000000000001</v>
      </c>
      <c r="W59" s="1018"/>
      <c r="X59" s="1018">
        <v>58</v>
      </c>
      <c r="AC59" s="906" t="s">
        <v>691</v>
      </c>
      <c r="AD59" s="906">
        <v>2020</v>
      </c>
      <c r="AE59" s="908">
        <f>AB39</f>
        <v>7.8792999999999997</v>
      </c>
      <c r="AV59" s="907"/>
      <c r="AW59" s="906" t="s">
        <v>693</v>
      </c>
      <c r="AX59" s="906">
        <v>2015</v>
      </c>
      <c r="AY59" s="1052">
        <f>AX18</f>
        <v>4.8492510247196225</v>
      </c>
      <c r="AZ59" s="908">
        <f>AX20</f>
        <v>5.2435392226385922</v>
      </c>
      <c r="BA59" s="908">
        <f>AX19</f>
        <v>5.7543730542548044</v>
      </c>
      <c r="BB59" s="908">
        <f>AX21</f>
        <v>5.9942745260623997</v>
      </c>
      <c r="BC59" s="908"/>
      <c r="BE59" s="907"/>
      <c r="BF59" s="906" t="s">
        <v>693</v>
      </c>
      <c r="BG59" s="906">
        <v>2015</v>
      </c>
      <c r="BH59" s="908">
        <f t="shared" si="34"/>
        <v>4.8492510247196225</v>
      </c>
      <c r="BI59" s="908">
        <f t="shared" si="34"/>
        <v>5.2435392226385922</v>
      </c>
      <c r="BJ59" s="908">
        <f t="shared" si="34"/>
        <v>5.7543730542548044</v>
      </c>
      <c r="BK59" s="908">
        <f t="shared" si="34"/>
        <v>5.9942745260623997</v>
      </c>
    </row>
    <row r="60" spans="1:63">
      <c r="A60" s="906">
        <v>59</v>
      </c>
      <c r="B60" s="906" t="s">
        <v>1830</v>
      </c>
      <c r="C60" s="906">
        <v>29189</v>
      </c>
      <c r="D60" s="906" t="s">
        <v>1256</v>
      </c>
      <c r="E60" s="906" t="s">
        <v>1258</v>
      </c>
      <c r="F60" s="1015"/>
      <c r="G60" s="1014"/>
      <c r="H60" s="1014"/>
      <c r="I60" s="1014"/>
      <c r="J60" s="1013"/>
      <c r="K60" s="1012"/>
      <c r="L60" s="1011"/>
      <c r="N60" s="1038" t="s">
        <v>1829</v>
      </c>
      <c r="O60" s="1037">
        <v>1.6662200001848274E-2</v>
      </c>
      <c r="P60" s="1036">
        <v>70</v>
      </c>
      <c r="Q60" s="1014">
        <v>45</v>
      </c>
      <c r="R60" s="1014">
        <v>82</v>
      </c>
      <c r="S60" s="1013">
        <v>37</v>
      </c>
      <c r="T60" s="1012">
        <v>34.709931774311684</v>
      </c>
      <c r="U60" s="1035">
        <v>0.23961994624363286</v>
      </c>
      <c r="V60" s="906">
        <v>80.909000000000006</v>
      </c>
      <c r="X60" s="906">
        <v>59</v>
      </c>
      <c r="AC60" s="906" t="s">
        <v>693</v>
      </c>
      <c r="AD60" s="906">
        <v>2020</v>
      </c>
      <c r="AE60" s="908">
        <f>AC39</f>
        <v>8.9565649759081456</v>
      </c>
      <c r="AV60" s="907"/>
      <c r="AW60" s="906" t="s">
        <v>25</v>
      </c>
      <c r="AX60" s="906">
        <v>2015</v>
      </c>
      <c r="AY60" s="908">
        <f>AY18</f>
        <v>4.6633529060719239</v>
      </c>
      <c r="AZ60" s="908">
        <f>AY20</f>
        <v>5.1335784752540965</v>
      </c>
      <c r="BA60" s="908">
        <f>AY19</f>
        <v>5.6164711608549638</v>
      </c>
      <c r="BB60" s="908">
        <f>AY21</f>
        <v>5.9553926797050414</v>
      </c>
      <c r="BC60" s="908"/>
      <c r="BE60" s="907"/>
      <c r="BF60" s="906" t="s">
        <v>25</v>
      </c>
      <c r="BG60" s="906">
        <v>2015</v>
      </c>
      <c r="BH60" s="908">
        <f t="shared" si="34"/>
        <v>4.6633529060719239</v>
      </c>
      <c r="BI60" s="908">
        <f t="shared" si="34"/>
        <v>5.1335784752540965</v>
      </c>
      <c r="BJ60" s="908">
        <f t="shared" si="34"/>
        <v>5.6164711608549638</v>
      </c>
      <c r="BK60" s="908">
        <f t="shared" si="34"/>
        <v>5.9553926797050414</v>
      </c>
    </row>
    <row r="61" spans="1:63">
      <c r="A61" s="906">
        <v>60</v>
      </c>
      <c r="B61" s="906" t="s">
        <v>1828</v>
      </c>
      <c r="C61" s="906">
        <v>29189</v>
      </c>
      <c r="D61" s="906" t="s">
        <v>1256</v>
      </c>
      <c r="E61" s="906" t="s">
        <v>1258</v>
      </c>
      <c r="F61" s="1015">
        <f t="shared" ref="F61:L63" si="36">O35</f>
        <v>9.067439078143693E-3</v>
      </c>
      <c r="G61" s="1014">
        <f t="shared" si="36"/>
        <v>68</v>
      </c>
      <c r="H61" s="1014">
        <f t="shared" si="36"/>
        <v>36</v>
      </c>
      <c r="I61" s="1014">
        <f t="shared" si="36"/>
        <v>68</v>
      </c>
      <c r="J61" s="1013">
        <f t="shared" si="36"/>
        <v>36</v>
      </c>
      <c r="K61" s="1012">
        <f t="shared" si="36"/>
        <v>33.374071251901881</v>
      </c>
      <c r="L61" s="1011">
        <f t="shared" si="36"/>
        <v>0.24477346381139989</v>
      </c>
      <c r="N61" s="1032" t="s">
        <v>1827</v>
      </c>
      <c r="O61" s="1031">
        <v>6.0532337821525582E-2</v>
      </c>
      <c r="P61" s="1030">
        <v>76</v>
      </c>
      <c r="Q61" s="1029">
        <v>43</v>
      </c>
      <c r="R61" s="1029">
        <v>77</v>
      </c>
      <c r="S61" s="1028">
        <v>41</v>
      </c>
      <c r="T61" s="1027">
        <v>36.951352733977416</v>
      </c>
      <c r="U61" s="1026">
        <v>0.32881061639588244</v>
      </c>
      <c r="V61" s="1018">
        <v>27.059000000000001</v>
      </c>
      <c r="W61" s="1018"/>
      <c r="X61" s="1018">
        <v>60</v>
      </c>
      <c r="AC61" s="906" t="s">
        <v>25</v>
      </c>
      <c r="AD61" s="906">
        <v>2020</v>
      </c>
      <c r="AE61" s="908">
        <f>AD39</f>
        <v>7.8792999999999997</v>
      </c>
      <c r="AV61" s="907"/>
      <c r="AW61" s="906" t="s">
        <v>694</v>
      </c>
      <c r="AX61" s="906">
        <v>2020</v>
      </c>
      <c r="AY61" s="908">
        <f>AY45</f>
        <v>6.5989887992630001</v>
      </c>
      <c r="AZ61" s="908">
        <f t="shared" ref="AZ61:BB72" si="37">AY61</f>
        <v>6.5989887992630001</v>
      </c>
      <c r="BA61" s="908">
        <f t="shared" si="37"/>
        <v>6.5989887992630001</v>
      </c>
      <c r="BB61" s="908">
        <f t="shared" si="37"/>
        <v>6.5989887992630001</v>
      </c>
      <c r="BC61" s="908"/>
      <c r="BE61" s="907"/>
      <c r="BF61" s="906" t="s">
        <v>694</v>
      </c>
      <c r="BG61" s="906">
        <v>2020</v>
      </c>
      <c r="BH61" s="908">
        <f t="shared" ref="BH61:BK64" si="38">BH57/$CB$19*$CB$20</f>
        <v>5.3036947717452412</v>
      </c>
      <c r="BI61" s="908">
        <f t="shared" si="38"/>
        <v>5.9369555921177213</v>
      </c>
      <c r="BJ61" s="908">
        <f t="shared" si="38"/>
        <v>6.476652453255495</v>
      </c>
      <c r="BK61" s="908">
        <f t="shared" si="38"/>
        <v>6.9847646231324125</v>
      </c>
    </row>
    <row r="62" spans="1:63">
      <c r="A62" s="906">
        <v>61</v>
      </c>
      <c r="B62" s="906" t="s">
        <v>1826</v>
      </c>
      <c r="C62" s="906">
        <v>29189</v>
      </c>
      <c r="D62" s="906" t="s">
        <v>1256</v>
      </c>
      <c r="E62" s="906" t="s">
        <v>1258</v>
      </c>
      <c r="F62" s="1015">
        <f t="shared" si="36"/>
        <v>0</v>
      </c>
      <c r="G62" s="1014">
        <f t="shared" si="36"/>
        <v>69</v>
      </c>
      <c r="H62" s="1014">
        <f t="shared" si="36"/>
        <v>41</v>
      </c>
      <c r="I62" s="1014">
        <f t="shared" si="36"/>
        <v>70</v>
      </c>
      <c r="J62" s="1013">
        <f t="shared" si="36"/>
        <v>39</v>
      </c>
      <c r="K62" s="1012">
        <f t="shared" si="36"/>
        <v>21.286858901815219</v>
      </c>
      <c r="L62" s="1011">
        <f t="shared" si="36"/>
        <v>0.32589612289685443</v>
      </c>
      <c r="N62" s="1032" t="s">
        <v>1825</v>
      </c>
      <c r="O62" s="1031"/>
      <c r="P62" s="1030">
        <v>67</v>
      </c>
      <c r="Q62" s="1029">
        <v>36</v>
      </c>
      <c r="R62" s="1029">
        <v>71</v>
      </c>
      <c r="S62" s="1028">
        <v>34</v>
      </c>
      <c r="T62" s="1027">
        <v>35.586149795173704</v>
      </c>
      <c r="U62" s="1026">
        <v>0.33608655188459746</v>
      </c>
      <c r="V62" s="1018">
        <v>5.7069999999999999</v>
      </c>
      <c r="W62" s="1018"/>
      <c r="X62" s="1018">
        <v>61</v>
      </c>
      <c r="AC62" s="906" t="s">
        <v>694</v>
      </c>
      <c r="AD62" s="906">
        <v>2030</v>
      </c>
      <c r="AE62" s="908">
        <f>AE40</f>
        <v>8.5764189396431263</v>
      </c>
      <c r="AV62" s="907"/>
      <c r="AW62" s="906" t="s">
        <v>691</v>
      </c>
      <c r="AX62" s="906">
        <v>2020</v>
      </c>
      <c r="AY62" s="908">
        <f>AV45</f>
        <v>6.6445378076781401</v>
      </c>
      <c r="AZ62" s="908">
        <f t="shared" si="37"/>
        <v>6.6445378076781401</v>
      </c>
      <c r="BA62" s="908">
        <f t="shared" si="37"/>
        <v>6.6445378076781401</v>
      </c>
      <c r="BB62" s="908">
        <f t="shared" si="37"/>
        <v>6.6445378076781401</v>
      </c>
      <c r="BC62" s="908"/>
      <c r="BE62" s="907"/>
      <c r="BF62" s="906" t="s">
        <v>691</v>
      </c>
      <c r="BG62" s="906">
        <v>2020</v>
      </c>
      <c r="BH62" s="908">
        <f t="shared" si="38"/>
        <v>5.5039295721761912</v>
      </c>
      <c r="BI62" s="908">
        <f t="shared" si="38"/>
        <v>6.0589140367757546</v>
      </c>
      <c r="BJ62" s="908">
        <f t="shared" si="38"/>
        <v>6.6288488853705481</v>
      </c>
      <c r="BK62" s="908">
        <f t="shared" si="38"/>
        <v>7.0288615388879272</v>
      </c>
    </row>
    <row r="63" spans="1:63">
      <c r="A63" s="906">
        <v>62</v>
      </c>
      <c r="B63" s="906" t="s">
        <v>1824</v>
      </c>
      <c r="C63" s="906">
        <v>29189</v>
      </c>
      <c r="D63" s="906" t="s">
        <v>1256</v>
      </c>
      <c r="E63" s="906" t="s">
        <v>1258</v>
      </c>
      <c r="F63" s="1015">
        <f t="shared" si="36"/>
        <v>3.3558611046376134E-2</v>
      </c>
      <c r="G63" s="1014">
        <f t="shared" si="36"/>
        <v>70</v>
      </c>
      <c r="H63" s="1014">
        <f t="shared" si="36"/>
        <v>32</v>
      </c>
      <c r="I63" s="1014">
        <f t="shared" si="36"/>
        <v>70</v>
      </c>
      <c r="J63" s="1013">
        <f t="shared" si="36"/>
        <v>32</v>
      </c>
      <c r="K63" s="1012">
        <f t="shared" si="36"/>
        <v>36.56048017140192</v>
      </c>
      <c r="L63" s="1011">
        <f t="shared" si="36"/>
        <v>0.18971545695683625</v>
      </c>
      <c r="N63" s="1032" t="s">
        <v>1823</v>
      </c>
      <c r="O63" s="1031"/>
      <c r="P63" s="1030">
        <v>80</v>
      </c>
      <c r="Q63" s="1029">
        <v>50</v>
      </c>
      <c r="R63" s="1029">
        <v>90</v>
      </c>
      <c r="S63" s="1028">
        <v>55</v>
      </c>
      <c r="T63" s="1027">
        <v>26.462430536530587</v>
      </c>
      <c r="U63" s="1026">
        <v>0.10822587144872053</v>
      </c>
      <c r="V63" s="1018">
        <v>70.813999999999993</v>
      </c>
      <c r="W63" s="1018"/>
      <c r="X63" s="1018">
        <v>62</v>
      </c>
      <c r="AC63" s="906" t="s">
        <v>691</v>
      </c>
      <c r="AD63" s="906">
        <v>2030</v>
      </c>
      <c r="AE63" s="908">
        <f>AB40</f>
        <v>9.7116249999999997</v>
      </c>
      <c r="AV63" s="907"/>
      <c r="AW63" s="906" t="s">
        <v>693</v>
      </c>
      <c r="AX63" s="906">
        <v>2020</v>
      </c>
      <c r="AY63" s="1052">
        <f>AW45</f>
        <v>6.6908556685573926</v>
      </c>
      <c r="AZ63" s="908">
        <f t="shared" si="37"/>
        <v>6.6908556685573926</v>
      </c>
      <c r="BA63" s="908">
        <f t="shared" si="37"/>
        <v>6.6908556685573926</v>
      </c>
      <c r="BB63" s="908">
        <f t="shared" si="37"/>
        <v>6.6908556685573926</v>
      </c>
      <c r="BC63" s="908"/>
      <c r="BE63" s="907"/>
      <c r="BF63" s="906" t="s">
        <v>693</v>
      </c>
      <c r="BG63" s="906">
        <v>2020</v>
      </c>
      <c r="BH63" s="908">
        <f t="shared" si="38"/>
        <v>5.723336117905288</v>
      </c>
      <c r="BI63" s="908">
        <f t="shared" si="38"/>
        <v>6.1886953811213852</v>
      </c>
      <c r="BJ63" s="908">
        <f t="shared" si="38"/>
        <v>6.7916078110684532</v>
      </c>
      <c r="BK63" s="908">
        <f t="shared" si="38"/>
        <v>7.0747518989566309</v>
      </c>
    </row>
    <row r="64" spans="1:63">
      <c r="A64" s="906">
        <v>63</v>
      </c>
      <c r="B64" s="906" t="s">
        <v>1822</v>
      </c>
      <c r="C64" s="906">
        <v>29188</v>
      </c>
      <c r="D64" s="906" t="s">
        <v>1256</v>
      </c>
      <c r="E64" s="906" t="s">
        <v>1259</v>
      </c>
      <c r="F64" s="1015"/>
      <c r="G64" s="1014"/>
      <c r="H64" s="1014"/>
      <c r="I64" s="1014"/>
      <c r="J64" s="1013"/>
      <c r="K64" s="1012"/>
      <c r="L64" s="1011"/>
      <c r="N64" s="1038" t="s">
        <v>1821</v>
      </c>
      <c r="O64" s="1037">
        <v>1.212241653418124E-2</v>
      </c>
      <c r="P64" s="1036">
        <v>68</v>
      </c>
      <c r="Q64" s="1014">
        <v>40</v>
      </c>
      <c r="R64" s="1014">
        <v>75</v>
      </c>
      <c r="S64" s="1013">
        <v>37</v>
      </c>
      <c r="T64" s="1012">
        <v>30.688489286098847</v>
      </c>
      <c r="U64" s="1035">
        <v>0.20056326694830015</v>
      </c>
      <c r="V64" s="906">
        <v>3.9740000000000002</v>
      </c>
      <c r="X64" s="906">
        <v>63</v>
      </c>
      <c r="AC64" s="906" t="s">
        <v>693</v>
      </c>
      <c r="AD64" s="906">
        <v>2030</v>
      </c>
      <c r="AE64" s="908">
        <f>AC40</f>
        <v>11.220841505845954</v>
      </c>
      <c r="AV64" s="907"/>
      <c r="AW64" s="906" t="s">
        <v>25</v>
      </c>
      <c r="AX64" s="906">
        <v>2020</v>
      </c>
      <c r="AY64" s="908">
        <f>AX45</f>
        <v>6.6445378076781401</v>
      </c>
      <c r="AZ64" s="908">
        <f t="shared" si="37"/>
        <v>6.6445378076781401</v>
      </c>
      <c r="BA64" s="908">
        <f t="shared" si="37"/>
        <v>6.6445378076781401</v>
      </c>
      <c r="BB64" s="908">
        <f t="shared" si="37"/>
        <v>6.6445378076781401</v>
      </c>
      <c r="BC64" s="908"/>
      <c r="BE64" s="907"/>
      <c r="BF64" s="906" t="s">
        <v>25</v>
      </c>
      <c r="BG64" s="906">
        <v>2020</v>
      </c>
      <c r="BH64" s="908">
        <f t="shared" si="38"/>
        <v>5.5039295721761912</v>
      </c>
      <c r="BI64" s="908">
        <f t="shared" si="38"/>
        <v>6.0589140367757546</v>
      </c>
      <c r="BJ64" s="908">
        <f t="shared" si="38"/>
        <v>6.6288488853705481</v>
      </c>
      <c r="BK64" s="908">
        <f t="shared" si="38"/>
        <v>7.0288615388879272</v>
      </c>
    </row>
    <row r="65" spans="1:63">
      <c r="A65" s="906">
        <v>64</v>
      </c>
      <c r="B65" s="906" t="s">
        <v>1820</v>
      </c>
      <c r="C65" s="906">
        <v>29189</v>
      </c>
      <c r="D65" s="906" t="s">
        <v>1256</v>
      </c>
      <c r="E65" s="906" t="s">
        <v>1258</v>
      </c>
      <c r="F65" s="1015">
        <f t="shared" ref="F65:L65" si="39">O38</f>
        <v>0</v>
      </c>
      <c r="G65" s="1014">
        <f t="shared" si="39"/>
        <v>78</v>
      </c>
      <c r="H65" s="1014">
        <f t="shared" si="39"/>
        <v>0</v>
      </c>
      <c r="I65" s="1014">
        <f t="shared" si="39"/>
        <v>83</v>
      </c>
      <c r="J65" s="1013">
        <f t="shared" si="39"/>
        <v>0</v>
      </c>
      <c r="K65" s="1012" t="str">
        <f t="shared" si="39"/>
        <v/>
      </c>
      <c r="L65" s="1011">
        <f t="shared" si="39"/>
        <v>0.41862845445240532</v>
      </c>
      <c r="N65" s="1032" t="s">
        <v>1819</v>
      </c>
      <c r="O65" s="1031"/>
      <c r="P65" s="1030">
        <v>75</v>
      </c>
      <c r="Q65" s="1029">
        <v>36</v>
      </c>
      <c r="R65" s="1029">
        <v>75</v>
      </c>
      <c r="S65" s="1028">
        <v>34</v>
      </c>
      <c r="T65" s="1027" t="s">
        <v>842</v>
      </c>
      <c r="U65" s="1026">
        <v>0.27605633802816903</v>
      </c>
      <c r="V65" s="1018">
        <v>18.247</v>
      </c>
      <c r="W65" s="1018"/>
      <c r="X65" s="1018">
        <v>64</v>
      </c>
      <c r="AC65" s="906" t="s">
        <v>25</v>
      </c>
      <c r="AD65" s="906">
        <v>2030</v>
      </c>
      <c r="AE65" s="908">
        <f>AD40</f>
        <v>9.7116249999999997</v>
      </c>
      <c r="AV65" s="907"/>
      <c r="AW65" s="906" t="s">
        <v>694</v>
      </c>
      <c r="AX65" s="906">
        <v>2030</v>
      </c>
      <c r="AY65" s="908">
        <f>AY45</f>
        <v>6.5989887992630001</v>
      </c>
      <c r="AZ65" s="908">
        <f t="shared" si="37"/>
        <v>6.5989887992630001</v>
      </c>
      <c r="BA65" s="908">
        <f t="shared" si="37"/>
        <v>6.5989887992630001</v>
      </c>
      <c r="BB65" s="908">
        <f t="shared" si="37"/>
        <v>6.5989887992630001</v>
      </c>
      <c r="BC65" s="908"/>
      <c r="BE65" s="907"/>
      <c r="BF65" s="906" t="s">
        <v>694</v>
      </c>
      <c r="BG65" s="906">
        <v>2030</v>
      </c>
      <c r="BH65" s="908">
        <f t="shared" ref="BH65:BK68" si="40">BH57/$CB$19*$CB$21</f>
        <v>5.7285579745553292</v>
      </c>
      <c r="BI65" s="908">
        <f t="shared" si="40"/>
        <v>6.4125474344775277</v>
      </c>
      <c r="BJ65" s="908">
        <f t="shared" si="40"/>
        <v>6.9954778048645707</v>
      </c>
      <c r="BK65" s="908">
        <f t="shared" si="40"/>
        <v>7.5442933283791742</v>
      </c>
    </row>
    <row r="66" spans="1:63">
      <c r="A66" s="906">
        <v>65</v>
      </c>
      <c r="B66" s="906" t="s">
        <v>1817</v>
      </c>
      <c r="C66" s="906">
        <v>29189</v>
      </c>
      <c r="D66" s="906" t="s">
        <v>1257</v>
      </c>
      <c r="E66" s="906" t="s">
        <v>1258</v>
      </c>
      <c r="F66" s="1015"/>
      <c r="G66" s="1014"/>
      <c r="H66" s="1014"/>
      <c r="I66" s="1014"/>
      <c r="J66" s="1013"/>
      <c r="K66" s="1012"/>
      <c r="L66" s="1011"/>
      <c r="N66" s="1032" t="s">
        <v>1818</v>
      </c>
      <c r="O66" s="1031"/>
      <c r="P66" s="1030">
        <v>68</v>
      </c>
      <c r="Q66" s="1029">
        <v>41</v>
      </c>
      <c r="R66" s="1029">
        <v>70</v>
      </c>
      <c r="S66" s="1028">
        <v>36</v>
      </c>
      <c r="T66" s="1027">
        <v>30.64825300254796</v>
      </c>
      <c r="U66" s="1026">
        <v>0.19962812148031642</v>
      </c>
      <c r="V66" s="1018">
        <v>120.095</v>
      </c>
      <c r="W66" s="1018"/>
      <c r="X66" s="1018">
        <v>65</v>
      </c>
      <c r="AC66" s="906" t="s">
        <v>694</v>
      </c>
      <c r="AD66" s="906">
        <v>2050</v>
      </c>
      <c r="AE66" s="908">
        <f>AE41</f>
        <v>15.550545929578862</v>
      </c>
      <c r="AV66" s="907"/>
      <c r="AW66" s="906" t="s">
        <v>691</v>
      </c>
      <c r="AX66" s="906">
        <v>2030</v>
      </c>
      <c r="AY66" s="908">
        <f>AV45</f>
        <v>6.6445378076781401</v>
      </c>
      <c r="AZ66" s="908">
        <f t="shared" si="37"/>
        <v>6.6445378076781401</v>
      </c>
      <c r="BA66" s="908">
        <f t="shared" si="37"/>
        <v>6.6445378076781401</v>
      </c>
      <c r="BB66" s="908">
        <f t="shared" si="37"/>
        <v>6.6445378076781401</v>
      </c>
      <c r="BC66" s="908"/>
      <c r="BE66" s="907"/>
      <c r="BF66" s="906" t="s">
        <v>691</v>
      </c>
      <c r="BG66" s="906">
        <v>2030</v>
      </c>
      <c r="BH66" s="908">
        <f t="shared" si="40"/>
        <v>5.9448329888911866</v>
      </c>
      <c r="BI66" s="908">
        <f t="shared" si="40"/>
        <v>6.5442756071529411</v>
      </c>
      <c r="BJ66" s="908">
        <f t="shared" si="40"/>
        <v>7.159866240175047</v>
      </c>
      <c r="BK66" s="908">
        <f t="shared" si="40"/>
        <v>7.5919227168104806</v>
      </c>
    </row>
    <row r="67" spans="1:63">
      <c r="A67" s="906">
        <v>66</v>
      </c>
      <c r="B67" s="906" t="s">
        <v>1817</v>
      </c>
      <c r="C67" s="906">
        <v>29189</v>
      </c>
      <c r="D67" s="906" t="s">
        <v>1256</v>
      </c>
      <c r="E67" s="906" t="s">
        <v>1258</v>
      </c>
      <c r="F67" s="1015"/>
      <c r="G67" s="1014"/>
      <c r="H67" s="1014"/>
      <c r="I67" s="1014"/>
      <c r="J67" s="1013"/>
      <c r="K67" s="1012"/>
      <c r="L67" s="1011"/>
      <c r="N67" s="1032" t="s">
        <v>1816</v>
      </c>
      <c r="O67" s="1031"/>
      <c r="P67" s="1030">
        <v>80.5</v>
      </c>
      <c r="Q67" s="1029">
        <v>52.2</v>
      </c>
      <c r="R67" s="1029">
        <v>85</v>
      </c>
      <c r="S67" s="1028">
        <v>51.2</v>
      </c>
      <c r="T67" s="1027" t="s">
        <v>842</v>
      </c>
      <c r="U67" s="1026">
        <v>9.8541692509985887E-2</v>
      </c>
      <c r="V67" s="1018">
        <v>90.837699999999998</v>
      </c>
      <c r="W67" s="1018"/>
      <c r="X67" s="1018">
        <v>66</v>
      </c>
      <c r="AC67" s="906" t="s">
        <v>691</v>
      </c>
      <c r="AD67" s="906">
        <v>2050</v>
      </c>
      <c r="AE67" s="908">
        <f>AB41</f>
        <v>18.873249999999999</v>
      </c>
      <c r="AV67" s="907"/>
      <c r="AW67" s="906" t="s">
        <v>693</v>
      </c>
      <c r="AX67" s="906">
        <v>2030</v>
      </c>
      <c r="AY67" s="908">
        <f>AW45</f>
        <v>6.6908556685573926</v>
      </c>
      <c r="AZ67" s="908">
        <f t="shared" si="37"/>
        <v>6.6908556685573926</v>
      </c>
      <c r="BA67" s="908">
        <f t="shared" si="37"/>
        <v>6.6908556685573926</v>
      </c>
      <c r="BB67" s="908">
        <f t="shared" si="37"/>
        <v>6.6908556685573926</v>
      </c>
      <c r="BC67" s="908"/>
      <c r="BE67" s="907"/>
      <c r="BF67" s="906" t="s">
        <v>693</v>
      </c>
      <c r="BG67" s="906">
        <v>2030</v>
      </c>
      <c r="BH67" s="908">
        <f t="shared" si="40"/>
        <v>6.1818155399802768</v>
      </c>
      <c r="BI67" s="908">
        <f t="shared" si="40"/>
        <v>6.6844533487266764</v>
      </c>
      <c r="BJ67" s="908">
        <f t="shared" si="40"/>
        <v>7.3356632989922135</v>
      </c>
      <c r="BK67" s="908">
        <f t="shared" si="40"/>
        <v>7.64148921704109</v>
      </c>
    </row>
    <row r="68" spans="1:63">
      <c r="A68" s="906">
        <v>67</v>
      </c>
      <c r="B68" s="906" t="s">
        <v>1814</v>
      </c>
      <c r="C68" s="906">
        <v>29189</v>
      </c>
      <c r="D68" s="906" t="s">
        <v>1257</v>
      </c>
      <c r="E68" s="906" t="s">
        <v>1258</v>
      </c>
      <c r="F68" s="1015">
        <f t="shared" ref="F68:L68" si="41">O41</f>
        <v>0</v>
      </c>
      <c r="G68" s="1014">
        <f t="shared" si="41"/>
        <v>75</v>
      </c>
      <c r="H68" s="1014">
        <f t="shared" si="41"/>
        <v>40</v>
      </c>
      <c r="I68" s="1014">
        <f t="shared" si="41"/>
        <v>85</v>
      </c>
      <c r="J68" s="1013">
        <f t="shared" si="41"/>
        <v>38</v>
      </c>
      <c r="K68" s="1012" t="str">
        <f t="shared" si="41"/>
        <v/>
      </c>
      <c r="L68" s="1011">
        <f t="shared" si="41"/>
        <v>0.10113396244729383</v>
      </c>
      <c r="N68" s="1032" t="s">
        <v>1815</v>
      </c>
      <c r="O68" s="1031"/>
      <c r="P68" s="1030">
        <v>77</v>
      </c>
      <c r="Q68" s="1029">
        <v>42</v>
      </c>
      <c r="R68" s="1029">
        <v>77</v>
      </c>
      <c r="S68" s="1028">
        <v>38</v>
      </c>
      <c r="T68" s="1027">
        <v>36.021988361628907</v>
      </c>
      <c r="U68" s="1026">
        <v>0.33411008062636904</v>
      </c>
      <c r="V68" s="1018">
        <v>14.288</v>
      </c>
      <c r="W68" s="1018"/>
      <c r="X68" s="1018">
        <v>67</v>
      </c>
      <c r="AC68" s="906" t="s">
        <v>693</v>
      </c>
      <c r="AD68" s="906">
        <v>2050</v>
      </c>
      <c r="AE68" s="908">
        <f>AC41</f>
        <v>24.086776445436499</v>
      </c>
      <c r="AV68" s="907"/>
      <c r="AW68" s="906" t="s">
        <v>25</v>
      </c>
      <c r="AX68" s="906">
        <v>2030</v>
      </c>
      <c r="AY68" s="908">
        <f>AX45</f>
        <v>6.6445378076781401</v>
      </c>
      <c r="AZ68" s="908">
        <f t="shared" si="37"/>
        <v>6.6445378076781401</v>
      </c>
      <c r="BA68" s="908">
        <f t="shared" si="37"/>
        <v>6.6445378076781401</v>
      </c>
      <c r="BB68" s="908">
        <f t="shared" si="37"/>
        <v>6.6445378076781401</v>
      </c>
      <c r="BC68" s="908"/>
      <c r="BE68" s="907"/>
      <c r="BF68" s="906" t="s">
        <v>25</v>
      </c>
      <c r="BG68" s="906">
        <v>2030</v>
      </c>
      <c r="BH68" s="908">
        <f t="shared" si="40"/>
        <v>5.9448329888911866</v>
      </c>
      <c r="BI68" s="908">
        <f t="shared" si="40"/>
        <v>6.5442756071529411</v>
      </c>
      <c r="BJ68" s="908">
        <f t="shared" si="40"/>
        <v>7.159866240175047</v>
      </c>
      <c r="BK68" s="908">
        <f t="shared" si="40"/>
        <v>7.5919227168104806</v>
      </c>
    </row>
    <row r="69" spans="1:63">
      <c r="A69" s="906">
        <v>68</v>
      </c>
      <c r="B69" s="906" t="s">
        <v>1814</v>
      </c>
      <c r="C69" s="906">
        <v>29189</v>
      </c>
      <c r="D69" s="906" t="s">
        <v>1256</v>
      </c>
      <c r="E69" s="906" t="s">
        <v>1258</v>
      </c>
      <c r="F69" s="1015">
        <f t="shared" ref="F69:L69" si="42">F68</f>
        <v>0</v>
      </c>
      <c r="G69" s="1014">
        <f t="shared" si="42"/>
        <v>75</v>
      </c>
      <c r="H69" s="1014">
        <f t="shared" si="42"/>
        <v>40</v>
      </c>
      <c r="I69" s="1014">
        <f t="shared" si="42"/>
        <v>85</v>
      </c>
      <c r="J69" s="1013">
        <f t="shared" si="42"/>
        <v>38</v>
      </c>
      <c r="K69" s="1012" t="str">
        <f t="shared" si="42"/>
        <v/>
      </c>
      <c r="L69" s="1011">
        <f t="shared" si="42"/>
        <v>0.10113396244729383</v>
      </c>
      <c r="N69" s="1032" t="s">
        <v>1813</v>
      </c>
      <c r="O69" s="1031"/>
      <c r="P69" s="1030">
        <v>75</v>
      </c>
      <c r="Q69" s="1029">
        <v>40</v>
      </c>
      <c r="R69" s="1029">
        <v>75</v>
      </c>
      <c r="S69" s="1028">
        <v>38</v>
      </c>
      <c r="T69" s="1027" t="s">
        <v>842</v>
      </c>
      <c r="U69" s="1026">
        <v>0.27943296492071118</v>
      </c>
      <c r="V69" s="1018">
        <v>23.992000000000001</v>
      </c>
      <c r="W69" s="1018"/>
      <c r="X69" s="1018">
        <v>68</v>
      </c>
      <c r="AC69" s="906" t="s">
        <v>25</v>
      </c>
      <c r="AD69" s="906">
        <v>2050</v>
      </c>
      <c r="AE69" s="908">
        <f>AD41</f>
        <v>18.873249999999999</v>
      </c>
      <c r="AV69" s="907"/>
      <c r="AW69" s="906" t="s">
        <v>694</v>
      </c>
      <c r="AX69" s="906">
        <v>2050</v>
      </c>
      <c r="AY69" s="908">
        <f>AY47</f>
        <v>10.442517635565746</v>
      </c>
      <c r="AZ69" s="908">
        <f t="shared" si="37"/>
        <v>10.442517635565746</v>
      </c>
      <c r="BA69" s="908">
        <f t="shared" si="37"/>
        <v>10.442517635565746</v>
      </c>
      <c r="BB69" s="908">
        <f t="shared" si="37"/>
        <v>10.442517635565746</v>
      </c>
      <c r="BC69" s="908"/>
      <c r="BE69" s="907"/>
      <c r="BF69" s="906" t="s">
        <v>694</v>
      </c>
      <c r="BG69" s="906">
        <v>2050</v>
      </c>
      <c r="BH69" s="908">
        <f t="shared" ref="BH69:BK72" si="43">BH57/$CB$19*$CB$22</f>
        <v>5.4884263419233319</v>
      </c>
      <c r="BI69" s="908">
        <f t="shared" si="43"/>
        <v>6.1437441000937572</v>
      </c>
      <c r="BJ69" s="908">
        <f t="shared" si="43"/>
        <v>6.7022389978586201</v>
      </c>
      <c r="BK69" s="908">
        <f t="shared" si="43"/>
        <v>7.2280490864521294</v>
      </c>
    </row>
    <row r="70" spans="1:63">
      <c r="A70" s="906">
        <v>69</v>
      </c>
      <c r="B70" s="906" t="s">
        <v>1812</v>
      </c>
      <c r="C70" s="906">
        <v>29189</v>
      </c>
      <c r="D70" s="906" t="s">
        <v>1256</v>
      </c>
      <c r="E70" s="906" t="s">
        <v>1258</v>
      </c>
      <c r="F70" s="1015">
        <f t="shared" ref="F70:L70" si="44">O42</f>
        <v>0</v>
      </c>
      <c r="G70" s="1014">
        <f t="shared" si="44"/>
        <v>72</v>
      </c>
      <c r="H70" s="1014">
        <f t="shared" si="44"/>
        <v>40</v>
      </c>
      <c r="I70" s="1014">
        <f t="shared" si="44"/>
        <v>78</v>
      </c>
      <c r="J70" s="1013">
        <f t="shared" si="44"/>
        <v>35</v>
      </c>
      <c r="K70" s="1012">
        <f t="shared" si="44"/>
        <v>54.930040106085251</v>
      </c>
      <c r="L70" s="1011">
        <f t="shared" si="44"/>
        <v>0.28083553337884187</v>
      </c>
      <c r="N70" s="1032" t="s">
        <v>1811</v>
      </c>
      <c r="O70" s="1031"/>
      <c r="P70" s="1030">
        <v>78</v>
      </c>
      <c r="Q70" s="1029">
        <v>45</v>
      </c>
      <c r="R70" s="1029">
        <v>84</v>
      </c>
      <c r="S70" s="1028">
        <v>40</v>
      </c>
      <c r="T70" s="1027">
        <v>38.648805715167462</v>
      </c>
      <c r="U70" s="1026">
        <v>0.2534529513430398</v>
      </c>
      <c r="V70" s="1018">
        <v>164.40700000000001</v>
      </c>
      <c r="W70" s="1018"/>
      <c r="X70" s="1018">
        <v>69</v>
      </c>
      <c r="AV70" s="907"/>
      <c r="AW70" s="906" t="s">
        <v>691</v>
      </c>
      <c r="AX70" s="906">
        <v>2050</v>
      </c>
      <c r="AY70" s="908">
        <f>AV47</f>
        <v>10.514574982307002</v>
      </c>
      <c r="AZ70" s="908">
        <f t="shared" si="37"/>
        <v>10.514574982307002</v>
      </c>
      <c r="BA70" s="908">
        <f t="shared" si="37"/>
        <v>10.514574982307002</v>
      </c>
      <c r="BB70" s="908">
        <f t="shared" si="37"/>
        <v>10.514574982307002</v>
      </c>
      <c r="BC70" s="908"/>
      <c r="BE70" s="907"/>
      <c r="BF70" s="906" t="s">
        <v>691</v>
      </c>
      <c r="BG70" s="906">
        <v>2050</v>
      </c>
      <c r="BH70" s="908">
        <f t="shared" si="43"/>
        <v>5.6956354669864169</v>
      </c>
      <c r="BI70" s="908">
        <f t="shared" si="43"/>
        <v>6.2699504466292098</v>
      </c>
      <c r="BJ70" s="908">
        <f t="shared" si="43"/>
        <v>6.8597365430825761</v>
      </c>
      <c r="BK70" s="908">
        <f t="shared" si="43"/>
        <v>7.2736819300538169</v>
      </c>
    </row>
    <row r="71" spans="1:63">
      <c r="A71" s="906">
        <v>70</v>
      </c>
      <c r="B71" s="906" t="s">
        <v>1810</v>
      </c>
      <c r="C71" s="906">
        <v>29188</v>
      </c>
      <c r="D71" s="906" t="s">
        <v>1256</v>
      </c>
      <c r="E71" s="906" t="s">
        <v>1259</v>
      </c>
      <c r="F71" s="1015"/>
      <c r="G71" s="1014"/>
      <c r="H71" s="1014"/>
      <c r="I71" s="1014"/>
      <c r="J71" s="1013"/>
      <c r="K71" s="1012"/>
      <c r="L71" s="1011"/>
      <c r="N71" s="1032" t="s">
        <v>1809</v>
      </c>
      <c r="O71" s="1031">
        <v>2.9754204398447608E-2</v>
      </c>
      <c r="P71" s="1030">
        <v>65</v>
      </c>
      <c r="Q71" s="1029">
        <v>40</v>
      </c>
      <c r="R71" s="1029">
        <v>75</v>
      </c>
      <c r="S71" s="1028">
        <v>39</v>
      </c>
      <c r="T71" s="1027"/>
      <c r="U71" s="1026">
        <v>0.39011764705882351</v>
      </c>
      <c r="V71" s="1018">
        <v>7.7759999999999998</v>
      </c>
      <c r="W71" s="1018"/>
      <c r="X71" s="1018">
        <v>70</v>
      </c>
      <c r="AV71" s="907"/>
      <c r="AW71" s="906" t="s">
        <v>693</v>
      </c>
      <c r="AX71" s="906">
        <v>2050</v>
      </c>
      <c r="AY71" s="908">
        <f>AW47</f>
        <v>10.5877985827362</v>
      </c>
      <c r="AZ71" s="908">
        <f t="shared" si="37"/>
        <v>10.5877985827362</v>
      </c>
      <c r="BA71" s="908">
        <f t="shared" si="37"/>
        <v>10.5877985827362</v>
      </c>
      <c r="BB71" s="908">
        <f t="shared" si="37"/>
        <v>10.5877985827362</v>
      </c>
      <c r="BC71" s="908"/>
      <c r="BE71" s="907"/>
      <c r="BF71" s="906" t="s">
        <v>693</v>
      </c>
      <c r="BG71" s="906">
        <v>2050</v>
      </c>
      <c r="BH71" s="908">
        <f t="shared" si="43"/>
        <v>5.9226841032663904</v>
      </c>
      <c r="BI71" s="908">
        <f t="shared" si="43"/>
        <v>6.404252170173228</v>
      </c>
      <c r="BJ71" s="908">
        <f t="shared" si="43"/>
        <v>7.0281644812705757</v>
      </c>
      <c r="BK71" s="908">
        <f t="shared" si="43"/>
        <v>7.3211706849465772</v>
      </c>
    </row>
    <row r="72" spans="1:63" ht="16">
      <c r="A72" s="906">
        <v>71</v>
      </c>
      <c r="B72" s="906" t="s">
        <v>1808</v>
      </c>
      <c r="C72" s="906">
        <v>29188</v>
      </c>
      <c r="D72" s="906" t="s">
        <v>1256</v>
      </c>
      <c r="E72" s="906" t="s">
        <v>1259</v>
      </c>
      <c r="F72" s="1015">
        <f t="shared" ref="F72:K72" si="45">O43</f>
        <v>0</v>
      </c>
      <c r="G72" s="1014">
        <f t="shared" si="45"/>
        <v>72</v>
      </c>
      <c r="H72" s="1014">
        <f t="shared" si="45"/>
        <v>0</v>
      </c>
      <c r="I72" s="1014">
        <f t="shared" si="45"/>
        <v>80</v>
      </c>
      <c r="J72" s="1013">
        <f t="shared" si="45"/>
        <v>0</v>
      </c>
      <c r="K72" s="1012" t="str">
        <f t="shared" si="45"/>
        <v/>
      </c>
      <c r="L72" s="1016">
        <v>0.22800028617798151</v>
      </c>
      <c r="N72" s="1038" t="s">
        <v>1807</v>
      </c>
      <c r="O72" s="1037"/>
      <c r="P72" s="1036">
        <v>75</v>
      </c>
      <c r="Q72" s="1014">
        <v>35</v>
      </c>
      <c r="R72" s="1014">
        <v>80</v>
      </c>
      <c r="S72" s="1013">
        <v>35</v>
      </c>
      <c r="T72" s="1012">
        <v>36.925362639902907</v>
      </c>
      <c r="U72" s="1035">
        <v>0.24807918793113118</v>
      </c>
      <c r="V72" s="906">
        <v>13.407500000000001</v>
      </c>
      <c r="X72" s="906">
        <v>71</v>
      </c>
      <c r="AV72" s="907"/>
      <c r="AW72" s="906" t="s">
        <v>25</v>
      </c>
      <c r="AX72" s="906">
        <v>2050</v>
      </c>
      <c r="AY72" s="908">
        <f>AX47</f>
        <v>10.514574982307002</v>
      </c>
      <c r="AZ72" s="908">
        <f t="shared" si="37"/>
        <v>10.514574982307002</v>
      </c>
      <c r="BA72" s="908">
        <f t="shared" si="37"/>
        <v>10.514574982307002</v>
      </c>
      <c r="BB72" s="908">
        <f t="shared" si="37"/>
        <v>10.514574982307002</v>
      </c>
      <c r="BC72" s="908"/>
      <c r="BE72" s="907"/>
      <c r="BF72" s="906" t="s">
        <v>25</v>
      </c>
      <c r="BG72" s="906">
        <v>2050</v>
      </c>
      <c r="BH72" s="908">
        <f t="shared" si="43"/>
        <v>5.6956354669864169</v>
      </c>
      <c r="BI72" s="908">
        <f t="shared" si="43"/>
        <v>6.2699504466292098</v>
      </c>
      <c r="BJ72" s="908">
        <f t="shared" si="43"/>
        <v>6.8597365430825761</v>
      </c>
      <c r="BK72" s="908">
        <f t="shared" si="43"/>
        <v>7.2736819300538169</v>
      </c>
    </row>
    <row r="73" spans="1:63" ht="16">
      <c r="A73" s="906">
        <v>72</v>
      </c>
      <c r="B73" s="906" t="s">
        <v>1806</v>
      </c>
      <c r="C73" s="906">
        <v>29189</v>
      </c>
      <c r="D73" s="906" t="s">
        <v>1256</v>
      </c>
      <c r="E73" s="906" t="s">
        <v>1258</v>
      </c>
      <c r="F73" s="1015"/>
      <c r="G73" s="1014"/>
      <c r="H73" s="1014"/>
      <c r="I73" s="1014"/>
      <c r="J73" s="1013"/>
      <c r="K73" s="1012"/>
      <c r="L73" s="1011"/>
      <c r="N73" s="1032" t="s">
        <v>1805</v>
      </c>
      <c r="O73" s="1031"/>
      <c r="P73" s="1030">
        <v>75</v>
      </c>
      <c r="Q73" s="1029">
        <v>42</v>
      </c>
      <c r="R73" s="1029">
        <v>82</v>
      </c>
      <c r="S73" s="1028">
        <v>40</v>
      </c>
      <c r="T73" s="1027" t="s">
        <v>842</v>
      </c>
      <c r="U73" s="1026">
        <v>0.15905077413790744</v>
      </c>
      <c r="V73" s="1018">
        <v>122.861</v>
      </c>
      <c r="W73" s="1018"/>
      <c r="X73" s="1018">
        <v>72</v>
      </c>
      <c r="BC73" s="908"/>
      <c r="BH73" s="910" t="s">
        <v>1259</v>
      </c>
      <c r="BI73" s="910" t="s">
        <v>1259</v>
      </c>
      <c r="BJ73" s="909" t="s">
        <v>1258</v>
      </c>
      <c r="BK73" s="909" t="s">
        <v>1258</v>
      </c>
    </row>
    <row r="74" spans="1:63">
      <c r="A74" s="906">
        <v>73</v>
      </c>
      <c r="B74" s="906" t="s">
        <v>1804</v>
      </c>
      <c r="C74" s="906">
        <v>29189</v>
      </c>
      <c r="D74" s="906" t="s">
        <v>1256</v>
      </c>
      <c r="E74" s="906" t="s">
        <v>1259</v>
      </c>
      <c r="F74" s="1015">
        <f t="shared" ref="F74:L74" si="46">O44</f>
        <v>4.4507744347516464E-3</v>
      </c>
      <c r="G74" s="1014">
        <f t="shared" si="46"/>
        <v>72</v>
      </c>
      <c r="H74" s="1014">
        <f t="shared" si="46"/>
        <v>42</v>
      </c>
      <c r="I74" s="1014">
        <f t="shared" si="46"/>
        <v>75</v>
      </c>
      <c r="J74" s="1013">
        <f t="shared" si="46"/>
        <v>39</v>
      </c>
      <c r="K74" s="1012" t="str">
        <f t="shared" si="46"/>
        <v/>
      </c>
      <c r="L74" s="1011">
        <f t="shared" si="46"/>
        <v>0.28107117310443491</v>
      </c>
      <c r="N74" s="1032" t="s">
        <v>1803</v>
      </c>
      <c r="O74" s="1031">
        <v>1.7511330861145447E-3</v>
      </c>
      <c r="P74" s="1030">
        <v>64</v>
      </c>
      <c r="Q74" s="1029">
        <v>45</v>
      </c>
      <c r="R74" s="1029">
        <v>78</v>
      </c>
      <c r="S74" s="1028">
        <v>39</v>
      </c>
      <c r="T74" s="1027">
        <v>41.341454254271277</v>
      </c>
      <c r="U74" s="1026">
        <v>0.23941212022937336</v>
      </c>
      <c r="V74" s="1018">
        <v>51.595999999999997</v>
      </c>
      <c r="W74" s="1018"/>
      <c r="X74" s="1018">
        <v>73</v>
      </c>
      <c r="BC74" s="908"/>
      <c r="BE74" s="1354">
        <f>BD62</f>
        <v>0</v>
      </c>
      <c r="BF74" s="1354"/>
      <c r="BG74" s="1354"/>
      <c r="BH74" s="909" t="s">
        <v>1257</v>
      </c>
      <c r="BI74" s="909" t="s">
        <v>1256</v>
      </c>
      <c r="BJ74" s="909" t="s">
        <v>1257</v>
      </c>
      <c r="BK74" s="909" t="s">
        <v>1256</v>
      </c>
    </row>
    <row r="75" spans="1:63">
      <c r="A75" s="906">
        <v>74</v>
      </c>
      <c r="B75" s="906" t="s">
        <v>1802</v>
      </c>
      <c r="C75" s="906">
        <v>29188</v>
      </c>
      <c r="D75" s="906" t="s">
        <v>1256</v>
      </c>
      <c r="E75" s="906" t="s">
        <v>1258</v>
      </c>
      <c r="F75" s="1015"/>
      <c r="G75" s="1014"/>
      <c r="H75" s="1014"/>
      <c r="I75" s="1014"/>
      <c r="J75" s="1013"/>
      <c r="K75" s="1012"/>
      <c r="L75" s="1011"/>
      <c r="N75" s="1032" t="s">
        <v>1801</v>
      </c>
      <c r="O75" s="1031"/>
      <c r="P75" s="1030">
        <v>68.400000000000006</v>
      </c>
      <c r="Q75" s="1029">
        <v>38.1</v>
      </c>
      <c r="R75" s="1029">
        <v>73.3</v>
      </c>
      <c r="S75" s="1028">
        <v>33.1</v>
      </c>
      <c r="T75" s="1027">
        <v>45.625742555994066</v>
      </c>
      <c r="U75" s="1026">
        <v>0.23402607664954564</v>
      </c>
      <c r="V75" s="1018">
        <v>48.466999999999999</v>
      </c>
      <c r="W75" s="1018"/>
      <c r="X75" s="1018">
        <v>74</v>
      </c>
      <c r="BD75" s="907"/>
      <c r="BE75" s="907"/>
      <c r="BG75" s="906">
        <v>2015</v>
      </c>
      <c r="BH75" s="908">
        <f>AVERAGE(BH57:BH60)</f>
        <v>4.6674138507559979</v>
      </c>
      <c r="BI75" s="908">
        <f>AVERAGE(BI57:BI60)</f>
        <v>5.1352355159880698</v>
      </c>
      <c r="BJ75" s="908">
        <f>AVERAGE(BJ57:BJ60)</f>
        <v>5.6187085003093955</v>
      </c>
      <c r="BK75" s="908">
        <f>AVERAGE(BK57:BK60)</f>
        <v>5.9557725657319303</v>
      </c>
    </row>
    <row r="76" spans="1:63">
      <c r="A76" s="906">
        <v>75</v>
      </c>
      <c r="B76" s="906" t="s">
        <v>1800</v>
      </c>
      <c r="C76" s="906">
        <v>29188</v>
      </c>
      <c r="D76" s="906" t="s">
        <v>1256</v>
      </c>
      <c r="E76" s="906" t="s">
        <v>1258</v>
      </c>
      <c r="F76" s="1015"/>
      <c r="G76" s="1014"/>
      <c r="H76" s="1014"/>
      <c r="I76" s="1014"/>
      <c r="J76" s="1013"/>
      <c r="K76" s="1012"/>
      <c r="L76" s="1011"/>
      <c r="N76" s="1032" t="s">
        <v>1799</v>
      </c>
      <c r="O76" s="1031"/>
      <c r="P76" s="1030">
        <v>70</v>
      </c>
      <c r="Q76" s="1029">
        <v>38</v>
      </c>
      <c r="R76" s="1029">
        <v>71</v>
      </c>
      <c r="S76" s="1028">
        <v>34</v>
      </c>
      <c r="T76" s="1027">
        <v>39.165090999099291</v>
      </c>
      <c r="U76" s="1026">
        <v>0.24730127576054955</v>
      </c>
      <c r="V76" s="1018">
        <v>19.942</v>
      </c>
      <c r="W76" s="1018"/>
      <c r="X76" s="1018">
        <v>75</v>
      </c>
      <c r="BD76" s="907"/>
      <c r="BE76" s="907"/>
      <c r="BG76" s="906">
        <v>2020</v>
      </c>
      <c r="BH76" s="908">
        <f>AVERAGE(BH61:BH64)</f>
        <v>5.5087225085007274</v>
      </c>
      <c r="BI76" s="908">
        <f>AVERAGE(BI61:BI64)</f>
        <v>6.0608697616976537</v>
      </c>
      <c r="BJ76" s="908">
        <f>AVERAGE(BJ61:BJ64)</f>
        <v>6.6314895087662613</v>
      </c>
      <c r="BK76" s="908">
        <f>AVERAGE(BK61:BK64)</f>
        <v>7.0293098999662247</v>
      </c>
    </row>
    <row r="77" spans="1:63" ht="16">
      <c r="A77" s="906">
        <v>76</v>
      </c>
      <c r="B77" s="906" t="s">
        <v>1798</v>
      </c>
      <c r="C77" s="906">
        <v>29189</v>
      </c>
      <c r="D77" s="906" t="s">
        <v>1256</v>
      </c>
      <c r="E77" s="906" t="s">
        <v>1258</v>
      </c>
      <c r="F77" s="1015">
        <f t="shared" ref="F77:K77" si="47">O45</f>
        <v>0.26081833761782347</v>
      </c>
      <c r="G77" s="1014">
        <f t="shared" si="47"/>
        <v>75</v>
      </c>
      <c r="H77" s="1014">
        <f t="shared" si="47"/>
        <v>42</v>
      </c>
      <c r="I77" s="1014">
        <f t="shared" si="47"/>
        <v>85</v>
      </c>
      <c r="J77" s="1013">
        <f t="shared" si="47"/>
        <v>42</v>
      </c>
      <c r="K77" s="1012" t="str">
        <f t="shared" si="47"/>
        <v/>
      </c>
      <c r="L77" s="1016">
        <v>0.22800028617798151</v>
      </c>
      <c r="N77" s="1032" t="s">
        <v>1797</v>
      </c>
      <c r="O77" s="1031"/>
      <c r="P77" s="1030">
        <v>75</v>
      </c>
      <c r="Q77" s="1029">
        <v>40</v>
      </c>
      <c r="R77" s="1029">
        <v>80</v>
      </c>
      <c r="S77" s="1028">
        <v>37</v>
      </c>
      <c r="T77" s="1027" t="s">
        <v>842</v>
      </c>
      <c r="U77" s="1026"/>
      <c r="V77" s="1018" t="s">
        <v>842</v>
      </c>
      <c r="W77" s="1018"/>
      <c r="X77" s="1018">
        <v>76</v>
      </c>
      <c r="BD77" s="907"/>
      <c r="BE77" s="907"/>
      <c r="BG77" s="906">
        <v>2030</v>
      </c>
      <c r="BH77" s="908">
        <f>AVERAGE(BH65:BH68)</f>
        <v>5.9500098730794946</v>
      </c>
      <c r="BI77" s="908">
        <f>AVERAGE(BI65:BI68)</f>
        <v>6.5463879993775214</v>
      </c>
      <c r="BJ77" s="908">
        <f>AVERAGE(BJ65:BJ68)</f>
        <v>7.1627183960517193</v>
      </c>
      <c r="BK77" s="908">
        <f>AVERAGE(BK65:BK68)</f>
        <v>7.5924069947603066</v>
      </c>
    </row>
    <row r="78" spans="1:63">
      <c r="A78" s="906">
        <v>77</v>
      </c>
      <c r="B78" s="906" t="s">
        <v>1796</v>
      </c>
      <c r="C78" s="906">
        <v>29189</v>
      </c>
      <c r="D78" s="906" t="s">
        <v>1256</v>
      </c>
      <c r="E78" s="906" t="s">
        <v>1258</v>
      </c>
      <c r="F78" s="1015"/>
      <c r="G78" s="1014"/>
      <c r="H78" s="1014"/>
      <c r="I78" s="1014"/>
      <c r="J78" s="1013"/>
      <c r="K78" s="1012"/>
      <c r="L78" s="1011"/>
      <c r="N78" s="1032" t="s">
        <v>1795</v>
      </c>
      <c r="O78" s="1031"/>
      <c r="P78" s="1034">
        <v>71</v>
      </c>
      <c r="Q78" s="1018">
        <v>42</v>
      </c>
      <c r="R78" s="1018">
        <v>77</v>
      </c>
      <c r="S78" s="1033">
        <v>40</v>
      </c>
      <c r="T78" s="1027" t="s">
        <v>842</v>
      </c>
      <c r="U78" s="1026">
        <v>0.22894129556392462</v>
      </c>
      <c r="V78" s="1018">
        <v>89.88</v>
      </c>
      <c r="W78" s="1018"/>
      <c r="X78" s="1018">
        <v>77</v>
      </c>
      <c r="BC78" s="908"/>
      <c r="BD78" s="907"/>
      <c r="BE78" s="907"/>
      <c r="BG78" s="906">
        <v>2050</v>
      </c>
      <c r="BH78" s="908">
        <f>AVERAGE(BH69:BH72)</f>
        <v>5.7005953447906395</v>
      </c>
      <c r="BI78" s="908">
        <f>AVERAGE(BI69:BI72)</f>
        <v>6.2719742908813512</v>
      </c>
      <c r="BJ78" s="908">
        <f>AVERAGE(BJ69:BJ72)</f>
        <v>6.8624691413235865</v>
      </c>
      <c r="BK78" s="908">
        <f>AVERAGE(BK69:BK72)</f>
        <v>7.2741459078765853</v>
      </c>
    </row>
    <row r="79" spans="1:63">
      <c r="A79" s="906">
        <v>78</v>
      </c>
      <c r="B79" s="906" t="s">
        <v>1793</v>
      </c>
      <c r="C79" s="906">
        <v>29188</v>
      </c>
      <c r="D79" s="906" t="s">
        <v>1257</v>
      </c>
      <c r="E79" s="906" t="s">
        <v>1258</v>
      </c>
      <c r="F79" s="1015">
        <f t="shared" ref="F79:L79" si="48">O46</f>
        <v>0</v>
      </c>
      <c r="G79" s="1014">
        <f t="shared" si="48"/>
        <v>75</v>
      </c>
      <c r="H79" s="1014">
        <f t="shared" si="48"/>
        <v>42</v>
      </c>
      <c r="I79" s="1014">
        <f t="shared" si="48"/>
        <v>85</v>
      </c>
      <c r="J79" s="1013">
        <f t="shared" si="48"/>
        <v>36</v>
      </c>
      <c r="K79" s="1012">
        <f t="shared" si="48"/>
        <v>34.802769684210524</v>
      </c>
      <c r="L79" s="1011">
        <f t="shared" si="48"/>
        <v>0.17170737620018459</v>
      </c>
      <c r="N79" s="1032" t="s">
        <v>1685</v>
      </c>
      <c r="O79" s="1031"/>
      <c r="P79" s="1030">
        <v>73</v>
      </c>
      <c r="Q79" s="1029">
        <v>42</v>
      </c>
      <c r="R79" s="1029">
        <v>73</v>
      </c>
      <c r="S79" s="1028">
        <v>38</v>
      </c>
      <c r="T79" s="1027">
        <v>29.801433962264152</v>
      </c>
      <c r="U79" s="1026">
        <v>0.26657954916693893</v>
      </c>
      <c r="V79" s="1018">
        <v>6.7350000000000003</v>
      </c>
      <c r="W79" s="1018"/>
      <c r="X79" s="1018">
        <v>78</v>
      </c>
      <c r="AV79" s="907"/>
      <c r="AY79" s="908"/>
      <c r="AZ79" s="908"/>
      <c r="BA79" s="908"/>
      <c r="BB79" s="908"/>
      <c r="BD79" s="907"/>
      <c r="BG79" s="908"/>
      <c r="BH79" s="908"/>
      <c r="BI79" s="908"/>
      <c r="BJ79" s="908"/>
    </row>
    <row r="80" spans="1:63">
      <c r="A80" s="906">
        <v>79</v>
      </c>
      <c r="B80" s="906" t="s">
        <v>1793</v>
      </c>
      <c r="C80" s="906">
        <v>35209</v>
      </c>
      <c r="D80" s="906" t="s">
        <v>1257</v>
      </c>
      <c r="E80" s="906" t="s">
        <v>1258</v>
      </c>
      <c r="F80" s="1015">
        <f t="shared" ref="F80:L81" si="49">F79</f>
        <v>0</v>
      </c>
      <c r="G80" s="1014">
        <f t="shared" si="49"/>
        <v>75</v>
      </c>
      <c r="H80" s="1014">
        <f t="shared" si="49"/>
        <v>42</v>
      </c>
      <c r="I80" s="1014">
        <f t="shared" si="49"/>
        <v>85</v>
      </c>
      <c r="J80" s="1013">
        <f t="shared" si="49"/>
        <v>36</v>
      </c>
      <c r="K80" s="1012">
        <f t="shared" si="49"/>
        <v>34.802769684210524</v>
      </c>
      <c r="L80" s="1011">
        <f t="shared" si="49"/>
        <v>0.17170737620018459</v>
      </c>
      <c r="N80" s="1032" t="s">
        <v>1794</v>
      </c>
      <c r="O80" s="1031">
        <v>7.1261491595495843E-2</v>
      </c>
      <c r="P80" s="1030">
        <v>68</v>
      </c>
      <c r="Q80" s="1029">
        <v>43</v>
      </c>
      <c r="R80" s="1029">
        <v>72</v>
      </c>
      <c r="S80" s="1028">
        <v>40</v>
      </c>
      <c r="T80" s="1027">
        <v>30.647035126791668</v>
      </c>
      <c r="U80" s="1026">
        <v>0.28758859017161598</v>
      </c>
      <c r="V80" s="1018">
        <v>12.163</v>
      </c>
      <c r="W80" s="1018"/>
      <c r="X80" s="1018">
        <v>79</v>
      </c>
      <c r="AV80" s="907"/>
      <c r="AY80" s="908"/>
      <c r="AZ80" s="908"/>
      <c r="BA80" s="908"/>
      <c r="BB80" s="908"/>
      <c r="BD80" s="907"/>
      <c r="BG80" s="908"/>
      <c r="BH80" s="908"/>
      <c r="BI80" s="908"/>
      <c r="BJ80" s="908"/>
    </row>
    <row r="81" spans="1:62">
      <c r="A81" s="906">
        <v>80</v>
      </c>
      <c r="B81" s="906" t="s">
        <v>1793</v>
      </c>
      <c r="C81" s="906">
        <v>35209</v>
      </c>
      <c r="D81" s="906" t="s">
        <v>1256</v>
      </c>
      <c r="E81" s="906" t="s">
        <v>1258</v>
      </c>
      <c r="F81" s="1015">
        <f t="shared" si="49"/>
        <v>0</v>
      </c>
      <c r="G81" s="1014">
        <f t="shared" si="49"/>
        <v>75</v>
      </c>
      <c r="H81" s="1014">
        <f t="shared" si="49"/>
        <v>42</v>
      </c>
      <c r="I81" s="1014">
        <f t="shared" si="49"/>
        <v>85</v>
      </c>
      <c r="J81" s="1013">
        <f t="shared" si="49"/>
        <v>36</v>
      </c>
      <c r="K81" s="1012">
        <f t="shared" si="49"/>
        <v>34.802769684210524</v>
      </c>
      <c r="L81" s="1011">
        <f t="shared" si="49"/>
        <v>0.17170737620018459</v>
      </c>
      <c r="N81" s="1032" t="s">
        <v>1792</v>
      </c>
      <c r="O81" s="1031"/>
      <c r="P81" s="1030">
        <v>78</v>
      </c>
      <c r="Q81" s="1029">
        <v>0</v>
      </c>
      <c r="R81" s="1029">
        <v>78</v>
      </c>
      <c r="S81" s="1028">
        <v>0</v>
      </c>
      <c r="T81" s="1027" t="s">
        <v>842</v>
      </c>
      <c r="U81" s="1026"/>
      <c r="V81" s="1018" t="s">
        <v>842</v>
      </c>
      <c r="W81" s="1018"/>
      <c r="X81" s="1018">
        <v>80</v>
      </c>
      <c r="AV81" s="907"/>
      <c r="AY81" s="908"/>
      <c r="AZ81" s="908"/>
      <c r="BA81" s="908"/>
      <c r="BB81" s="908"/>
      <c r="BD81" s="907"/>
      <c r="BG81" s="908"/>
      <c r="BH81" s="908"/>
      <c r="BI81" s="908"/>
      <c r="BJ81" s="908"/>
    </row>
    <row r="82" spans="1:62">
      <c r="A82" s="906">
        <v>81</v>
      </c>
      <c r="B82" s="906" t="s">
        <v>1791</v>
      </c>
      <c r="C82" s="906">
        <v>55606</v>
      </c>
      <c r="D82" s="906" t="s">
        <v>1257</v>
      </c>
      <c r="E82" s="906" t="s">
        <v>1259</v>
      </c>
      <c r="F82" s="1015">
        <f t="shared" ref="F82:L82" si="50">O47</f>
        <v>0</v>
      </c>
      <c r="G82" s="1014">
        <f t="shared" si="50"/>
        <v>165</v>
      </c>
      <c r="H82" s="1014">
        <f t="shared" si="50"/>
        <v>100</v>
      </c>
      <c r="I82" s="1014">
        <f t="shared" si="50"/>
        <v>165</v>
      </c>
      <c r="J82" s="1013">
        <f t="shared" si="50"/>
        <v>70</v>
      </c>
      <c r="K82" s="1012" t="str">
        <f t="shared" si="50"/>
        <v/>
      </c>
      <c r="L82" s="1011">
        <f t="shared" si="50"/>
        <v>0.2390308275898915</v>
      </c>
      <c r="N82" s="1032" t="s">
        <v>1790</v>
      </c>
      <c r="O82" s="1031"/>
      <c r="P82" s="1030">
        <v>72</v>
      </c>
      <c r="Q82" s="1029">
        <v>49.3</v>
      </c>
      <c r="R82" s="1029">
        <v>72</v>
      </c>
      <c r="S82" s="1028">
        <v>43.7</v>
      </c>
      <c r="T82" s="1027">
        <v>26.738828983587556</v>
      </c>
      <c r="U82" s="1026">
        <v>0.22799820425097142</v>
      </c>
      <c r="V82" s="1018">
        <v>49.869</v>
      </c>
      <c r="W82" s="1018"/>
      <c r="X82" s="1018">
        <v>81</v>
      </c>
      <c r="AV82" s="907"/>
      <c r="AY82" s="908"/>
      <c r="AZ82" s="908"/>
      <c r="BA82" s="908"/>
      <c r="BB82" s="908"/>
      <c r="BD82" s="907"/>
      <c r="BG82" s="908"/>
      <c r="BH82" s="908"/>
      <c r="BI82" s="908"/>
      <c r="BJ82" s="908"/>
    </row>
    <row r="83" spans="1:62">
      <c r="A83" s="906">
        <v>82</v>
      </c>
      <c r="B83" s="906" t="s">
        <v>1789</v>
      </c>
      <c r="C83" s="906">
        <v>29188</v>
      </c>
      <c r="D83" s="906" t="s">
        <v>1256</v>
      </c>
      <c r="E83" s="906" t="s">
        <v>1259</v>
      </c>
      <c r="F83" s="1015">
        <f t="shared" ref="F83:L83" si="51">O253</f>
        <v>1.6757865937072503E-2</v>
      </c>
      <c r="G83" s="1014">
        <f t="shared" si="51"/>
        <v>70</v>
      </c>
      <c r="H83" s="1014">
        <f t="shared" si="51"/>
        <v>0</v>
      </c>
      <c r="I83" s="1014">
        <f t="shared" si="51"/>
        <v>80</v>
      </c>
      <c r="J83" s="1013">
        <f t="shared" si="51"/>
        <v>0</v>
      </c>
      <c r="K83" s="1012" t="str">
        <f t="shared" si="51"/>
        <v/>
      </c>
      <c r="L83" s="1011">
        <f t="shared" si="51"/>
        <v>0.30536956521739128</v>
      </c>
      <c r="N83" s="1032" t="s">
        <v>1788</v>
      </c>
      <c r="O83" s="1031">
        <v>1.2080536912751677E-2</v>
      </c>
      <c r="P83" s="1030">
        <v>65</v>
      </c>
      <c r="Q83" s="1029">
        <v>43</v>
      </c>
      <c r="R83" s="1029">
        <v>75</v>
      </c>
      <c r="S83" s="1028">
        <v>38</v>
      </c>
      <c r="T83" s="1027">
        <v>33.747721896932802</v>
      </c>
      <c r="U83" s="1026">
        <v>0.3286808300395257</v>
      </c>
      <c r="V83" s="1018">
        <v>5.4349999999999996</v>
      </c>
      <c r="W83" s="1018"/>
      <c r="X83" s="1018">
        <v>82</v>
      </c>
      <c r="AV83" s="907"/>
      <c r="AY83" s="908"/>
      <c r="AZ83" s="908"/>
      <c r="BA83" s="908"/>
      <c r="BB83" s="908"/>
      <c r="BD83" s="907"/>
      <c r="BG83" s="908"/>
      <c r="BH83" s="908"/>
      <c r="BI83" s="908"/>
      <c r="BJ83" s="908"/>
    </row>
    <row r="84" spans="1:62">
      <c r="A84" s="906">
        <v>83</v>
      </c>
      <c r="B84" s="906" t="s">
        <v>1787</v>
      </c>
      <c r="C84" s="906">
        <v>29189</v>
      </c>
      <c r="D84" s="906" t="s">
        <v>1256</v>
      </c>
      <c r="E84" s="906" t="s">
        <v>1258</v>
      </c>
      <c r="F84" s="1015">
        <f t="shared" ref="F84:L84" si="52">O48</f>
        <v>0</v>
      </c>
      <c r="G84" s="1014">
        <f t="shared" si="52"/>
        <v>76</v>
      </c>
      <c r="H84" s="1014">
        <f t="shared" si="52"/>
        <v>0</v>
      </c>
      <c r="I84" s="1014">
        <f t="shared" si="52"/>
        <v>80</v>
      </c>
      <c r="J84" s="1013">
        <f t="shared" si="52"/>
        <v>0</v>
      </c>
      <c r="K84" s="1012" t="str">
        <f t="shared" si="52"/>
        <v/>
      </c>
      <c r="L84" s="1011">
        <f t="shared" si="52"/>
        <v>0.30656911045818702</v>
      </c>
      <c r="N84" s="1032" t="s">
        <v>1670</v>
      </c>
      <c r="O84" s="1031">
        <v>3.2411973850212182E-2</v>
      </c>
      <c r="P84" s="1030">
        <v>70</v>
      </c>
      <c r="Q84" s="1029">
        <v>45</v>
      </c>
      <c r="R84" s="1029">
        <v>80</v>
      </c>
      <c r="S84" s="1028">
        <v>40</v>
      </c>
      <c r="T84" s="1027">
        <v>31.777020942610172</v>
      </c>
      <c r="U84" s="1026">
        <v>0.26890616850789434</v>
      </c>
      <c r="V84" s="1018">
        <v>30.838999999999999</v>
      </c>
      <c r="W84" s="1018"/>
      <c r="X84" s="1018">
        <v>83</v>
      </c>
      <c r="AV84" s="907"/>
      <c r="AY84" s="908"/>
      <c r="AZ84" s="908"/>
      <c r="BA84" s="908"/>
      <c r="BB84" s="908"/>
      <c r="BD84" s="907"/>
      <c r="BG84" s="908"/>
      <c r="BH84" s="908"/>
      <c r="BI84" s="908"/>
      <c r="BJ84" s="908"/>
    </row>
    <row r="85" spans="1:62">
      <c r="A85" s="906">
        <v>84</v>
      </c>
      <c r="B85" s="906" t="s">
        <v>1786</v>
      </c>
      <c r="C85" s="906">
        <v>29189</v>
      </c>
      <c r="D85" s="906" t="s">
        <v>1256</v>
      </c>
      <c r="E85" s="906" t="s">
        <v>1258</v>
      </c>
      <c r="F85" s="1015"/>
      <c r="G85" s="1014"/>
      <c r="H85" s="1014"/>
      <c r="I85" s="1014"/>
      <c r="J85" s="1013"/>
      <c r="K85" s="1012"/>
      <c r="L85" s="1011"/>
      <c r="N85" s="1032" t="s">
        <v>1785</v>
      </c>
      <c r="O85" s="1031"/>
      <c r="P85" s="1030">
        <v>68</v>
      </c>
      <c r="Q85" s="1029">
        <v>47</v>
      </c>
      <c r="R85" s="1029">
        <v>75</v>
      </c>
      <c r="S85" s="1028">
        <v>37</v>
      </c>
      <c r="T85" s="1027" t="s">
        <v>842</v>
      </c>
      <c r="U85" s="1026">
        <v>0.25414852895132867</v>
      </c>
      <c r="V85" s="1018">
        <v>59.078000000000003</v>
      </c>
      <c r="W85" s="1018"/>
      <c r="X85" s="1018">
        <v>84</v>
      </c>
      <c r="AV85" s="907"/>
      <c r="AY85" s="908"/>
      <c r="AZ85" s="908"/>
      <c r="BA85" s="908"/>
      <c r="BB85" s="908"/>
      <c r="BD85" s="907"/>
      <c r="BG85" s="908"/>
      <c r="BH85" s="908"/>
      <c r="BI85" s="908"/>
      <c r="BJ85" s="908"/>
    </row>
    <row r="86" spans="1:62">
      <c r="A86" s="906">
        <v>85</v>
      </c>
      <c r="B86" s="906" t="s">
        <v>1784</v>
      </c>
      <c r="C86" s="906">
        <v>64502</v>
      </c>
      <c r="D86" s="906" t="s">
        <v>1256</v>
      </c>
      <c r="E86" s="906" t="s">
        <v>1259</v>
      </c>
      <c r="F86" s="1015"/>
      <c r="G86" s="1014"/>
      <c r="H86" s="1014"/>
      <c r="I86" s="1014"/>
      <c r="J86" s="1013"/>
      <c r="K86" s="1012"/>
      <c r="L86" s="1011"/>
      <c r="N86" s="1049" t="s">
        <v>1783</v>
      </c>
      <c r="O86" s="1048">
        <v>1.0352179986765679E-2</v>
      </c>
      <c r="P86" s="1047">
        <v>74</v>
      </c>
      <c r="Q86" s="1046">
        <v>39</v>
      </c>
      <c r="R86" s="1046">
        <v>70</v>
      </c>
      <c r="S86" s="1045">
        <v>37</v>
      </c>
      <c r="T86" s="1044">
        <v>45.378171948085345</v>
      </c>
      <c r="U86" s="1043">
        <v>0.27424555355789659</v>
      </c>
      <c r="V86" s="1042">
        <v>48.844000000000001</v>
      </c>
      <c r="W86" s="1042"/>
      <c r="X86" s="1042">
        <v>85</v>
      </c>
      <c r="AV86" s="907"/>
      <c r="AY86" s="908"/>
      <c r="AZ86" s="908"/>
      <c r="BA86" s="908"/>
      <c r="BB86" s="908"/>
      <c r="BD86" s="907"/>
      <c r="BG86" s="908"/>
      <c r="BH86" s="908"/>
      <c r="BI86" s="908"/>
      <c r="BJ86" s="908"/>
    </row>
    <row r="87" spans="1:62">
      <c r="A87" s="906">
        <v>86</v>
      </c>
      <c r="B87" s="906" t="s">
        <v>1782</v>
      </c>
      <c r="C87" s="906">
        <v>29188</v>
      </c>
      <c r="D87" s="906" t="s">
        <v>1256</v>
      </c>
      <c r="E87" s="906" t="s">
        <v>1259</v>
      </c>
      <c r="F87" s="1015"/>
      <c r="G87" s="1014"/>
      <c r="H87" s="1014"/>
      <c r="I87" s="1014"/>
      <c r="J87" s="1013"/>
      <c r="K87" s="1012"/>
      <c r="L87" s="1011"/>
      <c r="N87" s="1049" t="s">
        <v>1781</v>
      </c>
      <c r="O87" s="1048"/>
      <c r="P87" s="1047">
        <v>75</v>
      </c>
      <c r="Q87" s="1046">
        <v>42</v>
      </c>
      <c r="R87" s="1046">
        <v>80</v>
      </c>
      <c r="S87" s="1045">
        <v>37</v>
      </c>
      <c r="T87" s="1044" t="s">
        <v>842</v>
      </c>
      <c r="U87" s="1043">
        <v>0.27379140817043196</v>
      </c>
      <c r="V87" s="1042">
        <v>24.815999999999999</v>
      </c>
      <c r="W87" s="1042"/>
      <c r="X87" s="1042">
        <v>86</v>
      </c>
      <c r="AV87" s="907"/>
      <c r="AY87" s="908"/>
      <c r="AZ87" s="908"/>
      <c r="BA87" s="908"/>
      <c r="BB87" s="908"/>
      <c r="BD87" s="907"/>
      <c r="BG87" s="908"/>
      <c r="BH87" s="908"/>
      <c r="BI87" s="908"/>
      <c r="BJ87" s="908"/>
    </row>
    <row r="88" spans="1:62">
      <c r="A88" s="906">
        <v>87</v>
      </c>
      <c r="B88" s="906" t="s">
        <v>1780</v>
      </c>
      <c r="C88" s="906">
        <v>69116</v>
      </c>
      <c r="D88" s="906" t="s">
        <v>1257</v>
      </c>
      <c r="E88" s="906" t="s">
        <v>1258</v>
      </c>
      <c r="F88" s="1015">
        <f t="shared" ref="F88:L91" si="53">O49</f>
        <v>0</v>
      </c>
      <c r="G88" s="1014">
        <f t="shared" si="53"/>
        <v>65</v>
      </c>
      <c r="H88" s="1014">
        <f t="shared" si="53"/>
        <v>45</v>
      </c>
      <c r="I88" s="1014">
        <f t="shared" si="53"/>
        <v>75</v>
      </c>
      <c r="J88" s="1013">
        <f t="shared" si="53"/>
        <v>41</v>
      </c>
      <c r="K88" s="1012">
        <f t="shared" si="53"/>
        <v>31.617746183189187</v>
      </c>
      <c r="L88" s="1011">
        <f t="shared" si="53"/>
        <v>0.12362072151822474</v>
      </c>
      <c r="N88" s="1049" t="s">
        <v>1779</v>
      </c>
      <c r="O88" s="1048"/>
      <c r="P88" s="1047">
        <v>75</v>
      </c>
      <c r="Q88" s="1046">
        <v>42</v>
      </c>
      <c r="R88" s="1046">
        <v>80</v>
      </c>
      <c r="S88" s="1045">
        <v>42</v>
      </c>
      <c r="T88" s="1044" t="s">
        <v>842</v>
      </c>
      <c r="U88" s="1043">
        <v>0.19338545966684473</v>
      </c>
      <c r="V88" s="1042">
        <v>16.609000000000002</v>
      </c>
      <c r="W88" s="1042"/>
      <c r="X88" s="1042">
        <v>87</v>
      </c>
      <c r="AV88" s="907"/>
      <c r="AY88" s="908"/>
      <c r="AZ88" s="908"/>
      <c r="BA88" s="908"/>
      <c r="BB88" s="908"/>
      <c r="BD88" s="907"/>
      <c r="BG88" s="908"/>
      <c r="BH88" s="908"/>
      <c r="BI88" s="908"/>
      <c r="BJ88" s="908"/>
    </row>
    <row r="89" spans="1:62">
      <c r="A89" s="906">
        <v>88</v>
      </c>
      <c r="B89" s="906" t="s">
        <v>1778</v>
      </c>
      <c r="C89" s="906">
        <v>29189</v>
      </c>
      <c r="D89" s="906" t="s">
        <v>1256</v>
      </c>
      <c r="E89" s="906" t="s">
        <v>1258</v>
      </c>
      <c r="F89" s="1015">
        <f t="shared" si="53"/>
        <v>2.4049357844371694E-2</v>
      </c>
      <c r="G89" s="1014">
        <f t="shared" si="53"/>
        <v>70</v>
      </c>
      <c r="H89" s="1014">
        <f t="shared" si="53"/>
        <v>40</v>
      </c>
      <c r="I89" s="1014">
        <f t="shared" si="53"/>
        <v>73</v>
      </c>
      <c r="J89" s="1013">
        <f t="shared" si="53"/>
        <v>33</v>
      </c>
      <c r="K89" s="1012">
        <f t="shared" si="53"/>
        <v>35.076642969526986</v>
      </c>
      <c r="L89" s="1011">
        <f t="shared" si="53"/>
        <v>0.25854728422139078</v>
      </c>
      <c r="N89" s="1049" t="s">
        <v>1777</v>
      </c>
      <c r="O89" s="1048"/>
      <c r="P89" s="1047">
        <v>68</v>
      </c>
      <c r="Q89" s="1046">
        <v>45</v>
      </c>
      <c r="R89" s="1046">
        <v>76</v>
      </c>
      <c r="S89" s="1045">
        <v>41</v>
      </c>
      <c r="T89" s="1044">
        <v>33.24808408180693</v>
      </c>
      <c r="U89" s="1043">
        <v>0.19381967805610387</v>
      </c>
      <c r="V89" s="1042">
        <v>231.98</v>
      </c>
      <c r="W89" s="1042"/>
      <c r="X89" s="1042">
        <v>88</v>
      </c>
      <c r="AV89" s="907"/>
      <c r="AY89" s="908"/>
      <c r="AZ89" s="908"/>
      <c r="BA89" s="908"/>
      <c r="BB89" s="908"/>
      <c r="BD89" s="907"/>
      <c r="BG89" s="908"/>
      <c r="BH89" s="908"/>
      <c r="BI89" s="908"/>
      <c r="BJ89" s="908"/>
    </row>
    <row r="90" spans="1:62">
      <c r="A90" s="906">
        <v>89</v>
      </c>
      <c r="B90" s="906" t="s">
        <v>1776</v>
      </c>
      <c r="C90" s="906">
        <v>11259</v>
      </c>
      <c r="D90" s="906" t="s">
        <v>1257</v>
      </c>
      <c r="E90" s="906" t="s">
        <v>1259</v>
      </c>
      <c r="F90" s="1015">
        <f t="shared" si="53"/>
        <v>0</v>
      </c>
      <c r="G90" s="1014">
        <f t="shared" si="53"/>
        <v>75.900000000000006</v>
      </c>
      <c r="H90" s="1014">
        <f t="shared" si="53"/>
        <v>49.2</v>
      </c>
      <c r="I90" s="1014">
        <f t="shared" si="53"/>
        <v>82.5</v>
      </c>
      <c r="J90" s="1013">
        <f t="shared" si="53"/>
        <v>47.9</v>
      </c>
      <c r="K90" s="1012" t="str">
        <f t="shared" si="53"/>
        <v/>
      </c>
      <c r="L90" s="1011">
        <f t="shared" si="53"/>
        <v>7.2431643736827686E-2</v>
      </c>
      <c r="N90" s="1049" t="s">
        <v>1775</v>
      </c>
      <c r="O90" s="1048"/>
      <c r="P90" s="1047">
        <v>72.900000000000006</v>
      </c>
      <c r="Q90" s="1046">
        <v>40.200000000000003</v>
      </c>
      <c r="R90" s="1046">
        <v>80.099999999999994</v>
      </c>
      <c r="S90" s="1045">
        <v>49.7</v>
      </c>
      <c r="T90" s="1044">
        <v>40.717182043157479</v>
      </c>
      <c r="U90" s="1043">
        <v>0.21341618305097992</v>
      </c>
      <c r="V90" s="1042">
        <v>40.255000000000003</v>
      </c>
      <c r="W90" s="1042"/>
      <c r="X90" s="1042">
        <v>89</v>
      </c>
    </row>
    <row r="91" spans="1:62">
      <c r="A91" s="906">
        <v>90</v>
      </c>
      <c r="B91" s="906" t="s">
        <v>1774</v>
      </c>
      <c r="C91" s="906">
        <v>29189</v>
      </c>
      <c r="D91" s="906" t="s">
        <v>1256</v>
      </c>
      <c r="E91" s="906" t="s">
        <v>1258</v>
      </c>
      <c r="F91" s="1015">
        <f t="shared" si="53"/>
        <v>2.7058694647798771E-2</v>
      </c>
      <c r="G91" s="1014">
        <f t="shared" si="53"/>
        <v>75</v>
      </c>
      <c r="H91" s="1014">
        <f t="shared" si="53"/>
        <v>70</v>
      </c>
      <c r="I91" s="1014">
        <f t="shared" si="53"/>
        <v>85</v>
      </c>
      <c r="J91" s="1013">
        <f t="shared" si="53"/>
        <v>75</v>
      </c>
      <c r="K91" s="1012">
        <f t="shared" si="53"/>
        <v>0</v>
      </c>
      <c r="L91" s="1011">
        <f t="shared" si="53"/>
        <v>0.17929211337935086</v>
      </c>
      <c r="N91" s="1038" t="s">
        <v>1773</v>
      </c>
      <c r="O91" s="1037"/>
      <c r="P91" s="1036">
        <v>82</v>
      </c>
      <c r="Q91" s="1014">
        <v>48</v>
      </c>
      <c r="R91" s="1014">
        <v>71</v>
      </c>
      <c r="S91" s="1013">
        <v>50</v>
      </c>
      <c r="T91" s="1012" t="s">
        <v>842</v>
      </c>
      <c r="U91" s="1035">
        <v>0.15440123823992286</v>
      </c>
      <c r="V91" s="906">
        <v>3842.29</v>
      </c>
      <c r="X91" s="906">
        <v>90</v>
      </c>
    </row>
    <row r="92" spans="1:62">
      <c r="A92" s="906">
        <v>91</v>
      </c>
      <c r="B92" s="906" t="s">
        <v>1772</v>
      </c>
      <c r="C92" s="906">
        <v>29189</v>
      </c>
      <c r="D92" s="906" t="s">
        <v>1256</v>
      </c>
      <c r="E92" s="906" t="s">
        <v>1258</v>
      </c>
      <c r="F92" s="1015"/>
      <c r="G92" s="1014"/>
      <c r="H92" s="1014"/>
      <c r="I92" s="1014"/>
      <c r="J92" s="1013"/>
      <c r="K92" s="1012"/>
      <c r="L92" s="1011"/>
      <c r="N92" s="1049" t="s">
        <v>1771</v>
      </c>
      <c r="O92" s="1048"/>
      <c r="P92" s="1047">
        <v>67</v>
      </c>
      <c r="Q92" s="1046">
        <v>47</v>
      </c>
      <c r="R92" s="1046">
        <v>71</v>
      </c>
      <c r="S92" s="1045">
        <v>42</v>
      </c>
      <c r="T92" s="1044">
        <v>32.374826091609592</v>
      </c>
      <c r="U92" s="1043">
        <v>0.27105062099109822</v>
      </c>
      <c r="V92" s="1042">
        <v>41.026000000000003</v>
      </c>
      <c r="W92" s="1042"/>
      <c r="X92" s="1042">
        <v>91</v>
      </c>
    </row>
    <row r="93" spans="1:62" ht="16">
      <c r="A93" s="906">
        <v>92</v>
      </c>
      <c r="B93" s="906" t="s">
        <v>1770</v>
      </c>
      <c r="C93" s="906">
        <v>29189</v>
      </c>
      <c r="D93" s="906" t="s">
        <v>1256</v>
      </c>
      <c r="E93" s="906" t="s">
        <v>1259</v>
      </c>
      <c r="F93" s="1015">
        <f t="shared" ref="F93:K94" si="54">O53</f>
        <v>0</v>
      </c>
      <c r="G93" s="1014">
        <f t="shared" si="54"/>
        <v>69</v>
      </c>
      <c r="H93" s="1014">
        <f t="shared" si="54"/>
        <v>44</v>
      </c>
      <c r="I93" s="1014">
        <f t="shared" si="54"/>
        <v>75</v>
      </c>
      <c r="J93" s="1013">
        <f t="shared" si="54"/>
        <v>41</v>
      </c>
      <c r="K93" s="1012" t="str">
        <f t="shared" si="54"/>
        <v/>
      </c>
      <c r="L93" s="1016">
        <v>0.22800028617798151</v>
      </c>
      <c r="N93" s="1049" t="s">
        <v>1769</v>
      </c>
      <c r="O93" s="1048"/>
      <c r="P93" s="1047">
        <v>71</v>
      </c>
      <c r="Q93" s="1046">
        <v>41</v>
      </c>
      <c r="R93" s="1046">
        <v>73</v>
      </c>
      <c r="S93" s="1045">
        <v>38</v>
      </c>
      <c r="T93" s="1044" t="s">
        <v>842</v>
      </c>
      <c r="U93" s="1043"/>
      <c r="V93" s="1042" t="s">
        <v>842</v>
      </c>
      <c r="W93" s="1042"/>
      <c r="X93" s="1042">
        <v>92</v>
      </c>
    </row>
    <row r="94" spans="1:62" ht="16">
      <c r="A94" s="906">
        <v>93</v>
      </c>
      <c r="B94" s="906" t="s">
        <v>1768</v>
      </c>
      <c r="C94" s="906">
        <v>29189</v>
      </c>
      <c r="D94" s="906" t="s">
        <v>1256</v>
      </c>
      <c r="E94" s="906" t="s">
        <v>1258</v>
      </c>
      <c r="F94" s="1015">
        <f t="shared" si="54"/>
        <v>0</v>
      </c>
      <c r="G94" s="1014">
        <f t="shared" si="54"/>
        <v>70</v>
      </c>
      <c r="H94" s="1014">
        <f t="shared" si="54"/>
        <v>0</v>
      </c>
      <c r="I94" s="1014">
        <f t="shared" si="54"/>
        <v>80</v>
      </c>
      <c r="J94" s="1013">
        <f t="shared" si="54"/>
        <v>0</v>
      </c>
      <c r="K94" s="1012" t="str">
        <f t="shared" si="54"/>
        <v/>
      </c>
      <c r="L94" s="1016">
        <v>0.22800028617798151</v>
      </c>
      <c r="N94" s="1038" t="s">
        <v>1767</v>
      </c>
      <c r="O94" s="1037"/>
      <c r="P94" s="1051">
        <v>78</v>
      </c>
      <c r="Q94" s="906">
        <v>55</v>
      </c>
      <c r="R94" s="906">
        <v>85</v>
      </c>
      <c r="S94" s="1050">
        <v>50</v>
      </c>
      <c r="T94" s="1012" t="s">
        <v>842</v>
      </c>
      <c r="U94" s="1035">
        <v>0.19652124828266659</v>
      </c>
      <c r="V94" s="906">
        <v>68.893000000000001</v>
      </c>
      <c r="X94" s="906">
        <v>93</v>
      </c>
    </row>
    <row r="95" spans="1:62">
      <c r="A95" s="906">
        <v>94</v>
      </c>
      <c r="B95" s="906" t="s">
        <v>1766</v>
      </c>
      <c r="C95" s="906">
        <v>29189</v>
      </c>
      <c r="D95" s="906" t="s">
        <v>1256</v>
      </c>
      <c r="E95" s="906" t="s">
        <v>1258</v>
      </c>
      <c r="F95" s="1015"/>
      <c r="G95" s="1014"/>
      <c r="H95" s="1014"/>
      <c r="I95" s="1014"/>
      <c r="J95" s="1013"/>
      <c r="K95" s="1012"/>
      <c r="L95" s="1011"/>
      <c r="N95" s="1049" t="s">
        <v>1765</v>
      </c>
      <c r="O95" s="1048"/>
      <c r="P95" s="1047">
        <v>75</v>
      </c>
      <c r="Q95" s="1046">
        <v>0</v>
      </c>
      <c r="R95" s="1046">
        <v>90</v>
      </c>
      <c r="S95" s="1045">
        <v>0</v>
      </c>
      <c r="T95" s="1044" t="s">
        <v>842</v>
      </c>
      <c r="U95" s="1043"/>
      <c r="V95" s="1042" t="s">
        <v>842</v>
      </c>
      <c r="W95" s="1042"/>
      <c r="X95" s="1042">
        <v>94</v>
      </c>
    </row>
    <row r="96" spans="1:62">
      <c r="A96" s="906">
        <v>95</v>
      </c>
      <c r="B96" s="906" t="s">
        <v>1764</v>
      </c>
      <c r="C96" s="906">
        <v>29189</v>
      </c>
      <c r="D96" s="906" t="s">
        <v>1256</v>
      </c>
      <c r="E96" s="906" t="s">
        <v>1258</v>
      </c>
      <c r="F96" s="1015">
        <f t="shared" ref="F96:L97" si="55">O55</f>
        <v>0</v>
      </c>
      <c r="G96" s="1014">
        <f t="shared" si="55"/>
        <v>75</v>
      </c>
      <c r="H96" s="1014">
        <f t="shared" si="55"/>
        <v>37</v>
      </c>
      <c r="I96" s="1014">
        <f t="shared" si="55"/>
        <v>78</v>
      </c>
      <c r="J96" s="1013">
        <f t="shared" si="55"/>
        <v>37</v>
      </c>
      <c r="K96" s="1012" t="str">
        <f t="shared" si="55"/>
        <v/>
      </c>
      <c r="L96" s="1011">
        <f t="shared" si="55"/>
        <v>0.17356165075516491</v>
      </c>
      <c r="N96" s="1049" t="s">
        <v>1763</v>
      </c>
      <c r="O96" s="1048"/>
      <c r="P96" s="1047">
        <v>66</v>
      </c>
      <c r="Q96" s="1046">
        <v>38</v>
      </c>
      <c r="R96" s="1046">
        <v>80</v>
      </c>
      <c r="S96" s="1045">
        <v>36</v>
      </c>
      <c r="T96" s="1044" t="s">
        <v>842</v>
      </c>
      <c r="U96" s="1043"/>
      <c r="V96" s="1042" t="s">
        <v>842</v>
      </c>
      <c r="W96" s="1042"/>
      <c r="X96" s="1042">
        <v>95</v>
      </c>
    </row>
    <row r="97" spans="1:24">
      <c r="A97" s="906">
        <v>96</v>
      </c>
      <c r="B97" s="906" t="s">
        <v>1762</v>
      </c>
      <c r="C97" s="906">
        <v>29189</v>
      </c>
      <c r="D97" s="906" t="s">
        <v>1257</v>
      </c>
      <c r="E97" s="906" t="s">
        <v>1258</v>
      </c>
      <c r="F97" s="1015">
        <f t="shared" si="55"/>
        <v>0</v>
      </c>
      <c r="G97" s="1014">
        <f t="shared" si="55"/>
        <v>72</v>
      </c>
      <c r="H97" s="1014">
        <f t="shared" si="55"/>
        <v>36</v>
      </c>
      <c r="I97" s="1014">
        <f t="shared" si="55"/>
        <v>74</v>
      </c>
      <c r="J97" s="1013">
        <f t="shared" si="55"/>
        <v>37</v>
      </c>
      <c r="K97" s="1012">
        <f t="shared" si="55"/>
        <v>0</v>
      </c>
      <c r="L97" s="1011">
        <f t="shared" si="55"/>
        <v>0.30976614978254435</v>
      </c>
      <c r="N97" s="1049" t="s">
        <v>1761</v>
      </c>
      <c r="O97" s="1048"/>
      <c r="P97" s="1047">
        <v>67</v>
      </c>
      <c r="Q97" s="1046">
        <v>48</v>
      </c>
      <c r="R97" s="1046">
        <v>69</v>
      </c>
      <c r="S97" s="1045">
        <v>42</v>
      </c>
      <c r="T97" s="1044">
        <v>24.980858148348673</v>
      </c>
      <c r="U97" s="1043">
        <v>0.1265196059700936</v>
      </c>
      <c r="V97" s="1042">
        <v>187.45151300000001</v>
      </c>
      <c r="W97" s="1042"/>
      <c r="X97" s="1042">
        <v>96</v>
      </c>
    </row>
    <row r="98" spans="1:24">
      <c r="A98" s="906">
        <v>97</v>
      </c>
      <c r="B98" s="906" t="s">
        <v>1759</v>
      </c>
      <c r="C98" s="906">
        <v>35209</v>
      </c>
      <c r="D98" s="906" t="s">
        <v>1257</v>
      </c>
      <c r="E98" s="906" t="s">
        <v>1258</v>
      </c>
      <c r="F98" s="1015"/>
      <c r="G98" s="1014"/>
      <c r="H98" s="1014"/>
      <c r="I98" s="1014"/>
      <c r="J98" s="1013"/>
      <c r="K98" s="1012"/>
      <c r="L98" s="1011"/>
      <c r="N98" s="1049" t="s">
        <v>1760</v>
      </c>
      <c r="O98" s="1048">
        <v>3.4891220672580145E-2</v>
      </c>
      <c r="P98" s="1047">
        <v>69</v>
      </c>
      <c r="Q98" s="1046">
        <v>39</v>
      </c>
      <c r="R98" s="1046">
        <v>70</v>
      </c>
      <c r="S98" s="1045">
        <v>35</v>
      </c>
      <c r="T98" s="1044">
        <v>30.593606605570255</v>
      </c>
      <c r="U98" s="1043">
        <v>0.27331848232250644</v>
      </c>
      <c r="V98" s="1042">
        <v>10.112500000000001</v>
      </c>
      <c r="W98" s="1042"/>
      <c r="X98" s="1042">
        <v>97</v>
      </c>
    </row>
    <row r="99" spans="1:24">
      <c r="A99" s="906">
        <v>98</v>
      </c>
      <c r="B99" s="906" t="s">
        <v>1759</v>
      </c>
      <c r="C99" s="906">
        <v>35209</v>
      </c>
      <c r="D99" s="906" t="s">
        <v>1256</v>
      </c>
      <c r="E99" s="906" t="s">
        <v>1258</v>
      </c>
      <c r="F99" s="1015"/>
      <c r="G99" s="1014"/>
      <c r="H99" s="1014"/>
      <c r="I99" s="1014"/>
      <c r="J99" s="1013"/>
      <c r="K99" s="1012"/>
      <c r="L99" s="1011"/>
      <c r="N99" s="1049" t="s">
        <v>1758</v>
      </c>
      <c r="O99" s="1048"/>
      <c r="P99" s="1047">
        <v>70</v>
      </c>
      <c r="Q99" s="1046">
        <v>42</v>
      </c>
      <c r="R99" s="1046">
        <v>70</v>
      </c>
      <c r="S99" s="1045">
        <v>38</v>
      </c>
      <c r="T99" s="1044" t="s">
        <v>842</v>
      </c>
      <c r="U99" s="1043">
        <v>0.23610619469026548</v>
      </c>
      <c r="V99" s="1042">
        <v>34.527999999999999</v>
      </c>
      <c r="W99" s="1042"/>
      <c r="X99" s="1042">
        <v>98</v>
      </c>
    </row>
    <row r="100" spans="1:24">
      <c r="A100" s="906">
        <v>99</v>
      </c>
      <c r="B100" s="906" t="s">
        <v>1756</v>
      </c>
      <c r="C100" s="906">
        <v>35209</v>
      </c>
      <c r="D100" s="906" t="s">
        <v>1257</v>
      </c>
      <c r="E100" s="906" t="s">
        <v>1258</v>
      </c>
      <c r="F100" s="1015"/>
      <c r="G100" s="1014"/>
      <c r="H100" s="1014"/>
      <c r="I100" s="1014"/>
      <c r="J100" s="1013"/>
      <c r="K100" s="1012"/>
      <c r="L100" s="1011"/>
      <c r="N100" s="1038" t="s">
        <v>1757</v>
      </c>
      <c r="O100" s="1037"/>
      <c r="P100" s="1036">
        <v>70</v>
      </c>
      <c r="Q100" s="1014">
        <v>0</v>
      </c>
      <c r="R100" s="1014">
        <v>75</v>
      </c>
      <c r="S100" s="1013">
        <v>0</v>
      </c>
      <c r="T100" s="1012" t="s">
        <v>842</v>
      </c>
      <c r="U100" s="1035"/>
      <c r="V100" s="906" t="s">
        <v>842</v>
      </c>
      <c r="X100" s="906">
        <v>99</v>
      </c>
    </row>
    <row r="101" spans="1:24">
      <c r="A101" s="906">
        <v>100</v>
      </c>
      <c r="B101" s="906" t="s">
        <v>1756</v>
      </c>
      <c r="C101" s="906">
        <v>35209</v>
      </c>
      <c r="D101" s="906" t="s">
        <v>1256</v>
      </c>
      <c r="E101" s="906" t="s">
        <v>1258</v>
      </c>
      <c r="F101" s="1015"/>
      <c r="G101" s="1014"/>
      <c r="H101" s="1014"/>
      <c r="I101" s="1014"/>
      <c r="J101" s="1013"/>
      <c r="K101" s="1012"/>
      <c r="L101" s="1011"/>
      <c r="N101" s="1049" t="s">
        <v>1755</v>
      </c>
      <c r="O101" s="1048"/>
      <c r="P101" s="1047">
        <v>72</v>
      </c>
      <c r="Q101" s="1046">
        <v>45</v>
      </c>
      <c r="R101" s="1046">
        <v>80</v>
      </c>
      <c r="S101" s="1045">
        <v>42</v>
      </c>
      <c r="T101" s="1044"/>
      <c r="U101" s="1043">
        <v>0.28730906781643772</v>
      </c>
      <c r="V101" s="1042">
        <v>21.323</v>
      </c>
      <c r="W101" s="1042"/>
      <c r="X101" s="1042">
        <v>100</v>
      </c>
    </row>
    <row r="102" spans="1:24">
      <c r="A102" s="906">
        <v>101</v>
      </c>
      <c r="B102" s="906" t="s">
        <v>1753</v>
      </c>
      <c r="C102" s="906">
        <v>35209</v>
      </c>
      <c r="D102" s="906" t="s">
        <v>1257</v>
      </c>
      <c r="E102" s="906" t="s">
        <v>1258</v>
      </c>
      <c r="F102" s="1015"/>
      <c r="G102" s="1014"/>
      <c r="H102" s="1014"/>
      <c r="I102" s="1014"/>
      <c r="J102" s="1013"/>
      <c r="K102" s="1012"/>
      <c r="L102" s="1011"/>
      <c r="N102" s="1049" t="s">
        <v>1754</v>
      </c>
      <c r="O102" s="1048"/>
      <c r="P102" s="1047">
        <v>74.3</v>
      </c>
      <c r="Q102" s="1046">
        <v>37.5</v>
      </c>
      <c r="R102" s="1046">
        <v>75.5</v>
      </c>
      <c r="S102" s="1045">
        <v>34.5</v>
      </c>
      <c r="T102" s="1044" t="s">
        <v>842</v>
      </c>
      <c r="U102" s="1043">
        <v>0.26546329054096318</v>
      </c>
      <c r="V102" s="1042">
        <v>10.568</v>
      </c>
      <c r="W102" s="1042"/>
      <c r="X102" s="1042">
        <v>101</v>
      </c>
    </row>
    <row r="103" spans="1:24">
      <c r="A103" s="906">
        <v>102</v>
      </c>
      <c r="B103" s="906" t="s">
        <v>1753</v>
      </c>
      <c r="C103" s="906">
        <v>35209</v>
      </c>
      <c r="D103" s="906" t="s">
        <v>1256</v>
      </c>
      <c r="E103" s="906" t="s">
        <v>1258</v>
      </c>
      <c r="F103" s="1015"/>
      <c r="G103" s="1014"/>
      <c r="H103" s="1014"/>
      <c r="I103" s="1014"/>
      <c r="J103" s="1013"/>
      <c r="K103" s="1012"/>
      <c r="L103" s="1011"/>
      <c r="N103" s="1049" t="s">
        <v>1752</v>
      </c>
      <c r="O103" s="1048">
        <v>4.198931344086293E-2</v>
      </c>
      <c r="P103" s="1047">
        <v>70</v>
      </c>
      <c r="Q103" s="1046">
        <v>40</v>
      </c>
      <c r="R103" s="1046">
        <v>80</v>
      </c>
      <c r="S103" s="1045">
        <v>39</v>
      </c>
      <c r="T103" s="1044">
        <v>31.889129498295652</v>
      </c>
      <c r="U103" s="1043">
        <v>0.31770808967621539</v>
      </c>
      <c r="V103" s="1042">
        <v>26.251999999999999</v>
      </c>
      <c r="W103" s="1042"/>
      <c r="X103" s="1042">
        <v>102</v>
      </c>
    </row>
    <row r="104" spans="1:24">
      <c r="A104" s="906">
        <v>103</v>
      </c>
      <c r="B104" s="906" t="s">
        <v>1751</v>
      </c>
      <c r="C104" s="906">
        <v>35209</v>
      </c>
      <c r="D104" s="906" t="s">
        <v>1257</v>
      </c>
      <c r="E104" s="906" t="s">
        <v>1258</v>
      </c>
      <c r="F104" s="1015"/>
      <c r="G104" s="1014"/>
      <c r="H104" s="1014"/>
      <c r="I104" s="1014"/>
      <c r="J104" s="1013"/>
      <c r="K104" s="1012"/>
      <c r="L104" s="1011"/>
      <c r="N104" s="1049" t="s">
        <v>1750</v>
      </c>
      <c r="O104" s="1048"/>
      <c r="P104" s="1047">
        <v>74</v>
      </c>
      <c r="Q104" s="1046">
        <v>48</v>
      </c>
      <c r="R104" s="1046">
        <v>88</v>
      </c>
      <c r="S104" s="1045">
        <v>42</v>
      </c>
      <c r="T104" s="1044">
        <v>31.018432008135505</v>
      </c>
      <c r="U104" s="1043">
        <v>0.3725274241155998</v>
      </c>
      <c r="V104" s="1042">
        <v>14.243</v>
      </c>
      <c r="W104" s="1042"/>
      <c r="X104" s="1042">
        <v>103</v>
      </c>
    </row>
    <row r="105" spans="1:24">
      <c r="A105" s="906">
        <v>104</v>
      </c>
      <c r="B105" s="906" t="s">
        <v>1749</v>
      </c>
      <c r="C105" s="906">
        <v>29189</v>
      </c>
      <c r="D105" s="906" t="s">
        <v>1256</v>
      </c>
      <c r="E105" s="906" t="s">
        <v>1258</v>
      </c>
      <c r="F105" s="1015"/>
      <c r="G105" s="1014"/>
      <c r="H105" s="1014"/>
      <c r="I105" s="1014"/>
      <c r="J105" s="1013"/>
      <c r="K105" s="1012"/>
      <c r="L105" s="1011"/>
      <c r="N105" s="1049" t="s">
        <v>1748</v>
      </c>
      <c r="O105" s="1048"/>
      <c r="P105" s="1047">
        <v>80</v>
      </c>
      <c r="Q105" s="1046">
        <v>45</v>
      </c>
      <c r="R105" s="1046">
        <v>85</v>
      </c>
      <c r="S105" s="1045">
        <v>45</v>
      </c>
      <c r="T105" s="1044" t="s">
        <v>842</v>
      </c>
      <c r="U105" s="1043">
        <v>0.10795193210896252</v>
      </c>
      <c r="V105" s="1042">
        <v>137.70099999999999</v>
      </c>
      <c r="W105" s="1042"/>
      <c r="X105" s="1042">
        <v>104</v>
      </c>
    </row>
    <row r="106" spans="1:24">
      <c r="A106" s="906">
        <v>105</v>
      </c>
      <c r="B106" s="906" t="s">
        <v>1747</v>
      </c>
      <c r="C106" s="906">
        <v>29189</v>
      </c>
      <c r="D106" s="906" t="s">
        <v>1257</v>
      </c>
      <c r="E106" s="906" t="s">
        <v>1258</v>
      </c>
      <c r="F106" s="1015">
        <f t="shared" ref="F106:L106" si="56">O57</f>
        <v>0</v>
      </c>
      <c r="G106" s="1014">
        <f t="shared" si="56"/>
        <v>67.900000000000006</v>
      </c>
      <c r="H106" s="1014">
        <f t="shared" si="56"/>
        <v>44</v>
      </c>
      <c r="I106" s="1014">
        <f t="shared" si="56"/>
        <v>68.52</v>
      </c>
      <c r="J106" s="1013">
        <f t="shared" si="56"/>
        <v>38</v>
      </c>
      <c r="K106" s="1012">
        <f t="shared" si="56"/>
        <v>0</v>
      </c>
      <c r="L106" s="1011">
        <f t="shared" si="56"/>
        <v>0.25009485094850947</v>
      </c>
      <c r="N106" s="1049" t="s">
        <v>1611</v>
      </c>
      <c r="O106" s="1048"/>
      <c r="P106" s="1047">
        <v>74</v>
      </c>
      <c r="Q106" s="1046">
        <v>52</v>
      </c>
      <c r="R106" s="1046">
        <v>82</v>
      </c>
      <c r="S106" s="1045">
        <v>48</v>
      </c>
      <c r="T106" s="1044" t="s">
        <v>842</v>
      </c>
      <c r="U106" s="1043">
        <v>0.1757134564395425</v>
      </c>
      <c r="V106" s="1042">
        <v>262.69600000000003</v>
      </c>
      <c r="W106" s="1042"/>
      <c r="X106" s="1042">
        <v>105</v>
      </c>
    </row>
    <row r="107" spans="1:24">
      <c r="A107" s="906">
        <v>106</v>
      </c>
      <c r="B107" s="906" t="s">
        <v>1746</v>
      </c>
      <c r="C107" s="906">
        <v>29188</v>
      </c>
      <c r="D107" s="906" t="s">
        <v>1256</v>
      </c>
      <c r="E107" s="906" t="s">
        <v>1259</v>
      </c>
      <c r="F107" s="1015"/>
      <c r="G107" s="1014"/>
      <c r="H107" s="1014"/>
      <c r="I107" s="1014"/>
      <c r="J107" s="1013"/>
      <c r="K107" s="1012"/>
      <c r="L107" s="1011"/>
      <c r="N107" s="1049" t="s">
        <v>1745</v>
      </c>
      <c r="O107" s="1048">
        <v>1.6020721412125863E-2</v>
      </c>
      <c r="P107" s="1047">
        <v>75</v>
      </c>
      <c r="Q107" s="1046">
        <v>41</v>
      </c>
      <c r="R107" s="1046">
        <v>76</v>
      </c>
      <c r="S107" s="1045">
        <v>36</v>
      </c>
      <c r="T107" s="1044">
        <v>38.430332926347113</v>
      </c>
      <c r="U107" s="1043">
        <v>0.28141756848981181</v>
      </c>
      <c r="V107" s="1042">
        <v>29.481999999999999</v>
      </c>
      <c r="W107" s="1042"/>
      <c r="X107" s="1042">
        <v>106</v>
      </c>
    </row>
    <row r="108" spans="1:24">
      <c r="A108" s="906">
        <v>107</v>
      </c>
      <c r="B108" s="906" t="s">
        <v>1744</v>
      </c>
      <c r="C108" s="906">
        <v>29189</v>
      </c>
      <c r="D108" s="906" t="s">
        <v>1256</v>
      </c>
      <c r="E108" s="906" t="s">
        <v>1258</v>
      </c>
      <c r="F108" s="1015"/>
      <c r="G108" s="1014"/>
      <c r="H108" s="1014"/>
      <c r="I108" s="1014"/>
      <c r="J108" s="1013"/>
      <c r="K108" s="1012"/>
      <c r="L108" s="1011"/>
      <c r="N108" s="1032" t="s">
        <v>1599</v>
      </c>
      <c r="O108" s="1031">
        <v>3.8071326441955766E-2</v>
      </c>
      <c r="P108" s="1030">
        <v>68.7</v>
      </c>
      <c r="Q108" s="1029">
        <v>49.7</v>
      </c>
      <c r="R108" s="1029">
        <v>70.8</v>
      </c>
      <c r="S108" s="1028">
        <v>46</v>
      </c>
      <c r="T108" s="1027">
        <v>22.152504600492247</v>
      </c>
      <c r="U108" s="1026">
        <v>0.20717171142467</v>
      </c>
      <c r="V108" s="1018">
        <v>111.47799999999999</v>
      </c>
      <c r="W108" s="1018"/>
      <c r="X108" s="1018">
        <v>107</v>
      </c>
    </row>
    <row r="109" spans="1:24">
      <c r="A109" s="906">
        <v>108</v>
      </c>
      <c r="B109" s="906" t="s">
        <v>1743</v>
      </c>
      <c r="C109" s="906">
        <v>29189</v>
      </c>
      <c r="D109" s="906" t="s">
        <v>1256</v>
      </c>
      <c r="E109" s="906" t="s">
        <v>1258</v>
      </c>
      <c r="F109" s="1015">
        <f t="shared" ref="F109:L110" si="57">O58</f>
        <v>0.05</v>
      </c>
      <c r="G109" s="1014">
        <f t="shared" si="57"/>
        <v>68</v>
      </c>
      <c r="H109" s="1014">
        <f t="shared" si="57"/>
        <v>33</v>
      </c>
      <c r="I109" s="1014">
        <f t="shared" si="57"/>
        <v>72</v>
      </c>
      <c r="J109" s="1013">
        <f t="shared" si="57"/>
        <v>35</v>
      </c>
      <c r="K109" s="1012">
        <f t="shared" si="57"/>
        <v>35.964255843641325</v>
      </c>
      <c r="L109" s="1011">
        <f t="shared" si="57"/>
        <v>0.27610526315789474</v>
      </c>
      <c r="N109" s="1049" t="s">
        <v>1592</v>
      </c>
      <c r="O109" s="1048"/>
      <c r="P109" s="1047">
        <v>69</v>
      </c>
      <c r="Q109" s="1046">
        <v>40</v>
      </c>
      <c r="R109" s="1046">
        <v>73</v>
      </c>
      <c r="S109" s="1045">
        <v>36</v>
      </c>
      <c r="T109" s="1044">
        <v>42.092665479648893</v>
      </c>
      <c r="U109" s="1043">
        <v>0.23629304613748173</v>
      </c>
      <c r="V109" s="1042">
        <v>143.596</v>
      </c>
      <c r="W109" s="1042"/>
      <c r="X109" s="1042">
        <v>108</v>
      </c>
    </row>
    <row r="110" spans="1:24">
      <c r="A110" s="906">
        <v>109</v>
      </c>
      <c r="B110" s="906" t="s">
        <v>1742</v>
      </c>
      <c r="C110" s="906">
        <v>29189</v>
      </c>
      <c r="D110" s="906" t="s">
        <v>1256</v>
      </c>
      <c r="E110" s="906" t="s">
        <v>1258</v>
      </c>
      <c r="F110" s="1015">
        <f t="shared" si="57"/>
        <v>1.2185833968012186E-2</v>
      </c>
      <c r="G110" s="1014">
        <f t="shared" si="57"/>
        <v>65</v>
      </c>
      <c r="H110" s="1014">
        <f t="shared" si="57"/>
        <v>40</v>
      </c>
      <c r="I110" s="1014">
        <f t="shared" si="57"/>
        <v>72</v>
      </c>
      <c r="J110" s="1013">
        <f t="shared" si="57"/>
        <v>38</v>
      </c>
      <c r="K110" s="1012">
        <f t="shared" si="57"/>
        <v>28.453720804465171</v>
      </c>
      <c r="L110" s="1011">
        <f t="shared" si="57"/>
        <v>0.40100231303006939</v>
      </c>
      <c r="N110" s="1049" t="s">
        <v>1741</v>
      </c>
      <c r="O110" s="1048"/>
      <c r="P110" s="1047">
        <v>85</v>
      </c>
      <c r="Q110" s="1046">
        <v>50</v>
      </c>
      <c r="R110" s="1046">
        <v>105</v>
      </c>
      <c r="S110" s="1045">
        <v>50</v>
      </c>
      <c r="T110" s="1044" t="s">
        <v>842</v>
      </c>
      <c r="U110" s="1043"/>
      <c r="V110" s="1042" t="s">
        <v>842</v>
      </c>
      <c r="W110" s="1042"/>
      <c r="X110" s="1042">
        <v>109</v>
      </c>
    </row>
    <row r="111" spans="1:24">
      <c r="A111" s="906">
        <v>110</v>
      </c>
      <c r="B111" s="906" t="s">
        <v>1740</v>
      </c>
      <c r="C111" s="906">
        <v>19438</v>
      </c>
      <c r="D111" s="906" t="s">
        <v>1257</v>
      </c>
      <c r="E111" s="906" t="s">
        <v>1259</v>
      </c>
      <c r="F111" s="1015"/>
      <c r="G111" s="1014"/>
      <c r="H111" s="1014"/>
      <c r="I111" s="1014"/>
      <c r="J111" s="1013"/>
      <c r="K111" s="1012"/>
      <c r="L111" s="1011"/>
      <c r="N111" s="1049" t="s">
        <v>1586</v>
      </c>
      <c r="O111" s="1048"/>
      <c r="P111" s="1047">
        <v>70</v>
      </c>
      <c r="Q111" s="1046">
        <v>36</v>
      </c>
      <c r="R111" s="1046">
        <v>73</v>
      </c>
      <c r="S111" s="1045">
        <v>34</v>
      </c>
      <c r="T111" s="1044">
        <v>37.872396067668497</v>
      </c>
      <c r="U111" s="1043">
        <v>0.19338463012036652</v>
      </c>
      <c r="V111" s="1042">
        <v>25.263999999999999</v>
      </c>
      <c r="W111" s="1042"/>
      <c r="X111" s="1042">
        <v>110</v>
      </c>
    </row>
    <row r="112" spans="1:24">
      <c r="A112" s="906">
        <v>111</v>
      </c>
      <c r="B112" s="906" t="s">
        <v>1740</v>
      </c>
      <c r="C112" s="906">
        <v>19438</v>
      </c>
      <c r="D112" s="906" t="s">
        <v>1256</v>
      </c>
      <c r="E112" s="906" t="s">
        <v>1259</v>
      </c>
      <c r="F112" s="1015"/>
      <c r="G112" s="1014"/>
      <c r="H112" s="1014"/>
      <c r="I112" s="1014"/>
      <c r="J112" s="1013"/>
      <c r="K112" s="1012"/>
      <c r="L112" s="1011"/>
      <c r="N112" s="1049" t="s">
        <v>1739</v>
      </c>
      <c r="O112" s="1048"/>
      <c r="P112" s="1047">
        <v>72</v>
      </c>
      <c r="Q112" s="1046">
        <v>0</v>
      </c>
      <c r="R112" s="1046">
        <v>72</v>
      </c>
      <c r="S112" s="1045">
        <v>0</v>
      </c>
      <c r="T112" s="1044" t="s">
        <v>842</v>
      </c>
      <c r="U112" s="1043"/>
      <c r="V112" s="1042" t="s">
        <v>842</v>
      </c>
      <c r="W112" s="1042"/>
      <c r="X112" s="1042">
        <v>111</v>
      </c>
    </row>
    <row r="113" spans="1:24">
      <c r="A113" s="906">
        <v>112</v>
      </c>
      <c r="B113" s="906" t="s">
        <v>1738</v>
      </c>
      <c r="C113" s="906">
        <v>29189</v>
      </c>
      <c r="D113" s="906" t="s">
        <v>1256</v>
      </c>
      <c r="E113" s="906" t="s">
        <v>1258</v>
      </c>
      <c r="F113" s="1015"/>
      <c r="G113" s="1014"/>
      <c r="H113" s="1014"/>
      <c r="I113" s="1014"/>
      <c r="J113" s="1013"/>
      <c r="K113" s="1012"/>
      <c r="L113" s="1011"/>
      <c r="N113" s="1049" t="s">
        <v>1737</v>
      </c>
      <c r="O113" s="1048">
        <v>1.1251839242953175E-2</v>
      </c>
      <c r="P113" s="1047">
        <v>67</v>
      </c>
      <c r="Q113" s="1046">
        <v>40</v>
      </c>
      <c r="R113" s="1046">
        <v>80</v>
      </c>
      <c r="S113" s="1045">
        <v>38</v>
      </c>
      <c r="T113" s="1044">
        <v>32.019368239910655</v>
      </c>
      <c r="U113" s="1043">
        <v>0.30101251787225353</v>
      </c>
      <c r="V113" s="1042">
        <v>23.954999999999998</v>
      </c>
      <c r="W113" s="1042"/>
      <c r="X113" s="1042">
        <v>112</v>
      </c>
    </row>
    <row r="114" spans="1:24">
      <c r="A114" s="906">
        <v>113</v>
      </c>
      <c r="B114" s="906" t="s">
        <v>1736</v>
      </c>
      <c r="C114" s="906">
        <v>29188</v>
      </c>
      <c r="D114" s="906" t="s">
        <v>1256</v>
      </c>
      <c r="E114" s="906" t="s">
        <v>1259</v>
      </c>
      <c r="F114" s="1015">
        <f t="shared" ref="F114:L114" si="58">O61</f>
        <v>6.0532337821525582E-2</v>
      </c>
      <c r="G114" s="1014">
        <f t="shared" si="58"/>
        <v>76</v>
      </c>
      <c r="H114" s="1014">
        <f t="shared" si="58"/>
        <v>43</v>
      </c>
      <c r="I114" s="1014">
        <f t="shared" si="58"/>
        <v>77</v>
      </c>
      <c r="J114" s="1013">
        <f t="shared" si="58"/>
        <v>41</v>
      </c>
      <c r="K114" s="1012">
        <f t="shared" si="58"/>
        <v>36.951352733977416</v>
      </c>
      <c r="L114" s="1011">
        <f t="shared" si="58"/>
        <v>0.32881061639588244</v>
      </c>
      <c r="N114" s="1049" t="s">
        <v>1735</v>
      </c>
      <c r="O114" s="1048"/>
      <c r="P114" s="1047">
        <v>83.5</v>
      </c>
      <c r="Q114" s="1046">
        <v>55.9</v>
      </c>
      <c r="R114" s="1046">
        <v>87.3</v>
      </c>
      <c r="S114" s="1045">
        <v>51.9</v>
      </c>
      <c r="T114" s="1044" t="s">
        <v>842</v>
      </c>
      <c r="U114" s="1043">
        <v>0.24901553425563058</v>
      </c>
      <c r="V114" s="1042">
        <v>159.05099999999999</v>
      </c>
      <c r="W114" s="1042"/>
      <c r="X114" s="1042">
        <v>113</v>
      </c>
    </row>
    <row r="115" spans="1:24">
      <c r="A115" s="906">
        <v>114</v>
      </c>
      <c r="B115" s="906" t="s">
        <v>1734</v>
      </c>
      <c r="C115" s="906">
        <v>29189</v>
      </c>
      <c r="D115" s="906" t="s">
        <v>1256</v>
      </c>
      <c r="E115" s="906" t="s">
        <v>1258</v>
      </c>
      <c r="F115" s="1015"/>
      <c r="G115" s="1014"/>
      <c r="H115" s="1014"/>
      <c r="I115" s="1014"/>
      <c r="J115" s="1013"/>
      <c r="K115" s="1012"/>
      <c r="L115" s="1011"/>
      <c r="N115" s="1049" t="s">
        <v>1733</v>
      </c>
      <c r="O115" s="1048"/>
      <c r="P115" s="1047">
        <v>68</v>
      </c>
      <c r="Q115" s="1046">
        <v>0</v>
      </c>
      <c r="R115" s="1046">
        <v>70</v>
      </c>
      <c r="S115" s="1045">
        <v>0</v>
      </c>
      <c r="T115" s="1044" t="s">
        <v>842</v>
      </c>
      <c r="U115" s="1043"/>
      <c r="V115" s="1042" t="s">
        <v>842</v>
      </c>
      <c r="W115" s="1042"/>
      <c r="X115" s="1042">
        <v>114</v>
      </c>
    </row>
    <row r="116" spans="1:24">
      <c r="A116" s="906">
        <v>115</v>
      </c>
      <c r="B116" s="906" t="s">
        <v>1732</v>
      </c>
      <c r="C116" s="906">
        <v>29189</v>
      </c>
      <c r="D116" s="906" t="s">
        <v>1256</v>
      </c>
      <c r="E116" s="906" t="s">
        <v>1258</v>
      </c>
      <c r="F116" s="1015"/>
      <c r="G116" s="1014"/>
      <c r="H116" s="1014"/>
      <c r="I116" s="1014"/>
      <c r="J116" s="1013"/>
      <c r="K116" s="1012"/>
      <c r="L116" s="1011"/>
      <c r="N116" s="1049" t="s">
        <v>1731</v>
      </c>
      <c r="O116" s="1048"/>
      <c r="P116" s="1047">
        <v>65</v>
      </c>
      <c r="Q116" s="1046">
        <v>33</v>
      </c>
      <c r="R116" s="1046">
        <v>65</v>
      </c>
      <c r="S116" s="1045">
        <v>34</v>
      </c>
      <c r="T116" s="1044" t="s">
        <v>842</v>
      </c>
      <c r="U116" s="1043">
        <v>0.26867898178124799</v>
      </c>
      <c r="V116" s="1042">
        <v>23.041</v>
      </c>
      <c r="W116" s="1042"/>
      <c r="X116" s="1042">
        <v>115</v>
      </c>
    </row>
    <row r="117" spans="1:24">
      <c r="A117" s="906">
        <v>116</v>
      </c>
      <c r="B117" s="906" t="s">
        <v>1730</v>
      </c>
      <c r="C117" s="906">
        <v>29189</v>
      </c>
      <c r="D117" s="906" t="s">
        <v>1256</v>
      </c>
      <c r="E117" s="906" t="s">
        <v>1258</v>
      </c>
      <c r="F117" s="1015">
        <f t="shared" ref="F117:L117" si="59">O62</f>
        <v>0</v>
      </c>
      <c r="G117" s="1014">
        <f t="shared" si="59"/>
        <v>67</v>
      </c>
      <c r="H117" s="1014">
        <f t="shared" si="59"/>
        <v>36</v>
      </c>
      <c r="I117" s="1014">
        <f t="shared" si="59"/>
        <v>71</v>
      </c>
      <c r="J117" s="1013">
        <f t="shared" si="59"/>
        <v>34</v>
      </c>
      <c r="K117" s="1012">
        <f t="shared" si="59"/>
        <v>35.586149795173704</v>
      </c>
      <c r="L117" s="1011">
        <f t="shared" si="59"/>
        <v>0.33608655188459746</v>
      </c>
      <c r="N117" s="1049" t="s">
        <v>1729</v>
      </c>
      <c r="O117" s="1048"/>
      <c r="P117" s="1047">
        <v>68</v>
      </c>
      <c r="Q117" s="1046">
        <v>31</v>
      </c>
      <c r="R117" s="1046">
        <v>70</v>
      </c>
      <c r="S117" s="1045">
        <v>32</v>
      </c>
      <c r="T117" s="1044">
        <v>36.00190348631601</v>
      </c>
      <c r="U117" s="1043">
        <v>0.18422348746035186</v>
      </c>
      <c r="V117" s="1042">
        <v>41.408000000000001</v>
      </c>
      <c r="W117" s="1042"/>
      <c r="X117" s="1042">
        <v>116</v>
      </c>
    </row>
    <row r="118" spans="1:24">
      <c r="A118" s="906">
        <v>117</v>
      </c>
      <c r="B118" s="906" t="s">
        <v>1728</v>
      </c>
      <c r="C118" s="906">
        <v>62761</v>
      </c>
      <c r="D118" s="906" t="s">
        <v>1257</v>
      </c>
      <c r="E118" s="906" t="s">
        <v>1259</v>
      </c>
      <c r="F118" s="1015"/>
      <c r="G118" s="1014"/>
      <c r="H118" s="1014"/>
      <c r="I118" s="1014"/>
      <c r="J118" s="1013"/>
      <c r="K118" s="1012"/>
      <c r="L118" s="1011"/>
      <c r="N118" s="1049" t="s">
        <v>1727</v>
      </c>
      <c r="O118" s="1048"/>
      <c r="P118" s="1047">
        <v>70</v>
      </c>
      <c r="Q118" s="1046">
        <v>40</v>
      </c>
      <c r="R118" s="1046">
        <v>75</v>
      </c>
      <c r="S118" s="1045">
        <v>35</v>
      </c>
      <c r="T118" s="1044" t="s">
        <v>842</v>
      </c>
      <c r="U118" s="1043"/>
      <c r="V118" s="1042" t="s">
        <v>842</v>
      </c>
      <c r="W118" s="1042"/>
      <c r="X118" s="1042">
        <v>117</v>
      </c>
    </row>
    <row r="119" spans="1:24">
      <c r="A119" s="906">
        <v>118</v>
      </c>
      <c r="B119" s="906" t="s">
        <v>1726</v>
      </c>
      <c r="C119" s="906">
        <v>29189</v>
      </c>
      <c r="D119" s="906" t="s">
        <v>1256</v>
      </c>
      <c r="E119" s="906" t="s">
        <v>1258</v>
      </c>
      <c r="F119" s="1015"/>
      <c r="G119" s="1014"/>
      <c r="H119" s="1014"/>
      <c r="I119" s="1014"/>
      <c r="J119" s="1013"/>
      <c r="K119" s="1012"/>
      <c r="L119" s="1011"/>
      <c r="N119" s="1049" t="s">
        <v>1725</v>
      </c>
      <c r="O119" s="1048"/>
      <c r="P119" s="1047">
        <v>65</v>
      </c>
      <c r="Q119" s="1046">
        <v>35</v>
      </c>
      <c r="R119" s="1046">
        <v>80</v>
      </c>
      <c r="S119" s="1045">
        <v>32</v>
      </c>
      <c r="T119" s="1044"/>
      <c r="U119" s="1043">
        <v>0.3172579453067258</v>
      </c>
      <c r="V119" s="1042">
        <v>11.085000000000001</v>
      </c>
      <c r="W119" s="1042"/>
      <c r="X119" s="1042">
        <v>118</v>
      </c>
    </row>
    <row r="120" spans="1:24">
      <c r="A120" s="906">
        <v>119</v>
      </c>
      <c r="B120" s="906" t="s">
        <v>1724</v>
      </c>
      <c r="C120" s="906">
        <v>65120</v>
      </c>
      <c r="D120" s="906" t="s">
        <v>1257</v>
      </c>
      <c r="E120" s="906" t="s">
        <v>1259</v>
      </c>
      <c r="F120" s="1015">
        <f t="shared" ref="F120:L120" si="60">O63</f>
        <v>0</v>
      </c>
      <c r="G120" s="1014">
        <f t="shared" si="60"/>
        <v>80</v>
      </c>
      <c r="H120" s="1014">
        <f t="shared" si="60"/>
        <v>50</v>
      </c>
      <c r="I120" s="1014">
        <f t="shared" si="60"/>
        <v>90</v>
      </c>
      <c r="J120" s="1013">
        <f t="shared" si="60"/>
        <v>55</v>
      </c>
      <c r="K120" s="1012">
        <f t="shared" si="60"/>
        <v>26.462430536530587</v>
      </c>
      <c r="L120" s="1011">
        <f t="shared" si="60"/>
        <v>0.10822587144872053</v>
      </c>
      <c r="N120" s="1049" t="s">
        <v>1723</v>
      </c>
      <c r="O120" s="1048">
        <v>0.27485276378343859</v>
      </c>
      <c r="P120" s="1047">
        <v>73</v>
      </c>
      <c r="Q120" s="1046">
        <v>36</v>
      </c>
      <c r="R120" s="1046">
        <v>75</v>
      </c>
      <c r="S120" s="1045">
        <v>38</v>
      </c>
      <c r="T120" s="1044">
        <v>35.047064945836929</v>
      </c>
      <c r="U120" s="1043">
        <v>0.27305641176182788</v>
      </c>
      <c r="V120" s="1042">
        <v>14.858000000000001</v>
      </c>
      <c r="W120" s="1042"/>
      <c r="X120" s="1042">
        <v>119</v>
      </c>
    </row>
    <row r="121" spans="1:24">
      <c r="A121" s="906">
        <v>120</v>
      </c>
      <c r="B121" s="906" t="s">
        <v>1722</v>
      </c>
      <c r="C121" s="906">
        <v>29189</v>
      </c>
      <c r="D121" s="906" t="s">
        <v>1256</v>
      </c>
      <c r="E121" s="906" t="s">
        <v>1258</v>
      </c>
      <c r="F121" s="1015">
        <f t="shared" ref="F121:L123" si="61">O65</f>
        <v>0</v>
      </c>
      <c r="G121" s="1014">
        <f t="shared" si="61"/>
        <v>75</v>
      </c>
      <c r="H121" s="1014">
        <f t="shared" si="61"/>
        <v>36</v>
      </c>
      <c r="I121" s="1014">
        <f t="shared" si="61"/>
        <v>75</v>
      </c>
      <c r="J121" s="1013">
        <f t="shared" si="61"/>
        <v>34</v>
      </c>
      <c r="K121" s="1012" t="str">
        <f t="shared" si="61"/>
        <v/>
      </c>
      <c r="L121" s="1011">
        <f t="shared" si="61"/>
        <v>0.27605633802816903</v>
      </c>
      <c r="N121" s="1049" t="s">
        <v>1721</v>
      </c>
      <c r="O121" s="1048"/>
      <c r="P121" s="1047">
        <v>72</v>
      </c>
      <c r="Q121" s="1046">
        <v>42</v>
      </c>
      <c r="R121" s="1046">
        <v>74</v>
      </c>
      <c r="S121" s="1045">
        <v>37</v>
      </c>
      <c r="T121" s="1044">
        <v>32.767900746998279</v>
      </c>
      <c r="U121" s="1043">
        <v>0.32580379714834662</v>
      </c>
      <c r="V121" s="1042">
        <v>5.3337009999999996</v>
      </c>
      <c r="W121" s="1042"/>
      <c r="X121" s="1042">
        <v>120</v>
      </c>
    </row>
    <row r="122" spans="1:24">
      <c r="A122" s="906">
        <v>121</v>
      </c>
      <c r="B122" s="906" t="s">
        <v>1720</v>
      </c>
      <c r="C122" s="906">
        <v>29189</v>
      </c>
      <c r="D122" s="906" t="s">
        <v>1256</v>
      </c>
      <c r="E122" s="906" t="s">
        <v>1258</v>
      </c>
      <c r="F122" s="1015">
        <f t="shared" si="61"/>
        <v>0</v>
      </c>
      <c r="G122" s="1014">
        <f t="shared" si="61"/>
        <v>68</v>
      </c>
      <c r="H122" s="1014">
        <f t="shared" si="61"/>
        <v>41</v>
      </c>
      <c r="I122" s="1014">
        <f t="shared" si="61"/>
        <v>70</v>
      </c>
      <c r="J122" s="1013">
        <f t="shared" si="61"/>
        <v>36</v>
      </c>
      <c r="K122" s="1012">
        <f t="shared" si="61"/>
        <v>30.64825300254796</v>
      </c>
      <c r="L122" s="1011">
        <f t="shared" si="61"/>
        <v>0.19962812148031642</v>
      </c>
      <c r="N122" s="1049" t="s">
        <v>1541</v>
      </c>
      <c r="O122" s="1048">
        <v>2.1120897419043862E-2</v>
      </c>
      <c r="P122" s="1047">
        <v>80</v>
      </c>
      <c r="Q122" s="1046">
        <v>40</v>
      </c>
      <c r="R122" s="1046">
        <v>80</v>
      </c>
      <c r="S122" s="1045">
        <v>40</v>
      </c>
      <c r="T122" s="1044">
        <v>51.616798161181421</v>
      </c>
      <c r="U122" s="1043">
        <v>0.11332199292716773</v>
      </c>
      <c r="V122" s="1042">
        <v>39.615000000000002</v>
      </c>
      <c r="W122" s="1042"/>
      <c r="X122" s="1042">
        <v>121</v>
      </c>
    </row>
    <row r="123" spans="1:24">
      <c r="A123" s="906">
        <v>122</v>
      </c>
      <c r="B123" s="906" t="s">
        <v>1719</v>
      </c>
      <c r="C123" s="906">
        <v>44023</v>
      </c>
      <c r="D123" s="906" t="s">
        <v>1257</v>
      </c>
      <c r="E123" s="906" t="s">
        <v>1259</v>
      </c>
      <c r="F123" s="1015">
        <f t="shared" si="61"/>
        <v>0</v>
      </c>
      <c r="G123" s="1014">
        <f t="shared" si="61"/>
        <v>80.5</v>
      </c>
      <c r="H123" s="1014">
        <f t="shared" si="61"/>
        <v>52.2</v>
      </c>
      <c r="I123" s="1014">
        <f t="shared" si="61"/>
        <v>85</v>
      </c>
      <c r="J123" s="1013">
        <f t="shared" si="61"/>
        <v>51.2</v>
      </c>
      <c r="K123" s="1012" t="str">
        <f t="shared" si="61"/>
        <v/>
      </c>
      <c r="L123" s="1011">
        <f t="shared" si="61"/>
        <v>9.8541692509985887E-2</v>
      </c>
      <c r="N123" s="1049" t="s">
        <v>1718</v>
      </c>
      <c r="O123" s="1048"/>
      <c r="P123" s="1047">
        <v>66</v>
      </c>
      <c r="Q123" s="1046">
        <v>37.5</v>
      </c>
      <c r="R123" s="1046">
        <v>75</v>
      </c>
      <c r="S123" s="1045">
        <v>36</v>
      </c>
      <c r="T123" s="1044">
        <v>28.233937756446295</v>
      </c>
      <c r="U123" s="1043">
        <v>0.18274293308797218</v>
      </c>
      <c r="V123" s="1042">
        <v>63.951999999999998</v>
      </c>
      <c r="W123" s="1042"/>
      <c r="X123" s="1042">
        <v>122</v>
      </c>
    </row>
    <row r="124" spans="1:24">
      <c r="A124" s="906">
        <v>123</v>
      </c>
      <c r="B124" s="906" t="s">
        <v>1717</v>
      </c>
      <c r="C124" s="906">
        <v>44023</v>
      </c>
      <c r="D124" s="906" t="s">
        <v>1257</v>
      </c>
      <c r="E124" s="906" t="s">
        <v>1259</v>
      </c>
      <c r="F124" s="1015">
        <f t="shared" ref="F124:L124" si="62">F123</f>
        <v>0</v>
      </c>
      <c r="G124" s="1014">
        <f t="shared" si="62"/>
        <v>80.5</v>
      </c>
      <c r="H124" s="1014">
        <f t="shared" si="62"/>
        <v>52.2</v>
      </c>
      <c r="I124" s="1014">
        <f t="shared" si="62"/>
        <v>85</v>
      </c>
      <c r="J124" s="1013">
        <f t="shared" si="62"/>
        <v>51.2</v>
      </c>
      <c r="K124" s="1012" t="str">
        <f t="shared" si="62"/>
        <v/>
      </c>
      <c r="L124" s="1011">
        <f t="shared" si="62"/>
        <v>9.8541692509985887E-2</v>
      </c>
      <c r="N124" s="1049" t="s">
        <v>1716</v>
      </c>
      <c r="O124" s="1048"/>
      <c r="P124" s="1047">
        <v>65</v>
      </c>
      <c r="Q124" s="1046">
        <v>43</v>
      </c>
      <c r="R124" s="1046">
        <v>68</v>
      </c>
      <c r="S124" s="1045">
        <v>36</v>
      </c>
      <c r="T124" s="1044">
        <v>28.562911929118126</v>
      </c>
      <c r="U124" s="1043">
        <v>0.25218417118295644</v>
      </c>
      <c r="V124" s="1042">
        <v>64.025000000000006</v>
      </c>
      <c r="W124" s="1042"/>
      <c r="X124" s="1042">
        <v>123</v>
      </c>
    </row>
    <row r="125" spans="1:24">
      <c r="A125" s="906">
        <v>124</v>
      </c>
      <c r="B125" s="906" t="s">
        <v>1715</v>
      </c>
      <c r="C125" s="906">
        <v>29189</v>
      </c>
      <c r="D125" s="906" t="s">
        <v>1256</v>
      </c>
      <c r="E125" s="906" t="s">
        <v>1258</v>
      </c>
      <c r="F125" s="1015"/>
      <c r="G125" s="1014"/>
      <c r="H125" s="1014"/>
      <c r="I125" s="1014"/>
      <c r="J125" s="1013"/>
      <c r="K125" s="1012"/>
      <c r="L125" s="1011"/>
      <c r="N125" s="1049" t="s">
        <v>1714</v>
      </c>
      <c r="O125" s="1048">
        <v>2.4506092104357405E-2</v>
      </c>
      <c r="P125" s="1047">
        <v>70</v>
      </c>
      <c r="Q125" s="1046">
        <v>36</v>
      </c>
      <c r="R125" s="1046">
        <v>75</v>
      </c>
      <c r="S125" s="1045">
        <v>33</v>
      </c>
      <c r="T125" s="1044">
        <v>35.419468841367362</v>
      </c>
      <c r="U125" s="1043">
        <v>0.27393973608072825</v>
      </c>
      <c r="V125" s="1042">
        <v>10.289</v>
      </c>
      <c r="W125" s="1042"/>
      <c r="X125" s="1042">
        <v>124</v>
      </c>
    </row>
    <row r="126" spans="1:24">
      <c r="A126" s="906">
        <v>125</v>
      </c>
      <c r="B126" s="906" t="s">
        <v>1713</v>
      </c>
      <c r="C126" s="906">
        <v>29188</v>
      </c>
      <c r="D126" s="906" t="s">
        <v>1256</v>
      </c>
      <c r="E126" s="906" t="s">
        <v>1259</v>
      </c>
      <c r="F126" s="1015">
        <f t="shared" ref="F126:L129" si="63">O68</f>
        <v>0</v>
      </c>
      <c r="G126" s="1014">
        <f t="shared" si="63"/>
        <v>77</v>
      </c>
      <c r="H126" s="1014">
        <f t="shared" si="63"/>
        <v>42</v>
      </c>
      <c r="I126" s="1014">
        <f t="shared" si="63"/>
        <v>77</v>
      </c>
      <c r="J126" s="1013">
        <f t="shared" si="63"/>
        <v>38</v>
      </c>
      <c r="K126" s="1012">
        <f t="shared" si="63"/>
        <v>36.021988361628907</v>
      </c>
      <c r="L126" s="1011">
        <f t="shared" si="63"/>
        <v>0.33411008062636904</v>
      </c>
      <c r="N126" s="1049" t="s">
        <v>1712</v>
      </c>
      <c r="O126" s="1048"/>
      <c r="P126" s="1047">
        <v>75</v>
      </c>
      <c r="Q126" s="1046">
        <v>43</v>
      </c>
      <c r="R126" s="1046">
        <v>80</v>
      </c>
      <c r="S126" s="1045">
        <v>40</v>
      </c>
      <c r="T126" s="1044" t="s">
        <v>842</v>
      </c>
      <c r="U126" s="1043">
        <v>0.26871273487421904</v>
      </c>
      <c r="V126" s="1042">
        <v>61.57</v>
      </c>
      <c r="W126" s="1042"/>
      <c r="X126" s="1042">
        <v>125</v>
      </c>
    </row>
    <row r="127" spans="1:24">
      <c r="A127" s="906">
        <v>126</v>
      </c>
      <c r="B127" s="906" t="s">
        <v>1711</v>
      </c>
      <c r="C127" s="906">
        <v>29189</v>
      </c>
      <c r="D127" s="906" t="s">
        <v>1256</v>
      </c>
      <c r="E127" s="906" t="s">
        <v>1258</v>
      </c>
      <c r="F127" s="1015">
        <f t="shared" si="63"/>
        <v>0</v>
      </c>
      <c r="G127" s="1014">
        <f t="shared" si="63"/>
        <v>75</v>
      </c>
      <c r="H127" s="1014">
        <f t="shared" si="63"/>
        <v>40</v>
      </c>
      <c r="I127" s="1014">
        <f t="shared" si="63"/>
        <v>75</v>
      </c>
      <c r="J127" s="1013">
        <f t="shared" si="63"/>
        <v>38</v>
      </c>
      <c r="K127" s="1012" t="str">
        <f t="shared" si="63"/>
        <v/>
      </c>
      <c r="L127" s="1011">
        <f t="shared" si="63"/>
        <v>0.27943296492071118</v>
      </c>
      <c r="N127" s="1038" t="s">
        <v>1710</v>
      </c>
      <c r="O127" s="1037">
        <v>0.13181579101162993</v>
      </c>
      <c r="P127" s="1036">
        <v>69</v>
      </c>
      <c r="Q127" s="1014">
        <v>38</v>
      </c>
      <c r="R127" s="1014">
        <v>72</v>
      </c>
      <c r="S127" s="1013">
        <v>34</v>
      </c>
      <c r="T127" s="1012">
        <v>34.959378292219078</v>
      </c>
      <c r="U127" s="1035">
        <v>0.24600316381138299</v>
      </c>
      <c r="V127" s="906">
        <v>22.402000000000001</v>
      </c>
      <c r="X127" s="906">
        <v>126</v>
      </c>
    </row>
    <row r="128" spans="1:24">
      <c r="A128" s="906">
        <v>127</v>
      </c>
      <c r="B128" s="906" t="s">
        <v>1709</v>
      </c>
      <c r="C128" s="906">
        <v>29188</v>
      </c>
      <c r="D128" s="906" t="s">
        <v>1256</v>
      </c>
      <c r="E128" s="906" t="s">
        <v>1259</v>
      </c>
      <c r="F128" s="1015">
        <f t="shared" si="63"/>
        <v>0</v>
      </c>
      <c r="G128" s="1014">
        <f t="shared" si="63"/>
        <v>78</v>
      </c>
      <c r="H128" s="1014">
        <f t="shared" si="63"/>
        <v>45</v>
      </c>
      <c r="I128" s="1014">
        <f t="shared" si="63"/>
        <v>84</v>
      </c>
      <c r="J128" s="1013">
        <f t="shared" si="63"/>
        <v>40</v>
      </c>
      <c r="K128" s="1012">
        <f t="shared" si="63"/>
        <v>38.648805715167462</v>
      </c>
      <c r="L128" s="1011">
        <f t="shared" si="63"/>
        <v>0.2534529513430398</v>
      </c>
      <c r="N128" s="1049" t="s">
        <v>1708</v>
      </c>
      <c r="O128" s="1048"/>
      <c r="P128" s="1047">
        <v>70</v>
      </c>
      <c r="Q128" s="1046">
        <v>42</v>
      </c>
      <c r="R128" s="1046">
        <v>72</v>
      </c>
      <c r="S128" s="1045">
        <v>35</v>
      </c>
      <c r="T128" s="1044">
        <v>31.90301255026986</v>
      </c>
      <c r="U128" s="1043">
        <v>0.24153851746828081</v>
      </c>
      <c r="V128" s="1042">
        <v>20.863</v>
      </c>
      <c r="W128" s="1042"/>
      <c r="X128" s="1042">
        <v>127</v>
      </c>
    </row>
    <row r="129" spans="1:24">
      <c r="A129" s="906">
        <v>128</v>
      </c>
      <c r="B129" s="906" t="s">
        <v>1707</v>
      </c>
      <c r="C129" s="906">
        <v>32264</v>
      </c>
      <c r="D129" s="906" t="s">
        <v>1256</v>
      </c>
      <c r="E129" s="906" t="s">
        <v>1258</v>
      </c>
      <c r="F129" s="1015">
        <f t="shared" si="63"/>
        <v>2.9754204398447608E-2</v>
      </c>
      <c r="G129" s="1014">
        <f t="shared" si="63"/>
        <v>65</v>
      </c>
      <c r="H129" s="1014">
        <f t="shared" si="63"/>
        <v>40</v>
      </c>
      <c r="I129" s="1014">
        <f t="shared" si="63"/>
        <v>75</v>
      </c>
      <c r="J129" s="1013">
        <f t="shared" si="63"/>
        <v>39</v>
      </c>
      <c r="K129" s="1012">
        <f t="shared" si="63"/>
        <v>0</v>
      </c>
      <c r="L129" s="1011">
        <f t="shared" si="63"/>
        <v>0.39011764705882351</v>
      </c>
      <c r="N129" s="1049" t="s">
        <v>1706</v>
      </c>
      <c r="O129" s="1048"/>
      <c r="P129" s="1047">
        <v>68</v>
      </c>
      <c r="Q129" s="1046">
        <v>44</v>
      </c>
      <c r="R129" s="1046">
        <v>70</v>
      </c>
      <c r="S129" s="1045">
        <v>39</v>
      </c>
      <c r="T129" s="1044">
        <v>27.076615304008193</v>
      </c>
      <c r="U129" s="1043">
        <v>0.49924357034795763</v>
      </c>
      <c r="V129" s="1042">
        <v>5.9580000000000002</v>
      </c>
      <c r="W129" s="1042"/>
      <c r="X129" s="1042">
        <v>128</v>
      </c>
    </row>
    <row r="130" spans="1:24">
      <c r="A130" s="906">
        <v>129</v>
      </c>
      <c r="B130" s="906" t="s">
        <v>1705</v>
      </c>
      <c r="C130" s="906">
        <v>29189</v>
      </c>
      <c r="D130" s="906" t="s">
        <v>1257</v>
      </c>
      <c r="E130" s="906" t="s">
        <v>1258</v>
      </c>
      <c r="F130" s="1015"/>
      <c r="G130" s="1014"/>
      <c r="H130" s="1014"/>
      <c r="I130" s="1014"/>
      <c r="J130" s="1013"/>
      <c r="K130" s="1012"/>
      <c r="L130" s="1011"/>
      <c r="N130" s="1049" t="s">
        <v>1704</v>
      </c>
      <c r="O130" s="1048"/>
      <c r="P130" s="1047">
        <v>66</v>
      </c>
      <c r="Q130" s="1046">
        <v>37</v>
      </c>
      <c r="R130" s="1046">
        <v>65</v>
      </c>
      <c r="S130" s="1045">
        <v>35</v>
      </c>
      <c r="T130" s="1044" t="s">
        <v>842</v>
      </c>
      <c r="U130" s="1043">
        <v>0.22099775357097445</v>
      </c>
      <c r="V130" s="1042">
        <v>18.379000000000001</v>
      </c>
      <c r="W130" s="1042"/>
      <c r="X130" s="1042">
        <v>129</v>
      </c>
    </row>
    <row r="131" spans="1:24">
      <c r="A131" s="906">
        <v>130</v>
      </c>
      <c r="B131" s="906" t="s">
        <v>1703</v>
      </c>
      <c r="C131" s="906">
        <v>29189</v>
      </c>
      <c r="D131" s="906" t="s">
        <v>1256</v>
      </c>
      <c r="E131" s="906" t="s">
        <v>1258</v>
      </c>
      <c r="F131" s="1015">
        <f t="shared" ref="F131:L131" si="64">O73</f>
        <v>0</v>
      </c>
      <c r="G131" s="1014">
        <f t="shared" si="64"/>
        <v>75</v>
      </c>
      <c r="H131" s="1014">
        <f t="shared" si="64"/>
        <v>42</v>
      </c>
      <c r="I131" s="1014">
        <f t="shared" si="64"/>
        <v>82</v>
      </c>
      <c r="J131" s="1013">
        <f t="shared" si="64"/>
        <v>40</v>
      </c>
      <c r="K131" s="1012" t="str">
        <f t="shared" si="64"/>
        <v/>
      </c>
      <c r="L131" s="1011">
        <f t="shared" si="64"/>
        <v>0.15905077413790744</v>
      </c>
      <c r="N131" s="1049" t="s">
        <v>1702</v>
      </c>
      <c r="O131" s="1048"/>
      <c r="P131" s="1047">
        <v>60.38</v>
      </c>
      <c r="Q131" s="1046">
        <v>38</v>
      </c>
      <c r="R131" s="1046">
        <v>68</v>
      </c>
      <c r="S131" s="1045">
        <v>35</v>
      </c>
      <c r="T131" s="1044" t="s">
        <v>842</v>
      </c>
      <c r="U131" s="1043"/>
      <c r="V131" s="1042" t="s">
        <v>842</v>
      </c>
      <c r="W131" s="1042"/>
      <c r="X131" s="1042">
        <v>130</v>
      </c>
    </row>
    <row r="132" spans="1:24">
      <c r="A132" s="906">
        <v>131</v>
      </c>
      <c r="B132" s="906" t="s">
        <v>1701</v>
      </c>
      <c r="C132" s="906">
        <v>29189</v>
      </c>
      <c r="D132" s="906" t="s">
        <v>1256</v>
      </c>
      <c r="E132" s="906" t="s">
        <v>1258</v>
      </c>
      <c r="F132" s="1015"/>
      <c r="G132" s="1014"/>
      <c r="H132" s="1014"/>
      <c r="I132" s="1014"/>
      <c r="J132" s="1013"/>
      <c r="K132" s="1012"/>
      <c r="L132" s="1011"/>
      <c r="N132" s="1049" t="s">
        <v>1700</v>
      </c>
      <c r="O132" s="1048">
        <v>0.2041240088577756</v>
      </c>
      <c r="P132" s="1047">
        <v>70</v>
      </c>
      <c r="Q132" s="1046">
        <v>42</v>
      </c>
      <c r="R132" s="1046">
        <v>72</v>
      </c>
      <c r="S132" s="1045">
        <v>35</v>
      </c>
      <c r="T132" s="1044">
        <v>27.81311459801638</v>
      </c>
      <c r="U132" s="1043">
        <v>0.24184353444267848</v>
      </c>
      <c r="V132" s="1042">
        <v>21.117439999999998</v>
      </c>
      <c r="W132" s="1042"/>
      <c r="X132" s="1042">
        <v>131</v>
      </c>
    </row>
    <row r="133" spans="1:24">
      <c r="A133" s="906">
        <v>132</v>
      </c>
      <c r="B133" s="906" t="s">
        <v>1699</v>
      </c>
      <c r="C133" s="906">
        <v>29189</v>
      </c>
      <c r="D133" s="906" t="s">
        <v>1256</v>
      </c>
      <c r="E133" s="906" t="s">
        <v>1258</v>
      </c>
      <c r="F133" s="1015">
        <f t="shared" ref="F133:L134" si="65">O74</f>
        <v>1.7511330861145447E-3</v>
      </c>
      <c r="G133" s="1014">
        <f t="shared" si="65"/>
        <v>64</v>
      </c>
      <c r="H133" s="1014">
        <f t="shared" si="65"/>
        <v>45</v>
      </c>
      <c r="I133" s="1014">
        <f t="shared" si="65"/>
        <v>78</v>
      </c>
      <c r="J133" s="1013">
        <f t="shared" si="65"/>
        <v>39</v>
      </c>
      <c r="K133" s="1012">
        <f t="shared" si="65"/>
        <v>41.341454254271277</v>
      </c>
      <c r="L133" s="1011">
        <f t="shared" si="65"/>
        <v>0.23941212022937336</v>
      </c>
      <c r="N133" s="1049" t="s">
        <v>1698</v>
      </c>
      <c r="O133" s="1048"/>
      <c r="P133" s="1047">
        <v>64</v>
      </c>
      <c r="Q133" s="1046">
        <v>45</v>
      </c>
      <c r="R133" s="1046">
        <v>65</v>
      </c>
      <c r="S133" s="1045">
        <v>40</v>
      </c>
      <c r="T133" s="1044" t="s">
        <v>842</v>
      </c>
      <c r="U133" s="1043">
        <v>0.19586194937631596</v>
      </c>
      <c r="V133" s="1042">
        <v>91.226111000000003</v>
      </c>
      <c r="W133" s="1042"/>
      <c r="X133" s="1042">
        <v>132</v>
      </c>
    </row>
    <row r="134" spans="1:24">
      <c r="A134" s="906">
        <v>133</v>
      </c>
      <c r="B134" s="906" t="s">
        <v>1697</v>
      </c>
      <c r="C134" s="906">
        <v>29189</v>
      </c>
      <c r="D134" s="906" t="s">
        <v>1256</v>
      </c>
      <c r="E134" s="906" t="s">
        <v>1258</v>
      </c>
      <c r="F134" s="1015">
        <f t="shared" si="65"/>
        <v>0</v>
      </c>
      <c r="G134" s="1014">
        <f t="shared" si="65"/>
        <v>68.400000000000006</v>
      </c>
      <c r="H134" s="1014">
        <f t="shared" si="65"/>
        <v>38.1</v>
      </c>
      <c r="I134" s="1014">
        <f t="shared" si="65"/>
        <v>73.3</v>
      </c>
      <c r="J134" s="1013">
        <f t="shared" si="65"/>
        <v>33.1</v>
      </c>
      <c r="K134" s="1012">
        <f t="shared" si="65"/>
        <v>45.625742555994066</v>
      </c>
      <c r="L134" s="1011">
        <f t="shared" si="65"/>
        <v>0.23402607664954564</v>
      </c>
      <c r="N134" s="1049" t="s">
        <v>1696</v>
      </c>
      <c r="O134" s="1048"/>
      <c r="P134" s="1047">
        <v>73</v>
      </c>
      <c r="Q134" s="1046">
        <v>0</v>
      </c>
      <c r="R134" s="1046">
        <v>73</v>
      </c>
      <c r="S134" s="1045">
        <v>0</v>
      </c>
      <c r="T134" s="1044" t="s">
        <v>842</v>
      </c>
      <c r="U134" s="1043"/>
      <c r="V134" s="1042" t="s">
        <v>842</v>
      </c>
      <c r="W134" s="1042"/>
      <c r="X134" s="1042">
        <v>133</v>
      </c>
    </row>
    <row r="135" spans="1:24">
      <c r="A135" s="906">
        <v>134</v>
      </c>
      <c r="B135" s="906" t="s">
        <v>1695</v>
      </c>
      <c r="C135" s="906">
        <v>29189</v>
      </c>
      <c r="D135" s="906" t="s">
        <v>1256</v>
      </c>
      <c r="E135" s="906" t="s">
        <v>1258</v>
      </c>
      <c r="F135" s="1015"/>
      <c r="G135" s="1014"/>
      <c r="H135" s="1014"/>
      <c r="I135" s="1014"/>
      <c r="J135" s="1013"/>
      <c r="K135" s="1012"/>
      <c r="L135" s="1011"/>
      <c r="N135" s="1049" t="s">
        <v>1694</v>
      </c>
      <c r="O135" s="1048"/>
      <c r="P135" s="1047">
        <v>73</v>
      </c>
      <c r="Q135" s="1046">
        <v>0</v>
      </c>
      <c r="R135" s="1046">
        <v>73</v>
      </c>
      <c r="S135" s="1045">
        <v>0</v>
      </c>
      <c r="T135" s="1044">
        <v>28.55022805146475</v>
      </c>
      <c r="U135" s="1043">
        <v>0.26233766233766231</v>
      </c>
      <c r="V135" s="1042">
        <v>5.3959999999999999</v>
      </c>
      <c r="W135" s="1042"/>
      <c r="X135" s="1042">
        <v>134</v>
      </c>
    </row>
    <row r="136" spans="1:24">
      <c r="A136" s="906">
        <v>135</v>
      </c>
      <c r="B136" s="906" t="s">
        <v>1693</v>
      </c>
      <c r="C136" s="906">
        <v>29189</v>
      </c>
      <c r="D136" s="906" t="s">
        <v>1256</v>
      </c>
      <c r="E136" s="906" t="s">
        <v>1258</v>
      </c>
      <c r="F136" s="1015">
        <f t="shared" ref="F136:L136" si="66">O76</f>
        <v>0</v>
      </c>
      <c r="G136" s="1014">
        <f t="shared" si="66"/>
        <v>70</v>
      </c>
      <c r="H136" s="1014">
        <f t="shared" si="66"/>
        <v>38</v>
      </c>
      <c r="I136" s="1014">
        <f t="shared" si="66"/>
        <v>71</v>
      </c>
      <c r="J136" s="1013">
        <f t="shared" si="66"/>
        <v>34</v>
      </c>
      <c r="K136" s="1012">
        <f t="shared" si="66"/>
        <v>39.165090999099291</v>
      </c>
      <c r="L136" s="1011">
        <f t="shared" si="66"/>
        <v>0.24730127576054955</v>
      </c>
      <c r="N136" s="1049" t="s">
        <v>1692</v>
      </c>
      <c r="O136" s="1048">
        <v>7.3937588207621141E-2</v>
      </c>
      <c r="P136" s="1047">
        <v>70</v>
      </c>
      <c r="Q136" s="1046">
        <v>34.5</v>
      </c>
      <c r="R136" s="1046">
        <v>72</v>
      </c>
      <c r="S136" s="1045">
        <v>33</v>
      </c>
      <c r="T136" s="1044">
        <v>33.602151604771642</v>
      </c>
      <c r="U136" s="1043">
        <v>0.21691643383286766</v>
      </c>
      <c r="V136" s="1042">
        <v>9.2490000000000006</v>
      </c>
      <c r="W136" s="1042"/>
      <c r="X136" s="1042">
        <v>135</v>
      </c>
    </row>
    <row r="137" spans="1:24">
      <c r="A137" s="906">
        <v>136</v>
      </c>
      <c r="B137" s="906" t="s">
        <v>1691</v>
      </c>
      <c r="C137" s="906">
        <v>29188</v>
      </c>
      <c r="D137" s="906" t="s">
        <v>1256</v>
      </c>
      <c r="E137" s="906" t="s">
        <v>1259</v>
      </c>
      <c r="F137" s="1015"/>
      <c r="G137" s="1014"/>
      <c r="H137" s="1014"/>
      <c r="I137" s="1014"/>
      <c r="J137" s="1013"/>
      <c r="K137" s="1012"/>
      <c r="L137" s="1011"/>
      <c r="N137" s="1032" t="s">
        <v>1690</v>
      </c>
      <c r="O137" s="1031"/>
      <c r="P137" s="1030">
        <v>63</v>
      </c>
      <c r="Q137" s="1029">
        <v>63</v>
      </c>
      <c r="R137" s="1029">
        <v>73</v>
      </c>
      <c r="S137" s="1028">
        <v>73</v>
      </c>
      <c r="T137" s="1027">
        <v>20.783333333333335</v>
      </c>
      <c r="U137" s="1026">
        <v>0.21572413793103448</v>
      </c>
      <c r="V137" s="1018">
        <v>45.488</v>
      </c>
      <c r="W137" s="1018"/>
      <c r="X137" s="1018">
        <v>136</v>
      </c>
    </row>
    <row r="138" spans="1:24" ht="16">
      <c r="A138" s="906">
        <v>137</v>
      </c>
      <c r="B138" s="906" t="s">
        <v>1689</v>
      </c>
      <c r="C138" s="906">
        <v>29189</v>
      </c>
      <c r="D138" s="906" t="s">
        <v>1256</v>
      </c>
      <c r="E138" s="906" t="s">
        <v>1258</v>
      </c>
      <c r="F138" s="1015">
        <f t="shared" ref="F138:K140" si="67">O77</f>
        <v>0</v>
      </c>
      <c r="G138" s="1014">
        <f t="shared" si="67"/>
        <v>75</v>
      </c>
      <c r="H138" s="1014">
        <f t="shared" si="67"/>
        <v>40</v>
      </c>
      <c r="I138" s="1014">
        <f t="shared" si="67"/>
        <v>80</v>
      </c>
      <c r="J138" s="1013">
        <f t="shared" si="67"/>
        <v>37</v>
      </c>
      <c r="K138" s="1012" t="str">
        <f t="shared" si="67"/>
        <v/>
      </c>
      <c r="L138" s="1016">
        <v>0.22800028617798151</v>
      </c>
      <c r="N138" s="1032" t="s">
        <v>1688</v>
      </c>
      <c r="O138" s="1031"/>
      <c r="P138" s="1030">
        <v>72</v>
      </c>
      <c r="Q138" s="1029">
        <v>40</v>
      </c>
      <c r="R138" s="1029">
        <v>72</v>
      </c>
      <c r="S138" s="1028">
        <v>40</v>
      </c>
      <c r="T138" s="1027" t="s">
        <v>842</v>
      </c>
      <c r="U138" s="1026">
        <v>0.2803927933776984</v>
      </c>
      <c r="V138" s="1018">
        <v>8.8670000000000009</v>
      </c>
      <c r="W138" s="1018"/>
      <c r="X138" s="1018">
        <v>137</v>
      </c>
    </row>
    <row r="139" spans="1:24">
      <c r="A139" s="906">
        <v>138</v>
      </c>
      <c r="B139" s="906" t="s">
        <v>1687</v>
      </c>
      <c r="C139" s="906">
        <v>29189</v>
      </c>
      <c r="D139" s="906" t="s">
        <v>1256</v>
      </c>
      <c r="E139" s="906" t="s">
        <v>1258</v>
      </c>
      <c r="F139" s="1015">
        <f t="shared" si="67"/>
        <v>0</v>
      </c>
      <c r="G139" s="1014">
        <f t="shared" si="67"/>
        <v>71</v>
      </c>
      <c r="H139" s="1014">
        <f t="shared" si="67"/>
        <v>42</v>
      </c>
      <c r="I139" s="1014">
        <f t="shared" si="67"/>
        <v>77</v>
      </c>
      <c r="J139" s="1013">
        <f t="shared" si="67"/>
        <v>40</v>
      </c>
      <c r="K139" s="1012" t="str">
        <f t="shared" si="67"/>
        <v/>
      </c>
      <c r="L139" s="1011">
        <f>U78</f>
        <v>0.22894129556392462</v>
      </c>
      <c r="N139" s="1032" t="s">
        <v>1686</v>
      </c>
      <c r="O139" s="1031">
        <v>9.4308389379192305E-3</v>
      </c>
      <c r="P139" s="1030">
        <v>67</v>
      </c>
      <c r="Q139" s="1029">
        <v>42</v>
      </c>
      <c r="R139" s="1029">
        <v>81</v>
      </c>
      <c r="S139" s="1028">
        <v>34</v>
      </c>
      <c r="T139" s="1027">
        <v>32.415217939027464</v>
      </c>
      <c r="U139" s="1026">
        <v>0.3305003819709702</v>
      </c>
      <c r="V139" s="1018">
        <v>7.0110000000000001</v>
      </c>
      <c r="W139" s="1018"/>
      <c r="X139" s="1018">
        <v>138</v>
      </c>
    </row>
    <row r="140" spans="1:24">
      <c r="A140" s="906">
        <v>139</v>
      </c>
      <c r="B140" s="906" t="s">
        <v>1685</v>
      </c>
      <c r="C140" s="906">
        <v>29189</v>
      </c>
      <c r="D140" s="906" t="s">
        <v>1256</v>
      </c>
      <c r="E140" s="906" t="s">
        <v>1258</v>
      </c>
      <c r="F140" s="1015">
        <f t="shared" si="67"/>
        <v>0</v>
      </c>
      <c r="G140" s="1014">
        <f t="shared" si="67"/>
        <v>73</v>
      </c>
      <c r="H140" s="1014">
        <f t="shared" si="67"/>
        <v>42</v>
      </c>
      <c r="I140" s="1014">
        <f t="shared" si="67"/>
        <v>73</v>
      </c>
      <c r="J140" s="1013">
        <f t="shared" si="67"/>
        <v>38</v>
      </c>
      <c r="K140" s="1012">
        <f t="shared" si="67"/>
        <v>29.801433962264152</v>
      </c>
      <c r="L140" s="1011">
        <f>U79</f>
        <v>0.26657954916693893</v>
      </c>
      <c r="N140" s="1032" t="s">
        <v>1684</v>
      </c>
      <c r="O140" s="1031"/>
      <c r="P140" s="1030">
        <v>71</v>
      </c>
      <c r="Q140" s="1029">
        <v>0</v>
      </c>
      <c r="R140" s="1029">
        <v>79</v>
      </c>
      <c r="S140" s="1028">
        <v>0</v>
      </c>
      <c r="T140" s="1027" t="s">
        <v>842</v>
      </c>
      <c r="U140" s="1026"/>
      <c r="V140" s="1018" t="s">
        <v>842</v>
      </c>
      <c r="W140" s="1018"/>
      <c r="X140" s="1018">
        <v>139</v>
      </c>
    </row>
    <row r="141" spans="1:24">
      <c r="A141" s="906">
        <v>140</v>
      </c>
      <c r="B141" s="906" t="s">
        <v>1683</v>
      </c>
      <c r="C141" s="906">
        <v>29189</v>
      </c>
      <c r="D141" s="906" t="s">
        <v>1256</v>
      </c>
      <c r="E141" s="906" t="s">
        <v>1258</v>
      </c>
      <c r="F141" s="1015"/>
      <c r="G141" s="1014"/>
      <c r="H141" s="1014"/>
      <c r="I141" s="1014"/>
      <c r="J141" s="1013"/>
      <c r="K141" s="1012"/>
      <c r="L141" s="1011"/>
      <c r="N141" s="1032" t="s">
        <v>1682</v>
      </c>
      <c r="O141" s="1031"/>
      <c r="P141" s="1030">
        <v>70</v>
      </c>
      <c r="Q141" s="1029">
        <v>41</v>
      </c>
      <c r="R141" s="1029">
        <v>70</v>
      </c>
      <c r="S141" s="1028">
        <v>41</v>
      </c>
      <c r="T141" s="1027" t="s">
        <v>842</v>
      </c>
      <c r="U141" s="1026">
        <v>0.31760591573840757</v>
      </c>
      <c r="V141" s="1018">
        <v>5.7953000000000001</v>
      </c>
      <c r="W141" s="1018"/>
      <c r="X141" s="1018">
        <v>140</v>
      </c>
    </row>
    <row r="142" spans="1:24">
      <c r="A142" s="906">
        <v>141</v>
      </c>
      <c r="B142" s="906" t="s">
        <v>1681</v>
      </c>
      <c r="C142" s="906">
        <v>29189</v>
      </c>
      <c r="D142" s="906" t="s">
        <v>1256</v>
      </c>
      <c r="E142" s="906" t="s">
        <v>1258</v>
      </c>
      <c r="F142" s="1015">
        <f t="shared" ref="F142:L142" si="68">O80</f>
        <v>7.1261491595495843E-2</v>
      </c>
      <c r="G142" s="1014">
        <f t="shared" si="68"/>
        <v>68</v>
      </c>
      <c r="H142" s="1014">
        <f t="shared" si="68"/>
        <v>43</v>
      </c>
      <c r="I142" s="1014">
        <f t="shared" si="68"/>
        <v>72</v>
      </c>
      <c r="J142" s="1013">
        <f t="shared" si="68"/>
        <v>40</v>
      </c>
      <c r="K142" s="1012">
        <f t="shared" si="68"/>
        <v>30.647035126791668</v>
      </c>
      <c r="L142" s="1011">
        <f t="shared" si="68"/>
        <v>0.28758859017161598</v>
      </c>
      <c r="N142" s="1032" t="s">
        <v>1680</v>
      </c>
      <c r="O142" s="1031"/>
      <c r="P142" s="1030">
        <v>60</v>
      </c>
      <c r="Q142" s="1029">
        <v>0</v>
      </c>
      <c r="R142" s="1029">
        <v>80</v>
      </c>
      <c r="S142" s="1028">
        <v>0</v>
      </c>
      <c r="T142" s="1027" t="s">
        <v>842</v>
      </c>
      <c r="U142" s="1026"/>
      <c r="V142" s="1018" t="s">
        <v>842</v>
      </c>
      <c r="W142" s="1018"/>
      <c r="X142" s="1018">
        <v>141</v>
      </c>
    </row>
    <row r="143" spans="1:24" ht="16">
      <c r="A143" s="906">
        <v>142</v>
      </c>
      <c r="B143" s="906" t="s">
        <v>1679</v>
      </c>
      <c r="C143" s="906">
        <v>29188</v>
      </c>
      <c r="D143" s="906" t="s">
        <v>1256</v>
      </c>
      <c r="E143" s="906" t="s">
        <v>1259</v>
      </c>
      <c r="F143" s="1015">
        <f t="shared" ref="F143:K145" si="69">O81</f>
        <v>0</v>
      </c>
      <c r="G143" s="1014">
        <f t="shared" si="69"/>
        <v>78</v>
      </c>
      <c r="H143" s="1014">
        <f t="shared" si="69"/>
        <v>0</v>
      </c>
      <c r="I143" s="1014">
        <f t="shared" si="69"/>
        <v>78</v>
      </c>
      <c r="J143" s="1013">
        <f t="shared" si="69"/>
        <v>0</v>
      </c>
      <c r="K143" s="1012" t="str">
        <f t="shared" si="69"/>
        <v/>
      </c>
      <c r="L143" s="1016">
        <v>0.22800028617798151</v>
      </c>
      <c r="N143" s="1032" t="s">
        <v>1678</v>
      </c>
      <c r="O143" s="1031">
        <v>7.2396076599719368E-3</v>
      </c>
      <c r="P143" s="1030">
        <v>72</v>
      </c>
      <c r="Q143" s="1029">
        <v>38</v>
      </c>
      <c r="R143" s="1029">
        <v>76</v>
      </c>
      <c r="S143" s="1028">
        <v>35</v>
      </c>
      <c r="T143" s="1027">
        <v>34.726955023416103</v>
      </c>
      <c r="U143" s="1026">
        <v>0.15658695901921843</v>
      </c>
      <c r="V143" s="1018">
        <v>15.417</v>
      </c>
      <c r="W143" s="1018"/>
      <c r="X143" s="1018">
        <v>142</v>
      </c>
    </row>
    <row r="144" spans="1:24">
      <c r="A144" s="906">
        <v>143</v>
      </c>
      <c r="B144" s="906" t="s">
        <v>1677</v>
      </c>
      <c r="C144" s="906">
        <v>29188</v>
      </c>
      <c r="D144" s="906" t="s">
        <v>1256</v>
      </c>
      <c r="E144" s="906" t="s">
        <v>1259</v>
      </c>
      <c r="F144" s="1015">
        <f t="shared" si="69"/>
        <v>0</v>
      </c>
      <c r="G144" s="1014">
        <f t="shared" si="69"/>
        <v>72</v>
      </c>
      <c r="H144" s="1014">
        <f t="shared" si="69"/>
        <v>49.3</v>
      </c>
      <c r="I144" s="1014">
        <f t="shared" si="69"/>
        <v>72</v>
      </c>
      <c r="J144" s="1013">
        <f t="shared" si="69"/>
        <v>43.7</v>
      </c>
      <c r="K144" s="1012">
        <f t="shared" si="69"/>
        <v>26.738828983587556</v>
      </c>
      <c r="L144" s="1011">
        <f>U82</f>
        <v>0.22799820425097142</v>
      </c>
      <c r="N144" s="1038" t="s">
        <v>1676</v>
      </c>
      <c r="O144" s="1037"/>
      <c r="P144" s="1036">
        <v>71</v>
      </c>
      <c r="Q144" s="1014">
        <v>46</v>
      </c>
      <c r="R144" s="1014">
        <v>76</v>
      </c>
      <c r="S144" s="1013">
        <v>40</v>
      </c>
      <c r="T144" s="1012">
        <v>33.153323059986747</v>
      </c>
      <c r="U144" s="1035">
        <v>0.20928852603192599</v>
      </c>
      <c r="V144" s="906">
        <v>149.24600000000001</v>
      </c>
      <c r="X144" s="906">
        <v>143</v>
      </c>
    </row>
    <row r="145" spans="1:24">
      <c r="A145" s="906">
        <v>144</v>
      </c>
      <c r="B145" s="906" t="s">
        <v>1675</v>
      </c>
      <c r="C145" s="906">
        <v>29189</v>
      </c>
      <c r="D145" s="906" t="s">
        <v>1256</v>
      </c>
      <c r="E145" s="906" t="s">
        <v>1258</v>
      </c>
      <c r="F145" s="1015">
        <f t="shared" si="69"/>
        <v>1.2080536912751677E-2</v>
      </c>
      <c r="G145" s="1014">
        <f t="shared" si="69"/>
        <v>65</v>
      </c>
      <c r="H145" s="1014">
        <f t="shared" si="69"/>
        <v>43</v>
      </c>
      <c r="I145" s="1014">
        <f t="shared" si="69"/>
        <v>75</v>
      </c>
      <c r="J145" s="1013">
        <f t="shared" si="69"/>
        <v>38</v>
      </c>
      <c r="K145" s="1012">
        <f t="shared" si="69"/>
        <v>33.747721896932802</v>
      </c>
      <c r="L145" s="1011">
        <f>U83</f>
        <v>0.3286808300395257</v>
      </c>
      <c r="N145" s="1032" t="s">
        <v>1674</v>
      </c>
      <c r="O145" s="1031"/>
      <c r="P145" s="1030">
        <v>74</v>
      </c>
      <c r="Q145" s="1029">
        <v>40</v>
      </c>
      <c r="R145" s="1029">
        <v>74</v>
      </c>
      <c r="S145" s="1028">
        <v>38</v>
      </c>
      <c r="T145" s="1027">
        <v>36.844128774010883</v>
      </c>
      <c r="U145" s="1026">
        <v>0.2188596691126202</v>
      </c>
      <c r="V145" s="1018">
        <v>34.277999999999999</v>
      </c>
      <c r="W145" s="1018"/>
      <c r="X145" s="1018">
        <v>144</v>
      </c>
    </row>
    <row r="146" spans="1:24">
      <c r="A146" s="906">
        <v>145</v>
      </c>
      <c r="B146" s="906" t="s">
        <v>1673</v>
      </c>
      <c r="C146" s="906">
        <v>29189</v>
      </c>
      <c r="D146" s="906" t="s">
        <v>1256</v>
      </c>
      <c r="E146" s="906" t="s">
        <v>1258</v>
      </c>
      <c r="F146" s="1015"/>
      <c r="G146" s="1014"/>
      <c r="H146" s="1014"/>
      <c r="I146" s="1014"/>
      <c r="J146" s="1013"/>
      <c r="K146" s="1012"/>
      <c r="L146" s="1011"/>
      <c r="N146" s="1032" t="s">
        <v>1672</v>
      </c>
      <c r="O146" s="1031"/>
      <c r="P146" s="1030">
        <v>73</v>
      </c>
      <c r="Q146" s="1029">
        <v>41</v>
      </c>
      <c r="R146" s="1029">
        <v>75</v>
      </c>
      <c r="S146" s="1028">
        <v>40</v>
      </c>
      <c r="T146" s="1027">
        <v>3.5520143126997965</v>
      </c>
      <c r="U146" s="1026">
        <v>0.27656720684271863</v>
      </c>
      <c r="V146" s="1018">
        <v>32.901000000000003</v>
      </c>
      <c r="W146" s="1018"/>
      <c r="X146" s="1018">
        <v>145</v>
      </c>
    </row>
    <row r="147" spans="1:24">
      <c r="A147" s="906">
        <v>146</v>
      </c>
      <c r="B147" s="906" t="s">
        <v>1671</v>
      </c>
      <c r="C147" s="906">
        <v>29189</v>
      </c>
      <c r="D147" s="906" t="s">
        <v>1256</v>
      </c>
      <c r="E147" s="906" t="s">
        <v>1258</v>
      </c>
      <c r="F147" s="1015"/>
      <c r="G147" s="1014"/>
      <c r="H147" s="1014"/>
      <c r="I147" s="1014"/>
      <c r="J147" s="1013"/>
      <c r="K147" s="1012"/>
      <c r="L147" s="1011"/>
      <c r="N147" s="1032" t="s">
        <v>1472</v>
      </c>
      <c r="O147" s="1031"/>
      <c r="P147" s="1030">
        <v>67</v>
      </c>
      <c r="Q147" s="1029">
        <v>67</v>
      </c>
      <c r="R147" s="1029">
        <v>71</v>
      </c>
      <c r="S147" s="1028">
        <v>71</v>
      </c>
      <c r="T147" s="1027">
        <v>33.030288913026958</v>
      </c>
      <c r="U147" s="1026">
        <v>0.26487182298263534</v>
      </c>
      <c r="V147" s="1018">
        <v>11.497999999999999</v>
      </c>
      <c r="W147" s="1018"/>
      <c r="X147" s="1018">
        <v>146</v>
      </c>
    </row>
    <row r="148" spans="1:24">
      <c r="A148" s="906">
        <v>147</v>
      </c>
      <c r="B148" s="906" t="s">
        <v>1670</v>
      </c>
      <c r="C148" s="906">
        <v>29188</v>
      </c>
      <c r="D148" s="906" t="s">
        <v>1256</v>
      </c>
      <c r="E148" s="906" t="s">
        <v>1259</v>
      </c>
      <c r="F148" s="1015">
        <f t="shared" ref="F148:L148" si="70">O84</f>
        <v>3.2411973850212182E-2</v>
      </c>
      <c r="G148" s="1014">
        <f t="shared" si="70"/>
        <v>70</v>
      </c>
      <c r="H148" s="1014">
        <f t="shared" si="70"/>
        <v>45</v>
      </c>
      <c r="I148" s="1014">
        <f t="shared" si="70"/>
        <v>80</v>
      </c>
      <c r="J148" s="1013">
        <f t="shared" si="70"/>
        <v>40</v>
      </c>
      <c r="K148" s="1012">
        <f t="shared" si="70"/>
        <v>31.777020942610172</v>
      </c>
      <c r="L148" s="1011">
        <f t="shared" si="70"/>
        <v>0.26890616850789434</v>
      </c>
      <c r="N148" s="1032" t="s">
        <v>1669</v>
      </c>
      <c r="O148" s="1031"/>
      <c r="P148" s="1034">
        <v>75</v>
      </c>
      <c r="Q148" s="1018">
        <v>53</v>
      </c>
      <c r="R148" s="1018">
        <v>85</v>
      </c>
      <c r="S148" s="1033">
        <v>47</v>
      </c>
      <c r="T148" s="1027">
        <v>34.118186758900578</v>
      </c>
      <c r="U148" s="1026">
        <v>0.19083493483106331</v>
      </c>
      <c r="V148" s="1018">
        <v>173.892</v>
      </c>
      <c r="W148" s="1018"/>
      <c r="X148" s="1018">
        <v>147</v>
      </c>
    </row>
    <row r="149" spans="1:24">
      <c r="A149" s="906">
        <v>148</v>
      </c>
      <c r="B149" s="906" t="s">
        <v>1668</v>
      </c>
      <c r="C149" s="906">
        <v>29189</v>
      </c>
      <c r="D149" s="906" t="s">
        <v>1256</v>
      </c>
      <c r="E149" s="906" t="s">
        <v>1258</v>
      </c>
      <c r="F149" s="1015"/>
      <c r="G149" s="1014"/>
      <c r="H149" s="1014"/>
      <c r="I149" s="1014"/>
      <c r="J149" s="1013"/>
      <c r="K149" s="1012"/>
      <c r="L149" s="1011"/>
      <c r="N149" s="1032" t="s">
        <v>1667</v>
      </c>
      <c r="O149" s="1031"/>
      <c r="P149" s="1030">
        <v>68</v>
      </c>
      <c r="Q149" s="1029">
        <v>40</v>
      </c>
      <c r="R149" s="1029">
        <v>70</v>
      </c>
      <c r="S149" s="1028">
        <v>37</v>
      </c>
      <c r="T149" s="1027" t="s">
        <v>842</v>
      </c>
      <c r="U149" s="1026">
        <v>0.23822738827421522</v>
      </c>
      <c r="V149" s="1018">
        <v>18.789349999999999</v>
      </c>
      <c r="W149" s="1018"/>
      <c r="X149" s="1018">
        <v>148</v>
      </c>
    </row>
    <row r="150" spans="1:24">
      <c r="A150" s="906">
        <v>149</v>
      </c>
      <c r="B150" s="906" t="s">
        <v>1666</v>
      </c>
      <c r="C150" s="906">
        <v>29189</v>
      </c>
      <c r="D150" s="906" t="s">
        <v>1256</v>
      </c>
      <c r="E150" s="906" t="s">
        <v>1259</v>
      </c>
      <c r="F150" s="1015"/>
      <c r="G150" s="1014"/>
      <c r="H150" s="1014"/>
      <c r="I150" s="1014"/>
      <c r="J150" s="1013"/>
      <c r="K150" s="1012"/>
      <c r="L150" s="1011"/>
      <c r="N150" s="1032" t="s">
        <v>1665</v>
      </c>
      <c r="O150" s="1031"/>
      <c r="P150" s="1030">
        <v>75</v>
      </c>
      <c r="Q150" s="1029">
        <v>52</v>
      </c>
      <c r="R150" s="1029">
        <v>80</v>
      </c>
      <c r="S150" s="1028">
        <v>45</v>
      </c>
      <c r="T150" s="1027" t="s">
        <v>842</v>
      </c>
      <c r="U150" s="1026">
        <v>0.25359712230215825</v>
      </c>
      <c r="V150" s="1018">
        <v>16.184999999999999</v>
      </c>
      <c r="W150" s="1018"/>
      <c r="X150" s="1018">
        <v>149</v>
      </c>
    </row>
    <row r="151" spans="1:24">
      <c r="A151" s="906">
        <v>150</v>
      </c>
      <c r="B151" s="906" t="s">
        <v>1664</v>
      </c>
      <c r="C151" s="906">
        <v>29189</v>
      </c>
      <c r="D151" s="906" t="s">
        <v>1256</v>
      </c>
      <c r="E151" s="906" t="s">
        <v>1258</v>
      </c>
      <c r="F151" s="1015">
        <f t="shared" ref="F151:L155" si="71">O85</f>
        <v>0</v>
      </c>
      <c r="G151" s="1014">
        <f t="shared" si="71"/>
        <v>68</v>
      </c>
      <c r="H151" s="1014">
        <f t="shared" si="71"/>
        <v>47</v>
      </c>
      <c r="I151" s="1014">
        <f t="shared" si="71"/>
        <v>75</v>
      </c>
      <c r="J151" s="1013">
        <f t="shared" si="71"/>
        <v>37</v>
      </c>
      <c r="K151" s="1012" t="str">
        <f t="shared" si="71"/>
        <v/>
      </c>
      <c r="L151" s="1011">
        <f t="shared" si="71"/>
        <v>0.25414852895132867</v>
      </c>
      <c r="N151" s="1032" t="s">
        <v>1663</v>
      </c>
      <c r="O151" s="1031"/>
      <c r="P151" s="1030">
        <v>69.13</v>
      </c>
      <c r="Q151" s="1029">
        <v>44.59</v>
      </c>
      <c r="R151" s="1029">
        <v>73.069999999999993</v>
      </c>
      <c r="S151" s="1028">
        <v>39.200000000000003</v>
      </c>
      <c r="T151" s="1027"/>
      <c r="U151" s="1026">
        <v>0.24214000347403161</v>
      </c>
      <c r="V151" s="1018">
        <v>78.534000000000006</v>
      </c>
      <c r="W151" s="1018"/>
      <c r="X151" s="1018">
        <v>150</v>
      </c>
    </row>
    <row r="152" spans="1:24">
      <c r="A152" s="906">
        <v>151</v>
      </c>
      <c r="B152" s="906" t="s">
        <v>1662</v>
      </c>
      <c r="C152" s="906">
        <v>29189</v>
      </c>
      <c r="D152" s="906" t="s">
        <v>1256</v>
      </c>
      <c r="E152" s="906" t="s">
        <v>1258</v>
      </c>
      <c r="F152" s="1015">
        <f t="shared" si="71"/>
        <v>1.0352179986765679E-2</v>
      </c>
      <c r="G152" s="1014">
        <f t="shared" si="71"/>
        <v>74</v>
      </c>
      <c r="H152" s="1014">
        <f t="shared" si="71"/>
        <v>39</v>
      </c>
      <c r="I152" s="1014">
        <f t="shared" si="71"/>
        <v>70</v>
      </c>
      <c r="J152" s="1013">
        <f t="shared" si="71"/>
        <v>37</v>
      </c>
      <c r="K152" s="1012">
        <f t="shared" si="71"/>
        <v>45.378171948085345</v>
      </c>
      <c r="L152" s="1011">
        <f t="shared" si="71"/>
        <v>0.27424555355789659</v>
      </c>
      <c r="N152" s="1032" t="s">
        <v>1661</v>
      </c>
      <c r="O152" s="1031">
        <v>3.2552457602759412E-2</v>
      </c>
      <c r="P152" s="1030">
        <v>71.3</v>
      </c>
      <c r="Q152" s="1029">
        <v>34.6</v>
      </c>
      <c r="R152" s="1029">
        <v>69.5</v>
      </c>
      <c r="S152" s="1028">
        <v>32.6</v>
      </c>
      <c r="T152" s="1027">
        <v>35.553078526925404</v>
      </c>
      <c r="U152" s="1026">
        <v>0.17525811483324669</v>
      </c>
      <c r="V152" s="1018">
        <v>22.207000000000001</v>
      </c>
      <c r="W152" s="1018"/>
      <c r="X152" s="1018">
        <v>151</v>
      </c>
    </row>
    <row r="153" spans="1:24">
      <c r="A153" s="906">
        <v>152</v>
      </c>
      <c r="B153" s="906" t="s">
        <v>1660</v>
      </c>
      <c r="C153" s="906">
        <v>29189</v>
      </c>
      <c r="D153" s="906" t="s">
        <v>1256</v>
      </c>
      <c r="E153" s="906" t="s">
        <v>1258</v>
      </c>
      <c r="F153" s="1015">
        <f t="shared" si="71"/>
        <v>0</v>
      </c>
      <c r="G153" s="1014">
        <f t="shared" si="71"/>
        <v>75</v>
      </c>
      <c r="H153" s="1014">
        <f t="shared" si="71"/>
        <v>42</v>
      </c>
      <c r="I153" s="1014">
        <f t="shared" si="71"/>
        <v>80</v>
      </c>
      <c r="J153" s="1013">
        <f t="shared" si="71"/>
        <v>37</v>
      </c>
      <c r="K153" s="1012" t="str">
        <f t="shared" si="71"/>
        <v/>
      </c>
      <c r="L153" s="1011">
        <f t="shared" si="71"/>
        <v>0.27379140817043196</v>
      </c>
      <c r="N153" s="1032" t="s">
        <v>1659</v>
      </c>
      <c r="O153" s="1031"/>
      <c r="P153" s="1030">
        <v>70</v>
      </c>
      <c r="Q153" s="1029">
        <v>40</v>
      </c>
      <c r="R153" s="1029">
        <v>74</v>
      </c>
      <c r="S153" s="1028">
        <v>36</v>
      </c>
      <c r="T153" s="1027">
        <v>30.217456453888268</v>
      </c>
      <c r="U153" s="1026">
        <v>0.24838776783856875</v>
      </c>
      <c r="V153" s="1018">
        <v>7.226</v>
      </c>
      <c r="W153" s="1018"/>
      <c r="X153" s="1018">
        <v>152</v>
      </c>
    </row>
    <row r="154" spans="1:24">
      <c r="A154" s="906">
        <v>153</v>
      </c>
      <c r="B154" s="906" t="s">
        <v>1658</v>
      </c>
      <c r="C154" s="906">
        <v>29189</v>
      </c>
      <c r="D154" s="906" t="s">
        <v>1257</v>
      </c>
      <c r="E154" s="906" t="s">
        <v>1258</v>
      </c>
      <c r="F154" s="1015">
        <f t="shared" si="71"/>
        <v>0</v>
      </c>
      <c r="G154" s="1014">
        <f t="shared" si="71"/>
        <v>75</v>
      </c>
      <c r="H154" s="1014">
        <f t="shared" si="71"/>
        <v>42</v>
      </c>
      <c r="I154" s="1014">
        <f t="shared" si="71"/>
        <v>80</v>
      </c>
      <c r="J154" s="1013">
        <f t="shared" si="71"/>
        <v>42</v>
      </c>
      <c r="K154" s="1012" t="str">
        <f t="shared" si="71"/>
        <v/>
      </c>
      <c r="L154" s="1011">
        <f t="shared" si="71"/>
        <v>0.19338545966684473</v>
      </c>
      <c r="N154" s="1032" t="s">
        <v>1657</v>
      </c>
      <c r="O154" s="1031"/>
      <c r="P154" s="1030">
        <v>65</v>
      </c>
      <c r="Q154" s="1029">
        <v>40</v>
      </c>
      <c r="R154" s="1029">
        <v>70</v>
      </c>
      <c r="S154" s="1028">
        <v>35</v>
      </c>
      <c r="T154" s="1027">
        <v>32.20957264957265</v>
      </c>
      <c r="U154" s="1026">
        <v>0.24167047010497489</v>
      </c>
      <c r="V154" s="1018">
        <v>9.9689999999999994</v>
      </c>
      <c r="W154" s="1018"/>
      <c r="X154" s="1018">
        <v>153</v>
      </c>
    </row>
    <row r="155" spans="1:24">
      <c r="A155" s="906">
        <v>154</v>
      </c>
      <c r="B155" s="906" t="s">
        <v>1656</v>
      </c>
      <c r="C155" s="906">
        <v>29189</v>
      </c>
      <c r="D155" s="906" t="s">
        <v>1256</v>
      </c>
      <c r="E155" s="906" t="s">
        <v>1258</v>
      </c>
      <c r="F155" s="1015">
        <f t="shared" si="71"/>
        <v>0</v>
      </c>
      <c r="G155" s="1014">
        <f t="shared" si="71"/>
        <v>68</v>
      </c>
      <c r="H155" s="1014">
        <f t="shared" si="71"/>
        <v>45</v>
      </c>
      <c r="I155" s="1014">
        <f t="shared" si="71"/>
        <v>76</v>
      </c>
      <c r="J155" s="1013">
        <f t="shared" si="71"/>
        <v>41</v>
      </c>
      <c r="K155" s="1012">
        <f t="shared" si="71"/>
        <v>33.24808408180693</v>
      </c>
      <c r="L155" s="1011">
        <f t="shared" si="71"/>
        <v>0.19381967805610387</v>
      </c>
      <c r="N155" s="1032" t="s">
        <v>1655</v>
      </c>
      <c r="O155" s="1031"/>
      <c r="P155" s="1030">
        <v>70</v>
      </c>
      <c r="Q155" s="1029">
        <v>40</v>
      </c>
      <c r="R155" s="1029">
        <v>77</v>
      </c>
      <c r="S155" s="1028">
        <v>36</v>
      </c>
      <c r="T155" s="1027"/>
      <c r="U155" s="1026">
        <v>0.24604347931460702</v>
      </c>
      <c r="V155" s="1018">
        <v>31.109000000000002</v>
      </c>
      <c r="W155" s="1018"/>
      <c r="X155" s="1018">
        <v>154</v>
      </c>
    </row>
    <row r="156" spans="1:24">
      <c r="A156" s="906">
        <v>155</v>
      </c>
      <c r="B156" s="906" t="s">
        <v>1652</v>
      </c>
      <c r="C156" s="906">
        <v>19501</v>
      </c>
      <c r="D156" s="906" t="s">
        <v>1257</v>
      </c>
      <c r="E156" s="906" t="s">
        <v>1259</v>
      </c>
      <c r="F156" s="1015"/>
      <c r="G156" s="1014"/>
      <c r="H156" s="1014"/>
      <c r="I156" s="1014"/>
      <c r="J156" s="1013"/>
      <c r="K156" s="1012"/>
      <c r="L156" s="1011"/>
      <c r="N156" s="1032" t="s">
        <v>1654</v>
      </c>
      <c r="O156" s="1031"/>
      <c r="P156" s="1030">
        <v>75</v>
      </c>
      <c r="Q156" s="1029">
        <v>38</v>
      </c>
      <c r="R156" s="1029">
        <v>84</v>
      </c>
      <c r="S156" s="1028">
        <v>40</v>
      </c>
      <c r="T156" s="1027" t="s">
        <v>842</v>
      </c>
      <c r="U156" s="1026">
        <v>0.30186201957507758</v>
      </c>
      <c r="V156" s="1018">
        <v>5.8490000000000002</v>
      </c>
      <c r="W156" s="1018"/>
      <c r="X156" s="1018">
        <v>155</v>
      </c>
    </row>
    <row r="157" spans="1:24">
      <c r="A157" s="906">
        <v>156</v>
      </c>
      <c r="B157" s="906" t="s">
        <v>1652</v>
      </c>
      <c r="C157" s="906">
        <v>29189</v>
      </c>
      <c r="D157" s="906" t="s">
        <v>1256</v>
      </c>
      <c r="E157" s="906" t="s">
        <v>1259</v>
      </c>
      <c r="F157" s="1015"/>
      <c r="G157" s="1014"/>
      <c r="H157" s="1014"/>
      <c r="I157" s="1014"/>
      <c r="J157" s="1013"/>
      <c r="K157" s="1012"/>
      <c r="L157" s="1011"/>
      <c r="N157" s="1032" t="s">
        <v>1653</v>
      </c>
      <c r="O157" s="1031"/>
      <c r="P157" s="1030">
        <v>75</v>
      </c>
      <c r="Q157" s="1029">
        <v>0</v>
      </c>
      <c r="R157" s="1029">
        <v>80</v>
      </c>
      <c r="S157" s="1028">
        <v>0</v>
      </c>
      <c r="T157" s="1027" t="s">
        <v>842</v>
      </c>
      <c r="U157" s="1026">
        <v>0.23113988857099835</v>
      </c>
      <c r="V157" s="1018">
        <v>15.318</v>
      </c>
      <c r="W157" s="1018"/>
      <c r="X157" s="1018">
        <v>156</v>
      </c>
    </row>
    <row r="158" spans="1:24">
      <c r="A158" s="906">
        <v>157</v>
      </c>
      <c r="B158" s="906" t="s">
        <v>1652</v>
      </c>
      <c r="C158" s="906">
        <v>29189</v>
      </c>
      <c r="D158" s="906" t="s">
        <v>1256</v>
      </c>
      <c r="E158" s="906" t="s">
        <v>1258</v>
      </c>
      <c r="F158" s="1015"/>
      <c r="G158" s="1014"/>
      <c r="H158" s="1014"/>
      <c r="I158" s="1014"/>
      <c r="J158" s="1013"/>
      <c r="K158" s="1012"/>
      <c r="L158" s="1011"/>
      <c r="N158" s="1032" t="s">
        <v>1651</v>
      </c>
      <c r="O158" s="1031"/>
      <c r="P158" s="1030">
        <v>74</v>
      </c>
      <c r="Q158" s="1029">
        <v>42</v>
      </c>
      <c r="R158" s="1029">
        <v>77</v>
      </c>
      <c r="S158" s="1028">
        <v>40</v>
      </c>
      <c r="T158" s="1027">
        <v>29.494048140043763</v>
      </c>
      <c r="U158" s="1026">
        <v>0.47068206469725005</v>
      </c>
      <c r="V158" s="1018">
        <v>8.2959999999999994</v>
      </c>
      <c r="W158" s="1018"/>
      <c r="X158" s="1018">
        <v>157</v>
      </c>
    </row>
    <row r="159" spans="1:24">
      <c r="A159" s="906">
        <v>158</v>
      </c>
      <c r="B159" s="906" t="s">
        <v>1650</v>
      </c>
      <c r="C159" s="906">
        <v>29189</v>
      </c>
      <c r="D159" s="906" t="s">
        <v>1256</v>
      </c>
      <c r="E159" s="906" t="s">
        <v>1258</v>
      </c>
      <c r="F159" s="1015">
        <f t="shared" ref="F159:L159" si="72">O90</f>
        <v>0</v>
      </c>
      <c r="G159" s="1014">
        <f t="shared" si="72"/>
        <v>72.900000000000006</v>
      </c>
      <c r="H159" s="1014">
        <f t="shared" si="72"/>
        <v>40.200000000000003</v>
      </c>
      <c r="I159" s="1014">
        <f t="shared" si="72"/>
        <v>80.099999999999994</v>
      </c>
      <c r="J159" s="1013">
        <f t="shared" si="72"/>
        <v>49.7</v>
      </c>
      <c r="K159" s="1012">
        <f t="shared" si="72"/>
        <v>40.717182043157479</v>
      </c>
      <c r="L159" s="1011">
        <f t="shared" si="72"/>
        <v>0.21341618305097992</v>
      </c>
      <c r="N159" s="1032" t="s">
        <v>1649</v>
      </c>
      <c r="O159" s="1031"/>
      <c r="P159" s="1030">
        <v>69</v>
      </c>
      <c r="Q159" s="1029">
        <v>69</v>
      </c>
      <c r="R159" s="1029">
        <v>75</v>
      </c>
      <c r="S159" s="1028">
        <v>75</v>
      </c>
      <c r="T159" s="1027" t="s">
        <v>842</v>
      </c>
      <c r="U159" s="1026"/>
      <c r="V159" s="1018" t="s">
        <v>842</v>
      </c>
      <c r="W159" s="1018"/>
      <c r="X159" s="1018">
        <v>158</v>
      </c>
    </row>
    <row r="160" spans="1:24">
      <c r="A160" s="906">
        <v>159</v>
      </c>
      <c r="B160" s="906" t="s">
        <v>1648</v>
      </c>
      <c r="C160" s="906">
        <v>29188</v>
      </c>
      <c r="D160" s="906" t="s">
        <v>1256</v>
      </c>
      <c r="E160" s="906" t="s">
        <v>1259</v>
      </c>
      <c r="F160" s="1015"/>
      <c r="G160" s="1014"/>
      <c r="H160" s="1014"/>
      <c r="I160" s="1014"/>
      <c r="J160" s="1013"/>
      <c r="K160" s="1012"/>
      <c r="L160" s="1011"/>
      <c r="N160" s="1038" t="s">
        <v>1647</v>
      </c>
      <c r="O160" s="1037">
        <v>6.3045178780834099E-2</v>
      </c>
      <c r="P160" s="1036">
        <v>68</v>
      </c>
      <c r="Q160" s="1014">
        <v>39</v>
      </c>
      <c r="R160" s="1014">
        <v>70</v>
      </c>
      <c r="S160" s="1013">
        <v>37</v>
      </c>
      <c r="T160" s="1012">
        <v>34.619867704569735</v>
      </c>
      <c r="U160" s="1035">
        <v>0.18063503242656337</v>
      </c>
      <c r="V160" s="906">
        <v>55.843000000000004</v>
      </c>
      <c r="X160" s="906">
        <v>159</v>
      </c>
    </row>
    <row r="161" spans="1:24">
      <c r="A161" s="906">
        <v>160</v>
      </c>
      <c r="B161" s="906" t="s">
        <v>1646</v>
      </c>
      <c r="C161" s="906">
        <v>55133</v>
      </c>
      <c r="D161" s="906" t="s">
        <v>1257</v>
      </c>
      <c r="E161" s="906" t="s">
        <v>1258</v>
      </c>
      <c r="F161" s="1015">
        <f t="shared" ref="F161:L161" si="73">O92</f>
        <v>0</v>
      </c>
      <c r="G161" s="1014">
        <f t="shared" si="73"/>
        <v>67</v>
      </c>
      <c r="H161" s="1014">
        <f t="shared" si="73"/>
        <v>47</v>
      </c>
      <c r="I161" s="1014">
        <f t="shared" si="73"/>
        <v>71</v>
      </c>
      <c r="J161" s="1013">
        <f t="shared" si="73"/>
        <v>42</v>
      </c>
      <c r="K161" s="1012">
        <f t="shared" si="73"/>
        <v>32.374826091609592</v>
      </c>
      <c r="L161" s="1011">
        <f t="shared" si="73"/>
        <v>0.27105062099109822</v>
      </c>
      <c r="N161" s="1032" t="s">
        <v>1645</v>
      </c>
      <c r="O161" s="1031"/>
      <c r="P161" s="1030">
        <v>69</v>
      </c>
      <c r="Q161" s="1029">
        <v>42</v>
      </c>
      <c r="R161" s="1029">
        <v>79</v>
      </c>
      <c r="S161" s="1028">
        <v>40</v>
      </c>
      <c r="T161" s="1027">
        <v>31.922208718287816</v>
      </c>
      <c r="U161" s="1026">
        <v>0.25570625535959229</v>
      </c>
      <c r="V161" s="1018">
        <v>44.872800000000005</v>
      </c>
      <c r="W161" s="1018"/>
      <c r="X161" s="1018">
        <v>160</v>
      </c>
    </row>
    <row r="162" spans="1:24" ht="16">
      <c r="A162" s="906">
        <v>161</v>
      </c>
      <c r="B162" s="906" t="s">
        <v>1644</v>
      </c>
      <c r="C162" s="906">
        <v>29189</v>
      </c>
      <c r="D162" s="906" t="s">
        <v>1256</v>
      </c>
      <c r="E162" s="906" t="s">
        <v>1258</v>
      </c>
      <c r="F162" s="1015">
        <f t="shared" ref="F162:K162" si="74">O93</f>
        <v>0</v>
      </c>
      <c r="G162" s="1014">
        <f t="shared" si="74"/>
        <v>71</v>
      </c>
      <c r="H162" s="1014">
        <f t="shared" si="74"/>
        <v>41</v>
      </c>
      <c r="I162" s="1014">
        <f t="shared" si="74"/>
        <v>73</v>
      </c>
      <c r="J162" s="1013">
        <f t="shared" si="74"/>
        <v>38</v>
      </c>
      <c r="K162" s="1012" t="str">
        <f t="shared" si="74"/>
        <v/>
      </c>
      <c r="L162" s="1016">
        <v>0.22800028617798151</v>
      </c>
      <c r="N162" s="1032" t="s">
        <v>1643</v>
      </c>
      <c r="O162" s="1031">
        <v>6.5034355946966028E-3</v>
      </c>
      <c r="P162" s="1030">
        <v>67</v>
      </c>
      <c r="Q162" s="1029">
        <v>39</v>
      </c>
      <c r="R162" s="1029">
        <v>67</v>
      </c>
      <c r="S162" s="1028">
        <v>35</v>
      </c>
      <c r="T162" s="1027" t="s">
        <v>842</v>
      </c>
      <c r="U162" s="1026">
        <v>0.25355062440335874</v>
      </c>
      <c r="V162" s="1018">
        <v>76.629000000000005</v>
      </c>
      <c r="W162" s="1018"/>
      <c r="X162" s="1018">
        <v>161</v>
      </c>
    </row>
    <row r="163" spans="1:24" ht="16">
      <c r="A163" s="906">
        <v>162</v>
      </c>
      <c r="B163" s="906" t="s">
        <v>1642</v>
      </c>
      <c r="C163" s="906">
        <v>64502</v>
      </c>
      <c r="D163" s="906" t="s">
        <v>1256</v>
      </c>
      <c r="E163" s="906" t="s">
        <v>1259</v>
      </c>
      <c r="F163" s="1015">
        <f t="shared" ref="F163:K166" si="75">O95</f>
        <v>0</v>
      </c>
      <c r="G163" s="1014">
        <f t="shared" si="75"/>
        <v>75</v>
      </c>
      <c r="H163" s="1014">
        <f t="shared" si="75"/>
        <v>0</v>
      </c>
      <c r="I163" s="1014">
        <f t="shared" si="75"/>
        <v>90</v>
      </c>
      <c r="J163" s="1013">
        <f t="shared" si="75"/>
        <v>0</v>
      </c>
      <c r="K163" s="1012" t="str">
        <f t="shared" si="75"/>
        <v/>
      </c>
      <c r="L163" s="1016">
        <v>0.22800028617798151</v>
      </c>
      <c r="N163" s="1032" t="s">
        <v>1641</v>
      </c>
      <c r="O163" s="1031"/>
      <c r="P163" s="1030">
        <v>75</v>
      </c>
      <c r="Q163" s="1029">
        <v>45</v>
      </c>
      <c r="R163" s="1029">
        <v>85</v>
      </c>
      <c r="S163" s="1028">
        <v>48</v>
      </c>
      <c r="T163" s="1027"/>
      <c r="U163" s="1026">
        <v>0.18813899613899615</v>
      </c>
      <c r="V163" s="1018">
        <v>105.136</v>
      </c>
      <c r="W163" s="1018"/>
      <c r="X163" s="1018">
        <v>162</v>
      </c>
    </row>
    <row r="164" spans="1:24" ht="16">
      <c r="A164" s="906">
        <v>163</v>
      </c>
      <c r="B164" s="906" t="s">
        <v>1640</v>
      </c>
      <c r="C164" s="906">
        <v>29189</v>
      </c>
      <c r="D164" s="906" t="s">
        <v>1257</v>
      </c>
      <c r="E164" s="906" t="s">
        <v>1258</v>
      </c>
      <c r="F164" s="1015">
        <f t="shared" si="75"/>
        <v>0</v>
      </c>
      <c r="G164" s="1014">
        <f t="shared" si="75"/>
        <v>66</v>
      </c>
      <c r="H164" s="1014">
        <f t="shared" si="75"/>
        <v>38</v>
      </c>
      <c r="I164" s="1014">
        <f t="shared" si="75"/>
        <v>80</v>
      </c>
      <c r="J164" s="1013">
        <f t="shared" si="75"/>
        <v>36</v>
      </c>
      <c r="K164" s="1012" t="str">
        <f t="shared" si="75"/>
        <v/>
      </c>
      <c r="L164" s="1016">
        <v>0.17374718282373314</v>
      </c>
      <c r="N164" s="1032" t="s">
        <v>1639</v>
      </c>
      <c r="O164" s="1031"/>
      <c r="P164" s="1030">
        <v>84</v>
      </c>
      <c r="Q164" s="1029">
        <v>40</v>
      </c>
      <c r="R164" s="1029">
        <v>82</v>
      </c>
      <c r="S164" s="1028">
        <v>36</v>
      </c>
      <c r="T164" s="1027" t="s">
        <v>842</v>
      </c>
      <c r="U164" s="1026">
        <v>0.34889287851585876</v>
      </c>
      <c r="V164" s="1018">
        <v>2.1760000000000002</v>
      </c>
      <c r="W164" s="1018"/>
      <c r="X164" s="1018">
        <v>163</v>
      </c>
    </row>
    <row r="165" spans="1:24" ht="16">
      <c r="A165" s="906">
        <v>164</v>
      </c>
      <c r="B165" s="906" t="s">
        <v>1638</v>
      </c>
      <c r="C165" s="906">
        <v>29189</v>
      </c>
      <c r="D165" s="906" t="s">
        <v>1256</v>
      </c>
      <c r="E165" s="906" t="s">
        <v>1258</v>
      </c>
      <c r="F165" s="1015">
        <f t="shared" si="75"/>
        <v>0</v>
      </c>
      <c r="G165" s="1014">
        <f t="shared" si="75"/>
        <v>67</v>
      </c>
      <c r="H165" s="1014">
        <f t="shared" si="75"/>
        <v>48</v>
      </c>
      <c r="I165" s="1014">
        <f t="shared" si="75"/>
        <v>69</v>
      </c>
      <c r="J165" s="1013">
        <f t="shared" si="75"/>
        <v>42</v>
      </c>
      <c r="K165" s="1012">
        <f t="shared" si="75"/>
        <v>24.980858148348673</v>
      </c>
      <c r="L165" s="1041">
        <f>U97</f>
        <v>0.1265196059700936</v>
      </c>
      <c r="N165" s="1032" t="s">
        <v>1442</v>
      </c>
      <c r="O165" s="1031"/>
      <c r="P165" s="1030">
        <v>76</v>
      </c>
      <c r="Q165" s="1029">
        <v>48</v>
      </c>
      <c r="R165" s="1029">
        <v>77</v>
      </c>
      <c r="S165" s="1028">
        <v>46</v>
      </c>
      <c r="T165" s="1027">
        <v>30.891617926391213</v>
      </c>
      <c r="U165" s="1026">
        <v>0.19897859012715033</v>
      </c>
      <c r="V165" s="1018">
        <v>342.709</v>
      </c>
      <c r="W165" s="1018"/>
      <c r="X165" s="1018">
        <v>164</v>
      </c>
    </row>
    <row r="166" spans="1:24">
      <c r="A166" s="906">
        <v>165</v>
      </c>
      <c r="B166" s="906" t="s">
        <v>1637</v>
      </c>
      <c r="C166" s="906">
        <v>29189</v>
      </c>
      <c r="D166" s="906" t="s">
        <v>1256</v>
      </c>
      <c r="E166" s="906" t="s">
        <v>1258</v>
      </c>
      <c r="F166" s="1015">
        <f t="shared" si="75"/>
        <v>3.4891220672580145E-2</v>
      </c>
      <c r="G166" s="1014">
        <f t="shared" si="75"/>
        <v>69</v>
      </c>
      <c r="H166" s="1014">
        <f t="shared" si="75"/>
        <v>39</v>
      </c>
      <c r="I166" s="1014">
        <f t="shared" si="75"/>
        <v>70</v>
      </c>
      <c r="J166" s="1013">
        <f t="shared" si="75"/>
        <v>35</v>
      </c>
      <c r="K166" s="1012">
        <f t="shared" si="75"/>
        <v>30.593606605570255</v>
      </c>
      <c r="L166" s="1011">
        <f>U98</f>
        <v>0.27331848232250644</v>
      </c>
      <c r="N166" s="1038" t="s">
        <v>1636</v>
      </c>
      <c r="O166" s="1037"/>
      <c r="P166" s="1036">
        <v>69</v>
      </c>
      <c r="Q166" s="1014">
        <v>44</v>
      </c>
      <c r="R166" s="1014">
        <v>69</v>
      </c>
      <c r="S166" s="1013">
        <v>40</v>
      </c>
      <c r="T166" s="1012">
        <v>27.059326758843259</v>
      </c>
      <c r="U166" s="1035">
        <v>0.17438589911869493</v>
      </c>
      <c r="V166" s="906">
        <v>8.8059999999999992</v>
      </c>
      <c r="X166" s="906">
        <v>165</v>
      </c>
    </row>
    <row r="167" spans="1:24">
      <c r="A167" s="906">
        <v>166</v>
      </c>
      <c r="B167" s="906" t="s">
        <v>1635</v>
      </c>
      <c r="C167" s="906">
        <v>29188</v>
      </c>
      <c r="D167" s="906" t="s">
        <v>1256</v>
      </c>
      <c r="E167" s="906" t="s">
        <v>1259</v>
      </c>
      <c r="F167" s="1015"/>
      <c r="G167" s="1014"/>
      <c r="H167" s="1014"/>
      <c r="I167" s="1014"/>
      <c r="J167" s="1013"/>
      <c r="K167" s="1012"/>
      <c r="L167" s="1011"/>
      <c r="N167" s="1038" t="s">
        <v>1634</v>
      </c>
      <c r="O167" s="1037"/>
      <c r="P167" s="1036">
        <v>73</v>
      </c>
      <c r="Q167" s="1014">
        <v>47</v>
      </c>
      <c r="R167" s="1014">
        <v>75</v>
      </c>
      <c r="S167" s="1013">
        <v>44</v>
      </c>
      <c r="T167" s="1012">
        <v>29.46588670296757</v>
      </c>
      <c r="U167" s="1035">
        <v>0.21280308596620132</v>
      </c>
      <c r="V167" s="906">
        <v>119.994</v>
      </c>
      <c r="X167" s="906">
        <v>166</v>
      </c>
    </row>
    <row r="168" spans="1:24">
      <c r="A168" s="906">
        <v>167</v>
      </c>
      <c r="B168" s="906" t="s">
        <v>1633</v>
      </c>
      <c r="C168" s="906">
        <v>32264</v>
      </c>
      <c r="D168" s="906" t="s">
        <v>1256</v>
      </c>
      <c r="E168" s="906" t="s">
        <v>1258</v>
      </c>
      <c r="F168" s="1015"/>
      <c r="G168" s="1014"/>
      <c r="H168" s="1014"/>
      <c r="I168" s="1014"/>
      <c r="J168" s="1013"/>
      <c r="K168" s="1012"/>
      <c r="L168" s="1011"/>
      <c r="N168" s="1032" t="s">
        <v>1632</v>
      </c>
      <c r="O168" s="1031"/>
      <c r="P168" s="1030">
        <v>66</v>
      </c>
      <c r="Q168" s="1029">
        <v>0</v>
      </c>
      <c r="R168" s="1029">
        <v>72</v>
      </c>
      <c r="S168" s="1028">
        <v>0</v>
      </c>
      <c r="T168" s="1027" t="s">
        <v>842</v>
      </c>
      <c r="U168" s="1026">
        <v>0.22408497568466854</v>
      </c>
      <c r="V168" s="1018">
        <v>42.441000000000003</v>
      </c>
      <c r="W168" s="1018"/>
      <c r="X168" s="1018">
        <v>167</v>
      </c>
    </row>
    <row r="169" spans="1:24">
      <c r="A169" s="906">
        <v>168</v>
      </c>
      <c r="B169" s="906" t="s">
        <v>1631</v>
      </c>
      <c r="C169" s="906">
        <v>29188</v>
      </c>
      <c r="D169" s="906" t="s">
        <v>1256</v>
      </c>
      <c r="E169" s="906" t="s">
        <v>1259</v>
      </c>
      <c r="F169" s="1015"/>
      <c r="G169" s="1014"/>
      <c r="H169" s="1014"/>
      <c r="I169" s="1014"/>
      <c r="J169" s="1013"/>
      <c r="K169" s="1012"/>
      <c r="L169" s="1011"/>
      <c r="N169" s="1032" t="s">
        <v>1630</v>
      </c>
      <c r="O169" s="1031"/>
      <c r="P169" s="1030">
        <v>70</v>
      </c>
      <c r="Q169" s="1029">
        <v>38</v>
      </c>
      <c r="R169" s="1029">
        <v>75</v>
      </c>
      <c r="S169" s="1028">
        <v>38</v>
      </c>
      <c r="T169" s="1027" t="s">
        <v>842</v>
      </c>
      <c r="U169" s="1026">
        <v>0.31825006729629263</v>
      </c>
      <c r="V169" s="1018">
        <v>5.9517110000000004</v>
      </c>
      <c r="W169" s="1018"/>
      <c r="X169" s="1018">
        <v>168</v>
      </c>
    </row>
    <row r="170" spans="1:24">
      <c r="A170" s="906">
        <v>169</v>
      </c>
      <c r="B170" s="906" t="s">
        <v>1629</v>
      </c>
      <c r="C170" s="906">
        <v>29189</v>
      </c>
      <c r="D170" s="906" t="s">
        <v>1256</v>
      </c>
      <c r="E170" s="906" t="s">
        <v>1258</v>
      </c>
      <c r="F170" s="1015">
        <f t="shared" ref="F170:L170" si="76">O99</f>
        <v>0</v>
      </c>
      <c r="G170" s="1014">
        <f t="shared" si="76"/>
        <v>70</v>
      </c>
      <c r="H170" s="1014">
        <f t="shared" si="76"/>
        <v>42</v>
      </c>
      <c r="I170" s="1014">
        <f t="shared" si="76"/>
        <v>70</v>
      </c>
      <c r="J170" s="1013">
        <f t="shared" si="76"/>
        <v>38</v>
      </c>
      <c r="K170" s="1012" t="str">
        <f t="shared" si="76"/>
        <v/>
      </c>
      <c r="L170" s="1011">
        <f t="shared" si="76"/>
        <v>0.23610619469026548</v>
      </c>
      <c r="N170" s="1032" t="s">
        <v>1628</v>
      </c>
      <c r="O170" s="1031"/>
      <c r="P170" s="1030">
        <v>70</v>
      </c>
      <c r="Q170" s="1029">
        <v>40</v>
      </c>
      <c r="R170" s="1029">
        <v>70</v>
      </c>
      <c r="S170" s="1028">
        <v>40</v>
      </c>
      <c r="T170" s="1027" t="s">
        <v>842</v>
      </c>
      <c r="U170" s="1026">
        <v>0.27653055540081334</v>
      </c>
      <c r="V170" s="1018">
        <v>12.987</v>
      </c>
      <c r="W170" s="1018"/>
      <c r="X170" s="1018">
        <v>169</v>
      </c>
    </row>
    <row r="171" spans="1:24">
      <c r="A171" s="906">
        <v>170</v>
      </c>
      <c r="B171" s="906" t="s">
        <v>1627</v>
      </c>
      <c r="C171" s="906">
        <v>29188</v>
      </c>
      <c r="D171" s="906" t="s">
        <v>1256</v>
      </c>
      <c r="E171" s="906" t="s">
        <v>1259</v>
      </c>
      <c r="F171" s="1015">
        <f t="shared" ref="F171:L171" si="77">O101</f>
        <v>0</v>
      </c>
      <c r="G171" s="1014">
        <f t="shared" si="77"/>
        <v>72</v>
      </c>
      <c r="H171" s="1014">
        <f t="shared" si="77"/>
        <v>45</v>
      </c>
      <c r="I171" s="1014">
        <f t="shared" si="77"/>
        <v>80</v>
      </c>
      <c r="J171" s="1013">
        <f t="shared" si="77"/>
        <v>42</v>
      </c>
      <c r="K171" s="1012">
        <f t="shared" si="77"/>
        <v>0</v>
      </c>
      <c r="L171" s="1011">
        <f t="shared" si="77"/>
        <v>0.28730906781643772</v>
      </c>
      <c r="N171" s="1032" t="s">
        <v>1626</v>
      </c>
      <c r="O171" s="1031"/>
      <c r="P171" s="1034">
        <v>68</v>
      </c>
      <c r="Q171" s="1018">
        <v>43</v>
      </c>
      <c r="R171" s="1018">
        <v>72</v>
      </c>
      <c r="S171" s="1033">
        <v>39</v>
      </c>
      <c r="T171" s="1027" t="s">
        <v>842</v>
      </c>
      <c r="U171" s="1026">
        <v>0.4113171659533999</v>
      </c>
      <c r="V171" s="1018">
        <v>3.714</v>
      </c>
      <c r="W171" s="1018"/>
      <c r="X171" s="1018">
        <v>170</v>
      </c>
    </row>
    <row r="172" spans="1:24">
      <c r="A172" s="906">
        <v>171</v>
      </c>
      <c r="B172" s="906" t="s">
        <v>1625</v>
      </c>
      <c r="C172" s="906">
        <v>29189</v>
      </c>
      <c r="D172" s="906" t="s">
        <v>1256</v>
      </c>
      <c r="E172" s="906" t="s">
        <v>1258</v>
      </c>
      <c r="F172" s="1015"/>
      <c r="G172" s="1014"/>
      <c r="H172" s="1014"/>
      <c r="I172" s="1014"/>
      <c r="J172" s="1013"/>
      <c r="K172" s="1012"/>
      <c r="L172" s="1011"/>
      <c r="N172" s="1032" t="s">
        <v>1624</v>
      </c>
      <c r="O172" s="1031">
        <v>4.1460488828909882E-2</v>
      </c>
      <c r="P172" s="1030">
        <v>75</v>
      </c>
      <c r="Q172" s="1029">
        <v>52</v>
      </c>
      <c r="R172" s="1029">
        <v>80</v>
      </c>
      <c r="S172" s="1028">
        <v>45</v>
      </c>
      <c r="T172" s="1027">
        <v>33.037664698547196</v>
      </c>
      <c r="U172" s="1026">
        <v>0.28146265154477906</v>
      </c>
      <c r="V172" s="1018">
        <v>18.373000000000001</v>
      </c>
      <c r="W172" s="1018"/>
      <c r="X172" s="1018">
        <v>171</v>
      </c>
    </row>
    <row r="173" spans="1:24">
      <c r="A173" s="906">
        <v>172</v>
      </c>
      <c r="B173" s="906" t="s">
        <v>1623</v>
      </c>
      <c r="C173" s="906">
        <v>29189</v>
      </c>
      <c r="D173" s="906" t="s">
        <v>1256</v>
      </c>
      <c r="E173" s="906" t="s">
        <v>1258</v>
      </c>
      <c r="F173" s="1015">
        <f t="shared" ref="F173:L175" si="78">O102</f>
        <v>0</v>
      </c>
      <c r="G173" s="1014">
        <f t="shared" si="78"/>
        <v>74.3</v>
      </c>
      <c r="H173" s="1014">
        <f t="shared" si="78"/>
        <v>37.5</v>
      </c>
      <c r="I173" s="1014">
        <f t="shared" si="78"/>
        <v>75.5</v>
      </c>
      <c r="J173" s="1013">
        <f t="shared" si="78"/>
        <v>34.5</v>
      </c>
      <c r="K173" s="1012" t="str">
        <f t="shared" si="78"/>
        <v/>
      </c>
      <c r="L173" s="1011">
        <f t="shared" si="78"/>
        <v>0.26546329054096318</v>
      </c>
      <c r="N173" s="1032" t="s">
        <v>1622</v>
      </c>
      <c r="O173" s="1031"/>
      <c r="P173" s="1030">
        <v>78</v>
      </c>
      <c r="Q173" s="1029">
        <v>49</v>
      </c>
      <c r="R173" s="1029">
        <v>86</v>
      </c>
      <c r="S173" s="1028">
        <v>46</v>
      </c>
      <c r="T173" s="1027">
        <v>28.562707285434296</v>
      </c>
      <c r="U173" s="1026">
        <v>0.23777803861728974</v>
      </c>
      <c r="V173" s="1018">
        <v>25.975000000000001</v>
      </c>
      <c r="W173" s="1018"/>
      <c r="X173" s="1018">
        <v>172</v>
      </c>
    </row>
    <row r="174" spans="1:24">
      <c r="A174" s="906">
        <v>173</v>
      </c>
      <c r="B174" s="906" t="s">
        <v>1621</v>
      </c>
      <c r="C174" s="906">
        <v>29189</v>
      </c>
      <c r="D174" s="906" t="s">
        <v>1256</v>
      </c>
      <c r="E174" s="906" t="s">
        <v>1258</v>
      </c>
      <c r="F174" s="1015">
        <f t="shared" si="78"/>
        <v>4.198931344086293E-2</v>
      </c>
      <c r="G174" s="1014">
        <f t="shared" si="78"/>
        <v>70</v>
      </c>
      <c r="H174" s="1014">
        <f t="shared" si="78"/>
        <v>40</v>
      </c>
      <c r="I174" s="1014">
        <f t="shared" si="78"/>
        <v>80</v>
      </c>
      <c r="J174" s="1013">
        <f t="shared" si="78"/>
        <v>39</v>
      </c>
      <c r="K174" s="1012">
        <f t="shared" si="78"/>
        <v>31.889129498295652</v>
      </c>
      <c r="L174" s="1011">
        <f t="shared" si="78"/>
        <v>0.31770808967621539</v>
      </c>
      <c r="N174" s="1032" t="s">
        <v>1433</v>
      </c>
      <c r="O174" s="1031"/>
      <c r="P174" s="1030">
        <v>77</v>
      </c>
      <c r="Q174" s="1029">
        <v>39</v>
      </c>
      <c r="R174" s="1029">
        <v>77</v>
      </c>
      <c r="S174" s="1028">
        <v>39</v>
      </c>
      <c r="T174" s="1027">
        <v>37.862868754626078</v>
      </c>
      <c r="U174" s="1026">
        <v>4.7737212692701383E-2</v>
      </c>
      <c r="V174" s="1018">
        <v>30.7</v>
      </c>
      <c r="W174" s="1018"/>
      <c r="X174" s="1018">
        <v>173</v>
      </c>
    </row>
    <row r="175" spans="1:24">
      <c r="A175" s="906">
        <v>174</v>
      </c>
      <c r="B175" s="906" t="s">
        <v>1619</v>
      </c>
      <c r="C175" s="906">
        <v>29189</v>
      </c>
      <c r="D175" s="906" t="s">
        <v>1257</v>
      </c>
      <c r="E175" s="906" t="s">
        <v>1259</v>
      </c>
      <c r="F175" s="1015">
        <f t="shared" si="78"/>
        <v>0</v>
      </c>
      <c r="G175" s="1014">
        <f t="shared" si="78"/>
        <v>74</v>
      </c>
      <c r="H175" s="1014">
        <f t="shared" si="78"/>
        <v>48</v>
      </c>
      <c r="I175" s="1014">
        <f t="shared" si="78"/>
        <v>88</v>
      </c>
      <c r="J175" s="1013">
        <f t="shared" si="78"/>
        <v>42</v>
      </c>
      <c r="K175" s="1012">
        <f t="shared" si="78"/>
        <v>31.018432008135505</v>
      </c>
      <c r="L175" s="1011">
        <f t="shared" si="78"/>
        <v>0.3725274241155998</v>
      </c>
      <c r="N175" s="1032" t="s">
        <v>1620</v>
      </c>
      <c r="O175" s="1031"/>
      <c r="P175" s="1030">
        <v>65</v>
      </c>
      <c r="Q175" s="1029">
        <v>41</v>
      </c>
      <c r="R175" s="1029">
        <v>75</v>
      </c>
      <c r="S175" s="1028">
        <v>32</v>
      </c>
      <c r="T175" s="1027" t="s">
        <v>842</v>
      </c>
      <c r="U175" s="1026">
        <v>0.25466067349495247</v>
      </c>
      <c r="V175" s="1018">
        <v>10.115</v>
      </c>
      <c r="W175" s="1018"/>
      <c r="X175" s="1018">
        <v>174</v>
      </c>
    </row>
    <row r="176" spans="1:24">
      <c r="A176" s="906">
        <v>175</v>
      </c>
      <c r="B176" s="906" t="s">
        <v>1619</v>
      </c>
      <c r="C176" s="906">
        <v>29189</v>
      </c>
      <c r="D176" s="906" t="s">
        <v>1256</v>
      </c>
      <c r="E176" s="906" t="s">
        <v>1259</v>
      </c>
      <c r="F176" s="1015">
        <f t="shared" ref="F176:L176" si="79">F175</f>
        <v>0</v>
      </c>
      <c r="G176" s="1014">
        <f t="shared" si="79"/>
        <v>74</v>
      </c>
      <c r="H176" s="1014">
        <f t="shared" si="79"/>
        <v>48</v>
      </c>
      <c r="I176" s="1014">
        <f t="shared" si="79"/>
        <v>88</v>
      </c>
      <c r="J176" s="1013">
        <f t="shared" si="79"/>
        <v>42</v>
      </c>
      <c r="K176" s="1012">
        <f t="shared" si="79"/>
        <v>31.018432008135505</v>
      </c>
      <c r="L176" s="1011">
        <f t="shared" si="79"/>
        <v>0.3725274241155998</v>
      </c>
      <c r="N176" s="1032" t="s">
        <v>1618</v>
      </c>
      <c r="O176" s="1031"/>
      <c r="P176" s="1030">
        <v>70.2</v>
      </c>
      <c r="Q176" s="1029">
        <v>47.3</v>
      </c>
      <c r="R176" s="1029">
        <v>75.900000000000006</v>
      </c>
      <c r="S176" s="1028">
        <v>46.7</v>
      </c>
      <c r="T176" s="1027">
        <v>26.803716840015852</v>
      </c>
      <c r="U176" s="1026">
        <v>7.0796840732193278E-2</v>
      </c>
      <c r="V176" s="1018">
        <v>129.648</v>
      </c>
      <c r="W176" s="1018"/>
      <c r="X176" s="1018">
        <v>175</v>
      </c>
    </row>
    <row r="177" spans="1:24">
      <c r="A177" s="906">
        <v>176</v>
      </c>
      <c r="B177" s="906" t="s">
        <v>1616</v>
      </c>
      <c r="C177" s="906">
        <v>55606</v>
      </c>
      <c r="D177" s="906" t="s">
        <v>1257</v>
      </c>
      <c r="E177" s="906" t="s">
        <v>1259</v>
      </c>
      <c r="F177" s="1015">
        <f t="shared" ref="F177:L177" si="80">O105</f>
        <v>0</v>
      </c>
      <c r="G177" s="1014">
        <f t="shared" si="80"/>
        <v>80</v>
      </c>
      <c r="H177" s="1014">
        <f t="shared" si="80"/>
        <v>45</v>
      </c>
      <c r="I177" s="1014">
        <f t="shared" si="80"/>
        <v>85</v>
      </c>
      <c r="J177" s="1013">
        <f t="shared" si="80"/>
        <v>45</v>
      </c>
      <c r="K177" s="1012" t="str">
        <f t="shared" si="80"/>
        <v/>
      </c>
      <c r="L177" s="1011">
        <f t="shared" si="80"/>
        <v>0.10795193210896252</v>
      </c>
      <c r="N177" s="1032" t="s">
        <v>1617</v>
      </c>
      <c r="O177" s="1031"/>
      <c r="P177" s="1030">
        <v>73</v>
      </c>
      <c r="Q177" s="1029">
        <v>46</v>
      </c>
      <c r="R177" s="1029">
        <v>78</v>
      </c>
      <c r="S177" s="1028">
        <v>46</v>
      </c>
      <c r="T177" s="1027" t="s">
        <v>842</v>
      </c>
      <c r="U177" s="1026">
        <v>0.27856629710890629</v>
      </c>
      <c r="V177" s="1018">
        <v>37.155999999999999</v>
      </c>
      <c r="W177" s="1018"/>
      <c r="X177" s="1018">
        <v>176</v>
      </c>
    </row>
    <row r="178" spans="1:24">
      <c r="A178" s="906">
        <v>177</v>
      </c>
      <c r="B178" s="906" t="s">
        <v>1616</v>
      </c>
      <c r="C178" s="906">
        <v>55606</v>
      </c>
      <c r="D178" s="906" t="s">
        <v>1256</v>
      </c>
      <c r="E178" s="906" t="s">
        <v>1259</v>
      </c>
      <c r="F178" s="1015">
        <f t="shared" ref="F178:L178" si="81">F177</f>
        <v>0</v>
      </c>
      <c r="G178" s="1014">
        <f t="shared" si="81"/>
        <v>80</v>
      </c>
      <c r="H178" s="1014">
        <f t="shared" si="81"/>
        <v>45</v>
      </c>
      <c r="I178" s="1014">
        <f t="shared" si="81"/>
        <v>85</v>
      </c>
      <c r="J178" s="1013">
        <f t="shared" si="81"/>
        <v>45</v>
      </c>
      <c r="K178" s="1012" t="str">
        <f t="shared" si="81"/>
        <v/>
      </c>
      <c r="L178" s="1011">
        <f t="shared" si="81"/>
        <v>0.10795193210896252</v>
      </c>
      <c r="N178" s="1032" t="s">
        <v>1615</v>
      </c>
      <c r="O178" s="1031"/>
      <c r="P178" s="1030">
        <v>72</v>
      </c>
      <c r="Q178" s="1029">
        <v>35</v>
      </c>
      <c r="R178" s="1029">
        <v>75</v>
      </c>
      <c r="S178" s="1028">
        <v>35</v>
      </c>
      <c r="T178" s="1027">
        <v>33.511714440642471</v>
      </c>
      <c r="U178" s="1026">
        <v>0.22924664107485604</v>
      </c>
      <c r="V178" s="1018">
        <v>6.4249999999999998</v>
      </c>
      <c r="W178" s="1018"/>
      <c r="X178" s="1018">
        <v>177</v>
      </c>
    </row>
    <row r="179" spans="1:24">
      <c r="A179" s="906">
        <v>178</v>
      </c>
      <c r="B179" s="906" t="s">
        <v>1614</v>
      </c>
      <c r="C179" s="906">
        <v>29189</v>
      </c>
      <c r="D179" s="906" t="s">
        <v>1256</v>
      </c>
      <c r="E179" s="906" t="s">
        <v>1259</v>
      </c>
      <c r="F179" s="1015"/>
      <c r="G179" s="1014"/>
      <c r="H179" s="1014"/>
      <c r="I179" s="1014"/>
      <c r="J179" s="1013"/>
      <c r="K179" s="1012"/>
      <c r="L179" s="1011"/>
      <c r="N179" s="1032" t="s">
        <v>1613</v>
      </c>
      <c r="O179" s="1031">
        <v>3.628439117406701E-2</v>
      </c>
      <c r="P179" s="1030">
        <v>65</v>
      </c>
      <c r="Q179" s="1029">
        <v>40</v>
      </c>
      <c r="R179" s="1029">
        <v>68</v>
      </c>
      <c r="S179" s="1028">
        <v>34</v>
      </c>
      <c r="T179" s="1027">
        <v>32.310391334359899</v>
      </c>
      <c r="U179" s="1026">
        <v>0.25445191927186389</v>
      </c>
      <c r="V179" s="1018">
        <v>13.188000000000001</v>
      </c>
      <c r="W179" s="1018"/>
      <c r="X179" s="1018">
        <v>178</v>
      </c>
    </row>
    <row r="180" spans="1:24">
      <c r="A180" s="906">
        <v>179</v>
      </c>
      <c r="B180" s="906" t="s">
        <v>1611</v>
      </c>
      <c r="C180" s="906">
        <v>19501</v>
      </c>
      <c r="D180" s="906" t="s">
        <v>1257</v>
      </c>
      <c r="E180" s="906" t="s">
        <v>1259</v>
      </c>
      <c r="F180" s="1015">
        <f t="shared" ref="F180:L180" si="82">O106</f>
        <v>0</v>
      </c>
      <c r="G180" s="1014">
        <f t="shared" si="82"/>
        <v>74</v>
      </c>
      <c r="H180" s="1014">
        <f t="shared" si="82"/>
        <v>52</v>
      </c>
      <c r="I180" s="1014">
        <f t="shared" si="82"/>
        <v>82</v>
      </c>
      <c r="J180" s="1013">
        <f t="shared" si="82"/>
        <v>48</v>
      </c>
      <c r="K180" s="1012" t="str">
        <f t="shared" si="82"/>
        <v/>
      </c>
      <c r="L180" s="1011">
        <f t="shared" si="82"/>
        <v>0.1757134564395425</v>
      </c>
      <c r="N180" s="1038" t="s">
        <v>1612</v>
      </c>
      <c r="O180" s="1037"/>
      <c r="P180" s="1036">
        <v>65</v>
      </c>
      <c r="Q180" s="1014">
        <v>0</v>
      </c>
      <c r="R180" s="1014">
        <v>70</v>
      </c>
      <c r="S180" s="1013">
        <v>0</v>
      </c>
      <c r="T180" s="1012" t="s">
        <v>842</v>
      </c>
      <c r="U180" s="1035"/>
      <c r="V180" s="906" t="s">
        <v>842</v>
      </c>
      <c r="X180" s="906">
        <v>179</v>
      </c>
    </row>
    <row r="181" spans="1:24">
      <c r="A181" s="906">
        <v>180</v>
      </c>
      <c r="B181" s="906" t="s">
        <v>1611</v>
      </c>
      <c r="C181" s="906">
        <v>19501</v>
      </c>
      <c r="D181" s="906" t="s">
        <v>1256</v>
      </c>
      <c r="E181" s="906" t="s">
        <v>1259</v>
      </c>
      <c r="F181" s="1015">
        <f t="shared" ref="F181:L181" si="83">F180</f>
        <v>0</v>
      </c>
      <c r="G181" s="1014">
        <f t="shared" si="83"/>
        <v>74</v>
      </c>
      <c r="H181" s="1014">
        <f t="shared" si="83"/>
        <v>52</v>
      </c>
      <c r="I181" s="1014">
        <f t="shared" si="83"/>
        <v>82</v>
      </c>
      <c r="J181" s="1013">
        <f t="shared" si="83"/>
        <v>48</v>
      </c>
      <c r="K181" s="1012" t="str">
        <f t="shared" si="83"/>
        <v/>
      </c>
      <c r="L181" s="1011">
        <f t="shared" si="83"/>
        <v>0.1757134564395425</v>
      </c>
      <c r="N181" s="1032" t="s">
        <v>1421</v>
      </c>
      <c r="O181" s="1031"/>
      <c r="P181" s="1030">
        <v>68</v>
      </c>
      <c r="Q181" s="1029">
        <v>36</v>
      </c>
      <c r="R181" s="1029">
        <v>70</v>
      </c>
      <c r="S181" s="1028">
        <v>33</v>
      </c>
      <c r="T181" s="1027"/>
      <c r="U181" s="1026">
        <v>0.26015151515151513</v>
      </c>
      <c r="V181" s="1018">
        <v>4.883</v>
      </c>
      <c r="W181" s="1018"/>
      <c r="X181" s="1018">
        <v>180</v>
      </c>
    </row>
    <row r="182" spans="1:24">
      <c r="A182" s="906">
        <v>181</v>
      </c>
      <c r="B182" s="906" t="s">
        <v>1610</v>
      </c>
      <c r="C182" s="906">
        <v>29189</v>
      </c>
      <c r="D182" s="906" t="s">
        <v>1256</v>
      </c>
      <c r="E182" s="906" t="s">
        <v>1258</v>
      </c>
      <c r="F182" s="1015"/>
      <c r="G182" s="1014"/>
      <c r="H182" s="1014"/>
      <c r="I182" s="1014"/>
      <c r="J182" s="1013"/>
      <c r="K182" s="1012"/>
      <c r="L182" s="1011"/>
      <c r="N182" s="1032" t="s">
        <v>1609</v>
      </c>
      <c r="O182" s="1031"/>
      <c r="P182" s="1030">
        <v>66.099999999999994</v>
      </c>
      <c r="Q182" s="1029">
        <v>44</v>
      </c>
      <c r="R182" s="1029">
        <v>69</v>
      </c>
      <c r="S182" s="1028">
        <v>39.5</v>
      </c>
      <c r="T182" s="1027">
        <v>27.789915231702551</v>
      </c>
      <c r="U182" s="1026">
        <v>0.17671806501226486</v>
      </c>
      <c r="V182" s="1018">
        <v>293.33699999999999</v>
      </c>
      <c r="W182" s="1018"/>
      <c r="X182" s="1018">
        <v>181</v>
      </c>
    </row>
    <row r="183" spans="1:24">
      <c r="A183" s="906">
        <v>182</v>
      </c>
      <c r="B183" s="906" t="s">
        <v>1608</v>
      </c>
      <c r="C183" s="906">
        <v>29189</v>
      </c>
      <c r="D183" s="906" t="s">
        <v>1256</v>
      </c>
      <c r="E183" s="906" t="s">
        <v>1259</v>
      </c>
      <c r="F183" s="1015">
        <f t="shared" ref="F183:L183" si="84">O107</f>
        <v>1.6020721412125863E-2</v>
      </c>
      <c r="G183" s="1014">
        <f t="shared" si="84"/>
        <v>75</v>
      </c>
      <c r="H183" s="1014">
        <f t="shared" si="84"/>
        <v>41</v>
      </c>
      <c r="I183" s="1014">
        <f t="shared" si="84"/>
        <v>76</v>
      </c>
      <c r="J183" s="1013">
        <f t="shared" si="84"/>
        <v>36</v>
      </c>
      <c r="K183" s="1012">
        <f t="shared" si="84"/>
        <v>38.430332926347113</v>
      </c>
      <c r="L183" s="1011">
        <f t="shared" si="84"/>
        <v>0.28141756848981181</v>
      </c>
      <c r="N183" s="1032" t="s">
        <v>1607</v>
      </c>
      <c r="O183" s="1031">
        <v>3.3328752061572292E-3</v>
      </c>
      <c r="P183" s="1030">
        <v>68</v>
      </c>
      <c r="Q183" s="1029">
        <v>34</v>
      </c>
      <c r="R183" s="1029">
        <v>68</v>
      </c>
      <c r="S183" s="1028">
        <v>32</v>
      </c>
      <c r="T183" s="1027">
        <v>37.040916326142735</v>
      </c>
      <c r="U183" s="1026">
        <v>0.25273209914848138</v>
      </c>
      <c r="V183" s="1018">
        <v>21.675999999999998</v>
      </c>
      <c r="W183" s="1018"/>
      <c r="X183" s="1018">
        <v>182</v>
      </c>
    </row>
    <row r="184" spans="1:24">
      <c r="A184" s="906">
        <v>183</v>
      </c>
      <c r="B184" s="906" t="s">
        <v>1606</v>
      </c>
      <c r="C184" s="906">
        <v>29189</v>
      </c>
      <c r="D184" s="906" t="s">
        <v>1256</v>
      </c>
      <c r="E184" s="906" t="s">
        <v>1258</v>
      </c>
      <c r="F184" s="1015"/>
      <c r="G184" s="1014"/>
      <c r="H184" s="1014"/>
      <c r="I184" s="1014"/>
      <c r="J184" s="1013"/>
      <c r="K184" s="1012"/>
      <c r="L184" s="1011"/>
      <c r="N184" s="1032" t="s">
        <v>1605</v>
      </c>
      <c r="O184" s="1031">
        <v>1.2688216132485934E-2</v>
      </c>
      <c r="P184" s="1030">
        <v>67</v>
      </c>
      <c r="Q184" s="1029">
        <v>46</v>
      </c>
      <c r="R184" s="1029">
        <v>83</v>
      </c>
      <c r="S184" s="1028">
        <v>41</v>
      </c>
      <c r="T184" s="1027">
        <v>29.11144538321798</v>
      </c>
      <c r="U184" s="1026">
        <v>0.3055235106824789</v>
      </c>
      <c r="V184" s="1018">
        <v>30.1</v>
      </c>
      <c r="W184" s="1018"/>
      <c r="X184" s="1018">
        <v>183</v>
      </c>
    </row>
    <row r="185" spans="1:24">
      <c r="A185" s="906">
        <v>184</v>
      </c>
      <c r="B185" s="906" t="s">
        <v>1604</v>
      </c>
      <c r="C185" s="906">
        <v>29189</v>
      </c>
      <c r="D185" s="906" t="s">
        <v>1256</v>
      </c>
      <c r="E185" s="906" t="s">
        <v>1258</v>
      </c>
      <c r="F185" s="1015"/>
      <c r="G185" s="1014"/>
      <c r="H185" s="1014"/>
      <c r="I185" s="1014"/>
      <c r="J185" s="1013"/>
      <c r="K185" s="1012"/>
      <c r="L185" s="1011"/>
      <c r="N185" s="1032" t="s">
        <v>1603</v>
      </c>
      <c r="O185" s="1031"/>
      <c r="P185" s="1030">
        <v>70</v>
      </c>
      <c r="Q185" s="1029">
        <v>38</v>
      </c>
      <c r="R185" s="1029">
        <v>74</v>
      </c>
      <c r="S185" s="1028">
        <v>34</v>
      </c>
      <c r="T185" s="1027">
        <v>37.892150655978803</v>
      </c>
      <c r="U185" s="1026">
        <v>0.28466427189831445</v>
      </c>
      <c r="V185" s="1018">
        <v>12.944000000000001</v>
      </c>
      <c r="W185" s="1018"/>
      <c r="X185" s="1018">
        <v>184</v>
      </c>
    </row>
    <row r="186" spans="1:24">
      <c r="A186" s="906">
        <v>185</v>
      </c>
      <c r="B186" s="906" t="s">
        <v>1601</v>
      </c>
      <c r="C186" s="906">
        <v>29188</v>
      </c>
      <c r="D186" s="906" t="s">
        <v>1256</v>
      </c>
      <c r="E186" s="906" t="s">
        <v>1259</v>
      </c>
      <c r="F186" s="1015"/>
      <c r="G186" s="1014"/>
      <c r="H186" s="1014"/>
      <c r="I186" s="1014"/>
      <c r="J186" s="1013"/>
      <c r="K186" s="1012"/>
      <c r="L186" s="1011"/>
      <c r="N186" s="1032" t="s">
        <v>1602</v>
      </c>
      <c r="O186" s="1031"/>
      <c r="P186" s="1030">
        <v>65</v>
      </c>
      <c r="Q186" s="1029">
        <v>39</v>
      </c>
      <c r="R186" s="1029">
        <v>75</v>
      </c>
      <c r="S186" s="1028">
        <v>37</v>
      </c>
      <c r="T186" s="1027" t="s">
        <v>842</v>
      </c>
      <c r="U186" s="1026">
        <v>0.22543422128847049</v>
      </c>
      <c r="V186" s="1018">
        <v>193.18600000000001</v>
      </c>
      <c r="W186" s="1018"/>
      <c r="X186" s="1018">
        <v>185</v>
      </c>
    </row>
    <row r="187" spans="1:24">
      <c r="A187" s="906">
        <v>186</v>
      </c>
      <c r="B187" s="906" t="s">
        <v>1601</v>
      </c>
      <c r="C187" s="906">
        <v>70960</v>
      </c>
      <c r="D187" s="906" t="s">
        <v>1256</v>
      </c>
      <c r="E187" s="906" t="s">
        <v>1259</v>
      </c>
      <c r="F187" s="1015"/>
      <c r="G187" s="1014"/>
      <c r="H187" s="1014"/>
      <c r="I187" s="1014"/>
      <c r="J187" s="1013"/>
      <c r="K187" s="1012"/>
      <c r="L187" s="1011"/>
      <c r="N187" s="1032" t="s">
        <v>1600</v>
      </c>
      <c r="O187" s="1031"/>
      <c r="P187" s="1030">
        <v>72</v>
      </c>
      <c r="Q187" s="1029">
        <v>37</v>
      </c>
      <c r="R187" s="1029">
        <v>68</v>
      </c>
      <c r="S187" s="1028">
        <v>33</v>
      </c>
      <c r="T187" s="1027">
        <v>34.04097488484021</v>
      </c>
      <c r="U187" s="1026">
        <v>0.22778636344302505</v>
      </c>
      <c r="V187" s="1018">
        <v>54.465000000000003</v>
      </c>
      <c r="W187" s="1018"/>
      <c r="X187" s="1018">
        <v>186</v>
      </c>
    </row>
    <row r="188" spans="1:24">
      <c r="A188" s="906">
        <v>187</v>
      </c>
      <c r="B188" s="906" t="s">
        <v>1599</v>
      </c>
      <c r="C188" s="906">
        <v>29189</v>
      </c>
      <c r="D188" s="906" t="s">
        <v>1256</v>
      </c>
      <c r="E188" s="906" t="s">
        <v>1258</v>
      </c>
      <c r="F188" s="1015">
        <f t="shared" ref="F188:L188" si="85">O108</f>
        <v>3.8071326441955766E-2</v>
      </c>
      <c r="G188" s="1014">
        <f t="shared" si="85"/>
        <v>68.7</v>
      </c>
      <c r="H188" s="1014">
        <f t="shared" si="85"/>
        <v>49.7</v>
      </c>
      <c r="I188" s="1014">
        <f t="shared" si="85"/>
        <v>70.8</v>
      </c>
      <c r="J188" s="1013">
        <f t="shared" si="85"/>
        <v>46</v>
      </c>
      <c r="K188" s="1012">
        <f t="shared" si="85"/>
        <v>22.152504600492247</v>
      </c>
      <c r="L188" s="1011">
        <f t="shared" si="85"/>
        <v>0.20717171142467</v>
      </c>
      <c r="N188" s="1032" t="s">
        <v>1598</v>
      </c>
      <c r="O188" s="1031"/>
      <c r="P188" s="1030">
        <v>63</v>
      </c>
      <c r="Q188" s="1029">
        <v>38</v>
      </c>
      <c r="R188" s="1029">
        <v>70</v>
      </c>
      <c r="S188" s="1028">
        <v>36</v>
      </c>
      <c r="T188" s="1027"/>
      <c r="U188" s="1026"/>
      <c r="V188" s="1018" t="s">
        <v>842</v>
      </c>
      <c r="W188" s="1018"/>
      <c r="X188" s="1018">
        <v>187</v>
      </c>
    </row>
    <row r="189" spans="1:24">
      <c r="A189" s="906">
        <v>188</v>
      </c>
      <c r="B189" s="906" t="s">
        <v>1595</v>
      </c>
      <c r="C189" s="906">
        <v>29188</v>
      </c>
      <c r="D189" s="906" t="s">
        <v>1256</v>
      </c>
      <c r="E189" s="906" t="s">
        <v>1259</v>
      </c>
      <c r="F189" s="1015"/>
      <c r="G189" s="1014"/>
      <c r="H189" s="1014"/>
      <c r="I189" s="1014"/>
      <c r="J189" s="1013"/>
      <c r="K189" s="1012"/>
      <c r="L189" s="1011"/>
      <c r="N189" s="1038" t="s">
        <v>1597</v>
      </c>
      <c r="O189" s="1037">
        <v>1.1426705843943846E-2</v>
      </c>
      <c r="P189" s="1036">
        <v>69</v>
      </c>
      <c r="Q189" s="1014">
        <v>33</v>
      </c>
      <c r="R189" s="1014">
        <v>69</v>
      </c>
      <c r="S189" s="1013">
        <v>34</v>
      </c>
      <c r="T189" s="1012">
        <v>35.45147203192289</v>
      </c>
      <c r="U189" s="1035">
        <v>0.20369147218552766</v>
      </c>
      <c r="V189" s="906">
        <v>21.701000000000001</v>
      </c>
      <c r="X189" s="906">
        <v>188</v>
      </c>
    </row>
    <row r="190" spans="1:24">
      <c r="A190" s="906">
        <v>189</v>
      </c>
      <c r="B190" s="906" t="s">
        <v>1595</v>
      </c>
      <c r="C190" s="906">
        <v>58271</v>
      </c>
      <c r="D190" s="906" t="s">
        <v>1256</v>
      </c>
      <c r="E190" s="906" t="s">
        <v>1259</v>
      </c>
      <c r="F190" s="1015"/>
      <c r="G190" s="1014"/>
      <c r="H190" s="1014"/>
      <c r="I190" s="1014"/>
      <c r="J190" s="1013"/>
      <c r="K190" s="1012"/>
      <c r="L190" s="1011"/>
      <c r="N190" s="1032" t="s">
        <v>1596</v>
      </c>
      <c r="O190" s="1031"/>
      <c r="P190" s="1030">
        <v>80</v>
      </c>
      <c r="Q190" s="1029">
        <v>37</v>
      </c>
      <c r="R190" s="1029">
        <v>89</v>
      </c>
      <c r="S190" s="1028">
        <v>36</v>
      </c>
      <c r="T190" s="1027" t="s">
        <v>842</v>
      </c>
      <c r="U190" s="1026">
        <v>0.25266230607059842</v>
      </c>
      <c r="V190" s="1018">
        <v>27.65</v>
      </c>
      <c r="W190" s="1018"/>
      <c r="X190" s="1018">
        <v>189</v>
      </c>
    </row>
    <row r="191" spans="1:24">
      <c r="A191" s="906">
        <v>190</v>
      </c>
      <c r="B191" s="906" t="s">
        <v>1595</v>
      </c>
      <c r="C191" s="906">
        <v>63640</v>
      </c>
      <c r="D191" s="906" t="s">
        <v>1256</v>
      </c>
      <c r="E191" s="906" t="s">
        <v>1259</v>
      </c>
      <c r="F191" s="1015"/>
      <c r="G191" s="1014"/>
      <c r="H191" s="1014"/>
      <c r="I191" s="1014"/>
      <c r="J191" s="1013"/>
      <c r="K191" s="1012"/>
      <c r="L191" s="1011"/>
      <c r="N191" s="1038" t="s">
        <v>1594</v>
      </c>
      <c r="O191" s="1037"/>
      <c r="P191" s="1036">
        <v>66</v>
      </c>
      <c r="Q191" s="1014">
        <v>46</v>
      </c>
      <c r="R191" s="1014">
        <v>73</v>
      </c>
      <c r="S191" s="1013">
        <v>42</v>
      </c>
      <c r="T191" s="1012">
        <v>21.990494296577946</v>
      </c>
      <c r="U191" s="1035">
        <v>0.40520446096654272</v>
      </c>
      <c r="V191" s="906">
        <v>3.2</v>
      </c>
      <c r="X191" s="906">
        <v>190</v>
      </c>
    </row>
    <row r="192" spans="1:24">
      <c r="A192" s="906">
        <v>191</v>
      </c>
      <c r="B192" s="906" t="s">
        <v>1592</v>
      </c>
      <c r="C192" s="906">
        <v>29189</v>
      </c>
      <c r="D192" s="906" t="s">
        <v>1257</v>
      </c>
      <c r="E192" s="906" t="s">
        <v>1258</v>
      </c>
      <c r="F192" s="1015">
        <f t="shared" ref="F192:L192" si="86">O109</f>
        <v>0</v>
      </c>
      <c r="G192" s="1014">
        <f t="shared" si="86"/>
        <v>69</v>
      </c>
      <c r="H192" s="1014">
        <f t="shared" si="86"/>
        <v>40</v>
      </c>
      <c r="I192" s="1014">
        <f t="shared" si="86"/>
        <v>73</v>
      </c>
      <c r="J192" s="1013">
        <f t="shared" si="86"/>
        <v>36</v>
      </c>
      <c r="K192" s="1012">
        <f t="shared" si="86"/>
        <v>42.092665479648893</v>
      </c>
      <c r="L192" s="1011">
        <f t="shared" si="86"/>
        <v>0.23629304613748173</v>
      </c>
      <c r="N192" s="1032" t="s">
        <v>1593</v>
      </c>
      <c r="O192" s="1031">
        <v>1.9295246130958989E-2</v>
      </c>
      <c r="P192" s="1030">
        <v>70</v>
      </c>
      <c r="Q192" s="1029">
        <v>47</v>
      </c>
      <c r="R192" s="1029">
        <v>82</v>
      </c>
      <c r="S192" s="1028">
        <v>44</v>
      </c>
      <c r="T192" s="1027">
        <v>35.799021344934445</v>
      </c>
      <c r="U192" s="1026">
        <v>0.28027078427821045</v>
      </c>
      <c r="V192" s="1018">
        <v>31.789000000000001</v>
      </c>
      <c r="W192" s="1018"/>
      <c r="X192" s="1018">
        <v>191</v>
      </c>
    </row>
    <row r="193" spans="1:24">
      <c r="A193" s="906">
        <v>192</v>
      </c>
      <c r="B193" s="906" t="s">
        <v>1592</v>
      </c>
      <c r="C193" s="906">
        <v>29189</v>
      </c>
      <c r="D193" s="906" t="s">
        <v>1256</v>
      </c>
      <c r="E193" s="906" t="s">
        <v>1258</v>
      </c>
      <c r="F193" s="1015">
        <f t="shared" ref="F193:L193" si="87">F192</f>
        <v>0</v>
      </c>
      <c r="G193" s="1014">
        <f t="shared" si="87"/>
        <v>69</v>
      </c>
      <c r="H193" s="1014">
        <f t="shared" si="87"/>
        <v>40</v>
      </c>
      <c r="I193" s="1014">
        <f t="shared" si="87"/>
        <v>73</v>
      </c>
      <c r="J193" s="1013">
        <f t="shared" si="87"/>
        <v>36</v>
      </c>
      <c r="K193" s="1012">
        <f t="shared" si="87"/>
        <v>42.092665479648893</v>
      </c>
      <c r="L193" s="1011">
        <f t="shared" si="87"/>
        <v>0.23629304613748173</v>
      </c>
      <c r="N193" s="1032" t="s">
        <v>1591</v>
      </c>
      <c r="O193" s="1031"/>
      <c r="P193" s="1030">
        <v>68</v>
      </c>
      <c r="Q193" s="1029">
        <v>45</v>
      </c>
      <c r="R193" s="1029">
        <v>73</v>
      </c>
      <c r="S193" s="1028">
        <v>41</v>
      </c>
      <c r="T193" s="1027">
        <v>31.864698078790894</v>
      </c>
      <c r="U193" s="1026">
        <v>0.22919297348272941</v>
      </c>
      <c r="V193" s="1018">
        <v>48.223999999999997</v>
      </c>
      <c r="W193" s="1018"/>
      <c r="X193" s="1018">
        <v>192</v>
      </c>
    </row>
    <row r="194" spans="1:24">
      <c r="A194" s="906">
        <v>193</v>
      </c>
      <c r="B194" s="906" t="s">
        <v>1590</v>
      </c>
      <c r="C194" s="906">
        <v>29189</v>
      </c>
      <c r="D194" s="906" t="s">
        <v>1256</v>
      </c>
      <c r="E194" s="906" t="s">
        <v>1258</v>
      </c>
      <c r="F194" s="1015"/>
      <c r="G194" s="1014"/>
      <c r="H194" s="1014"/>
      <c r="I194" s="1014"/>
      <c r="J194" s="1013"/>
      <c r="K194" s="1012"/>
      <c r="L194" s="1011"/>
      <c r="N194" s="1032" t="s">
        <v>1589</v>
      </c>
      <c r="O194" s="1031">
        <v>7.8280671790492452E-3</v>
      </c>
      <c r="P194" s="1030">
        <v>65</v>
      </c>
      <c r="Q194" s="1029">
        <v>39</v>
      </c>
      <c r="R194" s="1029">
        <v>65</v>
      </c>
      <c r="S194" s="1028">
        <v>32</v>
      </c>
      <c r="T194" s="1027">
        <v>30.509211195928753</v>
      </c>
      <c r="U194" s="1026">
        <v>0.28252761440252472</v>
      </c>
      <c r="V194" s="1018">
        <v>10.003</v>
      </c>
      <c r="W194" s="1018"/>
      <c r="X194" s="1018">
        <v>193</v>
      </c>
    </row>
    <row r="195" spans="1:24" ht="16">
      <c r="A195" s="906">
        <v>194</v>
      </c>
      <c r="B195" s="906" t="s">
        <v>1588</v>
      </c>
      <c r="C195" s="906">
        <v>11931</v>
      </c>
      <c r="D195" s="906" t="s">
        <v>1257</v>
      </c>
      <c r="E195" s="906" t="s">
        <v>1259</v>
      </c>
      <c r="F195" s="1015">
        <f t="shared" ref="F195:K197" si="88">O110</f>
        <v>0</v>
      </c>
      <c r="G195" s="1014">
        <f t="shared" si="88"/>
        <v>85</v>
      </c>
      <c r="H195" s="1014">
        <f t="shared" si="88"/>
        <v>50</v>
      </c>
      <c r="I195" s="1014">
        <f t="shared" si="88"/>
        <v>105</v>
      </c>
      <c r="J195" s="1013">
        <f t="shared" si="88"/>
        <v>50</v>
      </c>
      <c r="K195" s="1012" t="str">
        <f t="shared" si="88"/>
        <v/>
      </c>
      <c r="L195" s="1016">
        <v>0.17374718282373314</v>
      </c>
      <c r="N195" s="1032" t="s">
        <v>1587</v>
      </c>
      <c r="O195" s="1031"/>
      <c r="P195" s="1030">
        <v>70</v>
      </c>
      <c r="Q195" s="1029">
        <v>35</v>
      </c>
      <c r="R195" s="1029">
        <v>70</v>
      </c>
      <c r="S195" s="1028">
        <v>31</v>
      </c>
      <c r="T195" s="1027">
        <v>36.810123456790123</v>
      </c>
      <c r="U195" s="1026">
        <v>0.24733198730891259</v>
      </c>
      <c r="V195" s="1018">
        <v>15.657</v>
      </c>
      <c r="W195" s="1018"/>
      <c r="X195" s="1018">
        <v>194</v>
      </c>
    </row>
    <row r="196" spans="1:24">
      <c r="A196" s="906">
        <v>195</v>
      </c>
      <c r="B196" s="906" t="s">
        <v>1586</v>
      </c>
      <c r="C196" s="906">
        <v>29189</v>
      </c>
      <c r="D196" s="906" t="s">
        <v>1256</v>
      </c>
      <c r="E196" s="906" t="s">
        <v>1258</v>
      </c>
      <c r="F196" s="1015">
        <f t="shared" si="88"/>
        <v>0</v>
      </c>
      <c r="G196" s="1014">
        <f t="shared" si="88"/>
        <v>70</v>
      </c>
      <c r="H196" s="1014">
        <f t="shared" si="88"/>
        <v>36</v>
      </c>
      <c r="I196" s="1014">
        <f t="shared" si="88"/>
        <v>73</v>
      </c>
      <c r="J196" s="1013">
        <f t="shared" si="88"/>
        <v>34</v>
      </c>
      <c r="K196" s="1012">
        <f t="shared" si="88"/>
        <v>37.872396067668497</v>
      </c>
      <c r="L196" s="1011">
        <f>U111</f>
        <v>0.19338463012036652</v>
      </c>
      <c r="N196" s="1032" t="s">
        <v>1398</v>
      </c>
      <c r="O196" s="1031"/>
      <c r="P196" s="1030">
        <v>68.5</v>
      </c>
      <c r="Q196" s="1029">
        <v>41</v>
      </c>
      <c r="R196" s="1029">
        <v>72</v>
      </c>
      <c r="S196" s="1028">
        <v>35</v>
      </c>
      <c r="T196" s="1027">
        <v>38.37406</v>
      </c>
      <c r="U196" s="1026">
        <v>0.23754883724404802</v>
      </c>
      <c r="V196" s="1018">
        <v>102.06399999999999</v>
      </c>
      <c r="W196" s="1018"/>
      <c r="X196" s="1018">
        <v>195</v>
      </c>
    </row>
    <row r="197" spans="1:24" ht="16">
      <c r="A197" s="906">
        <v>196</v>
      </c>
      <c r="B197" s="906" t="s">
        <v>1585</v>
      </c>
      <c r="C197" s="906">
        <v>29189</v>
      </c>
      <c r="D197" s="906" t="s">
        <v>1256</v>
      </c>
      <c r="E197" s="906" t="s">
        <v>1258</v>
      </c>
      <c r="F197" s="1015">
        <f t="shared" si="88"/>
        <v>0</v>
      </c>
      <c r="G197" s="1014">
        <f t="shared" si="88"/>
        <v>72</v>
      </c>
      <c r="H197" s="1014">
        <f t="shared" si="88"/>
        <v>0</v>
      </c>
      <c r="I197" s="1014">
        <f t="shared" si="88"/>
        <v>72</v>
      </c>
      <c r="J197" s="1013">
        <f t="shared" si="88"/>
        <v>0</v>
      </c>
      <c r="K197" s="1012" t="str">
        <f t="shared" si="88"/>
        <v/>
      </c>
      <c r="L197" s="1016">
        <v>0.22800028617798151</v>
      </c>
      <c r="N197" s="1032" t="s">
        <v>1584</v>
      </c>
      <c r="O197" s="1031">
        <v>1.1500633141945221E-2</v>
      </c>
      <c r="P197" s="1030">
        <v>69</v>
      </c>
      <c r="Q197" s="1029">
        <v>0</v>
      </c>
      <c r="R197" s="1029">
        <v>72</v>
      </c>
      <c r="S197" s="1028">
        <v>0</v>
      </c>
      <c r="T197" s="1027" t="s">
        <v>842</v>
      </c>
      <c r="U197" s="1026">
        <v>0.23712841750605412</v>
      </c>
      <c r="V197" s="1018">
        <v>43.472999999999999</v>
      </c>
      <c r="W197" s="1018"/>
      <c r="X197" s="1018">
        <v>196</v>
      </c>
    </row>
    <row r="198" spans="1:24">
      <c r="A198" s="906">
        <v>197</v>
      </c>
      <c r="B198" s="906" t="s">
        <v>1583</v>
      </c>
      <c r="C198" s="906">
        <v>29189</v>
      </c>
      <c r="D198" s="906" t="s">
        <v>1256</v>
      </c>
      <c r="E198" s="906" t="s">
        <v>1258</v>
      </c>
      <c r="F198" s="1015"/>
      <c r="G198" s="1014"/>
      <c r="H198" s="1014"/>
      <c r="I198" s="1014"/>
      <c r="J198" s="1013"/>
      <c r="K198" s="1012"/>
      <c r="L198" s="1011"/>
      <c r="N198" s="1032" t="s">
        <v>1582</v>
      </c>
      <c r="O198" s="1031"/>
      <c r="P198" s="1030">
        <v>72</v>
      </c>
      <c r="Q198" s="1029">
        <v>41</v>
      </c>
      <c r="R198" s="1029">
        <v>88</v>
      </c>
      <c r="S198" s="1028">
        <v>39</v>
      </c>
      <c r="T198" s="1027"/>
      <c r="U198" s="1026"/>
      <c r="V198" s="1018">
        <v>9.5470000000000006</v>
      </c>
      <c r="W198" s="1018"/>
      <c r="X198" s="1018">
        <v>197</v>
      </c>
    </row>
    <row r="199" spans="1:24">
      <c r="A199" s="906">
        <v>198</v>
      </c>
      <c r="B199" s="906" t="s">
        <v>1581</v>
      </c>
      <c r="C199" s="906">
        <v>29189</v>
      </c>
      <c r="D199" s="906" t="s">
        <v>1256</v>
      </c>
      <c r="E199" s="906" t="s">
        <v>1259</v>
      </c>
      <c r="F199" s="1015"/>
      <c r="G199" s="1014"/>
      <c r="H199" s="1014"/>
      <c r="I199" s="1014"/>
      <c r="J199" s="1013"/>
      <c r="K199" s="1012"/>
      <c r="L199" s="1011"/>
      <c r="N199" s="1032" t="s">
        <v>1580</v>
      </c>
      <c r="O199" s="1031"/>
      <c r="P199" s="1030">
        <v>85</v>
      </c>
      <c r="Q199" s="1029">
        <v>45</v>
      </c>
      <c r="R199" s="1029">
        <v>85</v>
      </c>
      <c r="S199" s="1028">
        <v>45</v>
      </c>
      <c r="T199" s="1027" t="s">
        <v>842</v>
      </c>
      <c r="U199" s="1026">
        <v>0.22411913419097065</v>
      </c>
      <c r="V199" s="1018">
        <v>131.66</v>
      </c>
      <c r="W199" s="1018"/>
      <c r="X199" s="1018">
        <v>198</v>
      </c>
    </row>
    <row r="200" spans="1:24">
      <c r="A200" s="906">
        <v>199</v>
      </c>
      <c r="B200" s="906" t="s">
        <v>1579</v>
      </c>
      <c r="C200" s="906">
        <v>29189</v>
      </c>
      <c r="D200" s="906" t="s">
        <v>1256</v>
      </c>
      <c r="E200" s="906" t="s">
        <v>1259</v>
      </c>
      <c r="F200" s="1015">
        <f t="shared" ref="F200:L200" si="89">O113</f>
        <v>1.1251839242953175E-2</v>
      </c>
      <c r="G200" s="1014">
        <f t="shared" si="89"/>
        <v>67</v>
      </c>
      <c r="H200" s="1014">
        <f t="shared" si="89"/>
        <v>40</v>
      </c>
      <c r="I200" s="1014">
        <f t="shared" si="89"/>
        <v>80</v>
      </c>
      <c r="J200" s="1013">
        <f t="shared" si="89"/>
        <v>38</v>
      </c>
      <c r="K200" s="1012">
        <f t="shared" si="89"/>
        <v>32.019368239910655</v>
      </c>
      <c r="L200" s="1011">
        <f t="shared" si="89"/>
        <v>0.30101251787225353</v>
      </c>
      <c r="N200" s="1032" t="s">
        <v>1578</v>
      </c>
      <c r="O200" s="1031">
        <v>2.6783337769496939E-2</v>
      </c>
      <c r="P200" s="1030">
        <v>71.2</v>
      </c>
      <c r="Q200" s="1029">
        <v>44.4</v>
      </c>
      <c r="R200" s="1029">
        <v>76.7</v>
      </c>
      <c r="S200" s="1028">
        <v>37.6</v>
      </c>
      <c r="T200" s="1027">
        <v>46.516443384276855</v>
      </c>
      <c r="U200" s="1026">
        <v>0.33448429113534578</v>
      </c>
      <c r="V200" s="1018">
        <v>19.466999999999999</v>
      </c>
      <c r="W200" s="1018"/>
      <c r="X200" s="1018">
        <v>199</v>
      </c>
    </row>
    <row r="201" spans="1:24">
      <c r="A201" s="906">
        <v>200</v>
      </c>
      <c r="B201" s="906" t="s">
        <v>1577</v>
      </c>
      <c r="C201" s="906">
        <v>26696</v>
      </c>
      <c r="D201" s="906" t="s">
        <v>1256</v>
      </c>
      <c r="E201" s="906" t="s">
        <v>1259</v>
      </c>
      <c r="F201" s="1015"/>
      <c r="G201" s="1014"/>
      <c r="H201" s="1014"/>
      <c r="I201" s="1014"/>
      <c r="J201" s="1013"/>
      <c r="K201" s="1012"/>
      <c r="L201" s="1011"/>
      <c r="N201" s="1032" t="s">
        <v>1392</v>
      </c>
      <c r="O201" s="1031"/>
      <c r="P201" s="1030">
        <v>80</v>
      </c>
      <c r="Q201" s="1029">
        <v>40</v>
      </c>
      <c r="R201" s="1029">
        <v>80</v>
      </c>
      <c r="S201" s="1028">
        <v>38</v>
      </c>
      <c r="T201" s="1027" t="s">
        <v>842</v>
      </c>
      <c r="U201" s="1026">
        <v>0.42861396949343217</v>
      </c>
      <c r="V201" s="1018">
        <v>17.268999999999998</v>
      </c>
      <c r="W201" s="1018"/>
      <c r="X201" s="1018">
        <v>200</v>
      </c>
    </row>
    <row r="202" spans="1:24">
      <c r="A202" s="906">
        <v>201</v>
      </c>
      <c r="B202" s="906" t="s">
        <v>1576</v>
      </c>
      <c r="C202" s="906">
        <v>29189</v>
      </c>
      <c r="D202" s="906" t="s">
        <v>1257</v>
      </c>
      <c r="E202" s="906" t="s">
        <v>1259</v>
      </c>
      <c r="F202" s="1015">
        <f t="shared" ref="F202:L202" si="90">O114</f>
        <v>0</v>
      </c>
      <c r="G202" s="1014">
        <f t="shared" si="90"/>
        <v>83.5</v>
      </c>
      <c r="H202" s="1014">
        <f t="shared" si="90"/>
        <v>55.9</v>
      </c>
      <c r="I202" s="1014">
        <f t="shared" si="90"/>
        <v>87.3</v>
      </c>
      <c r="J202" s="1013">
        <f t="shared" si="90"/>
        <v>51.9</v>
      </c>
      <c r="K202" s="1012" t="str">
        <f t="shared" si="90"/>
        <v/>
      </c>
      <c r="L202" s="1011">
        <f t="shared" si="90"/>
        <v>0.24901553425563058</v>
      </c>
      <c r="N202" s="1032" t="s">
        <v>1575</v>
      </c>
      <c r="O202" s="1031"/>
      <c r="P202" s="1030">
        <v>66</v>
      </c>
      <c r="Q202" s="1029">
        <v>43</v>
      </c>
      <c r="R202" s="1029">
        <v>75</v>
      </c>
      <c r="S202" s="1028">
        <v>34</v>
      </c>
      <c r="T202" s="1027">
        <v>33.189646441843678</v>
      </c>
      <c r="U202" s="1026">
        <v>0.27482968574272526</v>
      </c>
      <c r="V202" s="1018">
        <v>56.097000000000001</v>
      </c>
      <c r="W202" s="1018"/>
      <c r="X202" s="1018">
        <v>201</v>
      </c>
    </row>
    <row r="203" spans="1:24" ht="16">
      <c r="A203" s="906">
        <v>202</v>
      </c>
      <c r="B203" s="906" t="s">
        <v>1574</v>
      </c>
      <c r="C203" s="906">
        <v>29189</v>
      </c>
      <c r="D203" s="906" t="s">
        <v>1256</v>
      </c>
      <c r="E203" s="906" t="s">
        <v>1258</v>
      </c>
      <c r="F203" s="1015">
        <f t="shared" ref="F203:K203" si="91">O115</f>
        <v>0</v>
      </c>
      <c r="G203" s="1014">
        <f t="shared" si="91"/>
        <v>68</v>
      </c>
      <c r="H203" s="1014">
        <f t="shared" si="91"/>
        <v>0</v>
      </c>
      <c r="I203" s="1014">
        <f t="shared" si="91"/>
        <v>70</v>
      </c>
      <c r="J203" s="1013">
        <f t="shared" si="91"/>
        <v>0</v>
      </c>
      <c r="K203" s="1012" t="str">
        <f t="shared" si="91"/>
        <v/>
      </c>
      <c r="L203" s="1016">
        <v>0.22800028617798151</v>
      </c>
      <c r="N203" s="1032" t="s">
        <v>1573</v>
      </c>
      <c r="O203" s="1031"/>
      <c r="P203" s="1030">
        <v>79.430000000000007</v>
      </c>
      <c r="Q203" s="1029">
        <v>46.72</v>
      </c>
      <c r="R203" s="1029">
        <v>80.959999999999994</v>
      </c>
      <c r="S203" s="1028">
        <v>41.73</v>
      </c>
      <c r="T203" s="1027" t="s">
        <v>842</v>
      </c>
      <c r="U203" s="1026">
        <v>0.24484052532833017</v>
      </c>
      <c r="V203" s="1018">
        <v>223.6129</v>
      </c>
      <c r="W203" s="1018"/>
      <c r="X203" s="1018">
        <v>202</v>
      </c>
    </row>
    <row r="204" spans="1:24">
      <c r="A204" s="906">
        <v>203</v>
      </c>
      <c r="B204" s="906" t="s">
        <v>1572</v>
      </c>
      <c r="C204" s="906">
        <v>64942</v>
      </c>
      <c r="D204" s="906" t="s">
        <v>1257</v>
      </c>
      <c r="E204" s="906" t="s">
        <v>1259</v>
      </c>
      <c r="F204" s="1015"/>
      <c r="G204" s="1014"/>
      <c r="H204" s="1014"/>
      <c r="I204" s="1014"/>
      <c r="J204" s="1013"/>
      <c r="K204" s="1012"/>
      <c r="L204" s="1011"/>
      <c r="N204" s="1032" t="s">
        <v>1571</v>
      </c>
      <c r="O204" s="1031">
        <v>2.081651726921254E-3</v>
      </c>
      <c r="P204" s="1030">
        <v>71</v>
      </c>
      <c r="Q204" s="1029">
        <v>39</v>
      </c>
      <c r="R204" s="1029">
        <v>75</v>
      </c>
      <c r="S204" s="1028">
        <v>39</v>
      </c>
      <c r="T204" s="1027" t="s">
        <v>842</v>
      </c>
      <c r="U204" s="1026">
        <v>0.31176387115084431</v>
      </c>
      <c r="V204" s="1018">
        <v>4.8499999999999996</v>
      </c>
      <c r="W204" s="1018"/>
      <c r="X204" s="1018">
        <v>203</v>
      </c>
    </row>
    <row r="205" spans="1:24">
      <c r="A205" s="906">
        <v>204</v>
      </c>
      <c r="B205" s="906" t="s">
        <v>1569</v>
      </c>
      <c r="C205" s="906">
        <v>29189</v>
      </c>
      <c r="D205" s="906" t="s">
        <v>1257</v>
      </c>
      <c r="E205" s="906" t="s">
        <v>1258</v>
      </c>
      <c r="F205" s="1015"/>
      <c r="G205" s="1014"/>
      <c r="H205" s="1014"/>
      <c r="I205" s="1014"/>
      <c r="J205" s="1013"/>
      <c r="K205" s="1012"/>
      <c r="L205" s="1011"/>
      <c r="N205" s="1032" t="s">
        <v>1570</v>
      </c>
      <c r="O205" s="1031">
        <v>4.4325885514862207E-3</v>
      </c>
      <c r="P205" s="1027">
        <v>65.5</v>
      </c>
      <c r="Q205" s="1040">
        <v>35.5</v>
      </c>
      <c r="R205" s="1040">
        <v>65.5</v>
      </c>
      <c r="S205" s="1039">
        <v>35.5</v>
      </c>
      <c r="T205" s="1027">
        <v>31.893521451711237</v>
      </c>
      <c r="U205" s="1026"/>
      <c r="V205" s="1018" t="s">
        <v>842</v>
      </c>
      <c r="W205" s="1018"/>
      <c r="X205" s="1018">
        <v>204</v>
      </c>
    </row>
    <row r="206" spans="1:24">
      <c r="A206" s="906">
        <v>205</v>
      </c>
      <c r="B206" s="906" t="s">
        <v>1569</v>
      </c>
      <c r="C206" s="906">
        <v>29189</v>
      </c>
      <c r="D206" s="906" t="s">
        <v>1256</v>
      </c>
      <c r="E206" s="906" t="s">
        <v>1258</v>
      </c>
      <c r="F206" s="1015"/>
      <c r="G206" s="1014"/>
      <c r="H206" s="1014"/>
      <c r="I206" s="1014"/>
      <c r="J206" s="1013"/>
      <c r="K206" s="1012"/>
      <c r="L206" s="1011"/>
      <c r="N206" s="1032" t="s">
        <v>1568</v>
      </c>
      <c r="O206" s="1031"/>
      <c r="P206" s="1030">
        <v>68</v>
      </c>
      <c r="Q206" s="1029">
        <v>42</v>
      </c>
      <c r="R206" s="1029">
        <v>73</v>
      </c>
      <c r="S206" s="1028">
        <v>39</v>
      </c>
      <c r="T206" s="1027" t="s">
        <v>842</v>
      </c>
      <c r="U206" s="1026">
        <v>0.14821221131063564</v>
      </c>
      <c r="V206" s="1018">
        <v>166.447</v>
      </c>
      <c r="W206" s="1018"/>
      <c r="X206" s="1018">
        <v>205</v>
      </c>
    </row>
    <row r="207" spans="1:24">
      <c r="A207" s="906">
        <v>206</v>
      </c>
      <c r="B207" s="906" t="s">
        <v>1567</v>
      </c>
      <c r="C207" s="906">
        <v>29189</v>
      </c>
      <c r="D207" s="906" t="s">
        <v>1256</v>
      </c>
      <c r="E207" s="906" t="s">
        <v>1258</v>
      </c>
      <c r="F207" s="1015">
        <f t="shared" ref="F207:L208" si="92">O116</f>
        <v>0</v>
      </c>
      <c r="G207" s="1014">
        <f t="shared" si="92"/>
        <v>65</v>
      </c>
      <c r="H207" s="1014">
        <f t="shared" si="92"/>
        <v>33</v>
      </c>
      <c r="I207" s="1014">
        <f t="shared" si="92"/>
        <v>65</v>
      </c>
      <c r="J207" s="1013">
        <f t="shared" si="92"/>
        <v>34</v>
      </c>
      <c r="K207" s="1012" t="str">
        <f t="shared" si="92"/>
        <v/>
      </c>
      <c r="L207" s="1011">
        <f t="shared" si="92"/>
        <v>0.26867898178124799</v>
      </c>
      <c r="N207" s="1032" t="s">
        <v>1566</v>
      </c>
      <c r="O207" s="1031">
        <v>1.7211703958691909E-2</v>
      </c>
      <c r="P207" s="1030">
        <v>70</v>
      </c>
      <c r="Q207" s="1029">
        <v>45</v>
      </c>
      <c r="R207" s="1029">
        <v>75</v>
      </c>
      <c r="S207" s="1028">
        <v>40</v>
      </c>
      <c r="T207" s="1027">
        <v>35.546450856340392</v>
      </c>
      <c r="U207" s="1026">
        <v>0.43957968476357268</v>
      </c>
      <c r="V207" s="1018">
        <v>1.6</v>
      </c>
      <c r="W207" s="1018"/>
      <c r="X207" s="1018">
        <v>206</v>
      </c>
    </row>
    <row r="208" spans="1:24">
      <c r="A208" s="906">
        <v>207</v>
      </c>
      <c r="B208" s="906" t="s">
        <v>1565</v>
      </c>
      <c r="C208" s="906">
        <v>29189</v>
      </c>
      <c r="D208" s="906" t="s">
        <v>1256</v>
      </c>
      <c r="E208" s="906" t="s">
        <v>1258</v>
      </c>
      <c r="F208" s="1015">
        <f t="shared" si="92"/>
        <v>0</v>
      </c>
      <c r="G208" s="1014">
        <f t="shared" si="92"/>
        <v>68</v>
      </c>
      <c r="H208" s="1014">
        <f t="shared" si="92"/>
        <v>31</v>
      </c>
      <c r="I208" s="1014">
        <f t="shared" si="92"/>
        <v>70</v>
      </c>
      <c r="J208" s="1013">
        <f t="shared" si="92"/>
        <v>32</v>
      </c>
      <c r="K208" s="1012">
        <f t="shared" si="92"/>
        <v>36.00190348631601</v>
      </c>
      <c r="L208" s="1011">
        <f t="shared" si="92"/>
        <v>0.18422348746035186</v>
      </c>
      <c r="N208" s="1032" t="s">
        <v>1382</v>
      </c>
      <c r="O208" s="1031"/>
      <c r="P208" s="1030">
        <v>67</v>
      </c>
      <c r="Q208" s="1029">
        <v>40</v>
      </c>
      <c r="R208" s="1029">
        <v>80</v>
      </c>
      <c r="S208" s="1028">
        <v>40</v>
      </c>
      <c r="T208" s="1027" t="s">
        <v>842</v>
      </c>
      <c r="U208" s="1026"/>
      <c r="V208" s="1018" t="s">
        <v>842</v>
      </c>
      <c r="W208" s="1018"/>
      <c r="X208" s="1018">
        <v>207</v>
      </c>
    </row>
    <row r="209" spans="1:24">
      <c r="A209" s="906">
        <v>208</v>
      </c>
      <c r="B209" s="906" t="s">
        <v>1564</v>
      </c>
      <c r="C209" s="906">
        <v>29189</v>
      </c>
      <c r="D209" s="906" t="s">
        <v>1256</v>
      </c>
      <c r="E209" s="906" t="s">
        <v>1258</v>
      </c>
      <c r="F209" s="1015"/>
      <c r="G209" s="1014"/>
      <c r="H209" s="1014"/>
      <c r="I209" s="1014"/>
      <c r="J209" s="1013"/>
      <c r="K209" s="1012"/>
      <c r="L209" s="1011"/>
      <c r="N209" s="1032" t="s">
        <v>1380</v>
      </c>
      <c r="O209" s="1031"/>
      <c r="P209" s="1030">
        <v>73</v>
      </c>
      <c r="Q209" s="1029">
        <v>38</v>
      </c>
      <c r="R209" s="1029">
        <v>75</v>
      </c>
      <c r="S209" s="1028">
        <v>40</v>
      </c>
      <c r="T209" s="1027">
        <v>34.207606774484091</v>
      </c>
      <c r="U209" s="1026">
        <v>0.32759604195234043</v>
      </c>
      <c r="V209" s="1018">
        <v>18.143476</v>
      </c>
      <c r="W209" s="1018"/>
      <c r="X209" s="1018">
        <v>208</v>
      </c>
    </row>
    <row r="210" spans="1:24">
      <c r="A210" s="906">
        <v>209</v>
      </c>
      <c r="B210" s="906" t="s">
        <v>1563</v>
      </c>
      <c r="C210" s="906">
        <v>29189</v>
      </c>
      <c r="D210" s="906" t="s">
        <v>1256</v>
      </c>
      <c r="E210" s="906" t="s">
        <v>1258</v>
      </c>
      <c r="F210" s="1015"/>
      <c r="G210" s="1014"/>
      <c r="H210" s="1014"/>
      <c r="I210" s="1014"/>
      <c r="J210" s="1013"/>
      <c r="K210" s="1012"/>
      <c r="L210" s="1011"/>
      <c r="N210" s="1032" t="s">
        <v>1562</v>
      </c>
      <c r="O210" s="1031"/>
      <c r="P210" s="1030">
        <v>73</v>
      </c>
      <c r="Q210" s="1029">
        <v>34</v>
      </c>
      <c r="R210" s="1029">
        <v>73</v>
      </c>
      <c r="S210" s="1028">
        <v>34</v>
      </c>
      <c r="T210" s="1027" t="s">
        <v>842</v>
      </c>
      <c r="U210" s="1026">
        <v>0.20877817319098457</v>
      </c>
      <c r="V210" s="1018">
        <v>8.0039999999999996</v>
      </c>
      <c r="W210" s="1018"/>
      <c r="X210" s="1018">
        <v>209</v>
      </c>
    </row>
    <row r="211" spans="1:24">
      <c r="A211" s="906">
        <v>210</v>
      </c>
      <c r="B211" s="906" t="s">
        <v>1561</v>
      </c>
      <c r="C211" s="906">
        <v>29189</v>
      </c>
      <c r="D211" s="906" t="s">
        <v>1256</v>
      </c>
      <c r="E211" s="906" t="s">
        <v>1258</v>
      </c>
      <c r="F211" s="1015"/>
      <c r="G211" s="1014"/>
      <c r="H211" s="1014"/>
      <c r="I211" s="1014"/>
      <c r="J211" s="1013"/>
      <c r="K211" s="1012"/>
      <c r="L211" s="1011"/>
      <c r="N211" s="1038" t="s">
        <v>1560</v>
      </c>
      <c r="O211" s="1037">
        <v>0.1210063584268781</v>
      </c>
      <c r="P211" s="1036">
        <v>73</v>
      </c>
      <c r="Q211" s="1014">
        <v>39</v>
      </c>
      <c r="R211" s="1014">
        <v>70</v>
      </c>
      <c r="S211" s="1013">
        <v>38</v>
      </c>
      <c r="T211" s="1012">
        <v>32.423737373737374</v>
      </c>
      <c r="U211" s="1035">
        <v>0.20634070104934138</v>
      </c>
      <c r="V211" s="906">
        <v>17.774000000000001</v>
      </c>
      <c r="X211" s="906">
        <v>210</v>
      </c>
    </row>
    <row r="212" spans="1:24">
      <c r="A212" s="906">
        <v>211</v>
      </c>
      <c r="B212" s="906" t="s">
        <v>1559</v>
      </c>
      <c r="C212" s="906">
        <v>29189</v>
      </c>
      <c r="D212" s="906" t="s">
        <v>1256</v>
      </c>
      <c r="E212" s="906" t="s">
        <v>1258</v>
      </c>
      <c r="F212" s="1015"/>
      <c r="G212" s="1014"/>
      <c r="H212" s="1014"/>
      <c r="I212" s="1014"/>
      <c r="J212" s="1013"/>
      <c r="K212" s="1012"/>
      <c r="L212" s="1011"/>
      <c r="N212" s="1032" t="s">
        <v>1558</v>
      </c>
      <c r="O212" s="1031"/>
      <c r="P212" s="1034">
        <v>61</v>
      </c>
      <c r="Q212" s="1018">
        <v>36</v>
      </c>
      <c r="R212" s="1018">
        <v>67</v>
      </c>
      <c r="S212" s="1033">
        <v>34</v>
      </c>
      <c r="T212" s="1027">
        <v>46.755165262807544</v>
      </c>
      <c r="U212" s="1026">
        <v>0.11627030845302566</v>
      </c>
      <c r="V212" s="1018">
        <v>18.765999999999998</v>
      </c>
      <c r="W212" s="1018"/>
      <c r="X212" s="1018">
        <v>211</v>
      </c>
    </row>
    <row r="213" spans="1:24">
      <c r="A213" s="906">
        <v>212</v>
      </c>
      <c r="B213" s="906" t="s">
        <v>1557</v>
      </c>
      <c r="C213" s="906">
        <v>29189</v>
      </c>
      <c r="D213" s="906" t="s">
        <v>1256</v>
      </c>
      <c r="E213" s="906" t="s">
        <v>1258</v>
      </c>
      <c r="F213" s="1015"/>
      <c r="G213" s="1014"/>
      <c r="H213" s="1014"/>
      <c r="I213" s="1014"/>
      <c r="J213" s="1013"/>
      <c r="K213" s="1012"/>
      <c r="L213" s="1011"/>
      <c r="N213" s="1032" t="s">
        <v>1556</v>
      </c>
      <c r="O213" s="1031"/>
      <c r="P213" s="1030">
        <v>72</v>
      </c>
      <c r="Q213" s="1029">
        <v>33</v>
      </c>
      <c r="R213" s="1029">
        <v>75</v>
      </c>
      <c r="S213" s="1028">
        <v>0</v>
      </c>
      <c r="T213" s="1027"/>
      <c r="U213" s="1026"/>
      <c r="V213" s="1018" t="s">
        <v>842</v>
      </c>
      <c r="W213" s="1018"/>
      <c r="X213" s="1018">
        <v>212</v>
      </c>
    </row>
    <row r="214" spans="1:24">
      <c r="A214" s="906">
        <v>213</v>
      </c>
      <c r="B214" s="906" t="s">
        <v>1555</v>
      </c>
      <c r="C214" s="906">
        <v>29189</v>
      </c>
      <c r="D214" s="906" t="s">
        <v>1256</v>
      </c>
      <c r="E214" s="906" t="s">
        <v>1258</v>
      </c>
      <c r="F214" s="1015"/>
      <c r="G214" s="1014"/>
      <c r="H214" s="1014"/>
      <c r="I214" s="1014"/>
      <c r="J214" s="1013"/>
      <c r="K214" s="1012"/>
      <c r="L214" s="1011"/>
      <c r="N214" s="1032" t="s">
        <v>1554</v>
      </c>
      <c r="O214" s="1031"/>
      <c r="P214" s="1030">
        <v>74</v>
      </c>
      <c r="Q214" s="1029">
        <v>38</v>
      </c>
      <c r="R214" s="1029">
        <v>75</v>
      </c>
      <c r="S214" s="1028">
        <v>34</v>
      </c>
      <c r="T214" s="1027" t="s">
        <v>842</v>
      </c>
      <c r="U214" s="1026">
        <v>0.33361204013377926</v>
      </c>
      <c r="V214" s="1018">
        <v>3.1880000000000002</v>
      </c>
      <c r="W214" s="1018"/>
      <c r="X214" s="1018">
        <v>213</v>
      </c>
    </row>
    <row r="215" spans="1:24" ht="16">
      <c r="A215" s="906">
        <v>214</v>
      </c>
      <c r="B215" s="906" t="s">
        <v>1553</v>
      </c>
      <c r="C215" s="906">
        <v>29189</v>
      </c>
      <c r="D215" s="906" t="s">
        <v>1256</v>
      </c>
      <c r="E215" s="906" t="s">
        <v>1258</v>
      </c>
      <c r="F215" s="1015">
        <f t="shared" ref="F215:K216" si="93">O118</f>
        <v>0</v>
      </c>
      <c r="G215" s="1014">
        <f t="shared" si="93"/>
        <v>70</v>
      </c>
      <c r="H215" s="1014">
        <f t="shared" si="93"/>
        <v>40</v>
      </c>
      <c r="I215" s="1014">
        <f t="shared" si="93"/>
        <v>75</v>
      </c>
      <c r="J215" s="1013">
        <f t="shared" si="93"/>
        <v>35</v>
      </c>
      <c r="K215" s="1012" t="str">
        <f t="shared" si="93"/>
        <v/>
      </c>
      <c r="L215" s="1016">
        <v>0.22800028617798151</v>
      </c>
      <c r="N215" s="1032" t="s">
        <v>1373</v>
      </c>
      <c r="O215" s="1031"/>
      <c r="P215" s="1030">
        <v>68</v>
      </c>
      <c r="Q215" s="1029">
        <v>45</v>
      </c>
      <c r="R215" s="1029">
        <v>82</v>
      </c>
      <c r="S215" s="1028">
        <v>43</v>
      </c>
      <c r="T215" s="1027" t="s">
        <v>842</v>
      </c>
      <c r="U215" s="1026">
        <v>0.23974527108974802</v>
      </c>
      <c r="V215" s="1018">
        <v>647.53099999999995</v>
      </c>
      <c r="W215" s="1018"/>
      <c r="X215" s="1018">
        <v>214</v>
      </c>
    </row>
    <row r="216" spans="1:24">
      <c r="A216" s="906">
        <v>215</v>
      </c>
      <c r="B216" s="906" t="s">
        <v>1552</v>
      </c>
      <c r="C216" s="906">
        <v>29188</v>
      </c>
      <c r="D216" s="906" t="s">
        <v>1256</v>
      </c>
      <c r="E216" s="906" t="s">
        <v>1258</v>
      </c>
      <c r="F216" s="1015">
        <f t="shared" si="93"/>
        <v>0</v>
      </c>
      <c r="G216" s="1014">
        <f t="shared" si="93"/>
        <v>65</v>
      </c>
      <c r="H216" s="1014">
        <f t="shared" si="93"/>
        <v>35</v>
      </c>
      <c r="I216" s="1014">
        <f t="shared" si="93"/>
        <v>80</v>
      </c>
      <c r="J216" s="1013">
        <f t="shared" si="93"/>
        <v>32</v>
      </c>
      <c r="K216" s="1012">
        <f t="shared" si="93"/>
        <v>0</v>
      </c>
      <c r="L216" s="1011">
        <f>U119</f>
        <v>0.3172579453067258</v>
      </c>
      <c r="N216" s="1032" t="s">
        <v>1551</v>
      </c>
      <c r="O216" s="1031"/>
      <c r="P216" s="1030">
        <v>72</v>
      </c>
      <c r="Q216" s="1029">
        <v>0</v>
      </c>
      <c r="R216" s="1029">
        <v>76</v>
      </c>
      <c r="S216" s="1028">
        <v>0</v>
      </c>
      <c r="T216" s="1027" t="s">
        <v>842</v>
      </c>
      <c r="U216" s="1026"/>
      <c r="V216" s="1018" t="s">
        <v>842</v>
      </c>
      <c r="W216" s="1018"/>
      <c r="X216" s="1018">
        <v>215</v>
      </c>
    </row>
    <row r="217" spans="1:24">
      <c r="A217" s="906">
        <v>216</v>
      </c>
      <c r="B217" s="906" t="s">
        <v>1550</v>
      </c>
      <c r="C217" s="906">
        <v>29189</v>
      </c>
      <c r="D217" s="906" t="s">
        <v>1256</v>
      </c>
      <c r="E217" s="906" t="s">
        <v>1259</v>
      </c>
      <c r="F217" s="1015"/>
      <c r="G217" s="1014"/>
      <c r="H217" s="1014"/>
      <c r="I217" s="1014"/>
      <c r="J217" s="1013"/>
      <c r="K217" s="1012"/>
      <c r="L217" s="1011"/>
      <c r="N217" s="1032" t="s">
        <v>1549</v>
      </c>
      <c r="O217" s="1031">
        <v>5.3880879568952962E-3</v>
      </c>
      <c r="P217" s="1030">
        <v>70</v>
      </c>
      <c r="Q217" s="1029">
        <v>35</v>
      </c>
      <c r="R217" s="1029">
        <v>72</v>
      </c>
      <c r="S217" s="1028">
        <v>35</v>
      </c>
      <c r="T217" s="1027">
        <v>33.324634063315557</v>
      </c>
      <c r="U217" s="1026">
        <v>0.35754026354319179</v>
      </c>
      <c r="V217" s="1018">
        <v>4.3879999999999999</v>
      </c>
      <c r="W217" s="1018"/>
      <c r="X217" s="1018">
        <v>216</v>
      </c>
    </row>
    <row r="218" spans="1:24">
      <c r="A218" s="906">
        <v>217</v>
      </c>
      <c r="B218" s="906" t="s">
        <v>1548</v>
      </c>
      <c r="C218" s="906">
        <v>29189</v>
      </c>
      <c r="D218" s="906" t="s">
        <v>1256</v>
      </c>
      <c r="E218" s="906" t="s">
        <v>1258</v>
      </c>
      <c r="F218" s="1015"/>
      <c r="G218" s="1014"/>
      <c r="H218" s="1014"/>
      <c r="I218" s="1014"/>
      <c r="J218" s="1013"/>
      <c r="K218" s="1012"/>
      <c r="L218" s="1011"/>
      <c r="N218" s="1032" t="s">
        <v>1547</v>
      </c>
      <c r="O218" s="1031"/>
      <c r="P218" s="1030">
        <v>98</v>
      </c>
      <c r="Q218" s="1029">
        <v>46</v>
      </c>
      <c r="R218" s="1029">
        <v>100</v>
      </c>
      <c r="S218" s="1028">
        <v>43</v>
      </c>
      <c r="T218" s="1027" t="s">
        <v>842</v>
      </c>
      <c r="U218" s="1026"/>
      <c r="V218" s="1018" t="s">
        <v>842</v>
      </c>
      <c r="W218" s="1018"/>
      <c r="X218" s="1018">
        <v>217</v>
      </c>
    </row>
    <row r="219" spans="1:24">
      <c r="A219" s="906">
        <v>218</v>
      </c>
      <c r="B219" s="906" t="s">
        <v>1546</v>
      </c>
      <c r="C219" s="906">
        <v>29189</v>
      </c>
      <c r="D219" s="906" t="s">
        <v>1256</v>
      </c>
      <c r="E219" s="906" t="s">
        <v>1258</v>
      </c>
      <c r="F219" s="1015"/>
      <c r="G219" s="1014"/>
      <c r="H219" s="1014"/>
      <c r="I219" s="1014"/>
      <c r="J219" s="1013"/>
      <c r="K219" s="1012"/>
      <c r="L219" s="1011"/>
      <c r="N219" s="1038" t="s">
        <v>1545</v>
      </c>
      <c r="O219" s="1037"/>
      <c r="P219" s="1036">
        <v>72</v>
      </c>
      <c r="Q219" s="1014">
        <v>39</v>
      </c>
      <c r="R219" s="1014">
        <v>73</v>
      </c>
      <c r="S219" s="1013">
        <v>38</v>
      </c>
      <c r="T219" s="1012">
        <v>36.147820191133363</v>
      </c>
      <c r="U219" s="1035">
        <v>0.22652780102218159</v>
      </c>
      <c r="V219" s="906">
        <v>60.081000000000003</v>
      </c>
      <c r="X219" s="906">
        <v>218</v>
      </c>
    </row>
    <row r="220" spans="1:24">
      <c r="A220" s="906">
        <v>219</v>
      </c>
      <c r="B220" s="906" t="s">
        <v>1544</v>
      </c>
      <c r="C220" s="906">
        <v>29189</v>
      </c>
      <c r="D220" s="906" t="s">
        <v>1256</v>
      </c>
      <c r="E220" s="906" t="s">
        <v>1258</v>
      </c>
      <c r="F220" s="1015">
        <f t="shared" ref="F220:L223" si="94">O120</f>
        <v>0.27485276378343859</v>
      </c>
      <c r="G220" s="1014">
        <f t="shared" si="94"/>
        <v>73</v>
      </c>
      <c r="H220" s="1014">
        <f t="shared" si="94"/>
        <v>36</v>
      </c>
      <c r="I220" s="1014">
        <f t="shared" si="94"/>
        <v>75</v>
      </c>
      <c r="J220" s="1013">
        <f t="shared" si="94"/>
        <v>38</v>
      </c>
      <c r="K220" s="1012">
        <f t="shared" si="94"/>
        <v>35.047064945836929</v>
      </c>
      <c r="L220" s="1011">
        <f t="shared" si="94"/>
        <v>0.27305641176182788</v>
      </c>
      <c r="N220" s="1032" t="s">
        <v>1543</v>
      </c>
      <c r="O220" s="1031"/>
      <c r="P220" s="1030">
        <v>69</v>
      </c>
      <c r="Q220" s="1029">
        <v>39</v>
      </c>
      <c r="R220" s="1029">
        <v>74</v>
      </c>
      <c r="S220" s="1028">
        <v>34</v>
      </c>
      <c r="T220" s="1027" t="s">
        <v>842</v>
      </c>
      <c r="U220" s="1026">
        <v>0.31348259115976623</v>
      </c>
      <c r="V220" s="1018">
        <v>16.681000000000001</v>
      </c>
      <c r="W220" s="1018"/>
      <c r="X220" s="1018">
        <v>219</v>
      </c>
    </row>
    <row r="221" spans="1:24">
      <c r="A221" s="906">
        <v>220</v>
      </c>
      <c r="B221" s="906" t="s">
        <v>1542</v>
      </c>
      <c r="C221" s="906">
        <v>29189</v>
      </c>
      <c r="D221" s="906" t="s">
        <v>1256</v>
      </c>
      <c r="E221" s="906" t="s">
        <v>1258</v>
      </c>
      <c r="F221" s="1015">
        <f t="shared" si="94"/>
        <v>0</v>
      </c>
      <c r="G221" s="1014">
        <f t="shared" si="94"/>
        <v>72</v>
      </c>
      <c r="H221" s="1014">
        <f t="shared" si="94"/>
        <v>42</v>
      </c>
      <c r="I221" s="1014">
        <f t="shared" si="94"/>
        <v>74</v>
      </c>
      <c r="J221" s="1013">
        <f t="shared" si="94"/>
        <v>37</v>
      </c>
      <c r="K221" s="1012">
        <f t="shared" si="94"/>
        <v>32.767900746998279</v>
      </c>
      <c r="L221" s="1011">
        <f t="shared" si="94"/>
        <v>0.32580379714834662</v>
      </c>
      <c r="N221" s="1032" t="s">
        <v>1367</v>
      </c>
      <c r="O221" s="1031"/>
      <c r="P221" s="1030">
        <v>80</v>
      </c>
      <c r="Q221" s="1029">
        <v>52</v>
      </c>
      <c r="R221" s="1029">
        <v>98</v>
      </c>
      <c r="S221" s="1028">
        <v>56</v>
      </c>
      <c r="T221" s="1027">
        <v>35.229012561938589</v>
      </c>
      <c r="U221" s="1026">
        <v>4.4888546380582095E-2</v>
      </c>
      <c r="V221" s="1018">
        <v>164.83600000000001</v>
      </c>
      <c r="W221" s="1018"/>
      <c r="X221" s="1018">
        <v>220</v>
      </c>
    </row>
    <row r="222" spans="1:24">
      <c r="A222" s="906">
        <v>221</v>
      </c>
      <c r="B222" s="906" t="s">
        <v>1541</v>
      </c>
      <c r="C222" s="906">
        <v>29189</v>
      </c>
      <c r="D222" s="906" t="s">
        <v>1256</v>
      </c>
      <c r="E222" s="906" t="s">
        <v>1258</v>
      </c>
      <c r="F222" s="1015">
        <f t="shared" si="94"/>
        <v>2.1120897419043862E-2</v>
      </c>
      <c r="G222" s="1014">
        <f t="shared" si="94"/>
        <v>80</v>
      </c>
      <c r="H222" s="1014">
        <f t="shared" si="94"/>
        <v>40</v>
      </c>
      <c r="I222" s="1014">
        <f t="shared" si="94"/>
        <v>80</v>
      </c>
      <c r="J222" s="1013">
        <f t="shared" si="94"/>
        <v>40</v>
      </c>
      <c r="K222" s="1012">
        <f t="shared" si="94"/>
        <v>51.616798161181421</v>
      </c>
      <c r="L222" s="1011">
        <f t="shared" si="94"/>
        <v>0.11332199292716773</v>
      </c>
      <c r="N222" s="1032" t="s">
        <v>1540</v>
      </c>
      <c r="O222" s="1031">
        <v>8.5511899301839681E-2</v>
      </c>
      <c r="P222" s="1030">
        <v>68</v>
      </c>
      <c r="Q222" s="1029">
        <v>44</v>
      </c>
      <c r="R222" s="1029">
        <v>74</v>
      </c>
      <c r="S222" s="1028">
        <v>34</v>
      </c>
      <c r="T222" s="1027"/>
      <c r="U222" s="1026">
        <v>0.23148509334076345</v>
      </c>
      <c r="V222" s="1018">
        <v>13.791</v>
      </c>
      <c r="W222" s="1018"/>
      <c r="X222" s="1018">
        <v>221</v>
      </c>
    </row>
    <row r="223" spans="1:24">
      <c r="A223" s="906">
        <v>222</v>
      </c>
      <c r="B223" s="906" t="s">
        <v>1539</v>
      </c>
      <c r="C223" s="906">
        <v>29189</v>
      </c>
      <c r="D223" s="906" t="s">
        <v>1256</v>
      </c>
      <c r="E223" s="906" t="s">
        <v>1258</v>
      </c>
      <c r="F223" s="1015">
        <f t="shared" si="94"/>
        <v>0</v>
      </c>
      <c r="G223" s="1014">
        <f t="shared" si="94"/>
        <v>66</v>
      </c>
      <c r="H223" s="1014">
        <f t="shared" si="94"/>
        <v>37.5</v>
      </c>
      <c r="I223" s="1014">
        <f t="shared" si="94"/>
        <v>75</v>
      </c>
      <c r="J223" s="1013">
        <f t="shared" si="94"/>
        <v>36</v>
      </c>
      <c r="K223" s="1012">
        <f t="shared" si="94"/>
        <v>28.233937756446295</v>
      </c>
      <c r="L223" s="1011">
        <f t="shared" si="94"/>
        <v>0.18274293308797218</v>
      </c>
      <c r="N223" s="1032" t="s">
        <v>1538</v>
      </c>
      <c r="O223" s="1031"/>
      <c r="P223" s="1030">
        <v>75</v>
      </c>
      <c r="Q223" s="1029">
        <v>0</v>
      </c>
      <c r="R223" s="1029">
        <v>78</v>
      </c>
      <c r="S223" s="1028">
        <v>0</v>
      </c>
      <c r="T223" s="1027" t="s">
        <v>842</v>
      </c>
      <c r="U223" s="1026"/>
      <c r="V223" s="1018" t="s">
        <v>842</v>
      </c>
      <c r="W223" s="1018"/>
      <c r="X223" s="1018">
        <v>222</v>
      </c>
    </row>
    <row r="224" spans="1:24">
      <c r="A224" s="906">
        <v>223</v>
      </c>
      <c r="B224" s="906" t="s">
        <v>1537</v>
      </c>
      <c r="C224" s="906">
        <v>29189</v>
      </c>
      <c r="D224" s="906" t="s">
        <v>1256</v>
      </c>
      <c r="E224" s="906" t="s">
        <v>1258</v>
      </c>
      <c r="F224" s="1015"/>
      <c r="G224" s="1014"/>
      <c r="H224" s="1014"/>
      <c r="I224" s="1014"/>
      <c r="J224" s="1013"/>
      <c r="K224" s="1012"/>
      <c r="L224" s="1011"/>
      <c r="N224" s="1032" t="s">
        <v>1536</v>
      </c>
      <c r="O224" s="1031"/>
      <c r="P224" s="1030">
        <v>71</v>
      </c>
      <c r="Q224" s="1029">
        <v>38</v>
      </c>
      <c r="R224" s="1029">
        <v>71.7</v>
      </c>
      <c r="S224" s="1028">
        <v>35</v>
      </c>
      <c r="T224" s="1027">
        <v>59.151992880300043</v>
      </c>
      <c r="U224" s="1026">
        <v>0.2341783293724144</v>
      </c>
      <c r="V224" s="1018">
        <v>17.401</v>
      </c>
      <c r="W224" s="1018"/>
      <c r="X224" s="1018">
        <v>223</v>
      </c>
    </row>
    <row r="225" spans="1:24">
      <c r="A225" s="906">
        <v>224</v>
      </c>
      <c r="B225" s="906" t="s">
        <v>1535</v>
      </c>
      <c r="C225" s="906">
        <v>29188</v>
      </c>
      <c r="D225" s="906" t="s">
        <v>1256</v>
      </c>
      <c r="E225" s="906" t="s">
        <v>1258</v>
      </c>
      <c r="F225" s="1015"/>
      <c r="G225" s="1014"/>
      <c r="H225" s="1014"/>
      <c r="I225" s="1014"/>
      <c r="J225" s="1013"/>
      <c r="K225" s="1012"/>
      <c r="L225" s="1011"/>
      <c r="N225" s="1032" t="s">
        <v>1534</v>
      </c>
      <c r="O225" s="1031"/>
      <c r="P225" s="1030">
        <v>70</v>
      </c>
      <c r="Q225" s="1029">
        <v>38</v>
      </c>
      <c r="R225" s="1029">
        <v>78</v>
      </c>
      <c r="S225" s="1028">
        <v>34</v>
      </c>
      <c r="T225" s="1027" t="s">
        <v>842</v>
      </c>
      <c r="U225" s="1026">
        <v>0.2257401699822546</v>
      </c>
      <c r="V225" s="1018">
        <v>8.2899999999999991</v>
      </c>
      <c r="W225" s="1018"/>
      <c r="X225" s="1018">
        <v>224</v>
      </c>
    </row>
    <row r="226" spans="1:24">
      <c r="A226" s="906">
        <v>225</v>
      </c>
      <c r="B226" s="906" t="s">
        <v>1533</v>
      </c>
      <c r="C226" s="906">
        <v>29188</v>
      </c>
      <c r="D226" s="906" t="s">
        <v>1256</v>
      </c>
      <c r="E226" s="906" t="s">
        <v>1259</v>
      </c>
      <c r="F226" s="1015"/>
      <c r="G226" s="1014"/>
      <c r="H226" s="1014"/>
      <c r="I226" s="1014"/>
      <c r="J226" s="1013"/>
      <c r="K226" s="1012"/>
      <c r="L226" s="1011"/>
      <c r="N226" s="1032" t="s">
        <v>1532</v>
      </c>
      <c r="O226" s="1031"/>
      <c r="P226" s="1030">
        <v>80</v>
      </c>
      <c r="Q226" s="1029">
        <v>45</v>
      </c>
      <c r="R226" s="1029">
        <v>80</v>
      </c>
      <c r="S226" s="1028">
        <v>45</v>
      </c>
      <c r="T226" s="1027" t="s">
        <v>842</v>
      </c>
      <c r="U226" s="1026">
        <v>0.38391819660701837</v>
      </c>
      <c r="V226" s="1018">
        <v>2.6509999999999998</v>
      </c>
      <c r="W226" s="1018"/>
      <c r="X226" s="1018">
        <v>225</v>
      </c>
    </row>
    <row r="227" spans="1:24">
      <c r="A227" s="906">
        <v>226</v>
      </c>
      <c r="B227" s="906" t="s">
        <v>1531</v>
      </c>
      <c r="C227" s="906">
        <v>55133</v>
      </c>
      <c r="D227" s="906" t="s">
        <v>1257</v>
      </c>
      <c r="E227" s="906" t="s">
        <v>1258</v>
      </c>
      <c r="F227" s="1015">
        <f t="shared" ref="F227:L227" si="95">O124</f>
        <v>0</v>
      </c>
      <c r="G227" s="1014">
        <f t="shared" si="95"/>
        <v>65</v>
      </c>
      <c r="H227" s="1014">
        <f t="shared" si="95"/>
        <v>43</v>
      </c>
      <c r="I227" s="1014">
        <f t="shared" si="95"/>
        <v>68</v>
      </c>
      <c r="J227" s="1013">
        <f t="shared" si="95"/>
        <v>36</v>
      </c>
      <c r="K227" s="1012">
        <f t="shared" si="95"/>
        <v>28.562911929118126</v>
      </c>
      <c r="L227" s="1011">
        <f t="shared" si="95"/>
        <v>0.25218417118295644</v>
      </c>
      <c r="N227" s="1032" t="s">
        <v>1530</v>
      </c>
      <c r="O227" s="1031"/>
      <c r="P227" s="1030">
        <v>70</v>
      </c>
      <c r="Q227" s="1029">
        <v>40</v>
      </c>
      <c r="R227" s="1029">
        <v>80</v>
      </c>
      <c r="S227" s="1028">
        <v>40</v>
      </c>
      <c r="T227" s="1027"/>
      <c r="U227" s="1026">
        <v>0.2169264724372677</v>
      </c>
      <c r="V227" s="1018">
        <v>17.438420999999998</v>
      </c>
      <c r="W227" s="1018"/>
      <c r="X227" s="1018">
        <v>226</v>
      </c>
    </row>
    <row r="228" spans="1:24">
      <c r="A228" s="906">
        <v>227</v>
      </c>
      <c r="B228" s="906" t="s">
        <v>1529</v>
      </c>
      <c r="C228" s="906">
        <v>45973</v>
      </c>
      <c r="D228" s="906" t="s">
        <v>1256</v>
      </c>
      <c r="E228" s="906" t="s">
        <v>1258</v>
      </c>
      <c r="F228" s="1015"/>
      <c r="G228" s="1014"/>
      <c r="H228" s="1014"/>
      <c r="I228" s="1014"/>
      <c r="J228" s="1013"/>
      <c r="K228" s="1012"/>
      <c r="L228" s="1011"/>
      <c r="N228" s="1032" t="s">
        <v>1528</v>
      </c>
      <c r="O228" s="1031"/>
      <c r="P228" s="1030">
        <v>76</v>
      </c>
      <c r="Q228" s="1029">
        <v>39</v>
      </c>
      <c r="R228" s="1029">
        <v>78</v>
      </c>
      <c r="S228" s="1028">
        <v>36</v>
      </c>
      <c r="T228" s="1027">
        <v>52.457577464788734</v>
      </c>
      <c r="U228" s="1026">
        <v>0.21452541485791693</v>
      </c>
      <c r="V228" s="1018">
        <v>25.513000000000002</v>
      </c>
      <c r="W228" s="1018"/>
      <c r="X228" s="1018">
        <v>227</v>
      </c>
    </row>
    <row r="229" spans="1:24">
      <c r="A229" s="906">
        <v>228</v>
      </c>
      <c r="B229" s="906" t="s">
        <v>1527</v>
      </c>
      <c r="C229" s="906">
        <v>29189</v>
      </c>
      <c r="D229" s="906" t="s">
        <v>1256</v>
      </c>
      <c r="E229" s="906" t="s">
        <v>1258</v>
      </c>
      <c r="F229" s="1015">
        <f t="shared" ref="F229:L230" si="96">O125</f>
        <v>2.4506092104357405E-2</v>
      </c>
      <c r="G229" s="1014">
        <f t="shared" si="96"/>
        <v>70</v>
      </c>
      <c r="H229" s="1014">
        <f t="shared" si="96"/>
        <v>36</v>
      </c>
      <c r="I229" s="1014">
        <f t="shared" si="96"/>
        <v>75</v>
      </c>
      <c r="J229" s="1013">
        <f t="shared" si="96"/>
        <v>33</v>
      </c>
      <c r="K229" s="1012">
        <f t="shared" si="96"/>
        <v>35.419468841367362</v>
      </c>
      <c r="L229" s="1011">
        <f t="shared" si="96"/>
        <v>0.27393973608072825</v>
      </c>
      <c r="N229" s="1032" t="s">
        <v>1526</v>
      </c>
      <c r="O229" s="1031">
        <v>8.6365306872473353E-3</v>
      </c>
      <c r="P229" s="1030">
        <v>71</v>
      </c>
      <c r="Q229" s="1029">
        <v>37</v>
      </c>
      <c r="R229" s="1029">
        <v>76</v>
      </c>
      <c r="S229" s="1028">
        <v>36</v>
      </c>
      <c r="T229" s="1027" t="s">
        <v>842</v>
      </c>
      <c r="U229" s="1026">
        <v>0.4715477293790547</v>
      </c>
      <c r="V229" s="1018">
        <v>5.702</v>
      </c>
      <c r="W229" s="1018"/>
      <c r="X229" s="1018">
        <v>228</v>
      </c>
    </row>
    <row r="230" spans="1:24">
      <c r="A230" s="906">
        <v>229</v>
      </c>
      <c r="B230" s="906" t="s">
        <v>1525</v>
      </c>
      <c r="C230" s="906">
        <v>29189</v>
      </c>
      <c r="D230" s="906" t="s">
        <v>1256</v>
      </c>
      <c r="E230" s="906" t="s">
        <v>1258</v>
      </c>
      <c r="F230" s="1015">
        <f t="shared" si="96"/>
        <v>0</v>
      </c>
      <c r="G230" s="1014">
        <f t="shared" si="96"/>
        <v>75</v>
      </c>
      <c r="H230" s="1014">
        <f t="shared" si="96"/>
        <v>43</v>
      </c>
      <c r="I230" s="1014">
        <f t="shared" si="96"/>
        <v>80</v>
      </c>
      <c r="J230" s="1013">
        <f t="shared" si="96"/>
        <v>40</v>
      </c>
      <c r="K230" s="1012" t="str">
        <f t="shared" si="96"/>
        <v/>
      </c>
      <c r="L230" s="1011">
        <f t="shared" si="96"/>
        <v>0.26871273487421904</v>
      </c>
      <c r="N230" s="1032" t="s">
        <v>1524</v>
      </c>
      <c r="O230" s="1031"/>
      <c r="P230" s="1030">
        <v>80</v>
      </c>
      <c r="Q230" s="1029">
        <v>40</v>
      </c>
      <c r="R230" s="1029">
        <v>80</v>
      </c>
      <c r="S230" s="1028">
        <v>40</v>
      </c>
      <c r="T230" s="1027">
        <v>35.000006226187431</v>
      </c>
      <c r="U230" s="1026">
        <v>0.1961182278067885</v>
      </c>
      <c r="V230" s="1018">
        <v>78.819000000000003</v>
      </c>
      <c r="W230" s="1018"/>
      <c r="X230" s="1018">
        <v>229</v>
      </c>
    </row>
    <row r="231" spans="1:24">
      <c r="A231" s="906">
        <v>230</v>
      </c>
      <c r="B231" s="906" t="s">
        <v>1523</v>
      </c>
      <c r="C231" s="906">
        <v>55133</v>
      </c>
      <c r="D231" s="906" t="s">
        <v>1257</v>
      </c>
      <c r="E231" s="906" t="s">
        <v>1258</v>
      </c>
      <c r="F231" s="1015"/>
      <c r="G231" s="1014"/>
      <c r="H231" s="1014"/>
      <c r="I231" s="1014"/>
      <c r="J231" s="1013"/>
      <c r="K231" s="1012"/>
      <c r="L231" s="1011"/>
      <c r="N231" s="1032" t="s">
        <v>1350</v>
      </c>
      <c r="O231" s="1031"/>
      <c r="P231" s="1030">
        <v>63</v>
      </c>
      <c r="Q231" s="1029">
        <v>48</v>
      </c>
      <c r="R231" s="1029">
        <v>72</v>
      </c>
      <c r="S231" s="1028">
        <v>42</v>
      </c>
      <c r="T231" s="1027" t="s">
        <v>842</v>
      </c>
      <c r="U231" s="1026"/>
      <c r="V231" s="1018" t="s">
        <v>842</v>
      </c>
      <c r="W231" s="1018"/>
      <c r="X231" s="1018">
        <v>230</v>
      </c>
    </row>
    <row r="232" spans="1:24">
      <c r="A232" s="906">
        <v>231</v>
      </c>
      <c r="B232" s="906" t="s">
        <v>1522</v>
      </c>
      <c r="C232" s="906">
        <v>29189</v>
      </c>
      <c r="D232" s="906" t="s">
        <v>1256</v>
      </c>
      <c r="E232" s="906" t="s">
        <v>1258</v>
      </c>
      <c r="F232" s="1015"/>
      <c r="G232" s="1014"/>
      <c r="H232" s="1014"/>
      <c r="I232" s="1014"/>
      <c r="J232" s="1013"/>
      <c r="K232" s="1012"/>
      <c r="L232" s="1011"/>
      <c r="N232" s="1032" t="s">
        <v>1521</v>
      </c>
      <c r="O232" s="1031"/>
      <c r="P232" s="1030">
        <v>78</v>
      </c>
      <c r="Q232" s="1029">
        <v>51</v>
      </c>
      <c r="R232" s="1029">
        <v>85</v>
      </c>
      <c r="S232" s="1028">
        <v>42</v>
      </c>
      <c r="T232" s="1027" t="s">
        <v>842</v>
      </c>
      <c r="U232" s="1026">
        <v>0.15945465637516246</v>
      </c>
      <c r="V232" s="1018">
        <v>158.447</v>
      </c>
      <c r="W232" s="1018"/>
      <c r="X232" s="1018">
        <v>231</v>
      </c>
    </row>
    <row r="233" spans="1:24">
      <c r="A233" s="906">
        <v>232</v>
      </c>
      <c r="B233" s="906" t="s">
        <v>1520</v>
      </c>
      <c r="C233" s="906">
        <v>29189</v>
      </c>
      <c r="D233" s="906" t="s">
        <v>1256</v>
      </c>
      <c r="E233" s="906" t="s">
        <v>1258</v>
      </c>
      <c r="F233" s="1015">
        <f t="shared" ref="F233:L233" si="97">O128</f>
        <v>0</v>
      </c>
      <c r="G233" s="1014">
        <f t="shared" si="97"/>
        <v>70</v>
      </c>
      <c r="H233" s="1014">
        <f t="shared" si="97"/>
        <v>42</v>
      </c>
      <c r="I233" s="1014">
        <f t="shared" si="97"/>
        <v>72</v>
      </c>
      <c r="J233" s="1013">
        <f t="shared" si="97"/>
        <v>35</v>
      </c>
      <c r="K233" s="1012">
        <f t="shared" si="97"/>
        <v>31.90301255026986</v>
      </c>
      <c r="L233" s="1011">
        <f t="shared" si="97"/>
        <v>0.24153851746828081</v>
      </c>
      <c r="N233" s="1032" t="s">
        <v>1519</v>
      </c>
      <c r="O233" s="1031"/>
      <c r="P233" s="1030">
        <v>68</v>
      </c>
      <c r="Q233" s="1029">
        <v>0</v>
      </c>
      <c r="R233" s="1029">
        <v>75</v>
      </c>
      <c r="S233" s="1028">
        <v>0</v>
      </c>
      <c r="T233" s="1027" t="s">
        <v>842</v>
      </c>
      <c r="U233" s="1026"/>
      <c r="V233" s="1018" t="s">
        <v>842</v>
      </c>
      <c r="W233" s="1018"/>
      <c r="X233" s="1018">
        <v>232</v>
      </c>
    </row>
    <row r="234" spans="1:24">
      <c r="A234" s="906">
        <v>233</v>
      </c>
      <c r="B234" s="906" t="s">
        <v>1518</v>
      </c>
      <c r="C234" s="906">
        <v>29189</v>
      </c>
      <c r="D234" s="906" t="s">
        <v>1256</v>
      </c>
      <c r="E234" s="906" t="s">
        <v>1258</v>
      </c>
      <c r="F234" s="1015"/>
      <c r="G234" s="1014"/>
      <c r="H234" s="1014"/>
      <c r="I234" s="1014"/>
      <c r="J234" s="1013"/>
      <c r="K234" s="1012"/>
      <c r="L234" s="1011"/>
      <c r="N234" s="1032" t="s">
        <v>1346</v>
      </c>
      <c r="O234" s="1031"/>
      <c r="P234" s="1030">
        <v>75</v>
      </c>
      <c r="Q234" s="1029">
        <v>45</v>
      </c>
      <c r="R234" s="1029">
        <v>78</v>
      </c>
      <c r="S234" s="1028">
        <v>41</v>
      </c>
      <c r="T234" s="1027">
        <v>36.022074999995993</v>
      </c>
      <c r="U234" s="1026">
        <v>0.23532574071983792</v>
      </c>
      <c r="V234" s="1018">
        <v>399.69600000000003</v>
      </c>
      <c r="W234" s="1018"/>
      <c r="X234" s="1018">
        <v>233</v>
      </c>
    </row>
    <row r="235" spans="1:24">
      <c r="A235" s="906">
        <v>234</v>
      </c>
      <c r="B235" s="906" t="s">
        <v>1517</v>
      </c>
      <c r="C235" s="906">
        <v>29189</v>
      </c>
      <c r="D235" s="906" t="s">
        <v>1256</v>
      </c>
      <c r="E235" s="906" t="s">
        <v>1258</v>
      </c>
      <c r="F235" s="1015">
        <f t="shared" ref="F235:L235" si="98">O129</f>
        <v>0</v>
      </c>
      <c r="G235" s="1014">
        <f t="shared" si="98"/>
        <v>68</v>
      </c>
      <c r="H235" s="1014">
        <f t="shared" si="98"/>
        <v>44</v>
      </c>
      <c r="I235" s="1014">
        <f t="shared" si="98"/>
        <v>70</v>
      </c>
      <c r="J235" s="1013">
        <f t="shared" si="98"/>
        <v>39</v>
      </c>
      <c r="K235" s="1012">
        <f t="shared" si="98"/>
        <v>27.076615304008193</v>
      </c>
      <c r="L235" s="1011">
        <f t="shared" si="98"/>
        <v>0.49924357034795763</v>
      </c>
      <c r="N235" s="1032" t="s">
        <v>1344</v>
      </c>
      <c r="O235" s="1031"/>
      <c r="P235" s="1030">
        <v>100</v>
      </c>
      <c r="Q235" s="1029">
        <v>50</v>
      </c>
      <c r="R235" s="1029">
        <v>115</v>
      </c>
      <c r="S235" s="1028">
        <v>50</v>
      </c>
      <c r="T235" s="1027" t="s">
        <v>842</v>
      </c>
      <c r="U235" s="1026">
        <v>2.4610781342834634E-2</v>
      </c>
      <c r="V235" s="1018">
        <v>2094.7809999999999</v>
      </c>
      <c r="W235" s="1018"/>
      <c r="X235" s="1018">
        <v>234</v>
      </c>
    </row>
    <row r="236" spans="1:24">
      <c r="A236" s="906">
        <v>235</v>
      </c>
      <c r="B236" s="906" t="s">
        <v>1516</v>
      </c>
      <c r="C236" s="906">
        <v>29189</v>
      </c>
      <c r="D236" s="906" t="s">
        <v>1256</v>
      </c>
      <c r="E236" s="906" t="s">
        <v>1258</v>
      </c>
      <c r="F236" s="1015"/>
      <c r="G236" s="1014"/>
      <c r="H236" s="1014"/>
      <c r="I236" s="1014"/>
      <c r="J236" s="1013"/>
      <c r="K236" s="1012"/>
      <c r="L236" s="1011"/>
      <c r="N236" s="1032" t="s">
        <v>1515</v>
      </c>
      <c r="O236" s="1031">
        <v>2.9994380443944927E-2</v>
      </c>
      <c r="P236" s="1030">
        <v>66</v>
      </c>
      <c r="Q236" s="1029">
        <v>35</v>
      </c>
      <c r="R236" s="1029">
        <v>66</v>
      </c>
      <c r="S236" s="1028">
        <v>33</v>
      </c>
      <c r="T236" s="1027" t="s">
        <v>842</v>
      </c>
      <c r="U236" s="1026">
        <v>0.18794264610036926</v>
      </c>
      <c r="V236" s="1018">
        <v>11.213700000000001</v>
      </c>
      <c r="W236" s="1018"/>
      <c r="X236" s="1018">
        <v>235</v>
      </c>
    </row>
    <row r="237" spans="1:24">
      <c r="A237" s="906">
        <v>236</v>
      </c>
      <c r="B237" s="906" t="s">
        <v>1514</v>
      </c>
      <c r="C237" s="906">
        <v>29189</v>
      </c>
      <c r="D237" s="906" t="s">
        <v>1256</v>
      </c>
      <c r="E237" s="906" t="s">
        <v>1258</v>
      </c>
      <c r="F237" s="1015">
        <f t="shared" ref="F237:L237" si="99">O130</f>
        <v>0</v>
      </c>
      <c r="G237" s="1014">
        <f t="shared" si="99"/>
        <v>66</v>
      </c>
      <c r="H237" s="1014">
        <f t="shared" si="99"/>
        <v>37</v>
      </c>
      <c r="I237" s="1014">
        <f t="shared" si="99"/>
        <v>65</v>
      </c>
      <c r="J237" s="1013">
        <f t="shared" si="99"/>
        <v>35</v>
      </c>
      <c r="K237" s="1012" t="str">
        <f t="shared" si="99"/>
        <v/>
      </c>
      <c r="L237" s="1011">
        <f t="shared" si="99"/>
        <v>0.22099775357097445</v>
      </c>
      <c r="N237" s="1032" t="s">
        <v>1513</v>
      </c>
      <c r="O237" s="1031"/>
      <c r="P237" s="1034">
        <v>125</v>
      </c>
      <c r="Q237" s="1018">
        <v>63</v>
      </c>
      <c r="R237" s="1018">
        <v>125</v>
      </c>
      <c r="S237" s="1033">
        <v>60</v>
      </c>
      <c r="T237" s="1027" t="s">
        <v>842</v>
      </c>
      <c r="U237" s="1026">
        <v>5.0171516695280242E-2</v>
      </c>
      <c r="V237" s="1018">
        <v>1152.9739999999999</v>
      </c>
      <c r="W237" s="1018"/>
      <c r="X237" s="1018">
        <v>236</v>
      </c>
    </row>
    <row r="238" spans="1:24" ht="16">
      <c r="A238" s="906">
        <v>237</v>
      </c>
      <c r="B238" s="906" t="s">
        <v>1512</v>
      </c>
      <c r="C238" s="906">
        <v>55133</v>
      </c>
      <c r="D238" s="906" t="s">
        <v>1257</v>
      </c>
      <c r="E238" s="906" t="s">
        <v>1258</v>
      </c>
      <c r="F238" s="1015">
        <f t="shared" ref="F238:K238" si="100">O131</f>
        <v>0</v>
      </c>
      <c r="G238" s="1014">
        <f t="shared" si="100"/>
        <v>60.38</v>
      </c>
      <c r="H238" s="1014">
        <f t="shared" si="100"/>
        <v>38</v>
      </c>
      <c r="I238" s="1014">
        <f t="shared" si="100"/>
        <v>68</v>
      </c>
      <c r="J238" s="1013">
        <f t="shared" si="100"/>
        <v>35</v>
      </c>
      <c r="K238" s="1012" t="str">
        <f t="shared" si="100"/>
        <v/>
      </c>
      <c r="L238" s="1016">
        <v>0.17374718282373314</v>
      </c>
      <c r="N238" s="1032" t="s">
        <v>1342</v>
      </c>
      <c r="O238" s="1031">
        <v>2.2939456417796597E-3</v>
      </c>
      <c r="P238" s="1030">
        <v>67</v>
      </c>
      <c r="Q238" s="1029">
        <v>41</v>
      </c>
      <c r="R238" s="1029">
        <v>78</v>
      </c>
      <c r="S238" s="1028">
        <v>38</v>
      </c>
      <c r="T238" s="1027">
        <v>36.03034015456042</v>
      </c>
      <c r="U238" s="1026">
        <v>0.23961749844871907</v>
      </c>
      <c r="V238" s="1018">
        <v>274.49200000000002</v>
      </c>
      <c r="W238" s="1018"/>
      <c r="X238" s="1018">
        <v>237</v>
      </c>
    </row>
    <row r="239" spans="1:24">
      <c r="A239" s="906">
        <v>238</v>
      </c>
      <c r="B239" s="906" t="s">
        <v>1511</v>
      </c>
      <c r="C239" s="906">
        <v>29189</v>
      </c>
      <c r="D239" s="906" t="s">
        <v>1256</v>
      </c>
      <c r="E239" s="906" t="s">
        <v>1258</v>
      </c>
      <c r="F239" s="1015"/>
      <c r="G239" s="1014"/>
      <c r="H239" s="1014"/>
      <c r="I239" s="1014"/>
      <c r="J239" s="1013"/>
      <c r="K239" s="1012"/>
      <c r="L239" s="1011"/>
      <c r="N239" s="1032" t="s">
        <v>1341</v>
      </c>
      <c r="O239" s="1031"/>
      <c r="P239" s="1030">
        <v>66.8</v>
      </c>
      <c r="Q239" s="1029">
        <v>41.3</v>
      </c>
      <c r="R239" s="1029">
        <v>68.5</v>
      </c>
      <c r="S239" s="1028">
        <v>39.200000000000003</v>
      </c>
      <c r="T239" s="1027">
        <v>28.157887120078705</v>
      </c>
      <c r="U239" s="1026">
        <v>0.23081406264668147</v>
      </c>
      <c r="V239" s="1018">
        <v>196.64699999999999</v>
      </c>
      <c r="W239" s="1018"/>
      <c r="X239" s="1018">
        <v>238</v>
      </c>
    </row>
    <row r="240" spans="1:24">
      <c r="A240" s="906">
        <v>239</v>
      </c>
      <c r="B240" s="906" t="s">
        <v>1510</v>
      </c>
      <c r="C240" s="906">
        <v>29189</v>
      </c>
      <c r="D240" s="906" t="s">
        <v>1256</v>
      </c>
      <c r="E240" s="906" t="s">
        <v>1258</v>
      </c>
      <c r="F240" s="1015"/>
      <c r="G240" s="1014"/>
      <c r="H240" s="1014"/>
      <c r="I240" s="1014"/>
      <c r="J240" s="1013"/>
      <c r="K240" s="1012"/>
      <c r="L240" s="1011"/>
      <c r="N240" s="1032" t="s">
        <v>1340</v>
      </c>
      <c r="O240" s="1031">
        <v>3.4953395472703062E-2</v>
      </c>
      <c r="P240" s="1030">
        <v>71</v>
      </c>
      <c r="Q240" s="1029">
        <v>37</v>
      </c>
      <c r="R240" s="1029">
        <v>77</v>
      </c>
      <c r="S240" s="1028">
        <v>32</v>
      </c>
      <c r="T240" s="1027" t="s">
        <v>842</v>
      </c>
      <c r="U240" s="1026">
        <v>0.24870645050017248</v>
      </c>
      <c r="V240" s="1018">
        <v>28.314</v>
      </c>
      <c r="W240" s="1018"/>
      <c r="X240" s="1018">
        <v>239</v>
      </c>
    </row>
    <row r="241" spans="1:24">
      <c r="A241" s="906">
        <v>240</v>
      </c>
      <c r="B241" s="906" t="s">
        <v>1509</v>
      </c>
      <c r="C241" s="906">
        <v>28856</v>
      </c>
      <c r="D241" s="906" t="s">
        <v>1256</v>
      </c>
      <c r="E241" s="906" t="s">
        <v>1258</v>
      </c>
      <c r="F241" s="1015">
        <f t="shared" ref="F241:L241" si="101">O132</f>
        <v>0.2041240088577756</v>
      </c>
      <c r="G241" s="1014">
        <f t="shared" si="101"/>
        <v>70</v>
      </c>
      <c r="H241" s="1014">
        <f t="shared" si="101"/>
        <v>42</v>
      </c>
      <c r="I241" s="1014">
        <f t="shared" si="101"/>
        <v>72</v>
      </c>
      <c r="J241" s="1013">
        <f t="shared" si="101"/>
        <v>35</v>
      </c>
      <c r="K241" s="1012">
        <f t="shared" si="101"/>
        <v>27.81311459801638</v>
      </c>
      <c r="L241" s="1011">
        <f t="shared" si="101"/>
        <v>0.24184353444267848</v>
      </c>
      <c r="N241" s="1032" t="s">
        <v>1508</v>
      </c>
      <c r="O241" s="1031">
        <v>8.3595919483172906E-3</v>
      </c>
      <c r="P241" s="1030">
        <v>65</v>
      </c>
      <c r="Q241" s="1029">
        <v>35</v>
      </c>
      <c r="R241" s="1029">
        <v>72</v>
      </c>
      <c r="S241" s="1028">
        <v>34</v>
      </c>
      <c r="T241" s="1027">
        <v>42.243755862120082</v>
      </c>
      <c r="U241" s="1026">
        <v>0.24847939640162503</v>
      </c>
      <c r="V241" s="1018">
        <v>25.897400000000001</v>
      </c>
      <c r="W241" s="1018"/>
      <c r="X241" s="1018">
        <v>240</v>
      </c>
    </row>
    <row r="242" spans="1:24">
      <c r="A242" s="906">
        <v>241</v>
      </c>
      <c r="B242" s="906" t="s">
        <v>1507</v>
      </c>
      <c r="C242" s="906">
        <v>29189</v>
      </c>
      <c r="D242" s="906" t="s">
        <v>1256</v>
      </c>
      <c r="E242" s="906" t="s">
        <v>1258</v>
      </c>
      <c r="F242" s="1015"/>
      <c r="G242" s="1014"/>
      <c r="H242" s="1014"/>
      <c r="I242" s="1014"/>
      <c r="J242" s="1013"/>
      <c r="K242" s="1012"/>
      <c r="L242" s="1011"/>
      <c r="N242" s="1032" t="s">
        <v>1506</v>
      </c>
      <c r="O242" s="1031"/>
      <c r="P242" s="1030">
        <v>68</v>
      </c>
      <c r="Q242" s="1029">
        <v>0</v>
      </c>
      <c r="R242" s="1029">
        <v>74</v>
      </c>
      <c r="S242" s="1028">
        <v>0</v>
      </c>
      <c r="T242" s="1027" t="s">
        <v>842</v>
      </c>
      <c r="U242" s="1026">
        <v>0.31993156544054746</v>
      </c>
      <c r="V242" s="1018">
        <v>3.18</v>
      </c>
      <c r="W242" s="1018"/>
      <c r="X242" s="1018">
        <v>241</v>
      </c>
    </row>
    <row r="243" spans="1:24">
      <c r="A243" s="906">
        <v>242</v>
      </c>
      <c r="B243" s="906" t="s">
        <v>1505</v>
      </c>
      <c r="C243" s="906">
        <v>29189</v>
      </c>
      <c r="D243" s="906" t="s">
        <v>1256</v>
      </c>
      <c r="E243" s="906" t="s">
        <v>1258</v>
      </c>
      <c r="F243" s="1015"/>
      <c r="G243" s="1014"/>
      <c r="H243" s="1014"/>
      <c r="I243" s="1014"/>
      <c r="J243" s="1013"/>
      <c r="K243" s="1012"/>
      <c r="L243" s="1011"/>
      <c r="N243" s="1032" t="s">
        <v>1334</v>
      </c>
      <c r="O243" s="1031"/>
      <c r="P243" s="1034">
        <v>76</v>
      </c>
      <c r="Q243" s="1018">
        <v>42</v>
      </c>
      <c r="R243" s="1018">
        <v>76</v>
      </c>
      <c r="S243" s="1033">
        <v>39</v>
      </c>
      <c r="T243" s="1027">
        <v>38.756086174042636</v>
      </c>
      <c r="U243" s="1026">
        <v>0.25674584447590576</v>
      </c>
      <c r="V243" s="1018">
        <v>39.374203880000003</v>
      </c>
      <c r="W243" s="1018"/>
      <c r="X243" s="1018">
        <v>242</v>
      </c>
    </row>
    <row r="244" spans="1:24">
      <c r="A244" s="906">
        <v>243</v>
      </c>
      <c r="B244" s="906" t="s">
        <v>1504</v>
      </c>
      <c r="C244" s="906">
        <v>29189</v>
      </c>
      <c r="D244" s="906" t="s">
        <v>1256</v>
      </c>
      <c r="E244" s="906" t="s">
        <v>1259</v>
      </c>
      <c r="F244" s="1015"/>
      <c r="G244" s="1014"/>
      <c r="H244" s="1014"/>
      <c r="I244" s="1014"/>
      <c r="J244" s="1013"/>
      <c r="K244" s="1012"/>
      <c r="L244" s="1011"/>
      <c r="N244" s="1032" t="s">
        <v>1503</v>
      </c>
      <c r="O244" s="1031"/>
      <c r="P244" s="1030">
        <v>67</v>
      </c>
      <c r="Q244" s="1029">
        <v>42</v>
      </c>
      <c r="R244" s="1029">
        <v>70</v>
      </c>
      <c r="S244" s="1028">
        <v>37</v>
      </c>
      <c r="T244" s="1027" t="s">
        <v>842</v>
      </c>
      <c r="U244" s="1026">
        <v>0.40074330242143225</v>
      </c>
      <c r="V244" s="1018">
        <v>4.6526290000000001</v>
      </c>
      <c r="W244" s="1018"/>
      <c r="X244" s="1018">
        <v>243</v>
      </c>
    </row>
    <row r="245" spans="1:24">
      <c r="A245" s="906">
        <v>244</v>
      </c>
      <c r="B245" s="906" t="s">
        <v>1502</v>
      </c>
      <c r="C245" s="906">
        <v>29189</v>
      </c>
      <c r="D245" s="906" t="s">
        <v>1257</v>
      </c>
      <c r="E245" s="906" t="s">
        <v>1258</v>
      </c>
      <c r="F245" s="1015">
        <f t="shared" ref="F245:L245" si="102">O133</f>
        <v>0</v>
      </c>
      <c r="G245" s="1014">
        <f t="shared" si="102"/>
        <v>64</v>
      </c>
      <c r="H245" s="1014">
        <f t="shared" si="102"/>
        <v>45</v>
      </c>
      <c r="I245" s="1014">
        <f t="shared" si="102"/>
        <v>65</v>
      </c>
      <c r="J245" s="1013">
        <f t="shared" si="102"/>
        <v>40</v>
      </c>
      <c r="K245" s="1012" t="str">
        <f t="shared" si="102"/>
        <v/>
      </c>
      <c r="L245" s="1011">
        <f t="shared" si="102"/>
        <v>0.19586194937631596</v>
      </c>
      <c r="N245" s="1032" t="s">
        <v>1501</v>
      </c>
      <c r="O245" s="1031"/>
      <c r="P245" s="1030">
        <v>68</v>
      </c>
      <c r="Q245" s="1029">
        <v>45</v>
      </c>
      <c r="R245" s="1029">
        <v>70</v>
      </c>
      <c r="S245" s="1028">
        <v>43</v>
      </c>
      <c r="T245" s="1027" t="s">
        <v>842</v>
      </c>
      <c r="U245" s="1026">
        <v>0.17581161874834209</v>
      </c>
      <c r="V245" s="1018">
        <v>40.390999999999998</v>
      </c>
      <c r="W245" s="1018"/>
      <c r="X245" s="1018">
        <v>244</v>
      </c>
    </row>
    <row r="246" spans="1:24" ht="16">
      <c r="A246" s="906">
        <v>245</v>
      </c>
      <c r="B246" s="906" t="s">
        <v>1500</v>
      </c>
      <c r="C246" s="906">
        <v>29188</v>
      </c>
      <c r="D246" s="906" t="s">
        <v>1256</v>
      </c>
      <c r="E246" s="906" t="s">
        <v>1258</v>
      </c>
      <c r="F246" s="1015">
        <f t="shared" ref="F246:K246" si="103">O134</f>
        <v>0</v>
      </c>
      <c r="G246" s="1014">
        <f t="shared" si="103"/>
        <v>73</v>
      </c>
      <c r="H246" s="1014">
        <f t="shared" si="103"/>
        <v>0</v>
      </c>
      <c r="I246" s="1014">
        <f t="shared" si="103"/>
        <v>73</v>
      </c>
      <c r="J246" s="1013">
        <f t="shared" si="103"/>
        <v>0</v>
      </c>
      <c r="K246" s="1012" t="str">
        <f t="shared" si="103"/>
        <v/>
      </c>
      <c r="L246" s="1016">
        <v>0.22800028617798151</v>
      </c>
      <c r="N246" s="1032" t="s">
        <v>1499</v>
      </c>
      <c r="O246" s="1031"/>
      <c r="P246" s="1030">
        <v>73</v>
      </c>
      <c r="Q246" s="1029">
        <v>40</v>
      </c>
      <c r="R246" s="1029">
        <v>74</v>
      </c>
      <c r="S246" s="1028">
        <v>38</v>
      </c>
      <c r="T246" s="1027">
        <v>33.293261760135614</v>
      </c>
      <c r="U246" s="1026">
        <v>0.48748877941981389</v>
      </c>
      <c r="V246" s="1018">
        <v>2.8090739999999998</v>
      </c>
      <c r="W246" s="1018"/>
      <c r="X246" s="1018">
        <v>245</v>
      </c>
    </row>
    <row r="247" spans="1:24">
      <c r="A247" s="906">
        <v>246</v>
      </c>
      <c r="B247" s="906" t="s">
        <v>1498</v>
      </c>
      <c r="C247" s="906">
        <v>41333</v>
      </c>
      <c r="D247" s="906" t="s">
        <v>1256</v>
      </c>
      <c r="E247" s="906" t="s">
        <v>1258</v>
      </c>
      <c r="F247" s="1015"/>
      <c r="G247" s="1014"/>
      <c r="H247" s="1014"/>
      <c r="I247" s="1014"/>
      <c r="J247" s="1013"/>
      <c r="K247" s="1012"/>
      <c r="L247" s="1011"/>
      <c r="N247" s="1032" t="s">
        <v>1497</v>
      </c>
      <c r="O247" s="1031"/>
      <c r="P247" s="1030">
        <v>74</v>
      </c>
      <c r="Q247" s="1029">
        <v>39</v>
      </c>
      <c r="R247" s="1029">
        <v>76</v>
      </c>
      <c r="S247" s="1028">
        <v>34</v>
      </c>
      <c r="T247" s="1027" t="s">
        <v>842</v>
      </c>
      <c r="U247" s="1026">
        <v>0.25546265720508676</v>
      </c>
      <c r="V247" s="1018">
        <v>10.597</v>
      </c>
      <c r="W247" s="1018"/>
      <c r="X247" s="1018">
        <v>246</v>
      </c>
    </row>
    <row r="248" spans="1:24">
      <c r="A248" s="906">
        <v>247</v>
      </c>
      <c r="B248" s="906" t="s">
        <v>1496</v>
      </c>
      <c r="C248" s="906">
        <v>44023</v>
      </c>
      <c r="D248" s="906" t="s">
        <v>1257</v>
      </c>
      <c r="E248" s="906" t="s">
        <v>1259</v>
      </c>
      <c r="F248" s="1015">
        <f t="shared" ref="F248:L248" si="104">O135</f>
        <v>0</v>
      </c>
      <c r="G248" s="1014">
        <f t="shared" si="104"/>
        <v>73</v>
      </c>
      <c r="H248" s="1014">
        <f t="shared" si="104"/>
        <v>0</v>
      </c>
      <c r="I248" s="1014">
        <f t="shared" si="104"/>
        <v>73</v>
      </c>
      <c r="J248" s="1013">
        <f t="shared" si="104"/>
        <v>0</v>
      </c>
      <c r="K248" s="1012">
        <f t="shared" si="104"/>
        <v>28.55022805146475</v>
      </c>
      <c r="L248" s="1011">
        <f t="shared" si="104"/>
        <v>0.26233766233766231</v>
      </c>
      <c r="N248" s="1032" t="s">
        <v>1495</v>
      </c>
      <c r="O248" s="1031">
        <v>3.4430193439865435E-3</v>
      </c>
      <c r="P248" s="1030">
        <v>66</v>
      </c>
      <c r="Q248" s="1029">
        <v>39</v>
      </c>
      <c r="R248" s="1029">
        <v>70</v>
      </c>
      <c r="S248" s="1028">
        <v>36</v>
      </c>
      <c r="T248" s="1027">
        <v>31.196659204408473</v>
      </c>
      <c r="U248" s="1026">
        <v>0.21267505340612392</v>
      </c>
      <c r="V248" s="1018">
        <v>29.853000000000002</v>
      </c>
      <c r="W248" s="1018"/>
      <c r="X248" s="1018">
        <v>247</v>
      </c>
    </row>
    <row r="249" spans="1:24">
      <c r="A249" s="906">
        <v>248</v>
      </c>
      <c r="B249" s="906" t="s">
        <v>1494</v>
      </c>
      <c r="C249" s="906">
        <v>29189</v>
      </c>
      <c r="D249" s="906" t="s">
        <v>1256</v>
      </c>
      <c r="E249" s="906" t="s">
        <v>1258</v>
      </c>
      <c r="F249" s="1015"/>
      <c r="G249" s="1014"/>
      <c r="H249" s="1014"/>
      <c r="I249" s="1014"/>
      <c r="J249" s="1013"/>
      <c r="K249" s="1012"/>
      <c r="L249" s="1011"/>
      <c r="N249" s="1032" t="s">
        <v>1493</v>
      </c>
      <c r="O249" s="1031"/>
      <c r="P249" s="1030">
        <v>67</v>
      </c>
      <c r="Q249" s="1029">
        <v>37</v>
      </c>
      <c r="R249" s="1029">
        <v>70</v>
      </c>
      <c r="S249" s="1028">
        <v>34</v>
      </c>
      <c r="T249" s="1027">
        <v>32.745812737811598</v>
      </c>
      <c r="U249" s="1026">
        <v>0.26686901704412797</v>
      </c>
      <c r="V249" s="1018">
        <v>9.42</v>
      </c>
      <c r="W249" s="1018"/>
      <c r="X249" s="1018">
        <v>248</v>
      </c>
    </row>
    <row r="250" spans="1:24">
      <c r="A250" s="906">
        <v>249</v>
      </c>
      <c r="B250" s="906" t="s">
        <v>1492</v>
      </c>
      <c r="C250" s="906">
        <v>29189</v>
      </c>
      <c r="D250" s="906" t="s">
        <v>1256</v>
      </c>
      <c r="E250" s="906" t="s">
        <v>1258</v>
      </c>
      <c r="F250" s="1015">
        <f t="shared" ref="F250:L250" si="105">O136</f>
        <v>7.3937588207621141E-2</v>
      </c>
      <c r="G250" s="1014">
        <f t="shared" si="105"/>
        <v>70</v>
      </c>
      <c r="H250" s="1014">
        <f t="shared" si="105"/>
        <v>34.5</v>
      </c>
      <c r="I250" s="1014">
        <f t="shared" si="105"/>
        <v>72</v>
      </c>
      <c r="J250" s="1013">
        <f t="shared" si="105"/>
        <v>33</v>
      </c>
      <c r="K250" s="1012">
        <f t="shared" si="105"/>
        <v>33.602151604771642</v>
      </c>
      <c r="L250" s="1011">
        <f t="shared" si="105"/>
        <v>0.21691643383286766</v>
      </c>
      <c r="N250" s="1032" t="s">
        <v>1491</v>
      </c>
      <c r="O250" s="1031">
        <v>6.973014434139879E-5</v>
      </c>
      <c r="P250" s="1030">
        <v>72</v>
      </c>
      <c r="Q250" s="1029">
        <v>39</v>
      </c>
      <c r="R250" s="1029">
        <v>76</v>
      </c>
      <c r="S250" s="1028">
        <v>34</v>
      </c>
      <c r="T250" s="1027">
        <v>34.869991065066671</v>
      </c>
      <c r="U250" s="1026">
        <v>0.26729428172942815</v>
      </c>
      <c r="V250" s="1018">
        <v>10.507</v>
      </c>
      <c r="W250" s="1018"/>
      <c r="X250" s="1018">
        <v>249</v>
      </c>
    </row>
    <row r="251" spans="1:24">
      <c r="A251" s="906">
        <v>250</v>
      </c>
      <c r="B251" s="906" t="s">
        <v>1490</v>
      </c>
      <c r="C251" s="906">
        <v>29189</v>
      </c>
      <c r="D251" s="906" t="s">
        <v>1256</v>
      </c>
      <c r="E251" s="906" t="s">
        <v>1258</v>
      </c>
      <c r="F251" s="1015">
        <f t="shared" ref="F251:L252" si="106">O138</f>
        <v>0</v>
      </c>
      <c r="G251" s="1014">
        <f t="shared" si="106"/>
        <v>72</v>
      </c>
      <c r="H251" s="1014">
        <f t="shared" si="106"/>
        <v>40</v>
      </c>
      <c r="I251" s="1014">
        <f t="shared" si="106"/>
        <v>72</v>
      </c>
      <c r="J251" s="1013">
        <f t="shared" si="106"/>
        <v>40</v>
      </c>
      <c r="K251" s="1012" t="str">
        <f t="shared" si="106"/>
        <v/>
      </c>
      <c r="L251" s="1011">
        <f t="shared" si="106"/>
        <v>0.2803927933776984</v>
      </c>
      <c r="N251" s="1032" t="s">
        <v>1489</v>
      </c>
      <c r="O251" s="1031"/>
      <c r="P251" s="1030">
        <v>66</v>
      </c>
      <c r="Q251" s="1029">
        <v>38</v>
      </c>
      <c r="R251" s="1029">
        <v>73</v>
      </c>
      <c r="S251" s="1028">
        <v>36</v>
      </c>
      <c r="T251" s="1027">
        <v>30.201102191033733</v>
      </c>
      <c r="U251" s="1026">
        <v>0.31531005647263249</v>
      </c>
      <c r="V251" s="1018">
        <v>6.3046249999999997</v>
      </c>
      <c r="W251" s="1018"/>
      <c r="X251" s="1018">
        <v>250</v>
      </c>
    </row>
    <row r="252" spans="1:24">
      <c r="A252" s="906">
        <v>251</v>
      </c>
      <c r="B252" s="906" t="s">
        <v>1488</v>
      </c>
      <c r="C252" s="906">
        <v>29189</v>
      </c>
      <c r="D252" s="906" t="s">
        <v>1256</v>
      </c>
      <c r="E252" s="906" t="s">
        <v>1259</v>
      </c>
      <c r="F252" s="1015">
        <f t="shared" si="106"/>
        <v>9.4308389379192305E-3</v>
      </c>
      <c r="G252" s="1014">
        <f t="shared" si="106"/>
        <v>67</v>
      </c>
      <c r="H252" s="1014">
        <f t="shared" si="106"/>
        <v>42</v>
      </c>
      <c r="I252" s="1014">
        <f t="shared" si="106"/>
        <v>81</v>
      </c>
      <c r="J252" s="1013">
        <f t="shared" si="106"/>
        <v>34</v>
      </c>
      <c r="K252" s="1012">
        <f t="shared" si="106"/>
        <v>32.415217939027464</v>
      </c>
      <c r="L252" s="1011">
        <f t="shared" si="106"/>
        <v>0.3305003819709702</v>
      </c>
      <c r="N252" s="1032" t="s">
        <v>1487</v>
      </c>
      <c r="O252" s="1031">
        <v>1.3805119957110307E-2</v>
      </c>
      <c r="P252" s="1030">
        <v>72</v>
      </c>
      <c r="Q252" s="1029">
        <v>41</v>
      </c>
      <c r="R252" s="1029">
        <v>73</v>
      </c>
      <c r="S252" s="1028">
        <v>39</v>
      </c>
      <c r="T252" s="1027"/>
      <c r="U252" s="1026">
        <v>0.45528676270725743</v>
      </c>
      <c r="V252" s="1018">
        <v>4.008</v>
      </c>
      <c r="W252" s="1018"/>
      <c r="X252" s="1018">
        <v>251</v>
      </c>
    </row>
    <row r="253" spans="1:24">
      <c r="A253" s="906">
        <v>252</v>
      </c>
      <c r="B253" s="906" t="s">
        <v>1485</v>
      </c>
      <c r="C253" s="906">
        <v>29189</v>
      </c>
      <c r="D253" s="906" t="s">
        <v>1257</v>
      </c>
      <c r="E253" s="906" t="s">
        <v>1258</v>
      </c>
      <c r="F253" s="1015"/>
      <c r="G253" s="1014"/>
      <c r="H253" s="1014"/>
      <c r="I253" s="1014"/>
      <c r="J253" s="1013"/>
      <c r="K253" s="1012"/>
      <c r="L253" s="1011"/>
      <c r="N253" s="1032" t="s">
        <v>1486</v>
      </c>
      <c r="O253" s="1031">
        <v>1.6757865937072503E-2</v>
      </c>
      <c r="P253" s="1030">
        <v>70</v>
      </c>
      <c r="Q253" s="1029">
        <v>0</v>
      </c>
      <c r="R253" s="1029">
        <v>80</v>
      </c>
      <c r="S253" s="1028">
        <v>0</v>
      </c>
      <c r="T253" s="1027" t="s">
        <v>842</v>
      </c>
      <c r="U253" s="1026">
        <v>0.30536956521739128</v>
      </c>
      <c r="V253" s="1018">
        <v>31.952999999999999</v>
      </c>
      <c r="W253" s="1018"/>
      <c r="X253" s="1018">
        <v>252</v>
      </c>
    </row>
    <row r="254" spans="1:24">
      <c r="A254" s="906">
        <v>253</v>
      </c>
      <c r="B254" s="906" t="s">
        <v>1485</v>
      </c>
      <c r="C254" s="906">
        <v>29189</v>
      </c>
      <c r="D254" s="906" t="s">
        <v>1256</v>
      </c>
      <c r="E254" s="906" t="s">
        <v>1258</v>
      </c>
      <c r="F254" s="1015"/>
      <c r="G254" s="1014"/>
      <c r="H254" s="1014"/>
      <c r="I254" s="1014"/>
      <c r="J254" s="1013"/>
      <c r="K254" s="1012"/>
      <c r="L254" s="1011"/>
      <c r="N254" s="1032" t="s">
        <v>1484</v>
      </c>
      <c r="O254" s="1031"/>
      <c r="P254" s="1030">
        <v>70</v>
      </c>
      <c r="Q254" s="1029">
        <v>35</v>
      </c>
      <c r="R254" s="1029">
        <v>75</v>
      </c>
      <c r="S254" s="1028">
        <v>32</v>
      </c>
      <c r="T254" s="1027">
        <v>39.619779176581176</v>
      </c>
      <c r="U254" s="1026">
        <v>0.22868686868686869</v>
      </c>
      <c r="V254" s="1018">
        <v>11.454000000000001</v>
      </c>
      <c r="W254" s="1018"/>
      <c r="X254" s="1018">
        <v>253</v>
      </c>
    </row>
    <row r="255" spans="1:24" ht="16">
      <c r="A255" s="906">
        <v>254</v>
      </c>
      <c r="B255" s="906" t="s">
        <v>1483</v>
      </c>
      <c r="C255" s="906">
        <v>29189</v>
      </c>
      <c r="D255" s="906" t="s">
        <v>1256</v>
      </c>
      <c r="E255" s="906" t="s">
        <v>1258</v>
      </c>
      <c r="F255" s="1015">
        <f t="shared" ref="F255:K257" si="107">O140</f>
        <v>0</v>
      </c>
      <c r="G255" s="1014">
        <f t="shared" si="107"/>
        <v>71</v>
      </c>
      <c r="H255" s="1014">
        <f t="shared" si="107"/>
        <v>0</v>
      </c>
      <c r="I255" s="1014">
        <f t="shared" si="107"/>
        <v>79</v>
      </c>
      <c r="J255" s="1013">
        <f t="shared" si="107"/>
        <v>0</v>
      </c>
      <c r="K255" s="1012" t="str">
        <f t="shared" si="107"/>
        <v/>
      </c>
      <c r="L255" s="1016">
        <v>0.22800028617798151</v>
      </c>
      <c r="N255" s="1032" t="s">
        <v>1482</v>
      </c>
      <c r="O255" s="1031"/>
      <c r="P255" s="1030">
        <v>73</v>
      </c>
      <c r="Q255" s="1029">
        <v>42</v>
      </c>
      <c r="R255" s="1029">
        <v>75</v>
      </c>
      <c r="S255" s="1028">
        <v>40</v>
      </c>
      <c r="T255" s="1027" t="s">
        <v>842</v>
      </c>
      <c r="U255" s="1026">
        <v>0.26005738797750855</v>
      </c>
      <c r="V255" s="1018">
        <v>204.23599999999999</v>
      </c>
      <c r="W255" s="1018"/>
      <c r="X255" s="1018">
        <v>254</v>
      </c>
    </row>
    <row r="256" spans="1:24">
      <c r="A256" s="906">
        <v>255</v>
      </c>
      <c r="B256" s="906" t="s">
        <v>1481</v>
      </c>
      <c r="C256" s="906">
        <v>29189</v>
      </c>
      <c r="D256" s="906" t="s">
        <v>1256</v>
      </c>
      <c r="E256" s="906" t="s">
        <v>1258</v>
      </c>
      <c r="F256" s="1015">
        <f t="shared" si="107"/>
        <v>0</v>
      </c>
      <c r="G256" s="1014">
        <f t="shared" si="107"/>
        <v>70</v>
      </c>
      <c r="H256" s="1014">
        <f t="shared" si="107"/>
        <v>41</v>
      </c>
      <c r="I256" s="1014">
        <f t="shared" si="107"/>
        <v>70</v>
      </c>
      <c r="J256" s="1013">
        <f t="shared" si="107"/>
        <v>41</v>
      </c>
      <c r="K256" s="1012" t="str">
        <f t="shared" si="107"/>
        <v/>
      </c>
      <c r="L256" s="1011">
        <f>U141</f>
        <v>0.31760591573840757</v>
      </c>
      <c r="N256" s="1032" t="s">
        <v>1480</v>
      </c>
      <c r="O256" s="1031"/>
      <c r="P256" s="1030">
        <v>75</v>
      </c>
      <c r="Q256" s="1029">
        <v>40</v>
      </c>
      <c r="R256" s="1029">
        <v>82</v>
      </c>
      <c r="S256" s="1028">
        <v>39</v>
      </c>
      <c r="T256" s="1027">
        <v>42.554670479371481</v>
      </c>
      <c r="U256" s="1026">
        <v>0.16509396556642708</v>
      </c>
      <c r="V256" s="1018">
        <v>73.992999999999995</v>
      </c>
      <c r="W256" s="1018"/>
      <c r="X256" s="1018">
        <v>255</v>
      </c>
    </row>
    <row r="257" spans="1:24" ht="16">
      <c r="A257" s="906">
        <v>256</v>
      </c>
      <c r="B257" s="906" t="s">
        <v>1479</v>
      </c>
      <c r="C257" s="906">
        <v>31210</v>
      </c>
      <c r="D257" s="906" t="s">
        <v>1257</v>
      </c>
      <c r="E257" s="906" t="s">
        <v>1258</v>
      </c>
      <c r="F257" s="1015">
        <f t="shared" si="107"/>
        <v>0</v>
      </c>
      <c r="G257" s="1014">
        <f t="shared" si="107"/>
        <v>60</v>
      </c>
      <c r="H257" s="1014">
        <f t="shared" si="107"/>
        <v>0</v>
      </c>
      <c r="I257" s="1014">
        <f t="shared" si="107"/>
        <v>80</v>
      </c>
      <c r="J257" s="1013">
        <f t="shared" si="107"/>
        <v>0</v>
      </c>
      <c r="K257" s="1012" t="str">
        <f t="shared" si="107"/>
        <v/>
      </c>
      <c r="L257" s="1016">
        <v>0.17374718282373314</v>
      </c>
      <c r="N257" s="1025" t="s">
        <v>1478</v>
      </c>
      <c r="O257" s="1024"/>
      <c r="P257" s="1023">
        <v>78</v>
      </c>
      <c r="Q257" s="1022">
        <v>40</v>
      </c>
      <c r="R257" s="1022">
        <v>82</v>
      </c>
      <c r="S257" s="1021">
        <v>35</v>
      </c>
      <c r="T257" s="1020" t="s">
        <v>842</v>
      </c>
      <c r="U257" s="1019">
        <v>0.2564394908904763</v>
      </c>
      <c r="V257" s="1018">
        <v>95.867999999999995</v>
      </c>
      <c r="W257" s="1018"/>
      <c r="X257" s="1018">
        <v>256</v>
      </c>
    </row>
    <row r="258" spans="1:24">
      <c r="A258" s="906">
        <v>257</v>
      </c>
      <c r="B258" s="906" t="s">
        <v>1477</v>
      </c>
      <c r="C258" s="906">
        <v>29188</v>
      </c>
      <c r="D258" s="906" t="s">
        <v>1256</v>
      </c>
      <c r="E258" s="906" t="s">
        <v>1259</v>
      </c>
      <c r="F258" s="1015">
        <f t="shared" ref="F258:L258" si="108">O150</f>
        <v>0</v>
      </c>
      <c r="G258" s="1014">
        <f t="shared" si="108"/>
        <v>75</v>
      </c>
      <c r="H258" s="1014">
        <f t="shared" si="108"/>
        <v>52</v>
      </c>
      <c r="I258" s="1014">
        <f t="shared" si="108"/>
        <v>80</v>
      </c>
      <c r="J258" s="1013">
        <f t="shared" si="108"/>
        <v>45</v>
      </c>
      <c r="K258" s="1012" t="str">
        <f t="shared" si="108"/>
        <v/>
      </c>
      <c r="L258" s="1011">
        <f t="shared" si="108"/>
        <v>0.25359712230215825</v>
      </c>
    </row>
    <row r="259" spans="1:24">
      <c r="A259" s="906">
        <v>258</v>
      </c>
      <c r="B259" s="906" t="s">
        <v>1476</v>
      </c>
      <c r="C259" s="906">
        <v>29189</v>
      </c>
      <c r="D259" s="906" t="s">
        <v>1256</v>
      </c>
      <c r="E259" s="906" t="s">
        <v>1258</v>
      </c>
      <c r="F259" s="1015"/>
      <c r="G259" s="1014"/>
      <c r="H259" s="1014"/>
      <c r="I259" s="1014"/>
      <c r="J259" s="1013"/>
      <c r="K259" s="1012"/>
      <c r="L259" s="1011"/>
    </row>
    <row r="260" spans="1:24">
      <c r="A260" s="906">
        <v>259</v>
      </c>
      <c r="B260" s="906" t="s">
        <v>1475</v>
      </c>
      <c r="C260" s="906">
        <v>23795</v>
      </c>
      <c r="D260" s="906" t="s">
        <v>1256</v>
      </c>
      <c r="E260" s="906" t="s">
        <v>1258</v>
      </c>
      <c r="F260" s="1015"/>
      <c r="G260" s="1014"/>
      <c r="H260" s="1014"/>
      <c r="I260" s="1014"/>
      <c r="J260" s="1013"/>
      <c r="K260" s="1012"/>
      <c r="L260" s="1011"/>
    </row>
    <row r="261" spans="1:24">
      <c r="A261" s="906">
        <v>260</v>
      </c>
      <c r="B261" s="906" t="s">
        <v>1475</v>
      </c>
      <c r="C261" s="906">
        <v>29189</v>
      </c>
      <c r="D261" s="906" t="s">
        <v>1256</v>
      </c>
      <c r="E261" s="906" t="s">
        <v>1258</v>
      </c>
      <c r="F261" s="1015"/>
      <c r="G261" s="1014"/>
      <c r="H261" s="1014"/>
      <c r="I261" s="1014"/>
      <c r="J261" s="1013"/>
      <c r="K261" s="1012"/>
      <c r="L261" s="1011"/>
    </row>
    <row r="262" spans="1:24">
      <c r="A262" s="906">
        <v>261</v>
      </c>
      <c r="B262" s="906" t="s">
        <v>1474</v>
      </c>
      <c r="C262" s="906">
        <v>41333</v>
      </c>
      <c r="D262" s="906" t="s">
        <v>1256</v>
      </c>
      <c r="E262" s="906" t="s">
        <v>1258</v>
      </c>
      <c r="F262" s="1015">
        <f t="shared" ref="F262:L265" si="109">O145</f>
        <v>0</v>
      </c>
      <c r="G262" s="1014">
        <f t="shared" si="109"/>
        <v>74</v>
      </c>
      <c r="H262" s="1014">
        <f t="shared" si="109"/>
        <v>40</v>
      </c>
      <c r="I262" s="1014">
        <f t="shared" si="109"/>
        <v>74</v>
      </c>
      <c r="J262" s="1013">
        <f t="shared" si="109"/>
        <v>38</v>
      </c>
      <c r="K262" s="1012">
        <f t="shared" si="109"/>
        <v>36.844128774010883</v>
      </c>
      <c r="L262" s="1011">
        <f t="shared" si="109"/>
        <v>0.2188596691126202</v>
      </c>
    </row>
    <row r="263" spans="1:24">
      <c r="A263" s="906">
        <v>262</v>
      </c>
      <c r="B263" s="906" t="s">
        <v>1473</v>
      </c>
      <c r="C263" s="906">
        <v>29188</v>
      </c>
      <c r="D263" s="906" t="s">
        <v>1256</v>
      </c>
      <c r="E263" s="906" t="s">
        <v>1259</v>
      </c>
      <c r="F263" s="1015">
        <f t="shared" si="109"/>
        <v>0</v>
      </c>
      <c r="G263" s="1014">
        <f t="shared" si="109"/>
        <v>73</v>
      </c>
      <c r="H263" s="1014">
        <f t="shared" si="109"/>
        <v>41</v>
      </c>
      <c r="I263" s="1014">
        <f t="shared" si="109"/>
        <v>75</v>
      </c>
      <c r="J263" s="1013">
        <f t="shared" si="109"/>
        <v>40</v>
      </c>
      <c r="K263" s="1012">
        <f t="shared" si="109"/>
        <v>3.5520143126997965</v>
      </c>
      <c r="L263" s="1011">
        <f t="shared" si="109"/>
        <v>0.27656720684271863</v>
      </c>
    </row>
    <row r="264" spans="1:24">
      <c r="A264" s="906">
        <v>263</v>
      </c>
      <c r="B264" s="906" t="s">
        <v>1472</v>
      </c>
      <c r="C264" s="906">
        <v>29188</v>
      </c>
      <c r="D264" s="906" t="s">
        <v>1256</v>
      </c>
      <c r="E264" s="906" t="s">
        <v>1259</v>
      </c>
      <c r="F264" s="1015">
        <f t="shared" si="109"/>
        <v>0</v>
      </c>
      <c r="G264" s="1014">
        <f t="shared" si="109"/>
        <v>67</v>
      </c>
      <c r="H264" s="1014">
        <f t="shared" si="109"/>
        <v>67</v>
      </c>
      <c r="I264" s="1014">
        <f t="shared" si="109"/>
        <v>71</v>
      </c>
      <c r="J264" s="1013">
        <f t="shared" si="109"/>
        <v>71</v>
      </c>
      <c r="K264" s="1012">
        <f t="shared" si="109"/>
        <v>33.030288913026958</v>
      </c>
      <c r="L264" s="1011">
        <f t="shared" si="109"/>
        <v>0.26487182298263534</v>
      </c>
    </row>
    <row r="265" spans="1:24">
      <c r="A265" s="906">
        <v>264</v>
      </c>
      <c r="B265" s="906" t="s">
        <v>1471</v>
      </c>
      <c r="C265" s="906">
        <v>29189</v>
      </c>
      <c r="D265" s="906" t="s">
        <v>1256</v>
      </c>
      <c r="E265" s="906" t="s">
        <v>1259</v>
      </c>
      <c r="F265" s="1015">
        <f t="shared" si="109"/>
        <v>0</v>
      </c>
      <c r="G265" s="1014">
        <f t="shared" si="109"/>
        <v>75</v>
      </c>
      <c r="H265" s="1014">
        <f t="shared" si="109"/>
        <v>53</v>
      </c>
      <c r="I265" s="1014">
        <f t="shared" si="109"/>
        <v>85</v>
      </c>
      <c r="J265" s="1013">
        <f t="shared" si="109"/>
        <v>47</v>
      </c>
      <c r="K265" s="1012">
        <f t="shared" si="109"/>
        <v>34.118186758900578</v>
      </c>
      <c r="L265" s="1011">
        <f t="shared" si="109"/>
        <v>0.19083493483106331</v>
      </c>
    </row>
    <row r="266" spans="1:24">
      <c r="A266" s="906">
        <v>265</v>
      </c>
      <c r="B266" s="906" t="s">
        <v>1470</v>
      </c>
      <c r="C266" s="906">
        <v>29189</v>
      </c>
      <c r="D266" s="906" t="s">
        <v>1256</v>
      </c>
      <c r="E266" s="906" t="s">
        <v>1258</v>
      </c>
      <c r="F266" s="1015"/>
      <c r="G266" s="1014"/>
      <c r="H266" s="1014"/>
      <c r="I266" s="1014"/>
      <c r="J266" s="1013"/>
      <c r="K266" s="1012"/>
      <c r="L266" s="1011"/>
    </row>
    <row r="267" spans="1:24">
      <c r="A267" s="906">
        <v>266</v>
      </c>
      <c r="B267" s="906" t="s">
        <v>1469</v>
      </c>
      <c r="C267" s="906">
        <v>29188</v>
      </c>
      <c r="D267" s="906" t="s">
        <v>1256</v>
      </c>
      <c r="E267" s="906" t="s">
        <v>1258</v>
      </c>
      <c r="F267" s="1015"/>
      <c r="G267" s="1014"/>
      <c r="H267" s="1014"/>
      <c r="I267" s="1014"/>
      <c r="J267" s="1013"/>
      <c r="K267" s="1012"/>
      <c r="L267" s="1011"/>
    </row>
    <row r="268" spans="1:24">
      <c r="A268" s="906">
        <v>267</v>
      </c>
      <c r="B268" s="906" t="s">
        <v>1468</v>
      </c>
      <c r="C268" s="906">
        <v>29189</v>
      </c>
      <c r="D268" s="906" t="s">
        <v>1256</v>
      </c>
      <c r="E268" s="906" t="s">
        <v>1258</v>
      </c>
      <c r="F268" s="1015"/>
      <c r="G268" s="1014"/>
      <c r="H268" s="1014"/>
      <c r="I268" s="1014"/>
      <c r="J268" s="1013"/>
      <c r="K268" s="1012"/>
      <c r="L268" s="1011"/>
    </row>
    <row r="269" spans="1:24">
      <c r="A269" s="906">
        <v>268</v>
      </c>
      <c r="B269" s="906" t="s">
        <v>1467</v>
      </c>
      <c r="C269" s="906">
        <v>29189</v>
      </c>
      <c r="D269" s="906" t="s">
        <v>1256</v>
      </c>
      <c r="E269" s="906" t="s">
        <v>1258</v>
      </c>
      <c r="F269" s="1015">
        <f t="shared" ref="F269:L269" si="110">O143</f>
        <v>7.2396076599719368E-3</v>
      </c>
      <c r="G269" s="1014">
        <f t="shared" si="110"/>
        <v>72</v>
      </c>
      <c r="H269" s="1014">
        <f t="shared" si="110"/>
        <v>38</v>
      </c>
      <c r="I269" s="1014">
        <f t="shared" si="110"/>
        <v>76</v>
      </c>
      <c r="J269" s="1013">
        <f t="shared" si="110"/>
        <v>35</v>
      </c>
      <c r="K269" s="1012">
        <f t="shared" si="110"/>
        <v>34.726955023416103</v>
      </c>
      <c r="L269" s="1011">
        <f t="shared" si="110"/>
        <v>0.15658695901921843</v>
      </c>
    </row>
    <row r="270" spans="1:24">
      <c r="A270" s="906">
        <v>269</v>
      </c>
      <c r="B270" s="906" t="s">
        <v>1466</v>
      </c>
      <c r="C270" s="906">
        <v>29189</v>
      </c>
      <c r="D270" s="906" t="s">
        <v>1256</v>
      </c>
      <c r="E270" s="906" t="s">
        <v>1258</v>
      </c>
      <c r="F270" s="1015">
        <f t="shared" ref="F270:L270" si="111">O244</f>
        <v>0</v>
      </c>
      <c r="G270" s="1014">
        <f t="shared" si="111"/>
        <v>67</v>
      </c>
      <c r="H270" s="1014">
        <f t="shared" si="111"/>
        <v>42</v>
      </c>
      <c r="I270" s="1014">
        <f t="shared" si="111"/>
        <v>70</v>
      </c>
      <c r="J270" s="1013">
        <f t="shared" si="111"/>
        <v>37</v>
      </c>
      <c r="K270" s="1012" t="str">
        <f t="shared" si="111"/>
        <v/>
      </c>
      <c r="L270" s="1011">
        <f t="shared" si="111"/>
        <v>0.40074330242143225</v>
      </c>
    </row>
    <row r="271" spans="1:24">
      <c r="A271" s="906">
        <v>270</v>
      </c>
      <c r="B271" s="906" t="s">
        <v>1465</v>
      </c>
      <c r="C271" s="906">
        <v>29189</v>
      </c>
      <c r="D271" s="906" t="s">
        <v>1256</v>
      </c>
      <c r="E271" s="906" t="s">
        <v>1258</v>
      </c>
      <c r="F271" s="1015">
        <f t="shared" ref="F271:L271" si="112">O149</f>
        <v>0</v>
      </c>
      <c r="G271" s="1014">
        <f t="shared" si="112"/>
        <v>68</v>
      </c>
      <c r="H271" s="1014">
        <f t="shared" si="112"/>
        <v>40</v>
      </c>
      <c r="I271" s="1014">
        <f t="shared" si="112"/>
        <v>70</v>
      </c>
      <c r="J271" s="1013">
        <f t="shared" si="112"/>
        <v>37</v>
      </c>
      <c r="K271" s="1012" t="str">
        <f t="shared" si="112"/>
        <v/>
      </c>
      <c r="L271" s="1011">
        <f t="shared" si="112"/>
        <v>0.23822738827421522</v>
      </c>
    </row>
    <row r="272" spans="1:24">
      <c r="A272" s="906">
        <v>271</v>
      </c>
      <c r="B272" s="906" t="s">
        <v>1464</v>
      </c>
      <c r="C272" s="906">
        <v>29189</v>
      </c>
      <c r="D272" s="906" t="s">
        <v>1257</v>
      </c>
      <c r="E272" s="906" t="s">
        <v>1258</v>
      </c>
      <c r="F272" s="1015">
        <f t="shared" ref="F272:L272" si="113">O253</f>
        <v>1.6757865937072503E-2</v>
      </c>
      <c r="G272" s="1014">
        <f t="shared" si="113"/>
        <v>70</v>
      </c>
      <c r="H272" s="1014">
        <f t="shared" si="113"/>
        <v>0</v>
      </c>
      <c r="I272" s="1014">
        <f t="shared" si="113"/>
        <v>80</v>
      </c>
      <c r="J272" s="1013">
        <f t="shared" si="113"/>
        <v>0</v>
      </c>
      <c r="K272" s="1012" t="str">
        <f t="shared" si="113"/>
        <v/>
      </c>
      <c r="L272" s="1011">
        <f t="shared" si="113"/>
        <v>0.30536956521739128</v>
      </c>
    </row>
    <row r="273" spans="1:12">
      <c r="A273" s="906">
        <v>272</v>
      </c>
      <c r="B273" s="906" t="s">
        <v>1463</v>
      </c>
      <c r="C273" s="906">
        <v>32264</v>
      </c>
      <c r="D273" s="906" t="s">
        <v>1257</v>
      </c>
      <c r="E273" s="906" t="s">
        <v>1258</v>
      </c>
      <c r="F273" s="1015">
        <f t="shared" ref="F273:L273" si="114">O151</f>
        <v>0</v>
      </c>
      <c r="G273" s="1014">
        <f t="shared" si="114"/>
        <v>69.13</v>
      </c>
      <c r="H273" s="1014">
        <f t="shared" si="114"/>
        <v>44.59</v>
      </c>
      <c r="I273" s="1014">
        <f t="shared" si="114"/>
        <v>73.069999999999993</v>
      </c>
      <c r="J273" s="1013">
        <f t="shared" si="114"/>
        <v>39.200000000000003</v>
      </c>
      <c r="K273" s="1012">
        <f t="shared" si="114"/>
        <v>0</v>
      </c>
      <c r="L273" s="1011">
        <f t="shared" si="114"/>
        <v>0.24214000347403161</v>
      </c>
    </row>
    <row r="274" spans="1:12">
      <c r="A274" s="906">
        <v>273</v>
      </c>
      <c r="B274" s="906" t="s">
        <v>1462</v>
      </c>
      <c r="C274" s="906">
        <v>29188</v>
      </c>
      <c r="D274" s="906" t="s">
        <v>1256</v>
      </c>
      <c r="E274" s="906" t="s">
        <v>1259</v>
      </c>
      <c r="F274" s="1015"/>
      <c r="G274" s="1014"/>
      <c r="H274" s="1014"/>
      <c r="I274" s="1014"/>
      <c r="J274" s="1013"/>
      <c r="K274" s="1012"/>
      <c r="L274" s="1011"/>
    </row>
    <row r="275" spans="1:12">
      <c r="A275" s="906">
        <v>274</v>
      </c>
      <c r="B275" s="906" t="s">
        <v>1461</v>
      </c>
      <c r="C275" s="906">
        <v>23795</v>
      </c>
      <c r="D275" s="906" t="s">
        <v>1256</v>
      </c>
      <c r="E275" s="906" t="s">
        <v>1258</v>
      </c>
      <c r="F275" s="1015"/>
      <c r="G275" s="1014"/>
      <c r="H275" s="1014"/>
      <c r="I275" s="1014"/>
      <c r="J275" s="1013"/>
      <c r="K275" s="1012"/>
      <c r="L275" s="1011"/>
    </row>
    <row r="276" spans="1:12">
      <c r="A276" s="906">
        <v>275</v>
      </c>
      <c r="B276" s="906" t="s">
        <v>1460</v>
      </c>
      <c r="C276" s="906">
        <v>29189</v>
      </c>
      <c r="D276" s="906" t="s">
        <v>1256</v>
      </c>
      <c r="E276" s="906" t="s">
        <v>1258</v>
      </c>
      <c r="F276" s="1015"/>
      <c r="G276" s="1014"/>
      <c r="H276" s="1014"/>
      <c r="I276" s="1014"/>
      <c r="J276" s="1013"/>
      <c r="K276" s="1012"/>
      <c r="L276" s="1011"/>
    </row>
    <row r="277" spans="1:12">
      <c r="A277" s="906">
        <v>276</v>
      </c>
      <c r="B277" s="906" t="s">
        <v>1459</v>
      </c>
      <c r="C277" s="906">
        <v>29189</v>
      </c>
      <c r="D277" s="906" t="s">
        <v>1256</v>
      </c>
      <c r="E277" s="906" t="s">
        <v>1258</v>
      </c>
      <c r="F277" s="1015">
        <f t="shared" ref="F277:L277" si="115">O154</f>
        <v>0</v>
      </c>
      <c r="G277" s="1014">
        <f t="shared" si="115"/>
        <v>65</v>
      </c>
      <c r="H277" s="1014">
        <f t="shared" si="115"/>
        <v>40</v>
      </c>
      <c r="I277" s="1014">
        <f t="shared" si="115"/>
        <v>70</v>
      </c>
      <c r="J277" s="1013">
        <f t="shared" si="115"/>
        <v>35</v>
      </c>
      <c r="K277" s="1012">
        <f t="shared" si="115"/>
        <v>32.20957264957265</v>
      </c>
      <c r="L277" s="1011">
        <f t="shared" si="115"/>
        <v>0.24167047010497489</v>
      </c>
    </row>
    <row r="278" spans="1:12">
      <c r="A278" s="906">
        <v>277</v>
      </c>
      <c r="B278" s="906" t="s">
        <v>1458</v>
      </c>
      <c r="C278" s="906">
        <v>29189</v>
      </c>
      <c r="D278" s="906" t="s">
        <v>1256</v>
      </c>
      <c r="E278" s="906" t="s">
        <v>1258</v>
      </c>
      <c r="F278" s="1015">
        <f t="shared" ref="F278:L278" si="116">O153</f>
        <v>0</v>
      </c>
      <c r="G278" s="1014">
        <f t="shared" si="116"/>
        <v>70</v>
      </c>
      <c r="H278" s="1014">
        <f t="shared" si="116"/>
        <v>40</v>
      </c>
      <c r="I278" s="1014">
        <f t="shared" si="116"/>
        <v>74</v>
      </c>
      <c r="J278" s="1013">
        <f t="shared" si="116"/>
        <v>36</v>
      </c>
      <c r="K278" s="1012">
        <f t="shared" si="116"/>
        <v>30.217456453888268</v>
      </c>
      <c r="L278" s="1011">
        <f t="shared" si="116"/>
        <v>0.24838776783856875</v>
      </c>
    </row>
    <row r="279" spans="1:12">
      <c r="A279" s="906">
        <v>278</v>
      </c>
      <c r="B279" s="906" t="s">
        <v>1457</v>
      </c>
      <c r="C279" s="906">
        <v>29189</v>
      </c>
      <c r="D279" s="906" t="s">
        <v>1256</v>
      </c>
      <c r="E279" s="906" t="s">
        <v>1258</v>
      </c>
      <c r="F279" s="1015">
        <f t="shared" ref="F279:L280" si="117">O155</f>
        <v>0</v>
      </c>
      <c r="G279" s="1014">
        <f t="shared" si="117"/>
        <v>70</v>
      </c>
      <c r="H279" s="1014">
        <f t="shared" si="117"/>
        <v>40</v>
      </c>
      <c r="I279" s="1014">
        <f t="shared" si="117"/>
        <v>77</v>
      </c>
      <c r="J279" s="1013">
        <f t="shared" si="117"/>
        <v>36</v>
      </c>
      <c r="K279" s="1012">
        <f t="shared" si="117"/>
        <v>0</v>
      </c>
      <c r="L279" s="1011">
        <f t="shared" si="117"/>
        <v>0.24604347931460702</v>
      </c>
    </row>
    <row r="280" spans="1:12">
      <c r="A280" s="906">
        <v>279</v>
      </c>
      <c r="B280" s="906" t="s">
        <v>1456</v>
      </c>
      <c r="C280" s="906">
        <v>29189</v>
      </c>
      <c r="D280" s="906" t="s">
        <v>1257</v>
      </c>
      <c r="E280" s="906" t="s">
        <v>1258</v>
      </c>
      <c r="F280" s="1015">
        <f t="shared" si="117"/>
        <v>0</v>
      </c>
      <c r="G280" s="1014">
        <f t="shared" si="117"/>
        <v>75</v>
      </c>
      <c r="H280" s="1014">
        <f t="shared" si="117"/>
        <v>38</v>
      </c>
      <c r="I280" s="1014">
        <f t="shared" si="117"/>
        <v>84</v>
      </c>
      <c r="J280" s="1013">
        <f t="shared" si="117"/>
        <v>40</v>
      </c>
      <c r="K280" s="1012" t="str">
        <f t="shared" si="117"/>
        <v/>
      </c>
      <c r="L280" s="1011">
        <f t="shared" si="117"/>
        <v>0.30186201957507758</v>
      </c>
    </row>
    <row r="281" spans="1:12">
      <c r="A281" s="906">
        <v>280</v>
      </c>
      <c r="B281" s="906" t="s">
        <v>1455</v>
      </c>
      <c r="C281" s="906">
        <v>29189</v>
      </c>
      <c r="D281" s="906" t="s">
        <v>1256</v>
      </c>
      <c r="E281" s="906" t="s">
        <v>1258</v>
      </c>
      <c r="F281" s="1015"/>
      <c r="G281" s="1014"/>
      <c r="H281" s="1014"/>
      <c r="I281" s="1014"/>
      <c r="J281" s="1013"/>
      <c r="K281" s="1012"/>
      <c r="L281" s="1011"/>
    </row>
    <row r="282" spans="1:12">
      <c r="A282" s="906">
        <v>281</v>
      </c>
      <c r="B282" s="906" t="s">
        <v>1454</v>
      </c>
      <c r="C282" s="906">
        <v>29189</v>
      </c>
      <c r="D282" s="906" t="s">
        <v>1256</v>
      </c>
      <c r="E282" s="906" t="s">
        <v>1259</v>
      </c>
      <c r="F282" s="1015">
        <f t="shared" ref="F282:L282" si="118">O157</f>
        <v>0</v>
      </c>
      <c r="G282" s="1014">
        <f t="shared" si="118"/>
        <v>75</v>
      </c>
      <c r="H282" s="1014">
        <f t="shared" si="118"/>
        <v>0</v>
      </c>
      <c r="I282" s="1014">
        <f t="shared" si="118"/>
        <v>80</v>
      </c>
      <c r="J282" s="1013">
        <f t="shared" si="118"/>
        <v>0</v>
      </c>
      <c r="K282" s="1012" t="str">
        <f t="shared" si="118"/>
        <v/>
      </c>
      <c r="L282" s="1011">
        <f t="shared" si="118"/>
        <v>0.23113988857099835</v>
      </c>
    </row>
    <row r="283" spans="1:12">
      <c r="A283" s="906">
        <v>282</v>
      </c>
      <c r="B283" s="906" t="s">
        <v>1453</v>
      </c>
      <c r="C283" s="906">
        <v>29189</v>
      </c>
      <c r="D283" s="906" t="s">
        <v>1256</v>
      </c>
      <c r="E283" s="906" t="s">
        <v>1258</v>
      </c>
      <c r="F283" s="1015"/>
      <c r="G283" s="1014"/>
      <c r="H283" s="1014"/>
      <c r="I283" s="1014"/>
      <c r="J283" s="1013"/>
      <c r="K283" s="1012"/>
      <c r="L283" s="1011"/>
    </row>
    <row r="284" spans="1:12">
      <c r="A284" s="906">
        <v>283</v>
      </c>
      <c r="B284" s="906" t="s">
        <v>1452</v>
      </c>
      <c r="C284" s="906">
        <v>29189</v>
      </c>
      <c r="D284" s="906" t="s">
        <v>1256</v>
      </c>
      <c r="E284" s="906" t="s">
        <v>1258</v>
      </c>
      <c r="F284" s="1015">
        <f t="shared" ref="F284:L284" si="119">O158</f>
        <v>0</v>
      </c>
      <c r="G284" s="1014">
        <f t="shared" si="119"/>
        <v>74</v>
      </c>
      <c r="H284" s="1014">
        <f t="shared" si="119"/>
        <v>42</v>
      </c>
      <c r="I284" s="1014">
        <f t="shared" si="119"/>
        <v>77</v>
      </c>
      <c r="J284" s="1013">
        <f t="shared" si="119"/>
        <v>40</v>
      </c>
      <c r="K284" s="1012">
        <f t="shared" si="119"/>
        <v>29.494048140043763</v>
      </c>
      <c r="L284" s="1011">
        <f t="shared" si="119"/>
        <v>0.47068206469725005</v>
      </c>
    </row>
    <row r="285" spans="1:12" ht="16">
      <c r="A285" s="906">
        <v>284</v>
      </c>
      <c r="B285" s="906" t="s">
        <v>1451</v>
      </c>
      <c r="C285" s="906">
        <v>29189</v>
      </c>
      <c r="D285" s="906" t="s">
        <v>1256</v>
      </c>
      <c r="E285" s="906" t="s">
        <v>1258</v>
      </c>
      <c r="F285" s="1015">
        <f t="shared" ref="F285:K285" si="120">O159</f>
        <v>0</v>
      </c>
      <c r="G285" s="1014">
        <f t="shared" si="120"/>
        <v>69</v>
      </c>
      <c r="H285" s="1014">
        <f t="shared" si="120"/>
        <v>69</v>
      </c>
      <c r="I285" s="1014">
        <f t="shared" si="120"/>
        <v>75</v>
      </c>
      <c r="J285" s="1013">
        <f t="shared" si="120"/>
        <v>75</v>
      </c>
      <c r="K285" s="1012" t="str">
        <f t="shared" si="120"/>
        <v/>
      </c>
      <c r="L285" s="1016">
        <v>0.22800028617798151</v>
      </c>
    </row>
    <row r="286" spans="1:12">
      <c r="A286" s="906">
        <v>285</v>
      </c>
      <c r="B286" s="906" t="s">
        <v>1450</v>
      </c>
      <c r="C286" s="906">
        <v>29189</v>
      </c>
      <c r="D286" s="906" t="s">
        <v>1256</v>
      </c>
      <c r="E286" s="906" t="s">
        <v>1258</v>
      </c>
      <c r="F286" s="1015"/>
      <c r="G286" s="1014"/>
      <c r="H286" s="1014"/>
      <c r="I286" s="1014"/>
      <c r="J286" s="1013"/>
      <c r="K286" s="1012"/>
      <c r="L286" s="1011"/>
    </row>
    <row r="287" spans="1:12">
      <c r="A287" s="906">
        <v>286</v>
      </c>
      <c r="B287" s="906" t="s">
        <v>1449</v>
      </c>
      <c r="C287" s="906">
        <v>29188</v>
      </c>
      <c r="D287" s="906" t="s">
        <v>1256</v>
      </c>
      <c r="E287" s="906" t="s">
        <v>1259</v>
      </c>
      <c r="F287" s="1015"/>
      <c r="G287" s="1014"/>
      <c r="H287" s="1014"/>
      <c r="I287" s="1014"/>
      <c r="J287" s="1013"/>
      <c r="K287" s="1012"/>
      <c r="L287" s="1011"/>
    </row>
    <row r="288" spans="1:12">
      <c r="A288" s="906">
        <v>287</v>
      </c>
      <c r="B288" s="906" t="s">
        <v>1448</v>
      </c>
      <c r="C288" s="906">
        <v>29188</v>
      </c>
      <c r="D288" s="906" t="s">
        <v>1256</v>
      </c>
      <c r="E288" s="906" t="s">
        <v>1259</v>
      </c>
      <c r="F288" s="1015"/>
      <c r="G288" s="1014"/>
      <c r="H288" s="1014"/>
      <c r="I288" s="1014"/>
      <c r="J288" s="1013"/>
      <c r="K288" s="1012"/>
      <c r="L288" s="1011"/>
    </row>
    <row r="289" spans="1:12">
      <c r="A289" s="906">
        <v>288</v>
      </c>
      <c r="B289" s="906" t="s">
        <v>1447</v>
      </c>
      <c r="C289" s="906">
        <v>29188</v>
      </c>
      <c r="D289" s="906" t="s">
        <v>1256</v>
      </c>
      <c r="E289" s="906" t="s">
        <v>1259</v>
      </c>
      <c r="F289" s="1015"/>
      <c r="G289" s="1014"/>
      <c r="H289" s="1014"/>
      <c r="I289" s="1014"/>
      <c r="J289" s="1013"/>
      <c r="K289" s="1012"/>
      <c r="L289" s="1011"/>
    </row>
    <row r="290" spans="1:12">
      <c r="A290" s="906">
        <v>289</v>
      </c>
      <c r="B290" s="906" t="s">
        <v>1446</v>
      </c>
      <c r="C290" s="906">
        <v>29188</v>
      </c>
      <c r="D290" s="906" t="s">
        <v>1256</v>
      </c>
      <c r="E290" s="906" t="s">
        <v>1258</v>
      </c>
      <c r="F290" s="1015">
        <f t="shared" ref="F290:L294" si="121">O161</f>
        <v>0</v>
      </c>
      <c r="G290" s="1014">
        <f t="shared" si="121"/>
        <v>69</v>
      </c>
      <c r="H290" s="1014">
        <f t="shared" si="121"/>
        <v>42</v>
      </c>
      <c r="I290" s="1014">
        <f t="shared" si="121"/>
        <v>79</v>
      </c>
      <c r="J290" s="1013">
        <f t="shared" si="121"/>
        <v>40</v>
      </c>
      <c r="K290" s="1012">
        <f t="shared" si="121"/>
        <v>31.922208718287816</v>
      </c>
      <c r="L290" s="1011">
        <f t="shared" si="121"/>
        <v>0.25570625535959229</v>
      </c>
    </row>
    <row r="291" spans="1:12">
      <c r="A291" s="906">
        <v>290</v>
      </c>
      <c r="B291" s="906" t="s">
        <v>1445</v>
      </c>
      <c r="C291" s="906">
        <v>29189</v>
      </c>
      <c r="D291" s="906" t="s">
        <v>1256</v>
      </c>
      <c r="E291" s="906" t="s">
        <v>1258</v>
      </c>
      <c r="F291" s="1015">
        <f t="shared" si="121"/>
        <v>6.5034355946966028E-3</v>
      </c>
      <c r="G291" s="1014">
        <f t="shared" si="121"/>
        <v>67</v>
      </c>
      <c r="H291" s="1014">
        <f t="shared" si="121"/>
        <v>39</v>
      </c>
      <c r="I291" s="1014">
        <f t="shared" si="121"/>
        <v>67</v>
      </c>
      <c r="J291" s="1013">
        <f t="shared" si="121"/>
        <v>35</v>
      </c>
      <c r="K291" s="1012" t="str">
        <f t="shared" si="121"/>
        <v/>
      </c>
      <c r="L291" s="1011">
        <f t="shared" si="121"/>
        <v>0.25355062440335874</v>
      </c>
    </row>
    <row r="292" spans="1:12">
      <c r="A292" s="906">
        <v>291</v>
      </c>
      <c r="B292" s="906" t="s">
        <v>1444</v>
      </c>
      <c r="C292" s="906">
        <v>18957</v>
      </c>
      <c r="D292" s="906" t="s">
        <v>1256</v>
      </c>
      <c r="E292" s="906" t="s">
        <v>1259</v>
      </c>
      <c r="F292" s="1015">
        <f t="shared" si="121"/>
        <v>0</v>
      </c>
      <c r="G292" s="1014">
        <f t="shared" si="121"/>
        <v>75</v>
      </c>
      <c r="H292" s="1014">
        <f t="shared" si="121"/>
        <v>45</v>
      </c>
      <c r="I292" s="1014">
        <f t="shared" si="121"/>
        <v>85</v>
      </c>
      <c r="J292" s="1013">
        <f t="shared" si="121"/>
        <v>48</v>
      </c>
      <c r="K292" s="1012">
        <f t="shared" si="121"/>
        <v>0</v>
      </c>
      <c r="L292" s="1011">
        <f t="shared" si="121"/>
        <v>0.18813899613899615</v>
      </c>
    </row>
    <row r="293" spans="1:12">
      <c r="A293" s="906">
        <v>292</v>
      </c>
      <c r="B293" s="906" t="s">
        <v>1443</v>
      </c>
      <c r="C293" s="906">
        <v>28856</v>
      </c>
      <c r="D293" s="906" t="s">
        <v>1256</v>
      </c>
      <c r="E293" s="906" t="s">
        <v>1258</v>
      </c>
      <c r="F293" s="1015">
        <f t="shared" si="121"/>
        <v>0</v>
      </c>
      <c r="G293" s="1014">
        <f t="shared" si="121"/>
        <v>84</v>
      </c>
      <c r="H293" s="1014">
        <f t="shared" si="121"/>
        <v>40</v>
      </c>
      <c r="I293" s="1014">
        <f t="shared" si="121"/>
        <v>82</v>
      </c>
      <c r="J293" s="1013">
        <f t="shared" si="121"/>
        <v>36</v>
      </c>
      <c r="K293" s="1012" t="str">
        <f t="shared" si="121"/>
        <v/>
      </c>
      <c r="L293" s="1011">
        <f t="shared" si="121"/>
        <v>0.34889287851585876</v>
      </c>
    </row>
    <row r="294" spans="1:12">
      <c r="A294" s="906">
        <v>293</v>
      </c>
      <c r="B294" s="906" t="s">
        <v>1442</v>
      </c>
      <c r="C294" s="906">
        <v>29189</v>
      </c>
      <c r="D294" s="906" t="s">
        <v>1257</v>
      </c>
      <c r="E294" s="906" t="s">
        <v>1259</v>
      </c>
      <c r="F294" s="1015">
        <f t="shared" si="121"/>
        <v>0</v>
      </c>
      <c r="G294" s="1014">
        <f t="shared" si="121"/>
        <v>76</v>
      </c>
      <c r="H294" s="1014">
        <f t="shared" si="121"/>
        <v>48</v>
      </c>
      <c r="I294" s="1014">
        <f t="shared" si="121"/>
        <v>77</v>
      </c>
      <c r="J294" s="1013">
        <f t="shared" si="121"/>
        <v>46</v>
      </c>
      <c r="K294" s="1012">
        <f t="shared" si="121"/>
        <v>30.891617926391213</v>
      </c>
      <c r="L294" s="1011">
        <f t="shared" si="121"/>
        <v>0.19897859012715033</v>
      </c>
    </row>
    <row r="295" spans="1:12">
      <c r="A295" s="906">
        <v>294</v>
      </c>
      <c r="B295" s="906" t="s">
        <v>1441</v>
      </c>
      <c r="C295" s="906">
        <v>29189</v>
      </c>
      <c r="D295" s="906" t="s">
        <v>1256</v>
      </c>
      <c r="E295" s="906" t="s">
        <v>1258</v>
      </c>
      <c r="F295" s="1015"/>
      <c r="G295" s="1014"/>
      <c r="H295" s="1014"/>
      <c r="I295" s="1014"/>
      <c r="J295" s="1013"/>
      <c r="K295" s="1012"/>
      <c r="L295" s="1011"/>
    </row>
    <row r="296" spans="1:12">
      <c r="A296" s="906">
        <v>295</v>
      </c>
      <c r="B296" s="906" t="s">
        <v>1440</v>
      </c>
      <c r="C296" s="906">
        <v>29189</v>
      </c>
      <c r="D296" s="906" t="s">
        <v>1256</v>
      </c>
      <c r="E296" s="906" t="s">
        <v>1258</v>
      </c>
      <c r="F296" s="1015"/>
      <c r="G296" s="1014"/>
      <c r="H296" s="1014"/>
      <c r="I296" s="1014"/>
      <c r="J296" s="1013"/>
      <c r="K296" s="1012"/>
      <c r="L296" s="1011"/>
    </row>
    <row r="297" spans="1:12">
      <c r="A297" s="906">
        <v>296</v>
      </c>
      <c r="B297" s="906" t="s">
        <v>1439</v>
      </c>
      <c r="C297" s="906">
        <v>29189</v>
      </c>
      <c r="D297" s="906" t="s">
        <v>1256</v>
      </c>
      <c r="E297" s="906" t="s">
        <v>1258</v>
      </c>
      <c r="F297" s="1015">
        <f t="shared" ref="F297:F305" si="122">O168</f>
        <v>0</v>
      </c>
      <c r="G297" s="1014">
        <f t="shared" ref="G297:G305" si="123">P168</f>
        <v>66</v>
      </c>
      <c r="H297" s="1014">
        <f t="shared" ref="H297:H305" si="124">Q168</f>
        <v>0</v>
      </c>
      <c r="I297" s="1014">
        <f t="shared" ref="I297:I305" si="125">R168</f>
        <v>72</v>
      </c>
      <c r="J297" s="1013">
        <f t="shared" ref="J297:J305" si="126">S168</f>
        <v>0</v>
      </c>
      <c r="K297" s="1012" t="str">
        <f t="shared" ref="K297:K305" si="127">T168</f>
        <v/>
      </c>
      <c r="L297" s="1011">
        <f t="shared" ref="L297:L305" si="128">U168</f>
        <v>0.22408497568466854</v>
      </c>
    </row>
    <row r="298" spans="1:12">
      <c r="A298" s="906">
        <v>297</v>
      </c>
      <c r="B298" s="906" t="s">
        <v>1438</v>
      </c>
      <c r="C298" s="906">
        <v>29189</v>
      </c>
      <c r="D298" s="906" t="s">
        <v>1256</v>
      </c>
      <c r="E298" s="906" t="s">
        <v>1258</v>
      </c>
      <c r="F298" s="1015">
        <f t="shared" si="122"/>
        <v>0</v>
      </c>
      <c r="G298" s="1014">
        <f t="shared" si="123"/>
        <v>70</v>
      </c>
      <c r="H298" s="1014">
        <f t="shared" si="124"/>
        <v>38</v>
      </c>
      <c r="I298" s="1014">
        <f t="shared" si="125"/>
        <v>75</v>
      </c>
      <c r="J298" s="1013">
        <f t="shared" si="126"/>
        <v>38</v>
      </c>
      <c r="K298" s="1012" t="str">
        <f t="shared" si="127"/>
        <v/>
      </c>
      <c r="L298" s="1011">
        <f t="shared" si="128"/>
        <v>0.31825006729629263</v>
      </c>
    </row>
    <row r="299" spans="1:12">
      <c r="A299" s="906">
        <v>298</v>
      </c>
      <c r="B299" s="906" t="s">
        <v>1437</v>
      </c>
      <c r="C299" s="906">
        <v>29189</v>
      </c>
      <c r="D299" s="906" t="s">
        <v>1256</v>
      </c>
      <c r="E299" s="906" t="s">
        <v>1258</v>
      </c>
      <c r="F299" s="1015">
        <f t="shared" si="122"/>
        <v>0</v>
      </c>
      <c r="G299" s="1014">
        <f t="shared" si="123"/>
        <v>70</v>
      </c>
      <c r="H299" s="1014">
        <f t="shared" si="124"/>
        <v>40</v>
      </c>
      <c r="I299" s="1014">
        <f t="shared" si="125"/>
        <v>70</v>
      </c>
      <c r="J299" s="1013">
        <f t="shared" si="126"/>
        <v>40</v>
      </c>
      <c r="K299" s="1012" t="str">
        <f t="shared" si="127"/>
        <v/>
      </c>
      <c r="L299" s="1011">
        <f t="shared" si="128"/>
        <v>0.27653055540081334</v>
      </c>
    </row>
    <row r="300" spans="1:12">
      <c r="A300" s="906">
        <v>299</v>
      </c>
      <c r="B300" s="906" t="s">
        <v>1436</v>
      </c>
      <c r="C300" s="906">
        <v>29189</v>
      </c>
      <c r="D300" s="906" t="s">
        <v>1256</v>
      </c>
      <c r="E300" s="906" t="s">
        <v>1258</v>
      </c>
      <c r="F300" s="1015">
        <f t="shared" si="122"/>
        <v>0</v>
      </c>
      <c r="G300" s="1014">
        <f t="shared" si="123"/>
        <v>68</v>
      </c>
      <c r="H300" s="1014">
        <f t="shared" si="124"/>
        <v>43</v>
      </c>
      <c r="I300" s="1014">
        <f t="shared" si="125"/>
        <v>72</v>
      </c>
      <c r="J300" s="1013">
        <f t="shared" si="126"/>
        <v>39</v>
      </c>
      <c r="K300" s="1012" t="str">
        <f t="shared" si="127"/>
        <v/>
      </c>
      <c r="L300" s="1011">
        <f t="shared" si="128"/>
        <v>0.4113171659533999</v>
      </c>
    </row>
    <row r="301" spans="1:12">
      <c r="A301" s="906">
        <v>300</v>
      </c>
      <c r="B301" s="906" t="s">
        <v>1435</v>
      </c>
      <c r="C301" s="906">
        <v>29188</v>
      </c>
      <c r="D301" s="906" t="s">
        <v>1256</v>
      </c>
      <c r="E301" s="906" t="s">
        <v>1259</v>
      </c>
      <c r="F301" s="1015">
        <f t="shared" si="122"/>
        <v>4.1460488828909882E-2</v>
      </c>
      <c r="G301" s="1014">
        <f t="shared" si="123"/>
        <v>75</v>
      </c>
      <c r="H301" s="1014">
        <f t="shared" si="124"/>
        <v>52</v>
      </c>
      <c r="I301" s="1014">
        <f t="shared" si="125"/>
        <v>80</v>
      </c>
      <c r="J301" s="1013">
        <f t="shared" si="126"/>
        <v>45</v>
      </c>
      <c r="K301" s="1012">
        <f t="shared" si="127"/>
        <v>33.037664698547196</v>
      </c>
      <c r="L301" s="1011">
        <f t="shared" si="128"/>
        <v>0.28146265154477906</v>
      </c>
    </row>
    <row r="302" spans="1:12">
      <c r="A302" s="906">
        <v>301</v>
      </c>
      <c r="B302" s="906" t="s">
        <v>1434</v>
      </c>
      <c r="C302" s="906">
        <v>29188</v>
      </c>
      <c r="D302" s="906" t="s">
        <v>1256</v>
      </c>
      <c r="E302" s="906" t="s">
        <v>1259</v>
      </c>
      <c r="F302" s="1015">
        <f t="shared" si="122"/>
        <v>0</v>
      </c>
      <c r="G302" s="1014">
        <f t="shared" si="123"/>
        <v>78</v>
      </c>
      <c r="H302" s="1014">
        <f t="shared" si="124"/>
        <v>49</v>
      </c>
      <c r="I302" s="1014">
        <f t="shared" si="125"/>
        <v>86</v>
      </c>
      <c r="J302" s="1013">
        <f t="shared" si="126"/>
        <v>46</v>
      </c>
      <c r="K302" s="1012">
        <f t="shared" si="127"/>
        <v>28.562707285434296</v>
      </c>
      <c r="L302" s="1011">
        <f t="shared" si="128"/>
        <v>0.23777803861728974</v>
      </c>
    </row>
    <row r="303" spans="1:12">
      <c r="A303" s="906">
        <v>302</v>
      </c>
      <c r="B303" s="906" t="s">
        <v>1433</v>
      </c>
      <c r="C303" s="906">
        <v>29189</v>
      </c>
      <c r="D303" s="906" t="s">
        <v>1256</v>
      </c>
      <c r="E303" s="906" t="s">
        <v>1258</v>
      </c>
      <c r="F303" s="1015">
        <f t="shared" si="122"/>
        <v>0</v>
      </c>
      <c r="G303" s="1014">
        <f t="shared" si="123"/>
        <v>77</v>
      </c>
      <c r="H303" s="1014">
        <f t="shared" si="124"/>
        <v>39</v>
      </c>
      <c r="I303" s="1014">
        <f t="shared" si="125"/>
        <v>77</v>
      </c>
      <c r="J303" s="1013">
        <f t="shared" si="126"/>
        <v>39</v>
      </c>
      <c r="K303" s="1012">
        <f t="shared" si="127"/>
        <v>37.862868754626078</v>
      </c>
      <c r="L303" s="1011">
        <f t="shared" si="128"/>
        <v>4.7737212692701383E-2</v>
      </c>
    </row>
    <row r="304" spans="1:12">
      <c r="A304" s="906">
        <v>303</v>
      </c>
      <c r="B304" s="906" t="s">
        <v>1432</v>
      </c>
      <c r="C304" s="906">
        <v>29189</v>
      </c>
      <c r="D304" s="906" t="s">
        <v>1256</v>
      </c>
      <c r="E304" s="906" t="s">
        <v>1258</v>
      </c>
      <c r="F304" s="1015">
        <f t="shared" si="122"/>
        <v>0</v>
      </c>
      <c r="G304" s="1014">
        <f t="shared" si="123"/>
        <v>65</v>
      </c>
      <c r="H304" s="1014">
        <f t="shared" si="124"/>
        <v>41</v>
      </c>
      <c r="I304" s="1014">
        <f t="shared" si="125"/>
        <v>75</v>
      </c>
      <c r="J304" s="1013">
        <f t="shared" si="126"/>
        <v>32</v>
      </c>
      <c r="K304" s="1012" t="str">
        <f t="shared" si="127"/>
        <v/>
      </c>
      <c r="L304" s="1011">
        <f t="shared" si="128"/>
        <v>0.25466067349495247</v>
      </c>
    </row>
    <row r="305" spans="1:12">
      <c r="A305" s="906">
        <v>304</v>
      </c>
      <c r="B305" s="906" t="s">
        <v>1431</v>
      </c>
      <c r="C305" s="906">
        <v>65307</v>
      </c>
      <c r="D305" s="906" t="s">
        <v>1257</v>
      </c>
      <c r="E305" s="906" t="s">
        <v>1259</v>
      </c>
      <c r="F305" s="1015">
        <f t="shared" si="122"/>
        <v>0</v>
      </c>
      <c r="G305" s="1014">
        <f t="shared" si="123"/>
        <v>70.2</v>
      </c>
      <c r="H305" s="1014">
        <f t="shared" si="124"/>
        <v>47.3</v>
      </c>
      <c r="I305" s="1014">
        <f t="shared" si="125"/>
        <v>75.900000000000006</v>
      </c>
      <c r="J305" s="1013">
        <f t="shared" si="126"/>
        <v>46.7</v>
      </c>
      <c r="K305" s="1012">
        <f t="shared" si="127"/>
        <v>26.803716840015852</v>
      </c>
      <c r="L305" s="1011">
        <f t="shared" si="128"/>
        <v>7.0796840732193278E-2</v>
      </c>
    </row>
    <row r="306" spans="1:12">
      <c r="A306" s="906">
        <v>305</v>
      </c>
      <c r="B306" s="906" t="s">
        <v>1430</v>
      </c>
      <c r="C306" s="906">
        <v>29189</v>
      </c>
      <c r="D306" s="906" t="s">
        <v>1257</v>
      </c>
      <c r="E306" s="906" t="s">
        <v>1258</v>
      </c>
      <c r="F306" s="1015"/>
      <c r="G306" s="1014"/>
      <c r="H306" s="1014"/>
      <c r="I306" s="1014"/>
      <c r="J306" s="1013"/>
      <c r="K306" s="1012"/>
      <c r="L306" s="1011"/>
    </row>
    <row r="307" spans="1:12">
      <c r="A307" s="906">
        <v>306</v>
      </c>
      <c r="B307" s="906" t="s">
        <v>1429</v>
      </c>
      <c r="C307" s="906">
        <v>26696</v>
      </c>
      <c r="D307" s="906" t="s">
        <v>1257</v>
      </c>
      <c r="E307" s="906" t="s">
        <v>1259</v>
      </c>
      <c r="F307" s="1015"/>
      <c r="G307" s="1014"/>
      <c r="H307" s="1014"/>
      <c r="I307" s="1014"/>
      <c r="J307" s="1013"/>
      <c r="K307" s="1012"/>
      <c r="L307" s="1011"/>
    </row>
    <row r="308" spans="1:12">
      <c r="A308" s="906">
        <v>307</v>
      </c>
      <c r="B308" s="906" t="s">
        <v>1428</v>
      </c>
      <c r="C308" s="906">
        <v>29188</v>
      </c>
      <c r="D308" s="906" t="s">
        <v>1256</v>
      </c>
      <c r="E308" s="906" t="s">
        <v>1259</v>
      </c>
      <c r="F308" s="1015">
        <f t="shared" ref="F308:L309" si="129">O177</f>
        <v>0</v>
      </c>
      <c r="G308" s="1014">
        <f t="shared" si="129"/>
        <v>73</v>
      </c>
      <c r="H308" s="1014">
        <f t="shared" si="129"/>
        <v>46</v>
      </c>
      <c r="I308" s="1014">
        <f t="shared" si="129"/>
        <v>78</v>
      </c>
      <c r="J308" s="1013">
        <f t="shared" si="129"/>
        <v>46</v>
      </c>
      <c r="K308" s="1012" t="str">
        <f t="shared" si="129"/>
        <v/>
      </c>
      <c r="L308" s="1011">
        <f t="shared" si="129"/>
        <v>0.27856629710890629</v>
      </c>
    </row>
    <row r="309" spans="1:12">
      <c r="A309" s="906">
        <v>308</v>
      </c>
      <c r="B309" s="906" t="s">
        <v>1427</v>
      </c>
      <c r="C309" s="906">
        <v>29189</v>
      </c>
      <c r="D309" s="906" t="s">
        <v>1256</v>
      </c>
      <c r="E309" s="906" t="s">
        <v>1258</v>
      </c>
      <c r="F309" s="1015">
        <f t="shared" si="129"/>
        <v>0</v>
      </c>
      <c r="G309" s="1014">
        <f t="shared" si="129"/>
        <v>72</v>
      </c>
      <c r="H309" s="1014">
        <f t="shared" si="129"/>
        <v>35</v>
      </c>
      <c r="I309" s="1014">
        <f t="shared" si="129"/>
        <v>75</v>
      </c>
      <c r="J309" s="1013">
        <f t="shared" si="129"/>
        <v>35</v>
      </c>
      <c r="K309" s="1012">
        <f t="shared" si="129"/>
        <v>33.511714440642471</v>
      </c>
      <c r="L309" s="1011">
        <f t="shared" si="129"/>
        <v>0.22924664107485604</v>
      </c>
    </row>
    <row r="310" spans="1:12">
      <c r="A310" s="906">
        <v>309</v>
      </c>
      <c r="B310" s="906" t="s">
        <v>1426</v>
      </c>
      <c r="C310" s="906">
        <v>29189</v>
      </c>
      <c r="D310" s="906" t="s">
        <v>1256</v>
      </c>
      <c r="E310" s="906" t="s">
        <v>1259</v>
      </c>
      <c r="F310" s="1015"/>
      <c r="G310" s="1014"/>
      <c r="H310" s="1014"/>
      <c r="I310" s="1014"/>
      <c r="J310" s="1013"/>
      <c r="K310" s="1012"/>
      <c r="L310" s="1011"/>
    </row>
    <row r="311" spans="1:12">
      <c r="A311" s="906">
        <v>310</v>
      </c>
      <c r="B311" s="906" t="s">
        <v>1425</v>
      </c>
      <c r="C311" s="906">
        <v>41333</v>
      </c>
      <c r="D311" s="906" t="s">
        <v>1256</v>
      </c>
      <c r="E311" s="906" t="s">
        <v>1258</v>
      </c>
      <c r="F311" s="1015"/>
      <c r="G311" s="1014"/>
      <c r="H311" s="1014"/>
      <c r="I311" s="1014"/>
      <c r="J311" s="1013"/>
      <c r="K311" s="1012"/>
      <c r="L311" s="1011"/>
    </row>
    <row r="312" spans="1:12">
      <c r="A312" s="906">
        <v>311</v>
      </c>
      <c r="B312" s="906" t="s">
        <v>1424</v>
      </c>
      <c r="C312" s="906">
        <v>29189</v>
      </c>
      <c r="D312" s="906" t="s">
        <v>1256</v>
      </c>
      <c r="E312" s="906" t="s">
        <v>1258</v>
      </c>
      <c r="F312" s="1015"/>
      <c r="G312" s="1014"/>
      <c r="H312" s="1014"/>
      <c r="I312" s="1014"/>
      <c r="J312" s="1013"/>
      <c r="K312" s="1012"/>
      <c r="L312" s="1011"/>
    </row>
    <row r="313" spans="1:12">
      <c r="A313" s="906">
        <v>312</v>
      </c>
      <c r="B313" s="906" t="s">
        <v>1423</v>
      </c>
      <c r="C313" s="906">
        <v>29189</v>
      </c>
      <c r="D313" s="906" t="s">
        <v>1256</v>
      </c>
      <c r="E313" s="906" t="s">
        <v>1258</v>
      </c>
      <c r="F313" s="1015">
        <f t="shared" ref="F313:L313" si="130">O179</f>
        <v>3.628439117406701E-2</v>
      </c>
      <c r="G313" s="1014">
        <f t="shared" si="130"/>
        <v>65</v>
      </c>
      <c r="H313" s="1014">
        <f t="shared" si="130"/>
        <v>40</v>
      </c>
      <c r="I313" s="1014">
        <f t="shared" si="130"/>
        <v>68</v>
      </c>
      <c r="J313" s="1013">
        <f t="shared" si="130"/>
        <v>34</v>
      </c>
      <c r="K313" s="1012">
        <f t="shared" si="130"/>
        <v>32.310391334359899</v>
      </c>
      <c r="L313" s="1011">
        <f t="shared" si="130"/>
        <v>0.25445191927186389</v>
      </c>
    </row>
    <row r="314" spans="1:12">
      <c r="A314" s="906">
        <v>313</v>
      </c>
      <c r="B314" s="906" t="s">
        <v>1422</v>
      </c>
      <c r="C314" s="906">
        <v>29188</v>
      </c>
      <c r="D314" s="906" t="s">
        <v>1256</v>
      </c>
      <c r="E314" s="906" t="s">
        <v>1259</v>
      </c>
      <c r="F314" s="1015"/>
      <c r="G314" s="1014"/>
      <c r="H314" s="1014"/>
      <c r="I314" s="1014"/>
      <c r="J314" s="1013"/>
      <c r="K314" s="1012"/>
      <c r="L314" s="1011"/>
    </row>
    <row r="315" spans="1:12">
      <c r="A315" s="906">
        <v>314</v>
      </c>
      <c r="B315" s="906" t="s">
        <v>1422</v>
      </c>
      <c r="C315" s="906">
        <v>29189</v>
      </c>
      <c r="D315" s="906" t="s">
        <v>1256</v>
      </c>
      <c r="E315" s="906" t="s">
        <v>1259</v>
      </c>
      <c r="F315" s="1015"/>
      <c r="G315" s="1014"/>
      <c r="H315" s="1014"/>
      <c r="I315" s="1014"/>
      <c r="J315" s="1013"/>
      <c r="K315" s="1012"/>
      <c r="L315" s="1011"/>
    </row>
    <row r="316" spans="1:12">
      <c r="A316" s="906">
        <v>315</v>
      </c>
      <c r="B316" s="906" t="s">
        <v>1421</v>
      </c>
      <c r="C316" s="906">
        <v>29189</v>
      </c>
      <c r="D316" s="906" t="s">
        <v>1256</v>
      </c>
      <c r="E316" s="906" t="s">
        <v>1258</v>
      </c>
      <c r="F316" s="1015">
        <f t="shared" ref="F316:L318" si="131">O181</f>
        <v>0</v>
      </c>
      <c r="G316" s="1014">
        <f t="shared" si="131"/>
        <v>68</v>
      </c>
      <c r="H316" s="1014">
        <f t="shared" si="131"/>
        <v>36</v>
      </c>
      <c r="I316" s="1014">
        <f t="shared" si="131"/>
        <v>70</v>
      </c>
      <c r="J316" s="1013">
        <f t="shared" si="131"/>
        <v>33</v>
      </c>
      <c r="K316" s="1012">
        <f t="shared" si="131"/>
        <v>0</v>
      </c>
      <c r="L316" s="1011">
        <f t="shared" si="131"/>
        <v>0.26015151515151513</v>
      </c>
    </row>
    <row r="317" spans="1:12">
      <c r="A317" s="906">
        <v>316</v>
      </c>
      <c r="B317" s="906" t="s">
        <v>1420</v>
      </c>
      <c r="C317" s="906">
        <v>29189</v>
      </c>
      <c r="D317" s="906" t="s">
        <v>1256</v>
      </c>
      <c r="E317" s="906" t="s">
        <v>1258</v>
      </c>
      <c r="F317" s="1015">
        <f t="shared" si="131"/>
        <v>0</v>
      </c>
      <c r="G317" s="1014">
        <f t="shared" si="131"/>
        <v>66.099999999999994</v>
      </c>
      <c r="H317" s="1014">
        <f t="shared" si="131"/>
        <v>44</v>
      </c>
      <c r="I317" s="1014">
        <f t="shared" si="131"/>
        <v>69</v>
      </c>
      <c r="J317" s="1013">
        <f t="shared" si="131"/>
        <v>39.5</v>
      </c>
      <c r="K317" s="1012">
        <f t="shared" si="131"/>
        <v>27.789915231702551</v>
      </c>
      <c r="L317" s="1011">
        <f t="shared" si="131"/>
        <v>0.17671806501226486</v>
      </c>
    </row>
    <row r="318" spans="1:12">
      <c r="A318" s="906">
        <v>317</v>
      </c>
      <c r="B318" s="906" t="s">
        <v>1419</v>
      </c>
      <c r="C318" s="906">
        <v>29189</v>
      </c>
      <c r="D318" s="906" t="s">
        <v>1256</v>
      </c>
      <c r="E318" s="906" t="s">
        <v>1258</v>
      </c>
      <c r="F318" s="1015">
        <f t="shared" si="131"/>
        <v>3.3328752061572292E-3</v>
      </c>
      <c r="G318" s="1014">
        <f t="shared" si="131"/>
        <v>68</v>
      </c>
      <c r="H318" s="1014">
        <f t="shared" si="131"/>
        <v>34</v>
      </c>
      <c r="I318" s="1014">
        <f t="shared" si="131"/>
        <v>68</v>
      </c>
      <c r="J318" s="1013">
        <f t="shared" si="131"/>
        <v>32</v>
      </c>
      <c r="K318" s="1012">
        <f t="shared" si="131"/>
        <v>37.040916326142735</v>
      </c>
      <c r="L318" s="1011">
        <f t="shared" si="131"/>
        <v>0.25273209914848138</v>
      </c>
    </row>
    <row r="319" spans="1:12">
      <c r="A319" s="906">
        <v>318</v>
      </c>
      <c r="B319" s="906" t="s">
        <v>1418</v>
      </c>
      <c r="C319" s="906">
        <v>29188</v>
      </c>
      <c r="D319" s="906" t="s">
        <v>1256</v>
      </c>
      <c r="E319" s="906" t="s">
        <v>1259</v>
      </c>
      <c r="F319" s="1015"/>
      <c r="G319" s="1014"/>
      <c r="H319" s="1014"/>
      <c r="I319" s="1014"/>
      <c r="J319" s="1013"/>
      <c r="K319" s="1012"/>
      <c r="L319" s="1011"/>
    </row>
    <row r="320" spans="1:12">
      <c r="A320" s="906">
        <v>319</v>
      </c>
      <c r="B320" s="906" t="s">
        <v>1417</v>
      </c>
      <c r="C320" s="906">
        <v>29189</v>
      </c>
      <c r="D320" s="906" t="s">
        <v>1256</v>
      </c>
      <c r="E320" s="906" t="s">
        <v>1258</v>
      </c>
      <c r="F320" s="1015">
        <f t="shared" ref="F320:L321" si="132">O184</f>
        <v>1.2688216132485934E-2</v>
      </c>
      <c r="G320" s="1014">
        <f t="shared" si="132"/>
        <v>67</v>
      </c>
      <c r="H320" s="1014">
        <f t="shared" si="132"/>
        <v>46</v>
      </c>
      <c r="I320" s="1014">
        <f t="shared" si="132"/>
        <v>83</v>
      </c>
      <c r="J320" s="1013">
        <f t="shared" si="132"/>
        <v>41</v>
      </c>
      <c r="K320" s="1012">
        <f t="shared" si="132"/>
        <v>29.11144538321798</v>
      </c>
      <c r="L320" s="1011">
        <f t="shared" si="132"/>
        <v>0.3055235106824789</v>
      </c>
    </row>
    <row r="321" spans="1:12">
      <c r="A321" s="906">
        <v>320</v>
      </c>
      <c r="B321" s="906" t="s">
        <v>1416</v>
      </c>
      <c r="C321" s="906">
        <v>29189</v>
      </c>
      <c r="D321" s="906" t="s">
        <v>1256</v>
      </c>
      <c r="E321" s="906" t="s">
        <v>1258</v>
      </c>
      <c r="F321" s="1015">
        <f t="shared" si="132"/>
        <v>0</v>
      </c>
      <c r="G321" s="1014">
        <f t="shared" si="132"/>
        <v>70</v>
      </c>
      <c r="H321" s="1014">
        <f t="shared" si="132"/>
        <v>38</v>
      </c>
      <c r="I321" s="1014">
        <f t="shared" si="132"/>
        <v>74</v>
      </c>
      <c r="J321" s="1013">
        <f t="shared" si="132"/>
        <v>34</v>
      </c>
      <c r="K321" s="1012">
        <f t="shared" si="132"/>
        <v>37.892150655978803</v>
      </c>
      <c r="L321" s="1011">
        <f t="shared" si="132"/>
        <v>0.28466427189831445</v>
      </c>
    </row>
    <row r="322" spans="1:12">
      <c r="A322" s="906">
        <v>321</v>
      </c>
      <c r="B322" s="906" t="s">
        <v>1415</v>
      </c>
      <c r="C322" s="906">
        <v>29189</v>
      </c>
      <c r="D322" s="906" t="s">
        <v>1257</v>
      </c>
      <c r="E322" s="906" t="s">
        <v>1258</v>
      </c>
      <c r="F322" s="1015"/>
      <c r="G322" s="1014"/>
      <c r="H322" s="1014"/>
      <c r="I322" s="1014"/>
      <c r="J322" s="1013"/>
      <c r="K322" s="1012"/>
      <c r="L322" s="1011"/>
    </row>
    <row r="323" spans="1:12">
      <c r="A323" s="906">
        <v>322</v>
      </c>
      <c r="B323" s="906" t="s">
        <v>1415</v>
      </c>
      <c r="C323" s="906">
        <v>29189</v>
      </c>
      <c r="D323" s="906" t="s">
        <v>1256</v>
      </c>
      <c r="E323" s="906" t="s">
        <v>1258</v>
      </c>
      <c r="F323" s="1015">
        <f t="shared" ref="F323:L324" si="133">O186</f>
        <v>0</v>
      </c>
      <c r="G323" s="1014">
        <f t="shared" si="133"/>
        <v>65</v>
      </c>
      <c r="H323" s="1014">
        <f t="shared" si="133"/>
        <v>39</v>
      </c>
      <c r="I323" s="1014">
        <f t="shared" si="133"/>
        <v>75</v>
      </c>
      <c r="J323" s="1013">
        <f t="shared" si="133"/>
        <v>37</v>
      </c>
      <c r="K323" s="1012" t="str">
        <f t="shared" si="133"/>
        <v/>
      </c>
      <c r="L323" s="1011">
        <f t="shared" si="133"/>
        <v>0.22543422128847049</v>
      </c>
    </row>
    <row r="324" spans="1:12">
      <c r="A324" s="906">
        <v>323</v>
      </c>
      <c r="B324" s="906" t="s">
        <v>1414</v>
      </c>
      <c r="C324" s="906">
        <v>29189</v>
      </c>
      <c r="D324" s="906" t="s">
        <v>1256</v>
      </c>
      <c r="E324" s="906" t="s">
        <v>1258</v>
      </c>
      <c r="F324" s="1015">
        <f t="shared" si="133"/>
        <v>0</v>
      </c>
      <c r="G324" s="1014">
        <f t="shared" si="133"/>
        <v>72</v>
      </c>
      <c r="H324" s="1014">
        <f t="shared" si="133"/>
        <v>37</v>
      </c>
      <c r="I324" s="1014">
        <f t="shared" si="133"/>
        <v>68</v>
      </c>
      <c r="J324" s="1013">
        <f t="shared" si="133"/>
        <v>33</v>
      </c>
      <c r="K324" s="1012">
        <f t="shared" si="133"/>
        <v>34.04097488484021</v>
      </c>
      <c r="L324" s="1011">
        <f t="shared" si="133"/>
        <v>0.22778636344302505</v>
      </c>
    </row>
    <row r="325" spans="1:12" ht="16">
      <c r="A325" s="906">
        <v>324</v>
      </c>
      <c r="B325" s="906" t="s">
        <v>1413</v>
      </c>
      <c r="C325" s="906">
        <v>29189</v>
      </c>
      <c r="D325" s="906" t="s">
        <v>1256</v>
      </c>
      <c r="E325" s="906" t="s">
        <v>1258</v>
      </c>
      <c r="F325" s="1015">
        <f t="shared" ref="F325:K325" si="134">O188</f>
        <v>0</v>
      </c>
      <c r="G325" s="1014">
        <f t="shared" si="134"/>
        <v>63</v>
      </c>
      <c r="H325" s="1014">
        <f t="shared" si="134"/>
        <v>38</v>
      </c>
      <c r="I325" s="1014">
        <f t="shared" si="134"/>
        <v>70</v>
      </c>
      <c r="J325" s="1013">
        <f t="shared" si="134"/>
        <v>36</v>
      </c>
      <c r="K325" s="1012">
        <f t="shared" si="134"/>
        <v>0</v>
      </c>
      <c r="L325" s="1016">
        <v>0.22800028617798151</v>
      </c>
    </row>
    <row r="326" spans="1:12">
      <c r="A326" s="906">
        <v>325</v>
      </c>
      <c r="B326" s="906" t="s">
        <v>1412</v>
      </c>
      <c r="C326" s="906">
        <v>29189</v>
      </c>
      <c r="D326" s="906" t="s">
        <v>1256</v>
      </c>
      <c r="E326" s="906" t="s">
        <v>1258</v>
      </c>
      <c r="F326" s="1015"/>
      <c r="G326" s="1014"/>
      <c r="H326" s="1014"/>
      <c r="I326" s="1014"/>
      <c r="J326" s="1013"/>
      <c r="K326" s="1012"/>
      <c r="L326" s="1011"/>
    </row>
    <row r="327" spans="1:12">
      <c r="A327" s="906">
        <v>326</v>
      </c>
      <c r="B327" s="906" t="s">
        <v>1411</v>
      </c>
      <c r="C327" s="906">
        <v>29189</v>
      </c>
      <c r="D327" s="906" t="s">
        <v>1256</v>
      </c>
      <c r="E327" s="906" t="s">
        <v>1258</v>
      </c>
      <c r="F327" s="1015">
        <f t="shared" ref="F327:L327" si="135">O190</f>
        <v>0</v>
      </c>
      <c r="G327" s="1014">
        <f t="shared" si="135"/>
        <v>80</v>
      </c>
      <c r="H327" s="1014">
        <f t="shared" si="135"/>
        <v>37</v>
      </c>
      <c r="I327" s="1014">
        <f t="shared" si="135"/>
        <v>89</v>
      </c>
      <c r="J327" s="1013">
        <f t="shared" si="135"/>
        <v>36</v>
      </c>
      <c r="K327" s="1012" t="str">
        <f t="shared" si="135"/>
        <v/>
      </c>
      <c r="L327" s="1011">
        <f t="shared" si="135"/>
        <v>0.25266230607059842</v>
      </c>
    </row>
    <row r="328" spans="1:12">
      <c r="A328" s="906">
        <v>327</v>
      </c>
      <c r="B328" s="906" t="s">
        <v>1410</v>
      </c>
      <c r="C328" s="906">
        <v>29189</v>
      </c>
      <c r="D328" s="906" t="s">
        <v>1256</v>
      </c>
      <c r="E328" s="906" t="s">
        <v>1258</v>
      </c>
      <c r="F328" s="1015"/>
      <c r="G328" s="1014"/>
      <c r="H328" s="1014"/>
      <c r="I328" s="1014"/>
      <c r="J328" s="1013"/>
      <c r="K328" s="1012"/>
      <c r="L328" s="1011"/>
    </row>
    <row r="329" spans="1:12">
      <c r="A329" s="906">
        <v>328</v>
      </c>
      <c r="B329" s="906" t="s">
        <v>1409</v>
      </c>
      <c r="C329" s="906">
        <v>29188</v>
      </c>
      <c r="D329" s="906" t="s">
        <v>1256</v>
      </c>
      <c r="E329" s="906" t="s">
        <v>1259</v>
      </c>
      <c r="F329" s="1015">
        <f t="shared" ref="F329:L329" si="136">O192</f>
        <v>1.9295246130958989E-2</v>
      </c>
      <c r="G329" s="1014">
        <f t="shared" si="136"/>
        <v>70</v>
      </c>
      <c r="H329" s="1014">
        <f t="shared" si="136"/>
        <v>47</v>
      </c>
      <c r="I329" s="1014">
        <f t="shared" si="136"/>
        <v>82</v>
      </c>
      <c r="J329" s="1013">
        <f t="shared" si="136"/>
        <v>44</v>
      </c>
      <c r="K329" s="1012">
        <f t="shared" si="136"/>
        <v>35.799021344934445</v>
      </c>
      <c r="L329" s="1011">
        <f t="shared" si="136"/>
        <v>0.28027078427821045</v>
      </c>
    </row>
    <row r="330" spans="1:12">
      <c r="A330" s="906">
        <v>329</v>
      </c>
      <c r="B330" s="906" t="s">
        <v>1408</v>
      </c>
      <c r="C330" s="906">
        <v>29189</v>
      </c>
      <c r="D330" s="906" t="s">
        <v>1256</v>
      </c>
      <c r="E330" s="906" t="s">
        <v>1258</v>
      </c>
      <c r="F330" s="1015"/>
      <c r="G330" s="1014"/>
      <c r="H330" s="1014"/>
      <c r="I330" s="1014"/>
      <c r="J330" s="1013"/>
      <c r="K330" s="1012"/>
      <c r="L330" s="1011"/>
    </row>
    <row r="331" spans="1:12">
      <c r="A331" s="906">
        <v>330</v>
      </c>
      <c r="B331" s="906" t="s">
        <v>1407</v>
      </c>
      <c r="C331" s="906">
        <v>29189</v>
      </c>
      <c r="D331" s="906" t="s">
        <v>1256</v>
      </c>
      <c r="E331" s="906" t="s">
        <v>1259</v>
      </c>
      <c r="F331" s="1015"/>
      <c r="G331" s="1014"/>
      <c r="H331" s="1014"/>
      <c r="I331" s="1014"/>
      <c r="J331" s="1013"/>
      <c r="K331" s="1012"/>
      <c r="L331" s="1011"/>
    </row>
    <row r="332" spans="1:12">
      <c r="A332" s="906">
        <v>331</v>
      </c>
      <c r="B332" s="906" t="s">
        <v>1406</v>
      </c>
      <c r="C332" s="906">
        <v>68534</v>
      </c>
      <c r="D332" s="906" t="s">
        <v>1256</v>
      </c>
      <c r="E332" s="906" t="s">
        <v>1259</v>
      </c>
      <c r="F332" s="1015">
        <f t="shared" ref="F332:L333" si="137">O193</f>
        <v>0</v>
      </c>
      <c r="G332" s="1014">
        <f t="shared" si="137"/>
        <v>68</v>
      </c>
      <c r="H332" s="1014">
        <f t="shared" si="137"/>
        <v>45</v>
      </c>
      <c r="I332" s="1014">
        <f t="shared" si="137"/>
        <v>73</v>
      </c>
      <c r="J332" s="1013">
        <f t="shared" si="137"/>
        <v>41</v>
      </c>
      <c r="K332" s="1012">
        <f t="shared" si="137"/>
        <v>31.864698078790894</v>
      </c>
      <c r="L332" s="1011">
        <f t="shared" si="137"/>
        <v>0.22919297348272941</v>
      </c>
    </row>
    <row r="333" spans="1:12">
      <c r="A333" s="906">
        <v>332</v>
      </c>
      <c r="B333" s="906" t="s">
        <v>1405</v>
      </c>
      <c r="C333" s="906">
        <v>29189</v>
      </c>
      <c r="D333" s="906" t="s">
        <v>1256</v>
      </c>
      <c r="E333" s="906" t="s">
        <v>1258</v>
      </c>
      <c r="F333" s="1015">
        <f t="shared" si="137"/>
        <v>7.8280671790492452E-3</v>
      </c>
      <c r="G333" s="1014">
        <f t="shared" si="137"/>
        <v>65</v>
      </c>
      <c r="H333" s="1014">
        <f t="shared" si="137"/>
        <v>39</v>
      </c>
      <c r="I333" s="1014">
        <f t="shared" si="137"/>
        <v>65</v>
      </c>
      <c r="J333" s="1013">
        <f t="shared" si="137"/>
        <v>32</v>
      </c>
      <c r="K333" s="1012">
        <f t="shared" si="137"/>
        <v>30.509211195928753</v>
      </c>
      <c r="L333" s="1011">
        <f t="shared" si="137"/>
        <v>0.28252761440252472</v>
      </c>
    </row>
    <row r="334" spans="1:12">
      <c r="A334" s="906">
        <v>333</v>
      </c>
      <c r="B334" s="906" t="s">
        <v>1404</v>
      </c>
      <c r="C334" s="906">
        <v>29189</v>
      </c>
      <c r="D334" s="906" t="s">
        <v>1256</v>
      </c>
      <c r="E334" s="906" t="s">
        <v>1258</v>
      </c>
      <c r="F334" s="1015"/>
      <c r="G334" s="1014"/>
      <c r="H334" s="1014"/>
      <c r="I334" s="1014"/>
      <c r="J334" s="1013"/>
      <c r="K334" s="1012"/>
      <c r="L334" s="1011"/>
    </row>
    <row r="335" spans="1:12">
      <c r="A335" s="906">
        <v>334</v>
      </c>
      <c r="B335" s="906" t="s">
        <v>1403</v>
      </c>
      <c r="C335" s="906">
        <v>29189</v>
      </c>
      <c r="D335" s="906" t="s">
        <v>1256</v>
      </c>
      <c r="E335" s="906" t="s">
        <v>1259</v>
      </c>
      <c r="F335" s="1015"/>
      <c r="G335" s="1014"/>
      <c r="H335" s="1014"/>
      <c r="I335" s="1014"/>
      <c r="J335" s="1013"/>
      <c r="K335" s="1012"/>
      <c r="L335" s="1011"/>
    </row>
    <row r="336" spans="1:12">
      <c r="A336" s="906">
        <v>335</v>
      </c>
      <c r="B336" s="906" t="s">
        <v>1402</v>
      </c>
      <c r="C336" s="906">
        <v>29189</v>
      </c>
      <c r="D336" s="906" t="s">
        <v>1256</v>
      </c>
      <c r="E336" s="906" t="s">
        <v>1259</v>
      </c>
      <c r="F336" s="1015"/>
      <c r="G336" s="1014"/>
      <c r="H336" s="1014"/>
      <c r="I336" s="1014"/>
      <c r="J336" s="1013"/>
      <c r="K336" s="1012"/>
      <c r="L336" s="1011"/>
    </row>
    <row r="337" spans="1:12">
      <c r="A337" s="906">
        <v>336</v>
      </c>
      <c r="B337" s="906" t="s">
        <v>1401</v>
      </c>
      <c r="C337" s="906">
        <v>29189</v>
      </c>
      <c r="D337" s="906" t="s">
        <v>1256</v>
      </c>
      <c r="E337" s="906" t="s">
        <v>1258</v>
      </c>
      <c r="F337" s="1015"/>
      <c r="G337" s="1014"/>
      <c r="H337" s="1014"/>
      <c r="I337" s="1014"/>
      <c r="J337" s="1013"/>
      <c r="K337" s="1012"/>
      <c r="L337" s="1011"/>
    </row>
    <row r="338" spans="1:12">
      <c r="A338" s="906">
        <v>337</v>
      </c>
      <c r="B338" s="906" t="s">
        <v>1400</v>
      </c>
      <c r="C338" s="906">
        <v>29189</v>
      </c>
      <c r="D338" s="906" t="s">
        <v>1256</v>
      </c>
      <c r="E338" s="906" t="s">
        <v>1258</v>
      </c>
      <c r="F338" s="1015"/>
      <c r="G338" s="1014"/>
      <c r="H338" s="1014"/>
      <c r="I338" s="1014"/>
      <c r="J338" s="1013"/>
      <c r="K338" s="1012"/>
      <c r="L338" s="1011"/>
    </row>
    <row r="339" spans="1:12">
      <c r="A339" s="906">
        <v>338</v>
      </c>
      <c r="B339" s="906" t="s">
        <v>1399</v>
      </c>
      <c r="C339" s="906">
        <v>29189</v>
      </c>
      <c r="D339" s="906" t="s">
        <v>1256</v>
      </c>
      <c r="E339" s="906" t="s">
        <v>1258</v>
      </c>
      <c r="F339" s="1015">
        <f t="shared" ref="F339:L341" si="138">O195</f>
        <v>0</v>
      </c>
      <c r="G339" s="1014">
        <f t="shared" si="138"/>
        <v>70</v>
      </c>
      <c r="H339" s="1014">
        <f t="shared" si="138"/>
        <v>35</v>
      </c>
      <c r="I339" s="1014">
        <f t="shared" si="138"/>
        <v>70</v>
      </c>
      <c r="J339" s="1013">
        <f t="shared" si="138"/>
        <v>31</v>
      </c>
      <c r="K339" s="1012">
        <f t="shared" si="138"/>
        <v>36.810123456790123</v>
      </c>
      <c r="L339" s="1011">
        <f t="shared" si="138"/>
        <v>0.24733198730891259</v>
      </c>
    </row>
    <row r="340" spans="1:12">
      <c r="A340" s="906">
        <v>339</v>
      </c>
      <c r="B340" s="906" t="s">
        <v>1398</v>
      </c>
      <c r="C340" s="906">
        <v>29189</v>
      </c>
      <c r="D340" s="906" t="s">
        <v>1256</v>
      </c>
      <c r="E340" s="906" t="s">
        <v>1258</v>
      </c>
      <c r="F340" s="1015">
        <f t="shared" si="138"/>
        <v>0</v>
      </c>
      <c r="G340" s="1014">
        <f t="shared" si="138"/>
        <v>68.5</v>
      </c>
      <c r="H340" s="1014">
        <f t="shared" si="138"/>
        <v>41</v>
      </c>
      <c r="I340" s="1014">
        <f t="shared" si="138"/>
        <v>72</v>
      </c>
      <c r="J340" s="1013">
        <f t="shared" si="138"/>
        <v>35</v>
      </c>
      <c r="K340" s="1012">
        <f t="shared" si="138"/>
        <v>38.37406</v>
      </c>
      <c r="L340" s="1011">
        <f t="shared" si="138"/>
        <v>0.23754883724404802</v>
      </c>
    </row>
    <row r="341" spans="1:12">
      <c r="A341" s="906">
        <v>340</v>
      </c>
      <c r="B341" s="906" t="s">
        <v>1397</v>
      </c>
      <c r="C341" s="906">
        <v>29189</v>
      </c>
      <c r="D341" s="906" t="s">
        <v>1256</v>
      </c>
      <c r="E341" s="906" t="s">
        <v>1258</v>
      </c>
      <c r="F341" s="1015">
        <f t="shared" si="138"/>
        <v>1.1500633141945221E-2</v>
      </c>
      <c r="G341" s="1014">
        <f t="shared" si="138"/>
        <v>69</v>
      </c>
      <c r="H341" s="1014">
        <f t="shared" si="138"/>
        <v>0</v>
      </c>
      <c r="I341" s="1014">
        <f t="shared" si="138"/>
        <v>72</v>
      </c>
      <c r="J341" s="1013">
        <f t="shared" si="138"/>
        <v>0</v>
      </c>
      <c r="K341" s="1012" t="str">
        <f t="shared" si="138"/>
        <v/>
      </c>
      <c r="L341" s="1011">
        <f t="shared" si="138"/>
        <v>0.23712841750605412</v>
      </c>
    </row>
    <row r="342" spans="1:12" ht="16">
      <c r="A342" s="906">
        <v>341</v>
      </c>
      <c r="B342" s="906" t="s">
        <v>1396</v>
      </c>
      <c r="C342" s="906">
        <v>29189</v>
      </c>
      <c r="D342" s="906" t="s">
        <v>1256</v>
      </c>
      <c r="E342" s="906" t="s">
        <v>1259</v>
      </c>
      <c r="F342" s="1015">
        <f t="shared" ref="F342:K343" si="139">O198</f>
        <v>0</v>
      </c>
      <c r="G342" s="1014">
        <f t="shared" si="139"/>
        <v>72</v>
      </c>
      <c r="H342" s="1014">
        <f t="shared" si="139"/>
        <v>41</v>
      </c>
      <c r="I342" s="1014">
        <f t="shared" si="139"/>
        <v>88</v>
      </c>
      <c r="J342" s="1013">
        <f t="shared" si="139"/>
        <v>39</v>
      </c>
      <c r="K342" s="1012">
        <f t="shared" si="139"/>
        <v>0</v>
      </c>
      <c r="L342" s="1016">
        <v>0.22800028617798151</v>
      </c>
    </row>
    <row r="343" spans="1:12">
      <c r="A343" s="906">
        <v>342</v>
      </c>
      <c r="B343" s="906" t="s">
        <v>1395</v>
      </c>
      <c r="C343" s="906">
        <v>29189</v>
      </c>
      <c r="D343" s="906" t="s">
        <v>1256</v>
      </c>
      <c r="E343" s="906" t="s">
        <v>1258</v>
      </c>
      <c r="F343" s="1015">
        <f t="shared" si="139"/>
        <v>0</v>
      </c>
      <c r="G343" s="1014">
        <f t="shared" si="139"/>
        <v>85</v>
      </c>
      <c r="H343" s="1014">
        <f t="shared" si="139"/>
        <v>45</v>
      </c>
      <c r="I343" s="1014">
        <f t="shared" si="139"/>
        <v>85</v>
      </c>
      <c r="J343" s="1013">
        <f t="shared" si="139"/>
        <v>45</v>
      </c>
      <c r="K343" s="1012" t="str">
        <f t="shared" si="139"/>
        <v/>
      </c>
      <c r="L343" s="1011">
        <f>U199</f>
        <v>0.22411913419097065</v>
      </c>
    </row>
    <row r="344" spans="1:12">
      <c r="A344" s="906">
        <v>343</v>
      </c>
      <c r="B344" s="906" t="s">
        <v>1394</v>
      </c>
      <c r="C344" s="906">
        <v>29189</v>
      </c>
      <c r="D344" s="906" t="s">
        <v>1257</v>
      </c>
      <c r="E344" s="906" t="s">
        <v>1259</v>
      </c>
      <c r="F344" s="1015"/>
      <c r="G344" s="1014"/>
      <c r="H344" s="1014"/>
      <c r="I344" s="1014"/>
      <c r="J344" s="1013"/>
      <c r="K344" s="1012"/>
      <c r="L344" s="1011"/>
    </row>
    <row r="345" spans="1:12">
      <c r="A345" s="906">
        <v>344</v>
      </c>
      <c r="B345" s="906" t="s">
        <v>1393</v>
      </c>
      <c r="C345" s="906">
        <v>29188</v>
      </c>
      <c r="D345" s="906" t="s">
        <v>1256</v>
      </c>
      <c r="E345" s="906" t="s">
        <v>1259</v>
      </c>
      <c r="F345" s="1015">
        <f t="shared" ref="F345:L347" si="140">O200</f>
        <v>2.6783337769496939E-2</v>
      </c>
      <c r="G345" s="1014">
        <f t="shared" si="140"/>
        <v>71.2</v>
      </c>
      <c r="H345" s="1014">
        <f t="shared" si="140"/>
        <v>44.4</v>
      </c>
      <c r="I345" s="1014">
        <f t="shared" si="140"/>
        <v>76.7</v>
      </c>
      <c r="J345" s="1013">
        <f t="shared" si="140"/>
        <v>37.6</v>
      </c>
      <c r="K345" s="1012">
        <f t="shared" si="140"/>
        <v>46.516443384276855</v>
      </c>
      <c r="L345" s="1011">
        <f t="shared" si="140"/>
        <v>0.33448429113534578</v>
      </c>
    </row>
    <row r="346" spans="1:12">
      <c r="A346" s="906">
        <v>345</v>
      </c>
      <c r="B346" s="906" t="s">
        <v>1392</v>
      </c>
      <c r="C346" s="906">
        <v>29188</v>
      </c>
      <c r="D346" s="906" t="s">
        <v>1256</v>
      </c>
      <c r="E346" s="906" t="s">
        <v>1258</v>
      </c>
      <c r="F346" s="1015">
        <f t="shared" si="140"/>
        <v>0</v>
      </c>
      <c r="G346" s="1014">
        <f t="shared" si="140"/>
        <v>80</v>
      </c>
      <c r="H346" s="1014">
        <f t="shared" si="140"/>
        <v>40</v>
      </c>
      <c r="I346" s="1014">
        <f t="shared" si="140"/>
        <v>80</v>
      </c>
      <c r="J346" s="1013">
        <f t="shared" si="140"/>
        <v>38</v>
      </c>
      <c r="K346" s="1012" t="str">
        <f t="shared" si="140"/>
        <v/>
      </c>
      <c r="L346" s="1011">
        <f t="shared" si="140"/>
        <v>0.42861396949343217</v>
      </c>
    </row>
    <row r="347" spans="1:12">
      <c r="A347" s="906">
        <v>346</v>
      </c>
      <c r="B347" s="906" t="s">
        <v>1391</v>
      </c>
      <c r="C347" s="906">
        <v>29189</v>
      </c>
      <c r="D347" s="906" t="s">
        <v>1256</v>
      </c>
      <c r="E347" s="906" t="s">
        <v>1258</v>
      </c>
      <c r="F347" s="1015">
        <f t="shared" si="140"/>
        <v>0</v>
      </c>
      <c r="G347" s="1014">
        <f t="shared" si="140"/>
        <v>66</v>
      </c>
      <c r="H347" s="1014">
        <f t="shared" si="140"/>
        <v>43</v>
      </c>
      <c r="I347" s="1014">
        <f t="shared" si="140"/>
        <v>75</v>
      </c>
      <c r="J347" s="1013">
        <f t="shared" si="140"/>
        <v>34</v>
      </c>
      <c r="K347" s="1012">
        <f t="shared" si="140"/>
        <v>33.189646441843678</v>
      </c>
      <c r="L347" s="1011">
        <f t="shared" si="140"/>
        <v>0.27482968574272526</v>
      </c>
    </row>
    <row r="348" spans="1:12">
      <c r="A348" s="906">
        <v>347</v>
      </c>
      <c r="B348" s="906" t="s">
        <v>1390</v>
      </c>
      <c r="C348" s="906">
        <v>29189</v>
      </c>
      <c r="D348" s="906" t="s">
        <v>1256</v>
      </c>
      <c r="E348" s="906" t="s">
        <v>1258</v>
      </c>
      <c r="F348" s="1015"/>
      <c r="G348" s="1014"/>
      <c r="H348" s="1014"/>
      <c r="I348" s="1014"/>
      <c r="J348" s="1013"/>
      <c r="K348" s="1012"/>
      <c r="L348" s="1011"/>
    </row>
    <row r="349" spans="1:12">
      <c r="A349" s="906">
        <v>348</v>
      </c>
      <c r="B349" s="906" t="s">
        <v>1389</v>
      </c>
      <c r="C349" s="906">
        <v>29189</v>
      </c>
      <c r="D349" s="906" t="s">
        <v>1256</v>
      </c>
      <c r="E349" s="906" t="s">
        <v>1258</v>
      </c>
      <c r="F349" s="1015">
        <f t="shared" ref="F349:L350" si="141">O203</f>
        <v>0</v>
      </c>
      <c r="G349" s="1014">
        <f t="shared" si="141"/>
        <v>79.430000000000007</v>
      </c>
      <c r="H349" s="1014">
        <f t="shared" si="141"/>
        <v>46.72</v>
      </c>
      <c r="I349" s="1014">
        <f t="shared" si="141"/>
        <v>80.959999999999994</v>
      </c>
      <c r="J349" s="1013">
        <f t="shared" si="141"/>
        <v>41.73</v>
      </c>
      <c r="K349" s="1012" t="str">
        <f t="shared" si="141"/>
        <v/>
      </c>
      <c r="L349" s="1011">
        <f t="shared" si="141"/>
        <v>0.24484052532833017</v>
      </c>
    </row>
    <row r="350" spans="1:12">
      <c r="A350" s="906">
        <v>349</v>
      </c>
      <c r="B350" s="906" t="s">
        <v>1388</v>
      </c>
      <c r="C350" s="906">
        <v>29189</v>
      </c>
      <c r="D350" s="906" t="s">
        <v>1256</v>
      </c>
      <c r="E350" s="906" t="s">
        <v>1258</v>
      </c>
      <c r="F350" s="1015">
        <f t="shared" si="141"/>
        <v>2.081651726921254E-3</v>
      </c>
      <c r="G350" s="1014">
        <f t="shared" si="141"/>
        <v>71</v>
      </c>
      <c r="H350" s="1014">
        <f t="shared" si="141"/>
        <v>39</v>
      </c>
      <c r="I350" s="1014">
        <f t="shared" si="141"/>
        <v>75</v>
      </c>
      <c r="J350" s="1013">
        <f t="shared" si="141"/>
        <v>39</v>
      </c>
      <c r="K350" s="1012" t="str">
        <f t="shared" si="141"/>
        <v/>
      </c>
      <c r="L350" s="1011">
        <f t="shared" si="141"/>
        <v>0.31176387115084431</v>
      </c>
    </row>
    <row r="351" spans="1:12">
      <c r="A351" s="906">
        <v>350</v>
      </c>
      <c r="B351" s="906" t="s">
        <v>1387</v>
      </c>
      <c r="C351" s="906">
        <v>29189</v>
      </c>
      <c r="D351" s="906" t="s">
        <v>1256</v>
      </c>
      <c r="E351" s="906" t="s">
        <v>1258</v>
      </c>
      <c r="F351" s="1015">
        <f t="shared" ref="F351:K351" si="142">O205</f>
        <v>4.4325885514862207E-3</v>
      </c>
      <c r="G351" s="1014">
        <f t="shared" si="142"/>
        <v>65.5</v>
      </c>
      <c r="H351" s="1014">
        <f t="shared" si="142"/>
        <v>35.5</v>
      </c>
      <c r="I351" s="1014">
        <f t="shared" si="142"/>
        <v>65.5</v>
      </c>
      <c r="J351" s="1013">
        <f t="shared" si="142"/>
        <v>35.5</v>
      </c>
      <c r="K351" s="1012">
        <f t="shared" si="142"/>
        <v>31.893521451711237</v>
      </c>
      <c r="L351" s="1017">
        <v>0.22800028617798151</v>
      </c>
    </row>
    <row r="352" spans="1:12">
      <c r="A352" s="906">
        <v>351</v>
      </c>
      <c r="B352" s="906" t="s">
        <v>1386</v>
      </c>
      <c r="C352" s="906">
        <v>29189</v>
      </c>
      <c r="D352" s="906" t="s">
        <v>1256</v>
      </c>
      <c r="E352" s="906" t="s">
        <v>1258</v>
      </c>
      <c r="F352" s="1015"/>
      <c r="G352" s="1014"/>
      <c r="H352" s="1014"/>
      <c r="I352" s="1014"/>
      <c r="J352" s="1013"/>
      <c r="K352" s="1012"/>
      <c r="L352" s="1011"/>
    </row>
    <row r="353" spans="1:12">
      <c r="A353" s="906">
        <v>352</v>
      </c>
      <c r="B353" s="906" t="s">
        <v>1385</v>
      </c>
      <c r="C353" s="906">
        <v>29189</v>
      </c>
      <c r="D353" s="906" t="s">
        <v>1256</v>
      </c>
      <c r="E353" s="906" t="s">
        <v>1258</v>
      </c>
      <c r="F353" s="1015">
        <f t="shared" ref="F353:L353" si="143">O206</f>
        <v>0</v>
      </c>
      <c r="G353" s="1014">
        <f t="shared" si="143"/>
        <v>68</v>
      </c>
      <c r="H353" s="1014">
        <f t="shared" si="143"/>
        <v>42</v>
      </c>
      <c r="I353" s="1014">
        <f t="shared" si="143"/>
        <v>73</v>
      </c>
      <c r="J353" s="1013">
        <f t="shared" si="143"/>
        <v>39</v>
      </c>
      <c r="K353" s="1012" t="str">
        <f t="shared" si="143"/>
        <v/>
      </c>
      <c r="L353" s="1011">
        <f t="shared" si="143"/>
        <v>0.14821221131063564</v>
      </c>
    </row>
    <row r="354" spans="1:12">
      <c r="A354" s="906">
        <v>353</v>
      </c>
      <c r="B354" s="906" t="s">
        <v>1384</v>
      </c>
      <c r="C354" s="906">
        <v>29189</v>
      </c>
      <c r="D354" s="906" t="s">
        <v>1256</v>
      </c>
      <c r="E354" s="906" t="s">
        <v>1258</v>
      </c>
      <c r="F354" s="1015"/>
      <c r="G354" s="1014"/>
      <c r="H354" s="1014"/>
      <c r="I354" s="1014"/>
      <c r="J354" s="1013"/>
      <c r="K354" s="1012"/>
      <c r="L354" s="1011"/>
    </row>
    <row r="355" spans="1:12">
      <c r="A355" s="906">
        <v>354</v>
      </c>
      <c r="B355" s="906" t="s">
        <v>1383</v>
      </c>
      <c r="C355" s="906">
        <v>29189</v>
      </c>
      <c r="D355" s="906" t="s">
        <v>1256</v>
      </c>
      <c r="E355" s="906" t="s">
        <v>1258</v>
      </c>
      <c r="F355" s="1015">
        <f t="shared" ref="F355:L355" si="144">O207</f>
        <v>1.7211703958691909E-2</v>
      </c>
      <c r="G355" s="1014">
        <f t="shared" si="144"/>
        <v>70</v>
      </c>
      <c r="H355" s="1014">
        <f t="shared" si="144"/>
        <v>45</v>
      </c>
      <c r="I355" s="1014">
        <f t="shared" si="144"/>
        <v>75</v>
      </c>
      <c r="J355" s="1013">
        <f t="shared" si="144"/>
        <v>40</v>
      </c>
      <c r="K355" s="1012">
        <f t="shared" si="144"/>
        <v>35.546450856340392</v>
      </c>
      <c r="L355" s="1011">
        <f t="shared" si="144"/>
        <v>0.43957968476357268</v>
      </c>
    </row>
    <row r="356" spans="1:12" ht="16">
      <c r="A356" s="906">
        <v>355</v>
      </c>
      <c r="B356" s="906" t="s">
        <v>1382</v>
      </c>
      <c r="C356" s="906">
        <v>29189</v>
      </c>
      <c r="D356" s="906" t="s">
        <v>1256</v>
      </c>
      <c r="E356" s="906" t="s">
        <v>1258</v>
      </c>
      <c r="F356" s="1015">
        <f t="shared" ref="F356:K356" si="145">O208</f>
        <v>0</v>
      </c>
      <c r="G356" s="1014">
        <f t="shared" si="145"/>
        <v>67</v>
      </c>
      <c r="H356" s="1014">
        <f t="shared" si="145"/>
        <v>40</v>
      </c>
      <c r="I356" s="1014">
        <f t="shared" si="145"/>
        <v>80</v>
      </c>
      <c r="J356" s="1013">
        <f t="shared" si="145"/>
        <v>40</v>
      </c>
      <c r="K356" s="1012" t="str">
        <f t="shared" si="145"/>
        <v/>
      </c>
      <c r="L356" s="1016">
        <v>0.22800028617798151</v>
      </c>
    </row>
    <row r="357" spans="1:12">
      <c r="A357" s="906">
        <v>356</v>
      </c>
      <c r="B357" s="906" t="s">
        <v>1381</v>
      </c>
      <c r="C357" s="906">
        <v>29189</v>
      </c>
      <c r="D357" s="906" t="s">
        <v>1256</v>
      </c>
      <c r="E357" s="906" t="s">
        <v>1258</v>
      </c>
      <c r="F357" s="1015"/>
      <c r="G357" s="1014"/>
      <c r="H357" s="1014"/>
      <c r="I357" s="1014"/>
      <c r="J357" s="1013"/>
      <c r="K357" s="1012"/>
      <c r="L357" s="1011"/>
    </row>
    <row r="358" spans="1:12">
      <c r="A358" s="906">
        <v>357</v>
      </c>
      <c r="B358" s="906" t="s">
        <v>1380</v>
      </c>
      <c r="C358" s="906">
        <v>29189</v>
      </c>
      <c r="D358" s="906" t="s">
        <v>1256</v>
      </c>
      <c r="E358" s="906" t="s">
        <v>1258</v>
      </c>
      <c r="F358" s="1015">
        <f t="shared" ref="F358:L359" si="146">O209</f>
        <v>0</v>
      </c>
      <c r="G358" s="1014">
        <f t="shared" si="146"/>
        <v>73</v>
      </c>
      <c r="H358" s="1014">
        <f t="shared" si="146"/>
        <v>38</v>
      </c>
      <c r="I358" s="1014">
        <f t="shared" si="146"/>
        <v>75</v>
      </c>
      <c r="J358" s="1013">
        <f t="shared" si="146"/>
        <v>40</v>
      </c>
      <c r="K358" s="1012">
        <f t="shared" si="146"/>
        <v>34.207606774484091</v>
      </c>
      <c r="L358" s="1011">
        <f t="shared" si="146"/>
        <v>0.32759604195234043</v>
      </c>
    </row>
    <row r="359" spans="1:12">
      <c r="A359" s="906">
        <v>358</v>
      </c>
      <c r="B359" s="906" t="s">
        <v>1379</v>
      </c>
      <c r="C359" s="906">
        <v>29189</v>
      </c>
      <c r="D359" s="906" t="s">
        <v>1256</v>
      </c>
      <c r="E359" s="906" t="s">
        <v>1258</v>
      </c>
      <c r="F359" s="1015">
        <f t="shared" si="146"/>
        <v>0</v>
      </c>
      <c r="G359" s="1014">
        <f t="shared" si="146"/>
        <v>73</v>
      </c>
      <c r="H359" s="1014">
        <f t="shared" si="146"/>
        <v>34</v>
      </c>
      <c r="I359" s="1014">
        <f t="shared" si="146"/>
        <v>73</v>
      </c>
      <c r="J359" s="1013">
        <f t="shared" si="146"/>
        <v>34</v>
      </c>
      <c r="K359" s="1012" t="str">
        <f t="shared" si="146"/>
        <v/>
      </c>
      <c r="L359" s="1011">
        <f t="shared" si="146"/>
        <v>0.20877817319098457</v>
      </c>
    </row>
    <row r="360" spans="1:12">
      <c r="A360" s="906">
        <v>359</v>
      </c>
      <c r="B360" s="906" t="s">
        <v>1378</v>
      </c>
      <c r="C360" s="906">
        <v>29189</v>
      </c>
      <c r="D360" s="906" t="s">
        <v>1256</v>
      </c>
      <c r="E360" s="906" t="s">
        <v>1258</v>
      </c>
      <c r="F360" s="1015"/>
      <c r="G360" s="1014"/>
      <c r="H360" s="1014"/>
      <c r="I360" s="1014"/>
      <c r="J360" s="1013"/>
      <c r="K360" s="1012"/>
      <c r="L360" s="1011"/>
    </row>
    <row r="361" spans="1:12">
      <c r="A361" s="906">
        <v>360</v>
      </c>
      <c r="B361" s="906" t="s">
        <v>1377</v>
      </c>
      <c r="C361" s="906">
        <v>29189</v>
      </c>
      <c r="D361" s="906" t="s">
        <v>1256</v>
      </c>
      <c r="E361" s="906" t="s">
        <v>1258</v>
      </c>
      <c r="F361" s="1015">
        <f t="shared" ref="F361:L361" si="147">O212</f>
        <v>0</v>
      </c>
      <c r="G361" s="1014">
        <f t="shared" si="147"/>
        <v>61</v>
      </c>
      <c r="H361" s="1014">
        <f t="shared" si="147"/>
        <v>36</v>
      </c>
      <c r="I361" s="1014">
        <f t="shared" si="147"/>
        <v>67</v>
      </c>
      <c r="J361" s="1013">
        <f t="shared" si="147"/>
        <v>34</v>
      </c>
      <c r="K361" s="1012">
        <f t="shared" si="147"/>
        <v>46.755165262807544</v>
      </c>
      <c r="L361" s="1011">
        <f t="shared" si="147"/>
        <v>0.11627030845302566</v>
      </c>
    </row>
    <row r="362" spans="1:12">
      <c r="A362" s="906">
        <v>361</v>
      </c>
      <c r="B362" s="906" t="s">
        <v>1376</v>
      </c>
      <c r="C362" s="906">
        <v>29189</v>
      </c>
      <c r="D362" s="906" t="s">
        <v>1256</v>
      </c>
      <c r="E362" s="906" t="s">
        <v>1258</v>
      </c>
      <c r="F362" s="1015"/>
      <c r="G362" s="1014"/>
      <c r="H362" s="1014"/>
      <c r="I362" s="1014"/>
      <c r="J362" s="1013"/>
      <c r="K362" s="1012"/>
      <c r="L362" s="1011"/>
    </row>
    <row r="363" spans="1:12" ht="16">
      <c r="A363" s="906">
        <v>362</v>
      </c>
      <c r="B363" s="906" t="s">
        <v>1375</v>
      </c>
      <c r="C363" s="906">
        <v>55133</v>
      </c>
      <c r="D363" s="906" t="s">
        <v>1257</v>
      </c>
      <c r="E363" s="906" t="s">
        <v>1258</v>
      </c>
      <c r="F363" s="1015">
        <f t="shared" ref="F363:K365" si="148">O213</f>
        <v>0</v>
      </c>
      <c r="G363" s="1014">
        <f t="shared" si="148"/>
        <v>72</v>
      </c>
      <c r="H363" s="1014">
        <f t="shared" si="148"/>
        <v>33</v>
      </c>
      <c r="I363" s="1014">
        <f t="shared" si="148"/>
        <v>75</v>
      </c>
      <c r="J363" s="1013">
        <f t="shared" si="148"/>
        <v>0</v>
      </c>
      <c r="K363" s="1012">
        <f t="shared" si="148"/>
        <v>0</v>
      </c>
      <c r="L363" s="1016">
        <v>0.17374718282373314</v>
      </c>
    </row>
    <row r="364" spans="1:12">
      <c r="A364" s="906">
        <v>363</v>
      </c>
      <c r="B364" s="906" t="s">
        <v>1374</v>
      </c>
      <c r="C364" s="906">
        <v>29189</v>
      </c>
      <c r="D364" s="906" t="s">
        <v>1256</v>
      </c>
      <c r="E364" s="906" t="s">
        <v>1258</v>
      </c>
      <c r="F364" s="1015">
        <f t="shared" si="148"/>
        <v>0</v>
      </c>
      <c r="G364" s="1014">
        <f t="shared" si="148"/>
        <v>74</v>
      </c>
      <c r="H364" s="1014">
        <f t="shared" si="148"/>
        <v>38</v>
      </c>
      <c r="I364" s="1014">
        <f t="shared" si="148"/>
        <v>75</v>
      </c>
      <c r="J364" s="1013">
        <f t="shared" si="148"/>
        <v>34</v>
      </c>
      <c r="K364" s="1012" t="str">
        <f t="shared" si="148"/>
        <v/>
      </c>
      <c r="L364" s="1011">
        <f>U214</f>
        <v>0.33361204013377926</v>
      </c>
    </row>
    <row r="365" spans="1:12">
      <c r="A365" s="906">
        <v>364</v>
      </c>
      <c r="B365" s="906" t="s">
        <v>1373</v>
      </c>
      <c r="C365" s="906">
        <v>29189</v>
      </c>
      <c r="D365" s="906" t="s">
        <v>1257</v>
      </c>
      <c r="E365" s="906" t="s">
        <v>1258</v>
      </c>
      <c r="F365" s="1015">
        <f t="shared" si="148"/>
        <v>0</v>
      </c>
      <c r="G365" s="1014">
        <f t="shared" si="148"/>
        <v>68</v>
      </c>
      <c r="H365" s="1014">
        <f t="shared" si="148"/>
        <v>45</v>
      </c>
      <c r="I365" s="1014">
        <f t="shared" si="148"/>
        <v>82</v>
      </c>
      <c r="J365" s="1013">
        <f t="shared" si="148"/>
        <v>43</v>
      </c>
      <c r="K365" s="1012" t="str">
        <f t="shared" si="148"/>
        <v/>
      </c>
      <c r="L365" s="1011">
        <f>U215</f>
        <v>0.23974527108974802</v>
      </c>
    </row>
    <row r="366" spans="1:12">
      <c r="A366" s="906">
        <v>365</v>
      </c>
      <c r="B366" s="906" t="s">
        <v>1373</v>
      </c>
      <c r="C366" s="906">
        <v>29189</v>
      </c>
      <c r="D366" s="906" t="s">
        <v>1256</v>
      </c>
      <c r="E366" s="906" t="s">
        <v>1258</v>
      </c>
      <c r="F366" s="1015">
        <f t="shared" ref="F366:L368" si="149">F365</f>
        <v>0</v>
      </c>
      <c r="G366" s="1014">
        <f t="shared" si="149"/>
        <v>68</v>
      </c>
      <c r="H366" s="1014">
        <f t="shared" si="149"/>
        <v>45</v>
      </c>
      <c r="I366" s="1014">
        <f t="shared" si="149"/>
        <v>82</v>
      </c>
      <c r="J366" s="1013">
        <f t="shared" si="149"/>
        <v>43</v>
      </c>
      <c r="K366" s="1012" t="str">
        <f t="shared" si="149"/>
        <v/>
      </c>
      <c r="L366" s="1011">
        <f t="shared" si="149"/>
        <v>0.23974527108974802</v>
      </c>
    </row>
    <row r="367" spans="1:12">
      <c r="A367" s="906">
        <v>366</v>
      </c>
      <c r="B367" s="906" t="s">
        <v>1373</v>
      </c>
      <c r="C367" s="906">
        <v>69116</v>
      </c>
      <c r="D367" s="906" t="s">
        <v>1257</v>
      </c>
      <c r="E367" s="906" t="s">
        <v>1258</v>
      </c>
      <c r="F367" s="1015">
        <f t="shared" si="149"/>
        <v>0</v>
      </c>
      <c r="G367" s="1014">
        <f t="shared" si="149"/>
        <v>68</v>
      </c>
      <c r="H367" s="1014">
        <f t="shared" si="149"/>
        <v>45</v>
      </c>
      <c r="I367" s="1014">
        <f t="shared" si="149"/>
        <v>82</v>
      </c>
      <c r="J367" s="1013">
        <f t="shared" si="149"/>
        <v>43</v>
      </c>
      <c r="K367" s="1012" t="str">
        <f t="shared" si="149"/>
        <v/>
      </c>
      <c r="L367" s="1011">
        <f t="shared" si="149"/>
        <v>0.23974527108974802</v>
      </c>
    </row>
    <row r="368" spans="1:12">
      <c r="A368" s="906">
        <v>367</v>
      </c>
      <c r="B368" s="906" t="s">
        <v>1373</v>
      </c>
      <c r="C368" s="906">
        <v>69116</v>
      </c>
      <c r="D368" s="906" t="s">
        <v>1256</v>
      </c>
      <c r="E368" s="906" t="s">
        <v>1258</v>
      </c>
      <c r="F368" s="1015">
        <f t="shared" si="149"/>
        <v>0</v>
      </c>
      <c r="G368" s="1014">
        <f t="shared" si="149"/>
        <v>68</v>
      </c>
      <c r="H368" s="1014">
        <f t="shared" si="149"/>
        <v>45</v>
      </c>
      <c r="I368" s="1014">
        <f t="shared" si="149"/>
        <v>82</v>
      </c>
      <c r="J368" s="1013">
        <f t="shared" si="149"/>
        <v>43</v>
      </c>
      <c r="K368" s="1012" t="str">
        <f t="shared" si="149"/>
        <v/>
      </c>
      <c r="L368" s="1011">
        <f t="shared" si="149"/>
        <v>0.23974527108974802</v>
      </c>
    </row>
    <row r="369" spans="1:12">
      <c r="A369" s="906">
        <v>368</v>
      </c>
      <c r="B369" s="906" t="s">
        <v>1372</v>
      </c>
      <c r="C369" s="906">
        <v>29189</v>
      </c>
      <c r="D369" s="906" t="s">
        <v>1256</v>
      </c>
      <c r="E369" s="906" t="s">
        <v>1258</v>
      </c>
      <c r="F369" s="1015"/>
      <c r="G369" s="1014"/>
      <c r="H369" s="1014"/>
      <c r="I369" s="1014"/>
      <c r="J369" s="1013"/>
      <c r="K369" s="1012"/>
      <c r="L369" s="1011"/>
    </row>
    <row r="370" spans="1:12" ht="16">
      <c r="A370" s="906">
        <v>369</v>
      </c>
      <c r="B370" s="906" t="s">
        <v>1371</v>
      </c>
      <c r="C370" s="906">
        <v>29189</v>
      </c>
      <c r="D370" s="906" t="s">
        <v>1256</v>
      </c>
      <c r="E370" s="906" t="s">
        <v>1258</v>
      </c>
      <c r="F370" s="1015">
        <f t="shared" ref="F370:K372" si="150">O216</f>
        <v>0</v>
      </c>
      <c r="G370" s="1014">
        <f t="shared" si="150"/>
        <v>72</v>
      </c>
      <c r="H370" s="1014">
        <f t="shared" si="150"/>
        <v>0</v>
      </c>
      <c r="I370" s="1014">
        <f t="shared" si="150"/>
        <v>76</v>
      </c>
      <c r="J370" s="1013">
        <f t="shared" si="150"/>
        <v>0</v>
      </c>
      <c r="K370" s="1012" t="str">
        <f t="shared" si="150"/>
        <v/>
      </c>
      <c r="L370" s="1016">
        <v>0.22800028617798151</v>
      </c>
    </row>
    <row r="371" spans="1:12">
      <c r="A371" s="906">
        <v>370</v>
      </c>
      <c r="B371" s="906" t="s">
        <v>1370</v>
      </c>
      <c r="C371" s="906">
        <v>29189</v>
      </c>
      <c r="D371" s="906" t="s">
        <v>1256</v>
      </c>
      <c r="E371" s="906" t="s">
        <v>1258</v>
      </c>
      <c r="F371" s="1015">
        <f t="shared" si="150"/>
        <v>5.3880879568952962E-3</v>
      </c>
      <c r="G371" s="1014">
        <f t="shared" si="150"/>
        <v>70</v>
      </c>
      <c r="H371" s="1014">
        <f t="shared" si="150"/>
        <v>35</v>
      </c>
      <c r="I371" s="1014">
        <f t="shared" si="150"/>
        <v>72</v>
      </c>
      <c r="J371" s="1013">
        <f t="shared" si="150"/>
        <v>35</v>
      </c>
      <c r="K371" s="1012">
        <f t="shared" si="150"/>
        <v>33.324634063315557</v>
      </c>
      <c r="L371" s="1011">
        <f>U217</f>
        <v>0.35754026354319179</v>
      </c>
    </row>
    <row r="372" spans="1:12" ht="16">
      <c r="A372" s="906">
        <v>371</v>
      </c>
      <c r="B372" s="906" t="s">
        <v>1369</v>
      </c>
      <c r="C372" s="906">
        <v>29189</v>
      </c>
      <c r="D372" s="906" t="s">
        <v>1257</v>
      </c>
      <c r="E372" s="906" t="s">
        <v>1258</v>
      </c>
      <c r="F372" s="1015">
        <f t="shared" si="150"/>
        <v>0</v>
      </c>
      <c r="G372" s="1014">
        <f t="shared" si="150"/>
        <v>98</v>
      </c>
      <c r="H372" s="1014">
        <f t="shared" si="150"/>
        <v>46</v>
      </c>
      <c r="I372" s="1014">
        <f t="shared" si="150"/>
        <v>100</v>
      </c>
      <c r="J372" s="1013">
        <f t="shared" si="150"/>
        <v>43</v>
      </c>
      <c r="K372" s="1012" t="str">
        <f t="shared" si="150"/>
        <v/>
      </c>
      <c r="L372" s="1016">
        <v>0.22800028617798151</v>
      </c>
    </row>
    <row r="373" spans="1:12" ht="16">
      <c r="A373" s="906">
        <v>372</v>
      </c>
      <c r="B373" s="906" t="s">
        <v>1369</v>
      </c>
      <c r="C373" s="906">
        <v>29189</v>
      </c>
      <c r="D373" s="906" t="s">
        <v>1256</v>
      </c>
      <c r="E373" s="906" t="s">
        <v>1258</v>
      </c>
      <c r="F373" s="1015">
        <f t="shared" ref="F373:L373" si="151">F372</f>
        <v>0</v>
      </c>
      <c r="G373" s="1014">
        <f t="shared" si="151"/>
        <v>98</v>
      </c>
      <c r="H373" s="1014">
        <f t="shared" si="151"/>
        <v>46</v>
      </c>
      <c r="I373" s="1014">
        <f t="shared" si="151"/>
        <v>100</v>
      </c>
      <c r="J373" s="1013">
        <f t="shared" si="151"/>
        <v>43</v>
      </c>
      <c r="K373" s="1012" t="str">
        <f t="shared" si="151"/>
        <v/>
      </c>
      <c r="L373" s="1016">
        <f t="shared" si="151"/>
        <v>0.22800028617798151</v>
      </c>
    </row>
    <row r="374" spans="1:12">
      <c r="A374" s="906">
        <v>373</v>
      </c>
      <c r="B374" s="906" t="s">
        <v>1368</v>
      </c>
      <c r="C374" s="906">
        <v>29189</v>
      </c>
      <c r="D374" s="906" t="s">
        <v>1256</v>
      </c>
      <c r="E374" s="906" t="s">
        <v>1258</v>
      </c>
      <c r="F374" s="1015">
        <f t="shared" ref="F374:L376" si="152">O220</f>
        <v>0</v>
      </c>
      <c r="G374" s="1014">
        <f t="shared" si="152"/>
        <v>69</v>
      </c>
      <c r="H374" s="1014">
        <f t="shared" si="152"/>
        <v>39</v>
      </c>
      <c r="I374" s="1014">
        <f t="shared" si="152"/>
        <v>74</v>
      </c>
      <c r="J374" s="1013">
        <f t="shared" si="152"/>
        <v>34</v>
      </c>
      <c r="K374" s="1012" t="str">
        <f t="shared" si="152"/>
        <v/>
      </c>
      <c r="L374" s="1011">
        <f t="shared" si="152"/>
        <v>0.31348259115976623</v>
      </c>
    </row>
    <row r="375" spans="1:12">
      <c r="A375" s="906">
        <v>374</v>
      </c>
      <c r="B375" s="906" t="s">
        <v>1367</v>
      </c>
      <c r="C375" s="906">
        <v>20310</v>
      </c>
      <c r="D375" s="906" t="s">
        <v>1257</v>
      </c>
      <c r="E375" s="906" t="s">
        <v>1259</v>
      </c>
      <c r="F375" s="1015">
        <f t="shared" si="152"/>
        <v>0</v>
      </c>
      <c r="G375" s="1014">
        <f t="shared" si="152"/>
        <v>80</v>
      </c>
      <c r="H375" s="1014">
        <f t="shared" si="152"/>
        <v>52</v>
      </c>
      <c r="I375" s="1014">
        <f t="shared" si="152"/>
        <v>98</v>
      </c>
      <c r="J375" s="1013">
        <f t="shared" si="152"/>
        <v>56</v>
      </c>
      <c r="K375" s="1012">
        <f t="shared" si="152"/>
        <v>35.229012561938589</v>
      </c>
      <c r="L375" s="1011">
        <f t="shared" si="152"/>
        <v>4.4888546380582095E-2</v>
      </c>
    </row>
    <row r="376" spans="1:12">
      <c r="A376" s="906">
        <v>375</v>
      </c>
      <c r="B376" s="906" t="s">
        <v>1366</v>
      </c>
      <c r="C376" s="906">
        <v>29189</v>
      </c>
      <c r="D376" s="906" t="s">
        <v>1256</v>
      </c>
      <c r="E376" s="906" t="s">
        <v>1258</v>
      </c>
      <c r="F376" s="1015">
        <f t="shared" si="152"/>
        <v>8.5511899301839681E-2</v>
      </c>
      <c r="G376" s="1014">
        <f t="shared" si="152"/>
        <v>68</v>
      </c>
      <c r="H376" s="1014">
        <f t="shared" si="152"/>
        <v>44</v>
      </c>
      <c r="I376" s="1014">
        <f t="shared" si="152"/>
        <v>74</v>
      </c>
      <c r="J376" s="1013">
        <f t="shared" si="152"/>
        <v>34</v>
      </c>
      <c r="K376" s="1012">
        <f t="shared" si="152"/>
        <v>0</v>
      </c>
      <c r="L376" s="1011">
        <f t="shared" si="152"/>
        <v>0.23148509334076345</v>
      </c>
    </row>
    <row r="377" spans="1:12">
      <c r="A377" s="906">
        <v>376</v>
      </c>
      <c r="B377" s="906" t="s">
        <v>1365</v>
      </c>
      <c r="C377" s="906">
        <v>29189</v>
      </c>
      <c r="D377" s="906" t="s">
        <v>1256</v>
      </c>
      <c r="E377" s="906" t="s">
        <v>1258</v>
      </c>
      <c r="F377" s="1015"/>
      <c r="G377" s="1014"/>
      <c r="H377" s="1014"/>
      <c r="I377" s="1014"/>
      <c r="J377" s="1013"/>
      <c r="K377" s="1012"/>
      <c r="L377" s="1011"/>
    </row>
    <row r="378" spans="1:12">
      <c r="A378" s="906">
        <v>377</v>
      </c>
      <c r="B378" s="906" t="s">
        <v>1364</v>
      </c>
      <c r="C378" s="906">
        <v>29189</v>
      </c>
      <c r="D378" s="906" t="s">
        <v>1256</v>
      </c>
      <c r="E378" s="906" t="s">
        <v>1258</v>
      </c>
      <c r="F378" s="1015"/>
      <c r="G378" s="1014"/>
      <c r="H378" s="1014"/>
      <c r="I378" s="1014"/>
      <c r="J378" s="1013"/>
      <c r="K378" s="1012"/>
      <c r="L378" s="1011"/>
    </row>
    <row r="379" spans="1:12" ht="16">
      <c r="A379" s="906">
        <v>378</v>
      </c>
      <c r="B379" s="906" t="s">
        <v>1363</v>
      </c>
      <c r="C379" s="906">
        <v>29189</v>
      </c>
      <c r="D379" s="906" t="s">
        <v>1256</v>
      </c>
      <c r="E379" s="906" t="s">
        <v>1258</v>
      </c>
      <c r="F379" s="1015">
        <f t="shared" ref="F379:K381" si="153">O223</f>
        <v>0</v>
      </c>
      <c r="G379" s="1014">
        <f t="shared" si="153"/>
        <v>75</v>
      </c>
      <c r="H379" s="1014">
        <f t="shared" si="153"/>
        <v>0</v>
      </c>
      <c r="I379" s="1014">
        <f t="shared" si="153"/>
        <v>78</v>
      </c>
      <c r="J379" s="1013">
        <f t="shared" si="153"/>
        <v>0</v>
      </c>
      <c r="K379" s="1012" t="str">
        <f t="shared" si="153"/>
        <v/>
      </c>
      <c r="L379" s="1016">
        <v>0.22800028617798151</v>
      </c>
    </row>
    <row r="380" spans="1:12">
      <c r="A380" s="906">
        <v>379</v>
      </c>
      <c r="B380" s="906" t="s">
        <v>1362</v>
      </c>
      <c r="C380" s="906">
        <v>29189</v>
      </c>
      <c r="D380" s="906" t="s">
        <v>1256</v>
      </c>
      <c r="E380" s="906" t="s">
        <v>1258</v>
      </c>
      <c r="F380" s="1015">
        <f t="shared" si="153"/>
        <v>0</v>
      </c>
      <c r="G380" s="1014">
        <f t="shared" si="153"/>
        <v>71</v>
      </c>
      <c r="H380" s="1014">
        <f t="shared" si="153"/>
        <v>38</v>
      </c>
      <c r="I380" s="1014">
        <f t="shared" si="153"/>
        <v>71.7</v>
      </c>
      <c r="J380" s="1013">
        <f t="shared" si="153"/>
        <v>35</v>
      </c>
      <c r="K380" s="1012">
        <f t="shared" si="153"/>
        <v>59.151992880300043</v>
      </c>
      <c r="L380" s="1011">
        <f>U224</f>
        <v>0.2341783293724144</v>
      </c>
    </row>
    <row r="381" spans="1:12">
      <c r="A381" s="906">
        <v>380</v>
      </c>
      <c r="B381" s="906" t="s">
        <v>1361</v>
      </c>
      <c r="C381" s="906">
        <v>29189</v>
      </c>
      <c r="D381" s="906" t="s">
        <v>1256</v>
      </c>
      <c r="E381" s="906" t="s">
        <v>1258</v>
      </c>
      <c r="F381" s="1015">
        <f t="shared" si="153"/>
        <v>0</v>
      </c>
      <c r="G381" s="1014">
        <f t="shared" si="153"/>
        <v>70</v>
      </c>
      <c r="H381" s="1014">
        <f t="shared" si="153"/>
        <v>38</v>
      </c>
      <c r="I381" s="1014">
        <f t="shared" si="153"/>
        <v>78</v>
      </c>
      <c r="J381" s="1013">
        <f t="shared" si="153"/>
        <v>34</v>
      </c>
      <c r="K381" s="1012" t="str">
        <f t="shared" si="153"/>
        <v/>
      </c>
      <c r="L381" s="1011">
        <f>U225</f>
        <v>0.2257401699822546</v>
      </c>
    </row>
    <row r="382" spans="1:12">
      <c r="A382" s="906">
        <v>381</v>
      </c>
      <c r="B382" s="906" t="s">
        <v>1360</v>
      </c>
      <c r="C382" s="906">
        <v>29189</v>
      </c>
      <c r="D382" s="906" t="s">
        <v>1256</v>
      </c>
      <c r="E382" s="906" t="s">
        <v>1258</v>
      </c>
      <c r="F382" s="1015"/>
      <c r="G382" s="1014"/>
      <c r="H382" s="1014"/>
      <c r="I382" s="1014"/>
      <c r="J382" s="1013"/>
      <c r="K382" s="1012"/>
      <c r="L382" s="1011"/>
    </row>
    <row r="383" spans="1:12">
      <c r="A383" s="906">
        <v>382</v>
      </c>
      <c r="B383" s="906" t="s">
        <v>1359</v>
      </c>
      <c r="C383" s="906">
        <v>29189</v>
      </c>
      <c r="D383" s="906" t="s">
        <v>1256</v>
      </c>
      <c r="E383" s="906" t="s">
        <v>1258</v>
      </c>
      <c r="F383" s="1015">
        <f t="shared" ref="F383:L385" si="154">O226</f>
        <v>0</v>
      </c>
      <c r="G383" s="1014">
        <f t="shared" si="154"/>
        <v>80</v>
      </c>
      <c r="H383" s="1014">
        <f t="shared" si="154"/>
        <v>45</v>
      </c>
      <c r="I383" s="1014">
        <f t="shared" si="154"/>
        <v>80</v>
      </c>
      <c r="J383" s="1013">
        <f t="shared" si="154"/>
        <v>45</v>
      </c>
      <c r="K383" s="1012" t="str">
        <f t="shared" si="154"/>
        <v/>
      </c>
      <c r="L383" s="1011">
        <f t="shared" si="154"/>
        <v>0.38391819660701837</v>
      </c>
    </row>
    <row r="384" spans="1:12">
      <c r="A384" s="906">
        <v>383</v>
      </c>
      <c r="B384" s="906" t="s">
        <v>1358</v>
      </c>
      <c r="C384" s="906">
        <v>19583</v>
      </c>
      <c r="D384" s="906" t="s">
        <v>1257</v>
      </c>
      <c r="E384" s="906" t="s">
        <v>1259</v>
      </c>
      <c r="F384" s="1015">
        <f t="shared" si="154"/>
        <v>0</v>
      </c>
      <c r="G384" s="1014">
        <f t="shared" si="154"/>
        <v>70</v>
      </c>
      <c r="H384" s="1014">
        <f t="shared" si="154"/>
        <v>40</v>
      </c>
      <c r="I384" s="1014">
        <f t="shared" si="154"/>
        <v>80</v>
      </c>
      <c r="J384" s="1013">
        <f t="shared" si="154"/>
        <v>40</v>
      </c>
      <c r="K384" s="1012">
        <f t="shared" si="154"/>
        <v>0</v>
      </c>
      <c r="L384" s="1011">
        <f t="shared" si="154"/>
        <v>0.2169264724372677</v>
      </c>
    </row>
    <row r="385" spans="1:12">
      <c r="A385" s="906">
        <v>384</v>
      </c>
      <c r="B385" s="906" t="s">
        <v>1357</v>
      </c>
      <c r="C385" s="906">
        <v>29189</v>
      </c>
      <c r="D385" s="906" t="s">
        <v>1256</v>
      </c>
      <c r="E385" s="906" t="s">
        <v>1258</v>
      </c>
      <c r="F385" s="1015">
        <f t="shared" si="154"/>
        <v>0</v>
      </c>
      <c r="G385" s="1014">
        <f t="shared" si="154"/>
        <v>76</v>
      </c>
      <c r="H385" s="1014">
        <f t="shared" si="154"/>
        <v>39</v>
      </c>
      <c r="I385" s="1014">
        <f t="shared" si="154"/>
        <v>78</v>
      </c>
      <c r="J385" s="1013">
        <f t="shared" si="154"/>
        <v>36</v>
      </c>
      <c r="K385" s="1012">
        <f t="shared" si="154"/>
        <v>52.457577464788734</v>
      </c>
      <c r="L385" s="1011">
        <f t="shared" si="154"/>
        <v>0.21452541485791693</v>
      </c>
    </row>
    <row r="386" spans="1:12">
      <c r="A386" s="906">
        <v>385</v>
      </c>
      <c r="B386" s="906" t="s">
        <v>1356</v>
      </c>
      <c r="C386" s="906">
        <v>29189</v>
      </c>
      <c r="D386" s="906" t="s">
        <v>1257</v>
      </c>
      <c r="E386" s="906" t="s">
        <v>1258</v>
      </c>
      <c r="F386" s="1015"/>
      <c r="G386" s="1014"/>
      <c r="H386" s="1014"/>
      <c r="I386" s="1014"/>
      <c r="J386" s="1013"/>
      <c r="K386" s="1012"/>
      <c r="L386" s="1011"/>
    </row>
    <row r="387" spans="1:12">
      <c r="A387" s="906">
        <v>386</v>
      </c>
      <c r="B387" s="906" t="s">
        <v>1355</v>
      </c>
      <c r="C387" s="906">
        <v>19583</v>
      </c>
      <c r="D387" s="906" t="s">
        <v>1257</v>
      </c>
      <c r="E387" s="906" t="s">
        <v>1259</v>
      </c>
      <c r="F387" s="1015"/>
      <c r="G387" s="1014"/>
      <c r="H387" s="1014"/>
      <c r="I387" s="1014"/>
      <c r="J387" s="1013"/>
      <c r="K387" s="1012"/>
      <c r="L387" s="1011"/>
    </row>
    <row r="388" spans="1:12">
      <c r="A388" s="906">
        <v>387</v>
      </c>
      <c r="B388" s="906" t="s">
        <v>1355</v>
      </c>
      <c r="C388" s="906">
        <v>66137</v>
      </c>
      <c r="D388" s="906" t="s">
        <v>1257</v>
      </c>
      <c r="E388" s="906" t="s">
        <v>1259</v>
      </c>
      <c r="F388" s="1015"/>
      <c r="G388" s="1014"/>
      <c r="H388" s="1014"/>
      <c r="I388" s="1014"/>
      <c r="J388" s="1013"/>
      <c r="K388" s="1012"/>
      <c r="L388" s="1011"/>
    </row>
    <row r="389" spans="1:12">
      <c r="A389" s="906">
        <v>388</v>
      </c>
      <c r="B389" s="906" t="s">
        <v>1354</v>
      </c>
      <c r="C389" s="906">
        <v>29189</v>
      </c>
      <c r="D389" s="906" t="s">
        <v>1256</v>
      </c>
      <c r="E389" s="906" t="s">
        <v>1258</v>
      </c>
      <c r="F389" s="1015">
        <f t="shared" ref="F389:L389" si="155">O229</f>
        <v>8.6365306872473353E-3</v>
      </c>
      <c r="G389" s="1014">
        <f t="shared" si="155"/>
        <v>71</v>
      </c>
      <c r="H389" s="1014">
        <f t="shared" si="155"/>
        <v>37</v>
      </c>
      <c r="I389" s="1014">
        <f t="shared" si="155"/>
        <v>76</v>
      </c>
      <c r="J389" s="1013">
        <f t="shared" si="155"/>
        <v>36</v>
      </c>
      <c r="K389" s="1012" t="str">
        <f t="shared" si="155"/>
        <v/>
      </c>
      <c r="L389" s="1011">
        <f t="shared" si="155"/>
        <v>0.4715477293790547</v>
      </c>
    </row>
    <row r="390" spans="1:12">
      <c r="A390" s="906">
        <v>389</v>
      </c>
      <c r="B390" s="906" t="s">
        <v>1353</v>
      </c>
      <c r="C390" s="906">
        <v>29189</v>
      </c>
      <c r="D390" s="906" t="s">
        <v>1256</v>
      </c>
      <c r="E390" s="906" t="s">
        <v>1258</v>
      </c>
      <c r="F390" s="1015"/>
      <c r="G390" s="1014"/>
      <c r="H390" s="1014"/>
      <c r="I390" s="1014"/>
      <c r="J390" s="1013"/>
      <c r="K390" s="1012"/>
      <c r="L390" s="1011"/>
    </row>
    <row r="391" spans="1:12">
      <c r="A391" s="906">
        <v>390</v>
      </c>
      <c r="B391" s="906" t="s">
        <v>1352</v>
      </c>
      <c r="C391" s="906">
        <v>29188</v>
      </c>
      <c r="D391" s="906" t="s">
        <v>1256</v>
      </c>
      <c r="E391" s="906" t="s">
        <v>1259</v>
      </c>
      <c r="F391" s="1015"/>
      <c r="G391" s="1014"/>
      <c r="H391" s="1014"/>
      <c r="I391" s="1014"/>
      <c r="J391" s="1013"/>
      <c r="K391" s="1012"/>
      <c r="L391" s="1011"/>
    </row>
    <row r="392" spans="1:12">
      <c r="A392" s="906">
        <v>391</v>
      </c>
      <c r="B392" s="906" t="s">
        <v>1351</v>
      </c>
      <c r="C392" s="906">
        <v>29189</v>
      </c>
      <c r="D392" s="906" t="s">
        <v>1256</v>
      </c>
      <c r="E392" s="906" t="s">
        <v>1258</v>
      </c>
      <c r="F392" s="1015">
        <f t="shared" ref="F392:L392" si="156">O230</f>
        <v>0</v>
      </c>
      <c r="G392" s="1014">
        <f t="shared" si="156"/>
        <v>80</v>
      </c>
      <c r="H392" s="1014">
        <f t="shared" si="156"/>
        <v>40</v>
      </c>
      <c r="I392" s="1014">
        <f t="shared" si="156"/>
        <v>80</v>
      </c>
      <c r="J392" s="1013">
        <f t="shared" si="156"/>
        <v>40</v>
      </c>
      <c r="K392" s="1012">
        <f t="shared" si="156"/>
        <v>35.000006226187431</v>
      </c>
      <c r="L392" s="1011">
        <f t="shared" si="156"/>
        <v>0.1961182278067885</v>
      </c>
    </row>
    <row r="393" spans="1:12" ht="16">
      <c r="A393" s="906">
        <v>392</v>
      </c>
      <c r="B393" s="906" t="s">
        <v>1350</v>
      </c>
      <c r="C393" s="906">
        <v>55133</v>
      </c>
      <c r="D393" s="906" t="s">
        <v>1257</v>
      </c>
      <c r="E393" s="906" t="s">
        <v>1258</v>
      </c>
      <c r="F393" s="1015">
        <f t="shared" ref="F393:K394" si="157">O231</f>
        <v>0</v>
      </c>
      <c r="G393" s="1014">
        <f t="shared" si="157"/>
        <v>63</v>
      </c>
      <c r="H393" s="1014">
        <f t="shared" si="157"/>
        <v>48</v>
      </c>
      <c r="I393" s="1014">
        <f t="shared" si="157"/>
        <v>72</v>
      </c>
      <c r="J393" s="1013">
        <f t="shared" si="157"/>
        <v>42</v>
      </c>
      <c r="K393" s="1012" t="str">
        <f t="shared" si="157"/>
        <v/>
      </c>
      <c r="L393" s="1016">
        <v>0.17374718282373314</v>
      </c>
    </row>
    <row r="394" spans="1:12">
      <c r="A394" s="906">
        <v>393</v>
      </c>
      <c r="B394" s="906" t="s">
        <v>1349</v>
      </c>
      <c r="C394" s="906">
        <v>29189</v>
      </c>
      <c r="D394" s="906" t="s">
        <v>1257</v>
      </c>
      <c r="E394" s="906" t="s">
        <v>1258</v>
      </c>
      <c r="F394" s="1015">
        <f t="shared" si="157"/>
        <v>0</v>
      </c>
      <c r="G394" s="1014">
        <f t="shared" si="157"/>
        <v>78</v>
      </c>
      <c r="H394" s="1014">
        <f t="shared" si="157"/>
        <v>51</v>
      </c>
      <c r="I394" s="1014">
        <f t="shared" si="157"/>
        <v>85</v>
      </c>
      <c r="J394" s="1013">
        <f t="shared" si="157"/>
        <v>42</v>
      </c>
      <c r="K394" s="1012" t="str">
        <f t="shared" si="157"/>
        <v/>
      </c>
      <c r="L394" s="1011">
        <f>U232</f>
        <v>0.15945465637516246</v>
      </c>
    </row>
    <row r="395" spans="1:12">
      <c r="A395" s="906">
        <v>394</v>
      </c>
      <c r="B395" s="906" t="s">
        <v>1348</v>
      </c>
      <c r="C395" s="906">
        <v>19583</v>
      </c>
      <c r="D395" s="906" t="s">
        <v>1257</v>
      </c>
      <c r="E395" s="906" t="s">
        <v>1259</v>
      </c>
      <c r="F395" s="1015"/>
      <c r="G395" s="1014"/>
      <c r="H395" s="1014"/>
      <c r="I395" s="1014"/>
      <c r="J395" s="1013"/>
      <c r="K395" s="1012"/>
      <c r="L395" s="1011"/>
    </row>
    <row r="396" spans="1:12">
      <c r="A396" s="906">
        <v>395</v>
      </c>
      <c r="B396" s="906" t="s">
        <v>1348</v>
      </c>
      <c r="C396" s="906">
        <v>19583</v>
      </c>
      <c r="D396" s="906" t="s">
        <v>1256</v>
      </c>
      <c r="E396" s="906" t="s">
        <v>1259</v>
      </c>
      <c r="F396" s="1015"/>
      <c r="G396" s="1014"/>
      <c r="H396" s="1014"/>
      <c r="I396" s="1014"/>
      <c r="J396" s="1013"/>
      <c r="K396" s="1012"/>
      <c r="L396" s="1011"/>
    </row>
    <row r="397" spans="1:12" ht="16">
      <c r="A397" s="906">
        <v>396</v>
      </c>
      <c r="B397" s="906" t="s">
        <v>1347</v>
      </c>
      <c r="C397" s="906">
        <v>29189</v>
      </c>
      <c r="D397" s="906" t="s">
        <v>1256</v>
      </c>
      <c r="E397" s="906" t="s">
        <v>1258</v>
      </c>
      <c r="F397" s="1015">
        <f t="shared" ref="F397:K398" si="158">O233</f>
        <v>0</v>
      </c>
      <c r="G397" s="1014">
        <f t="shared" si="158"/>
        <v>68</v>
      </c>
      <c r="H397" s="1014">
        <f t="shared" si="158"/>
        <v>0</v>
      </c>
      <c r="I397" s="1014">
        <f t="shared" si="158"/>
        <v>75</v>
      </c>
      <c r="J397" s="1013">
        <f t="shared" si="158"/>
        <v>0</v>
      </c>
      <c r="K397" s="1012" t="str">
        <f t="shared" si="158"/>
        <v/>
      </c>
      <c r="L397" s="1016">
        <v>0.22800028617798151</v>
      </c>
    </row>
    <row r="398" spans="1:12">
      <c r="A398" s="906">
        <v>397</v>
      </c>
      <c r="B398" s="906" t="s">
        <v>1346</v>
      </c>
      <c r="C398" s="906">
        <v>29189</v>
      </c>
      <c r="D398" s="906" t="s">
        <v>1257</v>
      </c>
      <c r="E398" s="906" t="s">
        <v>1258</v>
      </c>
      <c r="F398" s="1015">
        <f t="shared" si="158"/>
        <v>0</v>
      </c>
      <c r="G398" s="1014">
        <f t="shared" si="158"/>
        <v>75</v>
      </c>
      <c r="H398" s="1014">
        <f t="shared" si="158"/>
        <v>45</v>
      </c>
      <c r="I398" s="1014">
        <f t="shared" si="158"/>
        <v>78</v>
      </c>
      <c r="J398" s="1013">
        <f t="shared" si="158"/>
        <v>41</v>
      </c>
      <c r="K398" s="1012">
        <f t="shared" si="158"/>
        <v>36.022074999995993</v>
      </c>
      <c r="L398" s="1011">
        <f>U234</f>
        <v>0.23532574071983792</v>
      </c>
    </row>
    <row r="399" spans="1:12">
      <c r="A399" s="906">
        <v>398</v>
      </c>
      <c r="B399" s="906" t="s">
        <v>1345</v>
      </c>
      <c r="C399" s="906">
        <v>29189</v>
      </c>
      <c r="D399" s="906" t="s">
        <v>1256</v>
      </c>
      <c r="E399" s="906" t="s">
        <v>1258</v>
      </c>
      <c r="F399" s="1015"/>
      <c r="G399" s="1014"/>
      <c r="H399" s="1014"/>
      <c r="I399" s="1014"/>
      <c r="J399" s="1013"/>
      <c r="K399" s="1012"/>
      <c r="L399" s="1011"/>
    </row>
    <row r="400" spans="1:12">
      <c r="A400" s="906">
        <v>399</v>
      </c>
      <c r="B400" s="906" t="s">
        <v>1344</v>
      </c>
      <c r="C400" s="906">
        <v>29189</v>
      </c>
      <c r="D400" s="906" t="s">
        <v>1256</v>
      </c>
      <c r="E400" s="906" t="s">
        <v>1259</v>
      </c>
      <c r="F400" s="1015">
        <f t="shared" ref="F400:L400" si="159">O235</f>
        <v>0</v>
      </c>
      <c r="G400" s="1014">
        <f t="shared" si="159"/>
        <v>100</v>
      </c>
      <c r="H400" s="1014">
        <f t="shared" si="159"/>
        <v>50</v>
      </c>
      <c r="I400" s="1014">
        <f t="shared" si="159"/>
        <v>115</v>
      </c>
      <c r="J400" s="1013">
        <f t="shared" si="159"/>
        <v>50</v>
      </c>
      <c r="K400" s="1012" t="str">
        <f t="shared" si="159"/>
        <v/>
      </c>
      <c r="L400" s="1011">
        <f t="shared" si="159"/>
        <v>2.4610781342834634E-2</v>
      </c>
    </row>
    <row r="401" spans="1:12">
      <c r="A401" s="906">
        <v>400</v>
      </c>
      <c r="B401" s="906" t="s">
        <v>1344</v>
      </c>
      <c r="C401" s="906">
        <v>44023</v>
      </c>
      <c r="D401" s="906" t="s">
        <v>1257</v>
      </c>
      <c r="E401" s="906" t="s">
        <v>1259</v>
      </c>
      <c r="F401" s="1015">
        <f t="shared" ref="F401:L402" si="160">F400</f>
        <v>0</v>
      </c>
      <c r="G401" s="1014">
        <f t="shared" si="160"/>
        <v>100</v>
      </c>
      <c r="H401" s="1014">
        <f t="shared" si="160"/>
        <v>50</v>
      </c>
      <c r="I401" s="1014">
        <f t="shared" si="160"/>
        <v>115</v>
      </c>
      <c r="J401" s="1013">
        <f t="shared" si="160"/>
        <v>50</v>
      </c>
      <c r="K401" s="1012" t="str">
        <f t="shared" si="160"/>
        <v/>
      </c>
      <c r="L401" s="1011">
        <f t="shared" si="160"/>
        <v>2.4610781342834634E-2</v>
      </c>
    </row>
    <row r="402" spans="1:12">
      <c r="A402" s="906">
        <v>401</v>
      </c>
      <c r="B402" s="906" t="s">
        <v>1344</v>
      </c>
      <c r="C402" s="906">
        <v>44023</v>
      </c>
      <c r="D402" s="906" t="s">
        <v>1256</v>
      </c>
      <c r="E402" s="906" t="s">
        <v>1259</v>
      </c>
      <c r="F402" s="1015">
        <f t="shared" si="160"/>
        <v>0</v>
      </c>
      <c r="G402" s="1014">
        <f t="shared" si="160"/>
        <v>100</v>
      </c>
      <c r="H402" s="1014">
        <f t="shared" si="160"/>
        <v>50</v>
      </c>
      <c r="I402" s="1014">
        <f t="shared" si="160"/>
        <v>115</v>
      </c>
      <c r="J402" s="1013">
        <f t="shared" si="160"/>
        <v>50</v>
      </c>
      <c r="K402" s="1012" t="str">
        <f t="shared" si="160"/>
        <v/>
      </c>
      <c r="L402" s="1011">
        <f t="shared" si="160"/>
        <v>2.4610781342834634E-2</v>
      </c>
    </row>
    <row r="403" spans="1:12">
      <c r="A403" s="906">
        <v>402</v>
      </c>
      <c r="B403" s="906" t="s">
        <v>1343</v>
      </c>
      <c r="C403" s="906">
        <v>29189</v>
      </c>
      <c r="D403" s="906" t="s">
        <v>1256</v>
      </c>
      <c r="E403" s="906" t="s">
        <v>1258</v>
      </c>
      <c r="F403" s="1015">
        <f t="shared" ref="F403:L403" si="161">O236</f>
        <v>2.9994380443944927E-2</v>
      </c>
      <c r="G403" s="1014">
        <f t="shared" si="161"/>
        <v>66</v>
      </c>
      <c r="H403" s="1014">
        <f t="shared" si="161"/>
        <v>35</v>
      </c>
      <c r="I403" s="1014">
        <f t="shared" si="161"/>
        <v>66</v>
      </c>
      <c r="J403" s="1013">
        <f t="shared" si="161"/>
        <v>33</v>
      </c>
      <c r="K403" s="1012" t="str">
        <f t="shared" si="161"/>
        <v/>
      </c>
      <c r="L403" s="1011">
        <f t="shared" si="161"/>
        <v>0.18794264610036926</v>
      </c>
    </row>
    <row r="404" spans="1:12">
      <c r="A404" s="906">
        <v>403</v>
      </c>
      <c r="B404" s="906" t="s">
        <v>1342</v>
      </c>
      <c r="C404" s="906">
        <v>29189</v>
      </c>
      <c r="D404" s="906" t="s">
        <v>1256</v>
      </c>
      <c r="E404" s="906" t="s">
        <v>1258</v>
      </c>
      <c r="F404" s="1015">
        <f t="shared" ref="F404:L406" si="162">O238</f>
        <v>2.2939456417796597E-3</v>
      </c>
      <c r="G404" s="1014">
        <f t="shared" si="162"/>
        <v>67</v>
      </c>
      <c r="H404" s="1014">
        <f t="shared" si="162"/>
        <v>41</v>
      </c>
      <c r="I404" s="1014">
        <f t="shared" si="162"/>
        <v>78</v>
      </c>
      <c r="J404" s="1013">
        <f t="shared" si="162"/>
        <v>38</v>
      </c>
      <c r="K404" s="1012">
        <f t="shared" si="162"/>
        <v>36.03034015456042</v>
      </c>
      <c r="L404" s="1011">
        <f t="shared" si="162"/>
        <v>0.23961749844871907</v>
      </c>
    </row>
    <row r="405" spans="1:12">
      <c r="A405" s="906">
        <v>404</v>
      </c>
      <c r="B405" s="906" t="s">
        <v>1341</v>
      </c>
      <c r="C405" s="906">
        <v>29189</v>
      </c>
      <c r="D405" s="906" t="s">
        <v>1256</v>
      </c>
      <c r="E405" s="906" t="s">
        <v>1258</v>
      </c>
      <c r="F405" s="1015">
        <f t="shared" si="162"/>
        <v>0</v>
      </c>
      <c r="G405" s="1014">
        <f t="shared" si="162"/>
        <v>66.8</v>
      </c>
      <c r="H405" s="1014">
        <f t="shared" si="162"/>
        <v>41.3</v>
      </c>
      <c r="I405" s="1014">
        <f t="shared" si="162"/>
        <v>68.5</v>
      </c>
      <c r="J405" s="1013">
        <f t="shared" si="162"/>
        <v>39.200000000000003</v>
      </c>
      <c r="K405" s="1012">
        <f t="shared" si="162"/>
        <v>28.157887120078705</v>
      </c>
      <c r="L405" s="1011">
        <f t="shared" si="162"/>
        <v>0.23081406264668147</v>
      </c>
    </row>
    <row r="406" spans="1:12">
      <c r="A406" s="906">
        <v>405</v>
      </c>
      <c r="B406" s="906" t="s">
        <v>1340</v>
      </c>
      <c r="C406" s="906">
        <v>29189</v>
      </c>
      <c r="D406" s="906" t="s">
        <v>1256</v>
      </c>
      <c r="E406" s="906" t="s">
        <v>1258</v>
      </c>
      <c r="F406" s="1015">
        <f t="shared" si="162"/>
        <v>3.4953395472703062E-2</v>
      </c>
      <c r="G406" s="1014">
        <f t="shared" si="162"/>
        <v>71</v>
      </c>
      <c r="H406" s="1014">
        <f t="shared" si="162"/>
        <v>37</v>
      </c>
      <c r="I406" s="1014">
        <f t="shared" si="162"/>
        <v>77</v>
      </c>
      <c r="J406" s="1013">
        <f t="shared" si="162"/>
        <v>32</v>
      </c>
      <c r="K406" s="1012" t="str">
        <f t="shared" si="162"/>
        <v/>
      </c>
      <c r="L406" s="1011">
        <f t="shared" si="162"/>
        <v>0.24870645050017248</v>
      </c>
    </row>
    <row r="407" spans="1:12">
      <c r="A407" s="906">
        <v>406</v>
      </c>
      <c r="B407" s="906" t="s">
        <v>1339</v>
      </c>
      <c r="C407" s="906">
        <v>29189</v>
      </c>
      <c r="D407" s="906" t="s">
        <v>1256</v>
      </c>
      <c r="E407" s="906" t="s">
        <v>1258</v>
      </c>
      <c r="F407" s="1015"/>
      <c r="G407" s="1014"/>
      <c r="H407" s="1014"/>
      <c r="I407" s="1014"/>
      <c r="J407" s="1013"/>
      <c r="K407" s="1012"/>
      <c r="L407" s="1011"/>
    </row>
    <row r="408" spans="1:12">
      <c r="A408" s="906">
        <v>407</v>
      </c>
      <c r="B408" s="906" t="s">
        <v>1338</v>
      </c>
      <c r="C408" s="906">
        <v>29189</v>
      </c>
      <c r="D408" s="906" t="s">
        <v>1256</v>
      </c>
      <c r="E408" s="906" t="s">
        <v>1258</v>
      </c>
      <c r="F408" s="1015">
        <f t="shared" ref="F408:L408" si="163">O241</f>
        <v>8.3595919483172906E-3</v>
      </c>
      <c r="G408" s="1014">
        <f t="shared" si="163"/>
        <v>65</v>
      </c>
      <c r="H408" s="1014">
        <f t="shared" si="163"/>
        <v>35</v>
      </c>
      <c r="I408" s="1014">
        <f t="shared" si="163"/>
        <v>72</v>
      </c>
      <c r="J408" s="1013">
        <f t="shared" si="163"/>
        <v>34</v>
      </c>
      <c r="K408" s="1012">
        <f t="shared" si="163"/>
        <v>42.243755862120082</v>
      </c>
      <c r="L408" s="1011">
        <f t="shared" si="163"/>
        <v>0.24847939640162503</v>
      </c>
    </row>
    <row r="409" spans="1:12">
      <c r="A409" s="906">
        <v>408</v>
      </c>
      <c r="B409" s="906" t="s">
        <v>1337</v>
      </c>
      <c r="C409" s="906">
        <v>29189</v>
      </c>
      <c r="D409" s="906" t="s">
        <v>1256</v>
      </c>
      <c r="E409" s="906" t="s">
        <v>1258</v>
      </c>
      <c r="F409" s="1015"/>
      <c r="G409" s="1014"/>
      <c r="H409" s="1014"/>
      <c r="I409" s="1014"/>
      <c r="J409" s="1013"/>
      <c r="K409" s="1012"/>
      <c r="L409" s="1011"/>
    </row>
    <row r="410" spans="1:12">
      <c r="A410" s="906">
        <v>409</v>
      </c>
      <c r="B410" s="906" t="s">
        <v>1336</v>
      </c>
      <c r="C410" s="906">
        <v>29189</v>
      </c>
      <c r="D410" s="906" t="s">
        <v>1256</v>
      </c>
      <c r="E410" s="906" t="s">
        <v>1258</v>
      </c>
      <c r="F410" s="1015"/>
      <c r="G410" s="1014"/>
      <c r="H410" s="1014"/>
      <c r="I410" s="1014"/>
      <c r="J410" s="1013"/>
      <c r="K410" s="1012"/>
      <c r="L410" s="1011"/>
    </row>
    <row r="411" spans="1:12">
      <c r="A411" s="906">
        <v>410</v>
      </c>
      <c r="B411" s="906" t="s">
        <v>1335</v>
      </c>
      <c r="C411" s="906">
        <v>29189</v>
      </c>
      <c r="D411" s="906" t="s">
        <v>1256</v>
      </c>
      <c r="E411" s="906" t="s">
        <v>1258</v>
      </c>
      <c r="F411" s="1015">
        <f t="shared" ref="F411:L412" si="164">O242</f>
        <v>0</v>
      </c>
      <c r="G411" s="1014">
        <f t="shared" si="164"/>
        <v>68</v>
      </c>
      <c r="H411" s="1014">
        <f t="shared" si="164"/>
        <v>0</v>
      </c>
      <c r="I411" s="1014">
        <f t="shared" si="164"/>
        <v>74</v>
      </c>
      <c r="J411" s="1013">
        <f t="shared" si="164"/>
        <v>0</v>
      </c>
      <c r="K411" s="1012" t="str">
        <f t="shared" si="164"/>
        <v/>
      </c>
      <c r="L411" s="1011">
        <f t="shared" si="164"/>
        <v>0.31993156544054746</v>
      </c>
    </row>
    <row r="412" spans="1:12">
      <c r="A412" s="906">
        <v>411</v>
      </c>
      <c r="B412" s="906" t="s">
        <v>1334</v>
      </c>
      <c r="C412" s="906">
        <v>29189</v>
      </c>
      <c r="D412" s="906" t="s">
        <v>1256</v>
      </c>
      <c r="E412" s="906" t="s">
        <v>1258</v>
      </c>
      <c r="F412" s="1015">
        <f t="shared" si="164"/>
        <v>0</v>
      </c>
      <c r="G412" s="1014">
        <f t="shared" si="164"/>
        <v>76</v>
      </c>
      <c r="H412" s="1014">
        <f t="shared" si="164"/>
        <v>42</v>
      </c>
      <c r="I412" s="1014">
        <f t="shared" si="164"/>
        <v>76</v>
      </c>
      <c r="J412" s="1013">
        <f t="shared" si="164"/>
        <v>39</v>
      </c>
      <c r="K412" s="1012">
        <f t="shared" si="164"/>
        <v>38.756086174042636</v>
      </c>
      <c r="L412" s="1011">
        <f t="shared" si="164"/>
        <v>0.25674584447590576</v>
      </c>
    </row>
    <row r="413" spans="1:12">
      <c r="A413" s="906">
        <v>412</v>
      </c>
      <c r="B413" s="906" t="s">
        <v>1333</v>
      </c>
      <c r="C413" s="906">
        <v>29189</v>
      </c>
      <c r="D413" s="906" t="s">
        <v>1256</v>
      </c>
      <c r="E413" s="906" t="s">
        <v>1259</v>
      </c>
      <c r="F413" s="1015"/>
      <c r="G413" s="1014"/>
      <c r="H413" s="1014"/>
      <c r="I413" s="1014"/>
      <c r="J413" s="1013"/>
      <c r="K413" s="1012"/>
      <c r="L413" s="1011"/>
    </row>
    <row r="414" spans="1:12">
      <c r="A414" s="906">
        <v>413</v>
      </c>
      <c r="B414" s="906" t="s">
        <v>1332</v>
      </c>
      <c r="C414" s="906">
        <v>29189</v>
      </c>
      <c r="D414" s="906" t="s">
        <v>1256</v>
      </c>
      <c r="E414" s="906" t="s">
        <v>1258</v>
      </c>
      <c r="F414" s="1015"/>
      <c r="G414" s="1014"/>
      <c r="H414" s="1014"/>
      <c r="I414" s="1014"/>
      <c r="J414" s="1013"/>
      <c r="K414" s="1012"/>
      <c r="L414" s="1011"/>
    </row>
    <row r="415" spans="1:12">
      <c r="A415" s="906">
        <v>414</v>
      </c>
      <c r="B415" s="906" t="s">
        <v>1331</v>
      </c>
      <c r="C415" s="906">
        <v>29188</v>
      </c>
      <c r="D415" s="906" t="s">
        <v>1256</v>
      </c>
      <c r="E415" s="906" t="s">
        <v>1259</v>
      </c>
      <c r="F415" s="1015">
        <f t="shared" ref="F415:L416" si="165">O245</f>
        <v>0</v>
      </c>
      <c r="G415" s="1014">
        <f t="shared" si="165"/>
        <v>68</v>
      </c>
      <c r="H415" s="1014">
        <f t="shared" si="165"/>
        <v>45</v>
      </c>
      <c r="I415" s="1014">
        <f t="shared" si="165"/>
        <v>70</v>
      </c>
      <c r="J415" s="1013">
        <f t="shared" si="165"/>
        <v>43</v>
      </c>
      <c r="K415" s="1012" t="str">
        <f t="shared" si="165"/>
        <v/>
      </c>
      <c r="L415" s="1011">
        <f t="shared" si="165"/>
        <v>0.17581161874834209</v>
      </c>
    </row>
    <row r="416" spans="1:12">
      <c r="A416" s="906">
        <v>415</v>
      </c>
      <c r="B416" s="906" t="s">
        <v>1330</v>
      </c>
      <c r="C416" s="906">
        <v>29189</v>
      </c>
      <c r="D416" s="906" t="s">
        <v>1256</v>
      </c>
      <c r="E416" s="906" t="s">
        <v>1258</v>
      </c>
      <c r="F416" s="1015">
        <f t="shared" si="165"/>
        <v>0</v>
      </c>
      <c r="G416" s="1014">
        <f t="shared" si="165"/>
        <v>73</v>
      </c>
      <c r="H416" s="1014">
        <f t="shared" si="165"/>
        <v>40</v>
      </c>
      <c r="I416" s="1014">
        <f t="shared" si="165"/>
        <v>74</v>
      </c>
      <c r="J416" s="1013">
        <f t="shared" si="165"/>
        <v>38</v>
      </c>
      <c r="K416" s="1012">
        <f t="shared" si="165"/>
        <v>33.293261760135614</v>
      </c>
      <c r="L416" s="1011">
        <f t="shared" si="165"/>
        <v>0.48748877941981389</v>
      </c>
    </row>
    <row r="417" spans="1:12">
      <c r="A417" s="906">
        <v>416</v>
      </c>
      <c r="B417" s="906" t="s">
        <v>1329</v>
      </c>
      <c r="C417" s="906">
        <v>55133</v>
      </c>
      <c r="D417" s="906" t="s">
        <v>1257</v>
      </c>
      <c r="E417" s="906" t="s">
        <v>1258</v>
      </c>
      <c r="F417" s="1015"/>
      <c r="G417" s="1014"/>
      <c r="H417" s="1014"/>
      <c r="I417" s="1014"/>
      <c r="J417" s="1013"/>
      <c r="K417" s="1012"/>
      <c r="L417" s="1011"/>
    </row>
    <row r="418" spans="1:12">
      <c r="A418" s="906">
        <v>417</v>
      </c>
      <c r="B418" s="906" t="s">
        <v>1328</v>
      </c>
      <c r="C418" s="906">
        <v>28856</v>
      </c>
      <c r="D418" s="906" t="s">
        <v>1256</v>
      </c>
      <c r="E418" s="906" t="s">
        <v>1258</v>
      </c>
      <c r="F418" s="1015">
        <f t="shared" ref="F418:L418" si="166">O247</f>
        <v>0</v>
      </c>
      <c r="G418" s="1014">
        <f t="shared" si="166"/>
        <v>74</v>
      </c>
      <c r="H418" s="1014">
        <f t="shared" si="166"/>
        <v>39</v>
      </c>
      <c r="I418" s="1014">
        <f t="shared" si="166"/>
        <v>76</v>
      </c>
      <c r="J418" s="1013">
        <f t="shared" si="166"/>
        <v>34</v>
      </c>
      <c r="K418" s="1012" t="str">
        <f t="shared" si="166"/>
        <v/>
      </c>
      <c r="L418" s="1011">
        <f t="shared" si="166"/>
        <v>0.25546265720508676</v>
      </c>
    </row>
    <row r="419" spans="1:12">
      <c r="A419" s="906">
        <v>418</v>
      </c>
      <c r="B419" s="906" t="s">
        <v>1327</v>
      </c>
      <c r="C419" s="906">
        <v>29189</v>
      </c>
      <c r="D419" s="906" t="s">
        <v>1256</v>
      </c>
      <c r="E419" s="906" t="s">
        <v>1258</v>
      </c>
      <c r="F419" s="1015"/>
      <c r="G419" s="1014"/>
      <c r="H419" s="1014"/>
      <c r="I419" s="1014"/>
      <c r="J419" s="1013"/>
      <c r="K419" s="1012"/>
      <c r="L419" s="1011"/>
    </row>
    <row r="420" spans="1:12">
      <c r="A420" s="906">
        <v>419</v>
      </c>
      <c r="B420" s="906" t="s">
        <v>1326</v>
      </c>
      <c r="C420" s="906">
        <v>29189</v>
      </c>
      <c r="D420" s="906" t="s">
        <v>1256</v>
      </c>
      <c r="E420" s="906" t="s">
        <v>1258</v>
      </c>
      <c r="F420" s="1015">
        <f t="shared" ref="F420:L420" si="167">O251</f>
        <v>0</v>
      </c>
      <c r="G420" s="1014">
        <f t="shared" si="167"/>
        <v>66</v>
      </c>
      <c r="H420" s="1014">
        <f t="shared" si="167"/>
        <v>38</v>
      </c>
      <c r="I420" s="1014">
        <f t="shared" si="167"/>
        <v>73</v>
      </c>
      <c r="J420" s="1013">
        <f t="shared" si="167"/>
        <v>36</v>
      </c>
      <c r="K420" s="1012">
        <f t="shared" si="167"/>
        <v>30.201102191033733</v>
      </c>
      <c r="L420" s="1011">
        <f t="shared" si="167"/>
        <v>0.31531005647263249</v>
      </c>
    </row>
    <row r="421" spans="1:12">
      <c r="A421" s="906">
        <v>420</v>
      </c>
      <c r="B421" s="906" t="s">
        <v>1325</v>
      </c>
      <c r="C421" s="906">
        <v>29189</v>
      </c>
      <c r="D421" s="906" t="s">
        <v>1256</v>
      </c>
      <c r="E421" s="906" t="s">
        <v>1258</v>
      </c>
      <c r="F421" s="1015"/>
      <c r="G421" s="1014"/>
      <c r="H421" s="1014"/>
      <c r="I421" s="1014"/>
      <c r="J421" s="1013"/>
      <c r="K421" s="1012"/>
      <c r="L421" s="1011"/>
    </row>
    <row r="422" spans="1:12">
      <c r="A422" s="906">
        <v>421</v>
      </c>
      <c r="B422" s="906" t="s">
        <v>1324</v>
      </c>
      <c r="C422" s="906">
        <v>29189</v>
      </c>
      <c r="D422" s="906" t="s">
        <v>1256</v>
      </c>
      <c r="E422" s="906" t="s">
        <v>1258</v>
      </c>
      <c r="F422" s="1015">
        <f t="shared" ref="F422:L422" si="168">O248</f>
        <v>3.4430193439865435E-3</v>
      </c>
      <c r="G422" s="1014">
        <f t="shared" si="168"/>
        <v>66</v>
      </c>
      <c r="H422" s="1014">
        <f t="shared" si="168"/>
        <v>39</v>
      </c>
      <c r="I422" s="1014">
        <f t="shared" si="168"/>
        <v>70</v>
      </c>
      <c r="J422" s="1013">
        <f t="shared" si="168"/>
        <v>36</v>
      </c>
      <c r="K422" s="1012">
        <f t="shared" si="168"/>
        <v>31.196659204408473</v>
      </c>
      <c r="L422" s="1011">
        <f t="shared" si="168"/>
        <v>0.21267505340612392</v>
      </c>
    </row>
    <row r="423" spans="1:12">
      <c r="A423" s="906">
        <v>422</v>
      </c>
      <c r="B423" s="906" t="s">
        <v>1323</v>
      </c>
      <c r="C423" s="906">
        <v>29189</v>
      </c>
      <c r="D423" s="906" t="s">
        <v>1256</v>
      </c>
      <c r="E423" s="906" t="s">
        <v>1258</v>
      </c>
      <c r="F423" s="1015"/>
      <c r="G423" s="1014"/>
      <c r="H423" s="1014"/>
      <c r="I423" s="1014"/>
      <c r="J423" s="1013"/>
      <c r="K423" s="1012"/>
      <c r="L423" s="1011"/>
    </row>
    <row r="424" spans="1:12">
      <c r="A424" s="906">
        <v>423</v>
      </c>
      <c r="B424" s="906" t="s">
        <v>1322</v>
      </c>
      <c r="C424" s="906">
        <v>29189</v>
      </c>
      <c r="D424" s="906" t="s">
        <v>1256</v>
      </c>
      <c r="E424" s="906" t="s">
        <v>1258</v>
      </c>
      <c r="F424" s="1015"/>
      <c r="G424" s="1014"/>
      <c r="H424" s="1014"/>
      <c r="I424" s="1014"/>
      <c r="J424" s="1013"/>
      <c r="K424" s="1012"/>
      <c r="L424" s="1011"/>
    </row>
    <row r="425" spans="1:12">
      <c r="A425" s="906">
        <v>424</v>
      </c>
      <c r="B425" s="906" t="s">
        <v>1321</v>
      </c>
      <c r="C425" s="906">
        <v>29189</v>
      </c>
      <c r="D425" s="906" t="s">
        <v>1256</v>
      </c>
      <c r="E425" s="906" t="s">
        <v>1258</v>
      </c>
      <c r="F425" s="1015">
        <f t="shared" ref="F425:L426" si="169">O249</f>
        <v>0</v>
      </c>
      <c r="G425" s="1014">
        <f t="shared" si="169"/>
        <v>67</v>
      </c>
      <c r="H425" s="1014">
        <f t="shared" si="169"/>
        <v>37</v>
      </c>
      <c r="I425" s="1014">
        <f t="shared" si="169"/>
        <v>70</v>
      </c>
      <c r="J425" s="1013">
        <f t="shared" si="169"/>
        <v>34</v>
      </c>
      <c r="K425" s="1012">
        <f t="shared" si="169"/>
        <v>32.745812737811598</v>
      </c>
      <c r="L425" s="1011">
        <f t="shared" si="169"/>
        <v>0.26686901704412797</v>
      </c>
    </row>
    <row r="426" spans="1:12">
      <c r="A426" s="906">
        <v>425</v>
      </c>
      <c r="B426" s="906" t="s">
        <v>1320</v>
      </c>
      <c r="C426" s="906">
        <v>29189</v>
      </c>
      <c r="D426" s="906" t="s">
        <v>1256</v>
      </c>
      <c r="E426" s="906" t="s">
        <v>1258</v>
      </c>
      <c r="F426" s="1015">
        <f t="shared" si="169"/>
        <v>6.973014434139879E-5</v>
      </c>
      <c r="G426" s="1014">
        <f t="shared" si="169"/>
        <v>72</v>
      </c>
      <c r="H426" s="1014">
        <f t="shared" si="169"/>
        <v>39</v>
      </c>
      <c r="I426" s="1014">
        <f t="shared" si="169"/>
        <v>76</v>
      </c>
      <c r="J426" s="1013">
        <f t="shared" si="169"/>
        <v>34</v>
      </c>
      <c r="K426" s="1012">
        <f t="shared" si="169"/>
        <v>34.869991065066671</v>
      </c>
      <c r="L426" s="1011">
        <f t="shared" si="169"/>
        <v>0.26729428172942815</v>
      </c>
    </row>
    <row r="427" spans="1:12">
      <c r="A427" s="906">
        <v>426</v>
      </c>
      <c r="B427" s="906" t="s">
        <v>1319</v>
      </c>
      <c r="C427" s="906">
        <v>29189</v>
      </c>
      <c r="D427" s="906" t="s">
        <v>1256</v>
      </c>
      <c r="E427" s="906" t="s">
        <v>1258</v>
      </c>
      <c r="F427" s="1015">
        <f t="shared" ref="F427:L427" si="170">O252</f>
        <v>1.3805119957110307E-2</v>
      </c>
      <c r="G427" s="1014">
        <f t="shared" si="170"/>
        <v>72</v>
      </c>
      <c r="H427" s="1014">
        <f t="shared" si="170"/>
        <v>41</v>
      </c>
      <c r="I427" s="1014">
        <f t="shared" si="170"/>
        <v>73</v>
      </c>
      <c r="J427" s="1013">
        <f t="shared" si="170"/>
        <v>39</v>
      </c>
      <c r="K427" s="1012">
        <f t="shared" si="170"/>
        <v>0</v>
      </c>
      <c r="L427" s="1011">
        <f t="shared" si="170"/>
        <v>0.45528676270725743</v>
      </c>
    </row>
    <row r="428" spans="1:12">
      <c r="A428" s="906">
        <v>427</v>
      </c>
      <c r="B428" s="906" t="s">
        <v>1318</v>
      </c>
      <c r="C428" s="906">
        <v>29189</v>
      </c>
      <c r="D428" s="906" t="s">
        <v>1256</v>
      </c>
      <c r="E428" s="906" t="s">
        <v>1258</v>
      </c>
      <c r="F428" s="1015"/>
      <c r="G428" s="1014"/>
      <c r="H428" s="1014"/>
      <c r="I428" s="1014"/>
      <c r="J428" s="1013"/>
      <c r="K428" s="1012"/>
      <c r="L428" s="1011"/>
    </row>
    <row r="429" spans="1:12">
      <c r="A429" s="906">
        <v>428</v>
      </c>
      <c r="B429" s="906" t="s">
        <v>1317</v>
      </c>
      <c r="C429" s="906">
        <v>29189</v>
      </c>
      <c r="D429" s="906" t="s">
        <v>1256</v>
      </c>
      <c r="E429" s="906" t="s">
        <v>1258</v>
      </c>
      <c r="F429" s="1015">
        <f t="shared" ref="F429:L430" si="171">O254</f>
        <v>0</v>
      </c>
      <c r="G429" s="1014">
        <f t="shared" si="171"/>
        <v>70</v>
      </c>
      <c r="H429" s="1014">
        <f t="shared" si="171"/>
        <v>35</v>
      </c>
      <c r="I429" s="1014">
        <f t="shared" si="171"/>
        <v>75</v>
      </c>
      <c r="J429" s="1013">
        <f t="shared" si="171"/>
        <v>32</v>
      </c>
      <c r="K429" s="1012">
        <f t="shared" si="171"/>
        <v>39.619779176581176</v>
      </c>
      <c r="L429" s="1011">
        <f t="shared" si="171"/>
        <v>0.22868686868686869</v>
      </c>
    </row>
    <row r="430" spans="1:12">
      <c r="A430" s="906">
        <v>429</v>
      </c>
      <c r="B430" s="906" t="s">
        <v>1316</v>
      </c>
      <c r="C430" s="906">
        <v>29189</v>
      </c>
      <c r="D430" s="906" t="s">
        <v>1257</v>
      </c>
      <c r="E430" s="906" t="s">
        <v>1258</v>
      </c>
      <c r="F430" s="1015">
        <f t="shared" si="171"/>
        <v>0</v>
      </c>
      <c r="G430" s="1014">
        <f t="shared" si="171"/>
        <v>73</v>
      </c>
      <c r="H430" s="1014">
        <f t="shared" si="171"/>
        <v>42</v>
      </c>
      <c r="I430" s="1014">
        <f t="shared" si="171"/>
        <v>75</v>
      </c>
      <c r="J430" s="1013">
        <f t="shared" si="171"/>
        <v>40</v>
      </c>
      <c r="K430" s="1012" t="str">
        <f t="shared" si="171"/>
        <v/>
      </c>
      <c r="L430" s="1011">
        <f t="shared" si="171"/>
        <v>0.26005738797750855</v>
      </c>
    </row>
    <row r="431" spans="1:12">
      <c r="A431" s="906">
        <v>430</v>
      </c>
      <c r="B431" s="906" t="s">
        <v>1316</v>
      </c>
      <c r="C431" s="906">
        <v>29189</v>
      </c>
      <c r="D431" s="906" t="s">
        <v>1256</v>
      </c>
      <c r="E431" s="906" t="s">
        <v>1258</v>
      </c>
      <c r="F431" s="1015">
        <f t="shared" ref="F431:L431" si="172">F430</f>
        <v>0</v>
      </c>
      <c r="G431" s="1014">
        <f t="shared" si="172"/>
        <v>73</v>
      </c>
      <c r="H431" s="1014">
        <f t="shared" si="172"/>
        <v>42</v>
      </c>
      <c r="I431" s="1014">
        <f t="shared" si="172"/>
        <v>75</v>
      </c>
      <c r="J431" s="1013">
        <f t="shared" si="172"/>
        <v>40</v>
      </c>
      <c r="K431" s="1012" t="str">
        <f t="shared" si="172"/>
        <v/>
      </c>
      <c r="L431" s="1011">
        <f t="shared" si="172"/>
        <v>0.26005738797750855</v>
      </c>
    </row>
    <row r="432" spans="1:12">
      <c r="A432" s="906">
        <v>431</v>
      </c>
      <c r="B432" s="906" t="s">
        <v>1315</v>
      </c>
      <c r="C432" s="906">
        <v>29189</v>
      </c>
      <c r="D432" s="906" t="s">
        <v>1256</v>
      </c>
      <c r="E432" s="906" t="s">
        <v>1258</v>
      </c>
      <c r="F432" s="1015"/>
      <c r="G432" s="1014"/>
      <c r="H432" s="1014"/>
      <c r="I432" s="1014"/>
      <c r="J432" s="1013"/>
      <c r="K432" s="1012"/>
      <c r="L432" s="1011"/>
    </row>
    <row r="433" spans="1:12">
      <c r="A433" s="906">
        <v>432</v>
      </c>
      <c r="B433" s="906" t="s">
        <v>1314</v>
      </c>
      <c r="C433" s="906">
        <v>29189</v>
      </c>
      <c r="D433" s="906" t="s">
        <v>1256</v>
      </c>
      <c r="E433" s="906" t="s">
        <v>1258</v>
      </c>
      <c r="F433" s="1015"/>
      <c r="G433" s="1014"/>
      <c r="H433" s="1014"/>
      <c r="I433" s="1014"/>
      <c r="J433" s="1013"/>
      <c r="K433" s="1012"/>
      <c r="L433" s="1011"/>
    </row>
    <row r="434" spans="1:12">
      <c r="A434" s="906">
        <v>433</v>
      </c>
      <c r="B434" s="906" t="s">
        <v>1313</v>
      </c>
      <c r="C434" s="906">
        <v>29189</v>
      </c>
      <c r="D434" s="906" t="s">
        <v>1257</v>
      </c>
      <c r="E434" s="906" t="s">
        <v>1258</v>
      </c>
      <c r="F434" s="1015">
        <f t="shared" ref="F434:L434" si="173">O256</f>
        <v>0</v>
      </c>
      <c r="G434" s="1014">
        <f t="shared" si="173"/>
        <v>75</v>
      </c>
      <c r="H434" s="1014">
        <f t="shared" si="173"/>
        <v>40</v>
      </c>
      <c r="I434" s="1014">
        <f t="shared" si="173"/>
        <v>82</v>
      </c>
      <c r="J434" s="1013">
        <f t="shared" si="173"/>
        <v>39</v>
      </c>
      <c r="K434" s="1012">
        <f t="shared" si="173"/>
        <v>42.554670479371481</v>
      </c>
      <c r="L434" s="1011">
        <f t="shared" si="173"/>
        <v>0.16509396556642708</v>
      </c>
    </row>
    <row r="435" spans="1:12">
      <c r="A435" s="906">
        <v>434</v>
      </c>
      <c r="B435" s="906" t="s">
        <v>1313</v>
      </c>
      <c r="C435" s="906">
        <v>29189</v>
      </c>
      <c r="D435" s="906" t="s">
        <v>1256</v>
      </c>
      <c r="E435" s="906" t="s">
        <v>1258</v>
      </c>
      <c r="F435" s="1015">
        <f t="shared" ref="F435:L435" si="174">F434</f>
        <v>0</v>
      </c>
      <c r="G435" s="1014">
        <f t="shared" si="174"/>
        <v>75</v>
      </c>
      <c r="H435" s="1014">
        <f t="shared" si="174"/>
        <v>40</v>
      </c>
      <c r="I435" s="1014">
        <f t="shared" si="174"/>
        <v>82</v>
      </c>
      <c r="J435" s="1013">
        <f t="shared" si="174"/>
        <v>39</v>
      </c>
      <c r="K435" s="1012">
        <f t="shared" si="174"/>
        <v>42.554670479371481</v>
      </c>
      <c r="L435" s="1011">
        <f t="shared" si="174"/>
        <v>0.16509396556642708</v>
      </c>
    </row>
    <row r="436" spans="1:12">
      <c r="A436" s="906">
        <v>435</v>
      </c>
      <c r="B436" s="906" t="s">
        <v>1312</v>
      </c>
      <c r="C436" s="906">
        <v>29189</v>
      </c>
      <c r="D436" s="906" t="s">
        <v>1256</v>
      </c>
      <c r="E436" s="906" t="s">
        <v>1258</v>
      </c>
      <c r="F436" s="1015"/>
      <c r="G436" s="1014"/>
      <c r="H436" s="1014"/>
      <c r="I436" s="1014"/>
      <c r="J436" s="1013"/>
      <c r="K436" s="1012"/>
      <c r="L436" s="1011"/>
    </row>
    <row r="437" spans="1:12">
      <c r="A437" s="906">
        <v>436</v>
      </c>
      <c r="B437" s="906" t="s">
        <v>1311</v>
      </c>
      <c r="C437" s="906">
        <v>55133</v>
      </c>
      <c r="D437" s="906" t="s">
        <v>1257</v>
      </c>
      <c r="E437" s="906" t="s">
        <v>1258</v>
      </c>
      <c r="F437" s="1015">
        <f t="shared" ref="F437:L437" si="175">O2</f>
        <v>0</v>
      </c>
      <c r="G437" s="1014">
        <f t="shared" si="175"/>
        <v>75</v>
      </c>
      <c r="H437" s="1014">
        <f t="shared" si="175"/>
        <v>46</v>
      </c>
      <c r="I437" s="1014">
        <f t="shared" si="175"/>
        <v>81</v>
      </c>
      <c r="J437" s="1013">
        <f t="shared" si="175"/>
        <v>42</v>
      </c>
      <c r="K437" s="1012">
        <f t="shared" si="175"/>
        <v>27.491034722222221</v>
      </c>
      <c r="L437" s="1011">
        <f t="shared" si="175"/>
        <v>0.21000010862127022</v>
      </c>
    </row>
    <row r="438" spans="1:12">
      <c r="A438" s="906">
        <v>437</v>
      </c>
      <c r="B438" s="906" t="s">
        <v>1311</v>
      </c>
      <c r="C438" s="906">
        <v>55133</v>
      </c>
      <c r="D438" s="906" t="s">
        <v>1256</v>
      </c>
      <c r="E438" s="906" t="s">
        <v>1258</v>
      </c>
      <c r="F438" s="1015">
        <f t="shared" ref="F438:L438" si="176">F437</f>
        <v>0</v>
      </c>
      <c r="G438" s="1014">
        <f t="shared" si="176"/>
        <v>75</v>
      </c>
      <c r="H438" s="1014">
        <f t="shared" si="176"/>
        <v>46</v>
      </c>
      <c r="I438" s="1014">
        <f t="shared" si="176"/>
        <v>81</v>
      </c>
      <c r="J438" s="1013">
        <f t="shared" si="176"/>
        <v>42</v>
      </c>
      <c r="K438" s="1012">
        <f t="shared" si="176"/>
        <v>27.491034722222221</v>
      </c>
      <c r="L438" s="1011">
        <f t="shared" si="176"/>
        <v>0.21000010862127022</v>
      </c>
    </row>
    <row r="439" spans="1:12">
      <c r="A439" s="906">
        <v>438</v>
      </c>
      <c r="B439" s="906" t="s">
        <v>1310</v>
      </c>
      <c r="C439" s="906">
        <v>29189</v>
      </c>
      <c r="D439" s="906" t="s">
        <v>1256</v>
      </c>
      <c r="E439" s="906" t="s">
        <v>1258</v>
      </c>
      <c r="F439" s="1015">
        <f t="shared" ref="F439:L439" si="177">O257</f>
        <v>0</v>
      </c>
      <c r="G439" s="1014">
        <f t="shared" si="177"/>
        <v>78</v>
      </c>
      <c r="H439" s="1014">
        <f t="shared" si="177"/>
        <v>40</v>
      </c>
      <c r="I439" s="1014">
        <f t="shared" si="177"/>
        <v>82</v>
      </c>
      <c r="J439" s="1013">
        <f t="shared" si="177"/>
        <v>35</v>
      </c>
      <c r="K439" s="1012" t="str">
        <f t="shared" si="177"/>
        <v/>
      </c>
      <c r="L439" s="1011">
        <f t="shared" si="177"/>
        <v>0.2564394908904763</v>
      </c>
    </row>
    <row r="444" spans="1:12">
      <c r="I444" s="906">
        <f>COUNT(I2:I439)</f>
        <v>256</v>
      </c>
    </row>
  </sheetData>
  <mergeCells count="37">
    <mergeCell ref="AC3:AD3"/>
    <mergeCell ref="AE3:AF3"/>
    <mergeCell ref="AG3:AH3"/>
    <mergeCell ref="AI3:AJ3"/>
    <mergeCell ref="AW3:AX3"/>
    <mergeCell ref="BC3:BD3"/>
    <mergeCell ref="AW10:AX10"/>
    <mergeCell ref="AY10:AZ10"/>
    <mergeCell ref="BA10:BB10"/>
    <mergeCell ref="BC10:BD10"/>
    <mergeCell ref="AY3:AZ3"/>
    <mergeCell ref="BA3:BB3"/>
    <mergeCell ref="BB33:BC33"/>
    <mergeCell ref="AU27:AU28"/>
    <mergeCell ref="AA11:AA12"/>
    <mergeCell ref="AA13:AA14"/>
    <mergeCell ref="AA18:AA19"/>
    <mergeCell ref="AU18:AU19"/>
    <mergeCell ref="AA20:AA21"/>
    <mergeCell ref="AU20:AU21"/>
    <mergeCell ref="AU25:AU26"/>
    <mergeCell ref="AB26:AC26"/>
    <mergeCell ref="AD26:AE26"/>
    <mergeCell ref="AF26:AG26"/>
    <mergeCell ref="AH26:AI26"/>
    <mergeCell ref="AV33:AW33"/>
    <mergeCell ref="AX33:AY33"/>
    <mergeCell ref="AZ33:BA33"/>
    <mergeCell ref="BE56:BG56"/>
    <mergeCell ref="AC57:AE57"/>
    <mergeCell ref="BE74:BG74"/>
    <mergeCell ref="AV38:AW38"/>
    <mergeCell ref="AX38:AY38"/>
    <mergeCell ref="AZ38:BA38"/>
    <mergeCell ref="BB38:BC38"/>
    <mergeCell ref="AC44:AE44"/>
    <mergeCell ref="AV56:AX56"/>
  </mergeCells>
  <hyperlinks>
    <hyperlink ref="BP31" r:id="rId1" xr:uid="{04E32750-07BB-4DD8-935A-337D2E11ABD2}"/>
    <hyperlink ref="BP36" r:id="rId2" xr:uid="{CAD81ACF-8840-422B-93FC-691C9AAA32E2}"/>
  </hyperlinks>
  <pageMargins left="0.7" right="0.7" top="0.75" bottom="0.75" header="0.3" footer="0.3"/>
  <pageSetup paperSize="9"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70053BF-157C-4113-8C4C-D4BF2DACB174}">
  <ds:schemaRefs>
    <ds:schemaRef ds:uri="http://purl.org/dc/elements/1.1/"/>
    <ds:schemaRef ds:uri="http://schemas.microsoft.com/office/2006/metadata/properties"/>
    <ds:schemaRef ds:uri="http://purl.org/dc/terms/"/>
    <ds:schemaRef ds:uri="http://schemas.openxmlformats.org/package/2006/metadata/core-properties"/>
    <ds:schemaRef ds:uri="http://schemas.microsoft.com/office/2006/documentManagement/types"/>
    <ds:schemaRef ds:uri="http://schemas.microsoft.com/sharepoint/v3/fields"/>
    <ds:schemaRef ds:uri="http://www.w3.org/XML/1998/namespace"/>
    <ds:schemaRef ds:uri="http://purl.org/dc/dcmitype/"/>
    <ds:schemaRef ds:uri="http://schemas.microsoft.com/office/infopath/2007/PartnerControls"/>
  </ds:schemaRefs>
</ds:datastoreItem>
</file>

<file path=customXml/itemProps2.xml><?xml version="1.0" encoding="utf-8"?>
<ds:datastoreItem xmlns:ds="http://schemas.openxmlformats.org/officeDocument/2006/customXml" ds:itemID="{E40EAE9C-C9FD-42C1-98CF-82CC64E98A3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D5848600-2E8A-4836-874B-3D5E5B443EC6}">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62</vt:i4>
      </vt:variant>
      <vt:variant>
        <vt:lpstr>Named Ranges</vt:lpstr>
      </vt:variant>
      <vt:variant>
        <vt:i4>4</vt:i4>
      </vt:variant>
    </vt:vector>
  </HeadingPairs>
  <TitlesOfParts>
    <vt:vector size="66" baseType="lpstr">
      <vt:lpstr>LOG</vt:lpstr>
      <vt:lpstr>Intro</vt:lpstr>
      <vt:lpstr>READ THIS</vt:lpstr>
      <vt:lpstr>Notes</vt:lpstr>
      <vt:lpstr>IND_Construction_new</vt:lpstr>
      <vt:lpstr>IND_Utilities_new</vt:lpstr>
      <vt:lpstr>IND_Vehicles_new</vt:lpstr>
      <vt:lpstr>IND_PaperPulp_new</vt:lpstr>
      <vt:lpstr>IND_Wood_new</vt:lpstr>
      <vt:lpstr>IND_Other_new</vt:lpstr>
      <vt:lpstr>IND_Mining_new</vt:lpstr>
      <vt:lpstr>IND_IronSteel_new</vt:lpstr>
      <vt:lpstr>IND_Aluminium_new</vt:lpstr>
      <vt:lpstr>IND_Machinery_new</vt:lpstr>
      <vt:lpstr>IND_Food_new</vt:lpstr>
      <vt:lpstr>IND_CHEM_new</vt:lpstr>
      <vt:lpstr>IND_G&amp;C_new</vt:lpstr>
      <vt:lpstr>Carbon Capture Storage</vt:lpstr>
      <vt:lpstr>Transport</vt:lpstr>
      <vt:lpstr>Oil-fired boiler_NEW</vt:lpstr>
      <vt:lpstr>Natural gas boiler_New</vt:lpstr>
      <vt:lpstr>Biomass boiler</vt:lpstr>
      <vt:lpstr>Coal boiler</vt:lpstr>
      <vt:lpstr>Trad. Heat pump 80C</vt:lpstr>
      <vt:lpstr>Heat driven Heat pump 80C</vt:lpstr>
      <vt:lpstr>High Temp abs. Heat pump 150C</vt:lpstr>
      <vt:lpstr>Booster Heat pump 150C</vt:lpstr>
      <vt:lpstr>MVR</vt:lpstr>
      <vt:lpstr>Hotdisc</vt:lpstr>
      <vt:lpstr>Dielectric heating</vt:lpstr>
      <vt:lpstr>Infrared</vt:lpstr>
      <vt:lpstr>Electric boiler</vt:lpstr>
      <vt:lpstr>Direct electric heating</vt:lpstr>
      <vt:lpstr>DH substation</vt:lpstr>
      <vt:lpstr>DH network</vt:lpstr>
      <vt:lpstr>Electrical grid</vt:lpstr>
      <vt:lpstr>Solar heating</vt:lpstr>
      <vt:lpstr>Oil-fired boiler</vt:lpstr>
      <vt:lpstr>Natural gas boiler</vt:lpstr>
      <vt:lpstr>DHB Wood-Chips</vt:lpstr>
      <vt:lpstr>Biomass boiler, automatic</vt:lpstr>
      <vt:lpstr>Biomass boiler, manual</vt:lpstr>
      <vt:lpstr>Wood stove</vt:lpstr>
      <vt:lpstr>Heat pump, air-to-air</vt:lpstr>
      <vt:lpstr>Heat pump, air-to-water</vt:lpstr>
      <vt:lpstr>Heat pump, ground source</vt:lpstr>
      <vt:lpstr>HP, gas absorption,air-to-water</vt:lpstr>
      <vt:lpstr>HP, gas absorpt,brine-to-water</vt:lpstr>
      <vt:lpstr>Heat pump, gas engine air-water</vt:lpstr>
      <vt:lpstr>Heat pump, gas engine Brine-wat</vt:lpstr>
      <vt:lpstr>Heat pump, gas adsorption</vt:lpstr>
      <vt:lpstr>Heat pump, ventilation</vt:lpstr>
      <vt:lpstr>Electric heating</vt:lpstr>
      <vt:lpstr>Micro CHP, natural gas FC</vt:lpstr>
      <vt:lpstr>Micro CHP, hydrogen FC</vt:lpstr>
      <vt:lpstr>Micro CHP - Stirling engine</vt:lpstr>
      <vt:lpstr>Micro CHP - Gas engine</vt:lpstr>
      <vt:lpstr>HX_TechData</vt:lpstr>
      <vt:lpstr>HP_TechData</vt:lpstr>
      <vt:lpstr>HP_DATA</vt:lpstr>
      <vt:lpstr>HX_Data</vt:lpstr>
      <vt:lpstr>COP DH_LDC</vt:lpstr>
      <vt:lpstr>'Micro CHP - Stirling engine'!_ftn1</vt:lpstr>
      <vt:lpstr>'Biomass boiler, automatic'!_Toc305146851</vt:lpstr>
      <vt:lpstr>'DHB Wood-Chips'!_Toc305146851</vt:lpstr>
      <vt:lpstr>'COP DH_LDC'!DHareas</vt:lpstr>
    </vt:vector>
  </TitlesOfParts>
  <Company>COWI</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Thomas Engberg Pedersen</dc:creator>
  <cp:lastModifiedBy>Jonathan Vincents Eriksen</cp:lastModifiedBy>
  <dcterms:created xsi:type="dcterms:W3CDTF">2012-05-21T08:38:35Z</dcterms:created>
  <dcterms:modified xsi:type="dcterms:W3CDTF">2022-06-22T09:49:08Z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0x010100391E4ED4D6B5344984C5B5CBC1A28781</vt:lpwstr>
  </property>
  <property fmtid="{D5CDD505-2E9C-101B-9397-08002B2CF9AE}" pid="3" name="_NewReviewCycle">
    <vt:lpwstr/>
  </property>
  <property fmtid="{D5CDD505-2E9C-101B-9397-08002B2CF9AE}" pid="4" name="SaveCode">
    <vt:r8>779369533061981</vt:r8>
  </property>
</Properties>
</file>